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chartsheets/sheet1.xml" ContentType="application/vnd.openxmlformats-officedocument.spreadsheetml.chartsheet+xml"/>
  <Override PartName="/xl/worksheets/sheet3.xml" ContentType="application/vnd.openxmlformats-officedocument.spreadsheetml.worksheet+xml"/>
  <Override PartName="/xl/chartsheets/sheet2.xml" ContentType="application/vnd.openxmlformats-officedocument.spreadsheetml.chart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pivotTables/pivotTable1.xml" ContentType="application/vnd.openxmlformats-officedocument.spreadsheetml.pivotTable+xml"/>
  <Override PartName="/xl/drawings/drawing2.xml" ContentType="application/vnd.openxmlformats-officedocument.drawing+xml"/>
  <Override PartName="/xl/charts/chart1.xml" ContentType="application/vnd.openxmlformats-officedocument.drawingml.chart+xml"/>
  <Override PartName="/xl/pivotTables/pivotTable2.xml" ContentType="application/vnd.openxmlformats-officedocument.spreadsheetml.pivotTable+xml"/>
  <Override PartName="/xl/drawings/drawing3.xml" ContentType="application/vnd.openxmlformats-officedocument.drawing+xml"/>
  <Override PartName="/xl/charts/chart2.xml" ContentType="application/vnd.openxmlformats-officedocument.drawingml.chart+xml"/>
  <Override PartName="/xl/pivotTables/pivotTable3.xml" ContentType="application/vnd.openxmlformats-officedocument.spreadsheetml.pivotTable+xml"/>
  <Override PartName="/xl/drawings/drawing4.xml" ContentType="application/vnd.openxmlformats-officedocument.drawing+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drawings/drawing5.xml" ContentType="application/vnd.openxmlformats-officedocument.drawing+xml"/>
  <Override PartName="/xl/drawings/drawing6.xml" ContentType="application/vnd.openxmlformats-officedocument.drawing+xml"/>
  <Override PartName="/xl/comments1.xml" ContentType="application/vnd.openxmlformats-officedocument.spreadsheetml.comments+xml"/>
  <Override PartName="/xl/drawings/drawing7.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ThisWorkbook" hidePivotFieldList="1" showPivotChartFilter="1" defaultThemeVersion="124226"/>
  <bookViews>
    <workbookView xWindow="0" yWindow="15" windowWidth="8610" windowHeight="5985" tabRatio="929"/>
  </bookViews>
  <sheets>
    <sheet name="LOGBOOK VIEWER" sheetId="12" r:id="rId1"/>
    <sheet name="Summary Table" sheetId="4" state="hidden" r:id="rId2"/>
    <sheet name="Summary Graph" sheetId="5" state="hidden" r:id="rId3"/>
    <sheet name="Timing Table" sheetId="6" r:id="rId4"/>
    <sheet name="Timing Graph" sheetId="7" r:id="rId5"/>
    <sheet name="Final Table" sheetId="9" r:id="rId6"/>
    <sheet name="Final Graphs" sheetId="18" r:id="rId7"/>
    <sheet name="Messages Help" sheetId="17" r:id="rId8"/>
    <sheet name="Instructions" sheetId="10" r:id="rId9"/>
    <sheet name="Data Analysis" sheetId="15" state="veryHidden" r:id="rId10"/>
    <sheet name="Messages Dictionary" sheetId="8" state="veryHidden" r:id="rId11"/>
  </sheets>
  <functionGroups builtInGroupCount="17"/>
  <definedNames>
    <definedName name="_xlnm._FilterDatabase" localSheetId="0" hidden="1">'LOGBOOK VIEWER'!$A$6:$K$4674</definedName>
    <definedName name="_xlnm._FilterDatabase" localSheetId="10" hidden="1">'Messages Dictionary'!$A$1:$K$613</definedName>
    <definedName name="_xlnm._FilterDatabase" localSheetId="7" hidden="1">'Messages Help'!$A$1:$I$1</definedName>
  </definedNames>
  <calcPr calcId="145621"/>
  <pivotCaches>
    <pivotCache cacheId="37" r:id="rId12"/>
    <pivotCache cacheId="46" r:id="rId13"/>
    <pivotCache cacheId="94" r:id="rId14"/>
  </pivotCaches>
</workbook>
</file>

<file path=xl/calcChain.xml><?xml version="1.0" encoding="utf-8"?>
<calcChain xmlns="http://schemas.openxmlformats.org/spreadsheetml/2006/main">
  <c r="I23" i="9" l="1"/>
  <c r="N5" i="8"/>
  <c r="N4" i="8"/>
  <c r="I3" i="8"/>
  <c r="I4" i="8"/>
  <c r="I5" i="8"/>
  <c r="I6" i="8"/>
  <c r="I7" i="8"/>
  <c r="I8" i="8"/>
  <c r="I9" i="8"/>
  <c r="I10" i="8"/>
  <c r="I11" i="8"/>
  <c r="I12" i="8"/>
  <c r="I13" i="8"/>
  <c r="I14" i="8"/>
  <c r="I15" i="8"/>
  <c r="I16" i="8"/>
  <c r="I17" i="8"/>
  <c r="I18" i="8"/>
  <c r="I19" i="8"/>
  <c r="I20" i="8"/>
  <c r="I21" i="8"/>
  <c r="I22" i="8"/>
  <c r="I23" i="8"/>
  <c r="I24" i="8"/>
  <c r="I25" i="8"/>
  <c r="I26" i="8"/>
  <c r="I27" i="8"/>
  <c r="I28" i="8"/>
  <c r="I29" i="8"/>
  <c r="I30" i="8"/>
  <c r="I31" i="8"/>
  <c r="I32" i="8"/>
  <c r="I33" i="8"/>
  <c r="I34" i="8"/>
  <c r="I35" i="8"/>
  <c r="I36" i="8"/>
  <c r="I37" i="8"/>
  <c r="I38" i="8"/>
  <c r="I39" i="8"/>
  <c r="I40" i="8"/>
  <c r="I41" i="8"/>
  <c r="I42" i="8"/>
  <c r="I43" i="8"/>
  <c r="I44" i="8"/>
  <c r="I45" i="8"/>
  <c r="I46" i="8"/>
  <c r="I47" i="8"/>
  <c r="I48" i="8"/>
  <c r="I49" i="8"/>
  <c r="I50" i="8"/>
  <c r="I51" i="8"/>
  <c r="I52" i="8"/>
  <c r="I53" i="8"/>
  <c r="I54" i="8"/>
  <c r="I55" i="8"/>
  <c r="I56" i="8"/>
  <c r="I57" i="8"/>
  <c r="I58" i="8"/>
  <c r="I59" i="8"/>
  <c r="I60" i="8"/>
  <c r="I61" i="8"/>
  <c r="I62" i="8"/>
  <c r="I63" i="8"/>
  <c r="I64" i="8"/>
  <c r="I65" i="8"/>
  <c r="I66" i="8"/>
  <c r="I67" i="8"/>
  <c r="I68" i="8"/>
  <c r="I69" i="8"/>
  <c r="I70" i="8"/>
  <c r="I71" i="8"/>
  <c r="I72" i="8"/>
  <c r="I73" i="8"/>
  <c r="I74" i="8"/>
  <c r="I75" i="8"/>
  <c r="I76" i="8"/>
  <c r="I77" i="8"/>
  <c r="I78" i="8"/>
  <c r="I79" i="8"/>
  <c r="I80" i="8"/>
  <c r="I81" i="8"/>
  <c r="I82" i="8"/>
  <c r="I83" i="8"/>
  <c r="I84" i="8"/>
  <c r="I85" i="8"/>
  <c r="I86" i="8"/>
  <c r="I87" i="8"/>
  <c r="I88" i="8"/>
  <c r="I89" i="8"/>
  <c r="I90" i="8"/>
  <c r="I91" i="8"/>
  <c r="I92" i="8"/>
  <c r="I93" i="8"/>
  <c r="I94" i="8"/>
  <c r="I95" i="8"/>
  <c r="I96" i="8"/>
  <c r="I97" i="8"/>
  <c r="I98" i="8"/>
  <c r="I99" i="8"/>
  <c r="I100" i="8"/>
  <c r="I101" i="8"/>
  <c r="I102" i="8"/>
  <c r="I103" i="8"/>
  <c r="I104" i="8"/>
  <c r="I105" i="8"/>
  <c r="I106" i="8"/>
  <c r="I107" i="8"/>
  <c r="I108" i="8"/>
  <c r="I109" i="8"/>
  <c r="I110" i="8"/>
  <c r="I111" i="8"/>
  <c r="I112" i="8"/>
  <c r="I113" i="8"/>
  <c r="I114" i="8"/>
  <c r="I115" i="8"/>
  <c r="I116" i="8"/>
  <c r="I117" i="8"/>
  <c r="I118" i="8"/>
  <c r="I119" i="8"/>
  <c r="I120" i="8"/>
  <c r="I121" i="8"/>
  <c r="I122" i="8"/>
  <c r="I123" i="8"/>
  <c r="I124" i="8"/>
  <c r="I125" i="8"/>
  <c r="I126" i="8"/>
  <c r="I127" i="8"/>
  <c r="I128" i="8"/>
  <c r="I129" i="8"/>
  <c r="I130" i="8"/>
  <c r="I131" i="8"/>
  <c r="I132" i="8"/>
  <c r="I133" i="8"/>
  <c r="I134" i="8"/>
  <c r="I135" i="8"/>
  <c r="I136" i="8"/>
  <c r="I137" i="8"/>
  <c r="I138" i="8"/>
  <c r="I139" i="8"/>
  <c r="I140" i="8"/>
  <c r="I141" i="8"/>
  <c r="I142" i="8"/>
  <c r="I143" i="8"/>
  <c r="I144" i="8"/>
  <c r="I145" i="8"/>
  <c r="I146" i="8"/>
  <c r="I147" i="8"/>
  <c r="I148" i="8"/>
  <c r="I149" i="8"/>
  <c r="I150" i="8"/>
  <c r="I151" i="8"/>
  <c r="I152" i="8"/>
  <c r="I153" i="8"/>
  <c r="I154" i="8"/>
  <c r="I155" i="8"/>
  <c r="I156" i="8"/>
  <c r="I157" i="8"/>
  <c r="I158" i="8"/>
  <c r="I159" i="8"/>
  <c r="I160" i="8"/>
  <c r="I161" i="8"/>
  <c r="I162" i="8"/>
  <c r="I163" i="8"/>
  <c r="I164" i="8"/>
  <c r="I165" i="8"/>
  <c r="I166" i="8"/>
  <c r="I167" i="8"/>
  <c r="I168" i="8"/>
  <c r="I169" i="8"/>
  <c r="I170" i="8"/>
  <c r="I171" i="8"/>
  <c r="I172" i="8"/>
  <c r="I173" i="8"/>
  <c r="I174" i="8"/>
  <c r="I175" i="8"/>
  <c r="I176" i="8"/>
  <c r="I177" i="8"/>
  <c r="I178" i="8"/>
  <c r="I179" i="8"/>
  <c r="I180" i="8"/>
  <c r="I181" i="8"/>
  <c r="I182" i="8"/>
  <c r="I183" i="8"/>
  <c r="I184" i="8"/>
  <c r="I185" i="8"/>
  <c r="I186" i="8"/>
  <c r="I187" i="8"/>
  <c r="I188" i="8"/>
  <c r="I189" i="8"/>
  <c r="I190" i="8"/>
  <c r="I191" i="8"/>
  <c r="I192" i="8"/>
  <c r="I193" i="8"/>
  <c r="I194" i="8"/>
  <c r="I195" i="8"/>
  <c r="I196" i="8"/>
  <c r="I197" i="8"/>
  <c r="I198" i="8"/>
  <c r="I199" i="8"/>
  <c r="I200" i="8"/>
  <c r="I201" i="8"/>
  <c r="I202" i="8"/>
  <c r="I203" i="8"/>
  <c r="I204" i="8"/>
  <c r="I205" i="8"/>
  <c r="I206" i="8"/>
  <c r="I207" i="8"/>
  <c r="I208" i="8"/>
  <c r="I209" i="8"/>
  <c r="I210" i="8"/>
  <c r="I211" i="8"/>
  <c r="I212" i="8"/>
  <c r="I213" i="8"/>
  <c r="I214" i="8"/>
  <c r="I215" i="8"/>
  <c r="I216" i="8"/>
  <c r="I217" i="8"/>
  <c r="I218" i="8"/>
  <c r="I219" i="8"/>
  <c r="I220" i="8"/>
  <c r="I221" i="8"/>
  <c r="I222" i="8"/>
  <c r="I223" i="8"/>
  <c r="I224" i="8"/>
  <c r="I225" i="8"/>
  <c r="I226" i="8"/>
  <c r="I227" i="8"/>
  <c r="I228" i="8"/>
  <c r="I229" i="8"/>
  <c r="I230" i="8"/>
  <c r="I231" i="8"/>
  <c r="I232" i="8"/>
  <c r="I233" i="8"/>
  <c r="I234" i="8"/>
  <c r="I235" i="8"/>
  <c r="I236" i="8"/>
  <c r="I237" i="8"/>
  <c r="I238" i="8"/>
  <c r="I239" i="8"/>
  <c r="I240" i="8"/>
  <c r="I241" i="8"/>
  <c r="I242" i="8"/>
  <c r="I243" i="8"/>
  <c r="I244" i="8"/>
  <c r="I245" i="8"/>
  <c r="I246" i="8"/>
  <c r="I247" i="8"/>
  <c r="I248" i="8"/>
  <c r="I249" i="8"/>
  <c r="I250" i="8"/>
  <c r="I251" i="8"/>
  <c r="I252" i="8"/>
  <c r="I253" i="8"/>
  <c r="I254" i="8"/>
  <c r="I255" i="8"/>
  <c r="I256" i="8"/>
  <c r="I257" i="8"/>
  <c r="I258" i="8"/>
  <c r="I259" i="8"/>
  <c r="I260" i="8"/>
  <c r="I261" i="8"/>
  <c r="I262" i="8"/>
  <c r="I263" i="8"/>
  <c r="I264" i="8"/>
  <c r="I265" i="8"/>
  <c r="I266" i="8"/>
  <c r="I267" i="8"/>
  <c r="I268" i="8"/>
  <c r="I269" i="8"/>
  <c r="I270" i="8"/>
  <c r="I271" i="8"/>
  <c r="I272" i="8"/>
  <c r="I273" i="8"/>
  <c r="I274" i="8"/>
  <c r="I275" i="8"/>
  <c r="I276" i="8"/>
  <c r="I277" i="8"/>
  <c r="I278" i="8"/>
  <c r="I279" i="8"/>
  <c r="I280" i="8"/>
  <c r="I281" i="8"/>
  <c r="I282" i="8"/>
  <c r="I283" i="8"/>
  <c r="I284" i="8"/>
  <c r="I285" i="8"/>
  <c r="I286" i="8"/>
  <c r="I287" i="8"/>
  <c r="I288" i="8"/>
  <c r="I289" i="8"/>
  <c r="I290" i="8"/>
  <c r="I291" i="8"/>
  <c r="I292" i="8"/>
  <c r="I293" i="8"/>
  <c r="I294" i="8"/>
  <c r="I295" i="8"/>
  <c r="I296" i="8"/>
  <c r="I297" i="8"/>
  <c r="I298" i="8"/>
  <c r="I299" i="8"/>
  <c r="I300" i="8"/>
  <c r="I301" i="8"/>
  <c r="I302" i="8"/>
  <c r="I303" i="8"/>
  <c r="I304" i="8"/>
  <c r="I305" i="8"/>
  <c r="I306" i="8"/>
  <c r="I307" i="8"/>
  <c r="I308" i="8"/>
  <c r="I309" i="8"/>
  <c r="I310" i="8"/>
  <c r="I311" i="8"/>
  <c r="I312" i="8"/>
  <c r="I313" i="8"/>
  <c r="I314" i="8"/>
  <c r="I315" i="8"/>
  <c r="I316" i="8"/>
  <c r="I317" i="8"/>
  <c r="I318" i="8"/>
  <c r="I319" i="8"/>
  <c r="I320" i="8"/>
  <c r="I321" i="8"/>
  <c r="I322" i="8"/>
  <c r="I323" i="8"/>
  <c r="I324" i="8"/>
  <c r="I325" i="8"/>
  <c r="I326" i="8"/>
  <c r="I327" i="8"/>
  <c r="I328" i="8"/>
  <c r="I329" i="8"/>
  <c r="I330" i="8"/>
  <c r="I331" i="8"/>
  <c r="I332" i="8"/>
  <c r="I333" i="8"/>
  <c r="I334" i="8"/>
  <c r="I335" i="8"/>
  <c r="I336" i="8"/>
  <c r="I337" i="8"/>
  <c r="I338" i="8"/>
  <c r="I339" i="8"/>
  <c r="I340" i="8"/>
  <c r="I341" i="8"/>
  <c r="I342" i="8"/>
  <c r="I343" i="8"/>
  <c r="I344" i="8"/>
  <c r="I345" i="8"/>
  <c r="I346" i="8"/>
  <c r="I347" i="8"/>
  <c r="I348" i="8"/>
  <c r="I349" i="8"/>
  <c r="I350" i="8"/>
  <c r="I351" i="8"/>
  <c r="I352" i="8"/>
  <c r="I353" i="8"/>
  <c r="I354" i="8"/>
  <c r="I355" i="8"/>
  <c r="I356" i="8"/>
  <c r="I357" i="8"/>
  <c r="I358" i="8"/>
  <c r="I359" i="8"/>
  <c r="I360" i="8"/>
  <c r="I361" i="8"/>
  <c r="I362" i="8"/>
  <c r="I363" i="8"/>
  <c r="I364" i="8"/>
  <c r="I365" i="8"/>
  <c r="I366" i="8"/>
  <c r="I367" i="8"/>
  <c r="I368" i="8"/>
  <c r="I369" i="8"/>
  <c r="I370" i="8"/>
  <c r="I371" i="8"/>
  <c r="I372" i="8"/>
  <c r="I373" i="8"/>
  <c r="I374" i="8"/>
  <c r="I375" i="8"/>
  <c r="I376" i="8"/>
  <c r="I377" i="8"/>
  <c r="I378" i="8"/>
  <c r="I379" i="8"/>
  <c r="I380" i="8"/>
  <c r="I381" i="8"/>
  <c r="I382" i="8"/>
  <c r="I383" i="8"/>
  <c r="I384" i="8"/>
  <c r="I385" i="8"/>
  <c r="I386" i="8"/>
  <c r="I387" i="8"/>
  <c r="I388" i="8"/>
  <c r="I389" i="8"/>
  <c r="I390" i="8"/>
  <c r="I391" i="8"/>
  <c r="I392" i="8"/>
  <c r="I393" i="8"/>
  <c r="I394" i="8"/>
  <c r="I395" i="8"/>
  <c r="I396" i="8"/>
  <c r="I397" i="8"/>
  <c r="I398" i="8"/>
  <c r="I399" i="8"/>
  <c r="I400" i="8"/>
  <c r="I401" i="8"/>
  <c r="I402" i="8"/>
  <c r="I403" i="8"/>
  <c r="I404" i="8"/>
  <c r="I405" i="8"/>
  <c r="I406" i="8"/>
  <c r="I407" i="8"/>
  <c r="I408" i="8"/>
  <c r="I409" i="8"/>
  <c r="I410" i="8"/>
  <c r="I411" i="8"/>
  <c r="I412" i="8"/>
  <c r="I413" i="8"/>
  <c r="I414" i="8"/>
  <c r="I415" i="8"/>
  <c r="I416" i="8"/>
  <c r="I417" i="8"/>
  <c r="I418" i="8"/>
  <c r="I419" i="8"/>
  <c r="I420" i="8"/>
  <c r="I421" i="8"/>
  <c r="I422" i="8"/>
  <c r="I423" i="8"/>
  <c r="I424" i="8"/>
  <c r="I425" i="8"/>
  <c r="I426" i="8"/>
  <c r="I427" i="8"/>
  <c r="I428" i="8"/>
  <c r="I429" i="8"/>
  <c r="I430" i="8"/>
  <c r="I431" i="8"/>
  <c r="I432" i="8"/>
  <c r="I433" i="8"/>
  <c r="I434" i="8"/>
  <c r="I435" i="8"/>
  <c r="I436" i="8"/>
  <c r="I437" i="8"/>
  <c r="I438" i="8"/>
  <c r="I439" i="8"/>
  <c r="I440" i="8"/>
  <c r="I441" i="8"/>
  <c r="I442" i="8"/>
  <c r="I443" i="8"/>
  <c r="I444" i="8"/>
  <c r="I445" i="8"/>
  <c r="I446" i="8"/>
  <c r="I447" i="8"/>
  <c r="I448" i="8"/>
  <c r="I449" i="8"/>
  <c r="I450" i="8"/>
  <c r="I451" i="8"/>
  <c r="I452" i="8"/>
  <c r="I453" i="8"/>
  <c r="I454" i="8"/>
  <c r="I455" i="8"/>
  <c r="I456" i="8"/>
  <c r="I457" i="8"/>
  <c r="I458" i="8"/>
  <c r="I459" i="8"/>
  <c r="I460" i="8"/>
  <c r="I461" i="8"/>
  <c r="I462" i="8"/>
  <c r="I463" i="8"/>
  <c r="I464" i="8"/>
  <c r="I465" i="8"/>
  <c r="I466" i="8"/>
  <c r="I467" i="8"/>
  <c r="I468" i="8"/>
  <c r="I469" i="8"/>
  <c r="I470" i="8"/>
  <c r="I471" i="8"/>
  <c r="I472" i="8"/>
  <c r="I473" i="8"/>
  <c r="I474" i="8"/>
  <c r="I475" i="8"/>
  <c r="I476" i="8"/>
  <c r="I477" i="8"/>
  <c r="I478" i="8"/>
  <c r="I479" i="8"/>
  <c r="I480" i="8"/>
  <c r="I481" i="8"/>
  <c r="I482" i="8"/>
  <c r="I483" i="8"/>
  <c r="I484" i="8"/>
  <c r="I485" i="8"/>
  <c r="I486" i="8"/>
  <c r="I487" i="8"/>
  <c r="I488" i="8"/>
  <c r="I489" i="8"/>
  <c r="I490" i="8"/>
  <c r="I491" i="8"/>
  <c r="I492" i="8"/>
  <c r="I493" i="8"/>
  <c r="I494" i="8"/>
  <c r="I495" i="8"/>
  <c r="I496" i="8"/>
  <c r="I497" i="8"/>
  <c r="I498" i="8"/>
  <c r="I499" i="8"/>
  <c r="I500" i="8"/>
  <c r="I501" i="8"/>
  <c r="I502" i="8"/>
  <c r="I503" i="8"/>
  <c r="I504" i="8"/>
  <c r="I505" i="8"/>
  <c r="I506" i="8"/>
  <c r="I507" i="8"/>
  <c r="I508" i="8"/>
  <c r="I509" i="8"/>
  <c r="I510" i="8"/>
  <c r="I511" i="8"/>
  <c r="I512" i="8"/>
  <c r="I513" i="8"/>
  <c r="I514" i="8"/>
  <c r="I515" i="8"/>
  <c r="I516" i="8"/>
  <c r="I517" i="8"/>
  <c r="I518" i="8"/>
  <c r="I519" i="8"/>
  <c r="I520" i="8"/>
  <c r="I521" i="8"/>
  <c r="I522" i="8"/>
  <c r="I523" i="8"/>
  <c r="I524" i="8"/>
  <c r="I525" i="8"/>
  <c r="I526" i="8"/>
  <c r="I527" i="8"/>
  <c r="I528" i="8"/>
  <c r="I529" i="8"/>
  <c r="I530" i="8"/>
  <c r="I531" i="8"/>
  <c r="I532" i="8"/>
  <c r="I533" i="8"/>
  <c r="I534" i="8"/>
  <c r="I535" i="8"/>
  <c r="I536" i="8"/>
  <c r="I537" i="8"/>
  <c r="I538" i="8"/>
  <c r="I539" i="8"/>
  <c r="I540" i="8"/>
  <c r="I541" i="8"/>
  <c r="I542" i="8"/>
  <c r="I543" i="8"/>
  <c r="I544" i="8"/>
  <c r="I545" i="8"/>
  <c r="I546" i="8"/>
  <c r="I547" i="8"/>
  <c r="I548" i="8"/>
  <c r="I549" i="8"/>
  <c r="I550" i="8"/>
  <c r="I551" i="8"/>
  <c r="I552" i="8"/>
  <c r="I553" i="8"/>
  <c r="I554" i="8"/>
  <c r="I555" i="8"/>
  <c r="I556" i="8"/>
  <c r="I557" i="8"/>
  <c r="I558" i="8"/>
  <c r="I559" i="8"/>
  <c r="I560" i="8"/>
  <c r="I561" i="8"/>
  <c r="I562" i="8"/>
  <c r="I563" i="8"/>
  <c r="I564" i="8"/>
  <c r="I565" i="8"/>
  <c r="I566" i="8"/>
  <c r="I567" i="8"/>
  <c r="I568" i="8"/>
  <c r="I569" i="8"/>
  <c r="I570" i="8"/>
  <c r="I571" i="8"/>
  <c r="I572" i="8"/>
  <c r="I573" i="8"/>
  <c r="I574" i="8"/>
  <c r="I575" i="8"/>
  <c r="I576" i="8"/>
  <c r="I577" i="8"/>
  <c r="I578" i="8"/>
  <c r="I579" i="8"/>
  <c r="I580" i="8"/>
  <c r="I581" i="8"/>
  <c r="I582" i="8"/>
  <c r="I583" i="8"/>
  <c r="I584" i="8"/>
  <c r="I585" i="8"/>
  <c r="I586" i="8"/>
  <c r="I587" i="8"/>
  <c r="I588" i="8"/>
  <c r="I589" i="8"/>
  <c r="I590" i="8"/>
  <c r="I591" i="8"/>
  <c r="I592" i="8"/>
  <c r="I593" i="8"/>
  <c r="I594" i="8"/>
  <c r="I595" i="8"/>
  <c r="I596" i="8"/>
  <c r="I597" i="8"/>
  <c r="I598" i="8"/>
  <c r="I599" i="8"/>
  <c r="I600" i="8"/>
  <c r="I601" i="8"/>
  <c r="I602" i="8"/>
  <c r="I603" i="8"/>
  <c r="I604" i="8"/>
  <c r="I605" i="8"/>
  <c r="I606" i="8"/>
  <c r="I607" i="8"/>
  <c r="I608" i="8"/>
  <c r="I609" i="8"/>
  <c r="I610" i="8"/>
  <c r="I611" i="8"/>
  <c r="I612" i="8"/>
  <c r="I613" i="8"/>
  <c r="I2" i="8"/>
  <c r="N3" i="8" l="1"/>
  <c r="N6" i="8" s="1"/>
  <c r="M87" i="18"/>
  <c r="K87" i="18"/>
  <c r="K290" i="8" l="1"/>
  <c r="AS306" i="15"/>
  <c r="AS314" i="15"/>
  <c r="AS334" i="15"/>
  <c r="K346" i="8"/>
  <c r="K350" i="8"/>
  <c r="I358" i="15"/>
  <c r="AS360" i="15"/>
  <c r="AS364" i="15"/>
  <c r="K396" i="8"/>
  <c r="I386" i="15"/>
  <c r="AS394" i="15"/>
  <c r="AS402" i="15"/>
  <c r="I404" i="15"/>
  <c r="K418" i="8"/>
  <c r="K426" i="8"/>
  <c r="K428" i="8"/>
  <c r="K430" i="8"/>
  <c r="I426" i="15"/>
  <c r="K442" i="8"/>
  <c r="K448" i="8"/>
  <c r="I442" i="15"/>
  <c r="K456" i="8"/>
  <c r="K458" i="8"/>
  <c r="I450" i="15"/>
  <c r="K467" i="8"/>
  <c r="I458" i="15"/>
  <c r="AS464" i="15"/>
  <c r="I466" i="15"/>
  <c r="K479" i="8"/>
  <c r="AS472" i="15"/>
  <c r="I479" i="15"/>
  <c r="AS480" i="15"/>
  <c r="K494" i="8"/>
  <c r="K495" i="8"/>
  <c r="K498" i="8"/>
  <c r="K502" i="8"/>
  <c r="AS491" i="15"/>
  <c r="AS493" i="15"/>
  <c r="I498" i="15"/>
  <c r="AS499" i="15"/>
  <c r="I502" i="15"/>
  <c r="AS505" i="15"/>
  <c r="AS507" i="15"/>
  <c r="K524" i="8"/>
  <c r="I513" i="15"/>
  <c r="AS514" i="15"/>
  <c r="I515" i="15"/>
  <c r="I517" i="15"/>
  <c r="K531" i="8"/>
  <c r="I519" i="15"/>
  <c r="K534" i="8"/>
  <c r="I520" i="15"/>
  <c r="I521" i="15"/>
  <c r="K538" i="8"/>
  <c r="I524" i="15"/>
  <c r="K540" i="8"/>
  <c r="AS527" i="15"/>
  <c r="K543" i="8"/>
  <c r="K544" i="8"/>
  <c r="AS529" i="15"/>
  <c r="I530" i="15"/>
  <c r="I531" i="15"/>
  <c r="K550" i="8"/>
  <c r="I534" i="15"/>
  <c r="I537" i="15"/>
  <c r="K558" i="8"/>
  <c r="K559" i="8"/>
  <c r="AS545" i="15"/>
  <c r="AS546" i="15"/>
  <c r="AS547" i="15"/>
  <c r="K566" i="8"/>
  <c r="K567" i="8"/>
  <c r="I549" i="15"/>
  <c r="I550" i="15"/>
  <c r="K572" i="8"/>
  <c r="K573" i="8"/>
  <c r="I551" i="15"/>
  <c r="K575" i="8"/>
  <c r="AS554" i="15"/>
  <c r="K579" i="8"/>
  <c r="AS558" i="15"/>
  <c r="I559" i="15"/>
  <c r="AS562" i="15"/>
  <c r="I563" i="15"/>
  <c r="I188" i="15"/>
  <c r="I192" i="15"/>
  <c r="AS196" i="15"/>
  <c r="K208" i="8"/>
  <c r="AS204" i="15"/>
  <c r="AS208" i="15"/>
  <c r="AS212" i="15"/>
  <c r="AS216" i="15"/>
  <c r="K228" i="8"/>
  <c r="K232" i="8"/>
  <c r="K236" i="8"/>
  <c r="AS232" i="15"/>
  <c r="K244" i="8"/>
  <c r="I240" i="15"/>
  <c r="K252" i="8"/>
  <c r="AS248" i="15"/>
  <c r="AS252" i="15"/>
  <c r="AS256" i="15"/>
  <c r="AS260" i="15"/>
  <c r="I264" i="15"/>
  <c r="AS268" i="15"/>
  <c r="AS272" i="15"/>
  <c r="AS276" i="15"/>
  <c r="AS280" i="15"/>
  <c r="K296" i="8"/>
  <c r="K300" i="8"/>
  <c r="I296" i="15"/>
  <c r="AS300" i="15"/>
  <c r="I304" i="15"/>
  <c r="K316" i="8"/>
  <c r="AS312" i="15"/>
  <c r="AS316" i="15"/>
  <c r="I320" i="15"/>
  <c r="AS324" i="15"/>
  <c r="I328" i="15"/>
  <c r="AS329" i="15"/>
  <c r="I332" i="15"/>
  <c r="K344" i="8"/>
  <c r="K348" i="8"/>
  <c r="I344" i="15"/>
  <c r="I348" i="15"/>
  <c r="I352" i="15"/>
  <c r="AS356" i="15"/>
  <c r="K365" i="8"/>
  <c r="K367" i="8"/>
  <c r="K368" i="8"/>
  <c r="I359" i="15"/>
  <c r="K376" i="8"/>
  <c r="K381" i="8"/>
  <c r="K389" i="8"/>
  <c r="AS383" i="15"/>
  <c r="AS391" i="15"/>
  <c r="I396" i="15"/>
  <c r="K409" i="8"/>
  <c r="K411" i="8"/>
  <c r="AS411" i="15"/>
  <c r="AS412" i="15"/>
  <c r="I413" i="15"/>
  <c r="K432" i="8"/>
  <c r="AS423" i="15"/>
  <c r="K437" i="8"/>
  <c r="AS439" i="15"/>
  <c r="AS449" i="15"/>
  <c r="AS454" i="15"/>
  <c r="K473" i="8"/>
  <c r="AS463" i="15"/>
  <c r="K480" i="8"/>
  <c r="AS471" i="15"/>
  <c r="I476" i="15"/>
  <c r="K493" i="8"/>
  <c r="I483" i="15"/>
  <c r="I486" i="15"/>
  <c r="I487" i="15"/>
  <c r="I488" i="15"/>
  <c r="AS489" i="15"/>
  <c r="AS490" i="15"/>
  <c r="K507" i="8"/>
  <c r="AS501" i="15"/>
  <c r="AS510" i="15"/>
  <c r="I516" i="15"/>
  <c r="K533" i="8"/>
  <c r="I522" i="15"/>
  <c r="AS526" i="15"/>
  <c r="I528" i="15"/>
  <c r="K549" i="8"/>
  <c r="I536" i="15"/>
  <c r="I540" i="15"/>
  <c r="I544" i="15"/>
  <c r="AS548" i="15"/>
  <c r="K568" i="8"/>
  <c r="K569" i="8"/>
  <c r="K577" i="8"/>
  <c r="AS557" i="15"/>
  <c r="I560" i="15"/>
  <c r="K585" i="8"/>
  <c r="AS564" i="15"/>
  <c r="AS390" i="15"/>
  <c r="I406" i="15"/>
  <c r="K427" i="8"/>
  <c r="I431" i="15"/>
  <c r="K447" i="8"/>
  <c r="K450" i="8"/>
  <c r="K459" i="8"/>
  <c r="AS451" i="15"/>
  <c r="K474" i="8"/>
  <c r="AS469" i="15"/>
  <c r="K485" i="8"/>
  <c r="I474" i="15"/>
  <c r="K510" i="8"/>
  <c r="K517" i="8"/>
  <c r="I512" i="15"/>
  <c r="AS373" i="15"/>
  <c r="K399" i="8"/>
  <c r="I395" i="15"/>
  <c r="K415" i="8"/>
  <c r="K453" i="8"/>
  <c r="I447" i="15"/>
  <c r="I459" i="15"/>
  <c r="I465" i="15"/>
  <c r="K489" i="8"/>
  <c r="K513" i="8"/>
  <c r="I508" i="15"/>
  <c r="AS421" i="15"/>
  <c r="AS442" i="15"/>
  <c r="AS198" i="15"/>
  <c r="AS211" i="15"/>
  <c r="I235" i="15"/>
  <c r="K250" i="8"/>
  <c r="AS243" i="15"/>
  <c r="I250" i="15"/>
  <c r="I266" i="15"/>
  <c r="I267" i="15"/>
  <c r="I275" i="15"/>
  <c r="K306" i="8"/>
  <c r="I303" i="15"/>
  <c r="K319" i="8"/>
  <c r="I322" i="15"/>
  <c r="K339" i="8"/>
  <c r="AS333" i="15"/>
  <c r="AS339" i="15"/>
  <c r="AS342" i="15"/>
  <c r="AS347" i="15"/>
  <c r="I368" i="15"/>
  <c r="I369" i="15"/>
  <c r="K382" i="8"/>
  <c r="K383" i="8"/>
  <c r="K386" i="8"/>
  <c r="AS385" i="15"/>
  <c r="I390" i="15"/>
  <c r="I391" i="15"/>
  <c r="I398" i="15"/>
  <c r="I410" i="15"/>
  <c r="K429" i="8"/>
  <c r="K434" i="8"/>
  <c r="AS430" i="15"/>
  <c r="I433" i="15"/>
  <c r="K446" i="8"/>
  <c r="I435" i="15"/>
  <c r="I438" i="15"/>
  <c r="AS453" i="15"/>
  <c r="I457" i="15"/>
  <c r="K482" i="8"/>
  <c r="I492" i="15"/>
  <c r="K166" i="8"/>
  <c r="K194" i="8"/>
  <c r="K207" i="8"/>
  <c r="AS231" i="15"/>
  <c r="K242" i="8"/>
  <c r="K262" i="8"/>
  <c r="I255" i="15"/>
  <c r="AS259" i="15"/>
  <c r="K282" i="8"/>
  <c r="K286" i="8"/>
  <c r="K287" i="8"/>
  <c r="I326" i="15"/>
  <c r="AS330" i="15"/>
  <c r="AS338" i="15"/>
  <c r="I346" i="15"/>
  <c r="AS361" i="15"/>
  <c r="K410" i="8"/>
  <c r="K423" i="8"/>
  <c r="AS422" i="15"/>
  <c r="AS452" i="15"/>
  <c r="AS496" i="15"/>
  <c r="AS396" i="15"/>
  <c r="K28" i="8"/>
  <c r="AS40" i="15"/>
  <c r="I55" i="15"/>
  <c r="AS59" i="15"/>
  <c r="K88" i="8"/>
  <c r="AS115" i="15"/>
  <c r="AS127" i="15"/>
  <c r="K160" i="8"/>
  <c r="K164" i="8"/>
  <c r="K168" i="8"/>
  <c r="AS176" i="15"/>
  <c r="K192" i="8"/>
  <c r="I208" i="15"/>
  <c r="I228" i="15"/>
  <c r="I248" i="15"/>
  <c r="K276" i="8"/>
  <c r="I284" i="15"/>
  <c r="K309" i="8"/>
  <c r="K321" i="8"/>
  <c r="K324" i="8"/>
  <c r="AS325" i="15"/>
  <c r="K336" i="8"/>
  <c r="K349" i="8"/>
  <c r="AS345" i="15"/>
  <c r="K379" i="8"/>
  <c r="I389" i="15"/>
  <c r="AS484" i="15"/>
  <c r="K103" i="8"/>
  <c r="K107" i="8"/>
  <c r="I122" i="15"/>
  <c r="AS140" i="15"/>
  <c r="I148" i="15"/>
  <c r="I155" i="15"/>
  <c r="I167" i="15"/>
  <c r="I171" i="15"/>
  <c r="I179" i="15"/>
  <c r="K199" i="8"/>
  <c r="K223" i="8"/>
  <c r="K231" i="8"/>
  <c r="I239" i="15"/>
  <c r="K259" i="8"/>
  <c r="K271" i="8"/>
  <c r="K275" i="8"/>
  <c r="K291" i="8"/>
  <c r="K295" i="8"/>
  <c r="I295" i="15"/>
  <c r="AS319" i="15"/>
  <c r="AS327" i="15"/>
  <c r="K359" i="8"/>
  <c r="K391" i="8"/>
  <c r="AS429" i="15"/>
  <c r="I437" i="15"/>
  <c r="I439" i="15"/>
  <c r="I496" i="15"/>
  <c r="K347" i="8"/>
  <c r="I121" i="15"/>
  <c r="AS125" i="15"/>
  <c r="AS147" i="15"/>
  <c r="K178" i="8"/>
  <c r="K186" i="8"/>
  <c r="K214" i="8"/>
  <c r="AS262" i="15"/>
  <c r="I290" i="15"/>
  <c r="AS310" i="15"/>
  <c r="AS318" i="15"/>
  <c r="I401" i="15"/>
  <c r="K211" i="8"/>
  <c r="I245" i="15"/>
  <c r="AS253" i="15"/>
  <c r="AS284" i="15"/>
  <c r="K302" i="8"/>
  <c r="K313" i="8"/>
  <c r="AS313" i="15"/>
  <c r="AS393" i="15"/>
  <c r="K11" i="8"/>
  <c r="K15" i="8"/>
  <c r="I36" i="15"/>
  <c r="I37" i="15"/>
  <c r="K49" i="8"/>
  <c r="I52" i="15"/>
  <c r="I58" i="15"/>
  <c r="I60" i="15"/>
  <c r="AS74" i="15"/>
  <c r="K83" i="8"/>
  <c r="AS86" i="15"/>
  <c r="K93" i="8"/>
  <c r="AS94" i="15"/>
  <c r="AS98" i="15"/>
  <c r="I100" i="15"/>
  <c r="I108" i="15"/>
  <c r="I110" i="15"/>
  <c r="K123" i="8"/>
  <c r="K129" i="8"/>
  <c r="K131" i="8"/>
  <c r="K135" i="8"/>
  <c r="AS134" i="15"/>
  <c r="K141" i="8"/>
  <c r="K143" i="8"/>
  <c r="K149" i="8"/>
  <c r="K153" i="8"/>
  <c r="I149" i="15"/>
  <c r="I151" i="15"/>
  <c r="K161" i="8"/>
  <c r="AS157" i="15"/>
  <c r="K171" i="8"/>
  <c r="AS165" i="15"/>
  <c r="AS169" i="15"/>
  <c r="AS179" i="15"/>
  <c r="K191" i="8"/>
  <c r="AS193" i="15"/>
  <c r="I195" i="15"/>
  <c r="I197" i="15"/>
  <c r="K209" i="8"/>
  <c r="K213" i="8"/>
  <c r="AS207" i="15"/>
  <c r="AS209" i="15"/>
  <c r="I213" i="15"/>
  <c r="I217" i="15"/>
  <c r="K227" i="8"/>
  <c r="K229" i="8"/>
  <c r="AS225" i="15"/>
  <c r="K237" i="8"/>
  <c r="K239" i="8"/>
  <c r="K241" i="8"/>
  <c r="K245" i="8"/>
  <c r="AS241" i="15"/>
  <c r="K255" i="8"/>
  <c r="AS249" i="15"/>
  <c r="I257" i="15"/>
  <c r="I261" i="15"/>
  <c r="K273" i="8"/>
  <c r="K277" i="8"/>
  <c r="K281" i="8"/>
  <c r="I277" i="15"/>
  <c r="K289" i="8"/>
  <c r="I285" i="15"/>
  <c r="K297" i="8"/>
  <c r="I293" i="15"/>
  <c r="AS297" i="15"/>
  <c r="AS303" i="15"/>
  <c r="AS309" i="15"/>
  <c r="K325" i="8"/>
  <c r="K329" i="8"/>
  <c r="I337" i="15"/>
  <c r="K357" i="8"/>
  <c r="K361" i="8"/>
  <c r="K373" i="8"/>
  <c r="K377" i="8"/>
  <c r="AS375" i="15"/>
  <c r="K397" i="8"/>
  <c r="AS405" i="15"/>
  <c r="I409" i="15"/>
  <c r="AS445" i="15"/>
  <c r="I484" i="15"/>
  <c r="I242" i="15"/>
  <c r="K85" i="8"/>
  <c r="AS90" i="15"/>
  <c r="I120" i="15"/>
  <c r="AS130" i="15"/>
  <c r="AS132" i="15"/>
  <c r="AS144" i="15"/>
  <c r="K163" i="8"/>
  <c r="I161" i="15"/>
  <c r="AS175" i="15"/>
  <c r="K185" i="8"/>
  <c r="K195" i="8"/>
  <c r="K197" i="8"/>
  <c r="K215" i="8"/>
  <c r="K235" i="8"/>
  <c r="I241" i="15"/>
  <c r="K269" i="8"/>
  <c r="I263" i="15"/>
  <c r="K320" i="8"/>
  <c r="I363" i="15"/>
  <c r="AS19" i="15"/>
  <c r="K27" i="8"/>
  <c r="I29" i="15"/>
  <c r="K47" i="8"/>
  <c r="K51" i="8"/>
  <c r="I54" i="15"/>
  <c r="K67" i="8"/>
  <c r="I66" i="15"/>
  <c r="I70" i="15"/>
  <c r="I82" i="15"/>
  <c r="I86" i="15"/>
  <c r="K99" i="8"/>
  <c r="I114" i="15"/>
  <c r="I136" i="15"/>
  <c r="K147" i="8"/>
  <c r="K167" i="8"/>
  <c r="AS255" i="15"/>
  <c r="I5" i="15"/>
  <c r="K8" i="8"/>
  <c r="K13" i="8"/>
  <c r="K17" i="8"/>
  <c r="K22" i="8"/>
  <c r="K24" i="8"/>
  <c r="K29" i="8"/>
  <c r="I30" i="15"/>
  <c r="AS31" i="15"/>
  <c r="I32" i="15"/>
  <c r="K36" i="8"/>
  <c r="K37" i="8"/>
  <c r="K40" i="8"/>
  <c r="K45" i="8"/>
  <c r="I43" i="15"/>
  <c r="K50" i="8"/>
  <c r="AS48" i="15"/>
  <c r="K56" i="8"/>
  <c r="AS55" i="15"/>
  <c r="AS57" i="15"/>
  <c r="AS61" i="15"/>
  <c r="K68" i="8"/>
  <c r="I64" i="15"/>
  <c r="I65" i="15"/>
  <c r="K73" i="8"/>
  <c r="I69" i="15"/>
  <c r="K77" i="8"/>
  <c r="K78" i="8"/>
  <c r="AS76" i="15"/>
  <c r="K82" i="8"/>
  <c r="I81" i="15"/>
  <c r="I84" i="15"/>
  <c r="AS85" i="15"/>
  <c r="K92" i="8"/>
  <c r="K95" i="8"/>
  <c r="I92" i="15"/>
  <c r="K98" i="8"/>
  <c r="K100" i="8"/>
  <c r="K101" i="8"/>
  <c r="I97" i="15"/>
  <c r="K104" i="8"/>
  <c r="K106" i="8"/>
  <c r="K109" i="8"/>
  <c r="AS105" i="15"/>
  <c r="K114" i="8"/>
  <c r="I112" i="15"/>
  <c r="K118" i="8"/>
  <c r="K121" i="8"/>
  <c r="AS117" i="15"/>
  <c r="AS121" i="15"/>
  <c r="I126" i="15"/>
  <c r="I128" i="15"/>
  <c r="I129" i="15"/>
  <c r="K136" i="8"/>
  <c r="K138" i="8"/>
  <c r="K140" i="8"/>
  <c r="K142" i="8"/>
  <c r="K145" i="8"/>
  <c r="I139" i="15"/>
  <c r="K148" i="8"/>
  <c r="I143" i="15"/>
  <c r="K156" i="8"/>
  <c r="I153" i="15"/>
  <c r="I156" i="15"/>
  <c r="AS164" i="15"/>
  <c r="K181" i="8"/>
  <c r="AS174" i="15"/>
  <c r="K188" i="8"/>
  <c r="I181" i="15"/>
  <c r="I182" i="15"/>
  <c r="K193" i="8"/>
  <c r="K205" i="8"/>
  <c r="AS202" i="15"/>
  <c r="K254" i="8"/>
  <c r="K294" i="8"/>
  <c r="K610" i="8"/>
  <c r="K16" i="8"/>
  <c r="K44" i="8"/>
  <c r="I50" i="15"/>
  <c r="AS54" i="15"/>
  <c r="I78" i="15"/>
  <c r="AS102" i="15"/>
  <c r="AS158" i="15"/>
  <c r="AS185" i="15"/>
  <c r="K180" i="8"/>
  <c r="K30" i="8"/>
  <c r="K35" i="8"/>
  <c r="AS10" i="15"/>
  <c r="K14" i="8"/>
  <c r="K19" i="8"/>
  <c r="K42" i="8"/>
  <c r="K43" i="8"/>
  <c r="K46" i="8"/>
  <c r="I49" i="15"/>
  <c r="K55" i="8"/>
  <c r="K66" i="8"/>
  <c r="AS69" i="15"/>
  <c r="I73" i="15"/>
  <c r="I77" i="15"/>
  <c r="K87" i="8"/>
  <c r="K96" i="8"/>
  <c r="I93" i="15"/>
  <c r="I101" i="15"/>
  <c r="AS129" i="15"/>
  <c r="K152" i="8"/>
  <c r="I6" i="15"/>
  <c r="AS99" i="15"/>
  <c r="I168" i="15"/>
  <c r="I565" i="15"/>
  <c r="I566" i="15"/>
  <c r="K591" i="8"/>
  <c r="I568" i="15"/>
  <c r="AS569" i="15"/>
  <c r="K594" i="8"/>
  <c r="K595" i="8"/>
  <c r="AS573" i="15"/>
  <c r="I574" i="15"/>
  <c r="K599" i="8"/>
  <c r="I576" i="15"/>
  <c r="K601" i="8"/>
  <c r="I578" i="15"/>
  <c r="I579" i="15"/>
  <c r="K604" i="8"/>
  <c r="I581" i="15"/>
  <c r="K606" i="8"/>
  <c r="AS583" i="15"/>
  <c r="AS584" i="15"/>
  <c r="K609" i="8"/>
  <c r="K611" i="8"/>
  <c r="K612" i="8"/>
  <c r="AS588" i="15"/>
  <c r="AR1209" i="15"/>
  <c r="H85" i="18" s="1"/>
  <c r="AQ1209" i="15"/>
  <c r="I85" i="18" s="1"/>
  <c r="AP1209" i="15"/>
  <c r="J85" i="18" s="1"/>
  <c r="AO1209" i="15"/>
  <c r="K85" i="18" s="1"/>
  <c r="AN1209" i="15"/>
  <c r="L85" i="18" s="1"/>
  <c r="AM1209" i="15"/>
  <c r="M85" i="18" s="1"/>
  <c r="AL1209" i="15"/>
  <c r="N85" i="18" s="1"/>
  <c r="AK1209" i="15"/>
  <c r="O85" i="18" s="1"/>
  <c r="AJ1209" i="15"/>
  <c r="P85" i="18" s="1"/>
  <c r="AI1209" i="15"/>
  <c r="Q85" i="18" s="1"/>
  <c r="AH1209" i="15"/>
  <c r="R85" i="18" s="1"/>
  <c r="AG1209" i="15"/>
  <c r="S85" i="18" s="1"/>
  <c r="AF1209" i="15"/>
  <c r="T85" i="18" s="1"/>
  <c r="AE1209" i="15"/>
  <c r="U85" i="18" s="1"/>
  <c r="AD1209" i="15"/>
  <c r="V85" i="18" s="1"/>
  <c r="AC1209" i="15"/>
  <c r="W85" i="18" s="1"/>
  <c r="AB1209" i="15"/>
  <c r="X85" i="18" s="1"/>
  <c r="AA1209" i="15"/>
  <c r="Y85" i="18" s="1"/>
  <c r="Z1209" i="15"/>
  <c r="Z85" i="18" s="1"/>
  <c r="Y1209" i="15"/>
  <c r="AA85" i="18" s="1"/>
  <c r="X1209" i="15"/>
  <c r="AB85" i="18" s="1"/>
  <c r="W1209" i="15"/>
  <c r="AC85" i="18" s="1"/>
  <c r="V1209" i="15"/>
  <c r="AD85" i="18" s="1"/>
  <c r="U1209" i="15"/>
  <c r="AE85" i="18" s="1"/>
  <c r="T1209" i="15"/>
  <c r="AF85" i="18" s="1"/>
  <c r="S1209" i="15"/>
  <c r="AG85" i="18" s="1"/>
  <c r="R1209" i="15"/>
  <c r="AH85" i="18" s="1"/>
  <c r="Q1209" i="15"/>
  <c r="AI85" i="18" s="1"/>
  <c r="P1209" i="15"/>
  <c r="O1209" i="15"/>
  <c r="AK85" i="18" s="1"/>
  <c r="N1209" i="15"/>
  <c r="AL85" i="18" s="1"/>
  <c r="AR1208" i="15"/>
  <c r="H83" i="18" s="1"/>
  <c r="AQ1208" i="15"/>
  <c r="I83" i="18" s="1"/>
  <c r="AP1208" i="15"/>
  <c r="J83" i="18" s="1"/>
  <c r="AO1208" i="15"/>
  <c r="K83" i="18" s="1"/>
  <c r="AN1208" i="15"/>
  <c r="L83" i="18" s="1"/>
  <c r="AM1208" i="15"/>
  <c r="M83" i="18" s="1"/>
  <c r="AL1208" i="15"/>
  <c r="N83" i="18" s="1"/>
  <c r="AK1208" i="15"/>
  <c r="O83" i="18" s="1"/>
  <c r="AJ1208" i="15"/>
  <c r="P83" i="18" s="1"/>
  <c r="AI1208" i="15"/>
  <c r="Q83" i="18" s="1"/>
  <c r="AH1208" i="15"/>
  <c r="R83" i="18" s="1"/>
  <c r="AG1208" i="15"/>
  <c r="S83" i="18" s="1"/>
  <c r="AF1208" i="15"/>
  <c r="T83" i="18" s="1"/>
  <c r="AE1208" i="15"/>
  <c r="U83" i="18" s="1"/>
  <c r="AD1208" i="15"/>
  <c r="V83" i="18" s="1"/>
  <c r="AC1208" i="15"/>
  <c r="W83" i="18" s="1"/>
  <c r="AB1208" i="15"/>
  <c r="X83" i="18" s="1"/>
  <c r="AA1208" i="15"/>
  <c r="Y83" i="18" s="1"/>
  <c r="Z1208" i="15"/>
  <c r="Z83" i="18" s="1"/>
  <c r="Y1208" i="15"/>
  <c r="AA83" i="18" s="1"/>
  <c r="X1208" i="15"/>
  <c r="AB83" i="18" s="1"/>
  <c r="W1208" i="15"/>
  <c r="AC83" i="18" s="1"/>
  <c r="V1208" i="15"/>
  <c r="AD83" i="18" s="1"/>
  <c r="U1208" i="15"/>
  <c r="AE83" i="18" s="1"/>
  <c r="T1208" i="15"/>
  <c r="AF83" i="18" s="1"/>
  <c r="S1208" i="15"/>
  <c r="AG83" i="18" s="1"/>
  <c r="R1208" i="15"/>
  <c r="AH83" i="18" s="1"/>
  <c r="Q1208" i="15"/>
  <c r="AI83" i="18" s="1"/>
  <c r="P1208" i="15"/>
  <c r="O1208" i="15"/>
  <c r="N1208" i="15"/>
  <c r="AR1207" i="15"/>
  <c r="H81" i="18" s="1"/>
  <c r="AQ1207" i="15"/>
  <c r="I81" i="18" s="1"/>
  <c r="AP1207" i="15"/>
  <c r="J81" i="18" s="1"/>
  <c r="AO1207" i="15"/>
  <c r="K81" i="18" s="1"/>
  <c r="AN1207" i="15"/>
  <c r="L81" i="18" s="1"/>
  <c r="AM1207" i="15"/>
  <c r="M81" i="18" s="1"/>
  <c r="AL1207" i="15"/>
  <c r="N81" i="18" s="1"/>
  <c r="AK1207" i="15"/>
  <c r="O81" i="18" s="1"/>
  <c r="AJ1207" i="15"/>
  <c r="P81" i="18" s="1"/>
  <c r="AI1207" i="15"/>
  <c r="Q81" i="18" s="1"/>
  <c r="AH1207" i="15"/>
  <c r="R81" i="18" s="1"/>
  <c r="AG1207" i="15"/>
  <c r="S81" i="18" s="1"/>
  <c r="AF1207" i="15"/>
  <c r="T81" i="18" s="1"/>
  <c r="AE1207" i="15"/>
  <c r="U81" i="18" s="1"/>
  <c r="AD1207" i="15"/>
  <c r="V81" i="18" s="1"/>
  <c r="AC1207" i="15"/>
  <c r="W81" i="18" s="1"/>
  <c r="AB1207" i="15"/>
  <c r="X81" i="18" s="1"/>
  <c r="AA1207" i="15"/>
  <c r="Y81" i="18" s="1"/>
  <c r="Z1207" i="15"/>
  <c r="Z81" i="18" s="1"/>
  <c r="Y1207" i="15"/>
  <c r="AA81" i="18" s="1"/>
  <c r="X1207" i="15"/>
  <c r="AB81" i="18" s="1"/>
  <c r="W1207" i="15"/>
  <c r="AC81" i="18" s="1"/>
  <c r="V1207" i="15"/>
  <c r="AD81" i="18" s="1"/>
  <c r="U1207" i="15"/>
  <c r="AE81" i="18" s="1"/>
  <c r="T1207" i="15"/>
  <c r="AF81" i="18" s="1"/>
  <c r="S1207" i="15"/>
  <c r="AG81" i="18" s="1"/>
  <c r="R1207" i="15"/>
  <c r="Q1207" i="15"/>
  <c r="AI81" i="18" s="1"/>
  <c r="P1207" i="15"/>
  <c r="O1207" i="15"/>
  <c r="N1207" i="15"/>
  <c r="AL81" i="18" s="1"/>
  <c r="AR1206" i="15"/>
  <c r="H79" i="18" s="1"/>
  <c r="AQ1206" i="15"/>
  <c r="I79" i="18" s="1"/>
  <c r="AP1206" i="15"/>
  <c r="J79" i="18" s="1"/>
  <c r="AO1206" i="15"/>
  <c r="K79" i="18" s="1"/>
  <c r="AN1206" i="15"/>
  <c r="L79" i="18" s="1"/>
  <c r="AM1206" i="15"/>
  <c r="M79" i="18" s="1"/>
  <c r="AL1206" i="15"/>
  <c r="N79" i="18" s="1"/>
  <c r="AK1206" i="15"/>
  <c r="O79" i="18" s="1"/>
  <c r="AJ1206" i="15"/>
  <c r="P79" i="18" s="1"/>
  <c r="AI1206" i="15"/>
  <c r="Q79" i="18" s="1"/>
  <c r="AH1206" i="15"/>
  <c r="R79" i="18" s="1"/>
  <c r="AG1206" i="15"/>
  <c r="S79" i="18" s="1"/>
  <c r="AF1206" i="15"/>
  <c r="T79" i="18" s="1"/>
  <c r="AE1206" i="15"/>
  <c r="U79" i="18" s="1"/>
  <c r="AD1206" i="15"/>
  <c r="V79" i="18" s="1"/>
  <c r="AC1206" i="15"/>
  <c r="W79" i="18" s="1"/>
  <c r="AB1206" i="15"/>
  <c r="X79" i="18" s="1"/>
  <c r="AA1206" i="15"/>
  <c r="Y79" i="18" s="1"/>
  <c r="Z1206" i="15"/>
  <c r="Z79" i="18" s="1"/>
  <c r="Y1206" i="15"/>
  <c r="AA79" i="18" s="1"/>
  <c r="X1206" i="15"/>
  <c r="AB79" i="18" s="1"/>
  <c r="W1206" i="15"/>
  <c r="AC79" i="18" s="1"/>
  <c r="V1206" i="15"/>
  <c r="AD79" i="18" s="1"/>
  <c r="U1206" i="15"/>
  <c r="AE79" i="18" s="1"/>
  <c r="T1206" i="15"/>
  <c r="AF79" i="18" s="1"/>
  <c r="S1206" i="15"/>
  <c r="AG79" i="18" s="1"/>
  <c r="R1206" i="15"/>
  <c r="AH79" i="18" s="1"/>
  <c r="Q1206" i="15"/>
  <c r="P1206" i="15"/>
  <c r="O1206" i="15"/>
  <c r="AK79" i="18" s="1"/>
  <c r="N1206" i="15"/>
  <c r="AL79" i="18" s="1"/>
  <c r="AR1205" i="15"/>
  <c r="H77" i="18" s="1"/>
  <c r="AQ1205" i="15"/>
  <c r="I77" i="18" s="1"/>
  <c r="AP1205" i="15"/>
  <c r="J77" i="18" s="1"/>
  <c r="AO1205" i="15"/>
  <c r="K77" i="18" s="1"/>
  <c r="AN1205" i="15"/>
  <c r="L77" i="18" s="1"/>
  <c r="AM1205" i="15"/>
  <c r="M77" i="18" s="1"/>
  <c r="AL1205" i="15"/>
  <c r="N77" i="18" s="1"/>
  <c r="AK1205" i="15"/>
  <c r="O77" i="18" s="1"/>
  <c r="AJ1205" i="15"/>
  <c r="P77" i="18" s="1"/>
  <c r="AI1205" i="15"/>
  <c r="Q77" i="18" s="1"/>
  <c r="AH1205" i="15"/>
  <c r="R77" i="18" s="1"/>
  <c r="AG1205" i="15"/>
  <c r="S77" i="18" s="1"/>
  <c r="AF1205" i="15"/>
  <c r="T77" i="18" s="1"/>
  <c r="AE1205" i="15"/>
  <c r="U77" i="18" s="1"/>
  <c r="AD1205" i="15"/>
  <c r="V77" i="18" s="1"/>
  <c r="AC1205" i="15"/>
  <c r="W77" i="18" s="1"/>
  <c r="AB1205" i="15"/>
  <c r="X77" i="18" s="1"/>
  <c r="AA1205" i="15"/>
  <c r="Y77" i="18" s="1"/>
  <c r="Z1205" i="15"/>
  <c r="Z77" i="18" s="1"/>
  <c r="Y1205" i="15"/>
  <c r="AA77" i="18" s="1"/>
  <c r="X1205" i="15"/>
  <c r="AB77" i="18" s="1"/>
  <c r="W1205" i="15"/>
  <c r="AC77" i="18" s="1"/>
  <c r="V1205" i="15"/>
  <c r="AD77" i="18" s="1"/>
  <c r="U1205" i="15"/>
  <c r="AE77" i="18" s="1"/>
  <c r="T1205" i="15"/>
  <c r="AF77" i="18" s="1"/>
  <c r="S1205" i="15"/>
  <c r="AG77" i="18" s="1"/>
  <c r="R1205" i="15"/>
  <c r="AH77" i="18" s="1"/>
  <c r="Q1205" i="15"/>
  <c r="AI77" i="18" s="1"/>
  <c r="P1205" i="15"/>
  <c r="O1205" i="15"/>
  <c r="AK77" i="18" s="1"/>
  <c r="N1205" i="15"/>
  <c r="AR1204" i="15"/>
  <c r="H75" i="18" s="1"/>
  <c r="AQ1204" i="15"/>
  <c r="I75" i="18" s="1"/>
  <c r="AP1204" i="15"/>
  <c r="J75" i="18" s="1"/>
  <c r="AO1204" i="15"/>
  <c r="K75" i="18" s="1"/>
  <c r="AN1204" i="15"/>
  <c r="L75" i="18" s="1"/>
  <c r="AM1204" i="15"/>
  <c r="M75" i="18" s="1"/>
  <c r="AL1204" i="15"/>
  <c r="N75" i="18" s="1"/>
  <c r="AK1204" i="15"/>
  <c r="O75" i="18" s="1"/>
  <c r="AJ1204" i="15"/>
  <c r="P75" i="18" s="1"/>
  <c r="AI1204" i="15"/>
  <c r="Q75" i="18" s="1"/>
  <c r="AH1204" i="15"/>
  <c r="R75" i="18" s="1"/>
  <c r="AG1204" i="15"/>
  <c r="S75" i="18" s="1"/>
  <c r="AF1204" i="15"/>
  <c r="T75" i="18" s="1"/>
  <c r="AE1204" i="15"/>
  <c r="U75" i="18" s="1"/>
  <c r="AD1204" i="15"/>
  <c r="V75" i="18" s="1"/>
  <c r="AC1204" i="15"/>
  <c r="W75" i="18" s="1"/>
  <c r="AB1204" i="15"/>
  <c r="X75" i="18" s="1"/>
  <c r="AA1204" i="15"/>
  <c r="Y75" i="18" s="1"/>
  <c r="Z1204" i="15"/>
  <c r="Z75" i="18" s="1"/>
  <c r="Y1204" i="15"/>
  <c r="AA75" i="18" s="1"/>
  <c r="X1204" i="15"/>
  <c r="AB75" i="18" s="1"/>
  <c r="W1204" i="15"/>
  <c r="AC75" i="18" s="1"/>
  <c r="V1204" i="15"/>
  <c r="AD75" i="18" s="1"/>
  <c r="U1204" i="15"/>
  <c r="AE75" i="18" s="1"/>
  <c r="T1204" i="15"/>
  <c r="AF75" i="18" s="1"/>
  <c r="S1204" i="15"/>
  <c r="AG75" i="18" s="1"/>
  <c r="R1204" i="15"/>
  <c r="Q1204" i="15"/>
  <c r="AI75" i="18" s="1"/>
  <c r="P1204" i="15"/>
  <c r="O1204" i="15"/>
  <c r="AK75" i="18" s="1"/>
  <c r="N1204" i="15"/>
  <c r="N1239" i="15" s="1"/>
  <c r="AR1203" i="15"/>
  <c r="H73" i="18" s="1"/>
  <c r="AQ1203" i="15"/>
  <c r="I73" i="18" s="1"/>
  <c r="AP1203" i="15"/>
  <c r="J73" i="18" s="1"/>
  <c r="AO1203" i="15"/>
  <c r="K73" i="18" s="1"/>
  <c r="AN1203" i="15"/>
  <c r="L73" i="18" s="1"/>
  <c r="AM1203" i="15"/>
  <c r="M73" i="18" s="1"/>
  <c r="AL1203" i="15"/>
  <c r="N73" i="18" s="1"/>
  <c r="AK1203" i="15"/>
  <c r="O73" i="18" s="1"/>
  <c r="AJ1203" i="15"/>
  <c r="P73" i="18" s="1"/>
  <c r="AI1203" i="15"/>
  <c r="Q73" i="18" s="1"/>
  <c r="AH1203" i="15"/>
  <c r="R73" i="18" s="1"/>
  <c r="AG1203" i="15"/>
  <c r="S73" i="18" s="1"/>
  <c r="AF1203" i="15"/>
  <c r="T73" i="18" s="1"/>
  <c r="AE1203" i="15"/>
  <c r="U73" i="18" s="1"/>
  <c r="AD1203" i="15"/>
  <c r="V73" i="18" s="1"/>
  <c r="AC1203" i="15"/>
  <c r="W73" i="18" s="1"/>
  <c r="AB1203" i="15"/>
  <c r="X73" i="18" s="1"/>
  <c r="AA1203" i="15"/>
  <c r="Y73" i="18" s="1"/>
  <c r="Z1203" i="15"/>
  <c r="Z73" i="18" s="1"/>
  <c r="Y1203" i="15"/>
  <c r="AA73" i="18" s="1"/>
  <c r="X1203" i="15"/>
  <c r="AB73" i="18" s="1"/>
  <c r="W1203" i="15"/>
  <c r="AC73" i="18" s="1"/>
  <c r="V1203" i="15"/>
  <c r="AD73" i="18" s="1"/>
  <c r="U1203" i="15"/>
  <c r="AE73" i="18" s="1"/>
  <c r="T1203" i="15"/>
  <c r="AF73" i="18" s="1"/>
  <c r="S1203" i="15"/>
  <c r="AG73" i="18" s="1"/>
  <c r="R1203" i="15"/>
  <c r="AH73" i="18" s="1"/>
  <c r="Q1203" i="15"/>
  <c r="AI73" i="18" s="1"/>
  <c r="P1203" i="15"/>
  <c r="O1203" i="15"/>
  <c r="N1203" i="15"/>
  <c r="AR1202" i="15"/>
  <c r="H71" i="18" s="1"/>
  <c r="AQ1202" i="15"/>
  <c r="I71" i="18" s="1"/>
  <c r="AP1202" i="15"/>
  <c r="J71" i="18" s="1"/>
  <c r="AO1202" i="15"/>
  <c r="K71" i="18" s="1"/>
  <c r="AN1202" i="15"/>
  <c r="L71" i="18" s="1"/>
  <c r="AM1202" i="15"/>
  <c r="M71" i="18" s="1"/>
  <c r="AL1202" i="15"/>
  <c r="N71" i="18" s="1"/>
  <c r="AK1202" i="15"/>
  <c r="O71" i="18" s="1"/>
  <c r="AJ1202" i="15"/>
  <c r="P71" i="18" s="1"/>
  <c r="AI1202" i="15"/>
  <c r="Q71" i="18" s="1"/>
  <c r="AH1202" i="15"/>
  <c r="R71" i="18" s="1"/>
  <c r="AG1202" i="15"/>
  <c r="S71" i="18" s="1"/>
  <c r="AF1202" i="15"/>
  <c r="T71" i="18" s="1"/>
  <c r="AE1202" i="15"/>
  <c r="U71" i="18" s="1"/>
  <c r="AD1202" i="15"/>
  <c r="V71" i="18" s="1"/>
  <c r="AC1202" i="15"/>
  <c r="W71" i="18" s="1"/>
  <c r="AB1202" i="15"/>
  <c r="X71" i="18" s="1"/>
  <c r="AA1202" i="15"/>
  <c r="Y71" i="18" s="1"/>
  <c r="Z1202" i="15"/>
  <c r="Z71" i="18" s="1"/>
  <c r="Y1202" i="15"/>
  <c r="AA71" i="18" s="1"/>
  <c r="X1202" i="15"/>
  <c r="AB71" i="18" s="1"/>
  <c r="W1202" i="15"/>
  <c r="AC71" i="18" s="1"/>
  <c r="V1202" i="15"/>
  <c r="AD71" i="18" s="1"/>
  <c r="U1202" i="15"/>
  <c r="AE71" i="18" s="1"/>
  <c r="T1202" i="15"/>
  <c r="S1202" i="15"/>
  <c r="AG71" i="18" s="1"/>
  <c r="R1202" i="15"/>
  <c r="AH71" i="18" s="1"/>
  <c r="Q1202" i="15"/>
  <c r="AI71" i="18" s="1"/>
  <c r="P1202" i="15"/>
  <c r="O1202" i="15"/>
  <c r="AK71" i="18" s="1"/>
  <c r="N1202" i="15"/>
  <c r="AL71" i="18" s="1"/>
  <c r="AR1201" i="15"/>
  <c r="H69" i="18" s="1"/>
  <c r="AQ1201" i="15"/>
  <c r="I69" i="18" s="1"/>
  <c r="AP1201" i="15"/>
  <c r="J69" i="18" s="1"/>
  <c r="AO1201" i="15"/>
  <c r="K69" i="18" s="1"/>
  <c r="AN1201" i="15"/>
  <c r="L69" i="18" s="1"/>
  <c r="AM1201" i="15"/>
  <c r="M69" i="18" s="1"/>
  <c r="AL1201" i="15"/>
  <c r="N69" i="18" s="1"/>
  <c r="AK1201" i="15"/>
  <c r="O69" i="18" s="1"/>
  <c r="AJ1201" i="15"/>
  <c r="P69" i="18" s="1"/>
  <c r="AI1201" i="15"/>
  <c r="Q69" i="18" s="1"/>
  <c r="AH1201" i="15"/>
  <c r="R69" i="18" s="1"/>
  <c r="AG1201" i="15"/>
  <c r="S69" i="18" s="1"/>
  <c r="AF1201" i="15"/>
  <c r="T69" i="18" s="1"/>
  <c r="AE1201" i="15"/>
  <c r="U69" i="18" s="1"/>
  <c r="AD1201" i="15"/>
  <c r="V69" i="18" s="1"/>
  <c r="AC1201" i="15"/>
  <c r="W69" i="18" s="1"/>
  <c r="AB1201" i="15"/>
  <c r="X69" i="18" s="1"/>
  <c r="AA1201" i="15"/>
  <c r="Y69" i="18" s="1"/>
  <c r="Z1201" i="15"/>
  <c r="Z69" i="18" s="1"/>
  <c r="Y1201" i="15"/>
  <c r="AA69" i="18" s="1"/>
  <c r="X1201" i="15"/>
  <c r="AB69" i="18" s="1"/>
  <c r="W1201" i="15"/>
  <c r="AC69" i="18" s="1"/>
  <c r="V1201" i="15"/>
  <c r="AD69" i="18" s="1"/>
  <c r="U1201" i="15"/>
  <c r="AE69" i="18" s="1"/>
  <c r="T1201" i="15"/>
  <c r="AF69" i="18" s="1"/>
  <c r="S1201" i="15"/>
  <c r="AG69" i="18" s="1"/>
  <c r="R1201" i="15"/>
  <c r="AH69" i="18" s="1"/>
  <c r="Q1201" i="15"/>
  <c r="AI69" i="18" s="1"/>
  <c r="P1201" i="15"/>
  <c r="O1201" i="15"/>
  <c r="AK69" i="18" s="1"/>
  <c r="N1201" i="15"/>
  <c r="I172" i="15"/>
  <c r="H68" i="18"/>
  <c r="AR1212" i="15"/>
  <c r="AR1213" i="15" s="1"/>
  <c r="AQ1212" i="15"/>
  <c r="AQ1213" i="15" s="1"/>
  <c r="AP1212" i="15"/>
  <c r="AP1213" i="15" s="1"/>
  <c r="AO1212" i="15"/>
  <c r="AO1213" i="15" s="1"/>
  <c r="AN1212" i="15"/>
  <c r="AN1213" i="15" s="1"/>
  <c r="AM1212" i="15"/>
  <c r="AM1213" i="15" s="1"/>
  <c r="AL1212" i="15"/>
  <c r="AL1213" i="15" s="1"/>
  <c r="AK1212" i="15"/>
  <c r="AK1213" i="15" s="1"/>
  <c r="AJ1212" i="15"/>
  <c r="AJ1213" i="15" s="1"/>
  <c r="AI1212" i="15"/>
  <c r="AI1213" i="15" s="1"/>
  <c r="AH1212" i="15"/>
  <c r="AH1213" i="15" s="1"/>
  <c r="AG1212" i="15"/>
  <c r="AG1213" i="15" s="1"/>
  <c r="AF1212" i="15"/>
  <c r="AF1213" i="15" s="1"/>
  <c r="AE1212" i="15"/>
  <c r="AE1213" i="15" s="1"/>
  <c r="AD1212" i="15"/>
  <c r="AD1213" i="15" s="1"/>
  <c r="AC1212" i="15"/>
  <c r="AC1213" i="15" s="1"/>
  <c r="AB1212" i="15"/>
  <c r="AB1213" i="15" s="1"/>
  <c r="AA1212" i="15"/>
  <c r="AA1213" i="15" s="1"/>
  <c r="Z1212" i="15"/>
  <c r="Z1213" i="15" s="1"/>
  <c r="Y1212" i="15"/>
  <c r="Y1213" i="15" s="1"/>
  <c r="X1212" i="15"/>
  <c r="X1213" i="15" s="1"/>
  <c r="W1212" i="15"/>
  <c r="W1213" i="15" s="1"/>
  <c r="V1212" i="15"/>
  <c r="V1213" i="15" s="1"/>
  <c r="U1212" i="15"/>
  <c r="U1213" i="15" s="1"/>
  <c r="T1212" i="15"/>
  <c r="T1213" i="15" s="1"/>
  <c r="S1212" i="15"/>
  <c r="S1213" i="15" s="1"/>
  <c r="R1212" i="15"/>
  <c r="R1213" i="15" s="1"/>
  <c r="Q1212" i="15"/>
  <c r="Q1213" i="15" s="1"/>
  <c r="P1212" i="15"/>
  <c r="P1213" i="15" s="1"/>
  <c r="O1212" i="15"/>
  <c r="O1213" i="15" s="1"/>
  <c r="N1212" i="15"/>
  <c r="N1213" i="15" s="1"/>
  <c r="B1244" i="15"/>
  <c r="B1243" i="15"/>
  <c r="B1242" i="15"/>
  <c r="B1241" i="15"/>
  <c r="B1240" i="15"/>
  <c r="B1239" i="15"/>
  <c r="B1238" i="15"/>
  <c r="B1237" i="15"/>
  <c r="B1236" i="15"/>
  <c r="AL87" i="18"/>
  <c r="AK87" i="18"/>
  <c r="AJ87" i="18"/>
  <c r="AI87" i="18"/>
  <c r="AH87" i="18"/>
  <c r="AG87" i="18"/>
  <c r="AF87" i="18"/>
  <c r="AE87" i="18"/>
  <c r="AD87" i="18"/>
  <c r="AC87" i="18"/>
  <c r="AB87" i="18"/>
  <c r="AA87" i="18"/>
  <c r="Z87" i="18"/>
  <c r="Y87" i="18"/>
  <c r="X87" i="18"/>
  <c r="W87" i="18"/>
  <c r="V87" i="18"/>
  <c r="U87" i="18"/>
  <c r="T87" i="18"/>
  <c r="S87" i="18"/>
  <c r="R87" i="18"/>
  <c r="Q87" i="18"/>
  <c r="P87" i="18"/>
  <c r="O87" i="18"/>
  <c r="N87" i="18"/>
  <c r="L87" i="18"/>
  <c r="J87" i="18"/>
  <c r="I87" i="18"/>
  <c r="H87" i="18"/>
  <c r="AL86" i="18"/>
  <c r="AK86" i="18"/>
  <c r="AJ86" i="18"/>
  <c r="AI86" i="18"/>
  <c r="AH86" i="18"/>
  <c r="AG86" i="18"/>
  <c r="AF86" i="18"/>
  <c r="AE86" i="18"/>
  <c r="AD86" i="18"/>
  <c r="AC86" i="18"/>
  <c r="AB86" i="18"/>
  <c r="AA86" i="18"/>
  <c r="Z86" i="18"/>
  <c r="Y86" i="18"/>
  <c r="X86" i="18"/>
  <c r="W86" i="18"/>
  <c r="V86" i="18"/>
  <c r="U86" i="18"/>
  <c r="T86" i="18"/>
  <c r="S86" i="18"/>
  <c r="R86" i="18"/>
  <c r="Q86" i="18"/>
  <c r="P86" i="18"/>
  <c r="O86" i="18"/>
  <c r="N86" i="18"/>
  <c r="M86" i="18"/>
  <c r="L86" i="18"/>
  <c r="K86" i="18"/>
  <c r="J86" i="18"/>
  <c r="I86" i="18"/>
  <c r="H86" i="18"/>
  <c r="AP85" i="18"/>
  <c r="C85" i="18"/>
  <c r="AL84" i="18"/>
  <c r="AK84" i="18"/>
  <c r="AJ84" i="18"/>
  <c r="AI84" i="18"/>
  <c r="AH84" i="18"/>
  <c r="AG84" i="18"/>
  <c r="AF84" i="18"/>
  <c r="AE84" i="18"/>
  <c r="AD84" i="18"/>
  <c r="AC84" i="18"/>
  <c r="AB84" i="18"/>
  <c r="AA84" i="18"/>
  <c r="Z84" i="18"/>
  <c r="Y84" i="18"/>
  <c r="X84" i="18"/>
  <c r="W84" i="18"/>
  <c r="V84" i="18"/>
  <c r="U84" i="18"/>
  <c r="T84" i="18"/>
  <c r="S84" i="18"/>
  <c r="R84" i="18"/>
  <c r="Q84" i="18"/>
  <c r="P84" i="18"/>
  <c r="O84" i="18"/>
  <c r="N84" i="18"/>
  <c r="M84" i="18"/>
  <c r="L84" i="18"/>
  <c r="K84" i="18"/>
  <c r="J84" i="18"/>
  <c r="I84" i="18"/>
  <c r="H84" i="18"/>
  <c r="AP83" i="18"/>
  <c r="C83" i="18"/>
  <c r="AL82" i="18"/>
  <c r="AK82" i="18"/>
  <c r="AJ82" i="18"/>
  <c r="AI82" i="18"/>
  <c r="AH82" i="18"/>
  <c r="AG82" i="18"/>
  <c r="AF82" i="18"/>
  <c r="AE82" i="18"/>
  <c r="AD82" i="18"/>
  <c r="AC82" i="18"/>
  <c r="AB82" i="18"/>
  <c r="AA82" i="18"/>
  <c r="Z82" i="18"/>
  <c r="Y82" i="18"/>
  <c r="X82" i="18"/>
  <c r="W82" i="18"/>
  <c r="V82" i="18"/>
  <c r="U82" i="18"/>
  <c r="T82" i="18"/>
  <c r="S82" i="18"/>
  <c r="R82" i="18"/>
  <c r="Q82" i="18"/>
  <c r="P82" i="18"/>
  <c r="O82" i="18"/>
  <c r="N82" i="18"/>
  <c r="M82" i="18"/>
  <c r="L82" i="18"/>
  <c r="K82" i="18"/>
  <c r="J82" i="18"/>
  <c r="I82" i="18"/>
  <c r="H82" i="18"/>
  <c r="AP81" i="18"/>
  <c r="C81" i="18"/>
  <c r="AL80" i="18"/>
  <c r="AK80" i="18"/>
  <c r="AJ80" i="18"/>
  <c r="AI80" i="18"/>
  <c r="AH80" i="18"/>
  <c r="AG80" i="18"/>
  <c r="AF80" i="18"/>
  <c r="AE80" i="18"/>
  <c r="AD80" i="18"/>
  <c r="AC80" i="18"/>
  <c r="AB80" i="18"/>
  <c r="AA80" i="18"/>
  <c r="Z80" i="18"/>
  <c r="Y80" i="18"/>
  <c r="X80" i="18"/>
  <c r="W80" i="18"/>
  <c r="V80" i="18"/>
  <c r="U80" i="18"/>
  <c r="T80" i="18"/>
  <c r="S80" i="18"/>
  <c r="R80" i="18"/>
  <c r="Q80" i="18"/>
  <c r="P80" i="18"/>
  <c r="O80" i="18"/>
  <c r="N80" i="18"/>
  <c r="M80" i="18"/>
  <c r="L80" i="18"/>
  <c r="K80" i="18"/>
  <c r="J80" i="18"/>
  <c r="I80" i="18"/>
  <c r="H80" i="18"/>
  <c r="AP79" i="18"/>
  <c r="C79" i="18"/>
  <c r="AL78" i="18"/>
  <c r="AK78" i="18"/>
  <c r="AJ78" i="18"/>
  <c r="AI78" i="18"/>
  <c r="AH78" i="18"/>
  <c r="AG78" i="18"/>
  <c r="AF78" i="18"/>
  <c r="AE78" i="18"/>
  <c r="AD78" i="18"/>
  <c r="AC78" i="18"/>
  <c r="AB78" i="18"/>
  <c r="AA78" i="18"/>
  <c r="Z78" i="18"/>
  <c r="Y78" i="18"/>
  <c r="X78" i="18"/>
  <c r="W78" i="18"/>
  <c r="V78" i="18"/>
  <c r="U78" i="18"/>
  <c r="T78" i="18"/>
  <c r="S78" i="18"/>
  <c r="R78" i="18"/>
  <c r="Q78" i="18"/>
  <c r="P78" i="18"/>
  <c r="O78" i="18"/>
  <c r="N78" i="18"/>
  <c r="M78" i="18"/>
  <c r="L78" i="18"/>
  <c r="K78" i="18"/>
  <c r="J78" i="18"/>
  <c r="I78" i="18"/>
  <c r="H78" i="18"/>
  <c r="AP77" i="18"/>
  <c r="C77" i="18"/>
  <c r="AL76" i="18"/>
  <c r="AK76" i="18"/>
  <c r="AJ76" i="18"/>
  <c r="AI76" i="18"/>
  <c r="AH76" i="18"/>
  <c r="AG76" i="18"/>
  <c r="AF76" i="18"/>
  <c r="AE76" i="18"/>
  <c r="AD76" i="18"/>
  <c r="AC76" i="18"/>
  <c r="AB76" i="18"/>
  <c r="AA76" i="18"/>
  <c r="Z76" i="18"/>
  <c r="Y76" i="18"/>
  <c r="X76" i="18"/>
  <c r="W76" i="18"/>
  <c r="V76" i="18"/>
  <c r="U76" i="18"/>
  <c r="T76" i="18"/>
  <c r="S76" i="18"/>
  <c r="R76" i="18"/>
  <c r="Q76" i="18"/>
  <c r="P76" i="18"/>
  <c r="O76" i="18"/>
  <c r="N76" i="18"/>
  <c r="M76" i="18"/>
  <c r="L76" i="18"/>
  <c r="K76" i="18"/>
  <c r="J76" i="18"/>
  <c r="I76" i="18"/>
  <c r="H76" i="18"/>
  <c r="AP75" i="18"/>
  <c r="C75" i="18"/>
  <c r="AL74" i="18"/>
  <c r="AK74" i="18"/>
  <c r="AJ74" i="18"/>
  <c r="AI74" i="18"/>
  <c r="AH74" i="18"/>
  <c r="AG74" i="18"/>
  <c r="AF74" i="18"/>
  <c r="AE74" i="18"/>
  <c r="AD74" i="18"/>
  <c r="AC74" i="18"/>
  <c r="AB74" i="18"/>
  <c r="AA74" i="18"/>
  <c r="Z74" i="18"/>
  <c r="Y74" i="18"/>
  <c r="X74" i="18"/>
  <c r="W74" i="18"/>
  <c r="V74" i="18"/>
  <c r="U74" i="18"/>
  <c r="T74" i="18"/>
  <c r="S74" i="18"/>
  <c r="R74" i="18"/>
  <c r="Q74" i="18"/>
  <c r="P74" i="18"/>
  <c r="O74" i="18"/>
  <c r="N74" i="18"/>
  <c r="M74" i="18"/>
  <c r="L74" i="18"/>
  <c r="K74" i="18"/>
  <c r="J74" i="18"/>
  <c r="I74" i="18"/>
  <c r="H74" i="18"/>
  <c r="AP73" i="18"/>
  <c r="C73" i="18"/>
  <c r="AL72" i="18"/>
  <c r="AK72" i="18"/>
  <c r="AJ72" i="18"/>
  <c r="AI72" i="18"/>
  <c r="AH72" i="18"/>
  <c r="AG72" i="18"/>
  <c r="AF72" i="18"/>
  <c r="AE72" i="18"/>
  <c r="AD72" i="18"/>
  <c r="AC72" i="18"/>
  <c r="AB72" i="18"/>
  <c r="AA72" i="18"/>
  <c r="Z72" i="18"/>
  <c r="Y72" i="18"/>
  <c r="X72" i="18"/>
  <c r="W72" i="18"/>
  <c r="V72" i="18"/>
  <c r="U72" i="18"/>
  <c r="T72" i="18"/>
  <c r="S72" i="18"/>
  <c r="R72" i="18"/>
  <c r="Q72" i="18"/>
  <c r="P72" i="18"/>
  <c r="O72" i="18"/>
  <c r="N72" i="18"/>
  <c r="M72" i="18"/>
  <c r="L72" i="18"/>
  <c r="K72" i="18"/>
  <c r="J72" i="18"/>
  <c r="I72" i="18"/>
  <c r="H72" i="18"/>
  <c r="AP71" i="18"/>
  <c r="C71" i="18"/>
  <c r="AL70" i="18"/>
  <c r="AK70" i="18"/>
  <c r="AJ70" i="18"/>
  <c r="AI70" i="18"/>
  <c r="AH70" i="18"/>
  <c r="AG70" i="18"/>
  <c r="AF70" i="18"/>
  <c r="AE70" i="18"/>
  <c r="AD70" i="18"/>
  <c r="AC70" i="18"/>
  <c r="AB70" i="18"/>
  <c r="AA70" i="18"/>
  <c r="Z70" i="18"/>
  <c r="Y70" i="18"/>
  <c r="X70" i="18"/>
  <c r="W70" i="18"/>
  <c r="V70" i="18"/>
  <c r="U70" i="18"/>
  <c r="T70" i="18"/>
  <c r="S70" i="18"/>
  <c r="R70" i="18"/>
  <c r="Q70" i="18"/>
  <c r="P70" i="18"/>
  <c r="O70" i="18"/>
  <c r="N70" i="18"/>
  <c r="M70" i="18"/>
  <c r="L70" i="18"/>
  <c r="K70" i="18"/>
  <c r="J70" i="18"/>
  <c r="I70" i="18"/>
  <c r="H70" i="18"/>
  <c r="AP69" i="18"/>
  <c r="C69" i="18"/>
  <c r="J1186" i="15"/>
  <c r="J565" i="15"/>
  <c r="J583" i="15"/>
  <c r="J576" i="15"/>
  <c r="J578" i="15"/>
  <c r="J1181" i="15"/>
  <c r="J584" i="15"/>
  <c r="J586" i="15"/>
  <c r="J561" i="15"/>
  <c r="J1162" i="15"/>
  <c r="J1166" i="15"/>
  <c r="J1168" i="15"/>
  <c r="J1178" i="15"/>
  <c r="J1180" i="15"/>
  <c r="J1176" i="15"/>
  <c r="J1184" i="15"/>
  <c r="L1201" i="15"/>
  <c r="AU70" i="18" s="1"/>
  <c r="L1209" i="15"/>
  <c r="AV86" i="18" s="1"/>
  <c r="L1208" i="15"/>
  <c r="AX84" i="18" s="1"/>
  <c r="L1207" i="15"/>
  <c r="AX82" i="18" s="1"/>
  <c r="L1206" i="15"/>
  <c r="AX80" i="18" s="1"/>
  <c r="L1205" i="15"/>
  <c r="AX78" i="18" s="1"/>
  <c r="L1204" i="15"/>
  <c r="AU76" i="18" s="1"/>
  <c r="L1203" i="15"/>
  <c r="AU74" i="18" s="1"/>
  <c r="L1202" i="15"/>
  <c r="AV72" i="18" s="1"/>
  <c r="J1187" i="15"/>
  <c r="J1185" i="15"/>
  <c r="J1183" i="15"/>
  <c r="J1182" i="15"/>
  <c r="J1179" i="15"/>
  <c r="J1177" i="15"/>
  <c r="J1175" i="15"/>
  <c r="J1174" i="15"/>
  <c r="J1173" i="15"/>
  <c r="J1172" i="15"/>
  <c r="J1171" i="15"/>
  <c r="J1170" i="15"/>
  <c r="J1169" i="15"/>
  <c r="J1167" i="15"/>
  <c r="J1165" i="15"/>
  <c r="J1164" i="15"/>
  <c r="J1163" i="15"/>
  <c r="J1161" i="15"/>
  <c r="J1160" i="15"/>
  <c r="J1159" i="15"/>
  <c r="J1158" i="15"/>
  <c r="J1157" i="15"/>
  <c r="J1156" i="15"/>
  <c r="J1155" i="15"/>
  <c r="J1154" i="15"/>
  <c r="J1153" i="15"/>
  <c r="J1152" i="15"/>
  <c r="J1151" i="15"/>
  <c r="J1150" i="15"/>
  <c r="J1149" i="15"/>
  <c r="J1148" i="15"/>
  <c r="J1147" i="15"/>
  <c r="J1146" i="15"/>
  <c r="J1145" i="15"/>
  <c r="J1144" i="15"/>
  <c r="J1143" i="15"/>
  <c r="J1142" i="15"/>
  <c r="J1141" i="15"/>
  <c r="J1140" i="15"/>
  <c r="J1139" i="15"/>
  <c r="J1138" i="15"/>
  <c r="J1137" i="15"/>
  <c r="J1136" i="15"/>
  <c r="J1135" i="15"/>
  <c r="J1134" i="15"/>
  <c r="J1133" i="15"/>
  <c r="J1132" i="15"/>
  <c r="J1131" i="15"/>
  <c r="J1130" i="15"/>
  <c r="J1129" i="15"/>
  <c r="J1128" i="15"/>
  <c r="J1127" i="15"/>
  <c r="J1126" i="15"/>
  <c r="J1125" i="15"/>
  <c r="J1124" i="15"/>
  <c r="J1123" i="15"/>
  <c r="J1122" i="15"/>
  <c r="J1121" i="15"/>
  <c r="J1120" i="15"/>
  <c r="J1119" i="15"/>
  <c r="J1118" i="15"/>
  <c r="J1117" i="15"/>
  <c r="J1116" i="15"/>
  <c r="J1115" i="15"/>
  <c r="J1114" i="15"/>
  <c r="J1113" i="15"/>
  <c r="J1112" i="15"/>
  <c r="J1111" i="15"/>
  <c r="J1110" i="15"/>
  <c r="J1109" i="15"/>
  <c r="J1108" i="15"/>
  <c r="J1107" i="15"/>
  <c r="J1106" i="15"/>
  <c r="J1105" i="15"/>
  <c r="J1104" i="15"/>
  <c r="J1103" i="15"/>
  <c r="J1102" i="15"/>
  <c r="J1101" i="15"/>
  <c r="J1100" i="15"/>
  <c r="J1099" i="15"/>
  <c r="J1098" i="15"/>
  <c r="J1097" i="15"/>
  <c r="J1096" i="15"/>
  <c r="J1095" i="15"/>
  <c r="J1094" i="15"/>
  <c r="J1093" i="15"/>
  <c r="J1092" i="15"/>
  <c r="J1091" i="15"/>
  <c r="J1090" i="15"/>
  <c r="J1089" i="15"/>
  <c r="J1088" i="15"/>
  <c r="J1087" i="15"/>
  <c r="J1086" i="15"/>
  <c r="J1085" i="15"/>
  <c r="J1084" i="15"/>
  <c r="J1083" i="15"/>
  <c r="J1082" i="15"/>
  <c r="J1081" i="15"/>
  <c r="J1080" i="15"/>
  <c r="J1079" i="15"/>
  <c r="J1078" i="15"/>
  <c r="J1077" i="15"/>
  <c r="J1076" i="15"/>
  <c r="J1075" i="15"/>
  <c r="J1074" i="15"/>
  <c r="J1073" i="15"/>
  <c r="J1072" i="15"/>
  <c r="J1071" i="15"/>
  <c r="J1070" i="15"/>
  <c r="J1069" i="15"/>
  <c r="J1068" i="15"/>
  <c r="J1067" i="15"/>
  <c r="J1066" i="15"/>
  <c r="J1065" i="15"/>
  <c r="J1064" i="15"/>
  <c r="J1063" i="15"/>
  <c r="J1062" i="15"/>
  <c r="J1061" i="15"/>
  <c r="J1060" i="15"/>
  <c r="J1059" i="15"/>
  <c r="J1058" i="15"/>
  <c r="J1057" i="15"/>
  <c r="J1056" i="15"/>
  <c r="J1055" i="15"/>
  <c r="J1054" i="15"/>
  <c r="J1053" i="15"/>
  <c r="J1052" i="15"/>
  <c r="J1051" i="15"/>
  <c r="J1050" i="15"/>
  <c r="J1049" i="15"/>
  <c r="J1048" i="15"/>
  <c r="J1047" i="15"/>
  <c r="J1046" i="15"/>
  <c r="J1045" i="15"/>
  <c r="J1044" i="15"/>
  <c r="J1043" i="15"/>
  <c r="J1042" i="15"/>
  <c r="J1041" i="15"/>
  <c r="J1040" i="15"/>
  <c r="J1039" i="15"/>
  <c r="J1038" i="15"/>
  <c r="J1037" i="15"/>
  <c r="J1036" i="15"/>
  <c r="J1035" i="15"/>
  <c r="J1034" i="15"/>
  <c r="J1033" i="15"/>
  <c r="J1032" i="15"/>
  <c r="J1031" i="15"/>
  <c r="J1030" i="15"/>
  <c r="J1029" i="15"/>
  <c r="J1028" i="15"/>
  <c r="J1027" i="15"/>
  <c r="J1026" i="15"/>
  <c r="J1025" i="15"/>
  <c r="J1024" i="15"/>
  <c r="J1023" i="15"/>
  <c r="J1022" i="15"/>
  <c r="J1021" i="15"/>
  <c r="J1020" i="15"/>
  <c r="J1019" i="15"/>
  <c r="J1018" i="15"/>
  <c r="J1017" i="15"/>
  <c r="J1016" i="15"/>
  <c r="J1015" i="15"/>
  <c r="J1014" i="15"/>
  <c r="J1013" i="15"/>
  <c r="J1012" i="15"/>
  <c r="J1011" i="15"/>
  <c r="J1010" i="15"/>
  <c r="J1009" i="15"/>
  <c r="J1008" i="15"/>
  <c r="J1007" i="15"/>
  <c r="J1006" i="15"/>
  <c r="J1005" i="15"/>
  <c r="J1004" i="15"/>
  <c r="J1003" i="15"/>
  <c r="J1002" i="15"/>
  <c r="J1001" i="15"/>
  <c r="J1000" i="15"/>
  <c r="J999" i="15"/>
  <c r="J998" i="15"/>
  <c r="J997" i="15"/>
  <c r="J996" i="15"/>
  <c r="J995" i="15"/>
  <c r="J994" i="15"/>
  <c r="J993" i="15"/>
  <c r="J992" i="15"/>
  <c r="J991" i="15"/>
  <c r="J990" i="15"/>
  <c r="J989" i="15"/>
  <c r="J988" i="15"/>
  <c r="J987" i="15"/>
  <c r="J986" i="15"/>
  <c r="J985" i="15"/>
  <c r="J984" i="15"/>
  <c r="J983" i="15"/>
  <c r="J982" i="15"/>
  <c r="J981" i="15"/>
  <c r="J980" i="15"/>
  <c r="J979" i="15"/>
  <c r="J978" i="15"/>
  <c r="J977" i="15"/>
  <c r="J976" i="15"/>
  <c r="J975" i="15"/>
  <c r="J974" i="15"/>
  <c r="J973" i="15"/>
  <c r="J972" i="15"/>
  <c r="J971" i="15"/>
  <c r="J970" i="15"/>
  <c r="J969" i="15"/>
  <c r="J968" i="15"/>
  <c r="J967" i="15"/>
  <c r="J966" i="15"/>
  <c r="J965" i="15"/>
  <c r="J964" i="15"/>
  <c r="J963" i="15"/>
  <c r="J962" i="15"/>
  <c r="J961" i="15"/>
  <c r="J960" i="15"/>
  <c r="J959" i="15"/>
  <c r="J958" i="15"/>
  <c r="J957" i="15"/>
  <c r="J956" i="15"/>
  <c r="J955" i="15"/>
  <c r="J954" i="15"/>
  <c r="J953" i="15"/>
  <c r="J952" i="15"/>
  <c r="J951" i="15"/>
  <c r="J950" i="15"/>
  <c r="J949" i="15"/>
  <c r="J948" i="15"/>
  <c r="J947" i="15"/>
  <c r="J946" i="15"/>
  <c r="J945" i="15"/>
  <c r="J944" i="15"/>
  <c r="J943" i="15"/>
  <c r="J942" i="15"/>
  <c r="J941" i="15"/>
  <c r="J940" i="15"/>
  <c r="J939" i="15"/>
  <c r="J938" i="15"/>
  <c r="J937" i="15"/>
  <c r="J936" i="15"/>
  <c r="J935" i="15"/>
  <c r="J934" i="15"/>
  <c r="J933" i="15"/>
  <c r="J932" i="15"/>
  <c r="J931" i="15"/>
  <c r="J930" i="15"/>
  <c r="J929" i="15"/>
  <c r="J928" i="15"/>
  <c r="J927" i="15"/>
  <c r="J926" i="15"/>
  <c r="J925" i="15"/>
  <c r="J924" i="15"/>
  <c r="J923" i="15"/>
  <c r="J922" i="15"/>
  <c r="J921" i="15"/>
  <c r="J920" i="15"/>
  <c r="J919" i="15"/>
  <c r="J918" i="15"/>
  <c r="J917" i="15"/>
  <c r="J916" i="15"/>
  <c r="J915" i="15"/>
  <c r="J914" i="15"/>
  <c r="J913" i="15"/>
  <c r="J912" i="15"/>
  <c r="J911" i="15"/>
  <c r="J910" i="15"/>
  <c r="J909" i="15"/>
  <c r="J908" i="15"/>
  <c r="J907" i="15"/>
  <c r="J906" i="15"/>
  <c r="J905" i="15"/>
  <c r="J904" i="15"/>
  <c r="J903" i="15"/>
  <c r="J902" i="15"/>
  <c r="J901" i="15"/>
  <c r="J900" i="15"/>
  <c r="J899" i="15"/>
  <c r="J898" i="15"/>
  <c r="J897" i="15"/>
  <c r="J896" i="15"/>
  <c r="J895" i="15"/>
  <c r="J894" i="15"/>
  <c r="J893" i="15"/>
  <c r="J892" i="15"/>
  <c r="J891" i="15"/>
  <c r="J890" i="15"/>
  <c r="J889" i="15"/>
  <c r="J888" i="15"/>
  <c r="J887" i="15"/>
  <c r="J886" i="15"/>
  <c r="J885" i="15"/>
  <c r="J884" i="15"/>
  <c r="J883" i="15"/>
  <c r="J882" i="15"/>
  <c r="J881" i="15"/>
  <c r="J880" i="15"/>
  <c r="J879" i="15"/>
  <c r="J878" i="15"/>
  <c r="J877" i="15"/>
  <c r="J876" i="15"/>
  <c r="J875" i="15"/>
  <c r="J874" i="15"/>
  <c r="J873" i="15"/>
  <c r="J872" i="15"/>
  <c r="J871" i="15"/>
  <c r="J870" i="15"/>
  <c r="J869" i="15"/>
  <c r="J868" i="15"/>
  <c r="J867" i="15"/>
  <c r="J866" i="15"/>
  <c r="J865" i="15"/>
  <c r="J864" i="15"/>
  <c r="J863" i="15"/>
  <c r="J862" i="15"/>
  <c r="J861" i="15"/>
  <c r="J860" i="15"/>
  <c r="J859" i="15"/>
  <c r="J858" i="15"/>
  <c r="J857" i="15"/>
  <c r="J856" i="15"/>
  <c r="J855" i="15"/>
  <c r="J854" i="15"/>
  <c r="J853" i="15"/>
  <c r="J852" i="15"/>
  <c r="J851" i="15"/>
  <c r="J850" i="15"/>
  <c r="J849" i="15"/>
  <c r="J848" i="15"/>
  <c r="J847" i="15"/>
  <c r="J846" i="15"/>
  <c r="J845" i="15"/>
  <c r="J844" i="15"/>
  <c r="J843" i="15"/>
  <c r="J842" i="15"/>
  <c r="J841" i="15"/>
  <c r="J840" i="15"/>
  <c r="J839" i="15"/>
  <c r="J838" i="15"/>
  <c r="J837" i="15"/>
  <c r="J836" i="15"/>
  <c r="J835" i="15"/>
  <c r="J834" i="15"/>
  <c r="J833" i="15"/>
  <c r="J832" i="15"/>
  <c r="J831" i="15"/>
  <c r="J830" i="15"/>
  <c r="J829" i="15"/>
  <c r="J828" i="15"/>
  <c r="J827" i="15"/>
  <c r="J826" i="15"/>
  <c r="J825" i="15"/>
  <c r="J824" i="15"/>
  <c r="J823" i="15"/>
  <c r="J822" i="15"/>
  <c r="J821" i="15"/>
  <c r="J820" i="15"/>
  <c r="J819" i="15"/>
  <c r="J818" i="15"/>
  <c r="J817" i="15"/>
  <c r="J816" i="15"/>
  <c r="J815" i="15"/>
  <c r="J814" i="15"/>
  <c r="J813" i="15"/>
  <c r="J812" i="15"/>
  <c r="J811" i="15"/>
  <c r="J810" i="15"/>
  <c r="J809" i="15"/>
  <c r="J808" i="15"/>
  <c r="J807" i="15"/>
  <c r="J806" i="15"/>
  <c r="J805" i="15"/>
  <c r="J804" i="15"/>
  <c r="J803" i="15"/>
  <c r="J802" i="15"/>
  <c r="J801" i="15"/>
  <c r="J800" i="15"/>
  <c r="J799" i="15"/>
  <c r="J798" i="15"/>
  <c r="J797" i="15"/>
  <c r="J796" i="15"/>
  <c r="J795" i="15"/>
  <c r="J794" i="15"/>
  <c r="J793" i="15"/>
  <c r="J792" i="15"/>
  <c r="J791" i="15"/>
  <c r="J790" i="15"/>
  <c r="J789" i="15"/>
  <c r="J788" i="15"/>
  <c r="J787" i="15"/>
  <c r="J786" i="15"/>
  <c r="J785" i="15"/>
  <c r="J784" i="15"/>
  <c r="J783" i="15"/>
  <c r="J782" i="15"/>
  <c r="J781" i="15"/>
  <c r="J780" i="15"/>
  <c r="J779" i="15"/>
  <c r="J778" i="15"/>
  <c r="J777" i="15"/>
  <c r="J776" i="15"/>
  <c r="J775" i="15"/>
  <c r="J774" i="15"/>
  <c r="J773" i="15"/>
  <c r="J772" i="15"/>
  <c r="J771" i="15"/>
  <c r="J770" i="15"/>
  <c r="J769" i="15"/>
  <c r="J768" i="15"/>
  <c r="J767" i="15"/>
  <c r="J766" i="15"/>
  <c r="J765" i="15"/>
  <c r="J764" i="15"/>
  <c r="J763" i="15"/>
  <c r="J762" i="15"/>
  <c r="J761" i="15"/>
  <c r="J760" i="15"/>
  <c r="J759" i="15"/>
  <c r="J758" i="15"/>
  <c r="J757" i="15"/>
  <c r="J756" i="15"/>
  <c r="J755" i="15"/>
  <c r="J754" i="15"/>
  <c r="J753" i="15"/>
  <c r="J752" i="15"/>
  <c r="J751" i="15"/>
  <c r="J750" i="15"/>
  <c r="J749" i="15"/>
  <c r="J748" i="15"/>
  <c r="J747" i="15"/>
  <c r="J746" i="15"/>
  <c r="J745" i="15"/>
  <c r="J744" i="15"/>
  <c r="J743" i="15"/>
  <c r="J742" i="15"/>
  <c r="J741" i="15"/>
  <c r="J740" i="15"/>
  <c r="J739" i="15"/>
  <c r="J738" i="15"/>
  <c r="J737" i="15"/>
  <c r="J736" i="15"/>
  <c r="J735" i="15"/>
  <c r="J734" i="15"/>
  <c r="J733" i="15"/>
  <c r="J732" i="15"/>
  <c r="J731" i="15"/>
  <c r="J730" i="15"/>
  <c r="J729" i="15"/>
  <c r="J728" i="15"/>
  <c r="J727" i="15"/>
  <c r="J726" i="15"/>
  <c r="J725" i="15"/>
  <c r="J724" i="15"/>
  <c r="J723" i="15"/>
  <c r="J722" i="15"/>
  <c r="J721" i="15"/>
  <c r="J720" i="15"/>
  <c r="J719" i="15"/>
  <c r="J718" i="15"/>
  <c r="J717" i="15"/>
  <c r="J716" i="15"/>
  <c r="J715" i="15"/>
  <c r="J714" i="15"/>
  <c r="J713" i="15"/>
  <c r="J712" i="15"/>
  <c r="J711" i="15"/>
  <c r="J710" i="15"/>
  <c r="J709" i="15"/>
  <c r="J708" i="15"/>
  <c r="J707" i="15"/>
  <c r="J706" i="15"/>
  <c r="J705" i="15"/>
  <c r="J704" i="15"/>
  <c r="J703" i="15"/>
  <c r="J702" i="15"/>
  <c r="J701" i="15"/>
  <c r="J700" i="15"/>
  <c r="J699" i="15"/>
  <c r="J698" i="15"/>
  <c r="J697" i="15"/>
  <c r="J696" i="15"/>
  <c r="J695" i="15"/>
  <c r="J694" i="15"/>
  <c r="J693" i="15"/>
  <c r="AS693" i="15" s="1"/>
  <c r="J692" i="15"/>
  <c r="J691" i="15"/>
  <c r="J690" i="15"/>
  <c r="J689" i="15"/>
  <c r="J688" i="15"/>
  <c r="J687" i="15"/>
  <c r="J686" i="15"/>
  <c r="J685" i="15"/>
  <c r="J684" i="15"/>
  <c r="J683" i="15"/>
  <c r="J682" i="15"/>
  <c r="J681" i="15"/>
  <c r="J680" i="15"/>
  <c r="J679" i="15"/>
  <c r="J678" i="15"/>
  <c r="J677" i="15"/>
  <c r="J676" i="15"/>
  <c r="J675" i="15"/>
  <c r="J674" i="15"/>
  <c r="J673" i="15"/>
  <c r="AS673" i="15" s="1"/>
  <c r="J672" i="15"/>
  <c r="J671" i="15"/>
  <c r="J670" i="15"/>
  <c r="J669" i="15"/>
  <c r="J668" i="15"/>
  <c r="J667" i="15"/>
  <c r="J666" i="15"/>
  <c r="J665" i="15"/>
  <c r="J664" i="15"/>
  <c r="J663" i="15"/>
  <c r="J662" i="15"/>
  <c r="J661" i="15"/>
  <c r="J660" i="15"/>
  <c r="J659" i="15"/>
  <c r="J658" i="15"/>
  <c r="J657" i="15"/>
  <c r="J656" i="15"/>
  <c r="J655" i="15"/>
  <c r="J654" i="15"/>
  <c r="J653" i="15"/>
  <c r="AS653" i="15" s="1"/>
  <c r="J652" i="15"/>
  <c r="J651" i="15"/>
  <c r="J650" i="15"/>
  <c r="J649" i="15"/>
  <c r="J648" i="15"/>
  <c r="J647" i="15"/>
  <c r="J646" i="15"/>
  <c r="J645" i="15"/>
  <c r="J644" i="15"/>
  <c r="J643" i="15"/>
  <c r="J642" i="15"/>
  <c r="J641" i="15"/>
  <c r="J640" i="15"/>
  <c r="J639" i="15"/>
  <c r="J638" i="15"/>
  <c r="J637" i="15"/>
  <c r="J636" i="15"/>
  <c r="J635" i="15"/>
  <c r="J634" i="15"/>
  <c r="J633" i="15"/>
  <c r="J632" i="15"/>
  <c r="J631" i="15"/>
  <c r="J630" i="15"/>
  <c r="J629" i="15"/>
  <c r="J628" i="15"/>
  <c r="J627" i="15"/>
  <c r="J626" i="15"/>
  <c r="J625" i="15"/>
  <c r="J624" i="15"/>
  <c r="J623" i="15"/>
  <c r="J622" i="15"/>
  <c r="J621" i="15"/>
  <c r="J620" i="15"/>
  <c r="J619" i="15"/>
  <c r="J618" i="15"/>
  <c r="J617" i="15"/>
  <c r="J616" i="15"/>
  <c r="J615" i="15"/>
  <c r="J614" i="15"/>
  <c r="J613" i="15"/>
  <c r="J612" i="15"/>
  <c r="J611" i="15"/>
  <c r="J610" i="15"/>
  <c r="J609" i="15"/>
  <c r="J608" i="15"/>
  <c r="J607" i="15"/>
  <c r="J606" i="15"/>
  <c r="J605" i="15"/>
  <c r="J604" i="15"/>
  <c r="J603" i="15"/>
  <c r="J602" i="15"/>
  <c r="J601" i="15"/>
  <c r="J600" i="15"/>
  <c r="J588" i="15"/>
  <c r="J587" i="15"/>
  <c r="J585" i="15"/>
  <c r="J582" i="15"/>
  <c r="J581" i="15"/>
  <c r="J580" i="15"/>
  <c r="J579" i="15"/>
  <c r="J577" i="15"/>
  <c r="J575" i="15"/>
  <c r="J574" i="15"/>
  <c r="J573" i="15"/>
  <c r="J572" i="15"/>
  <c r="J571" i="15"/>
  <c r="J570" i="15"/>
  <c r="J569" i="15"/>
  <c r="J568" i="15"/>
  <c r="J567" i="15"/>
  <c r="J566" i="15"/>
  <c r="J564" i="15"/>
  <c r="J563" i="15"/>
  <c r="J562" i="15"/>
  <c r="J560" i="15"/>
  <c r="J559" i="15"/>
  <c r="J558" i="15"/>
  <c r="J557" i="15"/>
  <c r="J556" i="15"/>
  <c r="J555" i="15"/>
  <c r="J554" i="15"/>
  <c r="J553" i="15"/>
  <c r="J552" i="15"/>
  <c r="J551" i="15"/>
  <c r="J550" i="15"/>
  <c r="J549" i="15"/>
  <c r="J548" i="15"/>
  <c r="J547" i="15"/>
  <c r="J546" i="15"/>
  <c r="J545" i="15"/>
  <c r="J544" i="15"/>
  <c r="J543" i="15"/>
  <c r="J542" i="15"/>
  <c r="J541" i="15"/>
  <c r="J540" i="15"/>
  <c r="J539" i="15"/>
  <c r="J538" i="15"/>
  <c r="J537" i="15"/>
  <c r="J536" i="15"/>
  <c r="J535" i="15"/>
  <c r="J534" i="15"/>
  <c r="J533" i="15"/>
  <c r="J532" i="15"/>
  <c r="J531" i="15"/>
  <c r="J530" i="15"/>
  <c r="J529" i="15"/>
  <c r="J528" i="15"/>
  <c r="J527" i="15"/>
  <c r="J526" i="15"/>
  <c r="J525" i="15"/>
  <c r="J524" i="15"/>
  <c r="J523" i="15"/>
  <c r="J522" i="15"/>
  <c r="J521" i="15"/>
  <c r="J520" i="15"/>
  <c r="J519" i="15"/>
  <c r="J518" i="15"/>
  <c r="J517" i="15"/>
  <c r="J516" i="15"/>
  <c r="J515" i="15"/>
  <c r="J514" i="15"/>
  <c r="J513" i="15"/>
  <c r="J512" i="15"/>
  <c r="J511" i="15"/>
  <c r="J510" i="15"/>
  <c r="J509" i="15"/>
  <c r="J508" i="15"/>
  <c r="J507" i="15"/>
  <c r="J506" i="15"/>
  <c r="J505" i="15"/>
  <c r="J504" i="15"/>
  <c r="J503" i="15"/>
  <c r="J502" i="15"/>
  <c r="J501" i="15"/>
  <c r="J500" i="15"/>
  <c r="J499" i="15"/>
  <c r="J498" i="15"/>
  <c r="J497" i="15"/>
  <c r="J496" i="15"/>
  <c r="J495" i="15"/>
  <c r="J494" i="15"/>
  <c r="J493" i="15"/>
  <c r="J492" i="15"/>
  <c r="J491" i="15"/>
  <c r="J490" i="15"/>
  <c r="J489" i="15"/>
  <c r="J488" i="15"/>
  <c r="J487" i="15"/>
  <c r="J486" i="15"/>
  <c r="J485" i="15"/>
  <c r="J484" i="15"/>
  <c r="J483" i="15"/>
  <c r="J482" i="15"/>
  <c r="J481" i="15"/>
  <c r="J480" i="15"/>
  <c r="J479" i="15"/>
  <c r="J478" i="15"/>
  <c r="J477" i="15"/>
  <c r="J476" i="15"/>
  <c r="J475" i="15"/>
  <c r="J474" i="15"/>
  <c r="J473" i="15"/>
  <c r="J472" i="15"/>
  <c r="J471" i="15"/>
  <c r="J470" i="15"/>
  <c r="J469" i="15"/>
  <c r="J468" i="15"/>
  <c r="J467" i="15"/>
  <c r="J466" i="15"/>
  <c r="J465" i="15"/>
  <c r="J464" i="15"/>
  <c r="J463" i="15"/>
  <c r="J462" i="15"/>
  <c r="J461" i="15"/>
  <c r="J460" i="15"/>
  <c r="J459" i="15"/>
  <c r="J458" i="15"/>
  <c r="J457" i="15"/>
  <c r="J456" i="15"/>
  <c r="J455" i="15"/>
  <c r="J454" i="15"/>
  <c r="J453" i="15"/>
  <c r="J452" i="15"/>
  <c r="J451" i="15"/>
  <c r="J450" i="15"/>
  <c r="J449" i="15"/>
  <c r="J448" i="15"/>
  <c r="J447" i="15"/>
  <c r="J446" i="15"/>
  <c r="J445" i="15"/>
  <c r="J444" i="15"/>
  <c r="J443" i="15"/>
  <c r="J442" i="15"/>
  <c r="J441" i="15"/>
  <c r="J440" i="15"/>
  <c r="J439" i="15"/>
  <c r="J438" i="15"/>
  <c r="J437" i="15"/>
  <c r="J436" i="15"/>
  <c r="J435" i="15"/>
  <c r="J434" i="15"/>
  <c r="J433" i="15"/>
  <c r="J432" i="15"/>
  <c r="J431" i="15"/>
  <c r="J430" i="15"/>
  <c r="J429" i="15"/>
  <c r="J428" i="15"/>
  <c r="J427" i="15"/>
  <c r="J426" i="15"/>
  <c r="J425" i="15"/>
  <c r="J424" i="15"/>
  <c r="J423" i="15"/>
  <c r="J422" i="15"/>
  <c r="J421" i="15"/>
  <c r="J420" i="15"/>
  <c r="J419" i="15"/>
  <c r="J418" i="15"/>
  <c r="J417" i="15"/>
  <c r="J416" i="15"/>
  <c r="J415" i="15"/>
  <c r="J414" i="15"/>
  <c r="J413" i="15"/>
  <c r="J412" i="15"/>
  <c r="J411" i="15"/>
  <c r="J410" i="15"/>
  <c r="J409" i="15"/>
  <c r="J408" i="15"/>
  <c r="J407" i="15"/>
  <c r="J406" i="15"/>
  <c r="J405" i="15"/>
  <c r="J404" i="15"/>
  <c r="J403" i="15"/>
  <c r="J402" i="15"/>
  <c r="J401" i="15"/>
  <c r="J400" i="15"/>
  <c r="J399" i="15"/>
  <c r="J398" i="15"/>
  <c r="J397" i="15"/>
  <c r="J396" i="15"/>
  <c r="J395" i="15"/>
  <c r="J394" i="15"/>
  <c r="J393" i="15"/>
  <c r="J392" i="15"/>
  <c r="J391" i="15"/>
  <c r="J390" i="15"/>
  <c r="J389" i="15"/>
  <c r="J388" i="15"/>
  <c r="J387" i="15"/>
  <c r="J386" i="15"/>
  <c r="J385" i="15"/>
  <c r="J384" i="15"/>
  <c r="J383" i="15"/>
  <c r="J382" i="15"/>
  <c r="J381" i="15"/>
  <c r="J380" i="15"/>
  <c r="J379" i="15"/>
  <c r="J378" i="15"/>
  <c r="J377" i="15"/>
  <c r="J376" i="15"/>
  <c r="J375" i="15"/>
  <c r="J374" i="15"/>
  <c r="J373" i="15"/>
  <c r="J372" i="15"/>
  <c r="J371" i="15"/>
  <c r="J370" i="15"/>
  <c r="J369" i="15"/>
  <c r="J368" i="15"/>
  <c r="J367" i="15"/>
  <c r="J366" i="15"/>
  <c r="J365" i="15"/>
  <c r="J364" i="15"/>
  <c r="J363" i="15"/>
  <c r="J362" i="15"/>
  <c r="J361" i="15"/>
  <c r="J360" i="15"/>
  <c r="J359" i="15"/>
  <c r="J358" i="15"/>
  <c r="J357" i="15"/>
  <c r="J356" i="15"/>
  <c r="J355" i="15"/>
  <c r="J354" i="15"/>
  <c r="J353" i="15"/>
  <c r="J352" i="15"/>
  <c r="J351" i="15"/>
  <c r="J350" i="15"/>
  <c r="J349" i="15"/>
  <c r="J348" i="15"/>
  <c r="J347" i="15"/>
  <c r="J346" i="15"/>
  <c r="J345" i="15"/>
  <c r="J344" i="15"/>
  <c r="J343" i="15"/>
  <c r="J342" i="15"/>
  <c r="J341" i="15"/>
  <c r="J340" i="15"/>
  <c r="J339" i="15"/>
  <c r="J338" i="15"/>
  <c r="J337" i="15"/>
  <c r="J336" i="15"/>
  <c r="J335" i="15"/>
  <c r="J334" i="15"/>
  <c r="J333" i="15"/>
  <c r="J332" i="15"/>
  <c r="J331" i="15"/>
  <c r="J330" i="15"/>
  <c r="J329" i="15"/>
  <c r="J328" i="15"/>
  <c r="J327" i="15"/>
  <c r="J326" i="15"/>
  <c r="J325" i="15"/>
  <c r="J324" i="15"/>
  <c r="J323" i="15"/>
  <c r="J322" i="15"/>
  <c r="J321" i="15"/>
  <c r="J320" i="15"/>
  <c r="J319" i="15"/>
  <c r="J318" i="15"/>
  <c r="J317" i="15"/>
  <c r="J316" i="15"/>
  <c r="J315" i="15"/>
  <c r="J314" i="15"/>
  <c r="J313" i="15"/>
  <c r="J312" i="15"/>
  <c r="J311" i="15"/>
  <c r="J310" i="15"/>
  <c r="J309" i="15"/>
  <c r="J308" i="15"/>
  <c r="J307" i="15"/>
  <c r="J306" i="15"/>
  <c r="J305" i="15"/>
  <c r="J304" i="15"/>
  <c r="J303" i="15"/>
  <c r="J302" i="15"/>
  <c r="J301" i="15"/>
  <c r="J300" i="15"/>
  <c r="J299" i="15"/>
  <c r="J298" i="15"/>
  <c r="J297" i="15"/>
  <c r="J296" i="15"/>
  <c r="J295" i="15"/>
  <c r="J294" i="15"/>
  <c r="J293" i="15"/>
  <c r="J292" i="15"/>
  <c r="J291" i="15"/>
  <c r="J290" i="15"/>
  <c r="J289" i="15"/>
  <c r="J288" i="15"/>
  <c r="J287" i="15"/>
  <c r="J286" i="15"/>
  <c r="J285" i="15"/>
  <c r="J284" i="15"/>
  <c r="J283" i="15"/>
  <c r="J282" i="15"/>
  <c r="J281" i="15"/>
  <c r="J280" i="15"/>
  <c r="J279" i="15"/>
  <c r="J278" i="15"/>
  <c r="J277" i="15"/>
  <c r="J276" i="15"/>
  <c r="J275" i="15"/>
  <c r="J274" i="15"/>
  <c r="J273" i="15"/>
  <c r="J272" i="15"/>
  <c r="J271" i="15"/>
  <c r="J270" i="15"/>
  <c r="J269" i="15"/>
  <c r="J268" i="15"/>
  <c r="J267" i="15"/>
  <c r="J266" i="15"/>
  <c r="J265" i="15"/>
  <c r="J264" i="15"/>
  <c r="J263" i="15"/>
  <c r="J262" i="15"/>
  <c r="J261" i="15"/>
  <c r="J260" i="15"/>
  <c r="J259" i="15"/>
  <c r="J258" i="15"/>
  <c r="J257" i="15"/>
  <c r="J256" i="15"/>
  <c r="J255" i="15"/>
  <c r="J254" i="15"/>
  <c r="J253" i="15"/>
  <c r="J252" i="15"/>
  <c r="J251" i="15"/>
  <c r="J250" i="15"/>
  <c r="J249" i="15"/>
  <c r="J248" i="15"/>
  <c r="J247" i="15"/>
  <c r="J246" i="15"/>
  <c r="J245" i="15"/>
  <c r="J244" i="15"/>
  <c r="J243" i="15"/>
  <c r="J242" i="15"/>
  <c r="J241" i="15"/>
  <c r="J240" i="15"/>
  <c r="J239" i="15"/>
  <c r="J238" i="15"/>
  <c r="J237" i="15"/>
  <c r="J236" i="15"/>
  <c r="J235" i="15"/>
  <c r="J234" i="15"/>
  <c r="J233" i="15"/>
  <c r="J232" i="15"/>
  <c r="J231" i="15"/>
  <c r="J230" i="15"/>
  <c r="J229" i="15"/>
  <c r="J228" i="15"/>
  <c r="J227" i="15"/>
  <c r="J226" i="15"/>
  <c r="J225" i="15"/>
  <c r="J224" i="15"/>
  <c r="J223" i="15"/>
  <c r="J222" i="15"/>
  <c r="J221" i="15"/>
  <c r="J220" i="15"/>
  <c r="J219" i="15"/>
  <c r="J218" i="15"/>
  <c r="J217" i="15"/>
  <c r="J216" i="15"/>
  <c r="J215" i="15"/>
  <c r="J214" i="15"/>
  <c r="J213" i="15"/>
  <c r="J212" i="15"/>
  <c r="J211" i="15"/>
  <c r="J210" i="15"/>
  <c r="J209" i="15"/>
  <c r="J208" i="15"/>
  <c r="J207" i="15"/>
  <c r="J206" i="15"/>
  <c r="J205" i="15"/>
  <c r="J204" i="15"/>
  <c r="J203" i="15"/>
  <c r="J202" i="15"/>
  <c r="J201" i="15"/>
  <c r="J200" i="15"/>
  <c r="J199" i="15"/>
  <c r="J198" i="15"/>
  <c r="J197" i="15"/>
  <c r="J196" i="15"/>
  <c r="J195" i="15"/>
  <c r="J194" i="15"/>
  <c r="J193" i="15"/>
  <c r="J192" i="15"/>
  <c r="J191" i="15"/>
  <c r="J190" i="15"/>
  <c r="J189" i="15"/>
  <c r="J188" i="15"/>
  <c r="J187" i="15"/>
  <c r="J186" i="15"/>
  <c r="J185" i="15"/>
  <c r="J184" i="15"/>
  <c r="J183" i="15"/>
  <c r="J182" i="15"/>
  <c r="J181" i="15"/>
  <c r="J180" i="15"/>
  <c r="J179" i="15"/>
  <c r="J178" i="15"/>
  <c r="J177" i="15"/>
  <c r="J176" i="15"/>
  <c r="J175" i="15"/>
  <c r="J174" i="15"/>
  <c r="J173" i="15"/>
  <c r="J172" i="15"/>
  <c r="J171" i="15"/>
  <c r="J170" i="15"/>
  <c r="J169" i="15"/>
  <c r="J168" i="15"/>
  <c r="J167" i="15"/>
  <c r="J166" i="15"/>
  <c r="J165" i="15"/>
  <c r="J164" i="15"/>
  <c r="J163" i="15"/>
  <c r="J162" i="15"/>
  <c r="J161" i="15"/>
  <c r="J160" i="15"/>
  <c r="J159" i="15"/>
  <c r="J158" i="15"/>
  <c r="J157" i="15"/>
  <c r="J156" i="15"/>
  <c r="J155" i="15"/>
  <c r="J154" i="15"/>
  <c r="J153" i="15"/>
  <c r="J152" i="15"/>
  <c r="J151" i="15"/>
  <c r="J150" i="15"/>
  <c r="J149" i="15"/>
  <c r="K149" i="15" s="1"/>
  <c r="J148" i="15"/>
  <c r="J147" i="15"/>
  <c r="J146" i="15"/>
  <c r="J145" i="15"/>
  <c r="J144" i="15"/>
  <c r="J143" i="15"/>
  <c r="J142" i="15"/>
  <c r="J141" i="15"/>
  <c r="J140" i="15"/>
  <c r="J139" i="15"/>
  <c r="J138" i="15"/>
  <c r="J137" i="15"/>
  <c r="J136" i="15"/>
  <c r="J135" i="15"/>
  <c r="J134" i="15"/>
  <c r="J133" i="15"/>
  <c r="J132" i="15"/>
  <c r="J131" i="15"/>
  <c r="J130" i="15"/>
  <c r="J129" i="15"/>
  <c r="J128" i="15"/>
  <c r="J127" i="15"/>
  <c r="J126" i="15"/>
  <c r="J125" i="15"/>
  <c r="J124" i="15"/>
  <c r="J123" i="15"/>
  <c r="J122" i="15"/>
  <c r="J121" i="15"/>
  <c r="J120" i="15"/>
  <c r="J119" i="15"/>
  <c r="J118" i="15"/>
  <c r="J117" i="15"/>
  <c r="J116" i="15"/>
  <c r="J115" i="15"/>
  <c r="J114" i="15"/>
  <c r="J113" i="15"/>
  <c r="J112" i="15"/>
  <c r="J111" i="15"/>
  <c r="J110" i="15"/>
  <c r="J109" i="15"/>
  <c r="J108" i="15"/>
  <c r="J107" i="15"/>
  <c r="J106" i="15"/>
  <c r="J105" i="15"/>
  <c r="J104" i="15"/>
  <c r="J103" i="15"/>
  <c r="J102" i="15"/>
  <c r="J101" i="15"/>
  <c r="J100" i="15"/>
  <c r="J99" i="15"/>
  <c r="J98" i="15"/>
  <c r="J97" i="15"/>
  <c r="J96" i="15"/>
  <c r="J95" i="15"/>
  <c r="J94" i="15"/>
  <c r="J93" i="15"/>
  <c r="J92" i="15"/>
  <c r="J91" i="15"/>
  <c r="J90" i="15"/>
  <c r="J89" i="15"/>
  <c r="J88" i="15"/>
  <c r="J87" i="15"/>
  <c r="J86" i="15"/>
  <c r="J85" i="15"/>
  <c r="J84" i="15"/>
  <c r="J83" i="15"/>
  <c r="J82" i="15"/>
  <c r="J81" i="15"/>
  <c r="J80" i="15"/>
  <c r="J79" i="15"/>
  <c r="J78" i="15"/>
  <c r="J77" i="15"/>
  <c r="J76" i="15"/>
  <c r="J75" i="15"/>
  <c r="J74" i="15"/>
  <c r="J73" i="15"/>
  <c r="J72" i="15"/>
  <c r="J71" i="15"/>
  <c r="J70" i="15"/>
  <c r="J69" i="15"/>
  <c r="J68" i="15"/>
  <c r="J67" i="15"/>
  <c r="J66" i="15"/>
  <c r="J65" i="15"/>
  <c r="J64" i="15"/>
  <c r="J63" i="15"/>
  <c r="J62" i="15"/>
  <c r="J61" i="15"/>
  <c r="J60" i="15"/>
  <c r="J59" i="15"/>
  <c r="J58" i="15"/>
  <c r="J57" i="15"/>
  <c r="J56" i="15"/>
  <c r="J55" i="15"/>
  <c r="J54" i="15"/>
  <c r="J53" i="15"/>
  <c r="J52" i="15"/>
  <c r="J51" i="15"/>
  <c r="J50" i="15"/>
  <c r="J49" i="15"/>
  <c r="J48" i="15"/>
  <c r="J47" i="15"/>
  <c r="J46" i="15"/>
  <c r="J45" i="15"/>
  <c r="J44" i="15"/>
  <c r="J43" i="15"/>
  <c r="J42" i="15"/>
  <c r="J41" i="15"/>
  <c r="J40" i="15"/>
  <c r="J39" i="15"/>
  <c r="J38" i="15"/>
  <c r="J37" i="15"/>
  <c r="J36" i="15"/>
  <c r="J35" i="15"/>
  <c r="J34" i="15"/>
  <c r="J33" i="15"/>
  <c r="J32" i="15"/>
  <c r="J31" i="15"/>
  <c r="J30" i="15"/>
  <c r="J29" i="15"/>
  <c r="J28" i="15"/>
  <c r="J27" i="15"/>
  <c r="J26" i="15"/>
  <c r="J25" i="15"/>
  <c r="J24" i="15"/>
  <c r="J23" i="15"/>
  <c r="J22" i="15"/>
  <c r="J21" i="15"/>
  <c r="J20" i="15"/>
  <c r="J19" i="15"/>
  <c r="J18" i="15"/>
  <c r="J17" i="15"/>
  <c r="J16" i="15"/>
  <c r="J15" i="15"/>
  <c r="J14" i="15"/>
  <c r="J13" i="15"/>
  <c r="J12" i="15"/>
  <c r="J11" i="15"/>
  <c r="J10" i="15"/>
  <c r="J9" i="15"/>
  <c r="J8" i="15"/>
  <c r="J7" i="15"/>
  <c r="J6" i="15"/>
  <c r="J5" i="15"/>
  <c r="J4" i="15"/>
  <c r="J3" i="15"/>
  <c r="J2" i="15"/>
  <c r="J1" i="15"/>
  <c r="I1" i="15"/>
  <c r="AS20" i="15"/>
  <c r="AS7" i="15"/>
  <c r="AS15" i="15"/>
  <c r="I11" i="15"/>
  <c r="I12" i="15"/>
  <c r="AS36" i="15"/>
  <c r="I89" i="15"/>
  <c r="AS66" i="15"/>
  <c r="I7" i="15"/>
  <c r="K7" i="15" s="1"/>
  <c r="AS11" i="15"/>
  <c r="K3" i="8"/>
  <c r="K23" i="8"/>
  <c r="K7" i="8"/>
  <c r="I18" i="15"/>
  <c r="K62" i="8"/>
  <c r="K4" i="8"/>
  <c r="K39" i="8"/>
  <c r="AS192" i="15"/>
  <c r="AS8" i="15"/>
  <c r="AS188" i="15"/>
  <c r="I212" i="15"/>
  <c r="K110" i="8"/>
  <c r="AS234" i="15"/>
  <c r="AS227" i="15"/>
  <c r="AS163" i="15"/>
  <c r="I35" i="15"/>
  <c r="K74" i="8"/>
  <c r="K102" i="8"/>
  <c r="K94" i="8"/>
  <c r="I145" i="15"/>
  <c r="AS77" i="15"/>
  <c r="AS133" i="15"/>
  <c r="K144" i="8"/>
  <c r="AS50" i="15"/>
  <c r="K10" i="8"/>
  <c r="K18" i="8"/>
  <c r="AS78" i="15"/>
  <c r="I42" i="15"/>
  <c r="I10" i="15"/>
  <c r="AS82" i="15"/>
  <c r="K58" i="8"/>
  <c r="I57" i="15"/>
  <c r="K90" i="8"/>
  <c r="K54" i="8"/>
  <c r="AS73" i="15"/>
  <c r="AS81" i="15"/>
  <c r="K70" i="8"/>
  <c r="K31" i="8"/>
  <c r="AS65" i="15"/>
  <c r="AS53" i="15"/>
  <c r="AS49" i="15"/>
  <c r="I109" i="15"/>
  <c r="K26" i="8"/>
  <c r="AS89" i="15"/>
  <c r="I9" i="15"/>
  <c r="K126" i="8"/>
  <c r="AS200" i="15"/>
  <c r="AS168" i="15"/>
  <c r="AS180" i="15"/>
  <c r="K183" i="8"/>
  <c r="AS150" i="15"/>
  <c r="AS38" i="15"/>
  <c r="AS62" i="15"/>
  <c r="I74" i="15"/>
  <c r="K59" i="8"/>
  <c r="AS14" i="15"/>
  <c r="I38" i="15"/>
  <c r="AS287" i="15"/>
  <c r="K187" i="8"/>
  <c r="AS123" i="15"/>
  <c r="K84" i="8"/>
  <c r="K355" i="8"/>
  <c r="AS39" i="15"/>
  <c r="AS87" i="15"/>
  <c r="I39" i="15"/>
  <c r="K38" i="8"/>
  <c r="I207" i="15"/>
  <c r="AS79" i="15"/>
  <c r="AS35" i="15"/>
  <c r="I163" i="15"/>
  <c r="I231" i="15"/>
  <c r="AS215" i="15"/>
  <c r="K146" i="8"/>
  <c r="K132" i="8"/>
  <c r="AS111" i="15"/>
  <c r="I67" i="15"/>
  <c r="AS27" i="15"/>
  <c r="K247" i="8"/>
  <c r="I91" i="15"/>
  <c r="I287" i="15"/>
  <c r="K124" i="8"/>
  <c r="AS75" i="15"/>
  <c r="AS83" i="15"/>
  <c r="AS143" i="15"/>
  <c r="I251" i="15"/>
  <c r="AS43" i="15"/>
  <c r="I115" i="15"/>
  <c r="I95" i="15"/>
  <c r="K12" i="8"/>
  <c r="K243" i="8"/>
  <c r="K151" i="8"/>
  <c r="AS148" i="15"/>
  <c r="I90" i="15"/>
  <c r="I283" i="15"/>
  <c r="I259" i="15"/>
  <c r="I243" i="15"/>
  <c r="AS251" i="15"/>
  <c r="AS171" i="15"/>
  <c r="K263" i="8"/>
  <c r="I134" i="15"/>
  <c r="AS136" i="15"/>
  <c r="I211" i="15"/>
  <c r="K203" i="8"/>
  <c r="AS159" i="15"/>
  <c r="AS267" i="15"/>
  <c r="AS114" i="15"/>
  <c r="AS110" i="15"/>
  <c r="AS369" i="15"/>
  <c r="K127" i="8"/>
  <c r="K283" i="8"/>
  <c r="I187" i="15"/>
  <c r="I387" i="15"/>
  <c r="AS155" i="15"/>
  <c r="I144" i="15"/>
  <c r="AS195" i="15"/>
  <c r="I247" i="15"/>
  <c r="AS239" i="15"/>
  <c r="AS283" i="15"/>
  <c r="K159" i="8"/>
  <c r="I159" i="15"/>
  <c r="AS191" i="15"/>
  <c r="K179" i="8"/>
  <c r="K251" i="8"/>
  <c r="AS183" i="15"/>
  <c r="I46" i="15"/>
  <c r="K91" i="8"/>
  <c r="AS122" i="15"/>
  <c r="K119" i="8"/>
  <c r="K71" i="8"/>
  <c r="AS70" i="15"/>
  <c r="I140" i="15"/>
  <c r="I183" i="15"/>
  <c r="K75" i="8"/>
  <c r="I130" i="15"/>
  <c r="I339" i="15"/>
  <c r="I62" i="15"/>
  <c r="I407" i="15"/>
  <c r="AS58" i="15"/>
  <c r="AS263" i="15"/>
  <c r="I227" i="15"/>
  <c r="AS275" i="15"/>
  <c r="AS187" i="15"/>
  <c r="AS46" i="15"/>
  <c r="AS42" i="15"/>
  <c r="AS29" i="15"/>
  <c r="AS235" i="15"/>
  <c r="I19" i="15"/>
  <c r="I94" i="15"/>
  <c r="I98" i="15"/>
  <c r="I21" i="15"/>
  <c r="AS9" i="15"/>
  <c r="I26" i="15"/>
  <c r="I23" i="15"/>
  <c r="AS23" i="15"/>
  <c r="I454" i="15"/>
  <c r="I446" i="15"/>
  <c r="AS410" i="15"/>
  <c r="I394" i="15"/>
  <c r="AS384" i="15"/>
  <c r="AS376" i="15"/>
  <c r="I360" i="15"/>
  <c r="AS302" i="15"/>
  <c r="AS270" i="15"/>
  <c r="I230" i="15"/>
  <c r="AS210" i="15"/>
  <c r="AS206" i="15"/>
  <c r="AS194" i="15"/>
  <c r="AS166" i="15"/>
  <c r="AS162" i="15"/>
  <c r="AS154" i="15"/>
  <c r="I53" i="15"/>
  <c r="AS18" i="15"/>
  <c r="I14" i="15"/>
  <c r="AS6" i="15"/>
  <c r="I22" i="15"/>
  <c r="I381" i="15"/>
  <c r="I15" i="15"/>
  <c r="AS22" i="15"/>
  <c r="AS26" i="15"/>
  <c r="AS374" i="15"/>
  <c r="I268" i="15"/>
  <c r="AS145" i="15"/>
  <c r="I137" i="15"/>
  <c r="I123" i="15"/>
  <c r="I119" i="15"/>
  <c r="AS103" i="15"/>
  <c r="AS91" i="15"/>
  <c r="I83" i="15"/>
  <c r="I79" i="15"/>
  <c r="I75" i="15"/>
  <c r="I71" i="15"/>
  <c r="AS67" i="15"/>
  <c r="I47" i="15"/>
  <c r="I20" i="15"/>
  <c r="AS16" i="15"/>
  <c r="AS12" i="15"/>
  <c r="AS4" i="15"/>
  <c r="I222" i="15"/>
  <c r="K303" i="8"/>
  <c r="AS214" i="15"/>
  <c r="I25" i="15"/>
  <c r="AS218" i="15"/>
  <c r="I199" i="15"/>
  <c r="K403" i="8"/>
  <c r="K311" i="8"/>
  <c r="I299" i="15"/>
  <c r="AS336" i="15"/>
  <c r="AS296" i="15"/>
  <c r="AS199" i="15"/>
  <c r="AS224" i="15"/>
  <c r="I216" i="15"/>
  <c r="I184" i="15"/>
  <c r="I127" i="15"/>
  <c r="I111" i="15"/>
  <c r="AS107" i="15"/>
  <c r="I258" i="15"/>
  <c r="I238" i="15"/>
  <c r="AS226" i="15"/>
  <c r="I218" i="15"/>
  <c r="AS190" i="15"/>
  <c r="I150" i="15"/>
  <c r="AS3" i="15"/>
  <c r="I223" i="15"/>
  <c r="I219" i="15"/>
  <c r="I215" i="15"/>
  <c r="I175" i="15"/>
  <c r="I106" i="15"/>
  <c r="I3" i="15"/>
  <c r="I252" i="15"/>
  <c r="AS172" i="15"/>
  <c r="AS292" i="15"/>
  <c r="K308" i="8"/>
  <c r="I324" i="15"/>
  <c r="I362" i="15"/>
  <c r="AS108" i="15"/>
  <c r="AS124" i="15"/>
  <c r="AS149" i="15"/>
  <c r="AS358" i="15"/>
  <c r="I234" i="15"/>
  <c r="I174" i="15"/>
  <c r="AS182" i="15"/>
  <c r="K318" i="8"/>
  <c r="AS266" i="15"/>
  <c r="K261" i="8"/>
  <c r="K198" i="8"/>
  <c r="K422" i="8"/>
  <c r="AS351" i="15"/>
  <c r="AS323" i="15"/>
  <c r="AS44" i="15"/>
  <c r="I104" i="15"/>
  <c r="K5" i="8"/>
  <c r="I221" i="15"/>
  <c r="I165" i="15"/>
  <c r="K113" i="8"/>
  <c r="AS60" i="15"/>
  <c r="AS116" i="15"/>
  <c r="I147" i="15"/>
  <c r="AS230" i="15"/>
  <c r="I48" i="15"/>
  <c r="K201" i="8"/>
  <c r="AS113" i="15"/>
  <c r="I278" i="15"/>
  <c r="K233" i="8"/>
  <c r="AS189" i="15"/>
  <c r="I113" i="15"/>
  <c r="AS100" i="15"/>
  <c r="K41" i="8"/>
  <c r="K97" i="8"/>
  <c r="AS138" i="15"/>
  <c r="K189" i="8"/>
  <c r="AS5" i="15"/>
  <c r="K157" i="8"/>
  <c r="K9" i="8"/>
  <c r="AS139" i="15"/>
  <c r="AS135" i="15"/>
  <c r="K226" i="8"/>
  <c r="K134" i="8"/>
  <c r="K130" i="8"/>
  <c r="I117" i="15"/>
  <c r="I246" i="15"/>
  <c r="AS293" i="15"/>
  <c r="I105" i="15"/>
  <c r="K298" i="8"/>
  <c r="K158" i="8"/>
  <c r="I354" i="15"/>
  <c r="AS184" i="15"/>
  <c r="I276" i="15"/>
  <c r="AS95" i="15"/>
  <c r="AS63" i="15"/>
  <c r="K60" i="8"/>
  <c r="I27" i="15"/>
  <c r="I51" i="15"/>
  <c r="K76" i="8"/>
  <c r="K128" i="8"/>
  <c r="I107" i="15"/>
  <c r="K272" i="8"/>
  <c r="I33" i="15"/>
  <c r="I24" i="15"/>
  <c r="AS240" i="15"/>
  <c r="K52" i="8"/>
  <c r="I59" i="15"/>
  <c r="AS24" i="15"/>
  <c r="AS119" i="15"/>
  <c r="K72" i="8"/>
  <c r="K120" i="8"/>
  <c r="K80" i="8"/>
  <c r="I63" i="15"/>
  <c r="K48" i="8"/>
  <c r="K340" i="8"/>
  <c r="K256" i="8"/>
  <c r="I345" i="15"/>
  <c r="AS228" i="15"/>
  <c r="I316" i="15"/>
  <c r="AS41" i="15"/>
  <c r="I200" i="15"/>
  <c r="I312" i="15"/>
  <c r="AS71" i="15"/>
  <c r="I87" i="15"/>
  <c r="AS51" i="15"/>
  <c r="K116" i="8"/>
  <c r="AS131" i="15"/>
  <c r="K112" i="8"/>
  <c r="AS152" i="15"/>
  <c r="I164" i="15"/>
  <c r="I131" i="15"/>
  <c r="I272" i="15"/>
  <c r="AS137" i="15"/>
  <c r="AS141" i="15"/>
  <c r="I141" i="15"/>
  <c r="K32" i="8"/>
  <c r="AS33" i="15"/>
  <c r="K20" i="8"/>
  <c r="AS236" i="15"/>
  <c r="I180" i="15"/>
  <c r="I8" i="15"/>
  <c r="AS156" i="15"/>
  <c r="I4" i="15"/>
  <c r="AS47" i="15"/>
  <c r="I40" i="15"/>
  <c r="AS350" i="15"/>
  <c r="AS320" i="15"/>
  <c r="I468" i="15"/>
  <c r="I103" i="15"/>
  <c r="I203" i="15"/>
  <c r="I99" i="15"/>
  <c r="K108" i="8"/>
  <c r="I236" i="15"/>
  <c r="I16" i="15"/>
  <c r="K64" i="8"/>
  <c r="AS30" i="15"/>
  <c r="I351" i="15"/>
  <c r="I347" i="15"/>
  <c r="I343" i="15"/>
  <c r="K301" i="8"/>
  <c r="I116" i="15"/>
  <c r="K257" i="8"/>
  <c r="K385" i="8"/>
  <c r="K105" i="8"/>
  <c r="AS161" i="15"/>
  <c r="I138" i="15"/>
  <c r="AS201" i="15"/>
  <c r="K117" i="8"/>
  <c r="AS281" i="15"/>
  <c r="K217" i="8"/>
  <c r="K173" i="8"/>
  <c r="AS88" i="15"/>
  <c r="K89" i="8"/>
  <c r="K33" i="8"/>
  <c r="AS21" i="15"/>
  <c r="K345" i="8"/>
  <c r="AS285" i="15"/>
  <c r="AS153" i="15"/>
  <c r="K133" i="8"/>
  <c r="K125" i="8"/>
  <c r="AS84" i="15"/>
  <c r="AS286" i="15"/>
  <c r="K433" i="8"/>
  <c r="I135" i="15"/>
  <c r="I186" i="15"/>
  <c r="K202" i="8"/>
  <c r="K137" i="8"/>
  <c r="AS13" i="15"/>
  <c r="I201" i="15"/>
  <c r="I61" i="15"/>
  <c r="I41" i="15"/>
  <c r="I169" i="15"/>
  <c r="AS101" i="15"/>
  <c r="I133" i="15"/>
  <c r="AS17" i="15"/>
  <c r="I170" i="15"/>
  <c r="AS93" i="15"/>
  <c r="K21" i="8"/>
  <c r="I44" i="15"/>
  <c r="I194" i="15"/>
  <c r="I154" i="15"/>
  <c r="AS28" i="15"/>
  <c r="AS68" i="15"/>
  <c r="AS45" i="15"/>
  <c r="K154" i="8"/>
  <c r="K53" i="8"/>
  <c r="AS97" i="15"/>
  <c r="I85" i="15"/>
  <c r="K86" i="8"/>
  <c r="I17" i="15"/>
  <c r="AS317" i="15"/>
  <c r="I249" i="15"/>
  <c r="K182" i="8"/>
  <c r="K69" i="8"/>
  <c r="I13" i="15"/>
  <c r="K169" i="8"/>
  <c r="AS32" i="15"/>
  <c r="K150" i="8"/>
  <c r="I198" i="15"/>
  <c r="I34" i="15"/>
  <c r="AS25" i="15"/>
  <c r="I253" i="15"/>
  <c r="K122" i="8"/>
  <c r="I45" i="15"/>
  <c r="AS109" i="15"/>
  <c r="K206" i="8"/>
  <c r="K6" i="8"/>
  <c r="I162" i="15"/>
  <c r="I125" i="15"/>
  <c r="AS186" i="15"/>
  <c r="I318" i="15"/>
  <c r="AS217" i="15"/>
  <c r="AS64" i="15"/>
  <c r="I449" i="15"/>
  <c r="K358" i="8"/>
  <c r="K274" i="8"/>
  <c r="K258" i="8"/>
  <c r="K234" i="8"/>
  <c r="K466" i="8"/>
  <c r="I298" i="15"/>
  <c r="K266" i="8"/>
  <c r="AS448" i="15"/>
  <c r="K443" i="8"/>
  <c r="AS282" i="15"/>
  <c r="AS222" i="15"/>
  <c r="K174" i="8"/>
  <c r="I158" i="15"/>
  <c r="AS278" i="15"/>
  <c r="I206" i="15"/>
  <c r="AS178" i="15"/>
  <c r="AS170" i="15"/>
  <c r="AS238" i="15"/>
  <c r="I166" i="15"/>
  <c r="I411" i="15"/>
  <c r="K387" i="8"/>
  <c r="I210" i="15"/>
  <c r="K362" i="8"/>
  <c r="AS246" i="15"/>
  <c r="AS242" i="15"/>
  <c r="I469" i="15"/>
  <c r="AS371" i="15"/>
  <c r="I445" i="15"/>
  <c r="K393" i="8"/>
  <c r="I342" i="15"/>
  <c r="AS418" i="15"/>
  <c r="I422" i="15"/>
  <c r="K353" i="8"/>
  <c r="K541" i="8"/>
  <c r="AS483" i="15"/>
  <c r="I535" i="15"/>
  <c r="I361" i="15"/>
  <c r="I373" i="15"/>
  <c r="K351" i="8"/>
  <c r="K327" i="8"/>
  <c r="AS443" i="15"/>
  <c r="AS395" i="15"/>
  <c r="AS435" i="15"/>
  <c r="I423" i="15"/>
  <c r="I428" i="15"/>
  <c r="I365" i="15"/>
  <c r="K407" i="8"/>
  <c r="K210" i="8"/>
  <c r="AS372" i="15"/>
  <c r="K246" i="8"/>
  <c r="K338" i="8"/>
  <c r="K354" i="8"/>
  <c r="I330" i="15"/>
  <c r="I294" i="15"/>
  <c r="AS354" i="15"/>
  <c r="AS254" i="15"/>
  <c r="AS386" i="15"/>
  <c r="K222" i="8"/>
  <c r="I310" i="15"/>
  <c r="K238" i="8"/>
  <c r="AS322" i="15"/>
  <c r="K278" i="8"/>
  <c r="I226" i="15"/>
  <c r="AS298" i="15"/>
  <c r="I306" i="15"/>
  <c r="I202" i="15"/>
  <c r="I254" i="15"/>
  <c r="I338" i="15"/>
  <c r="K561" i="8"/>
  <c r="K542" i="8"/>
  <c r="I415" i="15"/>
  <c r="K310" i="8"/>
  <c r="AS434" i="15"/>
  <c r="AS290" i="15"/>
  <c r="K371" i="8"/>
  <c r="K175" i="8"/>
  <c r="AS387" i="15"/>
  <c r="I402" i="15"/>
  <c r="AS106" i="15"/>
  <c r="I274" i="15"/>
  <c r="AS118" i="15"/>
  <c r="I214" i="15"/>
  <c r="AS203" i="15"/>
  <c r="AS326" i="15"/>
  <c r="AS274" i="15"/>
  <c r="I270" i="15"/>
  <c r="I314" i="15"/>
  <c r="I118" i="15"/>
  <c r="K334" i="8"/>
  <c r="K270" i="8"/>
  <c r="AS258" i="15"/>
  <c r="I500" i="15"/>
  <c r="I132" i="15"/>
  <c r="I124" i="15"/>
  <c r="AS120" i="15"/>
  <c r="AS104" i="15"/>
  <c r="AS96" i="15"/>
  <c r="I88" i="15"/>
  <c r="I80" i="15"/>
  <c r="I76" i="15"/>
  <c r="I72" i="15"/>
  <c r="I68" i="15"/>
  <c r="AS56" i="15"/>
  <c r="AS34" i="15"/>
  <c r="I28" i="15"/>
  <c r="AS436" i="15"/>
  <c r="I542" i="15"/>
  <c r="AS485" i="15"/>
  <c r="I434" i="15"/>
  <c r="AS426" i="15"/>
  <c r="AS414" i="15"/>
  <c r="I384" i="15"/>
  <c r="I372" i="15"/>
  <c r="I350" i="15"/>
  <c r="K588" i="8"/>
  <c r="I336" i="15"/>
  <c r="I280" i="15"/>
  <c r="AS432" i="15"/>
  <c r="K501" i="8"/>
  <c r="I334" i="15"/>
  <c r="I262" i="15"/>
  <c r="AS346" i="15"/>
  <c r="I378" i="15"/>
  <c r="K330" i="8"/>
  <c r="K170" i="8"/>
  <c r="K190" i="8"/>
  <c r="I286" i="15"/>
  <c r="K230" i="8"/>
  <c r="AS250" i="15"/>
  <c r="I190" i="15"/>
  <c r="K218" i="8"/>
  <c r="AS294" i="15"/>
  <c r="I178" i="15"/>
  <c r="K162" i="8"/>
  <c r="K111" i="8"/>
  <c r="K314" i="8"/>
  <c r="K63" i="8"/>
  <c r="I376" i="15"/>
  <c r="I282" i="15"/>
  <c r="I302" i="15"/>
  <c r="AS308" i="15"/>
  <c r="I416" i="15"/>
  <c r="K477" i="8"/>
  <c r="K304" i="8"/>
  <c r="K589" i="8"/>
  <c r="I301" i="15"/>
  <c r="AS269" i="15"/>
  <c r="K260" i="8"/>
  <c r="K172" i="8"/>
  <c r="AS181" i="15"/>
  <c r="AS146" i="15"/>
  <c r="I146" i="15"/>
  <c r="I142" i="15"/>
  <c r="AS142" i="15"/>
  <c r="K34" i="8"/>
  <c r="AS52" i="15"/>
  <c r="AS462" i="15"/>
  <c r="K529" i="8"/>
  <c r="AS516" i="15"/>
  <c r="AS540" i="15"/>
  <c r="AS301" i="15"/>
  <c r="AS409" i="15"/>
  <c r="I526" i="15"/>
  <c r="AS277" i="15"/>
  <c r="I209" i="15"/>
  <c r="K378" i="8"/>
  <c r="I379" i="15"/>
  <c r="I205" i="15"/>
  <c r="I289" i="15"/>
  <c r="K390" i="8"/>
  <c r="K288" i="8"/>
  <c r="AS261" i="15"/>
  <c r="AS245" i="15"/>
  <c r="AS331" i="15"/>
  <c r="K322" i="8"/>
  <c r="AS315" i="15"/>
  <c r="K394" i="8"/>
  <c r="K360" i="8"/>
  <c r="K312" i="8"/>
  <c r="AS425" i="15"/>
  <c r="K593" i="8"/>
  <c r="AS379" i="15"/>
  <c r="I265" i="15"/>
  <c r="AS233" i="15"/>
  <c r="AS205" i="15"/>
  <c r="I349" i="15"/>
  <c r="AS177" i="15"/>
  <c r="I193" i="15"/>
  <c r="K216" i="8"/>
  <c r="I225" i="15"/>
  <c r="I327" i="15"/>
  <c r="I309" i="15"/>
  <c r="K224" i="8"/>
  <c r="K497" i="8"/>
  <c r="I313" i="15"/>
  <c r="I397" i="15"/>
  <c r="AS257" i="15"/>
  <c r="I269" i="15"/>
  <c r="I305" i="15"/>
  <c r="I353" i="15"/>
  <c r="AS265" i="15"/>
  <c r="AS433" i="15"/>
  <c r="AS461" i="15"/>
  <c r="AS289" i="15"/>
  <c r="I189" i="15"/>
  <c r="AS173" i="15"/>
  <c r="K268" i="8"/>
  <c r="K200" i="8"/>
  <c r="K155" i="8"/>
  <c r="K61" i="8"/>
  <c r="AS112" i="15"/>
  <c r="AS380" i="15"/>
  <c r="I380" i="15"/>
  <c r="AS305" i="15"/>
  <c r="AS473" i="15"/>
  <c r="AS381" i="15"/>
  <c r="K457" i="8"/>
  <c r="I335" i="15"/>
  <c r="AS343" i="15"/>
  <c r="K326" i="8"/>
  <c r="K490" i="8"/>
  <c r="K176" i="8"/>
  <c r="AS92" i="15"/>
  <c r="K332" i="8"/>
  <c r="I237" i="15"/>
  <c r="AS37" i="15"/>
  <c r="I414" i="15"/>
  <c r="I177" i="15"/>
  <c r="I173" i="15"/>
  <c r="I185" i="15"/>
  <c r="AS368" i="15"/>
  <c r="I331" i="15"/>
  <c r="AS273" i="15"/>
  <c r="K81" i="8"/>
  <c r="AS72" i="15"/>
  <c r="AS80" i="15"/>
  <c r="I96" i="15"/>
  <c r="I31" i="15"/>
  <c r="AS128" i="15"/>
  <c r="I485" i="15"/>
  <c r="AS229" i="15"/>
  <c r="K204" i="8"/>
  <c r="K65" i="8"/>
  <c r="I56" i="15"/>
  <c r="K57" i="8"/>
  <c r="K526" i="8"/>
  <c r="K25" i="8"/>
  <c r="AS561" i="15"/>
  <c r="I311" i="15"/>
  <c r="I319" i="15"/>
  <c r="AS450" i="15"/>
  <c r="AS219" i="15"/>
  <c r="K462" i="8"/>
  <c r="AS307" i="15"/>
  <c r="AS311" i="15"/>
  <c r="AS167" i="15"/>
  <c r="K139" i="8"/>
  <c r="AS223" i="15"/>
  <c r="K267" i="8"/>
  <c r="I279" i="15"/>
  <c r="K219" i="8"/>
  <c r="AS126" i="15"/>
  <c r="I191" i="15"/>
  <c r="AS247" i="15"/>
  <c r="AS279" i="15"/>
  <c r="I102" i="15"/>
  <c r="K79" i="8"/>
  <c r="AS151" i="15"/>
  <c r="K115" i="8"/>
  <c r="K580" i="8"/>
  <c r="AS413" i="15"/>
  <c r="AS397" i="15"/>
  <c r="I357" i="15"/>
  <c r="I321" i="15"/>
  <c r="K317" i="8"/>
  <c r="I233" i="15"/>
  <c r="K465" i="8"/>
  <c r="I453" i="15"/>
  <c r="I481" i="15"/>
  <c r="AS337" i="15"/>
  <c r="I393" i="15"/>
  <c r="K505" i="8"/>
  <c r="I367" i="15"/>
  <c r="AS353" i="15"/>
  <c r="AS437" i="15"/>
  <c r="AS500" i="15"/>
  <c r="K481" i="8"/>
  <c r="K425" i="8"/>
  <c r="I333" i="15"/>
  <c r="AS481" i="15"/>
  <c r="K333" i="8"/>
  <c r="I461" i="15"/>
  <c r="AS341" i="15"/>
  <c r="K401" i="8"/>
  <c r="AS367" i="15"/>
  <c r="K341" i="8"/>
  <c r="AS321" i="15"/>
  <c r="AS401" i="15"/>
  <c r="AS441" i="15"/>
  <c r="I405" i="15"/>
  <c r="I441" i="15"/>
  <c r="AS359" i="15"/>
  <c r="I421" i="15"/>
  <c r="AS213" i="15"/>
  <c r="AS349" i="15"/>
  <c r="AS363" i="15"/>
  <c r="K413" i="8"/>
  <c r="K509" i="8"/>
  <c r="AS512" i="15"/>
  <c r="I375" i="15"/>
  <c r="K449" i="8"/>
  <c r="K337" i="8"/>
  <c r="K461" i="8"/>
  <c r="I497" i="15"/>
  <c r="I157" i="15"/>
  <c r="K249" i="8"/>
  <c r="K177" i="8"/>
  <c r="K165" i="8"/>
  <c r="AS389" i="15"/>
  <c r="K225" i="8"/>
  <c r="I329" i="15"/>
  <c r="K221" i="8"/>
  <c r="AS197" i="15"/>
  <c r="K265" i="8"/>
  <c r="K253" i="8"/>
  <c r="K445" i="8"/>
  <c r="K305" i="8"/>
  <c r="K369" i="8"/>
  <c r="K553" i="8"/>
  <c r="AS221" i="15"/>
  <c r="K469" i="8"/>
  <c r="I317" i="15"/>
  <c r="AS237" i="15"/>
  <c r="AS457" i="15"/>
  <c r="AS357" i="15"/>
  <c r="I425" i="15"/>
  <c r="I273" i="15"/>
  <c r="I325" i="15"/>
  <c r="I341" i="15"/>
  <c r="K536" i="8"/>
  <c r="I429" i="15"/>
  <c r="I371" i="15"/>
  <c r="I417" i="15"/>
  <c r="I297" i="15"/>
  <c r="AS465" i="15"/>
  <c r="AS536" i="15"/>
  <c r="AS532" i="15"/>
  <c r="K441" i="8"/>
  <c r="K421" i="8"/>
  <c r="I383" i="15"/>
  <c r="K405" i="8"/>
  <c r="K417" i="8"/>
  <c r="AS417" i="15"/>
  <c r="K285" i="8"/>
  <c r="K293" i="8"/>
  <c r="I229" i="15"/>
  <c r="I436" i="15"/>
  <c r="I420" i="15"/>
  <c r="I281" i="15"/>
  <c r="AS519" i="15"/>
  <c r="I499" i="15"/>
  <c r="K565" i="8"/>
  <c r="K592" i="8"/>
  <c r="I504" i="15"/>
  <c r="AS504" i="15"/>
  <c r="K581" i="8"/>
  <c r="K587" i="8"/>
  <c r="AS508" i="15"/>
  <c r="AS528" i="15"/>
  <c r="AS533" i="15"/>
  <c r="I470" i="15"/>
  <c r="K545" i="8"/>
  <c r="K578" i="8"/>
  <c r="K2" i="8"/>
  <c r="K525" i="8"/>
  <c r="K420" i="8"/>
  <c r="I569" i="15"/>
  <c r="I570" i="15"/>
  <c r="K584" i="8"/>
  <c r="I582" i="15"/>
  <c r="AS530" i="15"/>
  <c r="AS498" i="15"/>
  <c r="K607" i="8"/>
  <c r="I564" i="15"/>
  <c r="AS511" i="15"/>
  <c r="I511" i="15"/>
  <c r="I463" i="15"/>
  <c r="K518" i="8"/>
  <c r="AS2" i="15"/>
  <c r="AS523" i="15"/>
  <c r="K435" i="8"/>
  <c r="I472" i="15"/>
  <c r="AS541" i="15"/>
  <c r="I462" i="15"/>
  <c r="Q1235" i="15" l="1"/>
  <c r="V1235" i="15"/>
  <c r="V1236" i="15" s="1"/>
  <c r="Z1235" i="15"/>
  <c r="AD1235" i="15"/>
  <c r="AD1240" i="15" s="1"/>
  <c r="AH1235" i="15"/>
  <c r="AH1236" i="15" s="1"/>
  <c r="AL1235" i="15"/>
  <c r="AL1243" i="15" s="1"/>
  <c r="AP1235" i="15"/>
  <c r="AP1244" i="15" s="1"/>
  <c r="T1235" i="15"/>
  <c r="T1244" i="15" s="1"/>
  <c r="X1235" i="15"/>
  <c r="X1241" i="15" s="1"/>
  <c r="AB1235" i="15"/>
  <c r="AB1242" i="15" s="1"/>
  <c r="AF1235" i="15"/>
  <c r="AF1240" i="15" s="1"/>
  <c r="AJ1235" i="15"/>
  <c r="AN1235" i="15"/>
  <c r="AN1243" i="15" s="1"/>
  <c r="AR1235" i="15"/>
  <c r="AR1237" i="15" s="1"/>
  <c r="U1235" i="15"/>
  <c r="U1238" i="15" s="1"/>
  <c r="Y1235" i="15"/>
  <c r="Y1240" i="15" s="1"/>
  <c r="AC1235" i="15"/>
  <c r="AC1238" i="15" s="1"/>
  <c r="AG1235" i="15"/>
  <c r="AG1242" i="15" s="1"/>
  <c r="AK1235" i="15"/>
  <c r="AK1243" i="15" s="1"/>
  <c r="AO1235" i="15"/>
  <c r="R1235" i="15"/>
  <c r="R1239" i="15" s="1"/>
  <c r="S1235" i="15"/>
  <c r="S1236" i="15" s="1"/>
  <c r="W1235" i="15"/>
  <c r="W1242" i="15" s="1"/>
  <c r="AA1235" i="15"/>
  <c r="AA1243" i="15" s="1"/>
  <c r="AE1235" i="15"/>
  <c r="AE1238" i="15" s="1"/>
  <c r="AI1235" i="15"/>
  <c r="AI1244" i="15" s="1"/>
  <c r="AM1235" i="15"/>
  <c r="AM1240" i="15" s="1"/>
  <c r="AQ1235" i="15"/>
  <c r="AQ1244" i="15" s="1"/>
  <c r="M68" i="18"/>
  <c r="AH68" i="18"/>
  <c r="K54" i="15"/>
  <c r="K82" i="15"/>
  <c r="AS668" i="15"/>
  <c r="AS716" i="15"/>
  <c r="AS917" i="15"/>
  <c r="AS824" i="15"/>
  <c r="K603" i="8"/>
  <c r="I587" i="15"/>
  <c r="K587" i="15" s="1"/>
  <c r="I571" i="15"/>
  <c r="K571" i="15" s="1"/>
  <c r="K542" i="15"/>
  <c r="K233" i="15"/>
  <c r="AS568" i="15"/>
  <c r="AS1167" i="15" s="1"/>
  <c r="AS1201" i="15"/>
  <c r="AW69" i="18" s="1"/>
  <c r="K179" i="15"/>
  <c r="K263" i="15"/>
  <c r="AS697" i="15"/>
  <c r="K325" i="15"/>
  <c r="AU80" i="18"/>
  <c r="I588" i="15"/>
  <c r="K588" i="15" s="1"/>
  <c r="K30" i="15"/>
  <c r="K242" i="15"/>
  <c r="AS726" i="15"/>
  <c r="AS704" i="15"/>
  <c r="K65" i="15"/>
  <c r="K97" i="15"/>
  <c r="K337" i="15"/>
  <c r="K437" i="15"/>
  <c r="AS775" i="15"/>
  <c r="AJ73" i="18"/>
  <c r="AJ81" i="18"/>
  <c r="AJ83" i="18"/>
  <c r="AJ69" i="18"/>
  <c r="N1238" i="15"/>
  <c r="AT1238" i="15"/>
  <c r="AJ85" i="18"/>
  <c r="AJ79" i="18"/>
  <c r="K50" i="15"/>
  <c r="K126" i="15"/>
  <c r="AS764" i="15"/>
  <c r="AS792" i="15"/>
  <c r="K77" i="15"/>
  <c r="K101" i="15"/>
  <c r="K277" i="15"/>
  <c r="K293" i="15"/>
  <c r="AS639" i="15"/>
  <c r="K414" i="8"/>
  <c r="K342" i="8"/>
  <c r="AS416" i="15"/>
  <c r="AS1015" i="15" s="1"/>
  <c r="AX74" i="18"/>
  <c r="K283" i="15"/>
  <c r="AV76" i="18"/>
  <c r="AS662" i="15"/>
  <c r="AS850" i="15"/>
  <c r="K240" i="15"/>
  <c r="AS1090" i="15"/>
  <c r="AS734" i="15"/>
  <c r="K484" i="8"/>
  <c r="K548" i="8"/>
  <c r="I547" i="15"/>
  <c r="K547" i="15" s="1"/>
  <c r="AS515" i="15"/>
  <c r="AS1114" i="15" s="1"/>
  <c r="K328" i="8"/>
  <c r="AS420" i="15"/>
  <c r="AS1019" i="15" s="1"/>
  <c r="I220" i="15"/>
  <c r="K220" i="15" s="1"/>
  <c r="AS264" i="15"/>
  <c r="AS863" i="15" s="1"/>
  <c r="I232" i="15"/>
  <c r="K232" i="15" s="1"/>
  <c r="AS220" i="15"/>
  <c r="AS819" i="15" s="1"/>
  <c r="K401" i="15"/>
  <c r="AS647" i="15"/>
  <c r="AS675" i="15"/>
  <c r="AS879" i="15"/>
  <c r="AS883" i="15"/>
  <c r="AS899" i="15"/>
  <c r="K564" i="8"/>
  <c r="K492" i="8"/>
  <c r="K408" i="8"/>
  <c r="I300" i="15"/>
  <c r="K300" i="15" s="1"/>
  <c r="I340" i="15"/>
  <c r="K340" i="15" s="1"/>
  <c r="I224" i="15"/>
  <c r="K224" i="15" s="1"/>
  <c r="K196" i="8"/>
  <c r="I260" i="15"/>
  <c r="K260" i="15" s="1"/>
  <c r="I288" i="15"/>
  <c r="K288" i="15" s="1"/>
  <c r="I244" i="15"/>
  <c r="K244" i="15" s="1"/>
  <c r="AS332" i="15"/>
  <c r="AS931" i="15" s="1"/>
  <c r="AS304" i="15"/>
  <c r="AS903" i="15" s="1"/>
  <c r="K280" i="8"/>
  <c r="K264" i="8"/>
  <c r="K240" i="8"/>
  <c r="AS521" i="15"/>
  <c r="AS1120" i="15" s="1"/>
  <c r="I585" i="15"/>
  <c r="K585" i="15" s="1"/>
  <c r="K528" i="8"/>
  <c r="K212" i="8"/>
  <c r="K605" i="8"/>
  <c r="I577" i="15"/>
  <c r="K577" i="15" s="1"/>
  <c r="I480" i="15"/>
  <c r="K480" i="15" s="1"/>
  <c r="AS352" i="15"/>
  <c r="AS951" i="15" s="1"/>
  <c r="AS244" i="15"/>
  <c r="AS843" i="15" s="1"/>
  <c r="I204" i="15"/>
  <c r="K204" i="15" s="1"/>
  <c r="AS340" i="15"/>
  <c r="AS939" i="15" s="1"/>
  <c r="I256" i="15"/>
  <c r="K256" i="15" s="1"/>
  <c r="K248" i="8"/>
  <c r="AS531" i="15"/>
  <c r="AS1130" i="15" s="1"/>
  <c r="K136" i="15"/>
  <c r="I308" i="15"/>
  <c r="K308" i="15" s="1"/>
  <c r="K284" i="8"/>
  <c r="I292" i="15"/>
  <c r="K292" i="15" s="1"/>
  <c r="I196" i="15"/>
  <c r="K196" i="15" s="1"/>
  <c r="K582" i="15"/>
  <c r="K570" i="15"/>
  <c r="AS1183" i="15"/>
  <c r="K569" i="15"/>
  <c r="K581" i="15"/>
  <c r="AS1172" i="15"/>
  <c r="AS1168" i="15"/>
  <c r="K574" i="15"/>
  <c r="K566" i="15"/>
  <c r="AS1182" i="15"/>
  <c r="K579" i="15"/>
  <c r="K576" i="15"/>
  <c r="AV70" i="18"/>
  <c r="AW74" i="18"/>
  <c r="I473" i="15"/>
  <c r="K473" i="15" s="1"/>
  <c r="AS748" i="15"/>
  <c r="AV78" i="18"/>
  <c r="AS431" i="15"/>
  <c r="AS1030" i="15" s="1"/>
  <c r="AW78" i="18"/>
  <c r="AS544" i="15"/>
  <c r="AS1143" i="15" s="1"/>
  <c r="K557" i="8"/>
  <c r="AW80" i="18"/>
  <c r="AX72" i="18"/>
  <c r="AU72" i="18"/>
  <c r="AW70" i="18"/>
  <c r="AX70" i="18"/>
  <c r="I482" i="15"/>
  <c r="K482" i="15" s="1"/>
  <c r="AS1153" i="15"/>
  <c r="AS1110" i="15"/>
  <c r="AS1118" i="15"/>
  <c r="AS930" i="15"/>
  <c r="K336" i="15"/>
  <c r="K24" i="15"/>
  <c r="AS826" i="15"/>
  <c r="I490" i="15"/>
  <c r="K490" i="15" s="1"/>
  <c r="K328" i="15"/>
  <c r="K384" i="15"/>
  <c r="K28" i="15"/>
  <c r="AS986" i="15"/>
  <c r="AS1034" i="15"/>
  <c r="AS738" i="15"/>
  <c r="K19" i="15"/>
  <c r="K31" i="15"/>
  <c r="K185" i="15"/>
  <c r="K221" i="15"/>
  <c r="K127" i="15"/>
  <c r="I527" i="15"/>
  <c r="K527" i="15" s="1"/>
  <c r="I505" i="15"/>
  <c r="K505" i="15" s="1"/>
  <c r="K474" i="15"/>
  <c r="K438" i="15"/>
  <c r="K431" i="15"/>
  <c r="K358" i="15"/>
  <c r="AS1038" i="15"/>
  <c r="K303" i="15"/>
  <c r="AS1099" i="15"/>
  <c r="K383" i="15"/>
  <c r="AS606" i="15"/>
  <c r="AS959" i="15"/>
  <c r="AS963" i="15"/>
  <c r="AS1157" i="15"/>
  <c r="AS842" i="15"/>
  <c r="AS492" i="15"/>
  <c r="AS1091" i="15" s="1"/>
  <c r="AS455" i="15"/>
  <c r="AS1054" i="15" s="1"/>
  <c r="I561" i="15"/>
  <c r="K561" i="15" s="1"/>
  <c r="Q1240" i="15"/>
  <c r="I532" i="15"/>
  <c r="K532" i="15" s="1"/>
  <c r="AV80" i="18"/>
  <c r="AV74" i="18"/>
  <c r="AW72" i="18"/>
  <c r="AS1056" i="15"/>
  <c r="AS952" i="15"/>
  <c r="AS876" i="15"/>
  <c r="AS1084" i="15"/>
  <c r="K210" i="15"/>
  <c r="K95" i="15"/>
  <c r="K37" i="15"/>
  <c r="K121" i="15"/>
  <c r="K217" i="15"/>
  <c r="K433" i="15"/>
  <c r="AS743" i="15"/>
  <c r="AS803" i="15"/>
  <c r="K574" i="8"/>
  <c r="AS1145" i="15"/>
  <c r="K442" i="15"/>
  <c r="K386" i="15"/>
  <c r="K478" i="8"/>
  <c r="AS574" i="15"/>
  <c r="AS1173" i="15" s="1"/>
  <c r="AL73" i="18"/>
  <c r="N1242" i="15"/>
  <c r="AS542" i="15"/>
  <c r="AS1141" i="15" s="1"/>
  <c r="K402" i="8"/>
  <c r="AS406" i="15"/>
  <c r="AS1005" i="15" s="1"/>
  <c r="K406" i="8"/>
  <c r="AS888" i="15"/>
  <c r="AS585" i="15"/>
  <c r="AS1184" i="15" s="1"/>
  <c r="AS581" i="15"/>
  <c r="AS1180" i="15" s="1"/>
  <c r="AS398" i="15"/>
  <c r="AS997" i="15" s="1"/>
  <c r="AS470" i="15"/>
  <c r="AS1069" i="15" s="1"/>
  <c r="I418" i="15"/>
  <c r="K418" i="15" s="1"/>
  <c r="K366" i="8"/>
  <c r="K475" i="8"/>
  <c r="K374" i="8"/>
  <c r="K343" i="15"/>
  <c r="K63" i="15"/>
  <c r="K3" i="15"/>
  <c r="AS565" i="15"/>
  <c r="AS1164" i="15" s="1"/>
  <c r="K36" i="15"/>
  <c r="K60" i="15"/>
  <c r="K92" i="15"/>
  <c r="K108" i="15"/>
  <c r="K120" i="15"/>
  <c r="K128" i="15"/>
  <c r="K156" i="15"/>
  <c r="AS854" i="15"/>
  <c r="AS974" i="15"/>
  <c r="AS520" i="15"/>
  <c r="AS1119" i="15" s="1"/>
  <c r="I471" i="15"/>
  <c r="K471" i="15" s="1"/>
  <c r="AS415" i="15"/>
  <c r="AS1014" i="15" s="1"/>
  <c r="AS459" i="15"/>
  <c r="AS1058" i="15" s="1"/>
  <c r="AS559" i="15"/>
  <c r="AS1158" i="15" s="1"/>
  <c r="AS1163" i="15"/>
  <c r="AS948" i="15"/>
  <c r="AS864" i="15"/>
  <c r="K267" i="15"/>
  <c r="K275" i="15"/>
  <c r="K459" i="15"/>
  <c r="AS518" i="15"/>
  <c r="AS1117" i="15" s="1"/>
  <c r="I548" i="15"/>
  <c r="K548" i="15" s="1"/>
  <c r="K537" i="8"/>
  <c r="AS1125" i="15"/>
  <c r="I541" i="15"/>
  <c r="K541" i="15" s="1"/>
  <c r="AU78" i="18"/>
  <c r="I545" i="15"/>
  <c r="K545" i="15" s="1"/>
  <c r="AS1129" i="15"/>
  <c r="AS551" i="15"/>
  <c r="AS1150" i="15" s="1"/>
  <c r="K371" i="15"/>
  <c r="AS578" i="15"/>
  <c r="AS1177" i="15" s="1"/>
  <c r="K102" i="15"/>
  <c r="K562" i="8"/>
  <c r="K331" i="15"/>
  <c r="K335" i="15"/>
  <c r="K142" i="15"/>
  <c r="K287" i="15"/>
  <c r="K29" i="15"/>
  <c r="K49" i="15"/>
  <c r="K69" i="15"/>
  <c r="K73" i="15"/>
  <c r="K93" i="15"/>
  <c r="K171" i="15"/>
  <c r="K195" i="15"/>
  <c r="K239" i="15"/>
  <c r="K322" i="15"/>
  <c r="K450" i="15"/>
  <c r="AS929" i="15"/>
  <c r="K582" i="8"/>
  <c r="AG68" i="18"/>
  <c r="I583" i="15"/>
  <c r="K583" i="15" s="1"/>
  <c r="K539" i="8"/>
  <c r="AS579" i="15"/>
  <c r="AS1178" i="15" s="1"/>
  <c r="AS587" i="15"/>
  <c r="AS1186" i="15" s="1"/>
  <c r="AS570" i="15"/>
  <c r="AS1169" i="15" s="1"/>
  <c r="I562" i="15"/>
  <c r="K562" i="15" s="1"/>
  <c r="I558" i="15"/>
  <c r="K558" i="15" s="1"/>
  <c r="AS537" i="15"/>
  <c r="AS1136" i="15" s="1"/>
  <c r="K367" i="15"/>
  <c r="AS1012" i="15"/>
  <c r="K279" i="15"/>
  <c r="I523" i="15"/>
  <c r="K523" i="15" s="1"/>
  <c r="K470" i="8"/>
  <c r="K554" i="8"/>
  <c r="AS466" i="15"/>
  <c r="AS1065" i="15" s="1"/>
  <c r="AS856" i="15"/>
  <c r="K602" i="8"/>
  <c r="I430" i="15"/>
  <c r="AS575" i="15"/>
  <c r="AS1174" i="15" s="1"/>
  <c r="I493" i="15"/>
  <c r="K493" i="15" s="1"/>
  <c r="AS458" i="15"/>
  <c r="AS1057" i="15" s="1"/>
  <c r="AS884" i="15"/>
  <c r="AS880" i="15"/>
  <c r="K351" i="15"/>
  <c r="K236" i="15"/>
  <c r="K272" i="15"/>
  <c r="K268" i="15"/>
  <c r="AS438" i="15"/>
  <c r="AS1037" i="15" s="1"/>
  <c r="K130" i="15"/>
  <c r="K134" i="15"/>
  <c r="AS676" i="15"/>
  <c r="K32" i="15"/>
  <c r="K112" i="15"/>
  <c r="K250" i="15"/>
  <c r="K266" i="15"/>
  <c r="K285" i="15"/>
  <c r="K389" i="15"/>
  <c r="K409" i="15"/>
  <c r="K413" i="15"/>
  <c r="K465" i="15"/>
  <c r="AS731" i="15"/>
  <c r="AS739" i="15"/>
  <c r="AS763" i="15"/>
  <c r="AS807" i="15"/>
  <c r="K398" i="8"/>
  <c r="AS502" i="15"/>
  <c r="AS1101" i="15" s="1"/>
  <c r="AS482" i="15"/>
  <c r="AS1081" i="15" s="1"/>
  <c r="K454" i="8"/>
  <c r="K438" i="8"/>
  <c r="I514" i="15"/>
  <c r="K514" i="15" s="1"/>
  <c r="K586" i="8"/>
  <c r="I554" i="15"/>
  <c r="K554" i="15" s="1"/>
  <c r="K519" i="15"/>
  <c r="K506" i="8"/>
  <c r="AS446" i="15"/>
  <c r="AS1045" i="15" s="1"/>
  <c r="AS582" i="15"/>
  <c r="AS1181" i="15" s="1"/>
  <c r="U68" i="18"/>
  <c r="AS601" i="15"/>
  <c r="K535" i="8"/>
  <c r="K598" i="8"/>
  <c r="AS571" i="15"/>
  <c r="AS1170" i="15" s="1"/>
  <c r="AS1016" i="15"/>
  <c r="AS567" i="15"/>
  <c r="AS1166" i="15" s="1"/>
  <c r="I567" i="15"/>
  <c r="K567" i="15" s="1"/>
  <c r="K613" i="8"/>
  <c r="AS636" i="15"/>
  <c r="K370" i="8"/>
  <c r="K353" i="15"/>
  <c r="AS832" i="15"/>
  <c r="K379" i="15"/>
  <c r="K526" i="15"/>
  <c r="AS900" i="15"/>
  <c r="AS868" i="15"/>
  <c r="AS907" i="15"/>
  <c r="I364" i="15"/>
  <c r="K364" i="15" s="1"/>
  <c r="I489" i="15"/>
  <c r="K489" i="15" s="1"/>
  <c r="K88" i="15"/>
  <c r="AS497" i="15"/>
  <c r="AS1096" i="15" s="1"/>
  <c r="I455" i="15"/>
  <c r="K455" i="15" s="1"/>
  <c r="K469" i="15"/>
  <c r="K61" i="15"/>
  <c r="K164" i="15"/>
  <c r="AS847" i="15"/>
  <c r="K299" i="15"/>
  <c r="AS817" i="15"/>
  <c r="K20" i="15"/>
  <c r="K391" i="15"/>
  <c r="AS608" i="15"/>
  <c r="AS968" i="15"/>
  <c r="AS681" i="15"/>
  <c r="AS732" i="15"/>
  <c r="K139" i="15"/>
  <c r="K161" i="15"/>
  <c r="K241" i="15"/>
  <c r="K261" i="15"/>
  <c r="K528" i="15"/>
  <c r="AS654" i="15"/>
  <c r="AS698" i="15"/>
  <c r="AS714" i="15"/>
  <c r="AS774" i="15"/>
  <c r="AS806" i="15"/>
  <c r="AS810" i="15"/>
  <c r="AS902" i="15"/>
  <c r="AS918" i="15"/>
  <c r="AS982" i="15"/>
  <c r="K430" i="15"/>
  <c r="K333" i="15"/>
  <c r="K549" i="15"/>
  <c r="AS757" i="15"/>
  <c r="K520" i="15"/>
  <c r="AS1051" i="15"/>
  <c r="AS875" i="15"/>
  <c r="AS1161" i="15"/>
  <c r="AS978" i="15"/>
  <c r="K76" i="15"/>
  <c r="K402" i="15"/>
  <c r="AS915" i="15"/>
  <c r="AS1082" i="15"/>
  <c r="K141" i="15"/>
  <c r="AS783" i="15"/>
  <c r="K175" i="15"/>
  <c r="AS611" i="15"/>
  <c r="AS686" i="15"/>
  <c r="AS767" i="15"/>
  <c r="AS677" i="15"/>
  <c r="K58" i="15"/>
  <c r="AS1071" i="15"/>
  <c r="AS938" i="15"/>
  <c r="AS1111" i="15"/>
  <c r="K441" i="15"/>
  <c r="AS967" i="15"/>
  <c r="K350" i="15"/>
  <c r="K406" i="15"/>
  <c r="K41" i="15"/>
  <c r="AS791" i="15"/>
  <c r="AS635" i="15"/>
  <c r="AS1122" i="15"/>
  <c r="AS1010" i="15"/>
  <c r="AS1097" i="15"/>
  <c r="AS1103" i="15"/>
  <c r="AS766" i="15"/>
  <c r="AS942" i="15"/>
  <c r="K301" i="15"/>
  <c r="K72" i="15"/>
  <c r="K270" i="15"/>
  <c r="K390" i="15"/>
  <c r="K202" i="15"/>
  <c r="K310" i="15"/>
  <c r="AS971" i="15"/>
  <c r="AS994" i="15"/>
  <c r="K422" i="15"/>
  <c r="K298" i="15"/>
  <c r="K154" i="15"/>
  <c r="K201" i="15"/>
  <c r="K116" i="15"/>
  <c r="AS919" i="15"/>
  <c r="AS755" i="15"/>
  <c r="AS623" i="15"/>
  <c r="K33" i="15"/>
  <c r="AS793" i="15"/>
  <c r="K21" i="15"/>
  <c r="AS794" i="15"/>
  <c r="K243" i="15"/>
  <c r="AS626" i="15"/>
  <c r="AS661" i="15"/>
  <c r="K10" i="15"/>
  <c r="K491" i="8"/>
  <c r="K522" i="15"/>
  <c r="AS1095" i="15"/>
  <c r="AS1083" i="15"/>
  <c r="K228" i="15"/>
  <c r="K484" i="15"/>
  <c r="K488" i="15"/>
  <c r="AS1050" i="15"/>
  <c r="I556" i="15"/>
  <c r="K556" i="15" s="1"/>
  <c r="AS556" i="15"/>
  <c r="AS1155" i="15" s="1"/>
  <c r="AS539" i="15"/>
  <c r="AS1138" i="15" s="1"/>
  <c r="K556" i="8"/>
  <c r="I539" i="15"/>
  <c r="K539" i="15" s="1"/>
  <c r="I525" i="15"/>
  <c r="K525" i="15" s="1"/>
  <c r="AS525" i="15"/>
  <c r="AS1124" i="15" s="1"/>
  <c r="AS503" i="15"/>
  <c r="AS1102" i="15" s="1"/>
  <c r="I503" i="15"/>
  <c r="K503" i="15" s="1"/>
  <c r="K508" i="8"/>
  <c r="AS495" i="15"/>
  <c r="AS1094" i="15" s="1"/>
  <c r="AS487" i="15"/>
  <c r="AS1086" i="15" s="1"/>
  <c r="K500" i="8"/>
  <c r="K476" i="8"/>
  <c r="I464" i="15"/>
  <c r="K464" i="15" s="1"/>
  <c r="I456" i="15"/>
  <c r="K456" i="15" s="1"/>
  <c r="K468" i="8"/>
  <c r="K460" i="8"/>
  <c r="I448" i="15"/>
  <c r="K448" i="15" s="1"/>
  <c r="K452" i="8"/>
  <c r="I440" i="15"/>
  <c r="K440" i="15" s="1"/>
  <c r="AS440" i="15"/>
  <c r="AS1039" i="15" s="1"/>
  <c r="I432" i="15"/>
  <c r="K432" i="15" s="1"/>
  <c r="K444" i="8"/>
  <c r="K436" i="8"/>
  <c r="I424" i="15"/>
  <c r="K424" i="15" s="1"/>
  <c r="AS408" i="15"/>
  <c r="AS1007" i="15" s="1"/>
  <c r="I408" i="15"/>
  <c r="K408" i="15" s="1"/>
  <c r="AS400" i="15"/>
  <c r="AS999" i="15" s="1"/>
  <c r="K412" i="8"/>
  <c r="I400" i="15"/>
  <c r="K400" i="15" s="1"/>
  <c r="AS392" i="15"/>
  <c r="K404" i="8"/>
  <c r="I392" i="15"/>
  <c r="K392" i="15" s="1"/>
  <c r="AS378" i="15"/>
  <c r="AS977" i="15" s="1"/>
  <c r="K388" i="8"/>
  <c r="K380" i="8"/>
  <c r="AS370" i="15"/>
  <c r="AS969" i="15" s="1"/>
  <c r="I370" i="15"/>
  <c r="K370" i="15" s="1"/>
  <c r="K516" i="8"/>
  <c r="AS560" i="15"/>
  <c r="AS1159" i="15" s="1"/>
  <c r="K512" i="8"/>
  <c r="I495" i="15"/>
  <c r="K495" i="15" s="1"/>
  <c r="K532" i="8"/>
  <c r="AS468" i="15"/>
  <c r="AS1067" i="15" s="1"/>
  <c r="K520" i="8"/>
  <c r="AS424" i="15"/>
  <c r="AS1023" i="15" s="1"/>
  <c r="K496" i="8"/>
  <c r="K129" i="15"/>
  <c r="K167" i="15"/>
  <c r="K235" i="15"/>
  <c r="AS991" i="15"/>
  <c r="N1244" i="15"/>
  <c r="AS1209" i="15"/>
  <c r="AW85" i="18" s="1"/>
  <c r="K608" i="8"/>
  <c r="I584" i="15"/>
  <c r="K584" i="15" s="1"/>
  <c r="AS580" i="15"/>
  <c r="AS1179" i="15" s="1"/>
  <c r="I580" i="15"/>
  <c r="K580" i="15" s="1"/>
  <c r="I553" i="15"/>
  <c r="K553" i="15" s="1"/>
  <c r="AS553" i="15"/>
  <c r="AS1152" i="15" s="1"/>
  <c r="K576" i="8"/>
  <c r="AS543" i="15"/>
  <c r="AS1142" i="15" s="1"/>
  <c r="I543" i="15"/>
  <c r="K543" i="15" s="1"/>
  <c r="K560" i="8"/>
  <c r="AS535" i="15"/>
  <c r="AS1134" i="15" s="1"/>
  <c r="K552" i="8"/>
  <c r="K504" i="8"/>
  <c r="I491" i="15"/>
  <c r="K491" i="15" s="1"/>
  <c r="AS476" i="15"/>
  <c r="AS1075" i="15" s="1"/>
  <c r="K488" i="8"/>
  <c r="K472" i="8"/>
  <c r="AS460" i="15"/>
  <c r="AS1059" i="15" s="1"/>
  <c r="I460" i="15"/>
  <c r="K460" i="15" s="1"/>
  <c r="K464" i="8"/>
  <c r="I452" i="15"/>
  <c r="K452" i="15" s="1"/>
  <c r="I444" i="15"/>
  <c r="K444" i="15" s="1"/>
  <c r="AS444" i="15"/>
  <c r="AS1043" i="15" s="1"/>
  <c r="AS428" i="15"/>
  <c r="AS1027" i="15" s="1"/>
  <c r="K440" i="8"/>
  <c r="K424" i="8"/>
  <c r="I412" i="15"/>
  <c r="K412" i="15" s="1"/>
  <c r="AS404" i="15"/>
  <c r="AS1003" i="15" s="1"/>
  <c r="K416" i="8"/>
  <c r="AS388" i="15"/>
  <c r="AS987" i="15" s="1"/>
  <c r="K400" i="8"/>
  <c r="I388" i="15"/>
  <c r="K388" i="15" s="1"/>
  <c r="AS382" i="15"/>
  <c r="AS981" i="15" s="1"/>
  <c r="K392" i="8"/>
  <c r="I382" i="15"/>
  <c r="K382" i="15" s="1"/>
  <c r="K384" i="8"/>
  <c r="I374" i="15"/>
  <c r="K374" i="15" s="1"/>
  <c r="AS366" i="15"/>
  <c r="AS965" i="15" s="1"/>
  <c r="I366" i="15"/>
  <c r="K366" i="15" s="1"/>
  <c r="K372" i="8"/>
  <c r="AS362" i="15"/>
  <c r="AS961" i="15" s="1"/>
  <c r="I356" i="15"/>
  <c r="K356" i="15" s="1"/>
  <c r="K364" i="8"/>
  <c r="AS348" i="15"/>
  <c r="AS947" i="15" s="1"/>
  <c r="K356" i="8"/>
  <c r="K352" i="8"/>
  <c r="AS344" i="15"/>
  <c r="AS943" i="15" s="1"/>
  <c r="K313" i="15"/>
  <c r="K5" i="15"/>
  <c r="K43" i="15"/>
  <c r="K55" i="15"/>
  <c r="K143" i="15"/>
  <c r="K147" i="15"/>
  <c r="K165" i="15"/>
  <c r="K181" i="15"/>
  <c r="K245" i="15"/>
  <c r="K257" i="15"/>
  <c r="K304" i="15"/>
  <c r="K320" i="15"/>
  <c r="K515" i="15"/>
  <c r="AS625" i="15"/>
  <c r="K220" i="8"/>
  <c r="K511" i="8"/>
  <c r="K571" i="8"/>
  <c r="AS563" i="15"/>
  <c r="AS1162" i="15" s="1"/>
  <c r="I2" i="15"/>
  <c r="K2" i="15" s="1"/>
  <c r="K521" i="8"/>
  <c r="I575" i="15"/>
  <c r="K575" i="15" s="1"/>
  <c r="I477" i="15"/>
  <c r="K477" i="15" s="1"/>
  <c r="AS477" i="15"/>
  <c r="AS1076" i="15" s="1"/>
  <c r="K597" i="8"/>
  <c r="K292" i="8"/>
  <c r="AS288" i="15"/>
  <c r="AS887" i="15" s="1"/>
  <c r="AS577" i="15"/>
  <c r="AS1176" i="15" s="1"/>
  <c r="I573" i="15"/>
  <c r="K573" i="15" s="1"/>
  <c r="AS488" i="15"/>
  <c r="AS1087" i="15" s="1"/>
  <c r="AS447" i="15"/>
  <c r="AS1046" i="15" s="1"/>
  <c r="I152" i="15"/>
  <c r="K152" i="15" s="1"/>
  <c r="AS328" i="15"/>
  <c r="AS927" i="15" s="1"/>
  <c r="I176" i="15"/>
  <c r="K176" i="15" s="1"/>
  <c r="K184" i="8"/>
  <c r="I160" i="15"/>
  <c r="K160" i="15" s="1"/>
  <c r="AS534" i="15"/>
  <c r="AS1133" i="15" s="1"/>
  <c r="AS160" i="15"/>
  <c r="AS759" i="15" s="1"/>
  <c r="K78" i="15"/>
  <c r="K86" i="15"/>
  <c r="K110" i="15"/>
  <c r="K114" i="15"/>
  <c r="K122" i="15"/>
  <c r="K168" i="15"/>
  <c r="K188" i="15"/>
  <c r="K363" i="15"/>
  <c r="AS656" i="15"/>
  <c r="AS660" i="15"/>
  <c r="AS684" i="15"/>
  <c r="AS720" i="15"/>
  <c r="AS724" i="15"/>
  <c r="AS728" i="15"/>
  <c r="AS756" i="15"/>
  <c r="AS768" i="15"/>
  <c r="AS784" i="15"/>
  <c r="AS808" i="15"/>
  <c r="AS840" i="15"/>
  <c r="AS848" i="15"/>
  <c r="AS852" i="15"/>
  <c r="AS908" i="15"/>
  <c r="AS912" i="15"/>
  <c r="AS924" i="15"/>
  <c r="AS928" i="15"/>
  <c r="AS932" i="15"/>
  <c r="AS960" i="15"/>
  <c r="AS992" i="15"/>
  <c r="AS1004" i="15"/>
  <c r="AS1028" i="15"/>
  <c r="AS1044" i="15"/>
  <c r="AS1048" i="15"/>
  <c r="AS1052" i="15"/>
  <c r="P1237" i="15"/>
  <c r="AV84" i="18"/>
  <c r="K578" i="15"/>
  <c r="AS1100" i="15"/>
  <c r="AS980" i="15"/>
  <c r="AS1060" i="15"/>
  <c r="AS1139" i="15"/>
  <c r="AS849" i="15"/>
  <c r="AS633" i="15"/>
  <c r="AS873" i="15"/>
  <c r="AS717" i="15"/>
  <c r="AS889" i="15"/>
  <c r="K166" i="15"/>
  <c r="AS821" i="15"/>
  <c r="K105" i="15"/>
  <c r="AS737" i="15"/>
  <c r="AS829" i="15"/>
  <c r="AS865" i="15"/>
  <c r="AS753" i="15"/>
  <c r="AS805" i="15"/>
  <c r="AS613" i="15"/>
  <c r="AS833" i="15"/>
  <c r="AS858" i="15"/>
  <c r="K295" i="15"/>
  <c r="K550" i="15"/>
  <c r="AS1144" i="15"/>
  <c r="K508" i="15"/>
  <c r="K479" i="15"/>
  <c r="K447" i="15"/>
  <c r="K472" i="15"/>
  <c r="AS996" i="15"/>
  <c r="K68" i="15"/>
  <c r="K124" i="15"/>
  <c r="K314" i="15"/>
  <c r="AS897" i="15"/>
  <c r="AS769" i="15"/>
  <c r="AS1156" i="15"/>
  <c r="X68" i="18"/>
  <c r="AS1113" i="15"/>
  <c r="AS956" i="15"/>
  <c r="AS705" i="15"/>
  <c r="AS1092" i="15"/>
  <c r="AS853" i="15"/>
  <c r="K369" i="15"/>
  <c r="K373" i="15"/>
  <c r="AS845" i="15"/>
  <c r="AS881" i="15"/>
  <c r="AS785" i="15"/>
  <c r="K99" i="15"/>
  <c r="AS730" i="15"/>
  <c r="AS670" i="15"/>
  <c r="AS798" i="15"/>
  <c r="K199" i="15"/>
  <c r="K137" i="15"/>
  <c r="AS621" i="15"/>
  <c r="K426" i="15"/>
  <c r="K183" i="15"/>
  <c r="AS782" i="15"/>
  <c r="AS713" i="15"/>
  <c r="AS674" i="15"/>
  <c r="K163" i="15"/>
  <c r="K563" i="15"/>
  <c r="AS604" i="15"/>
  <c r="AS816" i="15"/>
  <c r="K511" i="15"/>
  <c r="K470" i="15"/>
  <c r="AS1127" i="15"/>
  <c r="K504" i="15"/>
  <c r="AS1011" i="15"/>
  <c r="AS1135" i="15"/>
  <c r="K421" i="15"/>
  <c r="AS940" i="15"/>
  <c r="AS1072" i="15"/>
  <c r="AS904" i="15"/>
  <c r="K189" i="15"/>
  <c r="AS860" i="15"/>
  <c r="AS1021" i="15"/>
  <c r="AS1053" i="15"/>
  <c r="AS1013" i="15"/>
  <c r="AS857" i="15"/>
  <c r="K338" i="15"/>
  <c r="AS921" i="15"/>
  <c r="K535" i="15"/>
  <c r="AS841" i="15"/>
  <c r="AS837" i="15"/>
  <c r="AS877" i="15"/>
  <c r="AS1047" i="15"/>
  <c r="K318" i="15"/>
  <c r="K198" i="15"/>
  <c r="AS916" i="15"/>
  <c r="K44" i="15"/>
  <c r="AS629" i="15"/>
  <c r="K40" i="15"/>
  <c r="AS740" i="15"/>
  <c r="K87" i="15"/>
  <c r="K312" i="15"/>
  <c r="K345" i="15"/>
  <c r="K51" i="15"/>
  <c r="K258" i="15"/>
  <c r="AS813" i="15"/>
  <c r="AS666" i="15"/>
  <c r="K83" i="15"/>
  <c r="K123" i="15"/>
  <c r="AS761" i="15"/>
  <c r="AS809" i="15"/>
  <c r="K360" i="15"/>
  <c r="AS983" i="15"/>
  <c r="K454" i="15"/>
  <c r="K26" i="15"/>
  <c r="K94" i="15"/>
  <c r="AS641" i="15"/>
  <c r="K46" i="15"/>
  <c r="AS790" i="15"/>
  <c r="AS838" i="15"/>
  <c r="K144" i="15"/>
  <c r="AS709" i="15"/>
  <c r="K259" i="15"/>
  <c r="AS749" i="15"/>
  <c r="K12" i="15"/>
  <c r="AT1243" i="15"/>
  <c r="K66" i="15"/>
  <c r="AS811" i="15"/>
  <c r="AS1089" i="15"/>
  <c r="AS1062" i="15"/>
  <c r="K483" i="15"/>
  <c r="AS1068" i="15"/>
  <c r="AT1241" i="15"/>
  <c r="AS744" i="15"/>
  <c r="AS772" i="15"/>
  <c r="K457" i="15"/>
  <c r="K461" i="15"/>
  <c r="AT1244" i="15"/>
  <c r="K378" i="15"/>
  <c r="K516" i="15"/>
  <c r="AS1001" i="15"/>
  <c r="AS1128" i="15"/>
  <c r="AS522" i="15"/>
  <c r="AS1121" i="15" s="1"/>
  <c r="I538" i="15"/>
  <c r="K538" i="15" s="1"/>
  <c r="AS538" i="15"/>
  <c r="AS1137" i="15" s="1"/>
  <c r="I506" i="15"/>
  <c r="K506" i="15" s="1"/>
  <c r="AS506" i="15"/>
  <c r="AS1105" i="15" s="1"/>
  <c r="I586" i="15"/>
  <c r="K586" i="15" s="1"/>
  <c r="AS586" i="15"/>
  <c r="AS1185" i="15" s="1"/>
  <c r="AS576" i="15"/>
  <c r="AS1175" i="15" s="1"/>
  <c r="K600" i="8"/>
  <c r="AS566" i="15"/>
  <c r="AS1165" i="15" s="1"/>
  <c r="K590" i="8"/>
  <c r="AT1239" i="15"/>
  <c r="AT1236" i="15"/>
  <c r="AS479" i="15"/>
  <c r="AS1078" i="15" s="1"/>
  <c r="AS524" i="15"/>
  <c r="AS1123" i="15" s="1"/>
  <c r="AS550" i="15"/>
  <c r="AS1149" i="15" s="1"/>
  <c r="K503" i="8"/>
  <c r="K519" i="8"/>
  <c r="AS555" i="15"/>
  <c r="AS1154" i="15" s="1"/>
  <c r="AL75" i="18"/>
  <c r="K417" i="15"/>
  <c r="K157" i="15"/>
  <c r="K583" i="8"/>
  <c r="AS679" i="15"/>
  <c r="K237" i="15"/>
  <c r="AS711" i="15"/>
  <c r="K305" i="15"/>
  <c r="K225" i="15"/>
  <c r="AS776" i="15"/>
  <c r="AS914" i="15"/>
  <c r="AS651" i="15"/>
  <c r="K190" i="15"/>
  <c r="I518" i="15"/>
  <c r="K518" i="15" s="1"/>
  <c r="K361" i="15"/>
  <c r="K206" i="15"/>
  <c r="AS663" i="15"/>
  <c r="AS631" i="15"/>
  <c r="AS692" i="15"/>
  <c r="AS760" i="15"/>
  <c r="K316" i="15"/>
  <c r="K284" i="15"/>
  <c r="K27" i="15"/>
  <c r="AS831" i="15"/>
  <c r="AS712" i="15"/>
  <c r="AS707" i="15"/>
  <c r="K111" i="15"/>
  <c r="AS895" i="15"/>
  <c r="K75" i="15"/>
  <c r="K15" i="15"/>
  <c r="AS866" i="15"/>
  <c r="AS886" i="15"/>
  <c r="K74" i="15"/>
  <c r="K11" i="15"/>
  <c r="K334" i="15"/>
  <c r="K346" i="15"/>
  <c r="K559" i="15"/>
  <c r="K172" i="15"/>
  <c r="K84" i="15"/>
  <c r="AS658" i="15"/>
  <c r="AS295" i="15"/>
  <c r="AS894" i="15" s="1"/>
  <c r="I533" i="15"/>
  <c r="K533" i="15" s="1"/>
  <c r="K551" i="8"/>
  <c r="I510" i="15"/>
  <c r="K510" i="15" s="1"/>
  <c r="K471" i="8"/>
  <c r="K570" i="8"/>
  <c r="AS549" i="15"/>
  <c r="AS1148" i="15" s="1"/>
  <c r="I529" i="15"/>
  <c r="K529" i="15" s="1"/>
  <c r="K546" i="8"/>
  <c r="AS517" i="15"/>
  <c r="AS1116" i="15" s="1"/>
  <c r="K530" i="8"/>
  <c r="I509" i="15"/>
  <c r="K509" i="15" s="1"/>
  <c r="K522" i="8"/>
  <c r="K514" i="8"/>
  <c r="I501" i="15"/>
  <c r="K501" i="15" s="1"/>
  <c r="I478" i="15"/>
  <c r="K478" i="15" s="1"/>
  <c r="AS478" i="15"/>
  <c r="AS1077" i="15" s="1"/>
  <c r="K486" i="8"/>
  <c r="AS474" i="15"/>
  <c r="AS1073" i="15" s="1"/>
  <c r="K481" i="15"/>
  <c r="K485" i="15"/>
  <c r="K380" i="15"/>
  <c r="AS1061" i="15"/>
  <c r="K376" i="15"/>
  <c r="AS953" i="15"/>
  <c r="K253" i="15"/>
  <c r="AS627" i="15"/>
  <c r="K133" i="15"/>
  <c r="AS795" i="15"/>
  <c r="AS659" i="15"/>
  <c r="AS922" i="15"/>
  <c r="AS615" i="15"/>
  <c r="AS862" i="15"/>
  <c r="AS607" i="15"/>
  <c r="AS619" i="15"/>
  <c r="AS800" i="15"/>
  <c r="AS778" i="15"/>
  <c r="K451" i="8"/>
  <c r="K515" i="8"/>
  <c r="AS486" i="15"/>
  <c r="AS1085" i="15" s="1"/>
  <c r="K499" i="8"/>
  <c r="AS475" i="15"/>
  <c r="AS1074" i="15" s="1"/>
  <c r="K487" i="8"/>
  <c r="K463" i="8"/>
  <c r="I451" i="15"/>
  <c r="K451" i="15" s="1"/>
  <c r="I443" i="15"/>
  <c r="K443" i="15" s="1"/>
  <c r="K455" i="8"/>
  <c r="K439" i="8"/>
  <c r="AS427" i="15"/>
  <c r="AS1026" i="15" s="1"/>
  <c r="K431" i="8"/>
  <c r="I419" i="15"/>
  <c r="K419" i="15" s="1"/>
  <c r="AS419" i="15"/>
  <c r="AS1018" i="15" s="1"/>
  <c r="K419" i="8"/>
  <c r="AS407" i="15"/>
  <c r="AS1006" i="15" s="1"/>
  <c r="I399" i="15"/>
  <c r="K399" i="15" s="1"/>
  <c r="AS399" i="15"/>
  <c r="AS998" i="15" s="1"/>
  <c r="K395" i="8"/>
  <c r="I385" i="15"/>
  <c r="K385" i="15" s="1"/>
  <c r="I377" i="15"/>
  <c r="K377" i="15" s="1"/>
  <c r="AS377" i="15"/>
  <c r="AS976" i="15" s="1"/>
  <c r="K375" i="8"/>
  <c r="AS365" i="15"/>
  <c r="AS964" i="15" s="1"/>
  <c r="K363" i="8"/>
  <c r="I355" i="15"/>
  <c r="K355" i="15" s="1"/>
  <c r="AS355" i="15"/>
  <c r="AS954" i="15" s="1"/>
  <c r="AS335" i="15"/>
  <c r="AS934" i="15" s="1"/>
  <c r="K343" i="8"/>
  <c r="K331" i="8"/>
  <c r="I323" i="15"/>
  <c r="K323" i="15" s="1"/>
  <c r="K323" i="8"/>
  <c r="I315" i="15"/>
  <c r="K315" i="15" s="1"/>
  <c r="K315" i="8"/>
  <c r="I307" i="15"/>
  <c r="K307" i="15" s="1"/>
  <c r="K307" i="8"/>
  <c r="AS299" i="15"/>
  <c r="AS898" i="15" s="1"/>
  <c r="K299" i="8"/>
  <c r="I291" i="15"/>
  <c r="K291" i="15" s="1"/>
  <c r="AS291" i="15"/>
  <c r="AS890" i="15" s="1"/>
  <c r="K279" i="8"/>
  <c r="AS271" i="15"/>
  <c r="AS870" i="15" s="1"/>
  <c r="I271" i="15"/>
  <c r="K271" i="15" s="1"/>
  <c r="K439" i="15"/>
  <c r="I546" i="15"/>
  <c r="K546" i="15" s="1"/>
  <c r="K563" i="8"/>
  <c r="N1243" i="15"/>
  <c r="AL83" i="18"/>
  <c r="I572" i="15"/>
  <c r="K572" i="15" s="1"/>
  <c r="AS572" i="15"/>
  <c r="AS1171" i="15" s="1"/>
  <c r="K596" i="8"/>
  <c r="K530" i="15"/>
  <c r="I555" i="15"/>
  <c r="K555" i="15" s="1"/>
  <c r="AS1140" i="15"/>
  <c r="K523" i="8"/>
  <c r="I494" i="15"/>
  <c r="K494" i="15" s="1"/>
  <c r="K547" i="8"/>
  <c r="N1241" i="15"/>
  <c r="AK83" i="18"/>
  <c r="K527" i="8"/>
  <c r="K551" i="15"/>
  <c r="K229" i="15"/>
  <c r="K341" i="15"/>
  <c r="K317" i="15"/>
  <c r="K329" i="15"/>
  <c r="AS812" i="15"/>
  <c r="AS878" i="15"/>
  <c r="K191" i="15"/>
  <c r="AS910" i="15"/>
  <c r="AS552" i="15"/>
  <c r="AS1151" i="15" s="1"/>
  <c r="I552" i="15"/>
  <c r="K552" i="15" s="1"/>
  <c r="K177" i="15"/>
  <c r="K289" i="15"/>
  <c r="AS1115" i="15"/>
  <c r="AS1029" i="15"/>
  <c r="AS494" i="15"/>
  <c r="AS1093" i="15" s="1"/>
  <c r="K332" i="15"/>
  <c r="K118" i="15"/>
  <c r="AS985" i="15"/>
  <c r="K365" i="15"/>
  <c r="AS467" i="15"/>
  <c r="AS1066" i="15" s="1"/>
  <c r="I475" i="15"/>
  <c r="K475" i="15" s="1"/>
  <c r="AS941" i="15"/>
  <c r="AS867" i="15"/>
  <c r="AS771" i="15"/>
  <c r="AS855" i="15"/>
  <c r="K215" i="15"/>
  <c r="K238" i="15"/>
  <c r="AS823" i="15"/>
  <c r="AS605" i="15"/>
  <c r="AS975" i="15"/>
  <c r="K398" i="15"/>
  <c r="K23" i="15"/>
  <c r="AS874" i="15"/>
  <c r="AS882" i="15"/>
  <c r="K187" i="15"/>
  <c r="K38" i="15"/>
  <c r="AS779" i="15"/>
  <c r="K9" i="15"/>
  <c r="K13" i="15"/>
  <c r="K35" i="15"/>
  <c r="K100" i="15"/>
  <c r="AS830" i="15"/>
  <c r="AS905" i="15"/>
  <c r="AS913" i="15"/>
  <c r="AS972" i="15"/>
  <c r="K182" i="15"/>
  <c r="K81" i="15"/>
  <c r="K70" i="15"/>
  <c r="K335" i="8"/>
  <c r="AS1020" i="15"/>
  <c r="AS403" i="15"/>
  <c r="AS1002" i="15" s="1"/>
  <c r="AS513" i="15"/>
  <c r="AS1112" i="15" s="1"/>
  <c r="AS509" i="15"/>
  <c r="AS1108" i="15" s="1"/>
  <c r="AS1079" i="15"/>
  <c r="K483" i="8"/>
  <c r="I427" i="15"/>
  <c r="K427" i="15" s="1"/>
  <c r="I403" i="15"/>
  <c r="K403" i="15" s="1"/>
  <c r="AS1107" i="15"/>
  <c r="K436" i="15"/>
  <c r="K273" i="15"/>
  <c r="AS836" i="15"/>
  <c r="AS936" i="15"/>
  <c r="K357" i="15"/>
  <c r="AS1049" i="15"/>
  <c r="AS727" i="15"/>
  <c r="K414" i="15"/>
  <c r="K269" i="15"/>
  <c r="K309" i="15"/>
  <c r="K349" i="15"/>
  <c r="AS1008" i="15"/>
  <c r="AS893" i="15"/>
  <c r="K262" i="15"/>
  <c r="AS1031" i="15"/>
  <c r="K372" i="15"/>
  <c r="K410" i="15"/>
  <c r="AS655" i="15"/>
  <c r="K80" i="15"/>
  <c r="K214" i="15"/>
  <c r="AS1041" i="15"/>
  <c r="AS933" i="15"/>
  <c r="K45" i="15"/>
  <c r="K34" i="15"/>
  <c r="K249" i="15"/>
  <c r="AS644" i="15"/>
  <c r="AS612" i="15"/>
  <c r="K135" i="15"/>
  <c r="AS687" i="15"/>
  <c r="AS955" i="15"/>
  <c r="K4" i="15"/>
  <c r="K180" i="15"/>
  <c r="K344" i="15"/>
  <c r="AS751" i="15"/>
  <c r="K276" i="15"/>
  <c r="K246" i="15"/>
  <c r="AS788" i="15"/>
  <c r="AS643" i="15"/>
  <c r="K106" i="15"/>
  <c r="K223" i="15"/>
  <c r="K218" i="15"/>
  <c r="AS603" i="15"/>
  <c r="K53" i="15"/>
  <c r="AS869" i="15"/>
  <c r="K394" i="15"/>
  <c r="AS657" i="15"/>
  <c r="K140" i="15"/>
  <c r="AS754" i="15"/>
  <c r="AS747" i="15"/>
  <c r="K207" i="15"/>
  <c r="AS799" i="15"/>
  <c r="AS688" i="15"/>
  <c r="AS652" i="15"/>
  <c r="K57" i="15"/>
  <c r="AS649" i="15"/>
  <c r="K145" i="15"/>
  <c r="K6" i="15"/>
  <c r="K52" i="15"/>
  <c r="K64" i="15"/>
  <c r="K148" i="15"/>
  <c r="K151" i="15"/>
  <c r="K155" i="15"/>
  <c r="K197" i="15"/>
  <c r="K205" i="15"/>
  <c r="K213" i="15"/>
  <c r="K248" i="15"/>
  <c r="K264" i="15"/>
  <c r="K359" i="15"/>
  <c r="K395" i="15"/>
  <c r="K476" i="15"/>
  <c r="K492" i="15"/>
  <c r="K496" i="15"/>
  <c r="K500" i="15"/>
  <c r="K536" i="15"/>
  <c r="K540" i="15"/>
  <c r="K544" i="15"/>
  <c r="K560" i="15"/>
  <c r="AS618" i="15"/>
  <c r="AS630" i="15"/>
  <c r="AS634" i="15"/>
  <c r="AS685" i="15"/>
  <c r="AS689" i="15"/>
  <c r="AS701" i="15"/>
  <c r="AS729" i="15"/>
  <c r="AS733" i="15"/>
  <c r="AS773" i="15"/>
  <c r="AS801" i="15"/>
  <c r="AS896" i="15"/>
  <c r="AS911" i="15"/>
  <c r="AS923" i="15"/>
  <c r="AS926" i="15"/>
  <c r="AS946" i="15"/>
  <c r="AS958" i="15"/>
  <c r="AS990" i="15"/>
  <c r="AS1022" i="15"/>
  <c r="AS1205" i="15"/>
  <c r="AW77" i="18" s="1"/>
  <c r="AS1063" i="15"/>
  <c r="K531" i="15"/>
  <c r="AS1204" i="15"/>
  <c r="AW75" i="18" s="1"/>
  <c r="AJ77" i="18"/>
  <c r="K555" i="8"/>
  <c r="K17" i="15"/>
  <c r="K278" i="15"/>
  <c r="K282" i="15"/>
  <c r="K463" i="15"/>
  <c r="AS736" i="15"/>
  <c r="AS1160" i="15"/>
  <c r="K107" i="15"/>
  <c r="K125" i="15"/>
  <c r="K132" i="15"/>
  <c r="K425" i="15"/>
  <c r="AS667" i="15"/>
  <c r="AS699" i="15"/>
  <c r="AS815" i="15"/>
  <c r="AS835" i="15"/>
  <c r="K565" i="15"/>
  <c r="K416" i="15"/>
  <c r="K435" i="15"/>
  <c r="K497" i="15"/>
  <c r="K513" i="15"/>
  <c r="K517" i="15"/>
  <c r="AS718" i="15"/>
  <c r="AS750" i="15"/>
  <c r="AS1187" i="15"/>
  <c r="K67" i="15"/>
  <c r="AS1098" i="15"/>
  <c r="K25" i="15"/>
  <c r="K487" i="15"/>
  <c r="AI79" i="18"/>
  <c r="AS1206" i="15"/>
  <c r="AW79" i="18" s="1"/>
  <c r="AJ71" i="18"/>
  <c r="AF71" i="18"/>
  <c r="AT1237" i="15"/>
  <c r="N1237" i="15"/>
  <c r="AS1202" i="15"/>
  <c r="AW71" i="18" s="1"/>
  <c r="AL77" i="18"/>
  <c r="N1240" i="15"/>
  <c r="AT1240" i="15"/>
  <c r="AH81" i="18"/>
  <c r="AJ75" i="18"/>
  <c r="AH75" i="18"/>
  <c r="K534" i="15"/>
  <c r="AS1064" i="15"/>
  <c r="AS1080" i="15"/>
  <c r="K502" i="15"/>
  <c r="AS695" i="15"/>
  <c r="K468" i="15"/>
  <c r="AS839" i="15"/>
  <c r="K396" i="15"/>
  <c r="Z1239" i="15"/>
  <c r="AS1146" i="15"/>
  <c r="K405" i="15"/>
  <c r="K453" i="15"/>
  <c r="K321" i="15"/>
  <c r="AS1032" i="15"/>
  <c r="K397" i="15"/>
  <c r="K85" i="15"/>
  <c r="K103" i="15"/>
  <c r="K381" i="15"/>
  <c r="AS1088" i="15"/>
  <c r="AS646" i="15"/>
  <c r="AK73" i="18"/>
  <c r="K521" i="15"/>
  <c r="K429" i="15"/>
  <c r="AS920" i="15"/>
  <c r="AS966" i="15"/>
  <c r="K393" i="15"/>
  <c r="AS906" i="15"/>
  <c r="AS741" i="15"/>
  <c r="K330" i="15"/>
  <c r="K47" i="15"/>
  <c r="K79" i="15"/>
  <c r="AS702" i="15"/>
  <c r="AS710" i="15"/>
  <c r="AS665" i="15"/>
  <c r="K193" i="15"/>
  <c r="AS804" i="15"/>
  <c r="K449" i="15"/>
  <c r="AS683" i="15"/>
  <c r="K138" i="15"/>
  <c r="K131" i="15"/>
  <c r="AS851" i="15"/>
  <c r="K113" i="15"/>
  <c r="K174" i="15"/>
  <c r="AS859" i="15"/>
  <c r="K252" i="15"/>
  <c r="K71" i="15"/>
  <c r="K22" i="15"/>
  <c r="AS617" i="15"/>
  <c r="AS642" i="15"/>
  <c r="K109" i="15"/>
  <c r="AS664" i="15"/>
  <c r="AS672" i="15"/>
  <c r="K18" i="15"/>
  <c r="AS610" i="15"/>
  <c r="AS614" i="15"/>
  <c r="K212" i="15"/>
  <c r="K219" i="15"/>
  <c r="K231" i="15"/>
  <c r="K324" i="15"/>
  <c r="K368" i="15"/>
  <c r="K407" i="15"/>
  <c r="K411" i="15"/>
  <c r="K423" i="15"/>
  <c r="K434" i="15"/>
  <c r="AS632" i="15"/>
  <c r="AS640" i="15"/>
  <c r="K462" i="15"/>
  <c r="AS1126" i="15"/>
  <c r="K564" i="15"/>
  <c r="K281" i="15"/>
  <c r="K420" i="15"/>
  <c r="AS796" i="15"/>
  <c r="AS988" i="15"/>
  <c r="AS1040" i="15"/>
  <c r="AS1036" i="15"/>
  <c r="AS846" i="15"/>
  <c r="AS984" i="15"/>
  <c r="K56" i="15"/>
  <c r="AS828" i="15"/>
  <c r="AS671" i="15"/>
  <c r="AS780" i="15"/>
  <c r="AS993" i="15"/>
  <c r="K286" i="15"/>
  <c r="AS995" i="15"/>
  <c r="AS925" i="15"/>
  <c r="K274" i="15"/>
  <c r="K342" i="15"/>
  <c r="AS970" i="15"/>
  <c r="K158" i="15"/>
  <c r="K162" i="15"/>
  <c r="K170" i="15"/>
  <c r="K169" i="15"/>
  <c r="AS871" i="15"/>
  <c r="K404" i="15"/>
  <c r="K352" i="15"/>
  <c r="AS827" i="15"/>
  <c r="AS694" i="15"/>
  <c r="K117" i="15"/>
  <c r="K362" i="15"/>
  <c r="AS891" i="15"/>
  <c r="K150" i="15"/>
  <c r="K216" i="15"/>
  <c r="K348" i="15"/>
  <c r="K119" i="15"/>
  <c r="AS834" i="15"/>
  <c r="AS645" i="15"/>
  <c r="K227" i="15"/>
  <c r="AS669" i="15"/>
  <c r="K91" i="15"/>
  <c r="K39" i="15"/>
  <c r="K42" i="15"/>
  <c r="AS787" i="15"/>
  <c r="K59" i="15"/>
  <c r="K203" i="15"/>
  <c r="K211" i="15"/>
  <c r="K222" i="15"/>
  <c r="K230" i="15"/>
  <c r="K234" i="15"/>
  <c r="K265" i="15"/>
  <c r="K296" i="15"/>
  <c r="K327" i="15"/>
  <c r="K339" i="15"/>
  <c r="K387" i="15"/>
  <c r="AS758" i="15"/>
  <c r="AS814" i="15"/>
  <c r="AS818" i="15"/>
  <c r="AS872" i="15"/>
  <c r="AS1131" i="15"/>
  <c r="AS1147" i="15"/>
  <c r="K524" i="15"/>
  <c r="AK81" i="18"/>
  <c r="AT1242" i="15"/>
  <c r="AS1208" i="15"/>
  <c r="AW83" i="18" s="1"/>
  <c r="K498" i="15"/>
  <c r="AS1070" i="15"/>
  <c r="AS1132" i="15"/>
  <c r="K297" i="15"/>
  <c r="AS820" i="15"/>
  <c r="AS962" i="15"/>
  <c r="AS725" i="15"/>
  <c r="K96" i="15"/>
  <c r="K173" i="15"/>
  <c r="AS691" i="15"/>
  <c r="AS979" i="15"/>
  <c r="K209" i="15"/>
  <c r="K146" i="15"/>
  <c r="K178" i="15"/>
  <c r="AS1025" i="15"/>
  <c r="AS802" i="15"/>
  <c r="AS1033" i="15"/>
  <c r="K415" i="15"/>
  <c r="K254" i="15"/>
  <c r="K306" i="15"/>
  <c r="K294" i="15"/>
  <c r="AS1042" i="15"/>
  <c r="K445" i="15"/>
  <c r="AS708" i="15"/>
  <c r="AS885" i="15"/>
  <c r="AS752" i="15"/>
  <c r="AS620" i="15"/>
  <c r="K16" i="15"/>
  <c r="K8" i="15"/>
  <c r="K354" i="15"/>
  <c r="AS892" i="15"/>
  <c r="AS950" i="15"/>
  <c r="AS602" i="15"/>
  <c r="AS706" i="15"/>
  <c r="K192" i="15"/>
  <c r="AS935" i="15"/>
  <c r="K14" i="15"/>
  <c r="AS1009" i="15"/>
  <c r="K446" i="15"/>
  <c r="AS622" i="15"/>
  <c r="AS628" i="15"/>
  <c r="AS786" i="15"/>
  <c r="K62" i="15"/>
  <c r="AS721" i="15"/>
  <c r="AS770" i="15"/>
  <c r="K115" i="15"/>
  <c r="AS682" i="15"/>
  <c r="AS637" i="15"/>
  <c r="AS648" i="15"/>
  <c r="K89" i="15"/>
  <c r="K98" i="15"/>
  <c r="K499" i="15"/>
  <c r="AS696" i="15"/>
  <c r="AS700" i="15"/>
  <c r="AS703" i="15"/>
  <c r="AS719" i="15"/>
  <c r="AS723" i="15"/>
  <c r="AS742" i="15"/>
  <c r="AS745" i="15"/>
  <c r="AS777" i="15"/>
  <c r="AS825" i="15"/>
  <c r="AS844" i="15"/>
  <c r="AS901" i="15"/>
  <c r="AS945" i="15"/>
  <c r="AS949" i="15"/>
  <c r="AS957" i="15"/>
  <c r="AS973" i="15"/>
  <c r="AS989" i="15"/>
  <c r="AS1035" i="15"/>
  <c r="AS456" i="15"/>
  <c r="AS1055" i="15" s="1"/>
  <c r="AS944" i="15"/>
  <c r="I467" i="15"/>
  <c r="K467" i="15" s="1"/>
  <c r="K326" i="15"/>
  <c r="O1238" i="15"/>
  <c r="O1244" i="15"/>
  <c r="O1242" i="15"/>
  <c r="O1236" i="15"/>
  <c r="O1243" i="15"/>
  <c r="O1241" i="15"/>
  <c r="O1240" i="15"/>
  <c r="O1239" i="15"/>
  <c r="O1237" i="15"/>
  <c r="AK68" i="18"/>
  <c r="J68" i="18"/>
  <c r="AB68" i="18"/>
  <c r="N68" i="18"/>
  <c r="AC68" i="18"/>
  <c r="W68" i="18"/>
  <c r="R68" i="18"/>
  <c r="AU82" i="18"/>
  <c r="AV82" i="18"/>
  <c r="AW82" i="18"/>
  <c r="AX76" i="18"/>
  <c r="AF68" i="18"/>
  <c r="V68" i="18"/>
  <c r="Q68" i="18"/>
  <c r="AJ68" i="18"/>
  <c r="L68" i="18"/>
  <c r="AW76" i="18"/>
  <c r="K319" i="15"/>
  <c r="AS1024" i="15"/>
  <c r="K280" i="15"/>
  <c r="K428" i="15"/>
  <c r="AS1017" i="15"/>
  <c r="K255" i="15"/>
  <c r="AS722" i="15"/>
  <c r="K568" i="15"/>
  <c r="K153" i="15"/>
  <c r="AS1106" i="15"/>
  <c r="K458" i="15"/>
  <c r="AS861" i="15"/>
  <c r="AX86" i="18"/>
  <c r="AU86" i="18"/>
  <c r="P68" i="18"/>
  <c r="AI68" i="18"/>
  <c r="K68" i="18"/>
  <c r="T68" i="18"/>
  <c r="K375" i="15"/>
  <c r="AS715" i="15"/>
  <c r="AS789" i="15"/>
  <c r="AA68" i="18"/>
  <c r="N1236" i="15"/>
  <c r="AU84" i="18"/>
  <c r="AW84" i="18"/>
  <c r="AL69" i="18"/>
  <c r="AL68" i="18"/>
  <c r="O68" i="18"/>
  <c r="AE68" i="18"/>
  <c r="K200" i="15"/>
  <c r="AS1203" i="15"/>
  <c r="AW73" i="18" s="1"/>
  <c r="I68" i="18"/>
  <c r="S68" i="18"/>
  <c r="Z68" i="18"/>
  <c r="Y68" i="18"/>
  <c r="AD68" i="18"/>
  <c r="AW86" i="18"/>
  <c r="AS1109" i="15"/>
  <c r="AS1000" i="15"/>
  <c r="AS822" i="15"/>
  <c r="K311" i="15"/>
  <c r="K486" i="15"/>
  <c r="K302" i="15"/>
  <c r="AS937" i="15"/>
  <c r="K226" i="15"/>
  <c r="K194" i="15"/>
  <c r="K186" i="15"/>
  <c r="K208" i="15"/>
  <c r="K104" i="15"/>
  <c r="AS781" i="15"/>
  <c r="K159" i="15"/>
  <c r="K247" i="15"/>
  <c r="AS638" i="15"/>
  <c r="AS762" i="15"/>
  <c r="AS609" i="15"/>
  <c r="K290" i="15"/>
  <c r="K512" i="15"/>
  <c r="AS909" i="15"/>
  <c r="AS797" i="15"/>
  <c r="AS624" i="15"/>
  <c r="AS616" i="15"/>
  <c r="K347" i="15"/>
  <c r="AS650" i="15"/>
  <c r="K48" i="15"/>
  <c r="K184" i="15"/>
  <c r="AS690" i="15"/>
  <c r="AS765" i="15"/>
  <c r="AS735" i="15"/>
  <c r="K90" i="15"/>
  <c r="K251" i="15"/>
  <c r="AS678" i="15"/>
  <c r="AS680" i="15"/>
  <c r="K537" i="15"/>
  <c r="AS1104" i="15"/>
  <c r="K466" i="15"/>
  <c r="AS746" i="15"/>
  <c r="I507" i="15"/>
  <c r="K507" i="15" s="1"/>
  <c r="AS1207" i="15"/>
  <c r="AW81" i="18" s="1"/>
  <c r="I557" i="15"/>
  <c r="K557" i="15" s="1"/>
  <c r="AF1236" i="15" l="1"/>
  <c r="AB1238" i="15"/>
  <c r="AF1243" i="15"/>
  <c r="AF1242" i="15"/>
  <c r="AV1244" i="15"/>
  <c r="AV1237" i="15"/>
  <c r="AV1240" i="15"/>
  <c r="AV1241" i="15"/>
  <c r="AV1242" i="15"/>
  <c r="AV1239" i="15"/>
  <c r="AV1243" i="15"/>
  <c r="AV1238" i="15"/>
  <c r="AV1236" i="15"/>
  <c r="AA1241" i="15"/>
  <c r="AA1237" i="15"/>
  <c r="AA1239" i="15"/>
  <c r="AF1244" i="15"/>
  <c r="AA1236" i="15"/>
  <c r="AF1237" i="15"/>
  <c r="P1238" i="15"/>
  <c r="P1241" i="15"/>
  <c r="P1242" i="15"/>
  <c r="AA1240" i="15"/>
  <c r="AA1244" i="15"/>
  <c r="AA1242" i="15"/>
  <c r="AF1239" i="15"/>
  <c r="AA1238" i="15"/>
  <c r="P1243" i="15"/>
  <c r="AF1238" i="15"/>
  <c r="AL1244" i="15"/>
  <c r="AF1241" i="15"/>
  <c r="AL1237" i="15"/>
  <c r="AL1238" i="15"/>
  <c r="S1238" i="15"/>
  <c r="X1236" i="15"/>
  <c r="S1243" i="15"/>
  <c r="AP1237" i="15"/>
  <c r="S1241" i="15"/>
  <c r="X1238" i="15"/>
  <c r="AL1239" i="15"/>
  <c r="AL1241" i="15"/>
  <c r="AL1240" i="15"/>
  <c r="X1244" i="15"/>
  <c r="X1240" i="15"/>
  <c r="X1239" i="15"/>
  <c r="S1242" i="15"/>
  <c r="S1244" i="15"/>
  <c r="X1242" i="15"/>
  <c r="AL1236" i="15"/>
  <c r="S1237" i="15"/>
  <c r="X1243" i="15"/>
  <c r="X1237" i="15"/>
  <c r="S1240" i="15"/>
  <c r="AL1242" i="15"/>
  <c r="P1239" i="15"/>
  <c r="AP1243" i="15"/>
  <c r="P1236" i="15"/>
  <c r="P1244" i="15"/>
  <c r="AP1242" i="15"/>
  <c r="P1240" i="15"/>
  <c r="AC1242" i="15"/>
  <c r="Q1242" i="15"/>
  <c r="AR1243" i="15"/>
  <c r="AE1239" i="15"/>
  <c r="AE1244" i="15"/>
  <c r="Q1238" i="15"/>
  <c r="V1238" i="15"/>
  <c r="AP1241" i="15"/>
  <c r="AE1241" i="15"/>
  <c r="V1240" i="15"/>
  <c r="AP1238" i="15"/>
  <c r="AK1236" i="15"/>
  <c r="Y1242" i="15"/>
  <c r="AG1236" i="15"/>
  <c r="S1239" i="15"/>
  <c r="AQ1237" i="15"/>
  <c r="AB1236" i="15"/>
  <c r="R1241" i="15"/>
  <c r="AH1241" i="15"/>
  <c r="AM1236" i="15"/>
  <c r="T1242" i="15"/>
  <c r="AB1243" i="15"/>
  <c r="R1243" i="15"/>
  <c r="AM1239" i="15"/>
  <c r="AQ1242" i="15"/>
  <c r="AC1241" i="15"/>
  <c r="AQ1239" i="15"/>
  <c r="AE1240" i="15"/>
  <c r="AE1243" i="15"/>
  <c r="V1241" i="15"/>
  <c r="V1244" i="15"/>
  <c r="Q1243" i="15"/>
  <c r="Q1241" i="15"/>
  <c r="AC1237" i="15"/>
  <c r="AC1239" i="15"/>
  <c r="AQ1240" i="15"/>
  <c r="AQ1243" i="15"/>
  <c r="AE1242" i="15"/>
  <c r="AE1237" i="15"/>
  <c r="V1237" i="15"/>
  <c r="V1242" i="15"/>
  <c r="Q1244" i="15"/>
  <c r="Q1239" i="15"/>
  <c r="Q1236" i="15"/>
  <c r="AE1236" i="15"/>
  <c r="V1243" i="15"/>
  <c r="V1239" i="15"/>
  <c r="Q1237" i="15"/>
  <c r="AR1242" i="15"/>
  <c r="AG1241" i="15"/>
  <c r="AK1238" i="15"/>
  <c r="AR1238" i="15"/>
  <c r="AB1237" i="15"/>
  <c r="AG1237" i="15"/>
  <c r="AC1236" i="15"/>
  <c r="T1240" i="15"/>
  <c r="R1236" i="15"/>
  <c r="R1242" i="15"/>
  <c r="AM1244" i="15"/>
  <c r="AM1237" i="15"/>
  <c r="T1239" i="15"/>
  <c r="R1240" i="15"/>
  <c r="AM1241" i="15"/>
  <c r="AM1243" i="15"/>
  <c r="AM1238" i="15"/>
  <c r="R1238" i="15"/>
  <c r="R1237" i="15"/>
  <c r="T1241" i="15"/>
  <c r="T1237" i="15"/>
  <c r="T1243" i="15"/>
  <c r="R1244" i="15"/>
  <c r="T1238" i="15"/>
  <c r="AM1242" i="15"/>
  <c r="T1236" i="15"/>
  <c r="AK1239" i="15"/>
  <c r="U1242" i="15"/>
  <c r="AC1243" i="15"/>
  <c r="U1237" i="15"/>
  <c r="U1239" i="15"/>
  <c r="AC1244" i="15"/>
  <c r="AC1240" i="15"/>
  <c r="Y1241" i="15"/>
  <c r="AI1242" i="15"/>
  <c r="AN1236" i="15"/>
  <c r="U1241" i="15"/>
  <c r="U1243" i="15"/>
  <c r="AN1238" i="15"/>
  <c r="U1240" i="15"/>
  <c r="U1236" i="15"/>
  <c r="U1244" i="15"/>
  <c r="AK1244" i="15"/>
  <c r="AH1238" i="15"/>
  <c r="AK1241" i="15"/>
  <c r="AH1240" i="15"/>
  <c r="Y1243" i="15"/>
  <c r="AD1243" i="15"/>
  <c r="AN1242" i="15"/>
  <c r="AI1239" i="15"/>
  <c r="AI1238" i="15"/>
  <c r="Y1237" i="15"/>
  <c r="AD1241" i="15"/>
  <c r="Y1239" i="15"/>
  <c r="AH1244" i="15"/>
  <c r="AI1241" i="15"/>
  <c r="AI1240" i="15"/>
  <c r="Y1238" i="15"/>
  <c r="AI1236" i="15"/>
  <c r="Y1236" i="15"/>
  <c r="Y1244" i="15"/>
  <c r="AI1243" i="15"/>
  <c r="AI1237" i="15"/>
  <c r="AN1240" i="15"/>
  <c r="AN1244" i="15"/>
  <c r="AN1241" i="15"/>
  <c r="AN1237" i="15"/>
  <c r="AQ1238" i="15"/>
  <c r="AQ1241" i="15"/>
  <c r="AQ1236" i="15"/>
  <c r="Z1237" i="15"/>
  <c r="Z1241" i="15"/>
  <c r="Z1236" i="15"/>
  <c r="Z1242" i="15"/>
  <c r="Z1240" i="15"/>
  <c r="Z1238" i="15"/>
  <c r="Z1244" i="15"/>
  <c r="Z1243" i="15"/>
  <c r="AR1244" i="15"/>
  <c r="AR1240" i="15"/>
  <c r="AR1239" i="15"/>
  <c r="AR1241" i="15"/>
  <c r="AR1236" i="15"/>
  <c r="AJ1241" i="15"/>
  <c r="AJ1236" i="15"/>
  <c r="AJ1242" i="15"/>
  <c r="AJ1239" i="15"/>
  <c r="AJ1244" i="15"/>
  <c r="AJ1240" i="15"/>
  <c r="AJ1237" i="15"/>
  <c r="AJ1243" i="15"/>
  <c r="AJ1238" i="15"/>
  <c r="AK1240" i="15"/>
  <c r="AK1242" i="15"/>
  <c r="AK1237" i="15"/>
  <c r="AO1240" i="15"/>
  <c r="AO1244" i="15"/>
  <c r="AO1237" i="15"/>
  <c r="AO1239" i="15"/>
  <c r="AO1243" i="15"/>
  <c r="AO1236" i="15"/>
  <c r="AO1238" i="15"/>
  <c r="AO1241" i="15"/>
  <c r="AO1242" i="15"/>
  <c r="AH1237" i="15"/>
  <c r="AH1239" i="15"/>
  <c r="AH1242" i="15"/>
  <c r="AH1243" i="15"/>
  <c r="AP1236" i="15"/>
  <c r="AP1240" i="15"/>
  <c r="AP1239" i="15"/>
  <c r="AD1236" i="15"/>
  <c r="AD1242" i="15"/>
  <c r="AD1237" i="15"/>
  <c r="AD1244" i="15"/>
  <c r="AD1239" i="15"/>
  <c r="AD1238" i="15"/>
  <c r="W1241" i="15"/>
  <c r="W1240" i="15"/>
  <c r="W1238" i="15"/>
  <c r="W1239" i="15"/>
  <c r="W1236" i="15"/>
  <c r="W1237" i="15"/>
  <c r="W1244" i="15"/>
  <c r="W1243" i="15"/>
  <c r="AB1241" i="15"/>
  <c r="AB1239" i="15"/>
  <c r="AB1240" i="15"/>
  <c r="AB1244" i="15"/>
  <c r="AG1243" i="15"/>
  <c r="AG1240" i="15"/>
  <c r="AG1244" i="15"/>
  <c r="AG1239" i="15"/>
  <c r="AG1238" i="15"/>
  <c r="AN1239" i="15"/>
  <c r="AW1237" i="15" l="1"/>
  <c r="AY1237" i="15" s="1"/>
  <c r="AW1244" i="15"/>
  <c r="AY1244" i="15" s="1"/>
  <c r="AW1242" i="15"/>
  <c r="AY1242" i="15" s="1"/>
  <c r="AW1239" i="15"/>
  <c r="AY1239" i="15" s="1"/>
  <c r="AW1240" i="15"/>
  <c r="AY1240" i="15" s="1"/>
  <c r="AW1243" i="15"/>
  <c r="AY1243" i="15" s="1"/>
  <c r="AW1238" i="15"/>
  <c r="AY1238" i="15" s="1"/>
  <c r="AW1236" i="15"/>
  <c r="AY1236" i="15" s="1"/>
  <c r="AW1241" i="15"/>
  <c r="AY1241" i="15" s="1"/>
  <c r="AS1236" i="15"/>
  <c r="AS1237" i="15"/>
  <c r="AS1240" i="15"/>
  <c r="AS1241" i="15"/>
  <c r="AS1242" i="15"/>
  <c r="AS1244" i="15"/>
  <c r="AS1239" i="15"/>
  <c r="AS1243" i="15"/>
  <c r="AS1238" i="15"/>
  <c r="AZ1243" i="15" l="1"/>
  <c r="J18" i="9" s="1"/>
  <c r="AZ1241" i="15"/>
  <c r="J14" i="9" s="1"/>
  <c r="AZ1237" i="15"/>
  <c r="J6" i="9" s="1"/>
  <c r="AZ1240" i="15"/>
  <c r="J12" i="9" s="1"/>
  <c r="AZ1238" i="15"/>
  <c r="J8" i="9" s="1"/>
  <c r="AZ1239" i="15"/>
  <c r="J10" i="9" s="1"/>
  <c r="AZ1244" i="15"/>
  <c r="J20" i="9" s="1"/>
  <c r="AZ1242" i="15"/>
  <c r="J16" i="9" s="1"/>
  <c r="AZ1236" i="15"/>
  <c r="J4" i="9" s="1"/>
  <c r="AV81" i="18"/>
  <c r="AV85" i="18"/>
  <c r="AV75" i="18"/>
  <c r="AV73" i="18"/>
  <c r="AV69" i="18"/>
  <c r="AV71" i="18"/>
  <c r="AV77" i="18"/>
  <c r="AV83" i="18"/>
  <c r="AV79" i="18"/>
  <c r="AU1240" i="15"/>
  <c r="AX1240" i="15"/>
  <c r="AU1237" i="15"/>
  <c r="AX1237" i="15"/>
  <c r="AU1238" i="15"/>
  <c r="AX1238" i="15"/>
  <c r="AU1242" i="15"/>
  <c r="AX1242" i="15"/>
  <c r="AU1239" i="15"/>
  <c r="AX1239" i="15"/>
  <c r="AU1244" i="15"/>
  <c r="AX1244" i="15"/>
  <c r="AU1243" i="15"/>
  <c r="AX1243" i="15"/>
  <c r="AU1236" i="15"/>
  <c r="AX1236" i="15"/>
  <c r="AU1241" i="15"/>
  <c r="AX1241" i="15"/>
  <c r="AE19" i="18" l="1"/>
  <c r="N19" i="18"/>
  <c r="AV40" i="18"/>
  <c r="AE40" i="18"/>
  <c r="N61" i="18"/>
  <c r="AE61" i="18"/>
  <c r="AV19" i="18"/>
  <c r="AV61" i="18"/>
  <c r="N40" i="18"/>
</calcChain>
</file>

<file path=xl/comments1.xml><?xml version="1.0" encoding="utf-8"?>
<comments xmlns="http://schemas.openxmlformats.org/spreadsheetml/2006/main">
  <authors>
    <author>MASNAGHI</author>
  </authors>
  <commentList>
    <comment ref="J1" authorId="0">
      <text>
        <r>
          <rPr>
            <sz val="12"/>
            <color indexed="81"/>
            <rFont val="Arial"/>
            <family val="2"/>
          </rPr>
          <t xml:space="preserve">Questionable = 1
Frequent = 0
Rare = 0,5
</t>
        </r>
        <r>
          <rPr>
            <b/>
            <sz val="12"/>
            <color indexed="81"/>
            <rFont val="Arial"/>
            <family val="2"/>
          </rPr>
          <t>Exceptions</t>
        </r>
        <r>
          <rPr>
            <sz val="12"/>
            <color indexed="81"/>
            <rFont val="Arial"/>
            <family val="2"/>
          </rPr>
          <t xml:space="preserve">
Error 00056=0,1
Error 01293=0,1
Error 01336=0,1
Errors 01418-01438=0,1
Error 02075=0,1
Error 04000=0,04
Error 00000=0,25
Error 01255=0,25
Error 01257=0,25
Error 01259=0,25
</t>
        </r>
      </text>
    </comment>
    <comment ref="J600" authorId="0">
      <text>
        <r>
          <rPr>
            <sz val="12"/>
            <color indexed="81"/>
            <rFont val="Arial"/>
            <family val="2"/>
          </rPr>
          <t xml:space="preserve">Questionable = 1
Frequent = 0
Rare = 0,5
</t>
        </r>
        <r>
          <rPr>
            <b/>
            <sz val="12"/>
            <color indexed="81"/>
            <rFont val="Arial"/>
            <family val="2"/>
          </rPr>
          <t>Exceptions</t>
        </r>
        <r>
          <rPr>
            <sz val="12"/>
            <color indexed="81"/>
            <rFont val="Arial"/>
            <family val="2"/>
          </rPr>
          <t xml:space="preserve">
Error 00056=0,1
Error 01293=0,1
Error 01336=0,1
Errors 01418-01438=0,1
Error 02075=0,1
Error 04000=0,04
Error 00000=0,25
Error 01255=0,25
Error 01257=0,25
Error 01259=0,25
</t>
        </r>
      </text>
    </comment>
  </commentList>
</comments>
</file>

<file path=xl/comments2.xml><?xml version="1.0" encoding="utf-8"?>
<comments xmlns="http://schemas.openxmlformats.org/spreadsheetml/2006/main">
  <authors>
    <author>MASNAGHI</author>
  </authors>
  <commentList>
    <comment ref="J1" authorId="0">
      <text>
        <r>
          <rPr>
            <sz val="12"/>
            <color indexed="81"/>
            <rFont val="Arial"/>
            <family val="2"/>
          </rPr>
          <t xml:space="preserve">Questionable = 1
Rare = 0,5
Frequent = 0
</t>
        </r>
        <r>
          <rPr>
            <b/>
            <sz val="12"/>
            <color indexed="81"/>
            <rFont val="Arial"/>
            <family val="2"/>
          </rPr>
          <t>Exceptions</t>
        </r>
        <r>
          <rPr>
            <sz val="12"/>
            <color indexed="81"/>
            <rFont val="Arial"/>
            <family val="2"/>
          </rPr>
          <t xml:space="preserve">
Error 00056=0,1
Error 01293=0,1
Error 01336=0,1
Errors 01418-01438=0,1
Error 02075=0,1
Error 04000=0,1
Error 00000=0,25
Error 01255=0,25
Error 01257=0,25
Error 01259=0,25
Error 04005=0,3
</t>
        </r>
      </text>
    </comment>
  </commentList>
</comments>
</file>

<file path=xl/sharedStrings.xml><?xml version="1.0" encoding="utf-8"?>
<sst xmlns="http://schemas.openxmlformats.org/spreadsheetml/2006/main" count="49208" uniqueCount="1891">
  <si>
    <t>Reagent 2 probe temperature control failure.</t>
  </si>
  <si>
    <t>CTS sample probe temperature control failure.</t>
  </si>
  <si>
    <t>Sample arm clean fluid valve failure.</t>
  </si>
  <si>
    <t>Valve commanded ON(OFF) but sensor did not indicate ON(OFF) state.</t>
  </si>
  <si>
    <t>Fluidics</t>
  </si>
  <si>
    <t>Clean Circuit</t>
  </si>
  <si>
    <t>Reagent arm 1 clean fluid valve failure.</t>
  </si>
  <si>
    <t>Reagent arm 2 clean fluid valve failure.</t>
  </si>
  <si>
    <t>CTS sample arm clean fluid valve failure.</t>
  </si>
  <si>
    <t>Sample clean pump failure.</t>
  </si>
  <si>
    <t>Pump commanded ON(OFF) but sensor did not indicate ON(OFF) state.</t>
  </si>
  <si>
    <t>Reagent clean pump failure.</t>
  </si>
  <si>
    <t>Sample rinse pump failure.</t>
  </si>
  <si>
    <t>Reagent arm 1 rinse pump failure.</t>
  </si>
  <si>
    <t>Rinse Circuit</t>
  </si>
  <si>
    <t>Reagent arm 2 rinse pump failure.</t>
  </si>
  <si>
    <t>CTS sample arm rinse pump failure.</t>
  </si>
  <si>
    <t>Waste pump failure.</t>
  </si>
  <si>
    <t>Waste Liquid Circuit</t>
  </si>
  <si>
    <t>Coordinate File Saving Failure.</t>
  </si>
  <si>
    <t>Failure saving coordinates file on the FTP server</t>
  </si>
  <si>
    <t>ORU Stored Reading File Saving Failure.</t>
  </si>
  <si>
    <t>Failure saving ORU stored reading file on the FTP server</t>
  </si>
  <si>
    <t>CTS sample arm air pump failure.</t>
  </si>
  <si>
    <t>Compressed Air Circuit</t>
  </si>
  <si>
    <t>CTS Failed to Enter Deep wash</t>
  </si>
  <si>
    <t>The Foot hits the wash station.  This would have caused a probe mode switch failure at the end of the wash cycle.</t>
  </si>
  <si>
    <t>Universal Arms</t>
  </si>
  <si>
    <t>Cuvette waste level sensor failure.</t>
  </si>
  <si>
    <t>Cuvette waste level sensor not responding.</t>
  </si>
  <si>
    <t>Cuvette Waste</t>
  </si>
  <si>
    <t>Unable to empty internal waste reservoir.</t>
  </si>
  <si>
    <t>Waste accumulator full sensor remains on despite cycling of waste pump.</t>
  </si>
  <si>
    <t>Reagent stirring failure.</t>
  </si>
  <si>
    <t>A check on the power required for stirring returned an error.</t>
  </si>
  <si>
    <t>Reagent Rack</t>
  </si>
  <si>
    <t>Reagent stirring failure in position &lt;rack position #&gt;, track # &lt;rack track #&gt;.</t>
  </si>
  <si>
    <t>A check on the power required for stirring position returned an error</t>
  </si>
  <si>
    <t>Cuvette Pivot Arm failure.</t>
  </si>
  <si>
    <t>Failure on pivot arm movement.</t>
  </si>
  <si>
    <t>Loader</t>
  </si>
  <si>
    <t>Cuvette indexer motor failure.</t>
  </si>
  <si>
    <t>Failure of the indexer motor detected.</t>
  </si>
  <si>
    <t>Cuvette Loader Failure.</t>
  </si>
  <si>
    <t>Failure moving cuvette loader belts detected.</t>
  </si>
  <si>
    <t>10021</t>
  </si>
  <si>
    <t>10022</t>
  </si>
  <si>
    <t>10023</t>
  </si>
  <si>
    <t>10024</t>
  </si>
  <si>
    <t>10025</t>
  </si>
  <si>
    <t>10027</t>
  </si>
  <si>
    <t>10028</t>
  </si>
  <si>
    <t>10029</t>
  </si>
  <si>
    <t>1        First Day</t>
  </si>
  <si>
    <t>31     Last Day</t>
  </si>
  <si>
    <t>Giorno1</t>
  </si>
  <si>
    <t>Goirno2</t>
  </si>
  <si>
    <t>Giorno3</t>
  </si>
  <si>
    <t xml:space="preserve">File Path = </t>
  </si>
  <si>
    <t xml:space="preserve">File Creation Date = </t>
  </si>
  <si>
    <t>Current Error Level = 0</t>
  </si>
  <si>
    <t>Probe &lt;probe name&gt; aspiration baseline check failure in cuvette position &lt;X&gt;, slot &lt;YY&gt;.</t>
  </si>
  <si>
    <t>Probe &lt;Probe name&gt; aspiration baseline check failure in well position &lt;well pos&gt;.</t>
  </si>
  <si>
    <t>Probe &lt;probe name&gt; post aspiration baseline check failure in rack position &lt;X&gt;, track &lt;YY&gt;.</t>
  </si>
  <si>
    <t>Invalid liquid aspiration. LLD Baseline read after liquid level detection and after liquid aspiration is too high: the probe did not stay submerged.</t>
  </si>
  <si>
    <t>Reagent arm 1 probe temperature or dispense temperature out of range.</t>
  </si>
  <si>
    <t>Probe temperature dispense temperature defined to be out of warning range but within failure range.</t>
  </si>
  <si>
    <t>Reagent arm 2 probe temperature or dispense temperature out of range.</t>
  </si>
  <si>
    <t>Sample probe pre-heater temperature out of range.</t>
  </si>
  <si>
    <t>Probe Pre-Heater temperature defined to be out of warning range but within failure range</t>
  </si>
  <si>
    <t>Reagent arm 1 probe pre-heater temperature out of range.</t>
  </si>
  <si>
    <t>Reagent arm 2 probe pre-heater temperature out of range.</t>
  </si>
  <si>
    <t>Reagent area temperature out of range.</t>
  </si>
  <si>
    <t>Reagent area temperature defined to be out of warning range but within failure range.</t>
  </si>
  <si>
    <t>Processing not feasible for  LAS sample &lt;sample ID&gt;.  Sample has either -No jobs ordered -Jobs that are inconsistent/disabled -Required volume exceeds the maximum cuvette volume.</t>
  </si>
  <si>
    <t>Sample not processed due to sample tube queue empty.</t>
  </si>
  <si>
    <t>Sample not processed due to a fluid not detected.</t>
  </si>
  <si>
    <t>Sample not processed due to an insufficient volume.</t>
  </si>
  <si>
    <t>Sample not processed due to an LAS arm failure.</t>
  </si>
  <si>
    <t>Sample ID mismatch when releasing the sample tube.</t>
  </si>
  <si>
    <t>LAS track request not supported.</t>
  </si>
  <si>
    <t>LAS track sent a request that is not implemented/ supported for TOP.</t>
  </si>
  <si>
    <t>Invalid format message.</t>
  </si>
  <si>
    <t>Creation of the LAS track communication channel failed.</t>
  </si>
  <si>
    <t>The ACL-TOP could not create a channel for communicating with the LAS track.</t>
  </si>
  <si>
    <t>Storage of messages sent to the LAS track &lt;%&gt; full.</t>
  </si>
  <si>
    <t>The Synapse storage is almost full of messages waiting to be sent to the LAS track.</t>
  </si>
  <si>
    <t>Storage of messages sent to the LAS track overloaded.  New uploaded messages will be rejected.</t>
  </si>
  <si>
    <t>The Synapse storage is almost full of messages waiting to be sent to the LAS track.  No more messages are accepted.</t>
  </si>
  <si>
    <t>Message not delivered to the LAS track.</t>
  </si>
  <si>
    <t>Tube type provided by the LAS track not supported.</t>
  </si>
  <si>
    <t>Sample not processed due to an instrument hardware error.</t>
  </si>
  <si>
    <t>Test orders received for LAS sample &lt;sample ID&gt;, which is not located in the queue.</t>
  </si>
  <si>
    <t>Sample not found in queue after test order from LIS.</t>
  </si>
  <si>
    <t>A new Test Definition has been added.</t>
  </si>
  <si>
    <t>Test Definition &lt;test name&gt; has been modified</t>
  </si>
  <si>
    <t>An existing Test Definition has been modified.</t>
  </si>
  <si>
    <t>Test Definition &lt;test name&gt; has been deleted.</t>
  </si>
  <si>
    <t>A Test Definition has been deleted.</t>
  </si>
  <si>
    <t>Material Definition &lt;material name&gt; has been added.</t>
  </si>
  <si>
    <t>A new Material Definition has been added.</t>
  </si>
  <si>
    <t>Material Definition &lt;material name&gt; has been deleted.</t>
  </si>
  <si>
    <t>A Material Definition has been deleted.</t>
  </si>
  <si>
    <t>Material Definition &lt;material name&gt; has been modified: ISI value (active Lot).</t>
  </si>
  <si>
    <t>The Active Lot - ISI value of a Material Definition has been changed.</t>
  </si>
  <si>
    <t>During initialization (home), the gripper moves off the back sensor.  Once detected to be off the sensor, the motor moves towards the sensor to make sure it can be detected.  If the back sensor is not detected during this search then the alarm is generated.</t>
  </si>
  <si>
    <t>Gripper forward sensor still active.</t>
  </si>
  <si>
    <t>LAS sample &lt;sample ID&gt; not supported.  This tube shall be released.</t>
  </si>
  <si>
    <t>Sample ID not supported.</t>
  </si>
  <si>
    <t>Sample not processed due to LAS sample aspiration timeout.</t>
  </si>
  <si>
    <t>Optical readings too noisy, possibly due to LED aging or failure.</t>
  </si>
  <si>
    <t>Optical reading unit &lt;ORU ID&gt; readings out of range.</t>
  </si>
  <si>
    <t>ORU amplifier and/or A/D converter saturated</t>
  </si>
  <si>
    <t>Probe &lt;Arm&gt; Rinse Flow Test Failure.</t>
  </si>
  <si>
    <t>Rinse flow verification procedure failure</t>
  </si>
  <si>
    <t>Optical reading unit raw data calculation error.</t>
  </si>
  <si>
    <t>Math exception error (e.g.,  attempt to divide by zero, overflow, result not reasonable).</t>
  </si>
  <si>
    <t>Air read drift detected for ORU# &lt;ORU ID&gt; Channel# &lt;CHAN ID&gt; Wavelength# &lt;WAVE ID&gt; Drift percentage &lt;DRIFT PERCENTAGE&gt;</t>
  </si>
  <si>
    <t>Current air read for this wavelength, read head and read channel is outside of the stored air read plus tolerance</t>
  </si>
  <si>
    <t>Probe &lt;probe name&gt; Liquid Level Detection error.</t>
  </si>
  <si>
    <t>LLD error occurred during pipetting operation.</t>
  </si>
  <si>
    <t>LLD (Liquid Level Detection)</t>
  </si>
  <si>
    <t>Missing Liquid</t>
  </si>
  <si>
    <t>Probe &lt;probe name&gt; dispense error.</t>
  </si>
  <si>
    <t>Dispense error.</t>
  </si>
  <si>
    <t>Error</t>
  </si>
  <si>
    <t>Warning</t>
  </si>
  <si>
    <t>Informational</t>
  </si>
  <si>
    <t>Probe &lt;probe name&gt; Liquid Level Detection error in cuvette position &lt;X&gt;, slot &lt;YY&gt;.</t>
  </si>
  <si>
    <t>LLD error in cuvette</t>
  </si>
  <si>
    <t>Probe 1 Liquid Level Detection error in well position 2.</t>
  </si>
  <si>
    <t>LLD error in well</t>
  </si>
  <si>
    <t>Air read out of range for ORU# &lt;ORU ID&gt; Channel# &lt;CHAN ID&gt; Wavelength# &lt;WAVE ID&gt; Reading: &lt;ORU READING&gt;</t>
  </si>
  <si>
    <t>Current air read for this wavelength, read head and read channel is out of range</t>
  </si>
  <si>
    <t>Bar code reader invalid message format.</t>
  </si>
  <si>
    <t>Invalid transmit message format for the bar code reader.</t>
  </si>
  <si>
    <t>RS232 transmit hardware error.</t>
  </si>
  <si>
    <t>Communications transmission hardware is not functional.</t>
  </si>
  <si>
    <t>Failed to load cuvette clip at the indexer.</t>
  </si>
  <si>
    <t>After the gripper has completed a retract move the forward sensor is still detected.</t>
  </si>
  <si>
    <t>Gripper forward sensor not found.</t>
  </si>
  <si>
    <t>Extend gripper operation did not detect the front sensor.</t>
  </si>
  <si>
    <t>Cuvette waste tray did not dump.</t>
  </si>
  <si>
    <t>The accumulator is energized to be in the down position to drop the cuvettes on the tray, but the tray is still detected in the up position.  Allowed 250 ms to move.</t>
  </si>
  <si>
    <t>Cuvette waste tray not ready to receive cuvettes.</t>
  </si>
  <si>
    <t>The accumulator is de- energized to go to the up position to get more cuvettes onto the tray, but the tray is still detected in the down position.  Allowed 250 ms to move.</t>
  </si>
  <si>
    <t>X, Y or Z Axis - Invalid Profile Parameter</t>
  </si>
  <si>
    <t>X, Y or Z Axis - Speed Exceeds Profile Maximum</t>
  </si>
  <si>
    <t>X, Y or Z Axis - Cannot Process Steps Required</t>
  </si>
  <si>
    <t>X, Y or Z Axis - Selected Profile Is Invalid</t>
  </si>
  <si>
    <t>X, Y or Z Axis - Move Took Too Long To Complete</t>
  </si>
  <si>
    <t>X, Y or Z Axis - Movement Generates Too Many Steps</t>
  </si>
  <si>
    <t>X, Y or Z Axis - Invalid Limit State While Homing</t>
  </si>
  <si>
    <t>X, Y or Z Axis - Limit Detected During Move</t>
  </si>
  <si>
    <t>X, Y or Z Axis - Slippage Detected</t>
  </si>
  <si>
    <t>X, Y or Z Axis - Cannot Store More Ramps</t>
  </si>
  <si>
    <t>X, Y or Z Axis - Motor Stalled</t>
  </si>
  <si>
    <t>X, Y or Z Axis - Operation Timeout</t>
  </si>
  <si>
    <t>X, Y or Z Axis - Operation Failed</t>
  </si>
  <si>
    <t>Tube Release Procedure Failed</t>
  </si>
  <si>
    <t>Sensor Or Motor Failure Caused Latch Offset Measurement To Fail</t>
  </si>
  <si>
    <t>LLD Hardware Failure</t>
  </si>
  <si>
    <t>Piercer Was Not in the Expected State</t>
  </si>
  <si>
    <t>Z Axis - Power DAC failed</t>
  </si>
  <si>
    <t>Syringe Is Always Busy</t>
  </si>
  <si>
    <t>Syringe Took Too Long To Respond</t>
  </si>
  <si>
    <t>Syringe Could Not Be Initialized</t>
  </si>
  <si>
    <t>Syringe Does Not Understand The Command</t>
  </si>
  <si>
    <t>Syringe Command Parameter Is Invalid</t>
  </si>
  <si>
    <t>Syringe Must Be Initialized</t>
  </si>
  <si>
    <t>Syringe Plunger Is Overloaded</t>
  </si>
  <si>
    <t>Syringe Valve Is Overloaded</t>
  </si>
  <si>
    <t>Syringe Move Is Not Permitted</t>
  </si>
  <si>
    <t>Syringe Error With Unknown Source</t>
  </si>
  <si>
    <t>Error Communicating With The Syringe</t>
  </si>
  <si>
    <t>Syringe Hardware Malfunction</t>
  </si>
  <si>
    <t>Arm failure.</t>
  </si>
  <si>
    <t>CTS piercer lock not locked.</t>
  </si>
  <si>
    <t>CTS probe mode switch failure.</t>
  </si>
  <si>
    <t>Cannot switch CTS between piercing and sample mode</t>
  </si>
  <si>
    <t>The CTS hardware used to change probe between piercing mode and sample mode failed to switch.</t>
  </si>
  <si>
    <t>Location unreachable by &lt;Probe&gt;, track # &lt;rack&gt;, position &lt;Position&gt;</t>
  </si>
  <si>
    <t>Vial location unreachable</t>
  </si>
  <si>
    <t>Cuvette location unreachable</t>
  </si>
  <si>
    <t>Probe &lt;probe name&gt; unexpected liquid level in rack position &lt;X&gt;, track &lt;YY&gt;.</t>
  </si>
  <si>
    <t>The probe detects liquid but the measured position of the liquid is unexpected.</t>
  </si>
  <si>
    <t>Baseline Error</t>
  </si>
  <si>
    <t>Probe &lt;probe name&gt; unexpected liquid level in cuvette position &lt;X&gt;,  slot&lt;YY&gt;.</t>
  </si>
  <si>
    <t>Probe &lt;Probe name&gt; unexpected liquid level in well position &lt;well pos&gt;.</t>
  </si>
  <si>
    <t>Probe &lt;probe name&gt; pre aspiration baseline check failure in rack position &lt;X&gt;, track &lt;YY&gt;.</t>
  </si>
  <si>
    <t>Invalid liquid detection: difference in baseline values read before and after liquid detection is too low.</t>
  </si>
  <si>
    <t>Probe &lt;probe name&gt; pre aspiration baseline check failure in cuvette position &lt;X&gt;, slot &lt;YY&gt;.</t>
  </si>
  <si>
    <t>Probe &lt;probe name&gt; pre aspiration baseline check failure in well position &lt;well pos&gt;.</t>
  </si>
  <si>
    <t>Probe &lt;probe name&gt; aspiration baseline check failure in rack position &lt;X&gt;, track &lt;YY&gt;.</t>
  </si>
  <si>
    <t>Invalid liquid aspiration: difference in baseline values read before and after aspiration is too high.</t>
  </si>
  <si>
    <t>Automazione Interrotta</t>
  </si>
  <si>
    <t>0        Latest Day in Logbook</t>
  </si>
  <si>
    <t>1 Month</t>
  </si>
  <si>
    <t>Errore</t>
  </si>
  <si>
    <t>ND</t>
  </si>
  <si>
    <t>Allarme</t>
  </si>
  <si>
    <t>Informazione</t>
  </si>
  <si>
    <t>10011</t>
  </si>
  <si>
    <t>10012</t>
  </si>
  <si>
    <t>10013</t>
  </si>
  <si>
    <t>10014</t>
  </si>
  <si>
    <t>10015</t>
  </si>
  <si>
    <t>10016</t>
  </si>
  <si>
    <t>10017</t>
  </si>
  <si>
    <t>10018</t>
  </si>
  <si>
    <t>10019</t>
  </si>
  <si>
    <t>10020</t>
  </si>
  <si>
    <t>Calibration of &lt;Test Code&gt; validated.</t>
  </si>
  <si>
    <t>A calibration has been manually validated.</t>
  </si>
  <si>
    <t>Calibration of &lt;Test Code&gt; completed and autovalidated.</t>
  </si>
  <si>
    <t>A calibration has been completed and autovalidated.</t>
  </si>
  <si>
    <t>Test Definition &lt;test name&gt; has been added.</t>
  </si>
  <si>
    <t>Message not responded to by the LAS track.</t>
  </si>
  <si>
    <t>The actual execution did not meet a critical scheduling time.  The job failed and it is not possible to recover</t>
  </si>
  <si>
    <t>Rack in &lt;Track ID&gt; slot unplugged.</t>
  </si>
  <si>
    <t>A rack already inserted becomes unplugged with the reader not in front of the rack.</t>
  </si>
  <si>
    <t>ORU Air Calibration data not available for ORU &lt;ORU ID&gt;.</t>
  </si>
  <si>
    <t>Remaining stability for last bottle expired.</t>
  </si>
  <si>
    <t>&lt;Material name&gt; expired.</t>
  </si>
  <si>
    <t>The present date is greater than the expiration date of the last available bottle/lot.</t>
  </si>
  <si>
    <t>&lt;Material name&gt; requires stirring (rack &lt;rack ID&gt; position &lt;rack position #&gt; track # &lt;rack track #&gt;).</t>
  </si>
  <si>
    <t>A material requiring stirring is placed in a position not having stirring capability.</t>
  </si>
  <si>
    <t>QC Overdue: &lt;TestCode&gt;- &lt;MaterialName&gt;</t>
  </si>
  <si>
    <t xml:space="preserve">The expiration date for a QC has been reached. </t>
  </si>
  <si>
    <t>Factor Diluent Calibration data for the specified ORU are not available. The instrument is not able to calculate absolute absorbencies.</t>
  </si>
  <si>
    <t>Maintenance activity interrupted: &lt;Maintenance Activity&gt;</t>
  </si>
  <si>
    <t>A semi-Automatic or automatic Maintenance Activity's Execution has been interrupted due to an error.</t>
  </si>
  <si>
    <t>Previous Status = 0</t>
  </si>
  <si>
    <t>File Creation Date = 25/03/2010 12.55.00</t>
  </si>
  <si>
    <t>Others</t>
  </si>
  <si>
    <t>Maintenance</t>
  </si>
  <si>
    <t>Maximum number of tests allowed per run exceeded.</t>
  </si>
  <si>
    <t>There is not more memory in the AM for processing more tests.</t>
  </si>
  <si>
    <t>CTS Filter missing.</t>
  </si>
  <si>
    <t>Material Definition &lt;material name&gt; has been modified: assigned value for the Test &lt;test name&gt; (active Lot).</t>
  </si>
  <si>
    <t>The active Lot - assigned value of a Material Definition &amp; Test Definition has been changed.</t>
  </si>
  <si>
    <t>Material Definition &lt;material name&gt; has been modified: expiration date (active Lot).</t>
  </si>
  <si>
    <t>Daily Threshold</t>
  </si>
  <si>
    <t>The active Lot - expiration date cfg. of a Material Definition has been changed.</t>
  </si>
  <si>
    <t>&lt;Material name&gt; close to expiration.</t>
  </si>
  <si>
    <t>Remaining expiration time for the last bottle/lot is detected to be at warning threshold.</t>
  </si>
  <si>
    <t>Non-identified Material in rack &lt;rack ID&gt; position &lt;rack position #&gt; track # &lt;rack track #&gt;.</t>
  </si>
  <si>
    <t>A material has been inserted without a bar code ID label.</t>
  </si>
  <si>
    <t>Unknown material in rack &lt;rack ID&gt; position &lt;rack position #&gt; track # &lt;rack track #&gt;.</t>
  </si>
  <si>
    <t>A material has been inserted with a bar code ID label whose material index does not correspond to any material definition in the material list.  </t>
  </si>
  <si>
    <t>New bottle type (&lt;material name&gt; in rack &lt;rack ID&gt; position &lt;rack position #&gt; track # &lt;rack track #&gt;).</t>
  </si>
  <si>
    <t>The bottle type contained in the bar code is different that the bottle type defined in the material definition.</t>
  </si>
  <si>
    <t>Unknown lot (&lt;material name&gt; in rack &lt;rack ID&gt; position &lt;rack position #&gt; track # &lt;rack track #&gt;).</t>
  </si>
  <si>
    <t>A material has been loaded on-board whose lot is not defined in the system.  In this case the material ID located in the bar code label is known but the lot ID is not.  </t>
  </si>
  <si>
    <t>&lt;Material name&gt; new vial identified in rack &lt;rack ID&gt; position &lt;rack position #&gt; track # &lt;rack track #&gt;.</t>
  </si>
  <si>
    <t>Difference between the read volume and the current volume is greater than 30%.</t>
  </si>
  <si>
    <t>Placement error (&lt;material name&gt; in rack &lt;rack ID&gt; position &lt;rack position #&gt; track # &lt;rack track #&gt;).</t>
  </si>
  <si>
    <t>A material has been placed in a wrong rack position.</t>
  </si>
  <si>
    <t>Placement error (&lt;material name&gt; in &lt;rack ID&gt; position &lt;rack position #&gt; track # &lt;rack track #&gt;).</t>
  </si>
  <si>
    <t>Two lots of the same material have been placed on-board at the same time.</t>
  </si>
  <si>
    <t>Invalid Demographic Data.</t>
  </si>
  <si>
    <t>Internal Check Result.</t>
  </si>
  <si>
    <t>The LIS host has requested a test with invalid demographic data like a birth date greater than current date.</t>
  </si>
  <si>
    <t>Host</t>
  </si>
  <si>
    <t>Duplicated Rack ID, Rack ID &lt;Rack ID&gt;.</t>
  </si>
  <si>
    <t>Two different Racks have been identified with the same Rack ID.</t>
  </si>
  <si>
    <t>&lt;Test code&gt; &lt;job type&gt; not feasible.  Waiting for &lt;material name&gt;.</t>
  </si>
  <si>
    <t>A job has been sent to the AM and there is not enough volume for some of the reagents or a reagent is not placed.</t>
  </si>
  <si>
    <t>&lt;Test Code&gt; automatic &lt;job type&gt; not feasible.  Waiting for &lt;material name&gt;.</t>
  </si>
  <si>
    <t>An automatic job created by the AM does not have enough volume for some of the reagents or a reagent is not placed.</t>
  </si>
  <si>
    <t>QC Due : &lt;TestCode&gt;- &lt;MaterialName&gt;</t>
  </si>
  <si>
    <t>The expiration time to perform a QC job has entered in its threshold period.</t>
  </si>
  <si>
    <t>Message received with incorrect Instrument ID (&lt;Instrument ID&gt;).</t>
  </si>
  <si>
    <t>The ACL-TOP instrument has received a message from the LIS host with an Instrument ID and/or Host ID, which do not match the configured ones.</t>
  </si>
  <si>
    <t>Description/Comment</t>
  </si>
  <si>
    <t>User Name</t>
  </si>
  <si>
    <t>Message received with incorrect Host ID (&lt;Host ID&gt;).</t>
  </si>
  <si>
    <t>Invalid Test Code received from host (LIS # &lt;LIS #&gt;).</t>
  </si>
  <si>
    <t>The LIS host has requested an unknown test.</t>
  </si>
  <si>
    <t>Test orders downloading from host not performed.</t>
  </si>
  <si>
    <t>Integrity verification of ACL TOP dictionary versus current Logbook</t>
  </si>
  <si>
    <t>The user requests a manual job orders download that the ACL-TOP instrument cannot accomplish.  In the same way, the ACL-TOP instrument tries to perform an automatic job orders downloading, and the result is the same.</t>
  </si>
  <si>
    <t>Test results uploading not performed.</t>
  </si>
  <si>
    <t>The user requests a manual test results upload that the ACL-TOP instrument cannot accomplish.  In the same way, the ACL-TOP instrument tries to perform an automatic test results uploading, and the result is the same.</t>
  </si>
  <si>
    <t>Invalid Test Request received from host (LIS # &lt;LIS #&gt;).</t>
  </si>
  <si>
    <t>Please select: Model - Duty Time - Usage - Workload.</t>
  </si>
  <si>
    <t>The LIS host has requested a test that is either disabled or inconsistent.</t>
  </si>
  <si>
    <t>Duplicated Test Order received from host (LIS # &lt;LIS #&gt;).</t>
  </si>
  <si>
    <t>The LIS host has requested a test that is already present in the instrument.</t>
  </si>
  <si>
    <t>UserDate</t>
  </si>
  <si>
    <t>Start Reagent Arm Controller software error.</t>
  </si>
  <si>
    <t>Invalid Instrument Sample ID &lt;Instrument Sample ID&gt; received from host.</t>
  </si>
  <si>
    <t>The LIS host has requested a test for sample whose Instrument Sample ID is unknown.</t>
  </si>
  <si>
    <t>LIS request not allowed.</t>
  </si>
  <si>
    <t>LIS host sent a request that is not implemented for TOP.</t>
  </si>
  <si>
    <t>Invalid Format Message.</t>
  </si>
  <si>
    <t>The format of the message or fields contained in it are not compliant with the TOP specifications.</t>
  </si>
  <si>
    <t>Host Query not performed.</t>
  </si>
  <si>
    <t>3- Select Instrument information, period for analysis (Optional) and S.A.P. file information (Optional).</t>
  </si>
  <si>
    <t>2- Run this file: ACL TOP LOGBOOK VIEWER (ENG).XLS</t>
  </si>
  <si>
    <t>The ACL-TOP instrument tries to perform an automatic host query without succeeding.</t>
  </si>
  <si>
    <t>Communications between the instrument and the LIS have been lost.</t>
  </si>
  <si>
    <t>Test Order cancellation not performed (LIS # &lt;LIS #&gt;).</t>
  </si>
  <si>
    <t>The ACL-TOP could not process a test order cancellation coming from the LIS host.</t>
  </si>
  <si>
    <t>Creation of the LIS communication channel failed.</t>
  </si>
  <si>
    <t>The ACL-TOP could not create a channel for communicating with the LIS Host.</t>
  </si>
  <si>
    <t>Current channel configuration is not supported.</t>
  </si>
  <si>
    <t>The current channel configuration defined through the control panel is not supported.</t>
  </si>
  <si>
    <t>Maintenance activity due: &lt;Maintenance Activity&gt;.</t>
  </si>
  <si>
    <t>An indicated maintenance activity shall be executed by the user.  The expiration time to perform the activity has entered in its threshold period.</t>
  </si>
  <si>
    <t>Calibration due for &lt;TestCode&gt;.</t>
  </si>
  <si>
    <t>Failure during cuvette indexing detected.</t>
  </si>
  <si>
    <t>Cleaning solution low in clean well.</t>
  </si>
  <si>
    <t>Validate LLD height in Clean well.  If too low, short sipping may occur.</t>
  </si>
  <si>
    <t>Cuvettes shuttle movement failure.</t>
  </si>
  <si>
    <t>The motor did not complete the requested move.</t>
  </si>
  <si>
    <t>Shuttle</t>
  </si>
  <si>
    <t>Bar code reader movement failure.</t>
  </si>
  <si>
    <t>The motor did not complete the requested move prior to a motor move time out (bar code).</t>
  </si>
  <si>
    <t>Barcode</t>
  </si>
  <si>
    <t>All the Optical Reading Units are disabled.   Analysis cannot be performed.</t>
  </si>
  <si>
    <t>All the ORU have been disabled, either manually or automatically. The instrument cannot perform any tests.</t>
  </si>
  <si>
    <t>Flush memory failure.</t>
  </si>
  <si>
    <t>The requested operation on flush failed</t>
  </si>
  <si>
    <t>Cuvettes accumulator failure.</t>
  </si>
  <si>
    <t>The accumulator does not return to the up position within 2 seconds of being emptied.</t>
  </si>
  <si>
    <t>Temperature out of range in a reading unit</t>
  </si>
  <si>
    <t>dd/mm/yyyy</t>
  </si>
  <si>
    <t>Temperature out of range in an incubator</t>
  </si>
  <si>
    <t>Sample probe temperature or dispense temperature out of range.</t>
  </si>
  <si>
    <t>Probe temperature or dispense temperature defined to be out of warning range but within failure range.</t>
  </si>
  <si>
    <t>Test Definition &lt;source test Name&gt; has been promoted to &lt;target test Name&gt;</t>
  </si>
  <si>
    <t>A Test Definition has been promoted.</t>
  </si>
  <si>
    <t>Vial Properties &lt;Vial Type Name&gt; &lt;Vial Properties Revision&gt; has been added.</t>
  </si>
  <si>
    <t>Condizione di incremento del Previous Status:</t>
  </si>
  <si>
    <t>A Vial Properties has been added by the user.</t>
  </si>
  <si>
    <t>Vial Properties &lt;Vial Type Name&gt; &lt;Vial Properties Revision&gt; has been updated.</t>
  </si>
  <si>
    <t>- 1</t>
  </si>
  <si>
    <t>- 2</t>
  </si>
  <si>
    <t>- 3</t>
  </si>
  <si>
    <t>- 4</t>
  </si>
  <si>
    <t>- 5</t>
  </si>
  <si>
    <t>- 6</t>
  </si>
  <si>
    <t>- 7</t>
  </si>
  <si>
    <t>- 8</t>
  </si>
  <si>
    <t>- 9</t>
  </si>
  <si>
    <t>- 10</t>
  </si>
  <si>
    <t>- 11</t>
  </si>
  <si>
    <t>- 12</t>
  </si>
  <si>
    <t>- 13</t>
  </si>
  <si>
    <t>- 14</t>
  </si>
  <si>
    <t>- 15</t>
  </si>
  <si>
    <t>- 16</t>
  </si>
  <si>
    <t>- 17</t>
  </si>
  <si>
    <t>- 18</t>
  </si>
  <si>
    <t>- 19</t>
  </si>
  <si>
    <t>- 20</t>
  </si>
  <si>
    <t>- 21</t>
  </si>
  <si>
    <t>- 22</t>
  </si>
  <si>
    <t>- 23</t>
  </si>
  <si>
    <t>- 24</t>
  </si>
  <si>
    <t>- 25</t>
  </si>
  <si>
    <t>- 26</t>
  </si>
  <si>
    <t>- 27</t>
  </si>
  <si>
    <t>- 28</t>
  </si>
  <si>
    <t>- 29</t>
  </si>
  <si>
    <t>- 30    Remotest Day in Logbook</t>
  </si>
  <si>
    <t>Macro Areas</t>
  </si>
  <si>
    <t>A Vial Properties has been  modified by the user.</t>
  </si>
  <si>
    <t>Vial Properties &lt;Vial Type Name&gt; &lt;Vial Properties Revision&gt; has been deleted.</t>
  </si>
  <si>
    <t>A Vial Properties has been  deleted by the user.</t>
  </si>
  <si>
    <t>Vial Set &lt;Vial Set Name&gt; has been added.</t>
  </si>
  <si>
    <t>A Vial Set has been added by the user.</t>
  </si>
  <si>
    <t>Vial Set &lt;Vial Set Name&gt; has been updated.</t>
  </si>
  <si>
    <t>A Vial Set has been updated by the user.</t>
  </si>
  <si>
    <t>Vial Set &lt;Vial Set Name&gt; has been deleted.</t>
  </si>
  <si>
    <t>A Vial Set has been deleted by the user.</t>
  </si>
  <si>
    <t>&lt;Controller Name&gt; controller has been upgraded to version &lt;Version Name&gt;.</t>
  </si>
  <si>
    <t>Controller upgraded successfully.</t>
  </si>
  <si>
    <t>The system detected a software version designed for experimental use.</t>
  </si>
  <si>
    <t>Software version is for experimental use only. A controller, master, IM or CM is compiled in a debug or the version name is experimental. CM is a demo installation.</t>
  </si>
  <si>
    <t>A new set of ORU air blanking values has been saved.</t>
  </si>
  <si>
    <t>A new set of ORU factor diluent blanking values has been saved.</t>
  </si>
  <si>
    <t>Probe &lt;Arm&gt;: Coordinates adjustment procedure completed.</t>
  </si>
  <si>
    <t>Probe Coordinates adjustment procedure completed.</t>
  </si>
  <si>
    <t>Waste tank not present.</t>
  </si>
  <si>
    <t>Waste tank is not present.</t>
  </si>
  <si>
    <t>CM in use is from a different ACL TOP model.</t>
  </si>
  <si>
    <t xml:space="preserve">The system detected the instrument model is different than during the last connection. </t>
  </si>
  <si>
    <t>Unable to create raw data report &lt;path&amp;filename&gt;.</t>
  </si>
  <si>
    <t>Unable to create raw data report file.</t>
  </si>
  <si>
    <t>Type</t>
  </si>
  <si>
    <t>Code</t>
  </si>
  <si>
    <t>Date</t>
  </si>
  <si>
    <t>Description</t>
  </si>
  <si>
    <t>Macro Area</t>
  </si>
  <si>
    <t>Sub Area</t>
  </si>
  <si>
    <t>Category</t>
  </si>
  <si>
    <t>Suggestion</t>
  </si>
  <si>
    <t>Total Events</t>
  </si>
  <si>
    <t>Weight Index</t>
  </si>
  <si>
    <t>Total Weight</t>
  </si>
  <si>
    <t>Analyzer / Control Module loss of communication.</t>
  </si>
  <si>
    <t>A non-recoverable error occurred in the CM/AM Communications Manager (e.g., loss of connection).</t>
  </si>
  <si>
    <t>SW</t>
  </si>
  <si>
    <t>Questionable</t>
  </si>
  <si>
    <t>HW/SW Error</t>
  </si>
  <si>
    <t>Warning + Alarm (in Warning-Error List table)</t>
  </si>
  <si>
    <t>Master controller failure.</t>
  </si>
  <si>
    <t>Failure of LRC or CRC check.</t>
  </si>
  <si>
    <t>Sample Arm controller initialization failure.</t>
  </si>
  <si>
    <t xml:space="preserve">One of the AM processors failed to initialize, due to an Invalid Controller ID. </t>
  </si>
  <si>
    <t>Rare</t>
  </si>
  <si>
    <t>Intermediate Reagent Arm controller initialization failure.</t>
  </si>
  <si>
    <t>Start Reagent Arm controller initialization failure.</t>
  </si>
  <si>
    <t>One of the AM processors failed to initialize, due to an Invalid Controller ID.</t>
  </si>
  <si>
    <t>Total all Type of messages (in LOGBOOK VIEWER)</t>
  </si>
  <si>
    <t>Cuvettes controller initialization failure.</t>
  </si>
  <si>
    <t>Racks controller initialization failure.</t>
  </si>
  <si>
    <t>Internal Check Result</t>
  </si>
  <si>
    <t>Optical Reading Units controller initialization failure.</t>
  </si>
  <si>
    <t>Master Controller software error.</t>
  </si>
  <si>
    <t xml:space="preserve">Invalid parameter provided in a function call, message queue or inter-task communication mechanism. </t>
  </si>
  <si>
    <t>Cuvettes Controller software error.</t>
  </si>
  <si>
    <t>Racks Controller software error.</t>
  </si>
  <si>
    <t>Optical Reading Units Controller software error.</t>
  </si>
  <si>
    <t>Service Call</t>
  </si>
  <si>
    <t>Sample Arm Controller software error.</t>
  </si>
  <si>
    <t>ORU Calibration</t>
  </si>
  <si>
    <t>Analyzer internal communication error.</t>
  </si>
  <si>
    <t>A non-recoverable error occurred in the Controller Communications Manager or the low level CAN bus driver (master or controller side.</t>
  </si>
  <si>
    <t>Needles/Well Cleaning</t>
  </si>
  <si>
    <t>Intermediate Reagent Arm Controller software error.</t>
  </si>
  <si>
    <t>Cuvette shuttle temperature out of range.</t>
  </si>
  <si>
    <t>Cuvette shuttle temperature defined to be out of warning range but within failure range.</t>
  </si>
  <si>
    <t>Optical reading units reference readings out of range for ORU &lt;ORU ID&gt;.</t>
  </si>
  <si>
    <t>Optical Reference readings not within expected range, possibly due to LED aging or failure.</t>
  </si>
  <si>
    <t>Optical reading unit &lt;ORU ID&gt; dark readings too high.</t>
  </si>
  <si>
    <t>ORU dark readings are too high, possibly indicating excessive stray light.</t>
  </si>
  <si>
    <t>Optical reading units readings too noisy for ORU &lt;ORU ID&gt;.</t>
  </si>
  <si>
    <t>Interface Module upgrade failed.</t>
  </si>
  <si>
    <t>IM upgrade failed.</t>
  </si>
  <si>
    <t>Incompatible IM software version</t>
  </si>
  <si>
    <t>Incompatible IM software version.</t>
  </si>
  <si>
    <t>Missing coordinates of aspiration point in track.</t>
  </si>
  <si>
    <t>Until the user defines the coordinates of the aspiration point on the LAS track, the instrument is unable to move the LAS probe there.</t>
  </si>
  <si>
    <t>Probe &lt;arm&gt; liquid level detection error in LAS track.</t>
  </si>
  <si>
    <t>LLD error in LAS track.</t>
  </si>
  <si>
    <t>Probe &lt;arm&gt; liquid level detection error in LAS arm cover aspiration point.</t>
  </si>
  <si>
    <t>LLD error in LAS arm cover aspiration point.</t>
  </si>
  <si>
    <t>Probe &lt;arm&gt; unexpected liquid level in LAS track.</t>
  </si>
  <si>
    <t>Probe &lt;arm&gt; pre- aspiration baseline check failure in LAS track.</t>
  </si>
  <si>
    <t>Probe &lt;arm&gt; aspiration baseline check failure in LAS track.</t>
  </si>
  <si>
    <t>Invalid liquid detection:  difference in baseline values read before and after aspiration is too high.</t>
  </si>
  <si>
    <t>Probe &lt;arm&gt; post aspiration baseline check failure in LAS track.</t>
  </si>
  <si>
    <t>Invalid liquid aspiration.  LLD baseline read after liquid level detection and after liquid aspiration is too high; the probe did not stay submerged.</t>
  </si>
  <si>
    <t>Probe &lt;arm&gt; unexpected liquid level in LAS arm cover aspiration point.</t>
  </si>
  <si>
    <t>Unexpected liquid level in LAS arm cover aspiration point.</t>
  </si>
  <si>
    <t>Probe &lt;arm&gt; pre aspiration baseline check failure in LAS arm cover aspiration point.</t>
  </si>
  <si>
    <t>Probe &lt;arm&gt; aspiration baseline check failure in LAS arm cover aspiration point.</t>
  </si>
  <si>
    <t>Invalid liquid detection: difference in baseline values read before and after aspiration is too high.</t>
  </si>
  <si>
    <t>Probe &lt;arm&gt; post aspiration baseline check failure in LAS arm cover aspiration point.</t>
  </si>
  <si>
    <t>Invalid liquid aspiration.  LLD baseline read after liquid level detection and after liquid aspiration is too high: the probe did not stay submerged.</t>
  </si>
  <si>
    <t>Insufficient sample volume in LAS track.</t>
  </si>
  <si>
    <t>Insufficient liquid for the aspirate (LAS track)</t>
  </si>
  <si>
    <t>Insufficient volume in LAS arm cover aspiration point.</t>
  </si>
  <si>
    <t>Insufficient liquid for the aspirate (LAS arm cover).</t>
  </si>
  <si>
    <t>Successful log in by user: &lt;user&gt;.</t>
  </si>
  <si>
    <t>User was recognized and could log in to the system.</t>
  </si>
  <si>
    <t>Unsuccessful log in by user: &lt;user&gt;.</t>
  </si>
  <si>
    <t>User could not be  recognized and could not log in to the system.</t>
  </si>
  <si>
    <t>Log out by user: &lt;user&gt;.</t>
  </si>
  <si>
    <t>User logged out from the system.</t>
  </si>
  <si>
    <t>The user modified patient demographics for sample &lt;sample ID&gt;.</t>
  </si>
  <si>
    <t>The user modified patient demographic information.</t>
  </si>
  <si>
    <t>LAS parameters modified.</t>
  </si>
  <si>
    <t>LAS definitions parameters changed.</t>
  </si>
  <si>
    <t>IM parameters modified.</t>
  </si>
  <si>
    <t>IM parameters changed.</t>
  </si>
  <si>
    <t>&lt;Test code&gt; is inconsistent/disabled.</t>
  </si>
  <si>
    <t>There was a programmed test for an LAS sample.  The test definition is inconsistent/disabled and the test was removed.</t>
  </si>
  <si>
    <t>Sample volume for &lt;test code&gt; exceeds the limit of a cuvette cell.</t>
  </si>
  <si>
    <r>
      <t xml:space="preserve">The LAS sample volume required to complete a single test cannot exceed 535 </t>
    </r>
    <r>
      <rPr>
        <sz val="11"/>
        <color indexed="8"/>
        <rFont val="Arial Unicode MS"/>
        <family val="2"/>
      </rPr>
      <t>μ</t>
    </r>
    <r>
      <rPr>
        <sz val="11"/>
        <color indexed="8"/>
        <rFont val="Arial"/>
        <family val="2"/>
      </rPr>
      <t>L.</t>
    </r>
  </si>
  <si>
    <t>&lt;Test code&gt; &lt;job type&gt; job not feasible.  Sample &lt;sample ID&gt; has expired.</t>
  </si>
  <si>
    <t>A job cannot start because the LAS sample expired.</t>
  </si>
  <si>
    <t>&lt;Test code&gt; &lt;Job type&gt; job not feasible.  Waiting for sample &lt;sample ID&gt;.</t>
  </si>
  <si>
    <t>A job has been sent to the AM and there is not enough sample volume.</t>
  </si>
  <si>
    <t>Interface module has been upgraded to version &lt;version name&gt;.</t>
  </si>
  <si>
    <t>IM has been upgraded.</t>
  </si>
  <si>
    <t>LAS sample expiration time exceeded for &lt;data dictionary - sample ID&gt;.</t>
  </si>
  <si>
    <t>The time that an LAS sample can remain placed has been exceeded.</t>
  </si>
  <si>
    <t>Invalid bar code size</t>
  </si>
  <si>
    <t>Bar code size bigger than the maximum size of sample ID (15 characters)</t>
  </si>
  <si>
    <t>LAS Interface Manager (IM) communications error.</t>
  </si>
  <si>
    <t>Track Communication</t>
  </si>
  <si>
    <t>LLD error</t>
  </si>
  <si>
    <t>The AM has detected liquid where liquid should not be (a false positive)</t>
  </si>
  <si>
    <t>Error detected in ORU</t>
  </si>
  <si>
    <t>Generic ORU error.  If the signal check for a particular test is disabled, all ORU flags are treated as an error.</t>
  </si>
  <si>
    <t>Temperature out of range</t>
  </si>
  <si>
    <t>Generic flag indicating that at least one temperature reading was out of range.  All temperature out of range alarms are mapped to a single flag within each determination.</t>
  </si>
  <si>
    <t>Warning detected in ORU.</t>
  </si>
  <si>
    <t>Generic ORU warning.  If signal checks are enabled in the test definitions for the particular test, all ORU flags are treated as warning.</t>
  </si>
  <si>
    <t>1- Export ACL TOP LOGBOOK using "MICROSOFT EXCEL (DATA ONLY)" format. Do not change optional settings.</t>
  </si>
  <si>
    <t>Material stirring warning</t>
  </si>
  <si>
    <t>The AM has detected that the material stirring mechanism is not stirring the material and this is a coagulation test (stirring prolongs material stability)</t>
  </si>
  <si>
    <t>Material stability</t>
  </si>
  <si>
    <t>One or more material's stability has expired for this determination.</t>
  </si>
  <si>
    <t>Material expired</t>
  </si>
  <si>
    <t>One or more of the materials used to run this determination has expired.</t>
  </si>
  <si>
    <t>LAS sample expired during processing.</t>
  </si>
  <si>
    <t>Volume tracking - insufficient liquid (sample)</t>
  </si>
  <si>
    <t>Error indicating that there was insufficient sample to pipette.</t>
  </si>
  <si>
    <t>Volume tracking - insufficient liquid (reagent)</t>
  </si>
  <si>
    <t>The AM determined that there was insufficient reagent to pipette.</t>
  </si>
  <si>
    <t>Missing post dispense rinse/clean detected.</t>
  </si>
  <si>
    <t>Giorno di lavoro = Eventi giornalieri &gt;60</t>
  </si>
  <si>
    <t>Error indicating missing dispense of rinse or clean was detected in the software due to timing issues in the scheduler.</t>
  </si>
  <si>
    <t>Material dispense error</t>
  </si>
  <si>
    <t>Because of a scheduling error, a material that should have been dispensed into the reaction cuvette was not dispensed.  This check is done for safety purposes and it is intended that this error will never be seen.</t>
  </si>
  <si>
    <t>LAS track communications error.</t>
  </si>
  <si>
    <t>LAS track unavailable.</t>
  </si>
  <si>
    <t>LAS sample &lt;sample ID&gt; rejected.</t>
  </si>
  <si>
    <t>LAS track has provided sample data with inconsistencies.</t>
  </si>
  <si>
    <t>Capped tube provided by the LAS track.</t>
  </si>
  <si>
    <t>Rack removed too fast or rack labels damaged. Place in and out again slowly the rack.</t>
  </si>
  <si>
    <t>Check/Prime Rinse circuit; Check Glass Syringes are tighten.</t>
  </si>
  <si>
    <t>Reset queue request denied.  Allow to clear the physical queue is unsafe.</t>
  </si>
  <si>
    <t>LAS track has requested to reset the queue but the instrument does not let it do that.</t>
  </si>
  <si>
    <t>LAS sample &lt;sample ID&gt; cannot be processed at this time.</t>
  </si>
  <si>
    <t>The instrument rejects the LAS sample because it is not ready for sampling.</t>
  </si>
  <si>
    <t>LAS sample was intended to be provided while a reset queue was in progress.</t>
  </si>
  <si>
    <t>LAS sample &lt;sample ID&gt; not expected at aspiration point.  This sample shall not be processed.</t>
  </si>
  <si>
    <t>Sample not expected at aspiration point.</t>
  </si>
  <si>
    <t>LAS sample &lt;sample ID&gt; order different than expected at aspiration point.  This sample shall be processed.</t>
  </si>
  <si>
    <t>LAS sample &lt;sample ID&gt; not processed.</t>
  </si>
  <si>
    <t>Remove Cuvette Jam</t>
  </si>
  <si>
    <t>When attempting to move the cuvette indexer to pick up a new cuvette clip, the indexer was not detected to be fully to the left to allow the clip to fall.  Move is attempted for five seconds in order to search for the proper position.</t>
  </si>
  <si>
    <t>Failed to place cuvette clip in position for pickup.</t>
  </si>
  <si>
    <t xml:space="preserve">When the cuvette indexer is attempting to load the cuvette clip into the position for the cuvette shuttle to pick it up, the clip was not detected.  Move is attempted for five seconds in order to search for the proper position. </t>
  </si>
  <si>
    <t>Pivot arm did not move to the up position.</t>
  </si>
  <si>
    <t>The move of the pivot arm to the up position was not detected as completed.  The motor moves for 10 seconds and the expected sensor to stop the motor was not found.</t>
  </si>
  <si>
    <t>Pivot arm did not move to the down position.</t>
  </si>
  <si>
    <t>The move of the pivot arm to the down position was not detected as completed.    The motor moves for 10 seconds and the expected sensor to stop the motor was not found.</t>
  </si>
  <si>
    <t>Cuvette strip not in shuttle after pick up operation.</t>
  </si>
  <si>
    <t>After all devices have successfully performed their individual operations to pick up a cuvette, but a cuvette was not detected in the shuttle.</t>
  </si>
  <si>
    <t>No cuvette strip in shuttle to drop off.</t>
  </si>
  <si>
    <t xml:space="preserve">A request was made to drop off a cuvette, but no cuvette is detected in the shuttle. </t>
  </si>
  <si>
    <t>Missing cuvette strip in slot for pick up.</t>
  </si>
  <si>
    <t>The shuttle is ready to pick up a cuvette, but there is no cuvette in the slot.</t>
  </si>
  <si>
    <t>Cuvette shuttle is full.</t>
  </si>
  <si>
    <t>File Path = C:\Log\TOP\03060046\Temp\GeneralLog.txt</t>
  </si>
  <si>
    <t>The shuttle cannot perform a cuvette pick up operation because a cuvette is already detected in the shuttle.</t>
  </si>
  <si>
    <t>Cuvette not released into slot.</t>
  </si>
  <si>
    <t>After all devices have successfully performed their individual operations to drop off a cuvette, but a cuvette was still detected in the shuttle.</t>
  </si>
  <si>
    <t>Invalid position to drop off a cuvette.</t>
  </si>
  <si>
    <t>Improper destination for a cuvette drop off.  Cannot drop off a cuvette into the loader for example.</t>
  </si>
  <si>
    <t>Cuvette not present to pickup.</t>
  </si>
  <si>
    <t>The source position for picking up a cuvette is empty.</t>
  </si>
  <si>
    <t>Cuvette destination position full.</t>
  </si>
  <si>
    <t>The destination position for placing a cuvette is occupied.</t>
  </si>
  <si>
    <t>Cannot pickup from waste.</t>
  </si>
  <si>
    <t>The requested cuvette pick up position is the waste position which is not possible.</t>
  </si>
  <si>
    <t>Cannot drop off at loader.</t>
  </si>
  <si>
    <t>Selected Period Weight Threshold</t>
  </si>
  <si>
    <t>The requested drop off position is the loader position which is not possible.</t>
  </si>
  <si>
    <t>Cuvette load operation too slow.</t>
  </si>
  <si>
    <t>Second cuvette move operation attempted prior to the loader/indexer preparing a new cuvette strip.</t>
  </si>
  <si>
    <t>Cuvette slot found too early.</t>
  </si>
  <si>
    <t>The number of required slots was detected too early in move distance.</t>
  </si>
  <si>
    <t>Gripper back sensor still active.</t>
  </si>
  <si>
    <t>During initialization (home), the gripper attempts to move off the back sensor, but the sensor is still detected.  OR   Extend gripper operation performed, but the back sensor is still detected.</t>
  </si>
  <si>
    <t>Gripper back sensor not found.</t>
  </si>
  <si>
    <t>Time</t>
  </si>
  <si>
    <t>Normal Pool Plasma Overdue for &lt;TestCode&gt;.</t>
  </si>
  <si>
    <t>The NPP frequency has expired.</t>
  </si>
  <si>
    <t>Analytical Reference Overdue for &lt;TestCode&gt;.</t>
  </si>
  <si>
    <t>The AR frequency has expired.</t>
  </si>
  <si>
    <t>Analytical Reference Failed for &lt;TestCode&gt;.</t>
  </si>
  <si>
    <t>Analytical Reference has failed</t>
  </si>
  <si>
    <t>Calibration for &lt;Test Code&gt; interrupted.</t>
  </si>
  <si>
    <t>A Calibration was active and it was manually or automatically interrupted.</t>
  </si>
  <si>
    <t>Auto validation of completed calibration for &lt;Test Code&gt; failed.</t>
  </si>
  <si>
    <t>A calibration has been completed and the auto validation failed.</t>
  </si>
  <si>
    <t>&lt;Test Code&gt; is inconsistent and was removed from &lt;Rack ID&gt;, position &lt;rack position #&gt;.</t>
  </si>
  <si>
    <t>Programmed test was not consistent and was removed.</t>
  </si>
  <si>
    <t>&lt;TestCode&gt; &lt;JobType&gt; job not feasible. Calibration not available.</t>
  </si>
  <si>
    <t>A patient job has been sent to AM and there is no validated calibration for the on board lots.</t>
  </si>
  <si>
    <t>&lt;TestCode&gt; &lt;JobType&gt; job not feasible. QC failed for &lt;Material Name&gt;.</t>
  </si>
  <si>
    <t>A patient job has been sent to AM and there is a QC failed for that test.</t>
  </si>
  <si>
    <t>Storage of messages sent to LIS &lt;%&gt; full.</t>
  </si>
  <si>
    <t>The UDC storage is almost full of messages waiting to be sent to LIS.</t>
  </si>
  <si>
    <t>Storage of messages sent to LIS overloaded.  New uploaded messages will be rejected.</t>
  </si>
  <si>
    <t>The UDC storage is almost full of messages waiting to be sent to LIS.  No more messages are accepted.</t>
  </si>
  <si>
    <t>Upload message was rejected and therefore not sent to LIS.</t>
  </si>
  <si>
    <t>UDC Rejected Uploaded Message.</t>
  </si>
  <si>
    <t>Auto Start failed</t>
  </si>
  <si>
    <t>Auto Start could not be started.</t>
  </si>
  <si>
    <t>Unable to move bar code reader.</t>
  </si>
  <si>
    <t>The bar code reader cannot move because the rack is not fully inserted or removed.</t>
  </si>
  <si>
    <t>Rack rejected.</t>
  </si>
  <si>
    <t xml:space="preserve">The bar code label read is invalid.  </t>
  </si>
  <si>
    <t>CTS rack rejected.</t>
  </si>
  <si>
    <t>Cap not detected for sample in rack &lt;Rack ID&gt;, position &lt;position #&gt;, track &lt;Track ID&gt;.</t>
  </si>
  <si>
    <t>Cap not detected by the piercer.</t>
  </si>
  <si>
    <t>Rack button identification failure.</t>
  </si>
  <si>
    <t>The rack button pressed is not a valid code.</t>
  </si>
  <si>
    <t>Bar code reader communication failure.</t>
  </si>
  <si>
    <t>Cannot communicate with the bar code reader.</t>
  </si>
  <si>
    <t>In-line cleaning solution level low.</t>
  </si>
  <si>
    <t>The in-line cleaning solution level is below 75 mL.</t>
  </si>
  <si>
    <t>Rinse solution level low.</t>
  </si>
  <si>
    <t>Rinse solution level is below 1000 mL.</t>
  </si>
  <si>
    <t>Cuvettes low in the load area.</t>
  </si>
  <si>
    <t>No cuvette strips detected at Warning sensor in load area.</t>
  </si>
  <si>
    <t>Cuvette waste almost full.</t>
  </si>
  <si>
    <t>The level of cuvettes in the waste drawer is close to maximum height.</t>
  </si>
  <si>
    <t>Waste tank almost full.</t>
  </si>
  <si>
    <t>Waste fluid container Warning sensor detected.</t>
  </si>
  <si>
    <t>The analyzer is unable to process the request to enable CTS piercing probe mode.</t>
  </si>
  <si>
    <t>The analyzer is unable to process the request to disable CTS piercing probe mode.</t>
  </si>
  <si>
    <t>Sum of Total Weight</t>
  </si>
  <si>
    <t>Message</t>
  </si>
  <si>
    <t>Preventive activity suggested</t>
  </si>
  <si>
    <t>INSTRUCTIONS</t>
  </si>
  <si>
    <t>Count of Code</t>
  </si>
  <si>
    <t>Function Area</t>
  </si>
  <si>
    <t>&lt;Arm&gt; Arm controller initialization failure.</t>
  </si>
  <si>
    <t>&lt;Arm&gt; Arm Controller software error.</t>
  </si>
  <si>
    <t>Invalid state for an event, function call, message, etc.</t>
  </si>
  <si>
    <t>Incompatible AM Master software version. Detected interface version &lt;Interface Version&gt; and expected &lt;Interface Version&gt;.</t>
  </si>
  <si>
    <t>Incompatible interface version between AM/CM.</t>
  </si>
  <si>
    <t>Incompatible &lt;Controller Name&gt; controller version.</t>
  </si>
  <si>
    <t>Incompatible interface version between a controller and the AM Master software.</t>
  </si>
  <si>
    <t>Material &lt;Material Name&gt; not dispensed.</t>
  </si>
  <si>
    <t>SW detected a material that was not dispensed.</t>
  </si>
  <si>
    <t>Arm &lt;Arm&gt; controller failure</t>
  </si>
  <si>
    <t>CRC Error detected in writing to or reading from a permanent storage device (e.g., EEPROM</t>
  </si>
  <si>
    <t>&lt;Arm&gt; Arm controller failure.</t>
  </si>
  <si>
    <t>&lt;Arm&gt; Arm controller voltage out of range.</t>
  </si>
  <si>
    <t xml:space="preserve">Probe &lt;arm&gt; Clean priming failure </t>
  </si>
  <si>
    <t xml:space="preserve">Clean priming failure </t>
  </si>
  <si>
    <t>Cuvette waste accumulator unable to empty.</t>
  </si>
  <si>
    <t>EntryDate</t>
  </si>
  <si>
    <t>Please select Period of time to analyse and dates format.</t>
  </si>
  <si>
    <t>Accumulator is full and unable to dump.</t>
  </si>
  <si>
    <t>Remove/Replace Waste Drawer checking Biological Container position.</t>
  </si>
  <si>
    <t>Cannot empty waste into container.</t>
  </si>
  <si>
    <t>Empty Tank if Full / Check for Waste Connector Insertion or Tubing obstructions.</t>
  </si>
  <si>
    <t>Clean vial empty.</t>
  </si>
  <si>
    <t>Clean volume in vial detected to be at error threshold.</t>
  </si>
  <si>
    <t>Replace bottle if empty / Check for Clean Connector Insertion or Air in circuit.</t>
  </si>
  <si>
    <t>Probe &lt;Arm&gt;: insufficient volume in clean cup.</t>
  </si>
  <si>
    <t>Insufficient liquid for the aspirate (sample or reagent)</t>
  </si>
  <si>
    <t>QC Frequency OK: &lt;Test Code&gt;-&lt;MaterialName&gt;</t>
  </si>
  <si>
    <t>Transition from QC frequency Overdue/Due to OK</t>
  </si>
  <si>
    <t>QC</t>
  </si>
  <si>
    <t>QC Omitted point: &lt;TestCode&gt;- &lt;MaterialName&gt;</t>
  </si>
  <si>
    <t>QC result omitted</t>
  </si>
  <si>
    <t>QC Point restored: &lt;TestCode&gt;- &lt;MaterialName&gt;</t>
  </si>
  <si>
    <t>An omitted QC result has been re-enabled</t>
  </si>
  <si>
    <t>QC Results purged until &lt;LimitDate&gt;: &lt;TestCode&gt;- &lt;Material Name&gt;</t>
  </si>
  <si>
    <t>QC Results have been purged</t>
  </si>
  <si>
    <t>Analyzer Status changed from &lt;AM Status&gt; to &lt;AM Status&gt;</t>
  </si>
  <si>
    <t>AM status changed</t>
  </si>
  <si>
    <t>Manual maintenance activity &lt;Maintenance Activity Name&gt; has been added.</t>
  </si>
  <si>
    <t>A new manual maintenance activity has been defined and added by the user.</t>
  </si>
  <si>
    <t>Manual maintenance activity &lt;Maintenance Activity Name&gt; has been deleted.</t>
  </si>
  <si>
    <t>A manual maintenance Activity has been deleted by the user.</t>
  </si>
  <si>
    <t>Maintenance activity &lt;Maintenance Activity Name&gt; has been configured.</t>
  </si>
  <si>
    <t>A maintenance activity has been reconfigured. Their values might be changed.</t>
  </si>
  <si>
    <t>Frequency status for manual maintenance activity &lt;Maintenance Activity Name&gt; has changed to OK.</t>
  </si>
  <si>
    <t>The frequency status of a maintenance activity has changed to OK.</t>
  </si>
  <si>
    <t>Maintenance activity &lt;Maintenance Activity Name&gt; has been executed.</t>
  </si>
  <si>
    <t>A maintenance activity has been executed either manually by the user or automatically by the system.</t>
  </si>
  <si>
    <t>Calibration of &lt;Test Code&gt; recalculated</t>
  </si>
  <si>
    <t>A calibration has been recalculated or edited.</t>
  </si>
  <si>
    <t>Applications</t>
  </si>
  <si>
    <t>Air Calibration data for the specified ORU are not available. The instrument is not able to perform air reading drift checks.</t>
  </si>
  <si>
    <t>&lt;Material name&gt; insufficient volume.</t>
  </si>
  <si>
    <t>Volume for the last bottle is detected to be at the error threshold.</t>
  </si>
  <si>
    <t>An invalid blanking value has been accepted for ORU &lt;ORU ID&gt; (Value = &lt;VALUE&gt;).  The ORU will be automatically disabled.</t>
  </si>
  <si>
    <t>An invalid blanking value has been accepted by the user.  The ORU will be automatically disabled.</t>
  </si>
  <si>
    <t>ORU Factor Diluent Calibration data not available for ORU &lt;ORU ID&gt;.</t>
  </si>
  <si>
    <t>Calibration frequency in the warning threshold.</t>
  </si>
  <si>
    <t>Normal Pool Plasma due for &lt;TestCode&gt;.</t>
  </si>
  <si>
    <t>NPP frequency in the warning threshold.</t>
  </si>
  <si>
    <t>Analytical Reference due for &lt;TestCode&gt;.</t>
  </si>
  <si>
    <t>AR frequency in the warning threshold.</t>
  </si>
  <si>
    <t>QC Profile &lt;QC Profile Name&gt; has been deleted.</t>
  </si>
  <si>
    <t>A QC Profile Definition has been deleted.</t>
  </si>
  <si>
    <t>QC Profile &lt;QC Profile Name&gt; has been modified.</t>
  </si>
  <si>
    <t>A QC Profile Definition has been modified.</t>
  </si>
  <si>
    <t>Calibration of &lt;Test Code&gt; completed: please review and validate.</t>
  </si>
  <si>
    <t>A calibration has been executed and requires validation from the user.</t>
  </si>
  <si>
    <t>&lt;Material name&gt; on-board stability expired for last available vial.</t>
  </si>
  <si>
    <t>4- Press START Loading Data button and browse to select extracted data from ACL TOP logbbook file and S.A.P file as required.</t>
  </si>
  <si>
    <t>Air presser sensor not operating correctly.</t>
  </si>
  <si>
    <t>&lt;Material name&gt; volume low.</t>
  </si>
  <si>
    <t>Volume for last bottle detected to be at warning threshold.</t>
  </si>
  <si>
    <t>&lt;Material name&gt; on-board stability low.</t>
  </si>
  <si>
    <t>Remaining stability for the last bottle is detected to be at warning threshold.</t>
  </si>
  <si>
    <t>Materials</t>
  </si>
  <si>
    <t>QC Failed: &lt;TestCode&gt;- &lt;MaterialName&gt;</t>
  </si>
  <si>
    <t>QC rules have failed.  It is a hint to detect problems in the measurement.</t>
  </si>
  <si>
    <t>Maintenance activity overdue: &lt;Maintenance Activity&gt;.</t>
  </si>
  <si>
    <t>An indicated Maintenance Activity should already have been executed by the user.  The expiration date for a Maintenance Activity has been reached.</t>
  </si>
  <si>
    <t>Calibration Overdue for &lt;TestCode&gt;.</t>
  </si>
  <si>
    <t>Frequency expired for the active validated calibration.</t>
  </si>
  <si>
    <t>Material Definition &lt;material name&gt; has been modified: on-board stability.</t>
  </si>
  <si>
    <t>The stability configuration of a Material Definition has been changed.</t>
  </si>
  <si>
    <t>Material Definition &lt;material name&gt; has been modified: Lot management</t>
  </si>
  <si>
    <t>The Lot management cfg. of a Material Definition has been changed.</t>
  </si>
  <si>
    <t>Material Definition &lt;material name&gt; has been modified: Lot Number (active Lot).</t>
  </si>
  <si>
    <t>The active Lot - Lot Number of a Material Definition has been changed.</t>
  </si>
  <si>
    <t>Material Definition &lt;material name&gt; has been modified: Alternative Lot cfg.</t>
  </si>
  <si>
    <t>The alternative Lot cfg. of a Material Definition has been changed.</t>
  </si>
  <si>
    <t xml:space="preserve">Material Definition &lt;material name&gt; generic change. </t>
  </si>
  <si>
    <t>An existing Material Definition has been modified.</t>
  </si>
  <si>
    <t>System Definitions: generic change.</t>
  </si>
  <si>
    <t>Global change in System Definitions.</t>
  </si>
  <si>
    <t>System Definitions: Bar code parameters modified.</t>
  </si>
  <si>
    <t>System Definitions, Bar code parameters changed.</t>
  </si>
  <si>
    <t>System Definitions: LIS parameters modified</t>
  </si>
  <si>
    <t>System Definitions, LIS parameters changed.</t>
  </si>
  <si>
    <t>QC Definition &lt;Test name&gt; - &lt;Material name&gt; has been added.</t>
  </si>
  <si>
    <t>A new QC Definition has been added.</t>
  </si>
  <si>
    <t>QC Definition &lt;Test name&gt; - &lt;Material name&gt; has been deleted.</t>
  </si>
  <si>
    <t>A QC Definition has been deleted.</t>
  </si>
  <si>
    <t>QC Definition &lt;Test name&gt; - &lt;Material name&gt; has been modified: Target Mean.</t>
  </si>
  <si>
    <t>The Target Mean of a QC Definition has been changed.</t>
  </si>
  <si>
    <t>QC Definition &lt;Test name&gt; - &lt;Material name&gt; has been modified: Target SD</t>
  </si>
  <si>
    <t>The Target SD of a QC Definition has been changed.</t>
  </si>
  <si>
    <t>QC Definition &lt;Test name&gt; - &lt;Material name&gt; has been modified:  Patient Flags</t>
  </si>
  <si>
    <t>The Patient Flags of a QC Definition have been changed.</t>
  </si>
  <si>
    <t>QC Definition &lt;Test name&gt; - &lt;Material name&gt; has been modified: Rules Cfg.</t>
  </si>
  <si>
    <t>The Rules Cfg. of a QC Definition have been changed.</t>
  </si>
  <si>
    <t>QC Definition &lt;Test name&gt; - &lt;Material name&gt; has been modified: Frequency Cfg.</t>
  </si>
  <si>
    <t>The Frequency cfg. of a QC Definition has been changed.</t>
  </si>
  <si>
    <t>QC Definition &lt;Test name&gt; - &lt;Material name&gt; has been modified: QC Unit</t>
  </si>
  <si>
    <t>Total IL SUPPORT messages</t>
  </si>
  <si>
    <t>The Unit of a QC Definition has been changed.</t>
  </si>
  <si>
    <t>Software access permissions have been modified.</t>
  </si>
  <si>
    <t>The user changed some access levels in the Software access screen.</t>
  </si>
  <si>
    <t>User Definition &lt;User Name&gt; has been added.</t>
  </si>
  <si>
    <t>A new User Definition has been added.</t>
  </si>
  <si>
    <t>User Definition &lt;User Name&gt; has been deleted.</t>
  </si>
  <si>
    <t>Condizioni di incremento del Current Error Level:</t>
  </si>
  <si>
    <t>User Definition &lt;User Name&gt; has been modified.</t>
  </si>
  <si>
    <t>An existing User Definition has been modified.</t>
  </si>
  <si>
    <t>User Definition &lt;User Name&gt; has been modified&gt; Security Level</t>
  </si>
  <si>
    <t>The security Level of an existing User Definition has been changed.</t>
  </si>
  <si>
    <t>User Definition &lt;User Name&gt; has been locked by the system.</t>
  </si>
  <si>
    <t>The user intended to log in with erroneous password 3 consecutive times, so the system has locked this user.</t>
  </si>
  <si>
    <t>Reflex Rule &lt;Reflex Rule Name&gt; has been added.</t>
  </si>
  <si>
    <t>A new Reflex Rule has been added.</t>
  </si>
  <si>
    <t>Reflex Rule &lt;Reflex Rule Name&gt; has been deleted.</t>
  </si>
  <si>
    <t>An existing Reflex Rule has been deleted.</t>
  </si>
  <si>
    <t>Reflex Rule &lt;Reflex Rule Name&gt; has been modified.</t>
  </si>
  <si>
    <t>Reflex Rule has been modified.</t>
  </si>
  <si>
    <t>Auto-Validation Rules have been modified.</t>
  </si>
  <si>
    <t>Sender Definition &lt;Sender Code&gt; has been added.</t>
  </si>
  <si>
    <t>A new Sender Definition has been added.</t>
  </si>
  <si>
    <t>Sender Definition &lt;Sender Code&gt; has been deleted.</t>
  </si>
  <si>
    <t>An existing Sender Definition has been deleted.</t>
  </si>
  <si>
    <t>Sender Definition &lt;Sender Code&gt; has been modified.</t>
  </si>
  <si>
    <t>An existing Sender Definition has been modified.</t>
  </si>
  <si>
    <t>Test Profile &lt;Test Profile Name&gt; has been added.</t>
  </si>
  <si>
    <t>A new Test Profile Definition has been added.</t>
  </si>
  <si>
    <t>Test Profile &lt;Test Profile Name&gt; has been deleted.</t>
  </si>
  <si>
    <t>A Test Profile Definition has been deleted.</t>
  </si>
  <si>
    <t>Test Profile &lt;Test Profile Name&gt; has been modified.</t>
  </si>
  <si>
    <t>A Test Profile Definition has been modified.</t>
  </si>
  <si>
    <t>QC Profile &lt;QC Profile Name&gt; has been added.</t>
  </si>
  <si>
    <t>A new QC Profile Definition has been added.</t>
  </si>
  <si>
    <t>Probe &lt;probe name&gt; post aspiration baseline check failure in cuvette position &lt;X&gt;, slot &lt;YY&gt;.</t>
  </si>
  <si>
    <t>Probe &lt;Probe name&gt; post aspiration baseline check failure in well position &lt;well pos&gt;.</t>
  </si>
  <si>
    <t>Rinse solution bottle empty.</t>
  </si>
  <si>
    <t>The Rinse solution level is below 600 mL.</t>
  </si>
  <si>
    <t>Waste tank full.</t>
  </si>
  <si>
    <t>Waste fluid container Full sensor has been detected.</t>
  </si>
  <si>
    <t>&lt;Cover ID&gt; open.</t>
  </si>
  <si>
    <t>Safety cover detected open not in diagnostics.</t>
  </si>
  <si>
    <t>Clean solution bottle empty.</t>
  </si>
  <si>
    <t>The Clean solution level is below 25 mL.</t>
  </si>
  <si>
    <t>Cuvette load area empty.</t>
  </si>
  <si>
    <t>No cuvette strips detected at Empty sensor in the load area.</t>
  </si>
  <si>
    <t>Cuvettes waste drawer missing.</t>
  </si>
  <si>
    <t>Please select available data files to load.</t>
  </si>
  <si>
    <t>Cuvette waste drawer sensor detects waste drawer not present.</t>
  </si>
  <si>
    <t>Cuvette waste full</t>
  </si>
  <si>
    <t>Used cuvettes exceed 80% of the waste drawer capacity.</t>
  </si>
  <si>
    <t>Cuvettes strip drop off failure in position &lt;cuvette slot ID&gt;.</t>
  </si>
  <si>
    <t>Unable to drop off cuvette in the requested position.</t>
  </si>
  <si>
    <t>Cuvettes strip positioning failure.</t>
  </si>
  <si>
    <t>The requested cuvette move is not allowed.</t>
  </si>
  <si>
    <t>Cuvette strip pickup failure in position &lt;cuvette slot ID&gt;.</t>
  </si>
  <si>
    <t>Unable to pick up cuvette in the requested position.</t>
  </si>
  <si>
    <t>Insufficient volume in track # &lt;track ID&gt;, position &lt;rack position #&gt;.</t>
  </si>
  <si>
    <t>Cuvette loader failure.</t>
  </si>
  <si>
    <t>Insufficient liquid for the aspiration (sample or reagent).</t>
  </si>
  <si>
    <t>Insufficient liquid in cuvette &lt;cuvette slot ID&gt; well &lt;well position&gt;.</t>
  </si>
  <si>
    <t>Insufficient liquid is detected when mixing is performed in a cuvette cell.</t>
  </si>
  <si>
    <t>Unrecoverable scheduling time violation.</t>
  </si>
  <si>
    <t>Note 2: This software tool works also with Logbook files obtained through the Database Extraction Utility (Example: "GeneralLog.txt").</t>
  </si>
  <si>
    <t>Note 3: DATE FORMAT SELECTOR button has to be used very first time to set up local computer date format; and in case of "XLS" input Logbook having date format different from the local computer system date.</t>
  </si>
  <si>
    <t>Critical when &gt;1% of Test Performed</t>
  </si>
  <si>
    <t>Memory allocation failed or stack usage exceeds limit.</t>
  </si>
  <si>
    <t>Error detected when calling kernel facilities.</t>
  </si>
  <si>
    <t>Frequent</t>
  </si>
  <si>
    <t>Software logic error such as an invalid path in a switch statement or if.else branch.</t>
  </si>
  <si>
    <t>Invalid state for an event, function call, message, etc</t>
  </si>
  <si>
    <t>It was detected that there is a potential for a stack problem.</t>
  </si>
  <si>
    <t>The command received is not supported.</t>
  </si>
  <si>
    <t>Interrupted communication between the Analyzer and the Control Module.</t>
  </si>
  <si>
    <t>The CM has lost the connection with the AM module.</t>
  </si>
  <si>
    <t>One of the wavelengths not used in ORU acquisitions.</t>
  </si>
  <si>
    <t>Downloaded controller Software version (&lt;Downloaded File Name&gt;) is different than Software version actually used by AM (&lt;Used File Name&gt;).</t>
  </si>
  <si>
    <t>Controller Upgrade has failed since downloaded SW version does not match SW version actually used.</t>
  </si>
  <si>
    <t>&lt;Arm&gt; Arm failure.</t>
  </si>
  <si>
    <t>The CAVRO arm is inoperable</t>
  </si>
  <si>
    <t>ARMs</t>
  </si>
  <si>
    <t>Cavro Arms</t>
  </si>
  <si>
    <t>&lt;Syringe&gt; Syringe failure.</t>
  </si>
  <si>
    <t>The pump used to aspirate/dispense fluids is inoperable.</t>
  </si>
  <si>
    <t>Syringes</t>
  </si>
  <si>
    <t>The Optical Reading Unit &lt;ORU ID&gt; has been disabled.</t>
  </si>
  <si>
    <t>The ORU Head has been disabled.</t>
  </si>
  <si>
    <t>ORU</t>
  </si>
  <si>
    <t>Data Check</t>
  </si>
  <si>
    <t>Plunger Overload.  This error occurs when movement of the syringe plunger is blocked by excessive pressure.</t>
  </si>
  <si>
    <t>N/A</t>
  </si>
  <si>
    <t>Valve Overload.  This error occurs when the valve drive loses steps by blockage or excess back pressure.  Continual valve overload errors are an indication the valve should be replaced.</t>
  </si>
  <si>
    <t>Plunger Move Not Allowed.   When the valve is in bypass or throughput position plunger movement commands are not allowed.</t>
  </si>
  <si>
    <t>Command Overflow.  This error occurs when the command buffer contains too many characters.</t>
  </si>
  <si>
    <t>Optical reading units voltage control failure.</t>
  </si>
  <si>
    <t>Voltage out-of-range fault detected.</t>
  </si>
  <si>
    <t>Electronic</t>
  </si>
  <si>
    <t>Arm communication error.</t>
  </si>
  <si>
    <t>RS232 communications error with CAVRO arms</t>
  </si>
  <si>
    <t>Cuvettes incubator No. 1 temperature control failure.</t>
  </si>
  <si>
    <t xml:space="preserve">Incubator temperature defined to be out of range for a period exceeding the fatal error limits. </t>
  </si>
  <si>
    <t>Temperatures</t>
  </si>
  <si>
    <t>Cuvettes incubator No. 2 temperature control failure.</t>
  </si>
  <si>
    <t>Optical reading unit No. 1 temperature control failure.</t>
  </si>
  <si>
    <t xml:space="preserve">ORU temperature defined to be out of range for a period exceeding the fatal error limits.  </t>
  </si>
  <si>
    <t>Optical reading unit No. 2 temperature control failure.</t>
  </si>
  <si>
    <t>Optical reading unit No. 3 temperature control failure.</t>
  </si>
  <si>
    <t>Optical reading unit No. 4 temperature control failure.</t>
  </si>
  <si>
    <t>Cuvette shuttle temperature control failure.</t>
  </si>
  <si>
    <t xml:space="preserve">Cuvette Shuttle temperature defined to be out of range for a period exceeding the fatal error limits.  </t>
  </si>
  <si>
    <t>Reagent area temperature control failure.</t>
  </si>
  <si>
    <t>Reagent Area temperature defined to be out of range for a period exceeding the fatal error limits.</t>
  </si>
  <si>
    <t>Optical reading units data acquisition control failure.</t>
  </si>
  <si>
    <t>Detector interface fault, e.g., conversion did not complete, emitter light source not correct.</t>
  </si>
  <si>
    <t>Sample Arm controller failure.</t>
  </si>
  <si>
    <t>CRC Error detected in writing to or reading from a permanent storage device (e.g., EEPROM)</t>
  </si>
  <si>
    <t>Intermediate Reagent Arm controller failure.</t>
  </si>
  <si>
    <t>Start Reagent Arm controller failure.</t>
  </si>
  <si>
    <t>Cuvettes controller failure.</t>
  </si>
  <si>
    <t>Cuvettes Movement</t>
  </si>
  <si>
    <t>Cuvette Controller</t>
  </si>
  <si>
    <t>Racks controller failure.</t>
  </si>
  <si>
    <t>Barcode/Racks</t>
  </si>
  <si>
    <t>Rack Controller</t>
  </si>
  <si>
    <t>Optical Reading Units controller failure.</t>
  </si>
  <si>
    <t>Error detected in updating data on a permanent storage device (e.g.,  EEPROM)</t>
  </si>
  <si>
    <t>Sample Arm controller voltage out of range.</t>
  </si>
  <si>
    <t>Voltage out-of-range fault detected on a controller.</t>
  </si>
  <si>
    <t>Intermediate Reagent Arm controller voltage out of range.</t>
  </si>
  <si>
    <t>Start Reagent Arm controller voltage out of range.</t>
  </si>
  <si>
    <t>Cuvettes controller voltage out of range.</t>
  </si>
  <si>
    <t>Racks controller voltage out of range.</t>
  </si>
  <si>
    <t>Optical Reading Units controller voltage out of range.</t>
  </si>
  <si>
    <t>Arm &lt;Arm&gt; coordinates error or CTS foot coordinates error.</t>
  </si>
  <si>
    <t>Automatic coordinates check failure</t>
  </si>
  <si>
    <t>Coordinates</t>
  </si>
  <si>
    <t>Wash station coordinates error</t>
  </si>
  <si>
    <t>Arm &lt;Arm&gt; coordinate adjust required.</t>
  </si>
  <si>
    <t>AM coordinates have never been adjusted using the "Coordinate adjustment" procedure.</t>
  </si>
  <si>
    <t>Invalid system configuration.</t>
  </si>
  <si>
    <t>Invalid emitter, detection, or incubator module configuration detected, or reference channel not on installed detection module.</t>
  </si>
  <si>
    <t>Sample probe pre-heater temperature control failure.</t>
  </si>
  <si>
    <t>Probe Pre-Heater temperature defined to be out of range for a period exceeding the fatal error limits.</t>
  </si>
  <si>
    <t>Reagent 1 probe pre-heater temperature control failure.</t>
  </si>
  <si>
    <t>Reagent 2 probe pre-heater temperature control failure.</t>
  </si>
  <si>
    <t>CTS sample probe pre-heater temperature control failure.</t>
  </si>
  <si>
    <t>Sample probe temperature control failure.</t>
  </si>
  <si>
    <t>Probe temperature defined to be out of range for a period exceeding the fatal error limits.</t>
  </si>
  <si>
    <t>Reagent 1 probe temperature control failure.</t>
  </si>
  <si>
    <t>Data Analysis by Macro Area and Weight Threshold</t>
  </si>
  <si>
    <t>Period Threshold</t>
  </si>
  <si>
    <t>Working Day (Eventi &gt; 60):</t>
  </si>
  <si>
    <t>Numero Eventi:</t>
  </si>
  <si>
    <t>Arms:</t>
  </si>
  <si>
    <t>Barcode/Racks:</t>
  </si>
  <si>
    <t>Cuvettes Movement:</t>
  </si>
  <si>
    <t>Fluidics:</t>
  </si>
  <si>
    <t>LLD:</t>
  </si>
  <si>
    <t>ORU:</t>
  </si>
  <si>
    <t>Others:</t>
  </si>
  <si>
    <t>SW:</t>
  </si>
  <si>
    <t>Temperatures:</t>
  </si>
  <si>
    <t>S.A.P.  HL/SC (TA and CO only):</t>
  </si>
  <si>
    <t>Sum</t>
  </si>
  <si>
    <t>Daily
Threshold</t>
  </si>
  <si>
    <t>Previous Day Sum</t>
  </si>
  <si>
    <t>Current Error Level Check</t>
  </si>
  <si>
    <t>Previous Error Level Check</t>
  </si>
  <si>
    <t>Current EL Value in SP</t>
  </si>
  <si>
    <t>Current EL Value in LP</t>
  </si>
  <si>
    <t>Previous EL Value in SP</t>
  </si>
  <si>
    <t>Previous EL Value in LP</t>
  </si>
  <si>
    <t>Macro Aree 
Working Day Values</t>
  </si>
  <si>
    <t>LOGBOOK VIEWER 3.0</t>
  </si>
  <si>
    <t>Rack-Cuvette Controller software error.</t>
  </si>
  <si>
    <t> It was detected that there is a potential for a stack problem.</t>
  </si>
  <si>
    <t>Rack-Cuvette controller failure.</t>
  </si>
  <si>
    <t>CRC Error detected in writing to or reading from a permanent storage device (e.g. EEPROM)</t>
  </si>
  <si>
    <t>Error detected in updating data on a permanent storage device (e.g. EEPROM)</t>
  </si>
  <si>
    <t>Rack-Cuvette controller voltage out of range.</t>
  </si>
  <si>
    <t>&lt;Probe&gt; probe communications failure.</t>
  </si>
  <si>
    <t>Cannot communicate with the probe.</t>
  </si>
  <si>
    <t>Probe &lt;Probe&gt; unexpected clean level in rack position &lt;X&gt;, track &lt;YY&gt;.</t>
  </si>
  <si>
    <t>The probe detects clean but the measured position of the liquid is unexpected.</t>
  </si>
  <si>
    <t>Not enough free disk space.</t>
  </si>
  <si>
    <t>System detected not enough free disk space to run the application</t>
  </si>
  <si>
    <t>The default file path for the log files does not exist and cannot be created.</t>
  </si>
  <si>
    <t>If the default file path does not exist, the system tries to automatically create it. The operation could fail for different causes: 
- wrong file path specification 
- insufficient rights to write to the drive 
- HW/SW failure of the drive</t>
  </si>
  <si>
    <t>&lt;TestCode&gt; &lt;JobType&gt; job cannot be executed and was removed from sample/material &lt;Sample ID/Material Name&gt;. Number of predilution cuvette slots is insufficient.</t>
  </si>
  <si>
    <t>Number of predilution cuvette slots is insufficient to execute a calibration or a parallelism job.</t>
  </si>
  <si>
    <t>Imported Params Report files deleted. Analytical Version in files is different than current one.</t>
  </si>
  <si>
    <t>Files to generate Imported Params report have been deleted.</t>
  </si>
  <si>
    <t>&lt;TestCode&gt; &lt;JobType&gt; Required Clean Material shortage has been estimated. Monitor &lt;material name&gt; availability.</t>
  </si>
  <si>
    <t>A job has been sent to AM and there is not enough volume for a required clean material or the clean is not placed.</t>
  </si>
  <si>
    <t>Semiautomatic maintenance activity &lt;Maintenance Activity Name&gt; has been executed.</t>
  </si>
  <si>
    <t>Automatic maintenance activity &lt;Maintenance Activity Name&gt; has been executed.</t>
  </si>
  <si>
    <t>Test counter statistics have been reset.</t>
  </si>
  <si>
    <t>User reset the test counter statistics</t>
  </si>
  <si>
    <t>A new software version has been created with following label: &lt;Data Dictionary-SW Version&gt;.</t>
  </si>
  <si>
    <t>A new system software version has been detected.</t>
  </si>
  <si>
    <t>A new hardware event has been created with following label: &lt;Data Dictionary-HW Event&gt;.</t>
  </si>
  <si>
    <t>A new Hardware event has been added by the user.</t>
  </si>
  <si>
    <t>User entered a manual alarm.</t>
  </si>
  <si>
    <t>(Prep) Material dispense error</t>
  </si>
  <si>
    <t>AM reported a material dispense error. An unexpected material dispense error was detected by the AM software. Not expected behavior.</t>
  </si>
  <si>
    <t>Measured result failed</t>
  </si>
  <si>
    <t>The result unit is the measured result and DR has been unable to compute it</t>
  </si>
  <si>
    <t>Calibration and parallelism transformations do not match</t>
  </si>
  <si>
    <t>Calibration transformations do not match parallelism transformations.</t>
  </si>
  <si>
    <t>IM software error.</t>
  </si>
  <si>
    <t>IM Software internal exception.</t>
  </si>
  <si>
    <t>Description: &lt;Description&gt; Functional Area: &lt;Functional Area&gt;</t>
  </si>
  <si>
    <t>Remove and then replace the Clean</t>
  </si>
  <si>
    <t>&lt;Probe&gt; probe temperature control failure.</t>
  </si>
  <si>
    <t>Analysis Result for Final Graph</t>
  </si>
  <si>
    <t>Note 1: In order to extract from SAP the information in proper excel format for this version 3.0 please use transation ZA38 with ABAP code ZSVRR444.</t>
  </si>
  <si>
    <t>Long Period (LP)</t>
  </si>
  <si>
    <t>Short Period (SP)</t>
  </si>
  <si>
    <t>SP        LP</t>
  </si>
  <si>
    <t>Current Error Level = 1</t>
  </si>
  <si>
    <t>Important: This software tool has to maintain the original file name "ACL TOP LOGBOOK VIEWER (ENG) Rev3.XLSM". In case the file is renamed or modified it will not works properly. Please download a new copy of the original file.</t>
  </si>
  <si>
    <t>Valore Macro Area &gt;= Soglia Giornaliera nell' ultimo o nel penultimo giorno.</t>
  </si>
  <si>
    <t>Sommando ad oggi tutti i giorni fino all'ultimo Giorno3 di lavoro (Short Period)&gt;= la soglia mensile.</t>
  </si>
  <si>
    <t>Valore Macro Area &gt;= Soglia Giornaliera all' ultimo o penultimo Giorno e Soglia Mensile superata nel mese (Long Period).</t>
  </si>
  <si>
    <t>Valore Macro Area&gt;= Soglia Giornaliera nei giorni tra il giorno prima del penultimo e il giorno3.</t>
  </si>
  <si>
    <t>Working Day3 Check</t>
  </si>
  <si>
    <t>File Path = C:\Users\MASNAGHI\Desktop\____Martin\Roland\Temp\generalLogARMSSWCUVETTES.txt</t>
  </si>
  <si>
    <t>File Creation Date = 13/12/2012 12:49:46</t>
  </si>
  <si>
    <t>Current Error Level = 9</t>
  </si>
  <si>
    <t xml:space="preserve">Critical Areas = Arms (;;) ; Barcode/Racks (;;) ; Cuvettes Movement (;;) ; Fluidics (;;) ; LLD (;;) ; ORU (;;) ; Others (;;) ; SW (;;) ; Temperatures (;;) ; </t>
  </si>
  <si>
    <t>Previous Status = 9</t>
  </si>
  <si>
    <t xml:space="preserve">Critical Areas = </t>
  </si>
  <si>
    <t>Total</t>
  </si>
  <si>
    <t>Analyzer Status changed from Diagnostics to Emergency stop.</t>
  </si>
  <si>
    <t>INFORMATION</t>
  </si>
  <si>
    <t>Analyzer</t>
  </si>
  <si>
    <t>Analyzer Status changed from Emergency stop to Not connected.</t>
  </si>
  <si>
    <t>Other</t>
  </si>
  <si>
    <t>ERROR</t>
  </si>
  <si>
    <t>LIS</t>
  </si>
  <si>
    <t>Setup</t>
  </si>
  <si>
    <t>Analyzer Status changed from Error to Diagnostics.</t>
  </si>
  <si>
    <t>Analyzer Status changed from Not connected to Power up.</t>
  </si>
  <si>
    <t>Probe REAGENT 1 Liquid Level Detection error in well position clean cup.</t>
  </si>
  <si>
    <t>Probe REAGENT 1: Insufficient volume in clean cup.</t>
  </si>
  <si>
    <t>Probe SAMPLE Liquid Level Detection error in well position clean cup.</t>
  </si>
  <si>
    <t>Probe SAMPLE: Insufficient volume in clean cup.</t>
  </si>
  <si>
    <t>Analyzer Status changed from Adjusting thermal to Ready.</t>
  </si>
  <si>
    <t>Analyzer Status changed from Ready to Maintenance.</t>
  </si>
  <si>
    <t>Analyzer Status changed from Maintenance to Ready.</t>
  </si>
  <si>
    <t>Analyzer Status changed from Power up to Initializing.</t>
  </si>
  <si>
    <t>Analyzer Status changed from Initializing to Adjusting thermal.</t>
  </si>
  <si>
    <t>Automatic maintenance activity Automatic Fluidic Line Priming Cycle has been executed.</t>
  </si>
  <si>
    <t>LAS ARM COVER open.</t>
  </si>
  <si>
    <t>Analyzer Status changed from Ready to Emergency stop.</t>
  </si>
  <si>
    <t>WARNING</t>
  </si>
  <si>
    <t>Clean solution level low.</t>
  </si>
  <si>
    <t>Analyzer Status changed from Maintenance to Error.</t>
  </si>
  <si>
    <t>Maintenance activity interrupted: Automatic Fluidic Line Priming Cycle</t>
  </si>
  <si>
    <t>Analyzer Status changed from Error to Ready.</t>
  </si>
  <si>
    <t>Successful log in by user: ILService.</t>
  </si>
  <si>
    <t>ILService</t>
  </si>
  <si>
    <t>Logout by user: ILService.</t>
  </si>
  <si>
    <t>JobFrequency</t>
  </si>
  <si>
    <t>Frequency status for manual maintenance activity make new diluted clean B has changed to OK.</t>
  </si>
  <si>
    <t>Frequency status for manual maintenance activity replace factor diluent has changed to OK.</t>
  </si>
  <si>
    <t>Frequency status for manual maintenance activity Replace factor diluent bottle has changed to OK.</t>
  </si>
  <si>
    <t>Analyzer Status changed from Ready to Diagnostics.</t>
  </si>
  <si>
    <t>Manual maintenance activity Clean Cuvette Waste Drawer has been executed.</t>
  </si>
  <si>
    <t>Frequency status for manual maintenance activity Clean Cuvette Waste Drawer has changed to OK.</t>
  </si>
  <si>
    <t>Test Definition Anti-Xa has been modified.</t>
  </si>
  <si>
    <t>Test Definition RIVA has been modified.</t>
  </si>
  <si>
    <t>Test Definition FII-RP has been modified.</t>
  </si>
  <si>
    <t>Test Definition FIX-SS has been modified.</t>
  </si>
  <si>
    <t>Test Definition FV-RP has been modified.</t>
  </si>
  <si>
    <t>Test Definition FVII-RP has been modified.</t>
  </si>
  <si>
    <t>Test Definition FVIII-SS has been modified.</t>
  </si>
  <si>
    <t>Test Definition F8-SS L has been modified.</t>
  </si>
  <si>
    <t>Test Definition FX-RP has been modified.</t>
  </si>
  <si>
    <t>Test Definition FXI-SS has been modified.</t>
  </si>
  <si>
    <t>Test Definition FXII-SS has been modified.</t>
  </si>
  <si>
    <t>Test Definition Hepz Fib has been added.</t>
  </si>
  <si>
    <t>Test Definition PT-RP has been modified.</t>
  </si>
  <si>
    <t>Test Definition Fib-RP has been modified.</t>
  </si>
  <si>
    <t>Test Definition Free PS has been modified.</t>
  </si>
  <si>
    <t>Semiautomatic maintenance activity Enhanced Clean for all Probes has been executed.</t>
  </si>
  <si>
    <t>Frequency status for manual maintenance activity Enhanced Clean for all Probes has changed to OK.</t>
  </si>
  <si>
    <t>Frequency status for manual maintenance activity Enhanced Clean for Sample and Reagent Probes has changed to OK.</t>
  </si>
  <si>
    <t>Analyzer Status changed from Maintenance to Emergency stop.</t>
  </si>
  <si>
    <t>Frequency status for manual maintenance activity Wipe-down Sample Probe has changed to OK.</t>
  </si>
  <si>
    <t>Analyzer Status changed from Ready to Busy.</t>
  </si>
  <si>
    <t>Analyzer Status changed from Busy to Ready.</t>
  </si>
  <si>
    <t>Automatic maintenance activity Automatic Routine Clean for all Probes has been executed.</t>
  </si>
  <si>
    <t>Successful log in by user: LHO.</t>
  </si>
  <si>
    <t>LHO</t>
  </si>
  <si>
    <t>Frequency status for manual maintenance activity Wipe-down LAS Probe has changed to OK.</t>
  </si>
  <si>
    <t>Logout by user: LHO.</t>
  </si>
  <si>
    <t>Reflex Rule Q.F.A. Low has been modified.</t>
  </si>
  <si>
    <t>Test Definition Hepz Fib has been modified.</t>
  </si>
  <si>
    <t>Test Definition Hepz PT has been modified.</t>
  </si>
  <si>
    <t>Material Definition HemosIL Cal Plasma modified: assigned value for Test Hepz Fib (active Lot).</t>
  </si>
  <si>
    <t>HemosIL Cal Plasma volume low.</t>
  </si>
  <si>
    <t>Test Definition FII XDIL has been modified.</t>
  </si>
  <si>
    <t>Test Definition FIX XDIL has been modified.</t>
  </si>
  <si>
    <t>Test Definition FV XDIL has been modified.</t>
  </si>
  <si>
    <t>Test Definition FVII XDL has been modified.</t>
  </si>
  <si>
    <t>Test Definition FVIII XD has been modified.</t>
  </si>
  <si>
    <t>Test Definition FX XDIL has been modified.</t>
  </si>
  <si>
    <t>Test Definition FXI XDIL has been modified.</t>
  </si>
  <si>
    <t>Test Definition FXII XDL has been modified.</t>
  </si>
  <si>
    <t>Non-identified Sample in rack 11 position 1, track 5.</t>
  </si>
  <si>
    <t>Non-identified Sample in rack 11 position 2, track 5.</t>
  </si>
  <si>
    <t>Non-identified Sample in rack 11 position 3, track 5.</t>
  </si>
  <si>
    <t>Non-identified Sample in rack 11 position 4, track 5.</t>
  </si>
  <si>
    <t>Non-identified Sample in rack 11 position 5, track 5.</t>
  </si>
  <si>
    <t>Non-identified Sample in rack 11 position 6, track 5.</t>
  </si>
  <si>
    <t>Non-identified Sample in rack 01 position 1, track 12.</t>
  </si>
  <si>
    <t>Non-identified Sample in rack 01 position 2, track 12.</t>
  </si>
  <si>
    <t>Non-identified Sample in rack 01 position 3, track 12.</t>
  </si>
  <si>
    <t>Non-identified Sample in rack 01 position 4, track 12.</t>
  </si>
  <si>
    <t>Non-identified Sample in rack 01 position 5, track 12.</t>
  </si>
  <si>
    <t>Non-identified Sample in rack 01 position 6, track 12.</t>
  </si>
  <si>
    <t>Non-identified Sample in rack 01 position 7, track 12.</t>
  </si>
  <si>
    <t>Analyzer Status changed from Ready to Error.</t>
  </si>
  <si>
    <t>Manual maintenance activity replace factor diluent has been executed.</t>
  </si>
  <si>
    <t>Manual maintenance activity make new diluted clean B has been executed.</t>
  </si>
  <si>
    <t>Test Definition UFH has been modified.</t>
  </si>
  <si>
    <t>D-Dimer Low Control on-board stability low.</t>
  </si>
  <si>
    <t>D-Dimer High Control on-board stability low.</t>
  </si>
  <si>
    <t>Anti Chromogenic Sub volume low.</t>
  </si>
  <si>
    <t>Non-identified Sample in rack 09 position 1, track 12.</t>
  </si>
  <si>
    <t>Non-identified Sample in rack 11 position 1, track 6.</t>
  </si>
  <si>
    <t>Non-identified Sample in rack 11 position 2, track 6.</t>
  </si>
  <si>
    <t>Analyzer Status changed from Busy to Controlled stop.</t>
  </si>
  <si>
    <t>Analyzer Status changed from Controlled stop to Busy.</t>
  </si>
  <si>
    <t>Non-identified Sample in rack 12 position 1, track 8.</t>
  </si>
  <si>
    <t>AT Liq FXa volume low.</t>
  </si>
  <si>
    <t>Test Definition LMWH has been modified.</t>
  </si>
  <si>
    <t>Maintenance activity due: Enhanced Clean for Sample and Reagent Probes.</t>
  </si>
  <si>
    <t>Maintenance activity due: Enhanced Clean for all Probes.</t>
  </si>
  <si>
    <t>Maintenance activity due: make new diluted clean B.</t>
  </si>
  <si>
    <t>Maintenance activity due: replace factor diluent.</t>
  </si>
  <si>
    <t>Maintenance activity overdue: Enhanced Clean for Sample and Reagent Probes.</t>
  </si>
  <si>
    <t>Maintenance activity overdue: Enhanced Clean for all Probes.</t>
  </si>
  <si>
    <t>Maintenance activity overdue: make new diluted clean B.</t>
  </si>
  <si>
    <t>Maintenance activity overdue: replace factor diluent.</t>
  </si>
  <si>
    <t>Semiautomatic maintenance activity Enhanced Clean for Sample and Reagent Probes has been executed.</t>
  </si>
  <si>
    <t>Analyzer Status changed from Ready to Initializing.</t>
  </si>
  <si>
    <t>Analyzer Status changed from Not connected to Emergency stop.</t>
  </si>
  <si>
    <t>QC Profile Routine has been modified.</t>
  </si>
  <si>
    <t>Calibration of Fib-C H completed: please review and validate.</t>
  </si>
  <si>
    <t>Calibration of Fib-C L completed: please review and validate.</t>
  </si>
  <si>
    <t>Calibration of Fib-C completed: please review and validate.</t>
  </si>
  <si>
    <t>Calibration of Fib-C validated.</t>
  </si>
  <si>
    <t>Calibration of Fib-C H validated.</t>
  </si>
  <si>
    <t>Calibration of Fib-C L validated.</t>
  </si>
  <si>
    <t>Clean B volume low.</t>
  </si>
  <si>
    <t>Clean B insufficient material to run additional calibration / test.</t>
  </si>
  <si>
    <t>Maintenance activity due: Clean Cuvette Waste Drawer.</t>
  </si>
  <si>
    <t>APTT-SS volume low.</t>
  </si>
  <si>
    <t>FXI Def. Plasma volume low.</t>
  </si>
  <si>
    <t>Maintenance activity due: Wipe-down Sample Probe.</t>
  </si>
  <si>
    <t>Clean B on-board stability low.</t>
  </si>
  <si>
    <t>Manual maintenance activity Wipe-down all Probes has been executed.</t>
  </si>
  <si>
    <t>FXI Def. Plasma insufficient material to run additional calibration / test.</t>
  </si>
  <si>
    <t>Normal C. Assayed volume low.</t>
  </si>
  <si>
    <t>APTT-SS CaCl2 volume low.</t>
  </si>
  <si>
    <t>Insufficient volume in position 2, track S12.</t>
  </si>
  <si>
    <t>System Definitions: LIS parameters modified.</t>
  </si>
  <si>
    <t>D-Dimer Low Control insufficient material to run additional calibration / test.</t>
  </si>
  <si>
    <t>Chrome X Substrate volume low.</t>
  </si>
  <si>
    <t>Non-identified Sample in rack 10 position 1, track 12.</t>
  </si>
  <si>
    <t>Non-identified Sample in rack 10 position 2, track 12.</t>
  </si>
  <si>
    <t>Non-identified Sample in rack 10 position 3, track 12.</t>
  </si>
  <si>
    <t>Non-identified Sample in rack 10 position 4, track 12.</t>
  </si>
  <si>
    <t>Non-identified Sample in rack 10 position 5, track 12.</t>
  </si>
  <si>
    <t>Non-identified Sample in rack 10 position 6, track 12.</t>
  </si>
  <si>
    <t>Non-identified Sample in rack 10 position 7, track 12.</t>
  </si>
  <si>
    <t>Non-identified Sample in rack 10 position 8, track 12.</t>
  </si>
  <si>
    <t>Non-identified Sample in rack 10 position 9, track 12.</t>
  </si>
  <si>
    <t>Non-identified Sample in rack 10 position 10, track 12.</t>
  </si>
  <si>
    <t>Non-identified Sample in rack 11 position 1, track 11.</t>
  </si>
  <si>
    <t>Non-identified Sample in rack 11 position 2, track 11.</t>
  </si>
  <si>
    <t>Non-identified Sample in rack 11 position 3, track 11.</t>
  </si>
  <si>
    <t>Non-identified Sample in rack 11 position 4, track 11.</t>
  </si>
  <si>
    <t>Non-identified Sample in rack 11 position 5, track 11.</t>
  </si>
  <si>
    <t>FX CHROM Patient job not feasible. Waiting for FX Buffer Chrome.</t>
  </si>
  <si>
    <t>Normal C. Assayed insufficient material to run additional calibration / test.</t>
  </si>
  <si>
    <t>PT RecombiPlasTin volume low.</t>
  </si>
  <si>
    <t>AT Liq Substrate volume low.</t>
  </si>
  <si>
    <t>Cuvette waste full.</t>
  </si>
  <si>
    <t>Successful log in by user: BAH.</t>
  </si>
  <si>
    <t>BAH</t>
  </si>
  <si>
    <t>Logout by user: BAH.</t>
  </si>
  <si>
    <t>FV Def. Plasma volume low.</t>
  </si>
  <si>
    <t>D-Dimer HS Latex volume low.</t>
  </si>
  <si>
    <t>QC Failed: PT-RP-Normal C. Assayed</t>
  </si>
  <si>
    <t>QC Definition FV-RP - Normal C. Assayed modified: Target Mean.</t>
  </si>
  <si>
    <t>Q.F.A. Thrombin volume low.</t>
  </si>
  <si>
    <t>QC Failed: PT-RP-High Abn C. Assayed</t>
  </si>
  <si>
    <t>Maintenance activity due: Wipe-down LAS Probe.</t>
  </si>
  <si>
    <t>Maintenance activity due: Wipe-down all Probes.</t>
  </si>
  <si>
    <t>Frequency status for manual maintenance activity Wipe-down all Probes has changed to OK.</t>
  </si>
  <si>
    <t>Non-identified Sample in rack 10 position 1, track 11.</t>
  </si>
  <si>
    <t>Non-identified Sample in rack 10 position 2, track 11.</t>
  </si>
  <si>
    <t>Non-identified Sample in rack 10 position 3, track 11.</t>
  </si>
  <si>
    <t>Non-identified Sample in rack 10 position 4, track 11.</t>
  </si>
  <si>
    <t>Non-identified Sample in rack 10 position 5, track 11.</t>
  </si>
  <si>
    <t>Non-identified Sample in rack 10 position 6, track 11.</t>
  </si>
  <si>
    <t>Non-identified Sample in rack 10 position 7, track 11.</t>
  </si>
  <si>
    <t>Non-identified Sample in rack 10 position 8, track 11.</t>
  </si>
  <si>
    <t>Non-identified Sample in rack 02 position 1, track 11.</t>
  </si>
  <si>
    <t>Non-identified Sample in rack 02 position 2, track 11.</t>
  </si>
  <si>
    <t>Non-identified Sample in rack 02 position 3, track 11.</t>
  </si>
  <si>
    <t>Non-identified Sample in rack 02 position 4, track 11.</t>
  </si>
  <si>
    <t>Non-identified Sample in rack 02 position 5, track 11.</t>
  </si>
  <si>
    <t>Non-identified Sample in rack 09 position 1, track 10.</t>
  </si>
  <si>
    <t>Non-identified Sample in rack 09 position 2, track 10.</t>
  </si>
  <si>
    <t>Non-identified Sample in rack 11 position 1, track 10.</t>
  </si>
  <si>
    <t>Non-identified Sample in rack 11 position 2, track 10.</t>
  </si>
  <si>
    <t>Non-identified Sample in rack 11 position 3, track 10.</t>
  </si>
  <si>
    <t>Non-identified Sample in rack 11 position 4, track 10.</t>
  </si>
  <si>
    <t>Non-identified Sample in rack 11 position 5, track 10.</t>
  </si>
  <si>
    <t>Non-identified Sample in rack 11 position 6, track 10.</t>
  </si>
  <si>
    <t>Non-identified Sample in rack 11 position 7, track 10.</t>
  </si>
  <si>
    <t>Non-identified Sample in rack 11 position 8, track 10.</t>
  </si>
  <si>
    <t>QC Definition PT-RP - High Abn C. Assayed modified: Target Mean.</t>
  </si>
  <si>
    <t>Non-identified Sample in rack 01 position 1, track 11.</t>
  </si>
  <si>
    <t>Protein C Activator volume low.</t>
  </si>
  <si>
    <t>Non-identified Sample in rack 09 position 2, track 12.</t>
  </si>
  <si>
    <t>Protein C Substrate volume low.</t>
  </si>
  <si>
    <t>Material Definition Normal C. Assayed generic change.</t>
  </si>
  <si>
    <t>Test Definition dRVVT C has been modified.</t>
  </si>
  <si>
    <t>Test Definition dRVVT S has been modified.</t>
  </si>
  <si>
    <t>Test Definition SCT-C has been modified.</t>
  </si>
  <si>
    <t>Test Definition SCT-S has been modified.</t>
  </si>
  <si>
    <t>Test Definition dRVVTCMX has been modified.</t>
  </si>
  <si>
    <t>Test Definition dRVVTSMX has been modified.</t>
  </si>
  <si>
    <t>Test Definition SCTCMX has been modified.</t>
  </si>
  <si>
    <t>Test Definition SCTSMX has been modified.</t>
  </si>
  <si>
    <t>FII Def. Plasma volume low.</t>
  </si>
  <si>
    <t>Non-identified Sample in rack 06 position 1, track 12.</t>
  </si>
  <si>
    <t>FX Def. Plasma insufficient material to run additional calibration / test.</t>
  </si>
  <si>
    <t>FV Def. Plasma insufficient material to run additional calibration / test.</t>
  </si>
  <si>
    <t>Duplicated Rack ID, Rack ID DA.</t>
  </si>
  <si>
    <t>Non-identified Sample in rack 01 position 1, track 10.</t>
  </si>
  <si>
    <t>Non-identified Sample in rack 01 position 2, track 10.</t>
  </si>
  <si>
    <t>Non-identified Material in rack DA position 3, track 2.</t>
  </si>
  <si>
    <t>LA NEG CONTROL volume low.</t>
  </si>
  <si>
    <t>LA POS CONTROL volume low.</t>
  </si>
  <si>
    <t>Non-identified Material in rack DA position 4, track 2.</t>
  </si>
  <si>
    <t>Non-identified Sample in rack 09 position 3, track 12.</t>
  </si>
  <si>
    <t>Non-identified Sample in rack 09 position 4, track 12.</t>
  </si>
  <si>
    <t>Non-identified Sample in rack 09 position 5, track 12.</t>
  </si>
  <si>
    <t>Non-identified Sample in rack 09 position 6, track 12.</t>
  </si>
  <si>
    <t>Barcode reader movement failure.</t>
  </si>
  <si>
    <t>Non-identified Sample in rack 02 position 1, track 12.</t>
  </si>
  <si>
    <t>Non-identified Sample in rack 02 position 2, track 12.</t>
  </si>
  <si>
    <t>Non-identified Sample in rack 02 position 3, track 12.</t>
  </si>
  <si>
    <t>Non-identified Sample in rack 02 position 4, track 12.</t>
  </si>
  <si>
    <t>Non-identified Sample in rack 02 position 5, track 12.</t>
  </si>
  <si>
    <t>dRVVT SCREEN volume low.</t>
  </si>
  <si>
    <t>dRVVTSMX Patient job not feasible. Waiting for dRVVT SCREEN.</t>
  </si>
  <si>
    <t>dRVVT SCREEN insufficient material to run additional calibration / test.</t>
  </si>
  <si>
    <t>Non-identified Sample in rack 10 position 1, track 10.</t>
  </si>
  <si>
    <t>Non-identified Sample in rack 10 position 2, track 10.</t>
  </si>
  <si>
    <t>Non-identified Sample in rack 10 position 3, track 10.</t>
  </si>
  <si>
    <t>Non-identified Material in rack DA position 5, track 2.</t>
  </si>
  <si>
    <t>Normal Pooled Plasma insufficient material to run additional calibration / test.</t>
  </si>
  <si>
    <t>SCTSMX Patient job not feasible. Waiting for Normal Pooled Plasma.</t>
  </si>
  <si>
    <t>QC Failed: Fib-C-Low Fib Control</t>
  </si>
  <si>
    <t>SCT Confirm on-board stability low.</t>
  </si>
  <si>
    <t>QFA Patient Required Clean Material shortage has been estimated. Monitor Clean B Diluted availability.</t>
  </si>
  <si>
    <t>UFH Patient Required Clean Material shortage has been estimated. Monitor Clean B Diluted availability.</t>
  </si>
  <si>
    <t>Non-identified Sample in rack 01 position 1, track 9.</t>
  </si>
  <si>
    <t>Non-identified Sample in rack 07 position 1, track 10.</t>
  </si>
  <si>
    <t>Maintenance activity overdue: Wipe-down all Probes.</t>
  </si>
  <si>
    <t>Maintenance activity overdue: Wipe-down Sample Probe.</t>
  </si>
  <si>
    <t>Maintenance activity overdue: Clean Cuvette Waste Drawer.</t>
  </si>
  <si>
    <t>Reflex Rule FII-dil has been deleted.</t>
  </si>
  <si>
    <t>Reflex Rule FIX-dil has been deleted.</t>
  </si>
  <si>
    <t>Reflex Rule FV-dil has been deleted.</t>
  </si>
  <si>
    <t>Reflex Rule FVII-dil has been deleted.</t>
  </si>
  <si>
    <t>Reflex Rule FVIII-dil has been deleted.</t>
  </si>
  <si>
    <t>Reflex Rule FX-dil has been deleted.</t>
  </si>
  <si>
    <t>Reflex Rule FXI-dil has been deleted.</t>
  </si>
  <si>
    <t>Reflex Rule FXII-dil has been deleted.</t>
  </si>
  <si>
    <t>Reflex Rule FII XD has been added.</t>
  </si>
  <si>
    <t>Reflex Rule FII XD has been modified.</t>
  </si>
  <si>
    <t>Reflex Rule FV XD has been added.</t>
  </si>
  <si>
    <t>Reflex Rule FV XD has been modified.</t>
  </si>
  <si>
    <t>Reflex Rule FVII XD has been added.</t>
  </si>
  <si>
    <t>Reflex Rule FIX XD has been added.</t>
  </si>
  <si>
    <t>Reflex Rule FX XD has been added.</t>
  </si>
  <si>
    <t>Reflex Rule FXI XD has been added.</t>
  </si>
  <si>
    <t>Reflex Rule FXII XD has been added.</t>
  </si>
  <si>
    <t>Reflex Rule FVIII XD has been added.</t>
  </si>
  <si>
    <t>Non-identified Sample in rack 07 position 1, track 12.</t>
  </si>
  <si>
    <t>Non-identified Sample in rack 07 position 2, track 12.</t>
  </si>
  <si>
    <t>Non-identified Sample in rack 07 position 3, track 12.</t>
  </si>
  <si>
    <t>Non-identified Sample in rack 07 position 4, track 12.</t>
  </si>
  <si>
    <t>Non-identified Sample in rack 07 position 5, track 12.</t>
  </si>
  <si>
    <t>Non-identified Sample in rack 07 position 6, track 12.</t>
  </si>
  <si>
    <t>Non-identified Sample in rack 07 position 7, track 12.</t>
  </si>
  <si>
    <t>Non-identified Sample in rack 07 position 8, track 12.</t>
  </si>
  <si>
    <t>Non-identified Sample in rack 07 position 9, track 12.</t>
  </si>
  <si>
    <t>Non-identified Sample in rack 07 position 10, track 12.</t>
  </si>
  <si>
    <t>Placement error (Normal C. Assayed in rack DB, position 3, track 3).</t>
  </si>
  <si>
    <t>Placement error (High Abn C. Assayed in rack DB, position 4, track 3).</t>
  </si>
  <si>
    <t>Sample TT CORR 9 placed in another rack position.</t>
  </si>
  <si>
    <t>TT5 Patient job not feasible. Waiting for Thrombin.</t>
  </si>
  <si>
    <t>PTTMX Patient job not feasible. Waiting for Normal Pooled Plasma.</t>
  </si>
  <si>
    <t>Non-identified Sample in rack 04 position 1, track 12.</t>
  </si>
  <si>
    <t>Thrombin volume low.</t>
  </si>
  <si>
    <t>Non-identified Sample in rack 07 position 2, track 10.</t>
  </si>
  <si>
    <t>Non-identified Sample in rack 07 position 3, track 10.</t>
  </si>
  <si>
    <t>Non-identified Sample in rack 07 position 4, track 10.</t>
  </si>
  <si>
    <t>Non-identified Sample in rack 07 position 5, track 10.</t>
  </si>
  <si>
    <t>Non-identified Sample in rack 07 position 6, track 10.</t>
  </si>
  <si>
    <t>Non-identified Material in rack DB position 5, track 1.</t>
  </si>
  <si>
    <t>Reflex Rule PTMX1:3 has been modified.</t>
  </si>
  <si>
    <t>Analyzer Status changed from Initializing to Error.</t>
  </si>
  <si>
    <t>Analyzer Status changed from Error to Initializing.</t>
  </si>
  <si>
    <t>Maintenance activity due: Wipe-down exterior of ACL TOP &amp; Vacuum Filters.</t>
  </si>
  <si>
    <t>Maintenance activity due: Replace factor diluent bottle.</t>
  </si>
  <si>
    <t>High Abn C. Assayed volume low.</t>
  </si>
  <si>
    <t>Non-identified Material in rack DA position 2, track 2.</t>
  </si>
  <si>
    <t>Non-identified Material in rack RE position 3, track 3.</t>
  </si>
  <si>
    <t>Non-identified Material in rack RC position 4, track 5.</t>
  </si>
  <si>
    <t>SCTCMX Patient job not feasible. Waiting for Normal Pooled Plasma.</t>
  </si>
  <si>
    <t>Non-identified Sample in rack 08 position 1, track 9.</t>
  </si>
  <si>
    <t>Insufficient volume in position 5, track S12.</t>
  </si>
  <si>
    <t>Insufficient volume in position 1, track S12.</t>
  </si>
  <si>
    <t>Non-identified Sample in rack 05 position 1, track 12.</t>
  </si>
  <si>
    <t>Non-identified Sample in rack 05 position 2, track 12.</t>
  </si>
  <si>
    <t>Non-identified Material in rack RE position 4, track 3.</t>
  </si>
  <si>
    <t>Non-identified Material in rack RC position 5, track 5.</t>
  </si>
  <si>
    <t>Manual maintenance activity Replace factor diluent bottle has been executed.</t>
  </si>
  <si>
    <t>Manual maintenance activity Wipe-down exterior of ACL TOP &amp; Vacuum Filters has been executed.</t>
  </si>
  <si>
    <t>Frequency status for manual maintenance activity Wipe-down exterior of ACL TOP &amp; Vacuum Filters has changed to OK.</t>
  </si>
  <si>
    <t>Placement error (Clean B in rack RE, position 1, track 3).</t>
  </si>
  <si>
    <t>QC Definition PTMX - High Abn C. Assayed has been added.</t>
  </si>
  <si>
    <t>QC Definition PTMX - Normal C. Assayed has been added.</t>
  </si>
  <si>
    <t>QC Definition PT1:3MX - High Abn C. Assayed has been added.</t>
  </si>
  <si>
    <t>QC Definition PTTMX - Normal C. Assayed has been added.</t>
  </si>
  <si>
    <t>QC Definition PTTMX - Normal C. Assayed modified: Patient Flags.</t>
  </si>
  <si>
    <t>QC Definition PTTMX - Normal C. Assayed modified: Rules cfg.</t>
  </si>
  <si>
    <t>QC Definition PTTMX - High Abn C. Assayed has been added.</t>
  </si>
  <si>
    <t>QC Definition PTT4:1MX - Normal C. Assayed has been added.</t>
  </si>
  <si>
    <t>Non-identified Material in rack DA position 8, track 2.</t>
  </si>
  <si>
    <t>Low Fib Control volume low.</t>
  </si>
  <si>
    <t>Non-identified Sample in rack 04 position 2, track 12.</t>
  </si>
  <si>
    <t>Non-identified Sample in rack 04 position 3, track 12.</t>
  </si>
  <si>
    <t>Non-identified Sample in rack 04 position 4, track 12.</t>
  </si>
  <si>
    <t>Non-identified Sample in rack 04 position 5, track 12.</t>
  </si>
  <si>
    <t>Non-identified Sample in rack 04 position 6, track 12.</t>
  </si>
  <si>
    <t>Non-identified Sample in rack 04 position 7, track 12.</t>
  </si>
  <si>
    <t>Non-identified Sample in rack 04 position 8, track 12.</t>
  </si>
  <si>
    <t>dRVVT S QC job not feasible. Waiting for LA POS CONTROL.</t>
  </si>
  <si>
    <t>dRVVTSMX QC job not feasible. Waiting for LA POS CONTROL.</t>
  </si>
  <si>
    <t>dRVVTCMX QC job not feasible. Waiting for LA POS CONTROL.</t>
  </si>
  <si>
    <t>dRVVT S QC job not feasible. Waiting for LA NEG CONTROL.</t>
  </si>
  <si>
    <t>dRVVTSMX QC job not feasible. Waiting for LA NEG CONTROL.</t>
  </si>
  <si>
    <t>dRVVTCMX QC job not feasible. Waiting for LA NEG CONTROL.</t>
  </si>
  <si>
    <t>SCTCMX QC job not feasible. Waiting for LA NEG CONTROL.</t>
  </si>
  <si>
    <t>SCTCMX QC job not feasible. Waiting for LA POS CONTROL.</t>
  </si>
  <si>
    <t>QC Failed: SCTCMX-LA POS CONTROL</t>
  </si>
  <si>
    <t>QC Failed: SCTCMX-LA NEG CONTROL</t>
  </si>
  <si>
    <t>dRVVTSMX Patient Required Clean Material shortage has been estimated. Monitor Clean B Diluted availability.</t>
  </si>
  <si>
    <t>Normal C. Assayed on-board stability low.</t>
  </si>
  <si>
    <t>High Abn C. Assayed on-board stability expired for last available vial.</t>
  </si>
  <si>
    <t>Normal C. Assayed on-board stability expired for last available vial.</t>
  </si>
  <si>
    <t>LA NEG CONTROL on-board stability expired for last available vial.</t>
  </si>
  <si>
    <t>LA POS CONTROL on-board stability expired for last available vial.</t>
  </si>
  <si>
    <t>dRVVT CONFIRM on-board stability low.</t>
  </si>
  <si>
    <t>dRVVT CONFIRM on-board stability expired for last available vial.</t>
  </si>
  <si>
    <t>Probe REAGENT 2 Liquid Level Detection error in well position clean cup.</t>
  </si>
  <si>
    <t>Probe REAGENT 2: Insufficient volume in clean cup.</t>
  </si>
  <si>
    <t>Semiautomatic maintenance activity Rinse/Clean Priming Cycle for Sample Probe has been executed.</t>
  </si>
  <si>
    <t>Reflex Rule aPTT-Crit has been deleted.</t>
  </si>
  <si>
    <t>Reflex Rule PT-Crit has been deleted.</t>
  </si>
  <si>
    <t>PT1:3MX Patient job not feasible. Waiting for Normal Pooled Plasma.</t>
  </si>
  <si>
    <t>Non-identified Sample in rack 10 position 4, track 10.</t>
  </si>
  <si>
    <t>Non-identified Sample in rack 10 position 5, track 10.</t>
  </si>
  <si>
    <t>Non-identified Sample in rack 10 position 6, track 10.</t>
  </si>
  <si>
    <t>Non-identified Sample in rack 10 position 7, track 10.</t>
  </si>
  <si>
    <t>Non-identified Sample in rack 10 position 8, track 10.</t>
  </si>
  <si>
    <t>Non-identified Sample in rack 10 position 9, track 10.</t>
  </si>
  <si>
    <t>Non-identified Sample in rack 10 position 10, track 10.</t>
  </si>
  <si>
    <t>Non-identified Sample in rack 12 position 1, track 12.</t>
  </si>
  <si>
    <t>Non-identified Sample in rack 12 position 2, track 12.</t>
  </si>
  <si>
    <t>Non-identified Sample in rack 12 position 3, track 12.</t>
  </si>
  <si>
    <t>Non-identified Sample in rack 12 position 4, track 12.</t>
  </si>
  <si>
    <t>Non-identified Sample in rack 12 position 5, track 12.</t>
  </si>
  <si>
    <t>QC Failed: FVIII-SS-Special Test 2</t>
  </si>
  <si>
    <t>Non-identified Sample in rack 12 position 6, track 12.</t>
  </si>
  <si>
    <t>FII-RP Patient job not feasible. Waiting for Factor Diluent.</t>
  </si>
  <si>
    <t>FII-RP Patient job not feasible. Waiting for FII Def. Plasma.</t>
  </si>
  <si>
    <t>FII-RP Patient job not feasible. Waiting for PT RecombiPlasTin.</t>
  </si>
  <si>
    <t>FII-RP Patient Required Clean Material shortage has been estimated. Monitor Clean B Diluted availability.</t>
  </si>
  <si>
    <t>Analyzer Status changed from Error to Emergency stop.</t>
  </si>
  <si>
    <t>Probe SAMPLE coordinates error.</t>
  </si>
  <si>
    <t>Unsuccessful log in by user: bah.</t>
  </si>
  <si>
    <t>Successful log in by user: KSW.</t>
  </si>
  <si>
    <t>KSW</t>
  </si>
  <si>
    <t>Maintenance activity overdue: Wipe-down LAS Probe.</t>
  </si>
  <si>
    <t>Logout by user: KSW.</t>
  </si>
  <si>
    <t>Non-identified Material in rack RB position 4, track 1.</t>
  </si>
  <si>
    <t>Non-identified Material in rack RF position 5, track 6.</t>
  </si>
  <si>
    <t>Anti Factor Xa Rgt. volume low.</t>
  </si>
  <si>
    <t>Anti Chromogenic Sub insufficient material to run additional calibration / test.</t>
  </si>
  <si>
    <t>Non-identified Sample in rack 11 position 1, track 9.</t>
  </si>
  <si>
    <t>LMWH Patient job not feasible. Waiting for Anti Chromogenic Sub.</t>
  </si>
  <si>
    <t>Placement error (Anti Chromogenic Sub in rack RC, position 6, track 5).</t>
  </si>
  <si>
    <t>Test Definition Hepz LQF has been added.</t>
  </si>
  <si>
    <t>Test Definition Hepz LQF has been modified.</t>
  </si>
  <si>
    <t>Material Definition HemosIL Cal Plasma modified: assigned value for Test Hepz LQF (active Lot).</t>
  </si>
  <si>
    <t>Reflex Rule Hepz LQF has been added.</t>
  </si>
  <si>
    <t>Duplicated Rack ID, Rack ID RB.</t>
  </si>
  <si>
    <t>Non-identified Material in rack RF position 5, track 5.</t>
  </si>
  <si>
    <t>Non-identified Material in rack RF position 6, track 5.</t>
  </si>
  <si>
    <t>QFA Calibration job not feasible. Waiting for HemosIL Cal Plasma.</t>
  </si>
  <si>
    <t>User deleted Hepz Fib Patient test order from sample Id 29400001A.</t>
  </si>
  <si>
    <t>Test Definition Hepz QFA has been modified.</t>
  </si>
  <si>
    <t>Calibration Overdue for Hepz Fib.</t>
  </si>
  <si>
    <t>Test Definition Hepz LF has been added.</t>
  </si>
  <si>
    <t>Test Definition Hepz HF has been added.</t>
  </si>
  <si>
    <t>Reflex Rule Hepz LF has been added.</t>
  </si>
  <si>
    <t>Reflex Rule Hepz HF has been added.</t>
  </si>
  <si>
    <t>Calibration of Hepz LF completed: please review and validate.</t>
  </si>
  <si>
    <t>Calibration of Hepz HF completed: please review and validate.</t>
  </si>
  <si>
    <t>Calibration of Fib-C recalculated.</t>
  </si>
  <si>
    <t>Calibration of Hepz LF recalculated.</t>
  </si>
  <si>
    <t>Calibration of Hepz HF recalculated.</t>
  </si>
  <si>
    <t>Calibration of Fib-C H recalculated.</t>
  </si>
  <si>
    <t>Calibration of Fib-C L recalculated.</t>
  </si>
  <si>
    <t>Hepz Fib Calibration job not feasible. Waiting for HemosIL Cal Plasma.</t>
  </si>
  <si>
    <t>Fib-C volume low.</t>
  </si>
  <si>
    <t>Calibration of Hepz Fib completed and autovalidated.</t>
  </si>
  <si>
    <t>Hepz QFA Patient job not feasible. Waiting for Q.F.A. Thrombin.</t>
  </si>
  <si>
    <t>Fib-C insufficient material to run additional calibration / test.</t>
  </si>
  <si>
    <t>QC Definition APTT-SS - Normal C. Assayed modified: Patient Flags.</t>
  </si>
  <si>
    <t>QC Definition APTT-SS - High Abn C. Assayed modified: Patient Flags.</t>
  </si>
  <si>
    <t>QC Definition AT LIQ - Normal C. Assayed modified: Patient Flags.</t>
  </si>
  <si>
    <t>QC Definition AT LIQ - Special Test 2 modified: Patient Flags.</t>
  </si>
  <si>
    <t>QC Definition DDHS - D-Dimer High Control modified: Patient Flags.</t>
  </si>
  <si>
    <t>QC Definition DDHS - D-Dimer Low Control modified: Patient Flags.</t>
  </si>
  <si>
    <t>QC Definition dRVVT S - LA POS CONTROL modified: Patient Flags.</t>
  </si>
  <si>
    <t>QC Definition dRVVT S - LA POS CONTROL modified: Rules cfg.</t>
  </si>
  <si>
    <t>QC Definition dRVVT S - LA NEG CONTROL modified: Patient Flags.</t>
  </si>
  <si>
    <t>QC Definition dRVVT S - LA NEG CONTROL modified: Rules cfg.</t>
  </si>
  <si>
    <t>QC Definition Fib-C - Normal C. Assayed modified: Patient Flags.</t>
  </si>
  <si>
    <t>QC Definition FII-RP - Normal C. Assayed modified: Patient Flags.</t>
  </si>
  <si>
    <t>QC Definition FII-RP - Special Test 2 modified: Patient Flags.</t>
  </si>
  <si>
    <t>QC Definition FIX-SS - Normal C. Assayed modified: Patient Flags.</t>
  </si>
  <si>
    <t>QC Definition Free PS - Special Test 2 modified: Patient Flags.</t>
  </si>
  <si>
    <t>QC Definition FVIII-SS - Normal C. Assayed modified: Patient Flags.</t>
  </si>
  <si>
    <t>QC Definition FVIII-SS - Special Test 2 modified: Patient Flags.</t>
  </si>
  <si>
    <t>QC Definition FX CHROM - Special Test 2 modified: Patient Flags.</t>
  </si>
  <si>
    <t>QC Definition QFA Low - Low Fib Control modified: Patient Flags.</t>
  </si>
  <si>
    <t>QC Definition SCT-S - LA POS CONTROL modified: Patient Flags.</t>
  </si>
  <si>
    <t>QC Definition SCT-S - LA POS CONTROL modified: Rules cfg.</t>
  </si>
  <si>
    <t>QC Definition SCT-S - LA NEG CONTROL modified: Patient Flags.</t>
  </si>
  <si>
    <t>QC Definition SCT-S - LA NEG CONTROL modified: Rules cfg.</t>
  </si>
  <si>
    <t>Automatic logout.</t>
  </si>
  <si>
    <t>Successful log in by user: ARS.</t>
  </si>
  <si>
    <t>ARS</t>
  </si>
  <si>
    <t>Logout by user: ARS.</t>
  </si>
  <si>
    <t>Non-identified Material in rack RD position 1, track 2.</t>
  </si>
  <si>
    <t>Non-identified Material in rack RB position 3, track 1.</t>
  </si>
  <si>
    <t>D-Dimer HS Latex insufficient material to run additional calibration / test.</t>
  </si>
  <si>
    <t>Protein C Substrate insufficient material to run additional calibration / test.</t>
  </si>
  <si>
    <t>Non-identified Material in rack DC position 1, track 3.</t>
  </si>
  <si>
    <t>FVIII-SS Parallelism job not feasible. Waiting for APTT-SS CaCl2.</t>
  </si>
  <si>
    <t>FXI-SS Parallelism job not feasible. Waiting for APTT-SS CaCl2.</t>
  </si>
  <si>
    <t>FIX-SS Parallelism job not feasible. Waiting for APTT-SS CaCl2.</t>
  </si>
  <si>
    <t>FX-RP Parallelism job not feasible. Waiting for FX Def. Plasma.</t>
  </si>
  <si>
    <t>FV-RP Parallelism job not feasible. Waiting for FV Def. Plasma.</t>
  </si>
  <si>
    <t>Non-identified Material in rack RC position 4, track 6.</t>
  </si>
  <si>
    <t>FXI-SP is inconsistent/disable/lock manual ordering.</t>
  </si>
  <si>
    <t>Reflex Rule FXI XD has been modified.</t>
  </si>
  <si>
    <t>FXI XDIL Parallelism job not feasible. Waiting for FXI Def. Plasma.</t>
  </si>
  <si>
    <t>FXI XDIL Parallelism job not feasible. Waiting for APTT-SS CaCl2.</t>
  </si>
  <si>
    <t>FXII-SS Parallelism job not feasible. Waiting for FXII Def. Plasma.</t>
  </si>
  <si>
    <t>FXII-SS Parallelism job not feasible. Waiting for APTT-SS CaCl2.</t>
  </si>
  <si>
    <t>FXI XDIL Parallelism job not feasible. Waiting for APTT-SS.</t>
  </si>
  <si>
    <t>Analyzer Status changed from Adjusting thermal to Error.</t>
  </si>
  <si>
    <t>Analyzer Status changed from Error to Adjusting thermal.</t>
  </si>
  <si>
    <t>Placement error (Anti Chromogenic Sub in rack RC, position 1, track 6).</t>
  </si>
  <si>
    <t>Placement error (Anti Chromogenic Sub in rack RC, position 2, track 6).</t>
  </si>
  <si>
    <t>Non-identified Sample in rack 11 position 9, track 10.</t>
  </si>
  <si>
    <t>Non-identified Sample in rack 11 position 10, track 10.</t>
  </si>
  <si>
    <t>Test Definition Hepz HF has been modified.</t>
  </si>
  <si>
    <t>Test Definition Hepz LF has been modified.</t>
  </si>
  <si>
    <t>Non-identified Sample in rack 12 position 2, track 8.</t>
  </si>
  <si>
    <t>Non-identified Sample in rack 12 position 3, track 8.</t>
  </si>
  <si>
    <t>Non-identified Sample in rack 12 position 4, track 8.</t>
  </si>
  <si>
    <t>Non-identified Sample in rack 12 position 5, track 8.</t>
  </si>
  <si>
    <t>RIVA Patient job not feasible. Waiting for Anti Chromogenic Sub.</t>
  </si>
  <si>
    <t>User deleted RIVA Patient test order from sample Id CORR 8.</t>
  </si>
  <si>
    <t>Non-identified Sample in rack 12 position 1, track 10.</t>
  </si>
  <si>
    <t>Non-identified Sample in rack 12 position 2, track 10.</t>
  </si>
  <si>
    <t>Non-identified Sample in rack 12 position 3, track 10.</t>
  </si>
  <si>
    <t>Non-identified Sample in rack 12 position 4, track 10.</t>
  </si>
  <si>
    <t>Non-identified Sample in rack 12 position 5, track 10.</t>
  </si>
  <si>
    <t>QC Failed: RIVA-RIVA HIGH</t>
  </si>
  <si>
    <t>QC Profile Lupus has been added.</t>
  </si>
  <si>
    <t>Non-identified Sample in rack 11 position 6, track 11.</t>
  </si>
  <si>
    <t>Non-identified Sample in rack 11 position 7, track 11.</t>
  </si>
  <si>
    <t>Non-identified Sample in rack 11 position 8, track 11.</t>
  </si>
  <si>
    <t>Non-identified Sample in rack 11 position 9, track 11.</t>
  </si>
  <si>
    <t>Non-identified Sample in rack 11 position 10, track 11.</t>
  </si>
  <si>
    <t>RIVA Patient job not feasible. Waiting for Anti Factor Xa Rgt..</t>
  </si>
  <si>
    <t>Anti Factor Xa Rgt. insufficient material to run additional calibration / test.</t>
  </si>
  <si>
    <t>Unsuccessful log in by user: cbu.</t>
  </si>
  <si>
    <t>Unknown lot (Normal C. Assayed in rack DC position 6, track 1).</t>
  </si>
  <si>
    <t>Material Definition Normal C. Assayed modified: Alternative Lot cfg.</t>
  </si>
  <si>
    <t>QC Definition APTT-SS - Normal C. Assayed modified: Target Mean.</t>
  </si>
  <si>
    <t>QC Definition APTT-SS - Normal C. Assayed modified: Target SD.</t>
  </si>
  <si>
    <t>QC Definition Fib-C - Normal C. Assayed modified: Target Mean.</t>
  </si>
  <si>
    <t>QC Definition Fib-C - Normal C. Assayed modified: Target SD.</t>
  </si>
  <si>
    <t>QC Definition PC - Normal C. Assayed modified: Target Mean.</t>
  </si>
  <si>
    <t>QC Definition PC - Normal C. Assayed modified: Target SD.</t>
  </si>
  <si>
    <t>QC Definition PT-RP - Normal C. Assayed modified: Target Mean.</t>
  </si>
  <si>
    <t>QC Definition PT-RP - Normal C. Assayed modified: Target SD.</t>
  </si>
  <si>
    <t>QC Definition Free PS - Normal C. Assayed modified: Target Mean.</t>
  </si>
  <si>
    <t>QC Definition Free PS - Normal C. Assayed modified: Target SD.</t>
  </si>
  <si>
    <t>QC Definition TT5 - Normal C. Assayed modified: Target Mean.</t>
  </si>
  <si>
    <t>QC Definition TT5 - Normal C. Assayed modified: Target SD.</t>
  </si>
  <si>
    <t>QC Definition AT LIQ - Normal C. Assayed modified: Target Mean.</t>
  </si>
  <si>
    <t>QC Definition AT LIQ - Normal C. Assayed modified: Target SD.</t>
  </si>
  <si>
    <t>QC Definition FII-RP - Normal C. Assayed modified: Target Mean.</t>
  </si>
  <si>
    <t>QC Definition FII-RP - Normal C. Assayed modified: Target SD.</t>
  </si>
  <si>
    <t>QC Definition FV-RP - Normal C. Assayed modified: Target SD.</t>
  </si>
  <si>
    <t>QC Definition FVII-RP - Normal C. Assayed modified: Target Mean.</t>
  </si>
  <si>
    <t>QC Definition FVII-RP - Normal C. Assayed modified: Target SD.</t>
  </si>
  <si>
    <t>QC Definition FVIII-SS - Normal C. Assayed modified: Target Mean.</t>
  </si>
  <si>
    <t>QC Definition FVIII-SS - Normal C. Assayed modified: Target SD.</t>
  </si>
  <si>
    <t>QC Definition FIX-SS - Normal C. Assayed modified: Target Mean.</t>
  </si>
  <si>
    <t>QC Definition FIX-SS - Normal C. Assayed modified: Target SD.</t>
  </si>
  <si>
    <t>QC Definition FX-RP - Normal C. Assayed modified: Target Mean.</t>
  </si>
  <si>
    <t>QC Definition FX-RP - Normal C. Assayed modified: Target SD.</t>
  </si>
  <si>
    <t>QC Definition FXI-SS - Normal C. Assayed modified: Target Mean.</t>
  </si>
  <si>
    <t>QC Definition FXI-SS - Normal C. Assayed modified: Target SD.</t>
  </si>
  <si>
    <t>QC Definition FXII-SS - Normal C. Assayed modified: Target Mean.</t>
  </si>
  <si>
    <t>QC Definition FXII-SS - Normal C. Assayed modified: Target SD.</t>
  </si>
  <si>
    <t>Material Definition Normal C. Assayed modified: Alternate lot activated.</t>
  </si>
  <si>
    <t>Material Definition Normal C. Assayed modified: expiration date (active Lot).</t>
  </si>
  <si>
    <t>QC Failed: DDHS-D-Dimer Low Control</t>
  </si>
  <si>
    <t>QC Definition DDHS - D-Dimer Low Control modified: Target Mean.</t>
  </si>
  <si>
    <t>QC Definition DDHS - D-Dimer Low Control modified: Target SD.</t>
  </si>
  <si>
    <t>QC Profile Lupus has been deleted.</t>
  </si>
  <si>
    <t>Non-identified Sample in rack 05 position 10, track 7.</t>
  </si>
  <si>
    <t>Duplicated Test Order for 30601057B received from host (LIS # 921).</t>
  </si>
  <si>
    <t>Duplicated Test Order for 30601478A received from host (LIS # 921).</t>
  </si>
  <si>
    <t>Duplicated Test Order for 30601493D received from host (LIS # 131).</t>
  </si>
  <si>
    <t>Duplicated Test Order for 30601493D received from host (LIS # 921).</t>
  </si>
  <si>
    <t>Duplicated Test Order for 30601493D received from host (LIS # 2101).</t>
  </si>
  <si>
    <t>Duplicated Test Order for 30601496A received from host (LIS # 131).</t>
  </si>
  <si>
    <t>Non-identified Sample in rack 07 position 4, track 9.</t>
  </si>
  <si>
    <t>Non-identified Sample in rack 12 position 6, track 11.</t>
  </si>
  <si>
    <t>Duplicated Test Order for 30601510A received from host (LIS # 131).</t>
  </si>
  <si>
    <t>Non-identified Sample in rack 01 position 6, track 7.</t>
  </si>
  <si>
    <t>Successful log in by user: MJO.</t>
  </si>
  <si>
    <t>MJO</t>
  </si>
  <si>
    <t>Non-identified Sample in rack 06 position 2, track 10.</t>
  </si>
  <si>
    <t>Placement error (UF Hep High Control in rack DC, position 2, track 3).</t>
  </si>
  <si>
    <t>Placement error (D-Dimer High Control in rack DC, position 3, track 3).</t>
  </si>
  <si>
    <t>Placement error (D-Dimer Low Control in rack DC, position 4, track 3).</t>
  </si>
  <si>
    <t>Placement error (UF Hep Low Control in rack DC, position 5, track 3).</t>
  </si>
  <si>
    <t>Placement error (Normal C. Assayed in rack DC, position 6, track 3).</t>
  </si>
  <si>
    <t>Placement error (Low Fib Control in rack DC, position 7, track 3).</t>
  </si>
  <si>
    <t>Placement error (High Abn C. Assayed in rack DC, position 8, track 3).</t>
  </si>
  <si>
    <t>Non-identified Material in rack DC position 6, track 1.</t>
  </si>
  <si>
    <t>Non-identified Material in rack DC position 8, track 1.</t>
  </si>
  <si>
    <t>Non-identified Sample in rack 02 position 6, track 8.</t>
  </si>
  <si>
    <t>Non-identified Sample in rack 01 position 2, track 11.</t>
  </si>
  <si>
    <t>Non-identified Sample in rack 07 position 2, track 9.</t>
  </si>
  <si>
    <t>Logout by user: MJO.</t>
  </si>
  <si>
    <t>Successful log in by user: GAY.</t>
  </si>
  <si>
    <t>GAY</t>
  </si>
  <si>
    <t>Non-identified Sample in rack 06 position 1, track 8.</t>
  </si>
  <si>
    <t>Duplicated Test Order for 30700412C received from host (LIS # 131).</t>
  </si>
  <si>
    <t>Duplicated Test Order for 30700412C received from host (LIS # 921).</t>
  </si>
  <si>
    <t>D-Dimer Low Control volume low.</t>
  </si>
  <si>
    <t>Non-identified Sample in rack 11 position 3, track 6.</t>
  </si>
  <si>
    <t>Non-identified Sample in rack 11 position 4, track 6.</t>
  </si>
  <si>
    <t>Non-identified Sample in rack 11 position 5, track 6.</t>
  </si>
  <si>
    <t>Non-identified Sample in rack 11 position 6, track 6.</t>
  </si>
  <si>
    <t>Non-identified Sample in rack 12 position 1, track 9.</t>
  </si>
  <si>
    <t>Duplicated Test Order for 30700245B received from host (LIS # 131).</t>
  </si>
  <si>
    <t>Duplicated Test Order for 30700229C received from host (LIS # 131).</t>
  </si>
  <si>
    <t>Duplicated Test Order for 30700235C received from host (LIS # 131).</t>
  </si>
  <si>
    <t>Duplicated Test Order for 30700290A received from host (LIS # 131).</t>
  </si>
  <si>
    <t>Duplicated Test Order for 30700419D received from host (LIS # 131).</t>
  </si>
  <si>
    <t>Duplicated Test Order for 30700438A received from host (LIS # 2011).</t>
  </si>
  <si>
    <t>Duplicated Test Order for 30700438A received from host (LIS # 2241).</t>
  </si>
  <si>
    <t>Logout by user: GAY.</t>
  </si>
  <si>
    <t>Successful log in by user: RST.</t>
  </si>
  <si>
    <t>RST</t>
  </si>
  <si>
    <t>Non-identified Sample in rack 07 position 10, track 6.</t>
  </si>
  <si>
    <t>Logout by user: RST.</t>
  </si>
  <si>
    <t>D-Dimer High Control insufficient material to run additional calibration / test.</t>
  </si>
  <si>
    <t>Non-identified Sample in rack 12 position 10, track 5.</t>
  </si>
  <si>
    <t>Duplicated Test Order for 30701223C received from host (LIS # 921).</t>
  </si>
  <si>
    <t>Duplicated Test Order for 30601355A received from host (LIS # 2101).</t>
  </si>
  <si>
    <t>Duplicated Test Order for 30601528A received from host (LIS # 131).</t>
  </si>
  <si>
    <t>Duplicated Test Order for 30601551A received from host (LIS # 131).</t>
  </si>
  <si>
    <t>Duplicated Test Order for 30601551A received from host (LIS # 921).</t>
  </si>
  <si>
    <t>Duplicated Test Order for 30601551A received from host (LIS # 2011).</t>
  </si>
  <si>
    <t>Duplicated Test Order for 30601553B received from host (LIS # 131).</t>
  </si>
  <si>
    <t>Duplicated Test Order for 30601559A received from host (LIS # 2241).</t>
  </si>
  <si>
    <t>Duplicated Test Order for 30601564D received from host (LIS # 131).</t>
  </si>
  <si>
    <t>Duplicated Test Order for 30601588A received from host (LIS # 131).</t>
  </si>
  <si>
    <t>Duplicated Test Order for 30601600C received from host (LIS # 131).</t>
  </si>
  <si>
    <t>Duplicated Test Order for 30601600C received from host (LIS # 921).</t>
  </si>
  <si>
    <t>Duplicated Test Order for 30601602A received from host (LIS # 921).</t>
  </si>
  <si>
    <t>Duplicated Test Order for 30601604A received from host (LIS # 2101).</t>
  </si>
  <si>
    <t>Duplicated Test Order for 30601606A received from host (LIS # 2101).</t>
  </si>
  <si>
    <t>Duplicated Test Order for 30601626A received from host (LIS # 131).</t>
  </si>
  <si>
    <t>Duplicated Test Order for 30601666A received from host (LIS # 131).</t>
  </si>
  <si>
    <t>Duplicated Test Order for 30601676A received from host (LIS # 2101).</t>
  </si>
  <si>
    <t>Duplicated Test Order for 30601773A received from host (LIS # 131).</t>
  </si>
  <si>
    <t>Duplicated Test Order for 30601773A received from host (LIS # 921).</t>
  </si>
  <si>
    <t>Duplicated Test Order for 30601773A received from host (LIS # 2011).</t>
  </si>
  <si>
    <t>Duplicated Test Order for 30601803A received from host (LIS # 131).</t>
  </si>
  <si>
    <t>Duplicated Test Order for 30601818A received from host (LIS # 2241).</t>
  </si>
  <si>
    <t>Duplicated Test Order for 30601845A received from host (LIS # 921).</t>
  </si>
  <si>
    <t>Duplicated Test Order for 30601874A received from host (LIS # 131).</t>
  </si>
  <si>
    <t>Duplicated Test Order for 30601874A received from host (LIS # 921).</t>
  </si>
  <si>
    <t>Duplicated Test Order for 30601882A received from host (LIS # 131).</t>
  </si>
  <si>
    <t>Duplicated Test Order for 30601907A received from host (LIS # 131).</t>
  </si>
  <si>
    <t>Duplicated Test Order for 30601913B received from host (LIS # 2241).</t>
  </si>
  <si>
    <t>Duplicated Test Order for 30601919C received from host (LIS # 131).</t>
  </si>
  <si>
    <t>Duplicated Test Order for 30601919C received from host (LIS # 921).</t>
  </si>
  <si>
    <t>Duplicated Test Order for 30601960A received from host (LIS # 131).</t>
  </si>
  <si>
    <t>Duplicated Test Order for 30601960A received from host (LIS # 921).</t>
  </si>
  <si>
    <t>Duplicated Test Order for 30602082B received from host (LIS # 131).</t>
  </si>
  <si>
    <t>Duplicated Test Order for 30602138A received from host (LIS # 131).</t>
  </si>
  <si>
    <t>Duplicated Test Order for 30602138A received from host (LIS # 921).</t>
  </si>
  <si>
    <t>Duplicated Test Order for 30602174C received from host (LIS # 131).</t>
  </si>
  <si>
    <t>Duplicated Test Order for 30602174C received from host (LIS # 921).</t>
  </si>
  <si>
    <t>Duplicated Test Order for 30602222C received from host (LIS # 131).</t>
  </si>
  <si>
    <t>Duplicated Test Order for 30602225C received from host (LIS # 131).</t>
  </si>
  <si>
    <t>Duplicated Test Order for 30602225C received from host (LIS # 921).</t>
  </si>
  <si>
    <t>Duplicated Test Order for 30602233A received from host (LIS # 2101).</t>
  </si>
  <si>
    <t>Duplicated Test Order for 30602249C received from host (LIS # 131).</t>
  </si>
  <si>
    <t>Duplicated Test Order for 30602249C received from host (LIS # 921).</t>
  </si>
  <si>
    <t>Duplicated Test Order for 30602251A received from host (LIS # 131).</t>
  </si>
  <si>
    <t>Duplicated Test Order for 30602251A received from host (LIS # 921).</t>
  </si>
  <si>
    <t>Duplicated Test Order for 30602286A received from host (LIS # 2011).</t>
  </si>
  <si>
    <t>Duplicated Test Order for 30602312B received from host (LIS # 131).</t>
  </si>
  <si>
    <t>Duplicated Test Order for 30602325B received from host (LIS # 131).</t>
  </si>
  <si>
    <t>Duplicated Test Order for 30602325B received from host (LIS # 921).</t>
  </si>
  <si>
    <t>Duplicated Test Order for 30602325B received from host (LIS # 2011).</t>
  </si>
  <si>
    <t>Duplicated Test Order for 30602332A received from host (LIS # 921).</t>
  </si>
  <si>
    <t>Duplicated Test Order for 30602345B received from host (LIS # 131).</t>
  </si>
  <si>
    <t>Duplicated Test Order for 30602345B received from host (LIS # 921).</t>
  </si>
  <si>
    <t>Duplicated Test Order for 30602363A received from host (LIS # 131).</t>
  </si>
  <si>
    <t>Duplicated Test Order for 30602382A received from host (LIS # 921).</t>
  </si>
  <si>
    <t>Duplicated Test Order for 30602414B received from host (LIS # 131).</t>
  </si>
  <si>
    <t>Duplicated Test Order for 30602476A received from host (LIS # 2101).</t>
  </si>
  <si>
    <t>Duplicated Test Order for 30602498A received from host (LIS # 131).</t>
  </si>
  <si>
    <t>Duplicated Test Order for 30602518A received from host (LIS # 131).</t>
  </si>
  <si>
    <t>Duplicated Test Order for 30602520B received from host (LIS # 131).</t>
  </si>
  <si>
    <t>Duplicated Test Order for 30602538B received from host (LIS # 131).</t>
  </si>
  <si>
    <t>Duplicated Test Order for 30602555C received from host (LIS # 131).</t>
  </si>
  <si>
    <t>Duplicated Test Order for 30602555C received from host (LIS # 2011).</t>
  </si>
  <si>
    <t>Duplicated Test Order for 30602558A received from host (LIS # 2101).</t>
  </si>
  <si>
    <t>Duplicated Test Order for 30602577A received from host (LIS # 131).</t>
  </si>
  <si>
    <t>Duplicated Test Order for 30602589A received from host (LIS # 131).</t>
  </si>
  <si>
    <t>Duplicated Test Order for 30602590A received from host (LIS # 131).</t>
  </si>
  <si>
    <t>Duplicated Test Order for 30602591B received from host (LIS # 131).</t>
  </si>
  <si>
    <t>Duplicated Test Order for 30602650C received from host (LIS # 131).</t>
  </si>
  <si>
    <t>Duplicated Test Order for 30602650C received from host (LIS # 921).</t>
  </si>
  <si>
    <t>Duplicated Test Order for 30602685A received from host (LIS # 2101).</t>
  </si>
  <si>
    <t>Duplicated Test Order for 30602690A received from host (LIS # 131).</t>
  </si>
  <si>
    <t>Duplicated Test Order for 30602694C received from host (LIS # 131).</t>
  </si>
  <si>
    <t>Duplicated Test Order for 30602694C received from host (LIS # 921).</t>
  </si>
  <si>
    <t>Duplicated Test Order for 30602750A received from host (LIS # 131).</t>
  </si>
  <si>
    <t>Duplicated Test Order for 30602750A received from host (LIS # 921).</t>
  </si>
  <si>
    <t>Duplicated Test Order for 30602750A received from host (LIS # 2011).</t>
  </si>
  <si>
    <t>Duplicated Test Order for 30602778B received from host (LIS # 131).</t>
  </si>
  <si>
    <t>Duplicated Test Order for 30602820C received from host (LIS # 131).</t>
  </si>
  <si>
    <t>Duplicated Test Order for 30602820C received from host (LIS # 921).</t>
  </si>
  <si>
    <t>Duplicated Test Order for 30602822C received from host (LIS # 131).</t>
  </si>
  <si>
    <t>Duplicated Test Order for 30602822C received from host (LIS # 921).</t>
  </si>
  <si>
    <t>Duplicated Test Order for 30602850D received from host (LIS # 131).</t>
  </si>
  <si>
    <t>Duplicated Test Order for 30602850D received from host (LIS # 921).</t>
  </si>
  <si>
    <t>Duplicated Test Order for 30602853B received from host (LIS # 131).</t>
  </si>
  <si>
    <t>Duplicated Test Order for 30602865A received from host (LIS # 131).</t>
  </si>
  <si>
    <t>Duplicated Test Order for 30602890C received from host (LIS # 131).</t>
  </si>
  <si>
    <t>Duplicated Test Order for 30602931A received from host (LIS # 2101).</t>
  </si>
  <si>
    <t>Duplicated Test Order for 30602941C received from host (LIS # 2241).</t>
  </si>
  <si>
    <t>Duplicated Test Order for 30602962A received from host (LIS # 2241).</t>
  </si>
  <si>
    <t>Duplicated Test Order for 30602964A received from host (LIS # 2241).</t>
  </si>
  <si>
    <t>Duplicated Test Order for 30602977C received from host (LIS # 131).</t>
  </si>
  <si>
    <t>Duplicated Test Order for 30602977C received from host (LIS # 921).</t>
  </si>
  <si>
    <t>Duplicated Test Order for 30602977C received from host (LIS # 2011).</t>
  </si>
  <si>
    <t>Duplicated Test Order for 30602990A received from host (LIS # 131).</t>
  </si>
  <si>
    <t>Duplicated Test Order for 30603019A received from host (LIS # 131).</t>
  </si>
  <si>
    <t>Duplicated Test Order for 30603022A received from host (LIS # 131).</t>
  </si>
  <si>
    <t>Duplicated Test Order for 30603022A received from host (LIS # 921).</t>
  </si>
  <si>
    <t>Duplicated Test Order for 30603022A received from host (LIS # 2011).</t>
  </si>
  <si>
    <t>Duplicated Test Order for 30603032A received from host (LIS # 2011).</t>
  </si>
  <si>
    <t>Duplicated Test Order for 30603032A received from host (LIS # 2241).</t>
  </si>
  <si>
    <t>Duplicated Test Order for 30700006A received from host (LIS # 131).</t>
  </si>
  <si>
    <t>Duplicated Test Order for 30700021A received from host (LIS # 921).</t>
  </si>
  <si>
    <t>Duplicated Test Order for 30700038B received from host (LIS # 131).</t>
  </si>
  <si>
    <t>Duplicated Test Order for 30700065A received from host (LIS # 131).</t>
  </si>
  <si>
    <t>Duplicated Test Order for 30700073A received from host (LIS # 2101).</t>
  </si>
  <si>
    <t>Duplicated Test Order for 30700083A received from host (LIS # 131).</t>
  </si>
  <si>
    <t>Duplicated Test Order for 30700083A received from host (LIS # 921).</t>
  </si>
  <si>
    <t>Duplicated Test Order for 30700083A received from host (LIS # 2011).</t>
  </si>
  <si>
    <t>Duplicated Test Order for 30700094A received from host (LIS # 131).</t>
  </si>
  <si>
    <t>Duplicated Test Order for 30700094A received from host (LIS # 921).</t>
  </si>
  <si>
    <t>Duplicated Test Order for 30700094A received from host (LIS # 2011).</t>
  </si>
  <si>
    <t>Duplicated Test Order for 30700122A received from host (LIS # 131).</t>
  </si>
  <si>
    <t>Duplicated Test Order for 30700134A received from host (LIS # 131).</t>
  </si>
  <si>
    <t>Duplicated Test Order for 30700134A received from host (LIS # 2011).</t>
  </si>
  <si>
    <t>Duplicated Test Order for 30700142A received from host (LIS # 2241).</t>
  </si>
  <si>
    <t>Duplicated Test Order for 30700145C received from host (LIS # 131).</t>
  </si>
  <si>
    <t>Duplicated Test Order for 30700145C received from host (LIS # 2011).</t>
  </si>
  <si>
    <t>Duplicated Test Order for 30700149B received from host (LIS # 131).</t>
  </si>
  <si>
    <t>Duplicated Test Order for 30700149B received from host (LIS # 2011).</t>
  </si>
  <si>
    <t>Duplicated Test Order for 30700161B received from host (LIS # 131).</t>
  </si>
  <si>
    <t>Duplicated Test Order for 30700161B received from host (LIS # 2011).</t>
  </si>
  <si>
    <t>Duplicated Test Order for 30700172C received from host (LIS # 131).</t>
  </si>
  <si>
    <t>Duplicated Test Order for 30700172C received from host (LIS # 2011).</t>
  </si>
  <si>
    <t>Duplicated Test Order for 30700191B received from host (LIS # 131).</t>
  </si>
  <si>
    <t>Duplicated Test Order for 30700198A received from host (LIS # 131).</t>
  </si>
  <si>
    <t>Duplicated Test Order for 30700198A received from host (LIS # 2101).</t>
  </si>
  <si>
    <t>Duplicated Test Order for 30700200A received from host (LIS # 131).</t>
  </si>
  <si>
    <t>Duplicated Test Order for 30700201C received from host (LIS # 131).</t>
  </si>
  <si>
    <t>Duplicated Test Order for 30700202C received from host (LIS # 131).</t>
  </si>
  <si>
    <t>Duplicated Test Order for 30700214A received from host (LIS # 131).</t>
  </si>
  <si>
    <t>Duplicated Test Order for 30700216C received from host (LIS # 131).</t>
  </si>
  <si>
    <t>Duplicated Test Order for 30700218B received from host (LIS # 131).</t>
  </si>
  <si>
    <t>Duplicated Test Order for 30700223A received from host (LIS # 131).</t>
  </si>
  <si>
    <t>Duplicated Test Order for 30700226A received from host (LIS # 131).</t>
  </si>
  <si>
    <t>Duplicated Test Order for 30700227C received from host (LIS # 131).</t>
  </si>
  <si>
    <t>Duplicated Test Order for 30700236C received from host (LIS # 131).</t>
  </si>
  <si>
    <t>Duplicated Test Order for 30700240A received from host (LIS # 131).</t>
  </si>
  <si>
    <t>Duplicated Test Order for 30700242A received from host (LIS # 131).</t>
  </si>
  <si>
    <t>Duplicated Test Order for 30700254B received from host (LIS # 2101).</t>
  </si>
  <si>
    <t>Duplicated Test Order for 30700260B received from host (LIS # 131).</t>
  </si>
  <si>
    <t>Duplicated Test Order for 30700260B received from host (LIS # 2011).</t>
  </si>
  <si>
    <t>Duplicated Test Order for 30700260B received from host (LIS # 2241).</t>
  </si>
  <si>
    <t>Duplicated Test Order for 30700271C received from host (LIS # 131).</t>
  </si>
  <si>
    <t>Duplicated Test Order for 30700274A received from host (LIS # 131).</t>
  </si>
  <si>
    <t>Duplicated Test Order for 30700277C received from host (LIS # 131).</t>
  </si>
  <si>
    <t>Duplicated Test Order for 30700289C received from host (LIS # 2101).</t>
  </si>
  <si>
    <t>Duplicated Test Order for 30700318A received from host (LIS # 131).</t>
  </si>
  <si>
    <t>Duplicated Test Order for 30700344A received from host (LIS # 131).</t>
  </si>
  <si>
    <t>Duplicated Test Order for 30700355A received from host (LIS # 131).</t>
  </si>
  <si>
    <t>Duplicated Test Order for 30700355A received from host (LIS # 921).</t>
  </si>
  <si>
    <t>Duplicated Test Order for 30700355A received from host (LIS # 2101).</t>
  </si>
  <si>
    <t>Duplicated Test Order for 30700370C received from host (LIS # 131).</t>
  </si>
  <si>
    <t>Duplicated Test Order for 30700375C received from host (LIS # 2101).</t>
  </si>
  <si>
    <t>Duplicated Test Order for 30700379B received from host (LIS # 131).</t>
  </si>
  <si>
    <t>Duplicated Test Order for 30700380C received from host (LIS # 131).</t>
  </si>
  <si>
    <t>Duplicated Test Order for 30700401C received from host (LIS # 131).</t>
  </si>
  <si>
    <t>Duplicated Test Order for 30700406A received from host (LIS # 2241).</t>
  </si>
  <si>
    <t>Duplicated Test Order for 30700417A received from host (LIS # 131).</t>
  </si>
  <si>
    <t>Duplicated Test Order for 30700417A received from host (LIS # 921).</t>
  </si>
  <si>
    <t>Duplicated Test Order for 30700426A received from host (LIS # 131).</t>
  </si>
  <si>
    <t>Duplicated Test Order for 30700426A received from host (LIS # 921).</t>
  </si>
  <si>
    <t>Duplicated Test Order for 30700444A received from host (LIS # 2241).</t>
  </si>
  <si>
    <t>Duplicated Test Order for 30700445A received from host (LIS # 2101).</t>
  </si>
  <si>
    <t>Duplicated Test Order for 30700446B received from host (LIS # 2241).</t>
  </si>
  <si>
    <t>Duplicated Test Order for 30700452A received from host (LIS # 131).</t>
  </si>
  <si>
    <t>Duplicated Test Order for 30700469A received from host (LIS # 131).</t>
  </si>
  <si>
    <t>Duplicated Test Order for 30700469A received from host (LIS # 2011).</t>
  </si>
  <si>
    <t>Duplicated Test Order for 30700470B received from host (LIS # 131).</t>
  </si>
  <si>
    <t>Duplicated Test Order for 30700470B received from host (LIS # 921).</t>
  </si>
  <si>
    <t>Duplicated Test Order for 30700471A received from host (LIS # 131).</t>
  </si>
  <si>
    <t>Duplicated Test Order for 30700471A received from host (LIS # 2011).</t>
  </si>
  <si>
    <t>Duplicated Test Order for 30700491A received from host (LIS # 131).</t>
  </si>
  <si>
    <t>Duplicated Test Order for 30700498A received from host (LIS # 2101).</t>
  </si>
  <si>
    <t>Duplicated Test Order for 30700503A received from host (LIS # 131).</t>
  </si>
  <si>
    <t>Duplicated Test Order for 30700503A received from host (LIS # 2101).</t>
  </si>
  <si>
    <t>Duplicated Test Order for 30700511A received from host (LIS # 2241).</t>
  </si>
  <si>
    <t>Duplicated Test Order for 30700553B received from host (LIS # 131).</t>
  </si>
  <si>
    <t>Duplicated Test Order for 30700566C received from host (LIS # 131).</t>
  </si>
  <si>
    <t>Duplicated Test Order for 30700569A received from host (LIS # 131).</t>
  </si>
  <si>
    <t>Duplicated Test Order for 30700584C received from host (LIS # 131).</t>
  </si>
  <si>
    <t>Duplicated Test Order for 30700584C received from host (LIS # 921).</t>
  </si>
  <si>
    <t>Duplicated Test Order for 30700595A received from host (LIS # 131).</t>
  </si>
  <si>
    <t>Duplicated Test Order for 30700595A received from host (LIS # 2011).</t>
  </si>
  <si>
    <t>Duplicated Test Order for 30700608A received from host (LIS # 2101).</t>
  </si>
  <si>
    <t>Duplicated Test Order for 30700650A received from host (LIS # 131).</t>
  </si>
  <si>
    <t>Duplicated Test Order for 30700650A received from host (LIS # 2101).</t>
  </si>
  <si>
    <t>Duplicated Test Order for 30700673B received from host (LIS # 131).</t>
  </si>
  <si>
    <t>Duplicated Test Order for 30700679D received from host (LIS # 131).</t>
  </si>
  <si>
    <t>Duplicated Test Order for 30700729B received from host (LIS # 131).</t>
  </si>
  <si>
    <t>Duplicated Test Order for 30700729B received from host (LIS # 921).</t>
  </si>
  <si>
    <t>Duplicated Test Order for 30700730A received from host (LIS # 131).</t>
  </si>
  <si>
    <t>Duplicated Test Order for 30700843A received from host (LIS # 131).</t>
  </si>
  <si>
    <t>Duplicated Test Order for 30700869A received from host (LIS # 131).</t>
  </si>
  <si>
    <t>Duplicated Test Order for 30700885A received from host (LIS # 131).</t>
  </si>
  <si>
    <t>Duplicated Test Order for 30700886C received from host (LIS # 131).</t>
  </si>
  <si>
    <t>Duplicated Test Order for 30700894A received from host (LIS # 131).</t>
  </si>
  <si>
    <t>Duplicated Test Order for 30700903A received from host (LIS # 131).</t>
  </si>
  <si>
    <t>Duplicated Test Order for 30700905A received from host (LIS # 131).</t>
  </si>
  <si>
    <t>Duplicated Test Order for 30700924B received from host (LIS # 131).</t>
  </si>
  <si>
    <t>Duplicated Test Order for 30700988A received from host (LIS # 2241).</t>
  </si>
  <si>
    <t>Duplicated Test Order for 30701007A received from host (LIS # 131).</t>
  </si>
  <si>
    <t>Duplicated Test Order for 30701009D received from host (LIS # 131).</t>
  </si>
  <si>
    <t>Duplicated Test Order for 30701009D received from host (LIS # 921).</t>
  </si>
  <si>
    <t>Duplicated Test Order for 30701009D received from host (LIS # 2101).</t>
  </si>
  <si>
    <t>Duplicated Test Order for 30701041A received from host (LIS # 921).</t>
  </si>
  <si>
    <t>Duplicated Test Order for 30701041A received from host (LIS # 2101).</t>
  </si>
  <si>
    <t>Duplicated Test Order for 30701050A received from host (LIS # 131).</t>
  </si>
  <si>
    <t>Duplicated Test Order for 30701050A received from host (LIS # 921).</t>
  </si>
  <si>
    <t>Duplicated Test Order for 30701082B received from host (LIS # 131).</t>
  </si>
  <si>
    <t>Duplicated Test Order for 30701083A received from host (LIS # 131).</t>
  </si>
  <si>
    <t>Duplicated Test Order for 30701094A received from host (LIS # 131).</t>
  </si>
  <si>
    <t>Duplicated Test Order for 30701123C received from host (LIS # 131).</t>
  </si>
  <si>
    <t>Duplicated Test Order for 30701168A received from host (LIS # 131).</t>
  </si>
  <si>
    <t>Duplicated Test Order for 30701179A received from host (LIS # 131).</t>
  </si>
  <si>
    <t>Duplicated Test Order for 30701223C received from host (LIS # 131).</t>
  </si>
  <si>
    <t>Duplicated Test Order for 30701249A received from host (LIS # 2101).</t>
  </si>
  <si>
    <t>Duplicated Test Order for 30701250A received from host (LIS # 131).</t>
  </si>
  <si>
    <t>Duplicated Test Order for 30701305A received from host (LIS # 131).</t>
  </si>
  <si>
    <t>Duplicated Test Order for 30701307A received from host (LIS # 131).</t>
  </si>
  <si>
    <t>Duplicated Test Order for 30701343C received from host (LIS # 131).</t>
  </si>
  <si>
    <t>Duplicated Test Order for 30701375B received from host (LIS # 131).</t>
  </si>
  <si>
    <t>Duplicated Test Order for 30701375B received from host (LIS # 921).</t>
  </si>
  <si>
    <t>Duplicated Test Order for 30701375B received from host (LIS # 2011).</t>
  </si>
  <si>
    <t>Duplicated Test Order for 30701418A received from host (LIS # 131).</t>
  </si>
  <si>
    <t>File Name</t>
  </si>
  <si>
    <t>Line Number</t>
  </si>
  <si>
    <t>Sub Code</t>
  </si>
  <si>
    <t>CPU</t>
  </si>
  <si>
    <t>ccuvldr.cpp</t>
  </si>
  <si>
    <t>cwastecontainer.cpp</t>
  </si>
  <si>
    <t>cprobemgr_steps.cpp</t>
  </si>
  <si>
    <t>cvmgctrl.cpp</t>
  </si>
  <si>
    <t>ccoverssetlastop.cpp</t>
  </si>
  <si>
    <t>cfluidcontainer.cpp</t>
  </si>
  <si>
    <t>CBarcodeReaderShuttle.cpp</t>
  </si>
  <si>
    <t>cprobemgr_align.cpp</t>
  </si>
  <si>
    <t>CRackMaterials.cpp</t>
  </si>
  <si>
    <t>File Path = C:\Users\llindsay\Desktop\generalLog.txt</t>
  </si>
  <si>
    <t>File Creation Date = 2/28/2017 11:14:22 AM</t>
  </si>
  <si>
    <t>ERROR Total</t>
  </si>
  <si>
    <t>INFORMATION Total</t>
  </si>
  <si>
    <t>WARNING Total</t>
  </si>
  <si>
    <t>(blank)</t>
  </si>
  <si>
    <t>(blank) Total</t>
  </si>
  <si>
    <t>Grand Total</t>
  </si>
  <si>
    <t>ARMs Total</t>
  </si>
  <si>
    <t>Barcode/Racks Total</t>
  </si>
  <si>
    <t>Cuvettes Movement Total</t>
  </si>
  <si>
    <t>Fluidics Total</t>
  </si>
  <si>
    <t>LLD (Liquid Level Detection) Total</t>
  </si>
  <si>
    <t>Others Total</t>
  </si>
  <si>
    <t>SW Total</t>
  </si>
  <si>
    <t>Coordinates Total</t>
  </si>
  <si>
    <t>Barcode Total</t>
  </si>
  <si>
    <t>Cuvette Waste Total</t>
  </si>
  <si>
    <t>Clean Circuit Total</t>
  </si>
  <si>
    <t>Rinse Circuit Total</t>
  </si>
  <si>
    <t>Waste Liquid Circuit Total</t>
  </si>
  <si>
    <t>Missing Liquid Total</t>
  </si>
  <si>
    <t>Host Total</t>
  </si>
  <si>
    <t>Maintenance Total</t>
  </si>
  <si>
    <t>Materials Total</t>
  </si>
  <si>
    <t>Track Communication Total</t>
  </si>
  <si>
    <t>Applications Total</t>
  </si>
  <si>
    <t>QC Total</t>
  </si>
  <si>
    <t>Loader Total</t>
  </si>
  <si>
    <t>(All)</t>
  </si>
  <si>
    <t>1160 Total</t>
  </si>
  <si>
    <t>1255 Total</t>
  </si>
  <si>
    <t>1294 Total</t>
  </si>
  <si>
    <t>2000 Total</t>
  </si>
  <si>
    <t>2005 Total</t>
  </si>
  <si>
    <t>2010 Total</t>
  </si>
  <si>
    <t>2015 Total</t>
  </si>
  <si>
    <t>2025 Total</t>
  </si>
  <si>
    <t>2030 Total</t>
  </si>
  <si>
    <t>2055 Total</t>
  </si>
  <si>
    <t>2076 Total</t>
  </si>
  <si>
    <t>2083 Total</t>
  </si>
  <si>
    <t>2086 Total</t>
  </si>
  <si>
    <t>3004 Total</t>
  </si>
  <si>
    <t>3007 Total</t>
  </si>
  <si>
    <t>3010 Total</t>
  </si>
  <si>
    <t>3013 Total</t>
  </si>
  <si>
    <t>3016 Total</t>
  </si>
  <si>
    <t>3042 Total</t>
  </si>
  <si>
    <t>3084 Total</t>
  </si>
  <si>
    <t>3088 Total</t>
  </si>
  <si>
    <t>3090 Total</t>
  </si>
  <si>
    <t>3218 Total</t>
  </si>
  <si>
    <t>4056 Total</t>
  </si>
  <si>
    <t>4059 Total</t>
  </si>
  <si>
    <t>4068 Total</t>
  </si>
  <si>
    <t>3046 Total</t>
  </si>
  <si>
    <t>3051 Total</t>
  </si>
  <si>
    <t>3052 Total</t>
  </si>
  <si>
    <t>3057 Total</t>
  </si>
  <si>
    <t>3058 Total</t>
  </si>
  <si>
    <t>3059 Total</t>
  </si>
  <si>
    <t>3060 Total</t>
  </si>
  <si>
    <t>3061 Total</t>
  </si>
  <si>
    <t>3067 Total</t>
  </si>
  <si>
    <t>3068 Total</t>
  </si>
  <si>
    <t>3071 Total</t>
  </si>
  <si>
    <t>3072 Total</t>
  </si>
  <si>
    <t>3073 Total</t>
  </si>
  <si>
    <t>3075 Total</t>
  </si>
  <si>
    <t>3076 Total</t>
  </si>
  <si>
    <t>3078 Total</t>
  </si>
  <si>
    <t>3079 Total</t>
  </si>
  <si>
    <t>3080 Total</t>
  </si>
  <si>
    <t>3081 Total</t>
  </si>
  <si>
    <t>3100 Total</t>
  </si>
  <si>
    <t>3106 Total</t>
  </si>
  <si>
    <t>3107 Total</t>
  </si>
  <si>
    <t>3108 Total</t>
  </si>
  <si>
    <t>3110 Total</t>
  </si>
  <si>
    <t>3111 Total</t>
  </si>
  <si>
    <t>3112 Total</t>
  </si>
  <si>
    <t>3120 Total</t>
  </si>
  <si>
    <t>3121 Total</t>
  </si>
  <si>
    <t>3145 Total</t>
  </si>
  <si>
    <t>3146 Total</t>
  </si>
  <si>
    <t>3147 Total</t>
  </si>
  <si>
    <t>3216 Total</t>
  </si>
  <si>
    <t>3217 Total</t>
  </si>
  <si>
    <t>4065 Total</t>
  </si>
  <si>
    <t>4070 Total</t>
  </si>
  <si>
    <t>3001 Total</t>
  </si>
  <si>
    <t>3002 Total</t>
  </si>
  <si>
    <t>3023 Total</t>
  </si>
  <si>
    <t>3024 Total</t>
  </si>
  <si>
    <t>3037 Total</t>
  </si>
  <si>
    <t>3047 Total</t>
  </si>
  <si>
    <t>3056 Total</t>
  </si>
  <si>
    <t>3089 Total</t>
  </si>
  <si>
    <t>3096 Total</t>
  </si>
  <si>
    <t>3187 Total</t>
  </si>
  <si>
    <t>4006 Total</t>
  </si>
  <si>
    <t>4025 Total</t>
  </si>
  <si>
    <t>4030 Total</t>
  </si>
  <si>
    <t>4035 Total</t>
  </si>
  <si>
    <t>4040 Total</t>
  </si>
  <si>
    <t>4050 Total</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</si>
</sst>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164" formatCode="00000"/>
    <numFmt numFmtId="165" formatCode="0.0"/>
    <numFmt numFmtId="166" formatCode="hh:mm:ss;@"/>
    <numFmt numFmtId="167" formatCode="yyyy\-mm\-dd"/>
    <numFmt numFmtId="168" formatCode="dd/mm/yyyy"/>
  </numFmts>
  <fonts count="18" x14ac:knownFonts="1">
    <font>
      <sz val="10"/>
      <name val="Arial"/>
    </font>
    <font>
      <sz val="10"/>
      <name val="Arial"/>
      <family val="2"/>
    </font>
    <font>
      <sz val="8"/>
      <name val="Arial"/>
      <family val="2"/>
    </font>
    <font>
      <b/>
      <sz val="11"/>
      <name val="Arial"/>
      <family val="2"/>
    </font>
    <font>
      <b/>
      <sz val="11"/>
      <color indexed="8"/>
      <name val="Arial"/>
      <family val="2"/>
    </font>
    <font>
      <b/>
      <sz val="10"/>
      <name val="Arial"/>
      <family val="2"/>
    </font>
    <font>
      <sz val="11"/>
      <color indexed="8"/>
      <name val="Arial"/>
      <family val="2"/>
    </font>
    <font>
      <sz val="11"/>
      <name val="Arial"/>
      <family val="2"/>
    </font>
    <font>
      <sz val="12"/>
      <color indexed="81"/>
      <name val="Arial"/>
      <family val="2"/>
    </font>
    <font>
      <b/>
      <sz val="12"/>
      <color indexed="81"/>
      <name val="Arial"/>
      <family val="2"/>
    </font>
    <font>
      <sz val="10"/>
      <name val="Arial"/>
      <family val="2"/>
    </font>
    <font>
      <sz val="20"/>
      <name val="Arial"/>
      <family val="2"/>
    </font>
    <font>
      <sz val="10"/>
      <name val="Arial"/>
      <family val="2"/>
    </font>
    <font>
      <sz val="11"/>
      <color indexed="8"/>
      <name val="Arial Unicode MS"/>
      <family val="2"/>
    </font>
    <font>
      <sz val="20"/>
      <color indexed="50"/>
      <name val="Arial"/>
      <family val="2"/>
    </font>
    <font>
      <sz val="36"/>
      <color indexed="8"/>
      <name val="Arial"/>
      <family val="2"/>
    </font>
    <font>
      <sz val="11"/>
      <color theme="1"/>
      <name val="Calibri"/>
      <family val="2"/>
      <scheme val="minor"/>
    </font>
    <font>
      <b/>
      <u/>
      <sz val="16"/>
      <color indexed="50"/>
      <name val="Arial"/>
      <family val="2"/>
    </font>
  </fonts>
  <fills count="11">
    <fill>
      <patternFill patternType="none"/>
    </fill>
    <fill>
      <patternFill patternType="gray125"/>
    </fill>
    <fill>
      <patternFill patternType="solid">
        <fgColor indexed="43"/>
        <bgColor indexed="64"/>
      </patternFill>
    </fill>
    <fill>
      <patternFill patternType="solid">
        <fgColor indexed="41"/>
        <bgColor indexed="64"/>
      </patternFill>
    </fill>
    <fill>
      <patternFill patternType="solid">
        <fgColor indexed="22"/>
        <bgColor indexed="64"/>
      </patternFill>
    </fill>
    <fill>
      <patternFill patternType="solid">
        <fgColor indexed="9"/>
        <bgColor indexed="64"/>
      </patternFill>
    </fill>
    <fill>
      <patternFill patternType="solid">
        <fgColor rgb="FFCCFFFF"/>
        <bgColor indexed="64"/>
      </patternFill>
    </fill>
    <fill>
      <patternFill patternType="solid">
        <fgColor theme="0"/>
        <bgColor indexed="64"/>
      </patternFill>
    </fill>
    <fill>
      <patternFill patternType="solid">
        <fgColor rgb="FFFFFFFF"/>
        <bgColor indexed="64"/>
      </patternFill>
    </fill>
    <fill>
      <patternFill patternType="solid">
        <fgColor rgb="FFFF5050"/>
        <bgColor indexed="64"/>
      </patternFill>
    </fill>
    <fill>
      <patternFill patternType="solid">
        <fgColor rgb="FFFFFF50"/>
        <bgColor indexed="64"/>
      </patternFill>
    </fill>
  </fills>
  <borders count="47">
    <border>
      <left/>
      <right/>
      <top/>
      <bottom/>
      <diagonal/>
    </border>
    <border>
      <left style="thin">
        <color indexed="8"/>
      </left>
      <right/>
      <top style="thin">
        <color indexed="8"/>
      </top>
      <bottom/>
      <diagonal/>
    </border>
    <border>
      <left style="thin">
        <color indexed="8"/>
      </left>
      <right/>
      <top style="thin">
        <color indexed="65"/>
      </top>
      <bottom/>
      <diagonal/>
    </border>
    <border>
      <left style="thin">
        <color indexed="8"/>
      </left>
      <right/>
      <top style="thin">
        <color indexed="8"/>
      </top>
      <bottom style="thin">
        <color indexed="8"/>
      </bottom>
      <diagonal/>
    </border>
    <border>
      <left style="thin">
        <color indexed="64"/>
      </left>
      <right style="thin">
        <color indexed="64"/>
      </right>
      <top style="thin">
        <color indexed="64"/>
      </top>
      <bottom style="thin">
        <color indexed="64"/>
      </bottom>
      <diagonal/>
    </border>
    <border>
      <left style="thin">
        <color indexed="65"/>
      </left>
      <right/>
      <top style="thin">
        <color indexed="8"/>
      </top>
      <bottom/>
      <diagonal/>
    </border>
    <border>
      <left style="thin">
        <color indexed="8"/>
      </left>
      <right style="thin">
        <color indexed="8"/>
      </right>
      <top style="thin">
        <color indexed="8"/>
      </top>
      <bottom/>
      <diagonal/>
    </border>
    <border>
      <left style="thin">
        <color indexed="8"/>
      </left>
      <right style="thin">
        <color indexed="8"/>
      </right>
      <top style="thin">
        <color indexed="8"/>
      </top>
      <bottom style="thin">
        <color indexed="8"/>
      </bottom>
      <diagonal/>
    </border>
    <border>
      <left style="thin">
        <color indexed="65"/>
      </left>
      <right style="thin">
        <color indexed="8"/>
      </right>
      <top style="thin">
        <color indexed="8"/>
      </top>
      <bottom/>
      <diagonal/>
    </border>
    <border>
      <left style="thin">
        <color indexed="8"/>
      </left>
      <right style="thin">
        <color indexed="8"/>
      </right>
      <top style="thin">
        <color indexed="65"/>
      </top>
      <bottom/>
      <diagonal/>
    </border>
    <border>
      <left/>
      <right/>
      <top style="medium">
        <color indexed="64"/>
      </top>
      <bottom/>
      <diagonal/>
    </border>
    <border>
      <left/>
      <right/>
      <top/>
      <bottom style="medium">
        <color indexed="64"/>
      </bottom>
      <diagonal/>
    </border>
    <border>
      <left style="medium">
        <color indexed="64"/>
      </left>
      <right style="medium">
        <color indexed="64"/>
      </right>
      <top style="medium">
        <color indexed="64"/>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bottom/>
      <diagonal/>
    </border>
    <border>
      <left style="medium">
        <color indexed="64"/>
      </left>
      <right/>
      <top/>
      <bottom/>
      <diagonal/>
    </border>
    <border>
      <left/>
      <right style="medium">
        <color indexed="64"/>
      </right>
      <top/>
      <bottom/>
      <diagonal/>
    </border>
    <border>
      <left style="thin">
        <color indexed="64"/>
      </left>
      <right style="thin">
        <color indexed="64"/>
      </right>
      <top style="thin">
        <color indexed="64"/>
      </top>
      <bottom/>
      <diagonal/>
    </border>
    <border>
      <left style="thin">
        <color indexed="64"/>
      </left>
      <right/>
      <top style="thin">
        <color indexed="8"/>
      </top>
      <bottom/>
      <diagonal/>
    </border>
    <border>
      <left style="thin">
        <color indexed="8"/>
      </left>
      <right style="thin">
        <color indexed="64"/>
      </right>
      <top style="thin">
        <color indexed="8"/>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top/>
      <bottom style="medium">
        <color indexed="64"/>
      </bottom>
      <diagonal/>
    </border>
    <border>
      <left/>
      <right style="medium">
        <color indexed="64"/>
      </right>
      <top style="medium">
        <color indexed="64"/>
      </top>
      <bottom/>
      <diagonal/>
    </border>
    <border>
      <left style="medium">
        <color indexed="64"/>
      </left>
      <right style="medium">
        <color indexed="64"/>
      </right>
      <top style="medium">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diagonal/>
    </border>
    <border>
      <left style="thin">
        <color indexed="64"/>
      </left>
      <right/>
      <top style="thin">
        <color indexed="8"/>
      </top>
      <bottom style="thin">
        <color indexed="64"/>
      </bottom>
      <diagonal/>
    </border>
    <border>
      <left style="thin">
        <color indexed="65"/>
      </left>
      <right/>
      <top style="thin">
        <color indexed="8"/>
      </top>
      <bottom style="thin">
        <color indexed="64"/>
      </bottom>
      <diagonal/>
    </border>
    <border>
      <left style="double">
        <color indexed="64"/>
      </left>
      <right style="thin">
        <color indexed="64"/>
      </right>
      <top style="thin">
        <color indexed="64"/>
      </top>
      <bottom style="double">
        <color indexed="64"/>
      </bottom>
      <diagonal/>
    </border>
    <border>
      <left style="thin">
        <color indexed="64"/>
      </left>
      <right style="thin">
        <color indexed="64"/>
      </right>
      <top style="thin">
        <color indexed="64"/>
      </top>
      <bottom style="double">
        <color indexed="64"/>
      </bottom>
      <diagonal/>
    </border>
    <border>
      <left style="thin">
        <color indexed="64"/>
      </left>
      <right style="double">
        <color indexed="64"/>
      </right>
      <top style="thin">
        <color indexed="64"/>
      </top>
      <bottom style="double">
        <color indexed="64"/>
      </bottom>
      <diagonal/>
    </border>
    <border>
      <left style="thin">
        <color indexed="65"/>
      </left>
      <right/>
      <top style="thin">
        <color indexed="64"/>
      </top>
      <bottom/>
      <diagonal/>
    </border>
    <border>
      <left style="thin">
        <color indexed="64"/>
      </left>
      <right style="double">
        <color indexed="64"/>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thin">
        <color indexed="64"/>
      </left>
      <right style="double">
        <color indexed="64"/>
      </right>
      <top style="thin">
        <color indexed="64"/>
      </top>
      <bottom style="thin">
        <color indexed="64"/>
      </bottom>
      <diagonal/>
    </border>
    <border>
      <left style="thin">
        <color indexed="8"/>
      </left>
      <right style="thin">
        <color indexed="64"/>
      </right>
      <top style="thin">
        <color indexed="8"/>
      </top>
      <bottom style="thin">
        <color indexed="64"/>
      </bottom>
      <diagonal/>
    </border>
    <border>
      <left/>
      <right/>
      <top style="thin">
        <color indexed="8"/>
      </top>
      <bottom/>
      <diagonal/>
    </border>
    <border>
      <left style="thin">
        <color indexed="8"/>
      </left>
      <right/>
      <top/>
      <bottom/>
      <diagonal/>
    </border>
    <border>
      <left style="thin">
        <color indexed="8"/>
      </left>
      <right style="thin">
        <color indexed="8"/>
      </right>
      <top/>
      <bottom/>
      <diagonal/>
    </border>
    <border>
      <left/>
      <right/>
      <top style="thin">
        <color indexed="8"/>
      </top>
      <bottom style="thin">
        <color indexed="8"/>
      </bottom>
      <diagonal/>
    </border>
  </borders>
  <cellStyleXfs count="2">
    <xf numFmtId="0" fontId="0" fillId="0" borderId="0"/>
    <xf numFmtId="0" fontId="16" fillId="0" borderId="0"/>
  </cellStyleXfs>
  <cellXfs count="328">
    <xf numFmtId="0" fontId="0" fillId="0" borderId="0" xfId="0"/>
    <xf numFmtId="0" fontId="0" fillId="0" borderId="1" xfId="0" pivotButton="1" applyBorder="1"/>
    <xf numFmtId="0" fontId="0" fillId="0" borderId="2" xfId="0" applyBorder="1"/>
    <xf numFmtId="0" fontId="0" fillId="0" borderId="1" xfId="0" applyBorder="1"/>
    <xf numFmtId="0" fontId="0" fillId="0" borderId="3" xfId="0" applyBorder="1"/>
    <xf numFmtId="0" fontId="0" fillId="0" borderId="3" xfId="0" applyNumberFormat="1" applyBorder="1"/>
    <xf numFmtId="0" fontId="3" fillId="0" borderId="4" xfId="0" applyFont="1" applyBorder="1" applyAlignment="1">
      <alignment horizontal="center" vertical="top"/>
    </xf>
    <xf numFmtId="0" fontId="4" fillId="0" borderId="4" xfId="0" applyFont="1" applyFill="1" applyBorder="1" applyAlignment="1">
      <alignment horizontal="left" vertical="top" wrapText="1"/>
    </xf>
    <xf numFmtId="0" fontId="4" fillId="0" borderId="4" xfId="0" applyFont="1" applyFill="1" applyBorder="1" applyAlignment="1">
      <alignment horizontal="center" vertical="top" wrapText="1"/>
    </xf>
    <xf numFmtId="0" fontId="6" fillId="0" borderId="4" xfId="0" applyFont="1" applyFill="1" applyBorder="1" applyAlignment="1">
      <alignment horizontal="left" vertical="top" wrapText="1"/>
    </xf>
    <xf numFmtId="0" fontId="6" fillId="0" borderId="4" xfId="0" applyFont="1" applyFill="1" applyBorder="1" applyAlignment="1">
      <alignment horizontal="center" vertical="top" wrapText="1"/>
    </xf>
    <xf numFmtId="0" fontId="0" fillId="0" borderId="5" xfId="0" applyBorder="1"/>
    <xf numFmtId="0" fontId="0" fillId="0" borderId="6" xfId="0" applyBorder="1"/>
    <xf numFmtId="0" fontId="0" fillId="0" borderId="6" xfId="0" applyNumberFormat="1" applyBorder="1"/>
    <xf numFmtId="0" fontId="0" fillId="0" borderId="7" xfId="0" applyNumberFormat="1" applyBorder="1"/>
    <xf numFmtId="0" fontId="7" fillId="0" borderId="0" xfId="0" applyFont="1"/>
    <xf numFmtId="0" fontId="7" fillId="0" borderId="0" xfId="0" applyFont="1" applyAlignment="1">
      <alignment horizontal="center"/>
    </xf>
    <xf numFmtId="0" fontId="0" fillId="0" borderId="0" xfId="0" applyFill="1" applyBorder="1"/>
    <xf numFmtId="0" fontId="0" fillId="0" borderId="0" xfId="0" applyAlignment="1">
      <alignment horizontal="center"/>
    </xf>
    <xf numFmtId="0" fontId="0" fillId="0" borderId="0" xfId="0" applyBorder="1" applyAlignment="1">
      <alignment horizontal="center"/>
    </xf>
    <xf numFmtId="0" fontId="0" fillId="0" borderId="0" xfId="0" applyAlignment="1"/>
    <xf numFmtId="0" fontId="4" fillId="2" borderId="4" xfId="0" applyFont="1" applyFill="1" applyBorder="1" applyAlignment="1">
      <alignment horizontal="center" vertical="top" wrapText="1"/>
    </xf>
    <xf numFmtId="0" fontId="0" fillId="0" borderId="5" xfId="0" pivotButton="1" applyBorder="1"/>
    <xf numFmtId="165" fontId="0" fillId="0" borderId="4" xfId="0" applyNumberFormat="1" applyFill="1" applyBorder="1" applyAlignment="1">
      <alignment horizontal="center"/>
    </xf>
    <xf numFmtId="0" fontId="0" fillId="0" borderId="8" xfId="0" applyBorder="1"/>
    <xf numFmtId="0" fontId="0" fillId="0" borderId="9" xfId="0" applyBorder="1"/>
    <xf numFmtId="0" fontId="0" fillId="0" borderId="1" xfId="0" applyNumberFormat="1" applyBorder="1"/>
    <xf numFmtId="0" fontId="0" fillId="0" borderId="0" xfId="0" applyFill="1"/>
    <xf numFmtId="164" fontId="6" fillId="0" borderId="4" xfId="0" applyNumberFormat="1" applyFont="1" applyFill="1" applyBorder="1" applyAlignment="1">
      <alignment horizontal="center" vertical="top" wrapText="1"/>
    </xf>
    <xf numFmtId="0" fontId="0" fillId="0" borderId="0" xfId="0" applyFill="1" applyAlignment="1">
      <alignment horizontal="center"/>
    </xf>
    <xf numFmtId="0" fontId="6" fillId="0" borderId="0" xfId="0" applyFont="1" applyFill="1" applyBorder="1" applyAlignment="1">
      <alignment horizontal="left" vertical="top" wrapText="1"/>
    </xf>
    <xf numFmtId="0" fontId="0" fillId="0" borderId="7" xfId="0" pivotButton="1" applyBorder="1"/>
    <xf numFmtId="0" fontId="0" fillId="0" borderId="7" xfId="0" applyBorder="1"/>
    <xf numFmtId="0" fontId="1" fillId="0" borderId="0" xfId="0" applyFont="1" applyProtection="1"/>
    <xf numFmtId="0" fontId="1" fillId="3" borderId="10" xfId="0" applyNumberFormat="1" applyFont="1" applyFill="1" applyBorder="1" applyProtection="1"/>
    <xf numFmtId="0" fontId="1" fillId="0" borderId="0" xfId="0" applyNumberFormat="1" applyFont="1" applyProtection="1"/>
    <xf numFmtId="0" fontId="1" fillId="3" borderId="11" xfId="0" applyFont="1" applyFill="1" applyBorder="1" applyProtection="1"/>
    <xf numFmtId="0" fontId="12" fillId="0" borderId="0" xfId="0" applyFont="1" applyProtection="1"/>
    <xf numFmtId="0" fontId="12" fillId="0" borderId="0" xfId="0" applyNumberFormat="1" applyFont="1" applyProtection="1"/>
    <xf numFmtId="0" fontId="12" fillId="0" borderId="0" xfId="0" applyFont="1" applyBorder="1" applyAlignment="1" applyProtection="1">
      <alignment horizontal="center" vertical="top"/>
    </xf>
    <xf numFmtId="0" fontId="12" fillId="0" borderId="0" xfId="0" applyNumberFormat="1" applyFont="1" applyBorder="1" applyProtection="1"/>
    <xf numFmtId="0" fontId="5" fillId="0" borderId="0" xfId="0" applyFont="1" applyAlignment="1" applyProtection="1">
      <alignment horizontal="left" vertical="top"/>
    </xf>
    <xf numFmtId="0" fontId="12" fillId="0" borderId="0" xfId="0" applyFont="1" applyBorder="1" applyProtection="1"/>
    <xf numFmtId="164" fontId="12" fillId="0" borderId="0" xfId="0" applyNumberFormat="1" applyFont="1" applyBorder="1" applyAlignment="1" applyProtection="1">
      <alignment horizontal="center"/>
    </xf>
    <xf numFmtId="14" fontId="14" fillId="3" borderId="12" xfId="0" applyNumberFormat="1" applyFont="1" applyFill="1" applyBorder="1" applyAlignment="1" applyProtection="1">
      <alignment horizontal="right" vertical="center"/>
    </xf>
    <xf numFmtId="49" fontId="12" fillId="0" borderId="0" xfId="0" applyNumberFormat="1" applyFont="1" applyBorder="1" applyAlignment="1" applyProtection="1">
      <alignment horizontal="center"/>
    </xf>
    <xf numFmtId="0" fontId="1" fillId="3" borderId="13" xfId="0" applyFont="1" applyFill="1" applyBorder="1" applyAlignment="1" applyProtection="1">
      <alignment horizontal="center"/>
    </xf>
    <xf numFmtId="0" fontId="12" fillId="0" borderId="0" xfId="0" applyFont="1" applyBorder="1" applyAlignment="1" applyProtection="1">
      <alignment horizontal="center"/>
    </xf>
    <xf numFmtId="0" fontId="12" fillId="0" borderId="0" xfId="0" applyFont="1" applyBorder="1" applyAlignment="1" applyProtection="1">
      <alignment horizontal="left"/>
    </xf>
    <xf numFmtId="0" fontId="1" fillId="3" borderId="14" xfId="0" applyNumberFormat="1" applyFont="1" applyFill="1" applyBorder="1" applyAlignment="1" applyProtection="1">
      <alignment horizontal="left"/>
    </xf>
    <xf numFmtId="0" fontId="12" fillId="0" borderId="0" xfId="0" applyNumberFormat="1" applyFont="1" applyBorder="1" applyAlignment="1" applyProtection="1">
      <alignment horizontal="left"/>
    </xf>
    <xf numFmtId="0" fontId="1" fillId="0" borderId="4" xfId="0" applyNumberFormat="1" applyFont="1" applyBorder="1" applyProtection="1"/>
    <xf numFmtId="0" fontId="1" fillId="0" borderId="4" xfId="0" applyFont="1" applyBorder="1" applyProtection="1"/>
    <xf numFmtId="0" fontId="12" fillId="0" borderId="4" xfId="0" applyNumberFormat="1" applyFont="1" applyBorder="1" applyProtection="1"/>
    <xf numFmtId="0" fontId="12" fillId="0" borderId="4" xfId="0" applyFont="1" applyBorder="1" applyProtection="1"/>
    <xf numFmtId="1" fontId="6" fillId="0" borderId="4" xfId="0" applyNumberFormat="1" applyFont="1" applyFill="1" applyBorder="1" applyAlignment="1">
      <alignment horizontal="center" vertical="top" wrapText="1"/>
    </xf>
    <xf numFmtId="1" fontId="4" fillId="0" borderId="4" xfId="0" applyNumberFormat="1" applyFont="1" applyFill="1" applyBorder="1" applyAlignment="1">
      <alignment horizontal="center" vertical="top" wrapText="1"/>
    </xf>
    <xf numFmtId="1" fontId="0" fillId="0" borderId="0" xfId="0" applyNumberFormat="1" applyBorder="1" applyAlignment="1">
      <alignment horizontal="center"/>
    </xf>
    <xf numFmtId="0" fontId="0" fillId="0" borderId="0" xfId="0" applyBorder="1" applyAlignment="1">
      <alignment horizontal="center" vertical="top" wrapText="1"/>
    </xf>
    <xf numFmtId="0" fontId="1" fillId="3" borderId="10" xfId="0" applyFont="1" applyFill="1" applyBorder="1" applyProtection="1"/>
    <xf numFmtId="0" fontId="1" fillId="3" borderId="15" xfId="0" applyNumberFormat="1" applyFont="1" applyFill="1" applyBorder="1" applyAlignment="1" applyProtection="1">
      <alignment horizontal="left"/>
    </xf>
    <xf numFmtId="0" fontId="10" fillId="3" borderId="16" xfId="0" applyNumberFormat="1" applyFont="1" applyFill="1" applyBorder="1" applyAlignment="1" applyProtection="1">
      <alignment horizontal="center" vertical="center"/>
    </xf>
    <xf numFmtId="0" fontId="12" fillId="3" borderId="16" xfId="0" applyFont="1" applyFill="1" applyBorder="1" applyProtection="1"/>
    <xf numFmtId="0" fontId="12" fillId="3" borderId="17" xfId="0" applyFont="1" applyFill="1" applyBorder="1" applyAlignment="1" applyProtection="1">
      <alignment horizontal="center"/>
    </xf>
    <xf numFmtId="0" fontId="0" fillId="0" borderId="0" xfId="0" applyAlignment="1">
      <alignment vertical="top"/>
    </xf>
    <xf numFmtId="164" fontId="6" fillId="0" borderId="4" xfId="0" applyNumberFormat="1" applyFont="1" applyBorder="1" applyAlignment="1">
      <alignment horizontal="center" vertical="top" wrapText="1"/>
    </xf>
    <xf numFmtId="0" fontId="0" fillId="0" borderId="4" xfId="0" applyBorder="1" applyAlignment="1">
      <alignment horizontal="center" wrapText="1"/>
    </xf>
    <xf numFmtId="1" fontId="0" fillId="0" borderId="4" xfId="0" applyNumberFormat="1" applyBorder="1" applyAlignment="1">
      <alignment horizontal="center" wrapText="1"/>
    </xf>
    <xf numFmtId="0" fontId="7" fillId="0" borderId="4" xfId="0" applyFont="1" applyBorder="1" applyAlignment="1">
      <alignment horizontal="center" wrapText="1"/>
    </xf>
    <xf numFmtId="164" fontId="6" fillId="2" borderId="4" xfId="0" applyNumberFormat="1" applyFont="1" applyFill="1" applyBorder="1" applyAlignment="1">
      <alignment horizontal="center" vertical="top" wrapText="1"/>
    </xf>
    <xf numFmtId="0" fontId="6" fillId="2" borderId="4" xfId="0" applyFont="1" applyFill="1" applyBorder="1" applyAlignment="1">
      <alignment horizontal="left" vertical="top" wrapText="1"/>
    </xf>
    <xf numFmtId="0" fontId="6" fillId="2" borderId="4" xfId="0" applyFont="1" applyFill="1" applyBorder="1" applyAlignment="1">
      <alignment horizontal="center" vertical="top" wrapText="1"/>
    </xf>
    <xf numFmtId="0" fontId="0" fillId="0" borderId="4" xfId="0" applyBorder="1" applyAlignment="1">
      <alignment horizontal="center"/>
    </xf>
    <xf numFmtId="164" fontId="6" fillId="0" borderId="0" xfId="0" applyNumberFormat="1" applyFont="1" applyFill="1" applyBorder="1" applyAlignment="1">
      <alignment horizontal="center" vertical="top" wrapText="1"/>
    </xf>
    <xf numFmtId="0" fontId="6" fillId="0" borderId="0" xfId="0" applyFont="1" applyFill="1" applyBorder="1" applyAlignment="1">
      <alignment horizontal="center" vertical="top" wrapText="1"/>
    </xf>
    <xf numFmtId="0" fontId="0" fillId="0" borderId="0" xfId="0" applyAlignment="1">
      <alignment horizontal="center" vertical="top" wrapText="1"/>
    </xf>
    <xf numFmtId="0" fontId="0" fillId="0" borderId="0" xfId="0" applyFill="1" applyBorder="1" applyAlignment="1">
      <alignment horizontal="center" vertical="top" wrapText="1"/>
    </xf>
    <xf numFmtId="1" fontId="0" fillId="0" borderId="4" xfId="0" applyNumberFormat="1" applyBorder="1" applyAlignment="1">
      <alignment horizontal="center"/>
    </xf>
    <xf numFmtId="0" fontId="0" fillId="0" borderId="0" xfId="0" applyAlignment="1">
      <alignment horizontal="left"/>
    </xf>
    <xf numFmtId="0" fontId="12" fillId="3" borderId="18" xfId="0" applyNumberFormat="1" applyFont="1" applyFill="1" applyBorder="1" applyAlignment="1" applyProtection="1">
      <alignment horizontal="left"/>
    </xf>
    <xf numFmtId="0" fontId="12" fillId="3" borderId="0" xfId="0" applyNumberFormat="1" applyFont="1" applyFill="1" applyBorder="1" applyProtection="1"/>
    <xf numFmtId="0" fontId="0" fillId="0" borderId="0" xfId="0" applyFill="1" applyBorder="1" applyAlignment="1">
      <alignment horizontal="center"/>
    </xf>
    <xf numFmtId="0" fontId="0" fillId="0" borderId="4" xfId="0" applyFill="1" applyBorder="1" applyAlignment="1">
      <alignment horizontal="center" wrapText="1"/>
    </xf>
    <xf numFmtId="1" fontId="0" fillId="0" borderId="4" xfId="0" applyNumberFormat="1" applyFill="1" applyBorder="1" applyAlignment="1">
      <alignment horizontal="center" wrapText="1"/>
    </xf>
    <xf numFmtId="0" fontId="7" fillId="0" borderId="0" xfId="0" applyFont="1" applyFill="1" applyAlignment="1">
      <alignment horizontal="center"/>
    </xf>
    <xf numFmtId="0" fontId="0" fillId="0" borderId="0" xfId="0" applyFill="1" applyAlignment="1"/>
    <xf numFmtId="165" fontId="6" fillId="3" borderId="19" xfId="1" applyNumberFormat="1" applyFont="1" applyFill="1" applyBorder="1" applyAlignment="1">
      <alignment horizontal="center" vertical="center"/>
    </xf>
    <xf numFmtId="165" fontId="6" fillId="3" borderId="0" xfId="1" applyNumberFormat="1" applyFont="1" applyFill="1" applyBorder="1" applyAlignment="1">
      <alignment horizontal="center" vertical="center"/>
    </xf>
    <xf numFmtId="165" fontId="6" fillId="3" borderId="20" xfId="1" applyNumberFormat="1" applyFont="1" applyFill="1" applyBorder="1" applyAlignment="1">
      <alignment horizontal="center" vertical="center"/>
    </xf>
    <xf numFmtId="165" fontId="0" fillId="0" borderId="4" xfId="0" applyNumberFormat="1" applyBorder="1" applyAlignment="1">
      <alignment horizontal="center"/>
    </xf>
    <xf numFmtId="0" fontId="12" fillId="0" borderId="0" xfId="0" applyFont="1" applyFill="1" applyProtection="1"/>
    <xf numFmtId="0" fontId="0" fillId="0" borderId="0" xfId="0" applyAlignment="1" applyProtection="1">
      <alignment horizontal="left" vertical="top" wrapText="1"/>
    </xf>
    <xf numFmtId="0" fontId="0" fillId="0" borderId="0" xfId="0" applyProtection="1"/>
    <xf numFmtId="0" fontId="0" fillId="0" borderId="0" xfId="0" applyAlignment="1" applyProtection="1">
      <alignment horizontal="center"/>
    </xf>
    <xf numFmtId="0" fontId="6" fillId="0" borderId="0" xfId="0" applyFont="1" applyFill="1" applyBorder="1" applyAlignment="1" applyProtection="1">
      <alignment horizontal="left" vertical="top" wrapText="1"/>
    </xf>
    <xf numFmtId="0" fontId="0" fillId="0" borderId="0" xfId="0" applyFill="1" applyProtection="1"/>
    <xf numFmtId="0" fontId="0" fillId="0" borderId="21" xfId="0" applyFill="1" applyBorder="1" applyAlignment="1" applyProtection="1">
      <alignment horizontal="center"/>
    </xf>
    <xf numFmtId="165" fontId="0" fillId="0" borderId="4" xfId="0" applyNumberFormat="1" applyFill="1" applyBorder="1" applyAlignment="1" applyProtection="1">
      <alignment horizontal="center"/>
    </xf>
    <xf numFmtId="165" fontId="0" fillId="4" borderId="4" xfId="0" applyNumberFormat="1" applyFill="1" applyBorder="1" applyAlignment="1" applyProtection="1">
      <alignment horizontal="center"/>
    </xf>
    <xf numFmtId="0" fontId="5" fillId="0" borderId="0" xfId="0" applyFont="1" applyProtection="1"/>
    <xf numFmtId="165" fontId="0" fillId="0" borderId="0" xfId="0" applyNumberFormat="1" applyFill="1" applyBorder="1" applyAlignment="1" applyProtection="1">
      <alignment horizontal="center"/>
    </xf>
    <xf numFmtId="0" fontId="0" fillId="0" borderId="0" xfId="0" applyFill="1" applyBorder="1" applyProtection="1"/>
    <xf numFmtId="0" fontId="0" fillId="0" borderId="4" xfId="0" applyFill="1" applyBorder="1" applyAlignment="1" applyProtection="1">
      <alignment horizontal="center"/>
    </xf>
    <xf numFmtId="0" fontId="0" fillId="0" borderId="4" xfId="0" applyFill="1" applyBorder="1" applyAlignment="1" applyProtection="1">
      <alignment vertical="top" wrapText="1"/>
    </xf>
    <xf numFmtId="0" fontId="0" fillId="0" borderId="0" xfId="0" applyFill="1" applyAlignment="1" applyProtection="1">
      <alignment horizontal="center"/>
    </xf>
    <xf numFmtId="0" fontId="0" fillId="5" borderId="0" xfId="0" applyFill="1" applyProtection="1"/>
    <xf numFmtId="0" fontId="0" fillId="5" borderId="0" xfId="0" applyFill="1" applyAlignment="1" applyProtection="1">
      <alignment horizontal="center"/>
    </xf>
    <xf numFmtId="0" fontId="0" fillId="5" borderId="23" xfId="0" applyFill="1" applyBorder="1" applyProtection="1"/>
    <xf numFmtId="0" fontId="0" fillId="5" borderId="5" xfId="0" applyFill="1" applyBorder="1" applyProtection="1"/>
    <xf numFmtId="0" fontId="0" fillId="5" borderId="0" xfId="0" applyFill="1"/>
    <xf numFmtId="0" fontId="0" fillId="5" borderId="0" xfId="0" applyFill="1" applyBorder="1" applyProtection="1"/>
    <xf numFmtId="49" fontId="0" fillId="5" borderId="0" xfId="0" applyNumberFormat="1" applyFill="1" applyAlignment="1">
      <alignment wrapText="1" shrinkToFit="1"/>
    </xf>
    <xf numFmtId="0" fontId="11" fillId="5" borderId="0" xfId="0" applyFont="1" applyFill="1"/>
    <xf numFmtId="0" fontId="5" fillId="5" borderId="0" xfId="0" applyFont="1" applyFill="1" applyAlignment="1" applyProtection="1">
      <alignment horizontal="center"/>
    </xf>
    <xf numFmtId="0" fontId="7" fillId="5" borderId="0" xfId="0" applyFont="1" applyFill="1" applyProtection="1"/>
    <xf numFmtId="0" fontId="7" fillId="5" borderId="0" xfId="0" applyFont="1" applyFill="1" applyAlignment="1" applyProtection="1">
      <alignment horizontal="center"/>
    </xf>
    <xf numFmtId="49" fontId="0" fillId="5" borderId="21" xfId="0" applyNumberFormat="1" applyFill="1" applyBorder="1" applyAlignment="1">
      <alignment wrapText="1" shrinkToFit="1"/>
    </xf>
    <xf numFmtId="49" fontId="0" fillId="5" borderId="24" xfId="0" applyNumberFormat="1" applyFill="1" applyBorder="1" applyAlignment="1">
      <alignment wrapText="1" shrinkToFit="1"/>
    </xf>
    <xf numFmtId="49" fontId="5" fillId="5" borderId="24" xfId="0" applyNumberFormat="1" applyFont="1" applyFill="1" applyBorder="1" applyAlignment="1">
      <alignment wrapText="1" shrinkToFit="1"/>
    </xf>
    <xf numFmtId="49" fontId="0" fillId="5" borderId="25" xfId="0" applyNumberFormat="1" applyFill="1" applyBorder="1" applyAlignment="1">
      <alignment wrapText="1" shrinkToFit="1"/>
    </xf>
    <xf numFmtId="49" fontId="11" fillId="3" borderId="4" xfId="0" applyNumberFormat="1" applyFont="1" applyFill="1" applyBorder="1" applyAlignment="1">
      <alignment horizontal="center" wrapText="1" shrinkToFit="1"/>
    </xf>
    <xf numFmtId="0" fontId="3" fillId="3" borderId="4" xfId="0" applyFont="1" applyFill="1" applyBorder="1" applyAlignment="1" applyProtection="1">
      <alignment horizontal="center" vertical="top"/>
    </xf>
    <xf numFmtId="0" fontId="4" fillId="3" borderId="4" xfId="0" applyFont="1" applyFill="1" applyBorder="1" applyAlignment="1" applyProtection="1">
      <alignment horizontal="left" vertical="top" wrapText="1"/>
    </xf>
    <xf numFmtId="0" fontId="5" fillId="3" borderId="4" xfId="0" applyFont="1" applyFill="1" applyBorder="1" applyAlignment="1" applyProtection="1">
      <alignment horizontal="center" vertical="top" wrapText="1"/>
    </xf>
    <xf numFmtId="0" fontId="1" fillId="5" borderId="0" xfId="0" applyFont="1" applyFill="1" applyAlignment="1" applyProtection="1">
      <alignment horizontal="left"/>
    </xf>
    <xf numFmtId="0" fontId="1" fillId="5" borderId="0" xfId="0" applyFont="1" applyFill="1" applyAlignment="1" applyProtection="1">
      <alignment horizontal="center" vertical="top"/>
    </xf>
    <xf numFmtId="0" fontId="1" fillId="5" borderId="0" xfId="0" applyNumberFormat="1" applyFont="1" applyFill="1" applyAlignment="1" applyProtection="1">
      <alignment horizontal="left"/>
    </xf>
    <xf numFmtId="0" fontId="1" fillId="5" borderId="0" xfId="0" applyNumberFormat="1" applyFont="1" applyFill="1" applyProtection="1"/>
    <xf numFmtId="0" fontId="1" fillId="5" borderId="0" xfId="0" applyFont="1" applyFill="1" applyProtection="1"/>
    <xf numFmtId="0" fontId="1" fillId="5" borderId="0" xfId="0" applyFont="1" applyFill="1" applyAlignment="1" applyProtection="1">
      <alignment horizontal="center"/>
    </xf>
    <xf numFmtId="49" fontId="1" fillId="5" borderId="0" xfId="0" applyNumberFormat="1" applyFont="1" applyFill="1" applyAlignment="1" applyProtection="1">
      <alignment horizontal="center"/>
    </xf>
    <xf numFmtId="0" fontId="12" fillId="5" borderId="0" xfId="0" applyFont="1" applyFill="1" applyBorder="1" applyAlignment="1" applyProtection="1">
      <alignment horizontal="center" vertical="top"/>
    </xf>
    <xf numFmtId="0" fontId="1" fillId="3" borderId="26" xfId="0" applyNumberFormat="1" applyFont="1" applyFill="1" applyBorder="1" applyAlignment="1" applyProtection="1">
      <alignment horizontal="left"/>
    </xf>
    <xf numFmtId="0" fontId="1" fillId="3" borderId="27" xfId="0" applyFont="1" applyFill="1" applyBorder="1" applyAlignment="1" applyProtection="1">
      <alignment horizontal="center"/>
    </xf>
    <xf numFmtId="0" fontId="1" fillId="3" borderId="11" xfId="0" applyNumberFormat="1" applyFont="1" applyFill="1" applyBorder="1" applyProtection="1"/>
    <xf numFmtId="0" fontId="1" fillId="5" borderId="0" xfId="0" applyFont="1" applyFill="1" applyBorder="1" applyAlignment="1" applyProtection="1">
      <alignment horizontal="left"/>
    </xf>
    <xf numFmtId="0" fontId="1" fillId="3" borderId="28" xfId="0" applyFont="1" applyFill="1" applyBorder="1" applyAlignment="1" applyProtection="1">
      <alignment horizontal="left"/>
    </xf>
    <xf numFmtId="0" fontId="12" fillId="0" borderId="0" xfId="0" applyFont="1" applyFill="1" applyBorder="1" applyAlignment="1" applyProtection="1">
      <alignment horizontal="left"/>
    </xf>
    <xf numFmtId="164" fontId="12" fillId="0" borderId="0" xfId="0" applyNumberFormat="1" applyFont="1" applyFill="1" applyBorder="1" applyAlignment="1" applyProtection="1">
      <alignment horizontal="center"/>
    </xf>
    <xf numFmtId="0" fontId="12" fillId="0" borderId="0" xfId="0" applyNumberFormat="1" applyFont="1" applyFill="1" applyBorder="1" applyAlignment="1" applyProtection="1">
      <alignment horizontal="left"/>
    </xf>
    <xf numFmtId="0" fontId="12" fillId="0" borderId="0" xfId="0" applyNumberFormat="1" applyFont="1" applyFill="1" applyBorder="1" applyProtection="1"/>
    <xf numFmtId="0" fontId="12" fillId="0" borderId="0" xfId="0" applyFont="1" applyFill="1" applyBorder="1" applyProtection="1"/>
    <xf numFmtId="0" fontId="12" fillId="0" borderId="0" xfId="0" applyFont="1" applyFill="1" applyBorder="1" applyAlignment="1" applyProtection="1">
      <alignment horizontal="center"/>
    </xf>
    <xf numFmtId="49" fontId="12" fillId="0" borderId="0" xfId="0" applyNumberFormat="1" applyFont="1" applyFill="1" applyBorder="1" applyAlignment="1" applyProtection="1">
      <alignment horizontal="center"/>
    </xf>
    <xf numFmtId="1" fontId="6" fillId="5" borderId="29" xfId="1" applyNumberFormat="1" applyFont="1" applyFill="1" applyBorder="1" applyAlignment="1">
      <alignment horizontal="center" vertical="center"/>
    </xf>
    <xf numFmtId="1" fontId="6" fillId="5" borderId="30" xfId="1" applyNumberFormat="1" applyFont="1" applyFill="1" applyBorder="1" applyAlignment="1">
      <alignment horizontal="center" vertical="center"/>
    </xf>
    <xf numFmtId="1" fontId="6" fillId="5" borderId="31" xfId="1" applyNumberFormat="1" applyFont="1" applyFill="1" applyBorder="1" applyAlignment="1">
      <alignment horizontal="center" vertical="center"/>
    </xf>
    <xf numFmtId="0" fontId="12" fillId="3" borderId="32" xfId="0" applyFont="1" applyFill="1" applyBorder="1" applyAlignment="1" applyProtection="1">
      <alignment horizontal="left"/>
    </xf>
    <xf numFmtId="165" fontId="0" fillId="0" borderId="0" xfId="0" applyNumberFormat="1"/>
    <xf numFmtId="0" fontId="6" fillId="0" borderId="19" xfId="1" applyFont="1" applyBorder="1" applyAlignment="1">
      <alignment horizontal="center" vertical="center" textRotation="90" wrapText="1"/>
    </xf>
    <xf numFmtId="14" fontId="6" fillId="0" borderId="14" xfId="1" applyNumberFormat="1" applyFont="1" applyBorder="1" applyAlignment="1">
      <alignment horizontal="center" vertical="center" textRotation="90" wrapText="1"/>
    </xf>
    <xf numFmtId="165" fontId="6" fillId="3" borderId="14" xfId="1" applyNumberFormat="1" applyFont="1" applyFill="1" applyBorder="1" applyAlignment="1">
      <alignment horizontal="center" vertical="center"/>
    </xf>
    <xf numFmtId="165" fontId="6" fillId="3" borderId="10" xfId="1" applyNumberFormat="1" applyFont="1" applyFill="1" applyBorder="1" applyAlignment="1">
      <alignment horizontal="center" vertical="center"/>
    </xf>
    <xf numFmtId="165" fontId="6" fillId="3" borderId="27" xfId="1" applyNumberFormat="1" applyFont="1" applyFill="1" applyBorder="1" applyAlignment="1">
      <alignment horizontal="center" vertical="center"/>
    </xf>
    <xf numFmtId="165" fontId="6" fillId="6" borderId="14" xfId="1" applyNumberFormat="1" applyFont="1" applyFill="1" applyBorder="1" applyAlignment="1">
      <alignment horizontal="center"/>
    </xf>
    <xf numFmtId="165" fontId="6" fillId="6" borderId="27" xfId="1" applyNumberFormat="1" applyFont="1" applyFill="1" applyBorder="1" applyAlignment="1">
      <alignment horizontal="center"/>
    </xf>
    <xf numFmtId="165" fontId="6" fillId="6" borderId="26" xfId="1" applyNumberFormat="1" applyFont="1" applyFill="1" applyBorder="1" applyAlignment="1">
      <alignment horizontal="center"/>
    </xf>
    <xf numFmtId="165" fontId="6" fillId="6" borderId="11" xfId="1" applyNumberFormat="1" applyFont="1" applyFill="1" applyBorder="1" applyAlignment="1">
      <alignment horizontal="center"/>
    </xf>
    <xf numFmtId="165" fontId="6" fillId="6" borderId="13" xfId="1" applyNumberFormat="1" applyFont="1" applyFill="1" applyBorder="1" applyAlignment="1">
      <alignment horizontal="center"/>
    </xf>
    <xf numFmtId="165" fontId="6" fillId="0" borderId="14" xfId="1" applyNumberFormat="1" applyFont="1" applyFill="1" applyBorder="1" applyAlignment="1">
      <alignment horizontal="center" vertical="center"/>
    </xf>
    <xf numFmtId="165" fontId="6" fillId="0" borderId="10" xfId="1" applyNumberFormat="1" applyFont="1" applyFill="1" applyBorder="1" applyAlignment="1">
      <alignment horizontal="center" vertical="center"/>
    </xf>
    <xf numFmtId="165" fontId="6" fillId="0" borderId="27" xfId="1" applyNumberFormat="1" applyFont="1" applyFill="1" applyBorder="1" applyAlignment="1">
      <alignment horizontal="center" vertical="center"/>
    </xf>
    <xf numFmtId="165" fontId="6" fillId="0" borderId="14" xfId="1" applyNumberFormat="1" applyFont="1" applyBorder="1" applyAlignment="1">
      <alignment horizontal="center"/>
    </xf>
    <xf numFmtId="165" fontId="6" fillId="0" borderId="27" xfId="1" applyNumberFormat="1" applyFont="1" applyBorder="1" applyAlignment="1">
      <alignment horizontal="center"/>
    </xf>
    <xf numFmtId="165" fontId="6" fillId="0" borderId="19" xfId="1" applyNumberFormat="1" applyFont="1" applyFill="1" applyBorder="1" applyAlignment="1">
      <alignment horizontal="center" vertical="center"/>
    </xf>
    <xf numFmtId="165" fontId="6" fillId="0" borderId="0" xfId="1" applyNumberFormat="1" applyFont="1" applyFill="1" applyBorder="1" applyAlignment="1">
      <alignment horizontal="center" vertical="center"/>
    </xf>
    <xf numFmtId="165" fontId="6" fillId="0" borderId="20" xfId="1" applyNumberFormat="1" applyFont="1" applyFill="1" applyBorder="1" applyAlignment="1">
      <alignment horizontal="center" vertical="center"/>
    </xf>
    <xf numFmtId="165" fontId="6" fillId="0" borderId="26" xfId="1" applyNumberFormat="1" applyFont="1" applyBorder="1" applyAlignment="1">
      <alignment horizontal="center"/>
    </xf>
    <xf numFmtId="165" fontId="6" fillId="0" borderId="11" xfId="1" applyNumberFormat="1" applyFont="1" applyBorder="1" applyAlignment="1">
      <alignment horizontal="center"/>
    </xf>
    <xf numFmtId="165" fontId="6" fillId="0" borderId="13" xfId="1" applyNumberFormat="1" applyFont="1" applyBorder="1" applyAlignment="1">
      <alignment horizontal="center"/>
    </xf>
    <xf numFmtId="165" fontId="6" fillId="3" borderId="26" xfId="1" applyNumberFormat="1" applyFont="1" applyFill="1" applyBorder="1" applyAlignment="1">
      <alignment horizontal="center" vertical="center"/>
    </xf>
    <xf numFmtId="165" fontId="6" fillId="3" borderId="11" xfId="1" applyNumberFormat="1" applyFont="1" applyFill="1" applyBorder="1" applyAlignment="1">
      <alignment horizontal="center" vertical="center"/>
    </xf>
    <xf numFmtId="165" fontId="6" fillId="3" borderId="13" xfId="1" applyNumberFormat="1" applyFont="1" applyFill="1" applyBorder="1" applyAlignment="1">
      <alignment horizontal="center" vertical="center"/>
    </xf>
    <xf numFmtId="165" fontId="6" fillId="6" borderId="19" xfId="1" applyNumberFormat="1" applyFont="1" applyFill="1" applyBorder="1" applyAlignment="1">
      <alignment horizontal="center"/>
    </xf>
    <xf numFmtId="165" fontId="6" fillId="6" borderId="0" xfId="1" applyNumberFormat="1" applyFont="1" applyFill="1" applyBorder="1" applyAlignment="1">
      <alignment horizontal="center"/>
    </xf>
    <xf numFmtId="165" fontId="6" fillId="6" borderId="20" xfId="1" applyNumberFormat="1" applyFont="1" applyFill="1" applyBorder="1" applyAlignment="1">
      <alignment horizontal="center"/>
    </xf>
    <xf numFmtId="165" fontId="0" fillId="0" borderId="0" xfId="0" applyNumberFormat="1" applyAlignment="1">
      <alignment horizontal="center"/>
    </xf>
    <xf numFmtId="165" fontId="6" fillId="0" borderId="0" xfId="1" applyNumberFormat="1" applyFont="1" applyFill="1" applyBorder="1" applyAlignment="1">
      <alignment horizontal="center"/>
    </xf>
    <xf numFmtId="0" fontId="6" fillId="7" borderId="10" xfId="1" applyFont="1" applyFill="1" applyBorder="1"/>
    <xf numFmtId="0" fontId="6" fillId="7" borderId="27" xfId="1" applyFont="1" applyFill="1" applyBorder="1"/>
    <xf numFmtId="0" fontId="6" fillId="7" borderId="0" xfId="1" applyFont="1" applyFill="1" applyBorder="1"/>
    <xf numFmtId="0" fontId="6" fillId="7" borderId="20" xfId="1" applyFont="1" applyFill="1" applyBorder="1"/>
    <xf numFmtId="0" fontId="6" fillId="7" borderId="11" xfId="1" applyFont="1" applyFill="1" applyBorder="1"/>
    <xf numFmtId="0" fontId="6" fillId="7" borderId="13" xfId="1" applyFont="1" applyFill="1" applyBorder="1"/>
    <xf numFmtId="0" fontId="5" fillId="0" borderId="0" xfId="0" applyFont="1" applyBorder="1" applyAlignment="1">
      <alignment horizontal="center"/>
    </xf>
    <xf numFmtId="1" fontId="10" fillId="0" borderId="4" xfId="0" applyNumberFormat="1" applyFont="1" applyBorder="1" applyAlignment="1">
      <alignment horizontal="center"/>
    </xf>
    <xf numFmtId="0" fontId="5" fillId="0" borderId="4" xfId="0" applyFont="1" applyFill="1" applyBorder="1" applyAlignment="1">
      <alignment horizontal="right"/>
    </xf>
    <xf numFmtId="0" fontId="5" fillId="0" borderId="25" xfId="0" applyFont="1" applyFill="1" applyBorder="1" applyAlignment="1">
      <alignment horizontal="right"/>
    </xf>
    <xf numFmtId="0" fontId="5" fillId="0" borderId="4" xfId="0" applyFont="1" applyBorder="1" applyAlignment="1">
      <alignment horizontal="right"/>
    </xf>
    <xf numFmtId="0" fontId="5" fillId="0" borderId="4" xfId="0" applyFont="1" applyBorder="1" applyAlignment="1">
      <alignment horizontal="center" vertical="center" wrapText="1"/>
    </xf>
    <xf numFmtId="0" fontId="6" fillId="7" borderId="14" xfId="1" applyFont="1" applyFill="1" applyBorder="1"/>
    <xf numFmtId="0" fontId="6" fillId="7" borderId="19" xfId="1" applyFont="1" applyFill="1" applyBorder="1"/>
    <xf numFmtId="0" fontId="6" fillId="7" borderId="26" xfId="1" applyFont="1" applyFill="1" applyBorder="1"/>
    <xf numFmtId="0" fontId="10" fillId="0" borderId="35" xfId="0" applyFont="1" applyBorder="1" applyAlignment="1">
      <alignment horizontal="center" vertical="center" wrapText="1"/>
    </xf>
    <xf numFmtId="0" fontId="5" fillId="0" borderId="4" xfId="0" quotePrefix="1" applyFont="1" applyBorder="1" applyAlignment="1">
      <alignment horizontal="center" vertical="center" wrapText="1"/>
    </xf>
    <xf numFmtId="0" fontId="4" fillId="0" borderId="4" xfId="0" applyFont="1" applyFill="1" applyBorder="1" applyAlignment="1">
      <alignment horizontal="center" vertical="center" wrapText="1"/>
    </xf>
    <xf numFmtId="0" fontId="3" fillId="0" borderId="4" xfId="0" applyFont="1" applyBorder="1" applyAlignment="1">
      <alignment horizontal="center" vertical="center"/>
    </xf>
    <xf numFmtId="0" fontId="4" fillId="0" borderId="4" xfId="0" applyFont="1" applyFill="1" applyBorder="1" applyAlignment="1">
      <alignment horizontal="left" vertical="center" wrapText="1"/>
    </xf>
    <xf numFmtId="1" fontId="4" fillId="0" borderId="4" xfId="0" applyNumberFormat="1" applyFont="1" applyFill="1" applyBorder="1" applyAlignment="1">
      <alignment horizontal="center" vertical="center" wrapText="1"/>
    </xf>
    <xf numFmtId="0" fontId="4" fillId="2" borderId="4" xfId="0" applyFont="1" applyFill="1" applyBorder="1" applyAlignment="1">
      <alignment horizontal="center" vertical="center" wrapText="1"/>
    </xf>
    <xf numFmtId="1" fontId="10" fillId="0" borderId="36" xfId="0" applyNumberFormat="1" applyFont="1" applyBorder="1" applyAlignment="1">
      <alignment horizontal="center" vertical="center" wrapText="1"/>
    </xf>
    <xf numFmtId="1" fontId="0" fillId="0" borderId="36" xfId="0" applyNumberFormat="1" applyBorder="1" applyAlignment="1">
      <alignment horizontal="center" vertical="center"/>
    </xf>
    <xf numFmtId="0" fontId="0" fillId="0" borderId="0" xfId="0" applyBorder="1" applyAlignment="1">
      <alignment horizontal="left"/>
    </xf>
    <xf numFmtId="1" fontId="10" fillId="0" borderId="35" xfId="0" applyNumberFormat="1" applyFont="1" applyBorder="1" applyAlignment="1">
      <alignment horizontal="center" vertical="center" wrapText="1"/>
    </xf>
    <xf numFmtId="0" fontId="5" fillId="0" borderId="36" xfId="0" applyFont="1" applyBorder="1" applyAlignment="1">
      <alignment horizontal="center" vertical="center" wrapText="1"/>
    </xf>
    <xf numFmtId="0" fontId="0" fillId="0" borderId="36" xfId="0" applyBorder="1" applyAlignment="1">
      <alignment horizontal="center" vertical="center" wrapText="1"/>
    </xf>
    <xf numFmtId="0" fontId="0" fillId="0" borderId="37" xfId="0" applyBorder="1" applyAlignment="1">
      <alignment horizontal="center" vertical="center" wrapText="1"/>
    </xf>
    <xf numFmtId="2" fontId="0" fillId="0" borderId="4" xfId="0" applyNumberFormat="1" applyBorder="1" applyAlignment="1">
      <alignment horizontal="center"/>
    </xf>
    <xf numFmtId="0" fontId="1" fillId="0" borderId="0" xfId="0" applyNumberFormat="1" applyFont="1" applyBorder="1" applyProtection="1"/>
    <xf numFmtId="1" fontId="1" fillId="0" borderId="0" xfId="0" applyNumberFormat="1" applyFont="1" applyBorder="1" applyProtection="1"/>
    <xf numFmtId="2" fontId="0" fillId="0" borderId="0" xfId="0" applyNumberFormat="1" applyBorder="1" applyAlignment="1">
      <alignment horizontal="center"/>
    </xf>
    <xf numFmtId="0" fontId="5" fillId="0" borderId="4" xfId="0" applyFont="1" applyFill="1" applyBorder="1" applyAlignment="1" applyProtection="1">
      <alignment horizontal="left"/>
    </xf>
    <xf numFmtId="164" fontId="5" fillId="0" borderId="4" xfId="0" applyNumberFormat="1" applyFont="1" applyFill="1" applyBorder="1" applyAlignment="1" applyProtection="1">
      <alignment horizontal="center"/>
    </xf>
    <xf numFmtId="14" fontId="5" fillId="0" borderId="4" xfId="0" applyNumberFormat="1" applyFont="1" applyFill="1" applyBorder="1" applyAlignment="1" applyProtection="1">
      <alignment horizontal="center"/>
    </xf>
    <xf numFmtId="166" fontId="5" fillId="0" borderId="4" xfId="0" applyNumberFormat="1" applyFont="1" applyFill="1" applyBorder="1" applyAlignment="1" applyProtection="1">
      <alignment horizontal="center"/>
    </xf>
    <xf numFmtId="0" fontId="5" fillId="0" borderId="4" xfId="0" applyNumberFormat="1" applyFont="1" applyFill="1" applyBorder="1" applyAlignment="1" applyProtection="1">
      <alignment horizontal="left"/>
    </xf>
    <xf numFmtId="0" fontId="5" fillId="0" borderId="4" xfId="0" applyFont="1" applyFill="1" applyBorder="1" applyAlignment="1" applyProtection="1">
      <alignment horizontal="left" vertical="top"/>
    </xf>
    <xf numFmtId="165" fontId="0" fillId="0" borderId="39" xfId="0" applyNumberFormat="1" applyBorder="1" applyAlignment="1">
      <alignment horizontal="center"/>
    </xf>
    <xf numFmtId="1" fontId="0" fillId="0" borderId="40" xfId="0" applyNumberFormat="1" applyBorder="1" applyAlignment="1">
      <alignment horizontal="center"/>
    </xf>
    <xf numFmtId="165" fontId="0" fillId="0" borderId="41" xfId="0" applyNumberFormat="1" applyBorder="1" applyAlignment="1">
      <alignment horizontal="center"/>
    </xf>
    <xf numFmtId="1" fontId="10" fillId="0" borderId="25" xfId="0" applyNumberFormat="1" applyFont="1" applyFill="1" applyBorder="1" applyAlignment="1">
      <alignment horizontal="center"/>
    </xf>
    <xf numFmtId="0" fontId="7" fillId="0" borderId="0" xfId="0" applyFont="1" applyAlignment="1">
      <alignment wrapText="1"/>
    </xf>
    <xf numFmtId="0" fontId="3" fillId="0" borderId="0" xfId="0" applyFont="1" applyAlignment="1">
      <alignment horizontal="center"/>
    </xf>
    <xf numFmtId="0" fontId="3" fillId="0" borderId="4" xfId="0" applyFont="1" applyBorder="1" applyAlignment="1">
      <alignment horizontal="left"/>
    </xf>
    <xf numFmtId="0" fontId="3" fillId="0" borderId="4" xfId="0" applyFont="1" applyBorder="1" applyAlignment="1">
      <alignment horizontal="center"/>
    </xf>
    <xf numFmtId="0" fontId="7" fillId="0" borderId="4" xfId="0" applyFont="1" applyFill="1" applyBorder="1" applyAlignment="1">
      <alignment vertical="top"/>
    </xf>
    <xf numFmtId="0" fontId="7" fillId="0" borderId="4" xfId="0" applyFont="1" applyBorder="1"/>
    <xf numFmtId="0" fontId="3" fillId="0" borderId="4" xfId="0" applyFont="1" applyBorder="1" applyAlignment="1">
      <alignment vertical="top"/>
    </xf>
    <xf numFmtId="0" fontId="7" fillId="0" borderId="4" xfId="0" applyFont="1" applyBorder="1" applyAlignment="1">
      <alignment vertical="top" wrapText="1"/>
    </xf>
    <xf numFmtId="1" fontId="7" fillId="0" borderId="4" xfId="0" applyNumberFormat="1" applyFont="1" applyBorder="1" applyAlignment="1">
      <alignment horizontal="center" vertical="top" wrapText="1"/>
    </xf>
    <xf numFmtId="0" fontId="7" fillId="0" borderId="4" xfId="0" applyFont="1" applyBorder="1" applyAlignment="1">
      <alignment horizontal="center" vertical="top" wrapText="1"/>
    </xf>
    <xf numFmtId="0" fontId="7" fillId="0" borderId="0" xfId="0" applyFont="1" applyBorder="1" applyAlignment="1">
      <alignment vertical="top" wrapText="1"/>
    </xf>
    <xf numFmtId="0" fontId="7" fillId="0" borderId="0" xfId="0" applyFont="1" applyBorder="1" applyAlignment="1">
      <alignment horizontal="center" vertical="top" wrapText="1"/>
    </xf>
    <xf numFmtId="0" fontId="7" fillId="0" borderId="0" xfId="0" applyFont="1" applyBorder="1"/>
    <xf numFmtId="0" fontId="7" fillId="0" borderId="0" xfId="0" applyNumberFormat="1" applyFont="1" applyBorder="1"/>
    <xf numFmtId="0" fontId="7" fillId="0" borderId="0" xfId="0" applyFont="1" applyFill="1" applyBorder="1"/>
    <xf numFmtId="1" fontId="7" fillId="0" borderId="0" xfId="0" applyNumberFormat="1" applyFont="1" applyBorder="1" applyAlignment="1">
      <alignment horizontal="center"/>
    </xf>
    <xf numFmtId="0" fontId="7" fillId="0" borderId="0" xfId="0" applyFont="1" applyAlignment="1"/>
    <xf numFmtId="0" fontId="7" fillId="0" borderId="0" xfId="0" applyFont="1" applyBorder="1" applyAlignment="1">
      <alignment horizontal="center"/>
    </xf>
    <xf numFmtId="165" fontId="5" fillId="0" borderId="25" xfId="0" applyNumberFormat="1" applyFont="1" applyBorder="1" applyAlignment="1">
      <alignment horizontal="center"/>
    </xf>
    <xf numFmtId="165" fontId="5" fillId="0" borderId="4" xfId="0" applyNumberFormat="1" applyFont="1" applyBorder="1" applyAlignment="1">
      <alignment horizontal="center"/>
    </xf>
    <xf numFmtId="14" fontId="6" fillId="0" borderId="12" xfId="1" applyNumberFormat="1" applyFont="1" applyBorder="1" applyAlignment="1">
      <alignment horizontal="center" vertical="center" textRotation="90" wrapText="1"/>
    </xf>
    <xf numFmtId="0" fontId="0" fillId="0" borderId="25" xfId="0" applyBorder="1" applyAlignment="1">
      <alignment horizontal="center"/>
    </xf>
    <xf numFmtId="0" fontId="6" fillId="7" borderId="0" xfId="1" applyFont="1" applyFill="1" applyBorder="1" applyAlignment="1">
      <alignment horizontal="right" vertical="center"/>
    </xf>
    <xf numFmtId="0" fontId="0" fillId="5" borderId="22" xfId="0" applyFill="1" applyBorder="1" applyProtection="1"/>
    <xf numFmtId="0" fontId="0" fillId="5" borderId="33" xfId="0" applyFill="1" applyBorder="1" applyProtection="1"/>
    <xf numFmtId="0" fontId="0" fillId="5" borderId="34" xfId="0" applyFill="1" applyBorder="1" applyProtection="1"/>
    <xf numFmtId="0" fontId="1" fillId="0" borderId="4" xfId="0" applyFont="1" applyFill="1" applyBorder="1" applyAlignment="1" applyProtection="1">
      <alignment horizontal="left"/>
    </xf>
    <xf numFmtId="0" fontId="1" fillId="0" borderId="4" xfId="0" applyNumberFormat="1" applyFont="1" applyFill="1" applyBorder="1" applyAlignment="1" applyProtection="1">
      <alignment horizontal="left"/>
    </xf>
    <xf numFmtId="2" fontId="1" fillId="0" borderId="4" xfId="0" applyNumberFormat="1" applyFont="1" applyFill="1" applyBorder="1" applyAlignment="1" applyProtection="1">
      <alignment horizontal="left"/>
    </xf>
    <xf numFmtId="166" fontId="1" fillId="0" borderId="4" xfId="0" applyNumberFormat="1" applyFont="1" applyFill="1" applyBorder="1" applyAlignment="1" applyProtection="1">
      <alignment horizontal="left"/>
    </xf>
    <xf numFmtId="164" fontId="1" fillId="0" borderId="4" xfId="0" applyNumberFormat="1" applyFont="1" applyFill="1" applyBorder="1" applyAlignment="1" applyProtection="1">
      <alignment horizontal="left"/>
    </xf>
    <xf numFmtId="49" fontId="1" fillId="0" borderId="4" xfId="0" applyNumberFormat="1" applyFont="1" applyFill="1" applyBorder="1" applyAlignment="1" applyProtection="1">
      <alignment horizontal="left"/>
    </xf>
    <xf numFmtId="2" fontId="0" fillId="0" borderId="0" xfId="0" applyNumberFormat="1"/>
    <xf numFmtId="0" fontId="0" fillId="0" borderId="0" xfId="0" applyBorder="1"/>
    <xf numFmtId="0" fontId="0" fillId="7" borderId="0" xfId="0" applyFill="1" applyBorder="1"/>
    <xf numFmtId="0" fontId="0" fillId="7" borderId="27" xfId="0" applyFill="1" applyBorder="1"/>
    <xf numFmtId="0" fontId="0" fillId="7" borderId="20" xfId="0" applyFill="1" applyBorder="1"/>
    <xf numFmtId="0" fontId="0" fillId="7" borderId="13" xfId="0" applyFill="1" applyBorder="1"/>
    <xf numFmtId="0" fontId="0" fillId="7" borderId="10" xfId="0" applyFill="1" applyBorder="1"/>
    <xf numFmtId="0" fontId="0" fillId="7" borderId="11" xfId="0" applyFill="1" applyBorder="1"/>
    <xf numFmtId="0" fontId="6" fillId="7" borderId="0" xfId="1" applyFont="1" applyFill="1" applyBorder="1" applyAlignment="1">
      <alignment horizontal="center"/>
    </xf>
    <xf numFmtId="0" fontId="0" fillId="7" borderId="20" xfId="0" applyFill="1" applyBorder="1" applyAlignment="1">
      <alignment horizontal="center" vertical="center" shrinkToFit="1"/>
    </xf>
    <xf numFmtId="0" fontId="6" fillId="7" borderId="0" xfId="1" applyFont="1" applyFill="1" applyBorder="1" applyAlignment="1">
      <alignment horizontal="center" vertical="center"/>
    </xf>
    <xf numFmtId="1" fontId="4" fillId="7" borderId="0" xfId="1" applyNumberFormat="1" applyFont="1" applyFill="1" applyBorder="1" applyAlignment="1">
      <alignment vertical="center"/>
    </xf>
    <xf numFmtId="1" fontId="4" fillId="7" borderId="10" xfId="1" applyNumberFormat="1" applyFont="1" applyFill="1" applyBorder="1" applyAlignment="1">
      <alignment vertical="center"/>
    </xf>
    <xf numFmtId="14" fontId="6" fillId="7" borderId="0" xfId="1" applyNumberFormat="1" applyFont="1" applyFill="1" applyBorder="1" applyAlignment="1">
      <alignment horizontal="center" vertical="center" textRotation="90" wrapText="1"/>
    </xf>
    <xf numFmtId="165" fontId="6" fillId="7" borderId="0" xfId="1" applyNumberFormat="1" applyFont="1" applyFill="1" applyBorder="1" applyAlignment="1">
      <alignment horizontal="center" vertical="center"/>
    </xf>
    <xf numFmtId="0" fontId="10" fillId="7" borderId="0" xfId="0" applyFont="1" applyFill="1" applyBorder="1" applyAlignment="1">
      <alignment horizontal="center" vertical="center"/>
    </xf>
    <xf numFmtId="0" fontId="0" fillId="7" borderId="19" xfId="0" applyFill="1" applyBorder="1"/>
    <xf numFmtId="0" fontId="1" fillId="0" borderId="0" xfId="0" applyFont="1" applyFill="1" applyBorder="1" applyAlignment="1">
      <alignment vertical="center" shrinkToFit="1"/>
    </xf>
    <xf numFmtId="0" fontId="1" fillId="0" borderId="4" xfId="0" applyFont="1" applyFill="1" applyBorder="1" applyAlignment="1">
      <alignment vertical="center"/>
    </xf>
    <xf numFmtId="1" fontId="7" fillId="0" borderId="0" xfId="0" applyNumberFormat="1" applyFont="1" applyAlignment="1"/>
    <xf numFmtId="49" fontId="12" fillId="0" borderId="0" xfId="0" applyNumberFormat="1" applyFont="1" applyBorder="1" applyProtection="1"/>
    <xf numFmtId="167" fontId="17" fillId="3" borderId="20" xfId="0" applyNumberFormat="1" applyFont="1" applyFill="1" applyBorder="1" applyAlignment="1" applyProtection="1">
      <alignment horizontal="center" vertical="center"/>
    </xf>
    <xf numFmtId="167" fontId="17" fillId="3" borderId="0" xfId="0" applyNumberFormat="1" applyFont="1" applyFill="1" applyBorder="1" applyAlignment="1" applyProtection="1">
      <alignment horizontal="center" vertical="center"/>
    </xf>
    <xf numFmtId="0" fontId="1" fillId="0" borderId="0" xfId="0" applyFont="1" applyAlignment="1"/>
    <xf numFmtId="14" fontId="1" fillId="0" borderId="4" xfId="0" applyNumberFormat="1" applyFont="1" applyFill="1" applyBorder="1" applyAlignment="1" applyProtection="1">
      <alignment horizontal="left"/>
    </xf>
    <xf numFmtId="0" fontId="1" fillId="0" borderId="23" xfId="0" applyNumberFormat="1" applyFont="1" applyFill="1" applyBorder="1" applyAlignment="1" applyProtection="1">
      <alignment horizontal="center"/>
    </xf>
    <xf numFmtId="0" fontId="4" fillId="3" borderId="22" xfId="0" applyFont="1" applyFill="1" applyBorder="1" applyAlignment="1" applyProtection="1">
      <alignment horizontal="left" vertical="top" wrapText="1"/>
    </xf>
    <xf numFmtId="0" fontId="4" fillId="3" borderId="1" xfId="0" applyFont="1" applyFill="1" applyBorder="1" applyAlignment="1" applyProtection="1">
      <alignment horizontal="left" vertical="top" wrapText="1"/>
    </xf>
    <xf numFmtId="0" fontId="4" fillId="3" borderId="1" xfId="0" applyFont="1" applyFill="1" applyBorder="1" applyAlignment="1" applyProtection="1">
      <alignment horizontal="center" vertical="top" wrapText="1"/>
    </xf>
    <xf numFmtId="0" fontId="1" fillId="0" borderId="22" xfId="0" applyFont="1" applyFill="1" applyBorder="1" applyProtection="1"/>
    <xf numFmtId="165" fontId="1" fillId="0" borderId="4" xfId="0" applyNumberFormat="1" applyFont="1" applyFill="1" applyBorder="1" applyAlignment="1" applyProtection="1">
      <alignment horizontal="center"/>
    </xf>
    <xf numFmtId="165" fontId="1" fillId="0" borderId="23" xfId="0" applyNumberFormat="1" applyFont="1" applyFill="1" applyBorder="1" applyAlignment="1" applyProtection="1">
      <alignment horizontal="center"/>
    </xf>
    <xf numFmtId="0" fontId="4" fillId="6" borderId="1" xfId="0" applyFont="1" applyFill="1" applyBorder="1" applyAlignment="1" applyProtection="1">
      <alignment horizontal="left" vertical="top" wrapText="1"/>
    </xf>
    <xf numFmtId="0" fontId="4" fillId="6" borderId="1" xfId="0" applyFont="1" applyFill="1" applyBorder="1" applyAlignment="1" applyProtection="1">
      <alignment horizontal="center" vertical="top" wrapText="1"/>
    </xf>
    <xf numFmtId="0" fontId="5" fillId="3" borderId="4" xfId="0" applyFont="1" applyFill="1" applyBorder="1" applyAlignment="1" applyProtection="1">
      <alignment horizontal="left" vertical="top" wrapText="1"/>
    </xf>
    <xf numFmtId="0" fontId="5" fillId="6" borderId="38" xfId="0" applyFont="1" applyFill="1" applyBorder="1" applyAlignment="1" applyProtection="1">
      <alignment horizontal="left" vertical="top" wrapText="1"/>
    </xf>
    <xf numFmtId="0" fontId="1" fillId="0" borderId="42" xfId="0" applyNumberFormat="1" applyFont="1" applyFill="1" applyBorder="1" applyAlignment="1" applyProtection="1">
      <alignment horizontal="center"/>
    </xf>
    <xf numFmtId="168" fontId="1" fillId="0" borderId="4" xfId="0" applyNumberFormat="1" applyFont="1" applyFill="1" applyBorder="1" applyAlignment="1" applyProtection="1">
      <alignment horizontal="left"/>
    </xf>
    <xf numFmtId="0" fontId="4" fillId="8" borderId="29" xfId="1" applyFont="1" applyFill="1" applyBorder="1" applyAlignment="1">
      <alignment horizontal="center" vertical="center" wrapText="1"/>
    </xf>
    <xf numFmtId="0" fontId="0" fillId="0" borderId="30" xfId="0" applyBorder="1" applyAlignment="1">
      <alignment horizontal="center" vertical="center" wrapText="1"/>
    </xf>
    <xf numFmtId="1" fontId="4" fillId="0" borderId="26" xfId="1" applyNumberFormat="1" applyFont="1" applyBorder="1" applyAlignment="1">
      <alignment vertical="center"/>
    </xf>
    <xf numFmtId="1" fontId="4" fillId="0" borderId="11" xfId="1" applyNumberFormat="1" applyFont="1" applyBorder="1" applyAlignment="1">
      <alignment vertical="center"/>
    </xf>
    <xf numFmtId="1" fontId="4" fillId="0" borderId="13" xfId="1" applyNumberFormat="1" applyFont="1" applyBorder="1" applyAlignment="1">
      <alignment vertical="center"/>
    </xf>
    <xf numFmtId="0" fontId="4" fillId="0" borderId="29" xfId="1" applyFont="1" applyBorder="1" applyAlignment="1">
      <alignment horizontal="center" vertical="center" wrapText="1"/>
    </xf>
    <xf numFmtId="14" fontId="4" fillId="0" borderId="30" xfId="1" applyNumberFormat="1" applyFont="1" applyBorder="1" applyAlignment="1">
      <alignment horizontal="center" vertical="center" wrapText="1"/>
    </xf>
    <xf numFmtId="14" fontId="4" fillId="0" borderId="31" xfId="1" applyNumberFormat="1" applyFont="1" applyBorder="1" applyAlignment="1">
      <alignment horizontal="center" vertical="center" wrapText="1"/>
    </xf>
    <xf numFmtId="0" fontId="4" fillId="0" borderId="30" xfId="1" applyFont="1" applyBorder="1" applyAlignment="1">
      <alignment horizontal="center" vertical="center" wrapText="1"/>
    </xf>
    <xf numFmtId="0" fontId="4" fillId="0" borderId="31" xfId="1" applyFont="1" applyBorder="1" applyAlignment="1">
      <alignment horizontal="center" vertical="center" wrapText="1"/>
    </xf>
    <xf numFmtId="1" fontId="4" fillId="0" borderId="14" xfId="1" applyNumberFormat="1" applyFont="1" applyBorder="1" applyAlignment="1">
      <alignment vertical="center"/>
    </xf>
    <xf numFmtId="1" fontId="4" fillId="0" borderId="10" xfId="1" applyNumberFormat="1" applyFont="1" applyBorder="1" applyAlignment="1">
      <alignment vertical="center"/>
    </xf>
    <xf numFmtId="1" fontId="4" fillId="0" borderId="27" xfId="1" applyNumberFormat="1" applyFont="1" applyBorder="1" applyAlignment="1">
      <alignment vertical="center"/>
    </xf>
    <xf numFmtId="1" fontId="4" fillId="0" borderId="29" xfId="1" applyNumberFormat="1" applyFont="1" applyBorder="1" applyAlignment="1">
      <alignment vertical="center"/>
    </xf>
    <xf numFmtId="1" fontId="4" fillId="0" borderId="30" xfId="1" applyNumberFormat="1" applyFont="1" applyBorder="1" applyAlignment="1">
      <alignment vertical="center"/>
    </xf>
    <xf numFmtId="1" fontId="4" fillId="0" borderId="31" xfId="1" applyNumberFormat="1" applyFont="1" applyBorder="1" applyAlignment="1">
      <alignment vertical="center"/>
    </xf>
    <xf numFmtId="0" fontId="4" fillId="8" borderId="30" xfId="1" applyFont="1" applyFill="1" applyBorder="1" applyAlignment="1">
      <alignment horizontal="center" vertical="center" wrapText="1"/>
    </xf>
    <xf numFmtId="0" fontId="0" fillId="0" borderId="31" xfId="0" applyBorder="1" applyAlignment="1">
      <alignment horizontal="center" vertical="center" wrapText="1"/>
    </xf>
    <xf numFmtId="0" fontId="15" fillId="6" borderId="29" xfId="1" applyFont="1" applyFill="1" applyBorder="1" applyAlignment="1">
      <alignment horizontal="center" vertical="center"/>
    </xf>
    <xf numFmtId="0" fontId="15" fillId="6" borderId="30" xfId="1" applyFont="1" applyFill="1" applyBorder="1" applyAlignment="1">
      <alignment horizontal="center" vertical="center"/>
    </xf>
    <xf numFmtId="0" fontId="15" fillId="6" borderId="31" xfId="1" applyFont="1" applyFill="1" applyBorder="1" applyAlignment="1">
      <alignment horizontal="center" vertical="center"/>
    </xf>
    <xf numFmtId="0" fontId="0" fillId="7" borderId="4" xfId="0" applyFill="1" applyBorder="1" applyAlignment="1">
      <alignment horizontal="center" vertical="center" shrinkToFit="1"/>
    </xf>
    <xf numFmtId="0" fontId="1" fillId="9" borderId="4" xfId="0" applyFont="1" applyFill="1" applyBorder="1" applyAlignment="1">
      <alignment horizontal="center" vertical="center" shrinkToFit="1"/>
    </xf>
    <xf numFmtId="0" fontId="0" fillId="10" borderId="4" xfId="0" applyFill="1" applyBorder="1" applyAlignment="1">
      <alignment horizontal="center" vertical="center" shrinkToFit="1"/>
    </xf>
    <xf numFmtId="0" fontId="7" fillId="7" borderId="4" xfId="0" applyFont="1" applyFill="1" applyBorder="1" applyAlignment="1">
      <alignment horizontal="center" vertical="center" shrinkToFit="1"/>
    </xf>
    <xf numFmtId="164" fontId="1" fillId="0" borderId="4" xfId="0" applyNumberFormat="1" applyFont="1" applyFill="1" applyBorder="1" applyAlignment="1" applyProtection="1">
      <alignment horizontal="center"/>
    </xf>
    <xf numFmtId="168" fontId="1" fillId="0" borderId="4" xfId="0" applyNumberFormat="1" applyFont="1" applyFill="1" applyBorder="1" applyAlignment="1" applyProtection="1">
      <alignment horizontal="center"/>
    </xf>
    <xf numFmtId="166" fontId="1" fillId="0" borderId="4" xfId="0" applyNumberFormat="1" applyFont="1" applyFill="1" applyBorder="1" applyAlignment="1" applyProtection="1">
      <alignment horizontal="center"/>
    </xf>
    <xf numFmtId="0" fontId="0" fillId="0" borderId="43" xfId="0" applyBorder="1"/>
    <xf numFmtId="0" fontId="0" fillId="0" borderId="43" xfId="0" applyNumberFormat="1" applyBorder="1"/>
    <xf numFmtId="0" fontId="0" fillId="0" borderId="44" xfId="0" applyBorder="1"/>
    <xf numFmtId="0" fontId="0" fillId="0" borderId="44" xfId="0" applyNumberFormat="1" applyBorder="1"/>
    <xf numFmtId="0" fontId="0" fillId="0" borderId="0" xfId="0" applyNumberFormat="1"/>
    <xf numFmtId="0" fontId="0" fillId="0" borderId="45" xfId="0" applyNumberFormat="1" applyBorder="1"/>
    <xf numFmtId="0" fontId="0" fillId="0" borderId="46" xfId="0" applyNumberFormat="1" applyBorder="1"/>
    <xf numFmtId="14" fontId="0" fillId="0" borderId="1" xfId="0" applyNumberFormat="1" applyBorder="1"/>
    <xf numFmtId="14" fontId="0" fillId="0" borderId="44" xfId="0" applyNumberFormat="1" applyBorder="1"/>
  </cellXfs>
  <cellStyles count="2">
    <cellStyle name="Normal" xfId="0" builtinId="0"/>
    <cellStyle name="Normal 2" xfId="1"/>
  </cellStyles>
  <dxfs count="839">
    <dxf>
      <fill>
        <patternFill>
          <bgColor rgb="FFCCFFCC"/>
        </patternFill>
      </fill>
    </dxf>
    <dxf>
      <fill>
        <patternFill>
          <bgColor rgb="FFFFFF00"/>
        </patternFill>
      </fill>
    </dxf>
    <dxf>
      <fill>
        <patternFill>
          <bgColor rgb="FFFF9900"/>
        </patternFill>
      </fill>
    </dxf>
    <dxf>
      <fill>
        <patternFill>
          <bgColor indexed="42"/>
        </patternFill>
      </fill>
    </dxf>
    <dxf>
      <fill>
        <patternFill>
          <bgColor indexed="52"/>
        </patternFill>
      </fill>
    </dxf>
    <dxf>
      <fill>
        <patternFill>
          <bgColor indexed="42"/>
        </patternFill>
      </fill>
    </dxf>
    <dxf>
      <fill>
        <patternFill>
          <bgColor indexed="52"/>
        </patternFill>
      </fill>
    </dxf>
    <dxf>
      <fill>
        <patternFill>
          <bgColor indexed="42"/>
        </patternFill>
      </fill>
    </dxf>
    <dxf>
      <fill>
        <patternFill>
          <bgColor indexed="52"/>
        </patternFill>
      </fill>
    </dxf>
    <dxf>
      <fill>
        <patternFill>
          <bgColor indexed="42"/>
        </patternFill>
      </fill>
    </dxf>
    <dxf>
      <fill>
        <patternFill>
          <bgColor indexed="52"/>
        </patternFill>
      </fill>
    </dxf>
    <dxf>
      <fill>
        <patternFill>
          <bgColor indexed="42"/>
        </patternFill>
      </fill>
    </dxf>
    <dxf>
      <fill>
        <patternFill>
          <bgColor indexed="52"/>
        </patternFill>
      </fill>
    </dxf>
    <dxf>
      <fill>
        <patternFill>
          <bgColor indexed="42"/>
        </patternFill>
      </fill>
    </dxf>
    <dxf>
      <fill>
        <patternFill>
          <bgColor indexed="52"/>
        </patternFill>
      </fill>
    </dxf>
    <dxf>
      <fill>
        <patternFill>
          <bgColor indexed="42"/>
        </patternFill>
      </fill>
    </dxf>
    <dxf>
      <fill>
        <patternFill>
          <bgColor indexed="52"/>
        </patternFill>
      </fill>
    </dxf>
    <dxf>
      <fill>
        <patternFill>
          <bgColor indexed="42"/>
        </patternFill>
      </fill>
    </dxf>
    <dxf>
      <fill>
        <patternFill>
          <bgColor indexed="52"/>
        </patternFill>
      </fill>
    </dxf>
    <dxf>
      <fill>
        <patternFill>
          <bgColor indexed="42"/>
        </patternFill>
      </fill>
    </dxf>
    <dxf>
      <fill>
        <patternFill>
          <bgColor indexed="52"/>
        </patternFill>
      </fill>
    </dxf>
    <dxf>
      <fill>
        <patternFill>
          <bgColor indexed="42"/>
        </patternFill>
      </fill>
    </dxf>
    <dxf>
      <fill>
        <patternFill>
          <bgColor indexed="52"/>
        </patternFill>
      </fill>
    </dxf>
    <dxf>
      <fill>
        <patternFill>
          <bgColor indexed="42"/>
        </patternFill>
      </fill>
    </dxf>
    <dxf>
      <fill>
        <patternFill>
          <bgColor indexed="52"/>
        </patternFill>
      </fill>
    </dxf>
    <dxf>
      <fill>
        <patternFill>
          <bgColor indexed="42"/>
        </patternFill>
      </fill>
    </dxf>
    <dxf>
      <fill>
        <patternFill>
          <bgColor indexed="52"/>
        </patternFill>
      </fill>
    </dxf>
    <dxf>
      <fill>
        <patternFill>
          <bgColor indexed="42"/>
        </patternFill>
      </fill>
    </dxf>
    <dxf>
      <fill>
        <patternFill>
          <bgColor indexed="52"/>
        </patternFill>
      </fill>
    </dxf>
    <dxf>
      <fill>
        <patternFill>
          <bgColor indexed="42"/>
        </patternFill>
      </fill>
    </dxf>
    <dxf>
      <fill>
        <patternFill>
          <bgColor indexed="52"/>
        </patternFill>
      </fill>
    </dxf>
    <dxf>
      <fill>
        <patternFill>
          <bgColor indexed="42"/>
        </patternFill>
      </fill>
    </dxf>
    <dxf>
      <fill>
        <patternFill>
          <bgColor indexed="52"/>
        </patternFill>
      </fill>
    </dxf>
    <dxf>
      <fill>
        <patternFill>
          <bgColor indexed="42"/>
        </patternFill>
      </fill>
    </dxf>
    <dxf>
      <fill>
        <patternFill>
          <bgColor indexed="52"/>
        </patternFill>
      </fill>
    </dxf>
    <dxf>
      <fill>
        <patternFill>
          <bgColor indexed="42"/>
        </patternFill>
      </fill>
    </dxf>
    <dxf>
      <fill>
        <patternFill>
          <bgColor indexed="52"/>
        </patternFill>
      </fill>
    </dxf>
    <dxf>
      <fill>
        <patternFill>
          <bgColor indexed="42"/>
        </patternFill>
      </fill>
    </dxf>
    <dxf>
      <fill>
        <patternFill>
          <bgColor indexed="52"/>
        </patternFill>
      </fill>
    </dxf>
    <dxf>
      <fill>
        <patternFill>
          <bgColor indexed="42"/>
        </patternFill>
      </fill>
    </dxf>
    <dxf>
      <fill>
        <patternFill>
          <bgColor rgb="FFFFFF66"/>
        </patternFill>
      </fill>
    </dxf>
    <dxf>
      <font>
        <b/>
        <i val="0"/>
        <condense val="0"/>
        <extend val="0"/>
      </font>
      <fill>
        <patternFill>
          <bgColor indexed="10"/>
        </patternFill>
      </fill>
    </dxf>
    <dxf>
      <fill>
        <patternFill>
          <bgColor indexed="42"/>
        </patternFill>
      </fill>
    </dxf>
    <dxf>
      <fill>
        <patternFill>
          <bgColor rgb="FF50FF50"/>
        </patternFill>
      </fill>
    </dxf>
    <dxf>
      <fill>
        <patternFill>
          <bgColor rgb="FFFFFF50"/>
        </patternFill>
      </fill>
    </dxf>
    <dxf>
      <fill>
        <patternFill>
          <bgColor rgb="FFFF5050"/>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66FF33"/>
        </patternFill>
      </fill>
    </dxf>
    <dxf>
      <fill>
        <patternFill>
          <bgColor rgb="FFFFFF00"/>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rgb="FFFFFFA0"/>
        </patternFill>
      </fill>
    </dxf>
    <dxf>
      <fill>
        <patternFill>
          <bgColor rgb="FFFFFF50"/>
        </patternFill>
      </fill>
    </dxf>
    <dxf>
      <fill>
        <patternFill>
          <bgColor rgb="FF50FF50"/>
        </patternFill>
      </fill>
    </dxf>
    <dxf>
      <fill>
        <patternFill>
          <bgColor rgb="FFFFFF50"/>
        </patternFill>
      </fill>
    </dxf>
    <dxf>
      <fill>
        <patternFill>
          <bgColor rgb="FFFF5050"/>
        </patternFill>
      </fill>
    </dxf>
    <dxf>
      <fill>
        <patternFill>
          <bgColor rgb="FF50FF50"/>
        </patternFill>
      </fill>
    </dxf>
    <dxf>
      <fill>
        <patternFill>
          <bgColor rgb="FF50FF50"/>
        </patternFill>
      </fill>
    </dxf>
    <dxf>
      <fill>
        <patternFill>
          <bgColor rgb="FFFFFF50"/>
        </patternFill>
      </fill>
    </dxf>
    <dxf>
      <fill>
        <patternFill>
          <bgColor rgb="FFFF5050"/>
        </patternFill>
      </fill>
    </dxf>
    <dxf>
      <fill>
        <patternFill>
          <bgColor rgb="FF50FF50"/>
        </patternFill>
      </fill>
    </dxf>
    <dxf>
      <fill>
        <patternFill>
          <bgColor rgb="FFFFFFA0"/>
        </patternFill>
      </fill>
    </dxf>
    <dxf>
      <font>
        <b/>
        <i val="0"/>
        <condense val="0"/>
        <extend val="0"/>
      </font>
      <fill>
        <patternFill>
          <bgColor rgb="FFFF5050"/>
        </patternFill>
      </fill>
    </dxf>
    <dxf>
      <font>
        <condense val="0"/>
        <extend val="0"/>
        <color auto="1"/>
      </font>
      <fill>
        <patternFill>
          <bgColor rgb="FF50FF50"/>
        </patternFill>
      </fill>
    </dxf>
    <dxf>
      <fill>
        <patternFill patternType="none">
          <bgColor auto="1"/>
        </patternFill>
      </fill>
    </dxf>
    <dxf>
      <fill>
        <patternFill patternType="none">
          <bgColor auto="1"/>
        </patternFill>
      </fill>
    </dxf>
    <dxf>
      <font>
        <b val="0"/>
        <i val="0"/>
        <strike val="0"/>
        <condense val="0"/>
        <extend val="0"/>
        <outline val="0"/>
        <shadow val="0"/>
        <u val="none"/>
        <vertAlign val="baseline"/>
        <sz val="10"/>
        <color auto="1"/>
        <name val="Arial"/>
        <scheme val="none"/>
      </font>
      <numFmt numFmtId="165" formatCode="0.0"/>
      <fill>
        <patternFill patternType="solid">
          <fgColor indexed="64"/>
          <bgColor indexed="22"/>
        </patternFill>
      </fill>
    </dxf>
    <dxf>
      <fill>
        <patternFill>
          <bgColor theme="0"/>
        </patternFill>
      </fill>
    </dxf>
    <dxf>
      <font>
        <b/>
      </font>
    </dxf>
    <dxf>
      <fill>
        <patternFill>
          <bgColor rgb="FFCCFFFF"/>
        </patternFill>
      </fill>
    </dxf>
    <dxf>
      <font>
        <b val="0"/>
        <i val="0"/>
        <strike val="0"/>
        <condense val="0"/>
        <extend val="0"/>
        <outline val="0"/>
        <shadow val="0"/>
        <u val="none"/>
        <vertAlign val="baseline"/>
        <sz val="10"/>
        <color auto="1"/>
        <name val="Arial"/>
        <scheme val="none"/>
      </font>
      <numFmt numFmtId="165" formatCode="0.0"/>
      <fill>
        <patternFill patternType="solid">
          <fgColor indexed="64"/>
          <bgColor indexed="22"/>
        </patternFill>
      </fill>
    </dxf>
    <dxf>
      <font>
        <b val="0"/>
        <i val="0"/>
        <strike val="0"/>
        <condense val="0"/>
        <extend val="0"/>
        <outline val="0"/>
        <shadow val="0"/>
        <u val="none"/>
        <vertAlign val="baseline"/>
        <sz val="10"/>
        <color auto="1"/>
        <name val="Arial"/>
        <scheme val="none"/>
      </font>
      <numFmt numFmtId="165" formatCode="0.0"/>
      <fill>
        <patternFill patternType="solid">
          <fgColor indexed="64"/>
          <bgColor indexed="22"/>
        </patternFill>
      </fill>
    </dxf>
    <dxf>
      <font>
        <b val="0"/>
        <i val="0"/>
        <strike val="0"/>
        <condense val="0"/>
        <extend val="0"/>
        <outline val="0"/>
        <shadow val="0"/>
        <u val="none"/>
        <vertAlign val="baseline"/>
        <sz val="10"/>
        <color auto="1"/>
        <name val="Arial"/>
        <scheme val="none"/>
      </font>
      <numFmt numFmtId="165" formatCode="0.0"/>
      <fill>
        <patternFill patternType="solid">
          <fgColor indexed="64"/>
          <bgColor indexed="22"/>
        </patternFill>
      </fill>
    </dxf>
    <dxf>
      <font>
        <b val="0"/>
        <i val="0"/>
        <strike val="0"/>
        <condense val="0"/>
        <extend val="0"/>
        <outline val="0"/>
        <shadow val="0"/>
        <u val="none"/>
        <vertAlign val="baseline"/>
        <sz val="10"/>
        <color auto="1"/>
        <name val="Arial"/>
        <scheme val="none"/>
      </font>
      <numFmt numFmtId="165" formatCode="0.0"/>
      <fill>
        <patternFill patternType="solid">
          <fgColor indexed="64"/>
          <bgColor indexed="22"/>
        </patternFill>
      </fill>
    </dxf>
    <dxf>
      <font>
        <b val="0"/>
        <i val="0"/>
        <strike val="0"/>
        <condense val="0"/>
        <extend val="0"/>
        <outline val="0"/>
        <shadow val="0"/>
        <u val="none"/>
        <vertAlign val="baseline"/>
        <sz val="10"/>
        <color auto="1"/>
        <name val="Arial"/>
        <scheme val="none"/>
      </font>
      <numFmt numFmtId="165" formatCode="0.0"/>
      <fill>
        <patternFill patternType="solid">
          <fgColor indexed="64"/>
          <bgColor indexed="22"/>
        </patternFill>
      </fill>
    </dxf>
    <dxf>
      <font>
        <b val="0"/>
        <i val="0"/>
        <strike val="0"/>
        <condense val="0"/>
        <extend val="0"/>
        <outline val="0"/>
        <shadow val="0"/>
        <u val="none"/>
        <vertAlign val="baseline"/>
        <sz val="10"/>
        <color auto="1"/>
        <name val="Arial"/>
        <scheme val="none"/>
      </font>
      <numFmt numFmtId="165" formatCode="0.0"/>
      <fill>
        <patternFill patternType="solid">
          <fgColor indexed="64"/>
          <bgColor indexed="22"/>
        </patternFill>
      </fill>
    </dxf>
    <dxf>
      <font>
        <b val="0"/>
        <i val="0"/>
        <strike val="0"/>
        <condense val="0"/>
        <extend val="0"/>
        <outline val="0"/>
        <shadow val="0"/>
        <u val="none"/>
        <vertAlign val="baseline"/>
        <sz val="10"/>
        <color auto="1"/>
        <name val="Arial"/>
        <scheme val="none"/>
      </font>
      <numFmt numFmtId="165" formatCode="0.0"/>
      <fill>
        <patternFill patternType="solid">
          <fgColor indexed="64"/>
          <bgColor indexed="22"/>
        </patternFill>
      </fill>
    </dxf>
    <dxf>
      <font>
        <b val="0"/>
        <i val="0"/>
        <strike val="0"/>
        <condense val="0"/>
        <extend val="0"/>
        <outline val="0"/>
        <shadow val="0"/>
        <u val="none"/>
        <vertAlign val="baseline"/>
        <sz val="10"/>
        <color auto="1"/>
        <name val="Arial"/>
        <scheme val="none"/>
      </font>
      <numFmt numFmtId="165" formatCode="0.0"/>
      <fill>
        <patternFill patternType="solid">
          <fgColor indexed="64"/>
          <bgColor indexed="22"/>
        </patternFill>
      </fill>
    </dxf>
    <dxf>
      <font>
        <b val="0"/>
        <i val="0"/>
        <strike val="0"/>
        <condense val="0"/>
        <extend val="0"/>
        <outline val="0"/>
        <shadow val="0"/>
        <u val="none"/>
        <vertAlign val="baseline"/>
        <sz val="10"/>
        <color auto="1"/>
        <name val="Arial"/>
        <scheme val="none"/>
      </font>
      <numFmt numFmtId="165" formatCode="0.0"/>
      <fill>
        <patternFill patternType="solid">
          <fgColor indexed="64"/>
          <bgColor indexed="22"/>
        </patternFill>
      </fill>
    </dxf>
    <dxf>
      <fill>
        <patternFill patternType="solid">
          <bgColor rgb="FFCCFFFF"/>
        </patternFill>
      </fill>
    </dxf>
    <dxf>
      <fill>
        <patternFill>
          <bgColor rgb="FFCCFFFF"/>
        </patternFill>
      </fill>
    </dxf>
    <dxf>
      <fill>
        <patternFill patternType="solid">
          <bgColor theme="0" tint="-0.249977111117893"/>
        </patternFill>
      </fill>
    </dxf>
    <dxf>
      <fill>
        <patternFill patternType="solid">
          <bgColor theme="0" tint="-0.249977111117893"/>
        </patternFill>
      </fill>
    </dxf>
    <dxf>
      <fill>
        <patternFill patternType="solid">
          <bgColor theme="0" tint="-0.249977111117893"/>
        </patternFill>
      </fill>
    </dxf>
    <dxf>
      <fill>
        <patternFill patternType="solid">
          <bgColor theme="0" tint="-0.249977111117893"/>
        </patternFill>
      </fill>
    </dxf>
    <dxf>
      <fill>
        <patternFill patternType="solid">
          <bgColor theme="0" tint="-0.249977111117893"/>
        </patternFill>
      </fill>
    </dxf>
    <dxf>
      <fill>
        <patternFill patternType="solid">
          <bgColor theme="0" tint="-0.249977111117893"/>
        </patternFill>
      </fill>
    </dxf>
    <dxf>
      <fill>
        <patternFill patternType="solid">
          <bgColor theme="0" tint="-0.249977111117893"/>
        </patternFill>
      </fill>
    </dxf>
    <dxf>
      <fill>
        <patternFill patternType="solid">
          <bgColor theme="0" tint="-0.249977111117893"/>
        </patternFill>
      </fill>
    </dxf>
    <dxf>
      <fill>
        <patternFill patternType="solid">
          <bgColor theme="0" tint="-0.249977111117893"/>
        </patternFill>
      </fill>
    </dxf>
    <dxf>
      <fill>
        <patternFill patternType="none">
          <bgColor auto="1"/>
        </patternFill>
      </fill>
    </dxf>
    <dxf>
      <alignment horizontal="center" readingOrder="0"/>
    </dxf>
    <dxf>
      <font>
        <b val="0"/>
        <i val="0"/>
        <strike val="0"/>
        <condense val="0"/>
        <extend val="0"/>
        <outline val="0"/>
        <shadow val="0"/>
        <u val="none"/>
        <vertAlign val="baseline"/>
        <sz val="10"/>
        <color auto="1"/>
        <name val="Arial"/>
        <scheme val="none"/>
      </font>
      <numFmt numFmtId="165" formatCode="0.0"/>
      <fill>
        <patternFill>
          <bgColor indexed="64"/>
        </patternFill>
      </fill>
      <alignment horizontal="center" readingOrder="0"/>
    </dxf>
    <dxf>
      <numFmt numFmtId="165" formatCode="0.0"/>
      <fill>
        <patternFill patternType="solid">
          <fgColor indexed="64"/>
          <bgColor indexed="22"/>
        </patternFill>
      </fill>
      <alignment horizontal="center" readingOrder="0"/>
    </dxf>
    <dxf>
      <numFmt numFmtId="165" formatCode="0.0"/>
      <fill>
        <patternFill patternType="solid">
          <fgColor indexed="64"/>
          <bgColor indexed="22"/>
        </patternFill>
      </fill>
      <alignment horizontal="center" readingOrder="0"/>
    </dxf>
    <dxf>
      <numFmt numFmtId="165" formatCode="0.0"/>
      <fill>
        <patternFill patternType="solid">
          <fgColor indexed="64"/>
          <bgColor indexed="22"/>
        </patternFill>
      </fill>
      <alignment horizontal="center" readingOrder="0"/>
    </dxf>
    <dxf>
      <numFmt numFmtId="165" formatCode="0.0"/>
      <fill>
        <patternFill patternType="solid">
          <fgColor indexed="64"/>
          <bgColor indexed="22"/>
        </patternFill>
      </fill>
      <alignment horizontal="center" readingOrder="0"/>
    </dxf>
    <dxf>
      <numFmt numFmtId="165" formatCode="0.0"/>
      <fill>
        <patternFill patternType="solid">
          <fgColor indexed="64"/>
          <bgColor indexed="22"/>
        </patternFill>
      </fill>
      <alignment horizontal="center" readingOrder="0"/>
    </dxf>
    <dxf>
      <numFmt numFmtId="165" formatCode="0.0"/>
      <fill>
        <patternFill patternType="solid">
          <fgColor indexed="64"/>
          <bgColor indexed="22"/>
        </patternFill>
      </fill>
      <alignment horizontal="center" readingOrder="0"/>
    </dxf>
    <dxf>
      <numFmt numFmtId="165" formatCode="0.0"/>
      <fill>
        <patternFill patternType="solid">
          <fgColor indexed="64"/>
          <bgColor indexed="22"/>
        </patternFill>
      </fill>
      <alignment horizontal="center" readingOrder="0"/>
    </dxf>
    <dxf>
      <numFmt numFmtId="165" formatCode="0.0"/>
      <fill>
        <patternFill patternType="solid">
          <fgColor indexed="64"/>
          <bgColor indexed="22"/>
        </patternFill>
      </fill>
      <alignment horizontal="center" readingOrder="0"/>
    </dxf>
    <dxf>
      <border>
        <left style="thin">
          <color indexed="64"/>
        </left>
        <right style="thin">
          <color indexed="64"/>
        </right>
        <top style="thin">
          <color indexed="64"/>
        </top>
        <bottom style="thin">
          <color indexed="64"/>
        </bottom>
      </border>
    </dxf>
    <dxf>
      <fill>
        <patternFill patternType="solid">
          <fgColor indexed="64"/>
          <bgColor indexed="22"/>
        </patternFill>
      </fill>
    </dxf>
    <dxf>
      <numFmt numFmtId="165" formatCode="0.0"/>
      <fill>
        <patternFill patternType="solid">
          <fgColor indexed="64"/>
          <bgColor indexed="22"/>
        </patternFill>
      </fill>
      <alignment horizontal="center" readingOrder="0"/>
    </dxf>
    <dxf>
      <fill>
        <patternFill patternType="none">
          <bgColor auto="1"/>
        </patternFill>
      </fill>
    </dxf>
    <dxf>
      <border>
        <left style="thin">
          <color indexed="64"/>
        </left>
        <bottom style="thin">
          <color indexed="64"/>
        </bottom>
      </border>
    </dxf>
    <dxf>
      <fill>
        <patternFill>
          <fgColor indexed="22"/>
          <bgColor indexed="22"/>
        </patternFill>
      </fill>
    </dxf>
    <dxf>
      <fill>
        <patternFill>
          <bgColor indexed="22"/>
        </patternFill>
      </fill>
    </dxf>
    <dxf>
      <fill>
        <patternFill patternType="solid">
          <bgColor indexed="55"/>
        </patternFill>
      </fill>
    </dxf>
    <dxf>
      <font>
        <b val="0"/>
      </font>
    </dxf>
    <dxf>
      <fill>
        <patternFill>
          <bgColor indexed="41"/>
        </patternFill>
      </fill>
    </dxf>
    <dxf>
      <border>
        <right style="thin">
          <color indexed="64"/>
        </right>
        <bottom style="thin">
          <color indexed="64"/>
        </bottom>
      </border>
    </dxf>
    <dxf>
      <fill>
        <patternFill>
          <bgColor indexed="41"/>
        </patternFill>
      </fill>
    </dxf>
    <dxf>
      <fill>
        <patternFill>
          <bgColor indexed="41"/>
        </patternFill>
      </fill>
    </dxf>
    <dxf>
      <fill>
        <patternFill>
          <bgColor indexed="41"/>
        </patternFill>
      </fill>
    </dxf>
    <dxf>
      <fill>
        <patternFill>
          <bgColor indexed="41"/>
        </patternFill>
      </fill>
    </dxf>
    <dxf>
      <fill>
        <patternFill patternType="solid">
          <fgColor indexed="22"/>
          <bgColor indexed="64"/>
        </patternFill>
      </fill>
      <alignment horizontal="center" readingOrder="0"/>
    </dxf>
    <dxf>
      <fill>
        <patternFill patternType="none"/>
      </fill>
    </dxf>
    <dxf>
      <fill>
        <patternFill patternType="none"/>
      </fill>
    </dxf>
    <dxf>
      <fill>
        <patternFill patternType="none"/>
      </fill>
    </dxf>
    <dxf>
      <fill>
        <patternFill patternType="none"/>
      </fill>
    </dxf>
    <dxf>
      <fill>
        <patternFill>
          <bgColor indexed="22"/>
        </patternFill>
      </fill>
    </dxf>
    <dxf>
      <fill>
        <patternFill patternType="none"/>
      </fill>
    </dxf>
    <dxf>
      <fill>
        <patternFill>
          <bgColor indexed="22"/>
        </patternFill>
      </fill>
    </dxf>
    <dxf>
      <fill>
        <patternFill patternType="none"/>
      </fill>
    </dxf>
    <dxf>
      <fill>
        <patternFill patternType="none"/>
      </fill>
    </dxf>
    <dxf>
      <fill>
        <patternFill patternType="none"/>
      </fill>
    </dxf>
    <dxf>
      <fill>
        <patternFill patternType="none"/>
      </fill>
    </dxf>
    <dxf>
      <fill>
        <patternFill patternType="none"/>
      </fill>
    </dxf>
    <dxf>
      <fill>
        <patternFill>
          <bgColor indexed="22"/>
        </patternFill>
      </fill>
    </dxf>
    <dxf>
      <fill>
        <patternFill patternType="none"/>
      </fill>
    </dxf>
    <dxf>
      <fill>
        <patternFill patternType="none"/>
      </fill>
    </dxf>
    <dxf>
      <fill>
        <patternFill patternType="none"/>
      </fill>
    </dxf>
    <dxf>
      <fill>
        <patternFill patternType="none"/>
      </fill>
    </dxf>
    <dxf>
      <fill>
        <patternFill patternType="none"/>
      </fill>
    </dxf>
    <dxf>
      <fill>
        <patternFill patternType="none"/>
      </fill>
    </dxf>
    <dxf>
      <fill>
        <patternFill>
          <bgColor indexed="22"/>
        </patternFill>
      </fill>
    </dxf>
    <dxf>
      <fill>
        <patternFill patternType="none"/>
      </fill>
    </dxf>
    <dxf>
      <fill>
        <patternFill>
          <bgColor indexed="22"/>
        </patternFill>
      </fill>
    </dxf>
    <dxf>
      <fill>
        <patternFill patternType="none"/>
      </fill>
    </dxf>
    <dxf>
      <fill>
        <patternFill>
          <bgColor indexed="22"/>
        </patternFill>
      </fill>
    </dxf>
    <dxf>
      <fill>
        <patternFill patternType="none"/>
      </fill>
    </dxf>
    <dxf>
      <fill>
        <patternFill patternType="none"/>
      </fill>
    </dxf>
    <dxf>
      <fill>
        <patternFill patternType="none"/>
      </fill>
    </dxf>
    <dxf>
      <fill>
        <patternFill patternType="none"/>
      </fill>
    </dxf>
    <dxf>
      <fill>
        <patternFill>
          <bgColor indexed="22"/>
        </patternFill>
      </fill>
    </dxf>
    <dxf>
      <fill>
        <patternFill patternType="none"/>
      </fill>
    </dxf>
    <dxf>
      <fill>
        <patternFill patternType="none"/>
      </fill>
    </dxf>
    <dxf>
      <fill>
        <patternFill patternType="none"/>
      </fill>
    </dxf>
    <dxf>
      <fill>
        <patternFill patternType="none"/>
      </fill>
    </dxf>
    <dxf>
      <fill>
        <patternFill patternType="none"/>
      </fill>
    </dxf>
    <dxf>
      <fill>
        <patternFill patternType="none"/>
      </fill>
    </dxf>
    <dxf>
      <fill>
        <patternFill patternType="none"/>
      </fill>
    </dxf>
    <dxf>
      <fill>
        <patternFill patternType="none"/>
      </fill>
    </dxf>
    <dxf>
      <fill>
        <patternFill patternType="none"/>
      </fill>
    </dxf>
    <dxf>
      <fill>
        <patternFill patternType="none"/>
      </fill>
    </dxf>
    <dxf>
      <fill>
        <patternFill patternType="none"/>
      </fill>
    </dxf>
    <dxf>
      <fill>
        <patternFill patternType="none"/>
      </fill>
    </dxf>
    <dxf>
      <fill>
        <patternFill patternType="none"/>
      </fill>
    </dxf>
    <dxf>
      <fill>
        <patternFill patternType="none"/>
      </fill>
    </dxf>
    <dxf>
      <fill>
        <patternFill patternType="none"/>
      </fill>
    </dxf>
    <dxf>
      <fill>
        <patternFill patternType="none"/>
      </fill>
    </dxf>
    <dxf>
      <fill>
        <patternFill patternType="none"/>
      </fill>
    </dxf>
    <dxf>
      <fill>
        <patternFill patternType="none"/>
      </fill>
    </dxf>
    <dxf>
      <fill>
        <patternFill patternType="none"/>
      </fill>
    </dxf>
    <dxf>
      <fill>
        <patternFill patternType="none"/>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patternType="none"/>
      </fill>
    </dxf>
    <dxf>
      <fill>
        <patternFill patternType="none"/>
      </fill>
    </dxf>
    <dxf>
      <fill>
        <patternFill patternType="none"/>
      </fill>
    </dxf>
    <dxf>
      <fill>
        <patternFill patternType="none"/>
      </fill>
    </dxf>
    <dxf>
      <fill>
        <patternFill patternType="none"/>
      </fill>
    </dxf>
    <dxf>
      <fill>
        <patternFill patternType="none"/>
      </fill>
    </dxf>
    <dxf>
      <fill>
        <patternFill patternType="none"/>
      </fill>
    </dxf>
    <dxf>
      <fill>
        <patternFill patternType="none"/>
      </fill>
    </dxf>
    <dxf>
      <fill>
        <patternFill patternType="none"/>
      </fill>
    </dxf>
    <dxf>
      <fill>
        <patternFill patternType="none"/>
      </fill>
    </dxf>
    <dxf>
      <fill>
        <patternFill patternType="none"/>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patternType="none"/>
      </fill>
    </dxf>
    <dxf>
      <fill>
        <patternFill patternType="none"/>
      </fill>
    </dxf>
    <dxf>
      <fill>
        <patternFill>
          <bgColor indexed="13"/>
        </patternFill>
      </fill>
    </dxf>
    <dxf>
      <fill>
        <patternFill>
          <bgColor indexed="13"/>
        </patternFill>
      </fill>
    </dxf>
    <dxf>
      <fill>
        <patternFill patternType="none"/>
      </fill>
    </dxf>
    <dxf>
      <fill>
        <patternFill patternType="none"/>
      </fill>
    </dxf>
    <dxf>
      <fill>
        <patternFill patternType="none"/>
      </fill>
    </dxf>
    <dxf>
      <fill>
        <patternFill patternType="none"/>
      </fill>
    </dxf>
    <dxf>
      <fill>
        <patternFill patternType="none"/>
      </fill>
    </dxf>
    <dxf>
      <fill>
        <patternFill patternType="none"/>
      </fill>
    </dxf>
    <dxf>
      <fill>
        <patternFill patternType="none"/>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patternType="none"/>
      </fill>
    </dxf>
    <dxf>
      <fill>
        <patternFill patternType="none"/>
      </fill>
    </dxf>
    <dxf>
      <fill>
        <patternFill>
          <bgColor indexed="13"/>
        </patternFill>
      </fill>
    </dxf>
    <dxf>
      <fill>
        <patternFill>
          <bgColor indexed="13"/>
        </patternFill>
      </fill>
    </dxf>
    <dxf>
      <fill>
        <patternFill patternType="none"/>
      </fill>
    </dxf>
    <dxf>
      <fill>
        <patternFill patternType="none"/>
      </fill>
    </dxf>
    <dxf>
      <fill>
        <patternFill patternType="none"/>
      </fill>
    </dxf>
    <dxf>
      <fill>
        <patternFill patternType="none"/>
      </fill>
    </dxf>
    <dxf>
      <fill>
        <patternFill patternType="none"/>
      </fill>
    </dxf>
    <dxf>
      <fill>
        <patternFill patternType="none"/>
      </fill>
    </dxf>
    <dxf>
      <fill>
        <patternFill patternType="none"/>
      </fill>
    </dxf>
    <dxf>
      <fill>
        <patternFill patternType="none"/>
      </fill>
    </dxf>
    <dxf>
      <fill>
        <patternFill patternType="none"/>
      </fill>
    </dxf>
    <dxf>
      <fill>
        <patternFill patternType="none"/>
      </fill>
    </dxf>
    <dxf>
      <fill>
        <patternFill patternType="none"/>
      </fill>
    </dxf>
    <dxf>
      <fill>
        <patternFill patternType="none"/>
      </fill>
    </dxf>
    <dxf>
      <fill>
        <patternFill patternType="none"/>
      </fill>
    </dxf>
    <dxf>
      <fill>
        <patternFill patternType="none"/>
      </fill>
    </dxf>
    <dxf>
      <fill>
        <patternFill patternType="none"/>
      </fill>
    </dxf>
    <dxf>
      <fill>
        <patternFill patternType="none"/>
      </fill>
    </dxf>
    <dxf>
      <fill>
        <patternFill patternType="none"/>
      </fill>
    </dxf>
    <dxf>
      <fill>
        <patternFill patternType="none"/>
      </fill>
    </dxf>
    <dxf>
      <fill>
        <patternFill patternType="none"/>
      </fill>
    </dxf>
    <dxf>
      <fill>
        <patternFill patternType="none"/>
      </fill>
    </dxf>
    <dxf>
      <fill>
        <patternFill patternType="none"/>
      </fill>
    </dxf>
    <dxf>
      <fill>
        <patternFill patternType="none"/>
      </fill>
    </dxf>
    <dxf>
      <fill>
        <patternFill patternType="none"/>
      </fill>
    </dxf>
    <dxf>
      <fill>
        <patternFill patternType="none"/>
      </fill>
    </dxf>
    <dxf>
      <fill>
        <patternFill patternType="none"/>
      </fill>
    </dxf>
    <dxf>
      <fill>
        <patternFill patternType="none"/>
      </fill>
    </dxf>
    <dxf>
      <fill>
        <patternFill patternType="none"/>
      </fill>
    </dxf>
    <dxf>
      <fill>
        <patternFill patternType="none"/>
      </fill>
    </dxf>
    <dxf>
      <fill>
        <patternFill patternType="none"/>
      </fill>
    </dxf>
    <dxf>
      <fill>
        <patternFill patternType="none"/>
      </fill>
    </dxf>
    <dxf>
      <fill>
        <patternFill patternType="none"/>
      </fill>
    </dxf>
    <dxf>
      <fill>
        <patternFill patternType="none"/>
      </fill>
    </dxf>
    <dxf>
      <fill>
        <patternFill patternType="none"/>
      </fill>
    </dxf>
    <dxf>
      <fill>
        <patternFill patternType="none"/>
      </fill>
    </dxf>
    <dxf>
      <fill>
        <patternFill patternType="none"/>
      </fill>
    </dxf>
    <dxf>
      <fill>
        <patternFill patternType="none"/>
      </fill>
    </dxf>
    <dxf>
      <fill>
        <patternFill patternType="none"/>
      </fill>
    </dxf>
    <dxf>
      <fill>
        <patternFill patternType="none"/>
      </fill>
    </dxf>
    <dxf>
      <fill>
        <patternFill patternType="none"/>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patternType="none"/>
      </fill>
    </dxf>
    <dxf>
      <fill>
        <patternFill patternType="none"/>
      </fill>
    </dxf>
    <dxf>
      <fill>
        <patternFill>
          <bgColor indexed="13"/>
        </patternFill>
      </fill>
    </dxf>
    <dxf>
      <fill>
        <patternFill>
          <bgColor indexed="13"/>
        </patternFill>
      </fill>
    </dxf>
    <dxf>
      <fill>
        <patternFill patternType="none"/>
      </fill>
    </dxf>
    <dxf>
      <fill>
        <patternFill patternType="solid">
          <bgColor indexed="15"/>
        </patternFill>
      </fill>
    </dxf>
    <dxf>
      <fill>
        <patternFill patternType="none"/>
      </fill>
    </dxf>
    <dxf>
      <fill>
        <patternFill patternType="none"/>
      </fill>
    </dxf>
    <dxf>
      <fill>
        <patternFill patternType="none"/>
      </fill>
    </dxf>
    <dxf>
      <fill>
        <patternFill patternType="solid">
          <bgColor indexed="40"/>
        </patternFill>
      </fill>
    </dxf>
    <dxf>
      <fill>
        <patternFill patternType="solid">
          <bgColor indexed="40"/>
        </patternFill>
      </fill>
    </dxf>
    <dxf>
      <fill>
        <patternFill patternType="solid">
          <bgColor indexed="40"/>
        </patternFill>
      </fill>
    </dxf>
    <dxf>
      <fill>
        <patternFill patternType="none"/>
      </fill>
    </dxf>
    <dxf>
      <fill>
        <patternFill patternType="none"/>
      </fill>
    </dxf>
    <dxf>
      <fill>
        <patternFill patternType="none"/>
      </fill>
    </dxf>
    <dxf>
      <fill>
        <patternFill patternType="none"/>
      </fill>
    </dxf>
    <dxf>
      <fill>
        <patternFill patternType="none"/>
      </fill>
    </dxf>
    <dxf>
      <fill>
        <patternFill patternType="none"/>
      </fill>
    </dxf>
    <dxf>
      <fill>
        <patternFill patternType="none"/>
      </fill>
    </dxf>
    <dxf>
      <fill>
        <patternFill patternType="none"/>
      </fill>
    </dxf>
    <dxf>
      <fill>
        <patternFill patternType="none"/>
      </fill>
    </dxf>
    <dxf>
      <fill>
        <patternFill patternType="none"/>
      </fill>
    </dxf>
    <dxf>
      <fill>
        <patternFill patternType="none"/>
      </fill>
    </dxf>
    <dxf>
      <fill>
        <patternFill patternType="none"/>
      </fill>
    </dxf>
    <dxf>
      <fill>
        <patternFill patternType="none"/>
      </fill>
    </dxf>
    <dxf>
      <fill>
        <patternFill patternType="none"/>
      </fill>
    </dxf>
    <dxf>
      <fill>
        <patternFill patternType="none"/>
      </fill>
    </dxf>
    <dxf>
      <fill>
        <patternFill patternType="none"/>
      </fill>
    </dxf>
    <dxf>
      <fill>
        <patternFill patternType="none"/>
      </fill>
    </dxf>
    <dxf>
      <fill>
        <patternFill patternType="none"/>
      </fill>
    </dxf>
    <dxf>
      <fill>
        <patternFill patternType="none"/>
      </fill>
    </dxf>
    <dxf>
      <fill>
        <patternFill patternType="none"/>
      </fill>
    </dxf>
    <dxf>
      <fill>
        <patternFill patternType="none"/>
      </fill>
    </dxf>
    <dxf>
      <fill>
        <patternFill patternType="none"/>
      </fill>
    </dxf>
    <dxf>
      <fill>
        <patternFill patternType="none"/>
      </fill>
    </dxf>
    <dxf>
      <fill>
        <patternFill patternType="none"/>
      </fill>
    </dxf>
    <dxf>
      <fill>
        <patternFill patternType="none"/>
      </fill>
    </dxf>
    <dxf>
      <fill>
        <patternFill patternType="none"/>
      </fill>
    </dxf>
    <dxf>
      <fill>
        <patternFill patternType="none"/>
      </fill>
    </dxf>
    <dxf>
      <fill>
        <patternFill patternType="none"/>
      </fill>
    </dxf>
    <dxf>
      <fill>
        <patternFill patternType="none"/>
      </fill>
    </dxf>
    <dxf>
      <fill>
        <patternFill patternType="none"/>
      </fill>
    </dxf>
    <dxf>
      <fill>
        <patternFill patternType="none"/>
      </fill>
    </dxf>
    <dxf>
      <fill>
        <patternFill patternType="none"/>
      </fill>
    </dxf>
    <dxf>
      <fill>
        <patternFill patternType="none"/>
      </fill>
    </dxf>
    <dxf>
      <fill>
        <patternFill patternType="none"/>
      </fill>
    </dxf>
    <dxf>
      <fill>
        <patternFill patternType="none"/>
      </fill>
    </dxf>
    <dxf>
      <fill>
        <patternFill patternType="none"/>
      </fill>
    </dxf>
    <dxf>
      <fill>
        <patternFill patternType="none"/>
      </fill>
    </dxf>
    <dxf>
      <fill>
        <patternFill patternType="none"/>
      </fill>
    </dxf>
    <dxf>
      <fill>
        <patternFill patternType="none"/>
      </fill>
    </dxf>
    <dxf>
      <fill>
        <patternFill patternType="none"/>
      </fill>
    </dxf>
    <dxf>
      <fill>
        <patternFill patternType="none"/>
      </fill>
    </dxf>
    <dxf>
      <fill>
        <patternFill patternType="none"/>
      </fill>
    </dxf>
    <dxf>
      <fill>
        <patternFill patternType="none"/>
      </fill>
    </dxf>
    <dxf>
      <fill>
        <patternFill patternType="none"/>
      </fill>
    </dxf>
    <dxf>
      <fill>
        <patternFill patternType="none"/>
      </fill>
    </dxf>
    <dxf>
      <fill>
        <patternFill patternType="none"/>
      </fill>
    </dxf>
    <dxf>
      <fill>
        <patternFill patternType="none"/>
      </fill>
    </dxf>
    <dxf>
      <fill>
        <patternFill patternType="none"/>
      </fill>
    </dxf>
    <dxf>
      <fill>
        <patternFill patternType="none"/>
      </fill>
    </dxf>
    <dxf>
      <fill>
        <patternFill patternType="none"/>
      </fill>
    </dxf>
    <dxf>
      <fill>
        <patternFill patternType="none"/>
      </fill>
    </dxf>
    <dxf>
      <fill>
        <patternFill patternType="none"/>
      </fill>
    </dxf>
    <dxf>
      <fill>
        <patternFill patternType="none"/>
      </fill>
    </dxf>
    <dxf>
      <fill>
        <patternFill patternType="none"/>
      </fill>
    </dxf>
    <dxf>
      <fill>
        <patternFill patternType="none"/>
      </fill>
    </dxf>
    <dxf>
      <fill>
        <patternFill patternType="none"/>
      </fill>
    </dxf>
    <dxf>
      <fill>
        <patternFill patternType="none"/>
      </fill>
    </dxf>
    <dxf>
      <fill>
        <patternFill patternType="none"/>
      </fill>
    </dxf>
    <dxf>
      <fill>
        <patternFill patternType="none"/>
      </fill>
    </dxf>
    <dxf>
      <fill>
        <patternFill patternType="none"/>
      </fill>
    </dxf>
    <dxf>
      <fill>
        <patternFill patternType="none"/>
      </fill>
    </dxf>
    <dxf>
      <fill>
        <patternFill patternType="none"/>
      </fill>
    </dxf>
    <dxf>
      <fill>
        <patternFill patternType="none"/>
      </fill>
    </dxf>
    <dxf>
      <fill>
        <patternFill patternType="none"/>
      </fill>
    </dxf>
    <dxf>
      <fill>
        <patternFill patternType="none"/>
      </fill>
    </dxf>
    <dxf>
      <fill>
        <patternFill patternType="none"/>
      </fill>
    </dxf>
    <dxf>
      <fill>
        <patternFill patternType="none"/>
      </fill>
    </dxf>
    <dxf>
      <fill>
        <patternFill patternType="none"/>
      </fill>
    </dxf>
    <dxf>
      <fill>
        <patternFill patternType="none"/>
      </fill>
    </dxf>
    <dxf>
      <fill>
        <patternFill patternType="none"/>
      </fill>
    </dxf>
    <dxf>
      <fill>
        <patternFill patternType="none"/>
      </fill>
    </dxf>
    <dxf>
      <fill>
        <patternFill patternType="none"/>
      </fill>
    </dxf>
    <dxf>
      <fill>
        <patternFill patternType="none"/>
      </fill>
    </dxf>
    <dxf>
      <fill>
        <patternFill patternType="none"/>
      </fill>
    </dxf>
    <dxf>
      <fill>
        <patternFill patternType="none"/>
      </fill>
    </dxf>
    <dxf>
      <fill>
        <patternFill patternType="none"/>
      </fill>
    </dxf>
    <dxf>
      <fill>
        <patternFill patternType="none"/>
      </fill>
    </dxf>
    <dxf>
      <fill>
        <patternFill patternType="none"/>
      </fill>
    </dxf>
    <dxf>
      <fill>
        <patternFill patternType="none"/>
      </fill>
    </dxf>
    <dxf>
      <fill>
        <patternFill patternType="none"/>
      </fill>
    </dxf>
    <dxf>
      <fill>
        <patternFill patternType="none"/>
      </fill>
    </dxf>
    <dxf>
      <fill>
        <patternFill patternType="none"/>
      </fill>
    </dxf>
    <dxf>
      <fill>
        <patternFill patternType="none"/>
      </fill>
    </dxf>
    <dxf>
      <fill>
        <patternFill patternType="none"/>
      </fill>
    </dxf>
    <dxf>
      <fill>
        <patternFill patternType="none"/>
      </fill>
    </dxf>
    <dxf>
      <fill>
        <patternFill patternType="none"/>
      </fill>
    </dxf>
    <dxf>
      <fill>
        <patternFill patternType="none"/>
      </fill>
    </dxf>
    <dxf>
      <fill>
        <patternFill patternType="none"/>
      </fill>
    </dxf>
    <dxf>
      <fill>
        <patternFill patternType="none"/>
      </fill>
    </dxf>
    <dxf>
      <fill>
        <patternFill patternType="none"/>
      </fill>
    </dxf>
    <dxf>
      <fill>
        <patternFill patternType="none"/>
      </fill>
    </dxf>
    <dxf>
      <fill>
        <patternFill patternType="none"/>
      </fill>
    </dxf>
    <dxf>
      <fill>
        <patternFill patternType="none"/>
      </fill>
    </dxf>
    <dxf>
      <fill>
        <patternFill patternType="none"/>
      </fill>
    </dxf>
    <dxf>
      <fill>
        <patternFill patternType="none"/>
      </fill>
    </dxf>
    <dxf>
      <fill>
        <patternFill patternType="none"/>
      </fill>
    </dxf>
    <dxf>
      <fill>
        <patternFill patternType="none"/>
      </fill>
    </dxf>
    <dxf>
      <fill>
        <patternFill patternType="none"/>
      </fill>
    </dxf>
    <dxf>
      <fill>
        <patternFill patternType="none"/>
      </fill>
    </dxf>
    <dxf>
      <fill>
        <patternFill patternType="none"/>
      </fill>
    </dxf>
    <dxf>
      <fill>
        <patternFill patternType="none"/>
      </fill>
    </dxf>
    <dxf>
      <fill>
        <patternFill patternType="none"/>
      </fill>
    </dxf>
    <dxf>
      <fill>
        <patternFill patternType="none"/>
      </fill>
    </dxf>
    <dxf>
      <fill>
        <patternFill patternType="none"/>
      </fill>
    </dxf>
    <dxf>
      <fill>
        <patternFill patternType="none"/>
      </fill>
    </dxf>
    <dxf>
      <fill>
        <patternFill patternType="none"/>
      </fill>
    </dxf>
    <dxf>
      <fill>
        <patternFill patternType="none"/>
      </fill>
    </dxf>
    <dxf>
      <fill>
        <patternFill patternType="none"/>
      </fill>
    </dxf>
    <dxf>
      <fill>
        <patternFill patternType="none"/>
      </fill>
    </dxf>
    <dxf>
      <fill>
        <patternFill patternType="none"/>
      </fill>
    </dxf>
    <dxf>
      <fill>
        <patternFill patternType="none"/>
      </fill>
    </dxf>
    <dxf>
      <fill>
        <patternFill patternType="none"/>
      </fill>
    </dxf>
    <dxf>
      <fill>
        <patternFill patternType="none"/>
      </fill>
    </dxf>
    <dxf>
      <fill>
        <patternFill patternType="none"/>
      </fill>
    </dxf>
    <dxf>
      <fill>
        <patternFill patternType="none"/>
      </fill>
    </dxf>
    <dxf>
      <fill>
        <patternFill patternType="none"/>
      </fill>
    </dxf>
    <dxf>
      <fill>
        <patternFill patternType="none"/>
      </fill>
    </dxf>
    <dxf>
      <fill>
        <patternFill patternType="none"/>
      </fill>
    </dxf>
    <dxf>
      <fill>
        <patternFill patternType="none"/>
      </fill>
    </dxf>
    <dxf>
      <fill>
        <patternFill patternType="none"/>
      </fill>
    </dxf>
    <dxf>
      <fill>
        <patternFill patternType="none"/>
      </fill>
    </dxf>
    <dxf>
      <fill>
        <patternFill patternType="none"/>
      </fill>
    </dxf>
    <dxf>
      <fill>
        <patternFill patternType="none"/>
      </fill>
    </dxf>
    <dxf>
      <fill>
        <patternFill patternType="none"/>
      </fill>
    </dxf>
    <dxf>
      <fill>
        <patternFill patternType="none"/>
      </fill>
    </dxf>
    <dxf>
      <fill>
        <patternFill patternType="none"/>
      </fill>
    </dxf>
    <dxf>
      <fill>
        <patternFill patternType="none"/>
      </fill>
    </dxf>
    <dxf>
      <fill>
        <patternFill patternType="none"/>
      </fill>
    </dxf>
    <dxf>
      <fill>
        <patternFill patternType="none"/>
      </fill>
    </dxf>
    <dxf>
      <fill>
        <patternFill patternType="none"/>
      </fill>
    </dxf>
    <dxf>
      <fill>
        <patternFill patternType="none"/>
      </fill>
    </dxf>
    <dxf>
      <fill>
        <patternFill patternType="none"/>
      </fill>
    </dxf>
    <dxf>
      <fill>
        <patternFill patternType="none"/>
      </fill>
    </dxf>
    <dxf>
      <fill>
        <patternFill patternType="none"/>
      </fill>
    </dxf>
    <dxf>
      <fill>
        <patternFill patternType="none"/>
      </fill>
    </dxf>
    <dxf>
      <fill>
        <patternFill patternType="none"/>
      </fill>
    </dxf>
    <dxf>
      <fill>
        <patternFill patternType="none"/>
      </fill>
    </dxf>
    <dxf>
      <fill>
        <patternFill patternType="none"/>
      </fill>
    </dxf>
    <dxf>
      <fill>
        <patternFill patternType="none"/>
      </fill>
    </dxf>
    <dxf>
      <fill>
        <patternFill patternType="none"/>
      </fill>
    </dxf>
    <dxf>
      <fill>
        <patternFill patternType="none"/>
      </fill>
    </dxf>
    <dxf>
      <fill>
        <patternFill patternType="none"/>
      </fill>
    </dxf>
    <dxf>
      <fill>
        <patternFill patternType="none"/>
      </fill>
    </dxf>
    <dxf>
      <fill>
        <patternFill patternType="none"/>
      </fill>
    </dxf>
    <dxf>
      <fill>
        <patternFill patternType="none"/>
      </fill>
    </dxf>
    <dxf>
      <fill>
        <patternFill patternType="none"/>
      </fill>
    </dxf>
    <dxf>
      <fill>
        <patternFill patternType="none"/>
      </fill>
    </dxf>
    <dxf>
      <fill>
        <patternFill patternType="none"/>
      </fill>
    </dxf>
    <dxf>
      <fill>
        <patternFill patternType="none"/>
      </fill>
    </dxf>
    <dxf>
      <fill>
        <patternFill patternType="none"/>
      </fill>
    </dxf>
    <dxf>
      <fill>
        <patternFill patternType="none"/>
      </fill>
    </dxf>
    <dxf>
      <fill>
        <patternFill patternType="none"/>
      </fill>
    </dxf>
    <dxf>
      <fill>
        <patternFill patternType="none"/>
      </fill>
    </dxf>
    <dxf>
      <fill>
        <patternFill patternType="none"/>
      </fill>
    </dxf>
    <dxf>
      <fill>
        <patternFill patternType="none"/>
      </fill>
    </dxf>
    <dxf>
      <fill>
        <patternFill patternType="none"/>
      </fill>
    </dxf>
    <dxf>
      <fill>
        <patternFill patternType="none"/>
      </fill>
    </dxf>
    <dxf>
      <fill>
        <patternFill patternType="none"/>
      </fill>
    </dxf>
    <dxf>
      <fill>
        <patternFill patternType="none"/>
      </fill>
    </dxf>
    <dxf>
      <fill>
        <patternFill patternType="none"/>
      </fill>
    </dxf>
    <dxf>
      <fill>
        <patternFill patternType="none"/>
      </fill>
    </dxf>
    <dxf>
      <fill>
        <patternFill patternType="none"/>
      </fill>
    </dxf>
    <dxf>
      <fill>
        <patternFill patternType="none"/>
      </fill>
    </dxf>
    <dxf>
      <fill>
        <patternFill patternType="none"/>
      </fill>
    </dxf>
    <dxf>
      <fill>
        <patternFill patternType="none"/>
      </fill>
    </dxf>
    <dxf>
      <fill>
        <patternFill patternType="none"/>
      </fill>
    </dxf>
    <dxf>
      <fill>
        <patternFill patternType="none"/>
      </fill>
    </dxf>
    <dxf>
      <fill>
        <patternFill patternType="none"/>
      </fill>
    </dxf>
    <dxf>
      <fill>
        <patternFill patternType="none"/>
      </fill>
    </dxf>
    <dxf>
      <fill>
        <patternFill patternType="none"/>
      </fill>
    </dxf>
    <dxf>
      <fill>
        <patternFill patternType="none"/>
      </fill>
    </dxf>
    <dxf>
      <fill>
        <patternFill patternType="none"/>
      </fill>
    </dxf>
    <dxf>
      <fill>
        <patternFill patternType="none"/>
      </fill>
    </dxf>
    <dxf>
      <fill>
        <patternFill patternType="none"/>
      </fill>
    </dxf>
    <dxf>
      <fill>
        <patternFill patternType="none"/>
      </fill>
    </dxf>
    <dxf>
      <fill>
        <patternFill patternType="none"/>
      </fill>
    </dxf>
    <dxf>
      <fill>
        <patternFill patternType="none"/>
      </fill>
    </dxf>
    <dxf>
      <fill>
        <patternFill patternType="none"/>
      </fill>
    </dxf>
    <dxf>
      <fill>
        <patternFill patternType="none"/>
      </fill>
    </dxf>
    <dxf>
      <fill>
        <patternFill patternType="none"/>
      </fill>
    </dxf>
    <dxf>
      <fill>
        <patternFill patternType="none"/>
      </fill>
    </dxf>
    <dxf>
      <fill>
        <patternFill patternType="none"/>
      </fill>
    </dxf>
    <dxf>
      <fill>
        <patternFill patternType="none"/>
      </fill>
    </dxf>
    <dxf>
      <fill>
        <patternFill patternType="none"/>
      </fill>
    </dxf>
    <dxf>
      <fill>
        <patternFill patternType="none"/>
      </fill>
    </dxf>
    <dxf>
      <fill>
        <patternFill patternType="none"/>
      </fill>
    </dxf>
    <dxf>
      <fill>
        <patternFill patternType="none"/>
      </fill>
    </dxf>
    <dxf>
      <fill>
        <patternFill patternType="none"/>
      </fill>
    </dxf>
    <dxf>
      <fill>
        <patternFill patternType="none"/>
      </fill>
    </dxf>
    <dxf>
      <fill>
        <patternFill patternType="none"/>
      </fill>
    </dxf>
    <dxf>
      <fill>
        <patternFill patternType="none"/>
      </fill>
    </dxf>
    <dxf>
      <fill>
        <patternFill patternType="none"/>
      </fill>
    </dxf>
    <dxf>
      <fill>
        <patternFill patternType="none"/>
      </fill>
    </dxf>
    <dxf>
      <fill>
        <patternFill patternType="none"/>
      </fill>
    </dxf>
    <dxf>
      <fill>
        <patternFill patternType="none"/>
      </fill>
    </dxf>
    <dxf>
      <fill>
        <patternFill patternType="none"/>
      </fill>
    </dxf>
    <dxf>
      <fill>
        <patternFill patternType="none"/>
      </fill>
    </dxf>
    <dxf>
      <fill>
        <patternFill patternType="none"/>
      </fill>
    </dxf>
    <dxf>
      <fill>
        <patternFill patternType="none"/>
      </fill>
    </dxf>
    <dxf>
      <fill>
        <patternFill patternType="none"/>
      </fill>
    </dxf>
    <dxf>
      <fill>
        <patternFill patternType="none"/>
      </fill>
    </dxf>
    <dxf>
      <fill>
        <patternFill patternType="none"/>
      </fill>
    </dxf>
    <dxf>
      <fill>
        <patternFill patternType="none"/>
      </fill>
    </dxf>
    <dxf>
      <fill>
        <patternFill patternType="none"/>
      </fill>
    </dxf>
    <dxf>
      <fill>
        <patternFill patternType="none"/>
      </fill>
    </dxf>
    <dxf>
      <fill>
        <patternFill patternType="none"/>
      </fill>
    </dxf>
    <dxf>
      <fill>
        <patternFill patternType="none"/>
      </fill>
    </dxf>
    <dxf>
      <fill>
        <patternFill patternType="none"/>
      </fill>
    </dxf>
    <dxf>
      <fill>
        <patternFill patternType="none"/>
      </fill>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fill>
        <patternFill>
          <bgColor indexed="8"/>
        </patternFill>
      </fill>
    </dxf>
    <dxf>
      <fill>
        <patternFill>
          <bgColor indexed="8"/>
        </patternFill>
      </fill>
    </dxf>
    <dxf>
      <fill>
        <patternFill>
          <bgColor indexed="8"/>
        </patternFill>
      </fill>
    </dxf>
    <dxf>
      <fill>
        <patternFill>
          <bgColor indexed="8"/>
        </patternFill>
      </fill>
    </dxf>
    <dxf>
      <fill>
        <patternFill>
          <bgColor indexed="8"/>
        </patternFill>
      </fill>
    </dxf>
    <dxf>
      <fill>
        <patternFill>
          <bgColor indexed="8"/>
        </patternFill>
      </fill>
    </dxf>
    <dxf>
      <fill>
        <patternFill>
          <bgColor indexed="8"/>
        </patternFill>
      </fill>
    </dxf>
    <dxf>
      <fill>
        <patternFill>
          <bgColor indexed="8"/>
        </patternFill>
      </fill>
    </dxf>
    <dxf>
      <fill>
        <patternFill>
          <bgColor indexed="8"/>
        </patternFill>
      </fill>
    </dxf>
    <dxf>
      <fill>
        <patternFill>
          <bgColor indexed="8"/>
        </patternFill>
      </fill>
    </dxf>
    <dxf>
      <fill>
        <patternFill>
          <bgColor indexed="8"/>
        </patternFill>
      </fill>
    </dxf>
    <dxf>
      <fill>
        <patternFill>
          <bgColor indexed="8"/>
        </patternFill>
      </fill>
    </dxf>
    <dxf>
      <fill>
        <patternFill>
          <bgColor indexed="8"/>
        </patternFill>
      </fill>
    </dxf>
    <dxf>
      <fill>
        <patternFill>
          <bgColor indexed="8"/>
        </patternFill>
      </fill>
    </dxf>
    <dxf>
      <fill>
        <patternFill>
          <bgColor indexed="8"/>
        </patternFill>
      </fill>
    </dxf>
    <dxf>
      <fill>
        <patternFill>
          <bgColor indexed="8"/>
        </patternFill>
      </fill>
    </dxf>
    <dxf>
      <fill>
        <patternFill>
          <bgColor indexed="8"/>
        </patternFill>
      </fill>
    </dxf>
    <dxf>
      <fill>
        <patternFill>
          <bgColor indexed="8"/>
        </patternFill>
      </fill>
    </dxf>
    <dxf>
      <fill>
        <patternFill>
          <bgColor indexed="8"/>
        </patternFill>
      </fill>
    </dxf>
    <dxf>
      <fill>
        <patternFill>
          <bgColor indexed="8"/>
        </patternFill>
      </fill>
    </dxf>
    <dxf>
      <fill>
        <patternFill>
          <bgColor indexed="8"/>
        </patternFill>
      </fill>
    </dxf>
    <dxf>
      <fill>
        <patternFill>
          <bgColor indexed="8"/>
        </patternFill>
      </fill>
    </dxf>
    <dxf>
      <fill>
        <patternFill>
          <bgColor indexed="8"/>
        </patternFill>
      </fill>
    </dxf>
    <dxf>
      <fill>
        <patternFill>
          <bgColor indexed="8"/>
        </patternFill>
      </fill>
    </dxf>
    <dxf>
      <fill>
        <patternFill>
          <bgColor indexed="8"/>
        </patternFill>
      </fill>
    </dxf>
    <dxf>
      <fill>
        <patternFill>
          <bgColor indexed="8"/>
        </patternFill>
      </fill>
    </dxf>
    <dxf>
      <fill>
        <patternFill>
          <bgColor indexed="8"/>
        </patternFill>
      </fill>
    </dxf>
    <dxf>
      <fill>
        <patternFill>
          <bgColor indexed="8"/>
        </patternFill>
      </fill>
    </dxf>
    <dxf>
      <fill>
        <patternFill>
          <bgColor indexed="8"/>
        </patternFill>
      </fill>
    </dxf>
    <dxf>
      <fill>
        <patternFill>
          <bgColor indexed="8"/>
        </patternFill>
      </fill>
    </dxf>
    <dxf>
      <fill>
        <patternFill>
          <bgColor indexed="8"/>
        </patternFill>
      </fill>
    </dxf>
    <dxf>
      <fill>
        <patternFill>
          <bgColor indexed="8"/>
        </patternFill>
      </fill>
    </dxf>
    <dxf>
      <fill>
        <patternFill>
          <bgColor indexed="8"/>
        </patternFill>
      </fill>
    </dxf>
    <dxf>
      <fill>
        <patternFill>
          <bgColor indexed="8"/>
        </patternFill>
      </fill>
    </dxf>
    <dxf>
      <fill>
        <patternFill>
          <bgColor indexed="8"/>
        </patternFill>
      </fill>
    </dxf>
    <dxf>
      <fill>
        <patternFill>
          <bgColor indexed="8"/>
        </patternFill>
      </fill>
    </dxf>
    <dxf>
      <fill>
        <patternFill>
          <bgColor indexed="8"/>
        </patternFill>
      </fill>
    </dxf>
    <dxf>
      <fill>
        <patternFill>
          <bgColor indexed="8"/>
        </patternFill>
      </fill>
    </dxf>
    <dxf>
      <fill>
        <patternFill>
          <bgColor indexed="8"/>
        </patternFill>
      </fill>
    </dxf>
    <dxf>
      <fill>
        <patternFill>
          <bgColor indexed="8"/>
        </patternFill>
      </fill>
    </dxf>
    <dxf>
      <fill>
        <patternFill>
          <bgColor indexed="8"/>
        </patternFill>
      </fill>
    </dxf>
    <dxf>
      <fill>
        <patternFill>
          <bgColor indexed="8"/>
        </patternFill>
      </fill>
    </dxf>
    <dxf>
      <fill>
        <patternFill>
          <bgColor indexed="8"/>
        </patternFill>
      </fill>
    </dxf>
    <dxf>
      <fill>
        <patternFill>
          <bgColor indexed="8"/>
        </patternFill>
      </fill>
    </dxf>
    <dxf>
      <fill>
        <patternFill>
          <bgColor indexed="8"/>
        </patternFill>
      </fill>
    </dxf>
    <dxf>
      <fill>
        <patternFill>
          <bgColor indexed="8"/>
        </patternFill>
      </fill>
    </dxf>
    <dxf>
      <fill>
        <patternFill>
          <bgColor indexed="8"/>
        </patternFill>
      </fill>
    </dxf>
    <dxf>
      <fill>
        <patternFill>
          <bgColor indexed="8"/>
        </patternFill>
      </fill>
    </dxf>
    <dxf>
      <fill>
        <patternFill>
          <bgColor indexed="8"/>
        </patternFill>
      </fill>
    </dxf>
    <dxf>
      <fill>
        <patternFill>
          <bgColor indexed="8"/>
        </patternFill>
      </fill>
    </dxf>
    <dxf>
      <fill>
        <patternFill>
          <bgColor indexed="8"/>
        </patternFill>
      </fill>
    </dxf>
    <dxf>
      <fill>
        <patternFill>
          <bgColor indexed="8"/>
        </patternFill>
      </fill>
    </dxf>
    <dxf>
      <fill>
        <patternFill>
          <bgColor indexed="8"/>
        </patternFill>
      </fill>
    </dxf>
    <dxf>
      <fill>
        <patternFill>
          <bgColor indexed="8"/>
        </patternFill>
      </fill>
    </dxf>
    <dxf>
      <fill>
        <patternFill>
          <bgColor indexed="8"/>
        </patternFill>
      </fill>
    </dxf>
    <dxf>
      <fill>
        <patternFill>
          <bgColor indexed="8"/>
        </patternFill>
      </fill>
    </dxf>
    <dxf>
      <fill>
        <patternFill>
          <bgColor indexed="8"/>
        </patternFill>
      </fill>
    </dxf>
    <dxf>
      <fill>
        <patternFill>
          <bgColor indexed="8"/>
        </patternFill>
      </fill>
    </dxf>
    <dxf>
      <fill>
        <patternFill>
          <bgColor indexed="8"/>
        </patternFill>
      </fill>
    </dxf>
    <dxf>
      <fill>
        <patternFill>
          <bgColor indexed="8"/>
        </patternFill>
      </fill>
    </dxf>
    <dxf>
      <fill>
        <patternFill>
          <bgColor indexed="8"/>
        </patternFill>
      </fill>
    </dxf>
    <dxf>
      <fill>
        <patternFill>
          <bgColor indexed="8"/>
        </patternFill>
      </fill>
    </dxf>
    <dxf>
      <fill>
        <patternFill>
          <bgColor indexed="8"/>
        </patternFill>
      </fill>
    </dxf>
    <dxf>
      <fill>
        <patternFill>
          <bgColor indexed="8"/>
        </patternFill>
      </fill>
    </dxf>
    <dxf>
      <fill>
        <patternFill>
          <bgColor indexed="8"/>
        </patternFill>
      </fill>
    </dxf>
    <dxf>
      <fill>
        <patternFill>
          <bgColor indexed="8"/>
        </patternFill>
      </fill>
    </dxf>
    <dxf>
      <fill>
        <patternFill>
          <bgColor indexed="8"/>
        </patternFill>
      </fill>
    </dxf>
    <dxf>
      <fill>
        <patternFill>
          <bgColor indexed="8"/>
        </patternFill>
      </fill>
    </dxf>
    <dxf>
      <fill>
        <patternFill>
          <bgColor indexed="8"/>
        </patternFill>
      </fill>
    </dxf>
    <dxf>
      <fill>
        <patternFill>
          <bgColor indexed="8"/>
        </patternFill>
      </fill>
    </dxf>
    <dxf>
      <fill>
        <patternFill>
          <bgColor indexed="8"/>
        </patternFill>
      </fill>
    </dxf>
    <dxf>
      <fill>
        <patternFill>
          <bgColor indexed="8"/>
        </patternFill>
      </fill>
    </dxf>
    <dxf>
      <fill>
        <patternFill>
          <bgColor indexed="8"/>
        </patternFill>
      </fill>
    </dxf>
    <dxf>
      <fill>
        <patternFill>
          <bgColor indexed="8"/>
        </patternFill>
      </fill>
    </dxf>
    <dxf>
      <fill>
        <patternFill>
          <bgColor indexed="8"/>
        </patternFill>
      </fill>
    </dxf>
    <dxf>
      <fill>
        <patternFill>
          <bgColor indexed="8"/>
        </patternFill>
      </fill>
    </dxf>
    <dxf>
      <fill>
        <patternFill>
          <bgColor indexed="8"/>
        </patternFill>
      </fill>
    </dxf>
    <dxf>
      <fill>
        <patternFill>
          <bgColor indexed="8"/>
        </patternFill>
      </fill>
    </dxf>
    <dxf>
      <fill>
        <patternFill>
          <bgColor indexed="8"/>
        </patternFill>
      </fill>
    </dxf>
    <dxf>
      <fill>
        <patternFill>
          <bgColor indexed="8"/>
        </patternFill>
      </fill>
    </dxf>
    <dxf>
      <fill>
        <patternFill>
          <bgColor indexed="8"/>
        </patternFill>
      </fill>
    </dxf>
    <dxf>
      <fill>
        <patternFill>
          <bgColor indexed="8"/>
        </patternFill>
      </fill>
    </dxf>
    <dxf>
      <fill>
        <patternFill>
          <bgColor indexed="8"/>
        </patternFill>
      </fill>
    </dxf>
    <dxf>
      <fill>
        <patternFill>
          <bgColor indexed="8"/>
        </patternFill>
      </fill>
    </dxf>
    <dxf>
      <fill>
        <patternFill>
          <bgColor indexed="8"/>
        </patternFill>
      </fill>
    </dxf>
    <dxf>
      <fill>
        <patternFill>
          <bgColor indexed="8"/>
        </patternFill>
      </fill>
    </dxf>
    <dxf>
      <fill>
        <patternFill>
          <bgColor indexed="8"/>
        </patternFill>
      </fill>
    </dxf>
    <dxf>
      <fill>
        <patternFill>
          <bgColor indexed="8"/>
        </patternFill>
      </fill>
    </dxf>
    <dxf>
      <fill>
        <patternFill>
          <bgColor indexed="8"/>
        </patternFill>
      </fill>
    </dxf>
    <dxf>
      <fill>
        <patternFill>
          <bgColor indexed="8"/>
        </patternFill>
      </fill>
    </dxf>
    <dxf>
      <fill>
        <patternFill>
          <bgColor indexed="8"/>
        </patternFill>
      </fill>
    </dxf>
    <dxf>
      <fill>
        <patternFill>
          <bgColor indexed="8"/>
        </patternFill>
      </fill>
    </dxf>
    <dxf>
      <fill>
        <patternFill>
          <bgColor indexed="8"/>
        </patternFill>
      </fill>
    </dxf>
    <dxf>
      <fill>
        <patternFill>
          <bgColor indexed="8"/>
        </patternFill>
      </fill>
    </dxf>
    <dxf>
      <fill>
        <patternFill>
          <bgColor indexed="8"/>
        </patternFill>
      </fill>
    </dxf>
    <dxf>
      <fill>
        <patternFill>
          <bgColor indexed="8"/>
        </patternFill>
      </fill>
    </dxf>
    <dxf>
      <fill>
        <patternFill>
          <bgColor indexed="8"/>
        </patternFill>
      </fill>
    </dxf>
    <dxf>
      <fill>
        <patternFill>
          <bgColor indexed="8"/>
        </patternFill>
      </fill>
    </dxf>
    <dxf>
      <fill>
        <patternFill>
          <bgColor indexed="8"/>
        </patternFill>
      </fill>
    </dxf>
    <dxf>
      <fill>
        <patternFill>
          <bgColor indexed="8"/>
        </patternFill>
      </fill>
    </dxf>
    <dxf>
      <fill>
        <patternFill>
          <bgColor indexed="8"/>
        </patternFill>
      </fill>
    </dxf>
    <dxf>
      <fill>
        <patternFill>
          <bgColor indexed="8"/>
        </patternFill>
      </fill>
    </dxf>
    <dxf>
      <fill>
        <patternFill>
          <bgColor indexed="8"/>
        </patternFill>
      </fill>
    </dxf>
    <dxf>
      <fill>
        <patternFill>
          <bgColor indexed="8"/>
        </patternFill>
      </fill>
    </dxf>
    <dxf>
      <fill>
        <patternFill>
          <bgColor indexed="8"/>
        </patternFill>
      </fill>
    </dxf>
    <dxf>
      <fill>
        <patternFill>
          <bgColor indexed="8"/>
        </patternFill>
      </fill>
    </dxf>
    <dxf>
      <fill>
        <patternFill>
          <bgColor indexed="8"/>
        </patternFill>
      </fill>
    </dxf>
    <dxf>
      <fill>
        <patternFill>
          <bgColor indexed="8"/>
        </patternFill>
      </fill>
    </dxf>
    <dxf>
      <fill>
        <patternFill>
          <bgColor indexed="8"/>
        </patternFill>
      </fill>
    </dxf>
    <dxf>
      <fill>
        <patternFill>
          <bgColor indexed="8"/>
        </patternFill>
      </fill>
    </dxf>
    <dxf>
      <fill>
        <patternFill>
          <bgColor indexed="8"/>
        </patternFill>
      </fill>
    </dxf>
    <dxf>
      <fill>
        <patternFill>
          <bgColor indexed="8"/>
        </patternFill>
      </fill>
    </dxf>
    <dxf>
      <fill>
        <patternFill>
          <bgColor indexed="8"/>
        </patternFill>
      </fill>
    </dxf>
    <dxf>
      <fill>
        <patternFill>
          <bgColor indexed="8"/>
        </patternFill>
      </fill>
    </dxf>
    <dxf>
      <fill>
        <patternFill>
          <bgColor indexed="8"/>
        </patternFill>
      </fill>
    </dxf>
    <dxf>
      <fill>
        <patternFill>
          <bgColor indexed="8"/>
        </patternFill>
      </fill>
    </dxf>
    <dxf>
      <fill>
        <patternFill>
          <bgColor indexed="8"/>
        </patternFill>
      </fill>
    </dxf>
    <dxf>
      <fill>
        <patternFill>
          <bgColor indexed="8"/>
        </patternFill>
      </fill>
    </dxf>
    <dxf>
      <fill>
        <patternFill>
          <bgColor indexed="8"/>
        </patternFill>
      </fill>
    </dxf>
    <dxf>
      <fill>
        <patternFill>
          <bgColor indexed="8"/>
        </patternFill>
      </fill>
    </dxf>
    <dxf>
      <fill>
        <patternFill>
          <bgColor indexed="8"/>
        </patternFill>
      </fill>
    </dxf>
    <dxf>
      <fill>
        <patternFill>
          <bgColor indexed="8"/>
        </patternFill>
      </fill>
    </dxf>
    <dxf>
      <fill>
        <patternFill>
          <bgColor indexed="8"/>
        </patternFill>
      </fill>
    </dxf>
    <dxf>
      <fill>
        <patternFill>
          <bgColor indexed="8"/>
        </patternFill>
      </fill>
    </dxf>
    <dxf>
      <fill>
        <patternFill>
          <bgColor indexed="8"/>
        </patternFill>
      </fill>
    </dxf>
    <dxf>
      <fill>
        <patternFill>
          <bgColor indexed="8"/>
        </patternFill>
      </fill>
    </dxf>
    <dxf>
      <fill>
        <patternFill>
          <bgColor indexed="8"/>
        </patternFill>
      </fill>
    </dxf>
    <dxf>
      <fill>
        <patternFill>
          <bgColor indexed="8"/>
        </patternFill>
      </fill>
    </dxf>
    <dxf>
      <fill>
        <patternFill>
          <bgColor indexed="8"/>
        </patternFill>
      </fill>
    </dxf>
    <dxf>
      <fill>
        <patternFill>
          <bgColor indexed="8"/>
        </patternFill>
      </fill>
    </dxf>
    <dxf>
      <fill>
        <patternFill>
          <bgColor indexed="8"/>
        </patternFill>
      </fill>
    </dxf>
    <dxf>
      <fill>
        <patternFill>
          <bgColor indexed="8"/>
        </patternFill>
      </fill>
    </dxf>
    <dxf>
      <fill>
        <patternFill>
          <bgColor indexed="8"/>
        </patternFill>
      </fill>
    </dxf>
    <dxf>
      <fill>
        <patternFill>
          <bgColor indexed="8"/>
        </patternFill>
      </fill>
    </dxf>
    <dxf>
      <fill>
        <patternFill>
          <bgColor indexed="8"/>
        </patternFill>
      </fill>
    </dxf>
    <dxf>
      <fill>
        <patternFill>
          <bgColor indexed="8"/>
        </patternFill>
      </fill>
    </dxf>
    <dxf>
      <fill>
        <patternFill>
          <bgColor indexed="8"/>
        </patternFill>
      </fill>
    </dxf>
    <dxf>
      <fill>
        <patternFill>
          <bgColor indexed="8"/>
        </patternFill>
      </fill>
    </dxf>
    <dxf>
      <fill>
        <patternFill>
          <bgColor indexed="8"/>
        </patternFill>
      </fill>
    </dxf>
    <dxf>
      <fill>
        <patternFill>
          <bgColor indexed="8"/>
        </patternFill>
      </fill>
    </dxf>
    <dxf>
      <fill>
        <patternFill>
          <bgColor indexed="8"/>
        </patternFill>
      </fill>
    </dxf>
    <dxf>
      <fill>
        <patternFill>
          <bgColor indexed="8"/>
        </patternFill>
      </fill>
    </dxf>
    <dxf>
      <fill>
        <patternFill>
          <bgColor indexed="8"/>
        </patternFill>
      </fill>
    </dxf>
    <dxf>
      <fill>
        <patternFill>
          <bgColor indexed="8"/>
        </patternFill>
      </fill>
    </dxf>
    <dxf>
      <fill>
        <patternFill>
          <bgColor indexed="8"/>
        </patternFill>
      </fill>
    </dxf>
    <dxf>
      <fill>
        <patternFill>
          <bgColor indexed="8"/>
        </patternFill>
      </fill>
    </dxf>
    <dxf>
      <fill>
        <patternFill>
          <bgColor indexed="8"/>
        </patternFill>
      </fill>
    </dxf>
    <dxf>
      <fill>
        <patternFill>
          <bgColor indexed="8"/>
        </patternFill>
      </fill>
    </dxf>
    <dxf>
      <fill>
        <patternFill>
          <bgColor indexed="8"/>
        </patternFill>
      </fill>
    </dxf>
    <dxf>
      <fill>
        <patternFill>
          <bgColor indexed="8"/>
        </patternFill>
      </fill>
    </dxf>
    <dxf>
      <fill>
        <patternFill>
          <bgColor indexed="8"/>
        </patternFill>
      </fill>
    </dxf>
    <dxf>
      <fill>
        <patternFill>
          <bgColor indexed="8"/>
        </patternFill>
      </fill>
    </dxf>
    <dxf>
      <fill>
        <patternFill>
          <bgColor indexed="8"/>
        </patternFill>
      </fill>
    </dxf>
    <dxf>
      <fill>
        <patternFill>
          <bgColor indexed="8"/>
        </patternFill>
      </fill>
    </dxf>
    <dxf>
      <fill>
        <patternFill>
          <bgColor indexed="8"/>
        </patternFill>
      </fill>
    </dxf>
    <dxf>
      <fill>
        <patternFill>
          <bgColor indexed="8"/>
        </patternFill>
      </fill>
    </dxf>
    <dxf>
      <fill>
        <patternFill>
          <bgColor indexed="8"/>
        </patternFill>
      </fill>
    </dxf>
    <dxf>
      <fill>
        <patternFill>
          <bgColor indexed="8"/>
        </patternFill>
      </fill>
    </dxf>
    <dxf>
      <fill>
        <patternFill>
          <bgColor indexed="8"/>
        </patternFill>
      </fill>
    </dxf>
    <dxf>
      <fill>
        <patternFill>
          <bgColor indexed="8"/>
        </patternFill>
      </fill>
    </dxf>
    <dxf>
      <fill>
        <patternFill>
          <bgColor indexed="8"/>
        </patternFill>
      </fill>
    </dxf>
    <dxf>
      <fill>
        <patternFill>
          <bgColor indexed="8"/>
        </patternFill>
      </fill>
    </dxf>
    <dxf>
      <fill>
        <patternFill>
          <bgColor indexed="8"/>
        </patternFill>
      </fill>
    </dxf>
    <dxf>
      <fill>
        <patternFill>
          <bgColor indexed="8"/>
        </patternFill>
      </fill>
    </dxf>
    <dxf>
      <fill>
        <patternFill>
          <bgColor indexed="8"/>
        </patternFill>
      </fill>
    </dxf>
    <dxf>
      <fill>
        <patternFill>
          <bgColor indexed="8"/>
        </patternFill>
      </fill>
    </dxf>
    <dxf>
      <fill>
        <patternFill>
          <bgColor indexed="8"/>
        </patternFill>
      </fill>
    </dxf>
    <dxf>
      <fill>
        <patternFill>
          <bgColor indexed="8"/>
        </patternFill>
      </fill>
    </dxf>
    <dxf>
      <fill>
        <patternFill>
          <bgColor indexed="8"/>
        </patternFill>
      </fill>
    </dxf>
    <dxf>
      <fill>
        <patternFill>
          <bgColor indexed="8"/>
        </patternFill>
      </fill>
    </dxf>
    <dxf>
      <fill>
        <patternFill>
          <bgColor indexed="8"/>
        </patternFill>
      </fill>
    </dxf>
    <dxf>
      <fill>
        <patternFill>
          <bgColor indexed="8"/>
        </patternFill>
      </fill>
    </dxf>
    <dxf>
      <fill>
        <patternFill>
          <bgColor indexed="8"/>
        </patternFill>
      </fill>
    </dxf>
    <dxf>
      <fill>
        <patternFill>
          <bgColor indexed="8"/>
        </patternFill>
      </fill>
    </dxf>
    <dxf>
      <fill>
        <patternFill>
          <bgColor indexed="13"/>
        </patternFill>
      </fill>
    </dxf>
    <dxf>
      <fill>
        <patternFill patternType="solid">
          <bgColor indexed="22"/>
        </patternFill>
      </fill>
    </dxf>
    <dxf>
      <fill>
        <patternFill patternType="solid">
          <bgColor indexed="9"/>
        </patternFill>
      </fill>
    </dxf>
    <dxf>
      <protection locked="1"/>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border>
        <left style="thin">
          <color indexed="64"/>
        </left>
        <top style="thin">
          <color indexed="64"/>
        </top>
        <bottom style="thin">
          <color indexed="64"/>
        </bottom>
      </border>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border>
        <left style="thin">
          <color indexed="64"/>
        </left>
        <right style="thin">
          <color indexed="64"/>
        </right>
        <top style="thin">
          <color indexed="64"/>
        </top>
      </border>
    </dxf>
    <dxf>
      <border>
        <left/>
        <right/>
        <top/>
        <bottom/>
      </border>
    </dxf>
    <dxf>
      <font>
        <b val="0"/>
      </font>
    </dxf>
    <dxf>
      <font>
        <b val="0"/>
      </font>
    </dxf>
    <dxf>
      <border>
        <left style="thin">
          <color indexed="64"/>
        </left>
        <right style="thin">
          <color indexed="64"/>
        </right>
        <top style="thin">
          <color indexed="64"/>
        </top>
        <bottom style="thin">
          <color indexed="64"/>
        </bottom>
      </border>
    </dxf>
    <dxf>
      <fill>
        <patternFill patternType="solid">
          <fgColor indexed="22"/>
          <bgColor indexed="64"/>
        </patternFill>
      </fill>
    </dxf>
    <dxf>
      <font>
        <b val="0"/>
      </font>
    </dxf>
    <dxf>
      <font>
        <b val="0"/>
      </font>
    </dxf>
    <dxf>
      <font>
        <b val="0"/>
      </font>
    </dxf>
    <dxf>
      <font>
        <b val="0"/>
      </font>
    </dxf>
    <dxf>
      <font>
        <b val="0"/>
      </font>
    </dxf>
    <dxf>
      <alignment horizontal="left" vertical="top" wrapText="1" readingOrder="0"/>
    </dxf>
    <dxf>
      <alignment horizontal="left" vertical="top" wrapText="1" readingOrder="0"/>
    </dxf>
    <dxf>
      <alignment horizontal="center" readingOrder="0"/>
    </dxf>
    <dxf>
      <alignment horizontal="center" readingOrder="0"/>
    </dxf>
    <dxf>
      <font>
        <b/>
        <sz val="11"/>
        <color indexed="8"/>
      </font>
      <alignment horizontal="center" vertical="top" wrapText="1" readingOrder="0"/>
    </dxf>
    <dxf>
      <alignment horizontal="center" readingOrder="0"/>
    </dxf>
    <dxf>
      <alignment horizontal="center" readingOrder="0"/>
    </dxf>
    <dxf>
      <font>
        <b/>
        <sz val="11"/>
        <color indexed="8"/>
      </font>
      <alignment horizontal="left" vertical="top" wrapText="1" readingOrder="0"/>
    </dxf>
    <dxf>
      <font>
        <b/>
        <sz val="11"/>
        <color indexed="8"/>
      </font>
      <alignment horizontal="left" vertical="top" wrapText="1" readingOrder="0"/>
    </dxf>
    <dxf>
      <font>
        <b/>
        <sz val="11"/>
        <color indexed="8"/>
      </font>
      <alignment horizontal="left" vertical="top" wrapText="1" readingOrder="0"/>
    </dxf>
    <dxf>
      <font>
        <b/>
        <sz val="11"/>
        <color indexed="8"/>
      </font>
      <alignment horizontal="left" vertical="top" wrapText="1" readingOrder="0"/>
    </dxf>
    <dxf>
      <font>
        <b/>
      </font>
    </dxf>
    <dxf>
      <font>
        <sz val="11"/>
        <color indexed="8"/>
      </font>
      <alignment horizontal="left" vertical="top" wrapText="1" readingOrder="0"/>
    </dxf>
  </dxfs>
  <tableStyles count="0" defaultTableStyle="TableStyleMedium9" defaultPivotStyle="PivotStyleLight16"/>
  <colors>
    <mruColors>
      <color rgb="FFFFFFA0"/>
      <color rgb="FFFFFF8C"/>
      <color rgb="FFFFFF50"/>
      <color rgb="FF50FF50"/>
      <color rgb="FFFF5050"/>
      <color rgb="FFCCFFFF"/>
      <color rgb="FF78FF78"/>
      <color rgb="FF5050FF"/>
      <color rgb="FFCCFF66"/>
      <color rgb="FF99FF99"/>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6.xml"/><Relationship Id="rId13" Type="http://schemas.openxmlformats.org/officeDocument/2006/relationships/pivotCacheDefinition" Target="pivotCache/pivotCacheDefinition2.xml"/><Relationship Id="rId18" Type="http://schemas.openxmlformats.org/officeDocument/2006/relationships/calcChain" Target="calcChain.xml"/><Relationship Id="rId3" Type="http://schemas.openxmlformats.org/officeDocument/2006/relationships/chartsheet" Target="chartsheets/sheet1.xml"/><Relationship Id="rId7" Type="http://schemas.openxmlformats.org/officeDocument/2006/relationships/worksheet" Target="worksheets/sheet5.xml"/><Relationship Id="rId12" Type="http://schemas.openxmlformats.org/officeDocument/2006/relationships/pivotCacheDefinition" Target="pivotCache/pivotCacheDefinition1.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4.xml"/><Relationship Id="rId11" Type="http://schemas.openxmlformats.org/officeDocument/2006/relationships/worksheet" Target="worksheets/sheet9.xml"/><Relationship Id="rId5" Type="http://schemas.openxmlformats.org/officeDocument/2006/relationships/chartsheet" Target="chartsheets/sheet2.xml"/><Relationship Id="rId15" Type="http://schemas.openxmlformats.org/officeDocument/2006/relationships/theme" Target="theme/theme1.xml"/><Relationship Id="rId10" Type="http://schemas.openxmlformats.org/officeDocument/2006/relationships/worksheet" Target="worksheets/sheet8.xml"/><Relationship Id="rId19" Type="http://schemas.microsoft.com/office/2006/relationships/vbaProject" Target="vbaProject.bin"/><Relationship Id="rId4" Type="http://schemas.openxmlformats.org/officeDocument/2006/relationships/worksheet" Target="worksheets/sheet3.xml"/><Relationship Id="rId9" Type="http://schemas.openxmlformats.org/officeDocument/2006/relationships/worksheet" Target="worksheets/sheet7.xml"/><Relationship Id="rId14" Type="http://schemas.openxmlformats.org/officeDocument/2006/relationships/pivotCacheDefinition" Target="pivotCache/pivotCacheDefinition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activeX1.xml><?xml version="1.0" encoding="utf-8"?>
<ax:ocx xmlns:ax="http://schemas.microsoft.com/office/2006/activeX" xmlns:r="http://schemas.openxmlformats.org/officeDocument/2006/relationships" ax:classid="{8BD21D50-EC42-11CE-9E0D-00AA006002F3}" ax:persistence="persistStreamInit" r:id="rId1"/>
</file>

<file path=xl/activeX/activeX2.xml><?xml version="1.0" encoding="utf-8"?>
<ax:ocx xmlns:ax="http://schemas.microsoft.com/office/2006/activeX" xmlns:r="http://schemas.openxmlformats.org/officeDocument/2006/relationships" ax:classid="{8BD21D50-EC42-11CE-9E0D-00AA006002F3}"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8BD21D50-EC42-11CE-9E0D-00AA006002F3}" ax:persistence="persistStreamInit" r:id="rId1"/>
</file>

<file path=xl/activeX/activeX5.xml><?xml version="1.0" encoding="utf-8"?>
<ax:ocx xmlns:ax="http://schemas.microsoft.com/office/2006/activeX" xmlns:r="http://schemas.openxmlformats.org/officeDocument/2006/relationships" ax:classid="{8BD21D50-EC42-11CE-9E0D-00AA006002F3}" ax:persistence="persistStreamInit" r:id="rId1"/>
</file>

<file path=xl/activeX/activeX6.xml><?xml version="1.0" encoding="utf-8"?>
<ax:ocx xmlns:ax="http://schemas.microsoft.com/office/2006/activeX" xmlns:r="http://schemas.openxmlformats.org/officeDocument/2006/relationships" ax:classid="{8BD21D50-EC42-11CE-9E0D-00AA006002F3}" ax:persistence="persistStreamInit" r:id="rId1"/>
</file>

<file path=xl/activeX/activeX7.xml><?xml version="1.0" encoding="utf-8"?>
<ax:ocx xmlns:ax="http://schemas.microsoft.com/office/2006/activeX" xmlns:r="http://schemas.openxmlformats.org/officeDocument/2006/relationships" ax:classid="{8BD21D50-EC42-11CE-9E0D-00AA006002F3}" ax:persistence="persistStreamInit" r:id="rId1"/>
</file>

<file path=xl/activeX/activeX8.xml><?xml version="1.0" encoding="utf-8"?>
<ax:ocx xmlns:ax="http://schemas.microsoft.com/office/2006/activeX" xmlns:r="http://schemas.openxmlformats.org/officeDocument/2006/relationships" ax:classid="{8BD21D5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activeX/activeX10.xml><?xml version="1.0" encoding="utf-8"?>
<ax:ocx xmlns:ax="http://schemas.microsoft.com/office/2006/activeX" xmlns:r="http://schemas.openxmlformats.org/officeDocument/2006/relationships" ax:classid="{8BD21D40-EC42-11CE-9E0D-00AA006002F3}" ax:persistence="persistStreamInit" r:id="rId1"/>
</file>

<file path=xl/activeX/activeX11.xml><?xml version="1.0" encoding="utf-8"?>
<ax:ocx xmlns:ax="http://schemas.microsoft.com/office/2006/activeX" xmlns:r="http://schemas.openxmlformats.org/officeDocument/2006/relationships" ax:classid="{8BD21D40-EC42-11CE-9E0D-00AA006002F3}" ax:persistence="persistStreamInit" r:id="rId1"/>
</file>

<file path=xl/activeX/activeX12.xml><?xml version="1.0" encoding="utf-8"?>
<ax:ocx xmlns:ax="http://schemas.microsoft.com/office/2006/activeX" xmlns:r="http://schemas.openxmlformats.org/officeDocument/2006/relationships" ax:classid="{8BD21D40-EC42-11CE-9E0D-00AA006002F3}" ax:persistence="persistStreamInit" r:id="rId1"/>
</file>

<file path=xl/activeX/activeX13.xml><?xml version="1.0" encoding="utf-8"?>
<ax:ocx xmlns:ax="http://schemas.microsoft.com/office/2006/activeX" xmlns:r="http://schemas.openxmlformats.org/officeDocument/2006/relationships" ax:classid="{8BD21D40-EC42-11CE-9E0D-00AA006002F3}" ax:persistence="persistStreamInit" r:id="rId1"/>
</file>

<file path=xl/activeX/activeX14.xml><?xml version="1.0" encoding="utf-8"?>
<ax:ocx xmlns:ax="http://schemas.microsoft.com/office/2006/activeX" xmlns:r="http://schemas.openxmlformats.org/officeDocument/2006/relationships" ax:classid="{8BD21D40-EC42-11CE-9E0D-00AA006002F3}"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8BD21D50-EC42-11CE-9E0D-00AA006002F3}" ax:persistence="persistStreamInit" r:id="rId1"/>
</file>

<file path=xl/activeX/activeX18.xml><?xml version="1.0" encoding="utf-8"?>
<ax:ocx xmlns:ax="http://schemas.microsoft.com/office/2006/activeX" xmlns:r="http://schemas.openxmlformats.org/officeDocument/2006/relationships" ax:classid="{8BD21D50-EC42-11CE-9E0D-00AA006002F3}" ax:persistence="persistStreamInit" r:id="rId1"/>
</file>

<file path=xl/activeX/activeX19.xml><?xml version="1.0" encoding="utf-8"?>
<ax:ocx xmlns:ax="http://schemas.microsoft.com/office/2006/activeX" xmlns:r="http://schemas.openxmlformats.org/officeDocument/2006/relationships" ax:classid="{8BD21D40-EC42-11CE-9E0D-00AA006002F3}"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[ACL TOP LOGBOOK VIEWER (ENG) Rev3.xlsm]Summary Table!PivotTable1</c:name>
    <c:fmtId val="0"/>
  </c:pivotSource>
  <c:chart>
    <c:title>
      <c:tx>
        <c:rich>
          <a:bodyPr/>
          <a:lstStyle/>
          <a:p>
            <a:pPr>
              <a:defRPr sz="1800" b="1" i="0" u="none" strike="noStrike" baseline="0">
                <a:solidFill>
                  <a:srgbClr val="000000"/>
                </a:solidFill>
                <a:latin typeface="Arial"/>
                <a:ea typeface="Arial"/>
                <a:cs typeface="Arial"/>
              </a:defRPr>
            </a:pPr>
            <a:r>
              <a:rPr lang="it-IT"/>
              <a:t>Summary Graph Messages
counting by total amount</a:t>
            </a:r>
          </a:p>
        </c:rich>
      </c:tx>
      <c:overlay val="0"/>
      <c:spPr>
        <a:noFill/>
        <a:ln w="25400">
          <a:noFill/>
        </a:ln>
      </c:spPr>
    </c:title>
    <c:autoTitleDeleted val="0"/>
    <c:pivotFmts>
      <c:pivotFmt>
        <c:idx val="0"/>
        <c:marker>
          <c:symbol val="none"/>
        </c:marker>
      </c:pivotFmt>
      <c:pivotFmt>
        <c:idx val="1"/>
        <c:marker>
          <c:symbol val="none"/>
        </c:marker>
      </c:pivotFmt>
      <c:pivotFmt>
        <c:idx val="2"/>
        <c:marker>
          <c:symbol val="none"/>
        </c:marker>
      </c:pivotFmt>
      <c:pivotFmt>
        <c:idx val="3"/>
        <c:marker>
          <c:symbol val="none"/>
        </c:marker>
      </c:pivotFmt>
      <c:pivotFmt>
        <c:idx val="4"/>
        <c:marker>
          <c:symbol val="none"/>
        </c:marker>
      </c:pivotFmt>
      <c:pivotFmt>
        <c:idx val="5"/>
        <c:marker>
          <c:symbol val="none"/>
        </c:marker>
      </c:pivotFmt>
      <c:pivotFmt>
        <c:idx val="6"/>
        <c:marker>
          <c:symbol val="none"/>
        </c:marker>
      </c:pivotFmt>
      <c:pivotFmt>
        <c:idx val="7"/>
        <c:marker>
          <c:symbol val="none"/>
        </c:marker>
      </c:pivotFmt>
      <c:pivotFmt>
        <c:idx val="8"/>
        <c:marker>
          <c:symbol val="none"/>
        </c:marker>
      </c:pivotFmt>
      <c:pivotFmt>
        <c:idx val="9"/>
        <c:marker>
          <c:symbol val="none"/>
        </c:marker>
      </c:pivotFmt>
      <c:pivotFmt>
        <c:idx val="10"/>
        <c:marker>
          <c:symbol val="none"/>
        </c:marker>
      </c:pivotFmt>
      <c:pivotFmt>
        <c:idx val="11"/>
        <c:marker>
          <c:symbol val="none"/>
        </c:marker>
      </c:pivotFmt>
      <c:pivotFmt>
        <c:idx val="12"/>
        <c:marker>
          <c:symbol val="none"/>
        </c:marker>
      </c:pivotFmt>
      <c:pivotFmt>
        <c:idx val="13"/>
        <c:marker>
          <c:symbol val="none"/>
        </c:marker>
      </c:pivotFmt>
      <c:pivotFmt>
        <c:idx val="14"/>
        <c:marker>
          <c:symbol val="none"/>
        </c:marker>
      </c:pivotFmt>
      <c:pivotFmt>
        <c:idx val="15"/>
        <c:marker>
          <c:symbol val="none"/>
        </c:marker>
      </c:pivotFmt>
      <c:pivotFmt>
        <c:idx val="16"/>
        <c:marker>
          <c:symbol val="none"/>
        </c:marker>
      </c:pivotFmt>
      <c:pivotFmt>
        <c:idx val="17"/>
        <c:marker>
          <c:symbol val="none"/>
        </c:marker>
      </c:pivotFmt>
      <c:pivotFmt>
        <c:idx val="18"/>
        <c:marker>
          <c:symbol val="none"/>
        </c:marker>
      </c:pivotFmt>
      <c:pivotFmt>
        <c:idx val="19"/>
        <c:marker>
          <c:symbol val="none"/>
        </c:marker>
      </c:pivotFmt>
      <c:pivotFmt>
        <c:idx val="20"/>
        <c:marker>
          <c:symbol val="none"/>
        </c:marker>
      </c:pivotFmt>
      <c:pivotFmt>
        <c:idx val="21"/>
        <c:marker>
          <c:symbol val="none"/>
        </c:marker>
      </c:pivotFmt>
      <c:pivotFmt>
        <c:idx val="22"/>
        <c:marker>
          <c:symbol val="none"/>
        </c:marker>
      </c:pivotFmt>
      <c:pivotFmt>
        <c:idx val="23"/>
        <c:marker>
          <c:symbol val="none"/>
        </c:marker>
      </c:pivotFmt>
      <c:pivotFmt>
        <c:idx val="24"/>
        <c:marker>
          <c:symbol val="none"/>
        </c:marker>
      </c:pivotFmt>
      <c:pivotFmt>
        <c:idx val="25"/>
        <c:marker>
          <c:symbol val="none"/>
        </c:marker>
      </c:pivotFmt>
      <c:pivotFmt>
        <c:idx val="26"/>
        <c:marker>
          <c:symbol val="none"/>
        </c:marker>
      </c:pivotFmt>
      <c:pivotFmt>
        <c:idx val="27"/>
        <c:marker>
          <c:symbol val="none"/>
        </c:marker>
      </c:pivotFmt>
      <c:pivotFmt>
        <c:idx val="28"/>
        <c:marker>
          <c:symbol val="none"/>
        </c:marker>
      </c:pivotFmt>
      <c:pivotFmt>
        <c:idx val="29"/>
        <c:marker>
          <c:symbol val="none"/>
        </c:marker>
      </c:pivotFmt>
      <c:pivotFmt>
        <c:idx val="30"/>
        <c:marker>
          <c:symbol val="none"/>
        </c:marker>
      </c:pivotFmt>
      <c:pivotFmt>
        <c:idx val="31"/>
        <c:marker>
          <c:symbol val="none"/>
        </c:marker>
      </c:pivotFmt>
      <c:pivotFmt>
        <c:idx val="32"/>
        <c:marker>
          <c:symbol val="none"/>
        </c:marker>
      </c:pivotFmt>
      <c:pivotFmt>
        <c:idx val="33"/>
        <c:marker>
          <c:symbol val="none"/>
        </c:marker>
      </c:pivotFmt>
      <c:pivotFmt>
        <c:idx val="34"/>
        <c:marker>
          <c:symbol val="none"/>
        </c:marker>
      </c:pivotFmt>
      <c:pivotFmt>
        <c:idx val="35"/>
        <c:marker>
          <c:symbol val="none"/>
        </c:marker>
      </c:pivotFmt>
      <c:pivotFmt>
        <c:idx val="36"/>
        <c:marker>
          <c:symbol val="none"/>
        </c:marker>
      </c:pivotFmt>
      <c:pivotFmt>
        <c:idx val="37"/>
        <c:marker>
          <c:symbol val="none"/>
        </c:marker>
      </c:pivotFmt>
      <c:pivotFmt>
        <c:idx val="38"/>
        <c:marker>
          <c:symbol val="none"/>
        </c:marker>
      </c:pivotFmt>
      <c:pivotFmt>
        <c:idx val="39"/>
        <c:marker>
          <c:symbol val="none"/>
        </c:marker>
      </c:pivotFmt>
      <c:pivotFmt>
        <c:idx val="40"/>
        <c:marker>
          <c:symbol val="none"/>
        </c:marker>
      </c:pivotFmt>
      <c:pivotFmt>
        <c:idx val="41"/>
        <c:marker>
          <c:symbol val="none"/>
        </c:marker>
      </c:pivotFmt>
      <c:pivotFmt>
        <c:idx val="42"/>
        <c:marker>
          <c:symbol val="none"/>
        </c:marker>
      </c:pivotFmt>
      <c:pivotFmt>
        <c:idx val="43"/>
        <c:marker>
          <c:symbol val="none"/>
        </c:marker>
      </c:pivotFmt>
      <c:pivotFmt>
        <c:idx val="44"/>
        <c:marker>
          <c:symbol val="none"/>
        </c:marker>
      </c:pivotFmt>
      <c:pivotFmt>
        <c:idx val="45"/>
        <c:marker>
          <c:symbol val="none"/>
        </c:marker>
      </c:pivotFmt>
      <c:pivotFmt>
        <c:idx val="46"/>
        <c:marker>
          <c:symbol val="none"/>
        </c:marker>
      </c:pivotFmt>
      <c:pivotFmt>
        <c:idx val="47"/>
        <c:marker>
          <c:symbol val="none"/>
        </c:marker>
      </c:pivotFmt>
      <c:pivotFmt>
        <c:idx val="48"/>
        <c:marker>
          <c:symbol val="none"/>
        </c:marker>
      </c:pivotFmt>
      <c:pivotFmt>
        <c:idx val="49"/>
        <c:marker>
          <c:symbol val="none"/>
        </c:marker>
      </c:pivotFmt>
      <c:pivotFmt>
        <c:idx val="50"/>
        <c:marker>
          <c:symbol val="none"/>
        </c:marker>
      </c:pivotFmt>
      <c:pivotFmt>
        <c:idx val="51"/>
        <c:marker>
          <c:symbol val="none"/>
        </c:marker>
      </c:pivotFmt>
      <c:pivotFmt>
        <c:idx val="52"/>
        <c:marker>
          <c:symbol val="none"/>
        </c:marker>
      </c:pivotFmt>
      <c:pivotFmt>
        <c:idx val="53"/>
        <c:marker>
          <c:symbol val="none"/>
        </c:marker>
      </c:pivotFmt>
      <c:pivotFmt>
        <c:idx val="54"/>
        <c:marker>
          <c:symbol val="none"/>
        </c:marker>
      </c:pivotFmt>
      <c:pivotFmt>
        <c:idx val="55"/>
        <c:marker>
          <c:symbol val="none"/>
        </c:marker>
      </c:pivotFmt>
      <c:pivotFmt>
        <c:idx val="56"/>
        <c:marker>
          <c:symbol val="none"/>
        </c:marker>
      </c:pivotFmt>
      <c:pivotFmt>
        <c:idx val="57"/>
        <c:marker>
          <c:symbol val="none"/>
        </c:marker>
      </c:pivotFmt>
      <c:pivotFmt>
        <c:idx val="58"/>
        <c:marker>
          <c:symbol val="none"/>
        </c:marker>
      </c:pivotFmt>
      <c:pivotFmt>
        <c:idx val="59"/>
        <c:marker>
          <c:symbol val="none"/>
        </c:marker>
      </c:pivotFmt>
      <c:pivotFmt>
        <c:idx val="60"/>
        <c:marker>
          <c:symbol val="none"/>
        </c:marker>
      </c:pivotFmt>
      <c:pivotFmt>
        <c:idx val="61"/>
        <c:marker>
          <c:symbol val="none"/>
        </c:marker>
      </c:pivotFmt>
      <c:pivotFmt>
        <c:idx val="62"/>
        <c:marker>
          <c:symbol val="none"/>
        </c:marker>
      </c:pivotFmt>
      <c:pivotFmt>
        <c:idx val="63"/>
        <c:marker>
          <c:symbol val="none"/>
        </c:marker>
      </c:pivotFmt>
      <c:pivotFmt>
        <c:idx val="64"/>
        <c:marker>
          <c:symbol val="none"/>
        </c:marker>
      </c:pivotFmt>
      <c:pivotFmt>
        <c:idx val="65"/>
        <c:marker>
          <c:symbol val="none"/>
        </c:marker>
      </c:pivotFmt>
      <c:pivotFmt>
        <c:idx val="66"/>
        <c:marker>
          <c:symbol val="none"/>
        </c:marker>
      </c:pivotFmt>
      <c:pivotFmt>
        <c:idx val="67"/>
        <c:marker>
          <c:symbol val="none"/>
        </c:marker>
      </c:pivotFmt>
      <c:pivotFmt>
        <c:idx val="68"/>
        <c:marker>
          <c:symbol val="none"/>
        </c:marker>
      </c:pivotFmt>
      <c:pivotFmt>
        <c:idx val="69"/>
        <c:marker>
          <c:symbol val="none"/>
        </c:marker>
      </c:pivotFmt>
      <c:pivotFmt>
        <c:idx val="70"/>
        <c:marker>
          <c:symbol val="none"/>
        </c:marker>
      </c:pivotFmt>
      <c:pivotFmt>
        <c:idx val="71"/>
        <c:marker>
          <c:symbol val="none"/>
        </c:marker>
      </c:pivotFmt>
      <c:pivotFmt>
        <c:idx val="72"/>
        <c:marker>
          <c:symbol val="none"/>
        </c:marker>
      </c:pivotFmt>
      <c:pivotFmt>
        <c:idx val="73"/>
        <c:marker>
          <c:symbol val="none"/>
        </c:marker>
      </c:pivotFmt>
      <c:pivotFmt>
        <c:idx val="74"/>
        <c:marker>
          <c:symbol val="none"/>
        </c:marker>
      </c:pivotFmt>
      <c:pivotFmt>
        <c:idx val="75"/>
        <c:marker>
          <c:symbol val="none"/>
        </c:marker>
      </c:pivotFmt>
      <c:pivotFmt>
        <c:idx val="76"/>
        <c:marker>
          <c:symbol val="none"/>
        </c:marker>
      </c:pivotFmt>
      <c:pivotFmt>
        <c:idx val="77"/>
        <c:marker>
          <c:symbol val="none"/>
        </c:marker>
      </c:pivotFmt>
      <c:pivotFmt>
        <c:idx val="78"/>
        <c:marker>
          <c:symbol val="none"/>
        </c:marker>
      </c:pivotFmt>
      <c:pivotFmt>
        <c:idx val="79"/>
        <c:marker>
          <c:symbol val="none"/>
        </c:marker>
      </c:pivotFmt>
      <c:pivotFmt>
        <c:idx val="80"/>
        <c:marker>
          <c:symbol val="none"/>
        </c:marker>
      </c:pivotFmt>
      <c:pivotFmt>
        <c:idx val="81"/>
        <c:marker>
          <c:symbol val="none"/>
        </c:marker>
      </c:pivotFmt>
      <c:pivotFmt>
        <c:idx val="82"/>
        <c:marker>
          <c:symbol val="none"/>
        </c:marker>
      </c:pivotFmt>
      <c:pivotFmt>
        <c:idx val="83"/>
        <c:marker>
          <c:symbol val="none"/>
        </c:marker>
      </c:pivotFmt>
      <c:pivotFmt>
        <c:idx val="84"/>
        <c:marker>
          <c:symbol val="none"/>
        </c:marker>
      </c:pivotFmt>
      <c:pivotFmt>
        <c:idx val="85"/>
        <c:marker>
          <c:symbol val="none"/>
        </c:marker>
      </c:pivotFmt>
      <c:pivotFmt>
        <c:idx val="86"/>
        <c:marker>
          <c:symbol val="none"/>
        </c:marker>
      </c:pivotFmt>
      <c:pivotFmt>
        <c:idx val="87"/>
        <c:marker>
          <c:symbol val="none"/>
        </c:marker>
      </c:pivotFmt>
      <c:pivotFmt>
        <c:idx val="88"/>
        <c:marker>
          <c:symbol val="none"/>
        </c:marker>
      </c:pivotFmt>
      <c:pivotFmt>
        <c:idx val="89"/>
        <c:marker>
          <c:symbol val="none"/>
        </c:marker>
      </c:pivotFmt>
      <c:pivotFmt>
        <c:idx val="90"/>
        <c:marker>
          <c:symbol val="none"/>
        </c:marker>
      </c:pivotFmt>
      <c:pivotFmt>
        <c:idx val="91"/>
        <c:marker>
          <c:symbol val="none"/>
        </c:marker>
      </c:pivotFmt>
      <c:pivotFmt>
        <c:idx val="92"/>
        <c:marker>
          <c:symbol val="none"/>
        </c:marker>
      </c:pivotFmt>
      <c:pivotFmt>
        <c:idx val="93"/>
        <c:marker>
          <c:symbol val="none"/>
        </c:marker>
      </c:pivotFmt>
      <c:pivotFmt>
        <c:idx val="94"/>
        <c:marker>
          <c:symbol val="none"/>
        </c:marker>
      </c:pivotFmt>
      <c:pivotFmt>
        <c:idx val="95"/>
        <c:marker>
          <c:symbol val="none"/>
        </c:marker>
      </c:pivotFmt>
      <c:pivotFmt>
        <c:idx val="96"/>
        <c:marker>
          <c:symbol val="none"/>
        </c:marker>
      </c:pivotFmt>
      <c:pivotFmt>
        <c:idx val="97"/>
        <c:marker>
          <c:symbol val="none"/>
        </c:marker>
      </c:pivotFmt>
      <c:pivotFmt>
        <c:idx val="98"/>
        <c:marker>
          <c:symbol val="none"/>
        </c:marker>
      </c:pivotFmt>
      <c:pivotFmt>
        <c:idx val="99"/>
        <c:marker>
          <c:symbol val="none"/>
        </c:marker>
      </c:pivotFmt>
      <c:pivotFmt>
        <c:idx val="100"/>
        <c:marker>
          <c:symbol val="none"/>
        </c:marker>
      </c:pivotFmt>
      <c:pivotFmt>
        <c:idx val="101"/>
        <c:marker>
          <c:symbol val="none"/>
        </c:marker>
      </c:pivotFmt>
      <c:pivotFmt>
        <c:idx val="102"/>
        <c:marker>
          <c:symbol val="none"/>
        </c:marker>
      </c:pivotFmt>
      <c:pivotFmt>
        <c:idx val="103"/>
        <c:marker>
          <c:symbol val="none"/>
        </c:marker>
      </c:pivotFmt>
      <c:pivotFmt>
        <c:idx val="104"/>
        <c:marker>
          <c:symbol val="none"/>
        </c:marker>
      </c:pivotFmt>
      <c:pivotFmt>
        <c:idx val="105"/>
        <c:marker>
          <c:symbol val="none"/>
        </c:marker>
      </c:pivotFmt>
      <c:pivotFmt>
        <c:idx val="106"/>
        <c:marker>
          <c:symbol val="none"/>
        </c:marker>
      </c:pivotFmt>
      <c:pivotFmt>
        <c:idx val="107"/>
        <c:marker>
          <c:symbol val="none"/>
        </c:marker>
      </c:pivotFmt>
      <c:pivotFmt>
        <c:idx val="108"/>
        <c:marker>
          <c:symbol val="none"/>
        </c:marker>
      </c:pivotFmt>
      <c:pivotFmt>
        <c:idx val="109"/>
        <c:marker>
          <c:symbol val="none"/>
        </c:marker>
      </c:pivotFmt>
      <c:pivotFmt>
        <c:idx val="110"/>
        <c:marker>
          <c:symbol val="none"/>
        </c:marker>
      </c:pivotFmt>
      <c:pivotFmt>
        <c:idx val="111"/>
        <c:marker>
          <c:symbol val="none"/>
        </c:marker>
      </c:pivotFmt>
      <c:pivotFmt>
        <c:idx val="112"/>
        <c:marker>
          <c:symbol val="none"/>
        </c:marker>
      </c:pivotFmt>
      <c:pivotFmt>
        <c:idx val="113"/>
        <c:marker>
          <c:symbol val="none"/>
        </c:marker>
      </c:pivotFmt>
      <c:pivotFmt>
        <c:idx val="114"/>
        <c:marker>
          <c:symbol val="none"/>
        </c:marker>
      </c:pivotFmt>
      <c:pivotFmt>
        <c:idx val="115"/>
        <c:marker>
          <c:symbol val="none"/>
        </c:marker>
      </c:pivotFmt>
      <c:pivotFmt>
        <c:idx val="116"/>
        <c:marker>
          <c:symbol val="none"/>
        </c:marker>
      </c:pivotFmt>
      <c:pivotFmt>
        <c:idx val="117"/>
        <c:marker>
          <c:symbol val="none"/>
        </c:marker>
      </c:pivotFmt>
      <c:pivotFmt>
        <c:idx val="118"/>
        <c:marker>
          <c:symbol val="none"/>
        </c:marker>
      </c:pivotFmt>
      <c:pivotFmt>
        <c:idx val="119"/>
        <c:marker>
          <c:symbol val="none"/>
        </c:marker>
      </c:pivotFmt>
      <c:pivotFmt>
        <c:idx val="120"/>
        <c:marker>
          <c:symbol val="none"/>
        </c:marker>
      </c:pivotFmt>
      <c:pivotFmt>
        <c:idx val="121"/>
        <c:marker>
          <c:symbol val="none"/>
        </c:marker>
      </c:pivotFmt>
      <c:pivotFmt>
        <c:idx val="122"/>
        <c:marker>
          <c:symbol val="none"/>
        </c:marker>
      </c:pivotFmt>
      <c:pivotFmt>
        <c:idx val="123"/>
        <c:marker>
          <c:symbol val="none"/>
        </c:marker>
      </c:pivotFmt>
      <c:pivotFmt>
        <c:idx val="124"/>
        <c:marker>
          <c:symbol val="none"/>
        </c:marker>
      </c:pivotFmt>
      <c:pivotFmt>
        <c:idx val="125"/>
        <c:marker>
          <c:symbol val="none"/>
        </c:marker>
      </c:pivotFmt>
      <c:pivotFmt>
        <c:idx val="126"/>
        <c:marker>
          <c:symbol val="none"/>
        </c:marker>
      </c:pivotFmt>
      <c:pivotFmt>
        <c:idx val="127"/>
        <c:marker>
          <c:symbol val="none"/>
        </c:marker>
      </c:pivotFmt>
      <c:pivotFmt>
        <c:idx val="128"/>
        <c:marker>
          <c:symbol val="none"/>
        </c:marker>
      </c:pivotFmt>
      <c:pivotFmt>
        <c:idx val="129"/>
        <c:marker>
          <c:symbol val="none"/>
        </c:marker>
      </c:pivotFmt>
      <c:pivotFmt>
        <c:idx val="130"/>
        <c:marker>
          <c:symbol val="none"/>
        </c:marker>
      </c:pivotFmt>
      <c:pivotFmt>
        <c:idx val="131"/>
        <c:marker>
          <c:symbol val="none"/>
        </c:marker>
      </c:pivotFmt>
      <c:pivotFmt>
        <c:idx val="132"/>
        <c:marker>
          <c:symbol val="none"/>
        </c:marker>
      </c:pivotFmt>
      <c:pivotFmt>
        <c:idx val="133"/>
        <c:marker>
          <c:symbol val="none"/>
        </c:marker>
      </c:pivotFmt>
      <c:pivotFmt>
        <c:idx val="134"/>
        <c:marker>
          <c:symbol val="none"/>
        </c:marker>
      </c:pivotFmt>
      <c:pivotFmt>
        <c:idx val="135"/>
        <c:marker>
          <c:symbol val="none"/>
        </c:marker>
      </c:pivotFmt>
      <c:pivotFmt>
        <c:idx val="136"/>
        <c:marker>
          <c:symbol val="none"/>
        </c:marker>
      </c:pivotFmt>
      <c:pivotFmt>
        <c:idx val="137"/>
        <c:marker>
          <c:symbol val="none"/>
        </c:marker>
      </c:pivotFmt>
      <c:pivotFmt>
        <c:idx val="138"/>
        <c:marker>
          <c:symbol val="none"/>
        </c:marker>
      </c:pivotFmt>
      <c:pivotFmt>
        <c:idx val="139"/>
        <c:marker>
          <c:symbol val="none"/>
        </c:marker>
      </c:pivotFmt>
      <c:pivotFmt>
        <c:idx val="140"/>
        <c:marker>
          <c:symbol val="none"/>
        </c:marker>
      </c:pivotFmt>
      <c:pivotFmt>
        <c:idx val="141"/>
        <c:marker>
          <c:symbol val="none"/>
        </c:marker>
      </c:pivotFmt>
      <c:pivotFmt>
        <c:idx val="142"/>
        <c:marker>
          <c:symbol val="none"/>
        </c:marker>
      </c:pivotFmt>
      <c:pivotFmt>
        <c:idx val="143"/>
        <c:marker>
          <c:symbol val="none"/>
        </c:marker>
      </c:pivotFmt>
      <c:pivotFmt>
        <c:idx val="144"/>
        <c:marker>
          <c:symbol val="none"/>
        </c:marker>
      </c:pivotFmt>
      <c:pivotFmt>
        <c:idx val="145"/>
        <c:marker>
          <c:symbol val="none"/>
        </c:marker>
      </c:pivotFmt>
      <c:pivotFmt>
        <c:idx val="146"/>
        <c:marker>
          <c:symbol val="none"/>
        </c:marker>
      </c:pivotFmt>
      <c:pivotFmt>
        <c:idx val="147"/>
        <c:marker>
          <c:symbol val="none"/>
        </c:marker>
      </c:pivotFmt>
      <c:pivotFmt>
        <c:idx val="148"/>
        <c:marker>
          <c:symbol val="none"/>
        </c:marker>
      </c:pivotFmt>
      <c:pivotFmt>
        <c:idx val="149"/>
        <c:marker>
          <c:symbol val="none"/>
        </c:marker>
      </c:pivotFmt>
      <c:pivotFmt>
        <c:idx val="150"/>
        <c:marker>
          <c:symbol val="none"/>
        </c:marker>
      </c:pivotFmt>
      <c:pivotFmt>
        <c:idx val="151"/>
        <c:marker>
          <c:symbol val="none"/>
        </c:marker>
      </c:pivotFmt>
      <c:pivotFmt>
        <c:idx val="152"/>
        <c:marker>
          <c:symbol val="none"/>
        </c:marker>
      </c:pivotFmt>
      <c:pivotFmt>
        <c:idx val="153"/>
        <c:marker>
          <c:symbol val="none"/>
        </c:marker>
      </c:pivotFmt>
      <c:pivotFmt>
        <c:idx val="154"/>
        <c:marker>
          <c:symbol val="none"/>
        </c:marker>
      </c:pivotFmt>
      <c:pivotFmt>
        <c:idx val="155"/>
        <c:marker>
          <c:symbol val="none"/>
        </c:marker>
      </c:pivotFmt>
      <c:pivotFmt>
        <c:idx val="156"/>
        <c:marker>
          <c:symbol val="none"/>
        </c:marker>
      </c:pivotFmt>
      <c:pivotFmt>
        <c:idx val="157"/>
        <c:marker>
          <c:symbol val="none"/>
        </c:marker>
      </c:pivotFmt>
      <c:pivotFmt>
        <c:idx val="158"/>
        <c:marker>
          <c:symbol val="none"/>
        </c:marker>
      </c:pivotFmt>
      <c:pivotFmt>
        <c:idx val="159"/>
        <c:marker>
          <c:symbol val="none"/>
        </c:marker>
      </c:pivotFmt>
      <c:pivotFmt>
        <c:idx val="160"/>
        <c:marker>
          <c:symbol val="none"/>
        </c:marker>
      </c:pivotFmt>
      <c:pivotFmt>
        <c:idx val="161"/>
        <c:marker>
          <c:symbol val="none"/>
        </c:marker>
      </c:pivotFmt>
      <c:pivotFmt>
        <c:idx val="162"/>
        <c:marker>
          <c:symbol val="none"/>
        </c:marker>
      </c:pivotFmt>
      <c:pivotFmt>
        <c:idx val="163"/>
        <c:marker>
          <c:symbol val="none"/>
        </c:marker>
      </c:pivotFmt>
      <c:pivotFmt>
        <c:idx val="164"/>
        <c:marker>
          <c:symbol val="none"/>
        </c:marker>
      </c:pivotFmt>
      <c:pivotFmt>
        <c:idx val="165"/>
        <c:marker>
          <c:symbol val="none"/>
        </c:marker>
      </c:pivotFmt>
      <c:pivotFmt>
        <c:idx val="166"/>
        <c:marker>
          <c:symbol val="none"/>
        </c:marker>
      </c:pivotFmt>
      <c:pivotFmt>
        <c:idx val="167"/>
        <c:marker>
          <c:symbol val="none"/>
        </c:marker>
      </c:pivotFmt>
      <c:pivotFmt>
        <c:idx val="168"/>
        <c:marker>
          <c:symbol val="none"/>
        </c:marker>
      </c:pivotFmt>
      <c:pivotFmt>
        <c:idx val="169"/>
        <c:marker>
          <c:symbol val="none"/>
        </c:marker>
      </c:pivotFmt>
      <c:pivotFmt>
        <c:idx val="170"/>
        <c:marker>
          <c:symbol val="none"/>
        </c:marker>
      </c:pivotFmt>
      <c:pivotFmt>
        <c:idx val="171"/>
        <c:marker>
          <c:symbol val="none"/>
        </c:marker>
      </c:pivotFmt>
      <c:pivotFmt>
        <c:idx val="172"/>
        <c:marker>
          <c:symbol val="none"/>
        </c:marker>
      </c:pivotFmt>
      <c:pivotFmt>
        <c:idx val="173"/>
        <c:marker>
          <c:symbol val="none"/>
        </c:marker>
      </c:pivotFmt>
      <c:pivotFmt>
        <c:idx val="174"/>
        <c:marker>
          <c:symbol val="none"/>
        </c:marker>
      </c:pivotFmt>
      <c:pivotFmt>
        <c:idx val="175"/>
        <c:marker>
          <c:symbol val="none"/>
        </c:marker>
      </c:pivotFmt>
      <c:pivotFmt>
        <c:idx val="176"/>
        <c:marker>
          <c:symbol val="none"/>
        </c:marker>
      </c:pivotFmt>
      <c:pivotFmt>
        <c:idx val="177"/>
        <c:marker>
          <c:symbol val="none"/>
        </c:marker>
      </c:pivotFmt>
      <c:pivotFmt>
        <c:idx val="178"/>
        <c:marker>
          <c:symbol val="none"/>
        </c:marker>
      </c:pivotFmt>
      <c:pivotFmt>
        <c:idx val="179"/>
        <c:marker>
          <c:symbol val="none"/>
        </c:marker>
      </c:pivotFmt>
      <c:pivotFmt>
        <c:idx val="180"/>
        <c:marker>
          <c:symbol val="none"/>
        </c:marker>
      </c:pivotFmt>
      <c:pivotFmt>
        <c:idx val="181"/>
        <c:marker>
          <c:symbol val="none"/>
        </c:marker>
      </c:pivotFmt>
      <c:pivotFmt>
        <c:idx val="182"/>
        <c:marker>
          <c:symbol val="none"/>
        </c:marker>
      </c:pivotFmt>
      <c:pivotFmt>
        <c:idx val="183"/>
        <c:marker>
          <c:symbol val="none"/>
        </c:marker>
      </c:pivotFmt>
      <c:pivotFmt>
        <c:idx val="184"/>
        <c:marker>
          <c:symbol val="none"/>
        </c:marker>
      </c:pivotFmt>
      <c:pivotFmt>
        <c:idx val="185"/>
        <c:marker>
          <c:symbol val="none"/>
        </c:marker>
      </c:pivotFmt>
      <c:pivotFmt>
        <c:idx val="186"/>
        <c:marker>
          <c:symbol val="none"/>
        </c:marker>
      </c:pivotFmt>
      <c:pivotFmt>
        <c:idx val="187"/>
        <c:marker>
          <c:symbol val="none"/>
        </c:marker>
      </c:pivotFmt>
      <c:pivotFmt>
        <c:idx val="188"/>
        <c:marker>
          <c:symbol val="none"/>
        </c:marker>
      </c:pivotFmt>
      <c:pivotFmt>
        <c:idx val="189"/>
        <c:marker>
          <c:symbol val="none"/>
        </c:marker>
      </c:pivotFmt>
      <c:pivotFmt>
        <c:idx val="190"/>
        <c:marker>
          <c:symbol val="none"/>
        </c:marker>
      </c:pivotFmt>
      <c:pivotFmt>
        <c:idx val="191"/>
        <c:marker>
          <c:symbol val="none"/>
        </c:marker>
      </c:pivotFmt>
      <c:pivotFmt>
        <c:idx val="192"/>
        <c:marker>
          <c:symbol val="none"/>
        </c:marker>
      </c:pivotFmt>
      <c:pivotFmt>
        <c:idx val="193"/>
        <c:marker>
          <c:symbol val="none"/>
        </c:marker>
      </c:pivotFmt>
      <c:pivotFmt>
        <c:idx val="194"/>
        <c:marker>
          <c:symbol val="none"/>
        </c:marker>
      </c:pivotFmt>
      <c:pivotFmt>
        <c:idx val="195"/>
        <c:marker>
          <c:symbol val="none"/>
        </c:marker>
      </c:pivotFmt>
      <c:pivotFmt>
        <c:idx val="196"/>
        <c:marker>
          <c:symbol val="none"/>
        </c:marker>
      </c:pivotFmt>
      <c:pivotFmt>
        <c:idx val="197"/>
        <c:marker>
          <c:symbol val="none"/>
        </c:marker>
      </c:pivotFmt>
      <c:pivotFmt>
        <c:idx val="198"/>
        <c:marker>
          <c:symbol val="none"/>
        </c:marker>
      </c:pivotFmt>
      <c:pivotFmt>
        <c:idx val="199"/>
        <c:marker>
          <c:symbol val="none"/>
        </c:marker>
      </c:pivotFmt>
      <c:pivotFmt>
        <c:idx val="200"/>
        <c:marker>
          <c:symbol val="none"/>
        </c:marker>
      </c:pivotFmt>
      <c:pivotFmt>
        <c:idx val="201"/>
        <c:marker>
          <c:symbol val="none"/>
        </c:marker>
      </c:pivotFmt>
      <c:pivotFmt>
        <c:idx val="202"/>
        <c:marker>
          <c:symbol val="none"/>
        </c:marker>
      </c:pivotFmt>
      <c:pivotFmt>
        <c:idx val="203"/>
        <c:marker>
          <c:symbol val="none"/>
        </c:marker>
      </c:pivotFmt>
      <c:pivotFmt>
        <c:idx val="204"/>
        <c:marker>
          <c:symbol val="none"/>
        </c:marker>
      </c:pivotFmt>
      <c:pivotFmt>
        <c:idx val="205"/>
        <c:marker>
          <c:symbol val="none"/>
        </c:marker>
      </c:pivotFmt>
      <c:pivotFmt>
        <c:idx val="206"/>
        <c:marker>
          <c:symbol val="none"/>
        </c:marker>
      </c:pivotFmt>
      <c:pivotFmt>
        <c:idx val="207"/>
        <c:marker>
          <c:symbol val="none"/>
        </c:marker>
      </c:pivotFmt>
      <c:pivotFmt>
        <c:idx val="208"/>
        <c:marker>
          <c:symbol val="none"/>
        </c:marker>
      </c:pivotFmt>
      <c:pivotFmt>
        <c:idx val="209"/>
        <c:marker>
          <c:symbol val="none"/>
        </c:marker>
      </c:pivotFmt>
      <c:pivotFmt>
        <c:idx val="210"/>
        <c:marker>
          <c:symbol val="none"/>
        </c:marker>
      </c:pivotFmt>
      <c:pivotFmt>
        <c:idx val="211"/>
        <c:marker>
          <c:symbol val="none"/>
        </c:marker>
      </c:pivotFmt>
      <c:pivotFmt>
        <c:idx val="212"/>
        <c:marker>
          <c:symbol val="none"/>
        </c:marker>
      </c:pivotFmt>
      <c:pivotFmt>
        <c:idx val="213"/>
        <c:marker>
          <c:symbol val="none"/>
        </c:marker>
      </c:pivotFmt>
      <c:pivotFmt>
        <c:idx val="214"/>
        <c:marker>
          <c:symbol val="none"/>
        </c:marker>
      </c:pivotFmt>
      <c:pivotFmt>
        <c:idx val="215"/>
        <c:marker>
          <c:symbol val="none"/>
        </c:marker>
      </c:pivotFmt>
      <c:pivotFmt>
        <c:idx val="216"/>
        <c:marker>
          <c:symbol val="none"/>
        </c:marker>
      </c:pivotFmt>
      <c:pivotFmt>
        <c:idx val="217"/>
        <c:marker>
          <c:symbol val="none"/>
        </c:marker>
      </c:pivotFmt>
      <c:pivotFmt>
        <c:idx val="218"/>
        <c:marker>
          <c:symbol val="none"/>
        </c:marker>
      </c:pivotFmt>
      <c:pivotFmt>
        <c:idx val="219"/>
        <c:marker>
          <c:symbol val="none"/>
        </c:marker>
      </c:pivotFmt>
      <c:pivotFmt>
        <c:idx val="220"/>
        <c:marker>
          <c:symbol val="none"/>
        </c:marker>
      </c:pivotFmt>
      <c:pivotFmt>
        <c:idx val="221"/>
        <c:marker>
          <c:symbol val="none"/>
        </c:marker>
      </c:pivotFmt>
      <c:pivotFmt>
        <c:idx val="222"/>
        <c:marker>
          <c:symbol val="none"/>
        </c:marker>
      </c:pivotFmt>
      <c:pivotFmt>
        <c:idx val="223"/>
        <c:marker>
          <c:symbol val="none"/>
        </c:marker>
      </c:pivotFmt>
      <c:pivotFmt>
        <c:idx val="224"/>
        <c:marker>
          <c:symbol val="none"/>
        </c:marker>
      </c:pivotFmt>
      <c:pivotFmt>
        <c:idx val="225"/>
        <c:marker>
          <c:symbol val="none"/>
        </c:marker>
      </c:pivotFmt>
      <c:pivotFmt>
        <c:idx val="226"/>
        <c:marker>
          <c:symbol val="none"/>
        </c:marker>
      </c:pivotFmt>
      <c:pivotFmt>
        <c:idx val="227"/>
        <c:marker>
          <c:symbol val="none"/>
        </c:marker>
      </c:pivotFmt>
      <c:pivotFmt>
        <c:idx val="228"/>
        <c:marker>
          <c:symbol val="none"/>
        </c:marker>
      </c:pivotFmt>
      <c:pivotFmt>
        <c:idx val="229"/>
        <c:marker>
          <c:symbol val="none"/>
        </c:marker>
      </c:pivotFmt>
      <c:pivotFmt>
        <c:idx val="230"/>
        <c:marker>
          <c:symbol val="none"/>
        </c:marker>
      </c:pivotFmt>
      <c:pivotFmt>
        <c:idx val="231"/>
        <c:marker>
          <c:symbol val="none"/>
        </c:marker>
      </c:pivotFmt>
      <c:pivotFmt>
        <c:idx val="232"/>
        <c:marker>
          <c:symbol val="none"/>
        </c:marker>
      </c:pivotFmt>
      <c:pivotFmt>
        <c:idx val="233"/>
        <c:marker>
          <c:symbol val="none"/>
        </c:marker>
      </c:pivotFmt>
      <c:pivotFmt>
        <c:idx val="234"/>
        <c:marker>
          <c:symbol val="none"/>
        </c:marker>
      </c:pivotFmt>
      <c:pivotFmt>
        <c:idx val="235"/>
        <c:marker>
          <c:symbol val="none"/>
        </c:marker>
      </c:pivotFmt>
      <c:pivotFmt>
        <c:idx val="236"/>
        <c:marker>
          <c:symbol val="none"/>
        </c:marker>
      </c:pivotFmt>
      <c:pivotFmt>
        <c:idx val="237"/>
        <c:marker>
          <c:symbol val="none"/>
        </c:marker>
      </c:pivotFmt>
      <c:pivotFmt>
        <c:idx val="238"/>
        <c:marker>
          <c:symbol val="none"/>
        </c:marker>
      </c:pivotFmt>
      <c:pivotFmt>
        <c:idx val="239"/>
        <c:marker>
          <c:symbol val="none"/>
        </c:marker>
      </c:pivotFmt>
      <c:pivotFmt>
        <c:idx val="240"/>
        <c:marker>
          <c:symbol val="none"/>
        </c:marker>
      </c:pivotFmt>
      <c:pivotFmt>
        <c:idx val="241"/>
        <c:marker>
          <c:symbol val="none"/>
        </c:marker>
      </c:pivotFmt>
      <c:pivotFmt>
        <c:idx val="242"/>
        <c:marker>
          <c:symbol val="none"/>
        </c:marker>
      </c:pivotFmt>
      <c:pivotFmt>
        <c:idx val="243"/>
        <c:marker>
          <c:symbol val="none"/>
        </c:marker>
      </c:pivotFmt>
      <c:pivotFmt>
        <c:idx val="244"/>
        <c:marker>
          <c:symbol val="none"/>
        </c:marker>
      </c:pivotFmt>
      <c:pivotFmt>
        <c:idx val="245"/>
        <c:marker>
          <c:symbol val="none"/>
        </c:marker>
      </c:pivotFmt>
      <c:pivotFmt>
        <c:idx val="246"/>
        <c:marker>
          <c:symbol val="none"/>
        </c:marker>
      </c:pivotFmt>
      <c:pivotFmt>
        <c:idx val="247"/>
        <c:marker>
          <c:symbol val="none"/>
        </c:marker>
      </c:pivotFmt>
      <c:pivotFmt>
        <c:idx val="248"/>
        <c:marker>
          <c:symbol val="none"/>
        </c:marker>
      </c:pivotFmt>
      <c:pivotFmt>
        <c:idx val="249"/>
        <c:marker>
          <c:symbol val="none"/>
        </c:marker>
      </c:pivotFmt>
      <c:pivotFmt>
        <c:idx val="250"/>
        <c:marker>
          <c:symbol val="none"/>
        </c:marker>
      </c:pivotFmt>
      <c:pivotFmt>
        <c:idx val="251"/>
        <c:marker>
          <c:symbol val="none"/>
        </c:marker>
      </c:pivotFmt>
      <c:pivotFmt>
        <c:idx val="252"/>
        <c:marker>
          <c:symbol val="none"/>
        </c:marker>
      </c:pivotFmt>
      <c:pivotFmt>
        <c:idx val="253"/>
        <c:marker>
          <c:symbol val="none"/>
        </c:marker>
      </c:pivotFmt>
      <c:pivotFmt>
        <c:idx val="254"/>
        <c:marker>
          <c:symbol val="none"/>
        </c:marker>
      </c:pivotFmt>
      <c:pivotFmt>
        <c:idx val="255"/>
        <c:marker>
          <c:symbol val="none"/>
        </c:marker>
      </c:pivotFmt>
      <c:pivotFmt>
        <c:idx val="256"/>
        <c:marker>
          <c:symbol val="none"/>
        </c:marker>
      </c:pivotFmt>
      <c:pivotFmt>
        <c:idx val="257"/>
        <c:marker>
          <c:symbol val="none"/>
        </c:marker>
      </c:pivotFmt>
      <c:pivotFmt>
        <c:idx val="258"/>
        <c:marker>
          <c:symbol val="none"/>
        </c:marker>
      </c:pivotFmt>
      <c:pivotFmt>
        <c:idx val="259"/>
        <c:marker>
          <c:symbol val="none"/>
        </c:marker>
      </c:pivotFmt>
      <c:pivotFmt>
        <c:idx val="260"/>
        <c:marker>
          <c:symbol val="none"/>
        </c:marker>
      </c:pivotFmt>
      <c:pivotFmt>
        <c:idx val="261"/>
        <c:marker>
          <c:symbol val="none"/>
        </c:marker>
      </c:pivotFmt>
      <c:pivotFmt>
        <c:idx val="262"/>
        <c:marker>
          <c:symbol val="none"/>
        </c:marker>
      </c:pivotFmt>
      <c:pivotFmt>
        <c:idx val="263"/>
        <c:marker>
          <c:symbol val="none"/>
        </c:marker>
      </c:pivotFmt>
      <c:pivotFmt>
        <c:idx val="264"/>
        <c:marker>
          <c:symbol val="none"/>
        </c:marker>
      </c:pivotFmt>
      <c:pivotFmt>
        <c:idx val="265"/>
        <c:marker>
          <c:symbol val="none"/>
        </c:marker>
      </c:pivotFmt>
      <c:pivotFmt>
        <c:idx val="266"/>
        <c:marker>
          <c:symbol val="none"/>
        </c:marker>
      </c:pivotFmt>
      <c:pivotFmt>
        <c:idx val="267"/>
        <c:marker>
          <c:symbol val="none"/>
        </c:marker>
      </c:pivotFmt>
      <c:pivotFmt>
        <c:idx val="268"/>
        <c:marker>
          <c:symbol val="none"/>
        </c:marker>
      </c:pivotFmt>
      <c:pivotFmt>
        <c:idx val="269"/>
        <c:marker>
          <c:symbol val="none"/>
        </c:marker>
      </c:pivotFmt>
      <c:pivotFmt>
        <c:idx val="270"/>
        <c:marker>
          <c:symbol val="none"/>
        </c:marker>
      </c:pivotFmt>
      <c:pivotFmt>
        <c:idx val="271"/>
        <c:marker>
          <c:symbol val="none"/>
        </c:marker>
      </c:pivotFmt>
      <c:pivotFmt>
        <c:idx val="272"/>
        <c:marker>
          <c:symbol val="none"/>
        </c:marker>
      </c:pivotFmt>
      <c:pivotFmt>
        <c:idx val="273"/>
        <c:marker>
          <c:symbol val="none"/>
        </c:marker>
      </c:pivotFmt>
      <c:pivotFmt>
        <c:idx val="274"/>
        <c:marker>
          <c:symbol val="none"/>
        </c:marker>
      </c:pivotFmt>
      <c:pivotFmt>
        <c:idx val="275"/>
        <c:marker>
          <c:symbol val="none"/>
        </c:marker>
      </c:pivotFmt>
      <c:pivotFmt>
        <c:idx val="276"/>
        <c:marker>
          <c:symbol val="none"/>
        </c:marker>
      </c:pivotFmt>
      <c:pivotFmt>
        <c:idx val="277"/>
        <c:marker>
          <c:symbol val="none"/>
        </c:marker>
      </c:pivotFmt>
      <c:pivotFmt>
        <c:idx val="278"/>
        <c:marker>
          <c:symbol val="none"/>
        </c:marker>
      </c:pivotFmt>
      <c:pivotFmt>
        <c:idx val="279"/>
        <c:marker>
          <c:symbol val="none"/>
        </c:marker>
      </c:pivotFmt>
      <c:pivotFmt>
        <c:idx val="280"/>
        <c:marker>
          <c:symbol val="none"/>
        </c:marker>
      </c:pivotFmt>
      <c:pivotFmt>
        <c:idx val="281"/>
        <c:marker>
          <c:symbol val="none"/>
        </c:marker>
      </c:pivotFmt>
      <c:pivotFmt>
        <c:idx val="282"/>
        <c:marker>
          <c:symbol val="none"/>
        </c:marker>
      </c:pivotFmt>
      <c:pivotFmt>
        <c:idx val="283"/>
        <c:marker>
          <c:symbol val="none"/>
        </c:marker>
      </c:pivotFmt>
      <c:pivotFmt>
        <c:idx val="284"/>
        <c:marker>
          <c:symbol val="none"/>
        </c:marker>
      </c:pivotFmt>
      <c:pivotFmt>
        <c:idx val="285"/>
        <c:marker>
          <c:symbol val="none"/>
        </c:marker>
      </c:pivotFmt>
      <c:pivotFmt>
        <c:idx val="286"/>
        <c:marker>
          <c:symbol val="none"/>
        </c:marker>
      </c:pivotFmt>
      <c:pivotFmt>
        <c:idx val="287"/>
        <c:marker>
          <c:symbol val="none"/>
        </c:marker>
      </c:pivotFmt>
      <c:pivotFmt>
        <c:idx val="288"/>
        <c:marker>
          <c:symbol val="none"/>
        </c:marker>
      </c:pivotFmt>
      <c:pivotFmt>
        <c:idx val="289"/>
        <c:marker>
          <c:symbol val="none"/>
        </c:marker>
      </c:pivotFmt>
      <c:pivotFmt>
        <c:idx val="290"/>
        <c:marker>
          <c:symbol val="none"/>
        </c:marker>
      </c:pivotFmt>
      <c:pivotFmt>
        <c:idx val="291"/>
        <c:marker>
          <c:symbol val="none"/>
        </c:marker>
      </c:pivotFmt>
      <c:pivotFmt>
        <c:idx val="292"/>
        <c:marker>
          <c:symbol val="none"/>
        </c:marker>
      </c:pivotFmt>
      <c:pivotFmt>
        <c:idx val="293"/>
        <c:marker>
          <c:symbol val="none"/>
        </c:marker>
      </c:pivotFmt>
      <c:pivotFmt>
        <c:idx val="294"/>
        <c:marker>
          <c:symbol val="none"/>
        </c:marker>
      </c:pivotFmt>
      <c:pivotFmt>
        <c:idx val="295"/>
        <c:marker>
          <c:symbol val="none"/>
        </c:marker>
      </c:pivotFmt>
      <c:pivotFmt>
        <c:idx val="296"/>
        <c:marker>
          <c:symbol val="none"/>
        </c:marker>
      </c:pivotFmt>
      <c:pivotFmt>
        <c:idx val="297"/>
        <c:marker>
          <c:symbol val="none"/>
        </c:marker>
      </c:pivotFmt>
      <c:pivotFmt>
        <c:idx val="298"/>
        <c:marker>
          <c:symbol val="none"/>
        </c:marker>
      </c:pivotFmt>
      <c:pivotFmt>
        <c:idx val="299"/>
        <c:marker>
          <c:symbol val="none"/>
        </c:marker>
      </c:pivotFmt>
      <c:pivotFmt>
        <c:idx val="300"/>
        <c:marker>
          <c:symbol val="none"/>
        </c:marker>
      </c:pivotFmt>
      <c:pivotFmt>
        <c:idx val="301"/>
        <c:marker>
          <c:symbol val="none"/>
        </c:marker>
      </c:pivotFmt>
      <c:pivotFmt>
        <c:idx val="302"/>
        <c:marker>
          <c:symbol val="none"/>
        </c:marker>
      </c:pivotFmt>
      <c:pivotFmt>
        <c:idx val="303"/>
        <c:marker>
          <c:symbol val="none"/>
        </c:marker>
      </c:pivotFmt>
      <c:pivotFmt>
        <c:idx val="304"/>
        <c:marker>
          <c:symbol val="none"/>
        </c:marker>
      </c:pivotFmt>
      <c:pivotFmt>
        <c:idx val="305"/>
        <c:marker>
          <c:symbol val="none"/>
        </c:marker>
      </c:pivotFmt>
      <c:pivotFmt>
        <c:idx val="306"/>
        <c:marker>
          <c:symbol val="none"/>
        </c:marker>
      </c:pivotFmt>
      <c:pivotFmt>
        <c:idx val="307"/>
        <c:marker>
          <c:symbol val="none"/>
        </c:marker>
      </c:pivotFmt>
      <c:pivotFmt>
        <c:idx val="308"/>
        <c:marker>
          <c:symbol val="none"/>
        </c:marker>
      </c:pivotFmt>
      <c:pivotFmt>
        <c:idx val="309"/>
        <c:marker>
          <c:symbol val="none"/>
        </c:marker>
      </c:pivotFmt>
      <c:pivotFmt>
        <c:idx val="310"/>
        <c:marker>
          <c:symbol val="none"/>
        </c:marker>
      </c:pivotFmt>
      <c:pivotFmt>
        <c:idx val="311"/>
        <c:marker>
          <c:symbol val="none"/>
        </c:marker>
      </c:pivotFmt>
      <c:pivotFmt>
        <c:idx val="312"/>
        <c:marker>
          <c:symbol val="none"/>
        </c:marker>
      </c:pivotFmt>
      <c:pivotFmt>
        <c:idx val="313"/>
        <c:marker>
          <c:symbol val="none"/>
        </c:marker>
      </c:pivotFmt>
      <c:pivotFmt>
        <c:idx val="314"/>
        <c:marker>
          <c:symbol val="none"/>
        </c:marker>
      </c:pivotFmt>
      <c:pivotFmt>
        <c:idx val="315"/>
        <c:marker>
          <c:symbol val="none"/>
        </c:marker>
      </c:pivotFmt>
      <c:pivotFmt>
        <c:idx val="316"/>
        <c:marker>
          <c:symbol val="none"/>
        </c:marker>
      </c:pivotFmt>
      <c:pivotFmt>
        <c:idx val="317"/>
        <c:marker>
          <c:symbol val="none"/>
        </c:marker>
      </c:pivotFmt>
      <c:pivotFmt>
        <c:idx val="318"/>
        <c:marker>
          <c:symbol val="none"/>
        </c:marker>
      </c:pivotFmt>
      <c:pivotFmt>
        <c:idx val="319"/>
        <c:marker>
          <c:symbol val="none"/>
        </c:marker>
      </c:pivotFmt>
      <c:pivotFmt>
        <c:idx val="320"/>
        <c:marker>
          <c:symbol val="none"/>
        </c:marker>
      </c:pivotFmt>
      <c:pivotFmt>
        <c:idx val="321"/>
        <c:marker>
          <c:symbol val="none"/>
        </c:marker>
      </c:pivotFmt>
      <c:pivotFmt>
        <c:idx val="322"/>
        <c:marker>
          <c:symbol val="none"/>
        </c:marker>
      </c:pivotFmt>
      <c:pivotFmt>
        <c:idx val="323"/>
        <c:marker>
          <c:symbol val="none"/>
        </c:marker>
      </c:pivotFmt>
      <c:pivotFmt>
        <c:idx val="324"/>
        <c:marker>
          <c:symbol val="none"/>
        </c:marker>
      </c:pivotFmt>
      <c:pivotFmt>
        <c:idx val="325"/>
        <c:marker>
          <c:symbol val="none"/>
        </c:marker>
      </c:pivotFmt>
      <c:pivotFmt>
        <c:idx val="326"/>
        <c:marker>
          <c:symbol val="none"/>
        </c:marker>
      </c:pivotFmt>
      <c:pivotFmt>
        <c:idx val="327"/>
        <c:marker>
          <c:symbol val="none"/>
        </c:marker>
      </c:pivotFmt>
      <c:pivotFmt>
        <c:idx val="328"/>
        <c:marker>
          <c:symbol val="none"/>
        </c:marker>
      </c:pivotFmt>
      <c:pivotFmt>
        <c:idx val="329"/>
        <c:marker>
          <c:symbol val="none"/>
        </c:marker>
      </c:pivotFmt>
      <c:pivotFmt>
        <c:idx val="330"/>
        <c:marker>
          <c:symbol val="none"/>
        </c:marker>
      </c:pivotFmt>
      <c:pivotFmt>
        <c:idx val="331"/>
        <c:marker>
          <c:symbol val="none"/>
        </c:marker>
      </c:pivotFmt>
      <c:pivotFmt>
        <c:idx val="332"/>
        <c:marker>
          <c:symbol val="none"/>
        </c:marker>
      </c:pivotFmt>
      <c:pivotFmt>
        <c:idx val="333"/>
        <c:marker>
          <c:symbol val="none"/>
        </c:marker>
      </c:pivotFmt>
      <c:pivotFmt>
        <c:idx val="334"/>
        <c:marker>
          <c:symbol val="none"/>
        </c:marker>
      </c:pivotFmt>
      <c:pivotFmt>
        <c:idx val="335"/>
        <c:marker>
          <c:symbol val="none"/>
        </c:marker>
      </c:pivotFmt>
      <c:pivotFmt>
        <c:idx val="336"/>
        <c:marker>
          <c:symbol val="none"/>
        </c:marker>
      </c:pivotFmt>
      <c:pivotFmt>
        <c:idx val="337"/>
        <c:marker>
          <c:symbol val="none"/>
        </c:marker>
      </c:pivotFmt>
      <c:pivotFmt>
        <c:idx val="338"/>
        <c:marker>
          <c:symbol val="none"/>
        </c:marker>
      </c:pivotFmt>
      <c:pivotFmt>
        <c:idx val="339"/>
        <c:marker>
          <c:symbol val="none"/>
        </c:marker>
      </c:pivotFmt>
      <c:pivotFmt>
        <c:idx val="340"/>
        <c:marker>
          <c:symbol val="none"/>
        </c:marker>
      </c:pivotFmt>
      <c:pivotFmt>
        <c:idx val="341"/>
        <c:marker>
          <c:symbol val="none"/>
        </c:marker>
      </c:pivotFmt>
      <c:pivotFmt>
        <c:idx val="342"/>
        <c:marker>
          <c:symbol val="none"/>
        </c:marker>
      </c:pivotFmt>
      <c:pivotFmt>
        <c:idx val="343"/>
        <c:marker>
          <c:symbol val="none"/>
        </c:marker>
      </c:pivotFmt>
      <c:pivotFmt>
        <c:idx val="344"/>
        <c:marker>
          <c:symbol val="none"/>
        </c:marker>
      </c:pivotFmt>
      <c:pivotFmt>
        <c:idx val="345"/>
        <c:marker>
          <c:symbol val="none"/>
        </c:marker>
      </c:pivotFmt>
      <c:pivotFmt>
        <c:idx val="346"/>
        <c:marker>
          <c:symbol val="none"/>
        </c:marker>
      </c:pivotFmt>
      <c:pivotFmt>
        <c:idx val="347"/>
        <c:marker>
          <c:symbol val="none"/>
        </c:marker>
      </c:pivotFmt>
      <c:pivotFmt>
        <c:idx val="348"/>
        <c:marker>
          <c:symbol val="none"/>
        </c:marker>
      </c:pivotFmt>
      <c:pivotFmt>
        <c:idx val="349"/>
        <c:marker>
          <c:symbol val="none"/>
        </c:marker>
      </c:pivotFmt>
      <c:pivotFmt>
        <c:idx val="350"/>
        <c:marker>
          <c:symbol val="none"/>
        </c:marker>
      </c:pivotFmt>
      <c:pivotFmt>
        <c:idx val="351"/>
        <c:marker>
          <c:symbol val="none"/>
        </c:marker>
      </c:pivotFmt>
      <c:pivotFmt>
        <c:idx val="352"/>
        <c:marker>
          <c:symbol val="none"/>
        </c:marker>
      </c:pivotFmt>
      <c:pivotFmt>
        <c:idx val="353"/>
        <c:marker>
          <c:symbol val="none"/>
        </c:marker>
      </c:pivotFmt>
      <c:pivotFmt>
        <c:idx val="354"/>
        <c:marker>
          <c:symbol val="none"/>
        </c:marker>
      </c:pivotFmt>
      <c:pivotFmt>
        <c:idx val="355"/>
        <c:marker>
          <c:symbol val="none"/>
        </c:marker>
      </c:pivotFmt>
      <c:pivotFmt>
        <c:idx val="356"/>
        <c:marker>
          <c:symbol val="none"/>
        </c:marker>
      </c:pivotFmt>
      <c:pivotFmt>
        <c:idx val="357"/>
        <c:marker>
          <c:symbol val="none"/>
        </c:marker>
      </c:pivotFmt>
      <c:pivotFmt>
        <c:idx val="358"/>
        <c:marker>
          <c:symbol val="none"/>
        </c:marker>
      </c:pivotFmt>
      <c:pivotFmt>
        <c:idx val="359"/>
        <c:marker>
          <c:symbol val="none"/>
        </c:marker>
      </c:pivotFmt>
      <c:pivotFmt>
        <c:idx val="360"/>
        <c:marker>
          <c:symbol val="none"/>
        </c:marker>
      </c:pivotFmt>
      <c:pivotFmt>
        <c:idx val="361"/>
        <c:marker>
          <c:symbol val="none"/>
        </c:marker>
      </c:pivotFmt>
      <c:pivotFmt>
        <c:idx val="362"/>
        <c:marker>
          <c:symbol val="none"/>
        </c:marker>
      </c:pivotFmt>
      <c:pivotFmt>
        <c:idx val="363"/>
        <c:marker>
          <c:symbol val="none"/>
        </c:marker>
      </c:pivotFmt>
      <c:pivotFmt>
        <c:idx val="364"/>
        <c:marker>
          <c:symbol val="none"/>
        </c:marker>
      </c:pivotFmt>
      <c:pivotFmt>
        <c:idx val="365"/>
        <c:marker>
          <c:symbol val="none"/>
        </c:marker>
      </c:pivotFmt>
      <c:pivotFmt>
        <c:idx val="366"/>
        <c:marker>
          <c:symbol val="none"/>
        </c:marker>
      </c:pivotFmt>
      <c:pivotFmt>
        <c:idx val="367"/>
        <c:marker>
          <c:symbol val="none"/>
        </c:marker>
      </c:pivotFmt>
      <c:pivotFmt>
        <c:idx val="368"/>
        <c:marker>
          <c:symbol val="none"/>
        </c:marker>
      </c:pivotFmt>
      <c:pivotFmt>
        <c:idx val="369"/>
        <c:marker>
          <c:symbol val="none"/>
        </c:marker>
      </c:pivotFmt>
      <c:pivotFmt>
        <c:idx val="370"/>
        <c:marker>
          <c:symbol val="none"/>
        </c:marker>
      </c:pivotFmt>
      <c:pivotFmt>
        <c:idx val="371"/>
        <c:marker>
          <c:symbol val="none"/>
        </c:marker>
      </c:pivotFmt>
      <c:pivotFmt>
        <c:idx val="372"/>
        <c:marker>
          <c:symbol val="none"/>
        </c:marker>
      </c:pivotFmt>
      <c:pivotFmt>
        <c:idx val="373"/>
        <c:marker>
          <c:symbol val="none"/>
        </c:marker>
      </c:pivotFmt>
      <c:pivotFmt>
        <c:idx val="374"/>
        <c:marker>
          <c:symbol val="none"/>
        </c:marker>
      </c:pivotFmt>
      <c:pivotFmt>
        <c:idx val="375"/>
        <c:marker>
          <c:symbol val="none"/>
        </c:marker>
      </c:pivotFmt>
      <c:pivotFmt>
        <c:idx val="376"/>
        <c:marker>
          <c:symbol val="none"/>
        </c:marker>
      </c:pivotFmt>
      <c:pivotFmt>
        <c:idx val="377"/>
        <c:marker>
          <c:symbol val="none"/>
        </c:marker>
      </c:pivotFmt>
      <c:pivotFmt>
        <c:idx val="378"/>
        <c:marker>
          <c:symbol val="none"/>
        </c:marker>
      </c:pivotFmt>
      <c:pivotFmt>
        <c:idx val="379"/>
        <c:marker>
          <c:symbol val="none"/>
        </c:marker>
      </c:pivotFmt>
      <c:pivotFmt>
        <c:idx val="380"/>
        <c:marker>
          <c:symbol val="none"/>
        </c:marker>
      </c:pivotFmt>
      <c:pivotFmt>
        <c:idx val="381"/>
        <c:marker>
          <c:symbol val="none"/>
        </c:marker>
      </c:pivotFmt>
      <c:pivotFmt>
        <c:idx val="382"/>
        <c:marker>
          <c:symbol val="none"/>
        </c:marker>
      </c:pivotFmt>
      <c:pivotFmt>
        <c:idx val="383"/>
        <c:marker>
          <c:symbol val="none"/>
        </c:marker>
      </c:pivotFmt>
      <c:pivotFmt>
        <c:idx val="384"/>
        <c:marker>
          <c:symbol val="none"/>
        </c:marker>
      </c:pivotFmt>
      <c:pivotFmt>
        <c:idx val="385"/>
        <c:marker>
          <c:symbol val="none"/>
        </c:marker>
      </c:pivotFmt>
      <c:pivotFmt>
        <c:idx val="386"/>
        <c:marker>
          <c:symbol val="none"/>
        </c:marker>
      </c:pivotFmt>
      <c:pivotFmt>
        <c:idx val="387"/>
        <c:marker>
          <c:symbol val="none"/>
        </c:marker>
      </c:pivotFmt>
      <c:pivotFmt>
        <c:idx val="388"/>
        <c:marker>
          <c:symbol val="none"/>
        </c:marker>
      </c:pivotFmt>
      <c:pivotFmt>
        <c:idx val="389"/>
        <c:marker>
          <c:symbol val="none"/>
        </c:marker>
      </c:pivotFmt>
      <c:pivotFmt>
        <c:idx val="390"/>
        <c:marker>
          <c:symbol val="none"/>
        </c:marker>
      </c:pivotFmt>
      <c:pivotFmt>
        <c:idx val="391"/>
        <c:marker>
          <c:symbol val="none"/>
        </c:marker>
      </c:pivotFmt>
      <c:pivotFmt>
        <c:idx val="392"/>
        <c:marker>
          <c:symbol val="none"/>
        </c:marker>
      </c:pivotFmt>
      <c:pivotFmt>
        <c:idx val="393"/>
        <c:marker>
          <c:symbol val="none"/>
        </c:marker>
      </c:pivotFmt>
      <c:pivotFmt>
        <c:idx val="394"/>
        <c:marker>
          <c:symbol val="none"/>
        </c:marker>
      </c:pivotFmt>
      <c:pivotFmt>
        <c:idx val="395"/>
        <c:marker>
          <c:symbol val="none"/>
        </c:marker>
      </c:pivotFmt>
      <c:pivotFmt>
        <c:idx val="396"/>
        <c:marker>
          <c:symbol val="none"/>
        </c:marker>
      </c:pivotFmt>
      <c:pivotFmt>
        <c:idx val="397"/>
        <c:marker>
          <c:symbol val="none"/>
        </c:marker>
      </c:pivotFmt>
      <c:pivotFmt>
        <c:idx val="398"/>
        <c:marker>
          <c:symbol val="none"/>
        </c:marker>
      </c:pivotFmt>
      <c:pivotFmt>
        <c:idx val="399"/>
        <c:marker>
          <c:symbol val="none"/>
        </c:marker>
      </c:pivotFmt>
      <c:pivotFmt>
        <c:idx val="400"/>
        <c:marker>
          <c:symbol val="none"/>
        </c:marker>
      </c:pivotFmt>
      <c:pivotFmt>
        <c:idx val="401"/>
        <c:marker>
          <c:symbol val="none"/>
        </c:marker>
      </c:pivotFmt>
      <c:pivotFmt>
        <c:idx val="402"/>
        <c:marker>
          <c:symbol val="none"/>
        </c:marker>
      </c:pivotFmt>
      <c:pivotFmt>
        <c:idx val="403"/>
        <c:marker>
          <c:symbol val="none"/>
        </c:marker>
      </c:pivotFmt>
      <c:pivotFmt>
        <c:idx val="404"/>
        <c:marker>
          <c:symbol val="none"/>
        </c:marker>
      </c:pivotFmt>
      <c:pivotFmt>
        <c:idx val="405"/>
        <c:marker>
          <c:symbol val="none"/>
        </c:marker>
      </c:pivotFmt>
      <c:pivotFmt>
        <c:idx val="406"/>
        <c:marker>
          <c:symbol val="none"/>
        </c:marker>
      </c:pivotFmt>
      <c:pivotFmt>
        <c:idx val="407"/>
        <c:marker>
          <c:symbol val="none"/>
        </c:marker>
      </c:pivotFmt>
      <c:pivotFmt>
        <c:idx val="408"/>
        <c:marker>
          <c:symbol val="none"/>
        </c:marker>
      </c:pivotFmt>
      <c:pivotFmt>
        <c:idx val="409"/>
        <c:marker>
          <c:symbol val="none"/>
        </c:marker>
      </c:pivotFmt>
      <c:pivotFmt>
        <c:idx val="410"/>
        <c:marker>
          <c:symbol val="none"/>
        </c:marker>
      </c:pivotFmt>
      <c:pivotFmt>
        <c:idx val="411"/>
        <c:marker>
          <c:symbol val="none"/>
        </c:marker>
      </c:pivotFmt>
      <c:pivotFmt>
        <c:idx val="412"/>
        <c:marker>
          <c:symbol val="none"/>
        </c:marker>
      </c:pivotFmt>
      <c:pivotFmt>
        <c:idx val="413"/>
        <c:marker>
          <c:symbol val="none"/>
        </c:marker>
      </c:pivotFmt>
      <c:pivotFmt>
        <c:idx val="414"/>
        <c:marker>
          <c:symbol val="none"/>
        </c:marker>
      </c:pivotFmt>
      <c:pivotFmt>
        <c:idx val="415"/>
        <c:marker>
          <c:symbol val="none"/>
        </c:marker>
      </c:pivotFmt>
      <c:pivotFmt>
        <c:idx val="416"/>
        <c:marker>
          <c:symbol val="none"/>
        </c:marker>
      </c:pivotFmt>
      <c:pivotFmt>
        <c:idx val="417"/>
        <c:marker>
          <c:symbol val="none"/>
        </c:marker>
      </c:pivotFmt>
      <c:pivotFmt>
        <c:idx val="418"/>
        <c:marker>
          <c:symbol val="none"/>
        </c:marker>
      </c:pivotFmt>
      <c:pivotFmt>
        <c:idx val="419"/>
        <c:marker>
          <c:symbol val="none"/>
        </c:marker>
      </c:pivotFmt>
      <c:pivotFmt>
        <c:idx val="420"/>
        <c:marker>
          <c:symbol val="none"/>
        </c:marker>
      </c:pivotFmt>
      <c:pivotFmt>
        <c:idx val="421"/>
        <c:marker>
          <c:symbol val="none"/>
        </c:marker>
      </c:pivotFmt>
      <c:pivotFmt>
        <c:idx val="422"/>
        <c:marker>
          <c:symbol val="none"/>
        </c:marker>
      </c:pivotFmt>
      <c:pivotFmt>
        <c:idx val="423"/>
        <c:marker>
          <c:symbol val="none"/>
        </c:marker>
      </c:pivotFmt>
      <c:pivotFmt>
        <c:idx val="424"/>
        <c:marker>
          <c:symbol val="none"/>
        </c:marker>
      </c:pivotFmt>
      <c:pivotFmt>
        <c:idx val="425"/>
        <c:marker>
          <c:symbol val="none"/>
        </c:marker>
      </c:pivotFmt>
      <c:pivotFmt>
        <c:idx val="426"/>
        <c:marker>
          <c:symbol val="none"/>
        </c:marker>
      </c:pivotFmt>
      <c:pivotFmt>
        <c:idx val="427"/>
        <c:marker>
          <c:symbol val="none"/>
        </c:marker>
      </c:pivotFmt>
      <c:pivotFmt>
        <c:idx val="428"/>
        <c:marker>
          <c:symbol val="none"/>
        </c:marker>
      </c:pivotFmt>
      <c:pivotFmt>
        <c:idx val="429"/>
        <c:marker>
          <c:symbol val="none"/>
        </c:marker>
      </c:pivotFmt>
      <c:pivotFmt>
        <c:idx val="430"/>
        <c:marker>
          <c:symbol val="none"/>
        </c:marker>
      </c:pivotFmt>
      <c:pivotFmt>
        <c:idx val="431"/>
        <c:marker>
          <c:symbol val="none"/>
        </c:marker>
      </c:pivotFmt>
      <c:pivotFmt>
        <c:idx val="432"/>
        <c:marker>
          <c:symbol val="none"/>
        </c:marker>
      </c:pivotFmt>
      <c:pivotFmt>
        <c:idx val="433"/>
        <c:marker>
          <c:symbol val="none"/>
        </c:marker>
      </c:pivotFmt>
      <c:pivotFmt>
        <c:idx val="434"/>
        <c:marker>
          <c:symbol val="none"/>
        </c:marker>
      </c:pivotFmt>
      <c:pivotFmt>
        <c:idx val="435"/>
        <c:marker>
          <c:symbol val="none"/>
        </c:marker>
      </c:pivotFmt>
      <c:pivotFmt>
        <c:idx val="436"/>
        <c:marker>
          <c:symbol val="none"/>
        </c:marker>
      </c:pivotFmt>
      <c:pivotFmt>
        <c:idx val="437"/>
        <c:marker>
          <c:symbol val="none"/>
        </c:marker>
      </c:pivotFmt>
      <c:pivotFmt>
        <c:idx val="438"/>
        <c:marker>
          <c:symbol val="none"/>
        </c:marker>
      </c:pivotFmt>
      <c:pivotFmt>
        <c:idx val="439"/>
        <c:marker>
          <c:symbol val="none"/>
        </c:marker>
      </c:pivotFmt>
      <c:pivotFmt>
        <c:idx val="440"/>
        <c:marker>
          <c:symbol val="none"/>
        </c:marker>
      </c:pivotFmt>
      <c:pivotFmt>
        <c:idx val="441"/>
        <c:marker>
          <c:symbol val="none"/>
        </c:marker>
      </c:pivotFmt>
      <c:pivotFmt>
        <c:idx val="442"/>
        <c:marker>
          <c:symbol val="none"/>
        </c:marker>
      </c:pivotFmt>
      <c:pivotFmt>
        <c:idx val="443"/>
        <c:marker>
          <c:symbol val="none"/>
        </c:marker>
      </c:pivotFmt>
      <c:pivotFmt>
        <c:idx val="444"/>
        <c:marker>
          <c:symbol val="none"/>
        </c:marker>
      </c:pivotFmt>
      <c:pivotFmt>
        <c:idx val="445"/>
        <c:marker>
          <c:symbol val="none"/>
        </c:marker>
      </c:pivotFmt>
      <c:pivotFmt>
        <c:idx val="446"/>
        <c:marker>
          <c:symbol val="none"/>
        </c:marker>
      </c:pivotFmt>
      <c:pivotFmt>
        <c:idx val="447"/>
        <c:marker>
          <c:symbol val="none"/>
        </c:marker>
      </c:pivotFmt>
      <c:pivotFmt>
        <c:idx val="448"/>
        <c:marker>
          <c:symbol val="none"/>
        </c:marker>
      </c:pivotFmt>
      <c:pivotFmt>
        <c:idx val="449"/>
        <c:marker>
          <c:symbol val="none"/>
        </c:marker>
      </c:pivotFmt>
      <c:pivotFmt>
        <c:idx val="450"/>
        <c:marker>
          <c:symbol val="none"/>
        </c:marker>
      </c:pivotFmt>
      <c:pivotFmt>
        <c:idx val="451"/>
        <c:marker>
          <c:symbol val="none"/>
        </c:marker>
      </c:pivotFmt>
      <c:pivotFmt>
        <c:idx val="452"/>
        <c:marker>
          <c:symbol val="none"/>
        </c:marker>
      </c:pivotFmt>
      <c:pivotFmt>
        <c:idx val="453"/>
        <c:marker>
          <c:symbol val="none"/>
        </c:marker>
      </c:pivotFmt>
      <c:pivotFmt>
        <c:idx val="454"/>
        <c:marker>
          <c:symbol val="none"/>
        </c:marker>
      </c:pivotFmt>
      <c:pivotFmt>
        <c:idx val="455"/>
        <c:marker>
          <c:symbol val="none"/>
        </c:marker>
      </c:pivotFmt>
      <c:pivotFmt>
        <c:idx val="456"/>
        <c:marker>
          <c:symbol val="none"/>
        </c:marker>
      </c:pivotFmt>
      <c:pivotFmt>
        <c:idx val="457"/>
        <c:marker>
          <c:symbol val="none"/>
        </c:marker>
      </c:pivotFmt>
      <c:pivotFmt>
        <c:idx val="458"/>
        <c:marker>
          <c:symbol val="none"/>
        </c:marker>
      </c:pivotFmt>
      <c:pivotFmt>
        <c:idx val="459"/>
        <c:marker>
          <c:symbol val="none"/>
        </c:marker>
      </c:pivotFmt>
      <c:pivotFmt>
        <c:idx val="460"/>
        <c:marker>
          <c:symbol val="none"/>
        </c:marker>
      </c:pivotFmt>
      <c:pivotFmt>
        <c:idx val="461"/>
        <c:marker>
          <c:symbol val="none"/>
        </c:marker>
      </c:pivotFmt>
      <c:pivotFmt>
        <c:idx val="462"/>
        <c:marker>
          <c:symbol val="none"/>
        </c:marker>
      </c:pivotFmt>
      <c:pivotFmt>
        <c:idx val="463"/>
        <c:marker>
          <c:symbol val="none"/>
        </c:marker>
      </c:pivotFmt>
      <c:pivotFmt>
        <c:idx val="464"/>
        <c:marker>
          <c:symbol val="none"/>
        </c:marker>
      </c:pivotFmt>
      <c:pivotFmt>
        <c:idx val="465"/>
        <c:marker>
          <c:symbol val="none"/>
        </c:marker>
      </c:pivotFmt>
      <c:pivotFmt>
        <c:idx val="466"/>
        <c:marker>
          <c:symbol val="none"/>
        </c:marker>
      </c:pivotFmt>
      <c:pivotFmt>
        <c:idx val="467"/>
        <c:marker>
          <c:symbol val="none"/>
        </c:marker>
      </c:pivotFmt>
      <c:pivotFmt>
        <c:idx val="468"/>
        <c:marker>
          <c:symbol val="none"/>
        </c:marker>
      </c:pivotFmt>
      <c:pivotFmt>
        <c:idx val="469"/>
        <c:marker>
          <c:symbol val="none"/>
        </c:marker>
      </c:pivotFmt>
      <c:pivotFmt>
        <c:idx val="470"/>
        <c:marker>
          <c:symbol val="none"/>
        </c:marker>
      </c:pivotFmt>
      <c:pivotFmt>
        <c:idx val="471"/>
        <c:marker>
          <c:symbol val="none"/>
        </c:marker>
      </c:pivotFmt>
      <c:pivotFmt>
        <c:idx val="472"/>
        <c:marker>
          <c:symbol val="none"/>
        </c:marker>
      </c:pivotFmt>
      <c:pivotFmt>
        <c:idx val="473"/>
        <c:marker>
          <c:symbol val="none"/>
        </c:marker>
      </c:pivotFmt>
      <c:pivotFmt>
        <c:idx val="474"/>
        <c:marker>
          <c:symbol val="none"/>
        </c:marker>
      </c:pivotFmt>
      <c:pivotFmt>
        <c:idx val="475"/>
        <c:marker>
          <c:symbol val="none"/>
        </c:marker>
      </c:pivotFmt>
      <c:pivotFmt>
        <c:idx val="476"/>
        <c:marker>
          <c:symbol val="none"/>
        </c:marker>
      </c:pivotFmt>
      <c:pivotFmt>
        <c:idx val="477"/>
        <c:marker>
          <c:symbol val="none"/>
        </c:marker>
      </c:pivotFmt>
      <c:pivotFmt>
        <c:idx val="478"/>
        <c:marker>
          <c:symbol val="none"/>
        </c:marker>
      </c:pivotFmt>
      <c:pivotFmt>
        <c:idx val="479"/>
        <c:marker>
          <c:symbol val="none"/>
        </c:marker>
      </c:pivotFmt>
      <c:pivotFmt>
        <c:idx val="480"/>
        <c:marker>
          <c:symbol val="none"/>
        </c:marker>
      </c:pivotFmt>
      <c:pivotFmt>
        <c:idx val="481"/>
        <c:marker>
          <c:symbol val="none"/>
        </c:marker>
      </c:pivotFmt>
      <c:pivotFmt>
        <c:idx val="482"/>
        <c:marker>
          <c:symbol val="none"/>
        </c:marker>
      </c:pivotFmt>
      <c:pivotFmt>
        <c:idx val="483"/>
        <c:marker>
          <c:symbol val="none"/>
        </c:marker>
      </c:pivotFmt>
      <c:pivotFmt>
        <c:idx val="484"/>
        <c:marker>
          <c:symbol val="none"/>
        </c:marker>
      </c:pivotFmt>
      <c:pivotFmt>
        <c:idx val="485"/>
        <c:marker>
          <c:symbol val="none"/>
        </c:marker>
      </c:pivotFmt>
      <c:pivotFmt>
        <c:idx val="486"/>
        <c:marker>
          <c:symbol val="none"/>
        </c:marker>
      </c:pivotFmt>
      <c:pivotFmt>
        <c:idx val="487"/>
        <c:marker>
          <c:symbol val="none"/>
        </c:marker>
      </c:pivotFmt>
      <c:pivotFmt>
        <c:idx val="488"/>
        <c:marker>
          <c:symbol val="none"/>
        </c:marker>
      </c:pivotFmt>
      <c:pivotFmt>
        <c:idx val="489"/>
        <c:marker>
          <c:symbol val="none"/>
        </c:marker>
      </c:pivotFmt>
      <c:pivotFmt>
        <c:idx val="490"/>
        <c:marker>
          <c:symbol val="none"/>
        </c:marker>
      </c:pivotFmt>
      <c:pivotFmt>
        <c:idx val="491"/>
        <c:marker>
          <c:symbol val="none"/>
        </c:marker>
      </c:pivotFmt>
      <c:pivotFmt>
        <c:idx val="492"/>
        <c:marker>
          <c:symbol val="none"/>
        </c:marker>
      </c:pivotFmt>
      <c:pivotFmt>
        <c:idx val="493"/>
        <c:marker>
          <c:symbol val="none"/>
        </c:marker>
      </c:pivotFmt>
      <c:pivotFmt>
        <c:idx val="494"/>
        <c:marker>
          <c:symbol val="none"/>
        </c:marker>
      </c:pivotFmt>
      <c:pivotFmt>
        <c:idx val="495"/>
        <c:marker>
          <c:symbol val="none"/>
        </c:marker>
      </c:pivotFmt>
      <c:pivotFmt>
        <c:idx val="496"/>
        <c:marker>
          <c:symbol val="none"/>
        </c:marker>
      </c:pivotFmt>
      <c:pivotFmt>
        <c:idx val="497"/>
        <c:marker>
          <c:symbol val="none"/>
        </c:marker>
      </c:pivotFmt>
      <c:pivotFmt>
        <c:idx val="498"/>
        <c:marker>
          <c:symbol val="none"/>
        </c:marker>
      </c:pivotFmt>
      <c:pivotFmt>
        <c:idx val="499"/>
        <c:marker>
          <c:symbol val="none"/>
        </c:marker>
      </c:pivotFmt>
      <c:pivotFmt>
        <c:idx val="500"/>
        <c:marker>
          <c:symbol val="none"/>
        </c:marker>
      </c:pivotFmt>
      <c:pivotFmt>
        <c:idx val="501"/>
        <c:marker>
          <c:symbol val="none"/>
        </c:marker>
      </c:pivotFmt>
      <c:pivotFmt>
        <c:idx val="502"/>
        <c:marker>
          <c:symbol val="none"/>
        </c:marker>
      </c:pivotFmt>
      <c:pivotFmt>
        <c:idx val="503"/>
        <c:marker>
          <c:symbol val="none"/>
        </c:marker>
      </c:pivotFmt>
      <c:pivotFmt>
        <c:idx val="504"/>
        <c:marker>
          <c:symbol val="none"/>
        </c:marker>
      </c:pivotFmt>
      <c:pivotFmt>
        <c:idx val="505"/>
        <c:marker>
          <c:symbol val="none"/>
        </c:marker>
      </c:pivotFmt>
      <c:pivotFmt>
        <c:idx val="506"/>
        <c:marker>
          <c:symbol val="none"/>
        </c:marker>
      </c:pivotFmt>
      <c:pivotFmt>
        <c:idx val="507"/>
        <c:marker>
          <c:symbol val="none"/>
        </c:marker>
      </c:pivotFmt>
      <c:pivotFmt>
        <c:idx val="508"/>
        <c:marker>
          <c:symbol val="none"/>
        </c:marker>
      </c:pivotFmt>
      <c:pivotFmt>
        <c:idx val="509"/>
        <c:marker>
          <c:symbol val="none"/>
        </c:marker>
      </c:pivotFmt>
      <c:pivotFmt>
        <c:idx val="510"/>
        <c:marker>
          <c:symbol val="none"/>
        </c:marker>
      </c:pivotFmt>
      <c:pivotFmt>
        <c:idx val="511"/>
        <c:marker>
          <c:symbol val="none"/>
        </c:marker>
      </c:pivotFmt>
      <c:pivotFmt>
        <c:idx val="512"/>
        <c:marker>
          <c:symbol val="none"/>
        </c:marker>
      </c:pivotFmt>
      <c:pivotFmt>
        <c:idx val="513"/>
        <c:marker>
          <c:symbol val="none"/>
        </c:marker>
      </c:pivotFmt>
      <c:pivotFmt>
        <c:idx val="514"/>
        <c:marker>
          <c:symbol val="none"/>
        </c:marker>
      </c:pivotFmt>
      <c:pivotFmt>
        <c:idx val="515"/>
        <c:marker>
          <c:symbol val="none"/>
        </c:marker>
      </c:pivotFmt>
      <c:pivotFmt>
        <c:idx val="516"/>
        <c:marker>
          <c:symbol val="none"/>
        </c:marker>
      </c:pivotFmt>
      <c:pivotFmt>
        <c:idx val="517"/>
        <c:marker>
          <c:symbol val="none"/>
        </c:marker>
      </c:pivotFmt>
      <c:pivotFmt>
        <c:idx val="518"/>
        <c:marker>
          <c:symbol val="none"/>
        </c:marker>
      </c:pivotFmt>
      <c:pivotFmt>
        <c:idx val="519"/>
        <c:marker>
          <c:symbol val="none"/>
        </c:marker>
      </c:pivotFmt>
      <c:pivotFmt>
        <c:idx val="520"/>
        <c:marker>
          <c:symbol val="none"/>
        </c:marker>
      </c:pivotFmt>
      <c:pivotFmt>
        <c:idx val="521"/>
        <c:marker>
          <c:symbol val="none"/>
        </c:marker>
      </c:pivotFmt>
      <c:pivotFmt>
        <c:idx val="522"/>
        <c:marker>
          <c:symbol val="none"/>
        </c:marker>
      </c:pivotFmt>
      <c:pivotFmt>
        <c:idx val="523"/>
        <c:marker>
          <c:symbol val="none"/>
        </c:marker>
      </c:pivotFmt>
      <c:pivotFmt>
        <c:idx val="524"/>
        <c:marker>
          <c:symbol val="none"/>
        </c:marker>
      </c:pivotFmt>
      <c:pivotFmt>
        <c:idx val="525"/>
        <c:marker>
          <c:symbol val="none"/>
        </c:marker>
      </c:pivotFmt>
      <c:pivotFmt>
        <c:idx val="526"/>
        <c:marker>
          <c:symbol val="none"/>
        </c:marker>
      </c:pivotFmt>
      <c:pivotFmt>
        <c:idx val="527"/>
        <c:marker>
          <c:symbol val="none"/>
        </c:marker>
      </c:pivotFmt>
      <c:pivotFmt>
        <c:idx val="528"/>
        <c:marker>
          <c:symbol val="none"/>
        </c:marker>
      </c:pivotFmt>
      <c:pivotFmt>
        <c:idx val="529"/>
        <c:marker>
          <c:symbol val="none"/>
        </c:marker>
      </c:pivotFmt>
      <c:pivotFmt>
        <c:idx val="530"/>
        <c:marker>
          <c:symbol val="none"/>
        </c:marker>
      </c:pivotFmt>
      <c:pivotFmt>
        <c:idx val="531"/>
        <c:marker>
          <c:symbol val="none"/>
        </c:marker>
      </c:pivotFmt>
      <c:pivotFmt>
        <c:idx val="532"/>
        <c:marker>
          <c:symbol val="none"/>
        </c:marker>
      </c:pivotFmt>
      <c:pivotFmt>
        <c:idx val="533"/>
        <c:marker>
          <c:symbol val="none"/>
        </c:marker>
      </c:pivotFmt>
      <c:pivotFmt>
        <c:idx val="534"/>
        <c:marker>
          <c:symbol val="none"/>
        </c:marker>
      </c:pivotFmt>
      <c:pivotFmt>
        <c:idx val="535"/>
        <c:marker>
          <c:symbol val="none"/>
        </c:marker>
      </c:pivotFmt>
      <c:pivotFmt>
        <c:idx val="536"/>
        <c:marker>
          <c:symbol val="none"/>
        </c:marker>
      </c:pivotFmt>
      <c:pivotFmt>
        <c:idx val="537"/>
        <c:marker>
          <c:symbol val="none"/>
        </c:marker>
      </c:pivotFmt>
      <c:pivotFmt>
        <c:idx val="538"/>
        <c:marker>
          <c:symbol val="none"/>
        </c:marker>
      </c:pivotFmt>
      <c:pivotFmt>
        <c:idx val="539"/>
        <c:marker>
          <c:symbol val="none"/>
        </c:marker>
      </c:pivotFmt>
      <c:pivotFmt>
        <c:idx val="540"/>
        <c:marker>
          <c:symbol val="none"/>
        </c:marker>
      </c:pivotFmt>
      <c:pivotFmt>
        <c:idx val="541"/>
        <c:marker>
          <c:symbol val="none"/>
        </c:marker>
      </c:pivotFmt>
      <c:pivotFmt>
        <c:idx val="542"/>
        <c:marker>
          <c:symbol val="none"/>
        </c:marker>
      </c:pivotFmt>
      <c:pivotFmt>
        <c:idx val="543"/>
        <c:marker>
          <c:symbol val="none"/>
        </c:marker>
      </c:pivotFmt>
      <c:pivotFmt>
        <c:idx val="544"/>
        <c:marker>
          <c:symbol val="none"/>
        </c:marker>
      </c:pivotFmt>
      <c:pivotFmt>
        <c:idx val="545"/>
        <c:marker>
          <c:symbol val="none"/>
        </c:marker>
      </c:pivotFmt>
      <c:pivotFmt>
        <c:idx val="546"/>
        <c:marker>
          <c:symbol val="none"/>
        </c:marker>
      </c:pivotFmt>
      <c:pivotFmt>
        <c:idx val="547"/>
        <c:marker>
          <c:symbol val="none"/>
        </c:marker>
      </c:pivotFmt>
      <c:pivotFmt>
        <c:idx val="548"/>
        <c:marker>
          <c:symbol val="none"/>
        </c:marker>
      </c:pivotFmt>
      <c:pivotFmt>
        <c:idx val="549"/>
        <c:marker>
          <c:symbol val="none"/>
        </c:marker>
      </c:pivotFmt>
      <c:pivotFmt>
        <c:idx val="550"/>
        <c:marker>
          <c:symbol val="none"/>
        </c:marker>
      </c:pivotFmt>
      <c:pivotFmt>
        <c:idx val="551"/>
        <c:marker>
          <c:symbol val="none"/>
        </c:marker>
      </c:pivotFmt>
      <c:pivotFmt>
        <c:idx val="552"/>
        <c:marker>
          <c:symbol val="none"/>
        </c:marker>
      </c:pivotFmt>
      <c:pivotFmt>
        <c:idx val="553"/>
        <c:marker>
          <c:symbol val="none"/>
        </c:marker>
      </c:pivotFmt>
      <c:pivotFmt>
        <c:idx val="554"/>
        <c:marker>
          <c:symbol val="none"/>
        </c:marker>
      </c:pivotFmt>
      <c:pivotFmt>
        <c:idx val="555"/>
        <c:marker>
          <c:symbol val="none"/>
        </c:marker>
      </c:pivotFmt>
      <c:pivotFmt>
        <c:idx val="556"/>
        <c:marker>
          <c:symbol val="none"/>
        </c:marker>
      </c:pivotFmt>
      <c:pivotFmt>
        <c:idx val="557"/>
        <c:marker>
          <c:symbol val="none"/>
        </c:marker>
      </c:pivotFmt>
      <c:pivotFmt>
        <c:idx val="558"/>
        <c:marker>
          <c:symbol val="none"/>
        </c:marker>
      </c:pivotFmt>
      <c:pivotFmt>
        <c:idx val="559"/>
        <c:marker>
          <c:symbol val="none"/>
        </c:marker>
      </c:pivotFmt>
      <c:pivotFmt>
        <c:idx val="560"/>
        <c:marker>
          <c:symbol val="none"/>
        </c:marker>
      </c:pivotFmt>
      <c:pivotFmt>
        <c:idx val="561"/>
        <c:marker>
          <c:symbol val="none"/>
        </c:marker>
      </c:pivotFmt>
      <c:pivotFmt>
        <c:idx val="562"/>
        <c:marker>
          <c:symbol val="none"/>
        </c:marker>
      </c:pivotFmt>
      <c:pivotFmt>
        <c:idx val="563"/>
        <c:marker>
          <c:symbol val="none"/>
        </c:marker>
      </c:pivotFmt>
      <c:pivotFmt>
        <c:idx val="564"/>
        <c:marker>
          <c:symbol val="none"/>
        </c:marker>
      </c:pivotFmt>
      <c:pivotFmt>
        <c:idx val="565"/>
        <c:marker>
          <c:symbol val="none"/>
        </c:marker>
      </c:pivotFmt>
      <c:pivotFmt>
        <c:idx val="566"/>
        <c:marker>
          <c:symbol val="none"/>
        </c:marker>
      </c:pivotFmt>
      <c:pivotFmt>
        <c:idx val="567"/>
        <c:marker>
          <c:symbol val="none"/>
        </c:marker>
      </c:pivotFmt>
      <c:pivotFmt>
        <c:idx val="568"/>
        <c:marker>
          <c:symbol val="none"/>
        </c:marker>
      </c:pivotFmt>
      <c:pivotFmt>
        <c:idx val="569"/>
        <c:marker>
          <c:symbol val="none"/>
        </c:marker>
      </c:pivotFmt>
      <c:pivotFmt>
        <c:idx val="570"/>
        <c:marker>
          <c:symbol val="none"/>
        </c:marker>
      </c:pivotFmt>
      <c:pivotFmt>
        <c:idx val="571"/>
        <c:marker>
          <c:symbol val="none"/>
        </c:marker>
      </c:pivotFmt>
      <c:pivotFmt>
        <c:idx val="572"/>
        <c:marker>
          <c:symbol val="none"/>
        </c:marker>
      </c:pivotFmt>
      <c:pivotFmt>
        <c:idx val="573"/>
        <c:marker>
          <c:symbol val="none"/>
        </c:marker>
      </c:pivotFmt>
      <c:pivotFmt>
        <c:idx val="574"/>
        <c:marker>
          <c:symbol val="none"/>
        </c:marker>
      </c:pivotFmt>
      <c:pivotFmt>
        <c:idx val="575"/>
        <c:marker>
          <c:symbol val="none"/>
        </c:marker>
      </c:pivotFmt>
      <c:pivotFmt>
        <c:idx val="576"/>
        <c:marker>
          <c:symbol val="none"/>
        </c:marker>
      </c:pivotFmt>
      <c:pivotFmt>
        <c:idx val="577"/>
        <c:marker>
          <c:symbol val="none"/>
        </c:marker>
      </c:pivotFmt>
      <c:pivotFmt>
        <c:idx val="578"/>
        <c:marker>
          <c:symbol val="none"/>
        </c:marker>
      </c:pivotFmt>
      <c:pivotFmt>
        <c:idx val="579"/>
        <c:marker>
          <c:symbol val="none"/>
        </c:marker>
      </c:pivotFmt>
      <c:pivotFmt>
        <c:idx val="580"/>
        <c:marker>
          <c:symbol val="none"/>
        </c:marker>
      </c:pivotFmt>
      <c:pivotFmt>
        <c:idx val="581"/>
        <c:marker>
          <c:symbol val="none"/>
        </c:marker>
      </c:pivotFmt>
      <c:pivotFmt>
        <c:idx val="582"/>
        <c:marker>
          <c:symbol val="none"/>
        </c:marker>
      </c:pivotFmt>
      <c:pivotFmt>
        <c:idx val="583"/>
        <c:marker>
          <c:symbol val="none"/>
        </c:marker>
      </c:pivotFmt>
      <c:pivotFmt>
        <c:idx val="584"/>
        <c:marker>
          <c:symbol val="none"/>
        </c:marker>
      </c:pivotFmt>
      <c:pivotFmt>
        <c:idx val="585"/>
        <c:marker>
          <c:symbol val="none"/>
        </c:marker>
      </c:pivotFmt>
      <c:pivotFmt>
        <c:idx val="586"/>
        <c:marker>
          <c:symbol val="none"/>
        </c:marker>
      </c:pivotFmt>
      <c:pivotFmt>
        <c:idx val="587"/>
        <c:marker>
          <c:symbol val="none"/>
        </c:marker>
      </c:pivotFmt>
      <c:pivotFmt>
        <c:idx val="588"/>
        <c:marker>
          <c:symbol val="none"/>
        </c:marker>
      </c:pivotFmt>
      <c:pivotFmt>
        <c:idx val="589"/>
        <c:marker>
          <c:symbol val="none"/>
        </c:marker>
      </c:pivotFmt>
      <c:pivotFmt>
        <c:idx val="590"/>
        <c:marker>
          <c:symbol val="none"/>
        </c:marker>
      </c:pivotFmt>
      <c:pivotFmt>
        <c:idx val="591"/>
        <c:marker>
          <c:symbol val="none"/>
        </c:marker>
      </c:pivotFmt>
      <c:pivotFmt>
        <c:idx val="592"/>
        <c:marker>
          <c:symbol val="none"/>
        </c:marker>
      </c:pivotFmt>
      <c:pivotFmt>
        <c:idx val="593"/>
        <c:marker>
          <c:symbol val="none"/>
        </c:marker>
      </c:pivotFmt>
      <c:pivotFmt>
        <c:idx val="594"/>
        <c:marker>
          <c:symbol val="none"/>
        </c:marker>
      </c:pivotFmt>
      <c:pivotFmt>
        <c:idx val="595"/>
        <c:marker>
          <c:symbol val="none"/>
        </c:marker>
      </c:pivotFmt>
      <c:pivotFmt>
        <c:idx val="596"/>
        <c:marker>
          <c:symbol val="none"/>
        </c:marker>
      </c:pivotFmt>
      <c:pivotFmt>
        <c:idx val="597"/>
        <c:marker>
          <c:symbol val="none"/>
        </c:marker>
      </c:pivotFmt>
      <c:pivotFmt>
        <c:idx val="598"/>
        <c:marker>
          <c:symbol val="none"/>
        </c:marker>
      </c:pivotFmt>
      <c:pivotFmt>
        <c:idx val="599"/>
        <c:marker>
          <c:symbol val="none"/>
        </c:marker>
      </c:pivotFmt>
      <c:pivotFmt>
        <c:idx val="600"/>
        <c:marker>
          <c:symbol val="none"/>
        </c:marker>
      </c:pivotFmt>
      <c:pivotFmt>
        <c:idx val="601"/>
        <c:marker>
          <c:symbol val="none"/>
        </c:marker>
      </c:pivotFmt>
      <c:pivotFmt>
        <c:idx val="602"/>
        <c:marker>
          <c:symbol val="none"/>
        </c:marker>
      </c:pivotFmt>
      <c:pivotFmt>
        <c:idx val="603"/>
        <c:marker>
          <c:symbol val="none"/>
        </c:marker>
      </c:pivotFmt>
      <c:pivotFmt>
        <c:idx val="604"/>
        <c:marker>
          <c:symbol val="none"/>
        </c:marker>
      </c:pivotFmt>
      <c:pivotFmt>
        <c:idx val="605"/>
        <c:marker>
          <c:symbol val="none"/>
        </c:marker>
      </c:pivotFmt>
      <c:pivotFmt>
        <c:idx val="606"/>
        <c:marker>
          <c:symbol val="none"/>
        </c:marker>
      </c:pivotFmt>
      <c:pivotFmt>
        <c:idx val="607"/>
        <c:marker>
          <c:symbol val="none"/>
        </c:marker>
      </c:pivotFmt>
      <c:pivotFmt>
        <c:idx val="608"/>
        <c:marker>
          <c:symbol val="none"/>
        </c:marker>
      </c:pivotFmt>
      <c:pivotFmt>
        <c:idx val="609"/>
        <c:marker>
          <c:symbol val="none"/>
        </c:marker>
      </c:pivotFmt>
      <c:pivotFmt>
        <c:idx val="610"/>
        <c:marker>
          <c:symbol val="none"/>
        </c:marker>
      </c:pivotFmt>
      <c:pivotFmt>
        <c:idx val="611"/>
        <c:marker>
          <c:symbol val="none"/>
        </c:marker>
      </c:pivotFmt>
      <c:pivotFmt>
        <c:idx val="612"/>
        <c:marker>
          <c:symbol val="none"/>
        </c:marker>
      </c:pivotFmt>
      <c:pivotFmt>
        <c:idx val="613"/>
        <c:marker>
          <c:symbol val="none"/>
        </c:marker>
      </c:pivotFmt>
      <c:pivotFmt>
        <c:idx val="614"/>
        <c:marker>
          <c:symbol val="none"/>
        </c:marker>
      </c:pivotFmt>
      <c:pivotFmt>
        <c:idx val="615"/>
        <c:marker>
          <c:symbol val="none"/>
        </c:marker>
      </c:pivotFmt>
      <c:pivotFmt>
        <c:idx val="616"/>
        <c:marker>
          <c:symbol val="none"/>
        </c:marker>
      </c:pivotFmt>
      <c:pivotFmt>
        <c:idx val="617"/>
        <c:marker>
          <c:symbol val="none"/>
        </c:marker>
      </c:pivotFmt>
      <c:pivotFmt>
        <c:idx val="618"/>
        <c:marker>
          <c:symbol val="none"/>
        </c:marker>
      </c:pivotFmt>
      <c:pivotFmt>
        <c:idx val="619"/>
        <c:marker>
          <c:symbol val="none"/>
        </c:marker>
      </c:pivotFmt>
      <c:pivotFmt>
        <c:idx val="620"/>
        <c:marker>
          <c:symbol val="none"/>
        </c:marker>
      </c:pivotFmt>
      <c:pivotFmt>
        <c:idx val="621"/>
        <c:marker>
          <c:symbol val="none"/>
        </c:marker>
      </c:pivotFmt>
      <c:pivotFmt>
        <c:idx val="622"/>
        <c:marker>
          <c:symbol val="none"/>
        </c:marker>
      </c:pivotFmt>
      <c:pivotFmt>
        <c:idx val="623"/>
        <c:marker>
          <c:symbol val="none"/>
        </c:marker>
      </c:pivotFmt>
      <c:pivotFmt>
        <c:idx val="624"/>
        <c:marker>
          <c:symbol val="none"/>
        </c:marker>
      </c:pivotFmt>
      <c:pivotFmt>
        <c:idx val="625"/>
        <c:marker>
          <c:symbol val="none"/>
        </c:marker>
      </c:pivotFmt>
      <c:pivotFmt>
        <c:idx val="626"/>
        <c:marker>
          <c:symbol val="none"/>
        </c:marker>
      </c:pivotFmt>
      <c:pivotFmt>
        <c:idx val="627"/>
        <c:marker>
          <c:symbol val="none"/>
        </c:marker>
      </c:pivotFmt>
      <c:pivotFmt>
        <c:idx val="628"/>
        <c:marker>
          <c:symbol val="none"/>
        </c:marker>
      </c:pivotFmt>
      <c:pivotFmt>
        <c:idx val="629"/>
        <c:marker>
          <c:symbol val="none"/>
        </c:marker>
      </c:pivotFmt>
      <c:pivotFmt>
        <c:idx val="630"/>
        <c:marker>
          <c:symbol val="none"/>
        </c:marker>
      </c:pivotFmt>
      <c:pivotFmt>
        <c:idx val="631"/>
        <c:marker>
          <c:symbol val="none"/>
        </c:marker>
      </c:pivotFmt>
      <c:pivotFmt>
        <c:idx val="632"/>
        <c:marker>
          <c:symbol val="none"/>
        </c:marker>
      </c:pivotFmt>
      <c:pivotFmt>
        <c:idx val="633"/>
        <c:marker>
          <c:symbol val="none"/>
        </c:marker>
      </c:pivotFmt>
      <c:pivotFmt>
        <c:idx val="634"/>
        <c:marker>
          <c:symbol val="none"/>
        </c:marker>
      </c:pivotFmt>
      <c:pivotFmt>
        <c:idx val="635"/>
        <c:marker>
          <c:symbol val="none"/>
        </c:marker>
      </c:pivotFmt>
      <c:pivotFmt>
        <c:idx val="636"/>
        <c:marker>
          <c:symbol val="none"/>
        </c:marker>
      </c:pivotFmt>
      <c:pivotFmt>
        <c:idx val="637"/>
        <c:marker>
          <c:symbol val="none"/>
        </c:marker>
      </c:pivotFmt>
      <c:pivotFmt>
        <c:idx val="638"/>
        <c:marker>
          <c:symbol val="none"/>
        </c:marker>
      </c:pivotFmt>
      <c:pivotFmt>
        <c:idx val="639"/>
        <c:marker>
          <c:symbol val="none"/>
        </c:marker>
      </c:pivotFmt>
      <c:pivotFmt>
        <c:idx val="640"/>
        <c:marker>
          <c:symbol val="none"/>
        </c:marker>
      </c:pivotFmt>
      <c:pivotFmt>
        <c:idx val="641"/>
        <c:marker>
          <c:symbol val="none"/>
        </c:marker>
      </c:pivotFmt>
      <c:pivotFmt>
        <c:idx val="642"/>
        <c:marker>
          <c:symbol val="none"/>
        </c:marker>
      </c:pivotFmt>
      <c:pivotFmt>
        <c:idx val="643"/>
        <c:marker>
          <c:symbol val="none"/>
        </c:marker>
      </c:pivotFmt>
      <c:pivotFmt>
        <c:idx val="644"/>
        <c:marker>
          <c:symbol val="none"/>
        </c:marker>
      </c:pivotFmt>
      <c:pivotFmt>
        <c:idx val="645"/>
        <c:marker>
          <c:symbol val="none"/>
        </c:marker>
      </c:pivotFmt>
      <c:pivotFmt>
        <c:idx val="646"/>
        <c:marker>
          <c:symbol val="none"/>
        </c:marker>
      </c:pivotFmt>
      <c:pivotFmt>
        <c:idx val="647"/>
        <c:marker>
          <c:symbol val="none"/>
        </c:marker>
      </c:pivotFmt>
      <c:pivotFmt>
        <c:idx val="648"/>
        <c:marker>
          <c:symbol val="none"/>
        </c:marker>
      </c:pivotFmt>
      <c:pivotFmt>
        <c:idx val="649"/>
        <c:marker>
          <c:symbol val="none"/>
        </c:marker>
      </c:pivotFmt>
      <c:pivotFmt>
        <c:idx val="650"/>
        <c:marker>
          <c:symbol val="none"/>
        </c:marker>
      </c:pivotFmt>
      <c:pivotFmt>
        <c:idx val="651"/>
        <c:marker>
          <c:symbol val="none"/>
        </c:marker>
      </c:pivotFmt>
      <c:pivotFmt>
        <c:idx val="652"/>
        <c:marker>
          <c:symbol val="none"/>
        </c:marker>
      </c:pivotFmt>
      <c:pivotFmt>
        <c:idx val="653"/>
        <c:marker>
          <c:symbol val="none"/>
        </c:marker>
      </c:pivotFmt>
      <c:pivotFmt>
        <c:idx val="654"/>
        <c:marker>
          <c:symbol val="none"/>
        </c:marker>
      </c:pivotFmt>
      <c:pivotFmt>
        <c:idx val="655"/>
        <c:marker>
          <c:symbol val="none"/>
        </c:marker>
      </c:pivotFmt>
      <c:pivotFmt>
        <c:idx val="656"/>
        <c:marker>
          <c:symbol val="none"/>
        </c:marker>
      </c:pivotFmt>
      <c:pivotFmt>
        <c:idx val="657"/>
        <c:marker>
          <c:symbol val="none"/>
        </c:marker>
      </c:pivotFmt>
      <c:pivotFmt>
        <c:idx val="658"/>
        <c:marker>
          <c:symbol val="none"/>
        </c:marker>
      </c:pivotFmt>
      <c:pivotFmt>
        <c:idx val="659"/>
        <c:marker>
          <c:symbol val="none"/>
        </c:marker>
      </c:pivotFmt>
      <c:pivotFmt>
        <c:idx val="660"/>
        <c:marker>
          <c:symbol val="none"/>
        </c:marker>
      </c:pivotFmt>
      <c:pivotFmt>
        <c:idx val="661"/>
        <c:marker>
          <c:symbol val="none"/>
        </c:marker>
      </c:pivotFmt>
      <c:pivotFmt>
        <c:idx val="662"/>
        <c:marker>
          <c:symbol val="none"/>
        </c:marker>
      </c:pivotFmt>
      <c:pivotFmt>
        <c:idx val="663"/>
        <c:marker>
          <c:symbol val="none"/>
        </c:marker>
      </c:pivotFmt>
      <c:pivotFmt>
        <c:idx val="664"/>
        <c:marker>
          <c:symbol val="none"/>
        </c:marker>
      </c:pivotFmt>
      <c:pivotFmt>
        <c:idx val="665"/>
        <c:marker>
          <c:symbol val="none"/>
        </c:marker>
      </c:pivotFmt>
      <c:pivotFmt>
        <c:idx val="666"/>
        <c:marker>
          <c:symbol val="none"/>
        </c:marker>
      </c:pivotFmt>
      <c:pivotFmt>
        <c:idx val="667"/>
        <c:marker>
          <c:symbol val="none"/>
        </c:marker>
      </c:pivotFmt>
      <c:pivotFmt>
        <c:idx val="668"/>
        <c:marker>
          <c:symbol val="none"/>
        </c:marker>
      </c:pivotFmt>
      <c:pivotFmt>
        <c:idx val="669"/>
        <c:marker>
          <c:symbol val="none"/>
        </c:marker>
      </c:pivotFmt>
      <c:pivotFmt>
        <c:idx val="670"/>
        <c:marker>
          <c:symbol val="none"/>
        </c:marker>
      </c:pivotFmt>
      <c:pivotFmt>
        <c:idx val="671"/>
        <c:marker>
          <c:symbol val="none"/>
        </c:marker>
      </c:pivotFmt>
      <c:pivotFmt>
        <c:idx val="672"/>
        <c:marker>
          <c:symbol val="none"/>
        </c:marker>
      </c:pivotFmt>
      <c:pivotFmt>
        <c:idx val="673"/>
        <c:marker>
          <c:symbol val="none"/>
        </c:marker>
      </c:pivotFmt>
      <c:pivotFmt>
        <c:idx val="674"/>
        <c:marker>
          <c:symbol val="none"/>
        </c:marker>
      </c:pivotFmt>
      <c:pivotFmt>
        <c:idx val="675"/>
        <c:marker>
          <c:symbol val="none"/>
        </c:marker>
      </c:pivotFmt>
      <c:pivotFmt>
        <c:idx val="676"/>
        <c:marker>
          <c:symbol val="none"/>
        </c:marker>
      </c:pivotFmt>
      <c:pivotFmt>
        <c:idx val="677"/>
        <c:marker>
          <c:symbol val="none"/>
        </c:marker>
      </c:pivotFmt>
      <c:pivotFmt>
        <c:idx val="678"/>
        <c:marker>
          <c:symbol val="none"/>
        </c:marker>
      </c:pivotFmt>
      <c:pivotFmt>
        <c:idx val="679"/>
        <c:marker>
          <c:symbol val="none"/>
        </c:marker>
      </c:pivotFmt>
      <c:pivotFmt>
        <c:idx val="680"/>
        <c:marker>
          <c:symbol val="none"/>
        </c:marker>
      </c:pivotFmt>
      <c:pivotFmt>
        <c:idx val="681"/>
        <c:marker>
          <c:symbol val="none"/>
        </c:marker>
      </c:pivotFmt>
      <c:pivotFmt>
        <c:idx val="682"/>
        <c:marker>
          <c:symbol val="none"/>
        </c:marker>
      </c:pivotFmt>
      <c:pivotFmt>
        <c:idx val="683"/>
        <c:marker>
          <c:symbol val="none"/>
        </c:marker>
      </c:pivotFmt>
      <c:pivotFmt>
        <c:idx val="684"/>
        <c:marker>
          <c:symbol val="none"/>
        </c:marker>
      </c:pivotFmt>
      <c:pivotFmt>
        <c:idx val="685"/>
        <c:marker>
          <c:symbol val="none"/>
        </c:marker>
      </c:pivotFmt>
      <c:pivotFmt>
        <c:idx val="686"/>
        <c:marker>
          <c:symbol val="none"/>
        </c:marker>
      </c:pivotFmt>
      <c:pivotFmt>
        <c:idx val="687"/>
        <c:marker>
          <c:symbol val="none"/>
        </c:marker>
      </c:pivotFmt>
      <c:pivotFmt>
        <c:idx val="688"/>
        <c:marker>
          <c:symbol val="none"/>
        </c:marker>
      </c:pivotFmt>
      <c:pivotFmt>
        <c:idx val="689"/>
        <c:marker>
          <c:symbol val="none"/>
        </c:marker>
      </c:pivotFmt>
      <c:pivotFmt>
        <c:idx val="690"/>
        <c:marker>
          <c:symbol val="none"/>
        </c:marker>
      </c:pivotFmt>
      <c:pivotFmt>
        <c:idx val="691"/>
        <c:marker>
          <c:symbol val="none"/>
        </c:marker>
      </c:pivotFmt>
      <c:pivotFmt>
        <c:idx val="692"/>
        <c:marker>
          <c:symbol val="none"/>
        </c:marker>
      </c:pivotFmt>
      <c:pivotFmt>
        <c:idx val="693"/>
        <c:marker>
          <c:symbol val="none"/>
        </c:marker>
      </c:pivotFmt>
      <c:pivotFmt>
        <c:idx val="694"/>
        <c:marker>
          <c:symbol val="none"/>
        </c:marker>
      </c:pivotFmt>
      <c:pivotFmt>
        <c:idx val="695"/>
        <c:marker>
          <c:symbol val="none"/>
        </c:marker>
      </c:pivotFmt>
      <c:pivotFmt>
        <c:idx val="696"/>
        <c:marker>
          <c:symbol val="none"/>
        </c:marker>
      </c:pivotFmt>
      <c:pivotFmt>
        <c:idx val="697"/>
        <c:marker>
          <c:symbol val="none"/>
        </c:marker>
      </c:pivotFmt>
      <c:pivotFmt>
        <c:idx val="698"/>
        <c:marker>
          <c:symbol val="none"/>
        </c:marker>
      </c:pivotFmt>
      <c:pivotFmt>
        <c:idx val="699"/>
        <c:marker>
          <c:symbol val="none"/>
        </c:marker>
      </c:pivotFmt>
      <c:pivotFmt>
        <c:idx val="700"/>
        <c:marker>
          <c:symbol val="none"/>
        </c:marker>
      </c:pivotFmt>
      <c:pivotFmt>
        <c:idx val="701"/>
        <c:marker>
          <c:symbol val="none"/>
        </c:marker>
      </c:pivotFmt>
      <c:pivotFmt>
        <c:idx val="702"/>
        <c:marker>
          <c:symbol val="none"/>
        </c:marker>
      </c:pivotFmt>
      <c:pivotFmt>
        <c:idx val="703"/>
        <c:marker>
          <c:symbol val="none"/>
        </c:marker>
      </c:pivotFmt>
      <c:pivotFmt>
        <c:idx val="704"/>
        <c:marker>
          <c:symbol val="none"/>
        </c:marker>
      </c:pivotFmt>
      <c:pivotFmt>
        <c:idx val="705"/>
        <c:marker>
          <c:symbol val="none"/>
        </c:marker>
      </c:pivotFmt>
      <c:pivotFmt>
        <c:idx val="706"/>
        <c:marker>
          <c:symbol val="none"/>
        </c:marker>
      </c:pivotFmt>
      <c:pivotFmt>
        <c:idx val="707"/>
        <c:marker>
          <c:symbol val="none"/>
        </c:marker>
      </c:pivotFmt>
      <c:pivotFmt>
        <c:idx val="708"/>
        <c:marker>
          <c:symbol val="none"/>
        </c:marker>
      </c:pivotFmt>
      <c:pivotFmt>
        <c:idx val="709"/>
        <c:marker>
          <c:symbol val="none"/>
        </c:marker>
      </c:pivotFmt>
      <c:pivotFmt>
        <c:idx val="710"/>
        <c:marker>
          <c:symbol val="none"/>
        </c:marker>
      </c:pivotFmt>
      <c:pivotFmt>
        <c:idx val="711"/>
        <c:marker>
          <c:symbol val="none"/>
        </c:marker>
      </c:pivotFmt>
      <c:pivotFmt>
        <c:idx val="712"/>
        <c:marker>
          <c:symbol val="none"/>
        </c:marker>
      </c:pivotFmt>
      <c:pivotFmt>
        <c:idx val="713"/>
        <c:marker>
          <c:symbol val="none"/>
        </c:marker>
      </c:pivotFmt>
      <c:pivotFmt>
        <c:idx val="714"/>
        <c:marker>
          <c:symbol val="none"/>
        </c:marker>
      </c:pivotFmt>
      <c:pivotFmt>
        <c:idx val="715"/>
        <c:marker>
          <c:symbol val="none"/>
        </c:marker>
      </c:pivotFmt>
      <c:pivotFmt>
        <c:idx val="716"/>
        <c:marker>
          <c:symbol val="none"/>
        </c:marker>
      </c:pivotFmt>
      <c:pivotFmt>
        <c:idx val="717"/>
        <c:marker>
          <c:symbol val="none"/>
        </c:marker>
      </c:pivotFmt>
      <c:pivotFmt>
        <c:idx val="718"/>
        <c:marker>
          <c:symbol val="none"/>
        </c:marker>
      </c:pivotFmt>
      <c:pivotFmt>
        <c:idx val="719"/>
        <c:marker>
          <c:symbol val="none"/>
        </c:marker>
      </c:pivotFmt>
      <c:pivotFmt>
        <c:idx val="720"/>
        <c:marker>
          <c:symbol val="none"/>
        </c:marker>
      </c:pivotFmt>
      <c:pivotFmt>
        <c:idx val="721"/>
        <c:marker>
          <c:symbol val="none"/>
        </c:marker>
      </c:pivotFmt>
      <c:pivotFmt>
        <c:idx val="722"/>
        <c:marker>
          <c:symbol val="none"/>
        </c:marker>
      </c:pivotFmt>
      <c:pivotFmt>
        <c:idx val="723"/>
        <c:marker>
          <c:symbol val="none"/>
        </c:marker>
      </c:pivotFmt>
      <c:pivotFmt>
        <c:idx val="724"/>
        <c:marker>
          <c:symbol val="none"/>
        </c:marker>
      </c:pivotFmt>
      <c:pivotFmt>
        <c:idx val="725"/>
        <c:marker>
          <c:symbol val="none"/>
        </c:marker>
      </c:pivotFmt>
      <c:pivotFmt>
        <c:idx val="726"/>
        <c:marker>
          <c:symbol val="none"/>
        </c:marker>
      </c:pivotFmt>
      <c:pivotFmt>
        <c:idx val="727"/>
        <c:marker>
          <c:symbol val="none"/>
        </c:marker>
      </c:pivotFmt>
      <c:pivotFmt>
        <c:idx val="728"/>
        <c:marker>
          <c:symbol val="none"/>
        </c:marker>
      </c:pivotFmt>
      <c:pivotFmt>
        <c:idx val="729"/>
        <c:marker>
          <c:symbol val="none"/>
        </c:marker>
      </c:pivotFmt>
      <c:pivotFmt>
        <c:idx val="730"/>
        <c:marker>
          <c:symbol val="none"/>
        </c:marker>
      </c:pivotFmt>
      <c:pivotFmt>
        <c:idx val="731"/>
        <c:marker>
          <c:symbol val="none"/>
        </c:marker>
      </c:pivotFmt>
      <c:pivotFmt>
        <c:idx val="732"/>
        <c:marker>
          <c:symbol val="none"/>
        </c:marker>
      </c:pivotFmt>
      <c:pivotFmt>
        <c:idx val="733"/>
        <c:marker>
          <c:symbol val="none"/>
        </c:marker>
      </c:pivotFmt>
      <c:pivotFmt>
        <c:idx val="734"/>
        <c:marker>
          <c:symbol val="none"/>
        </c:marker>
      </c:pivotFmt>
      <c:pivotFmt>
        <c:idx val="735"/>
        <c:marker>
          <c:symbol val="none"/>
        </c:marker>
      </c:pivotFmt>
      <c:pivotFmt>
        <c:idx val="736"/>
        <c:marker>
          <c:symbol val="none"/>
        </c:marker>
      </c:pivotFmt>
      <c:pivotFmt>
        <c:idx val="737"/>
        <c:marker>
          <c:symbol val="none"/>
        </c:marker>
      </c:pivotFmt>
      <c:pivotFmt>
        <c:idx val="738"/>
        <c:marker>
          <c:symbol val="none"/>
        </c:marker>
      </c:pivotFmt>
      <c:pivotFmt>
        <c:idx val="739"/>
        <c:marker>
          <c:symbol val="none"/>
        </c:marker>
      </c:pivotFmt>
      <c:pivotFmt>
        <c:idx val="740"/>
        <c:marker>
          <c:symbol val="none"/>
        </c:marker>
      </c:pivotFmt>
      <c:pivotFmt>
        <c:idx val="741"/>
        <c:marker>
          <c:symbol val="none"/>
        </c:marker>
      </c:pivotFmt>
      <c:pivotFmt>
        <c:idx val="742"/>
        <c:marker>
          <c:symbol val="none"/>
        </c:marker>
      </c:pivotFmt>
      <c:pivotFmt>
        <c:idx val="743"/>
        <c:marker>
          <c:symbol val="none"/>
        </c:marker>
      </c:pivotFmt>
      <c:pivotFmt>
        <c:idx val="744"/>
        <c:marker>
          <c:symbol val="none"/>
        </c:marker>
      </c:pivotFmt>
      <c:pivotFmt>
        <c:idx val="745"/>
        <c:marker>
          <c:symbol val="none"/>
        </c:marker>
      </c:pivotFmt>
      <c:pivotFmt>
        <c:idx val="746"/>
        <c:marker>
          <c:symbol val="none"/>
        </c:marker>
      </c:pivotFmt>
      <c:pivotFmt>
        <c:idx val="747"/>
        <c:marker>
          <c:symbol val="none"/>
        </c:marker>
      </c:pivotFmt>
      <c:pivotFmt>
        <c:idx val="748"/>
        <c:marker>
          <c:symbol val="none"/>
        </c:marker>
      </c:pivotFmt>
      <c:pivotFmt>
        <c:idx val="749"/>
        <c:marker>
          <c:symbol val="none"/>
        </c:marker>
      </c:pivotFmt>
      <c:pivotFmt>
        <c:idx val="750"/>
        <c:marker>
          <c:symbol val="none"/>
        </c:marker>
      </c:pivotFmt>
      <c:pivotFmt>
        <c:idx val="751"/>
        <c:marker>
          <c:symbol val="none"/>
        </c:marker>
      </c:pivotFmt>
      <c:pivotFmt>
        <c:idx val="752"/>
        <c:marker>
          <c:symbol val="none"/>
        </c:marker>
      </c:pivotFmt>
      <c:pivotFmt>
        <c:idx val="753"/>
        <c:marker>
          <c:symbol val="none"/>
        </c:marker>
      </c:pivotFmt>
      <c:pivotFmt>
        <c:idx val="754"/>
        <c:marker>
          <c:symbol val="none"/>
        </c:marker>
      </c:pivotFmt>
      <c:pivotFmt>
        <c:idx val="755"/>
        <c:marker>
          <c:symbol val="none"/>
        </c:marker>
      </c:pivotFmt>
      <c:pivotFmt>
        <c:idx val="756"/>
        <c:marker>
          <c:symbol val="none"/>
        </c:marker>
      </c:pivotFmt>
      <c:pivotFmt>
        <c:idx val="757"/>
        <c:marker>
          <c:symbol val="none"/>
        </c:marker>
      </c:pivotFmt>
      <c:pivotFmt>
        <c:idx val="758"/>
        <c:marker>
          <c:symbol val="none"/>
        </c:marker>
      </c:pivotFmt>
      <c:pivotFmt>
        <c:idx val="759"/>
        <c:marker>
          <c:symbol val="none"/>
        </c:marker>
      </c:pivotFmt>
      <c:pivotFmt>
        <c:idx val="760"/>
        <c:marker>
          <c:symbol val="none"/>
        </c:marker>
      </c:pivotFmt>
      <c:pivotFmt>
        <c:idx val="761"/>
        <c:marker>
          <c:symbol val="none"/>
        </c:marker>
      </c:pivotFmt>
      <c:pivotFmt>
        <c:idx val="762"/>
        <c:marker>
          <c:symbol val="none"/>
        </c:marker>
      </c:pivotFmt>
      <c:pivotFmt>
        <c:idx val="763"/>
        <c:marker>
          <c:symbol val="none"/>
        </c:marker>
      </c:pivotFmt>
      <c:pivotFmt>
        <c:idx val="764"/>
        <c:marker>
          <c:symbol val="none"/>
        </c:marker>
      </c:pivotFmt>
      <c:pivotFmt>
        <c:idx val="765"/>
        <c:marker>
          <c:symbol val="none"/>
        </c:marker>
      </c:pivotFmt>
      <c:pivotFmt>
        <c:idx val="766"/>
        <c:marker>
          <c:symbol val="none"/>
        </c:marker>
      </c:pivotFmt>
      <c:pivotFmt>
        <c:idx val="767"/>
        <c:marker>
          <c:symbol val="none"/>
        </c:marker>
      </c:pivotFmt>
      <c:pivotFmt>
        <c:idx val="768"/>
        <c:marker>
          <c:symbol val="none"/>
        </c:marker>
      </c:pivotFmt>
      <c:pivotFmt>
        <c:idx val="769"/>
        <c:marker>
          <c:symbol val="none"/>
        </c:marker>
      </c:pivotFmt>
      <c:pivotFmt>
        <c:idx val="770"/>
        <c:marker>
          <c:symbol val="none"/>
        </c:marker>
      </c:pivotFmt>
      <c:pivotFmt>
        <c:idx val="771"/>
        <c:marker>
          <c:symbol val="none"/>
        </c:marker>
      </c:pivotFmt>
      <c:pivotFmt>
        <c:idx val="772"/>
        <c:marker>
          <c:symbol val="none"/>
        </c:marker>
      </c:pivotFmt>
      <c:pivotFmt>
        <c:idx val="773"/>
        <c:marker>
          <c:symbol val="none"/>
        </c:marker>
      </c:pivotFmt>
      <c:pivotFmt>
        <c:idx val="774"/>
        <c:marker>
          <c:symbol val="none"/>
        </c:marker>
      </c:pivotFmt>
      <c:pivotFmt>
        <c:idx val="775"/>
        <c:marker>
          <c:symbol val="none"/>
        </c:marker>
      </c:pivotFmt>
      <c:pivotFmt>
        <c:idx val="776"/>
        <c:marker>
          <c:symbol val="none"/>
        </c:marker>
      </c:pivotFmt>
      <c:pivotFmt>
        <c:idx val="777"/>
        <c:marker>
          <c:symbol val="none"/>
        </c:marker>
      </c:pivotFmt>
      <c:pivotFmt>
        <c:idx val="778"/>
        <c:marker>
          <c:symbol val="none"/>
        </c:marker>
      </c:pivotFmt>
      <c:pivotFmt>
        <c:idx val="779"/>
        <c:marker>
          <c:symbol val="none"/>
        </c:marker>
      </c:pivotFmt>
      <c:pivotFmt>
        <c:idx val="780"/>
        <c:marker>
          <c:symbol val="none"/>
        </c:marker>
      </c:pivotFmt>
      <c:pivotFmt>
        <c:idx val="781"/>
        <c:marker>
          <c:symbol val="none"/>
        </c:marker>
      </c:pivotFmt>
      <c:pivotFmt>
        <c:idx val="782"/>
        <c:marker>
          <c:symbol val="none"/>
        </c:marker>
      </c:pivotFmt>
      <c:pivotFmt>
        <c:idx val="783"/>
        <c:marker>
          <c:symbol val="none"/>
        </c:marker>
      </c:pivotFmt>
      <c:pivotFmt>
        <c:idx val="784"/>
        <c:marker>
          <c:symbol val="none"/>
        </c:marker>
      </c:pivotFmt>
      <c:pivotFmt>
        <c:idx val="785"/>
        <c:marker>
          <c:symbol val="none"/>
        </c:marker>
      </c:pivotFmt>
      <c:pivotFmt>
        <c:idx val="786"/>
        <c:marker>
          <c:symbol val="none"/>
        </c:marker>
      </c:pivotFmt>
      <c:pivotFmt>
        <c:idx val="787"/>
        <c:marker>
          <c:symbol val="none"/>
        </c:marker>
      </c:pivotFmt>
      <c:pivotFmt>
        <c:idx val="788"/>
        <c:marker>
          <c:symbol val="none"/>
        </c:marker>
      </c:pivotFmt>
      <c:pivotFmt>
        <c:idx val="789"/>
        <c:marker>
          <c:symbol val="none"/>
        </c:marker>
      </c:pivotFmt>
      <c:pivotFmt>
        <c:idx val="790"/>
        <c:marker>
          <c:symbol val="none"/>
        </c:marker>
      </c:pivotFmt>
      <c:pivotFmt>
        <c:idx val="791"/>
        <c:marker>
          <c:symbol val="none"/>
        </c:marker>
      </c:pivotFmt>
      <c:pivotFmt>
        <c:idx val="792"/>
        <c:marker>
          <c:symbol val="none"/>
        </c:marker>
      </c:pivotFmt>
      <c:pivotFmt>
        <c:idx val="793"/>
        <c:marker>
          <c:symbol val="none"/>
        </c:marker>
      </c:pivotFmt>
      <c:pivotFmt>
        <c:idx val="794"/>
        <c:marker>
          <c:symbol val="none"/>
        </c:marker>
      </c:pivotFmt>
      <c:pivotFmt>
        <c:idx val="795"/>
        <c:marker>
          <c:symbol val="none"/>
        </c:marker>
      </c:pivotFmt>
      <c:pivotFmt>
        <c:idx val="796"/>
        <c:marker>
          <c:symbol val="none"/>
        </c:marker>
      </c:pivotFmt>
      <c:pivotFmt>
        <c:idx val="797"/>
        <c:marker>
          <c:symbol val="none"/>
        </c:marker>
      </c:pivotFmt>
      <c:pivotFmt>
        <c:idx val="798"/>
        <c:marker>
          <c:symbol val="none"/>
        </c:marker>
      </c:pivotFmt>
      <c:pivotFmt>
        <c:idx val="799"/>
        <c:marker>
          <c:symbol val="none"/>
        </c:marker>
      </c:pivotFmt>
      <c:pivotFmt>
        <c:idx val="800"/>
        <c:marker>
          <c:symbol val="none"/>
        </c:marker>
      </c:pivotFmt>
      <c:pivotFmt>
        <c:idx val="801"/>
        <c:marker>
          <c:symbol val="none"/>
        </c:marker>
      </c:pivotFmt>
      <c:pivotFmt>
        <c:idx val="802"/>
        <c:marker>
          <c:symbol val="none"/>
        </c:marker>
      </c:pivotFmt>
      <c:pivotFmt>
        <c:idx val="803"/>
        <c:marker>
          <c:symbol val="none"/>
        </c:marker>
      </c:pivotFmt>
      <c:pivotFmt>
        <c:idx val="804"/>
        <c:marker>
          <c:symbol val="none"/>
        </c:marker>
      </c:pivotFmt>
      <c:pivotFmt>
        <c:idx val="805"/>
        <c:marker>
          <c:symbol val="none"/>
        </c:marker>
      </c:pivotFmt>
      <c:pivotFmt>
        <c:idx val="806"/>
        <c:marker>
          <c:symbol val="none"/>
        </c:marker>
      </c:pivotFmt>
      <c:pivotFmt>
        <c:idx val="807"/>
        <c:marker>
          <c:symbol val="none"/>
        </c:marker>
      </c:pivotFmt>
      <c:pivotFmt>
        <c:idx val="808"/>
        <c:marker>
          <c:symbol val="none"/>
        </c:marker>
      </c:pivotFmt>
      <c:pivotFmt>
        <c:idx val="809"/>
        <c:marker>
          <c:symbol val="none"/>
        </c:marker>
      </c:pivotFmt>
      <c:pivotFmt>
        <c:idx val="810"/>
        <c:marker>
          <c:symbol val="none"/>
        </c:marker>
      </c:pivotFmt>
      <c:pivotFmt>
        <c:idx val="811"/>
        <c:marker>
          <c:symbol val="none"/>
        </c:marker>
      </c:pivotFmt>
      <c:pivotFmt>
        <c:idx val="812"/>
        <c:marker>
          <c:symbol val="none"/>
        </c:marker>
      </c:pivotFmt>
      <c:pivotFmt>
        <c:idx val="813"/>
        <c:marker>
          <c:symbol val="none"/>
        </c:marker>
      </c:pivotFmt>
      <c:pivotFmt>
        <c:idx val="814"/>
        <c:marker>
          <c:symbol val="none"/>
        </c:marker>
      </c:pivotFmt>
      <c:pivotFmt>
        <c:idx val="815"/>
        <c:marker>
          <c:symbol val="none"/>
        </c:marker>
      </c:pivotFmt>
      <c:pivotFmt>
        <c:idx val="816"/>
        <c:marker>
          <c:symbol val="none"/>
        </c:marker>
      </c:pivotFmt>
      <c:pivotFmt>
        <c:idx val="817"/>
        <c:marker>
          <c:symbol val="none"/>
        </c:marker>
      </c:pivotFmt>
      <c:pivotFmt>
        <c:idx val="818"/>
        <c:marker>
          <c:symbol val="none"/>
        </c:marker>
      </c:pivotFmt>
      <c:pivotFmt>
        <c:idx val="819"/>
        <c:marker>
          <c:symbol val="none"/>
        </c:marker>
      </c:pivotFmt>
      <c:pivotFmt>
        <c:idx val="820"/>
        <c:marker>
          <c:symbol val="none"/>
        </c:marker>
      </c:pivotFmt>
      <c:pivotFmt>
        <c:idx val="821"/>
        <c:marker>
          <c:symbol val="none"/>
        </c:marker>
      </c:pivotFmt>
      <c:pivotFmt>
        <c:idx val="822"/>
        <c:marker>
          <c:symbol val="none"/>
        </c:marker>
      </c:pivotFmt>
      <c:pivotFmt>
        <c:idx val="823"/>
        <c:marker>
          <c:symbol val="none"/>
        </c:marker>
      </c:pivotFmt>
      <c:pivotFmt>
        <c:idx val="824"/>
        <c:marker>
          <c:symbol val="none"/>
        </c:marker>
      </c:pivotFmt>
      <c:pivotFmt>
        <c:idx val="825"/>
        <c:marker>
          <c:symbol val="none"/>
        </c:marker>
      </c:pivotFmt>
      <c:pivotFmt>
        <c:idx val="826"/>
        <c:marker>
          <c:symbol val="none"/>
        </c:marker>
      </c:pivotFmt>
      <c:pivotFmt>
        <c:idx val="827"/>
        <c:marker>
          <c:symbol val="none"/>
        </c:marker>
      </c:pivotFmt>
      <c:pivotFmt>
        <c:idx val="828"/>
        <c:marker>
          <c:symbol val="none"/>
        </c:marker>
      </c:pivotFmt>
      <c:pivotFmt>
        <c:idx val="829"/>
        <c:marker>
          <c:symbol val="none"/>
        </c:marker>
      </c:pivotFmt>
      <c:pivotFmt>
        <c:idx val="830"/>
        <c:marker>
          <c:symbol val="none"/>
        </c:marker>
      </c:pivotFmt>
      <c:pivotFmt>
        <c:idx val="831"/>
        <c:marker>
          <c:symbol val="none"/>
        </c:marker>
      </c:pivotFmt>
      <c:pivotFmt>
        <c:idx val="832"/>
        <c:marker>
          <c:symbol val="none"/>
        </c:marker>
      </c:pivotFmt>
      <c:pivotFmt>
        <c:idx val="833"/>
        <c:marker>
          <c:symbol val="none"/>
        </c:marker>
      </c:pivotFmt>
      <c:pivotFmt>
        <c:idx val="834"/>
        <c:marker>
          <c:symbol val="none"/>
        </c:marker>
      </c:pivotFmt>
      <c:pivotFmt>
        <c:idx val="835"/>
        <c:marker>
          <c:symbol val="none"/>
        </c:marker>
      </c:pivotFmt>
      <c:pivotFmt>
        <c:idx val="836"/>
        <c:marker>
          <c:symbol val="none"/>
        </c:marker>
      </c:pivotFmt>
      <c:pivotFmt>
        <c:idx val="837"/>
        <c:marker>
          <c:symbol val="none"/>
        </c:marker>
      </c:pivotFmt>
      <c:pivotFmt>
        <c:idx val="838"/>
        <c:marker>
          <c:symbol val="none"/>
        </c:marker>
      </c:pivotFmt>
      <c:pivotFmt>
        <c:idx val="839"/>
        <c:marker>
          <c:symbol val="none"/>
        </c:marker>
      </c:pivotFmt>
      <c:pivotFmt>
        <c:idx val="840"/>
        <c:marker>
          <c:symbol val="none"/>
        </c:marker>
      </c:pivotFmt>
      <c:pivotFmt>
        <c:idx val="841"/>
        <c:marker>
          <c:symbol val="none"/>
        </c:marker>
      </c:pivotFmt>
      <c:pivotFmt>
        <c:idx val="842"/>
        <c:marker>
          <c:symbol val="none"/>
        </c:marker>
      </c:pivotFmt>
      <c:pivotFmt>
        <c:idx val="843"/>
        <c:marker>
          <c:symbol val="none"/>
        </c:marker>
      </c:pivotFmt>
      <c:pivotFmt>
        <c:idx val="844"/>
        <c:marker>
          <c:symbol val="none"/>
        </c:marker>
      </c:pivotFmt>
      <c:pivotFmt>
        <c:idx val="845"/>
        <c:marker>
          <c:symbol val="none"/>
        </c:marker>
      </c:pivotFmt>
      <c:pivotFmt>
        <c:idx val="846"/>
        <c:marker>
          <c:symbol val="none"/>
        </c:marker>
      </c:pivotFmt>
      <c:pivotFmt>
        <c:idx val="847"/>
        <c:marker>
          <c:symbol val="none"/>
        </c:marker>
      </c:pivotFmt>
      <c:pivotFmt>
        <c:idx val="848"/>
        <c:marker>
          <c:symbol val="none"/>
        </c:marker>
      </c:pivotFmt>
      <c:pivotFmt>
        <c:idx val="849"/>
        <c:marker>
          <c:symbol val="none"/>
        </c:marker>
      </c:pivotFmt>
      <c:pivotFmt>
        <c:idx val="850"/>
        <c:marker>
          <c:symbol val="none"/>
        </c:marker>
      </c:pivotFmt>
      <c:pivotFmt>
        <c:idx val="851"/>
        <c:marker>
          <c:symbol val="none"/>
        </c:marker>
      </c:pivotFmt>
      <c:pivotFmt>
        <c:idx val="852"/>
        <c:marker>
          <c:symbol val="none"/>
        </c:marker>
      </c:pivotFmt>
      <c:pivotFmt>
        <c:idx val="853"/>
        <c:marker>
          <c:symbol val="none"/>
        </c:marker>
      </c:pivotFmt>
      <c:pivotFmt>
        <c:idx val="854"/>
        <c:marker>
          <c:symbol val="none"/>
        </c:marker>
      </c:pivotFmt>
      <c:pivotFmt>
        <c:idx val="855"/>
        <c:marker>
          <c:symbol val="none"/>
        </c:marker>
      </c:pivotFmt>
      <c:pivotFmt>
        <c:idx val="856"/>
        <c:marker>
          <c:symbol val="none"/>
        </c:marker>
      </c:pivotFmt>
      <c:pivotFmt>
        <c:idx val="857"/>
        <c:marker>
          <c:symbol val="none"/>
        </c:marker>
      </c:pivotFmt>
      <c:pivotFmt>
        <c:idx val="858"/>
        <c:marker>
          <c:symbol val="none"/>
        </c:marker>
      </c:pivotFmt>
      <c:pivotFmt>
        <c:idx val="859"/>
        <c:marker>
          <c:symbol val="none"/>
        </c:marker>
      </c:pivotFmt>
      <c:pivotFmt>
        <c:idx val="860"/>
        <c:marker>
          <c:symbol val="none"/>
        </c:marker>
      </c:pivotFmt>
      <c:pivotFmt>
        <c:idx val="861"/>
        <c:marker>
          <c:symbol val="none"/>
        </c:marker>
      </c:pivotFmt>
      <c:pivotFmt>
        <c:idx val="862"/>
        <c:marker>
          <c:symbol val="none"/>
        </c:marker>
      </c:pivotFmt>
      <c:pivotFmt>
        <c:idx val="863"/>
        <c:marker>
          <c:symbol val="none"/>
        </c:marker>
      </c:pivotFmt>
      <c:pivotFmt>
        <c:idx val="864"/>
        <c:marker>
          <c:symbol val="none"/>
        </c:marker>
      </c:pivotFmt>
      <c:pivotFmt>
        <c:idx val="865"/>
        <c:marker>
          <c:symbol val="none"/>
        </c:marker>
      </c:pivotFmt>
      <c:pivotFmt>
        <c:idx val="866"/>
        <c:marker>
          <c:symbol val="none"/>
        </c:marker>
      </c:pivotFmt>
      <c:pivotFmt>
        <c:idx val="867"/>
        <c:marker>
          <c:symbol val="none"/>
        </c:marker>
      </c:pivotFmt>
      <c:pivotFmt>
        <c:idx val="868"/>
        <c:marker>
          <c:symbol val="none"/>
        </c:marker>
      </c:pivotFmt>
      <c:pivotFmt>
        <c:idx val="869"/>
        <c:marker>
          <c:symbol val="none"/>
        </c:marker>
      </c:pivotFmt>
      <c:pivotFmt>
        <c:idx val="870"/>
        <c:marker>
          <c:symbol val="none"/>
        </c:marker>
      </c:pivotFmt>
      <c:pivotFmt>
        <c:idx val="871"/>
        <c:marker>
          <c:symbol val="none"/>
        </c:marker>
      </c:pivotFmt>
      <c:pivotFmt>
        <c:idx val="872"/>
        <c:marker>
          <c:symbol val="none"/>
        </c:marker>
      </c:pivotFmt>
      <c:pivotFmt>
        <c:idx val="873"/>
        <c:marker>
          <c:symbol val="none"/>
        </c:marker>
      </c:pivotFmt>
      <c:pivotFmt>
        <c:idx val="874"/>
        <c:marker>
          <c:symbol val="none"/>
        </c:marker>
      </c:pivotFmt>
      <c:pivotFmt>
        <c:idx val="875"/>
        <c:marker>
          <c:symbol val="none"/>
        </c:marker>
      </c:pivotFmt>
      <c:pivotFmt>
        <c:idx val="876"/>
        <c:marker>
          <c:symbol val="none"/>
        </c:marker>
      </c:pivotFmt>
      <c:pivotFmt>
        <c:idx val="877"/>
        <c:marker>
          <c:symbol val="none"/>
        </c:marker>
      </c:pivotFmt>
      <c:pivotFmt>
        <c:idx val="878"/>
        <c:marker>
          <c:symbol val="none"/>
        </c:marker>
      </c:pivotFmt>
      <c:pivotFmt>
        <c:idx val="879"/>
        <c:marker>
          <c:symbol val="none"/>
        </c:marker>
      </c:pivotFmt>
      <c:pivotFmt>
        <c:idx val="880"/>
        <c:marker>
          <c:symbol val="none"/>
        </c:marker>
      </c:pivotFmt>
      <c:pivotFmt>
        <c:idx val="881"/>
        <c:marker>
          <c:symbol val="none"/>
        </c:marker>
      </c:pivotFmt>
      <c:pivotFmt>
        <c:idx val="882"/>
        <c:marker>
          <c:symbol val="none"/>
        </c:marker>
      </c:pivotFmt>
      <c:pivotFmt>
        <c:idx val="883"/>
        <c:marker>
          <c:symbol val="none"/>
        </c:marker>
      </c:pivotFmt>
      <c:pivotFmt>
        <c:idx val="884"/>
        <c:marker>
          <c:symbol val="none"/>
        </c:marker>
      </c:pivotFmt>
      <c:pivotFmt>
        <c:idx val="885"/>
        <c:marker>
          <c:symbol val="none"/>
        </c:marker>
      </c:pivotFmt>
      <c:pivotFmt>
        <c:idx val="886"/>
        <c:marker>
          <c:symbol val="none"/>
        </c:marker>
      </c:pivotFmt>
      <c:pivotFmt>
        <c:idx val="887"/>
        <c:marker>
          <c:symbol val="none"/>
        </c:marker>
      </c:pivotFmt>
      <c:pivotFmt>
        <c:idx val="888"/>
        <c:marker>
          <c:symbol val="none"/>
        </c:marker>
      </c:pivotFmt>
      <c:pivotFmt>
        <c:idx val="889"/>
        <c:marker>
          <c:symbol val="none"/>
        </c:marker>
      </c:pivotFmt>
      <c:pivotFmt>
        <c:idx val="890"/>
        <c:marker>
          <c:symbol val="none"/>
        </c:marker>
      </c:pivotFmt>
      <c:pivotFmt>
        <c:idx val="891"/>
        <c:marker>
          <c:symbol val="none"/>
        </c:marker>
      </c:pivotFmt>
      <c:pivotFmt>
        <c:idx val="892"/>
        <c:marker>
          <c:symbol val="none"/>
        </c:marker>
      </c:pivotFmt>
      <c:pivotFmt>
        <c:idx val="893"/>
        <c:marker>
          <c:symbol val="none"/>
        </c:marker>
      </c:pivotFmt>
      <c:pivotFmt>
        <c:idx val="894"/>
        <c:marker>
          <c:symbol val="none"/>
        </c:marker>
      </c:pivotFmt>
      <c:pivotFmt>
        <c:idx val="895"/>
        <c:marker>
          <c:symbol val="none"/>
        </c:marker>
      </c:pivotFmt>
      <c:pivotFmt>
        <c:idx val="896"/>
        <c:marker>
          <c:symbol val="none"/>
        </c:marker>
      </c:pivotFmt>
      <c:pivotFmt>
        <c:idx val="897"/>
        <c:marker>
          <c:symbol val="none"/>
        </c:marker>
      </c:pivotFmt>
      <c:pivotFmt>
        <c:idx val="898"/>
        <c:marker>
          <c:symbol val="none"/>
        </c:marker>
      </c:pivotFmt>
      <c:pivotFmt>
        <c:idx val="899"/>
        <c:marker>
          <c:symbol val="none"/>
        </c:marker>
      </c:pivotFmt>
      <c:pivotFmt>
        <c:idx val="900"/>
        <c:marker>
          <c:symbol val="none"/>
        </c:marker>
      </c:pivotFmt>
      <c:pivotFmt>
        <c:idx val="901"/>
        <c:marker>
          <c:symbol val="none"/>
        </c:marker>
      </c:pivotFmt>
      <c:pivotFmt>
        <c:idx val="902"/>
        <c:marker>
          <c:symbol val="none"/>
        </c:marker>
      </c:pivotFmt>
      <c:pivotFmt>
        <c:idx val="903"/>
        <c:marker>
          <c:symbol val="none"/>
        </c:marker>
      </c:pivotFmt>
      <c:pivotFmt>
        <c:idx val="904"/>
        <c:marker>
          <c:symbol val="none"/>
        </c:marker>
      </c:pivotFmt>
      <c:pivotFmt>
        <c:idx val="905"/>
        <c:marker>
          <c:symbol val="none"/>
        </c:marker>
      </c:pivotFmt>
      <c:pivotFmt>
        <c:idx val="906"/>
        <c:marker>
          <c:symbol val="none"/>
        </c:marker>
      </c:pivotFmt>
      <c:pivotFmt>
        <c:idx val="907"/>
        <c:marker>
          <c:symbol val="none"/>
        </c:marker>
      </c:pivotFmt>
      <c:pivotFmt>
        <c:idx val="908"/>
        <c:marker>
          <c:symbol val="none"/>
        </c:marker>
      </c:pivotFmt>
      <c:pivotFmt>
        <c:idx val="909"/>
        <c:marker>
          <c:symbol val="none"/>
        </c:marker>
      </c:pivotFmt>
      <c:pivotFmt>
        <c:idx val="910"/>
        <c:marker>
          <c:symbol val="none"/>
        </c:marker>
      </c:pivotFmt>
      <c:pivotFmt>
        <c:idx val="911"/>
        <c:marker>
          <c:symbol val="none"/>
        </c:marker>
      </c:pivotFmt>
      <c:pivotFmt>
        <c:idx val="912"/>
        <c:marker>
          <c:symbol val="none"/>
        </c:marker>
      </c:pivotFmt>
      <c:pivotFmt>
        <c:idx val="913"/>
        <c:marker>
          <c:symbol val="none"/>
        </c:marker>
      </c:pivotFmt>
      <c:pivotFmt>
        <c:idx val="914"/>
        <c:marker>
          <c:symbol val="none"/>
        </c:marker>
      </c:pivotFmt>
      <c:pivotFmt>
        <c:idx val="915"/>
        <c:marker>
          <c:symbol val="none"/>
        </c:marker>
      </c:pivotFmt>
      <c:pivotFmt>
        <c:idx val="916"/>
        <c:marker>
          <c:symbol val="none"/>
        </c:marker>
      </c:pivotFmt>
      <c:pivotFmt>
        <c:idx val="917"/>
        <c:marker>
          <c:symbol val="none"/>
        </c:marker>
      </c:pivotFmt>
      <c:pivotFmt>
        <c:idx val="918"/>
        <c:marker>
          <c:symbol val="none"/>
        </c:marker>
      </c:pivotFmt>
      <c:pivotFmt>
        <c:idx val="919"/>
        <c:marker>
          <c:symbol val="none"/>
        </c:marker>
      </c:pivotFmt>
      <c:pivotFmt>
        <c:idx val="920"/>
        <c:marker>
          <c:symbol val="none"/>
        </c:marker>
      </c:pivotFmt>
      <c:pivotFmt>
        <c:idx val="921"/>
        <c:marker>
          <c:symbol val="none"/>
        </c:marker>
      </c:pivotFmt>
      <c:pivotFmt>
        <c:idx val="922"/>
        <c:marker>
          <c:symbol val="none"/>
        </c:marker>
      </c:pivotFmt>
      <c:pivotFmt>
        <c:idx val="923"/>
        <c:marker>
          <c:symbol val="none"/>
        </c:marker>
      </c:pivotFmt>
      <c:pivotFmt>
        <c:idx val="924"/>
        <c:marker>
          <c:symbol val="none"/>
        </c:marker>
      </c:pivotFmt>
      <c:pivotFmt>
        <c:idx val="925"/>
        <c:marker>
          <c:symbol val="none"/>
        </c:marker>
      </c:pivotFmt>
      <c:pivotFmt>
        <c:idx val="926"/>
        <c:marker>
          <c:symbol val="none"/>
        </c:marker>
      </c:pivotFmt>
      <c:pivotFmt>
        <c:idx val="927"/>
        <c:marker>
          <c:symbol val="none"/>
        </c:marker>
      </c:pivotFmt>
      <c:pivotFmt>
        <c:idx val="928"/>
        <c:marker>
          <c:symbol val="none"/>
        </c:marker>
      </c:pivotFmt>
      <c:pivotFmt>
        <c:idx val="929"/>
        <c:marker>
          <c:symbol val="none"/>
        </c:marker>
      </c:pivotFmt>
      <c:pivotFmt>
        <c:idx val="930"/>
        <c:marker>
          <c:symbol val="none"/>
        </c:marker>
      </c:pivotFmt>
      <c:pivotFmt>
        <c:idx val="931"/>
        <c:marker>
          <c:symbol val="none"/>
        </c:marker>
      </c:pivotFmt>
      <c:pivotFmt>
        <c:idx val="932"/>
        <c:marker>
          <c:symbol val="none"/>
        </c:marker>
      </c:pivotFmt>
      <c:pivotFmt>
        <c:idx val="933"/>
        <c:marker>
          <c:symbol val="none"/>
        </c:marker>
      </c:pivotFmt>
      <c:pivotFmt>
        <c:idx val="934"/>
        <c:marker>
          <c:symbol val="none"/>
        </c:marker>
      </c:pivotFmt>
      <c:pivotFmt>
        <c:idx val="935"/>
        <c:marker>
          <c:symbol val="none"/>
        </c:marker>
      </c:pivotFmt>
      <c:pivotFmt>
        <c:idx val="936"/>
        <c:marker>
          <c:symbol val="none"/>
        </c:marker>
      </c:pivotFmt>
      <c:pivotFmt>
        <c:idx val="937"/>
        <c:marker>
          <c:symbol val="none"/>
        </c:marker>
      </c:pivotFmt>
      <c:pivotFmt>
        <c:idx val="938"/>
        <c:marker>
          <c:symbol val="none"/>
        </c:marker>
      </c:pivotFmt>
      <c:pivotFmt>
        <c:idx val="939"/>
        <c:marker>
          <c:symbol val="none"/>
        </c:marker>
      </c:pivotFmt>
      <c:pivotFmt>
        <c:idx val="940"/>
        <c:marker>
          <c:symbol val="none"/>
        </c:marker>
      </c:pivotFmt>
      <c:pivotFmt>
        <c:idx val="941"/>
        <c:marker>
          <c:symbol val="none"/>
        </c:marker>
      </c:pivotFmt>
      <c:pivotFmt>
        <c:idx val="942"/>
        <c:marker>
          <c:symbol val="none"/>
        </c:marker>
      </c:pivotFmt>
      <c:pivotFmt>
        <c:idx val="943"/>
        <c:marker>
          <c:symbol val="none"/>
        </c:marker>
      </c:pivotFmt>
      <c:pivotFmt>
        <c:idx val="944"/>
        <c:marker>
          <c:symbol val="none"/>
        </c:marker>
      </c:pivotFmt>
      <c:pivotFmt>
        <c:idx val="945"/>
        <c:marker>
          <c:symbol val="none"/>
        </c:marker>
      </c:pivotFmt>
      <c:pivotFmt>
        <c:idx val="946"/>
        <c:marker>
          <c:symbol val="none"/>
        </c:marker>
      </c:pivotFmt>
      <c:pivotFmt>
        <c:idx val="947"/>
        <c:marker>
          <c:symbol val="none"/>
        </c:marker>
      </c:pivotFmt>
      <c:pivotFmt>
        <c:idx val="948"/>
        <c:marker>
          <c:symbol val="none"/>
        </c:marker>
      </c:pivotFmt>
      <c:pivotFmt>
        <c:idx val="949"/>
        <c:marker>
          <c:symbol val="none"/>
        </c:marker>
      </c:pivotFmt>
      <c:pivotFmt>
        <c:idx val="950"/>
        <c:marker>
          <c:symbol val="none"/>
        </c:marker>
      </c:pivotFmt>
      <c:pivotFmt>
        <c:idx val="951"/>
        <c:marker>
          <c:symbol val="none"/>
        </c:marker>
      </c:pivotFmt>
      <c:pivotFmt>
        <c:idx val="952"/>
        <c:marker>
          <c:symbol val="none"/>
        </c:marker>
      </c:pivotFmt>
      <c:pivotFmt>
        <c:idx val="953"/>
        <c:marker>
          <c:symbol val="none"/>
        </c:marker>
      </c:pivotFmt>
      <c:pivotFmt>
        <c:idx val="954"/>
        <c:marker>
          <c:symbol val="none"/>
        </c:marker>
      </c:pivotFmt>
      <c:pivotFmt>
        <c:idx val="955"/>
        <c:marker>
          <c:symbol val="none"/>
        </c:marker>
      </c:pivotFmt>
      <c:pivotFmt>
        <c:idx val="956"/>
        <c:marker>
          <c:symbol val="none"/>
        </c:marker>
      </c:pivotFmt>
      <c:pivotFmt>
        <c:idx val="957"/>
        <c:marker>
          <c:symbol val="none"/>
        </c:marker>
      </c:pivotFmt>
      <c:pivotFmt>
        <c:idx val="958"/>
        <c:marker>
          <c:symbol val="none"/>
        </c:marker>
      </c:pivotFmt>
      <c:pivotFmt>
        <c:idx val="959"/>
        <c:marker>
          <c:symbol val="none"/>
        </c:marker>
      </c:pivotFmt>
      <c:pivotFmt>
        <c:idx val="960"/>
        <c:marker>
          <c:symbol val="none"/>
        </c:marker>
      </c:pivotFmt>
      <c:pivotFmt>
        <c:idx val="961"/>
        <c:marker>
          <c:symbol val="none"/>
        </c:marker>
      </c:pivotFmt>
      <c:pivotFmt>
        <c:idx val="962"/>
        <c:marker>
          <c:symbol val="none"/>
        </c:marker>
      </c:pivotFmt>
      <c:pivotFmt>
        <c:idx val="963"/>
        <c:marker>
          <c:symbol val="none"/>
        </c:marker>
      </c:pivotFmt>
      <c:pivotFmt>
        <c:idx val="964"/>
        <c:marker>
          <c:symbol val="none"/>
        </c:marker>
      </c:pivotFmt>
      <c:pivotFmt>
        <c:idx val="965"/>
        <c:marker>
          <c:symbol val="none"/>
        </c:marker>
      </c:pivotFmt>
      <c:pivotFmt>
        <c:idx val="966"/>
        <c:marker>
          <c:symbol val="none"/>
        </c:marker>
      </c:pivotFmt>
      <c:pivotFmt>
        <c:idx val="967"/>
        <c:marker>
          <c:symbol val="none"/>
        </c:marker>
      </c:pivotFmt>
      <c:pivotFmt>
        <c:idx val="968"/>
        <c:marker>
          <c:symbol val="none"/>
        </c:marker>
      </c:pivotFmt>
      <c:pivotFmt>
        <c:idx val="969"/>
        <c:marker>
          <c:symbol val="none"/>
        </c:marker>
      </c:pivotFmt>
      <c:pivotFmt>
        <c:idx val="970"/>
        <c:marker>
          <c:symbol val="none"/>
        </c:marker>
      </c:pivotFmt>
      <c:pivotFmt>
        <c:idx val="971"/>
        <c:marker>
          <c:symbol val="none"/>
        </c:marker>
      </c:pivotFmt>
      <c:pivotFmt>
        <c:idx val="972"/>
        <c:marker>
          <c:symbol val="none"/>
        </c:marker>
      </c:pivotFmt>
      <c:pivotFmt>
        <c:idx val="973"/>
        <c:marker>
          <c:symbol val="none"/>
        </c:marker>
      </c:pivotFmt>
      <c:pivotFmt>
        <c:idx val="974"/>
        <c:marker>
          <c:symbol val="none"/>
        </c:marker>
      </c:pivotFmt>
      <c:pivotFmt>
        <c:idx val="975"/>
        <c:marker>
          <c:symbol val="none"/>
        </c:marker>
      </c:pivotFmt>
      <c:pivotFmt>
        <c:idx val="976"/>
        <c:marker>
          <c:symbol val="none"/>
        </c:marker>
      </c:pivotFmt>
      <c:pivotFmt>
        <c:idx val="977"/>
        <c:marker>
          <c:symbol val="none"/>
        </c:marker>
      </c:pivotFmt>
      <c:pivotFmt>
        <c:idx val="978"/>
        <c:marker>
          <c:symbol val="none"/>
        </c:marker>
      </c:pivotFmt>
      <c:pivotFmt>
        <c:idx val="979"/>
        <c:marker>
          <c:symbol val="none"/>
        </c:marker>
      </c:pivotFmt>
      <c:pivotFmt>
        <c:idx val="980"/>
        <c:marker>
          <c:symbol val="none"/>
        </c:marker>
      </c:pivotFmt>
      <c:pivotFmt>
        <c:idx val="981"/>
        <c:marker>
          <c:symbol val="none"/>
        </c:marker>
      </c:pivotFmt>
      <c:pivotFmt>
        <c:idx val="982"/>
        <c:marker>
          <c:symbol val="none"/>
        </c:marker>
      </c:pivotFmt>
      <c:pivotFmt>
        <c:idx val="983"/>
        <c:marker>
          <c:symbol val="none"/>
        </c:marker>
      </c:pivotFmt>
      <c:pivotFmt>
        <c:idx val="984"/>
        <c:marker>
          <c:symbol val="none"/>
        </c:marker>
      </c:pivotFmt>
      <c:pivotFmt>
        <c:idx val="985"/>
        <c:marker>
          <c:symbol val="none"/>
        </c:marker>
      </c:pivotFmt>
      <c:pivotFmt>
        <c:idx val="986"/>
        <c:marker>
          <c:symbol val="none"/>
        </c:marker>
      </c:pivotFmt>
      <c:pivotFmt>
        <c:idx val="987"/>
        <c:marker>
          <c:symbol val="none"/>
        </c:marker>
      </c:pivotFmt>
      <c:pivotFmt>
        <c:idx val="988"/>
        <c:marker>
          <c:symbol val="none"/>
        </c:marker>
      </c:pivotFmt>
      <c:pivotFmt>
        <c:idx val="989"/>
        <c:marker>
          <c:symbol val="none"/>
        </c:marker>
      </c:pivotFmt>
      <c:pivotFmt>
        <c:idx val="990"/>
        <c:marker>
          <c:symbol val="none"/>
        </c:marker>
      </c:pivotFmt>
      <c:pivotFmt>
        <c:idx val="991"/>
        <c:marker>
          <c:symbol val="none"/>
        </c:marker>
      </c:pivotFmt>
      <c:pivotFmt>
        <c:idx val="992"/>
        <c:marker>
          <c:symbol val="none"/>
        </c:marker>
      </c:pivotFmt>
      <c:pivotFmt>
        <c:idx val="993"/>
        <c:marker>
          <c:symbol val="none"/>
        </c:marker>
      </c:pivotFmt>
      <c:pivotFmt>
        <c:idx val="994"/>
        <c:marker>
          <c:symbol val="none"/>
        </c:marker>
      </c:pivotFmt>
      <c:pivotFmt>
        <c:idx val="995"/>
        <c:marker>
          <c:symbol val="none"/>
        </c:marker>
      </c:pivotFmt>
      <c:pivotFmt>
        <c:idx val="996"/>
        <c:marker>
          <c:symbol val="none"/>
        </c:marker>
      </c:pivotFmt>
      <c:pivotFmt>
        <c:idx val="997"/>
        <c:marker>
          <c:symbol val="none"/>
        </c:marker>
      </c:pivotFmt>
      <c:pivotFmt>
        <c:idx val="998"/>
        <c:marker>
          <c:symbol val="none"/>
        </c:marker>
      </c:pivotFmt>
      <c:pivotFmt>
        <c:idx val="999"/>
        <c:marker>
          <c:symbol val="none"/>
        </c:marker>
      </c:pivotFmt>
      <c:pivotFmt>
        <c:idx val="1000"/>
        <c:marker>
          <c:symbol val="none"/>
        </c:marker>
      </c:pivotFmt>
      <c:pivotFmt>
        <c:idx val="1001"/>
        <c:marker>
          <c:symbol val="none"/>
        </c:marker>
      </c:pivotFmt>
      <c:pivotFmt>
        <c:idx val="1002"/>
        <c:marker>
          <c:symbol val="none"/>
        </c:marker>
      </c:pivotFmt>
      <c:pivotFmt>
        <c:idx val="1003"/>
        <c:marker>
          <c:symbol val="none"/>
        </c:marker>
      </c:pivotFmt>
      <c:pivotFmt>
        <c:idx val="1004"/>
        <c:marker>
          <c:symbol val="none"/>
        </c:marker>
      </c:pivotFmt>
      <c:pivotFmt>
        <c:idx val="1005"/>
        <c:marker>
          <c:symbol val="none"/>
        </c:marker>
      </c:pivotFmt>
      <c:pivotFmt>
        <c:idx val="1006"/>
        <c:marker>
          <c:symbol val="none"/>
        </c:marker>
      </c:pivotFmt>
      <c:pivotFmt>
        <c:idx val="1007"/>
        <c:marker>
          <c:symbol val="none"/>
        </c:marker>
      </c:pivotFmt>
      <c:pivotFmt>
        <c:idx val="1008"/>
        <c:marker>
          <c:symbol val="none"/>
        </c:marker>
      </c:pivotFmt>
      <c:pivotFmt>
        <c:idx val="1009"/>
        <c:marker>
          <c:symbol val="none"/>
        </c:marker>
      </c:pivotFmt>
      <c:pivotFmt>
        <c:idx val="1010"/>
        <c:marker>
          <c:symbol val="none"/>
        </c:marker>
      </c:pivotFmt>
      <c:pivotFmt>
        <c:idx val="1011"/>
        <c:marker>
          <c:symbol val="none"/>
        </c:marker>
      </c:pivotFmt>
      <c:pivotFmt>
        <c:idx val="1012"/>
        <c:marker>
          <c:symbol val="none"/>
        </c:marker>
      </c:pivotFmt>
      <c:pivotFmt>
        <c:idx val="1013"/>
        <c:marker>
          <c:symbol val="none"/>
        </c:marker>
      </c:pivotFmt>
      <c:pivotFmt>
        <c:idx val="1014"/>
        <c:marker>
          <c:symbol val="none"/>
        </c:marker>
      </c:pivotFmt>
      <c:pivotFmt>
        <c:idx val="1015"/>
        <c:marker>
          <c:symbol val="none"/>
        </c:marker>
      </c:pivotFmt>
      <c:pivotFmt>
        <c:idx val="1016"/>
        <c:marker>
          <c:symbol val="none"/>
        </c:marker>
      </c:pivotFmt>
      <c:pivotFmt>
        <c:idx val="1017"/>
        <c:marker>
          <c:symbol val="none"/>
        </c:marker>
      </c:pivotFmt>
      <c:pivotFmt>
        <c:idx val="1018"/>
        <c:marker>
          <c:symbol val="none"/>
        </c:marker>
      </c:pivotFmt>
      <c:pivotFmt>
        <c:idx val="1019"/>
        <c:marker>
          <c:symbol val="none"/>
        </c:marker>
      </c:pivotFmt>
      <c:pivotFmt>
        <c:idx val="1020"/>
        <c:marker>
          <c:symbol val="none"/>
        </c:marker>
      </c:pivotFmt>
      <c:pivotFmt>
        <c:idx val="1021"/>
        <c:marker>
          <c:symbol val="none"/>
        </c:marker>
      </c:pivotFmt>
      <c:pivotFmt>
        <c:idx val="1022"/>
        <c:marker>
          <c:symbol val="none"/>
        </c:marker>
      </c:pivotFmt>
      <c:pivotFmt>
        <c:idx val="1023"/>
        <c:marker>
          <c:symbol val="none"/>
        </c:marker>
      </c:pivotFmt>
      <c:pivotFmt>
        <c:idx val="1024"/>
        <c:marker>
          <c:symbol val="none"/>
        </c:marker>
      </c:pivotFmt>
      <c:pivotFmt>
        <c:idx val="1025"/>
        <c:marker>
          <c:symbol val="none"/>
        </c:marker>
      </c:pivotFmt>
      <c:pivotFmt>
        <c:idx val="1026"/>
        <c:marker>
          <c:symbol val="none"/>
        </c:marker>
      </c:pivotFmt>
      <c:pivotFmt>
        <c:idx val="1027"/>
        <c:marker>
          <c:symbol val="none"/>
        </c:marker>
      </c:pivotFmt>
      <c:pivotFmt>
        <c:idx val="1028"/>
        <c:marker>
          <c:symbol val="none"/>
        </c:marker>
      </c:pivotFmt>
      <c:pivotFmt>
        <c:idx val="1029"/>
        <c:marker>
          <c:symbol val="none"/>
        </c:marker>
      </c:pivotFmt>
      <c:pivotFmt>
        <c:idx val="1030"/>
        <c:marker>
          <c:symbol val="none"/>
        </c:marker>
      </c:pivotFmt>
      <c:pivotFmt>
        <c:idx val="1031"/>
        <c:marker>
          <c:symbol val="none"/>
        </c:marker>
      </c:pivotFmt>
      <c:pivotFmt>
        <c:idx val="1032"/>
        <c:marker>
          <c:symbol val="none"/>
        </c:marker>
      </c:pivotFmt>
      <c:pivotFmt>
        <c:idx val="1033"/>
        <c:marker>
          <c:symbol val="none"/>
        </c:marker>
      </c:pivotFmt>
      <c:pivotFmt>
        <c:idx val="1034"/>
        <c:marker>
          <c:symbol val="none"/>
        </c:marker>
      </c:pivotFmt>
      <c:pivotFmt>
        <c:idx val="1035"/>
        <c:marker>
          <c:symbol val="none"/>
        </c:marker>
      </c:pivotFmt>
      <c:pivotFmt>
        <c:idx val="1036"/>
        <c:marker>
          <c:symbol val="none"/>
        </c:marker>
      </c:pivotFmt>
      <c:pivotFmt>
        <c:idx val="1037"/>
        <c:marker>
          <c:symbol val="none"/>
        </c:marker>
      </c:pivotFmt>
      <c:pivotFmt>
        <c:idx val="1038"/>
        <c:marker>
          <c:symbol val="none"/>
        </c:marker>
      </c:pivotFmt>
      <c:pivotFmt>
        <c:idx val="1039"/>
        <c:marker>
          <c:symbol val="none"/>
        </c:marker>
      </c:pivotFmt>
      <c:pivotFmt>
        <c:idx val="1040"/>
        <c:marker>
          <c:symbol val="none"/>
        </c:marker>
      </c:pivotFmt>
      <c:pivotFmt>
        <c:idx val="1041"/>
        <c:marker>
          <c:symbol val="none"/>
        </c:marker>
      </c:pivotFmt>
      <c:pivotFmt>
        <c:idx val="1042"/>
        <c:marker>
          <c:symbol val="none"/>
        </c:marker>
      </c:pivotFmt>
      <c:pivotFmt>
        <c:idx val="1043"/>
        <c:marker>
          <c:symbol val="none"/>
        </c:marker>
      </c:pivotFmt>
      <c:pivotFmt>
        <c:idx val="1044"/>
        <c:marker>
          <c:symbol val="none"/>
        </c:marker>
      </c:pivotFmt>
      <c:pivotFmt>
        <c:idx val="1045"/>
        <c:marker>
          <c:symbol val="none"/>
        </c:marker>
      </c:pivotFmt>
      <c:pivotFmt>
        <c:idx val="1046"/>
        <c:marker>
          <c:symbol val="none"/>
        </c:marker>
      </c:pivotFmt>
      <c:pivotFmt>
        <c:idx val="1047"/>
        <c:marker>
          <c:symbol val="none"/>
        </c:marker>
      </c:pivotFmt>
      <c:pivotFmt>
        <c:idx val="1048"/>
        <c:marker>
          <c:symbol val="none"/>
        </c:marker>
      </c:pivotFmt>
      <c:pivotFmt>
        <c:idx val="1049"/>
        <c:marker>
          <c:symbol val="none"/>
        </c:marker>
      </c:pivotFmt>
      <c:pivotFmt>
        <c:idx val="1050"/>
        <c:marker>
          <c:symbol val="none"/>
        </c:marker>
      </c:pivotFmt>
      <c:pivotFmt>
        <c:idx val="1051"/>
        <c:marker>
          <c:symbol val="none"/>
        </c:marker>
      </c:pivotFmt>
      <c:pivotFmt>
        <c:idx val="1052"/>
        <c:marker>
          <c:symbol val="none"/>
        </c:marker>
      </c:pivotFmt>
      <c:pivotFmt>
        <c:idx val="1053"/>
        <c:marker>
          <c:symbol val="none"/>
        </c:marker>
      </c:pivotFmt>
      <c:pivotFmt>
        <c:idx val="1054"/>
        <c:marker>
          <c:symbol val="none"/>
        </c:marker>
      </c:pivotFmt>
      <c:pivotFmt>
        <c:idx val="1055"/>
        <c:marker>
          <c:symbol val="none"/>
        </c:marker>
      </c:pivotFmt>
      <c:pivotFmt>
        <c:idx val="1056"/>
        <c:marker>
          <c:symbol val="none"/>
        </c:marker>
      </c:pivotFmt>
      <c:pivotFmt>
        <c:idx val="1057"/>
        <c:marker>
          <c:symbol val="none"/>
        </c:marker>
      </c:pivotFmt>
      <c:pivotFmt>
        <c:idx val="1058"/>
        <c:marker>
          <c:symbol val="none"/>
        </c:marker>
      </c:pivotFmt>
      <c:pivotFmt>
        <c:idx val="1059"/>
        <c:marker>
          <c:symbol val="none"/>
        </c:marker>
      </c:pivotFmt>
      <c:pivotFmt>
        <c:idx val="1060"/>
        <c:marker>
          <c:symbol val="none"/>
        </c:marker>
      </c:pivotFmt>
      <c:pivotFmt>
        <c:idx val="1061"/>
        <c:marker>
          <c:symbol val="none"/>
        </c:marker>
      </c:pivotFmt>
      <c:pivotFmt>
        <c:idx val="1062"/>
        <c:marker>
          <c:symbol val="none"/>
        </c:marker>
      </c:pivotFmt>
      <c:pivotFmt>
        <c:idx val="1063"/>
        <c:marker>
          <c:symbol val="none"/>
        </c:marker>
      </c:pivotFmt>
      <c:pivotFmt>
        <c:idx val="1064"/>
        <c:marker>
          <c:symbol val="none"/>
        </c:marker>
      </c:pivotFmt>
      <c:pivotFmt>
        <c:idx val="1065"/>
        <c:marker>
          <c:symbol val="none"/>
        </c:marker>
      </c:pivotFmt>
      <c:pivotFmt>
        <c:idx val="1066"/>
        <c:marker>
          <c:symbol val="none"/>
        </c:marker>
      </c:pivotFmt>
      <c:pivotFmt>
        <c:idx val="1067"/>
        <c:marker>
          <c:symbol val="none"/>
        </c:marker>
      </c:pivotFmt>
      <c:pivotFmt>
        <c:idx val="1068"/>
        <c:marker>
          <c:symbol val="none"/>
        </c:marker>
      </c:pivotFmt>
      <c:pivotFmt>
        <c:idx val="1069"/>
        <c:marker>
          <c:symbol val="none"/>
        </c:marker>
      </c:pivotFmt>
      <c:pivotFmt>
        <c:idx val="1070"/>
        <c:marker>
          <c:symbol val="none"/>
        </c:marker>
      </c:pivotFmt>
      <c:pivotFmt>
        <c:idx val="1071"/>
        <c:marker>
          <c:symbol val="none"/>
        </c:marker>
      </c:pivotFmt>
      <c:pivotFmt>
        <c:idx val="1072"/>
        <c:marker>
          <c:symbol val="none"/>
        </c:marker>
      </c:pivotFmt>
      <c:pivotFmt>
        <c:idx val="1073"/>
        <c:marker>
          <c:symbol val="none"/>
        </c:marker>
      </c:pivotFmt>
      <c:pivotFmt>
        <c:idx val="1074"/>
        <c:marker>
          <c:symbol val="none"/>
        </c:marker>
      </c:pivotFmt>
      <c:pivotFmt>
        <c:idx val="1075"/>
        <c:marker>
          <c:symbol val="none"/>
        </c:marker>
      </c:pivotFmt>
      <c:pivotFmt>
        <c:idx val="1076"/>
        <c:marker>
          <c:symbol val="none"/>
        </c:marker>
      </c:pivotFmt>
      <c:pivotFmt>
        <c:idx val="1077"/>
        <c:marker>
          <c:symbol val="none"/>
        </c:marker>
      </c:pivotFmt>
      <c:pivotFmt>
        <c:idx val="1078"/>
        <c:marker>
          <c:symbol val="none"/>
        </c:marker>
      </c:pivotFmt>
      <c:pivotFmt>
        <c:idx val="1079"/>
        <c:marker>
          <c:symbol val="none"/>
        </c:marker>
      </c:pivotFmt>
      <c:pivotFmt>
        <c:idx val="1080"/>
        <c:marker>
          <c:symbol val="none"/>
        </c:marker>
      </c:pivotFmt>
      <c:pivotFmt>
        <c:idx val="1081"/>
        <c:marker>
          <c:symbol val="none"/>
        </c:marker>
      </c:pivotFmt>
      <c:pivotFmt>
        <c:idx val="1082"/>
        <c:marker>
          <c:symbol val="none"/>
        </c:marker>
      </c:pivotFmt>
      <c:pivotFmt>
        <c:idx val="1083"/>
        <c:marker>
          <c:symbol val="none"/>
        </c:marker>
      </c:pivotFmt>
      <c:pivotFmt>
        <c:idx val="1084"/>
        <c:marker>
          <c:symbol val="none"/>
        </c:marker>
      </c:pivotFmt>
      <c:pivotFmt>
        <c:idx val="1085"/>
        <c:marker>
          <c:symbol val="none"/>
        </c:marker>
      </c:pivotFmt>
      <c:pivotFmt>
        <c:idx val="1086"/>
        <c:marker>
          <c:symbol val="none"/>
        </c:marker>
      </c:pivotFmt>
      <c:pivotFmt>
        <c:idx val="1087"/>
        <c:marker>
          <c:symbol val="none"/>
        </c:marker>
      </c:pivotFmt>
      <c:pivotFmt>
        <c:idx val="1088"/>
        <c:marker>
          <c:symbol val="none"/>
        </c:marker>
      </c:pivotFmt>
      <c:pivotFmt>
        <c:idx val="1089"/>
        <c:marker>
          <c:symbol val="none"/>
        </c:marker>
      </c:pivotFmt>
      <c:pivotFmt>
        <c:idx val="1090"/>
        <c:marker>
          <c:symbol val="none"/>
        </c:marker>
      </c:pivotFmt>
      <c:pivotFmt>
        <c:idx val="1091"/>
        <c:marker>
          <c:symbol val="none"/>
        </c:marker>
      </c:pivotFmt>
      <c:pivotFmt>
        <c:idx val="1092"/>
        <c:marker>
          <c:symbol val="none"/>
        </c:marker>
      </c:pivotFmt>
      <c:pivotFmt>
        <c:idx val="1093"/>
        <c:marker>
          <c:symbol val="none"/>
        </c:marker>
      </c:pivotFmt>
      <c:pivotFmt>
        <c:idx val="1094"/>
        <c:marker>
          <c:symbol val="none"/>
        </c:marker>
      </c:pivotFmt>
      <c:pivotFmt>
        <c:idx val="1095"/>
        <c:marker>
          <c:symbol val="none"/>
        </c:marker>
      </c:pivotFmt>
      <c:pivotFmt>
        <c:idx val="1096"/>
        <c:marker>
          <c:symbol val="none"/>
        </c:marker>
      </c:pivotFmt>
      <c:pivotFmt>
        <c:idx val="1097"/>
        <c:marker>
          <c:symbol val="none"/>
        </c:marker>
      </c:pivotFmt>
      <c:pivotFmt>
        <c:idx val="1098"/>
        <c:marker>
          <c:symbol val="none"/>
        </c:marker>
      </c:pivotFmt>
      <c:pivotFmt>
        <c:idx val="1099"/>
        <c:marker>
          <c:symbol val="none"/>
        </c:marker>
      </c:pivotFmt>
      <c:pivotFmt>
        <c:idx val="1100"/>
        <c:marker>
          <c:symbol val="none"/>
        </c:marker>
      </c:pivotFmt>
      <c:pivotFmt>
        <c:idx val="1101"/>
        <c:marker>
          <c:symbol val="none"/>
        </c:marker>
      </c:pivotFmt>
      <c:pivotFmt>
        <c:idx val="1102"/>
        <c:marker>
          <c:symbol val="none"/>
        </c:marker>
      </c:pivotFmt>
      <c:pivotFmt>
        <c:idx val="1103"/>
        <c:marker>
          <c:symbol val="none"/>
        </c:marker>
      </c:pivotFmt>
      <c:pivotFmt>
        <c:idx val="1104"/>
        <c:marker>
          <c:symbol val="none"/>
        </c:marker>
      </c:pivotFmt>
      <c:pivotFmt>
        <c:idx val="1105"/>
        <c:marker>
          <c:symbol val="none"/>
        </c:marker>
      </c:pivotFmt>
      <c:pivotFmt>
        <c:idx val="1106"/>
        <c:marker>
          <c:symbol val="none"/>
        </c:marker>
      </c:pivotFmt>
      <c:pivotFmt>
        <c:idx val="1107"/>
        <c:marker>
          <c:symbol val="none"/>
        </c:marker>
      </c:pivotFmt>
      <c:pivotFmt>
        <c:idx val="1108"/>
        <c:marker>
          <c:symbol val="none"/>
        </c:marker>
      </c:pivotFmt>
      <c:pivotFmt>
        <c:idx val="1109"/>
        <c:marker>
          <c:symbol val="none"/>
        </c:marker>
      </c:pivotFmt>
      <c:pivotFmt>
        <c:idx val="1110"/>
        <c:marker>
          <c:symbol val="none"/>
        </c:marker>
      </c:pivotFmt>
      <c:pivotFmt>
        <c:idx val="1111"/>
        <c:marker>
          <c:symbol val="none"/>
        </c:marker>
      </c:pivotFmt>
      <c:pivotFmt>
        <c:idx val="1112"/>
        <c:marker>
          <c:symbol val="none"/>
        </c:marker>
      </c:pivotFmt>
      <c:pivotFmt>
        <c:idx val="1113"/>
        <c:marker>
          <c:symbol val="none"/>
        </c:marker>
      </c:pivotFmt>
      <c:pivotFmt>
        <c:idx val="1114"/>
        <c:marker>
          <c:symbol val="none"/>
        </c:marker>
      </c:pivotFmt>
      <c:pivotFmt>
        <c:idx val="1115"/>
        <c:marker>
          <c:symbol val="none"/>
        </c:marker>
      </c:pivotFmt>
      <c:pivotFmt>
        <c:idx val="1116"/>
        <c:marker>
          <c:symbol val="none"/>
        </c:marker>
      </c:pivotFmt>
      <c:pivotFmt>
        <c:idx val="1117"/>
        <c:marker>
          <c:symbol val="none"/>
        </c:marker>
      </c:pivotFmt>
      <c:pivotFmt>
        <c:idx val="1118"/>
        <c:marker>
          <c:symbol val="none"/>
        </c:marker>
      </c:pivotFmt>
      <c:pivotFmt>
        <c:idx val="1119"/>
        <c:marker>
          <c:symbol val="none"/>
        </c:marker>
      </c:pivotFmt>
      <c:pivotFmt>
        <c:idx val="1120"/>
        <c:marker>
          <c:symbol val="none"/>
        </c:marker>
      </c:pivotFmt>
      <c:pivotFmt>
        <c:idx val="1121"/>
        <c:marker>
          <c:symbol val="none"/>
        </c:marker>
      </c:pivotFmt>
      <c:pivotFmt>
        <c:idx val="1122"/>
        <c:marker>
          <c:symbol val="none"/>
        </c:marker>
      </c:pivotFmt>
      <c:pivotFmt>
        <c:idx val="1123"/>
        <c:marker>
          <c:symbol val="none"/>
        </c:marker>
      </c:pivotFmt>
      <c:pivotFmt>
        <c:idx val="1124"/>
        <c:marker>
          <c:symbol val="none"/>
        </c:marker>
      </c:pivotFmt>
      <c:pivotFmt>
        <c:idx val="1125"/>
        <c:marker>
          <c:symbol val="none"/>
        </c:marker>
      </c:pivotFmt>
      <c:pivotFmt>
        <c:idx val="1126"/>
        <c:marker>
          <c:symbol val="none"/>
        </c:marker>
      </c:pivotFmt>
      <c:pivotFmt>
        <c:idx val="1127"/>
        <c:marker>
          <c:symbol val="none"/>
        </c:marker>
      </c:pivotFmt>
      <c:pivotFmt>
        <c:idx val="1128"/>
        <c:marker>
          <c:symbol val="none"/>
        </c:marker>
      </c:pivotFmt>
      <c:pivotFmt>
        <c:idx val="1129"/>
        <c:marker>
          <c:symbol val="none"/>
        </c:marker>
      </c:pivotFmt>
      <c:pivotFmt>
        <c:idx val="1130"/>
        <c:marker>
          <c:symbol val="none"/>
        </c:marker>
      </c:pivotFmt>
      <c:pivotFmt>
        <c:idx val="1131"/>
        <c:marker>
          <c:symbol val="none"/>
        </c:marker>
      </c:pivotFmt>
      <c:pivotFmt>
        <c:idx val="1132"/>
        <c:marker>
          <c:symbol val="none"/>
        </c:marker>
      </c:pivotFmt>
      <c:pivotFmt>
        <c:idx val="1133"/>
        <c:marker>
          <c:symbol val="none"/>
        </c:marker>
      </c:pivotFmt>
      <c:pivotFmt>
        <c:idx val="1134"/>
        <c:marker>
          <c:symbol val="none"/>
        </c:marker>
      </c:pivotFmt>
      <c:pivotFmt>
        <c:idx val="1135"/>
        <c:marker>
          <c:symbol val="none"/>
        </c:marker>
      </c:pivotFmt>
      <c:pivotFmt>
        <c:idx val="1136"/>
        <c:marker>
          <c:symbol val="none"/>
        </c:marker>
      </c:pivotFmt>
      <c:pivotFmt>
        <c:idx val="1137"/>
        <c:marker>
          <c:symbol val="none"/>
        </c:marker>
      </c:pivotFmt>
      <c:pivotFmt>
        <c:idx val="1138"/>
        <c:marker>
          <c:symbol val="none"/>
        </c:marker>
      </c:pivotFmt>
      <c:pivotFmt>
        <c:idx val="1139"/>
        <c:marker>
          <c:symbol val="none"/>
        </c:marker>
      </c:pivotFmt>
      <c:pivotFmt>
        <c:idx val="1140"/>
        <c:marker>
          <c:symbol val="none"/>
        </c:marker>
      </c:pivotFmt>
      <c:pivotFmt>
        <c:idx val="1141"/>
        <c:marker>
          <c:symbol val="none"/>
        </c:marker>
      </c:pivotFmt>
      <c:pivotFmt>
        <c:idx val="1142"/>
        <c:marker>
          <c:symbol val="none"/>
        </c:marker>
      </c:pivotFmt>
      <c:pivotFmt>
        <c:idx val="1143"/>
        <c:marker>
          <c:symbol val="none"/>
        </c:marker>
      </c:pivotFmt>
      <c:pivotFmt>
        <c:idx val="1144"/>
        <c:marker>
          <c:symbol val="none"/>
        </c:marker>
      </c:pivotFmt>
      <c:pivotFmt>
        <c:idx val="1145"/>
        <c:marker>
          <c:symbol val="none"/>
        </c:marker>
      </c:pivotFmt>
      <c:pivotFmt>
        <c:idx val="1146"/>
        <c:marker>
          <c:symbol val="none"/>
        </c:marker>
      </c:pivotFmt>
      <c:pivotFmt>
        <c:idx val="1147"/>
        <c:marker>
          <c:symbol val="none"/>
        </c:marker>
      </c:pivotFmt>
      <c:pivotFmt>
        <c:idx val="1148"/>
        <c:marker>
          <c:symbol val="none"/>
        </c:marker>
      </c:pivotFmt>
      <c:pivotFmt>
        <c:idx val="1149"/>
        <c:marker>
          <c:symbol val="none"/>
        </c:marker>
      </c:pivotFmt>
      <c:pivotFmt>
        <c:idx val="1150"/>
        <c:marker>
          <c:symbol val="none"/>
        </c:marker>
      </c:pivotFmt>
      <c:pivotFmt>
        <c:idx val="1151"/>
        <c:marker>
          <c:symbol val="none"/>
        </c:marker>
      </c:pivotFmt>
      <c:pivotFmt>
        <c:idx val="1152"/>
        <c:marker>
          <c:symbol val="none"/>
        </c:marker>
      </c:pivotFmt>
      <c:pivotFmt>
        <c:idx val="1153"/>
        <c:marker>
          <c:symbol val="none"/>
        </c:marker>
      </c:pivotFmt>
      <c:pivotFmt>
        <c:idx val="1154"/>
        <c:marker>
          <c:symbol val="none"/>
        </c:marker>
      </c:pivotFmt>
      <c:pivotFmt>
        <c:idx val="1155"/>
        <c:marker>
          <c:symbol val="none"/>
        </c:marker>
      </c:pivotFmt>
      <c:pivotFmt>
        <c:idx val="1156"/>
        <c:marker>
          <c:symbol val="none"/>
        </c:marker>
      </c:pivotFmt>
      <c:pivotFmt>
        <c:idx val="1157"/>
        <c:marker>
          <c:symbol val="none"/>
        </c:marker>
      </c:pivotFmt>
      <c:pivotFmt>
        <c:idx val="1158"/>
        <c:marker>
          <c:symbol val="none"/>
        </c:marker>
      </c:pivotFmt>
      <c:pivotFmt>
        <c:idx val="1159"/>
        <c:marker>
          <c:symbol val="none"/>
        </c:marker>
      </c:pivotFmt>
      <c:pivotFmt>
        <c:idx val="1160"/>
        <c:marker>
          <c:symbol val="none"/>
        </c:marker>
      </c:pivotFmt>
      <c:pivotFmt>
        <c:idx val="1161"/>
        <c:marker>
          <c:symbol val="none"/>
        </c:marker>
      </c:pivotFmt>
      <c:pivotFmt>
        <c:idx val="1162"/>
        <c:marker>
          <c:symbol val="none"/>
        </c:marker>
      </c:pivotFmt>
      <c:pivotFmt>
        <c:idx val="1163"/>
        <c:marker>
          <c:symbol val="none"/>
        </c:marker>
      </c:pivotFmt>
      <c:pivotFmt>
        <c:idx val="1164"/>
        <c:marker>
          <c:symbol val="none"/>
        </c:marker>
      </c:pivotFmt>
      <c:pivotFmt>
        <c:idx val="1165"/>
        <c:marker>
          <c:symbol val="none"/>
        </c:marker>
      </c:pivotFmt>
      <c:pivotFmt>
        <c:idx val="1166"/>
        <c:marker>
          <c:symbol val="none"/>
        </c:marker>
      </c:pivotFmt>
      <c:pivotFmt>
        <c:idx val="1167"/>
        <c:marker>
          <c:symbol val="none"/>
        </c:marker>
      </c:pivotFmt>
      <c:pivotFmt>
        <c:idx val="1168"/>
        <c:marker>
          <c:symbol val="none"/>
        </c:marker>
      </c:pivotFmt>
      <c:pivotFmt>
        <c:idx val="1169"/>
        <c:marker>
          <c:symbol val="none"/>
        </c:marker>
      </c:pivotFmt>
      <c:pivotFmt>
        <c:idx val="1170"/>
        <c:marker>
          <c:symbol val="none"/>
        </c:marker>
      </c:pivotFmt>
      <c:pivotFmt>
        <c:idx val="1171"/>
        <c:marker>
          <c:symbol val="none"/>
        </c:marker>
      </c:pivotFmt>
      <c:pivotFmt>
        <c:idx val="1172"/>
        <c:marker>
          <c:symbol val="none"/>
        </c:marker>
      </c:pivotFmt>
      <c:pivotFmt>
        <c:idx val="1173"/>
        <c:marker>
          <c:symbol val="none"/>
        </c:marker>
      </c:pivotFmt>
      <c:pivotFmt>
        <c:idx val="1174"/>
        <c:marker>
          <c:symbol val="none"/>
        </c:marker>
      </c:pivotFmt>
      <c:pivotFmt>
        <c:idx val="1175"/>
        <c:marker>
          <c:symbol val="none"/>
        </c:marker>
      </c:pivotFmt>
      <c:pivotFmt>
        <c:idx val="1176"/>
        <c:marker>
          <c:symbol val="none"/>
        </c:marker>
      </c:pivotFmt>
      <c:pivotFmt>
        <c:idx val="1177"/>
        <c:marker>
          <c:symbol val="none"/>
        </c:marker>
      </c:pivotFmt>
      <c:pivotFmt>
        <c:idx val="1178"/>
        <c:marker>
          <c:symbol val="none"/>
        </c:marker>
      </c:pivotFmt>
      <c:pivotFmt>
        <c:idx val="1179"/>
        <c:marker>
          <c:symbol val="none"/>
        </c:marker>
      </c:pivotFmt>
      <c:pivotFmt>
        <c:idx val="1180"/>
        <c:marker>
          <c:symbol val="none"/>
        </c:marker>
      </c:pivotFmt>
      <c:pivotFmt>
        <c:idx val="1181"/>
        <c:marker>
          <c:symbol val="none"/>
        </c:marker>
      </c:pivotFmt>
      <c:pivotFmt>
        <c:idx val="1182"/>
        <c:marker>
          <c:symbol val="none"/>
        </c:marker>
      </c:pivotFmt>
      <c:pivotFmt>
        <c:idx val="1183"/>
        <c:marker>
          <c:symbol val="none"/>
        </c:marker>
      </c:pivotFmt>
      <c:pivotFmt>
        <c:idx val="1184"/>
        <c:marker>
          <c:symbol val="none"/>
        </c:marker>
      </c:pivotFmt>
      <c:pivotFmt>
        <c:idx val="1185"/>
        <c:marker>
          <c:symbol val="none"/>
        </c:marker>
      </c:pivotFmt>
      <c:pivotFmt>
        <c:idx val="1186"/>
        <c:marker>
          <c:symbol val="none"/>
        </c:marker>
      </c:pivotFmt>
      <c:pivotFmt>
        <c:idx val="1187"/>
        <c:marker>
          <c:symbol val="none"/>
        </c:marker>
      </c:pivotFmt>
      <c:pivotFmt>
        <c:idx val="1188"/>
        <c:marker>
          <c:symbol val="none"/>
        </c:marker>
      </c:pivotFmt>
      <c:pivotFmt>
        <c:idx val="1189"/>
        <c:marker>
          <c:symbol val="none"/>
        </c:marker>
      </c:pivotFmt>
      <c:pivotFmt>
        <c:idx val="1190"/>
        <c:marker>
          <c:symbol val="none"/>
        </c:marker>
      </c:pivotFmt>
      <c:pivotFmt>
        <c:idx val="1191"/>
        <c:marker>
          <c:symbol val="none"/>
        </c:marker>
      </c:pivotFmt>
      <c:pivotFmt>
        <c:idx val="1192"/>
        <c:marker>
          <c:symbol val="none"/>
        </c:marker>
      </c:pivotFmt>
      <c:pivotFmt>
        <c:idx val="1193"/>
        <c:marker>
          <c:symbol val="none"/>
        </c:marker>
      </c:pivotFmt>
      <c:pivotFmt>
        <c:idx val="1194"/>
        <c:marker>
          <c:symbol val="none"/>
        </c:marker>
      </c:pivotFmt>
      <c:pivotFmt>
        <c:idx val="1195"/>
        <c:marker>
          <c:symbol val="none"/>
        </c:marker>
      </c:pivotFmt>
      <c:pivotFmt>
        <c:idx val="1196"/>
        <c:marker>
          <c:symbol val="none"/>
        </c:marker>
      </c:pivotFmt>
      <c:pivotFmt>
        <c:idx val="1197"/>
        <c:marker>
          <c:symbol val="none"/>
        </c:marker>
      </c:pivotFmt>
      <c:pivotFmt>
        <c:idx val="1198"/>
        <c:marker>
          <c:symbol val="none"/>
        </c:marker>
      </c:pivotFmt>
      <c:pivotFmt>
        <c:idx val="1199"/>
        <c:marker>
          <c:symbol val="none"/>
        </c:marker>
      </c:pivotFmt>
      <c:pivotFmt>
        <c:idx val="1200"/>
        <c:marker>
          <c:symbol val="none"/>
        </c:marker>
      </c:pivotFmt>
      <c:pivotFmt>
        <c:idx val="1201"/>
        <c:marker>
          <c:symbol val="none"/>
        </c:marker>
      </c:pivotFmt>
      <c:pivotFmt>
        <c:idx val="1202"/>
        <c:marker>
          <c:symbol val="none"/>
        </c:marker>
      </c:pivotFmt>
      <c:pivotFmt>
        <c:idx val="1203"/>
        <c:marker>
          <c:symbol val="none"/>
        </c:marker>
      </c:pivotFmt>
      <c:pivotFmt>
        <c:idx val="1204"/>
        <c:marker>
          <c:symbol val="none"/>
        </c:marker>
      </c:pivotFmt>
      <c:pivotFmt>
        <c:idx val="1205"/>
        <c:marker>
          <c:symbol val="none"/>
        </c:marker>
      </c:pivotFmt>
      <c:pivotFmt>
        <c:idx val="1206"/>
        <c:marker>
          <c:symbol val="none"/>
        </c:marker>
      </c:pivotFmt>
      <c:pivotFmt>
        <c:idx val="1207"/>
        <c:marker>
          <c:symbol val="none"/>
        </c:marker>
      </c:pivotFmt>
      <c:pivotFmt>
        <c:idx val="1208"/>
        <c:marker>
          <c:symbol val="none"/>
        </c:marker>
      </c:pivotFmt>
      <c:pivotFmt>
        <c:idx val="1209"/>
        <c:marker>
          <c:symbol val="none"/>
        </c:marker>
      </c:pivotFmt>
      <c:pivotFmt>
        <c:idx val="1210"/>
        <c:marker>
          <c:symbol val="none"/>
        </c:marker>
      </c:pivotFmt>
      <c:pivotFmt>
        <c:idx val="1211"/>
        <c:marker>
          <c:symbol val="none"/>
        </c:marker>
      </c:pivotFmt>
      <c:pivotFmt>
        <c:idx val="1212"/>
        <c:marker>
          <c:symbol val="none"/>
        </c:marker>
      </c:pivotFmt>
      <c:pivotFmt>
        <c:idx val="1213"/>
        <c:marker>
          <c:symbol val="none"/>
        </c:marker>
      </c:pivotFmt>
      <c:pivotFmt>
        <c:idx val="1214"/>
        <c:marker>
          <c:symbol val="none"/>
        </c:marker>
      </c:pivotFmt>
      <c:pivotFmt>
        <c:idx val="1215"/>
        <c:marker>
          <c:symbol val="none"/>
        </c:marker>
      </c:pivotFmt>
      <c:pivotFmt>
        <c:idx val="1216"/>
        <c:marker>
          <c:symbol val="none"/>
        </c:marker>
      </c:pivotFmt>
      <c:pivotFmt>
        <c:idx val="1217"/>
        <c:marker>
          <c:symbol val="none"/>
        </c:marker>
      </c:pivotFmt>
      <c:pivotFmt>
        <c:idx val="1218"/>
        <c:marker>
          <c:symbol val="none"/>
        </c:marker>
      </c:pivotFmt>
      <c:pivotFmt>
        <c:idx val="1219"/>
        <c:marker>
          <c:symbol val="none"/>
        </c:marker>
      </c:pivotFmt>
      <c:pivotFmt>
        <c:idx val="1220"/>
        <c:marker>
          <c:symbol val="none"/>
        </c:marker>
      </c:pivotFmt>
      <c:pivotFmt>
        <c:idx val="1221"/>
        <c:marker>
          <c:symbol val="none"/>
        </c:marker>
      </c:pivotFmt>
      <c:pivotFmt>
        <c:idx val="1222"/>
        <c:marker>
          <c:symbol val="none"/>
        </c:marker>
      </c:pivotFmt>
      <c:pivotFmt>
        <c:idx val="1223"/>
        <c:marker>
          <c:symbol val="none"/>
        </c:marker>
      </c:pivotFmt>
      <c:pivotFmt>
        <c:idx val="1224"/>
        <c:marker>
          <c:symbol val="none"/>
        </c:marker>
      </c:pivotFmt>
      <c:pivotFmt>
        <c:idx val="1225"/>
        <c:marker>
          <c:symbol val="none"/>
        </c:marker>
      </c:pivotFmt>
      <c:pivotFmt>
        <c:idx val="1226"/>
        <c:marker>
          <c:symbol val="none"/>
        </c:marker>
      </c:pivotFmt>
      <c:pivotFmt>
        <c:idx val="1227"/>
        <c:marker>
          <c:symbol val="none"/>
        </c:marker>
      </c:pivotFmt>
      <c:pivotFmt>
        <c:idx val="1228"/>
        <c:marker>
          <c:symbol val="none"/>
        </c:marker>
      </c:pivotFmt>
      <c:pivotFmt>
        <c:idx val="1229"/>
        <c:marker>
          <c:symbol val="none"/>
        </c:marker>
      </c:pivotFmt>
      <c:pivotFmt>
        <c:idx val="1230"/>
        <c:marker>
          <c:symbol val="none"/>
        </c:marker>
      </c:pivotFmt>
      <c:pivotFmt>
        <c:idx val="1231"/>
        <c:marker>
          <c:symbol val="none"/>
        </c:marker>
      </c:pivotFmt>
      <c:pivotFmt>
        <c:idx val="1232"/>
        <c:marker>
          <c:symbol val="none"/>
        </c:marker>
      </c:pivotFmt>
      <c:pivotFmt>
        <c:idx val="1233"/>
        <c:marker>
          <c:symbol val="none"/>
        </c:marker>
      </c:pivotFmt>
      <c:pivotFmt>
        <c:idx val="1234"/>
        <c:marker>
          <c:symbol val="none"/>
        </c:marker>
      </c:pivotFmt>
      <c:pivotFmt>
        <c:idx val="1235"/>
        <c:marker>
          <c:symbol val="none"/>
        </c:marker>
      </c:pivotFmt>
      <c:pivotFmt>
        <c:idx val="1236"/>
        <c:marker>
          <c:symbol val="none"/>
        </c:marker>
      </c:pivotFmt>
      <c:pivotFmt>
        <c:idx val="1237"/>
        <c:marker>
          <c:symbol val="none"/>
        </c:marker>
      </c:pivotFmt>
      <c:pivotFmt>
        <c:idx val="1238"/>
        <c:marker>
          <c:symbol val="none"/>
        </c:marker>
      </c:pivotFmt>
      <c:pivotFmt>
        <c:idx val="1239"/>
        <c:marker>
          <c:symbol val="none"/>
        </c:marker>
      </c:pivotFmt>
      <c:pivotFmt>
        <c:idx val="1240"/>
        <c:marker>
          <c:symbol val="none"/>
        </c:marker>
      </c:pivotFmt>
      <c:pivotFmt>
        <c:idx val="1241"/>
        <c:marker>
          <c:symbol val="none"/>
        </c:marker>
      </c:pivotFmt>
      <c:pivotFmt>
        <c:idx val="1242"/>
        <c:marker>
          <c:symbol val="none"/>
        </c:marker>
      </c:pivotFmt>
      <c:pivotFmt>
        <c:idx val="1243"/>
        <c:marker>
          <c:symbol val="none"/>
        </c:marker>
      </c:pivotFmt>
      <c:pivotFmt>
        <c:idx val="1244"/>
        <c:marker>
          <c:symbol val="none"/>
        </c:marker>
      </c:pivotFmt>
      <c:pivotFmt>
        <c:idx val="1245"/>
        <c:marker>
          <c:symbol val="none"/>
        </c:marker>
      </c:pivotFmt>
      <c:pivotFmt>
        <c:idx val="1246"/>
        <c:marker>
          <c:symbol val="none"/>
        </c:marker>
      </c:pivotFmt>
      <c:pivotFmt>
        <c:idx val="1247"/>
        <c:marker>
          <c:symbol val="none"/>
        </c:marker>
      </c:pivotFmt>
      <c:pivotFmt>
        <c:idx val="1248"/>
        <c:marker>
          <c:symbol val="none"/>
        </c:marker>
      </c:pivotFmt>
      <c:pivotFmt>
        <c:idx val="1249"/>
        <c:marker>
          <c:symbol val="none"/>
        </c:marker>
      </c:pivotFmt>
      <c:pivotFmt>
        <c:idx val="1250"/>
        <c:marker>
          <c:symbol val="none"/>
        </c:marker>
      </c:pivotFmt>
      <c:pivotFmt>
        <c:idx val="1251"/>
        <c:marker>
          <c:symbol val="none"/>
        </c:marker>
      </c:pivotFmt>
      <c:pivotFmt>
        <c:idx val="1252"/>
        <c:marker>
          <c:symbol val="none"/>
        </c:marker>
      </c:pivotFmt>
      <c:pivotFmt>
        <c:idx val="1253"/>
        <c:marker>
          <c:symbol val="none"/>
        </c:marker>
      </c:pivotFmt>
      <c:pivotFmt>
        <c:idx val="1254"/>
        <c:marker>
          <c:symbol val="none"/>
        </c:marker>
      </c:pivotFmt>
      <c:pivotFmt>
        <c:idx val="1255"/>
        <c:marker>
          <c:symbol val="none"/>
        </c:marker>
      </c:pivotFmt>
      <c:pivotFmt>
        <c:idx val="1256"/>
        <c:marker>
          <c:symbol val="none"/>
        </c:marker>
      </c:pivotFmt>
      <c:pivotFmt>
        <c:idx val="1257"/>
        <c:marker>
          <c:symbol val="none"/>
        </c:marker>
      </c:pivotFmt>
      <c:pivotFmt>
        <c:idx val="1258"/>
        <c:marker>
          <c:symbol val="none"/>
        </c:marker>
      </c:pivotFmt>
      <c:pivotFmt>
        <c:idx val="1259"/>
        <c:marker>
          <c:symbol val="none"/>
        </c:marker>
      </c:pivotFmt>
      <c:pivotFmt>
        <c:idx val="1260"/>
        <c:marker>
          <c:symbol val="none"/>
        </c:marker>
      </c:pivotFmt>
      <c:pivotFmt>
        <c:idx val="1261"/>
        <c:marker>
          <c:symbol val="none"/>
        </c:marker>
      </c:pivotFmt>
      <c:pivotFmt>
        <c:idx val="1262"/>
        <c:marker>
          <c:symbol val="none"/>
        </c:marker>
      </c:pivotFmt>
      <c:pivotFmt>
        <c:idx val="1263"/>
        <c:marker>
          <c:symbol val="none"/>
        </c:marker>
      </c:pivotFmt>
      <c:pivotFmt>
        <c:idx val="1264"/>
        <c:marker>
          <c:symbol val="none"/>
        </c:marker>
      </c:pivotFmt>
      <c:pivotFmt>
        <c:idx val="1265"/>
        <c:marker>
          <c:symbol val="none"/>
        </c:marker>
      </c:pivotFmt>
      <c:pivotFmt>
        <c:idx val="1266"/>
        <c:marker>
          <c:symbol val="none"/>
        </c:marker>
      </c:pivotFmt>
      <c:pivotFmt>
        <c:idx val="1267"/>
        <c:marker>
          <c:symbol val="none"/>
        </c:marker>
      </c:pivotFmt>
      <c:pivotFmt>
        <c:idx val="1268"/>
        <c:marker>
          <c:symbol val="none"/>
        </c:marker>
      </c:pivotFmt>
      <c:pivotFmt>
        <c:idx val="1269"/>
        <c:marker>
          <c:symbol val="none"/>
        </c:marker>
      </c:pivotFmt>
      <c:pivotFmt>
        <c:idx val="1270"/>
        <c:marker>
          <c:symbol val="none"/>
        </c:marker>
      </c:pivotFmt>
      <c:pivotFmt>
        <c:idx val="1271"/>
        <c:marker>
          <c:symbol val="none"/>
        </c:marker>
      </c:pivotFmt>
      <c:pivotFmt>
        <c:idx val="1272"/>
        <c:marker>
          <c:symbol val="none"/>
        </c:marker>
      </c:pivotFmt>
      <c:pivotFmt>
        <c:idx val="1273"/>
        <c:marker>
          <c:symbol val="none"/>
        </c:marker>
      </c:pivotFmt>
      <c:pivotFmt>
        <c:idx val="1274"/>
        <c:marker>
          <c:symbol val="none"/>
        </c:marker>
      </c:pivotFmt>
      <c:pivotFmt>
        <c:idx val="1275"/>
        <c:marker>
          <c:symbol val="none"/>
        </c:marker>
      </c:pivotFmt>
      <c:pivotFmt>
        <c:idx val="1276"/>
        <c:marker>
          <c:symbol val="none"/>
        </c:marker>
      </c:pivotFmt>
      <c:pivotFmt>
        <c:idx val="1277"/>
        <c:marker>
          <c:symbol val="none"/>
        </c:marker>
      </c:pivotFmt>
      <c:pivotFmt>
        <c:idx val="1278"/>
        <c:marker>
          <c:symbol val="none"/>
        </c:marker>
      </c:pivotFmt>
      <c:pivotFmt>
        <c:idx val="1279"/>
        <c:marker>
          <c:symbol val="none"/>
        </c:marker>
      </c:pivotFmt>
      <c:pivotFmt>
        <c:idx val="1280"/>
        <c:marker>
          <c:symbol val="none"/>
        </c:marker>
      </c:pivotFmt>
      <c:pivotFmt>
        <c:idx val="1281"/>
        <c:marker>
          <c:symbol val="none"/>
        </c:marker>
      </c:pivotFmt>
      <c:pivotFmt>
        <c:idx val="1282"/>
        <c:marker>
          <c:symbol val="none"/>
        </c:marker>
      </c:pivotFmt>
      <c:pivotFmt>
        <c:idx val="1283"/>
        <c:marker>
          <c:symbol val="none"/>
        </c:marker>
      </c:pivotFmt>
      <c:pivotFmt>
        <c:idx val="1284"/>
        <c:marker>
          <c:symbol val="none"/>
        </c:marker>
      </c:pivotFmt>
      <c:pivotFmt>
        <c:idx val="1285"/>
        <c:marker>
          <c:symbol val="none"/>
        </c:marker>
      </c:pivotFmt>
      <c:pivotFmt>
        <c:idx val="1286"/>
        <c:marker>
          <c:symbol val="none"/>
        </c:marker>
      </c:pivotFmt>
      <c:pivotFmt>
        <c:idx val="1287"/>
        <c:marker>
          <c:symbol val="none"/>
        </c:marker>
      </c:pivotFmt>
      <c:pivotFmt>
        <c:idx val="1288"/>
        <c:marker>
          <c:symbol val="none"/>
        </c:marker>
      </c:pivotFmt>
      <c:pivotFmt>
        <c:idx val="1289"/>
        <c:marker>
          <c:symbol val="none"/>
        </c:marker>
      </c:pivotFmt>
      <c:pivotFmt>
        <c:idx val="1290"/>
        <c:marker>
          <c:symbol val="none"/>
        </c:marker>
      </c:pivotFmt>
      <c:pivotFmt>
        <c:idx val="1291"/>
        <c:marker>
          <c:symbol val="none"/>
        </c:marker>
      </c:pivotFmt>
      <c:pivotFmt>
        <c:idx val="1292"/>
        <c:marker>
          <c:symbol val="none"/>
        </c:marker>
      </c:pivotFmt>
      <c:pivotFmt>
        <c:idx val="1293"/>
        <c:marker>
          <c:symbol val="none"/>
        </c:marker>
      </c:pivotFmt>
      <c:pivotFmt>
        <c:idx val="1294"/>
        <c:marker>
          <c:symbol val="none"/>
        </c:marker>
      </c:pivotFmt>
      <c:pivotFmt>
        <c:idx val="1295"/>
        <c:marker>
          <c:symbol val="none"/>
        </c:marker>
      </c:pivotFmt>
      <c:pivotFmt>
        <c:idx val="1296"/>
        <c:marker>
          <c:symbol val="none"/>
        </c:marker>
      </c:pivotFmt>
      <c:pivotFmt>
        <c:idx val="1297"/>
        <c:marker>
          <c:symbol val="none"/>
        </c:marker>
      </c:pivotFmt>
      <c:pivotFmt>
        <c:idx val="1298"/>
        <c:marker>
          <c:symbol val="none"/>
        </c:marker>
      </c:pivotFmt>
      <c:pivotFmt>
        <c:idx val="1299"/>
        <c:marker>
          <c:symbol val="none"/>
        </c:marker>
      </c:pivotFmt>
      <c:pivotFmt>
        <c:idx val="1300"/>
        <c:marker>
          <c:symbol val="none"/>
        </c:marker>
      </c:pivotFmt>
      <c:pivotFmt>
        <c:idx val="1301"/>
        <c:marker>
          <c:symbol val="none"/>
        </c:marker>
      </c:pivotFmt>
      <c:pivotFmt>
        <c:idx val="1302"/>
        <c:marker>
          <c:symbol val="none"/>
        </c:marker>
      </c:pivotFmt>
      <c:pivotFmt>
        <c:idx val="1303"/>
        <c:marker>
          <c:symbol val="none"/>
        </c:marker>
      </c:pivotFmt>
      <c:pivotFmt>
        <c:idx val="1304"/>
        <c:marker>
          <c:symbol val="none"/>
        </c:marker>
      </c:pivotFmt>
      <c:pivotFmt>
        <c:idx val="1305"/>
        <c:marker>
          <c:symbol val="none"/>
        </c:marker>
      </c:pivotFmt>
      <c:pivotFmt>
        <c:idx val="1306"/>
        <c:marker>
          <c:symbol val="none"/>
        </c:marker>
      </c:pivotFmt>
      <c:pivotFmt>
        <c:idx val="1307"/>
        <c:marker>
          <c:symbol val="none"/>
        </c:marker>
      </c:pivotFmt>
      <c:pivotFmt>
        <c:idx val="1308"/>
        <c:marker>
          <c:symbol val="none"/>
        </c:marker>
      </c:pivotFmt>
      <c:pivotFmt>
        <c:idx val="1309"/>
        <c:marker>
          <c:symbol val="none"/>
        </c:marker>
      </c:pivotFmt>
      <c:pivotFmt>
        <c:idx val="1310"/>
        <c:marker>
          <c:symbol val="none"/>
        </c:marker>
      </c:pivotFmt>
      <c:pivotFmt>
        <c:idx val="1311"/>
        <c:marker>
          <c:symbol val="none"/>
        </c:marker>
      </c:pivotFmt>
      <c:pivotFmt>
        <c:idx val="1312"/>
        <c:marker>
          <c:symbol val="none"/>
        </c:marker>
      </c:pivotFmt>
      <c:pivotFmt>
        <c:idx val="1313"/>
        <c:marker>
          <c:symbol val="none"/>
        </c:marker>
      </c:pivotFmt>
      <c:pivotFmt>
        <c:idx val="1314"/>
        <c:marker>
          <c:symbol val="none"/>
        </c:marker>
      </c:pivotFmt>
      <c:pivotFmt>
        <c:idx val="1315"/>
        <c:marker>
          <c:symbol val="none"/>
        </c:marker>
      </c:pivotFmt>
      <c:pivotFmt>
        <c:idx val="1316"/>
        <c:marker>
          <c:symbol val="none"/>
        </c:marker>
      </c:pivotFmt>
      <c:pivotFmt>
        <c:idx val="1317"/>
        <c:marker>
          <c:symbol val="none"/>
        </c:marker>
      </c:pivotFmt>
      <c:pivotFmt>
        <c:idx val="1318"/>
        <c:marker>
          <c:symbol val="none"/>
        </c:marker>
      </c:pivotFmt>
      <c:pivotFmt>
        <c:idx val="1319"/>
        <c:marker>
          <c:symbol val="none"/>
        </c:marker>
      </c:pivotFmt>
      <c:pivotFmt>
        <c:idx val="1320"/>
        <c:marker>
          <c:symbol val="none"/>
        </c:marker>
      </c:pivotFmt>
      <c:pivotFmt>
        <c:idx val="1321"/>
        <c:marker>
          <c:symbol val="none"/>
        </c:marker>
      </c:pivotFmt>
      <c:pivotFmt>
        <c:idx val="1322"/>
        <c:marker>
          <c:symbol val="none"/>
        </c:marker>
      </c:pivotFmt>
      <c:pivotFmt>
        <c:idx val="1323"/>
        <c:marker>
          <c:symbol val="none"/>
        </c:marker>
      </c:pivotFmt>
      <c:pivotFmt>
        <c:idx val="1324"/>
        <c:marker>
          <c:symbol val="none"/>
        </c:marker>
      </c:pivotFmt>
      <c:pivotFmt>
        <c:idx val="1325"/>
        <c:marker>
          <c:symbol val="none"/>
        </c:marker>
      </c:pivotFmt>
      <c:pivotFmt>
        <c:idx val="1326"/>
        <c:marker>
          <c:symbol val="none"/>
        </c:marker>
      </c:pivotFmt>
      <c:pivotFmt>
        <c:idx val="1327"/>
        <c:marker>
          <c:symbol val="none"/>
        </c:marker>
      </c:pivotFmt>
      <c:pivotFmt>
        <c:idx val="1328"/>
        <c:marker>
          <c:symbol val="none"/>
        </c:marker>
      </c:pivotFmt>
      <c:pivotFmt>
        <c:idx val="1329"/>
        <c:marker>
          <c:symbol val="none"/>
        </c:marker>
      </c:pivotFmt>
      <c:pivotFmt>
        <c:idx val="1330"/>
        <c:marker>
          <c:symbol val="none"/>
        </c:marker>
      </c:pivotFmt>
      <c:pivotFmt>
        <c:idx val="1331"/>
        <c:marker>
          <c:symbol val="none"/>
        </c:marker>
      </c:pivotFmt>
      <c:pivotFmt>
        <c:idx val="1332"/>
        <c:marker>
          <c:symbol val="none"/>
        </c:marker>
      </c:pivotFmt>
      <c:pivotFmt>
        <c:idx val="1333"/>
        <c:marker>
          <c:symbol val="none"/>
        </c:marker>
      </c:pivotFmt>
      <c:pivotFmt>
        <c:idx val="1334"/>
        <c:marker>
          <c:symbol val="none"/>
        </c:marker>
      </c:pivotFmt>
      <c:pivotFmt>
        <c:idx val="1335"/>
        <c:marker>
          <c:symbol val="none"/>
        </c:marker>
      </c:pivotFmt>
      <c:pivotFmt>
        <c:idx val="1336"/>
        <c:marker>
          <c:symbol val="none"/>
        </c:marker>
      </c:pivotFmt>
      <c:pivotFmt>
        <c:idx val="1337"/>
        <c:marker>
          <c:symbol val="none"/>
        </c:marker>
      </c:pivotFmt>
      <c:pivotFmt>
        <c:idx val="1338"/>
        <c:marker>
          <c:symbol val="none"/>
        </c:marker>
      </c:pivotFmt>
      <c:pivotFmt>
        <c:idx val="1339"/>
        <c:marker>
          <c:symbol val="none"/>
        </c:marker>
      </c:pivotFmt>
      <c:pivotFmt>
        <c:idx val="1340"/>
        <c:marker>
          <c:symbol val="none"/>
        </c:marker>
      </c:pivotFmt>
      <c:pivotFmt>
        <c:idx val="1341"/>
        <c:marker>
          <c:symbol val="none"/>
        </c:marker>
      </c:pivotFmt>
      <c:pivotFmt>
        <c:idx val="1342"/>
        <c:marker>
          <c:symbol val="none"/>
        </c:marker>
      </c:pivotFmt>
      <c:pivotFmt>
        <c:idx val="1343"/>
        <c:marker>
          <c:symbol val="none"/>
        </c:marker>
      </c:pivotFmt>
      <c:pivotFmt>
        <c:idx val="1344"/>
        <c:marker>
          <c:symbol val="none"/>
        </c:marker>
      </c:pivotFmt>
      <c:pivotFmt>
        <c:idx val="1345"/>
        <c:marker>
          <c:symbol val="none"/>
        </c:marker>
      </c:pivotFmt>
      <c:pivotFmt>
        <c:idx val="1346"/>
        <c:marker>
          <c:symbol val="none"/>
        </c:marker>
      </c:pivotFmt>
      <c:pivotFmt>
        <c:idx val="1347"/>
        <c:marker>
          <c:symbol val="none"/>
        </c:marker>
      </c:pivotFmt>
      <c:pivotFmt>
        <c:idx val="1348"/>
        <c:marker>
          <c:symbol val="none"/>
        </c:marker>
      </c:pivotFmt>
      <c:pivotFmt>
        <c:idx val="1349"/>
        <c:marker>
          <c:symbol val="none"/>
        </c:marker>
      </c:pivotFmt>
      <c:pivotFmt>
        <c:idx val="1350"/>
        <c:marker>
          <c:symbol val="none"/>
        </c:marker>
      </c:pivotFmt>
      <c:pivotFmt>
        <c:idx val="1351"/>
        <c:marker>
          <c:symbol val="none"/>
        </c:marker>
      </c:pivotFmt>
      <c:pivotFmt>
        <c:idx val="1352"/>
        <c:marker>
          <c:symbol val="none"/>
        </c:marker>
      </c:pivotFmt>
      <c:pivotFmt>
        <c:idx val="1353"/>
        <c:marker>
          <c:symbol val="none"/>
        </c:marker>
      </c:pivotFmt>
      <c:pivotFmt>
        <c:idx val="1354"/>
        <c:marker>
          <c:symbol val="none"/>
        </c:marker>
      </c:pivotFmt>
      <c:pivotFmt>
        <c:idx val="1355"/>
        <c:marker>
          <c:symbol val="none"/>
        </c:marker>
      </c:pivotFmt>
      <c:pivotFmt>
        <c:idx val="1356"/>
        <c:marker>
          <c:symbol val="none"/>
        </c:marker>
      </c:pivotFmt>
      <c:pivotFmt>
        <c:idx val="1357"/>
        <c:marker>
          <c:symbol val="none"/>
        </c:marker>
      </c:pivotFmt>
      <c:pivotFmt>
        <c:idx val="1358"/>
        <c:marker>
          <c:symbol val="none"/>
        </c:marker>
      </c:pivotFmt>
      <c:pivotFmt>
        <c:idx val="1359"/>
        <c:marker>
          <c:symbol val="none"/>
        </c:marker>
      </c:pivotFmt>
      <c:pivotFmt>
        <c:idx val="1360"/>
        <c:marker>
          <c:symbol val="none"/>
        </c:marker>
      </c:pivotFmt>
      <c:pivotFmt>
        <c:idx val="1361"/>
        <c:marker>
          <c:symbol val="none"/>
        </c:marker>
      </c:pivotFmt>
      <c:pivotFmt>
        <c:idx val="1362"/>
        <c:marker>
          <c:symbol val="none"/>
        </c:marker>
      </c:pivotFmt>
      <c:pivotFmt>
        <c:idx val="1363"/>
        <c:marker>
          <c:symbol val="none"/>
        </c:marker>
      </c:pivotFmt>
      <c:pivotFmt>
        <c:idx val="1364"/>
        <c:marker>
          <c:symbol val="none"/>
        </c:marker>
      </c:pivotFmt>
      <c:pivotFmt>
        <c:idx val="1365"/>
        <c:marker>
          <c:symbol val="none"/>
        </c:marker>
      </c:pivotFmt>
      <c:pivotFmt>
        <c:idx val="1366"/>
        <c:marker>
          <c:symbol val="none"/>
        </c:marker>
      </c:pivotFmt>
      <c:pivotFmt>
        <c:idx val="1367"/>
        <c:marker>
          <c:symbol val="none"/>
        </c:marker>
      </c:pivotFmt>
      <c:pivotFmt>
        <c:idx val="1368"/>
        <c:marker>
          <c:symbol val="none"/>
        </c:marker>
      </c:pivotFmt>
      <c:pivotFmt>
        <c:idx val="1369"/>
        <c:marker>
          <c:symbol val="none"/>
        </c:marker>
      </c:pivotFmt>
      <c:pivotFmt>
        <c:idx val="1370"/>
        <c:marker>
          <c:symbol val="none"/>
        </c:marker>
      </c:pivotFmt>
      <c:pivotFmt>
        <c:idx val="1371"/>
        <c:marker>
          <c:symbol val="none"/>
        </c:marker>
      </c:pivotFmt>
      <c:pivotFmt>
        <c:idx val="1372"/>
        <c:marker>
          <c:symbol val="none"/>
        </c:marker>
      </c:pivotFmt>
      <c:pivotFmt>
        <c:idx val="1373"/>
        <c:marker>
          <c:symbol val="none"/>
        </c:marker>
      </c:pivotFmt>
      <c:pivotFmt>
        <c:idx val="1374"/>
        <c:marker>
          <c:symbol val="none"/>
        </c:marker>
      </c:pivotFmt>
      <c:pivotFmt>
        <c:idx val="1375"/>
        <c:marker>
          <c:symbol val="none"/>
        </c:marker>
      </c:pivotFmt>
      <c:pivotFmt>
        <c:idx val="1376"/>
        <c:marker>
          <c:symbol val="none"/>
        </c:marker>
      </c:pivotFmt>
      <c:pivotFmt>
        <c:idx val="1377"/>
        <c:marker>
          <c:symbol val="none"/>
        </c:marker>
      </c:pivotFmt>
      <c:pivotFmt>
        <c:idx val="1378"/>
        <c:marker>
          <c:symbol val="none"/>
        </c:marker>
      </c:pivotFmt>
      <c:pivotFmt>
        <c:idx val="1379"/>
        <c:marker>
          <c:symbol val="none"/>
        </c:marker>
      </c:pivotFmt>
      <c:pivotFmt>
        <c:idx val="1380"/>
        <c:marker>
          <c:symbol val="none"/>
        </c:marker>
      </c:pivotFmt>
      <c:pivotFmt>
        <c:idx val="1381"/>
        <c:marker>
          <c:symbol val="none"/>
        </c:marker>
      </c:pivotFmt>
      <c:pivotFmt>
        <c:idx val="1382"/>
        <c:marker>
          <c:symbol val="none"/>
        </c:marker>
      </c:pivotFmt>
      <c:pivotFmt>
        <c:idx val="1383"/>
        <c:marker>
          <c:symbol val="none"/>
        </c:marker>
      </c:pivotFmt>
      <c:pivotFmt>
        <c:idx val="1384"/>
        <c:marker>
          <c:symbol val="none"/>
        </c:marker>
      </c:pivotFmt>
      <c:pivotFmt>
        <c:idx val="1385"/>
        <c:marker>
          <c:symbol val="none"/>
        </c:marker>
      </c:pivotFmt>
      <c:pivotFmt>
        <c:idx val="1386"/>
        <c:marker>
          <c:symbol val="none"/>
        </c:marker>
      </c:pivotFmt>
      <c:pivotFmt>
        <c:idx val="1387"/>
        <c:marker>
          <c:symbol val="none"/>
        </c:marker>
      </c:pivotFmt>
      <c:pivotFmt>
        <c:idx val="1388"/>
        <c:marker>
          <c:symbol val="none"/>
        </c:marker>
      </c:pivotFmt>
      <c:pivotFmt>
        <c:idx val="1389"/>
        <c:marker>
          <c:symbol val="none"/>
        </c:marker>
      </c:pivotFmt>
      <c:pivotFmt>
        <c:idx val="1390"/>
        <c:marker>
          <c:symbol val="none"/>
        </c:marker>
      </c:pivotFmt>
      <c:pivotFmt>
        <c:idx val="1391"/>
        <c:marker>
          <c:symbol val="none"/>
        </c:marker>
      </c:pivotFmt>
      <c:pivotFmt>
        <c:idx val="1392"/>
        <c:marker>
          <c:symbol val="none"/>
        </c:marker>
      </c:pivotFmt>
      <c:pivotFmt>
        <c:idx val="1393"/>
        <c:marker>
          <c:symbol val="none"/>
        </c:marker>
      </c:pivotFmt>
      <c:pivotFmt>
        <c:idx val="1394"/>
        <c:marker>
          <c:symbol val="none"/>
        </c:marker>
      </c:pivotFmt>
      <c:pivotFmt>
        <c:idx val="1395"/>
        <c:marker>
          <c:symbol val="none"/>
        </c:marker>
      </c:pivotFmt>
      <c:pivotFmt>
        <c:idx val="1396"/>
        <c:marker>
          <c:symbol val="none"/>
        </c:marker>
      </c:pivotFmt>
      <c:pivotFmt>
        <c:idx val="1397"/>
        <c:marker>
          <c:symbol val="none"/>
        </c:marker>
      </c:pivotFmt>
      <c:pivotFmt>
        <c:idx val="1398"/>
        <c:marker>
          <c:symbol val="none"/>
        </c:marker>
      </c:pivotFmt>
      <c:pivotFmt>
        <c:idx val="1399"/>
        <c:marker>
          <c:symbol val="none"/>
        </c:marker>
      </c:pivotFmt>
      <c:pivotFmt>
        <c:idx val="1400"/>
        <c:marker>
          <c:symbol val="none"/>
        </c:marker>
      </c:pivotFmt>
      <c:pivotFmt>
        <c:idx val="1401"/>
        <c:marker>
          <c:symbol val="none"/>
        </c:marker>
      </c:pivotFmt>
      <c:pivotFmt>
        <c:idx val="1402"/>
        <c:marker>
          <c:symbol val="none"/>
        </c:marker>
      </c:pivotFmt>
      <c:pivotFmt>
        <c:idx val="1403"/>
        <c:marker>
          <c:symbol val="none"/>
        </c:marker>
      </c:pivotFmt>
      <c:pivotFmt>
        <c:idx val="1404"/>
        <c:marker>
          <c:symbol val="none"/>
        </c:marker>
      </c:pivotFmt>
      <c:pivotFmt>
        <c:idx val="1405"/>
        <c:marker>
          <c:symbol val="none"/>
        </c:marker>
      </c:pivotFmt>
      <c:pivotFmt>
        <c:idx val="1406"/>
        <c:marker>
          <c:symbol val="none"/>
        </c:marker>
      </c:pivotFmt>
      <c:pivotFmt>
        <c:idx val="1407"/>
        <c:marker>
          <c:symbol val="none"/>
        </c:marker>
      </c:pivotFmt>
      <c:pivotFmt>
        <c:idx val="1408"/>
        <c:marker>
          <c:symbol val="none"/>
        </c:marker>
      </c:pivotFmt>
      <c:pivotFmt>
        <c:idx val="1409"/>
        <c:marker>
          <c:symbol val="none"/>
        </c:marker>
      </c:pivotFmt>
      <c:pivotFmt>
        <c:idx val="1410"/>
        <c:marker>
          <c:symbol val="none"/>
        </c:marker>
      </c:pivotFmt>
      <c:pivotFmt>
        <c:idx val="1411"/>
        <c:marker>
          <c:symbol val="none"/>
        </c:marker>
      </c:pivotFmt>
      <c:pivotFmt>
        <c:idx val="1412"/>
        <c:marker>
          <c:symbol val="none"/>
        </c:marker>
      </c:pivotFmt>
      <c:pivotFmt>
        <c:idx val="1413"/>
        <c:marker>
          <c:symbol val="none"/>
        </c:marker>
      </c:pivotFmt>
      <c:pivotFmt>
        <c:idx val="1414"/>
        <c:marker>
          <c:symbol val="none"/>
        </c:marker>
      </c:pivotFmt>
      <c:pivotFmt>
        <c:idx val="1415"/>
        <c:marker>
          <c:symbol val="none"/>
        </c:marker>
      </c:pivotFmt>
      <c:pivotFmt>
        <c:idx val="1416"/>
        <c:marker>
          <c:symbol val="none"/>
        </c:marker>
      </c:pivotFmt>
      <c:pivotFmt>
        <c:idx val="1417"/>
        <c:marker>
          <c:symbol val="none"/>
        </c:marker>
      </c:pivotFmt>
      <c:pivotFmt>
        <c:idx val="1418"/>
        <c:marker>
          <c:symbol val="none"/>
        </c:marker>
      </c:pivotFmt>
      <c:pivotFmt>
        <c:idx val="1419"/>
        <c:marker>
          <c:symbol val="none"/>
        </c:marker>
      </c:pivotFmt>
      <c:pivotFmt>
        <c:idx val="1420"/>
        <c:marker>
          <c:symbol val="none"/>
        </c:marker>
      </c:pivotFmt>
      <c:pivotFmt>
        <c:idx val="1421"/>
        <c:marker>
          <c:symbol val="none"/>
        </c:marker>
      </c:pivotFmt>
      <c:pivotFmt>
        <c:idx val="1422"/>
        <c:marker>
          <c:symbol val="none"/>
        </c:marker>
      </c:pivotFmt>
      <c:pivotFmt>
        <c:idx val="1423"/>
        <c:marker>
          <c:symbol val="none"/>
        </c:marker>
      </c:pivotFmt>
      <c:pivotFmt>
        <c:idx val="1424"/>
        <c:marker>
          <c:symbol val="none"/>
        </c:marker>
      </c:pivotFmt>
      <c:pivotFmt>
        <c:idx val="1425"/>
        <c:marker>
          <c:symbol val="none"/>
        </c:marker>
      </c:pivotFmt>
      <c:pivotFmt>
        <c:idx val="1426"/>
        <c:marker>
          <c:symbol val="none"/>
        </c:marker>
      </c:pivotFmt>
      <c:pivotFmt>
        <c:idx val="1427"/>
        <c:marker>
          <c:symbol val="none"/>
        </c:marker>
      </c:pivotFmt>
      <c:pivotFmt>
        <c:idx val="1428"/>
        <c:marker>
          <c:symbol val="none"/>
        </c:marker>
      </c:pivotFmt>
      <c:pivotFmt>
        <c:idx val="1429"/>
        <c:marker>
          <c:symbol val="none"/>
        </c:marker>
      </c:pivotFmt>
      <c:pivotFmt>
        <c:idx val="1430"/>
        <c:marker>
          <c:symbol val="none"/>
        </c:marker>
      </c:pivotFmt>
      <c:pivotFmt>
        <c:idx val="1431"/>
        <c:marker>
          <c:symbol val="none"/>
        </c:marker>
      </c:pivotFmt>
      <c:pivotFmt>
        <c:idx val="1432"/>
        <c:marker>
          <c:symbol val="none"/>
        </c:marker>
      </c:pivotFmt>
      <c:pivotFmt>
        <c:idx val="1433"/>
        <c:marker>
          <c:symbol val="none"/>
        </c:marker>
      </c:pivotFmt>
      <c:pivotFmt>
        <c:idx val="1434"/>
        <c:marker>
          <c:symbol val="none"/>
        </c:marker>
      </c:pivotFmt>
      <c:pivotFmt>
        <c:idx val="1435"/>
        <c:marker>
          <c:symbol val="none"/>
        </c:marker>
      </c:pivotFmt>
      <c:pivotFmt>
        <c:idx val="1436"/>
        <c:marker>
          <c:symbol val="none"/>
        </c:marker>
      </c:pivotFmt>
    </c:pivotFmts>
    <c:plotArea>
      <c:layout/>
      <c:barChart>
        <c:barDir val="col"/>
        <c:grouping val="stacked"/>
        <c:varyColors val="0"/>
        <c:ser>
          <c:idx val="0"/>
          <c:order val="0"/>
          <c:tx>
            <c:strRef>
              <c:f>'Summary Table'!$B$4:$B$8</c:f>
              <c:strCache>
                <c:ptCount val="1"/>
                <c:pt idx="0">
                  <c:v>ERROR - ARMs - Coordinates - Questionable</c:v>
                </c:pt>
              </c:strCache>
            </c:strRef>
          </c:tx>
          <c:invertIfNegative val="0"/>
          <c:cat>
            <c:strRef>
              <c:f>'Summary Table'!$A$9:$A$87</c:f>
              <c:strCache>
                <c:ptCount val="78"/>
                <c:pt idx="0">
                  <c:v>1160</c:v>
                </c:pt>
                <c:pt idx="1">
                  <c:v>1255</c:v>
                </c:pt>
                <c:pt idx="2">
                  <c:v>1294</c:v>
                </c:pt>
                <c:pt idx="3">
                  <c:v>2000</c:v>
                </c:pt>
                <c:pt idx="4">
                  <c:v>2005</c:v>
                </c:pt>
                <c:pt idx="5">
                  <c:v>2010</c:v>
                </c:pt>
                <c:pt idx="6">
                  <c:v>2015</c:v>
                </c:pt>
                <c:pt idx="7">
                  <c:v>2025</c:v>
                </c:pt>
                <c:pt idx="8">
                  <c:v>2030</c:v>
                </c:pt>
                <c:pt idx="9">
                  <c:v>2055</c:v>
                </c:pt>
                <c:pt idx="10">
                  <c:v>2076</c:v>
                </c:pt>
                <c:pt idx="11">
                  <c:v>2083</c:v>
                </c:pt>
                <c:pt idx="12">
                  <c:v>2086</c:v>
                </c:pt>
                <c:pt idx="13">
                  <c:v>3001</c:v>
                </c:pt>
                <c:pt idx="14">
                  <c:v>3002</c:v>
                </c:pt>
                <c:pt idx="15">
                  <c:v>3004</c:v>
                </c:pt>
                <c:pt idx="16">
                  <c:v>3007</c:v>
                </c:pt>
                <c:pt idx="17">
                  <c:v>3010</c:v>
                </c:pt>
                <c:pt idx="18">
                  <c:v>3013</c:v>
                </c:pt>
                <c:pt idx="19">
                  <c:v>3016</c:v>
                </c:pt>
                <c:pt idx="20">
                  <c:v>3023</c:v>
                </c:pt>
                <c:pt idx="21">
                  <c:v>3024</c:v>
                </c:pt>
                <c:pt idx="22">
                  <c:v>3037</c:v>
                </c:pt>
                <c:pt idx="23">
                  <c:v>3042</c:v>
                </c:pt>
                <c:pt idx="24">
                  <c:v>3046</c:v>
                </c:pt>
                <c:pt idx="25">
                  <c:v>3047</c:v>
                </c:pt>
                <c:pt idx="26">
                  <c:v>3051</c:v>
                </c:pt>
                <c:pt idx="27">
                  <c:v>3052</c:v>
                </c:pt>
                <c:pt idx="28">
                  <c:v>3056</c:v>
                </c:pt>
                <c:pt idx="29">
                  <c:v>3057</c:v>
                </c:pt>
                <c:pt idx="30">
                  <c:v>3058</c:v>
                </c:pt>
                <c:pt idx="31">
                  <c:v>3059</c:v>
                </c:pt>
                <c:pt idx="32">
                  <c:v>3060</c:v>
                </c:pt>
                <c:pt idx="33">
                  <c:v>3061</c:v>
                </c:pt>
                <c:pt idx="34">
                  <c:v>3067</c:v>
                </c:pt>
                <c:pt idx="35">
                  <c:v>3068</c:v>
                </c:pt>
                <c:pt idx="36">
                  <c:v>3071</c:v>
                </c:pt>
                <c:pt idx="37">
                  <c:v>3072</c:v>
                </c:pt>
                <c:pt idx="38">
                  <c:v>3073</c:v>
                </c:pt>
                <c:pt idx="39">
                  <c:v>3075</c:v>
                </c:pt>
                <c:pt idx="40">
                  <c:v>3076</c:v>
                </c:pt>
                <c:pt idx="41">
                  <c:v>3078</c:v>
                </c:pt>
                <c:pt idx="42">
                  <c:v>3079</c:v>
                </c:pt>
                <c:pt idx="43">
                  <c:v>3080</c:v>
                </c:pt>
                <c:pt idx="44">
                  <c:v>3081</c:v>
                </c:pt>
                <c:pt idx="45">
                  <c:v>3084</c:v>
                </c:pt>
                <c:pt idx="46">
                  <c:v>3088</c:v>
                </c:pt>
                <c:pt idx="47">
                  <c:v>3089</c:v>
                </c:pt>
                <c:pt idx="48">
                  <c:v>3090</c:v>
                </c:pt>
                <c:pt idx="49">
                  <c:v>3096</c:v>
                </c:pt>
                <c:pt idx="50">
                  <c:v>3100</c:v>
                </c:pt>
                <c:pt idx="51">
                  <c:v>3106</c:v>
                </c:pt>
                <c:pt idx="52">
                  <c:v>3107</c:v>
                </c:pt>
                <c:pt idx="53">
                  <c:v>3108</c:v>
                </c:pt>
                <c:pt idx="54">
                  <c:v>3110</c:v>
                </c:pt>
                <c:pt idx="55">
                  <c:v>3111</c:v>
                </c:pt>
                <c:pt idx="56">
                  <c:v>3112</c:v>
                </c:pt>
                <c:pt idx="57">
                  <c:v>3120</c:v>
                </c:pt>
                <c:pt idx="58">
                  <c:v>3121</c:v>
                </c:pt>
                <c:pt idx="59">
                  <c:v>3145</c:v>
                </c:pt>
                <c:pt idx="60">
                  <c:v>3146</c:v>
                </c:pt>
                <c:pt idx="61">
                  <c:v>3147</c:v>
                </c:pt>
                <c:pt idx="62">
                  <c:v>3187</c:v>
                </c:pt>
                <c:pt idx="63">
                  <c:v>3216</c:v>
                </c:pt>
                <c:pt idx="64">
                  <c:v>3217</c:v>
                </c:pt>
                <c:pt idx="65">
                  <c:v>3218</c:v>
                </c:pt>
                <c:pt idx="66">
                  <c:v>4006</c:v>
                </c:pt>
                <c:pt idx="67">
                  <c:v>4025</c:v>
                </c:pt>
                <c:pt idx="68">
                  <c:v>4030</c:v>
                </c:pt>
                <c:pt idx="69">
                  <c:v>4035</c:v>
                </c:pt>
                <c:pt idx="70">
                  <c:v>4040</c:v>
                </c:pt>
                <c:pt idx="71">
                  <c:v>4050</c:v>
                </c:pt>
                <c:pt idx="72">
                  <c:v>4056</c:v>
                </c:pt>
                <c:pt idx="73">
                  <c:v>4059</c:v>
                </c:pt>
                <c:pt idx="74">
                  <c:v>4065</c:v>
                </c:pt>
                <c:pt idx="75">
                  <c:v>4068</c:v>
                </c:pt>
                <c:pt idx="76">
                  <c:v>4070</c:v>
                </c:pt>
                <c:pt idx="77">
                  <c:v>(blank)</c:v>
                </c:pt>
              </c:strCache>
            </c:strRef>
          </c:cat>
          <c:val>
            <c:numRef>
              <c:f>'Summary Table'!$B$9:$B$87</c:f>
              <c:numCache>
                <c:formatCode>General</c:formatCode>
                <c:ptCount val="78"/>
                <c:pt idx="0">
                  <c:v>1</c:v>
                </c:pt>
              </c:numCache>
            </c:numRef>
          </c:val>
        </c:ser>
        <c:ser>
          <c:idx val="1"/>
          <c:order val="1"/>
          <c:tx>
            <c:strRef>
              <c:f>'Summary Table'!$E$4:$E$8</c:f>
              <c:strCache>
                <c:ptCount val="1"/>
                <c:pt idx="0">
                  <c:v>ERROR - Barcode/Racks - Barcode - Frequent</c:v>
                </c:pt>
              </c:strCache>
            </c:strRef>
          </c:tx>
          <c:invertIfNegative val="0"/>
          <c:cat>
            <c:strRef>
              <c:f>'Summary Table'!$A$9:$A$87</c:f>
              <c:strCache>
                <c:ptCount val="78"/>
                <c:pt idx="0">
                  <c:v>1160</c:v>
                </c:pt>
                <c:pt idx="1">
                  <c:v>1255</c:v>
                </c:pt>
                <c:pt idx="2">
                  <c:v>1294</c:v>
                </c:pt>
                <c:pt idx="3">
                  <c:v>2000</c:v>
                </c:pt>
                <c:pt idx="4">
                  <c:v>2005</c:v>
                </c:pt>
                <c:pt idx="5">
                  <c:v>2010</c:v>
                </c:pt>
                <c:pt idx="6">
                  <c:v>2015</c:v>
                </c:pt>
                <c:pt idx="7">
                  <c:v>2025</c:v>
                </c:pt>
                <c:pt idx="8">
                  <c:v>2030</c:v>
                </c:pt>
                <c:pt idx="9">
                  <c:v>2055</c:v>
                </c:pt>
                <c:pt idx="10">
                  <c:v>2076</c:v>
                </c:pt>
                <c:pt idx="11">
                  <c:v>2083</c:v>
                </c:pt>
                <c:pt idx="12">
                  <c:v>2086</c:v>
                </c:pt>
                <c:pt idx="13">
                  <c:v>3001</c:v>
                </c:pt>
                <c:pt idx="14">
                  <c:v>3002</c:v>
                </c:pt>
                <c:pt idx="15">
                  <c:v>3004</c:v>
                </c:pt>
                <c:pt idx="16">
                  <c:v>3007</c:v>
                </c:pt>
                <c:pt idx="17">
                  <c:v>3010</c:v>
                </c:pt>
                <c:pt idx="18">
                  <c:v>3013</c:v>
                </c:pt>
                <c:pt idx="19">
                  <c:v>3016</c:v>
                </c:pt>
                <c:pt idx="20">
                  <c:v>3023</c:v>
                </c:pt>
                <c:pt idx="21">
                  <c:v>3024</c:v>
                </c:pt>
                <c:pt idx="22">
                  <c:v>3037</c:v>
                </c:pt>
                <c:pt idx="23">
                  <c:v>3042</c:v>
                </c:pt>
                <c:pt idx="24">
                  <c:v>3046</c:v>
                </c:pt>
                <c:pt idx="25">
                  <c:v>3047</c:v>
                </c:pt>
                <c:pt idx="26">
                  <c:v>3051</c:v>
                </c:pt>
                <c:pt idx="27">
                  <c:v>3052</c:v>
                </c:pt>
                <c:pt idx="28">
                  <c:v>3056</c:v>
                </c:pt>
                <c:pt idx="29">
                  <c:v>3057</c:v>
                </c:pt>
                <c:pt idx="30">
                  <c:v>3058</c:v>
                </c:pt>
                <c:pt idx="31">
                  <c:v>3059</c:v>
                </c:pt>
                <c:pt idx="32">
                  <c:v>3060</c:v>
                </c:pt>
                <c:pt idx="33">
                  <c:v>3061</c:v>
                </c:pt>
                <c:pt idx="34">
                  <c:v>3067</c:v>
                </c:pt>
                <c:pt idx="35">
                  <c:v>3068</c:v>
                </c:pt>
                <c:pt idx="36">
                  <c:v>3071</c:v>
                </c:pt>
                <c:pt idx="37">
                  <c:v>3072</c:v>
                </c:pt>
                <c:pt idx="38">
                  <c:v>3073</c:v>
                </c:pt>
                <c:pt idx="39">
                  <c:v>3075</c:v>
                </c:pt>
                <c:pt idx="40">
                  <c:v>3076</c:v>
                </c:pt>
                <c:pt idx="41">
                  <c:v>3078</c:v>
                </c:pt>
                <c:pt idx="42">
                  <c:v>3079</c:v>
                </c:pt>
                <c:pt idx="43">
                  <c:v>3080</c:v>
                </c:pt>
                <c:pt idx="44">
                  <c:v>3081</c:v>
                </c:pt>
                <c:pt idx="45">
                  <c:v>3084</c:v>
                </c:pt>
                <c:pt idx="46">
                  <c:v>3088</c:v>
                </c:pt>
                <c:pt idx="47">
                  <c:v>3089</c:v>
                </c:pt>
                <c:pt idx="48">
                  <c:v>3090</c:v>
                </c:pt>
                <c:pt idx="49">
                  <c:v>3096</c:v>
                </c:pt>
                <c:pt idx="50">
                  <c:v>3100</c:v>
                </c:pt>
                <c:pt idx="51">
                  <c:v>3106</c:v>
                </c:pt>
                <c:pt idx="52">
                  <c:v>3107</c:v>
                </c:pt>
                <c:pt idx="53">
                  <c:v>3108</c:v>
                </c:pt>
                <c:pt idx="54">
                  <c:v>3110</c:v>
                </c:pt>
                <c:pt idx="55">
                  <c:v>3111</c:v>
                </c:pt>
                <c:pt idx="56">
                  <c:v>3112</c:v>
                </c:pt>
                <c:pt idx="57">
                  <c:v>3120</c:v>
                </c:pt>
                <c:pt idx="58">
                  <c:v>3121</c:v>
                </c:pt>
                <c:pt idx="59">
                  <c:v>3145</c:v>
                </c:pt>
                <c:pt idx="60">
                  <c:v>3146</c:v>
                </c:pt>
                <c:pt idx="61">
                  <c:v>3147</c:v>
                </c:pt>
                <c:pt idx="62">
                  <c:v>3187</c:v>
                </c:pt>
                <c:pt idx="63">
                  <c:v>3216</c:v>
                </c:pt>
                <c:pt idx="64">
                  <c:v>3217</c:v>
                </c:pt>
                <c:pt idx="65">
                  <c:v>3218</c:v>
                </c:pt>
                <c:pt idx="66">
                  <c:v>4006</c:v>
                </c:pt>
                <c:pt idx="67">
                  <c:v>4025</c:v>
                </c:pt>
                <c:pt idx="68">
                  <c:v>4030</c:v>
                </c:pt>
                <c:pt idx="69">
                  <c:v>4035</c:v>
                </c:pt>
                <c:pt idx="70">
                  <c:v>4040</c:v>
                </c:pt>
                <c:pt idx="71">
                  <c:v>4050</c:v>
                </c:pt>
                <c:pt idx="72">
                  <c:v>4056</c:v>
                </c:pt>
                <c:pt idx="73">
                  <c:v>4059</c:v>
                </c:pt>
                <c:pt idx="74">
                  <c:v>4065</c:v>
                </c:pt>
                <c:pt idx="75">
                  <c:v>4068</c:v>
                </c:pt>
                <c:pt idx="76">
                  <c:v>4070</c:v>
                </c:pt>
                <c:pt idx="77">
                  <c:v>(blank)</c:v>
                </c:pt>
              </c:strCache>
            </c:strRef>
          </c:cat>
          <c:val>
            <c:numRef>
              <c:f>'Summary Table'!$E$9:$E$87</c:f>
              <c:numCache>
                <c:formatCode>General</c:formatCode>
                <c:ptCount val="78"/>
                <c:pt idx="5">
                  <c:v>2</c:v>
                </c:pt>
              </c:numCache>
            </c:numRef>
          </c:val>
        </c:ser>
        <c:ser>
          <c:idx val="2"/>
          <c:order val="2"/>
          <c:tx>
            <c:strRef>
              <c:f>'Summary Table'!$F$4:$F$8</c:f>
              <c:strCache>
                <c:ptCount val="1"/>
                <c:pt idx="0">
                  <c:v>ERROR - Barcode/Racks - Barcode - Questionable</c:v>
                </c:pt>
              </c:strCache>
            </c:strRef>
          </c:tx>
          <c:invertIfNegative val="0"/>
          <c:cat>
            <c:strRef>
              <c:f>'Summary Table'!$A$9:$A$87</c:f>
              <c:strCache>
                <c:ptCount val="78"/>
                <c:pt idx="0">
                  <c:v>1160</c:v>
                </c:pt>
                <c:pt idx="1">
                  <c:v>1255</c:v>
                </c:pt>
                <c:pt idx="2">
                  <c:v>1294</c:v>
                </c:pt>
                <c:pt idx="3">
                  <c:v>2000</c:v>
                </c:pt>
                <c:pt idx="4">
                  <c:v>2005</c:v>
                </c:pt>
                <c:pt idx="5">
                  <c:v>2010</c:v>
                </c:pt>
                <c:pt idx="6">
                  <c:v>2015</c:v>
                </c:pt>
                <c:pt idx="7">
                  <c:v>2025</c:v>
                </c:pt>
                <c:pt idx="8">
                  <c:v>2030</c:v>
                </c:pt>
                <c:pt idx="9">
                  <c:v>2055</c:v>
                </c:pt>
                <c:pt idx="10">
                  <c:v>2076</c:v>
                </c:pt>
                <c:pt idx="11">
                  <c:v>2083</c:v>
                </c:pt>
                <c:pt idx="12">
                  <c:v>2086</c:v>
                </c:pt>
                <c:pt idx="13">
                  <c:v>3001</c:v>
                </c:pt>
                <c:pt idx="14">
                  <c:v>3002</c:v>
                </c:pt>
                <c:pt idx="15">
                  <c:v>3004</c:v>
                </c:pt>
                <c:pt idx="16">
                  <c:v>3007</c:v>
                </c:pt>
                <c:pt idx="17">
                  <c:v>3010</c:v>
                </c:pt>
                <c:pt idx="18">
                  <c:v>3013</c:v>
                </c:pt>
                <c:pt idx="19">
                  <c:v>3016</c:v>
                </c:pt>
                <c:pt idx="20">
                  <c:v>3023</c:v>
                </c:pt>
                <c:pt idx="21">
                  <c:v>3024</c:v>
                </c:pt>
                <c:pt idx="22">
                  <c:v>3037</c:v>
                </c:pt>
                <c:pt idx="23">
                  <c:v>3042</c:v>
                </c:pt>
                <c:pt idx="24">
                  <c:v>3046</c:v>
                </c:pt>
                <c:pt idx="25">
                  <c:v>3047</c:v>
                </c:pt>
                <c:pt idx="26">
                  <c:v>3051</c:v>
                </c:pt>
                <c:pt idx="27">
                  <c:v>3052</c:v>
                </c:pt>
                <c:pt idx="28">
                  <c:v>3056</c:v>
                </c:pt>
                <c:pt idx="29">
                  <c:v>3057</c:v>
                </c:pt>
                <c:pt idx="30">
                  <c:v>3058</c:v>
                </c:pt>
                <c:pt idx="31">
                  <c:v>3059</c:v>
                </c:pt>
                <c:pt idx="32">
                  <c:v>3060</c:v>
                </c:pt>
                <c:pt idx="33">
                  <c:v>3061</c:v>
                </c:pt>
                <c:pt idx="34">
                  <c:v>3067</c:v>
                </c:pt>
                <c:pt idx="35">
                  <c:v>3068</c:v>
                </c:pt>
                <c:pt idx="36">
                  <c:v>3071</c:v>
                </c:pt>
                <c:pt idx="37">
                  <c:v>3072</c:v>
                </c:pt>
                <c:pt idx="38">
                  <c:v>3073</c:v>
                </c:pt>
                <c:pt idx="39">
                  <c:v>3075</c:v>
                </c:pt>
                <c:pt idx="40">
                  <c:v>3076</c:v>
                </c:pt>
                <c:pt idx="41">
                  <c:v>3078</c:v>
                </c:pt>
                <c:pt idx="42">
                  <c:v>3079</c:v>
                </c:pt>
                <c:pt idx="43">
                  <c:v>3080</c:v>
                </c:pt>
                <c:pt idx="44">
                  <c:v>3081</c:v>
                </c:pt>
                <c:pt idx="45">
                  <c:v>3084</c:v>
                </c:pt>
                <c:pt idx="46">
                  <c:v>3088</c:v>
                </c:pt>
                <c:pt idx="47">
                  <c:v>3089</c:v>
                </c:pt>
                <c:pt idx="48">
                  <c:v>3090</c:v>
                </c:pt>
                <c:pt idx="49">
                  <c:v>3096</c:v>
                </c:pt>
                <c:pt idx="50">
                  <c:v>3100</c:v>
                </c:pt>
                <c:pt idx="51">
                  <c:v>3106</c:v>
                </c:pt>
                <c:pt idx="52">
                  <c:v>3107</c:v>
                </c:pt>
                <c:pt idx="53">
                  <c:v>3108</c:v>
                </c:pt>
                <c:pt idx="54">
                  <c:v>3110</c:v>
                </c:pt>
                <c:pt idx="55">
                  <c:v>3111</c:v>
                </c:pt>
                <c:pt idx="56">
                  <c:v>3112</c:v>
                </c:pt>
                <c:pt idx="57">
                  <c:v>3120</c:v>
                </c:pt>
                <c:pt idx="58">
                  <c:v>3121</c:v>
                </c:pt>
                <c:pt idx="59">
                  <c:v>3145</c:v>
                </c:pt>
                <c:pt idx="60">
                  <c:v>3146</c:v>
                </c:pt>
                <c:pt idx="61">
                  <c:v>3147</c:v>
                </c:pt>
                <c:pt idx="62">
                  <c:v>3187</c:v>
                </c:pt>
                <c:pt idx="63">
                  <c:v>3216</c:v>
                </c:pt>
                <c:pt idx="64">
                  <c:v>3217</c:v>
                </c:pt>
                <c:pt idx="65">
                  <c:v>3218</c:v>
                </c:pt>
                <c:pt idx="66">
                  <c:v>4006</c:v>
                </c:pt>
                <c:pt idx="67">
                  <c:v>4025</c:v>
                </c:pt>
                <c:pt idx="68">
                  <c:v>4030</c:v>
                </c:pt>
                <c:pt idx="69">
                  <c:v>4035</c:v>
                </c:pt>
                <c:pt idx="70">
                  <c:v>4040</c:v>
                </c:pt>
                <c:pt idx="71">
                  <c:v>4050</c:v>
                </c:pt>
                <c:pt idx="72">
                  <c:v>4056</c:v>
                </c:pt>
                <c:pt idx="73">
                  <c:v>4059</c:v>
                </c:pt>
                <c:pt idx="74">
                  <c:v>4065</c:v>
                </c:pt>
                <c:pt idx="75">
                  <c:v>4068</c:v>
                </c:pt>
                <c:pt idx="76">
                  <c:v>4070</c:v>
                </c:pt>
                <c:pt idx="77">
                  <c:v>(blank)</c:v>
                </c:pt>
              </c:strCache>
            </c:strRef>
          </c:cat>
          <c:val>
            <c:numRef>
              <c:f>'Summary Table'!$F$9:$F$87</c:f>
              <c:numCache>
                <c:formatCode>General</c:formatCode>
                <c:ptCount val="78"/>
                <c:pt idx="1">
                  <c:v>1</c:v>
                </c:pt>
              </c:numCache>
            </c:numRef>
          </c:val>
        </c:ser>
        <c:ser>
          <c:idx val="3"/>
          <c:order val="3"/>
          <c:tx>
            <c:strRef>
              <c:f>'Summary Table'!$I$4:$I$8</c:f>
              <c:strCache>
                <c:ptCount val="1"/>
                <c:pt idx="0">
                  <c:v>ERROR - Cuvettes Movement - Cuvette Waste - Frequent</c:v>
                </c:pt>
              </c:strCache>
            </c:strRef>
          </c:tx>
          <c:invertIfNegative val="0"/>
          <c:cat>
            <c:strRef>
              <c:f>'Summary Table'!$A$9:$A$87</c:f>
              <c:strCache>
                <c:ptCount val="78"/>
                <c:pt idx="0">
                  <c:v>1160</c:v>
                </c:pt>
                <c:pt idx="1">
                  <c:v>1255</c:v>
                </c:pt>
                <c:pt idx="2">
                  <c:v>1294</c:v>
                </c:pt>
                <c:pt idx="3">
                  <c:v>2000</c:v>
                </c:pt>
                <c:pt idx="4">
                  <c:v>2005</c:v>
                </c:pt>
                <c:pt idx="5">
                  <c:v>2010</c:v>
                </c:pt>
                <c:pt idx="6">
                  <c:v>2015</c:v>
                </c:pt>
                <c:pt idx="7">
                  <c:v>2025</c:v>
                </c:pt>
                <c:pt idx="8">
                  <c:v>2030</c:v>
                </c:pt>
                <c:pt idx="9">
                  <c:v>2055</c:v>
                </c:pt>
                <c:pt idx="10">
                  <c:v>2076</c:v>
                </c:pt>
                <c:pt idx="11">
                  <c:v>2083</c:v>
                </c:pt>
                <c:pt idx="12">
                  <c:v>2086</c:v>
                </c:pt>
                <c:pt idx="13">
                  <c:v>3001</c:v>
                </c:pt>
                <c:pt idx="14">
                  <c:v>3002</c:v>
                </c:pt>
                <c:pt idx="15">
                  <c:v>3004</c:v>
                </c:pt>
                <c:pt idx="16">
                  <c:v>3007</c:v>
                </c:pt>
                <c:pt idx="17">
                  <c:v>3010</c:v>
                </c:pt>
                <c:pt idx="18">
                  <c:v>3013</c:v>
                </c:pt>
                <c:pt idx="19">
                  <c:v>3016</c:v>
                </c:pt>
                <c:pt idx="20">
                  <c:v>3023</c:v>
                </c:pt>
                <c:pt idx="21">
                  <c:v>3024</c:v>
                </c:pt>
                <c:pt idx="22">
                  <c:v>3037</c:v>
                </c:pt>
                <c:pt idx="23">
                  <c:v>3042</c:v>
                </c:pt>
                <c:pt idx="24">
                  <c:v>3046</c:v>
                </c:pt>
                <c:pt idx="25">
                  <c:v>3047</c:v>
                </c:pt>
                <c:pt idx="26">
                  <c:v>3051</c:v>
                </c:pt>
                <c:pt idx="27">
                  <c:v>3052</c:v>
                </c:pt>
                <c:pt idx="28">
                  <c:v>3056</c:v>
                </c:pt>
                <c:pt idx="29">
                  <c:v>3057</c:v>
                </c:pt>
                <c:pt idx="30">
                  <c:v>3058</c:v>
                </c:pt>
                <c:pt idx="31">
                  <c:v>3059</c:v>
                </c:pt>
                <c:pt idx="32">
                  <c:v>3060</c:v>
                </c:pt>
                <c:pt idx="33">
                  <c:v>3061</c:v>
                </c:pt>
                <c:pt idx="34">
                  <c:v>3067</c:v>
                </c:pt>
                <c:pt idx="35">
                  <c:v>3068</c:v>
                </c:pt>
                <c:pt idx="36">
                  <c:v>3071</c:v>
                </c:pt>
                <c:pt idx="37">
                  <c:v>3072</c:v>
                </c:pt>
                <c:pt idx="38">
                  <c:v>3073</c:v>
                </c:pt>
                <c:pt idx="39">
                  <c:v>3075</c:v>
                </c:pt>
                <c:pt idx="40">
                  <c:v>3076</c:v>
                </c:pt>
                <c:pt idx="41">
                  <c:v>3078</c:v>
                </c:pt>
                <c:pt idx="42">
                  <c:v>3079</c:v>
                </c:pt>
                <c:pt idx="43">
                  <c:v>3080</c:v>
                </c:pt>
                <c:pt idx="44">
                  <c:v>3081</c:v>
                </c:pt>
                <c:pt idx="45">
                  <c:v>3084</c:v>
                </c:pt>
                <c:pt idx="46">
                  <c:v>3088</c:v>
                </c:pt>
                <c:pt idx="47">
                  <c:v>3089</c:v>
                </c:pt>
                <c:pt idx="48">
                  <c:v>3090</c:v>
                </c:pt>
                <c:pt idx="49">
                  <c:v>3096</c:v>
                </c:pt>
                <c:pt idx="50">
                  <c:v>3100</c:v>
                </c:pt>
                <c:pt idx="51">
                  <c:v>3106</c:v>
                </c:pt>
                <c:pt idx="52">
                  <c:v>3107</c:v>
                </c:pt>
                <c:pt idx="53">
                  <c:v>3108</c:v>
                </c:pt>
                <c:pt idx="54">
                  <c:v>3110</c:v>
                </c:pt>
                <c:pt idx="55">
                  <c:v>3111</c:v>
                </c:pt>
                <c:pt idx="56">
                  <c:v>3112</c:v>
                </c:pt>
                <c:pt idx="57">
                  <c:v>3120</c:v>
                </c:pt>
                <c:pt idx="58">
                  <c:v>3121</c:v>
                </c:pt>
                <c:pt idx="59">
                  <c:v>3145</c:v>
                </c:pt>
                <c:pt idx="60">
                  <c:v>3146</c:v>
                </c:pt>
                <c:pt idx="61">
                  <c:v>3147</c:v>
                </c:pt>
                <c:pt idx="62">
                  <c:v>3187</c:v>
                </c:pt>
                <c:pt idx="63">
                  <c:v>3216</c:v>
                </c:pt>
                <c:pt idx="64">
                  <c:v>3217</c:v>
                </c:pt>
                <c:pt idx="65">
                  <c:v>3218</c:v>
                </c:pt>
                <c:pt idx="66">
                  <c:v>4006</c:v>
                </c:pt>
                <c:pt idx="67">
                  <c:v>4025</c:v>
                </c:pt>
                <c:pt idx="68">
                  <c:v>4030</c:v>
                </c:pt>
                <c:pt idx="69">
                  <c:v>4035</c:v>
                </c:pt>
                <c:pt idx="70">
                  <c:v>4040</c:v>
                </c:pt>
                <c:pt idx="71">
                  <c:v>4050</c:v>
                </c:pt>
                <c:pt idx="72">
                  <c:v>4056</c:v>
                </c:pt>
                <c:pt idx="73">
                  <c:v>4059</c:v>
                </c:pt>
                <c:pt idx="74">
                  <c:v>4065</c:v>
                </c:pt>
                <c:pt idx="75">
                  <c:v>4068</c:v>
                </c:pt>
                <c:pt idx="76">
                  <c:v>4070</c:v>
                </c:pt>
                <c:pt idx="77">
                  <c:v>(blank)</c:v>
                </c:pt>
              </c:strCache>
            </c:strRef>
          </c:cat>
          <c:val>
            <c:numRef>
              <c:f>'Summary Table'!$I$9:$I$87</c:f>
              <c:numCache>
                <c:formatCode>General</c:formatCode>
                <c:ptCount val="78"/>
                <c:pt idx="7">
                  <c:v>6</c:v>
                </c:pt>
                <c:pt idx="8">
                  <c:v>1</c:v>
                </c:pt>
              </c:numCache>
            </c:numRef>
          </c:val>
        </c:ser>
        <c:ser>
          <c:idx val="4"/>
          <c:order val="4"/>
          <c:tx>
            <c:strRef>
              <c:f>'Summary Table'!$L$4:$L$8</c:f>
              <c:strCache>
                <c:ptCount val="1"/>
                <c:pt idx="0">
                  <c:v>ERROR - Fluidics - Clean Circuit - Frequent</c:v>
                </c:pt>
              </c:strCache>
            </c:strRef>
          </c:tx>
          <c:invertIfNegative val="0"/>
          <c:cat>
            <c:strRef>
              <c:f>'Summary Table'!$A$9:$A$87</c:f>
              <c:strCache>
                <c:ptCount val="78"/>
                <c:pt idx="0">
                  <c:v>1160</c:v>
                </c:pt>
                <c:pt idx="1">
                  <c:v>1255</c:v>
                </c:pt>
                <c:pt idx="2">
                  <c:v>1294</c:v>
                </c:pt>
                <c:pt idx="3">
                  <c:v>2000</c:v>
                </c:pt>
                <c:pt idx="4">
                  <c:v>2005</c:v>
                </c:pt>
                <c:pt idx="5">
                  <c:v>2010</c:v>
                </c:pt>
                <c:pt idx="6">
                  <c:v>2015</c:v>
                </c:pt>
                <c:pt idx="7">
                  <c:v>2025</c:v>
                </c:pt>
                <c:pt idx="8">
                  <c:v>2030</c:v>
                </c:pt>
                <c:pt idx="9">
                  <c:v>2055</c:v>
                </c:pt>
                <c:pt idx="10">
                  <c:v>2076</c:v>
                </c:pt>
                <c:pt idx="11">
                  <c:v>2083</c:v>
                </c:pt>
                <c:pt idx="12">
                  <c:v>2086</c:v>
                </c:pt>
                <c:pt idx="13">
                  <c:v>3001</c:v>
                </c:pt>
                <c:pt idx="14">
                  <c:v>3002</c:v>
                </c:pt>
                <c:pt idx="15">
                  <c:v>3004</c:v>
                </c:pt>
                <c:pt idx="16">
                  <c:v>3007</c:v>
                </c:pt>
                <c:pt idx="17">
                  <c:v>3010</c:v>
                </c:pt>
                <c:pt idx="18">
                  <c:v>3013</c:v>
                </c:pt>
                <c:pt idx="19">
                  <c:v>3016</c:v>
                </c:pt>
                <c:pt idx="20">
                  <c:v>3023</c:v>
                </c:pt>
                <c:pt idx="21">
                  <c:v>3024</c:v>
                </c:pt>
                <c:pt idx="22">
                  <c:v>3037</c:v>
                </c:pt>
                <c:pt idx="23">
                  <c:v>3042</c:v>
                </c:pt>
                <c:pt idx="24">
                  <c:v>3046</c:v>
                </c:pt>
                <c:pt idx="25">
                  <c:v>3047</c:v>
                </c:pt>
                <c:pt idx="26">
                  <c:v>3051</c:v>
                </c:pt>
                <c:pt idx="27">
                  <c:v>3052</c:v>
                </c:pt>
                <c:pt idx="28">
                  <c:v>3056</c:v>
                </c:pt>
                <c:pt idx="29">
                  <c:v>3057</c:v>
                </c:pt>
                <c:pt idx="30">
                  <c:v>3058</c:v>
                </c:pt>
                <c:pt idx="31">
                  <c:v>3059</c:v>
                </c:pt>
                <c:pt idx="32">
                  <c:v>3060</c:v>
                </c:pt>
                <c:pt idx="33">
                  <c:v>3061</c:v>
                </c:pt>
                <c:pt idx="34">
                  <c:v>3067</c:v>
                </c:pt>
                <c:pt idx="35">
                  <c:v>3068</c:v>
                </c:pt>
                <c:pt idx="36">
                  <c:v>3071</c:v>
                </c:pt>
                <c:pt idx="37">
                  <c:v>3072</c:v>
                </c:pt>
                <c:pt idx="38">
                  <c:v>3073</c:v>
                </c:pt>
                <c:pt idx="39">
                  <c:v>3075</c:v>
                </c:pt>
                <c:pt idx="40">
                  <c:v>3076</c:v>
                </c:pt>
                <c:pt idx="41">
                  <c:v>3078</c:v>
                </c:pt>
                <c:pt idx="42">
                  <c:v>3079</c:v>
                </c:pt>
                <c:pt idx="43">
                  <c:v>3080</c:v>
                </c:pt>
                <c:pt idx="44">
                  <c:v>3081</c:v>
                </c:pt>
                <c:pt idx="45">
                  <c:v>3084</c:v>
                </c:pt>
                <c:pt idx="46">
                  <c:v>3088</c:v>
                </c:pt>
                <c:pt idx="47">
                  <c:v>3089</c:v>
                </c:pt>
                <c:pt idx="48">
                  <c:v>3090</c:v>
                </c:pt>
                <c:pt idx="49">
                  <c:v>3096</c:v>
                </c:pt>
                <c:pt idx="50">
                  <c:v>3100</c:v>
                </c:pt>
                <c:pt idx="51">
                  <c:v>3106</c:v>
                </c:pt>
                <c:pt idx="52">
                  <c:v>3107</c:v>
                </c:pt>
                <c:pt idx="53">
                  <c:v>3108</c:v>
                </c:pt>
                <c:pt idx="54">
                  <c:v>3110</c:v>
                </c:pt>
                <c:pt idx="55">
                  <c:v>3111</c:v>
                </c:pt>
                <c:pt idx="56">
                  <c:v>3112</c:v>
                </c:pt>
                <c:pt idx="57">
                  <c:v>3120</c:v>
                </c:pt>
                <c:pt idx="58">
                  <c:v>3121</c:v>
                </c:pt>
                <c:pt idx="59">
                  <c:v>3145</c:v>
                </c:pt>
                <c:pt idx="60">
                  <c:v>3146</c:v>
                </c:pt>
                <c:pt idx="61">
                  <c:v>3147</c:v>
                </c:pt>
                <c:pt idx="62">
                  <c:v>3187</c:v>
                </c:pt>
                <c:pt idx="63">
                  <c:v>3216</c:v>
                </c:pt>
                <c:pt idx="64">
                  <c:v>3217</c:v>
                </c:pt>
                <c:pt idx="65">
                  <c:v>3218</c:v>
                </c:pt>
                <c:pt idx="66">
                  <c:v>4006</c:v>
                </c:pt>
                <c:pt idx="67">
                  <c:v>4025</c:v>
                </c:pt>
                <c:pt idx="68">
                  <c:v>4030</c:v>
                </c:pt>
                <c:pt idx="69">
                  <c:v>4035</c:v>
                </c:pt>
                <c:pt idx="70">
                  <c:v>4040</c:v>
                </c:pt>
                <c:pt idx="71">
                  <c:v>4050</c:v>
                </c:pt>
                <c:pt idx="72">
                  <c:v>4056</c:v>
                </c:pt>
                <c:pt idx="73">
                  <c:v>4059</c:v>
                </c:pt>
                <c:pt idx="74">
                  <c:v>4065</c:v>
                </c:pt>
                <c:pt idx="75">
                  <c:v>4068</c:v>
                </c:pt>
                <c:pt idx="76">
                  <c:v>4070</c:v>
                </c:pt>
                <c:pt idx="77">
                  <c:v>(blank)</c:v>
                </c:pt>
              </c:strCache>
            </c:strRef>
          </c:cat>
          <c:val>
            <c:numRef>
              <c:f>'Summary Table'!$L$9:$L$87</c:f>
              <c:numCache>
                <c:formatCode>General</c:formatCode>
                <c:ptCount val="78"/>
                <c:pt idx="6">
                  <c:v>1</c:v>
                </c:pt>
              </c:numCache>
            </c:numRef>
          </c:val>
        </c:ser>
        <c:ser>
          <c:idx val="5"/>
          <c:order val="5"/>
          <c:tx>
            <c:strRef>
              <c:f>'Summary Table'!$M$4:$M$8</c:f>
              <c:strCache>
                <c:ptCount val="1"/>
                <c:pt idx="0">
                  <c:v>ERROR - Fluidics - Clean Circuit - Rare</c:v>
                </c:pt>
              </c:strCache>
            </c:strRef>
          </c:tx>
          <c:invertIfNegative val="0"/>
          <c:cat>
            <c:strRef>
              <c:f>'Summary Table'!$A$9:$A$87</c:f>
              <c:strCache>
                <c:ptCount val="78"/>
                <c:pt idx="0">
                  <c:v>1160</c:v>
                </c:pt>
                <c:pt idx="1">
                  <c:v>1255</c:v>
                </c:pt>
                <c:pt idx="2">
                  <c:v>1294</c:v>
                </c:pt>
                <c:pt idx="3">
                  <c:v>2000</c:v>
                </c:pt>
                <c:pt idx="4">
                  <c:v>2005</c:v>
                </c:pt>
                <c:pt idx="5">
                  <c:v>2010</c:v>
                </c:pt>
                <c:pt idx="6">
                  <c:v>2015</c:v>
                </c:pt>
                <c:pt idx="7">
                  <c:v>2025</c:v>
                </c:pt>
                <c:pt idx="8">
                  <c:v>2030</c:v>
                </c:pt>
                <c:pt idx="9">
                  <c:v>2055</c:v>
                </c:pt>
                <c:pt idx="10">
                  <c:v>2076</c:v>
                </c:pt>
                <c:pt idx="11">
                  <c:v>2083</c:v>
                </c:pt>
                <c:pt idx="12">
                  <c:v>2086</c:v>
                </c:pt>
                <c:pt idx="13">
                  <c:v>3001</c:v>
                </c:pt>
                <c:pt idx="14">
                  <c:v>3002</c:v>
                </c:pt>
                <c:pt idx="15">
                  <c:v>3004</c:v>
                </c:pt>
                <c:pt idx="16">
                  <c:v>3007</c:v>
                </c:pt>
                <c:pt idx="17">
                  <c:v>3010</c:v>
                </c:pt>
                <c:pt idx="18">
                  <c:v>3013</c:v>
                </c:pt>
                <c:pt idx="19">
                  <c:v>3016</c:v>
                </c:pt>
                <c:pt idx="20">
                  <c:v>3023</c:v>
                </c:pt>
                <c:pt idx="21">
                  <c:v>3024</c:v>
                </c:pt>
                <c:pt idx="22">
                  <c:v>3037</c:v>
                </c:pt>
                <c:pt idx="23">
                  <c:v>3042</c:v>
                </c:pt>
                <c:pt idx="24">
                  <c:v>3046</c:v>
                </c:pt>
                <c:pt idx="25">
                  <c:v>3047</c:v>
                </c:pt>
                <c:pt idx="26">
                  <c:v>3051</c:v>
                </c:pt>
                <c:pt idx="27">
                  <c:v>3052</c:v>
                </c:pt>
                <c:pt idx="28">
                  <c:v>3056</c:v>
                </c:pt>
                <c:pt idx="29">
                  <c:v>3057</c:v>
                </c:pt>
                <c:pt idx="30">
                  <c:v>3058</c:v>
                </c:pt>
                <c:pt idx="31">
                  <c:v>3059</c:v>
                </c:pt>
                <c:pt idx="32">
                  <c:v>3060</c:v>
                </c:pt>
                <c:pt idx="33">
                  <c:v>3061</c:v>
                </c:pt>
                <c:pt idx="34">
                  <c:v>3067</c:v>
                </c:pt>
                <c:pt idx="35">
                  <c:v>3068</c:v>
                </c:pt>
                <c:pt idx="36">
                  <c:v>3071</c:v>
                </c:pt>
                <c:pt idx="37">
                  <c:v>3072</c:v>
                </c:pt>
                <c:pt idx="38">
                  <c:v>3073</c:v>
                </c:pt>
                <c:pt idx="39">
                  <c:v>3075</c:v>
                </c:pt>
                <c:pt idx="40">
                  <c:v>3076</c:v>
                </c:pt>
                <c:pt idx="41">
                  <c:v>3078</c:v>
                </c:pt>
                <c:pt idx="42">
                  <c:v>3079</c:v>
                </c:pt>
                <c:pt idx="43">
                  <c:v>3080</c:v>
                </c:pt>
                <c:pt idx="44">
                  <c:v>3081</c:v>
                </c:pt>
                <c:pt idx="45">
                  <c:v>3084</c:v>
                </c:pt>
                <c:pt idx="46">
                  <c:v>3088</c:v>
                </c:pt>
                <c:pt idx="47">
                  <c:v>3089</c:v>
                </c:pt>
                <c:pt idx="48">
                  <c:v>3090</c:v>
                </c:pt>
                <c:pt idx="49">
                  <c:v>3096</c:v>
                </c:pt>
                <c:pt idx="50">
                  <c:v>3100</c:v>
                </c:pt>
                <c:pt idx="51">
                  <c:v>3106</c:v>
                </c:pt>
                <c:pt idx="52">
                  <c:v>3107</c:v>
                </c:pt>
                <c:pt idx="53">
                  <c:v>3108</c:v>
                </c:pt>
                <c:pt idx="54">
                  <c:v>3110</c:v>
                </c:pt>
                <c:pt idx="55">
                  <c:v>3111</c:v>
                </c:pt>
                <c:pt idx="56">
                  <c:v>3112</c:v>
                </c:pt>
                <c:pt idx="57">
                  <c:v>3120</c:v>
                </c:pt>
                <c:pt idx="58">
                  <c:v>3121</c:v>
                </c:pt>
                <c:pt idx="59">
                  <c:v>3145</c:v>
                </c:pt>
                <c:pt idx="60">
                  <c:v>3146</c:v>
                </c:pt>
                <c:pt idx="61">
                  <c:v>3147</c:v>
                </c:pt>
                <c:pt idx="62">
                  <c:v>3187</c:v>
                </c:pt>
                <c:pt idx="63">
                  <c:v>3216</c:v>
                </c:pt>
                <c:pt idx="64">
                  <c:v>3217</c:v>
                </c:pt>
                <c:pt idx="65">
                  <c:v>3218</c:v>
                </c:pt>
                <c:pt idx="66">
                  <c:v>4006</c:v>
                </c:pt>
                <c:pt idx="67">
                  <c:v>4025</c:v>
                </c:pt>
                <c:pt idx="68">
                  <c:v>4030</c:v>
                </c:pt>
                <c:pt idx="69">
                  <c:v>4035</c:v>
                </c:pt>
                <c:pt idx="70">
                  <c:v>4040</c:v>
                </c:pt>
                <c:pt idx="71">
                  <c:v>4050</c:v>
                </c:pt>
                <c:pt idx="72">
                  <c:v>4056</c:v>
                </c:pt>
                <c:pt idx="73">
                  <c:v>4059</c:v>
                </c:pt>
                <c:pt idx="74">
                  <c:v>4065</c:v>
                </c:pt>
                <c:pt idx="75">
                  <c:v>4068</c:v>
                </c:pt>
                <c:pt idx="76">
                  <c:v>4070</c:v>
                </c:pt>
                <c:pt idx="77">
                  <c:v>(blank)</c:v>
                </c:pt>
              </c:strCache>
            </c:strRef>
          </c:cat>
          <c:val>
            <c:numRef>
              <c:f>'Summary Table'!$M$9:$M$87</c:f>
              <c:numCache>
                <c:formatCode>General</c:formatCode>
                <c:ptCount val="78"/>
                <c:pt idx="10">
                  <c:v>6</c:v>
                </c:pt>
              </c:numCache>
            </c:numRef>
          </c:val>
        </c:ser>
        <c:ser>
          <c:idx val="6"/>
          <c:order val="6"/>
          <c:tx>
            <c:strRef>
              <c:f>'Summary Table'!$O$4:$O$8</c:f>
              <c:strCache>
                <c:ptCount val="1"/>
                <c:pt idx="0">
                  <c:v>ERROR - Fluidics - Rinse Circuit - Frequent</c:v>
                </c:pt>
              </c:strCache>
            </c:strRef>
          </c:tx>
          <c:invertIfNegative val="0"/>
          <c:cat>
            <c:strRef>
              <c:f>'Summary Table'!$A$9:$A$87</c:f>
              <c:strCache>
                <c:ptCount val="78"/>
                <c:pt idx="0">
                  <c:v>1160</c:v>
                </c:pt>
                <c:pt idx="1">
                  <c:v>1255</c:v>
                </c:pt>
                <c:pt idx="2">
                  <c:v>1294</c:v>
                </c:pt>
                <c:pt idx="3">
                  <c:v>2000</c:v>
                </c:pt>
                <c:pt idx="4">
                  <c:v>2005</c:v>
                </c:pt>
                <c:pt idx="5">
                  <c:v>2010</c:v>
                </c:pt>
                <c:pt idx="6">
                  <c:v>2015</c:v>
                </c:pt>
                <c:pt idx="7">
                  <c:v>2025</c:v>
                </c:pt>
                <c:pt idx="8">
                  <c:v>2030</c:v>
                </c:pt>
                <c:pt idx="9">
                  <c:v>2055</c:v>
                </c:pt>
                <c:pt idx="10">
                  <c:v>2076</c:v>
                </c:pt>
                <c:pt idx="11">
                  <c:v>2083</c:v>
                </c:pt>
                <c:pt idx="12">
                  <c:v>2086</c:v>
                </c:pt>
                <c:pt idx="13">
                  <c:v>3001</c:v>
                </c:pt>
                <c:pt idx="14">
                  <c:v>3002</c:v>
                </c:pt>
                <c:pt idx="15">
                  <c:v>3004</c:v>
                </c:pt>
                <c:pt idx="16">
                  <c:v>3007</c:v>
                </c:pt>
                <c:pt idx="17">
                  <c:v>3010</c:v>
                </c:pt>
                <c:pt idx="18">
                  <c:v>3013</c:v>
                </c:pt>
                <c:pt idx="19">
                  <c:v>3016</c:v>
                </c:pt>
                <c:pt idx="20">
                  <c:v>3023</c:v>
                </c:pt>
                <c:pt idx="21">
                  <c:v>3024</c:v>
                </c:pt>
                <c:pt idx="22">
                  <c:v>3037</c:v>
                </c:pt>
                <c:pt idx="23">
                  <c:v>3042</c:v>
                </c:pt>
                <c:pt idx="24">
                  <c:v>3046</c:v>
                </c:pt>
                <c:pt idx="25">
                  <c:v>3047</c:v>
                </c:pt>
                <c:pt idx="26">
                  <c:v>3051</c:v>
                </c:pt>
                <c:pt idx="27">
                  <c:v>3052</c:v>
                </c:pt>
                <c:pt idx="28">
                  <c:v>3056</c:v>
                </c:pt>
                <c:pt idx="29">
                  <c:v>3057</c:v>
                </c:pt>
                <c:pt idx="30">
                  <c:v>3058</c:v>
                </c:pt>
                <c:pt idx="31">
                  <c:v>3059</c:v>
                </c:pt>
                <c:pt idx="32">
                  <c:v>3060</c:v>
                </c:pt>
                <c:pt idx="33">
                  <c:v>3061</c:v>
                </c:pt>
                <c:pt idx="34">
                  <c:v>3067</c:v>
                </c:pt>
                <c:pt idx="35">
                  <c:v>3068</c:v>
                </c:pt>
                <c:pt idx="36">
                  <c:v>3071</c:v>
                </c:pt>
                <c:pt idx="37">
                  <c:v>3072</c:v>
                </c:pt>
                <c:pt idx="38">
                  <c:v>3073</c:v>
                </c:pt>
                <c:pt idx="39">
                  <c:v>3075</c:v>
                </c:pt>
                <c:pt idx="40">
                  <c:v>3076</c:v>
                </c:pt>
                <c:pt idx="41">
                  <c:v>3078</c:v>
                </c:pt>
                <c:pt idx="42">
                  <c:v>3079</c:v>
                </c:pt>
                <c:pt idx="43">
                  <c:v>3080</c:v>
                </c:pt>
                <c:pt idx="44">
                  <c:v>3081</c:v>
                </c:pt>
                <c:pt idx="45">
                  <c:v>3084</c:v>
                </c:pt>
                <c:pt idx="46">
                  <c:v>3088</c:v>
                </c:pt>
                <c:pt idx="47">
                  <c:v>3089</c:v>
                </c:pt>
                <c:pt idx="48">
                  <c:v>3090</c:v>
                </c:pt>
                <c:pt idx="49">
                  <c:v>3096</c:v>
                </c:pt>
                <c:pt idx="50">
                  <c:v>3100</c:v>
                </c:pt>
                <c:pt idx="51">
                  <c:v>3106</c:v>
                </c:pt>
                <c:pt idx="52">
                  <c:v>3107</c:v>
                </c:pt>
                <c:pt idx="53">
                  <c:v>3108</c:v>
                </c:pt>
                <c:pt idx="54">
                  <c:v>3110</c:v>
                </c:pt>
                <c:pt idx="55">
                  <c:v>3111</c:v>
                </c:pt>
                <c:pt idx="56">
                  <c:v>3112</c:v>
                </c:pt>
                <c:pt idx="57">
                  <c:v>3120</c:v>
                </c:pt>
                <c:pt idx="58">
                  <c:v>3121</c:v>
                </c:pt>
                <c:pt idx="59">
                  <c:v>3145</c:v>
                </c:pt>
                <c:pt idx="60">
                  <c:v>3146</c:v>
                </c:pt>
                <c:pt idx="61">
                  <c:v>3147</c:v>
                </c:pt>
                <c:pt idx="62">
                  <c:v>3187</c:v>
                </c:pt>
                <c:pt idx="63">
                  <c:v>3216</c:v>
                </c:pt>
                <c:pt idx="64">
                  <c:v>3217</c:v>
                </c:pt>
                <c:pt idx="65">
                  <c:v>3218</c:v>
                </c:pt>
                <c:pt idx="66">
                  <c:v>4006</c:v>
                </c:pt>
                <c:pt idx="67">
                  <c:v>4025</c:v>
                </c:pt>
                <c:pt idx="68">
                  <c:v>4030</c:v>
                </c:pt>
                <c:pt idx="69">
                  <c:v>4035</c:v>
                </c:pt>
                <c:pt idx="70">
                  <c:v>4040</c:v>
                </c:pt>
                <c:pt idx="71">
                  <c:v>4050</c:v>
                </c:pt>
                <c:pt idx="72">
                  <c:v>4056</c:v>
                </c:pt>
                <c:pt idx="73">
                  <c:v>4059</c:v>
                </c:pt>
                <c:pt idx="74">
                  <c:v>4065</c:v>
                </c:pt>
                <c:pt idx="75">
                  <c:v>4068</c:v>
                </c:pt>
                <c:pt idx="76">
                  <c:v>4070</c:v>
                </c:pt>
                <c:pt idx="77">
                  <c:v>(blank)</c:v>
                </c:pt>
              </c:strCache>
            </c:strRef>
          </c:cat>
          <c:val>
            <c:numRef>
              <c:f>'Summary Table'!$O$9:$O$87</c:f>
              <c:numCache>
                <c:formatCode>General</c:formatCode>
                <c:ptCount val="78"/>
                <c:pt idx="3">
                  <c:v>2</c:v>
                </c:pt>
              </c:numCache>
            </c:numRef>
          </c:val>
        </c:ser>
        <c:ser>
          <c:idx val="7"/>
          <c:order val="7"/>
          <c:tx>
            <c:strRef>
              <c:f>'Summary Table'!$Q$4:$Q$8</c:f>
              <c:strCache>
                <c:ptCount val="1"/>
                <c:pt idx="0">
                  <c:v>ERROR - Fluidics - Waste Liquid Circuit - Frequent</c:v>
                </c:pt>
              </c:strCache>
            </c:strRef>
          </c:tx>
          <c:invertIfNegative val="0"/>
          <c:cat>
            <c:strRef>
              <c:f>'Summary Table'!$A$9:$A$87</c:f>
              <c:strCache>
                <c:ptCount val="78"/>
                <c:pt idx="0">
                  <c:v>1160</c:v>
                </c:pt>
                <c:pt idx="1">
                  <c:v>1255</c:v>
                </c:pt>
                <c:pt idx="2">
                  <c:v>1294</c:v>
                </c:pt>
                <c:pt idx="3">
                  <c:v>2000</c:v>
                </c:pt>
                <c:pt idx="4">
                  <c:v>2005</c:v>
                </c:pt>
                <c:pt idx="5">
                  <c:v>2010</c:v>
                </c:pt>
                <c:pt idx="6">
                  <c:v>2015</c:v>
                </c:pt>
                <c:pt idx="7">
                  <c:v>2025</c:v>
                </c:pt>
                <c:pt idx="8">
                  <c:v>2030</c:v>
                </c:pt>
                <c:pt idx="9">
                  <c:v>2055</c:v>
                </c:pt>
                <c:pt idx="10">
                  <c:v>2076</c:v>
                </c:pt>
                <c:pt idx="11">
                  <c:v>2083</c:v>
                </c:pt>
                <c:pt idx="12">
                  <c:v>2086</c:v>
                </c:pt>
                <c:pt idx="13">
                  <c:v>3001</c:v>
                </c:pt>
                <c:pt idx="14">
                  <c:v>3002</c:v>
                </c:pt>
                <c:pt idx="15">
                  <c:v>3004</c:v>
                </c:pt>
                <c:pt idx="16">
                  <c:v>3007</c:v>
                </c:pt>
                <c:pt idx="17">
                  <c:v>3010</c:v>
                </c:pt>
                <c:pt idx="18">
                  <c:v>3013</c:v>
                </c:pt>
                <c:pt idx="19">
                  <c:v>3016</c:v>
                </c:pt>
                <c:pt idx="20">
                  <c:v>3023</c:v>
                </c:pt>
                <c:pt idx="21">
                  <c:v>3024</c:v>
                </c:pt>
                <c:pt idx="22">
                  <c:v>3037</c:v>
                </c:pt>
                <c:pt idx="23">
                  <c:v>3042</c:v>
                </c:pt>
                <c:pt idx="24">
                  <c:v>3046</c:v>
                </c:pt>
                <c:pt idx="25">
                  <c:v>3047</c:v>
                </c:pt>
                <c:pt idx="26">
                  <c:v>3051</c:v>
                </c:pt>
                <c:pt idx="27">
                  <c:v>3052</c:v>
                </c:pt>
                <c:pt idx="28">
                  <c:v>3056</c:v>
                </c:pt>
                <c:pt idx="29">
                  <c:v>3057</c:v>
                </c:pt>
                <c:pt idx="30">
                  <c:v>3058</c:v>
                </c:pt>
                <c:pt idx="31">
                  <c:v>3059</c:v>
                </c:pt>
                <c:pt idx="32">
                  <c:v>3060</c:v>
                </c:pt>
                <c:pt idx="33">
                  <c:v>3061</c:v>
                </c:pt>
                <c:pt idx="34">
                  <c:v>3067</c:v>
                </c:pt>
                <c:pt idx="35">
                  <c:v>3068</c:v>
                </c:pt>
                <c:pt idx="36">
                  <c:v>3071</c:v>
                </c:pt>
                <c:pt idx="37">
                  <c:v>3072</c:v>
                </c:pt>
                <c:pt idx="38">
                  <c:v>3073</c:v>
                </c:pt>
                <c:pt idx="39">
                  <c:v>3075</c:v>
                </c:pt>
                <c:pt idx="40">
                  <c:v>3076</c:v>
                </c:pt>
                <c:pt idx="41">
                  <c:v>3078</c:v>
                </c:pt>
                <c:pt idx="42">
                  <c:v>3079</c:v>
                </c:pt>
                <c:pt idx="43">
                  <c:v>3080</c:v>
                </c:pt>
                <c:pt idx="44">
                  <c:v>3081</c:v>
                </c:pt>
                <c:pt idx="45">
                  <c:v>3084</c:v>
                </c:pt>
                <c:pt idx="46">
                  <c:v>3088</c:v>
                </c:pt>
                <c:pt idx="47">
                  <c:v>3089</c:v>
                </c:pt>
                <c:pt idx="48">
                  <c:v>3090</c:v>
                </c:pt>
                <c:pt idx="49">
                  <c:v>3096</c:v>
                </c:pt>
                <c:pt idx="50">
                  <c:v>3100</c:v>
                </c:pt>
                <c:pt idx="51">
                  <c:v>3106</c:v>
                </c:pt>
                <c:pt idx="52">
                  <c:v>3107</c:v>
                </c:pt>
                <c:pt idx="53">
                  <c:v>3108</c:v>
                </c:pt>
                <c:pt idx="54">
                  <c:v>3110</c:v>
                </c:pt>
                <c:pt idx="55">
                  <c:v>3111</c:v>
                </c:pt>
                <c:pt idx="56">
                  <c:v>3112</c:v>
                </c:pt>
                <c:pt idx="57">
                  <c:v>3120</c:v>
                </c:pt>
                <c:pt idx="58">
                  <c:v>3121</c:v>
                </c:pt>
                <c:pt idx="59">
                  <c:v>3145</c:v>
                </c:pt>
                <c:pt idx="60">
                  <c:v>3146</c:v>
                </c:pt>
                <c:pt idx="61">
                  <c:v>3147</c:v>
                </c:pt>
                <c:pt idx="62">
                  <c:v>3187</c:v>
                </c:pt>
                <c:pt idx="63">
                  <c:v>3216</c:v>
                </c:pt>
                <c:pt idx="64">
                  <c:v>3217</c:v>
                </c:pt>
                <c:pt idx="65">
                  <c:v>3218</c:v>
                </c:pt>
                <c:pt idx="66">
                  <c:v>4006</c:v>
                </c:pt>
                <c:pt idx="67">
                  <c:v>4025</c:v>
                </c:pt>
                <c:pt idx="68">
                  <c:v>4030</c:v>
                </c:pt>
                <c:pt idx="69">
                  <c:v>4035</c:v>
                </c:pt>
                <c:pt idx="70">
                  <c:v>4040</c:v>
                </c:pt>
                <c:pt idx="71">
                  <c:v>4050</c:v>
                </c:pt>
                <c:pt idx="72">
                  <c:v>4056</c:v>
                </c:pt>
                <c:pt idx="73">
                  <c:v>4059</c:v>
                </c:pt>
                <c:pt idx="74">
                  <c:v>4065</c:v>
                </c:pt>
                <c:pt idx="75">
                  <c:v>4068</c:v>
                </c:pt>
                <c:pt idx="76">
                  <c:v>4070</c:v>
                </c:pt>
                <c:pt idx="77">
                  <c:v>(blank)</c:v>
                </c:pt>
              </c:strCache>
            </c:strRef>
          </c:cat>
          <c:val>
            <c:numRef>
              <c:f>'Summary Table'!$Q$9:$Q$87</c:f>
              <c:numCache>
                <c:formatCode>General</c:formatCode>
                <c:ptCount val="78"/>
                <c:pt idx="4">
                  <c:v>2</c:v>
                </c:pt>
                <c:pt idx="72">
                  <c:v>3</c:v>
                </c:pt>
              </c:numCache>
            </c:numRef>
          </c:val>
        </c:ser>
        <c:ser>
          <c:idx val="8"/>
          <c:order val="8"/>
          <c:tx>
            <c:strRef>
              <c:f>'Summary Table'!$T$4:$T$8</c:f>
              <c:strCache>
                <c:ptCount val="1"/>
                <c:pt idx="0">
                  <c:v>ERROR - LLD (Liquid Level Detection) - Missing Liquid - Frequent</c:v>
                </c:pt>
              </c:strCache>
            </c:strRef>
          </c:tx>
          <c:invertIfNegative val="0"/>
          <c:cat>
            <c:strRef>
              <c:f>'Summary Table'!$A$9:$A$87</c:f>
              <c:strCache>
                <c:ptCount val="78"/>
                <c:pt idx="0">
                  <c:v>1160</c:v>
                </c:pt>
                <c:pt idx="1">
                  <c:v>1255</c:v>
                </c:pt>
                <c:pt idx="2">
                  <c:v>1294</c:v>
                </c:pt>
                <c:pt idx="3">
                  <c:v>2000</c:v>
                </c:pt>
                <c:pt idx="4">
                  <c:v>2005</c:v>
                </c:pt>
                <c:pt idx="5">
                  <c:v>2010</c:v>
                </c:pt>
                <c:pt idx="6">
                  <c:v>2015</c:v>
                </c:pt>
                <c:pt idx="7">
                  <c:v>2025</c:v>
                </c:pt>
                <c:pt idx="8">
                  <c:v>2030</c:v>
                </c:pt>
                <c:pt idx="9">
                  <c:v>2055</c:v>
                </c:pt>
                <c:pt idx="10">
                  <c:v>2076</c:v>
                </c:pt>
                <c:pt idx="11">
                  <c:v>2083</c:v>
                </c:pt>
                <c:pt idx="12">
                  <c:v>2086</c:v>
                </c:pt>
                <c:pt idx="13">
                  <c:v>3001</c:v>
                </c:pt>
                <c:pt idx="14">
                  <c:v>3002</c:v>
                </c:pt>
                <c:pt idx="15">
                  <c:v>3004</c:v>
                </c:pt>
                <c:pt idx="16">
                  <c:v>3007</c:v>
                </c:pt>
                <c:pt idx="17">
                  <c:v>3010</c:v>
                </c:pt>
                <c:pt idx="18">
                  <c:v>3013</c:v>
                </c:pt>
                <c:pt idx="19">
                  <c:v>3016</c:v>
                </c:pt>
                <c:pt idx="20">
                  <c:v>3023</c:v>
                </c:pt>
                <c:pt idx="21">
                  <c:v>3024</c:v>
                </c:pt>
                <c:pt idx="22">
                  <c:v>3037</c:v>
                </c:pt>
                <c:pt idx="23">
                  <c:v>3042</c:v>
                </c:pt>
                <c:pt idx="24">
                  <c:v>3046</c:v>
                </c:pt>
                <c:pt idx="25">
                  <c:v>3047</c:v>
                </c:pt>
                <c:pt idx="26">
                  <c:v>3051</c:v>
                </c:pt>
                <c:pt idx="27">
                  <c:v>3052</c:v>
                </c:pt>
                <c:pt idx="28">
                  <c:v>3056</c:v>
                </c:pt>
                <c:pt idx="29">
                  <c:v>3057</c:v>
                </c:pt>
                <c:pt idx="30">
                  <c:v>3058</c:v>
                </c:pt>
                <c:pt idx="31">
                  <c:v>3059</c:v>
                </c:pt>
                <c:pt idx="32">
                  <c:v>3060</c:v>
                </c:pt>
                <c:pt idx="33">
                  <c:v>3061</c:v>
                </c:pt>
                <c:pt idx="34">
                  <c:v>3067</c:v>
                </c:pt>
                <c:pt idx="35">
                  <c:v>3068</c:v>
                </c:pt>
                <c:pt idx="36">
                  <c:v>3071</c:v>
                </c:pt>
                <c:pt idx="37">
                  <c:v>3072</c:v>
                </c:pt>
                <c:pt idx="38">
                  <c:v>3073</c:v>
                </c:pt>
                <c:pt idx="39">
                  <c:v>3075</c:v>
                </c:pt>
                <c:pt idx="40">
                  <c:v>3076</c:v>
                </c:pt>
                <c:pt idx="41">
                  <c:v>3078</c:v>
                </c:pt>
                <c:pt idx="42">
                  <c:v>3079</c:v>
                </c:pt>
                <c:pt idx="43">
                  <c:v>3080</c:v>
                </c:pt>
                <c:pt idx="44">
                  <c:v>3081</c:v>
                </c:pt>
                <c:pt idx="45">
                  <c:v>3084</c:v>
                </c:pt>
                <c:pt idx="46">
                  <c:v>3088</c:v>
                </c:pt>
                <c:pt idx="47">
                  <c:v>3089</c:v>
                </c:pt>
                <c:pt idx="48">
                  <c:v>3090</c:v>
                </c:pt>
                <c:pt idx="49">
                  <c:v>3096</c:v>
                </c:pt>
                <c:pt idx="50">
                  <c:v>3100</c:v>
                </c:pt>
                <c:pt idx="51">
                  <c:v>3106</c:v>
                </c:pt>
                <c:pt idx="52">
                  <c:v>3107</c:v>
                </c:pt>
                <c:pt idx="53">
                  <c:v>3108</c:v>
                </c:pt>
                <c:pt idx="54">
                  <c:v>3110</c:v>
                </c:pt>
                <c:pt idx="55">
                  <c:v>3111</c:v>
                </c:pt>
                <c:pt idx="56">
                  <c:v>3112</c:v>
                </c:pt>
                <c:pt idx="57">
                  <c:v>3120</c:v>
                </c:pt>
                <c:pt idx="58">
                  <c:v>3121</c:v>
                </c:pt>
                <c:pt idx="59">
                  <c:v>3145</c:v>
                </c:pt>
                <c:pt idx="60">
                  <c:v>3146</c:v>
                </c:pt>
                <c:pt idx="61">
                  <c:v>3147</c:v>
                </c:pt>
                <c:pt idx="62">
                  <c:v>3187</c:v>
                </c:pt>
                <c:pt idx="63">
                  <c:v>3216</c:v>
                </c:pt>
                <c:pt idx="64">
                  <c:v>3217</c:v>
                </c:pt>
                <c:pt idx="65">
                  <c:v>3218</c:v>
                </c:pt>
                <c:pt idx="66">
                  <c:v>4006</c:v>
                </c:pt>
                <c:pt idx="67">
                  <c:v>4025</c:v>
                </c:pt>
                <c:pt idx="68">
                  <c:v>4030</c:v>
                </c:pt>
                <c:pt idx="69">
                  <c:v>4035</c:v>
                </c:pt>
                <c:pt idx="70">
                  <c:v>4040</c:v>
                </c:pt>
                <c:pt idx="71">
                  <c:v>4050</c:v>
                </c:pt>
                <c:pt idx="72">
                  <c:v>4056</c:v>
                </c:pt>
                <c:pt idx="73">
                  <c:v>4059</c:v>
                </c:pt>
                <c:pt idx="74">
                  <c:v>4065</c:v>
                </c:pt>
                <c:pt idx="75">
                  <c:v>4068</c:v>
                </c:pt>
                <c:pt idx="76">
                  <c:v>4070</c:v>
                </c:pt>
                <c:pt idx="77">
                  <c:v>(blank)</c:v>
                </c:pt>
              </c:strCache>
            </c:strRef>
          </c:cat>
          <c:val>
            <c:numRef>
              <c:f>'Summary Table'!$T$9:$T$87</c:f>
              <c:numCache>
                <c:formatCode>General</c:formatCode>
                <c:ptCount val="78"/>
                <c:pt idx="9">
                  <c:v>3</c:v>
                </c:pt>
                <c:pt idx="11">
                  <c:v>28</c:v>
                </c:pt>
              </c:numCache>
            </c:numRef>
          </c:val>
        </c:ser>
        <c:ser>
          <c:idx val="9"/>
          <c:order val="9"/>
          <c:tx>
            <c:strRef>
              <c:f>'Summary Table'!$U$4:$U$8</c:f>
              <c:strCache>
                <c:ptCount val="1"/>
                <c:pt idx="0">
                  <c:v>ERROR - LLD (Liquid Level Detection) - Missing Liquid - Questionable</c:v>
                </c:pt>
              </c:strCache>
            </c:strRef>
          </c:tx>
          <c:invertIfNegative val="0"/>
          <c:cat>
            <c:strRef>
              <c:f>'Summary Table'!$A$9:$A$87</c:f>
              <c:strCache>
                <c:ptCount val="78"/>
                <c:pt idx="0">
                  <c:v>1160</c:v>
                </c:pt>
                <c:pt idx="1">
                  <c:v>1255</c:v>
                </c:pt>
                <c:pt idx="2">
                  <c:v>1294</c:v>
                </c:pt>
                <c:pt idx="3">
                  <c:v>2000</c:v>
                </c:pt>
                <c:pt idx="4">
                  <c:v>2005</c:v>
                </c:pt>
                <c:pt idx="5">
                  <c:v>2010</c:v>
                </c:pt>
                <c:pt idx="6">
                  <c:v>2015</c:v>
                </c:pt>
                <c:pt idx="7">
                  <c:v>2025</c:v>
                </c:pt>
                <c:pt idx="8">
                  <c:v>2030</c:v>
                </c:pt>
                <c:pt idx="9">
                  <c:v>2055</c:v>
                </c:pt>
                <c:pt idx="10">
                  <c:v>2076</c:v>
                </c:pt>
                <c:pt idx="11">
                  <c:v>2083</c:v>
                </c:pt>
                <c:pt idx="12">
                  <c:v>2086</c:v>
                </c:pt>
                <c:pt idx="13">
                  <c:v>3001</c:v>
                </c:pt>
                <c:pt idx="14">
                  <c:v>3002</c:v>
                </c:pt>
                <c:pt idx="15">
                  <c:v>3004</c:v>
                </c:pt>
                <c:pt idx="16">
                  <c:v>3007</c:v>
                </c:pt>
                <c:pt idx="17">
                  <c:v>3010</c:v>
                </c:pt>
                <c:pt idx="18">
                  <c:v>3013</c:v>
                </c:pt>
                <c:pt idx="19">
                  <c:v>3016</c:v>
                </c:pt>
                <c:pt idx="20">
                  <c:v>3023</c:v>
                </c:pt>
                <c:pt idx="21">
                  <c:v>3024</c:v>
                </c:pt>
                <c:pt idx="22">
                  <c:v>3037</c:v>
                </c:pt>
                <c:pt idx="23">
                  <c:v>3042</c:v>
                </c:pt>
                <c:pt idx="24">
                  <c:v>3046</c:v>
                </c:pt>
                <c:pt idx="25">
                  <c:v>3047</c:v>
                </c:pt>
                <c:pt idx="26">
                  <c:v>3051</c:v>
                </c:pt>
                <c:pt idx="27">
                  <c:v>3052</c:v>
                </c:pt>
                <c:pt idx="28">
                  <c:v>3056</c:v>
                </c:pt>
                <c:pt idx="29">
                  <c:v>3057</c:v>
                </c:pt>
                <c:pt idx="30">
                  <c:v>3058</c:v>
                </c:pt>
                <c:pt idx="31">
                  <c:v>3059</c:v>
                </c:pt>
                <c:pt idx="32">
                  <c:v>3060</c:v>
                </c:pt>
                <c:pt idx="33">
                  <c:v>3061</c:v>
                </c:pt>
                <c:pt idx="34">
                  <c:v>3067</c:v>
                </c:pt>
                <c:pt idx="35">
                  <c:v>3068</c:v>
                </c:pt>
                <c:pt idx="36">
                  <c:v>3071</c:v>
                </c:pt>
                <c:pt idx="37">
                  <c:v>3072</c:v>
                </c:pt>
                <c:pt idx="38">
                  <c:v>3073</c:v>
                </c:pt>
                <c:pt idx="39">
                  <c:v>3075</c:v>
                </c:pt>
                <c:pt idx="40">
                  <c:v>3076</c:v>
                </c:pt>
                <c:pt idx="41">
                  <c:v>3078</c:v>
                </c:pt>
                <c:pt idx="42">
                  <c:v>3079</c:v>
                </c:pt>
                <c:pt idx="43">
                  <c:v>3080</c:v>
                </c:pt>
                <c:pt idx="44">
                  <c:v>3081</c:v>
                </c:pt>
                <c:pt idx="45">
                  <c:v>3084</c:v>
                </c:pt>
                <c:pt idx="46">
                  <c:v>3088</c:v>
                </c:pt>
                <c:pt idx="47">
                  <c:v>3089</c:v>
                </c:pt>
                <c:pt idx="48">
                  <c:v>3090</c:v>
                </c:pt>
                <c:pt idx="49">
                  <c:v>3096</c:v>
                </c:pt>
                <c:pt idx="50">
                  <c:v>3100</c:v>
                </c:pt>
                <c:pt idx="51">
                  <c:v>3106</c:v>
                </c:pt>
                <c:pt idx="52">
                  <c:v>3107</c:v>
                </c:pt>
                <c:pt idx="53">
                  <c:v>3108</c:v>
                </c:pt>
                <c:pt idx="54">
                  <c:v>3110</c:v>
                </c:pt>
                <c:pt idx="55">
                  <c:v>3111</c:v>
                </c:pt>
                <c:pt idx="56">
                  <c:v>3112</c:v>
                </c:pt>
                <c:pt idx="57">
                  <c:v>3120</c:v>
                </c:pt>
                <c:pt idx="58">
                  <c:v>3121</c:v>
                </c:pt>
                <c:pt idx="59">
                  <c:v>3145</c:v>
                </c:pt>
                <c:pt idx="60">
                  <c:v>3146</c:v>
                </c:pt>
                <c:pt idx="61">
                  <c:v>3147</c:v>
                </c:pt>
                <c:pt idx="62">
                  <c:v>3187</c:v>
                </c:pt>
                <c:pt idx="63">
                  <c:v>3216</c:v>
                </c:pt>
                <c:pt idx="64">
                  <c:v>3217</c:v>
                </c:pt>
                <c:pt idx="65">
                  <c:v>3218</c:v>
                </c:pt>
                <c:pt idx="66">
                  <c:v>4006</c:v>
                </c:pt>
                <c:pt idx="67">
                  <c:v>4025</c:v>
                </c:pt>
                <c:pt idx="68">
                  <c:v>4030</c:v>
                </c:pt>
                <c:pt idx="69">
                  <c:v>4035</c:v>
                </c:pt>
                <c:pt idx="70">
                  <c:v>4040</c:v>
                </c:pt>
                <c:pt idx="71">
                  <c:v>4050</c:v>
                </c:pt>
                <c:pt idx="72">
                  <c:v>4056</c:v>
                </c:pt>
                <c:pt idx="73">
                  <c:v>4059</c:v>
                </c:pt>
                <c:pt idx="74">
                  <c:v>4065</c:v>
                </c:pt>
                <c:pt idx="75">
                  <c:v>4068</c:v>
                </c:pt>
                <c:pt idx="76">
                  <c:v>4070</c:v>
                </c:pt>
                <c:pt idx="77">
                  <c:v>(blank)</c:v>
                </c:pt>
              </c:strCache>
            </c:strRef>
          </c:cat>
          <c:val>
            <c:numRef>
              <c:f>'Summary Table'!$U$9:$U$87</c:f>
              <c:numCache>
                <c:formatCode>General</c:formatCode>
                <c:ptCount val="78"/>
                <c:pt idx="2">
                  <c:v>4</c:v>
                </c:pt>
              </c:numCache>
            </c:numRef>
          </c:val>
        </c:ser>
        <c:ser>
          <c:idx val="10"/>
          <c:order val="10"/>
          <c:tx>
            <c:strRef>
              <c:f>'Summary Table'!$X$4:$X$8</c:f>
              <c:strCache>
                <c:ptCount val="1"/>
                <c:pt idx="0">
                  <c:v>ERROR - Others - Host - Frequent</c:v>
                </c:pt>
              </c:strCache>
            </c:strRef>
          </c:tx>
          <c:invertIfNegative val="0"/>
          <c:cat>
            <c:strRef>
              <c:f>'Summary Table'!$A$9:$A$87</c:f>
              <c:strCache>
                <c:ptCount val="78"/>
                <c:pt idx="0">
                  <c:v>1160</c:v>
                </c:pt>
                <c:pt idx="1">
                  <c:v>1255</c:v>
                </c:pt>
                <c:pt idx="2">
                  <c:v>1294</c:v>
                </c:pt>
                <c:pt idx="3">
                  <c:v>2000</c:v>
                </c:pt>
                <c:pt idx="4">
                  <c:v>2005</c:v>
                </c:pt>
                <c:pt idx="5">
                  <c:v>2010</c:v>
                </c:pt>
                <c:pt idx="6">
                  <c:v>2015</c:v>
                </c:pt>
                <c:pt idx="7">
                  <c:v>2025</c:v>
                </c:pt>
                <c:pt idx="8">
                  <c:v>2030</c:v>
                </c:pt>
                <c:pt idx="9">
                  <c:v>2055</c:v>
                </c:pt>
                <c:pt idx="10">
                  <c:v>2076</c:v>
                </c:pt>
                <c:pt idx="11">
                  <c:v>2083</c:v>
                </c:pt>
                <c:pt idx="12">
                  <c:v>2086</c:v>
                </c:pt>
                <c:pt idx="13">
                  <c:v>3001</c:v>
                </c:pt>
                <c:pt idx="14">
                  <c:v>3002</c:v>
                </c:pt>
                <c:pt idx="15">
                  <c:v>3004</c:v>
                </c:pt>
                <c:pt idx="16">
                  <c:v>3007</c:v>
                </c:pt>
                <c:pt idx="17">
                  <c:v>3010</c:v>
                </c:pt>
                <c:pt idx="18">
                  <c:v>3013</c:v>
                </c:pt>
                <c:pt idx="19">
                  <c:v>3016</c:v>
                </c:pt>
                <c:pt idx="20">
                  <c:v>3023</c:v>
                </c:pt>
                <c:pt idx="21">
                  <c:v>3024</c:v>
                </c:pt>
                <c:pt idx="22">
                  <c:v>3037</c:v>
                </c:pt>
                <c:pt idx="23">
                  <c:v>3042</c:v>
                </c:pt>
                <c:pt idx="24">
                  <c:v>3046</c:v>
                </c:pt>
                <c:pt idx="25">
                  <c:v>3047</c:v>
                </c:pt>
                <c:pt idx="26">
                  <c:v>3051</c:v>
                </c:pt>
                <c:pt idx="27">
                  <c:v>3052</c:v>
                </c:pt>
                <c:pt idx="28">
                  <c:v>3056</c:v>
                </c:pt>
                <c:pt idx="29">
                  <c:v>3057</c:v>
                </c:pt>
                <c:pt idx="30">
                  <c:v>3058</c:v>
                </c:pt>
                <c:pt idx="31">
                  <c:v>3059</c:v>
                </c:pt>
                <c:pt idx="32">
                  <c:v>3060</c:v>
                </c:pt>
                <c:pt idx="33">
                  <c:v>3061</c:v>
                </c:pt>
                <c:pt idx="34">
                  <c:v>3067</c:v>
                </c:pt>
                <c:pt idx="35">
                  <c:v>3068</c:v>
                </c:pt>
                <c:pt idx="36">
                  <c:v>3071</c:v>
                </c:pt>
                <c:pt idx="37">
                  <c:v>3072</c:v>
                </c:pt>
                <c:pt idx="38">
                  <c:v>3073</c:v>
                </c:pt>
                <c:pt idx="39">
                  <c:v>3075</c:v>
                </c:pt>
                <c:pt idx="40">
                  <c:v>3076</c:v>
                </c:pt>
                <c:pt idx="41">
                  <c:v>3078</c:v>
                </c:pt>
                <c:pt idx="42">
                  <c:v>3079</c:v>
                </c:pt>
                <c:pt idx="43">
                  <c:v>3080</c:v>
                </c:pt>
                <c:pt idx="44">
                  <c:v>3081</c:v>
                </c:pt>
                <c:pt idx="45">
                  <c:v>3084</c:v>
                </c:pt>
                <c:pt idx="46">
                  <c:v>3088</c:v>
                </c:pt>
                <c:pt idx="47">
                  <c:v>3089</c:v>
                </c:pt>
                <c:pt idx="48">
                  <c:v>3090</c:v>
                </c:pt>
                <c:pt idx="49">
                  <c:v>3096</c:v>
                </c:pt>
                <c:pt idx="50">
                  <c:v>3100</c:v>
                </c:pt>
                <c:pt idx="51">
                  <c:v>3106</c:v>
                </c:pt>
                <c:pt idx="52">
                  <c:v>3107</c:v>
                </c:pt>
                <c:pt idx="53">
                  <c:v>3108</c:v>
                </c:pt>
                <c:pt idx="54">
                  <c:v>3110</c:v>
                </c:pt>
                <c:pt idx="55">
                  <c:v>3111</c:v>
                </c:pt>
                <c:pt idx="56">
                  <c:v>3112</c:v>
                </c:pt>
                <c:pt idx="57">
                  <c:v>3120</c:v>
                </c:pt>
                <c:pt idx="58">
                  <c:v>3121</c:v>
                </c:pt>
                <c:pt idx="59">
                  <c:v>3145</c:v>
                </c:pt>
                <c:pt idx="60">
                  <c:v>3146</c:v>
                </c:pt>
                <c:pt idx="61">
                  <c:v>3147</c:v>
                </c:pt>
                <c:pt idx="62">
                  <c:v>3187</c:v>
                </c:pt>
                <c:pt idx="63">
                  <c:v>3216</c:v>
                </c:pt>
                <c:pt idx="64">
                  <c:v>3217</c:v>
                </c:pt>
                <c:pt idx="65">
                  <c:v>3218</c:v>
                </c:pt>
                <c:pt idx="66">
                  <c:v>4006</c:v>
                </c:pt>
                <c:pt idx="67">
                  <c:v>4025</c:v>
                </c:pt>
                <c:pt idx="68">
                  <c:v>4030</c:v>
                </c:pt>
                <c:pt idx="69">
                  <c:v>4035</c:v>
                </c:pt>
                <c:pt idx="70">
                  <c:v>4040</c:v>
                </c:pt>
                <c:pt idx="71">
                  <c:v>4050</c:v>
                </c:pt>
                <c:pt idx="72">
                  <c:v>4056</c:v>
                </c:pt>
                <c:pt idx="73">
                  <c:v>4059</c:v>
                </c:pt>
                <c:pt idx="74">
                  <c:v>4065</c:v>
                </c:pt>
                <c:pt idx="75">
                  <c:v>4068</c:v>
                </c:pt>
                <c:pt idx="76">
                  <c:v>4070</c:v>
                </c:pt>
                <c:pt idx="77">
                  <c:v>(blank)</c:v>
                </c:pt>
              </c:strCache>
            </c:strRef>
          </c:cat>
          <c:val>
            <c:numRef>
              <c:f>'Summary Table'!$X$9:$X$87</c:f>
              <c:numCache>
                <c:formatCode>General</c:formatCode>
                <c:ptCount val="78"/>
                <c:pt idx="23">
                  <c:v>23</c:v>
                </c:pt>
              </c:numCache>
            </c:numRef>
          </c:val>
        </c:ser>
        <c:ser>
          <c:idx val="11"/>
          <c:order val="11"/>
          <c:tx>
            <c:strRef>
              <c:f>'Summary Table'!$Z$4:$Z$8</c:f>
              <c:strCache>
                <c:ptCount val="1"/>
                <c:pt idx="0">
                  <c:v>ERROR - Others - Maintenance - Frequent</c:v>
                </c:pt>
              </c:strCache>
            </c:strRef>
          </c:tx>
          <c:invertIfNegative val="0"/>
          <c:cat>
            <c:strRef>
              <c:f>'Summary Table'!$A$9:$A$87</c:f>
              <c:strCache>
                <c:ptCount val="78"/>
                <c:pt idx="0">
                  <c:v>1160</c:v>
                </c:pt>
                <c:pt idx="1">
                  <c:v>1255</c:v>
                </c:pt>
                <c:pt idx="2">
                  <c:v>1294</c:v>
                </c:pt>
                <c:pt idx="3">
                  <c:v>2000</c:v>
                </c:pt>
                <c:pt idx="4">
                  <c:v>2005</c:v>
                </c:pt>
                <c:pt idx="5">
                  <c:v>2010</c:v>
                </c:pt>
                <c:pt idx="6">
                  <c:v>2015</c:v>
                </c:pt>
                <c:pt idx="7">
                  <c:v>2025</c:v>
                </c:pt>
                <c:pt idx="8">
                  <c:v>2030</c:v>
                </c:pt>
                <c:pt idx="9">
                  <c:v>2055</c:v>
                </c:pt>
                <c:pt idx="10">
                  <c:v>2076</c:v>
                </c:pt>
                <c:pt idx="11">
                  <c:v>2083</c:v>
                </c:pt>
                <c:pt idx="12">
                  <c:v>2086</c:v>
                </c:pt>
                <c:pt idx="13">
                  <c:v>3001</c:v>
                </c:pt>
                <c:pt idx="14">
                  <c:v>3002</c:v>
                </c:pt>
                <c:pt idx="15">
                  <c:v>3004</c:v>
                </c:pt>
                <c:pt idx="16">
                  <c:v>3007</c:v>
                </c:pt>
                <c:pt idx="17">
                  <c:v>3010</c:v>
                </c:pt>
                <c:pt idx="18">
                  <c:v>3013</c:v>
                </c:pt>
                <c:pt idx="19">
                  <c:v>3016</c:v>
                </c:pt>
                <c:pt idx="20">
                  <c:v>3023</c:v>
                </c:pt>
                <c:pt idx="21">
                  <c:v>3024</c:v>
                </c:pt>
                <c:pt idx="22">
                  <c:v>3037</c:v>
                </c:pt>
                <c:pt idx="23">
                  <c:v>3042</c:v>
                </c:pt>
                <c:pt idx="24">
                  <c:v>3046</c:v>
                </c:pt>
                <c:pt idx="25">
                  <c:v>3047</c:v>
                </c:pt>
                <c:pt idx="26">
                  <c:v>3051</c:v>
                </c:pt>
                <c:pt idx="27">
                  <c:v>3052</c:v>
                </c:pt>
                <c:pt idx="28">
                  <c:v>3056</c:v>
                </c:pt>
                <c:pt idx="29">
                  <c:v>3057</c:v>
                </c:pt>
                <c:pt idx="30">
                  <c:v>3058</c:v>
                </c:pt>
                <c:pt idx="31">
                  <c:v>3059</c:v>
                </c:pt>
                <c:pt idx="32">
                  <c:v>3060</c:v>
                </c:pt>
                <c:pt idx="33">
                  <c:v>3061</c:v>
                </c:pt>
                <c:pt idx="34">
                  <c:v>3067</c:v>
                </c:pt>
                <c:pt idx="35">
                  <c:v>3068</c:v>
                </c:pt>
                <c:pt idx="36">
                  <c:v>3071</c:v>
                </c:pt>
                <c:pt idx="37">
                  <c:v>3072</c:v>
                </c:pt>
                <c:pt idx="38">
                  <c:v>3073</c:v>
                </c:pt>
                <c:pt idx="39">
                  <c:v>3075</c:v>
                </c:pt>
                <c:pt idx="40">
                  <c:v>3076</c:v>
                </c:pt>
                <c:pt idx="41">
                  <c:v>3078</c:v>
                </c:pt>
                <c:pt idx="42">
                  <c:v>3079</c:v>
                </c:pt>
                <c:pt idx="43">
                  <c:v>3080</c:v>
                </c:pt>
                <c:pt idx="44">
                  <c:v>3081</c:v>
                </c:pt>
                <c:pt idx="45">
                  <c:v>3084</c:v>
                </c:pt>
                <c:pt idx="46">
                  <c:v>3088</c:v>
                </c:pt>
                <c:pt idx="47">
                  <c:v>3089</c:v>
                </c:pt>
                <c:pt idx="48">
                  <c:v>3090</c:v>
                </c:pt>
                <c:pt idx="49">
                  <c:v>3096</c:v>
                </c:pt>
                <c:pt idx="50">
                  <c:v>3100</c:v>
                </c:pt>
                <c:pt idx="51">
                  <c:v>3106</c:v>
                </c:pt>
                <c:pt idx="52">
                  <c:v>3107</c:v>
                </c:pt>
                <c:pt idx="53">
                  <c:v>3108</c:v>
                </c:pt>
                <c:pt idx="54">
                  <c:v>3110</c:v>
                </c:pt>
                <c:pt idx="55">
                  <c:v>3111</c:v>
                </c:pt>
                <c:pt idx="56">
                  <c:v>3112</c:v>
                </c:pt>
                <c:pt idx="57">
                  <c:v>3120</c:v>
                </c:pt>
                <c:pt idx="58">
                  <c:v>3121</c:v>
                </c:pt>
                <c:pt idx="59">
                  <c:v>3145</c:v>
                </c:pt>
                <c:pt idx="60">
                  <c:v>3146</c:v>
                </c:pt>
                <c:pt idx="61">
                  <c:v>3147</c:v>
                </c:pt>
                <c:pt idx="62">
                  <c:v>3187</c:v>
                </c:pt>
                <c:pt idx="63">
                  <c:v>3216</c:v>
                </c:pt>
                <c:pt idx="64">
                  <c:v>3217</c:v>
                </c:pt>
                <c:pt idx="65">
                  <c:v>3218</c:v>
                </c:pt>
                <c:pt idx="66">
                  <c:v>4006</c:v>
                </c:pt>
                <c:pt idx="67">
                  <c:v>4025</c:v>
                </c:pt>
                <c:pt idx="68">
                  <c:v>4030</c:v>
                </c:pt>
                <c:pt idx="69">
                  <c:v>4035</c:v>
                </c:pt>
                <c:pt idx="70">
                  <c:v>4040</c:v>
                </c:pt>
                <c:pt idx="71">
                  <c:v>4050</c:v>
                </c:pt>
                <c:pt idx="72">
                  <c:v>4056</c:v>
                </c:pt>
                <c:pt idx="73">
                  <c:v>4059</c:v>
                </c:pt>
                <c:pt idx="74">
                  <c:v>4065</c:v>
                </c:pt>
                <c:pt idx="75">
                  <c:v>4068</c:v>
                </c:pt>
                <c:pt idx="76">
                  <c:v>4070</c:v>
                </c:pt>
                <c:pt idx="77">
                  <c:v>(blank)</c:v>
                </c:pt>
              </c:strCache>
            </c:strRef>
          </c:cat>
          <c:val>
            <c:numRef>
              <c:f>'Summary Table'!$Z$9:$Z$87</c:f>
              <c:numCache>
                <c:formatCode>General</c:formatCode>
                <c:ptCount val="78"/>
                <c:pt idx="12">
                  <c:v>1</c:v>
                </c:pt>
              </c:numCache>
            </c:numRef>
          </c:val>
        </c:ser>
        <c:ser>
          <c:idx val="12"/>
          <c:order val="12"/>
          <c:tx>
            <c:strRef>
              <c:f>'Summary Table'!$AB$4:$AB$8</c:f>
              <c:strCache>
                <c:ptCount val="1"/>
                <c:pt idx="0">
                  <c:v>ERROR - Others - Materials - Frequent</c:v>
                </c:pt>
              </c:strCache>
            </c:strRef>
          </c:tx>
          <c:invertIfNegative val="0"/>
          <c:cat>
            <c:strRef>
              <c:f>'Summary Table'!$A$9:$A$87</c:f>
              <c:strCache>
                <c:ptCount val="78"/>
                <c:pt idx="0">
                  <c:v>1160</c:v>
                </c:pt>
                <c:pt idx="1">
                  <c:v>1255</c:v>
                </c:pt>
                <c:pt idx="2">
                  <c:v>1294</c:v>
                </c:pt>
                <c:pt idx="3">
                  <c:v>2000</c:v>
                </c:pt>
                <c:pt idx="4">
                  <c:v>2005</c:v>
                </c:pt>
                <c:pt idx="5">
                  <c:v>2010</c:v>
                </c:pt>
                <c:pt idx="6">
                  <c:v>2015</c:v>
                </c:pt>
                <c:pt idx="7">
                  <c:v>2025</c:v>
                </c:pt>
                <c:pt idx="8">
                  <c:v>2030</c:v>
                </c:pt>
                <c:pt idx="9">
                  <c:v>2055</c:v>
                </c:pt>
                <c:pt idx="10">
                  <c:v>2076</c:v>
                </c:pt>
                <c:pt idx="11">
                  <c:v>2083</c:v>
                </c:pt>
                <c:pt idx="12">
                  <c:v>2086</c:v>
                </c:pt>
                <c:pt idx="13">
                  <c:v>3001</c:v>
                </c:pt>
                <c:pt idx="14">
                  <c:v>3002</c:v>
                </c:pt>
                <c:pt idx="15">
                  <c:v>3004</c:v>
                </c:pt>
                <c:pt idx="16">
                  <c:v>3007</c:v>
                </c:pt>
                <c:pt idx="17">
                  <c:v>3010</c:v>
                </c:pt>
                <c:pt idx="18">
                  <c:v>3013</c:v>
                </c:pt>
                <c:pt idx="19">
                  <c:v>3016</c:v>
                </c:pt>
                <c:pt idx="20">
                  <c:v>3023</c:v>
                </c:pt>
                <c:pt idx="21">
                  <c:v>3024</c:v>
                </c:pt>
                <c:pt idx="22">
                  <c:v>3037</c:v>
                </c:pt>
                <c:pt idx="23">
                  <c:v>3042</c:v>
                </c:pt>
                <c:pt idx="24">
                  <c:v>3046</c:v>
                </c:pt>
                <c:pt idx="25">
                  <c:v>3047</c:v>
                </c:pt>
                <c:pt idx="26">
                  <c:v>3051</c:v>
                </c:pt>
                <c:pt idx="27">
                  <c:v>3052</c:v>
                </c:pt>
                <c:pt idx="28">
                  <c:v>3056</c:v>
                </c:pt>
                <c:pt idx="29">
                  <c:v>3057</c:v>
                </c:pt>
                <c:pt idx="30">
                  <c:v>3058</c:v>
                </c:pt>
                <c:pt idx="31">
                  <c:v>3059</c:v>
                </c:pt>
                <c:pt idx="32">
                  <c:v>3060</c:v>
                </c:pt>
                <c:pt idx="33">
                  <c:v>3061</c:v>
                </c:pt>
                <c:pt idx="34">
                  <c:v>3067</c:v>
                </c:pt>
                <c:pt idx="35">
                  <c:v>3068</c:v>
                </c:pt>
                <c:pt idx="36">
                  <c:v>3071</c:v>
                </c:pt>
                <c:pt idx="37">
                  <c:v>3072</c:v>
                </c:pt>
                <c:pt idx="38">
                  <c:v>3073</c:v>
                </c:pt>
                <c:pt idx="39">
                  <c:v>3075</c:v>
                </c:pt>
                <c:pt idx="40">
                  <c:v>3076</c:v>
                </c:pt>
                <c:pt idx="41">
                  <c:v>3078</c:v>
                </c:pt>
                <c:pt idx="42">
                  <c:v>3079</c:v>
                </c:pt>
                <c:pt idx="43">
                  <c:v>3080</c:v>
                </c:pt>
                <c:pt idx="44">
                  <c:v>3081</c:v>
                </c:pt>
                <c:pt idx="45">
                  <c:v>3084</c:v>
                </c:pt>
                <c:pt idx="46">
                  <c:v>3088</c:v>
                </c:pt>
                <c:pt idx="47">
                  <c:v>3089</c:v>
                </c:pt>
                <c:pt idx="48">
                  <c:v>3090</c:v>
                </c:pt>
                <c:pt idx="49">
                  <c:v>3096</c:v>
                </c:pt>
                <c:pt idx="50">
                  <c:v>3100</c:v>
                </c:pt>
                <c:pt idx="51">
                  <c:v>3106</c:v>
                </c:pt>
                <c:pt idx="52">
                  <c:v>3107</c:v>
                </c:pt>
                <c:pt idx="53">
                  <c:v>3108</c:v>
                </c:pt>
                <c:pt idx="54">
                  <c:v>3110</c:v>
                </c:pt>
                <c:pt idx="55">
                  <c:v>3111</c:v>
                </c:pt>
                <c:pt idx="56">
                  <c:v>3112</c:v>
                </c:pt>
                <c:pt idx="57">
                  <c:v>3120</c:v>
                </c:pt>
                <c:pt idx="58">
                  <c:v>3121</c:v>
                </c:pt>
                <c:pt idx="59">
                  <c:v>3145</c:v>
                </c:pt>
                <c:pt idx="60">
                  <c:v>3146</c:v>
                </c:pt>
                <c:pt idx="61">
                  <c:v>3147</c:v>
                </c:pt>
                <c:pt idx="62">
                  <c:v>3187</c:v>
                </c:pt>
                <c:pt idx="63">
                  <c:v>3216</c:v>
                </c:pt>
                <c:pt idx="64">
                  <c:v>3217</c:v>
                </c:pt>
                <c:pt idx="65">
                  <c:v>3218</c:v>
                </c:pt>
                <c:pt idx="66">
                  <c:v>4006</c:v>
                </c:pt>
                <c:pt idx="67">
                  <c:v>4025</c:v>
                </c:pt>
                <c:pt idx="68">
                  <c:v>4030</c:v>
                </c:pt>
                <c:pt idx="69">
                  <c:v>4035</c:v>
                </c:pt>
                <c:pt idx="70">
                  <c:v>4040</c:v>
                </c:pt>
                <c:pt idx="71">
                  <c:v>4050</c:v>
                </c:pt>
                <c:pt idx="72">
                  <c:v>4056</c:v>
                </c:pt>
                <c:pt idx="73">
                  <c:v>4059</c:v>
                </c:pt>
                <c:pt idx="74">
                  <c:v>4065</c:v>
                </c:pt>
                <c:pt idx="75">
                  <c:v>4068</c:v>
                </c:pt>
                <c:pt idx="76">
                  <c:v>4070</c:v>
                </c:pt>
                <c:pt idx="77">
                  <c:v>(blank)</c:v>
                </c:pt>
              </c:strCache>
            </c:strRef>
          </c:cat>
          <c:val>
            <c:numRef>
              <c:f>'Summary Table'!$AB$9:$AB$87</c:f>
              <c:numCache>
                <c:formatCode>General</c:formatCode>
                <c:ptCount val="78"/>
                <c:pt idx="15">
                  <c:v>58</c:v>
                </c:pt>
                <c:pt idx="16">
                  <c:v>2</c:v>
                </c:pt>
                <c:pt idx="17">
                  <c:v>11</c:v>
                </c:pt>
                <c:pt idx="18">
                  <c:v>3</c:v>
                </c:pt>
                <c:pt idx="19">
                  <c:v>1</c:v>
                </c:pt>
                <c:pt idx="45">
                  <c:v>5</c:v>
                </c:pt>
                <c:pt idx="46">
                  <c:v>13</c:v>
                </c:pt>
                <c:pt idx="48">
                  <c:v>1</c:v>
                </c:pt>
              </c:numCache>
            </c:numRef>
          </c:val>
        </c:ser>
        <c:ser>
          <c:idx val="13"/>
          <c:order val="13"/>
          <c:tx>
            <c:strRef>
              <c:f>'Summary Table'!$AD$4:$AD$8</c:f>
              <c:strCache>
                <c:ptCount val="1"/>
                <c:pt idx="0">
                  <c:v>ERROR - Others - Track Communication - Frequent</c:v>
                </c:pt>
              </c:strCache>
            </c:strRef>
          </c:tx>
          <c:invertIfNegative val="0"/>
          <c:cat>
            <c:strRef>
              <c:f>'Summary Table'!$A$9:$A$87</c:f>
              <c:strCache>
                <c:ptCount val="78"/>
                <c:pt idx="0">
                  <c:v>1160</c:v>
                </c:pt>
                <c:pt idx="1">
                  <c:v>1255</c:v>
                </c:pt>
                <c:pt idx="2">
                  <c:v>1294</c:v>
                </c:pt>
                <c:pt idx="3">
                  <c:v>2000</c:v>
                </c:pt>
                <c:pt idx="4">
                  <c:v>2005</c:v>
                </c:pt>
                <c:pt idx="5">
                  <c:v>2010</c:v>
                </c:pt>
                <c:pt idx="6">
                  <c:v>2015</c:v>
                </c:pt>
                <c:pt idx="7">
                  <c:v>2025</c:v>
                </c:pt>
                <c:pt idx="8">
                  <c:v>2030</c:v>
                </c:pt>
                <c:pt idx="9">
                  <c:v>2055</c:v>
                </c:pt>
                <c:pt idx="10">
                  <c:v>2076</c:v>
                </c:pt>
                <c:pt idx="11">
                  <c:v>2083</c:v>
                </c:pt>
                <c:pt idx="12">
                  <c:v>2086</c:v>
                </c:pt>
                <c:pt idx="13">
                  <c:v>3001</c:v>
                </c:pt>
                <c:pt idx="14">
                  <c:v>3002</c:v>
                </c:pt>
                <c:pt idx="15">
                  <c:v>3004</c:v>
                </c:pt>
                <c:pt idx="16">
                  <c:v>3007</c:v>
                </c:pt>
                <c:pt idx="17">
                  <c:v>3010</c:v>
                </c:pt>
                <c:pt idx="18">
                  <c:v>3013</c:v>
                </c:pt>
                <c:pt idx="19">
                  <c:v>3016</c:v>
                </c:pt>
                <c:pt idx="20">
                  <c:v>3023</c:v>
                </c:pt>
                <c:pt idx="21">
                  <c:v>3024</c:v>
                </c:pt>
                <c:pt idx="22">
                  <c:v>3037</c:v>
                </c:pt>
                <c:pt idx="23">
                  <c:v>3042</c:v>
                </c:pt>
                <c:pt idx="24">
                  <c:v>3046</c:v>
                </c:pt>
                <c:pt idx="25">
                  <c:v>3047</c:v>
                </c:pt>
                <c:pt idx="26">
                  <c:v>3051</c:v>
                </c:pt>
                <c:pt idx="27">
                  <c:v>3052</c:v>
                </c:pt>
                <c:pt idx="28">
                  <c:v>3056</c:v>
                </c:pt>
                <c:pt idx="29">
                  <c:v>3057</c:v>
                </c:pt>
                <c:pt idx="30">
                  <c:v>3058</c:v>
                </c:pt>
                <c:pt idx="31">
                  <c:v>3059</c:v>
                </c:pt>
                <c:pt idx="32">
                  <c:v>3060</c:v>
                </c:pt>
                <c:pt idx="33">
                  <c:v>3061</c:v>
                </c:pt>
                <c:pt idx="34">
                  <c:v>3067</c:v>
                </c:pt>
                <c:pt idx="35">
                  <c:v>3068</c:v>
                </c:pt>
                <c:pt idx="36">
                  <c:v>3071</c:v>
                </c:pt>
                <c:pt idx="37">
                  <c:v>3072</c:v>
                </c:pt>
                <c:pt idx="38">
                  <c:v>3073</c:v>
                </c:pt>
                <c:pt idx="39">
                  <c:v>3075</c:v>
                </c:pt>
                <c:pt idx="40">
                  <c:v>3076</c:v>
                </c:pt>
                <c:pt idx="41">
                  <c:v>3078</c:v>
                </c:pt>
                <c:pt idx="42">
                  <c:v>3079</c:v>
                </c:pt>
                <c:pt idx="43">
                  <c:v>3080</c:v>
                </c:pt>
                <c:pt idx="44">
                  <c:v>3081</c:v>
                </c:pt>
                <c:pt idx="45">
                  <c:v>3084</c:v>
                </c:pt>
                <c:pt idx="46">
                  <c:v>3088</c:v>
                </c:pt>
                <c:pt idx="47">
                  <c:v>3089</c:v>
                </c:pt>
                <c:pt idx="48">
                  <c:v>3090</c:v>
                </c:pt>
                <c:pt idx="49">
                  <c:v>3096</c:v>
                </c:pt>
                <c:pt idx="50">
                  <c:v>3100</c:v>
                </c:pt>
                <c:pt idx="51">
                  <c:v>3106</c:v>
                </c:pt>
                <c:pt idx="52">
                  <c:v>3107</c:v>
                </c:pt>
                <c:pt idx="53">
                  <c:v>3108</c:v>
                </c:pt>
                <c:pt idx="54">
                  <c:v>3110</c:v>
                </c:pt>
                <c:pt idx="55">
                  <c:v>3111</c:v>
                </c:pt>
                <c:pt idx="56">
                  <c:v>3112</c:v>
                </c:pt>
                <c:pt idx="57">
                  <c:v>3120</c:v>
                </c:pt>
                <c:pt idx="58">
                  <c:v>3121</c:v>
                </c:pt>
                <c:pt idx="59">
                  <c:v>3145</c:v>
                </c:pt>
                <c:pt idx="60">
                  <c:v>3146</c:v>
                </c:pt>
                <c:pt idx="61">
                  <c:v>3147</c:v>
                </c:pt>
                <c:pt idx="62">
                  <c:v>3187</c:v>
                </c:pt>
                <c:pt idx="63">
                  <c:v>3216</c:v>
                </c:pt>
                <c:pt idx="64">
                  <c:v>3217</c:v>
                </c:pt>
                <c:pt idx="65">
                  <c:v>3218</c:v>
                </c:pt>
                <c:pt idx="66">
                  <c:v>4006</c:v>
                </c:pt>
                <c:pt idx="67">
                  <c:v>4025</c:v>
                </c:pt>
                <c:pt idx="68">
                  <c:v>4030</c:v>
                </c:pt>
                <c:pt idx="69">
                  <c:v>4035</c:v>
                </c:pt>
                <c:pt idx="70">
                  <c:v>4040</c:v>
                </c:pt>
                <c:pt idx="71">
                  <c:v>4050</c:v>
                </c:pt>
                <c:pt idx="72">
                  <c:v>4056</c:v>
                </c:pt>
                <c:pt idx="73">
                  <c:v>4059</c:v>
                </c:pt>
                <c:pt idx="74">
                  <c:v>4065</c:v>
                </c:pt>
                <c:pt idx="75">
                  <c:v>4068</c:v>
                </c:pt>
                <c:pt idx="76">
                  <c:v>4070</c:v>
                </c:pt>
                <c:pt idx="77">
                  <c:v>(blank)</c:v>
                </c:pt>
              </c:strCache>
            </c:strRef>
          </c:cat>
          <c:val>
            <c:numRef>
              <c:f>'Summary Table'!$AD$9:$AD$87</c:f>
              <c:numCache>
                <c:formatCode>General</c:formatCode>
                <c:ptCount val="78"/>
                <c:pt idx="73">
                  <c:v>3</c:v>
                </c:pt>
              </c:numCache>
            </c:numRef>
          </c:val>
        </c:ser>
        <c:ser>
          <c:idx val="14"/>
          <c:order val="14"/>
          <c:tx>
            <c:strRef>
              <c:f>'Summary Table'!$AG$4:$AG$8</c:f>
              <c:strCache>
                <c:ptCount val="1"/>
                <c:pt idx="0">
                  <c:v>ERROR - (blank) - (blank) - (blank)</c:v>
                </c:pt>
              </c:strCache>
            </c:strRef>
          </c:tx>
          <c:invertIfNegative val="0"/>
          <c:cat>
            <c:strRef>
              <c:f>'Summary Table'!$A$9:$A$87</c:f>
              <c:strCache>
                <c:ptCount val="78"/>
                <c:pt idx="0">
                  <c:v>1160</c:v>
                </c:pt>
                <c:pt idx="1">
                  <c:v>1255</c:v>
                </c:pt>
                <c:pt idx="2">
                  <c:v>1294</c:v>
                </c:pt>
                <c:pt idx="3">
                  <c:v>2000</c:v>
                </c:pt>
                <c:pt idx="4">
                  <c:v>2005</c:v>
                </c:pt>
                <c:pt idx="5">
                  <c:v>2010</c:v>
                </c:pt>
                <c:pt idx="6">
                  <c:v>2015</c:v>
                </c:pt>
                <c:pt idx="7">
                  <c:v>2025</c:v>
                </c:pt>
                <c:pt idx="8">
                  <c:v>2030</c:v>
                </c:pt>
                <c:pt idx="9">
                  <c:v>2055</c:v>
                </c:pt>
                <c:pt idx="10">
                  <c:v>2076</c:v>
                </c:pt>
                <c:pt idx="11">
                  <c:v>2083</c:v>
                </c:pt>
                <c:pt idx="12">
                  <c:v>2086</c:v>
                </c:pt>
                <c:pt idx="13">
                  <c:v>3001</c:v>
                </c:pt>
                <c:pt idx="14">
                  <c:v>3002</c:v>
                </c:pt>
                <c:pt idx="15">
                  <c:v>3004</c:v>
                </c:pt>
                <c:pt idx="16">
                  <c:v>3007</c:v>
                </c:pt>
                <c:pt idx="17">
                  <c:v>3010</c:v>
                </c:pt>
                <c:pt idx="18">
                  <c:v>3013</c:v>
                </c:pt>
                <c:pt idx="19">
                  <c:v>3016</c:v>
                </c:pt>
                <c:pt idx="20">
                  <c:v>3023</c:v>
                </c:pt>
                <c:pt idx="21">
                  <c:v>3024</c:v>
                </c:pt>
                <c:pt idx="22">
                  <c:v>3037</c:v>
                </c:pt>
                <c:pt idx="23">
                  <c:v>3042</c:v>
                </c:pt>
                <c:pt idx="24">
                  <c:v>3046</c:v>
                </c:pt>
                <c:pt idx="25">
                  <c:v>3047</c:v>
                </c:pt>
                <c:pt idx="26">
                  <c:v>3051</c:v>
                </c:pt>
                <c:pt idx="27">
                  <c:v>3052</c:v>
                </c:pt>
                <c:pt idx="28">
                  <c:v>3056</c:v>
                </c:pt>
                <c:pt idx="29">
                  <c:v>3057</c:v>
                </c:pt>
                <c:pt idx="30">
                  <c:v>3058</c:v>
                </c:pt>
                <c:pt idx="31">
                  <c:v>3059</c:v>
                </c:pt>
                <c:pt idx="32">
                  <c:v>3060</c:v>
                </c:pt>
                <c:pt idx="33">
                  <c:v>3061</c:v>
                </c:pt>
                <c:pt idx="34">
                  <c:v>3067</c:v>
                </c:pt>
                <c:pt idx="35">
                  <c:v>3068</c:v>
                </c:pt>
                <c:pt idx="36">
                  <c:v>3071</c:v>
                </c:pt>
                <c:pt idx="37">
                  <c:v>3072</c:v>
                </c:pt>
                <c:pt idx="38">
                  <c:v>3073</c:v>
                </c:pt>
                <c:pt idx="39">
                  <c:v>3075</c:v>
                </c:pt>
                <c:pt idx="40">
                  <c:v>3076</c:v>
                </c:pt>
                <c:pt idx="41">
                  <c:v>3078</c:v>
                </c:pt>
                <c:pt idx="42">
                  <c:v>3079</c:v>
                </c:pt>
                <c:pt idx="43">
                  <c:v>3080</c:v>
                </c:pt>
                <c:pt idx="44">
                  <c:v>3081</c:v>
                </c:pt>
                <c:pt idx="45">
                  <c:v>3084</c:v>
                </c:pt>
                <c:pt idx="46">
                  <c:v>3088</c:v>
                </c:pt>
                <c:pt idx="47">
                  <c:v>3089</c:v>
                </c:pt>
                <c:pt idx="48">
                  <c:v>3090</c:v>
                </c:pt>
                <c:pt idx="49">
                  <c:v>3096</c:v>
                </c:pt>
                <c:pt idx="50">
                  <c:v>3100</c:v>
                </c:pt>
                <c:pt idx="51">
                  <c:v>3106</c:v>
                </c:pt>
                <c:pt idx="52">
                  <c:v>3107</c:v>
                </c:pt>
                <c:pt idx="53">
                  <c:v>3108</c:v>
                </c:pt>
                <c:pt idx="54">
                  <c:v>3110</c:v>
                </c:pt>
                <c:pt idx="55">
                  <c:v>3111</c:v>
                </c:pt>
                <c:pt idx="56">
                  <c:v>3112</c:v>
                </c:pt>
                <c:pt idx="57">
                  <c:v>3120</c:v>
                </c:pt>
                <c:pt idx="58">
                  <c:v>3121</c:v>
                </c:pt>
                <c:pt idx="59">
                  <c:v>3145</c:v>
                </c:pt>
                <c:pt idx="60">
                  <c:v>3146</c:v>
                </c:pt>
                <c:pt idx="61">
                  <c:v>3147</c:v>
                </c:pt>
                <c:pt idx="62">
                  <c:v>3187</c:v>
                </c:pt>
                <c:pt idx="63">
                  <c:v>3216</c:v>
                </c:pt>
                <c:pt idx="64">
                  <c:v>3217</c:v>
                </c:pt>
                <c:pt idx="65">
                  <c:v>3218</c:v>
                </c:pt>
                <c:pt idx="66">
                  <c:v>4006</c:v>
                </c:pt>
                <c:pt idx="67">
                  <c:v>4025</c:v>
                </c:pt>
                <c:pt idx="68">
                  <c:v>4030</c:v>
                </c:pt>
                <c:pt idx="69">
                  <c:v>4035</c:v>
                </c:pt>
                <c:pt idx="70">
                  <c:v>4040</c:v>
                </c:pt>
                <c:pt idx="71">
                  <c:v>4050</c:v>
                </c:pt>
                <c:pt idx="72">
                  <c:v>4056</c:v>
                </c:pt>
                <c:pt idx="73">
                  <c:v>4059</c:v>
                </c:pt>
                <c:pt idx="74">
                  <c:v>4065</c:v>
                </c:pt>
                <c:pt idx="75">
                  <c:v>4068</c:v>
                </c:pt>
                <c:pt idx="76">
                  <c:v>4070</c:v>
                </c:pt>
                <c:pt idx="77">
                  <c:v>(blank)</c:v>
                </c:pt>
              </c:strCache>
            </c:strRef>
          </c:cat>
          <c:val>
            <c:numRef>
              <c:f>'Summary Table'!$AG$9:$AG$87</c:f>
              <c:numCache>
                <c:formatCode>General</c:formatCode>
                <c:ptCount val="78"/>
                <c:pt idx="65">
                  <c:v>253</c:v>
                </c:pt>
                <c:pt idx="75">
                  <c:v>2</c:v>
                </c:pt>
              </c:numCache>
            </c:numRef>
          </c:val>
        </c:ser>
        <c:ser>
          <c:idx val="15"/>
          <c:order val="15"/>
          <c:tx>
            <c:strRef>
              <c:f>'Summary Table'!$AK$4:$AK$8</c:f>
              <c:strCache>
                <c:ptCount val="1"/>
                <c:pt idx="0">
                  <c:v>INFORMATION - Others - Applications - Frequent</c:v>
                </c:pt>
              </c:strCache>
            </c:strRef>
          </c:tx>
          <c:invertIfNegative val="0"/>
          <c:cat>
            <c:strRef>
              <c:f>'Summary Table'!$A$9:$A$87</c:f>
              <c:strCache>
                <c:ptCount val="78"/>
                <c:pt idx="0">
                  <c:v>1160</c:v>
                </c:pt>
                <c:pt idx="1">
                  <c:v>1255</c:v>
                </c:pt>
                <c:pt idx="2">
                  <c:v>1294</c:v>
                </c:pt>
                <c:pt idx="3">
                  <c:v>2000</c:v>
                </c:pt>
                <c:pt idx="4">
                  <c:v>2005</c:v>
                </c:pt>
                <c:pt idx="5">
                  <c:v>2010</c:v>
                </c:pt>
                <c:pt idx="6">
                  <c:v>2015</c:v>
                </c:pt>
                <c:pt idx="7">
                  <c:v>2025</c:v>
                </c:pt>
                <c:pt idx="8">
                  <c:v>2030</c:v>
                </c:pt>
                <c:pt idx="9">
                  <c:v>2055</c:v>
                </c:pt>
                <c:pt idx="10">
                  <c:v>2076</c:v>
                </c:pt>
                <c:pt idx="11">
                  <c:v>2083</c:v>
                </c:pt>
                <c:pt idx="12">
                  <c:v>2086</c:v>
                </c:pt>
                <c:pt idx="13">
                  <c:v>3001</c:v>
                </c:pt>
                <c:pt idx="14">
                  <c:v>3002</c:v>
                </c:pt>
                <c:pt idx="15">
                  <c:v>3004</c:v>
                </c:pt>
                <c:pt idx="16">
                  <c:v>3007</c:v>
                </c:pt>
                <c:pt idx="17">
                  <c:v>3010</c:v>
                </c:pt>
                <c:pt idx="18">
                  <c:v>3013</c:v>
                </c:pt>
                <c:pt idx="19">
                  <c:v>3016</c:v>
                </c:pt>
                <c:pt idx="20">
                  <c:v>3023</c:v>
                </c:pt>
                <c:pt idx="21">
                  <c:v>3024</c:v>
                </c:pt>
                <c:pt idx="22">
                  <c:v>3037</c:v>
                </c:pt>
                <c:pt idx="23">
                  <c:v>3042</c:v>
                </c:pt>
                <c:pt idx="24">
                  <c:v>3046</c:v>
                </c:pt>
                <c:pt idx="25">
                  <c:v>3047</c:v>
                </c:pt>
                <c:pt idx="26">
                  <c:v>3051</c:v>
                </c:pt>
                <c:pt idx="27">
                  <c:v>3052</c:v>
                </c:pt>
                <c:pt idx="28">
                  <c:v>3056</c:v>
                </c:pt>
                <c:pt idx="29">
                  <c:v>3057</c:v>
                </c:pt>
                <c:pt idx="30">
                  <c:v>3058</c:v>
                </c:pt>
                <c:pt idx="31">
                  <c:v>3059</c:v>
                </c:pt>
                <c:pt idx="32">
                  <c:v>3060</c:v>
                </c:pt>
                <c:pt idx="33">
                  <c:v>3061</c:v>
                </c:pt>
                <c:pt idx="34">
                  <c:v>3067</c:v>
                </c:pt>
                <c:pt idx="35">
                  <c:v>3068</c:v>
                </c:pt>
                <c:pt idx="36">
                  <c:v>3071</c:v>
                </c:pt>
                <c:pt idx="37">
                  <c:v>3072</c:v>
                </c:pt>
                <c:pt idx="38">
                  <c:v>3073</c:v>
                </c:pt>
                <c:pt idx="39">
                  <c:v>3075</c:v>
                </c:pt>
                <c:pt idx="40">
                  <c:v>3076</c:v>
                </c:pt>
                <c:pt idx="41">
                  <c:v>3078</c:v>
                </c:pt>
                <c:pt idx="42">
                  <c:v>3079</c:v>
                </c:pt>
                <c:pt idx="43">
                  <c:v>3080</c:v>
                </c:pt>
                <c:pt idx="44">
                  <c:v>3081</c:v>
                </c:pt>
                <c:pt idx="45">
                  <c:v>3084</c:v>
                </c:pt>
                <c:pt idx="46">
                  <c:v>3088</c:v>
                </c:pt>
                <c:pt idx="47">
                  <c:v>3089</c:v>
                </c:pt>
                <c:pt idx="48">
                  <c:v>3090</c:v>
                </c:pt>
                <c:pt idx="49">
                  <c:v>3096</c:v>
                </c:pt>
                <c:pt idx="50">
                  <c:v>3100</c:v>
                </c:pt>
                <c:pt idx="51">
                  <c:v>3106</c:v>
                </c:pt>
                <c:pt idx="52">
                  <c:v>3107</c:v>
                </c:pt>
                <c:pt idx="53">
                  <c:v>3108</c:v>
                </c:pt>
                <c:pt idx="54">
                  <c:v>3110</c:v>
                </c:pt>
                <c:pt idx="55">
                  <c:v>3111</c:v>
                </c:pt>
                <c:pt idx="56">
                  <c:v>3112</c:v>
                </c:pt>
                <c:pt idx="57">
                  <c:v>3120</c:v>
                </c:pt>
                <c:pt idx="58">
                  <c:v>3121</c:v>
                </c:pt>
                <c:pt idx="59">
                  <c:v>3145</c:v>
                </c:pt>
                <c:pt idx="60">
                  <c:v>3146</c:v>
                </c:pt>
                <c:pt idx="61">
                  <c:v>3147</c:v>
                </c:pt>
                <c:pt idx="62">
                  <c:v>3187</c:v>
                </c:pt>
                <c:pt idx="63">
                  <c:v>3216</c:v>
                </c:pt>
                <c:pt idx="64">
                  <c:v>3217</c:v>
                </c:pt>
                <c:pt idx="65">
                  <c:v>3218</c:v>
                </c:pt>
                <c:pt idx="66">
                  <c:v>4006</c:v>
                </c:pt>
                <c:pt idx="67">
                  <c:v>4025</c:v>
                </c:pt>
                <c:pt idx="68">
                  <c:v>4030</c:v>
                </c:pt>
                <c:pt idx="69">
                  <c:v>4035</c:v>
                </c:pt>
                <c:pt idx="70">
                  <c:v>4040</c:v>
                </c:pt>
                <c:pt idx="71">
                  <c:v>4050</c:v>
                </c:pt>
                <c:pt idx="72">
                  <c:v>4056</c:v>
                </c:pt>
                <c:pt idx="73">
                  <c:v>4059</c:v>
                </c:pt>
                <c:pt idx="74">
                  <c:v>4065</c:v>
                </c:pt>
                <c:pt idx="75">
                  <c:v>4068</c:v>
                </c:pt>
                <c:pt idx="76">
                  <c:v>4070</c:v>
                </c:pt>
                <c:pt idx="77">
                  <c:v>(blank)</c:v>
                </c:pt>
              </c:strCache>
            </c:strRef>
          </c:cat>
          <c:val>
            <c:numRef>
              <c:f>'Summary Table'!$AK$9:$AK$87</c:f>
              <c:numCache>
                <c:formatCode>General</c:formatCode>
                <c:ptCount val="78"/>
                <c:pt idx="29">
                  <c:v>5</c:v>
                </c:pt>
                <c:pt idx="30">
                  <c:v>5</c:v>
                </c:pt>
                <c:pt idx="31">
                  <c:v>1</c:v>
                </c:pt>
                <c:pt idx="32">
                  <c:v>4</c:v>
                </c:pt>
                <c:pt idx="33">
                  <c:v>117</c:v>
                </c:pt>
                <c:pt idx="38">
                  <c:v>2</c:v>
                </c:pt>
                <c:pt idx="50">
                  <c:v>1</c:v>
                </c:pt>
                <c:pt idx="51">
                  <c:v>26</c:v>
                </c:pt>
                <c:pt idx="52">
                  <c:v>2</c:v>
                </c:pt>
                <c:pt idx="53">
                  <c:v>18</c:v>
                </c:pt>
                <c:pt idx="54">
                  <c:v>11</c:v>
                </c:pt>
                <c:pt idx="55">
                  <c:v>10</c:v>
                </c:pt>
                <c:pt idx="56">
                  <c:v>6</c:v>
                </c:pt>
                <c:pt idx="57">
                  <c:v>6</c:v>
                </c:pt>
              </c:numCache>
            </c:numRef>
          </c:val>
        </c:ser>
        <c:ser>
          <c:idx val="16"/>
          <c:order val="16"/>
          <c:tx>
            <c:strRef>
              <c:f>'Summary Table'!$AM$4:$AM$8</c:f>
              <c:strCache>
                <c:ptCount val="1"/>
                <c:pt idx="0">
                  <c:v>INFORMATION - Others - Host - Frequent</c:v>
                </c:pt>
              </c:strCache>
            </c:strRef>
          </c:tx>
          <c:invertIfNegative val="0"/>
          <c:cat>
            <c:strRef>
              <c:f>'Summary Table'!$A$9:$A$87</c:f>
              <c:strCache>
                <c:ptCount val="78"/>
                <c:pt idx="0">
                  <c:v>1160</c:v>
                </c:pt>
                <c:pt idx="1">
                  <c:v>1255</c:v>
                </c:pt>
                <c:pt idx="2">
                  <c:v>1294</c:v>
                </c:pt>
                <c:pt idx="3">
                  <c:v>2000</c:v>
                </c:pt>
                <c:pt idx="4">
                  <c:v>2005</c:v>
                </c:pt>
                <c:pt idx="5">
                  <c:v>2010</c:v>
                </c:pt>
                <c:pt idx="6">
                  <c:v>2015</c:v>
                </c:pt>
                <c:pt idx="7">
                  <c:v>2025</c:v>
                </c:pt>
                <c:pt idx="8">
                  <c:v>2030</c:v>
                </c:pt>
                <c:pt idx="9">
                  <c:v>2055</c:v>
                </c:pt>
                <c:pt idx="10">
                  <c:v>2076</c:v>
                </c:pt>
                <c:pt idx="11">
                  <c:v>2083</c:v>
                </c:pt>
                <c:pt idx="12">
                  <c:v>2086</c:v>
                </c:pt>
                <c:pt idx="13">
                  <c:v>3001</c:v>
                </c:pt>
                <c:pt idx="14">
                  <c:v>3002</c:v>
                </c:pt>
                <c:pt idx="15">
                  <c:v>3004</c:v>
                </c:pt>
                <c:pt idx="16">
                  <c:v>3007</c:v>
                </c:pt>
                <c:pt idx="17">
                  <c:v>3010</c:v>
                </c:pt>
                <c:pt idx="18">
                  <c:v>3013</c:v>
                </c:pt>
                <c:pt idx="19">
                  <c:v>3016</c:v>
                </c:pt>
                <c:pt idx="20">
                  <c:v>3023</c:v>
                </c:pt>
                <c:pt idx="21">
                  <c:v>3024</c:v>
                </c:pt>
                <c:pt idx="22">
                  <c:v>3037</c:v>
                </c:pt>
                <c:pt idx="23">
                  <c:v>3042</c:v>
                </c:pt>
                <c:pt idx="24">
                  <c:v>3046</c:v>
                </c:pt>
                <c:pt idx="25">
                  <c:v>3047</c:v>
                </c:pt>
                <c:pt idx="26">
                  <c:v>3051</c:v>
                </c:pt>
                <c:pt idx="27">
                  <c:v>3052</c:v>
                </c:pt>
                <c:pt idx="28">
                  <c:v>3056</c:v>
                </c:pt>
                <c:pt idx="29">
                  <c:v>3057</c:v>
                </c:pt>
                <c:pt idx="30">
                  <c:v>3058</c:v>
                </c:pt>
                <c:pt idx="31">
                  <c:v>3059</c:v>
                </c:pt>
                <c:pt idx="32">
                  <c:v>3060</c:v>
                </c:pt>
                <c:pt idx="33">
                  <c:v>3061</c:v>
                </c:pt>
                <c:pt idx="34">
                  <c:v>3067</c:v>
                </c:pt>
                <c:pt idx="35">
                  <c:v>3068</c:v>
                </c:pt>
                <c:pt idx="36">
                  <c:v>3071</c:v>
                </c:pt>
                <c:pt idx="37">
                  <c:v>3072</c:v>
                </c:pt>
                <c:pt idx="38">
                  <c:v>3073</c:v>
                </c:pt>
                <c:pt idx="39">
                  <c:v>3075</c:v>
                </c:pt>
                <c:pt idx="40">
                  <c:v>3076</c:v>
                </c:pt>
                <c:pt idx="41">
                  <c:v>3078</c:v>
                </c:pt>
                <c:pt idx="42">
                  <c:v>3079</c:v>
                </c:pt>
                <c:pt idx="43">
                  <c:v>3080</c:v>
                </c:pt>
                <c:pt idx="44">
                  <c:v>3081</c:v>
                </c:pt>
                <c:pt idx="45">
                  <c:v>3084</c:v>
                </c:pt>
                <c:pt idx="46">
                  <c:v>3088</c:v>
                </c:pt>
                <c:pt idx="47">
                  <c:v>3089</c:v>
                </c:pt>
                <c:pt idx="48">
                  <c:v>3090</c:v>
                </c:pt>
                <c:pt idx="49">
                  <c:v>3096</c:v>
                </c:pt>
                <c:pt idx="50">
                  <c:v>3100</c:v>
                </c:pt>
                <c:pt idx="51">
                  <c:v>3106</c:v>
                </c:pt>
                <c:pt idx="52">
                  <c:v>3107</c:v>
                </c:pt>
                <c:pt idx="53">
                  <c:v>3108</c:v>
                </c:pt>
                <c:pt idx="54">
                  <c:v>3110</c:v>
                </c:pt>
                <c:pt idx="55">
                  <c:v>3111</c:v>
                </c:pt>
                <c:pt idx="56">
                  <c:v>3112</c:v>
                </c:pt>
                <c:pt idx="57">
                  <c:v>3120</c:v>
                </c:pt>
                <c:pt idx="58">
                  <c:v>3121</c:v>
                </c:pt>
                <c:pt idx="59">
                  <c:v>3145</c:v>
                </c:pt>
                <c:pt idx="60">
                  <c:v>3146</c:v>
                </c:pt>
                <c:pt idx="61">
                  <c:v>3147</c:v>
                </c:pt>
                <c:pt idx="62">
                  <c:v>3187</c:v>
                </c:pt>
                <c:pt idx="63">
                  <c:v>3216</c:v>
                </c:pt>
                <c:pt idx="64">
                  <c:v>3217</c:v>
                </c:pt>
                <c:pt idx="65">
                  <c:v>3218</c:v>
                </c:pt>
                <c:pt idx="66">
                  <c:v>4006</c:v>
                </c:pt>
                <c:pt idx="67">
                  <c:v>4025</c:v>
                </c:pt>
                <c:pt idx="68">
                  <c:v>4030</c:v>
                </c:pt>
                <c:pt idx="69">
                  <c:v>4035</c:v>
                </c:pt>
                <c:pt idx="70">
                  <c:v>4040</c:v>
                </c:pt>
                <c:pt idx="71">
                  <c:v>4050</c:v>
                </c:pt>
                <c:pt idx="72">
                  <c:v>4056</c:v>
                </c:pt>
                <c:pt idx="73">
                  <c:v>4059</c:v>
                </c:pt>
                <c:pt idx="74">
                  <c:v>4065</c:v>
                </c:pt>
                <c:pt idx="75">
                  <c:v>4068</c:v>
                </c:pt>
                <c:pt idx="76">
                  <c:v>4070</c:v>
                </c:pt>
                <c:pt idx="77">
                  <c:v>(blank)</c:v>
                </c:pt>
              </c:strCache>
            </c:strRef>
          </c:cat>
          <c:val>
            <c:numRef>
              <c:f>'Summary Table'!$AM$9:$AM$87</c:f>
              <c:numCache>
                <c:formatCode>General</c:formatCode>
                <c:ptCount val="78"/>
                <c:pt idx="39">
                  <c:v>7</c:v>
                </c:pt>
              </c:numCache>
            </c:numRef>
          </c:val>
        </c:ser>
        <c:ser>
          <c:idx val="17"/>
          <c:order val="17"/>
          <c:tx>
            <c:strRef>
              <c:f>'Summary Table'!$AO$4:$AO$8</c:f>
              <c:strCache>
                <c:ptCount val="1"/>
                <c:pt idx="0">
                  <c:v>INFORMATION - Others - Maintenance - Frequent</c:v>
                </c:pt>
              </c:strCache>
            </c:strRef>
          </c:tx>
          <c:invertIfNegative val="0"/>
          <c:cat>
            <c:strRef>
              <c:f>'Summary Table'!$A$9:$A$87</c:f>
              <c:strCache>
                <c:ptCount val="78"/>
                <c:pt idx="0">
                  <c:v>1160</c:v>
                </c:pt>
                <c:pt idx="1">
                  <c:v>1255</c:v>
                </c:pt>
                <c:pt idx="2">
                  <c:v>1294</c:v>
                </c:pt>
                <c:pt idx="3">
                  <c:v>2000</c:v>
                </c:pt>
                <c:pt idx="4">
                  <c:v>2005</c:v>
                </c:pt>
                <c:pt idx="5">
                  <c:v>2010</c:v>
                </c:pt>
                <c:pt idx="6">
                  <c:v>2015</c:v>
                </c:pt>
                <c:pt idx="7">
                  <c:v>2025</c:v>
                </c:pt>
                <c:pt idx="8">
                  <c:v>2030</c:v>
                </c:pt>
                <c:pt idx="9">
                  <c:v>2055</c:v>
                </c:pt>
                <c:pt idx="10">
                  <c:v>2076</c:v>
                </c:pt>
                <c:pt idx="11">
                  <c:v>2083</c:v>
                </c:pt>
                <c:pt idx="12">
                  <c:v>2086</c:v>
                </c:pt>
                <c:pt idx="13">
                  <c:v>3001</c:v>
                </c:pt>
                <c:pt idx="14">
                  <c:v>3002</c:v>
                </c:pt>
                <c:pt idx="15">
                  <c:v>3004</c:v>
                </c:pt>
                <c:pt idx="16">
                  <c:v>3007</c:v>
                </c:pt>
                <c:pt idx="17">
                  <c:v>3010</c:v>
                </c:pt>
                <c:pt idx="18">
                  <c:v>3013</c:v>
                </c:pt>
                <c:pt idx="19">
                  <c:v>3016</c:v>
                </c:pt>
                <c:pt idx="20">
                  <c:v>3023</c:v>
                </c:pt>
                <c:pt idx="21">
                  <c:v>3024</c:v>
                </c:pt>
                <c:pt idx="22">
                  <c:v>3037</c:v>
                </c:pt>
                <c:pt idx="23">
                  <c:v>3042</c:v>
                </c:pt>
                <c:pt idx="24">
                  <c:v>3046</c:v>
                </c:pt>
                <c:pt idx="25">
                  <c:v>3047</c:v>
                </c:pt>
                <c:pt idx="26">
                  <c:v>3051</c:v>
                </c:pt>
                <c:pt idx="27">
                  <c:v>3052</c:v>
                </c:pt>
                <c:pt idx="28">
                  <c:v>3056</c:v>
                </c:pt>
                <c:pt idx="29">
                  <c:v>3057</c:v>
                </c:pt>
                <c:pt idx="30">
                  <c:v>3058</c:v>
                </c:pt>
                <c:pt idx="31">
                  <c:v>3059</c:v>
                </c:pt>
                <c:pt idx="32">
                  <c:v>3060</c:v>
                </c:pt>
                <c:pt idx="33">
                  <c:v>3061</c:v>
                </c:pt>
                <c:pt idx="34">
                  <c:v>3067</c:v>
                </c:pt>
                <c:pt idx="35">
                  <c:v>3068</c:v>
                </c:pt>
                <c:pt idx="36">
                  <c:v>3071</c:v>
                </c:pt>
                <c:pt idx="37">
                  <c:v>3072</c:v>
                </c:pt>
                <c:pt idx="38">
                  <c:v>3073</c:v>
                </c:pt>
                <c:pt idx="39">
                  <c:v>3075</c:v>
                </c:pt>
                <c:pt idx="40">
                  <c:v>3076</c:v>
                </c:pt>
                <c:pt idx="41">
                  <c:v>3078</c:v>
                </c:pt>
                <c:pt idx="42">
                  <c:v>3079</c:v>
                </c:pt>
                <c:pt idx="43">
                  <c:v>3080</c:v>
                </c:pt>
                <c:pt idx="44">
                  <c:v>3081</c:v>
                </c:pt>
                <c:pt idx="45">
                  <c:v>3084</c:v>
                </c:pt>
                <c:pt idx="46">
                  <c:v>3088</c:v>
                </c:pt>
                <c:pt idx="47">
                  <c:v>3089</c:v>
                </c:pt>
                <c:pt idx="48">
                  <c:v>3090</c:v>
                </c:pt>
                <c:pt idx="49">
                  <c:v>3096</c:v>
                </c:pt>
                <c:pt idx="50">
                  <c:v>3100</c:v>
                </c:pt>
                <c:pt idx="51">
                  <c:v>3106</c:v>
                </c:pt>
                <c:pt idx="52">
                  <c:v>3107</c:v>
                </c:pt>
                <c:pt idx="53">
                  <c:v>3108</c:v>
                </c:pt>
                <c:pt idx="54">
                  <c:v>3110</c:v>
                </c:pt>
                <c:pt idx="55">
                  <c:v>3111</c:v>
                </c:pt>
                <c:pt idx="56">
                  <c:v>3112</c:v>
                </c:pt>
                <c:pt idx="57">
                  <c:v>3120</c:v>
                </c:pt>
                <c:pt idx="58">
                  <c:v>3121</c:v>
                </c:pt>
                <c:pt idx="59">
                  <c:v>3145</c:v>
                </c:pt>
                <c:pt idx="60">
                  <c:v>3146</c:v>
                </c:pt>
                <c:pt idx="61">
                  <c:v>3147</c:v>
                </c:pt>
                <c:pt idx="62">
                  <c:v>3187</c:v>
                </c:pt>
                <c:pt idx="63">
                  <c:v>3216</c:v>
                </c:pt>
                <c:pt idx="64">
                  <c:v>3217</c:v>
                </c:pt>
                <c:pt idx="65">
                  <c:v>3218</c:v>
                </c:pt>
                <c:pt idx="66">
                  <c:v>4006</c:v>
                </c:pt>
                <c:pt idx="67">
                  <c:v>4025</c:v>
                </c:pt>
                <c:pt idx="68">
                  <c:v>4030</c:v>
                </c:pt>
                <c:pt idx="69">
                  <c:v>4035</c:v>
                </c:pt>
                <c:pt idx="70">
                  <c:v>4040</c:v>
                </c:pt>
                <c:pt idx="71">
                  <c:v>4050</c:v>
                </c:pt>
                <c:pt idx="72">
                  <c:v>4056</c:v>
                </c:pt>
                <c:pt idx="73">
                  <c:v>4059</c:v>
                </c:pt>
                <c:pt idx="74">
                  <c:v>4065</c:v>
                </c:pt>
                <c:pt idx="75">
                  <c:v>4068</c:v>
                </c:pt>
                <c:pt idx="76">
                  <c:v>4070</c:v>
                </c:pt>
                <c:pt idx="77">
                  <c:v>(blank)</c:v>
                </c:pt>
              </c:strCache>
            </c:strRef>
          </c:cat>
          <c:val>
            <c:numRef>
              <c:f>'Summary Table'!$AO$9:$AO$87</c:f>
              <c:numCache>
                <c:formatCode>General</c:formatCode>
                <c:ptCount val="78"/>
                <c:pt idx="26">
                  <c:v>62</c:v>
                </c:pt>
                <c:pt idx="27">
                  <c:v>37</c:v>
                </c:pt>
                <c:pt idx="63">
                  <c:v>13</c:v>
                </c:pt>
                <c:pt idx="64">
                  <c:v>596</c:v>
                </c:pt>
              </c:numCache>
            </c:numRef>
          </c:val>
        </c:ser>
        <c:ser>
          <c:idx val="18"/>
          <c:order val="18"/>
          <c:tx>
            <c:strRef>
              <c:f>'Summary Table'!$AQ$4:$AQ$8</c:f>
              <c:strCache>
                <c:ptCount val="1"/>
                <c:pt idx="0">
                  <c:v>INFORMATION - Others - Materials - Frequent</c:v>
                </c:pt>
              </c:strCache>
            </c:strRef>
          </c:tx>
          <c:invertIfNegative val="0"/>
          <c:cat>
            <c:strRef>
              <c:f>'Summary Table'!$A$9:$A$87</c:f>
              <c:strCache>
                <c:ptCount val="78"/>
                <c:pt idx="0">
                  <c:v>1160</c:v>
                </c:pt>
                <c:pt idx="1">
                  <c:v>1255</c:v>
                </c:pt>
                <c:pt idx="2">
                  <c:v>1294</c:v>
                </c:pt>
                <c:pt idx="3">
                  <c:v>2000</c:v>
                </c:pt>
                <c:pt idx="4">
                  <c:v>2005</c:v>
                </c:pt>
                <c:pt idx="5">
                  <c:v>2010</c:v>
                </c:pt>
                <c:pt idx="6">
                  <c:v>2015</c:v>
                </c:pt>
                <c:pt idx="7">
                  <c:v>2025</c:v>
                </c:pt>
                <c:pt idx="8">
                  <c:v>2030</c:v>
                </c:pt>
                <c:pt idx="9">
                  <c:v>2055</c:v>
                </c:pt>
                <c:pt idx="10">
                  <c:v>2076</c:v>
                </c:pt>
                <c:pt idx="11">
                  <c:v>2083</c:v>
                </c:pt>
                <c:pt idx="12">
                  <c:v>2086</c:v>
                </c:pt>
                <c:pt idx="13">
                  <c:v>3001</c:v>
                </c:pt>
                <c:pt idx="14">
                  <c:v>3002</c:v>
                </c:pt>
                <c:pt idx="15">
                  <c:v>3004</c:v>
                </c:pt>
                <c:pt idx="16">
                  <c:v>3007</c:v>
                </c:pt>
                <c:pt idx="17">
                  <c:v>3010</c:v>
                </c:pt>
                <c:pt idx="18">
                  <c:v>3013</c:v>
                </c:pt>
                <c:pt idx="19">
                  <c:v>3016</c:v>
                </c:pt>
                <c:pt idx="20">
                  <c:v>3023</c:v>
                </c:pt>
                <c:pt idx="21">
                  <c:v>3024</c:v>
                </c:pt>
                <c:pt idx="22">
                  <c:v>3037</c:v>
                </c:pt>
                <c:pt idx="23">
                  <c:v>3042</c:v>
                </c:pt>
                <c:pt idx="24">
                  <c:v>3046</c:v>
                </c:pt>
                <c:pt idx="25">
                  <c:v>3047</c:v>
                </c:pt>
                <c:pt idx="26">
                  <c:v>3051</c:v>
                </c:pt>
                <c:pt idx="27">
                  <c:v>3052</c:v>
                </c:pt>
                <c:pt idx="28">
                  <c:v>3056</c:v>
                </c:pt>
                <c:pt idx="29">
                  <c:v>3057</c:v>
                </c:pt>
                <c:pt idx="30">
                  <c:v>3058</c:v>
                </c:pt>
                <c:pt idx="31">
                  <c:v>3059</c:v>
                </c:pt>
                <c:pt idx="32">
                  <c:v>3060</c:v>
                </c:pt>
                <c:pt idx="33">
                  <c:v>3061</c:v>
                </c:pt>
                <c:pt idx="34">
                  <c:v>3067</c:v>
                </c:pt>
                <c:pt idx="35">
                  <c:v>3068</c:v>
                </c:pt>
                <c:pt idx="36">
                  <c:v>3071</c:v>
                </c:pt>
                <c:pt idx="37">
                  <c:v>3072</c:v>
                </c:pt>
                <c:pt idx="38">
                  <c:v>3073</c:v>
                </c:pt>
                <c:pt idx="39">
                  <c:v>3075</c:v>
                </c:pt>
                <c:pt idx="40">
                  <c:v>3076</c:v>
                </c:pt>
                <c:pt idx="41">
                  <c:v>3078</c:v>
                </c:pt>
                <c:pt idx="42">
                  <c:v>3079</c:v>
                </c:pt>
                <c:pt idx="43">
                  <c:v>3080</c:v>
                </c:pt>
                <c:pt idx="44">
                  <c:v>3081</c:v>
                </c:pt>
                <c:pt idx="45">
                  <c:v>3084</c:v>
                </c:pt>
                <c:pt idx="46">
                  <c:v>3088</c:v>
                </c:pt>
                <c:pt idx="47">
                  <c:v>3089</c:v>
                </c:pt>
                <c:pt idx="48">
                  <c:v>3090</c:v>
                </c:pt>
                <c:pt idx="49">
                  <c:v>3096</c:v>
                </c:pt>
                <c:pt idx="50">
                  <c:v>3100</c:v>
                </c:pt>
                <c:pt idx="51">
                  <c:v>3106</c:v>
                </c:pt>
                <c:pt idx="52">
                  <c:v>3107</c:v>
                </c:pt>
                <c:pt idx="53">
                  <c:v>3108</c:v>
                </c:pt>
                <c:pt idx="54">
                  <c:v>3110</c:v>
                </c:pt>
                <c:pt idx="55">
                  <c:v>3111</c:v>
                </c:pt>
                <c:pt idx="56">
                  <c:v>3112</c:v>
                </c:pt>
                <c:pt idx="57">
                  <c:v>3120</c:v>
                </c:pt>
                <c:pt idx="58">
                  <c:v>3121</c:v>
                </c:pt>
                <c:pt idx="59">
                  <c:v>3145</c:v>
                </c:pt>
                <c:pt idx="60">
                  <c:v>3146</c:v>
                </c:pt>
                <c:pt idx="61">
                  <c:v>3147</c:v>
                </c:pt>
                <c:pt idx="62">
                  <c:v>3187</c:v>
                </c:pt>
                <c:pt idx="63">
                  <c:v>3216</c:v>
                </c:pt>
                <c:pt idx="64">
                  <c:v>3217</c:v>
                </c:pt>
                <c:pt idx="65">
                  <c:v>3218</c:v>
                </c:pt>
                <c:pt idx="66">
                  <c:v>4006</c:v>
                </c:pt>
                <c:pt idx="67">
                  <c:v>4025</c:v>
                </c:pt>
                <c:pt idx="68">
                  <c:v>4030</c:v>
                </c:pt>
                <c:pt idx="69">
                  <c:v>4035</c:v>
                </c:pt>
                <c:pt idx="70">
                  <c:v>4040</c:v>
                </c:pt>
                <c:pt idx="71">
                  <c:v>4050</c:v>
                </c:pt>
                <c:pt idx="72">
                  <c:v>4056</c:v>
                </c:pt>
                <c:pt idx="73">
                  <c:v>4059</c:v>
                </c:pt>
                <c:pt idx="74">
                  <c:v>4065</c:v>
                </c:pt>
                <c:pt idx="75">
                  <c:v>4068</c:v>
                </c:pt>
                <c:pt idx="76">
                  <c:v>4070</c:v>
                </c:pt>
                <c:pt idx="77">
                  <c:v>(blank)</c:v>
                </c:pt>
              </c:strCache>
            </c:strRef>
          </c:cat>
          <c:val>
            <c:numRef>
              <c:f>'Summary Table'!$AQ$9:$AQ$87</c:f>
              <c:numCache>
                <c:formatCode>General</c:formatCode>
                <c:ptCount val="78"/>
                <c:pt idx="34">
                  <c:v>2</c:v>
                </c:pt>
                <c:pt idx="35">
                  <c:v>1</c:v>
                </c:pt>
                <c:pt idx="36">
                  <c:v>1</c:v>
                </c:pt>
                <c:pt idx="37">
                  <c:v>1</c:v>
                </c:pt>
              </c:numCache>
            </c:numRef>
          </c:val>
        </c:ser>
        <c:ser>
          <c:idx val="19"/>
          <c:order val="19"/>
          <c:tx>
            <c:strRef>
              <c:f>'Summary Table'!$AS$4:$AS$8</c:f>
              <c:strCache>
                <c:ptCount val="1"/>
                <c:pt idx="0">
                  <c:v>INFORMATION - Others - QC - Frequent</c:v>
                </c:pt>
              </c:strCache>
            </c:strRef>
          </c:tx>
          <c:invertIfNegative val="0"/>
          <c:cat>
            <c:strRef>
              <c:f>'Summary Table'!$A$9:$A$87</c:f>
              <c:strCache>
                <c:ptCount val="78"/>
                <c:pt idx="0">
                  <c:v>1160</c:v>
                </c:pt>
                <c:pt idx="1">
                  <c:v>1255</c:v>
                </c:pt>
                <c:pt idx="2">
                  <c:v>1294</c:v>
                </c:pt>
                <c:pt idx="3">
                  <c:v>2000</c:v>
                </c:pt>
                <c:pt idx="4">
                  <c:v>2005</c:v>
                </c:pt>
                <c:pt idx="5">
                  <c:v>2010</c:v>
                </c:pt>
                <c:pt idx="6">
                  <c:v>2015</c:v>
                </c:pt>
                <c:pt idx="7">
                  <c:v>2025</c:v>
                </c:pt>
                <c:pt idx="8">
                  <c:v>2030</c:v>
                </c:pt>
                <c:pt idx="9">
                  <c:v>2055</c:v>
                </c:pt>
                <c:pt idx="10">
                  <c:v>2076</c:v>
                </c:pt>
                <c:pt idx="11">
                  <c:v>2083</c:v>
                </c:pt>
                <c:pt idx="12">
                  <c:v>2086</c:v>
                </c:pt>
                <c:pt idx="13">
                  <c:v>3001</c:v>
                </c:pt>
                <c:pt idx="14">
                  <c:v>3002</c:v>
                </c:pt>
                <c:pt idx="15">
                  <c:v>3004</c:v>
                </c:pt>
                <c:pt idx="16">
                  <c:v>3007</c:v>
                </c:pt>
                <c:pt idx="17">
                  <c:v>3010</c:v>
                </c:pt>
                <c:pt idx="18">
                  <c:v>3013</c:v>
                </c:pt>
                <c:pt idx="19">
                  <c:v>3016</c:v>
                </c:pt>
                <c:pt idx="20">
                  <c:v>3023</c:v>
                </c:pt>
                <c:pt idx="21">
                  <c:v>3024</c:v>
                </c:pt>
                <c:pt idx="22">
                  <c:v>3037</c:v>
                </c:pt>
                <c:pt idx="23">
                  <c:v>3042</c:v>
                </c:pt>
                <c:pt idx="24">
                  <c:v>3046</c:v>
                </c:pt>
                <c:pt idx="25">
                  <c:v>3047</c:v>
                </c:pt>
                <c:pt idx="26">
                  <c:v>3051</c:v>
                </c:pt>
                <c:pt idx="27">
                  <c:v>3052</c:v>
                </c:pt>
                <c:pt idx="28">
                  <c:v>3056</c:v>
                </c:pt>
                <c:pt idx="29">
                  <c:v>3057</c:v>
                </c:pt>
                <c:pt idx="30">
                  <c:v>3058</c:v>
                </c:pt>
                <c:pt idx="31">
                  <c:v>3059</c:v>
                </c:pt>
                <c:pt idx="32">
                  <c:v>3060</c:v>
                </c:pt>
                <c:pt idx="33">
                  <c:v>3061</c:v>
                </c:pt>
                <c:pt idx="34">
                  <c:v>3067</c:v>
                </c:pt>
                <c:pt idx="35">
                  <c:v>3068</c:v>
                </c:pt>
                <c:pt idx="36">
                  <c:v>3071</c:v>
                </c:pt>
                <c:pt idx="37">
                  <c:v>3072</c:v>
                </c:pt>
                <c:pt idx="38">
                  <c:v>3073</c:v>
                </c:pt>
                <c:pt idx="39">
                  <c:v>3075</c:v>
                </c:pt>
                <c:pt idx="40">
                  <c:v>3076</c:v>
                </c:pt>
                <c:pt idx="41">
                  <c:v>3078</c:v>
                </c:pt>
                <c:pt idx="42">
                  <c:v>3079</c:v>
                </c:pt>
                <c:pt idx="43">
                  <c:v>3080</c:v>
                </c:pt>
                <c:pt idx="44">
                  <c:v>3081</c:v>
                </c:pt>
                <c:pt idx="45">
                  <c:v>3084</c:v>
                </c:pt>
                <c:pt idx="46">
                  <c:v>3088</c:v>
                </c:pt>
                <c:pt idx="47">
                  <c:v>3089</c:v>
                </c:pt>
                <c:pt idx="48">
                  <c:v>3090</c:v>
                </c:pt>
                <c:pt idx="49">
                  <c:v>3096</c:v>
                </c:pt>
                <c:pt idx="50">
                  <c:v>3100</c:v>
                </c:pt>
                <c:pt idx="51">
                  <c:v>3106</c:v>
                </c:pt>
                <c:pt idx="52">
                  <c:v>3107</c:v>
                </c:pt>
                <c:pt idx="53">
                  <c:v>3108</c:v>
                </c:pt>
                <c:pt idx="54">
                  <c:v>3110</c:v>
                </c:pt>
                <c:pt idx="55">
                  <c:v>3111</c:v>
                </c:pt>
                <c:pt idx="56">
                  <c:v>3112</c:v>
                </c:pt>
                <c:pt idx="57">
                  <c:v>3120</c:v>
                </c:pt>
                <c:pt idx="58">
                  <c:v>3121</c:v>
                </c:pt>
                <c:pt idx="59">
                  <c:v>3145</c:v>
                </c:pt>
                <c:pt idx="60">
                  <c:v>3146</c:v>
                </c:pt>
                <c:pt idx="61">
                  <c:v>3147</c:v>
                </c:pt>
                <c:pt idx="62">
                  <c:v>3187</c:v>
                </c:pt>
                <c:pt idx="63">
                  <c:v>3216</c:v>
                </c:pt>
                <c:pt idx="64">
                  <c:v>3217</c:v>
                </c:pt>
                <c:pt idx="65">
                  <c:v>3218</c:v>
                </c:pt>
                <c:pt idx="66">
                  <c:v>4006</c:v>
                </c:pt>
                <c:pt idx="67">
                  <c:v>4025</c:v>
                </c:pt>
                <c:pt idx="68">
                  <c:v>4030</c:v>
                </c:pt>
                <c:pt idx="69">
                  <c:v>4035</c:v>
                </c:pt>
                <c:pt idx="70">
                  <c:v>4040</c:v>
                </c:pt>
                <c:pt idx="71">
                  <c:v>4050</c:v>
                </c:pt>
                <c:pt idx="72">
                  <c:v>4056</c:v>
                </c:pt>
                <c:pt idx="73">
                  <c:v>4059</c:v>
                </c:pt>
                <c:pt idx="74">
                  <c:v>4065</c:v>
                </c:pt>
                <c:pt idx="75">
                  <c:v>4068</c:v>
                </c:pt>
                <c:pt idx="76">
                  <c:v>4070</c:v>
                </c:pt>
                <c:pt idx="77">
                  <c:v>(blank)</c:v>
                </c:pt>
              </c:strCache>
            </c:strRef>
          </c:cat>
          <c:val>
            <c:numRef>
              <c:f>'Summary Table'!$AS$9:$AS$87</c:f>
              <c:numCache>
                <c:formatCode>General</c:formatCode>
                <c:ptCount val="78"/>
                <c:pt idx="40">
                  <c:v>6</c:v>
                </c:pt>
                <c:pt idx="41">
                  <c:v>17</c:v>
                </c:pt>
                <c:pt idx="42">
                  <c:v>16</c:v>
                </c:pt>
                <c:pt idx="43">
                  <c:v>20</c:v>
                </c:pt>
                <c:pt idx="44">
                  <c:v>5</c:v>
                </c:pt>
                <c:pt idx="59">
                  <c:v>1</c:v>
                </c:pt>
                <c:pt idx="60">
                  <c:v>1</c:v>
                </c:pt>
                <c:pt idx="61">
                  <c:v>1</c:v>
                </c:pt>
              </c:numCache>
            </c:numRef>
          </c:val>
        </c:ser>
        <c:ser>
          <c:idx val="20"/>
          <c:order val="20"/>
          <c:tx>
            <c:strRef>
              <c:f>'Summary Table'!$AV$4:$AV$8</c:f>
              <c:strCache>
                <c:ptCount val="1"/>
                <c:pt idx="0">
                  <c:v>INFORMATION - SW - SW - Frequent</c:v>
                </c:pt>
              </c:strCache>
            </c:strRef>
          </c:tx>
          <c:invertIfNegative val="0"/>
          <c:cat>
            <c:strRef>
              <c:f>'Summary Table'!$A$9:$A$87</c:f>
              <c:strCache>
                <c:ptCount val="78"/>
                <c:pt idx="0">
                  <c:v>1160</c:v>
                </c:pt>
                <c:pt idx="1">
                  <c:v>1255</c:v>
                </c:pt>
                <c:pt idx="2">
                  <c:v>1294</c:v>
                </c:pt>
                <c:pt idx="3">
                  <c:v>2000</c:v>
                </c:pt>
                <c:pt idx="4">
                  <c:v>2005</c:v>
                </c:pt>
                <c:pt idx="5">
                  <c:v>2010</c:v>
                </c:pt>
                <c:pt idx="6">
                  <c:v>2015</c:v>
                </c:pt>
                <c:pt idx="7">
                  <c:v>2025</c:v>
                </c:pt>
                <c:pt idx="8">
                  <c:v>2030</c:v>
                </c:pt>
                <c:pt idx="9">
                  <c:v>2055</c:v>
                </c:pt>
                <c:pt idx="10">
                  <c:v>2076</c:v>
                </c:pt>
                <c:pt idx="11">
                  <c:v>2083</c:v>
                </c:pt>
                <c:pt idx="12">
                  <c:v>2086</c:v>
                </c:pt>
                <c:pt idx="13">
                  <c:v>3001</c:v>
                </c:pt>
                <c:pt idx="14">
                  <c:v>3002</c:v>
                </c:pt>
                <c:pt idx="15">
                  <c:v>3004</c:v>
                </c:pt>
                <c:pt idx="16">
                  <c:v>3007</c:v>
                </c:pt>
                <c:pt idx="17">
                  <c:v>3010</c:v>
                </c:pt>
                <c:pt idx="18">
                  <c:v>3013</c:v>
                </c:pt>
                <c:pt idx="19">
                  <c:v>3016</c:v>
                </c:pt>
                <c:pt idx="20">
                  <c:v>3023</c:v>
                </c:pt>
                <c:pt idx="21">
                  <c:v>3024</c:v>
                </c:pt>
                <c:pt idx="22">
                  <c:v>3037</c:v>
                </c:pt>
                <c:pt idx="23">
                  <c:v>3042</c:v>
                </c:pt>
                <c:pt idx="24">
                  <c:v>3046</c:v>
                </c:pt>
                <c:pt idx="25">
                  <c:v>3047</c:v>
                </c:pt>
                <c:pt idx="26">
                  <c:v>3051</c:v>
                </c:pt>
                <c:pt idx="27">
                  <c:v>3052</c:v>
                </c:pt>
                <c:pt idx="28">
                  <c:v>3056</c:v>
                </c:pt>
                <c:pt idx="29">
                  <c:v>3057</c:v>
                </c:pt>
                <c:pt idx="30">
                  <c:v>3058</c:v>
                </c:pt>
                <c:pt idx="31">
                  <c:v>3059</c:v>
                </c:pt>
                <c:pt idx="32">
                  <c:v>3060</c:v>
                </c:pt>
                <c:pt idx="33">
                  <c:v>3061</c:v>
                </c:pt>
                <c:pt idx="34">
                  <c:v>3067</c:v>
                </c:pt>
                <c:pt idx="35">
                  <c:v>3068</c:v>
                </c:pt>
                <c:pt idx="36">
                  <c:v>3071</c:v>
                </c:pt>
                <c:pt idx="37">
                  <c:v>3072</c:v>
                </c:pt>
                <c:pt idx="38">
                  <c:v>3073</c:v>
                </c:pt>
                <c:pt idx="39">
                  <c:v>3075</c:v>
                </c:pt>
                <c:pt idx="40">
                  <c:v>3076</c:v>
                </c:pt>
                <c:pt idx="41">
                  <c:v>3078</c:v>
                </c:pt>
                <c:pt idx="42">
                  <c:v>3079</c:v>
                </c:pt>
                <c:pt idx="43">
                  <c:v>3080</c:v>
                </c:pt>
                <c:pt idx="44">
                  <c:v>3081</c:v>
                </c:pt>
                <c:pt idx="45">
                  <c:v>3084</c:v>
                </c:pt>
                <c:pt idx="46">
                  <c:v>3088</c:v>
                </c:pt>
                <c:pt idx="47">
                  <c:v>3089</c:v>
                </c:pt>
                <c:pt idx="48">
                  <c:v>3090</c:v>
                </c:pt>
                <c:pt idx="49">
                  <c:v>3096</c:v>
                </c:pt>
                <c:pt idx="50">
                  <c:v>3100</c:v>
                </c:pt>
                <c:pt idx="51">
                  <c:v>3106</c:v>
                </c:pt>
                <c:pt idx="52">
                  <c:v>3107</c:v>
                </c:pt>
                <c:pt idx="53">
                  <c:v>3108</c:v>
                </c:pt>
                <c:pt idx="54">
                  <c:v>3110</c:v>
                </c:pt>
                <c:pt idx="55">
                  <c:v>3111</c:v>
                </c:pt>
                <c:pt idx="56">
                  <c:v>3112</c:v>
                </c:pt>
                <c:pt idx="57">
                  <c:v>3120</c:v>
                </c:pt>
                <c:pt idx="58">
                  <c:v>3121</c:v>
                </c:pt>
                <c:pt idx="59">
                  <c:v>3145</c:v>
                </c:pt>
                <c:pt idx="60">
                  <c:v>3146</c:v>
                </c:pt>
                <c:pt idx="61">
                  <c:v>3147</c:v>
                </c:pt>
                <c:pt idx="62">
                  <c:v>3187</c:v>
                </c:pt>
                <c:pt idx="63">
                  <c:v>3216</c:v>
                </c:pt>
                <c:pt idx="64">
                  <c:v>3217</c:v>
                </c:pt>
                <c:pt idx="65">
                  <c:v>3218</c:v>
                </c:pt>
                <c:pt idx="66">
                  <c:v>4006</c:v>
                </c:pt>
                <c:pt idx="67">
                  <c:v>4025</c:v>
                </c:pt>
                <c:pt idx="68">
                  <c:v>4030</c:v>
                </c:pt>
                <c:pt idx="69">
                  <c:v>4035</c:v>
                </c:pt>
                <c:pt idx="70">
                  <c:v>4040</c:v>
                </c:pt>
                <c:pt idx="71">
                  <c:v>4050</c:v>
                </c:pt>
                <c:pt idx="72">
                  <c:v>4056</c:v>
                </c:pt>
                <c:pt idx="73">
                  <c:v>4059</c:v>
                </c:pt>
                <c:pt idx="74">
                  <c:v>4065</c:v>
                </c:pt>
                <c:pt idx="75">
                  <c:v>4068</c:v>
                </c:pt>
                <c:pt idx="76">
                  <c:v>4070</c:v>
                </c:pt>
                <c:pt idx="77">
                  <c:v>(blank)</c:v>
                </c:pt>
              </c:strCache>
            </c:strRef>
          </c:cat>
          <c:val>
            <c:numRef>
              <c:f>'Summary Table'!$AV$9:$AV$87</c:f>
              <c:numCache>
                <c:formatCode>General</c:formatCode>
                <c:ptCount val="78"/>
                <c:pt idx="24">
                  <c:v>1787</c:v>
                </c:pt>
              </c:numCache>
            </c:numRef>
          </c:val>
        </c:ser>
        <c:ser>
          <c:idx val="21"/>
          <c:order val="21"/>
          <c:tx>
            <c:strRef>
              <c:f>'Summary Table'!$AY$4:$AY$8</c:f>
              <c:strCache>
                <c:ptCount val="1"/>
                <c:pt idx="0">
                  <c:v>INFORMATION - (blank) - (blank) - (blank)</c:v>
                </c:pt>
              </c:strCache>
            </c:strRef>
          </c:tx>
          <c:invertIfNegative val="0"/>
          <c:cat>
            <c:strRef>
              <c:f>'Summary Table'!$A$9:$A$87</c:f>
              <c:strCache>
                <c:ptCount val="78"/>
                <c:pt idx="0">
                  <c:v>1160</c:v>
                </c:pt>
                <c:pt idx="1">
                  <c:v>1255</c:v>
                </c:pt>
                <c:pt idx="2">
                  <c:v>1294</c:v>
                </c:pt>
                <c:pt idx="3">
                  <c:v>2000</c:v>
                </c:pt>
                <c:pt idx="4">
                  <c:v>2005</c:v>
                </c:pt>
                <c:pt idx="5">
                  <c:v>2010</c:v>
                </c:pt>
                <c:pt idx="6">
                  <c:v>2015</c:v>
                </c:pt>
                <c:pt idx="7">
                  <c:v>2025</c:v>
                </c:pt>
                <c:pt idx="8">
                  <c:v>2030</c:v>
                </c:pt>
                <c:pt idx="9">
                  <c:v>2055</c:v>
                </c:pt>
                <c:pt idx="10">
                  <c:v>2076</c:v>
                </c:pt>
                <c:pt idx="11">
                  <c:v>2083</c:v>
                </c:pt>
                <c:pt idx="12">
                  <c:v>2086</c:v>
                </c:pt>
                <c:pt idx="13">
                  <c:v>3001</c:v>
                </c:pt>
                <c:pt idx="14">
                  <c:v>3002</c:v>
                </c:pt>
                <c:pt idx="15">
                  <c:v>3004</c:v>
                </c:pt>
                <c:pt idx="16">
                  <c:v>3007</c:v>
                </c:pt>
                <c:pt idx="17">
                  <c:v>3010</c:v>
                </c:pt>
                <c:pt idx="18">
                  <c:v>3013</c:v>
                </c:pt>
                <c:pt idx="19">
                  <c:v>3016</c:v>
                </c:pt>
                <c:pt idx="20">
                  <c:v>3023</c:v>
                </c:pt>
                <c:pt idx="21">
                  <c:v>3024</c:v>
                </c:pt>
                <c:pt idx="22">
                  <c:v>3037</c:v>
                </c:pt>
                <c:pt idx="23">
                  <c:v>3042</c:v>
                </c:pt>
                <c:pt idx="24">
                  <c:v>3046</c:v>
                </c:pt>
                <c:pt idx="25">
                  <c:v>3047</c:v>
                </c:pt>
                <c:pt idx="26">
                  <c:v>3051</c:v>
                </c:pt>
                <c:pt idx="27">
                  <c:v>3052</c:v>
                </c:pt>
                <c:pt idx="28">
                  <c:v>3056</c:v>
                </c:pt>
                <c:pt idx="29">
                  <c:v>3057</c:v>
                </c:pt>
                <c:pt idx="30">
                  <c:v>3058</c:v>
                </c:pt>
                <c:pt idx="31">
                  <c:v>3059</c:v>
                </c:pt>
                <c:pt idx="32">
                  <c:v>3060</c:v>
                </c:pt>
                <c:pt idx="33">
                  <c:v>3061</c:v>
                </c:pt>
                <c:pt idx="34">
                  <c:v>3067</c:v>
                </c:pt>
                <c:pt idx="35">
                  <c:v>3068</c:v>
                </c:pt>
                <c:pt idx="36">
                  <c:v>3071</c:v>
                </c:pt>
                <c:pt idx="37">
                  <c:v>3072</c:v>
                </c:pt>
                <c:pt idx="38">
                  <c:v>3073</c:v>
                </c:pt>
                <c:pt idx="39">
                  <c:v>3075</c:v>
                </c:pt>
                <c:pt idx="40">
                  <c:v>3076</c:v>
                </c:pt>
                <c:pt idx="41">
                  <c:v>3078</c:v>
                </c:pt>
                <c:pt idx="42">
                  <c:v>3079</c:v>
                </c:pt>
                <c:pt idx="43">
                  <c:v>3080</c:v>
                </c:pt>
                <c:pt idx="44">
                  <c:v>3081</c:v>
                </c:pt>
                <c:pt idx="45">
                  <c:v>3084</c:v>
                </c:pt>
                <c:pt idx="46">
                  <c:v>3088</c:v>
                </c:pt>
                <c:pt idx="47">
                  <c:v>3089</c:v>
                </c:pt>
                <c:pt idx="48">
                  <c:v>3090</c:v>
                </c:pt>
                <c:pt idx="49">
                  <c:v>3096</c:v>
                </c:pt>
                <c:pt idx="50">
                  <c:v>3100</c:v>
                </c:pt>
                <c:pt idx="51">
                  <c:v>3106</c:v>
                </c:pt>
                <c:pt idx="52">
                  <c:v>3107</c:v>
                </c:pt>
                <c:pt idx="53">
                  <c:v>3108</c:v>
                </c:pt>
                <c:pt idx="54">
                  <c:v>3110</c:v>
                </c:pt>
                <c:pt idx="55">
                  <c:v>3111</c:v>
                </c:pt>
                <c:pt idx="56">
                  <c:v>3112</c:v>
                </c:pt>
                <c:pt idx="57">
                  <c:v>3120</c:v>
                </c:pt>
                <c:pt idx="58">
                  <c:v>3121</c:v>
                </c:pt>
                <c:pt idx="59">
                  <c:v>3145</c:v>
                </c:pt>
                <c:pt idx="60">
                  <c:v>3146</c:v>
                </c:pt>
                <c:pt idx="61">
                  <c:v>3147</c:v>
                </c:pt>
                <c:pt idx="62">
                  <c:v>3187</c:v>
                </c:pt>
                <c:pt idx="63">
                  <c:v>3216</c:v>
                </c:pt>
                <c:pt idx="64">
                  <c:v>3217</c:v>
                </c:pt>
                <c:pt idx="65">
                  <c:v>3218</c:v>
                </c:pt>
                <c:pt idx="66">
                  <c:v>4006</c:v>
                </c:pt>
                <c:pt idx="67">
                  <c:v>4025</c:v>
                </c:pt>
                <c:pt idx="68">
                  <c:v>4030</c:v>
                </c:pt>
                <c:pt idx="69">
                  <c:v>4035</c:v>
                </c:pt>
                <c:pt idx="70">
                  <c:v>4040</c:v>
                </c:pt>
                <c:pt idx="71">
                  <c:v>4050</c:v>
                </c:pt>
                <c:pt idx="72">
                  <c:v>4056</c:v>
                </c:pt>
                <c:pt idx="73">
                  <c:v>4059</c:v>
                </c:pt>
                <c:pt idx="74">
                  <c:v>4065</c:v>
                </c:pt>
                <c:pt idx="75">
                  <c:v>4068</c:v>
                </c:pt>
                <c:pt idx="76">
                  <c:v>4070</c:v>
                </c:pt>
                <c:pt idx="77">
                  <c:v>(blank)</c:v>
                </c:pt>
              </c:strCache>
            </c:strRef>
          </c:cat>
          <c:val>
            <c:numRef>
              <c:f>'Summary Table'!$AY$9:$AY$87</c:f>
              <c:numCache>
                <c:formatCode>General</c:formatCode>
                <c:ptCount val="78"/>
                <c:pt idx="58">
                  <c:v>8</c:v>
                </c:pt>
                <c:pt idx="74">
                  <c:v>1</c:v>
                </c:pt>
                <c:pt idx="76">
                  <c:v>2</c:v>
                </c:pt>
              </c:numCache>
            </c:numRef>
          </c:val>
        </c:ser>
        <c:ser>
          <c:idx val="22"/>
          <c:order val="22"/>
          <c:tx>
            <c:strRef>
              <c:f>'Summary Table'!$BC$4:$BC$8</c:f>
              <c:strCache>
                <c:ptCount val="1"/>
                <c:pt idx="0">
                  <c:v>WARNING - Barcode/Racks - Barcode - Frequent</c:v>
                </c:pt>
              </c:strCache>
            </c:strRef>
          </c:tx>
          <c:invertIfNegative val="0"/>
          <c:cat>
            <c:strRef>
              <c:f>'Summary Table'!$A$9:$A$87</c:f>
              <c:strCache>
                <c:ptCount val="78"/>
                <c:pt idx="0">
                  <c:v>1160</c:v>
                </c:pt>
                <c:pt idx="1">
                  <c:v>1255</c:v>
                </c:pt>
                <c:pt idx="2">
                  <c:v>1294</c:v>
                </c:pt>
                <c:pt idx="3">
                  <c:v>2000</c:v>
                </c:pt>
                <c:pt idx="4">
                  <c:v>2005</c:v>
                </c:pt>
                <c:pt idx="5">
                  <c:v>2010</c:v>
                </c:pt>
                <c:pt idx="6">
                  <c:v>2015</c:v>
                </c:pt>
                <c:pt idx="7">
                  <c:v>2025</c:v>
                </c:pt>
                <c:pt idx="8">
                  <c:v>2030</c:v>
                </c:pt>
                <c:pt idx="9">
                  <c:v>2055</c:v>
                </c:pt>
                <c:pt idx="10">
                  <c:v>2076</c:v>
                </c:pt>
                <c:pt idx="11">
                  <c:v>2083</c:v>
                </c:pt>
                <c:pt idx="12">
                  <c:v>2086</c:v>
                </c:pt>
                <c:pt idx="13">
                  <c:v>3001</c:v>
                </c:pt>
                <c:pt idx="14">
                  <c:v>3002</c:v>
                </c:pt>
                <c:pt idx="15">
                  <c:v>3004</c:v>
                </c:pt>
                <c:pt idx="16">
                  <c:v>3007</c:v>
                </c:pt>
                <c:pt idx="17">
                  <c:v>3010</c:v>
                </c:pt>
                <c:pt idx="18">
                  <c:v>3013</c:v>
                </c:pt>
                <c:pt idx="19">
                  <c:v>3016</c:v>
                </c:pt>
                <c:pt idx="20">
                  <c:v>3023</c:v>
                </c:pt>
                <c:pt idx="21">
                  <c:v>3024</c:v>
                </c:pt>
                <c:pt idx="22">
                  <c:v>3037</c:v>
                </c:pt>
                <c:pt idx="23">
                  <c:v>3042</c:v>
                </c:pt>
                <c:pt idx="24">
                  <c:v>3046</c:v>
                </c:pt>
                <c:pt idx="25">
                  <c:v>3047</c:v>
                </c:pt>
                <c:pt idx="26">
                  <c:v>3051</c:v>
                </c:pt>
                <c:pt idx="27">
                  <c:v>3052</c:v>
                </c:pt>
                <c:pt idx="28">
                  <c:v>3056</c:v>
                </c:pt>
                <c:pt idx="29">
                  <c:v>3057</c:v>
                </c:pt>
                <c:pt idx="30">
                  <c:v>3058</c:v>
                </c:pt>
                <c:pt idx="31">
                  <c:v>3059</c:v>
                </c:pt>
                <c:pt idx="32">
                  <c:v>3060</c:v>
                </c:pt>
                <c:pt idx="33">
                  <c:v>3061</c:v>
                </c:pt>
                <c:pt idx="34">
                  <c:v>3067</c:v>
                </c:pt>
                <c:pt idx="35">
                  <c:v>3068</c:v>
                </c:pt>
                <c:pt idx="36">
                  <c:v>3071</c:v>
                </c:pt>
                <c:pt idx="37">
                  <c:v>3072</c:v>
                </c:pt>
                <c:pt idx="38">
                  <c:v>3073</c:v>
                </c:pt>
                <c:pt idx="39">
                  <c:v>3075</c:v>
                </c:pt>
                <c:pt idx="40">
                  <c:v>3076</c:v>
                </c:pt>
                <c:pt idx="41">
                  <c:v>3078</c:v>
                </c:pt>
                <c:pt idx="42">
                  <c:v>3079</c:v>
                </c:pt>
                <c:pt idx="43">
                  <c:v>3080</c:v>
                </c:pt>
                <c:pt idx="44">
                  <c:v>3081</c:v>
                </c:pt>
                <c:pt idx="45">
                  <c:v>3084</c:v>
                </c:pt>
                <c:pt idx="46">
                  <c:v>3088</c:v>
                </c:pt>
                <c:pt idx="47">
                  <c:v>3089</c:v>
                </c:pt>
                <c:pt idx="48">
                  <c:v>3090</c:v>
                </c:pt>
                <c:pt idx="49">
                  <c:v>3096</c:v>
                </c:pt>
                <c:pt idx="50">
                  <c:v>3100</c:v>
                </c:pt>
                <c:pt idx="51">
                  <c:v>3106</c:v>
                </c:pt>
                <c:pt idx="52">
                  <c:v>3107</c:v>
                </c:pt>
                <c:pt idx="53">
                  <c:v>3108</c:v>
                </c:pt>
                <c:pt idx="54">
                  <c:v>3110</c:v>
                </c:pt>
                <c:pt idx="55">
                  <c:v>3111</c:v>
                </c:pt>
                <c:pt idx="56">
                  <c:v>3112</c:v>
                </c:pt>
                <c:pt idx="57">
                  <c:v>3120</c:v>
                </c:pt>
                <c:pt idx="58">
                  <c:v>3121</c:v>
                </c:pt>
                <c:pt idx="59">
                  <c:v>3145</c:v>
                </c:pt>
                <c:pt idx="60">
                  <c:v>3146</c:v>
                </c:pt>
                <c:pt idx="61">
                  <c:v>3147</c:v>
                </c:pt>
                <c:pt idx="62">
                  <c:v>3187</c:v>
                </c:pt>
                <c:pt idx="63">
                  <c:v>3216</c:v>
                </c:pt>
                <c:pt idx="64">
                  <c:v>3217</c:v>
                </c:pt>
                <c:pt idx="65">
                  <c:v>3218</c:v>
                </c:pt>
                <c:pt idx="66">
                  <c:v>4006</c:v>
                </c:pt>
                <c:pt idx="67">
                  <c:v>4025</c:v>
                </c:pt>
                <c:pt idx="68">
                  <c:v>4030</c:v>
                </c:pt>
                <c:pt idx="69">
                  <c:v>4035</c:v>
                </c:pt>
                <c:pt idx="70">
                  <c:v>4040</c:v>
                </c:pt>
                <c:pt idx="71">
                  <c:v>4050</c:v>
                </c:pt>
                <c:pt idx="72">
                  <c:v>4056</c:v>
                </c:pt>
                <c:pt idx="73">
                  <c:v>4059</c:v>
                </c:pt>
                <c:pt idx="74">
                  <c:v>4065</c:v>
                </c:pt>
                <c:pt idx="75">
                  <c:v>4068</c:v>
                </c:pt>
                <c:pt idx="76">
                  <c:v>4070</c:v>
                </c:pt>
                <c:pt idx="77">
                  <c:v>(blank)</c:v>
                </c:pt>
              </c:strCache>
            </c:strRef>
          </c:cat>
          <c:val>
            <c:numRef>
              <c:f>'Summary Table'!$BC$9:$BC$87</c:f>
              <c:numCache>
                <c:formatCode>General</c:formatCode>
                <c:ptCount val="78"/>
                <c:pt idx="20">
                  <c:v>5</c:v>
                </c:pt>
                <c:pt idx="66">
                  <c:v>1</c:v>
                </c:pt>
              </c:numCache>
            </c:numRef>
          </c:val>
        </c:ser>
        <c:ser>
          <c:idx val="23"/>
          <c:order val="23"/>
          <c:tx>
            <c:strRef>
              <c:f>'Summary Table'!$BF$4:$BF$8</c:f>
              <c:strCache>
                <c:ptCount val="1"/>
                <c:pt idx="0">
                  <c:v>WARNING - Cuvettes Movement - Cuvette Waste - Frequent</c:v>
                </c:pt>
              </c:strCache>
            </c:strRef>
          </c:tx>
          <c:invertIfNegative val="0"/>
          <c:cat>
            <c:strRef>
              <c:f>'Summary Table'!$A$9:$A$87</c:f>
              <c:strCache>
                <c:ptCount val="78"/>
                <c:pt idx="0">
                  <c:v>1160</c:v>
                </c:pt>
                <c:pt idx="1">
                  <c:v>1255</c:v>
                </c:pt>
                <c:pt idx="2">
                  <c:v>1294</c:v>
                </c:pt>
                <c:pt idx="3">
                  <c:v>2000</c:v>
                </c:pt>
                <c:pt idx="4">
                  <c:v>2005</c:v>
                </c:pt>
                <c:pt idx="5">
                  <c:v>2010</c:v>
                </c:pt>
                <c:pt idx="6">
                  <c:v>2015</c:v>
                </c:pt>
                <c:pt idx="7">
                  <c:v>2025</c:v>
                </c:pt>
                <c:pt idx="8">
                  <c:v>2030</c:v>
                </c:pt>
                <c:pt idx="9">
                  <c:v>2055</c:v>
                </c:pt>
                <c:pt idx="10">
                  <c:v>2076</c:v>
                </c:pt>
                <c:pt idx="11">
                  <c:v>2083</c:v>
                </c:pt>
                <c:pt idx="12">
                  <c:v>2086</c:v>
                </c:pt>
                <c:pt idx="13">
                  <c:v>3001</c:v>
                </c:pt>
                <c:pt idx="14">
                  <c:v>3002</c:v>
                </c:pt>
                <c:pt idx="15">
                  <c:v>3004</c:v>
                </c:pt>
                <c:pt idx="16">
                  <c:v>3007</c:v>
                </c:pt>
                <c:pt idx="17">
                  <c:v>3010</c:v>
                </c:pt>
                <c:pt idx="18">
                  <c:v>3013</c:v>
                </c:pt>
                <c:pt idx="19">
                  <c:v>3016</c:v>
                </c:pt>
                <c:pt idx="20">
                  <c:v>3023</c:v>
                </c:pt>
                <c:pt idx="21">
                  <c:v>3024</c:v>
                </c:pt>
                <c:pt idx="22">
                  <c:v>3037</c:v>
                </c:pt>
                <c:pt idx="23">
                  <c:v>3042</c:v>
                </c:pt>
                <c:pt idx="24">
                  <c:v>3046</c:v>
                </c:pt>
                <c:pt idx="25">
                  <c:v>3047</c:v>
                </c:pt>
                <c:pt idx="26">
                  <c:v>3051</c:v>
                </c:pt>
                <c:pt idx="27">
                  <c:v>3052</c:v>
                </c:pt>
                <c:pt idx="28">
                  <c:v>3056</c:v>
                </c:pt>
                <c:pt idx="29">
                  <c:v>3057</c:v>
                </c:pt>
                <c:pt idx="30">
                  <c:v>3058</c:v>
                </c:pt>
                <c:pt idx="31">
                  <c:v>3059</c:v>
                </c:pt>
                <c:pt idx="32">
                  <c:v>3060</c:v>
                </c:pt>
                <c:pt idx="33">
                  <c:v>3061</c:v>
                </c:pt>
                <c:pt idx="34">
                  <c:v>3067</c:v>
                </c:pt>
                <c:pt idx="35">
                  <c:v>3068</c:v>
                </c:pt>
                <c:pt idx="36">
                  <c:v>3071</c:v>
                </c:pt>
                <c:pt idx="37">
                  <c:v>3072</c:v>
                </c:pt>
                <c:pt idx="38">
                  <c:v>3073</c:v>
                </c:pt>
                <c:pt idx="39">
                  <c:v>3075</c:v>
                </c:pt>
                <c:pt idx="40">
                  <c:v>3076</c:v>
                </c:pt>
                <c:pt idx="41">
                  <c:v>3078</c:v>
                </c:pt>
                <c:pt idx="42">
                  <c:v>3079</c:v>
                </c:pt>
                <c:pt idx="43">
                  <c:v>3080</c:v>
                </c:pt>
                <c:pt idx="44">
                  <c:v>3081</c:v>
                </c:pt>
                <c:pt idx="45">
                  <c:v>3084</c:v>
                </c:pt>
                <c:pt idx="46">
                  <c:v>3088</c:v>
                </c:pt>
                <c:pt idx="47">
                  <c:v>3089</c:v>
                </c:pt>
                <c:pt idx="48">
                  <c:v>3090</c:v>
                </c:pt>
                <c:pt idx="49">
                  <c:v>3096</c:v>
                </c:pt>
                <c:pt idx="50">
                  <c:v>3100</c:v>
                </c:pt>
                <c:pt idx="51">
                  <c:v>3106</c:v>
                </c:pt>
                <c:pt idx="52">
                  <c:v>3107</c:v>
                </c:pt>
                <c:pt idx="53">
                  <c:v>3108</c:v>
                </c:pt>
                <c:pt idx="54">
                  <c:v>3110</c:v>
                </c:pt>
                <c:pt idx="55">
                  <c:v>3111</c:v>
                </c:pt>
                <c:pt idx="56">
                  <c:v>3112</c:v>
                </c:pt>
                <c:pt idx="57">
                  <c:v>3120</c:v>
                </c:pt>
                <c:pt idx="58">
                  <c:v>3121</c:v>
                </c:pt>
                <c:pt idx="59">
                  <c:v>3145</c:v>
                </c:pt>
                <c:pt idx="60">
                  <c:v>3146</c:v>
                </c:pt>
                <c:pt idx="61">
                  <c:v>3147</c:v>
                </c:pt>
                <c:pt idx="62">
                  <c:v>3187</c:v>
                </c:pt>
                <c:pt idx="63">
                  <c:v>3216</c:v>
                </c:pt>
                <c:pt idx="64">
                  <c:v>3217</c:v>
                </c:pt>
                <c:pt idx="65">
                  <c:v>3218</c:v>
                </c:pt>
                <c:pt idx="66">
                  <c:v>4006</c:v>
                </c:pt>
                <c:pt idx="67">
                  <c:v>4025</c:v>
                </c:pt>
                <c:pt idx="68">
                  <c:v>4030</c:v>
                </c:pt>
                <c:pt idx="69">
                  <c:v>4035</c:v>
                </c:pt>
                <c:pt idx="70">
                  <c:v>4040</c:v>
                </c:pt>
                <c:pt idx="71">
                  <c:v>4050</c:v>
                </c:pt>
                <c:pt idx="72">
                  <c:v>4056</c:v>
                </c:pt>
                <c:pt idx="73">
                  <c:v>4059</c:v>
                </c:pt>
                <c:pt idx="74">
                  <c:v>4065</c:v>
                </c:pt>
                <c:pt idx="75">
                  <c:v>4068</c:v>
                </c:pt>
                <c:pt idx="76">
                  <c:v>4070</c:v>
                </c:pt>
                <c:pt idx="77">
                  <c:v>(blank)</c:v>
                </c:pt>
              </c:strCache>
            </c:strRef>
          </c:cat>
          <c:val>
            <c:numRef>
              <c:f>'Summary Table'!$BF$9:$BF$87</c:f>
              <c:numCache>
                <c:formatCode>General</c:formatCode>
                <c:ptCount val="78"/>
                <c:pt idx="70">
                  <c:v>4</c:v>
                </c:pt>
              </c:numCache>
            </c:numRef>
          </c:val>
        </c:ser>
        <c:ser>
          <c:idx val="24"/>
          <c:order val="24"/>
          <c:tx>
            <c:strRef>
              <c:f>'Summary Table'!$BH$4:$BH$8</c:f>
              <c:strCache>
                <c:ptCount val="1"/>
                <c:pt idx="0">
                  <c:v>WARNING - Cuvettes Movement - Loader - Frequent</c:v>
                </c:pt>
              </c:strCache>
            </c:strRef>
          </c:tx>
          <c:invertIfNegative val="0"/>
          <c:cat>
            <c:strRef>
              <c:f>'Summary Table'!$A$9:$A$87</c:f>
              <c:strCache>
                <c:ptCount val="78"/>
                <c:pt idx="0">
                  <c:v>1160</c:v>
                </c:pt>
                <c:pt idx="1">
                  <c:v>1255</c:v>
                </c:pt>
                <c:pt idx="2">
                  <c:v>1294</c:v>
                </c:pt>
                <c:pt idx="3">
                  <c:v>2000</c:v>
                </c:pt>
                <c:pt idx="4">
                  <c:v>2005</c:v>
                </c:pt>
                <c:pt idx="5">
                  <c:v>2010</c:v>
                </c:pt>
                <c:pt idx="6">
                  <c:v>2015</c:v>
                </c:pt>
                <c:pt idx="7">
                  <c:v>2025</c:v>
                </c:pt>
                <c:pt idx="8">
                  <c:v>2030</c:v>
                </c:pt>
                <c:pt idx="9">
                  <c:v>2055</c:v>
                </c:pt>
                <c:pt idx="10">
                  <c:v>2076</c:v>
                </c:pt>
                <c:pt idx="11">
                  <c:v>2083</c:v>
                </c:pt>
                <c:pt idx="12">
                  <c:v>2086</c:v>
                </c:pt>
                <c:pt idx="13">
                  <c:v>3001</c:v>
                </c:pt>
                <c:pt idx="14">
                  <c:v>3002</c:v>
                </c:pt>
                <c:pt idx="15">
                  <c:v>3004</c:v>
                </c:pt>
                <c:pt idx="16">
                  <c:v>3007</c:v>
                </c:pt>
                <c:pt idx="17">
                  <c:v>3010</c:v>
                </c:pt>
                <c:pt idx="18">
                  <c:v>3013</c:v>
                </c:pt>
                <c:pt idx="19">
                  <c:v>3016</c:v>
                </c:pt>
                <c:pt idx="20">
                  <c:v>3023</c:v>
                </c:pt>
                <c:pt idx="21">
                  <c:v>3024</c:v>
                </c:pt>
                <c:pt idx="22">
                  <c:v>3037</c:v>
                </c:pt>
                <c:pt idx="23">
                  <c:v>3042</c:v>
                </c:pt>
                <c:pt idx="24">
                  <c:v>3046</c:v>
                </c:pt>
                <c:pt idx="25">
                  <c:v>3047</c:v>
                </c:pt>
                <c:pt idx="26">
                  <c:v>3051</c:v>
                </c:pt>
                <c:pt idx="27">
                  <c:v>3052</c:v>
                </c:pt>
                <c:pt idx="28">
                  <c:v>3056</c:v>
                </c:pt>
                <c:pt idx="29">
                  <c:v>3057</c:v>
                </c:pt>
                <c:pt idx="30">
                  <c:v>3058</c:v>
                </c:pt>
                <c:pt idx="31">
                  <c:v>3059</c:v>
                </c:pt>
                <c:pt idx="32">
                  <c:v>3060</c:v>
                </c:pt>
                <c:pt idx="33">
                  <c:v>3061</c:v>
                </c:pt>
                <c:pt idx="34">
                  <c:v>3067</c:v>
                </c:pt>
                <c:pt idx="35">
                  <c:v>3068</c:v>
                </c:pt>
                <c:pt idx="36">
                  <c:v>3071</c:v>
                </c:pt>
                <c:pt idx="37">
                  <c:v>3072</c:v>
                </c:pt>
                <c:pt idx="38">
                  <c:v>3073</c:v>
                </c:pt>
                <c:pt idx="39">
                  <c:v>3075</c:v>
                </c:pt>
                <c:pt idx="40">
                  <c:v>3076</c:v>
                </c:pt>
                <c:pt idx="41">
                  <c:v>3078</c:v>
                </c:pt>
                <c:pt idx="42">
                  <c:v>3079</c:v>
                </c:pt>
                <c:pt idx="43">
                  <c:v>3080</c:v>
                </c:pt>
                <c:pt idx="44">
                  <c:v>3081</c:v>
                </c:pt>
                <c:pt idx="45">
                  <c:v>3084</c:v>
                </c:pt>
                <c:pt idx="46">
                  <c:v>3088</c:v>
                </c:pt>
                <c:pt idx="47">
                  <c:v>3089</c:v>
                </c:pt>
                <c:pt idx="48">
                  <c:v>3090</c:v>
                </c:pt>
                <c:pt idx="49">
                  <c:v>3096</c:v>
                </c:pt>
                <c:pt idx="50">
                  <c:v>3100</c:v>
                </c:pt>
                <c:pt idx="51">
                  <c:v>3106</c:v>
                </c:pt>
                <c:pt idx="52">
                  <c:v>3107</c:v>
                </c:pt>
                <c:pt idx="53">
                  <c:v>3108</c:v>
                </c:pt>
                <c:pt idx="54">
                  <c:v>3110</c:v>
                </c:pt>
                <c:pt idx="55">
                  <c:v>3111</c:v>
                </c:pt>
                <c:pt idx="56">
                  <c:v>3112</c:v>
                </c:pt>
                <c:pt idx="57">
                  <c:v>3120</c:v>
                </c:pt>
                <c:pt idx="58">
                  <c:v>3121</c:v>
                </c:pt>
                <c:pt idx="59">
                  <c:v>3145</c:v>
                </c:pt>
                <c:pt idx="60">
                  <c:v>3146</c:v>
                </c:pt>
                <c:pt idx="61">
                  <c:v>3147</c:v>
                </c:pt>
                <c:pt idx="62">
                  <c:v>3187</c:v>
                </c:pt>
                <c:pt idx="63">
                  <c:v>3216</c:v>
                </c:pt>
                <c:pt idx="64">
                  <c:v>3217</c:v>
                </c:pt>
                <c:pt idx="65">
                  <c:v>3218</c:v>
                </c:pt>
                <c:pt idx="66">
                  <c:v>4006</c:v>
                </c:pt>
                <c:pt idx="67">
                  <c:v>4025</c:v>
                </c:pt>
                <c:pt idx="68">
                  <c:v>4030</c:v>
                </c:pt>
                <c:pt idx="69">
                  <c:v>4035</c:v>
                </c:pt>
                <c:pt idx="70">
                  <c:v>4040</c:v>
                </c:pt>
                <c:pt idx="71">
                  <c:v>4050</c:v>
                </c:pt>
                <c:pt idx="72">
                  <c:v>4056</c:v>
                </c:pt>
                <c:pt idx="73">
                  <c:v>4059</c:v>
                </c:pt>
                <c:pt idx="74">
                  <c:v>4065</c:v>
                </c:pt>
                <c:pt idx="75">
                  <c:v>4068</c:v>
                </c:pt>
                <c:pt idx="76">
                  <c:v>4070</c:v>
                </c:pt>
                <c:pt idx="77">
                  <c:v>(blank)</c:v>
                </c:pt>
              </c:strCache>
            </c:strRef>
          </c:cat>
          <c:val>
            <c:numRef>
              <c:f>'Summary Table'!$BH$9:$BH$87</c:f>
              <c:numCache>
                <c:formatCode>General</c:formatCode>
                <c:ptCount val="78"/>
                <c:pt idx="69">
                  <c:v>7</c:v>
                </c:pt>
              </c:numCache>
            </c:numRef>
          </c:val>
        </c:ser>
        <c:ser>
          <c:idx val="25"/>
          <c:order val="25"/>
          <c:tx>
            <c:strRef>
              <c:f>'Summary Table'!$BK$4:$BK$8</c:f>
              <c:strCache>
                <c:ptCount val="1"/>
                <c:pt idx="0">
                  <c:v>WARNING - Fluidics - Clean Circuit - Frequent</c:v>
                </c:pt>
              </c:strCache>
            </c:strRef>
          </c:tx>
          <c:invertIfNegative val="0"/>
          <c:cat>
            <c:strRef>
              <c:f>'Summary Table'!$A$9:$A$87</c:f>
              <c:strCache>
                <c:ptCount val="78"/>
                <c:pt idx="0">
                  <c:v>1160</c:v>
                </c:pt>
                <c:pt idx="1">
                  <c:v>1255</c:v>
                </c:pt>
                <c:pt idx="2">
                  <c:v>1294</c:v>
                </c:pt>
                <c:pt idx="3">
                  <c:v>2000</c:v>
                </c:pt>
                <c:pt idx="4">
                  <c:v>2005</c:v>
                </c:pt>
                <c:pt idx="5">
                  <c:v>2010</c:v>
                </c:pt>
                <c:pt idx="6">
                  <c:v>2015</c:v>
                </c:pt>
                <c:pt idx="7">
                  <c:v>2025</c:v>
                </c:pt>
                <c:pt idx="8">
                  <c:v>2030</c:v>
                </c:pt>
                <c:pt idx="9">
                  <c:v>2055</c:v>
                </c:pt>
                <c:pt idx="10">
                  <c:v>2076</c:v>
                </c:pt>
                <c:pt idx="11">
                  <c:v>2083</c:v>
                </c:pt>
                <c:pt idx="12">
                  <c:v>2086</c:v>
                </c:pt>
                <c:pt idx="13">
                  <c:v>3001</c:v>
                </c:pt>
                <c:pt idx="14">
                  <c:v>3002</c:v>
                </c:pt>
                <c:pt idx="15">
                  <c:v>3004</c:v>
                </c:pt>
                <c:pt idx="16">
                  <c:v>3007</c:v>
                </c:pt>
                <c:pt idx="17">
                  <c:v>3010</c:v>
                </c:pt>
                <c:pt idx="18">
                  <c:v>3013</c:v>
                </c:pt>
                <c:pt idx="19">
                  <c:v>3016</c:v>
                </c:pt>
                <c:pt idx="20">
                  <c:v>3023</c:v>
                </c:pt>
                <c:pt idx="21">
                  <c:v>3024</c:v>
                </c:pt>
                <c:pt idx="22">
                  <c:v>3037</c:v>
                </c:pt>
                <c:pt idx="23">
                  <c:v>3042</c:v>
                </c:pt>
                <c:pt idx="24">
                  <c:v>3046</c:v>
                </c:pt>
                <c:pt idx="25">
                  <c:v>3047</c:v>
                </c:pt>
                <c:pt idx="26">
                  <c:v>3051</c:v>
                </c:pt>
                <c:pt idx="27">
                  <c:v>3052</c:v>
                </c:pt>
                <c:pt idx="28">
                  <c:v>3056</c:v>
                </c:pt>
                <c:pt idx="29">
                  <c:v>3057</c:v>
                </c:pt>
                <c:pt idx="30">
                  <c:v>3058</c:v>
                </c:pt>
                <c:pt idx="31">
                  <c:v>3059</c:v>
                </c:pt>
                <c:pt idx="32">
                  <c:v>3060</c:v>
                </c:pt>
                <c:pt idx="33">
                  <c:v>3061</c:v>
                </c:pt>
                <c:pt idx="34">
                  <c:v>3067</c:v>
                </c:pt>
                <c:pt idx="35">
                  <c:v>3068</c:v>
                </c:pt>
                <c:pt idx="36">
                  <c:v>3071</c:v>
                </c:pt>
                <c:pt idx="37">
                  <c:v>3072</c:v>
                </c:pt>
                <c:pt idx="38">
                  <c:v>3073</c:v>
                </c:pt>
                <c:pt idx="39">
                  <c:v>3075</c:v>
                </c:pt>
                <c:pt idx="40">
                  <c:v>3076</c:v>
                </c:pt>
                <c:pt idx="41">
                  <c:v>3078</c:v>
                </c:pt>
                <c:pt idx="42">
                  <c:v>3079</c:v>
                </c:pt>
                <c:pt idx="43">
                  <c:v>3080</c:v>
                </c:pt>
                <c:pt idx="44">
                  <c:v>3081</c:v>
                </c:pt>
                <c:pt idx="45">
                  <c:v>3084</c:v>
                </c:pt>
                <c:pt idx="46">
                  <c:v>3088</c:v>
                </c:pt>
                <c:pt idx="47">
                  <c:v>3089</c:v>
                </c:pt>
                <c:pt idx="48">
                  <c:v>3090</c:v>
                </c:pt>
                <c:pt idx="49">
                  <c:v>3096</c:v>
                </c:pt>
                <c:pt idx="50">
                  <c:v>3100</c:v>
                </c:pt>
                <c:pt idx="51">
                  <c:v>3106</c:v>
                </c:pt>
                <c:pt idx="52">
                  <c:v>3107</c:v>
                </c:pt>
                <c:pt idx="53">
                  <c:v>3108</c:v>
                </c:pt>
                <c:pt idx="54">
                  <c:v>3110</c:v>
                </c:pt>
                <c:pt idx="55">
                  <c:v>3111</c:v>
                </c:pt>
                <c:pt idx="56">
                  <c:v>3112</c:v>
                </c:pt>
                <c:pt idx="57">
                  <c:v>3120</c:v>
                </c:pt>
                <c:pt idx="58">
                  <c:v>3121</c:v>
                </c:pt>
                <c:pt idx="59">
                  <c:v>3145</c:v>
                </c:pt>
                <c:pt idx="60">
                  <c:v>3146</c:v>
                </c:pt>
                <c:pt idx="61">
                  <c:v>3147</c:v>
                </c:pt>
                <c:pt idx="62">
                  <c:v>3187</c:v>
                </c:pt>
                <c:pt idx="63">
                  <c:v>3216</c:v>
                </c:pt>
                <c:pt idx="64">
                  <c:v>3217</c:v>
                </c:pt>
                <c:pt idx="65">
                  <c:v>3218</c:v>
                </c:pt>
                <c:pt idx="66">
                  <c:v>4006</c:v>
                </c:pt>
                <c:pt idx="67">
                  <c:v>4025</c:v>
                </c:pt>
                <c:pt idx="68">
                  <c:v>4030</c:v>
                </c:pt>
                <c:pt idx="69">
                  <c:v>4035</c:v>
                </c:pt>
                <c:pt idx="70">
                  <c:v>4040</c:v>
                </c:pt>
                <c:pt idx="71">
                  <c:v>4050</c:v>
                </c:pt>
                <c:pt idx="72">
                  <c:v>4056</c:v>
                </c:pt>
                <c:pt idx="73">
                  <c:v>4059</c:v>
                </c:pt>
                <c:pt idx="74">
                  <c:v>4065</c:v>
                </c:pt>
                <c:pt idx="75">
                  <c:v>4068</c:v>
                </c:pt>
                <c:pt idx="76">
                  <c:v>4070</c:v>
                </c:pt>
                <c:pt idx="77">
                  <c:v>(blank)</c:v>
                </c:pt>
              </c:strCache>
            </c:strRef>
          </c:cat>
          <c:val>
            <c:numRef>
              <c:f>'Summary Table'!$BK$9:$BK$87</c:f>
              <c:numCache>
                <c:formatCode>General</c:formatCode>
                <c:ptCount val="78"/>
                <c:pt idx="67">
                  <c:v>3</c:v>
                </c:pt>
              </c:numCache>
            </c:numRef>
          </c:val>
        </c:ser>
        <c:ser>
          <c:idx val="26"/>
          <c:order val="26"/>
          <c:tx>
            <c:strRef>
              <c:f>'Summary Table'!$BM$4:$BM$8</c:f>
              <c:strCache>
                <c:ptCount val="1"/>
                <c:pt idx="0">
                  <c:v>WARNING - Fluidics - Rinse Circuit - Frequent</c:v>
                </c:pt>
              </c:strCache>
            </c:strRef>
          </c:tx>
          <c:invertIfNegative val="0"/>
          <c:cat>
            <c:strRef>
              <c:f>'Summary Table'!$A$9:$A$87</c:f>
              <c:strCache>
                <c:ptCount val="78"/>
                <c:pt idx="0">
                  <c:v>1160</c:v>
                </c:pt>
                <c:pt idx="1">
                  <c:v>1255</c:v>
                </c:pt>
                <c:pt idx="2">
                  <c:v>1294</c:v>
                </c:pt>
                <c:pt idx="3">
                  <c:v>2000</c:v>
                </c:pt>
                <c:pt idx="4">
                  <c:v>2005</c:v>
                </c:pt>
                <c:pt idx="5">
                  <c:v>2010</c:v>
                </c:pt>
                <c:pt idx="6">
                  <c:v>2015</c:v>
                </c:pt>
                <c:pt idx="7">
                  <c:v>2025</c:v>
                </c:pt>
                <c:pt idx="8">
                  <c:v>2030</c:v>
                </c:pt>
                <c:pt idx="9">
                  <c:v>2055</c:v>
                </c:pt>
                <c:pt idx="10">
                  <c:v>2076</c:v>
                </c:pt>
                <c:pt idx="11">
                  <c:v>2083</c:v>
                </c:pt>
                <c:pt idx="12">
                  <c:v>2086</c:v>
                </c:pt>
                <c:pt idx="13">
                  <c:v>3001</c:v>
                </c:pt>
                <c:pt idx="14">
                  <c:v>3002</c:v>
                </c:pt>
                <c:pt idx="15">
                  <c:v>3004</c:v>
                </c:pt>
                <c:pt idx="16">
                  <c:v>3007</c:v>
                </c:pt>
                <c:pt idx="17">
                  <c:v>3010</c:v>
                </c:pt>
                <c:pt idx="18">
                  <c:v>3013</c:v>
                </c:pt>
                <c:pt idx="19">
                  <c:v>3016</c:v>
                </c:pt>
                <c:pt idx="20">
                  <c:v>3023</c:v>
                </c:pt>
                <c:pt idx="21">
                  <c:v>3024</c:v>
                </c:pt>
                <c:pt idx="22">
                  <c:v>3037</c:v>
                </c:pt>
                <c:pt idx="23">
                  <c:v>3042</c:v>
                </c:pt>
                <c:pt idx="24">
                  <c:v>3046</c:v>
                </c:pt>
                <c:pt idx="25">
                  <c:v>3047</c:v>
                </c:pt>
                <c:pt idx="26">
                  <c:v>3051</c:v>
                </c:pt>
                <c:pt idx="27">
                  <c:v>3052</c:v>
                </c:pt>
                <c:pt idx="28">
                  <c:v>3056</c:v>
                </c:pt>
                <c:pt idx="29">
                  <c:v>3057</c:v>
                </c:pt>
                <c:pt idx="30">
                  <c:v>3058</c:v>
                </c:pt>
                <c:pt idx="31">
                  <c:v>3059</c:v>
                </c:pt>
                <c:pt idx="32">
                  <c:v>3060</c:v>
                </c:pt>
                <c:pt idx="33">
                  <c:v>3061</c:v>
                </c:pt>
                <c:pt idx="34">
                  <c:v>3067</c:v>
                </c:pt>
                <c:pt idx="35">
                  <c:v>3068</c:v>
                </c:pt>
                <c:pt idx="36">
                  <c:v>3071</c:v>
                </c:pt>
                <c:pt idx="37">
                  <c:v>3072</c:v>
                </c:pt>
                <c:pt idx="38">
                  <c:v>3073</c:v>
                </c:pt>
                <c:pt idx="39">
                  <c:v>3075</c:v>
                </c:pt>
                <c:pt idx="40">
                  <c:v>3076</c:v>
                </c:pt>
                <c:pt idx="41">
                  <c:v>3078</c:v>
                </c:pt>
                <c:pt idx="42">
                  <c:v>3079</c:v>
                </c:pt>
                <c:pt idx="43">
                  <c:v>3080</c:v>
                </c:pt>
                <c:pt idx="44">
                  <c:v>3081</c:v>
                </c:pt>
                <c:pt idx="45">
                  <c:v>3084</c:v>
                </c:pt>
                <c:pt idx="46">
                  <c:v>3088</c:v>
                </c:pt>
                <c:pt idx="47">
                  <c:v>3089</c:v>
                </c:pt>
                <c:pt idx="48">
                  <c:v>3090</c:v>
                </c:pt>
                <c:pt idx="49">
                  <c:v>3096</c:v>
                </c:pt>
                <c:pt idx="50">
                  <c:v>3100</c:v>
                </c:pt>
                <c:pt idx="51">
                  <c:v>3106</c:v>
                </c:pt>
                <c:pt idx="52">
                  <c:v>3107</c:v>
                </c:pt>
                <c:pt idx="53">
                  <c:v>3108</c:v>
                </c:pt>
                <c:pt idx="54">
                  <c:v>3110</c:v>
                </c:pt>
                <c:pt idx="55">
                  <c:v>3111</c:v>
                </c:pt>
                <c:pt idx="56">
                  <c:v>3112</c:v>
                </c:pt>
                <c:pt idx="57">
                  <c:v>3120</c:v>
                </c:pt>
                <c:pt idx="58">
                  <c:v>3121</c:v>
                </c:pt>
                <c:pt idx="59">
                  <c:v>3145</c:v>
                </c:pt>
                <c:pt idx="60">
                  <c:v>3146</c:v>
                </c:pt>
                <c:pt idx="61">
                  <c:v>3147</c:v>
                </c:pt>
                <c:pt idx="62">
                  <c:v>3187</c:v>
                </c:pt>
                <c:pt idx="63">
                  <c:v>3216</c:v>
                </c:pt>
                <c:pt idx="64">
                  <c:v>3217</c:v>
                </c:pt>
                <c:pt idx="65">
                  <c:v>3218</c:v>
                </c:pt>
                <c:pt idx="66">
                  <c:v>4006</c:v>
                </c:pt>
                <c:pt idx="67">
                  <c:v>4025</c:v>
                </c:pt>
                <c:pt idx="68">
                  <c:v>4030</c:v>
                </c:pt>
                <c:pt idx="69">
                  <c:v>4035</c:v>
                </c:pt>
                <c:pt idx="70">
                  <c:v>4040</c:v>
                </c:pt>
                <c:pt idx="71">
                  <c:v>4050</c:v>
                </c:pt>
                <c:pt idx="72">
                  <c:v>4056</c:v>
                </c:pt>
                <c:pt idx="73">
                  <c:v>4059</c:v>
                </c:pt>
                <c:pt idx="74">
                  <c:v>4065</c:v>
                </c:pt>
                <c:pt idx="75">
                  <c:v>4068</c:v>
                </c:pt>
                <c:pt idx="76">
                  <c:v>4070</c:v>
                </c:pt>
                <c:pt idx="77">
                  <c:v>(blank)</c:v>
                </c:pt>
              </c:strCache>
            </c:strRef>
          </c:cat>
          <c:val>
            <c:numRef>
              <c:f>'Summary Table'!$BM$9:$BM$87</c:f>
              <c:numCache>
                <c:formatCode>General</c:formatCode>
                <c:ptCount val="78"/>
                <c:pt idx="68">
                  <c:v>8</c:v>
                </c:pt>
              </c:numCache>
            </c:numRef>
          </c:val>
        </c:ser>
        <c:ser>
          <c:idx val="27"/>
          <c:order val="27"/>
          <c:tx>
            <c:strRef>
              <c:f>'Summary Table'!$BO$4:$BO$8</c:f>
              <c:strCache>
                <c:ptCount val="1"/>
                <c:pt idx="0">
                  <c:v>WARNING - Fluidics - Waste Liquid Circuit - Frequent</c:v>
                </c:pt>
              </c:strCache>
            </c:strRef>
          </c:tx>
          <c:invertIfNegative val="0"/>
          <c:cat>
            <c:strRef>
              <c:f>'Summary Table'!$A$9:$A$87</c:f>
              <c:strCache>
                <c:ptCount val="78"/>
                <c:pt idx="0">
                  <c:v>1160</c:v>
                </c:pt>
                <c:pt idx="1">
                  <c:v>1255</c:v>
                </c:pt>
                <c:pt idx="2">
                  <c:v>1294</c:v>
                </c:pt>
                <c:pt idx="3">
                  <c:v>2000</c:v>
                </c:pt>
                <c:pt idx="4">
                  <c:v>2005</c:v>
                </c:pt>
                <c:pt idx="5">
                  <c:v>2010</c:v>
                </c:pt>
                <c:pt idx="6">
                  <c:v>2015</c:v>
                </c:pt>
                <c:pt idx="7">
                  <c:v>2025</c:v>
                </c:pt>
                <c:pt idx="8">
                  <c:v>2030</c:v>
                </c:pt>
                <c:pt idx="9">
                  <c:v>2055</c:v>
                </c:pt>
                <c:pt idx="10">
                  <c:v>2076</c:v>
                </c:pt>
                <c:pt idx="11">
                  <c:v>2083</c:v>
                </c:pt>
                <c:pt idx="12">
                  <c:v>2086</c:v>
                </c:pt>
                <c:pt idx="13">
                  <c:v>3001</c:v>
                </c:pt>
                <c:pt idx="14">
                  <c:v>3002</c:v>
                </c:pt>
                <c:pt idx="15">
                  <c:v>3004</c:v>
                </c:pt>
                <c:pt idx="16">
                  <c:v>3007</c:v>
                </c:pt>
                <c:pt idx="17">
                  <c:v>3010</c:v>
                </c:pt>
                <c:pt idx="18">
                  <c:v>3013</c:v>
                </c:pt>
                <c:pt idx="19">
                  <c:v>3016</c:v>
                </c:pt>
                <c:pt idx="20">
                  <c:v>3023</c:v>
                </c:pt>
                <c:pt idx="21">
                  <c:v>3024</c:v>
                </c:pt>
                <c:pt idx="22">
                  <c:v>3037</c:v>
                </c:pt>
                <c:pt idx="23">
                  <c:v>3042</c:v>
                </c:pt>
                <c:pt idx="24">
                  <c:v>3046</c:v>
                </c:pt>
                <c:pt idx="25">
                  <c:v>3047</c:v>
                </c:pt>
                <c:pt idx="26">
                  <c:v>3051</c:v>
                </c:pt>
                <c:pt idx="27">
                  <c:v>3052</c:v>
                </c:pt>
                <c:pt idx="28">
                  <c:v>3056</c:v>
                </c:pt>
                <c:pt idx="29">
                  <c:v>3057</c:v>
                </c:pt>
                <c:pt idx="30">
                  <c:v>3058</c:v>
                </c:pt>
                <c:pt idx="31">
                  <c:v>3059</c:v>
                </c:pt>
                <c:pt idx="32">
                  <c:v>3060</c:v>
                </c:pt>
                <c:pt idx="33">
                  <c:v>3061</c:v>
                </c:pt>
                <c:pt idx="34">
                  <c:v>3067</c:v>
                </c:pt>
                <c:pt idx="35">
                  <c:v>3068</c:v>
                </c:pt>
                <c:pt idx="36">
                  <c:v>3071</c:v>
                </c:pt>
                <c:pt idx="37">
                  <c:v>3072</c:v>
                </c:pt>
                <c:pt idx="38">
                  <c:v>3073</c:v>
                </c:pt>
                <c:pt idx="39">
                  <c:v>3075</c:v>
                </c:pt>
                <c:pt idx="40">
                  <c:v>3076</c:v>
                </c:pt>
                <c:pt idx="41">
                  <c:v>3078</c:v>
                </c:pt>
                <c:pt idx="42">
                  <c:v>3079</c:v>
                </c:pt>
                <c:pt idx="43">
                  <c:v>3080</c:v>
                </c:pt>
                <c:pt idx="44">
                  <c:v>3081</c:v>
                </c:pt>
                <c:pt idx="45">
                  <c:v>3084</c:v>
                </c:pt>
                <c:pt idx="46">
                  <c:v>3088</c:v>
                </c:pt>
                <c:pt idx="47">
                  <c:v>3089</c:v>
                </c:pt>
                <c:pt idx="48">
                  <c:v>3090</c:v>
                </c:pt>
                <c:pt idx="49">
                  <c:v>3096</c:v>
                </c:pt>
                <c:pt idx="50">
                  <c:v>3100</c:v>
                </c:pt>
                <c:pt idx="51">
                  <c:v>3106</c:v>
                </c:pt>
                <c:pt idx="52">
                  <c:v>3107</c:v>
                </c:pt>
                <c:pt idx="53">
                  <c:v>3108</c:v>
                </c:pt>
                <c:pt idx="54">
                  <c:v>3110</c:v>
                </c:pt>
                <c:pt idx="55">
                  <c:v>3111</c:v>
                </c:pt>
                <c:pt idx="56">
                  <c:v>3112</c:v>
                </c:pt>
                <c:pt idx="57">
                  <c:v>3120</c:v>
                </c:pt>
                <c:pt idx="58">
                  <c:v>3121</c:v>
                </c:pt>
                <c:pt idx="59">
                  <c:v>3145</c:v>
                </c:pt>
                <c:pt idx="60">
                  <c:v>3146</c:v>
                </c:pt>
                <c:pt idx="61">
                  <c:v>3147</c:v>
                </c:pt>
                <c:pt idx="62">
                  <c:v>3187</c:v>
                </c:pt>
                <c:pt idx="63">
                  <c:v>3216</c:v>
                </c:pt>
                <c:pt idx="64">
                  <c:v>3217</c:v>
                </c:pt>
                <c:pt idx="65">
                  <c:v>3218</c:v>
                </c:pt>
                <c:pt idx="66">
                  <c:v>4006</c:v>
                </c:pt>
                <c:pt idx="67">
                  <c:v>4025</c:v>
                </c:pt>
                <c:pt idx="68">
                  <c:v>4030</c:v>
                </c:pt>
                <c:pt idx="69">
                  <c:v>4035</c:v>
                </c:pt>
                <c:pt idx="70">
                  <c:v>4040</c:v>
                </c:pt>
                <c:pt idx="71">
                  <c:v>4050</c:v>
                </c:pt>
                <c:pt idx="72">
                  <c:v>4056</c:v>
                </c:pt>
                <c:pt idx="73">
                  <c:v>4059</c:v>
                </c:pt>
                <c:pt idx="74">
                  <c:v>4065</c:v>
                </c:pt>
                <c:pt idx="75">
                  <c:v>4068</c:v>
                </c:pt>
                <c:pt idx="76">
                  <c:v>4070</c:v>
                </c:pt>
                <c:pt idx="77">
                  <c:v>(blank)</c:v>
                </c:pt>
              </c:strCache>
            </c:strRef>
          </c:cat>
          <c:val>
            <c:numRef>
              <c:f>'Summary Table'!$BO$9:$BO$87</c:f>
              <c:numCache>
                <c:formatCode>General</c:formatCode>
                <c:ptCount val="78"/>
                <c:pt idx="71">
                  <c:v>23</c:v>
                </c:pt>
              </c:numCache>
            </c:numRef>
          </c:val>
        </c:ser>
        <c:ser>
          <c:idx val="28"/>
          <c:order val="28"/>
          <c:tx>
            <c:strRef>
              <c:f>'Summary Table'!$BR$4:$BR$8</c:f>
              <c:strCache>
                <c:ptCount val="1"/>
                <c:pt idx="0">
                  <c:v>WARNING - LLD (Liquid Level Detection) - Missing Liquid - Frequent</c:v>
                </c:pt>
              </c:strCache>
            </c:strRef>
          </c:tx>
          <c:invertIfNegative val="0"/>
          <c:cat>
            <c:strRef>
              <c:f>'Summary Table'!$A$9:$A$87</c:f>
              <c:strCache>
                <c:ptCount val="78"/>
                <c:pt idx="0">
                  <c:v>1160</c:v>
                </c:pt>
                <c:pt idx="1">
                  <c:v>1255</c:v>
                </c:pt>
                <c:pt idx="2">
                  <c:v>1294</c:v>
                </c:pt>
                <c:pt idx="3">
                  <c:v>2000</c:v>
                </c:pt>
                <c:pt idx="4">
                  <c:v>2005</c:v>
                </c:pt>
                <c:pt idx="5">
                  <c:v>2010</c:v>
                </c:pt>
                <c:pt idx="6">
                  <c:v>2015</c:v>
                </c:pt>
                <c:pt idx="7">
                  <c:v>2025</c:v>
                </c:pt>
                <c:pt idx="8">
                  <c:v>2030</c:v>
                </c:pt>
                <c:pt idx="9">
                  <c:v>2055</c:v>
                </c:pt>
                <c:pt idx="10">
                  <c:v>2076</c:v>
                </c:pt>
                <c:pt idx="11">
                  <c:v>2083</c:v>
                </c:pt>
                <c:pt idx="12">
                  <c:v>2086</c:v>
                </c:pt>
                <c:pt idx="13">
                  <c:v>3001</c:v>
                </c:pt>
                <c:pt idx="14">
                  <c:v>3002</c:v>
                </c:pt>
                <c:pt idx="15">
                  <c:v>3004</c:v>
                </c:pt>
                <c:pt idx="16">
                  <c:v>3007</c:v>
                </c:pt>
                <c:pt idx="17">
                  <c:v>3010</c:v>
                </c:pt>
                <c:pt idx="18">
                  <c:v>3013</c:v>
                </c:pt>
                <c:pt idx="19">
                  <c:v>3016</c:v>
                </c:pt>
                <c:pt idx="20">
                  <c:v>3023</c:v>
                </c:pt>
                <c:pt idx="21">
                  <c:v>3024</c:v>
                </c:pt>
                <c:pt idx="22">
                  <c:v>3037</c:v>
                </c:pt>
                <c:pt idx="23">
                  <c:v>3042</c:v>
                </c:pt>
                <c:pt idx="24">
                  <c:v>3046</c:v>
                </c:pt>
                <c:pt idx="25">
                  <c:v>3047</c:v>
                </c:pt>
                <c:pt idx="26">
                  <c:v>3051</c:v>
                </c:pt>
                <c:pt idx="27">
                  <c:v>3052</c:v>
                </c:pt>
                <c:pt idx="28">
                  <c:v>3056</c:v>
                </c:pt>
                <c:pt idx="29">
                  <c:v>3057</c:v>
                </c:pt>
                <c:pt idx="30">
                  <c:v>3058</c:v>
                </c:pt>
                <c:pt idx="31">
                  <c:v>3059</c:v>
                </c:pt>
                <c:pt idx="32">
                  <c:v>3060</c:v>
                </c:pt>
                <c:pt idx="33">
                  <c:v>3061</c:v>
                </c:pt>
                <c:pt idx="34">
                  <c:v>3067</c:v>
                </c:pt>
                <c:pt idx="35">
                  <c:v>3068</c:v>
                </c:pt>
                <c:pt idx="36">
                  <c:v>3071</c:v>
                </c:pt>
                <c:pt idx="37">
                  <c:v>3072</c:v>
                </c:pt>
                <c:pt idx="38">
                  <c:v>3073</c:v>
                </c:pt>
                <c:pt idx="39">
                  <c:v>3075</c:v>
                </c:pt>
                <c:pt idx="40">
                  <c:v>3076</c:v>
                </c:pt>
                <c:pt idx="41">
                  <c:v>3078</c:v>
                </c:pt>
                <c:pt idx="42">
                  <c:v>3079</c:v>
                </c:pt>
                <c:pt idx="43">
                  <c:v>3080</c:v>
                </c:pt>
                <c:pt idx="44">
                  <c:v>3081</c:v>
                </c:pt>
                <c:pt idx="45">
                  <c:v>3084</c:v>
                </c:pt>
                <c:pt idx="46">
                  <c:v>3088</c:v>
                </c:pt>
                <c:pt idx="47">
                  <c:v>3089</c:v>
                </c:pt>
                <c:pt idx="48">
                  <c:v>3090</c:v>
                </c:pt>
                <c:pt idx="49">
                  <c:v>3096</c:v>
                </c:pt>
                <c:pt idx="50">
                  <c:v>3100</c:v>
                </c:pt>
                <c:pt idx="51">
                  <c:v>3106</c:v>
                </c:pt>
                <c:pt idx="52">
                  <c:v>3107</c:v>
                </c:pt>
                <c:pt idx="53">
                  <c:v>3108</c:v>
                </c:pt>
                <c:pt idx="54">
                  <c:v>3110</c:v>
                </c:pt>
                <c:pt idx="55">
                  <c:v>3111</c:v>
                </c:pt>
                <c:pt idx="56">
                  <c:v>3112</c:v>
                </c:pt>
                <c:pt idx="57">
                  <c:v>3120</c:v>
                </c:pt>
                <c:pt idx="58">
                  <c:v>3121</c:v>
                </c:pt>
                <c:pt idx="59">
                  <c:v>3145</c:v>
                </c:pt>
                <c:pt idx="60">
                  <c:v>3146</c:v>
                </c:pt>
                <c:pt idx="61">
                  <c:v>3147</c:v>
                </c:pt>
                <c:pt idx="62">
                  <c:v>3187</c:v>
                </c:pt>
                <c:pt idx="63">
                  <c:v>3216</c:v>
                </c:pt>
                <c:pt idx="64">
                  <c:v>3217</c:v>
                </c:pt>
                <c:pt idx="65">
                  <c:v>3218</c:v>
                </c:pt>
                <c:pt idx="66">
                  <c:v>4006</c:v>
                </c:pt>
                <c:pt idx="67">
                  <c:v>4025</c:v>
                </c:pt>
                <c:pt idx="68">
                  <c:v>4030</c:v>
                </c:pt>
                <c:pt idx="69">
                  <c:v>4035</c:v>
                </c:pt>
                <c:pt idx="70">
                  <c:v>4040</c:v>
                </c:pt>
                <c:pt idx="71">
                  <c:v>4050</c:v>
                </c:pt>
                <c:pt idx="72">
                  <c:v>4056</c:v>
                </c:pt>
                <c:pt idx="73">
                  <c:v>4059</c:v>
                </c:pt>
                <c:pt idx="74">
                  <c:v>4065</c:v>
                </c:pt>
                <c:pt idx="75">
                  <c:v>4068</c:v>
                </c:pt>
                <c:pt idx="76">
                  <c:v>4070</c:v>
                </c:pt>
                <c:pt idx="77">
                  <c:v>(blank)</c:v>
                </c:pt>
              </c:strCache>
            </c:strRef>
          </c:cat>
          <c:val>
            <c:numRef>
              <c:f>'Summary Table'!$BR$9:$BR$87</c:f>
              <c:numCache>
                <c:formatCode>General</c:formatCode>
                <c:ptCount val="78"/>
                <c:pt idx="13">
                  <c:v>117</c:v>
                </c:pt>
              </c:numCache>
            </c:numRef>
          </c:val>
        </c:ser>
        <c:ser>
          <c:idx val="29"/>
          <c:order val="29"/>
          <c:tx>
            <c:strRef>
              <c:f>'Summary Table'!$BU$4:$BU$8</c:f>
              <c:strCache>
                <c:ptCount val="1"/>
                <c:pt idx="0">
                  <c:v>WARNING - Others - Host - Frequent</c:v>
                </c:pt>
              </c:strCache>
            </c:strRef>
          </c:tx>
          <c:invertIfNegative val="0"/>
          <c:cat>
            <c:strRef>
              <c:f>'Summary Table'!$A$9:$A$87</c:f>
              <c:strCache>
                <c:ptCount val="78"/>
                <c:pt idx="0">
                  <c:v>1160</c:v>
                </c:pt>
                <c:pt idx="1">
                  <c:v>1255</c:v>
                </c:pt>
                <c:pt idx="2">
                  <c:v>1294</c:v>
                </c:pt>
                <c:pt idx="3">
                  <c:v>2000</c:v>
                </c:pt>
                <c:pt idx="4">
                  <c:v>2005</c:v>
                </c:pt>
                <c:pt idx="5">
                  <c:v>2010</c:v>
                </c:pt>
                <c:pt idx="6">
                  <c:v>2015</c:v>
                </c:pt>
                <c:pt idx="7">
                  <c:v>2025</c:v>
                </c:pt>
                <c:pt idx="8">
                  <c:v>2030</c:v>
                </c:pt>
                <c:pt idx="9">
                  <c:v>2055</c:v>
                </c:pt>
                <c:pt idx="10">
                  <c:v>2076</c:v>
                </c:pt>
                <c:pt idx="11">
                  <c:v>2083</c:v>
                </c:pt>
                <c:pt idx="12">
                  <c:v>2086</c:v>
                </c:pt>
                <c:pt idx="13">
                  <c:v>3001</c:v>
                </c:pt>
                <c:pt idx="14">
                  <c:v>3002</c:v>
                </c:pt>
                <c:pt idx="15">
                  <c:v>3004</c:v>
                </c:pt>
                <c:pt idx="16">
                  <c:v>3007</c:v>
                </c:pt>
                <c:pt idx="17">
                  <c:v>3010</c:v>
                </c:pt>
                <c:pt idx="18">
                  <c:v>3013</c:v>
                </c:pt>
                <c:pt idx="19">
                  <c:v>3016</c:v>
                </c:pt>
                <c:pt idx="20">
                  <c:v>3023</c:v>
                </c:pt>
                <c:pt idx="21">
                  <c:v>3024</c:v>
                </c:pt>
                <c:pt idx="22">
                  <c:v>3037</c:v>
                </c:pt>
                <c:pt idx="23">
                  <c:v>3042</c:v>
                </c:pt>
                <c:pt idx="24">
                  <c:v>3046</c:v>
                </c:pt>
                <c:pt idx="25">
                  <c:v>3047</c:v>
                </c:pt>
                <c:pt idx="26">
                  <c:v>3051</c:v>
                </c:pt>
                <c:pt idx="27">
                  <c:v>3052</c:v>
                </c:pt>
                <c:pt idx="28">
                  <c:v>3056</c:v>
                </c:pt>
                <c:pt idx="29">
                  <c:v>3057</c:v>
                </c:pt>
                <c:pt idx="30">
                  <c:v>3058</c:v>
                </c:pt>
                <c:pt idx="31">
                  <c:v>3059</c:v>
                </c:pt>
                <c:pt idx="32">
                  <c:v>3060</c:v>
                </c:pt>
                <c:pt idx="33">
                  <c:v>3061</c:v>
                </c:pt>
                <c:pt idx="34">
                  <c:v>3067</c:v>
                </c:pt>
                <c:pt idx="35">
                  <c:v>3068</c:v>
                </c:pt>
                <c:pt idx="36">
                  <c:v>3071</c:v>
                </c:pt>
                <c:pt idx="37">
                  <c:v>3072</c:v>
                </c:pt>
                <c:pt idx="38">
                  <c:v>3073</c:v>
                </c:pt>
                <c:pt idx="39">
                  <c:v>3075</c:v>
                </c:pt>
                <c:pt idx="40">
                  <c:v>3076</c:v>
                </c:pt>
                <c:pt idx="41">
                  <c:v>3078</c:v>
                </c:pt>
                <c:pt idx="42">
                  <c:v>3079</c:v>
                </c:pt>
                <c:pt idx="43">
                  <c:v>3080</c:v>
                </c:pt>
                <c:pt idx="44">
                  <c:v>3081</c:v>
                </c:pt>
                <c:pt idx="45">
                  <c:v>3084</c:v>
                </c:pt>
                <c:pt idx="46">
                  <c:v>3088</c:v>
                </c:pt>
                <c:pt idx="47">
                  <c:v>3089</c:v>
                </c:pt>
                <c:pt idx="48">
                  <c:v>3090</c:v>
                </c:pt>
                <c:pt idx="49">
                  <c:v>3096</c:v>
                </c:pt>
                <c:pt idx="50">
                  <c:v>3100</c:v>
                </c:pt>
                <c:pt idx="51">
                  <c:v>3106</c:v>
                </c:pt>
                <c:pt idx="52">
                  <c:v>3107</c:v>
                </c:pt>
                <c:pt idx="53">
                  <c:v>3108</c:v>
                </c:pt>
                <c:pt idx="54">
                  <c:v>3110</c:v>
                </c:pt>
                <c:pt idx="55">
                  <c:v>3111</c:v>
                </c:pt>
                <c:pt idx="56">
                  <c:v>3112</c:v>
                </c:pt>
                <c:pt idx="57">
                  <c:v>3120</c:v>
                </c:pt>
                <c:pt idx="58">
                  <c:v>3121</c:v>
                </c:pt>
                <c:pt idx="59">
                  <c:v>3145</c:v>
                </c:pt>
                <c:pt idx="60">
                  <c:v>3146</c:v>
                </c:pt>
                <c:pt idx="61">
                  <c:v>3147</c:v>
                </c:pt>
                <c:pt idx="62">
                  <c:v>3187</c:v>
                </c:pt>
                <c:pt idx="63">
                  <c:v>3216</c:v>
                </c:pt>
                <c:pt idx="64">
                  <c:v>3217</c:v>
                </c:pt>
                <c:pt idx="65">
                  <c:v>3218</c:v>
                </c:pt>
                <c:pt idx="66">
                  <c:v>4006</c:v>
                </c:pt>
                <c:pt idx="67">
                  <c:v>4025</c:v>
                </c:pt>
                <c:pt idx="68">
                  <c:v>4030</c:v>
                </c:pt>
                <c:pt idx="69">
                  <c:v>4035</c:v>
                </c:pt>
                <c:pt idx="70">
                  <c:v>4040</c:v>
                </c:pt>
                <c:pt idx="71">
                  <c:v>4050</c:v>
                </c:pt>
                <c:pt idx="72">
                  <c:v>4056</c:v>
                </c:pt>
                <c:pt idx="73">
                  <c:v>4059</c:v>
                </c:pt>
                <c:pt idx="74">
                  <c:v>4065</c:v>
                </c:pt>
                <c:pt idx="75">
                  <c:v>4068</c:v>
                </c:pt>
                <c:pt idx="76">
                  <c:v>4070</c:v>
                </c:pt>
                <c:pt idx="77">
                  <c:v>(blank)</c:v>
                </c:pt>
              </c:strCache>
            </c:strRef>
          </c:cat>
          <c:val>
            <c:numRef>
              <c:f>'Summary Table'!$BU$9:$BU$87</c:f>
              <c:numCache>
                <c:formatCode>General</c:formatCode>
                <c:ptCount val="78"/>
                <c:pt idx="22">
                  <c:v>1113</c:v>
                </c:pt>
              </c:numCache>
            </c:numRef>
          </c:val>
        </c:ser>
        <c:ser>
          <c:idx val="30"/>
          <c:order val="30"/>
          <c:tx>
            <c:strRef>
              <c:f>'Summary Table'!$BW$4:$BW$8</c:f>
              <c:strCache>
                <c:ptCount val="1"/>
                <c:pt idx="0">
                  <c:v>WARNING - Others - Maintenance - Frequent</c:v>
                </c:pt>
              </c:strCache>
            </c:strRef>
          </c:tx>
          <c:invertIfNegative val="0"/>
          <c:cat>
            <c:strRef>
              <c:f>'Summary Table'!$A$9:$A$87</c:f>
              <c:strCache>
                <c:ptCount val="78"/>
                <c:pt idx="0">
                  <c:v>1160</c:v>
                </c:pt>
                <c:pt idx="1">
                  <c:v>1255</c:v>
                </c:pt>
                <c:pt idx="2">
                  <c:v>1294</c:v>
                </c:pt>
                <c:pt idx="3">
                  <c:v>2000</c:v>
                </c:pt>
                <c:pt idx="4">
                  <c:v>2005</c:v>
                </c:pt>
                <c:pt idx="5">
                  <c:v>2010</c:v>
                </c:pt>
                <c:pt idx="6">
                  <c:v>2015</c:v>
                </c:pt>
                <c:pt idx="7">
                  <c:v>2025</c:v>
                </c:pt>
                <c:pt idx="8">
                  <c:v>2030</c:v>
                </c:pt>
                <c:pt idx="9">
                  <c:v>2055</c:v>
                </c:pt>
                <c:pt idx="10">
                  <c:v>2076</c:v>
                </c:pt>
                <c:pt idx="11">
                  <c:v>2083</c:v>
                </c:pt>
                <c:pt idx="12">
                  <c:v>2086</c:v>
                </c:pt>
                <c:pt idx="13">
                  <c:v>3001</c:v>
                </c:pt>
                <c:pt idx="14">
                  <c:v>3002</c:v>
                </c:pt>
                <c:pt idx="15">
                  <c:v>3004</c:v>
                </c:pt>
                <c:pt idx="16">
                  <c:v>3007</c:v>
                </c:pt>
                <c:pt idx="17">
                  <c:v>3010</c:v>
                </c:pt>
                <c:pt idx="18">
                  <c:v>3013</c:v>
                </c:pt>
                <c:pt idx="19">
                  <c:v>3016</c:v>
                </c:pt>
                <c:pt idx="20">
                  <c:v>3023</c:v>
                </c:pt>
                <c:pt idx="21">
                  <c:v>3024</c:v>
                </c:pt>
                <c:pt idx="22">
                  <c:v>3037</c:v>
                </c:pt>
                <c:pt idx="23">
                  <c:v>3042</c:v>
                </c:pt>
                <c:pt idx="24">
                  <c:v>3046</c:v>
                </c:pt>
                <c:pt idx="25">
                  <c:v>3047</c:v>
                </c:pt>
                <c:pt idx="26">
                  <c:v>3051</c:v>
                </c:pt>
                <c:pt idx="27">
                  <c:v>3052</c:v>
                </c:pt>
                <c:pt idx="28">
                  <c:v>3056</c:v>
                </c:pt>
                <c:pt idx="29">
                  <c:v>3057</c:v>
                </c:pt>
                <c:pt idx="30">
                  <c:v>3058</c:v>
                </c:pt>
                <c:pt idx="31">
                  <c:v>3059</c:v>
                </c:pt>
                <c:pt idx="32">
                  <c:v>3060</c:v>
                </c:pt>
                <c:pt idx="33">
                  <c:v>3061</c:v>
                </c:pt>
                <c:pt idx="34">
                  <c:v>3067</c:v>
                </c:pt>
                <c:pt idx="35">
                  <c:v>3068</c:v>
                </c:pt>
                <c:pt idx="36">
                  <c:v>3071</c:v>
                </c:pt>
                <c:pt idx="37">
                  <c:v>3072</c:v>
                </c:pt>
                <c:pt idx="38">
                  <c:v>3073</c:v>
                </c:pt>
                <c:pt idx="39">
                  <c:v>3075</c:v>
                </c:pt>
                <c:pt idx="40">
                  <c:v>3076</c:v>
                </c:pt>
                <c:pt idx="41">
                  <c:v>3078</c:v>
                </c:pt>
                <c:pt idx="42">
                  <c:v>3079</c:v>
                </c:pt>
                <c:pt idx="43">
                  <c:v>3080</c:v>
                </c:pt>
                <c:pt idx="44">
                  <c:v>3081</c:v>
                </c:pt>
                <c:pt idx="45">
                  <c:v>3084</c:v>
                </c:pt>
                <c:pt idx="46">
                  <c:v>3088</c:v>
                </c:pt>
                <c:pt idx="47">
                  <c:v>3089</c:v>
                </c:pt>
                <c:pt idx="48">
                  <c:v>3090</c:v>
                </c:pt>
                <c:pt idx="49">
                  <c:v>3096</c:v>
                </c:pt>
                <c:pt idx="50">
                  <c:v>3100</c:v>
                </c:pt>
                <c:pt idx="51">
                  <c:v>3106</c:v>
                </c:pt>
                <c:pt idx="52">
                  <c:v>3107</c:v>
                </c:pt>
                <c:pt idx="53">
                  <c:v>3108</c:v>
                </c:pt>
                <c:pt idx="54">
                  <c:v>3110</c:v>
                </c:pt>
                <c:pt idx="55">
                  <c:v>3111</c:v>
                </c:pt>
                <c:pt idx="56">
                  <c:v>3112</c:v>
                </c:pt>
                <c:pt idx="57">
                  <c:v>3120</c:v>
                </c:pt>
                <c:pt idx="58">
                  <c:v>3121</c:v>
                </c:pt>
                <c:pt idx="59">
                  <c:v>3145</c:v>
                </c:pt>
                <c:pt idx="60">
                  <c:v>3146</c:v>
                </c:pt>
                <c:pt idx="61">
                  <c:v>3147</c:v>
                </c:pt>
                <c:pt idx="62">
                  <c:v>3187</c:v>
                </c:pt>
                <c:pt idx="63">
                  <c:v>3216</c:v>
                </c:pt>
                <c:pt idx="64">
                  <c:v>3217</c:v>
                </c:pt>
                <c:pt idx="65">
                  <c:v>3218</c:v>
                </c:pt>
                <c:pt idx="66">
                  <c:v>4006</c:v>
                </c:pt>
                <c:pt idx="67">
                  <c:v>4025</c:v>
                </c:pt>
                <c:pt idx="68">
                  <c:v>4030</c:v>
                </c:pt>
                <c:pt idx="69">
                  <c:v>4035</c:v>
                </c:pt>
                <c:pt idx="70">
                  <c:v>4040</c:v>
                </c:pt>
                <c:pt idx="71">
                  <c:v>4050</c:v>
                </c:pt>
                <c:pt idx="72">
                  <c:v>4056</c:v>
                </c:pt>
                <c:pt idx="73">
                  <c:v>4059</c:v>
                </c:pt>
                <c:pt idx="74">
                  <c:v>4065</c:v>
                </c:pt>
                <c:pt idx="75">
                  <c:v>4068</c:v>
                </c:pt>
                <c:pt idx="76">
                  <c:v>4070</c:v>
                </c:pt>
                <c:pt idx="77">
                  <c:v>(blank)</c:v>
                </c:pt>
              </c:strCache>
            </c:strRef>
          </c:cat>
          <c:val>
            <c:numRef>
              <c:f>'Summary Table'!$BW$9:$BW$87</c:f>
              <c:numCache>
                <c:formatCode>General</c:formatCode>
                <c:ptCount val="78"/>
                <c:pt idx="25">
                  <c:v>58</c:v>
                </c:pt>
                <c:pt idx="47">
                  <c:v>39</c:v>
                </c:pt>
              </c:numCache>
            </c:numRef>
          </c:val>
        </c:ser>
        <c:ser>
          <c:idx val="31"/>
          <c:order val="31"/>
          <c:tx>
            <c:strRef>
              <c:f>'Summary Table'!$BY$4:$BY$8</c:f>
              <c:strCache>
                <c:ptCount val="1"/>
                <c:pt idx="0">
                  <c:v>WARNING - Others - Materials - Frequent</c:v>
                </c:pt>
              </c:strCache>
            </c:strRef>
          </c:tx>
          <c:invertIfNegative val="0"/>
          <c:cat>
            <c:strRef>
              <c:f>'Summary Table'!$A$9:$A$87</c:f>
              <c:strCache>
                <c:ptCount val="78"/>
                <c:pt idx="0">
                  <c:v>1160</c:v>
                </c:pt>
                <c:pt idx="1">
                  <c:v>1255</c:v>
                </c:pt>
                <c:pt idx="2">
                  <c:v>1294</c:v>
                </c:pt>
                <c:pt idx="3">
                  <c:v>2000</c:v>
                </c:pt>
                <c:pt idx="4">
                  <c:v>2005</c:v>
                </c:pt>
                <c:pt idx="5">
                  <c:v>2010</c:v>
                </c:pt>
                <c:pt idx="6">
                  <c:v>2015</c:v>
                </c:pt>
                <c:pt idx="7">
                  <c:v>2025</c:v>
                </c:pt>
                <c:pt idx="8">
                  <c:v>2030</c:v>
                </c:pt>
                <c:pt idx="9">
                  <c:v>2055</c:v>
                </c:pt>
                <c:pt idx="10">
                  <c:v>2076</c:v>
                </c:pt>
                <c:pt idx="11">
                  <c:v>2083</c:v>
                </c:pt>
                <c:pt idx="12">
                  <c:v>2086</c:v>
                </c:pt>
                <c:pt idx="13">
                  <c:v>3001</c:v>
                </c:pt>
                <c:pt idx="14">
                  <c:v>3002</c:v>
                </c:pt>
                <c:pt idx="15">
                  <c:v>3004</c:v>
                </c:pt>
                <c:pt idx="16">
                  <c:v>3007</c:v>
                </c:pt>
                <c:pt idx="17">
                  <c:v>3010</c:v>
                </c:pt>
                <c:pt idx="18">
                  <c:v>3013</c:v>
                </c:pt>
                <c:pt idx="19">
                  <c:v>3016</c:v>
                </c:pt>
                <c:pt idx="20">
                  <c:v>3023</c:v>
                </c:pt>
                <c:pt idx="21">
                  <c:v>3024</c:v>
                </c:pt>
                <c:pt idx="22">
                  <c:v>3037</c:v>
                </c:pt>
                <c:pt idx="23">
                  <c:v>3042</c:v>
                </c:pt>
                <c:pt idx="24">
                  <c:v>3046</c:v>
                </c:pt>
                <c:pt idx="25">
                  <c:v>3047</c:v>
                </c:pt>
                <c:pt idx="26">
                  <c:v>3051</c:v>
                </c:pt>
                <c:pt idx="27">
                  <c:v>3052</c:v>
                </c:pt>
                <c:pt idx="28">
                  <c:v>3056</c:v>
                </c:pt>
                <c:pt idx="29">
                  <c:v>3057</c:v>
                </c:pt>
                <c:pt idx="30">
                  <c:v>3058</c:v>
                </c:pt>
                <c:pt idx="31">
                  <c:v>3059</c:v>
                </c:pt>
                <c:pt idx="32">
                  <c:v>3060</c:v>
                </c:pt>
                <c:pt idx="33">
                  <c:v>3061</c:v>
                </c:pt>
                <c:pt idx="34">
                  <c:v>3067</c:v>
                </c:pt>
                <c:pt idx="35">
                  <c:v>3068</c:v>
                </c:pt>
                <c:pt idx="36">
                  <c:v>3071</c:v>
                </c:pt>
                <c:pt idx="37">
                  <c:v>3072</c:v>
                </c:pt>
                <c:pt idx="38">
                  <c:v>3073</c:v>
                </c:pt>
                <c:pt idx="39">
                  <c:v>3075</c:v>
                </c:pt>
                <c:pt idx="40">
                  <c:v>3076</c:v>
                </c:pt>
                <c:pt idx="41">
                  <c:v>3078</c:v>
                </c:pt>
                <c:pt idx="42">
                  <c:v>3079</c:v>
                </c:pt>
                <c:pt idx="43">
                  <c:v>3080</c:v>
                </c:pt>
                <c:pt idx="44">
                  <c:v>3081</c:v>
                </c:pt>
                <c:pt idx="45">
                  <c:v>3084</c:v>
                </c:pt>
                <c:pt idx="46">
                  <c:v>3088</c:v>
                </c:pt>
                <c:pt idx="47">
                  <c:v>3089</c:v>
                </c:pt>
                <c:pt idx="48">
                  <c:v>3090</c:v>
                </c:pt>
                <c:pt idx="49">
                  <c:v>3096</c:v>
                </c:pt>
                <c:pt idx="50">
                  <c:v>3100</c:v>
                </c:pt>
                <c:pt idx="51">
                  <c:v>3106</c:v>
                </c:pt>
                <c:pt idx="52">
                  <c:v>3107</c:v>
                </c:pt>
                <c:pt idx="53">
                  <c:v>3108</c:v>
                </c:pt>
                <c:pt idx="54">
                  <c:v>3110</c:v>
                </c:pt>
                <c:pt idx="55">
                  <c:v>3111</c:v>
                </c:pt>
                <c:pt idx="56">
                  <c:v>3112</c:v>
                </c:pt>
                <c:pt idx="57">
                  <c:v>3120</c:v>
                </c:pt>
                <c:pt idx="58">
                  <c:v>3121</c:v>
                </c:pt>
                <c:pt idx="59">
                  <c:v>3145</c:v>
                </c:pt>
                <c:pt idx="60">
                  <c:v>3146</c:v>
                </c:pt>
                <c:pt idx="61">
                  <c:v>3147</c:v>
                </c:pt>
                <c:pt idx="62">
                  <c:v>3187</c:v>
                </c:pt>
                <c:pt idx="63">
                  <c:v>3216</c:v>
                </c:pt>
                <c:pt idx="64">
                  <c:v>3217</c:v>
                </c:pt>
                <c:pt idx="65">
                  <c:v>3218</c:v>
                </c:pt>
                <c:pt idx="66">
                  <c:v>4006</c:v>
                </c:pt>
                <c:pt idx="67">
                  <c:v>4025</c:v>
                </c:pt>
                <c:pt idx="68">
                  <c:v>4030</c:v>
                </c:pt>
                <c:pt idx="69">
                  <c:v>4035</c:v>
                </c:pt>
                <c:pt idx="70">
                  <c:v>4040</c:v>
                </c:pt>
                <c:pt idx="71">
                  <c:v>4050</c:v>
                </c:pt>
                <c:pt idx="72">
                  <c:v>4056</c:v>
                </c:pt>
                <c:pt idx="73">
                  <c:v>4059</c:v>
                </c:pt>
                <c:pt idx="74">
                  <c:v>4065</c:v>
                </c:pt>
                <c:pt idx="75">
                  <c:v>4068</c:v>
                </c:pt>
                <c:pt idx="76">
                  <c:v>4070</c:v>
                </c:pt>
                <c:pt idx="77">
                  <c:v>(blank)</c:v>
                </c:pt>
              </c:strCache>
            </c:strRef>
          </c:cat>
          <c:val>
            <c:numRef>
              <c:f>'Summary Table'!$BY$9:$BY$87</c:f>
              <c:numCache>
                <c:formatCode>General</c:formatCode>
                <c:ptCount val="78"/>
                <c:pt idx="14">
                  <c:v>9</c:v>
                </c:pt>
                <c:pt idx="21">
                  <c:v>35</c:v>
                </c:pt>
                <c:pt idx="28">
                  <c:v>5</c:v>
                </c:pt>
                <c:pt idx="49">
                  <c:v>2</c:v>
                </c:pt>
                <c:pt idx="62">
                  <c:v>4</c:v>
                </c:pt>
              </c:numCache>
            </c:numRef>
          </c:val>
        </c:ser>
        <c:ser>
          <c:idx val="32"/>
          <c:order val="32"/>
          <c:tx>
            <c:strRef>
              <c:f>'Summary Table'!$CC$4:$CC$8</c:f>
              <c:strCache>
                <c:ptCount val="1"/>
                <c:pt idx="0">
                  <c:v>(blank) - (blank) - (blank) - (blank)</c:v>
                </c:pt>
              </c:strCache>
            </c:strRef>
          </c:tx>
          <c:invertIfNegative val="0"/>
          <c:cat>
            <c:strRef>
              <c:f>'Summary Table'!$A$9:$A$87</c:f>
              <c:strCache>
                <c:ptCount val="78"/>
                <c:pt idx="0">
                  <c:v>1160</c:v>
                </c:pt>
                <c:pt idx="1">
                  <c:v>1255</c:v>
                </c:pt>
                <c:pt idx="2">
                  <c:v>1294</c:v>
                </c:pt>
                <c:pt idx="3">
                  <c:v>2000</c:v>
                </c:pt>
                <c:pt idx="4">
                  <c:v>2005</c:v>
                </c:pt>
                <c:pt idx="5">
                  <c:v>2010</c:v>
                </c:pt>
                <c:pt idx="6">
                  <c:v>2015</c:v>
                </c:pt>
                <c:pt idx="7">
                  <c:v>2025</c:v>
                </c:pt>
                <c:pt idx="8">
                  <c:v>2030</c:v>
                </c:pt>
                <c:pt idx="9">
                  <c:v>2055</c:v>
                </c:pt>
                <c:pt idx="10">
                  <c:v>2076</c:v>
                </c:pt>
                <c:pt idx="11">
                  <c:v>2083</c:v>
                </c:pt>
                <c:pt idx="12">
                  <c:v>2086</c:v>
                </c:pt>
                <c:pt idx="13">
                  <c:v>3001</c:v>
                </c:pt>
                <c:pt idx="14">
                  <c:v>3002</c:v>
                </c:pt>
                <c:pt idx="15">
                  <c:v>3004</c:v>
                </c:pt>
                <c:pt idx="16">
                  <c:v>3007</c:v>
                </c:pt>
                <c:pt idx="17">
                  <c:v>3010</c:v>
                </c:pt>
                <c:pt idx="18">
                  <c:v>3013</c:v>
                </c:pt>
                <c:pt idx="19">
                  <c:v>3016</c:v>
                </c:pt>
                <c:pt idx="20">
                  <c:v>3023</c:v>
                </c:pt>
                <c:pt idx="21">
                  <c:v>3024</c:v>
                </c:pt>
                <c:pt idx="22">
                  <c:v>3037</c:v>
                </c:pt>
                <c:pt idx="23">
                  <c:v>3042</c:v>
                </c:pt>
                <c:pt idx="24">
                  <c:v>3046</c:v>
                </c:pt>
                <c:pt idx="25">
                  <c:v>3047</c:v>
                </c:pt>
                <c:pt idx="26">
                  <c:v>3051</c:v>
                </c:pt>
                <c:pt idx="27">
                  <c:v>3052</c:v>
                </c:pt>
                <c:pt idx="28">
                  <c:v>3056</c:v>
                </c:pt>
                <c:pt idx="29">
                  <c:v>3057</c:v>
                </c:pt>
                <c:pt idx="30">
                  <c:v>3058</c:v>
                </c:pt>
                <c:pt idx="31">
                  <c:v>3059</c:v>
                </c:pt>
                <c:pt idx="32">
                  <c:v>3060</c:v>
                </c:pt>
                <c:pt idx="33">
                  <c:v>3061</c:v>
                </c:pt>
                <c:pt idx="34">
                  <c:v>3067</c:v>
                </c:pt>
                <c:pt idx="35">
                  <c:v>3068</c:v>
                </c:pt>
                <c:pt idx="36">
                  <c:v>3071</c:v>
                </c:pt>
                <c:pt idx="37">
                  <c:v>3072</c:v>
                </c:pt>
                <c:pt idx="38">
                  <c:v>3073</c:v>
                </c:pt>
                <c:pt idx="39">
                  <c:v>3075</c:v>
                </c:pt>
                <c:pt idx="40">
                  <c:v>3076</c:v>
                </c:pt>
                <c:pt idx="41">
                  <c:v>3078</c:v>
                </c:pt>
                <c:pt idx="42">
                  <c:v>3079</c:v>
                </c:pt>
                <c:pt idx="43">
                  <c:v>3080</c:v>
                </c:pt>
                <c:pt idx="44">
                  <c:v>3081</c:v>
                </c:pt>
                <c:pt idx="45">
                  <c:v>3084</c:v>
                </c:pt>
                <c:pt idx="46">
                  <c:v>3088</c:v>
                </c:pt>
                <c:pt idx="47">
                  <c:v>3089</c:v>
                </c:pt>
                <c:pt idx="48">
                  <c:v>3090</c:v>
                </c:pt>
                <c:pt idx="49">
                  <c:v>3096</c:v>
                </c:pt>
                <c:pt idx="50">
                  <c:v>3100</c:v>
                </c:pt>
                <c:pt idx="51">
                  <c:v>3106</c:v>
                </c:pt>
                <c:pt idx="52">
                  <c:v>3107</c:v>
                </c:pt>
                <c:pt idx="53">
                  <c:v>3108</c:v>
                </c:pt>
                <c:pt idx="54">
                  <c:v>3110</c:v>
                </c:pt>
                <c:pt idx="55">
                  <c:v>3111</c:v>
                </c:pt>
                <c:pt idx="56">
                  <c:v>3112</c:v>
                </c:pt>
                <c:pt idx="57">
                  <c:v>3120</c:v>
                </c:pt>
                <c:pt idx="58">
                  <c:v>3121</c:v>
                </c:pt>
                <c:pt idx="59">
                  <c:v>3145</c:v>
                </c:pt>
                <c:pt idx="60">
                  <c:v>3146</c:v>
                </c:pt>
                <c:pt idx="61">
                  <c:v>3147</c:v>
                </c:pt>
                <c:pt idx="62">
                  <c:v>3187</c:v>
                </c:pt>
                <c:pt idx="63">
                  <c:v>3216</c:v>
                </c:pt>
                <c:pt idx="64">
                  <c:v>3217</c:v>
                </c:pt>
                <c:pt idx="65">
                  <c:v>3218</c:v>
                </c:pt>
                <c:pt idx="66">
                  <c:v>4006</c:v>
                </c:pt>
                <c:pt idx="67">
                  <c:v>4025</c:v>
                </c:pt>
                <c:pt idx="68">
                  <c:v>4030</c:v>
                </c:pt>
                <c:pt idx="69">
                  <c:v>4035</c:v>
                </c:pt>
                <c:pt idx="70">
                  <c:v>4040</c:v>
                </c:pt>
                <c:pt idx="71">
                  <c:v>4050</c:v>
                </c:pt>
                <c:pt idx="72">
                  <c:v>4056</c:v>
                </c:pt>
                <c:pt idx="73">
                  <c:v>4059</c:v>
                </c:pt>
                <c:pt idx="74">
                  <c:v>4065</c:v>
                </c:pt>
                <c:pt idx="75">
                  <c:v>4068</c:v>
                </c:pt>
                <c:pt idx="76">
                  <c:v>4070</c:v>
                </c:pt>
                <c:pt idx="77">
                  <c:v>(blank)</c:v>
                </c:pt>
              </c:strCache>
            </c:strRef>
          </c:cat>
          <c:val>
            <c:numRef>
              <c:f>'Summary Table'!$CC$9:$CC$87</c:f>
              <c:numCache>
                <c:formatCode>General</c:formatCode>
                <c:ptCount val="78"/>
              </c:numCache>
            </c:numRef>
          </c:val>
        </c:ser>
        <c:dLbls>
          <c:showLegendKey val="0"/>
          <c:showVal val="0"/>
          <c:showCatName val="0"/>
          <c:showSerName val="0"/>
          <c:showPercent val="0"/>
          <c:showBubbleSize val="0"/>
        </c:dLbls>
        <c:gapWidth val="50"/>
        <c:overlap val="100"/>
        <c:axId val="107447040"/>
        <c:axId val="107448576"/>
      </c:barChart>
      <c:catAx>
        <c:axId val="107447040"/>
        <c:scaling>
          <c:orientation val="minMax"/>
        </c:scaling>
        <c:delete val="0"/>
        <c:axPos val="b"/>
        <c:numFmt formatCode="General" sourceLinked="1"/>
        <c:majorTickMark val="out"/>
        <c:minorTickMark val="none"/>
        <c:tickLblPos val="nextTo"/>
        <c:spPr>
          <a:ln w="3175">
            <a:solidFill>
              <a:srgbClr val="000000"/>
            </a:solidFill>
            <a:prstDash val="solid"/>
          </a:ln>
        </c:spPr>
        <c:txPr>
          <a:bodyPr rot="-5400000" vert="horz"/>
          <a:lstStyle/>
          <a:p>
            <a:pPr>
              <a:defRPr sz="1000" b="0" i="0" u="none" strike="noStrike" baseline="0">
                <a:solidFill>
                  <a:srgbClr val="000000"/>
                </a:solidFill>
                <a:latin typeface="Arial"/>
                <a:ea typeface="Arial"/>
                <a:cs typeface="Arial"/>
              </a:defRPr>
            </a:pPr>
            <a:endParaRPr lang="en-US"/>
          </a:p>
        </c:txPr>
        <c:crossAx val="107448576"/>
        <c:crosses val="autoZero"/>
        <c:auto val="0"/>
        <c:lblAlgn val="ctr"/>
        <c:lblOffset val="100"/>
        <c:tickMarkSkip val="1"/>
        <c:noMultiLvlLbl val="0"/>
      </c:catAx>
      <c:valAx>
        <c:axId val="107448576"/>
        <c:scaling>
          <c:orientation val="minMax"/>
          <c:min val="0"/>
        </c:scaling>
        <c:delete val="0"/>
        <c:axPos val="l"/>
        <c:majorGridlines>
          <c:spPr>
            <a:ln w="3175">
              <a:solidFill>
                <a:srgbClr val="000000"/>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107447040"/>
        <c:crosses val="autoZero"/>
        <c:crossBetween val="between"/>
        <c:minorUnit val="5.8106999999999998"/>
      </c:valAx>
      <c:spPr>
        <a:solidFill>
          <a:srgbClr val="C0C0C0"/>
        </a:solidFill>
        <a:ln w="12700">
          <a:solidFill>
            <a:srgbClr val="808080"/>
          </a:solidFill>
          <a:prstDash val="solid"/>
        </a:ln>
      </c:spPr>
    </c:plotArea>
    <c:legend>
      <c:legendPos val="r"/>
      <c:overlay val="0"/>
      <c:spPr>
        <a:solidFill>
          <a:srgbClr val="FFFFFF"/>
        </a:solidFill>
        <a:ln w="3175">
          <a:solidFill>
            <a:srgbClr val="000000"/>
          </a:solidFill>
          <a:prstDash val="solid"/>
        </a:ln>
      </c:spPr>
      <c:txPr>
        <a:bodyPr/>
        <a:lstStyle/>
        <a:p>
          <a:pPr>
            <a:defRPr sz="845" b="0" i="0" u="none" strike="noStrike" baseline="0">
              <a:solidFill>
                <a:srgbClr val="000000"/>
              </a:solidFill>
              <a:latin typeface="Arial"/>
              <a:ea typeface="Arial"/>
              <a:cs typeface="Arial"/>
            </a:defRPr>
          </a:pPr>
          <a:endParaRPr lang="en-US"/>
        </a:p>
      </c:txPr>
    </c:legend>
    <c:plotVisOnly val="1"/>
    <c:dispBlanksAs val="gap"/>
    <c:showDLblsOverMax val="0"/>
  </c:chart>
  <c:spPr>
    <a:noFill/>
    <a:ln w="9525">
      <a:noFill/>
    </a:ln>
  </c:spPr>
  <c:txPr>
    <a:bodyPr/>
    <a:lstStyle/>
    <a:p>
      <a:pPr>
        <a:defRPr sz="1000" b="0" i="0" u="none" strike="noStrike" baseline="0">
          <a:solidFill>
            <a:srgbClr val="000000"/>
          </a:solidFill>
          <a:latin typeface="Arial"/>
          <a:ea typeface="Arial"/>
          <a:cs typeface="Arial"/>
        </a:defRPr>
      </a:pPr>
      <a:endParaRPr lang="en-US"/>
    </a:p>
  </c:txPr>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[ACL TOP LOGBOOK VIEWER (ENG) Rev3.xlsm]Timing Table!PivotTable1</c:name>
    <c:fmtId val="0"/>
  </c:pivotSource>
  <c:chart>
    <c:title>
      <c:tx>
        <c:rich>
          <a:bodyPr/>
          <a:lstStyle/>
          <a:p>
            <a:pPr>
              <a:defRPr sz="1800" b="1" i="0" u="none" strike="noStrike" baseline="0">
                <a:solidFill>
                  <a:srgbClr val="000000"/>
                </a:solidFill>
                <a:latin typeface="Arial"/>
                <a:ea typeface="Arial"/>
                <a:cs typeface="Arial"/>
              </a:defRPr>
            </a:pPr>
            <a:r>
              <a:rPr lang="it-IT"/>
              <a:t>Timing Graph Messages
counting by time</a:t>
            </a:r>
          </a:p>
        </c:rich>
      </c:tx>
      <c:overlay val="0"/>
      <c:spPr>
        <a:noFill/>
        <a:ln w="25400">
          <a:noFill/>
        </a:ln>
      </c:spPr>
    </c:title>
    <c:autoTitleDeleted val="0"/>
    <c:pivotFmts>
      <c:pivotFmt>
        <c:idx val="0"/>
        <c:marker>
          <c:symbol val="none"/>
        </c:marker>
      </c:pivotFmt>
      <c:pivotFmt>
        <c:idx val="1"/>
        <c:marker>
          <c:symbol val="none"/>
        </c:marker>
      </c:pivotFmt>
      <c:pivotFmt>
        <c:idx val="2"/>
        <c:marker>
          <c:symbol val="none"/>
        </c:marker>
      </c:pivotFmt>
      <c:pivotFmt>
        <c:idx val="3"/>
        <c:marker>
          <c:symbol val="none"/>
        </c:marker>
      </c:pivotFmt>
      <c:pivotFmt>
        <c:idx val="4"/>
        <c:marker>
          <c:symbol val="none"/>
        </c:marker>
      </c:pivotFmt>
      <c:pivotFmt>
        <c:idx val="5"/>
        <c:marker>
          <c:symbol val="none"/>
        </c:marker>
      </c:pivotFmt>
      <c:pivotFmt>
        <c:idx val="6"/>
        <c:marker>
          <c:symbol val="none"/>
        </c:marker>
      </c:pivotFmt>
      <c:pivotFmt>
        <c:idx val="7"/>
        <c:marker>
          <c:symbol val="none"/>
        </c:marker>
      </c:pivotFmt>
      <c:pivotFmt>
        <c:idx val="8"/>
        <c:marker>
          <c:symbol val="none"/>
        </c:marker>
      </c:pivotFmt>
      <c:pivotFmt>
        <c:idx val="9"/>
        <c:marker>
          <c:symbol val="none"/>
        </c:marker>
      </c:pivotFmt>
      <c:pivotFmt>
        <c:idx val="10"/>
        <c:marker>
          <c:symbol val="none"/>
        </c:marker>
      </c:pivotFmt>
      <c:pivotFmt>
        <c:idx val="11"/>
        <c:marker>
          <c:symbol val="none"/>
        </c:marker>
      </c:pivotFmt>
      <c:pivotFmt>
        <c:idx val="12"/>
        <c:marker>
          <c:symbol val="none"/>
        </c:marker>
      </c:pivotFmt>
      <c:pivotFmt>
        <c:idx val="13"/>
        <c:marker>
          <c:symbol val="none"/>
        </c:marker>
      </c:pivotFmt>
      <c:pivotFmt>
        <c:idx val="14"/>
        <c:marker>
          <c:symbol val="none"/>
        </c:marker>
      </c:pivotFmt>
      <c:pivotFmt>
        <c:idx val="15"/>
        <c:marker>
          <c:symbol val="none"/>
        </c:marker>
      </c:pivotFmt>
      <c:pivotFmt>
        <c:idx val="16"/>
        <c:marker>
          <c:symbol val="none"/>
        </c:marker>
      </c:pivotFmt>
      <c:pivotFmt>
        <c:idx val="17"/>
        <c:marker>
          <c:symbol val="none"/>
        </c:marker>
      </c:pivotFmt>
      <c:pivotFmt>
        <c:idx val="18"/>
        <c:marker>
          <c:symbol val="none"/>
        </c:marker>
      </c:pivotFmt>
      <c:pivotFmt>
        <c:idx val="19"/>
        <c:marker>
          <c:symbol val="none"/>
        </c:marker>
      </c:pivotFmt>
      <c:pivotFmt>
        <c:idx val="20"/>
        <c:marker>
          <c:symbol val="none"/>
        </c:marker>
      </c:pivotFmt>
      <c:pivotFmt>
        <c:idx val="21"/>
        <c:marker>
          <c:symbol val="none"/>
        </c:marker>
      </c:pivotFmt>
      <c:pivotFmt>
        <c:idx val="22"/>
        <c:marker>
          <c:symbol val="none"/>
        </c:marker>
      </c:pivotFmt>
      <c:pivotFmt>
        <c:idx val="23"/>
        <c:marker>
          <c:symbol val="none"/>
        </c:marker>
      </c:pivotFmt>
      <c:pivotFmt>
        <c:idx val="24"/>
        <c:marker>
          <c:symbol val="none"/>
        </c:marker>
      </c:pivotFmt>
      <c:pivotFmt>
        <c:idx val="25"/>
        <c:marker>
          <c:symbol val="none"/>
        </c:marker>
      </c:pivotFmt>
      <c:pivotFmt>
        <c:idx val="26"/>
        <c:marker>
          <c:symbol val="none"/>
        </c:marker>
      </c:pivotFmt>
      <c:pivotFmt>
        <c:idx val="27"/>
        <c:marker>
          <c:symbol val="none"/>
        </c:marker>
      </c:pivotFmt>
      <c:pivotFmt>
        <c:idx val="28"/>
        <c:marker>
          <c:symbol val="none"/>
        </c:marker>
      </c:pivotFmt>
      <c:pivotFmt>
        <c:idx val="29"/>
        <c:marker>
          <c:symbol val="none"/>
        </c:marker>
      </c:pivotFmt>
      <c:pivotFmt>
        <c:idx val="30"/>
        <c:marker>
          <c:symbol val="none"/>
        </c:marker>
      </c:pivotFmt>
      <c:pivotFmt>
        <c:idx val="31"/>
        <c:marker>
          <c:symbol val="none"/>
        </c:marker>
      </c:pivotFmt>
      <c:pivotFmt>
        <c:idx val="32"/>
        <c:marker>
          <c:symbol val="none"/>
        </c:marker>
      </c:pivotFmt>
      <c:pivotFmt>
        <c:idx val="33"/>
        <c:marker>
          <c:symbol val="none"/>
        </c:marker>
      </c:pivotFmt>
      <c:pivotFmt>
        <c:idx val="34"/>
        <c:marker>
          <c:symbol val="none"/>
        </c:marker>
      </c:pivotFmt>
      <c:pivotFmt>
        <c:idx val="35"/>
        <c:marker>
          <c:symbol val="none"/>
        </c:marker>
      </c:pivotFmt>
      <c:pivotFmt>
        <c:idx val="36"/>
        <c:marker>
          <c:symbol val="none"/>
        </c:marker>
      </c:pivotFmt>
      <c:pivotFmt>
        <c:idx val="37"/>
        <c:marker>
          <c:symbol val="none"/>
        </c:marker>
      </c:pivotFmt>
      <c:pivotFmt>
        <c:idx val="38"/>
        <c:marker>
          <c:symbol val="none"/>
        </c:marker>
      </c:pivotFmt>
      <c:pivotFmt>
        <c:idx val="39"/>
        <c:marker>
          <c:symbol val="none"/>
        </c:marker>
      </c:pivotFmt>
      <c:pivotFmt>
        <c:idx val="40"/>
        <c:marker>
          <c:symbol val="none"/>
        </c:marker>
      </c:pivotFmt>
      <c:pivotFmt>
        <c:idx val="41"/>
        <c:marker>
          <c:symbol val="none"/>
        </c:marker>
      </c:pivotFmt>
      <c:pivotFmt>
        <c:idx val="42"/>
        <c:marker>
          <c:symbol val="none"/>
        </c:marker>
      </c:pivotFmt>
      <c:pivotFmt>
        <c:idx val="43"/>
        <c:marker>
          <c:symbol val="none"/>
        </c:marker>
      </c:pivotFmt>
      <c:pivotFmt>
        <c:idx val="44"/>
        <c:marker>
          <c:symbol val="none"/>
        </c:marker>
      </c:pivotFmt>
      <c:pivotFmt>
        <c:idx val="45"/>
        <c:marker>
          <c:symbol val="none"/>
        </c:marker>
      </c:pivotFmt>
      <c:pivotFmt>
        <c:idx val="46"/>
        <c:marker>
          <c:symbol val="none"/>
        </c:marker>
      </c:pivotFmt>
      <c:pivotFmt>
        <c:idx val="47"/>
        <c:marker>
          <c:symbol val="none"/>
        </c:marker>
      </c:pivotFmt>
      <c:pivotFmt>
        <c:idx val="48"/>
        <c:marker>
          <c:symbol val="none"/>
        </c:marker>
      </c:pivotFmt>
      <c:pivotFmt>
        <c:idx val="49"/>
        <c:marker>
          <c:symbol val="none"/>
        </c:marker>
      </c:pivotFmt>
      <c:pivotFmt>
        <c:idx val="50"/>
        <c:marker>
          <c:symbol val="none"/>
        </c:marker>
      </c:pivotFmt>
      <c:pivotFmt>
        <c:idx val="51"/>
        <c:marker>
          <c:symbol val="none"/>
        </c:marker>
      </c:pivotFmt>
      <c:pivotFmt>
        <c:idx val="52"/>
        <c:marker>
          <c:symbol val="none"/>
        </c:marker>
      </c:pivotFmt>
      <c:pivotFmt>
        <c:idx val="53"/>
        <c:marker>
          <c:symbol val="none"/>
        </c:marker>
      </c:pivotFmt>
      <c:pivotFmt>
        <c:idx val="54"/>
        <c:marker>
          <c:symbol val="none"/>
        </c:marker>
      </c:pivotFmt>
      <c:pivotFmt>
        <c:idx val="55"/>
        <c:marker>
          <c:symbol val="none"/>
        </c:marker>
      </c:pivotFmt>
      <c:pivotFmt>
        <c:idx val="56"/>
        <c:marker>
          <c:symbol val="none"/>
        </c:marker>
      </c:pivotFmt>
      <c:pivotFmt>
        <c:idx val="57"/>
        <c:marker>
          <c:symbol val="none"/>
        </c:marker>
      </c:pivotFmt>
      <c:pivotFmt>
        <c:idx val="58"/>
        <c:marker>
          <c:symbol val="none"/>
        </c:marker>
      </c:pivotFmt>
      <c:pivotFmt>
        <c:idx val="59"/>
        <c:marker>
          <c:symbol val="none"/>
        </c:marker>
      </c:pivotFmt>
      <c:pivotFmt>
        <c:idx val="60"/>
        <c:marker>
          <c:symbol val="none"/>
        </c:marker>
      </c:pivotFmt>
      <c:pivotFmt>
        <c:idx val="61"/>
        <c:marker>
          <c:symbol val="none"/>
        </c:marker>
      </c:pivotFmt>
      <c:pivotFmt>
        <c:idx val="62"/>
        <c:marker>
          <c:symbol val="none"/>
        </c:marker>
      </c:pivotFmt>
      <c:pivotFmt>
        <c:idx val="63"/>
        <c:marker>
          <c:symbol val="none"/>
        </c:marker>
      </c:pivotFmt>
      <c:pivotFmt>
        <c:idx val="64"/>
        <c:marker>
          <c:symbol val="none"/>
        </c:marker>
      </c:pivotFmt>
      <c:pivotFmt>
        <c:idx val="65"/>
        <c:marker>
          <c:symbol val="none"/>
        </c:marker>
      </c:pivotFmt>
      <c:pivotFmt>
        <c:idx val="66"/>
        <c:marker>
          <c:symbol val="none"/>
        </c:marker>
      </c:pivotFmt>
      <c:pivotFmt>
        <c:idx val="67"/>
        <c:marker>
          <c:symbol val="none"/>
        </c:marker>
      </c:pivotFmt>
      <c:pivotFmt>
        <c:idx val="68"/>
        <c:marker>
          <c:symbol val="none"/>
        </c:marker>
      </c:pivotFmt>
      <c:pivotFmt>
        <c:idx val="69"/>
        <c:marker>
          <c:symbol val="none"/>
        </c:marker>
      </c:pivotFmt>
      <c:pivotFmt>
        <c:idx val="70"/>
        <c:marker>
          <c:symbol val="none"/>
        </c:marker>
      </c:pivotFmt>
      <c:pivotFmt>
        <c:idx val="71"/>
        <c:marker>
          <c:symbol val="none"/>
        </c:marker>
      </c:pivotFmt>
      <c:pivotFmt>
        <c:idx val="72"/>
        <c:marker>
          <c:symbol val="none"/>
        </c:marker>
      </c:pivotFmt>
      <c:pivotFmt>
        <c:idx val="73"/>
        <c:marker>
          <c:symbol val="none"/>
        </c:marker>
      </c:pivotFmt>
      <c:pivotFmt>
        <c:idx val="74"/>
        <c:marker>
          <c:symbol val="none"/>
        </c:marker>
      </c:pivotFmt>
      <c:pivotFmt>
        <c:idx val="75"/>
        <c:marker>
          <c:symbol val="none"/>
        </c:marker>
      </c:pivotFmt>
      <c:pivotFmt>
        <c:idx val="76"/>
        <c:marker>
          <c:symbol val="none"/>
        </c:marker>
      </c:pivotFmt>
      <c:pivotFmt>
        <c:idx val="77"/>
        <c:marker>
          <c:symbol val="none"/>
        </c:marker>
      </c:pivotFmt>
      <c:pivotFmt>
        <c:idx val="78"/>
        <c:marker>
          <c:symbol val="none"/>
        </c:marker>
      </c:pivotFmt>
      <c:pivotFmt>
        <c:idx val="79"/>
        <c:marker>
          <c:symbol val="none"/>
        </c:marker>
      </c:pivotFmt>
      <c:pivotFmt>
        <c:idx val="80"/>
        <c:marker>
          <c:symbol val="none"/>
        </c:marker>
      </c:pivotFmt>
      <c:pivotFmt>
        <c:idx val="81"/>
        <c:marker>
          <c:symbol val="none"/>
        </c:marker>
      </c:pivotFmt>
      <c:pivotFmt>
        <c:idx val="82"/>
        <c:marker>
          <c:symbol val="none"/>
        </c:marker>
      </c:pivotFmt>
      <c:pivotFmt>
        <c:idx val="83"/>
        <c:marker>
          <c:symbol val="none"/>
        </c:marker>
      </c:pivotFmt>
      <c:pivotFmt>
        <c:idx val="84"/>
        <c:marker>
          <c:symbol val="none"/>
        </c:marker>
      </c:pivotFmt>
      <c:pivotFmt>
        <c:idx val="85"/>
        <c:marker>
          <c:symbol val="none"/>
        </c:marker>
      </c:pivotFmt>
      <c:pivotFmt>
        <c:idx val="86"/>
        <c:marker>
          <c:symbol val="none"/>
        </c:marker>
      </c:pivotFmt>
      <c:pivotFmt>
        <c:idx val="87"/>
        <c:marker>
          <c:symbol val="none"/>
        </c:marker>
      </c:pivotFmt>
      <c:pivotFmt>
        <c:idx val="88"/>
        <c:marker>
          <c:symbol val="none"/>
        </c:marker>
      </c:pivotFmt>
      <c:pivotFmt>
        <c:idx val="89"/>
        <c:marker>
          <c:symbol val="none"/>
        </c:marker>
      </c:pivotFmt>
      <c:pivotFmt>
        <c:idx val="90"/>
        <c:marker>
          <c:symbol val="none"/>
        </c:marker>
      </c:pivotFmt>
      <c:pivotFmt>
        <c:idx val="91"/>
        <c:marker>
          <c:symbol val="none"/>
        </c:marker>
      </c:pivotFmt>
      <c:pivotFmt>
        <c:idx val="92"/>
        <c:marker>
          <c:symbol val="none"/>
        </c:marker>
      </c:pivotFmt>
      <c:pivotFmt>
        <c:idx val="93"/>
        <c:marker>
          <c:symbol val="none"/>
        </c:marker>
      </c:pivotFmt>
      <c:pivotFmt>
        <c:idx val="94"/>
        <c:marker>
          <c:symbol val="none"/>
        </c:marker>
      </c:pivotFmt>
      <c:pivotFmt>
        <c:idx val="95"/>
        <c:marker>
          <c:symbol val="none"/>
        </c:marker>
      </c:pivotFmt>
      <c:pivotFmt>
        <c:idx val="96"/>
        <c:marker>
          <c:symbol val="none"/>
        </c:marker>
      </c:pivotFmt>
      <c:pivotFmt>
        <c:idx val="97"/>
        <c:marker>
          <c:symbol val="none"/>
        </c:marker>
      </c:pivotFmt>
      <c:pivotFmt>
        <c:idx val="98"/>
        <c:marker>
          <c:symbol val="none"/>
        </c:marker>
      </c:pivotFmt>
      <c:pivotFmt>
        <c:idx val="99"/>
        <c:marker>
          <c:symbol val="none"/>
        </c:marker>
      </c:pivotFmt>
      <c:pivotFmt>
        <c:idx val="100"/>
        <c:marker>
          <c:symbol val="none"/>
        </c:marker>
      </c:pivotFmt>
      <c:pivotFmt>
        <c:idx val="101"/>
        <c:marker>
          <c:symbol val="none"/>
        </c:marker>
      </c:pivotFmt>
      <c:pivotFmt>
        <c:idx val="102"/>
        <c:marker>
          <c:symbol val="none"/>
        </c:marker>
      </c:pivotFmt>
      <c:pivotFmt>
        <c:idx val="103"/>
        <c:marker>
          <c:symbol val="none"/>
        </c:marker>
      </c:pivotFmt>
      <c:pivotFmt>
        <c:idx val="104"/>
        <c:marker>
          <c:symbol val="none"/>
        </c:marker>
      </c:pivotFmt>
      <c:pivotFmt>
        <c:idx val="105"/>
        <c:marker>
          <c:symbol val="none"/>
        </c:marker>
      </c:pivotFmt>
      <c:pivotFmt>
        <c:idx val="106"/>
        <c:marker>
          <c:symbol val="none"/>
        </c:marker>
      </c:pivotFmt>
      <c:pivotFmt>
        <c:idx val="107"/>
        <c:marker>
          <c:symbol val="none"/>
        </c:marker>
      </c:pivotFmt>
      <c:pivotFmt>
        <c:idx val="108"/>
        <c:marker>
          <c:symbol val="none"/>
        </c:marker>
      </c:pivotFmt>
      <c:pivotFmt>
        <c:idx val="109"/>
        <c:marker>
          <c:symbol val="none"/>
        </c:marker>
      </c:pivotFmt>
      <c:pivotFmt>
        <c:idx val="110"/>
        <c:marker>
          <c:symbol val="none"/>
        </c:marker>
      </c:pivotFmt>
      <c:pivotFmt>
        <c:idx val="111"/>
        <c:marker>
          <c:symbol val="none"/>
        </c:marker>
      </c:pivotFmt>
      <c:pivotFmt>
        <c:idx val="112"/>
        <c:marker>
          <c:symbol val="none"/>
        </c:marker>
      </c:pivotFmt>
      <c:pivotFmt>
        <c:idx val="113"/>
        <c:marker>
          <c:symbol val="none"/>
        </c:marker>
      </c:pivotFmt>
      <c:pivotFmt>
        <c:idx val="114"/>
        <c:marker>
          <c:symbol val="none"/>
        </c:marker>
      </c:pivotFmt>
      <c:pivotFmt>
        <c:idx val="115"/>
        <c:marker>
          <c:symbol val="none"/>
        </c:marker>
      </c:pivotFmt>
      <c:pivotFmt>
        <c:idx val="116"/>
        <c:marker>
          <c:symbol val="none"/>
        </c:marker>
      </c:pivotFmt>
      <c:pivotFmt>
        <c:idx val="117"/>
        <c:marker>
          <c:symbol val="none"/>
        </c:marker>
      </c:pivotFmt>
      <c:pivotFmt>
        <c:idx val="118"/>
        <c:marker>
          <c:symbol val="none"/>
        </c:marker>
      </c:pivotFmt>
      <c:pivotFmt>
        <c:idx val="119"/>
        <c:marker>
          <c:symbol val="none"/>
        </c:marker>
      </c:pivotFmt>
      <c:pivotFmt>
        <c:idx val="120"/>
        <c:marker>
          <c:symbol val="none"/>
        </c:marker>
      </c:pivotFmt>
      <c:pivotFmt>
        <c:idx val="121"/>
        <c:marker>
          <c:symbol val="none"/>
        </c:marker>
      </c:pivotFmt>
      <c:pivotFmt>
        <c:idx val="122"/>
        <c:marker>
          <c:symbol val="none"/>
        </c:marker>
      </c:pivotFmt>
      <c:pivotFmt>
        <c:idx val="123"/>
        <c:marker>
          <c:symbol val="none"/>
        </c:marker>
      </c:pivotFmt>
      <c:pivotFmt>
        <c:idx val="124"/>
        <c:marker>
          <c:symbol val="none"/>
        </c:marker>
      </c:pivotFmt>
      <c:pivotFmt>
        <c:idx val="125"/>
        <c:marker>
          <c:symbol val="none"/>
        </c:marker>
      </c:pivotFmt>
      <c:pivotFmt>
        <c:idx val="126"/>
        <c:marker>
          <c:symbol val="none"/>
        </c:marker>
      </c:pivotFmt>
      <c:pivotFmt>
        <c:idx val="127"/>
        <c:marker>
          <c:symbol val="none"/>
        </c:marker>
      </c:pivotFmt>
      <c:pivotFmt>
        <c:idx val="128"/>
        <c:marker>
          <c:symbol val="none"/>
        </c:marker>
      </c:pivotFmt>
      <c:pivotFmt>
        <c:idx val="129"/>
        <c:marker>
          <c:symbol val="none"/>
        </c:marker>
      </c:pivotFmt>
      <c:pivotFmt>
        <c:idx val="130"/>
        <c:marker>
          <c:symbol val="none"/>
        </c:marker>
      </c:pivotFmt>
      <c:pivotFmt>
        <c:idx val="131"/>
        <c:marker>
          <c:symbol val="none"/>
        </c:marker>
      </c:pivotFmt>
      <c:pivotFmt>
        <c:idx val="132"/>
        <c:marker>
          <c:symbol val="none"/>
        </c:marker>
      </c:pivotFmt>
      <c:pivotFmt>
        <c:idx val="133"/>
        <c:marker>
          <c:symbol val="none"/>
        </c:marker>
      </c:pivotFmt>
      <c:pivotFmt>
        <c:idx val="134"/>
        <c:marker>
          <c:symbol val="none"/>
        </c:marker>
      </c:pivotFmt>
      <c:pivotFmt>
        <c:idx val="135"/>
        <c:marker>
          <c:symbol val="none"/>
        </c:marker>
      </c:pivotFmt>
      <c:pivotFmt>
        <c:idx val="136"/>
        <c:marker>
          <c:symbol val="none"/>
        </c:marker>
      </c:pivotFmt>
      <c:pivotFmt>
        <c:idx val="137"/>
        <c:marker>
          <c:symbol val="none"/>
        </c:marker>
      </c:pivotFmt>
      <c:pivotFmt>
        <c:idx val="138"/>
        <c:marker>
          <c:symbol val="none"/>
        </c:marker>
      </c:pivotFmt>
      <c:pivotFmt>
        <c:idx val="139"/>
        <c:marker>
          <c:symbol val="none"/>
        </c:marker>
      </c:pivotFmt>
      <c:pivotFmt>
        <c:idx val="140"/>
        <c:marker>
          <c:symbol val="none"/>
        </c:marker>
      </c:pivotFmt>
      <c:pivotFmt>
        <c:idx val="141"/>
        <c:marker>
          <c:symbol val="none"/>
        </c:marker>
      </c:pivotFmt>
      <c:pivotFmt>
        <c:idx val="142"/>
        <c:marker>
          <c:symbol val="none"/>
        </c:marker>
      </c:pivotFmt>
      <c:pivotFmt>
        <c:idx val="143"/>
        <c:marker>
          <c:symbol val="none"/>
        </c:marker>
      </c:pivotFmt>
      <c:pivotFmt>
        <c:idx val="144"/>
        <c:marker>
          <c:symbol val="none"/>
        </c:marker>
      </c:pivotFmt>
      <c:pivotFmt>
        <c:idx val="145"/>
        <c:marker>
          <c:symbol val="none"/>
        </c:marker>
      </c:pivotFmt>
      <c:pivotFmt>
        <c:idx val="146"/>
        <c:marker>
          <c:symbol val="none"/>
        </c:marker>
      </c:pivotFmt>
      <c:pivotFmt>
        <c:idx val="147"/>
        <c:marker>
          <c:symbol val="none"/>
        </c:marker>
      </c:pivotFmt>
      <c:pivotFmt>
        <c:idx val="148"/>
        <c:marker>
          <c:symbol val="none"/>
        </c:marker>
      </c:pivotFmt>
      <c:pivotFmt>
        <c:idx val="149"/>
        <c:marker>
          <c:symbol val="none"/>
        </c:marker>
      </c:pivotFmt>
      <c:pivotFmt>
        <c:idx val="150"/>
        <c:marker>
          <c:symbol val="none"/>
        </c:marker>
      </c:pivotFmt>
      <c:pivotFmt>
        <c:idx val="151"/>
        <c:marker>
          <c:symbol val="none"/>
        </c:marker>
      </c:pivotFmt>
      <c:pivotFmt>
        <c:idx val="152"/>
        <c:marker>
          <c:symbol val="none"/>
        </c:marker>
      </c:pivotFmt>
      <c:pivotFmt>
        <c:idx val="153"/>
        <c:marker>
          <c:symbol val="none"/>
        </c:marker>
      </c:pivotFmt>
      <c:pivotFmt>
        <c:idx val="154"/>
        <c:marker>
          <c:symbol val="none"/>
        </c:marker>
      </c:pivotFmt>
      <c:pivotFmt>
        <c:idx val="155"/>
        <c:marker>
          <c:symbol val="none"/>
        </c:marker>
      </c:pivotFmt>
      <c:pivotFmt>
        <c:idx val="156"/>
        <c:marker>
          <c:symbol val="none"/>
        </c:marker>
      </c:pivotFmt>
      <c:pivotFmt>
        <c:idx val="157"/>
        <c:marker>
          <c:symbol val="none"/>
        </c:marker>
      </c:pivotFmt>
      <c:pivotFmt>
        <c:idx val="158"/>
        <c:marker>
          <c:symbol val="none"/>
        </c:marker>
      </c:pivotFmt>
      <c:pivotFmt>
        <c:idx val="159"/>
        <c:marker>
          <c:symbol val="none"/>
        </c:marker>
      </c:pivotFmt>
      <c:pivotFmt>
        <c:idx val="160"/>
        <c:marker>
          <c:symbol val="none"/>
        </c:marker>
      </c:pivotFmt>
      <c:pivotFmt>
        <c:idx val="161"/>
        <c:marker>
          <c:symbol val="none"/>
        </c:marker>
      </c:pivotFmt>
      <c:pivotFmt>
        <c:idx val="162"/>
        <c:marker>
          <c:symbol val="none"/>
        </c:marker>
      </c:pivotFmt>
      <c:pivotFmt>
        <c:idx val="163"/>
        <c:marker>
          <c:symbol val="none"/>
        </c:marker>
      </c:pivotFmt>
      <c:pivotFmt>
        <c:idx val="164"/>
        <c:marker>
          <c:symbol val="none"/>
        </c:marker>
      </c:pivotFmt>
      <c:pivotFmt>
        <c:idx val="165"/>
        <c:marker>
          <c:symbol val="none"/>
        </c:marker>
      </c:pivotFmt>
      <c:pivotFmt>
        <c:idx val="166"/>
        <c:marker>
          <c:symbol val="none"/>
        </c:marker>
      </c:pivotFmt>
      <c:pivotFmt>
        <c:idx val="167"/>
        <c:marker>
          <c:symbol val="none"/>
        </c:marker>
      </c:pivotFmt>
      <c:pivotFmt>
        <c:idx val="168"/>
        <c:marker>
          <c:symbol val="none"/>
        </c:marker>
      </c:pivotFmt>
      <c:pivotFmt>
        <c:idx val="169"/>
        <c:marker>
          <c:symbol val="none"/>
        </c:marker>
      </c:pivotFmt>
      <c:pivotFmt>
        <c:idx val="170"/>
        <c:marker>
          <c:symbol val="none"/>
        </c:marker>
      </c:pivotFmt>
      <c:pivotFmt>
        <c:idx val="171"/>
        <c:marker>
          <c:symbol val="none"/>
        </c:marker>
      </c:pivotFmt>
      <c:pivotFmt>
        <c:idx val="172"/>
        <c:marker>
          <c:symbol val="none"/>
        </c:marker>
      </c:pivotFmt>
      <c:pivotFmt>
        <c:idx val="173"/>
        <c:marker>
          <c:symbol val="none"/>
        </c:marker>
      </c:pivotFmt>
      <c:pivotFmt>
        <c:idx val="174"/>
        <c:marker>
          <c:symbol val="none"/>
        </c:marker>
      </c:pivotFmt>
      <c:pivotFmt>
        <c:idx val="175"/>
        <c:marker>
          <c:symbol val="none"/>
        </c:marker>
      </c:pivotFmt>
      <c:pivotFmt>
        <c:idx val="176"/>
        <c:marker>
          <c:symbol val="none"/>
        </c:marker>
      </c:pivotFmt>
      <c:pivotFmt>
        <c:idx val="177"/>
        <c:marker>
          <c:symbol val="none"/>
        </c:marker>
      </c:pivotFmt>
      <c:pivotFmt>
        <c:idx val="178"/>
        <c:marker>
          <c:symbol val="none"/>
        </c:marker>
      </c:pivotFmt>
      <c:pivotFmt>
        <c:idx val="179"/>
        <c:marker>
          <c:symbol val="none"/>
        </c:marker>
      </c:pivotFmt>
      <c:pivotFmt>
        <c:idx val="180"/>
        <c:marker>
          <c:symbol val="none"/>
        </c:marker>
      </c:pivotFmt>
      <c:pivotFmt>
        <c:idx val="181"/>
        <c:marker>
          <c:symbol val="none"/>
        </c:marker>
      </c:pivotFmt>
      <c:pivotFmt>
        <c:idx val="182"/>
        <c:marker>
          <c:symbol val="none"/>
        </c:marker>
      </c:pivotFmt>
      <c:pivotFmt>
        <c:idx val="183"/>
        <c:marker>
          <c:symbol val="none"/>
        </c:marker>
      </c:pivotFmt>
      <c:pivotFmt>
        <c:idx val="184"/>
        <c:marker>
          <c:symbol val="none"/>
        </c:marker>
      </c:pivotFmt>
      <c:pivotFmt>
        <c:idx val="185"/>
        <c:marker>
          <c:symbol val="none"/>
        </c:marker>
      </c:pivotFmt>
      <c:pivotFmt>
        <c:idx val="186"/>
        <c:marker>
          <c:symbol val="none"/>
        </c:marker>
      </c:pivotFmt>
      <c:pivotFmt>
        <c:idx val="187"/>
        <c:marker>
          <c:symbol val="none"/>
        </c:marker>
      </c:pivotFmt>
      <c:pivotFmt>
        <c:idx val="188"/>
        <c:marker>
          <c:symbol val="none"/>
        </c:marker>
      </c:pivotFmt>
      <c:pivotFmt>
        <c:idx val="189"/>
        <c:marker>
          <c:symbol val="none"/>
        </c:marker>
      </c:pivotFmt>
      <c:pivotFmt>
        <c:idx val="190"/>
        <c:marker>
          <c:symbol val="none"/>
        </c:marker>
      </c:pivotFmt>
      <c:pivotFmt>
        <c:idx val="191"/>
        <c:marker>
          <c:symbol val="none"/>
        </c:marker>
      </c:pivotFmt>
      <c:pivotFmt>
        <c:idx val="192"/>
        <c:marker>
          <c:symbol val="none"/>
        </c:marker>
      </c:pivotFmt>
      <c:pivotFmt>
        <c:idx val="193"/>
        <c:marker>
          <c:symbol val="none"/>
        </c:marker>
      </c:pivotFmt>
      <c:pivotFmt>
        <c:idx val="194"/>
        <c:marker>
          <c:symbol val="none"/>
        </c:marker>
      </c:pivotFmt>
      <c:pivotFmt>
        <c:idx val="195"/>
        <c:marker>
          <c:symbol val="none"/>
        </c:marker>
      </c:pivotFmt>
      <c:pivotFmt>
        <c:idx val="196"/>
        <c:marker>
          <c:symbol val="none"/>
        </c:marker>
      </c:pivotFmt>
      <c:pivotFmt>
        <c:idx val="197"/>
        <c:marker>
          <c:symbol val="none"/>
        </c:marker>
      </c:pivotFmt>
      <c:pivotFmt>
        <c:idx val="198"/>
        <c:marker>
          <c:symbol val="none"/>
        </c:marker>
      </c:pivotFmt>
      <c:pivotFmt>
        <c:idx val="199"/>
        <c:marker>
          <c:symbol val="none"/>
        </c:marker>
      </c:pivotFmt>
      <c:pivotFmt>
        <c:idx val="200"/>
        <c:marker>
          <c:symbol val="none"/>
        </c:marker>
      </c:pivotFmt>
      <c:pivotFmt>
        <c:idx val="201"/>
        <c:marker>
          <c:symbol val="none"/>
        </c:marker>
      </c:pivotFmt>
      <c:pivotFmt>
        <c:idx val="202"/>
        <c:marker>
          <c:symbol val="none"/>
        </c:marker>
      </c:pivotFmt>
      <c:pivotFmt>
        <c:idx val="203"/>
        <c:marker>
          <c:symbol val="none"/>
        </c:marker>
      </c:pivotFmt>
      <c:pivotFmt>
        <c:idx val="204"/>
        <c:marker>
          <c:symbol val="none"/>
        </c:marker>
      </c:pivotFmt>
      <c:pivotFmt>
        <c:idx val="205"/>
        <c:marker>
          <c:symbol val="none"/>
        </c:marker>
      </c:pivotFmt>
      <c:pivotFmt>
        <c:idx val="206"/>
        <c:marker>
          <c:symbol val="none"/>
        </c:marker>
      </c:pivotFmt>
      <c:pivotFmt>
        <c:idx val="207"/>
        <c:marker>
          <c:symbol val="none"/>
        </c:marker>
      </c:pivotFmt>
      <c:pivotFmt>
        <c:idx val="208"/>
        <c:marker>
          <c:symbol val="none"/>
        </c:marker>
      </c:pivotFmt>
      <c:pivotFmt>
        <c:idx val="209"/>
        <c:marker>
          <c:symbol val="none"/>
        </c:marker>
      </c:pivotFmt>
      <c:pivotFmt>
        <c:idx val="210"/>
        <c:marker>
          <c:symbol val="none"/>
        </c:marker>
      </c:pivotFmt>
      <c:pivotFmt>
        <c:idx val="211"/>
        <c:marker>
          <c:symbol val="none"/>
        </c:marker>
      </c:pivotFmt>
      <c:pivotFmt>
        <c:idx val="212"/>
        <c:marker>
          <c:symbol val="none"/>
        </c:marker>
      </c:pivotFmt>
      <c:pivotFmt>
        <c:idx val="213"/>
        <c:marker>
          <c:symbol val="none"/>
        </c:marker>
      </c:pivotFmt>
      <c:pivotFmt>
        <c:idx val="214"/>
        <c:marker>
          <c:symbol val="none"/>
        </c:marker>
      </c:pivotFmt>
      <c:pivotFmt>
        <c:idx val="215"/>
        <c:marker>
          <c:symbol val="none"/>
        </c:marker>
      </c:pivotFmt>
      <c:pivotFmt>
        <c:idx val="216"/>
        <c:marker>
          <c:symbol val="none"/>
        </c:marker>
      </c:pivotFmt>
      <c:pivotFmt>
        <c:idx val="217"/>
        <c:marker>
          <c:symbol val="none"/>
        </c:marker>
      </c:pivotFmt>
      <c:pivotFmt>
        <c:idx val="218"/>
        <c:marker>
          <c:symbol val="none"/>
        </c:marker>
      </c:pivotFmt>
      <c:pivotFmt>
        <c:idx val="219"/>
        <c:marker>
          <c:symbol val="none"/>
        </c:marker>
      </c:pivotFmt>
      <c:pivotFmt>
        <c:idx val="220"/>
        <c:marker>
          <c:symbol val="none"/>
        </c:marker>
      </c:pivotFmt>
      <c:pivotFmt>
        <c:idx val="221"/>
        <c:marker>
          <c:symbol val="none"/>
        </c:marker>
      </c:pivotFmt>
      <c:pivotFmt>
        <c:idx val="222"/>
        <c:marker>
          <c:symbol val="none"/>
        </c:marker>
      </c:pivotFmt>
      <c:pivotFmt>
        <c:idx val="223"/>
        <c:marker>
          <c:symbol val="none"/>
        </c:marker>
      </c:pivotFmt>
      <c:pivotFmt>
        <c:idx val="224"/>
        <c:marker>
          <c:symbol val="none"/>
        </c:marker>
      </c:pivotFmt>
      <c:pivotFmt>
        <c:idx val="225"/>
        <c:marker>
          <c:symbol val="none"/>
        </c:marker>
      </c:pivotFmt>
      <c:pivotFmt>
        <c:idx val="226"/>
        <c:marker>
          <c:symbol val="none"/>
        </c:marker>
      </c:pivotFmt>
      <c:pivotFmt>
        <c:idx val="227"/>
        <c:marker>
          <c:symbol val="none"/>
        </c:marker>
      </c:pivotFmt>
      <c:pivotFmt>
        <c:idx val="228"/>
        <c:marker>
          <c:symbol val="none"/>
        </c:marker>
      </c:pivotFmt>
      <c:pivotFmt>
        <c:idx val="229"/>
        <c:marker>
          <c:symbol val="none"/>
        </c:marker>
      </c:pivotFmt>
      <c:pivotFmt>
        <c:idx val="230"/>
        <c:marker>
          <c:symbol val="none"/>
        </c:marker>
      </c:pivotFmt>
      <c:pivotFmt>
        <c:idx val="231"/>
        <c:marker>
          <c:symbol val="none"/>
        </c:marker>
      </c:pivotFmt>
      <c:pivotFmt>
        <c:idx val="232"/>
        <c:marker>
          <c:symbol val="none"/>
        </c:marker>
      </c:pivotFmt>
      <c:pivotFmt>
        <c:idx val="233"/>
        <c:marker>
          <c:symbol val="none"/>
        </c:marker>
      </c:pivotFmt>
      <c:pivotFmt>
        <c:idx val="234"/>
        <c:marker>
          <c:symbol val="none"/>
        </c:marker>
      </c:pivotFmt>
      <c:pivotFmt>
        <c:idx val="235"/>
        <c:marker>
          <c:symbol val="none"/>
        </c:marker>
      </c:pivotFmt>
      <c:pivotFmt>
        <c:idx val="236"/>
        <c:marker>
          <c:symbol val="none"/>
        </c:marker>
      </c:pivotFmt>
      <c:pivotFmt>
        <c:idx val="237"/>
        <c:marker>
          <c:symbol val="none"/>
        </c:marker>
      </c:pivotFmt>
      <c:pivotFmt>
        <c:idx val="238"/>
        <c:marker>
          <c:symbol val="none"/>
        </c:marker>
      </c:pivotFmt>
      <c:pivotFmt>
        <c:idx val="239"/>
        <c:marker>
          <c:symbol val="none"/>
        </c:marker>
      </c:pivotFmt>
      <c:pivotFmt>
        <c:idx val="240"/>
        <c:marker>
          <c:symbol val="none"/>
        </c:marker>
      </c:pivotFmt>
      <c:pivotFmt>
        <c:idx val="241"/>
        <c:marker>
          <c:symbol val="none"/>
        </c:marker>
      </c:pivotFmt>
      <c:pivotFmt>
        <c:idx val="242"/>
        <c:marker>
          <c:symbol val="none"/>
        </c:marker>
      </c:pivotFmt>
      <c:pivotFmt>
        <c:idx val="243"/>
        <c:marker>
          <c:symbol val="none"/>
        </c:marker>
      </c:pivotFmt>
      <c:pivotFmt>
        <c:idx val="244"/>
        <c:marker>
          <c:symbol val="none"/>
        </c:marker>
      </c:pivotFmt>
      <c:pivotFmt>
        <c:idx val="245"/>
        <c:marker>
          <c:symbol val="none"/>
        </c:marker>
      </c:pivotFmt>
      <c:pivotFmt>
        <c:idx val="246"/>
        <c:marker>
          <c:symbol val="none"/>
        </c:marker>
      </c:pivotFmt>
      <c:pivotFmt>
        <c:idx val="247"/>
        <c:marker>
          <c:symbol val="none"/>
        </c:marker>
      </c:pivotFmt>
      <c:pivotFmt>
        <c:idx val="248"/>
        <c:marker>
          <c:symbol val="none"/>
        </c:marker>
      </c:pivotFmt>
      <c:pivotFmt>
        <c:idx val="249"/>
        <c:marker>
          <c:symbol val="none"/>
        </c:marker>
      </c:pivotFmt>
      <c:pivotFmt>
        <c:idx val="250"/>
        <c:marker>
          <c:symbol val="none"/>
        </c:marker>
      </c:pivotFmt>
      <c:pivotFmt>
        <c:idx val="251"/>
        <c:marker>
          <c:symbol val="none"/>
        </c:marker>
      </c:pivotFmt>
      <c:pivotFmt>
        <c:idx val="252"/>
        <c:marker>
          <c:symbol val="none"/>
        </c:marker>
      </c:pivotFmt>
      <c:pivotFmt>
        <c:idx val="253"/>
        <c:marker>
          <c:symbol val="none"/>
        </c:marker>
      </c:pivotFmt>
      <c:pivotFmt>
        <c:idx val="254"/>
        <c:marker>
          <c:symbol val="none"/>
        </c:marker>
      </c:pivotFmt>
      <c:pivotFmt>
        <c:idx val="255"/>
        <c:marker>
          <c:symbol val="none"/>
        </c:marker>
      </c:pivotFmt>
      <c:pivotFmt>
        <c:idx val="256"/>
        <c:marker>
          <c:symbol val="none"/>
        </c:marker>
      </c:pivotFmt>
      <c:pivotFmt>
        <c:idx val="257"/>
        <c:marker>
          <c:symbol val="none"/>
        </c:marker>
      </c:pivotFmt>
      <c:pivotFmt>
        <c:idx val="258"/>
        <c:marker>
          <c:symbol val="none"/>
        </c:marker>
      </c:pivotFmt>
      <c:pivotFmt>
        <c:idx val="259"/>
        <c:marker>
          <c:symbol val="none"/>
        </c:marker>
      </c:pivotFmt>
      <c:pivotFmt>
        <c:idx val="260"/>
        <c:marker>
          <c:symbol val="none"/>
        </c:marker>
      </c:pivotFmt>
      <c:pivotFmt>
        <c:idx val="261"/>
        <c:marker>
          <c:symbol val="none"/>
        </c:marker>
      </c:pivotFmt>
      <c:pivotFmt>
        <c:idx val="262"/>
        <c:marker>
          <c:symbol val="none"/>
        </c:marker>
      </c:pivotFmt>
      <c:pivotFmt>
        <c:idx val="263"/>
        <c:marker>
          <c:symbol val="none"/>
        </c:marker>
      </c:pivotFmt>
      <c:pivotFmt>
        <c:idx val="264"/>
        <c:marker>
          <c:symbol val="none"/>
        </c:marker>
      </c:pivotFmt>
      <c:pivotFmt>
        <c:idx val="265"/>
        <c:marker>
          <c:symbol val="none"/>
        </c:marker>
      </c:pivotFmt>
      <c:pivotFmt>
        <c:idx val="266"/>
        <c:marker>
          <c:symbol val="none"/>
        </c:marker>
      </c:pivotFmt>
      <c:pivotFmt>
        <c:idx val="267"/>
        <c:marker>
          <c:symbol val="none"/>
        </c:marker>
      </c:pivotFmt>
      <c:pivotFmt>
        <c:idx val="268"/>
        <c:marker>
          <c:symbol val="none"/>
        </c:marker>
      </c:pivotFmt>
      <c:pivotFmt>
        <c:idx val="269"/>
        <c:marker>
          <c:symbol val="none"/>
        </c:marker>
      </c:pivotFmt>
      <c:pivotFmt>
        <c:idx val="270"/>
        <c:marker>
          <c:symbol val="none"/>
        </c:marker>
      </c:pivotFmt>
      <c:pivotFmt>
        <c:idx val="271"/>
        <c:marker>
          <c:symbol val="none"/>
        </c:marker>
      </c:pivotFmt>
      <c:pivotFmt>
        <c:idx val="272"/>
        <c:marker>
          <c:symbol val="none"/>
        </c:marker>
      </c:pivotFmt>
      <c:pivotFmt>
        <c:idx val="273"/>
        <c:marker>
          <c:symbol val="none"/>
        </c:marker>
      </c:pivotFmt>
      <c:pivotFmt>
        <c:idx val="274"/>
        <c:marker>
          <c:symbol val="none"/>
        </c:marker>
      </c:pivotFmt>
      <c:pivotFmt>
        <c:idx val="275"/>
        <c:marker>
          <c:symbol val="none"/>
        </c:marker>
      </c:pivotFmt>
      <c:pivotFmt>
        <c:idx val="276"/>
        <c:marker>
          <c:symbol val="none"/>
        </c:marker>
      </c:pivotFmt>
      <c:pivotFmt>
        <c:idx val="277"/>
        <c:marker>
          <c:symbol val="none"/>
        </c:marker>
      </c:pivotFmt>
      <c:pivotFmt>
        <c:idx val="278"/>
        <c:marker>
          <c:symbol val="none"/>
        </c:marker>
      </c:pivotFmt>
      <c:pivotFmt>
        <c:idx val="279"/>
        <c:marker>
          <c:symbol val="none"/>
        </c:marker>
      </c:pivotFmt>
      <c:pivotFmt>
        <c:idx val="280"/>
        <c:marker>
          <c:symbol val="none"/>
        </c:marker>
      </c:pivotFmt>
      <c:pivotFmt>
        <c:idx val="281"/>
        <c:marker>
          <c:symbol val="none"/>
        </c:marker>
      </c:pivotFmt>
      <c:pivotFmt>
        <c:idx val="282"/>
        <c:marker>
          <c:symbol val="none"/>
        </c:marker>
      </c:pivotFmt>
      <c:pivotFmt>
        <c:idx val="283"/>
        <c:marker>
          <c:symbol val="none"/>
        </c:marker>
      </c:pivotFmt>
      <c:pivotFmt>
        <c:idx val="284"/>
        <c:marker>
          <c:symbol val="none"/>
        </c:marker>
      </c:pivotFmt>
      <c:pivotFmt>
        <c:idx val="285"/>
        <c:marker>
          <c:symbol val="none"/>
        </c:marker>
      </c:pivotFmt>
      <c:pivotFmt>
        <c:idx val="286"/>
        <c:marker>
          <c:symbol val="none"/>
        </c:marker>
      </c:pivotFmt>
      <c:pivotFmt>
        <c:idx val="287"/>
        <c:marker>
          <c:symbol val="none"/>
        </c:marker>
      </c:pivotFmt>
      <c:pivotFmt>
        <c:idx val="288"/>
        <c:marker>
          <c:symbol val="none"/>
        </c:marker>
      </c:pivotFmt>
      <c:pivotFmt>
        <c:idx val="289"/>
        <c:marker>
          <c:symbol val="none"/>
        </c:marker>
      </c:pivotFmt>
      <c:pivotFmt>
        <c:idx val="290"/>
        <c:marker>
          <c:symbol val="none"/>
        </c:marker>
      </c:pivotFmt>
      <c:pivotFmt>
        <c:idx val="291"/>
        <c:marker>
          <c:symbol val="none"/>
        </c:marker>
      </c:pivotFmt>
      <c:pivotFmt>
        <c:idx val="292"/>
        <c:marker>
          <c:symbol val="none"/>
        </c:marker>
      </c:pivotFmt>
      <c:pivotFmt>
        <c:idx val="293"/>
        <c:marker>
          <c:symbol val="none"/>
        </c:marker>
      </c:pivotFmt>
      <c:pivotFmt>
        <c:idx val="294"/>
        <c:marker>
          <c:symbol val="none"/>
        </c:marker>
      </c:pivotFmt>
      <c:pivotFmt>
        <c:idx val="295"/>
        <c:marker>
          <c:symbol val="none"/>
        </c:marker>
      </c:pivotFmt>
      <c:pivotFmt>
        <c:idx val="296"/>
        <c:marker>
          <c:symbol val="none"/>
        </c:marker>
      </c:pivotFmt>
      <c:pivotFmt>
        <c:idx val="297"/>
        <c:marker>
          <c:symbol val="none"/>
        </c:marker>
      </c:pivotFmt>
      <c:pivotFmt>
        <c:idx val="298"/>
        <c:marker>
          <c:symbol val="none"/>
        </c:marker>
      </c:pivotFmt>
      <c:pivotFmt>
        <c:idx val="299"/>
        <c:marker>
          <c:symbol val="none"/>
        </c:marker>
      </c:pivotFmt>
      <c:pivotFmt>
        <c:idx val="300"/>
        <c:marker>
          <c:symbol val="none"/>
        </c:marker>
      </c:pivotFmt>
      <c:pivotFmt>
        <c:idx val="301"/>
        <c:marker>
          <c:symbol val="none"/>
        </c:marker>
      </c:pivotFmt>
      <c:pivotFmt>
        <c:idx val="302"/>
        <c:marker>
          <c:symbol val="none"/>
        </c:marker>
      </c:pivotFmt>
      <c:pivotFmt>
        <c:idx val="303"/>
        <c:marker>
          <c:symbol val="none"/>
        </c:marker>
      </c:pivotFmt>
      <c:pivotFmt>
        <c:idx val="304"/>
        <c:marker>
          <c:symbol val="none"/>
        </c:marker>
      </c:pivotFmt>
      <c:pivotFmt>
        <c:idx val="305"/>
        <c:marker>
          <c:symbol val="none"/>
        </c:marker>
      </c:pivotFmt>
      <c:pivotFmt>
        <c:idx val="306"/>
        <c:marker>
          <c:symbol val="none"/>
        </c:marker>
      </c:pivotFmt>
      <c:pivotFmt>
        <c:idx val="307"/>
        <c:marker>
          <c:symbol val="none"/>
        </c:marker>
      </c:pivotFmt>
      <c:pivotFmt>
        <c:idx val="308"/>
        <c:marker>
          <c:symbol val="none"/>
        </c:marker>
      </c:pivotFmt>
      <c:pivotFmt>
        <c:idx val="309"/>
        <c:marker>
          <c:symbol val="none"/>
        </c:marker>
      </c:pivotFmt>
      <c:pivotFmt>
        <c:idx val="310"/>
        <c:marker>
          <c:symbol val="none"/>
        </c:marker>
      </c:pivotFmt>
      <c:pivotFmt>
        <c:idx val="311"/>
        <c:marker>
          <c:symbol val="none"/>
        </c:marker>
      </c:pivotFmt>
      <c:pivotFmt>
        <c:idx val="312"/>
        <c:marker>
          <c:symbol val="none"/>
        </c:marker>
      </c:pivotFmt>
      <c:pivotFmt>
        <c:idx val="313"/>
        <c:marker>
          <c:symbol val="none"/>
        </c:marker>
      </c:pivotFmt>
      <c:pivotFmt>
        <c:idx val="314"/>
        <c:marker>
          <c:symbol val="none"/>
        </c:marker>
      </c:pivotFmt>
      <c:pivotFmt>
        <c:idx val="315"/>
        <c:marker>
          <c:symbol val="none"/>
        </c:marker>
      </c:pivotFmt>
      <c:pivotFmt>
        <c:idx val="316"/>
        <c:marker>
          <c:symbol val="none"/>
        </c:marker>
      </c:pivotFmt>
      <c:pivotFmt>
        <c:idx val="317"/>
        <c:marker>
          <c:symbol val="none"/>
        </c:marker>
      </c:pivotFmt>
      <c:pivotFmt>
        <c:idx val="318"/>
        <c:marker>
          <c:symbol val="none"/>
        </c:marker>
      </c:pivotFmt>
      <c:pivotFmt>
        <c:idx val="319"/>
        <c:marker>
          <c:symbol val="none"/>
        </c:marker>
      </c:pivotFmt>
      <c:pivotFmt>
        <c:idx val="320"/>
        <c:marker>
          <c:symbol val="none"/>
        </c:marker>
      </c:pivotFmt>
      <c:pivotFmt>
        <c:idx val="321"/>
        <c:marker>
          <c:symbol val="none"/>
        </c:marker>
      </c:pivotFmt>
      <c:pivotFmt>
        <c:idx val="322"/>
        <c:marker>
          <c:symbol val="none"/>
        </c:marker>
      </c:pivotFmt>
      <c:pivotFmt>
        <c:idx val="323"/>
        <c:marker>
          <c:symbol val="none"/>
        </c:marker>
      </c:pivotFmt>
      <c:pivotFmt>
        <c:idx val="324"/>
        <c:marker>
          <c:symbol val="none"/>
        </c:marker>
      </c:pivotFmt>
      <c:pivotFmt>
        <c:idx val="325"/>
        <c:marker>
          <c:symbol val="none"/>
        </c:marker>
      </c:pivotFmt>
      <c:pivotFmt>
        <c:idx val="326"/>
        <c:marker>
          <c:symbol val="none"/>
        </c:marker>
      </c:pivotFmt>
      <c:pivotFmt>
        <c:idx val="327"/>
        <c:marker>
          <c:symbol val="none"/>
        </c:marker>
      </c:pivotFmt>
      <c:pivotFmt>
        <c:idx val="328"/>
        <c:marker>
          <c:symbol val="none"/>
        </c:marker>
      </c:pivotFmt>
      <c:pivotFmt>
        <c:idx val="329"/>
        <c:marker>
          <c:symbol val="none"/>
        </c:marker>
      </c:pivotFmt>
      <c:pivotFmt>
        <c:idx val="330"/>
        <c:marker>
          <c:symbol val="none"/>
        </c:marker>
      </c:pivotFmt>
      <c:pivotFmt>
        <c:idx val="331"/>
        <c:marker>
          <c:symbol val="none"/>
        </c:marker>
      </c:pivotFmt>
      <c:pivotFmt>
        <c:idx val="332"/>
        <c:marker>
          <c:symbol val="none"/>
        </c:marker>
      </c:pivotFmt>
      <c:pivotFmt>
        <c:idx val="333"/>
        <c:marker>
          <c:symbol val="none"/>
        </c:marker>
      </c:pivotFmt>
      <c:pivotFmt>
        <c:idx val="334"/>
        <c:marker>
          <c:symbol val="none"/>
        </c:marker>
      </c:pivotFmt>
      <c:pivotFmt>
        <c:idx val="335"/>
        <c:marker>
          <c:symbol val="none"/>
        </c:marker>
      </c:pivotFmt>
      <c:pivotFmt>
        <c:idx val="336"/>
        <c:marker>
          <c:symbol val="none"/>
        </c:marker>
      </c:pivotFmt>
      <c:pivotFmt>
        <c:idx val="337"/>
        <c:marker>
          <c:symbol val="none"/>
        </c:marker>
      </c:pivotFmt>
      <c:pivotFmt>
        <c:idx val="338"/>
        <c:marker>
          <c:symbol val="none"/>
        </c:marker>
      </c:pivotFmt>
      <c:pivotFmt>
        <c:idx val="339"/>
        <c:marker>
          <c:symbol val="none"/>
        </c:marker>
      </c:pivotFmt>
      <c:pivotFmt>
        <c:idx val="340"/>
        <c:marker>
          <c:symbol val="none"/>
        </c:marker>
      </c:pivotFmt>
      <c:pivotFmt>
        <c:idx val="341"/>
        <c:marker>
          <c:symbol val="none"/>
        </c:marker>
      </c:pivotFmt>
      <c:pivotFmt>
        <c:idx val="342"/>
        <c:marker>
          <c:symbol val="none"/>
        </c:marker>
      </c:pivotFmt>
      <c:pivotFmt>
        <c:idx val="343"/>
        <c:marker>
          <c:symbol val="none"/>
        </c:marker>
      </c:pivotFmt>
      <c:pivotFmt>
        <c:idx val="344"/>
        <c:marker>
          <c:symbol val="none"/>
        </c:marker>
      </c:pivotFmt>
      <c:pivotFmt>
        <c:idx val="345"/>
        <c:marker>
          <c:symbol val="none"/>
        </c:marker>
      </c:pivotFmt>
      <c:pivotFmt>
        <c:idx val="346"/>
        <c:marker>
          <c:symbol val="none"/>
        </c:marker>
      </c:pivotFmt>
      <c:pivotFmt>
        <c:idx val="347"/>
        <c:marker>
          <c:symbol val="none"/>
        </c:marker>
      </c:pivotFmt>
      <c:pivotFmt>
        <c:idx val="348"/>
        <c:marker>
          <c:symbol val="none"/>
        </c:marker>
      </c:pivotFmt>
      <c:pivotFmt>
        <c:idx val="349"/>
        <c:marker>
          <c:symbol val="none"/>
        </c:marker>
      </c:pivotFmt>
      <c:pivotFmt>
        <c:idx val="350"/>
        <c:marker>
          <c:symbol val="none"/>
        </c:marker>
      </c:pivotFmt>
      <c:pivotFmt>
        <c:idx val="351"/>
        <c:marker>
          <c:symbol val="none"/>
        </c:marker>
      </c:pivotFmt>
      <c:pivotFmt>
        <c:idx val="352"/>
        <c:marker>
          <c:symbol val="none"/>
        </c:marker>
      </c:pivotFmt>
      <c:pivotFmt>
        <c:idx val="353"/>
        <c:marker>
          <c:symbol val="none"/>
        </c:marker>
      </c:pivotFmt>
      <c:pivotFmt>
        <c:idx val="354"/>
        <c:marker>
          <c:symbol val="none"/>
        </c:marker>
      </c:pivotFmt>
      <c:pivotFmt>
        <c:idx val="355"/>
        <c:marker>
          <c:symbol val="none"/>
        </c:marker>
      </c:pivotFmt>
      <c:pivotFmt>
        <c:idx val="356"/>
        <c:marker>
          <c:symbol val="none"/>
        </c:marker>
      </c:pivotFmt>
      <c:pivotFmt>
        <c:idx val="357"/>
        <c:marker>
          <c:symbol val="none"/>
        </c:marker>
      </c:pivotFmt>
      <c:pivotFmt>
        <c:idx val="358"/>
        <c:marker>
          <c:symbol val="none"/>
        </c:marker>
      </c:pivotFmt>
      <c:pivotFmt>
        <c:idx val="359"/>
        <c:marker>
          <c:symbol val="none"/>
        </c:marker>
      </c:pivotFmt>
      <c:pivotFmt>
        <c:idx val="360"/>
        <c:marker>
          <c:symbol val="none"/>
        </c:marker>
      </c:pivotFmt>
      <c:pivotFmt>
        <c:idx val="361"/>
        <c:marker>
          <c:symbol val="none"/>
        </c:marker>
      </c:pivotFmt>
      <c:pivotFmt>
        <c:idx val="362"/>
        <c:marker>
          <c:symbol val="none"/>
        </c:marker>
      </c:pivotFmt>
      <c:pivotFmt>
        <c:idx val="363"/>
        <c:marker>
          <c:symbol val="none"/>
        </c:marker>
      </c:pivotFmt>
      <c:pivotFmt>
        <c:idx val="364"/>
        <c:marker>
          <c:symbol val="none"/>
        </c:marker>
      </c:pivotFmt>
      <c:pivotFmt>
        <c:idx val="365"/>
        <c:marker>
          <c:symbol val="none"/>
        </c:marker>
      </c:pivotFmt>
      <c:pivotFmt>
        <c:idx val="366"/>
        <c:marker>
          <c:symbol val="none"/>
        </c:marker>
      </c:pivotFmt>
      <c:pivotFmt>
        <c:idx val="367"/>
        <c:marker>
          <c:symbol val="none"/>
        </c:marker>
      </c:pivotFmt>
      <c:pivotFmt>
        <c:idx val="368"/>
        <c:marker>
          <c:symbol val="none"/>
        </c:marker>
      </c:pivotFmt>
      <c:pivotFmt>
        <c:idx val="369"/>
        <c:marker>
          <c:symbol val="none"/>
        </c:marker>
      </c:pivotFmt>
      <c:pivotFmt>
        <c:idx val="370"/>
        <c:marker>
          <c:symbol val="none"/>
        </c:marker>
      </c:pivotFmt>
      <c:pivotFmt>
        <c:idx val="371"/>
        <c:marker>
          <c:symbol val="none"/>
        </c:marker>
      </c:pivotFmt>
      <c:pivotFmt>
        <c:idx val="372"/>
        <c:marker>
          <c:symbol val="none"/>
        </c:marker>
      </c:pivotFmt>
      <c:pivotFmt>
        <c:idx val="373"/>
        <c:marker>
          <c:symbol val="none"/>
        </c:marker>
      </c:pivotFmt>
      <c:pivotFmt>
        <c:idx val="374"/>
        <c:marker>
          <c:symbol val="none"/>
        </c:marker>
      </c:pivotFmt>
      <c:pivotFmt>
        <c:idx val="375"/>
        <c:marker>
          <c:symbol val="none"/>
        </c:marker>
      </c:pivotFmt>
      <c:pivotFmt>
        <c:idx val="376"/>
        <c:marker>
          <c:symbol val="none"/>
        </c:marker>
      </c:pivotFmt>
      <c:pivotFmt>
        <c:idx val="377"/>
        <c:marker>
          <c:symbol val="none"/>
        </c:marker>
      </c:pivotFmt>
      <c:pivotFmt>
        <c:idx val="378"/>
        <c:marker>
          <c:symbol val="none"/>
        </c:marker>
      </c:pivotFmt>
      <c:pivotFmt>
        <c:idx val="379"/>
        <c:marker>
          <c:symbol val="none"/>
        </c:marker>
      </c:pivotFmt>
      <c:pivotFmt>
        <c:idx val="380"/>
        <c:marker>
          <c:symbol val="none"/>
        </c:marker>
      </c:pivotFmt>
      <c:pivotFmt>
        <c:idx val="381"/>
        <c:marker>
          <c:symbol val="none"/>
        </c:marker>
      </c:pivotFmt>
      <c:pivotFmt>
        <c:idx val="382"/>
        <c:marker>
          <c:symbol val="none"/>
        </c:marker>
      </c:pivotFmt>
      <c:pivotFmt>
        <c:idx val="383"/>
        <c:marker>
          <c:symbol val="none"/>
        </c:marker>
      </c:pivotFmt>
      <c:pivotFmt>
        <c:idx val="384"/>
        <c:marker>
          <c:symbol val="none"/>
        </c:marker>
      </c:pivotFmt>
      <c:pivotFmt>
        <c:idx val="385"/>
        <c:marker>
          <c:symbol val="none"/>
        </c:marker>
      </c:pivotFmt>
      <c:pivotFmt>
        <c:idx val="386"/>
        <c:marker>
          <c:symbol val="none"/>
        </c:marker>
      </c:pivotFmt>
      <c:pivotFmt>
        <c:idx val="387"/>
        <c:marker>
          <c:symbol val="none"/>
        </c:marker>
      </c:pivotFmt>
      <c:pivotFmt>
        <c:idx val="388"/>
        <c:marker>
          <c:symbol val="none"/>
        </c:marker>
      </c:pivotFmt>
      <c:pivotFmt>
        <c:idx val="389"/>
        <c:marker>
          <c:symbol val="none"/>
        </c:marker>
      </c:pivotFmt>
      <c:pivotFmt>
        <c:idx val="390"/>
        <c:marker>
          <c:symbol val="none"/>
        </c:marker>
      </c:pivotFmt>
      <c:pivotFmt>
        <c:idx val="391"/>
        <c:marker>
          <c:symbol val="none"/>
        </c:marker>
      </c:pivotFmt>
      <c:pivotFmt>
        <c:idx val="392"/>
        <c:marker>
          <c:symbol val="none"/>
        </c:marker>
      </c:pivotFmt>
      <c:pivotFmt>
        <c:idx val="393"/>
        <c:marker>
          <c:symbol val="none"/>
        </c:marker>
      </c:pivotFmt>
      <c:pivotFmt>
        <c:idx val="394"/>
        <c:marker>
          <c:symbol val="none"/>
        </c:marker>
      </c:pivotFmt>
      <c:pivotFmt>
        <c:idx val="395"/>
        <c:marker>
          <c:symbol val="none"/>
        </c:marker>
      </c:pivotFmt>
      <c:pivotFmt>
        <c:idx val="396"/>
        <c:marker>
          <c:symbol val="none"/>
        </c:marker>
      </c:pivotFmt>
      <c:pivotFmt>
        <c:idx val="397"/>
        <c:marker>
          <c:symbol val="none"/>
        </c:marker>
      </c:pivotFmt>
      <c:pivotFmt>
        <c:idx val="398"/>
        <c:marker>
          <c:symbol val="none"/>
        </c:marker>
      </c:pivotFmt>
      <c:pivotFmt>
        <c:idx val="399"/>
        <c:marker>
          <c:symbol val="none"/>
        </c:marker>
      </c:pivotFmt>
      <c:pivotFmt>
        <c:idx val="400"/>
        <c:marker>
          <c:symbol val="none"/>
        </c:marker>
      </c:pivotFmt>
      <c:pivotFmt>
        <c:idx val="401"/>
        <c:marker>
          <c:symbol val="none"/>
        </c:marker>
      </c:pivotFmt>
      <c:pivotFmt>
        <c:idx val="402"/>
        <c:marker>
          <c:symbol val="none"/>
        </c:marker>
      </c:pivotFmt>
      <c:pivotFmt>
        <c:idx val="403"/>
        <c:marker>
          <c:symbol val="none"/>
        </c:marker>
      </c:pivotFmt>
      <c:pivotFmt>
        <c:idx val="404"/>
        <c:marker>
          <c:symbol val="none"/>
        </c:marker>
      </c:pivotFmt>
      <c:pivotFmt>
        <c:idx val="405"/>
        <c:marker>
          <c:symbol val="none"/>
        </c:marker>
      </c:pivotFmt>
      <c:pivotFmt>
        <c:idx val="406"/>
        <c:marker>
          <c:symbol val="none"/>
        </c:marker>
      </c:pivotFmt>
      <c:pivotFmt>
        <c:idx val="407"/>
        <c:marker>
          <c:symbol val="none"/>
        </c:marker>
      </c:pivotFmt>
      <c:pivotFmt>
        <c:idx val="408"/>
        <c:marker>
          <c:symbol val="none"/>
        </c:marker>
      </c:pivotFmt>
      <c:pivotFmt>
        <c:idx val="409"/>
        <c:marker>
          <c:symbol val="none"/>
        </c:marker>
      </c:pivotFmt>
      <c:pivotFmt>
        <c:idx val="410"/>
        <c:marker>
          <c:symbol val="none"/>
        </c:marker>
      </c:pivotFmt>
      <c:pivotFmt>
        <c:idx val="411"/>
        <c:marker>
          <c:symbol val="none"/>
        </c:marker>
      </c:pivotFmt>
      <c:pivotFmt>
        <c:idx val="412"/>
        <c:marker>
          <c:symbol val="none"/>
        </c:marker>
      </c:pivotFmt>
      <c:pivotFmt>
        <c:idx val="413"/>
        <c:marker>
          <c:symbol val="none"/>
        </c:marker>
      </c:pivotFmt>
      <c:pivotFmt>
        <c:idx val="414"/>
        <c:marker>
          <c:symbol val="none"/>
        </c:marker>
      </c:pivotFmt>
      <c:pivotFmt>
        <c:idx val="415"/>
        <c:marker>
          <c:symbol val="none"/>
        </c:marker>
      </c:pivotFmt>
      <c:pivotFmt>
        <c:idx val="416"/>
        <c:marker>
          <c:symbol val="none"/>
        </c:marker>
      </c:pivotFmt>
      <c:pivotFmt>
        <c:idx val="417"/>
        <c:marker>
          <c:symbol val="none"/>
        </c:marker>
      </c:pivotFmt>
      <c:pivotFmt>
        <c:idx val="418"/>
        <c:marker>
          <c:symbol val="none"/>
        </c:marker>
      </c:pivotFmt>
      <c:pivotFmt>
        <c:idx val="419"/>
        <c:marker>
          <c:symbol val="none"/>
        </c:marker>
      </c:pivotFmt>
      <c:pivotFmt>
        <c:idx val="420"/>
        <c:marker>
          <c:symbol val="none"/>
        </c:marker>
      </c:pivotFmt>
      <c:pivotFmt>
        <c:idx val="421"/>
        <c:marker>
          <c:symbol val="none"/>
        </c:marker>
      </c:pivotFmt>
      <c:pivotFmt>
        <c:idx val="422"/>
        <c:marker>
          <c:symbol val="none"/>
        </c:marker>
      </c:pivotFmt>
      <c:pivotFmt>
        <c:idx val="423"/>
        <c:marker>
          <c:symbol val="none"/>
        </c:marker>
      </c:pivotFmt>
      <c:pivotFmt>
        <c:idx val="424"/>
        <c:marker>
          <c:symbol val="none"/>
        </c:marker>
      </c:pivotFmt>
      <c:pivotFmt>
        <c:idx val="425"/>
        <c:marker>
          <c:symbol val="none"/>
        </c:marker>
      </c:pivotFmt>
      <c:pivotFmt>
        <c:idx val="426"/>
        <c:marker>
          <c:symbol val="none"/>
        </c:marker>
      </c:pivotFmt>
      <c:pivotFmt>
        <c:idx val="427"/>
        <c:marker>
          <c:symbol val="none"/>
        </c:marker>
      </c:pivotFmt>
      <c:pivotFmt>
        <c:idx val="428"/>
        <c:marker>
          <c:symbol val="none"/>
        </c:marker>
      </c:pivotFmt>
      <c:pivotFmt>
        <c:idx val="429"/>
        <c:marker>
          <c:symbol val="none"/>
        </c:marker>
      </c:pivotFmt>
      <c:pivotFmt>
        <c:idx val="430"/>
        <c:marker>
          <c:symbol val="none"/>
        </c:marker>
      </c:pivotFmt>
      <c:pivotFmt>
        <c:idx val="431"/>
        <c:marker>
          <c:symbol val="none"/>
        </c:marker>
      </c:pivotFmt>
      <c:pivotFmt>
        <c:idx val="432"/>
        <c:marker>
          <c:symbol val="none"/>
        </c:marker>
      </c:pivotFmt>
      <c:pivotFmt>
        <c:idx val="433"/>
        <c:marker>
          <c:symbol val="none"/>
        </c:marker>
      </c:pivotFmt>
      <c:pivotFmt>
        <c:idx val="434"/>
        <c:marker>
          <c:symbol val="none"/>
        </c:marker>
      </c:pivotFmt>
      <c:pivotFmt>
        <c:idx val="435"/>
        <c:marker>
          <c:symbol val="none"/>
        </c:marker>
      </c:pivotFmt>
      <c:pivotFmt>
        <c:idx val="436"/>
        <c:marker>
          <c:symbol val="none"/>
        </c:marker>
      </c:pivotFmt>
      <c:pivotFmt>
        <c:idx val="437"/>
        <c:marker>
          <c:symbol val="none"/>
        </c:marker>
      </c:pivotFmt>
      <c:pivotFmt>
        <c:idx val="438"/>
        <c:marker>
          <c:symbol val="none"/>
        </c:marker>
      </c:pivotFmt>
      <c:pivotFmt>
        <c:idx val="439"/>
        <c:marker>
          <c:symbol val="none"/>
        </c:marker>
      </c:pivotFmt>
      <c:pivotFmt>
        <c:idx val="440"/>
        <c:marker>
          <c:symbol val="none"/>
        </c:marker>
      </c:pivotFmt>
      <c:pivotFmt>
        <c:idx val="441"/>
        <c:marker>
          <c:symbol val="none"/>
        </c:marker>
      </c:pivotFmt>
      <c:pivotFmt>
        <c:idx val="442"/>
        <c:marker>
          <c:symbol val="none"/>
        </c:marker>
      </c:pivotFmt>
      <c:pivotFmt>
        <c:idx val="443"/>
        <c:marker>
          <c:symbol val="none"/>
        </c:marker>
      </c:pivotFmt>
      <c:pivotFmt>
        <c:idx val="444"/>
        <c:marker>
          <c:symbol val="none"/>
        </c:marker>
      </c:pivotFmt>
      <c:pivotFmt>
        <c:idx val="445"/>
        <c:marker>
          <c:symbol val="none"/>
        </c:marker>
      </c:pivotFmt>
      <c:pivotFmt>
        <c:idx val="446"/>
        <c:marker>
          <c:symbol val="none"/>
        </c:marker>
      </c:pivotFmt>
      <c:pivotFmt>
        <c:idx val="447"/>
        <c:marker>
          <c:symbol val="none"/>
        </c:marker>
      </c:pivotFmt>
      <c:pivotFmt>
        <c:idx val="448"/>
        <c:marker>
          <c:symbol val="none"/>
        </c:marker>
      </c:pivotFmt>
      <c:pivotFmt>
        <c:idx val="449"/>
        <c:marker>
          <c:symbol val="none"/>
        </c:marker>
      </c:pivotFmt>
      <c:pivotFmt>
        <c:idx val="450"/>
        <c:marker>
          <c:symbol val="none"/>
        </c:marker>
      </c:pivotFmt>
      <c:pivotFmt>
        <c:idx val="451"/>
        <c:marker>
          <c:symbol val="none"/>
        </c:marker>
      </c:pivotFmt>
      <c:pivotFmt>
        <c:idx val="452"/>
        <c:marker>
          <c:symbol val="none"/>
        </c:marker>
      </c:pivotFmt>
      <c:pivotFmt>
        <c:idx val="453"/>
        <c:marker>
          <c:symbol val="none"/>
        </c:marker>
      </c:pivotFmt>
      <c:pivotFmt>
        <c:idx val="454"/>
        <c:marker>
          <c:symbol val="none"/>
        </c:marker>
      </c:pivotFmt>
      <c:pivotFmt>
        <c:idx val="455"/>
        <c:marker>
          <c:symbol val="none"/>
        </c:marker>
      </c:pivotFmt>
      <c:pivotFmt>
        <c:idx val="456"/>
        <c:marker>
          <c:symbol val="none"/>
        </c:marker>
      </c:pivotFmt>
      <c:pivotFmt>
        <c:idx val="457"/>
        <c:marker>
          <c:symbol val="none"/>
        </c:marker>
      </c:pivotFmt>
      <c:pivotFmt>
        <c:idx val="458"/>
        <c:marker>
          <c:symbol val="none"/>
        </c:marker>
      </c:pivotFmt>
      <c:pivotFmt>
        <c:idx val="459"/>
        <c:marker>
          <c:symbol val="none"/>
        </c:marker>
      </c:pivotFmt>
      <c:pivotFmt>
        <c:idx val="460"/>
        <c:marker>
          <c:symbol val="none"/>
        </c:marker>
      </c:pivotFmt>
      <c:pivotFmt>
        <c:idx val="461"/>
        <c:marker>
          <c:symbol val="none"/>
        </c:marker>
      </c:pivotFmt>
      <c:pivotFmt>
        <c:idx val="462"/>
        <c:marker>
          <c:symbol val="none"/>
        </c:marker>
      </c:pivotFmt>
      <c:pivotFmt>
        <c:idx val="463"/>
        <c:marker>
          <c:symbol val="none"/>
        </c:marker>
      </c:pivotFmt>
      <c:pivotFmt>
        <c:idx val="464"/>
        <c:marker>
          <c:symbol val="none"/>
        </c:marker>
      </c:pivotFmt>
      <c:pivotFmt>
        <c:idx val="465"/>
        <c:marker>
          <c:symbol val="none"/>
        </c:marker>
      </c:pivotFmt>
      <c:pivotFmt>
        <c:idx val="466"/>
        <c:marker>
          <c:symbol val="none"/>
        </c:marker>
      </c:pivotFmt>
      <c:pivotFmt>
        <c:idx val="467"/>
        <c:marker>
          <c:symbol val="none"/>
        </c:marker>
      </c:pivotFmt>
      <c:pivotFmt>
        <c:idx val="468"/>
        <c:marker>
          <c:symbol val="none"/>
        </c:marker>
      </c:pivotFmt>
      <c:pivotFmt>
        <c:idx val="469"/>
        <c:marker>
          <c:symbol val="none"/>
        </c:marker>
      </c:pivotFmt>
      <c:pivotFmt>
        <c:idx val="470"/>
        <c:marker>
          <c:symbol val="none"/>
        </c:marker>
      </c:pivotFmt>
      <c:pivotFmt>
        <c:idx val="471"/>
        <c:marker>
          <c:symbol val="none"/>
        </c:marker>
      </c:pivotFmt>
      <c:pivotFmt>
        <c:idx val="472"/>
        <c:marker>
          <c:symbol val="none"/>
        </c:marker>
      </c:pivotFmt>
      <c:pivotFmt>
        <c:idx val="473"/>
        <c:marker>
          <c:symbol val="none"/>
        </c:marker>
      </c:pivotFmt>
      <c:pivotFmt>
        <c:idx val="474"/>
        <c:marker>
          <c:symbol val="none"/>
        </c:marker>
      </c:pivotFmt>
      <c:pivotFmt>
        <c:idx val="475"/>
        <c:marker>
          <c:symbol val="none"/>
        </c:marker>
      </c:pivotFmt>
      <c:pivotFmt>
        <c:idx val="476"/>
        <c:marker>
          <c:symbol val="none"/>
        </c:marker>
      </c:pivotFmt>
      <c:pivotFmt>
        <c:idx val="477"/>
        <c:marker>
          <c:symbol val="none"/>
        </c:marker>
      </c:pivotFmt>
      <c:pivotFmt>
        <c:idx val="478"/>
        <c:marker>
          <c:symbol val="none"/>
        </c:marker>
      </c:pivotFmt>
      <c:pivotFmt>
        <c:idx val="479"/>
        <c:marker>
          <c:symbol val="none"/>
        </c:marker>
      </c:pivotFmt>
      <c:pivotFmt>
        <c:idx val="480"/>
        <c:marker>
          <c:symbol val="none"/>
        </c:marker>
      </c:pivotFmt>
      <c:pivotFmt>
        <c:idx val="481"/>
        <c:marker>
          <c:symbol val="none"/>
        </c:marker>
      </c:pivotFmt>
      <c:pivotFmt>
        <c:idx val="482"/>
        <c:marker>
          <c:symbol val="none"/>
        </c:marker>
      </c:pivotFmt>
      <c:pivotFmt>
        <c:idx val="483"/>
        <c:marker>
          <c:symbol val="none"/>
        </c:marker>
      </c:pivotFmt>
      <c:pivotFmt>
        <c:idx val="484"/>
        <c:marker>
          <c:symbol val="none"/>
        </c:marker>
      </c:pivotFmt>
      <c:pivotFmt>
        <c:idx val="485"/>
        <c:marker>
          <c:symbol val="none"/>
        </c:marker>
      </c:pivotFmt>
      <c:pivotFmt>
        <c:idx val="486"/>
        <c:marker>
          <c:symbol val="none"/>
        </c:marker>
      </c:pivotFmt>
      <c:pivotFmt>
        <c:idx val="487"/>
        <c:marker>
          <c:symbol val="none"/>
        </c:marker>
      </c:pivotFmt>
      <c:pivotFmt>
        <c:idx val="488"/>
        <c:marker>
          <c:symbol val="none"/>
        </c:marker>
      </c:pivotFmt>
      <c:pivotFmt>
        <c:idx val="489"/>
        <c:marker>
          <c:symbol val="none"/>
        </c:marker>
      </c:pivotFmt>
      <c:pivotFmt>
        <c:idx val="490"/>
        <c:marker>
          <c:symbol val="none"/>
        </c:marker>
      </c:pivotFmt>
      <c:pivotFmt>
        <c:idx val="491"/>
        <c:marker>
          <c:symbol val="none"/>
        </c:marker>
      </c:pivotFmt>
      <c:pivotFmt>
        <c:idx val="492"/>
        <c:marker>
          <c:symbol val="none"/>
        </c:marker>
      </c:pivotFmt>
      <c:pivotFmt>
        <c:idx val="493"/>
        <c:marker>
          <c:symbol val="none"/>
        </c:marker>
      </c:pivotFmt>
      <c:pivotFmt>
        <c:idx val="494"/>
        <c:marker>
          <c:symbol val="none"/>
        </c:marker>
      </c:pivotFmt>
      <c:pivotFmt>
        <c:idx val="495"/>
        <c:marker>
          <c:symbol val="none"/>
        </c:marker>
      </c:pivotFmt>
      <c:pivotFmt>
        <c:idx val="496"/>
        <c:marker>
          <c:symbol val="none"/>
        </c:marker>
      </c:pivotFmt>
      <c:pivotFmt>
        <c:idx val="497"/>
        <c:marker>
          <c:symbol val="none"/>
        </c:marker>
      </c:pivotFmt>
      <c:pivotFmt>
        <c:idx val="498"/>
        <c:marker>
          <c:symbol val="none"/>
        </c:marker>
      </c:pivotFmt>
      <c:pivotFmt>
        <c:idx val="499"/>
        <c:marker>
          <c:symbol val="none"/>
        </c:marker>
      </c:pivotFmt>
      <c:pivotFmt>
        <c:idx val="500"/>
        <c:marker>
          <c:symbol val="none"/>
        </c:marker>
      </c:pivotFmt>
      <c:pivotFmt>
        <c:idx val="501"/>
        <c:marker>
          <c:symbol val="none"/>
        </c:marker>
      </c:pivotFmt>
      <c:pivotFmt>
        <c:idx val="502"/>
        <c:marker>
          <c:symbol val="none"/>
        </c:marker>
      </c:pivotFmt>
      <c:pivotFmt>
        <c:idx val="503"/>
        <c:marker>
          <c:symbol val="none"/>
        </c:marker>
      </c:pivotFmt>
      <c:pivotFmt>
        <c:idx val="504"/>
        <c:marker>
          <c:symbol val="none"/>
        </c:marker>
      </c:pivotFmt>
      <c:pivotFmt>
        <c:idx val="505"/>
        <c:marker>
          <c:symbol val="none"/>
        </c:marker>
      </c:pivotFmt>
      <c:pivotFmt>
        <c:idx val="506"/>
        <c:marker>
          <c:symbol val="none"/>
        </c:marker>
      </c:pivotFmt>
      <c:pivotFmt>
        <c:idx val="507"/>
        <c:marker>
          <c:symbol val="none"/>
        </c:marker>
      </c:pivotFmt>
      <c:pivotFmt>
        <c:idx val="508"/>
        <c:marker>
          <c:symbol val="none"/>
        </c:marker>
      </c:pivotFmt>
      <c:pivotFmt>
        <c:idx val="509"/>
        <c:marker>
          <c:symbol val="none"/>
        </c:marker>
      </c:pivotFmt>
      <c:pivotFmt>
        <c:idx val="510"/>
        <c:marker>
          <c:symbol val="none"/>
        </c:marker>
      </c:pivotFmt>
      <c:pivotFmt>
        <c:idx val="511"/>
        <c:marker>
          <c:symbol val="none"/>
        </c:marker>
      </c:pivotFmt>
      <c:pivotFmt>
        <c:idx val="512"/>
        <c:marker>
          <c:symbol val="none"/>
        </c:marker>
      </c:pivotFmt>
      <c:pivotFmt>
        <c:idx val="513"/>
        <c:marker>
          <c:symbol val="none"/>
        </c:marker>
      </c:pivotFmt>
      <c:pivotFmt>
        <c:idx val="514"/>
        <c:marker>
          <c:symbol val="none"/>
        </c:marker>
      </c:pivotFmt>
      <c:pivotFmt>
        <c:idx val="515"/>
        <c:marker>
          <c:symbol val="none"/>
        </c:marker>
      </c:pivotFmt>
      <c:pivotFmt>
        <c:idx val="516"/>
        <c:marker>
          <c:symbol val="none"/>
        </c:marker>
      </c:pivotFmt>
      <c:pivotFmt>
        <c:idx val="517"/>
        <c:marker>
          <c:symbol val="none"/>
        </c:marker>
      </c:pivotFmt>
      <c:pivotFmt>
        <c:idx val="518"/>
        <c:marker>
          <c:symbol val="none"/>
        </c:marker>
      </c:pivotFmt>
      <c:pivotFmt>
        <c:idx val="519"/>
        <c:marker>
          <c:symbol val="none"/>
        </c:marker>
      </c:pivotFmt>
      <c:pivotFmt>
        <c:idx val="520"/>
        <c:marker>
          <c:symbol val="none"/>
        </c:marker>
      </c:pivotFmt>
      <c:pivotFmt>
        <c:idx val="521"/>
        <c:marker>
          <c:symbol val="none"/>
        </c:marker>
      </c:pivotFmt>
      <c:pivotFmt>
        <c:idx val="522"/>
        <c:marker>
          <c:symbol val="none"/>
        </c:marker>
      </c:pivotFmt>
      <c:pivotFmt>
        <c:idx val="523"/>
        <c:marker>
          <c:symbol val="none"/>
        </c:marker>
      </c:pivotFmt>
      <c:pivotFmt>
        <c:idx val="524"/>
        <c:marker>
          <c:symbol val="none"/>
        </c:marker>
      </c:pivotFmt>
      <c:pivotFmt>
        <c:idx val="525"/>
        <c:marker>
          <c:symbol val="none"/>
        </c:marker>
      </c:pivotFmt>
      <c:pivotFmt>
        <c:idx val="526"/>
        <c:marker>
          <c:symbol val="none"/>
        </c:marker>
      </c:pivotFmt>
      <c:pivotFmt>
        <c:idx val="527"/>
        <c:marker>
          <c:symbol val="none"/>
        </c:marker>
      </c:pivotFmt>
      <c:pivotFmt>
        <c:idx val="528"/>
        <c:marker>
          <c:symbol val="none"/>
        </c:marker>
      </c:pivotFmt>
      <c:pivotFmt>
        <c:idx val="529"/>
        <c:marker>
          <c:symbol val="none"/>
        </c:marker>
      </c:pivotFmt>
      <c:pivotFmt>
        <c:idx val="530"/>
        <c:marker>
          <c:symbol val="none"/>
        </c:marker>
      </c:pivotFmt>
      <c:pivotFmt>
        <c:idx val="531"/>
        <c:marker>
          <c:symbol val="none"/>
        </c:marker>
      </c:pivotFmt>
      <c:pivotFmt>
        <c:idx val="532"/>
        <c:marker>
          <c:symbol val="none"/>
        </c:marker>
      </c:pivotFmt>
      <c:pivotFmt>
        <c:idx val="533"/>
        <c:marker>
          <c:symbol val="none"/>
        </c:marker>
      </c:pivotFmt>
      <c:pivotFmt>
        <c:idx val="534"/>
        <c:marker>
          <c:symbol val="none"/>
        </c:marker>
      </c:pivotFmt>
      <c:pivotFmt>
        <c:idx val="535"/>
        <c:marker>
          <c:symbol val="none"/>
        </c:marker>
      </c:pivotFmt>
      <c:pivotFmt>
        <c:idx val="536"/>
        <c:marker>
          <c:symbol val="none"/>
        </c:marker>
      </c:pivotFmt>
      <c:pivotFmt>
        <c:idx val="537"/>
        <c:marker>
          <c:symbol val="none"/>
        </c:marker>
      </c:pivotFmt>
      <c:pivotFmt>
        <c:idx val="538"/>
        <c:marker>
          <c:symbol val="none"/>
        </c:marker>
      </c:pivotFmt>
      <c:pivotFmt>
        <c:idx val="539"/>
        <c:marker>
          <c:symbol val="none"/>
        </c:marker>
      </c:pivotFmt>
      <c:pivotFmt>
        <c:idx val="540"/>
        <c:marker>
          <c:symbol val="none"/>
        </c:marker>
      </c:pivotFmt>
      <c:pivotFmt>
        <c:idx val="541"/>
        <c:marker>
          <c:symbol val="none"/>
        </c:marker>
      </c:pivotFmt>
      <c:pivotFmt>
        <c:idx val="542"/>
        <c:marker>
          <c:symbol val="none"/>
        </c:marker>
      </c:pivotFmt>
      <c:pivotFmt>
        <c:idx val="543"/>
        <c:marker>
          <c:symbol val="none"/>
        </c:marker>
      </c:pivotFmt>
      <c:pivotFmt>
        <c:idx val="544"/>
        <c:marker>
          <c:symbol val="none"/>
        </c:marker>
      </c:pivotFmt>
      <c:pivotFmt>
        <c:idx val="545"/>
        <c:marker>
          <c:symbol val="none"/>
        </c:marker>
      </c:pivotFmt>
      <c:pivotFmt>
        <c:idx val="546"/>
        <c:marker>
          <c:symbol val="none"/>
        </c:marker>
      </c:pivotFmt>
      <c:pivotFmt>
        <c:idx val="547"/>
        <c:marker>
          <c:symbol val="none"/>
        </c:marker>
      </c:pivotFmt>
      <c:pivotFmt>
        <c:idx val="548"/>
        <c:marker>
          <c:symbol val="none"/>
        </c:marker>
      </c:pivotFmt>
      <c:pivotFmt>
        <c:idx val="549"/>
        <c:marker>
          <c:symbol val="none"/>
        </c:marker>
      </c:pivotFmt>
      <c:pivotFmt>
        <c:idx val="550"/>
        <c:marker>
          <c:symbol val="none"/>
        </c:marker>
      </c:pivotFmt>
      <c:pivotFmt>
        <c:idx val="551"/>
        <c:marker>
          <c:symbol val="none"/>
        </c:marker>
      </c:pivotFmt>
      <c:pivotFmt>
        <c:idx val="552"/>
        <c:marker>
          <c:symbol val="none"/>
        </c:marker>
      </c:pivotFmt>
      <c:pivotFmt>
        <c:idx val="553"/>
        <c:marker>
          <c:symbol val="none"/>
        </c:marker>
      </c:pivotFmt>
      <c:pivotFmt>
        <c:idx val="554"/>
        <c:marker>
          <c:symbol val="none"/>
        </c:marker>
      </c:pivotFmt>
      <c:pivotFmt>
        <c:idx val="555"/>
        <c:marker>
          <c:symbol val="none"/>
        </c:marker>
      </c:pivotFmt>
      <c:pivotFmt>
        <c:idx val="556"/>
        <c:marker>
          <c:symbol val="none"/>
        </c:marker>
      </c:pivotFmt>
      <c:pivotFmt>
        <c:idx val="557"/>
        <c:marker>
          <c:symbol val="none"/>
        </c:marker>
      </c:pivotFmt>
      <c:pivotFmt>
        <c:idx val="558"/>
        <c:marker>
          <c:symbol val="none"/>
        </c:marker>
      </c:pivotFmt>
      <c:pivotFmt>
        <c:idx val="559"/>
        <c:marker>
          <c:symbol val="none"/>
        </c:marker>
      </c:pivotFmt>
      <c:pivotFmt>
        <c:idx val="560"/>
        <c:marker>
          <c:symbol val="none"/>
        </c:marker>
      </c:pivotFmt>
      <c:pivotFmt>
        <c:idx val="561"/>
        <c:marker>
          <c:symbol val="none"/>
        </c:marker>
      </c:pivotFmt>
      <c:pivotFmt>
        <c:idx val="562"/>
        <c:marker>
          <c:symbol val="none"/>
        </c:marker>
      </c:pivotFmt>
      <c:pivotFmt>
        <c:idx val="563"/>
        <c:marker>
          <c:symbol val="none"/>
        </c:marker>
      </c:pivotFmt>
      <c:pivotFmt>
        <c:idx val="564"/>
        <c:marker>
          <c:symbol val="none"/>
        </c:marker>
      </c:pivotFmt>
      <c:pivotFmt>
        <c:idx val="565"/>
        <c:marker>
          <c:symbol val="none"/>
        </c:marker>
      </c:pivotFmt>
      <c:pivotFmt>
        <c:idx val="566"/>
        <c:marker>
          <c:symbol val="none"/>
        </c:marker>
      </c:pivotFmt>
      <c:pivotFmt>
        <c:idx val="567"/>
        <c:marker>
          <c:symbol val="none"/>
        </c:marker>
      </c:pivotFmt>
      <c:pivotFmt>
        <c:idx val="568"/>
        <c:marker>
          <c:symbol val="none"/>
        </c:marker>
      </c:pivotFmt>
      <c:pivotFmt>
        <c:idx val="569"/>
        <c:marker>
          <c:symbol val="none"/>
        </c:marker>
      </c:pivotFmt>
      <c:pivotFmt>
        <c:idx val="570"/>
        <c:marker>
          <c:symbol val="none"/>
        </c:marker>
      </c:pivotFmt>
      <c:pivotFmt>
        <c:idx val="571"/>
        <c:marker>
          <c:symbol val="none"/>
        </c:marker>
      </c:pivotFmt>
      <c:pivotFmt>
        <c:idx val="572"/>
        <c:marker>
          <c:symbol val="none"/>
        </c:marker>
      </c:pivotFmt>
      <c:pivotFmt>
        <c:idx val="573"/>
        <c:marker>
          <c:symbol val="none"/>
        </c:marker>
      </c:pivotFmt>
      <c:pivotFmt>
        <c:idx val="574"/>
        <c:marker>
          <c:symbol val="none"/>
        </c:marker>
      </c:pivotFmt>
      <c:pivotFmt>
        <c:idx val="575"/>
        <c:marker>
          <c:symbol val="none"/>
        </c:marker>
      </c:pivotFmt>
      <c:pivotFmt>
        <c:idx val="576"/>
        <c:marker>
          <c:symbol val="none"/>
        </c:marker>
      </c:pivotFmt>
      <c:pivotFmt>
        <c:idx val="577"/>
        <c:marker>
          <c:symbol val="none"/>
        </c:marker>
      </c:pivotFmt>
      <c:pivotFmt>
        <c:idx val="578"/>
        <c:marker>
          <c:symbol val="none"/>
        </c:marker>
      </c:pivotFmt>
      <c:pivotFmt>
        <c:idx val="579"/>
        <c:marker>
          <c:symbol val="none"/>
        </c:marker>
      </c:pivotFmt>
      <c:pivotFmt>
        <c:idx val="580"/>
        <c:marker>
          <c:symbol val="none"/>
        </c:marker>
      </c:pivotFmt>
      <c:pivotFmt>
        <c:idx val="581"/>
        <c:marker>
          <c:symbol val="none"/>
        </c:marker>
      </c:pivotFmt>
      <c:pivotFmt>
        <c:idx val="582"/>
        <c:marker>
          <c:symbol val="none"/>
        </c:marker>
      </c:pivotFmt>
      <c:pivotFmt>
        <c:idx val="583"/>
        <c:marker>
          <c:symbol val="none"/>
        </c:marker>
      </c:pivotFmt>
      <c:pivotFmt>
        <c:idx val="584"/>
        <c:marker>
          <c:symbol val="none"/>
        </c:marker>
      </c:pivotFmt>
      <c:pivotFmt>
        <c:idx val="585"/>
        <c:marker>
          <c:symbol val="none"/>
        </c:marker>
      </c:pivotFmt>
      <c:pivotFmt>
        <c:idx val="586"/>
        <c:marker>
          <c:symbol val="none"/>
        </c:marker>
      </c:pivotFmt>
      <c:pivotFmt>
        <c:idx val="587"/>
        <c:marker>
          <c:symbol val="none"/>
        </c:marker>
      </c:pivotFmt>
      <c:pivotFmt>
        <c:idx val="588"/>
        <c:marker>
          <c:symbol val="none"/>
        </c:marker>
      </c:pivotFmt>
      <c:pivotFmt>
        <c:idx val="589"/>
        <c:marker>
          <c:symbol val="none"/>
        </c:marker>
      </c:pivotFmt>
      <c:pivotFmt>
        <c:idx val="590"/>
        <c:marker>
          <c:symbol val="none"/>
        </c:marker>
      </c:pivotFmt>
      <c:pivotFmt>
        <c:idx val="591"/>
        <c:marker>
          <c:symbol val="none"/>
        </c:marker>
      </c:pivotFmt>
      <c:pivotFmt>
        <c:idx val="592"/>
        <c:marker>
          <c:symbol val="none"/>
        </c:marker>
      </c:pivotFmt>
      <c:pivotFmt>
        <c:idx val="593"/>
        <c:marker>
          <c:symbol val="none"/>
        </c:marker>
      </c:pivotFmt>
      <c:pivotFmt>
        <c:idx val="594"/>
        <c:marker>
          <c:symbol val="none"/>
        </c:marker>
      </c:pivotFmt>
      <c:pivotFmt>
        <c:idx val="595"/>
        <c:marker>
          <c:symbol val="none"/>
        </c:marker>
      </c:pivotFmt>
      <c:pivotFmt>
        <c:idx val="596"/>
        <c:marker>
          <c:symbol val="none"/>
        </c:marker>
      </c:pivotFmt>
      <c:pivotFmt>
        <c:idx val="597"/>
        <c:marker>
          <c:symbol val="none"/>
        </c:marker>
      </c:pivotFmt>
      <c:pivotFmt>
        <c:idx val="598"/>
        <c:marker>
          <c:symbol val="none"/>
        </c:marker>
      </c:pivotFmt>
      <c:pivotFmt>
        <c:idx val="599"/>
        <c:marker>
          <c:symbol val="none"/>
        </c:marker>
      </c:pivotFmt>
      <c:pivotFmt>
        <c:idx val="600"/>
        <c:marker>
          <c:symbol val="none"/>
        </c:marker>
      </c:pivotFmt>
      <c:pivotFmt>
        <c:idx val="601"/>
        <c:marker>
          <c:symbol val="none"/>
        </c:marker>
      </c:pivotFmt>
      <c:pivotFmt>
        <c:idx val="602"/>
        <c:marker>
          <c:symbol val="none"/>
        </c:marker>
      </c:pivotFmt>
      <c:pivotFmt>
        <c:idx val="603"/>
        <c:marker>
          <c:symbol val="none"/>
        </c:marker>
      </c:pivotFmt>
      <c:pivotFmt>
        <c:idx val="604"/>
        <c:marker>
          <c:symbol val="none"/>
        </c:marker>
      </c:pivotFmt>
      <c:pivotFmt>
        <c:idx val="605"/>
        <c:marker>
          <c:symbol val="none"/>
        </c:marker>
      </c:pivotFmt>
      <c:pivotFmt>
        <c:idx val="606"/>
        <c:marker>
          <c:symbol val="none"/>
        </c:marker>
      </c:pivotFmt>
      <c:pivotFmt>
        <c:idx val="607"/>
        <c:marker>
          <c:symbol val="none"/>
        </c:marker>
      </c:pivotFmt>
      <c:pivotFmt>
        <c:idx val="608"/>
        <c:marker>
          <c:symbol val="none"/>
        </c:marker>
      </c:pivotFmt>
      <c:pivotFmt>
        <c:idx val="609"/>
        <c:marker>
          <c:symbol val="none"/>
        </c:marker>
      </c:pivotFmt>
      <c:pivotFmt>
        <c:idx val="610"/>
        <c:marker>
          <c:symbol val="none"/>
        </c:marker>
      </c:pivotFmt>
      <c:pivotFmt>
        <c:idx val="611"/>
        <c:marker>
          <c:symbol val="none"/>
        </c:marker>
      </c:pivotFmt>
      <c:pivotFmt>
        <c:idx val="612"/>
        <c:marker>
          <c:symbol val="none"/>
        </c:marker>
      </c:pivotFmt>
      <c:pivotFmt>
        <c:idx val="613"/>
        <c:marker>
          <c:symbol val="none"/>
        </c:marker>
      </c:pivotFmt>
      <c:pivotFmt>
        <c:idx val="614"/>
        <c:marker>
          <c:symbol val="none"/>
        </c:marker>
      </c:pivotFmt>
      <c:pivotFmt>
        <c:idx val="615"/>
        <c:marker>
          <c:symbol val="none"/>
        </c:marker>
      </c:pivotFmt>
      <c:pivotFmt>
        <c:idx val="616"/>
        <c:marker>
          <c:symbol val="none"/>
        </c:marker>
      </c:pivotFmt>
      <c:pivotFmt>
        <c:idx val="617"/>
        <c:marker>
          <c:symbol val="none"/>
        </c:marker>
      </c:pivotFmt>
      <c:pivotFmt>
        <c:idx val="618"/>
        <c:marker>
          <c:symbol val="none"/>
        </c:marker>
      </c:pivotFmt>
      <c:pivotFmt>
        <c:idx val="619"/>
        <c:marker>
          <c:symbol val="none"/>
        </c:marker>
      </c:pivotFmt>
      <c:pivotFmt>
        <c:idx val="620"/>
        <c:marker>
          <c:symbol val="none"/>
        </c:marker>
      </c:pivotFmt>
      <c:pivotFmt>
        <c:idx val="621"/>
        <c:marker>
          <c:symbol val="none"/>
        </c:marker>
      </c:pivotFmt>
      <c:pivotFmt>
        <c:idx val="622"/>
        <c:marker>
          <c:symbol val="none"/>
        </c:marker>
      </c:pivotFmt>
      <c:pivotFmt>
        <c:idx val="623"/>
        <c:marker>
          <c:symbol val="none"/>
        </c:marker>
      </c:pivotFmt>
      <c:pivotFmt>
        <c:idx val="624"/>
        <c:marker>
          <c:symbol val="none"/>
        </c:marker>
      </c:pivotFmt>
      <c:pivotFmt>
        <c:idx val="625"/>
        <c:marker>
          <c:symbol val="none"/>
        </c:marker>
      </c:pivotFmt>
      <c:pivotFmt>
        <c:idx val="626"/>
        <c:marker>
          <c:symbol val="none"/>
        </c:marker>
      </c:pivotFmt>
      <c:pivotFmt>
        <c:idx val="627"/>
        <c:marker>
          <c:symbol val="none"/>
        </c:marker>
      </c:pivotFmt>
      <c:pivotFmt>
        <c:idx val="628"/>
        <c:marker>
          <c:symbol val="none"/>
        </c:marker>
      </c:pivotFmt>
      <c:pivotFmt>
        <c:idx val="629"/>
        <c:marker>
          <c:symbol val="none"/>
        </c:marker>
      </c:pivotFmt>
      <c:pivotFmt>
        <c:idx val="630"/>
        <c:marker>
          <c:symbol val="none"/>
        </c:marker>
      </c:pivotFmt>
      <c:pivotFmt>
        <c:idx val="631"/>
        <c:marker>
          <c:symbol val="none"/>
        </c:marker>
      </c:pivotFmt>
      <c:pivotFmt>
        <c:idx val="632"/>
        <c:marker>
          <c:symbol val="none"/>
        </c:marker>
      </c:pivotFmt>
      <c:pivotFmt>
        <c:idx val="633"/>
        <c:marker>
          <c:symbol val="none"/>
        </c:marker>
      </c:pivotFmt>
      <c:pivotFmt>
        <c:idx val="634"/>
        <c:marker>
          <c:symbol val="none"/>
        </c:marker>
      </c:pivotFmt>
      <c:pivotFmt>
        <c:idx val="635"/>
        <c:marker>
          <c:symbol val="none"/>
        </c:marker>
      </c:pivotFmt>
      <c:pivotFmt>
        <c:idx val="636"/>
        <c:marker>
          <c:symbol val="none"/>
        </c:marker>
      </c:pivotFmt>
      <c:pivotFmt>
        <c:idx val="637"/>
        <c:marker>
          <c:symbol val="none"/>
        </c:marker>
      </c:pivotFmt>
      <c:pivotFmt>
        <c:idx val="638"/>
        <c:marker>
          <c:symbol val="none"/>
        </c:marker>
      </c:pivotFmt>
      <c:pivotFmt>
        <c:idx val="639"/>
        <c:marker>
          <c:symbol val="none"/>
        </c:marker>
      </c:pivotFmt>
      <c:pivotFmt>
        <c:idx val="640"/>
        <c:marker>
          <c:symbol val="none"/>
        </c:marker>
      </c:pivotFmt>
      <c:pivotFmt>
        <c:idx val="641"/>
        <c:marker>
          <c:symbol val="none"/>
        </c:marker>
      </c:pivotFmt>
      <c:pivotFmt>
        <c:idx val="642"/>
        <c:marker>
          <c:symbol val="none"/>
        </c:marker>
      </c:pivotFmt>
      <c:pivotFmt>
        <c:idx val="643"/>
        <c:marker>
          <c:symbol val="none"/>
        </c:marker>
      </c:pivotFmt>
      <c:pivotFmt>
        <c:idx val="644"/>
        <c:marker>
          <c:symbol val="none"/>
        </c:marker>
      </c:pivotFmt>
      <c:pivotFmt>
        <c:idx val="645"/>
        <c:marker>
          <c:symbol val="none"/>
        </c:marker>
      </c:pivotFmt>
      <c:pivotFmt>
        <c:idx val="646"/>
        <c:marker>
          <c:symbol val="none"/>
        </c:marker>
      </c:pivotFmt>
      <c:pivotFmt>
        <c:idx val="647"/>
        <c:marker>
          <c:symbol val="none"/>
        </c:marker>
      </c:pivotFmt>
      <c:pivotFmt>
        <c:idx val="648"/>
        <c:marker>
          <c:symbol val="none"/>
        </c:marker>
      </c:pivotFmt>
      <c:pivotFmt>
        <c:idx val="649"/>
        <c:marker>
          <c:symbol val="none"/>
        </c:marker>
      </c:pivotFmt>
      <c:pivotFmt>
        <c:idx val="650"/>
        <c:marker>
          <c:symbol val="none"/>
        </c:marker>
      </c:pivotFmt>
      <c:pivotFmt>
        <c:idx val="651"/>
        <c:marker>
          <c:symbol val="none"/>
        </c:marker>
      </c:pivotFmt>
      <c:pivotFmt>
        <c:idx val="652"/>
        <c:marker>
          <c:symbol val="none"/>
        </c:marker>
      </c:pivotFmt>
      <c:pivotFmt>
        <c:idx val="653"/>
        <c:marker>
          <c:symbol val="none"/>
        </c:marker>
      </c:pivotFmt>
      <c:pivotFmt>
        <c:idx val="654"/>
        <c:marker>
          <c:symbol val="none"/>
        </c:marker>
      </c:pivotFmt>
      <c:pivotFmt>
        <c:idx val="655"/>
        <c:marker>
          <c:symbol val="none"/>
        </c:marker>
      </c:pivotFmt>
      <c:pivotFmt>
        <c:idx val="656"/>
        <c:marker>
          <c:symbol val="none"/>
        </c:marker>
      </c:pivotFmt>
      <c:pivotFmt>
        <c:idx val="657"/>
        <c:marker>
          <c:symbol val="none"/>
        </c:marker>
      </c:pivotFmt>
      <c:pivotFmt>
        <c:idx val="658"/>
        <c:marker>
          <c:symbol val="none"/>
        </c:marker>
      </c:pivotFmt>
      <c:pivotFmt>
        <c:idx val="659"/>
        <c:marker>
          <c:symbol val="none"/>
        </c:marker>
      </c:pivotFmt>
      <c:pivotFmt>
        <c:idx val="660"/>
        <c:marker>
          <c:symbol val="none"/>
        </c:marker>
      </c:pivotFmt>
      <c:pivotFmt>
        <c:idx val="661"/>
        <c:marker>
          <c:symbol val="none"/>
        </c:marker>
      </c:pivotFmt>
      <c:pivotFmt>
        <c:idx val="662"/>
        <c:marker>
          <c:symbol val="none"/>
        </c:marker>
      </c:pivotFmt>
      <c:pivotFmt>
        <c:idx val="663"/>
        <c:marker>
          <c:symbol val="none"/>
        </c:marker>
      </c:pivotFmt>
      <c:pivotFmt>
        <c:idx val="664"/>
        <c:marker>
          <c:symbol val="none"/>
        </c:marker>
      </c:pivotFmt>
      <c:pivotFmt>
        <c:idx val="665"/>
        <c:marker>
          <c:symbol val="none"/>
        </c:marker>
      </c:pivotFmt>
      <c:pivotFmt>
        <c:idx val="666"/>
        <c:marker>
          <c:symbol val="none"/>
        </c:marker>
      </c:pivotFmt>
      <c:pivotFmt>
        <c:idx val="667"/>
        <c:marker>
          <c:symbol val="none"/>
        </c:marker>
      </c:pivotFmt>
      <c:pivotFmt>
        <c:idx val="668"/>
        <c:marker>
          <c:symbol val="none"/>
        </c:marker>
      </c:pivotFmt>
      <c:pivotFmt>
        <c:idx val="669"/>
        <c:marker>
          <c:symbol val="none"/>
        </c:marker>
      </c:pivotFmt>
      <c:pivotFmt>
        <c:idx val="670"/>
        <c:marker>
          <c:symbol val="none"/>
        </c:marker>
      </c:pivotFmt>
      <c:pivotFmt>
        <c:idx val="671"/>
        <c:marker>
          <c:symbol val="none"/>
        </c:marker>
      </c:pivotFmt>
      <c:pivotFmt>
        <c:idx val="672"/>
        <c:marker>
          <c:symbol val="none"/>
        </c:marker>
      </c:pivotFmt>
      <c:pivotFmt>
        <c:idx val="673"/>
        <c:marker>
          <c:symbol val="none"/>
        </c:marker>
      </c:pivotFmt>
      <c:pivotFmt>
        <c:idx val="674"/>
        <c:marker>
          <c:symbol val="none"/>
        </c:marker>
      </c:pivotFmt>
      <c:pivotFmt>
        <c:idx val="675"/>
        <c:marker>
          <c:symbol val="none"/>
        </c:marker>
      </c:pivotFmt>
      <c:pivotFmt>
        <c:idx val="676"/>
        <c:marker>
          <c:symbol val="none"/>
        </c:marker>
      </c:pivotFmt>
      <c:pivotFmt>
        <c:idx val="677"/>
        <c:marker>
          <c:symbol val="none"/>
        </c:marker>
      </c:pivotFmt>
      <c:pivotFmt>
        <c:idx val="678"/>
        <c:marker>
          <c:symbol val="none"/>
        </c:marker>
      </c:pivotFmt>
      <c:pivotFmt>
        <c:idx val="679"/>
        <c:marker>
          <c:symbol val="none"/>
        </c:marker>
      </c:pivotFmt>
      <c:pivotFmt>
        <c:idx val="680"/>
        <c:marker>
          <c:symbol val="none"/>
        </c:marker>
      </c:pivotFmt>
      <c:pivotFmt>
        <c:idx val="681"/>
        <c:marker>
          <c:symbol val="none"/>
        </c:marker>
      </c:pivotFmt>
      <c:pivotFmt>
        <c:idx val="682"/>
        <c:marker>
          <c:symbol val="none"/>
        </c:marker>
      </c:pivotFmt>
      <c:pivotFmt>
        <c:idx val="683"/>
        <c:marker>
          <c:symbol val="none"/>
        </c:marker>
      </c:pivotFmt>
      <c:pivotFmt>
        <c:idx val="684"/>
        <c:marker>
          <c:symbol val="none"/>
        </c:marker>
      </c:pivotFmt>
      <c:pivotFmt>
        <c:idx val="685"/>
        <c:marker>
          <c:symbol val="none"/>
        </c:marker>
      </c:pivotFmt>
      <c:pivotFmt>
        <c:idx val="686"/>
        <c:marker>
          <c:symbol val="none"/>
        </c:marker>
      </c:pivotFmt>
      <c:pivotFmt>
        <c:idx val="687"/>
        <c:marker>
          <c:symbol val="none"/>
        </c:marker>
      </c:pivotFmt>
      <c:pivotFmt>
        <c:idx val="688"/>
        <c:marker>
          <c:symbol val="none"/>
        </c:marker>
      </c:pivotFmt>
      <c:pivotFmt>
        <c:idx val="689"/>
        <c:marker>
          <c:symbol val="none"/>
        </c:marker>
      </c:pivotFmt>
      <c:pivotFmt>
        <c:idx val="690"/>
        <c:marker>
          <c:symbol val="none"/>
        </c:marker>
      </c:pivotFmt>
      <c:pivotFmt>
        <c:idx val="691"/>
        <c:marker>
          <c:symbol val="none"/>
        </c:marker>
      </c:pivotFmt>
      <c:pivotFmt>
        <c:idx val="692"/>
        <c:marker>
          <c:symbol val="none"/>
        </c:marker>
      </c:pivotFmt>
      <c:pivotFmt>
        <c:idx val="693"/>
        <c:marker>
          <c:symbol val="none"/>
        </c:marker>
      </c:pivotFmt>
      <c:pivotFmt>
        <c:idx val="694"/>
        <c:marker>
          <c:symbol val="none"/>
        </c:marker>
      </c:pivotFmt>
      <c:pivotFmt>
        <c:idx val="695"/>
        <c:marker>
          <c:symbol val="none"/>
        </c:marker>
      </c:pivotFmt>
      <c:pivotFmt>
        <c:idx val="696"/>
        <c:marker>
          <c:symbol val="none"/>
        </c:marker>
      </c:pivotFmt>
      <c:pivotFmt>
        <c:idx val="697"/>
        <c:marker>
          <c:symbol val="none"/>
        </c:marker>
      </c:pivotFmt>
      <c:pivotFmt>
        <c:idx val="698"/>
        <c:marker>
          <c:symbol val="none"/>
        </c:marker>
      </c:pivotFmt>
      <c:pivotFmt>
        <c:idx val="699"/>
        <c:marker>
          <c:symbol val="none"/>
        </c:marker>
      </c:pivotFmt>
      <c:pivotFmt>
        <c:idx val="700"/>
        <c:marker>
          <c:symbol val="none"/>
        </c:marker>
      </c:pivotFmt>
      <c:pivotFmt>
        <c:idx val="701"/>
        <c:marker>
          <c:symbol val="none"/>
        </c:marker>
      </c:pivotFmt>
      <c:pivotFmt>
        <c:idx val="702"/>
        <c:marker>
          <c:symbol val="none"/>
        </c:marker>
      </c:pivotFmt>
      <c:pivotFmt>
        <c:idx val="703"/>
        <c:marker>
          <c:symbol val="none"/>
        </c:marker>
      </c:pivotFmt>
      <c:pivotFmt>
        <c:idx val="704"/>
        <c:marker>
          <c:symbol val="none"/>
        </c:marker>
      </c:pivotFmt>
      <c:pivotFmt>
        <c:idx val="705"/>
        <c:marker>
          <c:symbol val="none"/>
        </c:marker>
      </c:pivotFmt>
      <c:pivotFmt>
        <c:idx val="706"/>
        <c:marker>
          <c:symbol val="none"/>
        </c:marker>
      </c:pivotFmt>
      <c:pivotFmt>
        <c:idx val="707"/>
        <c:marker>
          <c:symbol val="none"/>
        </c:marker>
      </c:pivotFmt>
      <c:pivotFmt>
        <c:idx val="708"/>
        <c:marker>
          <c:symbol val="none"/>
        </c:marker>
      </c:pivotFmt>
      <c:pivotFmt>
        <c:idx val="709"/>
        <c:marker>
          <c:symbol val="none"/>
        </c:marker>
      </c:pivotFmt>
      <c:pivotFmt>
        <c:idx val="710"/>
        <c:marker>
          <c:symbol val="none"/>
        </c:marker>
      </c:pivotFmt>
      <c:pivotFmt>
        <c:idx val="711"/>
        <c:marker>
          <c:symbol val="none"/>
        </c:marker>
      </c:pivotFmt>
      <c:pivotFmt>
        <c:idx val="712"/>
        <c:marker>
          <c:symbol val="none"/>
        </c:marker>
      </c:pivotFmt>
      <c:pivotFmt>
        <c:idx val="713"/>
        <c:marker>
          <c:symbol val="none"/>
        </c:marker>
      </c:pivotFmt>
      <c:pivotFmt>
        <c:idx val="714"/>
        <c:marker>
          <c:symbol val="none"/>
        </c:marker>
      </c:pivotFmt>
      <c:pivotFmt>
        <c:idx val="715"/>
        <c:marker>
          <c:symbol val="none"/>
        </c:marker>
      </c:pivotFmt>
      <c:pivotFmt>
        <c:idx val="716"/>
        <c:marker>
          <c:symbol val="none"/>
        </c:marker>
      </c:pivotFmt>
      <c:pivotFmt>
        <c:idx val="717"/>
        <c:marker>
          <c:symbol val="none"/>
        </c:marker>
      </c:pivotFmt>
      <c:pivotFmt>
        <c:idx val="718"/>
        <c:marker>
          <c:symbol val="none"/>
        </c:marker>
      </c:pivotFmt>
      <c:pivotFmt>
        <c:idx val="719"/>
        <c:marker>
          <c:symbol val="none"/>
        </c:marker>
      </c:pivotFmt>
      <c:pivotFmt>
        <c:idx val="720"/>
        <c:marker>
          <c:symbol val="none"/>
        </c:marker>
      </c:pivotFmt>
      <c:pivotFmt>
        <c:idx val="721"/>
        <c:marker>
          <c:symbol val="none"/>
        </c:marker>
      </c:pivotFmt>
      <c:pivotFmt>
        <c:idx val="722"/>
        <c:marker>
          <c:symbol val="none"/>
        </c:marker>
      </c:pivotFmt>
      <c:pivotFmt>
        <c:idx val="723"/>
        <c:marker>
          <c:symbol val="none"/>
        </c:marker>
      </c:pivotFmt>
      <c:pivotFmt>
        <c:idx val="724"/>
        <c:marker>
          <c:symbol val="none"/>
        </c:marker>
      </c:pivotFmt>
      <c:pivotFmt>
        <c:idx val="725"/>
        <c:marker>
          <c:symbol val="none"/>
        </c:marker>
      </c:pivotFmt>
      <c:pivotFmt>
        <c:idx val="726"/>
        <c:marker>
          <c:symbol val="none"/>
        </c:marker>
      </c:pivotFmt>
      <c:pivotFmt>
        <c:idx val="727"/>
        <c:marker>
          <c:symbol val="none"/>
        </c:marker>
      </c:pivotFmt>
      <c:pivotFmt>
        <c:idx val="728"/>
        <c:marker>
          <c:symbol val="none"/>
        </c:marker>
      </c:pivotFmt>
      <c:pivotFmt>
        <c:idx val="729"/>
        <c:marker>
          <c:symbol val="none"/>
        </c:marker>
      </c:pivotFmt>
      <c:pivotFmt>
        <c:idx val="730"/>
        <c:marker>
          <c:symbol val="none"/>
        </c:marker>
      </c:pivotFmt>
      <c:pivotFmt>
        <c:idx val="731"/>
        <c:marker>
          <c:symbol val="none"/>
        </c:marker>
      </c:pivotFmt>
      <c:pivotFmt>
        <c:idx val="732"/>
        <c:marker>
          <c:symbol val="none"/>
        </c:marker>
      </c:pivotFmt>
      <c:pivotFmt>
        <c:idx val="733"/>
        <c:marker>
          <c:symbol val="none"/>
        </c:marker>
      </c:pivotFmt>
      <c:pivotFmt>
        <c:idx val="734"/>
        <c:marker>
          <c:symbol val="none"/>
        </c:marker>
      </c:pivotFmt>
      <c:pivotFmt>
        <c:idx val="735"/>
        <c:marker>
          <c:symbol val="none"/>
        </c:marker>
      </c:pivotFmt>
      <c:pivotFmt>
        <c:idx val="736"/>
        <c:marker>
          <c:symbol val="none"/>
        </c:marker>
      </c:pivotFmt>
      <c:pivotFmt>
        <c:idx val="737"/>
        <c:marker>
          <c:symbol val="none"/>
        </c:marker>
      </c:pivotFmt>
      <c:pivotFmt>
        <c:idx val="738"/>
        <c:marker>
          <c:symbol val="none"/>
        </c:marker>
      </c:pivotFmt>
      <c:pivotFmt>
        <c:idx val="739"/>
        <c:marker>
          <c:symbol val="none"/>
        </c:marker>
      </c:pivotFmt>
      <c:pivotFmt>
        <c:idx val="740"/>
        <c:marker>
          <c:symbol val="none"/>
        </c:marker>
      </c:pivotFmt>
      <c:pivotFmt>
        <c:idx val="741"/>
        <c:marker>
          <c:symbol val="none"/>
        </c:marker>
      </c:pivotFmt>
      <c:pivotFmt>
        <c:idx val="742"/>
        <c:marker>
          <c:symbol val="none"/>
        </c:marker>
      </c:pivotFmt>
      <c:pivotFmt>
        <c:idx val="743"/>
        <c:marker>
          <c:symbol val="none"/>
        </c:marker>
      </c:pivotFmt>
      <c:pivotFmt>
        <c:idx val="744"/>
        <c:marker>
          <c:symbol val="none"/>
        </c:marker>
      </c:pivotFmt>
      <c:pivotFmt>
        <c:idx val="745"/>
        <c:marker>
          <c:symbol val="none"/>
        </c:marker>
      </c:pivotFmt>
      <c:pivotFmt>
        <c:idx val="746"/>
        <c:marker>
          <c:symbol val="none"/>
        </c:marker>
      </c:pivotFmt>
      <c:pivotFmt>
        <c:idx val="747"/>
        <c:marker>
          <c:symbol val="none"/>
        </c:marker>
      </c:pivotFmt>
      <c:pivotFmt>
        <c:idx val="748"/>
        <c:marker>
          <c:symbol val="none"/>
        </c:marker>
      </c:pivotFmt>
      <c:pivotFmt>
        <c:idx val="749"/>
        <c:marker>
          <c:symbol val="none"/>
        </c:marker>
      </c:pivotFmt>
      <c:pivotFmt>
        <c:idx val="750"/>
        <c:marker>
          <c:symbol val="none"/>
        </c:marker>
      </c:pivotFmt>
      <c:pivotFmt>
        <c:idx val="751"/>
        <c:marker>
          <c:symbol val="none"/>
        </c:marker>
      </c:pivotFmt>
      <c:pivotFmt>
        <c:idx val="752"/>
        <c:marker>
          <c:symbol val="none"/>
        </c:marker>
      </c:pivotFmt>
      <c:pivotFmt>
        <c:idx val="753"/>
        <c:marker>
          <c:symbol val="none"/>
        </c:marker>
      </c:pivotFmt>
      <c:pivotFmt>
        <c:idx val="754"/>
        <c:marker>
          <c:symbol val="none"/>
        </c:marker>
      </c:pivotFmt>
      <c:pivotFmt>
        <c:idx val="755"/>
        <c:marker>
          <c:symbol val="none"/>
        </c:marker>
      </c:pivotFmt>
      <c:pivotFmt>
        <c:idx val="756"/>
        <c:marker>
          <c:symbol val="none"/>
        </c:marker>
      </c:pivotFmt>
      <c:pivotFmt>
        <c:idx val="757"/>
        <c:marker>
          <c:symbol val="none"/>
        </c:marker>
      </c:pivotFmt>
      <c:pivotFmt>
        <c:idx val="758"/>
        <c:marker>
          <c:symbol val="none"/>
        </c:marker>
      </c:pivotFmt>
      <c:pivotFmt>
        <c:idx val="759"/>
        <c:marker>
          <c:symbol val="none"/>
        </c:marker>
      </c:pivotFmt>
      <c:pivotFmt>
        <c:idx val="760"/>
        <c:marker>
          <c:symbol val="none"/>
        </c:marker>
      </c:pivotFmt>
      <c:pivotFmt>
        <c:idx val="761"/>
        <c:marker>
          <c:symbol val="none"/>
        </c:marker>
      </c:pivotFmt>
      <c:pivotFmt>
        <c:idx val="762"/>
        <c:marker>
          <c:symbol val="none"/>
        </c:marker>
      </c:pivotFmt>
      <c:pivotFmt>
        <c:idx val="763"/>
        <c:marker>
          <c:symbol val="none"/>
        </c:marker>
      </c:pivotFmt>
      <c:pivotFmt>
        <c:idx val="764"/>
        <c:marker>
          <c:symbol val="none"/>
        </c:marker>
      </c:pivotFmt>
      <c:pivotFmt>
        <c:idx val="765"/>
        <c:marker>
          <c:symbol val="none"/>
        </c:marker>
      </c:pivotFmt>
      <c:pivotFmt>
        <c:idx val="766"/>
        <c:marker>
          <c:symbol val="none"/>
        </c:marker>
      </c:pivotFmt>
      <c:pivotFmt>
        <c:idx val="767"/>
        <c:marker>
          <c:symbol val="none"/>
        </c:marker>
      </c:pivotFmt>
      <c:pivotFmt>
        <c:idx val="768"/>
        <c:marker>
          <c:symbol val="none"/>
        </c:marker>
      </c:pivotFmt>
      <c:pivotFmt>
        <c:idx val="769"/>
        <c:marker>
          <c:symbol val="none"/>
        </c:marker>
      </c:pivotFmt>
      <c:pivotFmt>
        <c:idx val="770"/>
        <c:marker>
          <c:symbol val="none"/>
        </c:marker>
      </c:pivotFmt>
      <c:pivotFmt>
        <c:idx val="771"/>
        <c:marker>
          <c:symbol val="none"/>
        </c:marker>
      </c:pivotFmt>
      <c:pivotFmt>
        <c:idx val="772"/>
        <c:marker>
          <c:symbol val="none"/>
        </c:marker>
      </c:pivotFmt>
      <c:pivotFmt>
        <c:idx val="773"/>
        <c:marker>
          <c:symbol val="none"/>
        </c:marker>
      </c:pivotFmt>
      <c:pivotFmt>
        <c:idx val="774"/>
        <c:marker>
          <c:symbol val="none"/>
        </c:marker>
      </c:pivotFmt>
      <c:pivotFmt>
        <c:idx val="775"/>
        <c:marker>
          <c:symbol val="none"/>
        </c:marker>
      </c:pivotFmt>
      <c:pivotFmt>
        <c:idx val="776"/>
        <c:marker>
          <c:symbol val="none"/>
        </c:marker>
      </c:pivotFmt>
      <c:pivotFmt>
        <c:idx val="777"/>
        <c:marker>
          <c:symbol val="none"/>
        </c:marker>
      </c:pivotFmt>
      <c:pivotFmt>
        <c:idx val="778"/>
        <c:marker>
          <c:symbol val="none"/>
        </c:marker>
      </c:pivotFmt>
      <c:pivotFmt>
        <c:idx val="779"/>
        <c:marker>
          <c:symbol val="none"/>
        </c:marker>
      </c:pivotFmt>
      <c:pivotFmt>
        <c:idx val="780"/>
        <c:marker>
          <c:symbol val="none"/>
        </c:marker>
      </c:pivotFmt>
      <c:pivotFmt>
        <c:idx val="781"/>
        <c:marker>
          <c:symbol val="none"/>
        </c:marker>
      </c:pivotFmt>
      <c:pivotFmt>
        <c:idx val="782"/>
        <c:marker>
          <c:symbol val="none"/>
        </c:marker>
      </c:pivotFmt>
      <c:pivotFmt>
        <c:idx val="783"/>
        <c:marker>
          <c:symbol val="none"/>
        </c:marker>
      </c:pivotFmt>
      <c:pivotFmt>
        <c:idx val="784"/>
        <c:marker>
          <c:symbol val="none"/>
        </c:marker>
      </c:pivotFmt>
      <c:pivotFmt>
        <c:idx val="785"/>
        <c:marker>
          <c:symbol val="none"/>
        </c:marker>
      </c:pivotFmt>
      <c:pivotFmt>
        <c:idx val="786"/>
        <c:marker>
          <c:symbol val="none"/>
        </c:marker>
      </c:pivotFmt>
      <c:pivotFmt>
        <c:idx val="787"/>
        <c:marker>
          <c:symbol val="none"/>
        </c:marker>
      </c:pivotFmt>
      <c:pivotFmt>
        <c:idx val="788"/>
        <c:marker>
          <c:symbol val="none"/>
        </c:marker>
      </c:pivotFmt>
      <c:pivotFmt>
        <c:idx val="789"/>
        <c:marker>
          <c:symbol val="none"/>
        </c:marker>
      </c:pivotFmt>
      <c:pivotFmt>
        <c:idx val="790"/>
        <c:marker>
          <c:symbol val="none"/>
        </c:marker>
      </c:pivotFmt>
      <c:pivotFmt>
        <c:idx val="791"/>
        <c:marker>
          <c:symbol val="none"/>
        </c:marker>
      </c:pivotFmt>
      <c:pivotFmt>
        <c:idx val="792"/>
        <c:marker>
          <c:symbol val="none"/>
        </c:marker>
      </c:pivotFmt>
      <c:pivotFmt>
        <c:idx val="793"/>
        <c:marker>
          <c:symbol val="none"/>
        </c:marker>
      </c:pivotFmt>
      <c:pivotFmt>
        <c:idx val="794"/>
        <c:marker>
          <c:symbol val="none"/>
        </c:marker>
      </c:pivotFmt>
      <c:pivotFmt>
        <c:idx val="795"/>
        <c:marker>
          <c:symbol val="none"/>
        </c:marker>
      </c:pivotFmt>
      <c:pivotFmt>
        <c:idx val="796"/>
        <c:marker>
          <c:symbol val="none"/>
        </c:marker>
      </c:pivotFmt>
      <c:pivotFmt>
        <c:idx val="797"/>
        <c:marker>
          <c:symbol val="none"/>
        </c:marker>
      </c:pivotFmt>
      <c:pivotFmt>
        <c:idx val="798"/>
        <c:marker>
          <c:symbol val="none"/>
        </c:marker>
      </c:pivotFmt>
      <c:pivotFmt>
        <c:idx val="799"/>
        <c:marker>
          <c:symbol val="none"/>
        </c:marker>
      </c:pivotFmt>
      <c:pivotFmt>
        <c:idx val="800"/>
        <c:marker>
          <c:symbol val="none"/>
        </c:marker>
      </c:pivotFmt>
      <c:pivotFmt>
        <c:idx val="801"/>
        <c:marker>
          <c:symbol val="none"/>
        </c:marker>
      </c:pivotFmt>
      <c:pivotFmt>
        <c:idx val="802"/>
        <c:marker>
          <c:symbol val="none"/>
        </c:marker>
      </c:pivotFmt>
      <c:pivotFmt>
        <c:idx val="803"/>
        <c:marker>
          <c:symbol val="none"/>
        </c:marker>
      </c:pivotFmt>
      <c:pivotFmt>
        <c:idx val="804"/>
        <c:marker>
          <c:symbol val="none"/>
        </c:marker>
      </c:pivotFmt>
      <c:pivotFmt>
        <c:idx val="805"/>
        <c:marker>
          <c:symbol val="none"/>
        </c:marker>
      </c:pivotFmt>
      <c:pivotFmt>
        <c:idx val="806"/>
        <c:marker>
          <c:symbol val="none"/>
        </c:marker>
      </c:pivotFmt>
      <c:pivotFmt>
        <c:idx val="807"/>
        <c:marker>
          <c:symbol val="none"/>
        </c:marker>
      </c:pivotFmt>
      <c:pivotFmt>
        <c:idx val="808"/>
        <c:marker>
          <c:symbol val="none"/>
        </c:marker>
      </c:pivotFmt>
      <c:pivotFmt>
        <c:idx val="809"/>
        <c:marker>
          <c:symbol val="none"/>
        </c:marker>
      </c:pivotFmt>
      <c:pivotFmt>
        <c:idx val="810"/>
        <c:marker>
          <c:symbol val="none"/>
        </c:marker>
      </c:pivotFmt>
      <c:pivotFmt>
        <c:idx val="811"/>
        <c:marker>
          <c:symbol val="none"/>
        </c:marker>
      </c:pivotFmt>
      <c:pivotFmt>
        <c:idx val="812"/>
        <c:marker>
          <c:symbol val="none"/>
        </c:marker>
      </c:pivotFmt>
      <c:pivotFmt>
        <c:idx val="813"/>
        <c:marker>
          <c:symbol val="none"/>
        </c:marker>
      </c:pivotFmt>
      <c:pivotFmt>
        <c:idx val="814"/>
        <c:marker>
          <c:symbol val="none"/>
        </c:marker>
      </c:pivotFmt>
      <c:pivotFmt>
        <c:idx val="815"/>
        <c:marker>
          <c:symbol val="none"/>
        </c:marker>
      </c:pivotFmt>
      <c:pivotFmt>
        <c:idx val="816"/>
        <c:marker>
          <c:symbol val="none"/>
        </c:marker>
      </c:pivotFmt>
      <c:pivotFmt>
        <c:idx val="817"/>
        <c:marker>
          <c:symbol val="none"/>
        </c:marker>
      </c:pivotFmt>
      <c:pivotFmt>
        <c:idx val="818"/>
        <c:marker>
          <c:symbol val="none"/>
        </c:marker>
      </c:pivotFmt>
      <c:pivotFmt>
        <c:idx val="819"/>
        <c:marker>
          <c:symbol val="none"/>
        </c:marker>
      </c:pivotFmt>
      <c:pivotFmt>
        <c:idx val="820"/>
        <c:marker>
          <c:symbol val="none"/>
        </c:marker>
      </c:pivotFmt>
      <c:pivotFmt>
        <c:idx val="821"/>
        <c:marker>
          <c:symbol val="none"/>
        </c:marker>
      </c:pivotFmt>
      <c:pivotFmt>
        <c:idx val="822"/>
        <c:marker>
          <c:symbol val="none"/>
        </c:marker>
      </c:pivotFmt>
      <c:pivotFmt>
        <c:idx val="823"/>
        <c:marker>
          <c:symbol val="none"/>
        </c:marker>
      </c:pivotFmt>
      <c:pivotFmt>
        <c:idx val="824"/>
        <c:marker>
          <c:symbol val="none"/>
        </c:marker>
      </c:pivotFmt>
      <c:pivotFmt>
        <c:idx val="825"/>
        <c:marker>
          <c:symbol val="none"/>
        </c:marker>
      </c:pivotFmt>
      <c:pivotFmt>
        <c:idx val="826"/>
        <c:marker>
          <c:symbol val="none"/>
        </c:marker>
      </c:pivotFmt>
      <c:pivotFmt>
        <c:idx val="827"/>
        <c:marker>
          <c:symbol val="none"/>
        </c:marker>
      </c:pivotFmt>
      <c:pivotFmt>
        <c:idx val="828"/>
        <c:marker>
          <c:symbol val="none"/>
        </c:marker>
      </c:pivotFmt>
      <c:pivotFmt>
        <c:idx val="829"/>
        <c:marker>
          <c:symbol val="none"/>
        </c:marker>
      </c:pivotFmt>
      <c:pivotFmt>
        <c:idx val="830"/>
        <c:marker>
          <c:symbol val="none"/>
        </c:marker>
      </c:pivotFmt>
      <c:pivotFmt>
        <c:idx val="831"/>
        <c:marker>
          <c:symbol val="none"/>
        </c:marker>
      </c:pivotFmt>
      <c:pivotFmt>
        <c:idx val="832"/>
        <c:marker>
          <c:symbol val="none"/>
        </c:marker>
      </c:pivotFmt>
      <c:pivotFmt>
        <c:idx val="833"/>
        <c:marker>
          <c:symbol val="none"/>
        </c:marker>
      </c:pivotFmt>
      <c:pivotFmt>
        <c:idx val="834"/>
        <c:marker>
          <c:symbol val="none"/>
        </c:marker>
      </c:pivotFmt>
      <c:pivotFmt>
        <c:idx val="835"/>
        <c:marker>
          <c:symbol val="none"/>
        </c:marker>
      </c:pivotFmt>
      <c:pivotFmt>
        <c:idx val="836"/>
        <c:marker>
          <c:symbol val="none"/>
        </c:marker>
      </c:pivotFmt>
      <c:pivotFmt>
        <c:idx val="837"/>
        <c:marker>
          <c:symbol val="none"/>
        </c:marker>
      </c:pivotFmt>
      <c:pivotFmt>
        <c:idx val="838"/>
        <c:marker>
          <c:symbol val="none"/>
        </c:marker>
      </c:pivotFmt>
      <c:pivotFmt>
        <c:idx val="839"/>
        <c:marker>
          <c:symbol val="none"/>
        </c:marker>
      </c:pivotFmt>
      <c:pivotFmt>
        <c:idx val="840"/>
        <c:marker>
          <c:symbol val="none"/>
        </c:marker>
      </c:pivotFmt>
      <c:pivotFmt>
        <c:idx val="841"/>
        <c:marker>
          <c:symbol val="none"/>
        </c:marker>
      </c:pivotFmt>
      <c:pivotFmt>
        <c:idx val="842"/>
        <c:marker>
          <c:symbol val="none"/>
        </c:marker>
      </c:pivotFmt>
      <c:pivotFmt>
        <c:idx val="843"/>
        <c:marker>
          <c:symbol val="none"/>
        </c:marker>
      </c:pivotFmt>
      <c:pivotFmt>
        <c:idx val="844"/>
        <c:marker>
          <c:symbol val="none"/>
        </c:marker>
      </c:pivotFmt>
      <c:pivotFmt>
        <c:idx val="845"/>
        <c:marker>
          <c:symbol val="none"/>
        </c:marker>
      </c:pivotFmt>
      <c:pivotFmt>
        <c:idx val="846"/>
        <c:marker>
          <c:symbol val="none"/>
        </c:marker>
      </c:pivotFmt>
      <c:pivotFmt>
        <c:idx val="847"/>
        <c:marker>
          <c:symbol val="none"/>
        </c:marker>
      </c:pivotFmt>
      <c:pivotFmt>
        <c:idx val="848"/>
        <c:marker>
          <c:symbol val="none"/>
        </c:marker>
      </c:pivotFmt>
      <c:pivotFmt>
        <c:idx val="849"/>
        <c:marker>
          <c:symbol val="none"/>
        </c:marker>
      </c:pivotFmt>
      <c:pivotFmt>
        <c:idx val="850"/>
        <c:marker>
          <c:symbol val="none"/>
        </c:marker>
      </c:pivotFmt>
      <c:pivotFmt>
        <c:idx val="851"/>
        <c:marker>
          <c:symbol val="none"/>
        </c:marker>
      </c:pivotFmt>
      <c:pivotFmt>
        <c:idx val="852"/>
        <c:marker>
          <c:symbol val="none"/>
        </c:marker>
      </c:pivotFmt>
      <c:pivotFmt>
        <c:idx val="853"/>
        <c:marker>
          <c:symbol val="none"/>
        </c:marker>
      </c:pivotFmt>
      <c:pivotFmt>
        <c:idx val="854"/>
        <c:marker>
          <c:symbol val="none"/>
        </c:marker>
      </c:pivotFmt>
      <c:pivotFmt>
        <c:idx val="855"/>
        <c:marker>
          <c:symbol val="none"/>
        </c:marker>
      </c:pivotFmt>
      <c:pivotFmt>
        <c:idx val="856"/>
        <c:marker>
          <c:symbol val="none"/>
        </c:marker>
      </c:pivotFmt>
      <c:pivotFmt>
        <c:idx val="857"/>
        <c:marker>
          <c:symbol val="none"/>
        </c:marker>
      </c:pivotFmt>
      <c:pivotFmt>
        <c:idx val="858"/>
        <c:marker>
          <c:symbol val="none"/>
        </c:marker>
      </c:pivotFmt>
      <c:pivotFmt>
        <c:idx val="859"/>
        <c:marker>
          <c:symbol val="none"/>
        </c:marker>
      </c:pivotFmt>
      <c:pivotFmt>
        <c:idx val="860"/>
        <c:marker>
          <c:symbol val="none"/>
        </c:marker>
      </c:pivotFmt>
      <c:pivotFmt>
        <c:idx val="861"/>
        <c:marker>
          <c:symbol val="none"/>
        </c:marker>
      </c:pivotFmt>
      <c:pivotFmt>
        <c:idx val="862"/>
        <c:marker>
          <c:symbol val="none"/>
        </c:marker>
      </c:pivotFmt>
      <c:pivotFmt>
        <c:idx val="863"/>
        <c:marker>
          <c:symbol val="none"/>
        </c:marker>
      </c:pivotFmt>
      <c:pivotFmt>
        <c:idx val="864"/>
        <c:marker>
          <c:symbol val="none"/>
        </c:marker>
      </c:pivotFmt>
      <c:pivotFmt>
        <c:idx val="865"/>
        <c:marker>
          <c:symbol val="none"/>
        </c:marker>
      </c:pivotFmt>
      <c:pivotFmt>
        <c:idx val="866"/>
        <c:marker>
          <c:symbol val="none"/>
        </c:marker>
      </c:pivotFmt>
      <c:pivotFmt>
        <c:idx val="867"/>
        <c:marker>
          <c:symbol val="none"/>
        </c:marker>
      </c:pivotFmt>
      <c:pivotFmt>
        <c:idx val="868"/>
        <c:marker>
          <c:symbol val="none"/>
        </c:marker>
      </c:pivotFmt>
      <c:pivotFmt>
        <c:idx val="869"/>
        <c:marker>
          <c:symbol val="none"/>
        </c:marker>
      </c:pivotFmt>
      <c:pivotFmt>
        <c:idx val="870"/>
        <c:marker>
          <c:symbol val="none"/>
        </c:marker>
      </c:pivotFmt>
      <c:pivotFmt>
        <c:idx val="871"/>
        <c:marker>
          <c:symbol val="none"/>
        </c:marker>
      </c:pivotFmt>
      <c:pivotFmt>
        <c:idx val="872"/>
        <c:marker>
          <c:symbol val="none"/>
        </c:marker>
      </c:pivotFmt>
      <c:pivotFmt>
        <c:idx val="873"/>
        <c:marker>
          <c:symbol val="none"/>
        </c:marker>
      </c:pivotFmt>
      <c:pivotFmt>
        <c:idx val="874"/>
        <c:marker>
          <c:symbol val="none"/>
        </c:marker>
      </c:pivotFmt>
      <c:pivotFmt>
        <c:idx val="875"/>
        <c:marker>
          <c:symbol val="none"/>
        </c:marker>
      </c:pivotFmt>
      <c:pivotFmt>
        <c:idx val="876"/>
        <c:marker>
          <c:symbol val="none"/>
        </c:marker>
      </c:pivotFmt>
      <c:pivotFmt>
        <c:idx val="877"/>
        <c:marker>
          <c:symbol val="none"/>
        </c:marker>
      </c:pivotFmt>
      <c:pivotFmt>
        <c:idx val="878"/>
        <c:marker>
          <c:symbol val="none"/>
        </c:marker>
      </c:pivotFmt>
      <c:pivotFmt>
        <c:idx val="879"/>
        <c:marker>
          <c:symbol val="none"/>
        </c:marker>
      </c:pivotFmt>
      <c:pivotFmt>
        <c:idx val="880"/>
        <c:marker>
          <c:symbol val="none"/>
        </c:marker>
      </c:pivotFmt>
      <c:pivotFmt>
        <c:idx val="881"/>
        <c:marker>
          <c:symbol val="none"/>
        </c:marker>
      </c:pivotFmt>
      <c:pivotFmt>
        <c:idx val="882"/>
        <c:marker>
          <c:symbol val="none"/>
        </c:marker>
      </c:pivotFmt>
      <c:pivotFmt>
        <c:idx val="883"/>
        <c:marker>
          <c:symbol val="none"/>
        </c:marker>
      </c:pivotFmt>
      <c:pivotFmt>
        <c:idx val="884"/>
        <c:marker>
          <c:symbol val="none"/>
        </c:marker>
      </c:pivotFmt>
      <c:pivotFmt>
        <c:idx val="885"/>
        <c:marker>
          <c:symbol val="none"/>
        </c:marker>
      </c:pivotFmt>
      <c:pivotFmt>
        <c:idx val="886"/>
        <c:marker>
          <c:symbol val="none"/>
        </c:marker>
      </c:pivotFmt>
      <c:pivotFmt>
        <c:idx val="887"/>
        <c:marker>
          <c:symbol val="none"/>
        </c:marker>
      </c:pivotFmt>
      <c:pivotFmt>
        <c:idx val="888"/>
        <c:marker>
          <c:symbol val="none"/>
        </c:marker>
      </c:pivotFmt>
      <c:pivotFmt>
        <c:idx val="889"/>
        <c:marker>
          <c:symbol val="none"/>
        </c:marker>
      </c:pivotFmt>
      <c:pivotFmt>
        <c:idx val="890"/>
        <c:marker>
          <c:symbol val="none"/>
        </c:marker>
      </c:pivotFmt>
      <c:pivotFmt>
        <c:idx val="891"/>
        <c:marker>
          <c:symbol val="none"/>
        </c:marker>
      </c:pivotFmt>
      <c:pivotFmt>
        <c:idx val="892"/>
        <c:marker>
          <c:symbol val="none"/>
        </c:marker>
      </c:pivotFmt>
      <c:pivotFmt>
        <c:idx val="893"/>
        <c:marker>
          <c:symbol val="none"/>
        </c:marker>
      </c:pivotFmt>
      <c:pivotFmt>
        <c:idx val="894"/>
        <c:marker>
          <c:symbol val="none"/>
        </c:marker>
      </c:pivotFmt>
      <c:pivotFmt>
        <c:idx val="895"/>
        <c:marker>
          <c:symbol val="none"/>
        </c:marker>
      </c:pivotFmt>
      <c:pivotFmt>
        <c:idx val="896"/>
        <c:marker>
          <c:symbol val="none"/>
        </c:marker>
      </c:pivotFmt>
      <c:pivotFmt>
        <c:idx val="897"/>
        <c:marker>
          <c:symbol val="none"/>
        </c:marker>
      </c:pivotFmt>
      <c:pivotFmt>
        <c:idx val="898"/>
        <c:marker>
          <c:symbol val="none"/>
        </c:marker>
      </c:pivotFmt>
      <c:pivotFmt>
        <c:idx val="899"/>
        <c:marker>
          <c:symbol val="none"/>
        </c:marker>
      </c:pivotFmt>
      <c:pivotFmt>
        <c:idx val="900"/>
        <c:marker>
          <c:symbol val="none"/>
        </c:marker>
      </c:pivotFmt>
      <c:pivotFmt>
        <c:idx val="901"/>
        <c:marker>
          <c:symbol val="none"/>
        </c:marker>
      </c:pivotFmt>
      <c:pivotFmt>
        <c:idx val="902"/>
        <c:marker>
          <c:symbol val="none"/>
        </c:marker>
      </c:pivotFmt>
      <c:pivotFmt>
        <c:idx val="903"/>
        <c:marker>
          <c:symbol val="none"/>
        </c:marker>
      </c:pivotFmt>
      <c:pivotFmt>
        <c:idx val="904"/>
        <c:marker>
          <c:symbol val="none"/>
        </c:marker>
      </c:pivotFmt>
      <c:pivotFmt>
        <c:idx val="905"/>
        <c:marker>
          <c:symbol val="none"/>
        </c:marker>
      </c:pivotFmt>
      <c:pivotFmt>
        <c:idx val="906"/>
        <c:marker>
          <c:symbol val="none"/>
        </c:marker>
      </c:pivotFmt>
      <c:pivotFmt>
        <c:idx val="907"/>
        <c:marker>
          <c:symbol val="none"/>
        </c:marker>
      </c:pivotFmt>
      <c:pivotFmt>
        <c:idx val="908"/>
        <c:marker>
          <c:symbol val="none"/>
        </c:marker>
      </c:pivotFmt>
      <c:pivotFmt>
        <c:idx val="909"/>
        <c:marker>
          <c:symbol val="none"/>
        </c:marker>
      </c:pivotFmt>
      <c:pivotFmt>
        <c:idx val="910"/>
        <c:marker>
          <c:symbol val="none"/>
        </c:marker>
      </c:pivotFmt>
      <c:pivotFmt>
        <c:idx val="911"/>
        <c:marker>
          <c:symbol val="none"/>
        </c:marker>
      </c:pivotFmt>
      <c:pivotFmt>
        <c:idx val="912"/>
        <c:marker>
          <c:symbol val="none"/>
        </c:marker>
      </c:pivotFmt>
      <c:pivotFmt>
        <c:idx val="913"/>
        <c:marker>
          <c:symbol val="none"/>
        </c:marker>
      </c:pivotFmt>
      <c:pivotFmt>
        <c:idx val="914"/>
        <c:marker>
          <c:symbol val="none"/>
        </c:marker>
      </c:pivotFmt>
      <c:pivotFmt>
        <c:idx val="915"/>
        <c:marker>
          <c:symbol val="none"/>
        </c:marker>
      </c:pivotFmt>
      <c:pivotFmt>
        <c:idx val="916"/>
        <c:marker>
          <c:symbol val="none"/>
        </c:marker>
      </c:pivotFmt>
      <c:pivotFmt>
        <c:idx val="917"/>
        <c:marker>
          <c:symbol val="none"/>
        </c:marker>
      </c:pivotFmt>
      <c:pivotFmt>
        <c:idx val="918"/>
        <c:marker>
          <c:symbol val="none"/>
        </c:marker>
      </c:pivotFmt>
      <c:pivotFmt>
        <c:idx val="919"/>
        <c:marker>
          <c:symbol val="none"/>
        </c:marker>
      </c:pivotFmt>
      <c:pivotFmt>
        <c:idx val="920"/>
        <c:marker>
          <c:symbol val="none"/>
        </c:marker>
      </c:pivotFmt>
      <c:pivotFmt>
        <c:idx val="921"/>
        <c:marker>
          <c:symbol val="none"/>
        </c:marker>
      </c:pivotFmt>
      <c:pivotFmt>
        <c:idx val="922"/>
        <c:marker>
          <c:symbol val="none"/>
        </c:marker>
      </c:pivotFmt>
      <c:pivotFmt>
        <c:idx val="923"/>
        <c:marker>
          <c:symbol val="none"/>
        </c:marker>
      </c:pivotFmt>
      <c:pivotFmt>
        <c:idx val="924"/>
        <c:marker>
          <c:symbol val="none"/>
        </c:marker>
      </c:pivotFmt>
      <c:pivotFmt>
        <c:idx val="925"/>
        <c:marker>
          <c:symbol val="none"/>
        </c:marker>
      </c:pivotFmt>
      <c:pivotFmt>
        <c:idx val="926"/>
        <c:marker>
          <c:symbol val="none"/>
        </c:marker>
      </c:pivotFmt>
      <c:pivotFmt>
        <c:idx val="927"/>
        <c:marker>
          <c:symbol val="none"/>
        </c:marker>
      </c:pivotFmt>
      <c:pivotFmt>
        <c:idx val="928"/>
        <c:marker>
          <c:symbol val="none"/>
        </c:marker>
      </c:pivotFmt>
      <c:pivotFmt>
        <c:idx val="929"/>
        <c:marker>
          <c:symbol val="none"/>
        </c:marker>
      </c:pivotFmt>
      <c:pivotFmt>
        <c:idx val="930"/>
        <c:marker>
          <c:symbol val="none"/>
        </c:marker>
      </c:pivotFmt>
      <c:pivotFmt>
        <c:idx val="931"/>
        <c:marker>
          <c:symbol val="none"/>
        </c:marker>
      </c:pivotFmt>
      <c:pivotFmt>
        <c:idx val="932"/>
        <c:marker>
          <c:symbol val="none"/>
        </c:marker>
      </c:pivotFmt>
      <c:pivotFmt>
        <c:idx val="933"/>
        <c:marker>
          <c:symbol val="none"/>
        </c:marker>
      </c:pivotFmt>
      <c:pivotFmt>
        <c:idx val="934"/>
        <c:marker>
          <c:symbol val="none"/>
        </c:marker>
      </c:pivotFmt>
      <c:pivotFmt>
        <c:idx val="935"/>
        <c:marker>
          <c:symbol val="none"/>
        </c:marker>
      </c:pivotFmt>
      <c:pivotFmt>
        <c:idx val="936"/>
        <c:marker>
          <c:symbol val="none"/>
        </c:marker>
      </c:pivotFmt>
      <c:pivotFmt>
        <c:idx val="937"/>
        <c:marker>
          <c:symbol val="none"/>
        </c:marker>
      </c:pivotFmt>
      <c:pivotFmt>
        <c:idx val="938"/>
        <c:marker>
          <c:symbol val="none"/>
        </c:marker>
      </c:pivotFmt>
      <c:pivotFmt>
        <c:idx val="939"/>
        <c:marker>
          <c:symbol val="none"/>
        </c:marker>
      </c:pivotFmt>
      <c:pivotFmt>
        <c:idx val="940"/>
        <c:marker>
          <c:symbol val="none"/>
        </c:marker>
      </c:pivotFmt>
      <c:pivotFmt>
        <c:idx val="941"/>
        <c:marker>
          <c:symbol val="none"/>
        </c:marker>
      </c:pivotFmt>
      <c:pivotFmt>
        <c:idx val="942"/>
        <c:marker>
          <c:symbol val="none"/>
        </c:marker>
      </c:pivotFmt>
      <c:pivotFmt>
        <c:idx val="943"/>
        <c:marker>
          <c:symbol val="none"/>
        </c:marker>
      </c:pivotFmt>
      <c:pivotFmt>
        <c:idx val="944"/>
        <c:marker>
          <c:symbol val="none"/>
        </c:marker>
      </c:pivotFmt>
      <c:pivotFmt>
        <c:idx val="945"/>
        <c:marker>
          <c:symbol val="none"/>
        </c:marker>
      </c:pivotFmt>
      <c:pivotFmt>
        <c:idx val="946"/>
        <c:marker>
          <c:symbol val="none"/>
        </c:marker>
      </c:pivotFmt>
      <c:pivotFmt>
        <c:idx val="947"/>
        <c:marker>
          <c:symbol val="none"/>
        </c:marker>
      </c:pivotFmt>
      <c:pivotFmt>
        <c:idx val="948"/>
        <c:marker>
          <c:symbol val="none"/>
        </c:marker>
      </c:pivotFmt>
      <c:pivotFmt>
        <c:idx val="949"/>
        <c:marker>
          <c:symbol val="none"/>
        </c:marker>
      </c:pivotFmt>
      <c:pivotFmt>
        <c:idx val="950"/>
        <c:marker>
          <c:symbol val="none"/>
        </c:marker>
      </c:pivotFmt>
      <c:pivotFmt>
        <c:idx val="951"/>
        <c:marker>
          <c:symbol val="none"/>
        </c:marker>
      </c:pivotFmt>
      <c:pivotFmt>
        <c:idx val="952"/>
        <c:marker>
          <c:symbol val="none"/>
        </c:marker>
      </c:pivotFmt>
      <c:pivotFmt>
        <c:idx val="953"/>
        <c:marker>
          <c:symbol val="none"/>
        </c:marker>
      </c:pivotFmt>
      <c:pivotFmt>
        <c:idx val="954"/>
        <c:marker>
          <c:symbol val="none"/>
        </c:marker>
      </c:pivotFmt>
      <c:pivotFmt>
        <c:idx val="955"/>
        <c:marker>
          <c:symbol val="none"/>
        </c:marker>
      </c:pivotFmt>
      <c:pivotFmt>
        <c:idx val="956"/>
        <c:marker>
          <c:symbol val="none"/>
        </c:marker>
      </c:pivotFmt>
      <c:pivotFmt>
        <c:idx val="957"/>
        <c:marker>
          <c:symbol val="none"/>
        </c:marker>
      </c:pivotFmt>
      <c:pivotFmt>
        <c:idx val="958"/>
        <c:marker>
          <c:symbol val="none"/>
        </c:marker>
      </c:pivotFmt>
      <c:pivotFmt>
        <c:idx val="959"/>
        <c:marker>
          <c:symbol val="none"/>
        </c:marker>
      </c:pivotFmt>
      <c:pivotFmt>
        <c:idx val="960"/>
        <c:marker>
          <c:symbol val="none"/>
        </c:marker>
      </c:pivotFmt>
      <c:pivotFmt>
        <c:idx val="961"/>
        <c:marker>
          <c:symbol val="none"/>
        </c:marker>
      </c:pivotFmt>
      <c:pivotFmt>
        <c:idx val="962"/>
        <c:marker>
          <c:symbol val="none"/>
        </c:marker>
      </c:pivotFmt>
      <c:pivotFmt>
        <c:idx val="963"/>
        <c:marker>
          <c:symbol val="none"/>
        </c:marker>
      </c:pivotFmt>
      <c:pivotFmt>
        <c:idx val="964"/>
        <c:marker>
          <c:symbol val="none"/>
        </c:marker>
      </c:pivotFmt>
      <c:pivotFmt>
        <c:idx val="965"/>
        <c:marker>
          <c:symbol val="none"/>
        </c:marker>
      </c:pivotFmt>
      <c:pivotFmt>
        <c:idx val="966"/>
        <c:marker>
          <c:symbol val="none"/>
        </c:marker>
      </c:pivotFmt>
      <c:pivotFmt>
        <c:idx val="967"/>
        <c:marker>
          <c:symbol val="none"/>
        </c:marker>
      </c:pivotFmt>
      <c:pivotFmt>
        <c:idx val="968"/>
        <c:marker>
          <c:symbol val="none"/>
        </c:marker>
      </c:pivotFmt>
      <c:pivotFmt>
        <c:idx val="969"/>
        <c:marker>
          <c:symbol val="none"/>
        </c:marker>
      </c:pivotFmt>
      <c:pivotFmt>
        <c:idx val="970"/>
        <c:marker>
          <c:symbol val="none"/>
        </c:marker>
      </c:pivotFmt>
      <c:pivotFmt>
        <c:idx val="971"/>
        <c:marker>
          <c:symbol val="none"/>
        </c:marker>
      </c:pivotFmt>
      <c:pivotFmt>
        <c:idx val="972"/>
        <c:marker>
          <c:symbol val="none"/>
        </c:marker>
      </c:pivotFmt>
      <c:pivotFmt>
        <c:idx val="973"/>
        <c:marker>
          <c:symbol val="none"/>
        </c:marker>
      </c:pivotFmt>
      <c:pivotFmt>
        <c:idx val="974"/>
        <c:marker>
          <c:symbol val="none"/>
        </c:marker>
      </c:pivotFmt>
      <c:pivotFmt>
        <c:idx val="975"/>
        <c:marker>
          <c:symbol val="none"/>
        </c:marker>
      </c:pivotFmt>
      <c:pivotFmt>
        <c:idx val="976"/>
        <c:marker>
          <c:symbol val="none"/>
        </c:marker>
      </c:pivotFmt>
      <c:pivotFmt>
        <c:idx val="977"/>
        <c:marker>
          <c:symbol val="none"/>
        </c:marker>
      </c:pivotFmt>
      <c:pivotFmt>
        <c:idx val="978"/>
        <c:marker>
          <c:symbol val="none"/>
        </c:marker>
      </c:pivotFmt>
      <c:pivotFmt>
        <c:idx val="979"/>
        <c:marker>
          <c:symbol val="none"/>
        </c:marker>
      </c:pivotFmt>
      <c:pivotFmt>
        <c:idx val="980"/>
        <c:marker>
          <c:symbol val="none"/>
        </c:marker>
      </c:pivotFmt>
      <c:pivotFmt>
        <c:idx val="981"/>
        <c:marker>
          <c:symbol val="none"/>
        </c:marker>
      </c:pivotFmt>
      <c:pivotFmt>
        <c:idx val="982"/>
        <c:marker>
          <c:symbol val="none"/>
        </c:marker>
      </c:pivotFmt>
      <c:pivotFmt>
        <c:idx val="983"/>
        <c:marker>
          <c:symbol val="none"/>
        </c:marker>
      </c:pivotFmt>
      <c:pivotFmt>
        <c:idx val="984"/>
        <c:marker>
          <c:symbol val="none"/>
        </c:marker>
      </c:pivotFmt>
      <c:pivotFmt>
        <c:idx val="985"/>
        <c:marker>
          <c:symbol val="none"/>
        </c:marker>
      </c:pivotFmt>
      <c:pivotFmt>
        <c:idx val="986"/>
        <c:marker>
          <c:symbol val="none"/>
        </c:marker>
      </c:pivotFmt>
      <c:pivotFmt>
        <c:idx val="987"/>
        <c:marker>
          <c:symbol val="none"/>
        </c:marker>
      </c:pivotFmt>
      <c:pivotFmt>
        <c:idx val="988"/>
        <c:marker>
          <c:symbol val="none"/>
        </c:marker>
      </c:pivotFmt>
      <c:pivotFmt>
        <c:idx val="989"/>
        <c:marker>
          <c:symbol val="none"/>
        </c:marker>
      </c:pivotFmt>
      <c:pivotFmt>
        <c:idx val="990"/>
        <c:marker>
          <c:symbol val="none"/>
        </c:marker>
      </c:pivotFmt>
      <c:pivotFmt>
        <c:idx val="991"/>
        <c:marker>
          <c:symbol val="none"/>
        </c:marker>
      </c:pivotFmt>
      <c:pivotFmt>
        <c:idx val="992"/>
        <c:marker>
          <c:symbol val="none"/>
        </c:marker>
      </c:pivotFmt>
      <c:pivotFmt>
        <c:idx val="993"/>
        <c:marker>
          <c:symbol val="none"/>
        </c:marker>
      </c:pivotFmt>
      <c:pivotFmt>
        <c:idx val="994"/>
        <c:marker>
          <c:symbol val="none"/>
        </c:marker>
      </c:pivotFmt>
      <c:pivotFmt>
        <c:idx val="995"/>
        <c:marker>
          <c:symbol val="none"/>
        </c:marker>
      </c:pivotFmt>
      <c:pivotFmt>
        <c:idx val="996"/>
        <c:marker>
          <c:symbol val="none"/>
        </c:marker>
      </c:pivotFmt>
      <c:pivotFmt>
        <c:idx val="997"/>
        <c:marker>
          <c:symbol val="none"/>
        </c:marker>
      </c:pivotFmt>
      <c:pivotFmt>
        <c:idx val="998"/>
        <c:marker>
          <c:symbol val="none"/>
        </c:marker>
      </c:pivotFmt>
      <c:pivotFmt>
        <c:idx val="999"/>
        <c:marker>
          <c:symbol val="none"/>
        </c:marker>
      </c:pivotFmt>
      <c:pivotFmt>
        <c:idx val="1000"/>
        <c:marker>
          <c:symbol val="none"/>
        </c:marker>
      </c:pivotFmt>
      <c:pivotFmt>
        <c:idx val="1001"/>
        <c:marker>
          <c:symbol val="none"/>
        </c:marker>
      </c:pivotFmt>
      <c:pivotFmt>
        <c:idx val="1002"/>
        <c:marker>
          <c:symbol val="none"/>
        </c:marker>
      </c:pivotFmt>
      <c:pivotFmt>
        <c:idx val="1003"/>
        <c:marker>
          <c:symbol val="none"/>
        </c:marker>
      </c:pivotFmt>
      <c:pivotFmt>
        <c:idx val="1004"/>
        <c:marker>
          <c:symbol val="none"/>
        </c:marker>
      </c:pivotFmt>
      <c:pivotFmt>
        <c:idx val="1005"/>
        <c:marker>
          <c:symbol val="none"/>
        </c:marker>
      </c:pivotFmt>
      <c:pivotFmt>
        <c:idx val="1006"/>
        <c:marker>
          <c:symbol val="none"/>
        </c:marker>
      </c:pivotFmt>
      <c:pivotFmt>
        <c:idx val="1007"/>
        <c:marker>
          <c:symbol val="none"/>
        </c:marker>
      </c:pivotFmt>
      <c:pivotFmt>
        <c:idx val="1008"/>
        <c:marker>
          <c:symbol val="none"/>
        </c:marker>
      </c:pivotFmt>
      <c:pivotFmt>
        <c:idx val="1009"/>
        <c:marker>
          <c:symbol val="none"/>
        </c:marker>
      </c:pivotFmt>
      <c:pivotFmt>
        <c:idx val="1010"/>
        <c:marker>
          <c:symbol val="none"/>
        </c:marker>
      </c:pivotFmt>
      <c:pivotFmt>
        <c:idx val="1011"/>
        <c:marker>
          <c:symbol val="none"/>
        </c:marker>
      </c:pivotFmt>
      <c:pivotFmt>
        <c:idx val="1012"/>
        <c:marker>
          <c:symbol val="none"/>
        </c:marker>
      </c:pivotFmt>
      <c:pivotFmt>
        <c:idx val="1013"/>
        <c:marker>
          <c:symbol val="none"/>
        </c:marker>
      </c:pivotFmt>
      <c:pivotFmt>
        <c:idx val="1014"/>
        <c:marker>
          <c:symbol val="none"/>
        </c:marker>
      </c:pivotFmt>
      <c:pivotFmt>
        <c:idx val="1015"/>
        <c:marker>
          <c:symbol val="none"/>
        </c:marker>
      </c:pivotFmt>
      <c:pivotFmt>
        <c:idx val="1016"/>
        <c:marker>
          <c:symbol val="none"/>
        </c:marker>
      </c:pivotFmt>
      <c:pivotFmt>
        <c:idx val="1017"/>
        <c:marker>
          <c:symbol val="none"/>
        </c:marker>
      </c:pivotFmt>
      <c:pivotFmt>
        <c:idx val="1018"/>
        <c:marker>
          <c:symbol val="none"/>
        </c:marker>
      </c:pivotFmt>
      <c:pivotFmt>
        <c:idx val="1019"/>
        <c:marker>
          <c:symbol val="none"/>
        </c:marker>
      </c:pivotFmt>
      <c:pivotFmt>
        <c:idx val="1020"/>
        <c:marker>
          <c:symbol val="none"/>
        </c:marker>
      </c:pivotFmt>
      <c:pivotFmt>
        <c:idx val="1021"/>
        <c:marker>
          <c:symbol val="none"/>
        </c:marker>
      </c:pivotFmt>
      <c:pivotFmt>
        <c:idx val="1022"/>
        <c:marker>
          <c:symbol val="none"/>
        </c:marker>
      </c:pivotFmt>
      <c:pivotFmt>
        <c:idx val="1023"/>
        <c:marker>
          <c:symbol val="none"/>
        </c:marker>
      </c:pivotFmt>
      <c:pivotFmt>
        <c:idx val="1024"/>
        <c:marker>
          <c:symbol val="none"/>
        </c:marker>
      </c:pivotFmt>
      <c:pivotFmt>
        <c:idx val="1025"/>
        <c:marker>
          <c:symbol val="none"/>
        </c:marker>
      </c:pivotFmt>
      <c:pivotFmt>
        <c:idx val="1026"/>
        <c:marker>
          <c:symbol val="none"/>
        </c:marker>
      </c:pivotFmt>
      <c:pivotFmt>
        <c:idx val="1027"/>
        <c:marker>
          <c:symbol val="none"/>
        </c:marker>
      </c:pivotFmt>
      <c:pivotFmt>
        <c:idx val="1028"/>
        <c:marker>
          <c:symbol val="none"/>
        </c:marker>
      </c:pivotFmt>
      <c:pivotFmt>
        <c:idx val="1029"/>
        <c:marker>
          <c:symbol val="none"/>
        </c:marker>
      </c:pivotFmt>
      <c:pivotFmt>
        <c:idx val="1030"/>
        <c:marker>
          <c:symbol val="none"/>
        </c:marker>
      </c:pivotFmt>
      <c:pivotFmt>
        <c:idx val="1031"/>
        <c:marker>
          <c:symbol val="none"/>
        </c:marker>
      </c:pivotFmt>
      <c:pivotFmt>
        <c:idx val="1032"/>
        <c:marker>
          <c:symbol val="none"/>
        </c:marker>
      </c:pivotFmt>
      <c:pivotFmt>
        <c:idx val="1033"/>
        <c:marker>
          <c:symbol val="none"/>
        </c:marker>
      </c:pivotFmt>
      <c:pivotFmt>
        <c:idx val="1034"/>
        <c:marker>
          <c:symbol val="none"/>
        </c:marker>
      </c:pivotFmt>
      <c:pivotFmt>
        <c:idx val="1035"/>
        <c:marker>
          <c:symbol val="none"/>
        </c:marker>
      </c:pivotFmt>
      <c:pivotFmt>
        <c:idx val="1036"/>
        <c:marker>
          <c:symbol val="none"/>
        </c:marker>
      </c:pivotFmt>
      <c:pivotFmt>
        <c:idx val="1037"/>
        <c:marker>
          <c:symbol val="none"/>
        </c:marker>
      </c:pivotFmt>
      <c:pivotFmt>
        <c:idx val="1038"/>
        <c:marker>
          <c:symbol val="none"/>
        </c:marker>
      </c:pivotFmt>
      <c:pivotFmt>
        <c:idx val="1039"/>
        <c:marker>
          <c:symbol val="none"/>
        </c:marker>
      </c:pivotFmt>
      <c:pivotFmt>
        <c:idx val="1040"/>
        <c:marker>
          <c:symbol val="none"/>
        </c:marker>
      </c:pivotFmt>
      <c:pivotFmt>
        <c:idx val="1041"/>
        <c:marker>
          <c:symbol val="none"/>
        </c:marker>
      </c:pivotFmt>
      <c:pivotFmt>
        <c:idx val="1042"/>
        <c:marker>
          <c:symbol val="none"/>
        </c:marker>
      </c:pivotFmt>
      <c:pivotFmt>
        <c:idx val="1043"/>
        <c:marker>
          <c:symbol val="none"/>
        </c:marker>
      </c:pivotFmt>
      <c:pivotFmt>
        <c:idx val="1044"/>
        <c:marker>
          <c:symbol val="none"/>
        </c:marker>
      </c:pivotFmt>
      <c:pivotFmt>
        <c:idx val="1045"/>
        <c:marker>
          <c:symbol val="none"/>
        </c:marker>
      </c:pivotFmt>
      <c:pivotFmt>
        <c:idx val="1046"/>
        <c:marker>
          <c:symbol val="none"/>
        </c:marker>
      </c:pivotFmt>
      <c:pivotFmt>
        <c:idx val="1047"/>
        <c:marker>
          <c:symbol val="none"/>
        </c:marker>
      </c:pivotFmt>
      <c:pivotFmt>
        <c:idx val="1048"/>
        <c:marker>
          <c:symbol val="none"/>
        </c:marker>
      </c:pivotFmt>
      <c:pivotFmt>
        <c:idx val="1049"/>
        <c:marker>
          <c:symbol val="none"/>
        </c:marker>
      </c:pivotFmt>
      <c:pivotFmt>
        <c:idx val="1050"/>
        <c:marker>
          <c:symbol val="none"/>
        </c:marker>
      </c:pivotFmt>
      <c:pivotFmt>
        <c:idx val="1051"/>
        <c:marker>
          <c:symbol val="none"/>
        </c:marker>
      </c:pivotFmt>
      <c:pivotFmt>
        <c:idx val="1052"/>
        <c:marker>
          <c:symbol val="none"/>
        </c:marker>
      </c:pivotFmt>
      <c:pivotFmt>
        <c:idx val="1053"/>
        <c:marker>
          <c:symbol val="none"/>
        </c:marker>
      </c:pivotFmt>
      <c:pivotFmt>
        <c:idx val="1054"/>
        <c:marker>
          <c:symbol val="none"/>
        </c:marker>
      </c:pivotFmt>
      <c:pivotFmt>
        <c:idx val="1055"/>
        <c:marker>
          <c:symbol val="none"/>
        </c:marker>
      </c:pivotFmt>
      <c:pivotFmt>
        <c:idx val="1056"/>
        <c:marker>
          <c:symbol val="none"/>
        </c:marker>
      </c:pivotFmt>
      <c:pivotFmt>
        <c:idx val="1057"/>
        <c:marker>
          <c:symbol val="none"/>
        </c:marker>
      </c:pivotFmt>
      <c:pivotFmt>
        <c:idx val="1058"/>
        <c:marker>
          <c:symbol val="none"/>
        </c:marker>
      </c:pivotFmt>
      <c:pivotFmt>
        <c:idx val="1059"/>
        <c:marker>
          <c:symbol val="none"/>
        </c:marker>
      </c:pivotFmt>
      <c:pivotFmt>
        <c:idx val="1060"/>
        <c:marker>
          <c:symbol val="none"/>
        </c:marker>
      </c:pivotFmt>
      <c:pivotFmt>
        <c:idx val="1061"/>
        <c:marker>
          <c:symbol val="none"/>
        </c:marker>
      </c:pivotFmt>
      <c:pivotFmt>
        <c:idx val="1062"/>
        <c:marker>
          <c:symbol val="none"/>
        </c:marker>
      </c:pivotFmt>
      <c:pivotFmt>
        <c:idx val="1063"/>
        <c:marker>
          <c:symbol val="none"/>
        </c:marker>
      </c:pivotFmt>
      <c:pivotFmt>
        <c:idx val="1064"/>
        <c:marker>
          <c:symbol val="none"/>
        </c:marker>
      </c:pivotFmt>
      <c:pivotFmt>
        <c:idx val="1065"/>
        <c:marker>
          <c:symbol val="none"/>
        </c:marker>
      </c:pivotFmt>
      <c:pivotFmt>
        <c:idx val="1066"/>
        <c:marker>
          <c:symbol val="none"/>
        </c:marker>
      </c:pivotFmt>
      <c:pivotFmt>
        <c:idx val="1067"/>
        <c:marker>
          <c:symbol val="none"/>
        </c:marker>
      </c:pivotFmt>
      <c:pivotFmt>
        <c:idx val="1068"/>
        <c:marker>
          <c:symbol val="none"/>
        </c:marker>
      </c:pivotFmt>
      <c:pivotFmt>
        <c:idx val="1069"/>
        <c:marker>
          <c:symbol val="none"/>
        </c:marker>
      </c:pivotFmt>
      <c:pivotFmt>
        <c:idx val="1070"/>
        <c:marker>
          <c:symbol val="none"/>
        </c:marker>
      </c:pivotFmt>
      <c:pivotFmt>
        <c:idx val="1071"/>
        <c:marker>
          <c:symbol val="none"/>
        </c:marker>
      </c:pivotFmt>
      <c:pivotFmt>
        <c:idx val="1072"/>
        <c:marker>
          <c:symbol val="none"/>
        </c:marker>
      </c:pivotFmt>
      <c:pivotFmt>
        <c:idx val="1073"/>
        <c:marker>
          <c:symbol val="none"/>
        </c:marker>
      </c:pivotFmt>
      <c:pivotFmt>
        <c:idx val="1074"/>
        <c:marker>
          <c:symbol val="none"/>
        </c:marker>
      </c:pivotFmt>
      <c:pivotFmt>
        <c:idx val="1075"/>
        <c:marker>
          <c:symbol val="none"/>
        </c:marker>
      </c:pivotFmt>
      <c:pivotFmt>
        <c:idx val="1076"/>
        <c:marker>
          <c:symbol val="none"/>
        </c:marker>
      </c:pivotFmt>
      <c:pivotFmt>
        <c:idx val="1077"/>
        <c:marker>
          <c:symbol val="none"/>
        </c:marker>
      </c:pivotFmt>
      <c:pivotFmt>
        <c:idx val="1078"/>
        <c:marker>
          <c:symbol val="none"/>
        </c:marker>
      </c:pivotFmt>
      <c:pivotFmt>
        <c:idx val="1079"/>
        <c:marker>
          <c:symbol val="none"/>
        </c:marker>
      </c:pivotFmt>
      <c:pivotFmt>
        <c:idx val="1080"/>
        <c:marker>
          <c:symbol val="none"/>
        </c:marker>
      </c:pivotFmt>
      <c:pivotFmt>
        <c:idx val="1081"/>
        <c:marker>
          <c:symbol val="none"/>
        </c:marker>
      </c:pivotFmt>
      <c:pivotFmt>
        <c:idx val="1082"/>
        <c:marker>
          <c:symbol val="none"/>
        </c:marker>
      </c:pivotFmt>
      <c:pivotFmt>
        <c:idx val="1083"/>
        <c:marker>
          <c:symbol val="none"/>
        </c:marker>
      </c:pivotFmt>
      <c:pivotFmt>
        <c:idx val="1084"/>
        <c:marker>
          <c:symbol val="none"/>
        </c:marker>
      </c:pivotFmt>
      <c:pivotFmt>
        <c:idx val="1085"/>
        <c:marker>
          <c:symbol val="none"/>
        </c:marker>
      </c:pivotFmt>
      <c:pivotFmt>
        <c:idx val="1086"/>
        <c:marker>
          <c:symbol val="none"/>
        </c:marker>
      </c:pivotFmt>
      <c:pivotFmt>
        <c:idx val="1087"/>
        <c:marker>
          <c:symbol val="none"/>
        </c:marker>
      </c:pivotFmt>
      <c:pivotFmt>
        <c:idx val="1088"/>
        <c:marker>
          <c:symbol val="none"/>
        </c:marker>
      </c:pivotFmt>
      <c:pivotFmt>
        <c:idx val="1089"/>
        <c:marker>
          <c:symbol val="none"/>
        </c:marker>
      </c:pivotFmt>
      <c:pivotFmt>
        <c:idx val="1090"/>
        <c:marker>
          <c:symbol val="none"/>
        </c:marker>
      </c:pivotFmt>
      <c:pivotFmt>
        <c:idx val="1091"/>
        <c:marker>
          <c:symbol val="none"/>
        </c:marker>
      </c:pivotFmt>
      <c:pivotFmt>
        <c:idx val="1092"/>
        <c:marker>
          <c:symbol val="none"/>
        </c:marker>
      </c:pivotFmt>
      <c:pivotFmt>
        <c:idx val="1093"/>
        <c:marker>
          <c:symbol val="none"/>
        </c:marker>
      </c:pivotFmt>
      <c:pivotFmt>
        <c:idx val="1094"/>
        <c:marker>
          <c:symbol val="none"/>
        </c:marker>
      </c:pivotFmt>
      <c:pivotFmt>
        <c:idx val="1095"/>
        <c:marker>
          <c:symbol val="none"/>
        </c:marker>
      </c:pivotFmt>
      <c:pivotFmt>
        <c:idx val="1096"/>
        <c:marker>
          <c:symbol val="none"/>
        </c:marker>
      </c:pivotFmt>
      <c:pivotFmt>
        <c:idx val="1097"/>
        <c:marker>
          <c:symbol val="none"/>
        </c:marker>
      </c:pivotFmt>
      <c:pivotFmt>
        <c:idx val="1098"/>
        <c:marker>
          <c:symbol val="none"/>
        </c:marker>
      </c:pivotFmt>
      <c:pivotFmt>
        <c:idx val="1099"/>
        <c:marker>
          <c:symbol val="none"/>
        </c:marker>
      </c:pivotFmt>
      <c:pivotFmt>
        <c:idx val="1100"/>
        <c:marker>
          <c:symbol val="none"/>
        </c:marker>
      </c:pivotFmt>
      <c:pivotFmt>
        <c:idx val="1101"/>
        <c:marker>
          <c:symbol val="none"/>
        </c:marker>
      </c:pivotFmt>
      <c:pivotFmt>
        <c:idx val="1102"/>
        <c:marker>
          <c:symbol val="none"/>
        </c:marker>
      </c:pivotFmt>
      <c:pivotFmt>
        <c:idx val="1103"/>
        <c:marker>
          <c:symbol val="none"/>
        </c:marker>
      </c:pivotFmt>
      <c:pivotFmt>
        <c:idx val="1104"/>
        <c:marker>
          <c:symbol val="none"/>
        </c:marker>
      </c:pivotFmt>
      <c:pivotFmt>
        <c:idx val="1105"/>
        <c:marker>
          <c:symbol val="none"/>
        </c:marker>
      </c:pivotFmt>
      <c:pivotFmt>
        <c:idx val="1106"/>
        <c:marker>
          <c:symbol val="none"/>
        </c:marker>
      </c:pivotFmt>
      <c:pivotFmt>
        <c:idx val="1107"/>
        <c:marker>
          <c:symbol val="none"/>
        </c:marker>
      </c:pivotFmt>
      <c:pivotFmt>
        <c:idx val="1108"/>
        <c:marker>
          <c:symbol val="none"/>
        </c:marker>
      </c:pivotFmt>
      <c:pivotFmt>
        <c:idx val="1109"/>
        <c:marker>
          <c:symbol val="none"/>
        </c:marker>
      </c:pivotFmt>
      <c:pivotFmt>
        <c:idx val="1110"/>
        <c:marker>
          <c:symbol val="none"/>
        </c:marker>
      </c:pivotFmt>
      <c:pivotFmt>
        <c:idx val="1111"/>
        <c:marker>
          <c:symbol val="none"/>
        </c:marker>
      </c:pivotFmt>
      <c:pivotFmt>
        <c:idx val="1112"/>
        <c:marker>
          <c:symbol val="none"/>
        </c:marker>
      </c:pivotFmt>
      <c:pivotFmt>
        <c:idx val="1113"/>
        <c:marker>
          <c:symbol val="none"/>
        </c:marker>
      </c:pivotFmt>
      <c:pivotFmt>
        <c:idx val="1114"/>
        <c:marker>
          <c:symbol val="none"/>
        </c:marker>
      </c:pivotFmt>
      <c:pivotFmt>
        <c:idx val="1115"/>
        <c:marker>
          <c:symbol val="none"/>
        </c:marker>
      </c:pivotFmt>
      <c:pivotFmt>
        <c:idx val="1116"/>
        <c:marker>
          <c:symbol val="none"/>
        </c:marker>
      </c:pivotFmt>
      <c:pivotFmt>
        <c:idx val="1117"/>
        <c:marker>
          <c:symbol val="none"/>
        </c:marker>
      </c:pivotFmt>
      <c:pivotFmt>
        <c:idx val="1118"/>
        <c:marker>
          <c:symbol val="none"/>
        </c:marker>
      </c:pivotFmt>
      <c:pivotFmt>
        <c:idx val="1119"/>
        <c:marker>
          <c:symbol val="none"/>
        </c:marker>
      </c:pivotFmt>
      <c:pivotFmt>
        <c:idx val="1120"/>
        <c:marker>
          <c:symbol val="none"/>
        </c:marker>
      </c:pivotFmt>
      <c:pivotFmt>
        <c:idx val="1121"/>
        <c:marker>
          <c:symbol val="none"/>
        </c:marker>
      </c:pivotFmt>
      <c:pivotFmt>
        <c:idx val="1122"/>
        <c:marker>
          <c:symbol val="none"/>
        </c:marker>
      </c:pivotFmt>
      <c:pivotFmt>
        <c:idx val="1123"/>
        <c:marker>
          <c:symbol val="none"/>
        </c:marker>
      </c:pivotFmt>
      <c:pivotFmt>
        <c:idx val="1124"/>
        <c:marker>
          <c:symbol val="none"/>
        </c:marker>
      </c:pivotFmt>
      <c:pivotFmt>
        <c:idx val="1125"/>
        <c:marker>
          <c:symbol val="none"/>
        </c:marker>
      </c:pivotFmt>
      <c:pivotFmt>
        <c:idx val="1126"/>
        <c:marker>
          <c:symbol val="none"/>
        </c:marker>
      </c:pivotFmt>
      <c:pivotFmt>
        <c:idx val="1127"/>
        <c:marker>
          <c:symbol val="none"/>
        </c:marker>
      </c:pivotFmt>
      <c:pivotFmt>
        <c:idx val="1128"/>
        <c:marker>
          <c:symbol val="none"/>
        </c:marker>
      </c:pivotFmt>
      <c:pivotFmt>
        <c:idx val="1129"/>
        <c:marker>
          <c:symbol val="none"/>
        </c:marker>
      </c:pivotFmt>
      <c:pivotFmt>
        <c:idx val="1130"/>
        <c:marker>
          <c:symbol val="none"/>
        </c:marker>
      </c:pivotFmt>
      <c:pivotFmt>
        <c:idx val="1131"/>
        <c:marker>
          <c:symbol val="none"/>
        </c:marker>
      </c:pivotFmt>
      <c:pivotFmt>
        <c:idx val="1132"/>
        <c:marker>
          <c:symbol val="none"/>
        </c:marker>
      </c:pivotFmt>
      <c:pivotFmt>
        <c:idx val="1133"/>
        <c:marker>
          <c:symbol val="none"/>
        </c:marker>
      </c:pivotFmt>
      <c:pivotFmt>
        <c:idx val="1134"/>
        <c:marker>
          <c:symbol val="none"/>
        </c:marker>
      </c:pivotFmt>
      <c:pivotFmt>
        <c:idx val="1135"/>
        <c:marker>
          <c:symbol val="none"/>
        </c:marker>
      </c:pivotFmt>
      <c:pivotFmt>
        <c:idx val="1136"/>
        <c:marker>
          <c:symbol val="none"/>
        </c:marker>
      </c:pivotFmt>
      <c:pivotFmt>
        <c:idx val="1137"/>
        <c:marker>
          <c:symbol val="none"/>
        </c:marker>
      </c:pivotFmt>
      <c:pivotFmt>
        <c:idx val="1138"/>
        <c:marker>
          <c:symbol val="none"/>
        </c:marker>
      </c:pivotFmt>
      <c:pivotFmt>
        <c:idx val="1139"/>
        <c:marker>
          <c:symbol val="none"/>
        </c:marker>
      </c:pivotFmt>
      <c:pivotFmt>
        <c:idx val="1140"/>
        <c:marker>
          <c:symbol val="none"/>
        </c:marker>
      </c:pivotFmt>
      <c:pivotFmt>
        <c:idx val="1141"/>
        <c:marker>
          <c:symbol val="none"/>
        </c:marker>
      </c:pivotFmt>
      <c:pivotFmt>
        <c:idx val="1142"/>
        <c:marker>
          <c:symbol val="none"/>
        </c:marker>
      </c:pivotFmt>
      <c:pivotFmt>
        <c:idx val="1143"/>
        <c:marker>
          <c:symbol val="none"/>
        </c:marker>
      </c:pivotFmt>
      <c:pivotFmt>
        <c:idx val="1144"/>
        <c:marker>
          <c:symbol val="none"/>
        </c:marker>
      </c:pivotFmt>
      <c:pivotFmt>
        <c:idx val="1145"/>
        <c:marker>
          <c:symbol val="none"/>
        </c:marker>
      </c:pivotFmt>
      <c:pivotFmt>
        <c:idx val="1146"/>
        <c:marker>
          <c:symbol val="none"/>
        </c:marker>
      </c:pivotFmt>
      <c:pivotFmt>
        <c:idx val="1147"/>
        <c:marker>
          <c:symbol val="none"/>
        </c:marker>
      </c:pivotFmt>
      <c:pivotFmt>
        <c:idx val="1148"/>
        <c:marker>
          <c:symbol val="none"/>
        </c:marker>
      </c:pivotFmt>
      <c:pivotFmt>
        <c:idx val="1149"/>
        <c:marker>
          <c:symbol val="none"/>
        </c:marker>
      </c:pivotFmt>
      <c:pivotFmt>
        <c:idx val="1150"/>
        <c:marker>
          <c:symbol val="none"/>
        </c:marker>
      </c:pivotFmt>
      <c:pivotFmt>
        <c:idx val="1151"/>
        <c:marker>
          <c:symbol val="none"/>
        </c:marker>
      </c:pivotFmt>
      <c:pivotFmt>
        <c:idx val="1152"/>
        <c:marker>
          <c:symbol val="none"/>
        </c:marker>
      </c:pivotFmt>
      <c:pivotFmt>
        <c:idx val="1153"/>
        <c:marker>
          <c:symbol val="none"/>
        </c:marker>
      </c:pivotFmt>
      <c:pivotFmt>
        <c:idx val="1154"/>
        <c:marker>
          <c:symbol val="none"/>
        </c:marker>
      </c:pivotFmt>
      <c:pivotFmt>
        <c:idx val="1155"/>
        <c:marker>
          <c:symbol val="none"/>
        </c:marker>
      </c:pivotFmt>
      <c:pivotFmt>
        <c:idx val="1156"/>
        <c:marker>
          <c:symbol val="none"/>
        </c:marker>
      </c:pivotFmt>
      <c:pivotFmt>
        <c:idx val="1157"/>
        <c:marker>
          <c:symbol val="none"/>
        </c:marker>
      </c:pivotFmt>
      <c:pivotFmt>
        <c:idx val="1158"/>
        <c:marker>
          <c:symbol val="none"/>
        </c:marker>
      </c:pivotFmt>
      <c:pivotFmt>
        <c:idx val="1159"/>
        <c:marker>
          <c:symbol val="none"/>
        </c:marker>
      </c:pivotFmt>
      <c:pivotFmt>
        <c:idx val="1160"/>
        <c:marker>
          <c:symbol val="none"/>
        </c:marker>
      </c:pivotFmt>
      <c:pivotFmt>
        <c:idx val="1161"/>
        <c:marker>
          <c:symbol val="none"/>
        </c:marker>
      </c:pivotFmt>
      <c:pivotFmt>
        <c:idx val="1162"/>
        <c:marker>
          <c:symbol val="none"/>
        </c:marker>
      </c:pivotFmt>
      <c:pivotFmt>
        <c:idx val="1163"/>
        <c:marker>
          <c:symbol val="none"/>
        </c:marker>
      </c:pivotFmt>
      <c:pivotFmt>
        <c:idx val="1164"/>
        <c:marker>
          <c:symbol val="none"/>
        </c:marker>
      </c:pivotFmt>
      <c:pivotFmt>
        <c:idx val="1165"/>
        <c:marker>
          <c:symbol val="none"/>
        </c:marker>
      </c:pivotFmt>
      <c:pivotFmt>
        <c:idx val="1166"/>
        <c:marker>
          <c:symbol val="none"/>
        </c:marker>
      </c:pivotFmt>
      <c:pivotFmt>
        <c:idx val="1167"/>
        <c:marker>
          <c:symbol val="none"/>
        </c:marker>
      </c:pivotFmt>
      <c:pivotFmt>
        <c:idx val="1168"/>
        <c:marker>
          <c:symbol val="none"/>
        </c:marker>
      </c:pivotFmt>
      <c:pivotFmt>
        <c:idx val="1169"/>
        <c:marker>
          <c:symbol val="none"/>
        </c:marker>
      </c:pivotFmt>
      <c:pivotFmt>
        <c:idx val="1170"/>
        <c:marker>
          <c:symbol val="none"/>
        </c:marker>
      </c:pivotFmt>
      <c:pivotFmt>
        <c:idx val="1171"/>
        <c:marker>
          <c:symbol val="none"/>
        </c:marker>
      </c:pivotFmt>
      <c:pivotFmt>
        <c:idx val="1172"/>
        <c:marker>
          <c:symbol val="none"/>
        </c:marker>
      </c:pivotFmt>
      <c:pivotFmt>
        <c:idx val="1173"/>
        <c:marker>
          <c:symbol val="none"/>
        </c:marker>
      </c:pivotFmt>
      <c:pivotFmt>
        <c:idx val="1174"/>
        <c:marker>
          <c:symbol val="none"/>
        </c:marker>
      </c:pivotFmt>
      <c:pivotFmt>
        <c:idx val="1175"/>
        <c:marker>
          <c:symbol val="none"/>
        </c:marker>
      </c:pivotFmt>
      <c:pivotFmt>
        <c:idx val="1176"/>
        <c:marker>
          <c:symbol val="none"/>
        </c:marker>
      </c:pivotFmt>
      <c:pivotFmt>
        <c:idx val="1177"/>
        <c:marker>
          <c:symbol val="none"/>
        </c:marker>
      </c:pivotFmt>
      <c:pivotFmt>
        <c:idx val="1178"/>
        <c:marker>
          <c:symbol val="none"/>
        </c:marker>
      </c:pivotFmt>
      <c:pivotFmt>
        <c:idx val="1179"/>
        <c:marker>
          <c:symbol val="none"/>
        </c:marker>
      </c:pivotFmt>
      <c:pivotFmt>
        <c:idx val="1180"/>
        <c:marker>
          <c:symbol val="none"/>
        </c:marker>
      </c:pivotFmt>
      <c:pivotFmt>
        <c:idx val="1181"/>
        <c:marker>
          <c:symbol val="none"/>
        </c:marker>
      </c:pivotFmt>
      <c:pivotFmt>
        <c:idx val="1182"/>
        <c:marker>
          <c:symbol val="none"/>
        </c:marker>
      </c:pivotFmt>
      <c:pivotFmt>
        <c:idx val="1183"/>
        <c:marker>
          <c:symbol val="none"/>
        </c:marker>
      </c:pivotFmt>
      <c:pivotFmt>
        <c:idx val="1184"/>
        <c:marker>
          <c:symbol val="none"/>
        </c:marker>
      </c:pivotFmt>
      <c:pivotFmt>
        <c:idx val="1185"/>
        <c:marker>
          <c:symbol val="none"/>
        </c:marker>
      </c:pivotFmt>
      <c:pivotFmt>
        <c:idx val="1186"/>
        <c:marker>
          <c:symbol val="none"/>
        </c:marker>
      </c:pivotFmt>
      <c:pivotFmt>
        <c:idx val="1187"/>
        <c:marker>
          <c:symbol val="none"/>
        </c:marker>
      </c:pivotFmt>
      <c:pivotFmt>
        <c:idx val="1188"/>
        <c:marker>
          <c:symbol val="none"/>
        </c:marker>
      </c:pivotFmt>
      <c:pivotFmt>
        <c:idx val="1189"/>
        <c:marker>
          <c:symbol val="none"/>
        </c:marker>
      </c:pivotFmt>
      <c:pivotFmt>
        <c:idx val="1190"/>
        <c:marker>
          <c:symbol val="none"/>
        </c:marker>
      </c:pivotFmt>
      <c:pivotFmt>
        <c:idx val="1191"/>
        <c:marker>
          <c:symbol val="none"/>
        </c:marker>
      </c:pivotFmt>
      <c:pivotFmt>
        <c:idx val="1192"/>
        <c:marker>
          <c:symbol val="none"/>
        </c:marker>
      </c:pivotFmt>
      <c:pivotFmt>
        <c:idx val="1193"/>
        <c:marker>
          <c:symbol val="none"/>
        </c:marker>
      </c:pivotFmt>
      <c:pivotFmt>
        <c:idx val="1194"/>
        <c:marker>
          <c:symbol val="none"/>
        </c:marker>
      </c:pivotFmt>
      <c:pivotFmt>
        <c:idx val="1195"/>
        <c:marker>
          <c:symbol val="none"/>
        </c:marker>
      </c:pivotFmt>
      <c:pivotFmt>
        <c:idx val="1196"/>
        <c:marker>
          <c:symbol val="none"/>
        </c:marker>
      </c:pivotFmt>
      <c:pivotFmt>
        <c:idx val="1197"/>
        <c:marker>
          <c:symbol val="none"/>
        </c:marker>
      </c:pivotFmt>
      <c:pivotFmt>
        <c:idx val="1198"/>
        <c:marker>
          <c:symbol val="none"/>
        </c:marker>
      </c:pivotFmt>
      <c:pivotFmt>
        <c:idx val="1199"/>
        <c:marker>
          <c:symbol val="none"/>
        </c:marker>
      </c:pivotFmt>
      <c:pivotFmt>
        <c:idx val="1200"/>
        <c:marker>
          <c:symbol val="none"/>
        </c:marker>
      </c:pivotFmt>
      <c:pivotFmt>
        <c:idx val="1201"/>
        <c:marker>
          <c:symbol val="none"/>
        </c:marker>
      </c:pivotFmt>
      <c:pivotFmt>
        <c:idx val="1202"/>
        <c:marker>
          <c:symbol val="none"/>
        </c:marker>
      </c:pivotFmt>
      <c:pivotFmt>
        <c:idx val="1203"/>
        <c:marker>
          <c:symbol val="none"/>
        </c:marker>
      </c:pivotFmt>
      <c:pivotFmt>
        <c:idx val="1204"/>
        <c:marker>
          <c:symbol val="none"/>
        </c:marker>
      </c:pivotFmt>
      <c:pivotFmt>
        <c:idx val="1205"/>
        <c:marker>
          <c:symbol val="none"/>
        </c:marker>
      </c:pivotFmt>
      <c:pivotFmt>
        <c:idx val="1206"/>
        <c:marker>
          <c:symbol val="none"/>
        </c:marker>
      </c:pivotFmt>
      <c:pivotFmt>
        <c:idx val="1207"/>
        <c:marker>
          <c:symbol val="none"/>
        </c:marker>
      </c:pivotFmt>
      <c:pivotFmt>
        <c:idx val="1208"/>
        <c:marker>
          <c:symbol val="none"/>
        </c:marker>
      </c:pivotFmt>
      <c:pivotFmt>
        <c:idx val="1209"/>
        <c:marker>
          <c:symbol val="none"/>
        </c:marker>
      </c:pivotFmt>
      <c:pivotFmt>
        <c:idx val="1210"/>
        <c:marker>
          <c:symbol val="none"/>
        </c:marker>
      </c:pivotFmt>
      <c:pivotFmt>
        <c:idx val="1211"/>
        <c:marker>
          <c:symbol val="none"/>
        </c:marker>
      </c:pivotFmt>
      <c:pivotFmt>
        <c:idx val="1212"/>
        <c:marker>
          <c:symbol val="none"/>
        </c:marker>
      </c:pivotFmt>
      <c:pivotFmt>
        <c:idx val="1213"/>
        <c:marker>
          <c:symbol val="none"/>
        </c:marker>
      </c:pivotFmt>
      <c:pivotFmt>
        <c:idx val="1214"/>
        <c:marker>
          <c:symbol val="none"/>
        </c:marker>
      </c:pivotFmt>
      <c:pivotFmt>
        <c:idx val="1215"/>
        <c:marker>
          <c:symbol val="none"/>
        </c:marker>
      </c:pivotFmt>
      <c:pivotFmt>
        <c:idx val="1216"/>
        <c:marker>
          <c:symbol val="none"/>
        </c:marker>
      </c:pivotFmt>
      <c:pivotFmt>
        <c:idx val="1217"/>
        <c:marker>
          <c:symbol val="none"/>
        </c:marker>
      </c:pivotFmt>
      <c:pivotFmt>
        <c:idx val="1218"/>
        <c:marker>
          <c:symbol val="none"/>
        </c:marker>
      </c:pivotFmt>
      <c:pivotFmt>
        <c:idx val="1219"/>
        <c:marker>
          <c:symbol val="none"/>
        </c:marker>
      </c:pivotFmt>
      <c:pivotFmt>
        <c:idx val="1220"/>
        <c:marker>
          <c:symbol val="none"/>
        </c:marker>
      </c:pivotFmt>
      <c:pivotFmt>
        <c:idx val="1221"/>
        <c:marker>
          <c:symbol val="none"/>
        </c:marker>
      </c:pivotFmt>
      <c:pivotFmt>
        <c:idx val="1222"/>
        <c:marker>
          <c:symbol val="none"/>
        </c:marker>
      </c:pivotFmt>
      <c:pivotFmt>
        <c:idx val="1223"/>
        <c:marker>
          <c:symbol val="none"/>
        </c:marker>
      </c:pivotFmt>
      <c:pivotFmt>
        <c:idx val="1224"/>
        <c:marker>
          <c:symbol val="none"/>
        </c:marker>
      </c:pivotFmt>
      <c:pivotFmt>
        <c:idx val="1225"/>
        <c:marker>
          <c:symbol val="none"/>
        </c:marker>
      </c:pivotFmt>
      <c:pivotFmt>
        <c:idx val="1226"/>
        <c:marker>
          <c:symbol val="none"/>
        </c:marker>
      </c:pivotFmt>
      <c:pivotFmt>
        <c:idx val="1227"/>
        <c:marker>
          <c:symbol val="none"/>
        </c:marker>
      </c:pivotFmt>
      <c:pivotFmt>
        <c:idx val="1228"/>
        <c:marker>
          <c:symbol val="none"/>
        </c:marker>
      </c:pivotFmt>
      <c:pivotFmt>
        <c:idx val="1229"/>
        <c:marker>
          <c:symbol val="none"/>
        </c:marker>
      </c:pivotFmt>
      <c:pivotFmt>
        <c:idx val="1230"/>
        <c:marker>
          <c:symbol val="none"/>
        </c:marker>
      </c:pivotFmt>
      <c:pivotFmt>
        <c:idx val="1231"/>
        <c:marker>
          <c:symbol val="none"/>
        </c:marker>
      </c:pivotFmt>
      <c:pivotFmt>
        <c:idx val="1232"/>
        <c:marker>
          <c:symbol val="none"/>
        </c:marker>
      </c:pivotFmt>
      <c:pivotFmt>
        <c:idx val="1233"/>
        <c:marker>
          <c:symbol val="none"/>
        </c:marker>
      </c:pivotFmt>
      <c:pivotFmt>
        <c:idx val="1234"/>
        <c:marker>
          <c:symbol val="none"/>
        </c:marker>
      </c:pivotFmt>
      <c:pivotFmt>
        <c:idx val="1235"/>
        <c:marker>
          <c:symbol val="none"/>
        </c:marker>
      </c:pivotFmt>
      <c:pivotFmt>
        <c:idx val="1236"/>
        <c:marker>
          <c:symbol val="none"/>
        </c:marker>
      </c:pivotFmt>
      <c:pivotFmt>
        <c:idx val="1237"/>
        <c:marker>
          <c:symbol val="none"/>
        </c:marker>
      </c:pivotFmt>
      <c:pivotFmt>
        <c:idx val="1238"/>
        <c:marker>
          <c:symbol val="none"/>
        </c:marker>
      </c:pivotFmt>
      <c:pivotFmt>
        <c:idx val="1239"/>
        <c:marker>
          <c:symbol val="none"/>
        </c:marker>
      </c:pivotFmt>
      <c:pivotFmt>
        <c:idx val="1240"/>
        <c:marker>
          <c:symbol val="none"/>
        </c:marker>
      </c:pivotFmt>
      <c:pivotFmt>
        <c:idx val="1241"/>
        <c:marker>
          <c:symbol val="none"/>
        </c:marker>
      </c:pivotFmt>
      <c:pivotFmt>
        <c:idx val="1242"/>
        <c:marker>
          <c:symbol val="none"/>
        </c:marker>
      </c:pivotFmt>
      <c:pivotFmt>
        <c:idx val="1243"/>
        <c:marker>
          <c:symbol val="none"/>
        </c:marker>
      </c:pivotFmt>
      <c:pivotFmt>
        <c:idx val="1244"/>
        <c:marker>
          <c:symbol val="none"/>
        </c:marker>
      </c:pivotFmt>
      <c:pivotFmt>
        <c:idx val="1245"/>
        <c:marker>
          <c:symbol val="none"/>
        </c:marker>
      </c:pivotFmt>
      <c:pivotFmt>
        <c:idx val="1246"/>
        <c:marker>
          <c:symbol val="none"/>
        </c:marker>
      </c:pivotFmt>
      <c:pivotFmt>
        <c:idx val="1247"/>
        <c:marker>
          <c:symbol val="none"/>
        </c:marker>
      </c:pivotFmt>
      <c:pivotFmt>
        <c:idx val="1248"/>
        <c:marker>
          <c:symbol val="none"/>
        </c:marker>
      </c:pivotFmt>
      <c:pivotFmt>
        <c:idx val="1249"/>
        <c:marker>
          <c:symbol val="none"/>
        </c:marker>
      </c:pivotFmt>
      <c:pivotFmt>
        <c:idx val="1250"/>
        <c:marker>
          <c:symbol val="none"/>
        </c:marker>
      </c:pivotFmt>
      <c:pivotFmt>
        <c:idx val="1251"/>
        <c:marker>
          <c:symbol val="none"/>
        </c:marker>
      </c:pivotFmt>
      <c:pivotFmt>
        <c:idx val="1252"/>
        <c:marker>
          <c:symbol val="none"/>
        </c:marker>
      </c:pivotFmt>
      <c:pivotFmt>
        <c:idx val="1253"/>
        <c:marker>
          <c:symbol val="none"/>
        </c:marker>
      </c:pivotFmt>
      <c:pivotFmt>
        <c:idx val="1254"/>
        <c:marker>
          <c:symbol val="none"/>
        </c:marker>
      </c:pivotFmt>
      <c:pivotFmt>
        <c:idx val="1255"/>
        <c:marker>
          <c:symbol val="none"/>
        </c:marker>
      </c:pivotFmt>
      <c:pivotFmt>
        <c:idx val="1256"/>
        <c:marker>
          <c:symbol val="none"/>
        </c:marker>
      </c:pivotFmt>
      <c:pivotFmt>
        <c:idx val="1257"/>
        <c:marker>
          <c:symbol val="none"/>
        </c:marker>
      </c:pivotFmt>
      <c:pivotFmt>
        <c:idx val="1258"/>
        <c:marker>
          <c:symbol val="none"/>
        </c:marker>
      </c:pivotFmt>
      <c:pivotFmt>
        <c:idx val="1259"/>
        <c:marker>
          <c:symbol val="none"/>
        </c:marker>
      </c:pivotFmt>
      <c:pivotFmt>
        <c:idx val="1260"/>
        <c:marker>
          <c:symbol val="none"/>
        </c:marker>
      </c:pivotFmt>
      <c:pivotFmt>
        <c:idx val="1261"/>
        <c:marker>
          <c:symbol val="none"/>
        </c:marker>
      </c:pivotFmt>
      <c:pivotFmt>
        <c:idx val="1262"/>
        <c:marker>
          <c:symbol val="none"/>
        </c:marker>
      </c:pivotFmt>
      <c:pivotFmt>
        <c:idx val="1263"/>
        <c:marker>
          <c:symbol val="none"/>
        </c:marker>
      </c:pivotFmt>
      <c:pivotFmt>
        <c:idx val="1264"/>
        <c:marker>
          <c:symbol val="none"/>
        </c:marker>
      </c:pivotFmt>
      <c:pivotFmt>
        <c:idx val="1265"/>
        <c:marker>
          <c:symbol val="none"/>
        </c:marker>
      </c:pivotFmt>
      <c:pivotFmt>
        <c:idx val="1266"/>
        <c:marker>
          <c:symbol val="none"/>
        </c:marker>
      </c:pivotFmt>
      <c:pivotFmt>
        <c:idx val="1267"/>
        <c:marker>
          <c:symbol val="none"/>
        </c:marker>
      </c:pivotFmt>
      <c:pivotFmt>
        <c:idx val="1268"/>
        <c:marker>
          <c:symbol val="none"/>
        </c:marker>
      </c:pivotFmt>
      <c:pivotFmt>
        <c:idx val="1269"/>
        <c:marker>
          <c:symbol val="none"/>
        </c:marker>
      </c:pivotFmt>
      <c:pivotFmt>
        <c:idx val="1270"/>
        <c:marker>
          <c:symbol val="none"/>
        </c:marker>
      </c:pivotFmt>
      <c:pivotFmt>
        <c:idx val="1271"/>
        <c:marker>
          <c:symbol val="none"/>
        </c:marker>
      </c:pivotFmt>
      <c:pivotFmt>
        <c:idx val="1272"/>
        <c:marker>
          <c:symbol val="none"/>
        </c:marker>
      </c:pivotFmt>
      <c:pivotFmt>
        <c:idx val="1273"/>
        <c:marker>
          <c:symbol val="none"/>
        </c:marker>
      </c:pivotFmt>
      <c:pivotFmt>
        <c:idx val="1274"/>
        <c:marker>
          <c:symbol val="none"/>
        </c:marker>
      </c:pivotFmt>
      <c:pivotFmt>
        <c:idx val="1275"/>
        <c:marker>
          <c:symbol val="none"/>
        </c:marker>
      </c:pivotFmt>
      <c:pivotFmt>
        <c:idx val="1276"/>
        <c:marker>
          <c:symbol val="none"/>
        </c:marker>
      </c:pivotFmt>
      <c:pivotFmt>
        <c:idx val="1277"/>
        <c:marker>
          <c:symbol val="none"/>
        </c:marker>
      </c:pivotFmt>
      <c:pivotFmt>
        <c:idx val="1278"/>
        <c:marker>
          <c:symbol val="none"/>
        </c:marker>
      </c:pivotFmt>
      <c:pivotFmt>
        <c:idx val="1279"/>
        <c:marker>
          <c:symbol val="none"/>
        </c:marker>
      </c:pivotFmt>
      <c:pivotFmt>
        <c:idx val="1280"/>
        <c:marker>
          <c:symbol val="none"/>
        </c:marker>
      </c:pivotFmt>
      <c:pivotFmt>
        <c:idx val="1281"/>
        <c:marker>
          <c:symbol val="none"/>
        </c:marker>
      </c:pivotFmt>
      <c:pivotFmt>
        <c:idx val="1282"/>
        <c:marker>
          <c:symbol val="none"/>
        </c:marker>
      </c:pivotFmt>
      <c:pivotFmt>
        <c:idx val="1283"/>
        <c:marker>
          <c:symbol val="none"/>
        </c:marker>
      </c:pivotFmt>
      <c:pivotFmt>
        <c:idx val="1284"/>
        <c:marker>
          <c:symbol val="none"/>
        </c:marker>
      </c:pivotFmt>
      <c:pivotFmt>
        <c:idx val="1285"/>
        <c:marker>
          <c:symbol val="none"/>
        </c:marker>
      </c:pivotFmt>
      <c:pivotFmt>
        <c:idx val="1286"/>
        <c:marker>
          <c:symbol val="none"/>
        </c:marker>
      </c:pivotFmt>
      <c:pivotFmt>
        <c:idx val="1287"/>
        <c:marker>
          <c:symbol val="none"/>
        </c:marker>
      </c:pivotFmt>
      <c:pivotFmt>
        <c:idx val="1288"/>
        <c:marker>
          <c:symbol val="none"/>
        </c:marker>
      </c:pivotFmt>
      <c:pivotFmt>
        <c:idx val="1289"/>
        <c:marker>
          <c:symbol val="none"/>
        </c:marker>
      </c:pivotFmt>
      <c:pivotFmt>
        <c:idx val="1290"/>
        <c:marker>
          <c:symbol val="none"/>
        </c:marker>
      </c:pivotFmt>
      <c:pivotFmt>
        <c:idx val="1291"/>
        <c:marker>
          <c:symbol val="none"/>
        </c:marker>
      </c:pivotFmt>
      <c:pivotFmt>
        <c:idx val="1292"/>
        <c:marker>
          <c:symbol val="none"/>
        </c:marker>
      </c:pivotFmt>
      <c:pivotFmt>
        <c:idx val="1293"/>
        <c:marker>
          <c:symbol val="none"/>
        </c:marker>
      </c:pivotFmt>
      <c:pivotFmt>
        <c:idx val="1294"/>
        <c:marker>
          <c:symbol val="none"/>
        </c:marker>
      </c:pivotFmt>
      <c:pivotFmt>
        <c:idx val="1295"/>
        <c:marker>
          <c:symbol val="none"/>
        </c:marker>
      </c:pivotFmt>
      <c:pivotFmt>
        <c:idx val="1296"/>
        <c:marker>
          <c:symbol val="none"/>
        </c:marker>
      </c:pivotFmt>
      <c:pivotFmt>
        <c:idx val="1297"/>
        <c:marker>
          <c:symbol val="none"/>
        </c:marker>
      </c:pivotFmt>
      <c:pivotFmt>
        <c:idx val="1298"/>
        <c:marker>
          <c:symbol val="none"/>
        </c:marker>
      </c:pivotFmt>
      <c:pivotFmt>
        <c:idx val="1299"/>
        <c:marker>
          <c:symbol val="none"/>
        </c:marker>
      </c:pivotFmt>
      <c:pivotFmt>
        <c:idx val="1300"/>
        <c:marker>
          <c:symbol val="none"/>
        </c:marker>
      </c:pivotFmt>
      <c:pivotFmt>
        <c:idx val="1301"/>
        <c:marker>
          <c:symbol val="none"/>
        </c:marker>
      </c:pivotFmt>
      <c:pivotFmt>
        <c:idx val="1302"/>
        <c:marker>
          <c:symbol val="none"/>
        </c:marker>
      </c:pivotFmt>
      <c:pivotFmt>
        <c:idx val="1303"/>
        <c:marker>
          <c:symbol val="none"/>
        </c:marker>
      </c:pivotFmt>
      <c:pivotFmt>
        <c:idx val="1304"/>
        <c:marker>
          <c:symbol val="none"/>
        </c:marker>
      </c:pivotFmt>
      <c:pivotFmt>
        <c:idx val="1305"/>
        <c:marker>
          <c:symbol val="none"/>
        </c:marker>
      </c:pivotFmt>
      <c:pivotFmt>
        <c:idx val="1306"/>
        <c:marker>
          <c:symbol val="none"/>
        </c:marker>
      </c:pivotFmt>
      <c:pivotFmt>
        <c:idx val="1307"/>
        <c:marker>
          <c:symbol val="none"/>
        </c:marker>
      </c:pivotFmt>
      <c:pivotFmt>
        <c:idx val="1308"/>
        <c:marker>
          <c:symbol val="none"/>
        </c:marker>
      </c:pivotFmt>
      <c:pivotFmt>
        <c:idx val="1309"/>
        <c:marker>
          <c:symbol val="none"/>
        </c:marker>
      </c:pivotFmt>
      <c:pivotFmt>
        <c:idx val="1310"/>
        <c:marker>
          <c:symbol val="none"/>
        </c:marker>
      </c:pivotFmt>
      <c:pivotFmt>
        <c:idx val="1311"/>
        <c:marker>
          <c:symbol val="none"/>
        </c:marker>
      </c:pivotFmt>
      <c:pivotFmt>
        <c:idx val="1312"/>
        <c:marker>
          <c:symbol val="none"/>
        </c:marker>
      </c:pivotFmt>
      <c:pivotFmt>
        <c:idx val="1313"/>
        <c:marker>
          <c:symbol val="none"/>
        </c:marker>
      </c:pivotFmt>
      <c:pivotFmt>
        <c:idx val="1314"/>
        <c:marker>
          <c:symbol val="none"/>
        </c:marker>
      </c:pivotFmt>
      <c:pivotFmt>
        <c:idx val="1315"/>
        <c:marker>
          <c:symbol val="none"/>
        </c:marker>
      </c:pivotFmt>
      <c:pivotFmt>
        <c:idx val="1316"/>
        <c:marker>
          <c:symbol val="none"/>
        </c:marker>
      </c:pivotFmt>
      <c:pivotFmt>
        <c:idx val="1317"/>
        <c:marker>
          <c:symbol val="none"/>
        </c:marker>
      </c:pivotFmt>
      <c:pivotFmt>
        <c:idx val="1318"/>
        <c:marker>
          <c:symbol val="none"/>
        </c:marker>
      </c:pivotFmt>
      <c:pivotFmt>
        <c:idx val="1319"/>
        <c:marker>
          <c:symbol val="none"/>
        </c:marker>
      </c:pivotFmt>
      <c:pivotFmt>
        <c:idx val="1320"/>
        <c:marker>
          <c:symbol val="none"/>
        </c:marker>
      </c:pivotFmt>
      <c:pivotFmt>
        <c:idx val="1321"/>
        <c:marker>
          <c:symbol val="none"/>
        </c:marker>
      </c:pivotFmt>
      <c:pivotFmt>
        <c:idx val="1322"/>
        <c:marker>
          <c:symbol val="none"/>
        </c:marker>
      </c:pivotFmt>
      <c:pivotFmt>
        <c:idx val="1323"/>
        <c:marker>
          <c:symbol val="none"/>
        </c:marker>
      </c:pivotFmt>
      <c:pivotFmt>
        <c:idx val="1324"/>
        <c:marker>
          <c:symbol val="none"/>
        </c:marker>
      </c:pivotFmt>
      <c:pivotFmt>
        <c:idx val="1325"/>
        <c:marker>
          <c:symbol val="none"/>
        </c:marker>
      </c:pivotFmt>
      <c:pivotFmt>
        <c:idx val="1326"/>
        <c:marker>
          <c:symbol val="none"/>
        </c:marker>
      </c:pivotFmt>
      <c:pivotFmt>
        <c:idx val="1327"/>
        <c:marker>
          <c:symbol val="none"/>
        </c:marker>
      </c:pivotFmt>
      <c:pivotFmt>
        <c:idx val="1328"/>
        <c:marker>
          <c:symbol val="none"/>
        </c:marker>
      </c:pivotFmt>
      <c:pivotFmt>
        <c:idx val="1329"/>
        <c:marker>
          <c:symbol val="none"/>
        </c:marker>
      </c:pivotFmt>
      <c:pivotFmt>
        <c:idx val="1330"/>
        <c:marker>
          <c:symbol val="none"/>
        </c:marker>
      </c:pivotFmt>
      <c:pivotFmt>
        <c:idx val="1331"/>
        <c:marker>
          <c:symbol val="none"/>
        </c:marker>
      </c:pivotFmt>
      <c:pivotFmt>
        <c:idx val="1332"/>
        <c:marker>
          <c:symbol val="none"/>
        </c:marker>
      </c:pivotFmt>
      <c:pivotFmt>
        <c:idx val="1333"/>
        <c:marker>
          <c:symbol val="none"/>
        </c:marker>
      </c:pivotFmt>
      <c:pivotFmt>
        <c:idx val="1334"/>
        <c:marker>
          <c:symbol val="none"/>
        </c:marker>
      </c:pivotFmt>
      <c:pivotFmt>
        <c:idx val="1335"/>
        <c:marker>
          <c:symbol val="none"/>
        </c:marker>
      </c:pivotFmt>
      <c:pivotFmt>
        <c:idx val="1336"/>
        <c:marker>
          <c:symbol val="none"/>
        </c:marker>
      </c:pivotFmt>
      <c:pivotFmt>
        <c:idx val="1337"/>
        <c:marker>
          <c:symbol val="none"/>
        </c:marker>
      </c:pivotFmt>
      <c:pivotFmt>
        <c:idx val="1338"/>
        <c:marker>
          <c:symbol val="none"/>
        </c:marker>
      </c:pivotFmt>
      <c:pivotFmt>
        <c:idx val="1339"/>
        <c:marker>
          <c:symbol val="none"/>
        </c:marker>
      </c:pivotFmt>
      <c:pivotFmt>
        <c:idx val="1340"/>
        <c:marker>
          <c:symbol val="none"/>
        </c:marker>
      </c:pivotFmt>
      <c:pivotFmt>
        <c:idx val="1341"/>
        <c:marker>
          <c:symbol val="none"/>
        </c:marker>
      </c:pivotFmt>
      <c:pivotFmt>
        <c:idx val="1342"/>
        <c:marker>
          <c:symbol val="none"/>
        </c:marker>
      </c:pivotFmt>
      <c:pivotFmt>
        <c:idx val="1343"/>
        <c:marker>
          <c:symbol val="none"/>
        </c:marker>
      </c:pivotFmt>
      <c:pivotFmt>
        <c:idx val="1344"/>
        <c:marker>
          <c:symbol val="none"/>
        </c:marker>
      </c:pivotFmt>
      <c:pivotFmt>
        <c:idx val="1345"/>
        <c:marker>
          <c:symbol val="none"/>
        </c:marker>
      </c:pivotFmt>
      <c:pivotFmt>
        <c:idx val="1346"/>
        <c:marker>
          <c:symbol val="none"/>
        </c:marker>
      </c:pivotFmt>
      <c:pivotFmt>
        <c:idx val="1347"/>
        <c:marker>
          <c:symbol val="none"/>
        </c:marker>
      </c:pivotFmt>
      <c:pivotFmt>
        <c:idx val="1348"/>
        <c:marker>
          <c:symbol val="none"/>
        </c:marker>
      </c:pivotFmt>
      <c:pivotFmt>
        <c:idx val="1349"/>
        <c:marker>
          <c:symbol val="none"/>
        </c:marker>
      </c:pivotFmt>
      <c:pivotFmt>
        <c:idx val="1350"/>
        <c:marker>
          <c:symbol val="none"/>
        </c:marker>
      </c:pivotFmt>
      <c:pivotFmt>
        <c:idx val="1351"/>
        <c:marker>
          <c:symbol val="none"/>
        </c:marker>
      </c:pivotFmt>
      <c:pivotFmt>
        <c:idx val="1352"/>
        <c:marker>
          <c:symbol val="none"/>
        </c:marker>
      </c:pivotFmt>
      <c:pivotFmt>
        <c:idx val="1353"/>
        <c:marker>
          <c:symbol val="none"/>
        </c:marker>
      </c:pivotFmt>
      <c:pivotFmt>
        <c:idx val="1354"/>
        <c:marker>
          <c:symbol val="none"/>
        </c:marker>
      </c:pivotFmt>
      <c:pivotFmt>
        <c:idx val="1355"/>
        <c:marker>
          <c:symbol val="none"/>
        </c:marker>
      </c:pivotFmt>
      <c:pivotFmt>
        <c:idx val="1356"/>
        <c:marker>
          <c:symbol val="none"/>
        </c:marker>
      </c:pivotFmt>
      <c:pivotFmt>
        <c:idx val="1357"/>
        <c:marker>
          <c:symbol val="none"/>
        </c:marker>
      </c:pivotFmt>
      <c:pivotFmt>
        <c:idx val="1358"/>
        <c:marker>
          <c:symbol val="none"/>
        </c:marker>
      </c:pivotFmt>
      <c:pivotFmt>
        <c:idx val="1359"/>
        <c:marker>
          <c:symbol val="none"/>
        </c:marker>
      </c:pivotFmt>
      <c:pivotFmt>
        <c:idx val="1360"/>
        <c:marker>
          <c:symbol val="none"/>
        </c:marker>
      </c:pivotFmt>
      <c:pivotFmt>
        <c:idx val="1361"/>
        <c:marker>
          <c:symbol val="none"/>
        </c:marker>
      </c:pivotFmt>
      <c:pivotFmt>
        <c:idx val="1362"/>
        <c:marker>
          <c:symbol val="none"/>
        </c:marker>
      </c:pivotFmt>
      <c:pivotFmt>
        <c:idx val="1363"/>
        <c:marker>
          <c:symbol val="none"/>
        </c:marker>
      </c:pivotFmt>
      <c:pivotFmt>
        <c:idx val="1364"/>
        <c:marker>
          <c:symbol val="none"/>
        </c:marker>
      </c:pivotFmt>
      <c:pivotFmt>
        <c:idx val="1365"/>
        <c:marker>
          <c:symbol val="none"/>
        </c:marker>
      </c:pivotFmt>
      <c:pivotFmt>
        <c:idx val="1366"/>
        <c:marker>
          <c:symbol val="none"/>
        </c:marker>
      </c:pivotFmt>
      <c:pivotFmt>
        <c:idx val="1367"/>
        <c:marker>
          <c:symbol val="none"/>
        </c:marker>
      </c:pivotFmt>
      <c:pivotFmt>
        <c:idx val="1368"/>
        <c:marker>
          <c:symbol val="none"/>
        </c:marker>
      </c:pivotFmt>
      <c:pivotFmt>
        <c:idx val="1369"/>
        <c:marker>
          <c:symbol val="none"/>
        </c:marker>
      </c:pivotFmt>
      <c:pivotFmt>
        <c:idx val="1370"/>
        <c:marker>
          <c:symbol val="none"/>
        </c:marker>
      </c:pivotFmt>
      <c:pivotFmt>
        <c:idx val="1371"/>
        <c:marker>
          <c:symbol val="none"/>
        </c:marker>
      </c:pivotFmt>
      <c:pivotFmt>
        <c:idx val="1372"/>
        <c:marker>
          <c:symbol val="none"/>
        </c:marker>
      </c:pivotFmt>
      <c:pivotFmt>
        <c:idx val="1373"/>
        <c:marker>
          <c:symbol val="none"/>
        </c:marker>
      </c:pivotFmt>
      <c:pivotFmt>
        <c:idx val="1374"/>
        <c:marker>
          <c:symbol val="none"/>
        </c:marker>
      </c:pivotFmt>
      <c:pivotFmt>
        <c:idx val="1375"/>
        <c:marker>
          <c:symbol val="none"/>
        </c:marker>
      </c:pivotFmt>
      <c:pivotFmt>
        <c:idx val="1376"/>
        <c:marker>
          <c:symbol val="none"/>
        </c:marker>
      </c:pivotFmt>
      <c:pivotFmt>
        <c:idx val="1377"/>
        <c:marker>
          <c:symbol val="none"/>
        </c:marker>
      </c:pivotFmt>
      <c:pivotFmt>
        <c:idx val="1378"/>
        <c:marker>
          <c:symbol val="none"/>
        </c:marker>
      </c:pivotFmt>
      <c:pivotFmt>
        <c:idx val="1379"/>
        <c:marker>
          <c:symbol val="none"/>
        </c:marker>
      </c:pivotFmt>
      <c:pivotFmt>
        <c:idx val="1380"/>
        <c:marker>
          <c:symbol val="none"/>
        </c:marker>
      </c:pivotFmt>
      <c:pivotFmt>
        <c:idx val="1381"/>
        <c:marker>
          <c:symbol val="none"/>
        </c:marker>
      </c:pivotFmt>
      <c:pivotFmt>
        <c:idx val="1382"/>
        <c:marker>
          <c:symbol val="none"/>
        </c:marker>
      </c:pivotFmt>
      <c:pivotFmt>
        <c:idx val="1383"/>
        <c:marker>
          <c:symbol val="none"/>
        </c:marker>
      </c:pivotFmt>
      <c:pivotFmt>
        <c:idx val="1384"/>
        <c:marker>
          <c:symbol val="none"/>
        </c:marker>
      </c:pivotFmt>
      <c:pivotFmt>
        <c:idx val="1385"/>
        <c:marker>
          <c:symbol val="none"/>
        </c:marker>
      </c:pivotFmt>
      <c:pivotFmt>
        <c:idx val="1386"/>
        <c:marker>
          <c:symbol val="none"/>
        </c:marker>
      </c:pivotFmt>
      <c:pivotFmt>
        <c:idx val="1387"/>
        <c:marker>
          <c:symbol val="none"/>
        </c:marker>
      </c:pivotFmt>
      <c:pivotFmt>
        <c:idx val="1388"/>
        <c:marker>
          <c:symbol val="none"/>
        </c:marker>
      </c:pivotFmt>
      <c:pivotFmt>
        <c:idx val="1389"/>
        <c:marker>
          <c:symbol val="none"/>
        </c:marker>
      </c:pivotFmt>
      <c:pivotFmt>
        <c:idx val="1390"/>
        <c:marker>
          <c:symbol val="none"/>
        </c:marker>
      </c:pivotFmt>
      <c:pivotFmt>
        <c:idx val="1391"/>
        <c:marker>
          <c:symbol val="none"/>
        </c:marker>
      </c:pivotFmt>
      <c:pivotFmt>
        <c:idx val="1392"/>
        <c:marker>
          <c:symbol val="none"/>
        </c:marker>
      </c:pivotFmt>
      <c:pivotFmt>
        <c:idx val="1393"/>
        <c:marker>
          <c:symbol val="none"/>
        </c:marker>
      </c:pivotFmt>
      <c:pivotFmt>
        <c:idx val="1394"/>
        <c:marker>
          <c:symbol val="none"/>
        </c:marker>
      </c:pivotFmt>
      <c:pivotFmt>
        <c:idx val="1395"/>
        <c:marker>
          <c:symbol val="none"/>
        </c:marker>
      </c:pivotFmt>
      <c:pivotFmt>
        <c:idx val="1396"/>
        <c:marker>
          <c:symbol val="none"/>
        </c:marker>
      </c:pivotFmt>
      <c:pivotFmt>
        <c:idx val="1397"/>
        <c:marker>
          <c:symbol val="none"/>
        </c:marker>
      </c:pivotFmt>
      <c:pivotFmt>
        <c:idx val="1398"/>
        <c:marker>
          <c:symbol val="none"/>
        </c:marker>
      </c:pivotFmt>
      <c:pivotFmt>
        <c:idx val="1399"/>
        <c:marker>
          <c:symbol val="none"/>
        </c:marker>
      </c:pivotFmt>
      <c:pivotFmt>
        <c:idx val="1400"/>
        <c:marker>
          <c:symbol val="none"/>
        </c:marker>
      </c:pivotFmt>
      <c:pivotFmt>
        <c:idx val="1401"/>
        <c:marker>
          <c:symbol val="none"/>
        </c:marker>
      </c:pivotFmt>
      <c:pivotFmt>
        <c:idx val="1402"/>
        <c:marker>
          <c:symbol val="none"/>
        </c:marker>
      </c:pivotFmt>
      <c:pivotFmt>
        <c:idx val="1403"/>
        <c:marker>
          <c:symbol val="none"/>
        </c:marker>
      </c:pivotFmt>
      <c:pivotFmt>
        <c:idx val="1404"/>
        <c:marker>
          <c:symbol val="none"/>
        </c:marker>
      </c:pivotFmt>
      <c:pivotFmt>
        <c:idx val="1405"/>
        <c:marker>
          <c:symbol val="none"/>
        </c:marker>
      </c:pivotFmt>
      <c:pivotFmt>
        <c:idx val="1406"/>
        <c:marker>
          <c:symbol val="none"/>
        </c:marker>
      </c:pivotFmt>
      <c:pivotFmt>
        <c:idx val="1407"/>
        <c:marker>
          <c:symbol val="none"/>
        </c:marker>
      </c:pivotFmt>
      <c:pivotFmt>
        <c:idx val="1408"/>
        <c:marker>
          <c:symbol val="none"/>
        </c:marker>
      </c:pivotFmt>
      <c:pivotFmt>
        <c:idx val="1409"/>
        <c:marker>
          <c:symbol val="none"/>
        </c:marker>
      </c:pivotFmt>
      <c:pivotFmt>
        <c:idx val="1410"/>
        <c:marker>
          <c:symbol val="none"/>
        </c:marker>
      </c:pivotFmt>
      <c:pivotFmt>
        <c:idx val="1411"/>
        <c:marker>
          <c:symbol val="none"/>
        </c:marker>
      </c:pivotFmt>
      <c:pivotFmt>
        <c:idx val="1412"/>
        <c:marker>
          <c:symbol val="none"/>
        </c:marker>
      </c:pivotFmt>
      <c:pivotFmt>
        <c:idx val="1413"/>
        <c:marker>
          <c:symbol val="none"/>
        </c:marker>
      </c:pivotFmt>
      <c:pivotFmt>
        <c:idx val="1414"/>
        <c:marker>
          <c:symbol val="none"/>
        </c:marker>
      </c:pivotFmt>
      <c:pivotFmt>
        <c:idx val="1415"/>
        <c:marker>
          <c:symbol val="none"/>
        </c:marker>
      </c:pivotFmt>
      <c:pivotFmt>
        <c:idx val="1416"/>
        <c:marker>
          <c:symbol val="none"/>
        </c:marker>
      </c:pivotFmt>
      <c:pivotFmt>
        <c:idx val="1417"/>
        <c:marker>
          <c:symbol val="none"/>
        </c:marker>
      </c:pivotFmt>
      <c:pivotFmt>
        <c:idx val="1418"/>
        <c:marker>
          <c:symbol val="none"/>
        </c:marker>
      </c:pivotFmt>
      <c:pivotFmt>
        <c:idx val="1419"/>
        <c:marker>
          <c:symbol val="none"/>
        </c:marker>
      </c:pivotFmt>
      <c:pivotFmt>
        <c:idx val="1420"/>
        <c:marker>
          <c:symbol val="none"/>
        </c:marker>
      </c:pivotFmt>
      <c:pivotFmt>
        <c:idx val="1421"/>
        <c:marker>
          <c:symbol val="none"/>
        </c:marker>
      </c:pivotFmt>
      <c:pivotFmt>
        <c:idx val="1422"/>
        <c:marker>
          <c:symbol val="none"/>
        </c:marker>
      </c:pivotFmt>
      <c:pivotFmt>
        <c:idx val="1423"/>
        <c:marker>
          <c:symbol val="none"/>
        </c:marker>
      </c:pivotFmt>
      <c:pivotFmt>
        <c:idx val="1424"/>
        <c:marker>
          <c:symbol val="none"/>
        </c:marker>
      </c:pivotFmt>
      <c:pivotFmt>
        <c:idx val="1425"/>
        <c:marker>
          <c:symbol val="none"/>
        </c:marker>
      </c:pivotFmt>
      <c:pivotFmt>
        <c:idx val="1426"/>
        <c:marker>
          <c:symbol val="none"/>
        </c:marker>
      </c:pivotFmt>
      <c:pivotFmt>
        <c:idx val="1427"/>
        <c:marker>
          <c:symbol val="none"/>
        </c:marker>
      </c:pivotFmt>
      <c:pivotFmt>
        <c:idx val="1428"/>
        <c:marker>
          <c:symbol val="none"/>
        </c:marker>
      </c:pivotFmt>
      <c:pivotFmt>
        <c:idx val="1429"/>
        <c:marker>
          <c:symbol val="none"/>
        </c:marker>
      </c:pivotFmt>
      <c:pivotFmt>
        <c:idx val="1430"/>
        <c:marker>
          <c:symbol val="none"/>
        </c:marker>
      </c:pivotFmt>
      <c:pivotFmt>
        <c:idx val="1431"/>
        <c:marker>
          <c:symbol val="none"/>
        </c:marker>
      </c:pivotFmt>
      <c:pivotFmt>
        <c:idx val="1432"/>
        <c:marker>
          <c:symbol val="none"/>
        </c:marker>
      </c:pivotFmt>
      <c:pivotFmt>
        <c:idx val="1433"/>
        <c:marker>
          <c:symbol val="none"/>
        </c:marker>
      </c:pivotFmt>
      <c:pivotFmt>
        <c:idx val="1434"/>
        <c:marker>
          <c:symbol val="none"/>
        </c:marker>
      </c:pivotFmt>
      <c:pivotFmt>
        <c:idx val="1435"/>
        <c:marker>
          <c:symbol val="none"/>
        </c:marker>
      </c:pivotFmt>
      <c:pivotFmt>
        <c:idx val="1436"/>
        <c:marker>
          <c:symbol val="none"/>
        </c:marker>
      </c:pivotFmt>
      <c:pivotFmt>
        <c:idx val="1437"/>
        <c:marker>
          <c:symbol val="none"/>
        </c:marker>
      </c:pivotFmt>
      <c:pivotFmt>
        <c:idx val="1438"/>
        <c:marker>
          <c:symbol val="none"/>
        </c:marker>
      </c:pivotFmt>
      <c:pivotFmt>
        <c:idx val="1439"/>
        <c:marker>
          <c:symbol val="none"/>
        </c:marker>
      </c:pivotFmt>
      <c:pivotFmt>
        <c:idx val="1440"/>
        <c:marker>
          <c:symbol val="none"/>
        </c:marker>
      </c:pivotFmt>
      <c:pivotFmt>
        <c:idx val="1441"/>
        <c:marker>
          <c:symbol val="none"/>
        </c:marker>
      </c:pivotFmt>
      <c:pivotFmt>
        <c:idx val="1442"/>
        <c:marker>
          <c:symbol val="none"/>
        </c:marker>
      </c:pivotFmt>
      <c:pivotFmt>
        <c:idx val="1443"/>
        <c:marker>
          <c:symbol val="none"/>
        </c:marker>
      </c:pivotFmt>
      <c:pivotFmt>
        <c:idx val="1444"/>
        <c:marker>
          <c:symbol val="none"/>
        </c:marker>
      </c:pivotFmt>
      <c:pivotFmt>
        <c:idx val="1445"/>
        <c:marker>
          <c:symbol val="none"/>
        </c:marker>
      </c:pivotFmt>
      <c:pivotFmt>
        <c:idx val="1446"/>
        <c:marker>
          <c:symbol val="none"/>
        </c:marker>
      </c:pivotFmt>
      <c:pivotFmt>
        <c:idx val="1447"/>
        <c:marker>
          <c:symbol val="none"/>
        </c:marker>
      </c:pivotFmt>
      <c:pivotFmt>
        <c:idx val="1448"/>
        <c:marker>
          <c:symbol val="none"/>
        </c:marker>
      </c:pivotFmt>
      <c:pivotFmt>
        <c:idx val="1449"/>
        <c:marker>
          <c:symbol val="none"/>
        </c:marker>
      </c:pivotFmt>
      <c:pivotFmt>
        <c:idx val="1450"/>
        <c:marker>
          <c:symbol val="none"/>
        </c:marker>
      </c:pivotFmt>
      <c:pivotFmt>
        <c:idx val="1451"/>
        <c:marker>
          <c:symbol val="none"/>
        </c:marker>
      </c:pivotFmt>
      <c:pivotFmt>
        <c:idx val="1452"/>
        <c:marker>
          <c:symbol val="none"/>
        </c:marker>
      </c:pivotFmt>
      <c:pivotFmt>
        <c:idx val="1453"/>
        <c:marker>
          <c:symbol val="none"/>
        </c:marker>
      </c:pivotFmt>
      <c:pivotFmt>
        <c:idx val="1454"/>
        <c:marker>
          <c:symbol val="none"/>
        </c:marker>
      </c:pivotFmt>
      <c:pivotFmt>
        <c:idx val="1455"/>
        <c:marker>
          <c:symbol val="none"/>
        </c:marker>
      </c:pivotFmt>
      <c:pivotFmt>
        <c:idx val="1456"/>
        <c:marker>
          <c:symbol val="none"/>
        </c:marker>
      </c:pivotFmt>
      <c:pivotFmt>
        <c:idx val="1457"/>
        <c:marker>
          <c:symbol val="none"/>
        </c:marker>
      </c:pivotFmt>
      <c:pivotFmt>
        <c:idx val="1458"/>
        <c:marker>
          <c:symbol val="none"/>
        </c:marker>
      </c:pivotFmt>
      <c:pivotFmt>
        <c:idx val="1459"/>
        <c:marker>
          <c:symbol val="none"/>
        </c:marker>
      </c:pivotFmt>
      <c:pivotFmt>
        <c:idx val="1460"/>
        <c:marker>
          <c:symbol val="none"/>
        </c:marker>
      </c:pivotFmt>
      <c:pivotFmt>
        <c:idx val="1461"/>
        <c:marker>
          <c:symbol val="none"/>
        </c:marker>
      </c:pivotFmt>
      <c:pivotFmt>
        <c:idx val="1462"/>
        <c:marker>
          <c:symbol val="none"/>
        </c:marker>
      </c:pivotFmt>
      <c:pivotFmt>
        <c:idx val="1463"/>
        <c:marker>
          <c:symbol val="none"/>
        </c:marker>
      </c:pivotFmt>
      <c:pivotFmt>
        <c:idx val="1464"/>
        <c:marker>
          <c:symbol val="none"/>
        </c:marker>
      </c:pivotFmt>
      <c:pivotFmt>
        <c:idx val="1465"/>
        <c:marker>
          <c:symbol val="none"/>
        </c:marker>
      </c:pivotFmt>
      <c:pivotFmt>
        <c:idx val="1466"/>
        <c:marker>
          <c:symbol val="none"/>
        </c:marker>
      </c:pivotFmt>
      <c:pivotFmt>
        <c:idx val="1467"/>
        <c:marker>
          <c:symbol val="none"/>
        </c:marker>
      </c:pivotFmt>
      <c:pivotFmt>
        <c:idx val="1468"/>
        <c:marker>
          <c:symbol val="none"/>
        </c:marker>
      </c:pivotFmt>
      <c:pivotFmt>
        <c:idx val="1469"/>
        <c:marker>
          <c:symbol val="none"/>
        </c:marker>
      </c:pivotFmt>
      <c:pivotFmt>
        <c:idx val="1470"/>
        <c:marker>
          <c:symbol val="none"/>
        </c:marker>
      </c:pivotFmt>
      <c:pivotFmt>
        <c:idx val="1471"/>
        <c:marker>
          <c:symbol val="none"/>
        </c:marker>
      </c:pivotFmt>
      <c:pivotFmt>
        <c:idx val="1472"/>
        <c:marker>
          <c:symbol val="none"/>
        </c:marker>
      </c:pivotFmt>
      <c:pivotFmt>
        <c:idx val="1473"/>
        <c:marker>
          <c:symbol val="none"/>
        </c:marker>
      </c:pivotFmt>
      <c:pivotFmt>
        <c:idx val="1474"/>
        <c:marker>
          <c:symbol val="none"/>
        </c:marker>
      </c:pivotFmt>
      <c:pivotFmt>
        <c:idx val="1475"/>
        <c:marker>
          <c:symbol val="none"/>
        </c:marker>
      </c:pivotFmt>
      <c:pivotFmt>
        <c:idx val="1476"/>
        <c:marker>
          <c:symbol val="none"/>
        </c:marker>
      </c:pivotFmt>
      <c:pivotFmt>
        <c:idx val="1477"/>
        <c:marker>
          <c:symbol val="none"/>
        </c:marker>
      </c:pivotFmt>
      <c:pivotFmt>
        <c:idx val="1478"/>
        <c:marker>
          <c:symbol val="none"/>
        </c:marker>
      </c:pivotFmt>
      <c:pivotFmt>
        <c:idx val="1479"/>
        <c:marker>
          <c:symbol val="none"/>
        </c:marker>
      </c:pivotFmt>
      <c:pivotFmt>
        <c:idx val="1480"/>
        <c:marker>
          <c:symbol val="none"/>
        </c:marker>
      </c:pivotFmt>
      <c:pivotFmt>
        <c:idx val="1481"/>
        <c:marker>
          <c:symbol val="none"/>
        </c:marker>
      </c:pivotFmt>
      <c:pivotFmt>
        <c:idx val="1482"/>
        <c:marker>
          <c:symbol val="none"/>
        </c:marker>
      </c:pivotFmt>
      <c:pivotFmt>
        <c:idx val="1483"/>
        <c:marker>
          <c:symbol val="none"/>
        </c:marker>
      </c:pivotFmt>
      <c:pivotFmt>
        <c:idx val="1484"/>
        <c:marker>
          <c:symbol val="none"/>
        </c:marker>
      </c:pivotFmt>
      <c:pivotFmt>
        <c:idx val="1485"/>
        <c:marker>
          <c:symbol val="none"/>
        </c:marker>
      </c:pivotFmt>
      <c:pivotFmt>
        <c:idx val="1486"/>
        <c:marker>
          <c:symbol val="none"/>
        </c:marker>
      </c:pivotFmt>
      <c:pivotFmt>
        <c:idx val="1487"/>
        <c:marker>
          <c:symbol val="none"/>
        </c:marker>
      </c:pivotFmt>
      <c:pivotFmt>
        <c:idx val="1488"/>
        <c:marker>
          <c:symbol val="none"/>
        </c:marker>
      </c:pivotFmt>
      <c:pivotFmt>
        <c:idx val="1489"/>
        <c:marker>
          <c:symbol val="none"/>
        </c:marker>
      </c:pivotFmt>
      <c:pivotFmt>
        <c:idx val="1490"/>
        <c:marker>
          <c:symbol val="none"/>
        </c:marker>
      </c:pivotFmt>
      <c:pivotFmt>
        <c:idx val="1491"/>
        <c:marker>
          <c:symbol val="none"/>
        </c:marker>
      </c:pivotFmt>
      <c:pivotFmt>
        <c:idx val="1492"/>
        <c:marker>
          <c:symbol val="none"/>
        </c:marker>
      </c:pivotFmt>
      <c:pivotFmt>
        <c:idx val="1493"/>
        <c:marker>
          <c:symbol val="none"/>
        </c:marker>
      </c:pivotFmt>
      <c:pivotFmt>
        <c:idx val="1494"/>
        <c:marker>
          <c:symbol val="none"/>
        </c:marker>
      </c:pivotFmt>
      <c:pivotFmt>
        <c:idx val="1495"/>
        <c:marker>
          <c:symbol val="none"/>
        </c:marker>
      </c:pivotFmt>
      <c:pivotFmt>
        <c:idx val="1496"/>
        <c:marker>
          <c:symbol val="none"/>
        </c:marker>
      </c:pivotFmt>
      <c:pivotFmt>
        <c:idx val="1497"/>
        <c:marker>
          <c:symbol val="none"/>
        </c:marker>
      </c:pivotFmt>
      <c:pivotFmt>
        <c:idx val="1498"/>
        <c:marker>
          <c:symbol val="none"/>
        </c:marker>
      </c:pivotFmt>
      <c:pivotFmt>
        <c:idx val="1499"/>
        <c:marker>
          <c:symbol val="none"/>
        </c:marker>
      </c:pivotFmt>
      <c:pivotFmt>
        <c:idx val="1500"/>
        <c:marker>
          <c:symbol val="none"/>
        </c:marker>
      </c:pivotFmt>
      <c:pivotFmt>
        <c:idx val="1501"/>
        <c:marker>
          <c:symbol val="none"/>
        </c:marker>
      </c:pivotFmt>
      <c:pivotFmt>
        <c:idx val="1502"/>
        <c:marker>
          <c:symbol val="none"/>
        </c:marker>
      </c:pivotFmt>
      <c:pivotFmt>
        <c:idx val="1503"/>
        <c:marker>
          <c:symbol val="none"/>
        </c:marker>
      </c:pivotFmt>
      <c:pivotFmt>
        <c:idx val="1504"/>
        <c:marker>
          <c:symbol val="none"/>
        </c:marker>
      </c:pivotFmt>
      <c:pivotFmt>
        <c:idx val="1505"/>
        <c:marker>
          <c:symbol val="none"/>
        </c:marker>
      </c:pivotFmt>
      <c:pivotFmt>
        <c:idx val="1506"/>
        <c:marker>
          <c:symbol val="none"/>
        </c:marker>
      </c:pivotFmt>
      <c:pivotFmt>
        <c:idx val="1507"/>
        <c:marker>
          <c:symbol val="none"/>
        </c:marker>
      </c:pivotFmt>
      <c:pivotFmt>
        <c:idx val="1508"/>
        <c:marker>
          <c:symbol val="none"/>
        </c:marker>
      </c:pivotFmt>
      <c:pivotFmt>
        <c:idx val="1509"/>
        <c:marker>
          <c:symbol val="none"/>
        </c:marker>
      </c:pivotFmt>
      <c:pivotFmt>
        <c:idx val="1510"/>
        <c:marker>
          <c:symbol val="none"/>
        </c:marker>
      </c:pivotFmt>
      <c:pivotFmt>
        <c:idx val="1511"/>
        <c:marker>
          <c:symbol val="none"/>
        </c:marker>
      </c:pivotFmt>
      <c:pivotFmt>
        <c:idx val="1512"/>
        <c:marker>
          <c:symbol val="none"/>
        </c:marker>
      </c:pivotFmt>
      <c:pivotFmt>
        <c:idx val="1513"/>
        <c:marker>
          <c:symbol val="none"/>
        </c:marker>
      </c:pivotFmt>
      <c:pivotFmt>
        <c:idx val="1514"/>
        <c:marker>
          <c:symbol val="none"/>
        </c:marker>
      </c:pivotFmt>
      <c:pivotFmt>
        <c:idx val="1515"/>
        <c:marker>
          <c:symbol val="none"/>
        </c:marker>
      </c:pivotFmt>
      <c:pivotFmt>
        <c:idx val="1516"/>
        <c:marker>
          <c:symbol val="none"/>
        </c:marker>
      </c:pivotFmt>
      <c:pivotFmt>
        <c:idx val="1517"/>
        <c:marker>
          <c:symbol val="none"/>
        </c:marker>
      </c:pivotFmt>
      <c:pivotFmt>
        <c:idx val="1518"/>
        <c:marker>
          <c:symbol val="none"/>
        </c:marker>
      </c:pivotFmt>
      <c:pivotFmt>
        <c:idx val="1519"/>
        <c:marker>
          <c:symbol val="none"/>
        </c:marker>
      </c:pivotFmt>
      <c:pivotFmt>
        <c:idx val="1520"/>
        <c:marker>
          <c:symbol val="none"/>
        </c:marker>
      </c:pivotFmt>
      <c:pivotFmt>
        <c:idx val="1521"/>
        <c:marker>
          <c:symbol val="none"/>
        </c:marker>
      </c:pivotFmt>
      <c:pivotFmt>
        <c:idx val="1522"/>
        <c:marker>
          <c:symbol val="none"/>
        </c:marker>
      </c:pivotFmt>
      <c:pivotFmt>
        <c:idx val="1523"/>
        <c:marker>
          <c:symbol val="none"/>
        </c:marker>
      </c:pivotFmt>
      <c:pivotFmt>
        <c:idx val="1524"/>
        <c:marker>
          <c:symbol val="none"/>
        </c:marker>
      </c:pivotFmt>
      <c:pivotFmt>
        <c:idx val="1525"/>
        <c:marker>
          <c:symbol val="none"/>
        </c:marker>
      </c:pivotFmt>
      <c:pivotFmt>
        <c:idx val="1526"/>
        <c:marker>
          <c:symbol val="none"/>
        </c:marker>
      </c:pivotFmt>
      <c:pivotFmt>
        <c:idx val="1527"/>
        <c:marker>
          <c:symbol val="none"/>
        </c:marker>
      </c:pivotFmt>
      <c:pivotFmt>
        <c:idx val="1528"/>
        <c:marker>
          <c:symbol val="none"/>
        </c:marker>
      </c:pivotFmt>
      <c:pivotFmt>
        <c:idx val="1529"/>
        <c:marker>
          <c:symbol val="none"/>
        </c:marker>
      </c:pivotFmt>
      <c:pivotFmt>
        <c:idx val="1530"/>
        <c:marker>
          <c:symbol val="none"/>
        </c:marker>
      </c:pivotFmt>
      <c:pivotFmt>
        <c:idx val="1531"/>
        <c:marker>
          <c:symbol val="none"/>
        </c:marker>
      </c:pivotFmt>
      <c:pivotFmt>
        <c:idx val="1532"/>
        <c:marker>
          <c:symbol val="none"/>
        </c:marker>
      </c:pivotFmt>
      <c:pivotFmt>
        <c:idx val="1533"/>
        <c:marker>
          <c:symbol val="none"/>
        </c:marker>
      </c:pivotFmt>
      <c:pivotFmt>
        <c:idx val="1534"/>
        <c:marker>
          <c:symbol val="none"/>
        </c:marker>
      </c:pivotFmt>
      <c:pivotFmt>
        <c:idx val="1535"/>
        <c:marker>
          <c:symbol val="none"/>
        </c:marker>
      </c:pivotFmt>
      <c:pivotFmt>
        <c:idx val="1536"/>
        <c:marker>
          <c:symbol val="none"/>
        </c:marker>
      </c:pivotFmt>
      <c:pivotFmt>
        <c:idx val="1537"/>
        <c:marker>
          <c:symbol val="none"/>
        </c:marker>
      </c:pivotFmt>
      <c:pivotFmt>
        <c:idx val="1538"/>
        <c:marker>
          <c:symbol val="none"/>
        </c:marker>
      </c:pivotFmt>
      <c:pivotFmt>
        <c:idx val="1539"/>
        <c:marker>
          <c:symbol val="none"/>
        </c:marker>
      </c:pivotFmt>
      <c:pivotFmt>
        <c:idx val="1540"/>
        <c:marker>
          <c:symbol val="none"/>
        </c:marker>
      </c:pivotFmt>
      <c:pivotFmt>
        <c:idx val="1541"/>
        <c:marker>
          <c:symbol val="none"/>
        </c:marker>
      </c:pivotFmt>
      <c:pivotFmt>
        <c:idx val="1542"/>
        <c:marker>
          <c:symbol val="none"/>
        </c:marker>
      </c:pivotFmt>
      <c:pivotFmt>
        <c:idx val="1543"/>
        <c:marker>
          <c:symbol val="none"/>
        </c:marker>
      </c:pivotFmt>
      <c:pivotFmt>
        <c:idx val="1544"/>
        <c:marker>
          <c:symbol val="none"/>
        </c:marker>
      </c:pivotFmt>
      <c:pivotFmt>
        <c:idx val="1545"/>
        <c:marker>
          <c:symbol val="none"/>
        </c:marker>
      </c:pivotFmt>
      <c:pivotFmt>
        <c:idx val="1546"/>
        <c:marker>
          <c:symbol val="none"/>
        </c:marker>
      </c:pivotFmt>
      <c:pivotFmt>
        <c:idx val="1547"/>
        <c:marker>
          <c:symbol val="none"/>
        </c:marker>
      </c:pivotFmt>
      <c:pivotFmt>
        <c:idx val="1548"/>
        <c:marker>
          <c:symbol val="none"/>
        </c:marker>
      </c:pivotFmt>
      <c:pivotFmt>
        <c:idx val="1549"/>
        <c:marker>
          <c:symbol val="none"/>
        </c:marker>
      </c:pivotFmt>
      <c:pivotFmt>
        <c:idx val="1550"/>
        <c:marker>
          <c:symbol val="none"/>
        </c:marker>
      </c:pivotFmt>
      <c:pivotFmt>
        <c:idx val="1551"/>
        <c:marker>
          <c:symbol val="none"/>
        </c:marker>
      </c:pivotFmt>
      <c:pivotFmt>
        <c:idx val="1552"/>
        <c:marker>
          <c:symbol val="none"/>
        </c:marker>
      </c:pivotFmt>
      <c:pivotFmt>
        <c:idx val="1553"/>
        <c:marker>
          <c:symbol val="none"/>
        </c:marker>
      </c:pivotFmt>
      <c:pivotFmt>
        <c:idx val="1554"/>
        <c:marker>
          <c:symbol val="none"/>
        </c:marker>
      </c:pivotFmt>
      <c:pivotFmt>
        <c:idx val="1555"/>
        <c:marker>
          <c:symbol val="none"/>
        </c:marker>
      </c:pivotFmt>
      <c:pivotFmt>
        <c:idx val="1556"/>
        <c:marker>
          <c:symbol val="none"/>
        </c:marker>
      </c:pivotFmt>
      <c:pivotFmt>
        <c:idx val="1557"/>
        <c:marker>
          <c:symbol val="none"/>
        </c:marker>
      </c:pivotFmt>
      <c:pivotFmt>
        <c:idx val="1558"/>
        <c:marker>
          <c:symbol val="none"/>
        </c:marker>
      </c:pivotFmt>
      <c:pivotFmt>
        <c:idx val="1559"/>
        <c:marker>
          <c:symbol val="none"/>
        </c:marker>
      </c:pivotFmt>
      <c:pivotFmt>
        <c:idx val="1560"/>
        <c:marker>
          <c:symbol val="none"/>
        </c:marker>
      </c:pivotFmt>
      <c:pivotFmt>
        <c:idx val="1561"/>
        <c:marker>
          <c:symbol val="none"/>
        </c:marker>
      </c:pivotFmt>
      <c:pivotFmt>
        <c:idx val="1562"/>
        <c:marker>
          <c:symbol val="none"/>
        </c:marker>
      </c:pivotFmt>
      <c:pivotFmt>
        <c:idx val="1563"/>
        <c:marker>
          <c:symbol val="none"/>
        </c:marker>
      </c:pivotFmt>
      <c:pivotFmt>
        <c:idx val="1564"/>
        <c:marker>
          <c:symbol val="none"/>
        </c:marker>
      </c:pivotFmt>
      <c:pivotFmt>
        <c:idx val="1565"/>
        <c:marker>
          <c:symbol val="none"/>
        </c:marker>
      </c:pivotFmt>
      <c:pivotFmt>
        <c:idx val="1566"/>
        <c:marker>
          <c:symbol val="none"/>
        </c:marker>
      </c:pivotFmt>
      <c:pivotFmt>
        <c:idx val="1567"/>
        <c:marker>
          <c:symbol val="none"/>
        </c:marker>
      </c:pivotFmt>
      <c:pivotFmt>
        <c:idx val="1568"/>
        <c:marker>
          <c:symbol val="none"/>
        </c:marker>
      </c:pivotFmt>
      <c:pivotFmt>
        <c:idx val="1569"/>
        <c:marker>
          <c:symbol val="none"/>
        </c:marker>
      </c:pivotFmt>
      <c:pivotFmt>
        <c:idx val="1570"/>
        <c:marker>
          <c:symbol val="none"/>
        </c:marker>
      </c:pivotFmt>
      <c:pivotFmt>
        <c:idx val="1571"/>
        <c:marker>
          <c:symbol val="none"/>
        </c:marker>
      </c:pivotFmt>
      <c:pivotFmt>
        <c:idx val="1572"/>
        <c:marker>
          <c:symbol val="none"/>
        </c:marker>
      </c:pivotFmt>
      <c:pivotFmt>
        <c:idx val="1573"/>
        <c:marker>
          <c:symbol val="none"/>
        </c:marker>
      </c:pivotFmt>
      <c:pivotFmt>
        <c:idx val="1574"/>
        <c:marker>
          <c:symbol val="none"/>
        </c:marker>
      </c:pivotFmt>
      <c:pivotFmt>
        <c:idx val="1575"/>
        <c:marker>
          <c:symbol val="none"/>
        </c:marker>
      </c:pivotFmt>
      <c:pivotFmt>
        <c:idx val="1576"/>
        <c:marker>
          <c:symbol val="none"/>
        </c:marker>
      </c:pivotFmt>
      <c:pivotFmt>
        <c:idx val="1577"/>
        <c:marker>
          <c:symbol val="none"/>
        </c:marker>
      </c:pivotFmt>
      <c:pivotFmt>
        <c:idx val="1578"/>
        <c:marker>
          <c:symbol val="none"/>
        </c:marker>
      </c:pivotFmt>
      <c:pivotFmt>
        <c:idx val="1579"/>
        <c:marker>
          <c:symbol val="none"/>
        </c:marker>
      </c:pivotFmt>
      <c:pivotFmt>
        <c:idx val="1580"/>
        <c:marker>
          <c:symbol val="none"/>
        </c:marker>
      </c:pivotFmt>
      <c:pivotFmt>
        <c:idx val="1581"/>
        <c:marker>
          <c:symbol val="none"/>
        </c:marker>
      </c:pivotFmt>
      <c:pivotFmt>
        <c:idx val="1582"/>
        <c:marker>
          <c:symbol val="none"/>
        </c:marker>
      </c:pivotFmt>
      <c:pivotFmt>
        <c:idx val="1583"/>
        <c:marker>
          <c:symbol val="none"/>
        </c:marker>
      </c:pivotFmt>
      <c:pivotFmt>
        <c:idx val="1584"/>
        <c:marker>
          <c:symbol val="none"/>
        </c:marker>
      </c:pivotFmt>
      <c:pivotFmt>
        <c:idx val="1585"/>
        <c:marker>
          <c:symbol val="none"/>
        </c:marker>
      </c:pivotFmt>
      <c:pivotFmt>
        <c:idx val="1586"/>
        <c:marker>
          <c:symbol val="none"/>
        </c:marker>
      </c:pivotFmt>
      <c:pivotFmt>
        <c:idx val="1587"/>
        <c:marker>
          <c:symbol val="none"/>
        </c:marker>
      </c:pivotFmt>
      <c:pivotFmt>
        <c:idx val="1588"/>
        <c:marker>
          <c:symbol val="none"/>
        </c:marker>
      </c:pivotFmt>
      <c:pivotFmt>
        <c:idx val="1589"/>
        <c:marker>
          <c:symbol val="none"/>
        </c:marker>
      </c:pivotFmt>
      <c:pivotFmt>
        <c:idx val="1590"/>
        <c:marker>
          <c:symbol val="none"/>
        </c:marker>
      </c:pivotFmt>
      <c:pivotFmt>
        <c:idx val="1591"/>
        <c:marker>
          <c:symbol val="none"/>
        </c:marker>
      </c:pivotFmt>
      <c:pivotFmt>
        <c:idx val="1592"/>
        <c:marker>
          <c:symbol val="none"/>
        </c:marker>
      </c:pivotFmt>
      <c:pivotFmt>
        <c:idx val="1593"/>
        <c:marker>
          <c:symbol val="none"/>
        </c:marker>
      </c:pivotFmt>
      <c:pivotFmt>
        <c:idx val="1594"/>
        <c:marker>
          <c:symbol val="none"/>
        </c:marker>
      </c:pivotFmt>
      <c:pivotFmt>
        <c:idx val="1595"/>
        <c:marker>
          <c:symbol val="none"/>
        </c:marker>
      </c:pivotFmt>
      <c:pivotFmt>
        <c:idx val="1596"/>
        <c:marker>
          <c:symbol val="none"/>
        </c:marker>
      </c:pivotFmt>
      <c:pivotFmt>
        <c:idx val="1597"/>
        <c:marker>
          <c:symbol val="none"/>
        </c:marker>
      </c:pivotFmt>
      <c:pivotFmt>
        <c:idx val="1598"/>
        <c:marker>
          <c:symbol val="none"/>
        </c:marker>
      </c:pivotFmt>
      <c:pivotFmt>
        <c:idx val="1599"/>
        <c:marker>
          <c:symbol val="none"/>
        </c:marker>
      </c:pivotFmt>
      <c:pivotFmt>
        <c:idx val="1600"/>
        <c:marker>
          <c:symbol val="none"/>
        </c:marker>
      </c:pivotFmt>
      <c:pivotFmt>
        <c:idx val="1601"/>
        <c:marker>
          <c:symbol val="none"/>
        </c:marker>
      </c:pivotFmt>
      <c:pivotFmt>
        <c:idx val="1602"/>
        <c:marker>
          <c:symbol val="none"/>
        </c:marker>
      </c:pivotFmt>
      <c:pivotFmt>
        <c:idx val="1603"/>
        <c:marker>
          <c:symbol val="none"/>
        </c:marker>
      </c:pivotFmt>
      <c:pivotFmt>
        <c:idx val="1604"/>
        <c:marker>
          <c:symbol val="none"/>
        </c:marker>
      </c:pivotFmt>
      <c:pivotFmt>
        <c:idx val="1605"/>
        <c:marker>
          <c:symbol val="none"/>
        </c:marker>
      </c:pivotFmt>
      <c:pivotFmt>
        <c:idx val="1606"/>
        <c:marker>
          <c:symbol val="none"/>
        </c:marker>
      </c:pivotFmt>
      <c:pivotFmt>
        <c:idx val="1607"/>
        <c:marker>
          <c:symbol val="none"/>
        </c:marker>
      </c:pivotFmt>
      <c:pivotFmt>
        <c:idx val="1608"/>
        <c:marker>
          <c:symbol val="none"/>
        </c:marker>
      </c:pivotFmt>
      <c:pivotFmt>
        <c:idx val="1609"/>
        <c:marker>
          <c:symbol val="none"/>
        </c:marker>
      </c:pivotFmt>
      <c:pivotFmt>
        <c:idx val="1610"/>
        <c:marker>
          <c:symbol val="none"/>
        </c:marker>
      </c:pivotFmt>
      <c:pivotFmt>
        <c:idx val="1611"/>
        <c:marker>
          <c:symbol val="none"/>
        </c:marker>
      </c:pivotFmt>
      <c:pivotFmt>
        <c:idx val="1612"/>
        <c:marker>
          <c:symbol val="none"/>
        </c:marker>
      </c:pivotFmt>
      <c:pivotFmt>
        <c:idx val="1613"/>
        <c:marker>
          <c:symbol val="none"/>
        </c:marker>
      </c:pivotFmt>
      <c:pivotFmt>
        <c:idx val="1614"/>
        <c:marker>
          <c:symbol val="none"/>
        </c:marker>
      </c:pivotFmt>
      <c:pivotFmt>
        <c:idx val="1615"/>
        <c:marker>
          <c:symbol val="none"/>
        </c:marker>
      </c:pivotFmt>
      <c:pivotFmt>
        <c:idx val="1616"/>
        <c:marker>
          <c:symbol val="none"/>
        </c:marker>
      </c:pivotFmt>
      <c:pivotFmt>
        <c:idx val="1617"/>
        <c:marker>
          <c:symbol val="none"/>
        </c:marker>
      </c:pivotFmt>
      <c:pivotFmt>
        <c:idx val="1618"/>
        <c:marker>
          <c:symbol val="none"/>
        </c:marker>
      </c:pivotFmt>
      <c:pivotFmt>
        <c:idx val="1619"/>
        <c:marker>
          <c:symbol val="none"/>
        </c:marker>
      </c:pivotFmt>
      <c:pivotFmt>
        <c:idx val="1620"/>
        <c:marker>
          <c:symbol val="none"/>
        </c:marker>
      </c:pivotFmt>
      <c:pivotFmt>
        <c:idx val="1621"/>
        <c:marker>
          <c:symbol val="none"/>
        </c:marker>
      </c:pivotFmt>
      <c:pivotFmt>
        <c:idx val="1622"/>
        <c:marker>
          <c:symbol val="none"/>
        </c:marker>
      </c:pivotFmt>
      <c:pivotFmt>
        <c:idx val="1623"/>
        <c:marker>
          <c:symbol val="none"/>
        </c:marker>
      </c:pivotFmt>
      <c:pivotFmt>
        <c:idx val="1624"/>
        <c:marker>
          <c:symbol val="none"/>
        </c:marker>
      </c:pivotFmt>
      <c:pivotFmt>
        <c:idx val="1625"/>
        <c:marker>
          <c:symbol val="none"/>
        </c:marker>
      </c:pivotFmt>
      <c:pivotFmt>
        <c:idx val="1626"/>
        <c:marker>
          <c:symbol val="none"/>
        </c:marker>
      </c:pivotFmt>
      <c:pivotFmt>
        <c:idx val="1627"/>
        <c:marker>
          <c:symbol val="none"/>
        </c:marker>
      </c:pivotFmt>
      <c:pivotFmt>
        <c:idx val="1628"/>
        <c:marker>
          <c:symbol val="none"/>
        </c:marker>
      </c:pivotFmt>
      <c:pivotFmt>
        <c:idx val="1629"/>
        <c:marker>
          <c:symbol val="none"/>
        </c:marker>
      </c:pivotFmt>
      <c:pivotFmt>
        <c:idx val="1630"/>
        <c:marker>
          <c:symbol val="none"/>
        </c:marker>
      </c:pivotFmt>
      <c:pivotFmt>
        <c:idx val="1631"/>
        <c:marker>
          <c:symbol val="none"/>
        </c:marker>
      </c:pivotFmt>
      <c:pivotFmt>
        <c:idx val="1632"/>
        <c:marker>
          <c:symbol val="none"/>
        </c:marker>
      </c:pivotFmt>
      <c:pivotFmt>
        <c:idx val="1633"/>
        <c:marker>
          <c:symbol val="none"/>
        </c:marker>
      </c:pivotFmt>
      <c:pivotFmt>
        <c:idx val="1634"/>
        <c:marker>
          <c:symbol val="none"/>
        </c:marker>
      </c:pivotFmt>
      <c:pivotFmt>
        <c:idx val="1635"/>
        <c:marker>
          <c:symbol val="none"/>
        </c:marker>
      </c:pivotFmt>
      <c:pivotFmt>
        <c:idx val="1636"/>
        <c:marker>
          <c:symbol val="none"/>
        </c:marker>
      </c:pivotFmt>
      <c:pivotFmt>
        <c:idx val="1637"/>
        <c:marker>
          <c:symbol val="none"/>
        </c:marker>
      </c:pivotFmt>
      <c:pivotFmt>
        <c:idx val="1638"/>
        <c:marker>
          <c:symbol val="none"/>
        </c:marker>
      </c:pivotFmt>
      <c:pivotFmt>
        <c:idx val="1639"/>
        <c:marker>
          <c:symbol val="none"/>
        </c:marker>
      </c:pivotFmt>
      <c:pivotFmt>
        <c:idx val="1640"/>
        <c:marker>
          <c:symbol val="none"/>
        </c:marker>
      </c:pivotFmt>
      <c:pivotFmt>
        <c:idx val="1641"/>
        <c:marker>
          <c:symbol val="none"/>
        </c:marker>
      </c:pivotFmt>
      <c:pivotFmt>
        <c:idx val="1642"/>
        <c:marker>
          <c:symbol val="none"/>
        </c:marker>
      </c:pivotFmt>
      <c:pivotFmt>
        <c:idx val="1643"/>
        <c:marker>
          <c:symbol val="none"/>
        </c:marker>
      </c:pivotFmt>
      <c:pivotFmt>
        <c:idx val="1644"/>
        <c:marker>
          <c:symbol val="none"/>
        </c:marker>
      </c:pivotFmt>
      <c:pivotFmt>
        <c:idx val="1645"/>
        <c:marker>
          <c:symbol val="none"/>
        </c:marker>
      </c:pivotFmt>
      <c:pivotFmt>
        <c:idx val="1646"/>
        <c:marker>
          <c:symbol val="none"/>
        </c:marker>
      </c:pivotFmt>
      <c:pivotFmt>
        <c:idx val="1647"/>
        <c:marker>
          <c:symbol val="none"/>
        </c:marker>
      </c:pivotFmt>
      <c:pivotFmt>
        <c:idx val="1648"/>
        <c:marker>
          <c:symbol val="none"/>
        </c:marker>
      </c:pivotFmt>
      <c:pivotFmt>
        <c:idx val="1649"/>
        <c:marker>
          <c:symbol val="none"/>
        </c:marker>
      </c:pivotFmt>
      <c:pivotFmt>
        <c:idx val="1650"/>
        <c:marker>
          <c:symbol val="none"/>
        </c:marker>
      </c:pivotFmt>
      <c:pivotFmt>
        <c:idx val="1651"/>
        <c:marker>
          <c:symbol val="none"/>
        </c:marker>
      </c:pivotFmt>
      <c:pivotFmt>
        <c:idx val="1652"/>
        <c:marker>
          <c:symbol val="none"/>
        </c:marker>
      </c:pivotFmt>
      <c:pivotFmt>
        <c:idx val="1653"/>
        <c:marker>
          <c:symbol val="none"/>
        </c:marker>
      </c:pivotFmt>
      <c:pivotFmt>
        <c:idx val="1654"/>
        <c:marker>
          <c:symbol val="none"/>
        </c:marker>
      </c:pivotFmt>
      <c:pivotFmt>
        <c:idx val="1655"/>
        <c:marker>
          <c:symbol val="none"/>
        </c:marker>
      </c:pivotFmt>
      <c:pivotFmt>
        <c:idx val="1656"/>
        <c:marker>
          <c:symbol val="none"/>
        </c:marker>
      </c:pivotFmt>
      <c:pivotFmt>
        <c:idx val="1657"/>
        <c:marker>
          <c:symbol val="none"/>
        </c:marker>
      </c:pivotFmt>
      <c:pivotFmt>
        <c:idx val="1658"/>
        <c:marker>
          <c:symbol val="none"/>
        </c:marker>
      </c:pivotFmt>
      <c:pivotFmt>
        <c:idx val="1659"/>
        <c:marker>
          <c:symbol val="none"/>
        </c:marker>
      </c:pivotFmt>
      <c:pivotFmt>
        <c:idx val="1660"/>
        <c:marker>
          <c:symbol val="none"/>
        </c:marker>
      </c:pivotFmt>
      <c:pivotFmt>
        <c:idx val="1661"/>
        <c:marker>
          <c:symbol val="none"/>
        </c:marker>
      </c:pivotFmt>
      <c:pivotFmt>
        <c:idx val="1662"/>
        <c:marker>
          <c:symbol val="none"/>
        </c:marker>
      </c:pivotFmt>
      <c:pivotFmt>
        <c:idx val="1663"/>
        <c:marker>
          <c:symbol val="none"/>
        </c:marker>
      </c:pivotFmt>
      <c:pivotFmt>
        <c:idx val="1664"/>
        <c:marker>
          <c:symbol val="none"/>
        </c:marker>
      </c:pivotFmt>
      <c:pivotFmt>
        <c:idx val="1665"/>
        <c:marker>
          <c:symbol val="none"/>
        </c:marker>
      </c:pivotFmt>
      <c:pivotFmt>
        <c:idx val="1666"/>
        <c:marker>
          <c:symbol val="none"/>
        </c:marker>
      </c:pivotFmt>
      <c:pivotFmt>
        <c:idx val="1667"/>
        <c:marker>
          <c:symbol val="none"/>
        </c:marker>
      </c:pivotFmt>
      <c:pivotFmt>
        <c:idx val="1668"/>
        <c:marker>
          <c:symbol val="none"/>
        </c:marker>
      </c:pivotFmt>
      <c:pivotFmt>
        <c:idx val="1669"/>
        <c:marker>
          <c:symbol val="none"/>
        </c:marker>
      </c:pivotFmt>
      <c:pivotFmt>
        <c:idx val="1670"/>
        <c:marker>
          <c:symbol val="none"/>
        </c:marker>
      </c:pivotFmt>
      <c:pivotFmt>
        <c:idx val="1671"/>
        <c:marker>
          <c:symbol val="none"/>
        </c:marker>
      </c:pivotFmt>
      <c:pivotFmt>
        <c:idx val="1672"/>
        <c:marker>
          <c:symbol val="none"/>
        </c:marker>
      </c:pivotFmt>
      <c:pivotFmt>
        <c:idx val="1673"/>
        <c:marker>
          <c:symbol val="none"/>
        </c:marker>
      </c:pivotFmt>
      <c:pivotFmt>
        <c:idx val="1674"/>
        <c:marker>
          <c:symbol val="none"/>
        </c:marker>
      </c:pivotFmt>
      <c:pivotFmt>
        <c:idx val="1675"/>
        <c:marker>
          <c:symbol val="none"/>
        </c:marker>
      </c:pivotFmt>
      <c:pivotFmt>
        <c:idx val="1676"/>
        <c:marker>
          <c:symbol val="none"/>
        </c:marker>
      </c:pivotFmt>
      <c:pivotFmt>
        <c:idx val="1677"/>
        <c:marker>
          <c:symbol val="none"/>
        </c:marker>
      </c:pivotFmt>
      <c:pivotFmt>
        <c:idx val="1678"/>
        <c:marker>
          <c:symbol val="none"/>
        </c:marker>
      </c:pivotFmt>
      <c:pivotFmt>
        <c:idx val="1679"/>
        <c:marker>
          <c:symbol val="none"/>
        </c:marker>
      </c:pivotFmt>
      <c:pivotFmt>
        <c:idx val="1680"/>
        <c:marker>
          <c:symbol val="none"/>
        </c:marker>
      </c:pivotFmt>
      <c:pivotFmt>
        <c:idx val="1681"/>
        <c:marker>
          <c:symbol val="none"/>
        </c:marker>
      </c:pivotFmt>
      <c:pivotFmt>
        <c:idx val="1682"/>
        <c:marker>
          <c:symbol val="none"/>
        </c:marker>
      </c:pivotFmt>
      <c:pivotFmt>
        <c:idx val="1683"/>
        <c:marker>
          <c:symbol val="none"/>
        </c:marker>
      </c:pivotFmt>
      <c:pivotFmt>
        <c:idx val="1684"/>
        <c:marker>
          <c:symbol val="none"/>
        </c:marker>
      </c:pivotFmt>
      <c:pivotFmt>
        <c:idx val="1685"/>
        <c:marker>
          <c:symbol val="none"/>
        </c:marker>
      </c:pivotFmt>
      <c:pivotFmt>
        <c:idx val="1686"/>
        <c:marker>
          <c:symbol val="none"/>
        </c:marker>
      </c:pivotFmt>
      <c:pivotFmt>
        <c:idx val="1687"/>
        <c:marker>
          <c:symbol val="none"/>
        </c:marker>
      </c:pivotFmt>
      <c:pivotFmt>
        <c:idx val="1688"/>
        <c:marker>
          <c:symbol val="none"/>
        </c:marker>
      </c:pivotFmt>
      <c:pivotFmt>
        <c:idx val="1689"/>
        <c:marker>
          <c:symbol val="none"/>
        </c:marker>
      </c:pivotFmt>
      <c:pivotFmt>
        <c:idx val="1690"/>
        <c:marker>
          <c:symbol val="none"/>
        </c:marker>
      </c:pivotFmt>
      <c:pivotFmt>
        <c:idx val="1691"/>
        <c:marker>
          <c:symbol val="none"/>
        </c:marker>
      </c:pivotFmt>
      <c:pivotFmt>
        <c:idx val="1692"/>
        <c:marker>
          <c:symbol val="none"/>
        </c:marker>
      </c:pivotFmt>
      <c:pivotFmt>
        <c:idx val="1693"/>
        <c:marker>
          <c:symbol val="none"/>
        </c:marker>
      </c:pivotFmt>
      <c:pivotFmt>
        <c:idx val="1694"/>
        <c:marker>
          <c:symbol val="none"/>
        </c:marker>
      </c:pivotFmt>
      <c:pivotFmt>
        <c:idx val="1695"/>
        <c:marker>
          <c:symbol val="none"/>
        </c:marker>
      </c:pivotFmt>
      <c:pivotFmt>
        <c:idx val="1696"/>
        <c:marker>
          <c:symbol val="none"/>
        </c:marker>
      </c:pivotFmt>
      <c:pivotFmt>
        <c:idx val="1697"/>
        <c:marker>
          <c:symbol val="none"/>
        </c:marker>
      </c:pivotFmt>
      <c:pivotFmt>
        <c:idx val="1698"/>
        <c:marker>
          <c:symbol val="none"/>
        </c:marker>
      </c:pivotFmt>
      <c:pivotFmt>
        <c:idx val="1699"/>
        <c:marker>
          <c:symbol val="none"/>
        </c:marker>
      </c:pivotFmt>
      <c:pivotFmt>
        <c:idx val="1700"/>
        <c:marker>
          <c:symbol val="none"/>
        </c:marker>
      </c:pivotFmt>
      <c:pivotFmt>
        <c:idx val="1701"/>
        <c:marker>
          <c:symbol val="none"/>
        </c:marker>
      </c:pivotFmt>
      <c:pivotFmt>
        <c:idx val="1702"/>
        <c:marker>
          <c:symbol val="none"/>
        </c:marker>
      </c:pivotFmt>
      <c:pivotFmt>
        <c:idx val="1703"/>
        <c:marker>
          <c:symbol val="none"/>
        </c:marker>
      </c:pivotFmt>
      <c:pivotFmt>
        <c:idx val="1704"/>
        <c:marker>
          <c:symbol val="none"/>
        </c:marker>
      </c:pivotFmt>
      <c:pivotFmt>
        <c:idx val="1705"/>
        <c:marker>
          <c:symbol val="none"/>
        </c:marker>
      </c:pivotFmt>
      <c:pivotFmt>
        <c:idx val="1706"/>
        <c:marker>
          <c:symbol val="none"/>
        </c:marker>
      </c:pivotFmt>
      <c:pivotFmt>
        <c:idx val="1707"/>
        <c:marker>
          <c:symbol val="none"/>
        </c:marker>
      </c:pivotFmt>
      <c:pivotFmt>
        <c:idx val="1708"/>
        <c:marker>
          <c:symbol val="none"/>
        </c:marker>
      </c:pivotFmt>
      <c:pivotFmt>
        <c:idx val="1709"/>
        <c:marker>
          <c:symbol val="none"/>
        </c:marker>
      </c:pivotFmt>
      <c:pivotFmt>
        <c:idx val="1710"/>
        <c:marker>
          <c:symbol val="none"/>
        </c:marker>
      </c:pivotFmt>
      <c:pivotFmt>
        <c:idx val="1711"/>
        <c:marker>
          <c:symbol val="none"/>
        </c:marker>
      </c:pivotFmt>
      <c:pivotFmt>
        <c:idx val="1712"/>
        <c:marker>
          <c:symbol val="none"/>
        </c:marker>
      </c:pivotFmt>
      <c:pivotFmt>
        <c:idx val="1713"/>
        <c:marker>
          <c:symbol val="none"/>
        </c:marker>
      </c:pivotFmt>
      <c:pivotFmt>
        <c:idx val="1714"/>
        <c:marker>
          <c:symbol val="none"/>
        </c:marker>
      </c:pivotFmt>
      <c:pivotFmt>
        <c:idx val="1715"/>
        <c:marker>
          <c:symbol val="none"/>
        </c:marker>
      </c:pivotFmt>
      <c:pivotFmt>
        <c:idx val="1716"/>
        <c:marker>
          <c:symbol val="none"/>
        </c:marker>
      </c:pivotFmt>
      <c:pivotFmt>
        <c:idx val="1717"/>
        <c:marker>
          <c:symbol val="none"/>
        </c:marker>
      </c:pivotFmt>
      <c:pivotFmt>
        <c:idx val="1718"/>
        <c:marker>
          <c:symbol val="none"/>
        </c:marker>
      </c:pivotFmt>
      <c:pivotFmt>
        <c:idx val="1719"/>
        <c:marker>
          <c:symbol val="none"/>
        </c:marker>
      </c:pivotFmt>
      <c:pivotFmt>
        <c:idx val="1720"/>
        <c:marker>
          <c:symbol val="none"/>
        </c:marker>
      </c:pivotFmt>
      <c:pivotFmt>
        <c:idx val="1721"/>
        <c:marker>
          <c:symbol val="none"/>
        </c:marker>
      </c:pivotFmt>
      <c:pivotFmt>
        <c:idx val="1722"/>
        <c:marker>
          <c:symbol val="none"/>
        </c:marker>
      </c:pivotFmt>
      <c:pivotFmt>
        <c:idx val="1723"/>
        <c:marker>
          <c:symbol val="none"/>
        </c:marker>
      </c:pivotFmt>
      <c:pivotFmt>
        <c:idx val="1724"/>
        <c:marker>
          <c:symbol val="none"/>
        </c:marker>
      </c:pivotFmt>
      <c:pivotFmt>
        <c:idx val="1725"/>
        <c:marker>
          <c:symbol val="none"/>
        </c:marker>
      </c:pivotFmt>
      <c:pivotFmt>
        <c:idx val="1726"/>
        <c:marker>
          <c:symbol val="none"/>
        </c:marker>
      </c:pivotFmt>
      <c:pivotFmt>
        <c:idx val="1727"/>
        <c:marker>
          <c:symbol val="none"/>
        </c:marker>
      </c:pivotFmt>
      <c:pivotFmt>
        <c:idx val="1728"/>
        <c:marker>
          <c:symbol val="none"/>
        </c:marker>
      </c:pivotFmt>
      <c:pivotFmt>
        <c:idx val="1729"/>
        <c:marker>
          <c:symbol val="none"/>
        </c:marker>
      </c:pivotFmt>
      <c:pivotFmt>
        <c:idx val="1730"/>
        <c:marker>
          <c:symbol val="none"/>
        </c:marker>
      </c:pivotFmt>
      <c:pivotFmt>
        <c:idx val="1731"/>
        <c:marker>
          <c:symbol val="none"/>
        </c:marker>
      </c:pivotFmt>
      <c:pivotFmt>
        <c:idx val="1732"/>
        <c:marker>
          <c:symbol val="none"/>
        </c:marker>
      </c:pivotFmt>
      <c:pivotFmt>
        <c:idx val="1733"/>
        <c:marker>
          <c:symbol val="none"/>
        </c:marker>
      </c:pivotFmt>
      <c:pivotFmt>
        <c:idx val="1734"/>
        <c:marker>
          <c:symbol val="none"/>
        </c:marker>
      </c:pivotFmt>
      <c:pivotFmt>
        <c:idx val="1735"/>
        <c:marker>
          <c:symbol val="none"/>
        </c:marker>
      </c:pivotFmt>
      <c:pivotFmt>
        <c:idx val="1736"/>
        <c:marker>
          <c:symbol val="none"/>
        </c:marker>
      </c:pivotFmt>
      <c:pivotFmt>
        <c:idx val="1737"/>
        <c:marker>
          <c:symbol val="none"/>
        </c:marker>
      </c:pivotFmt>
      <c:pivotFmt>
        <c:idx val="1738"/>
        <c:marker>
          <c:symbol val="none"/>
        </c:marker>
      </c:pivotFmt>
      <c:pivotFmt>
        <c:idx val="1739"/>
        <c:marker>
          <c:symbol val="none"/>
        </c:marker>
      </c:pivotFmt>
      <c:pivotFmt>
        <c:idx val="1740"/>
        <c:marker>
          <c:symbol val="none"/>
        </c:marker>
      </c:pivotFmt>
      <c:pivotFmt>
        <c:idx val="1741"/>
        <c:marker>
          <c:symbol val="none"/>
        </c:marker>
      </c:pivotFmt>
      <c:pivotFmt>
        <c:idx val="1742"/>
        <c:marker>
          <c:symbol val="none"/>
        </c:marker>
      </c:pivotFmt>
      <c:pivotFmt>
        <c:idx val="1743"/>
        <c:marker>
          <c:symbol val="none"/>
        </c:marker>
      </c:pivotFmt>
      <c:pivotFmt>
        <c:idx val="1744"/>
        <c:marker>
          <c:symbol val="none"/>
        </c:marker>
      </c:pivotFmt>
      <c:pivotFmt>
        <c:idx val="1745"/>
        <c:marker>
          <c:symbol val="none"/>
        </c:marker>
      </c:pivotFmt>
      <c:pivotFmt>
        <c:idx val="1746"/>
        <c:marker>
          <c:symbol val="none"/>
        </c:marker>
      </c:pivotFmt>
      <c:pivotFmt>
        <c:idx val="1747"/>
        <c:marker>
          <c:symbol val="none"/>
        </c:marker>
      </c:pivotFmt>
      <c:pivotFmt>
        <c:idx val="1748"/>
        <c:marker>
          <c:symbol val="none"/>
        </c:marker>
      </c:pivotFmt>
      <c:pivotFmt>
        <c:idx val="1749"/>
        <c:marker>
          <c:symbol val="none"/>
        </c:marker>
      </c:pivotFmt>
      <c:pivotFmt>
        <c:idx val="1750"/>
        <c:marker>
          <c:symbol val="none"/>
        </c:marker>
      </c:pivotFmt>
      <c:pivotFmt>
        <c:idx val="1751"/>
        <c:marker>
          <c:symbol val="none"/>
        </c:marker>
      </c:pivotFmt>
      <c:pivotFmt>
        <c:idx val="1752"/>
        <c:marker>
          <c:symbol val="none"/>
        </c:marker>
      </c:pivotFmt>
      <c:pivotFmt>
        <c:idx val="1753"/>
        <c:marker>
          <c:symbol val="none"/>
        </c:marker>
      </c:pivotFmt>
      <c:pivotFmt>
        <c:idx val="1754"/>
        <c:marker>
          <c:symbol val="none"/>
        </c:marker>
      </c:pivotFmt>
      <c:pivotFmt>
        <c:idx val="1755"/>
        <c:marker>
          <c:symbol val="none"/>
        </c:marker>
      </c:pivotFmt>
      <c:pivotFmt>
        <c:idx val="1756"/>
        <c:marker>
          <c:symbol val="none"/>
        </c:marker>
      </c:pivotFmt>
      <c:pivotFmt>
        <c:idx val="1757"/>
        <c:marker>
          <c:symbol val="none"/>
        </c:marker>
      </c:pivotFmt>
      <c:pivotFmt>
        <c:idx val="1758"/>
        <c:marker>
          <c:symbol val="none"/>
        </c:marker>
      </c:pivotFmt>
      <c:pivotFmt>
        <c:idx val="1759"/>
        <c:marker>
          <c:symbol val="none"/>
        </c:marker>
      </c:pivotFmt>
      <c:pivotFmt>
        <c:idx val="1760"/>
        <c:marker>
          <c:symbol val="none"/>
        </c:marker>
      </c:pivotFmt>
      <c:pivotFmt>
        <c:idx val="1761"/>
        <c:marker>
          <c:symbol val="none"/>
        </c:marker>
      </c:pivotFmt>
      <c:pivotFmt>
        <c:idx val="1762"/>
        <c:marker>
          <c:symbol val="none"/>
        </c:marker>
      </c:pivotFmt>
      <c:pivotFmt>
        <c:idx val="1763"/>
        <c:marker>
          <c:symbol val="none"/>
        </c:marker>
      </c:pivotFmt>
      <c:pivotFmt>
        <c:idx val="1764"/>
        <c:marker>
          <c:symbol val="none"/>
        </c:marker>
      </c:pivotFmt>
      <c:pivotFmt>
        <c:idx val="1765"/>
        <c:marker>
          <c:symbol val="none"/>
        </c:marker>
      </c:pivotFmt>
      <c:pivotFmt>
        <c:idx val="1766"/>
        <c:marker>
          <c:symbol val="none"/>
        </c:marker>
      </c:pivotFmt>
      <c:pivotFmt>
        <c:idx val="1767"/>
        <c:marker>
          <c:symbol val="none"/>
        </c:marker>
      </c:pivotFmt>
      <c:pivotFmt>
        <c:idx val="1768"/>
        <c:marker>
          <c:symbol val="none"/>
        </c:marker>
      </c:pivotFmt>
      <c:pivotFmt>
        <c:idx val="1769"/>
        <c:marker>
          <c:symbol val="none"/>
        </c:marker>
      </c:pivotFmt>
      <c:pivotFmt>
        <c:idx val="1770"/>
        <c:marker>
          <c:symbol val="none"/>
        </c:marker>
      </c:pivotFmt>
      <c:pivotFmt>
        <c:idx val="1771"/>
        <c:marker>
          <c:symbol val="none"/>
        </c:marker>
      </c:pivotFmt>
      <c:pivotFmt>
        <c:idx val="1772"/>
        <c:marker>
          <c:symbol val="none"/>
        </c:marker>
      </c:pivotFmt>
      <c:pivotFmt>
        <c:idx val="1773"/>
        <c:marker>
          <c:symbol val="none"/>
        </c:marker>
      </c:pivotFmt>
      <c:pivotFmt>
        <c:idx val="1774"/>
        <c:marker>
          <c:symbol val="none"/>
        </c:marker>
      </c:pivotFmt>
      <c:pivotFmt>
        <c:idx val="1775"/>
        <c:marker>
          <c:symbol val="none"/>
        </c:marker>
      </c:pivotFmt>
      <c:pivotFmt>
        <c:idx val="1776"/>
        <c:marker>
          <c:symbol val="none"/>
        </c:marker>
      </c:pivotFmt>
      <c:pivotFmt>
        <c:idx val="1777"/>
        <c:marker>
          <c:symbol val="none"/>
        </c:marker>
      </c:pivotFmt>
      <c:pivotFmt>
        <c:idx val="1778"/>
        <c:marker>
          <c:symbol val="none"/>
        </c:marker>
      </c:pivotFmt>
      <c:pivotFmt>
        <c:idx val="1779"/>
        <c:marker>
          <c:symbol val="none"/>
        </c:marker>
      </c:pivotFmt>
      <c:pivotFmt>
        <c:idx val="1780"/>
        <c:marker>
          <c:symbol val="none"/>
        </c:marker>
      </c:pivotFmt>
      <c:pivotFmt>
        <c:idx val="1781"/>
        <c:marker>
          <c:symbol val="none"/>
        </c:marker>
      </c:pivotFmt>
      <c:pivotFmt>
        <c:idx val="1782"/>
        <c:marker>
          <c:symbol val="none"/>
        </c:marker>
      </c:pivotFmt>
      <c:pivotFmt>
        <c:idx val="1783"/>
        <c:marker>
          <c:symbol val="none"/>
        </c:marker>
      </c:pivotFmt>
      <c:pivotFmt>
        <c:idx val="1784"/>
        <c:marker>
          <c:symbol val="none"/>
        </c:marker>
      </c:pivotFmt>
      <c:pivotFmt>
        <c:idx val="1785"/>
        <c:marker>
          <c:symbol val="none"/>
        </c:marker>
      </c:pivotFmt>
      <c:pivotFmt>
        <c:idx val="1786"/>
        <c:marker>
          <c:symbol val="none"/>
        </c:marker>
      </c:pivotFmt>
      <c:pivotFmt>
        <c:idx val="1787"/>
        <c:marker>
          <c:symbol val="none"/>
        </c:marker>
      </c:pivotFmt>
      <c:pivotFmt>
        <c:idx val="1788"/>
        <c:marker>
          <c:symbol val="none"/>
        </c:marker>
      </c:pivotFmt>
      <c:pivotFmt>
        <c:idx val="1789"/>
        <c:marker>
          <c:symbol val="none"/>
        </c:marker>
      </c:pivotFmt>
      <c:pivotFmt>
        <c:idx val="1790"/>
        <c:marker>
          <c:symbol val="none"/>
        </c:marker>
      </c:pivotFmt>
      <c:pivotFmt>
        <c:idx val="1791"/>
        <c:marker>
          <c:symbol val="none"/>
        </c:marker>
      </c:pivotFmt>
      <c:pivotFmt>
        <c:idx val="1792"/>
        <c:marker>
          <c:symbol val="none"/>
        </c:marker>
      </c:pivotFmt>
      <c:pivotFmt>
        <c:idx val="1793"/>
        <c:marker>
          <c:symbol val="none"/>
        </c:marker>
      </c:pivotFmt>
      <c:pivotFmt>
        <c:idx val="1794"/>
        <c:marker>
          <c:symbol val="none"/>
        </c:marker>
      </c:pivotFmt>
      <c:pivotFmt>
        <c:idx val="1795"/>
        <c:marker>
          <c:symbol val="none"/>
        </c:marker>
      </c:pivotFmt>
      <c:pivotFmt>
        <c:idx val="1796"/>
        <c:marker>
          <c:symbol val="none"/>
        </c:marker>
      </c:pivotFmt>
      <c:pivotFmt>
        <c:idx val="1797"/>
        <c:marker>
          <c:symbol val="none"/>
        </c:marker>
      </c:pivotFmt>
      <c:pivotFmt>
        <c:idx val="1798"/>
        <c:marker>
          <c:symbol val="none"/>
        </c:marker>
      </c:pivotFmt>
      <c:pivotFmt>
        <c:idx val="1799"/>
        <c:marker>
          <c:symbol val="none"/>
        </c:marker>
      </c:pivotFmt>
      <c:pivotFmt>
        <c:idx val="1800"/>
        <c:marker>
          <c:symbol val="none"/>
        </c:marker>
      </c:pivotFmt>
      <c:pivotFmt>
        <c:idx val="1801"/>
        <c:marker>
          <c:symbol val="none"/>
        </c:marker>
      </c:pivotFmt>
      <c:pivotFmt>
        <c:idx val="1802"/>
        <c:marker>
          <c:symbol val="none"/>
        </c:marker>
      </c:pivotFmt>
      <c:pivotFmt>
        <c:idx val="1803"/>
        <c:marker>
          <c:symbol val="none"/>
        </c:marker>
      </c:pivotFmt>
      <c:pivotFmt>
        <c:idx val="1804"/>
        <c:marker>
          <c:symbol val="none"/>
        </c:marker>
      </c:pivotFmt>
      <c:pivotFmt>
        <c:idx val="1805"/>
        <c:marker>
          <c:symbol val="none"/>
        </c:marker>
      </c:pivotFmt>
      <c:pivotFmt>
        <c:idx val="1806"/>
        <c:marker>
          <c:symbol val="none"/>
        </c:marker>
      </c:pivotFmt>
      <c:pivotFmt>
        <c:idx val="1807"/>
        <c:marker>
          <c:symbol val="none"/>
        </c:marker>
      </c:pivotFmt>
      <c:pivotFmt>
        <c:idx val="1808"/>
        <c:marker>
          <c:symbol val="none"/>
        </c:marker>
      </c:pivotFmt>
      <c:pivotFmt>
        <c:idx val="1809"/>
        <c:marker>
          <c:symbol val="none"/>
        </c:marker>
      </c:pivotFmt>
      <c:pivotFmt>
        <c:idx val="1810"/>
        <c:marker>
          <c:symbol val="none"/>
        </c:marker>
      </c:pivotFmt>
      <c:pivotFmt>
        <c:idx val="1811"/>
        <c:marker>
          <c:symbol val="none"/>
        </c:marker>
      </c:pivotFmt>
      <c:pivotFmt>
        <c:idx val="1812"/>
        <c:marker>
          <c:symbol val="none"/>
        </c:marker>
      </c:pivotFmt>
      <c:pivotFmt>
        <c:idx val="1813"/>
        <c:marker>
          <c:symbol val="none"/>
        </c:marker>
      </c:pivotFmt>
      <c:pivotFmt>
        <c:idx val="1814"/>
        <c:marker>
          <c:symbol val="none"/>
        </c:marker>
      </c:pivotFmt>
      <c:pivotFmt>
        <c:idx val="1815"/>
        <c:marker>
          <c:symbol val="none"/>
        </c:marker>
      </c:pivotFmt>
      <c:pivotFmt>
        <c:idx val="1816"/>
        <c:marker>
          <c:symbol val="none"/>
        </c:marker>
      </c:pivotFmt>
      <c:pivotFmt>
        <c:idx val="1817"/>
        <c:marker>
          <c:symbol val="none"/>
        </c:marker>
      </c:pivotFmt>
      <c:pivotFmt>
        <c:idx val="1818"/>
        <c:marker>
          <c:symbol val="none"/>
        </c:marker>
      </c:pivotFmt>
      <c:pivotFmt>
        <c:idx val="1819"/>
        <c:marker>
          <c:symbol val="none"/>
        </c:marker>
      </c:pivotFmt>
      <c:pivotFmt>
        <c:idx val="1820"/>
        <c:marker>
          <c:symbol val="none"/>
        </c:marker>
      </c:pivotFmt>
      <c:pivotFmt>
        <c:idx val="1821"/>
        <c:marker>
          <c:symbol val="none"/>
        </c:marker>
      </c:pivotFmt>
      <c:pivotFmt>
        <c:idx val="1822"/>
        <c:marker>
          <c:symbol val="none"/>
        </c:marker>
      </c:pivotFmt>
      <c:pivotFmt>
        <c:idx val="1823"/>
        <c:marker>
          <c:symbol val="none"/>
        </c:marker>
      </c:pivotFmt>
      <c:pivotFmt>
        <c:idx val="1824"/>
        <c:marker>
          <c:symbol val="none"/>
        </c:marker>
      </c:pivotFmt>
      <c:pivotFmt>
        <c:idx val="1825"/>
        <c:marker>
          <c:symbol val="none"/>
        </c:marker>
      </c:pivotFmt>
      <c:pivotFmt>
        <c:idx val="1826"/>
        <c:marker>
          <c:symbol val="none"/>
        </c:marker>
      </c:pivotFmt>
      <c:pivotFmt>
        <c:idx val="1827"/>
        <c:marker>
          <c:symbol val="none"/>
        </c:marker>
      </c:pivotFmt>
      <c:pivotFmt>
        <c:idx val="1828"/>
        <c:marker>
          <c:symbol val="none"/>
        </c:marker>
      </c:pivotFmt>
      <c:pivotFmt>
        <c:idx val="1829"/>
        <c:marker>
          <c:symbol val="none"/>
        </c:marker>
      </c:pivotFmt>
      <c:pivotFmt>
        <c:idx val="1830"/>
        <c:marker>
          <c:symbol val="none"/>
        </c:marker>
      </c:pivotFmt>
      <c:pivotFmt>
        <c:idx val="1831"/>
        <c:marker>
          <c:symbol val="none"/>
        </c:marker>
      </c:pivotFmt>
      <c:pivotFmt>
        <c:idx val="1832"/>
        <c:marker>
          <c:symbol val="none"/>
        </c:marker>
      </c:pivotFmt>
      <c:pivotFmt>
        <c:idx val="1833"/>
        <c:marker>
          <c:symbol val="none"/>
        </c:marker>
      </c:pivotFmt>
      <c:pivotFmt>
        <c:idx val="1834"/>
        <c:marker>
          <c:symbol val="none"/>
        </c:marker>
      </c:pivotFmt>
      <c:pivotFmt>
        <c:idx val="1835"/>
        <c:marker>
          <c:symbol val="none"/>
        </c:marker>
      </c:pivotFmt>
      <c:pivotFmt>
        <c:idx val="1836"/>
        <c:marker>
          <c:symbol val="none"/>
        </c:marker>
      </c:pivotFmt>
      <c:pivotFmt>
        <c:idx val="1837"/>
        <c:marker>
          <c:symbol val="none"/>
        </c:marker>
      </c:pivotFmt>
      <c:pivotFmt>
        <c:idx val="1838"/>
        <c:marker>
          <c:symbol val="none"/>
        </c:marker>
      </c:pivotFmt>
      <c:pivotFmt>
        <c:idx val="1839"/>
        <c:marker>
          <c:symbol val="none"/>
        </c:marker>
      </c:pivotFmt>
      <c:pivotFmt>
        <c:idx val="1840"/>
        <c:marker>
          <c:symbol val="none"/>
        </c:marker>
      </c:pivotFmt>
      <c:pivotFmt>
        <c:idx val="1841"/>
        <c:marker>
          <c:symbol val="none"/>
        </c:marker>
      </c:pivotFmt>
      <c:pivotFmt>
        <c:idx val="1842"/>
        <c:marker>
          <c:symbol val="none"/>
        </c:marker>
      </c:pivotFmt>
      <c:pivotFmt>
        <c:idx val="1843"/>
        <c:marker>
          <c:symbol val="none"/>
        </c:marker>
      </c:pivotFmt>
      <c:pivotFmt>
        <c:idx val="1844"/>
        <c:marker>
          <c:symbol val="none"/>
        </c:marker>
      </c:pivotFmt>
      <c:pivotFmt>
        <c:idx val="1845"/>
        <c:marker>
          <c:symbol val="none"/>
        </c:marker>
      </c:pivotFmt>
      <c:pivotFmt>
        <c:idx val="1846"/>
        <c:marker>
          <c:symbol val="none"/>
        </c:marker>
      </c:pivotFmt>
      <c:pivotFmt>
        <c:idx val="1847"/>
        <c:marker>
          <c:symbol val="none"/>
        </c:marker>
      </c:pivotFmt>
      <c:pivotFmt>
        <c:idx val="1848"/>
        <c:marker>
          <c:symbol val="none"/>
        </c:marker>
      </c:pivotFmt>
      <c:pivotFmt>
        <c:idx val="1849"/>
        <c:marker>
          <c:symbol val="none"/>
        </c:marker>
      </c:pivotFmt>
      <c:pivotFmt>
        <c:idx val="1850"/>
        <c:marker>
          <c:symbol val="none"/>
        </c:marker>
      </c:pivotFmt>
      <c:pivotFmt>
        <c:idx val="1851"/>
        <c:marker>
          <c:symbol val="none"/>
        </c:marker>
      </c:pivotFmt>
      <c:pivotFmt>
        <c:idx val="1852"/>
        <c:marker>
          <c:symbol val="none"/>
        </c:marker>
      </c:pivotFmt>
      <c:pivotFmt>
        <c:idx val="1853"/>
        <c:marker>
          <c:symbol val="none"/>
        </c:marker>
      </c:pivotFmt>
      <c:pivotFmt>
        <c:idx val="1854"/>
        <c:marker>
          <c:symbol val="none"/>
        </c:marker>
      </c:pivotFmt>
      <c:pivotFmt>
        <c:idx val="1855"/>
        <c:marker>
          <c:symbol val="none"/>
        </c:marker>
      </c:pivotFmt>
      <c:pivotFmt>
        <c:idx val="1856"/>
        <c:marker>
          <c:symbol val="none"/>
        </c:marker>
      </c:pivotFmt>
      <c:pivotFmt>
        <c:idx val="1857"/>
        <c:marker>
          <c:symbol val="none"/>
        </c:marker>
      </c:pivotFmt>
      <c:pivotFmt>
        <c:idx val="1858"/>
        <c:marker>
          <c:symbol val="none"/>
        </c:marker>
      </c:pivotFmt>
      <c:pivotFmt>
        <c:idx val="1859"/>
        <c:marker>
          <c:symbol val="none"/>
        </c:marker>
      </c:pivotFmt>
      <c:pivotFmt>
        <c:idx val="1860"/>
        <c:marker>
          <c:symbol val="none"/>
        </c:marker>
      </c:pivotFmt>
      <c:pivotFmt>
        <c:idx val="1861"/>
        <c:marker>
          <c:symbol val="none"/>
        </c:marker>
      </c:pivotFmt>
      <c:pivotFmt>
        <c:idx val="1862"/>
        <c:marker>
          <c:symbol val="none"/>
        </c:marker>
      </c:pivotFmt>
      <c:pivotFmt>
        <c:idx val="1863"/>
        <c:marker>
          <c:symbol val="none"/>
        </c:marker>
      </c:pivotFmt>
      <c:pivotFmt>
        <c:idx val="1864"/>
        <c:marker>
          <c:symbol val="none"/>
        </c:marker>
      </c:pivotFmt>
      <c:pivotFmt>
        <c:idx val="1865"/>
        <c:marker>
          <c:symbol val="none"/>
        </c:marker>
      </c:pivotFmt>
      <c:pivotFmt>
        <c:idx val="1866"/>
        <c:marker>
          <c:symbol val="none"/>
        </c:marker>
      </c:pivotFmt>
      <c:pivotFmt>
        <c:idx val="1867"/>
        <c:marker>
          <c:symbol val="none"/>
        </c:marker>
      </c:pivotFmt>
      <c:pivotFmt>
        <c:idx val="1868"/>
        <c:marker>
          <c:symbol val="none"/>
        </c:marker>
      </c:pivotFmt>
      <c:pivotFmt>
        <c:idx val="1869"/>
        <c:marker>
          <c:symbol val="none"/>
        </c:marker>
      </c:pivotFmt>
      <c:pivotFmt>
        <c:idx val="1870"/>
        <c:marker>
          <c:symbol val="none"/>
        </c:marker>
      </c:pivotFmt>
      <c:pivotFmt>
        <c:idx val="1871"/>
        <c:marker>
          <c:symbol val="none"/>
        </c:marker>
      </c:pivotFmt>
      <c:pivotFmt>
        <c:idx val="1872"/>
        <c:marker>
          <c:symbol val="none"/>
        </c:marker>
      </c:pivotFmt>
      <c:pivotFmt>
        <c:idx val="1873"/>
        <c:marker>
          <c:symbol val="none"/>
        </c:marker>
      </c:pivotFmt>
      <c:pivotFmt>
        <c:idx val="1874"/>
        <c:marker>
          <c:symbol val="none"/>
        </c:marker>
      </c:pivotFmt>
      <c:pivotFmt>
        <c:idx val="1875"/>
        <c:marker>
          <c:symbol val="none"/>
        </c:marker>
      </c:pivotFmt>
      <c:pivotFmt>
        <c:idx val="1876"/>
        <c:marker>
          <c:symbol val="none"/>
        </c:marker>
      </c:pivotFmt>
      <c:pivotFmt>
        <c:idx val="1877"/>
        <c:marker>
          <c:symbol val="none"/>
        </c:marker>
      </c:pivotFmt>
      <c:pivotFmt>
        <c:idx val="1878"/>
        <c:marker>
          <c:symbol val="none"/>
        </c:marker>
      </c:pivotFmt>
      <c:pivotFmt>
        <c:idx val="1879"/>
        <c:marker>
          <c:symbol val="none"/>
        </c:marker>
      </c:pivotFmt>
      <c:pivotFmt>
        <c:idx val="1880"/>
        <c:marker>
          <c:symbol val="none"/>
        </c:marker>
      </c:pivotFmt>
      <c:pivotFmt>
        <c:idx val="1881"/>
        <c:marker>
          <c:symbol val="none"/>
        </c:marker>
      </c:pivotFmt>
      <c:pivotFmt>
        <c:idx val="1882"/>
        <c:marker>
          <c:symbol val="none"/>
        </c:marker>
      </c:pivotFmt>
      <c:pivotFmt>
        <c:idx val="1883"/>
        <c:marker>
          <c:symbol val="none"/>
        </c:marker>
      </c:pivotFmt>
      <c:pivotFmt>
        <c:idx val="1884"/>
        <c:marker>
          <c:symbol val="none"/>
        </c:marker>
      </c:pivotFmt>
      <c:pivotFmt>
        <c:idx val="1885"/>
        <c:marker>
          <c:symbol val="none"/>
        </c:marker>
      </c:pivotFmt>
      <c:pivotFmt>
        <c:idx val="1886"/>
        <c:marker>
          <c:symbol val="none"/>
        </c:marker>
      </c:pivotFmt>
      <c:pivotFmt>
        <c:idx val="1887"/>
        <c:marker>
          <c:symbol val="none"/>
        </c:marker>
      </c:pivotFmt>
      <c:pivotFmt>
        <c:idx val="1888"/>
        <c:marker>
          <c:symbol val="none"/>
        </c:marker>
      </c:pivotFmt>
      <c:pivotFmt>
        <c:idx val="1889"/>
        <c:marker>
          <c:symbol val="none"/>
        </c:marker>
      </c:pivotFmt>
      <c:pivotFmt>
        <c:idx val="1890"/>
        <c:marker>
          <c:symbol val="none"/>
        </c:marker>
      </c:pivotFmt>
      <c:pivotFmt>
        <c:idx val="1891"/>
        <c:marker>
          <c:symbol val="none"/>
        </c:marker>
      </c:pivotFmt>
      <c:pivotFmt>
        <c:idx val="1892"/>
        <c:marker>
          <c:symbol val="none"/>
        </c:marker>
      </c:pivotFmt>
      <c:pivotFmt>
        <c:idx val="1893"/>
        <c:marker>
          <c:symbol val="none"/>
        </c:marker>
      </c:pivotFmt>
      <c:pivotFmt>
        <c:idx val="1894"/>
        <c:marker>
          <c:symbol val="none"/>
        </c:marker>
      </c:pivotFmt>
      <c:pivotFmt>
        <c:idx val="1895"/>
        <c:marker>
          <c:symbol val="none"/>
        </c:marker>
      </c:pivotFmt>
      <c:pivotFmt>
        <c:idx val="1896"/>
        <c:marker>
          <c:symbol val="none"/>
        </c:marker>
      </c:pivotFmt>
      <c:pivotFmt>
        <c:idx val="1897"/>
        <c:marker>
          <c:symbol val="none"/>
        </c:marker>
      </c:pivotFmt>
      <c:pivotFmt>
        <c:idx val="1898"/>
        <c:marker>
          <c:symbol val="none"/>
        </c:marker>
      </c:pivotFmt>
      <c:pivotFmt>
        <c:idx val="1899"/>
        <c:marker>
          <c:symbol val="none"/>
        </c:marker>
      </c:pivotFmt>
      <c:pivotFmt>
        <c:idx val="1900"/>
        <c:marker>
          <c:symbol val="none"/>
        </c:marker>
      </c:pivotFmt>
      <c:pivotFmt>
        <c:idx val="1901"/>
        <c:marker>
          <c:symbol val="none"/>
        </c:marker>
      </c:pivotFmt>
      <c:pivotFmt>
        <c:idx val="1902"/>
        <c:marker>
          <c:symbol val="none"/>
        </c:marker>
      </c:pivotFmt>
      <c:pivotFmt>
        <c:idx val="1903"/>
        <c:marker>
          <c:symbol val="none"/>
        </c:marker>
      </c:pivotFmt>
      <c:pivotFmt>
        <c:idx val="1904"/>
        <c:marker>
          <c:symbol val="none"/>
        </c:marker>
      </c:pivotFmt>
      <c:pivotFmt>
        <c:idx val="1905"/>
        <c:marker>
          <c:symbol val="none"/>
        </c:marker>
      </c:pivotFmt>
      <c:pivotFmt>
        <c:idx val="1906"/>
        <c:marker>
          <c:symbol val="none"/>
        </c:marker>
      </c:pivotFmt>
      <c:pivotFmt>
        <c:idx val="1907"/>
        <c:marker>
          <c:symbol val="none"/>
        </c:marker>
      </c:pivotFmt>
      <c:pivotFmt>
        <c:idx val="1908"/>
        <c:marker>
          <c:symbol val="none"/>
        </c:marker>
      </c:pivotFmt>
      <c:pivotFmt>
        <c:idx val="1909"/>
        <c:marker>
          <c:symbol val="none"/>
        </c:marker>
      </c:pivotFmt>
      <c:pivotFmt>
        <c:idx val="1910"/>
        <c:marker>
          <c:symbol val="none"/>
        </c:marker>
      </c:pivotFmt>
      <c:pivotFmt>
        <c:idx val="1911"/>
        <c:marker>
          <c:symbol val="none"/>
        </c:marker>
      </c:pivotFmt>
      <c:pivotFmt>
        <c:idx val="1912"/>
        <c:marker>
          <c:symbol val="none"/>
        </c:marker>
      </c:pivotFmt>
      <c:pivotFmt>
        <c:idx val="1913"/>
        <c:marker>
          <c:symbol val="none"/>
        </c:marker>
      </c:pivotFmt>
      <c:pivotFmt>
        <c:idx val="1914"/>
        <c:marker>
          <c:symbol val="none"/>
        </c:marker>
      </c:pivotFmt>
      <c:pivotFmt>
        <c:idx val="1915"/>
        <c:marker>
          <c:symbol val="none"/>
        </c:marker>
      </c:pivotFmt>
      <c:pivotFmt>
        <c:idx val="1916"/>
        <c:marker>
          <c:symbol val="none"/>
        </c:marker>
      </c:pivotFmt>
      <c:pivotFmt>
        <c:idx val="1917"/>
        <c:marker>
          <c:symbol val="none"/>
        </c:marker>
      </c:pivotFmt>
      <c:pivotFmt>
        <c:idx val="1918"/>
        <c:marker>
          <c:symbol val="none"/>
        </c:marker>
      </c:pivotFmt>
      <c:pivotFmt>
        <c:idx val="1919"/>
        <c:marker>
          <c:symbol val="none"/>
        </c:marker>
      </c:pivotFmt>
      <c:pivotFmt>
        <c:idx val="1920"/>
        <c:marker>
          <c:symbol val="none"/>
        </c:marker>
      </c:pivotFmt>
      <c:pivotFmt>
        <c:idx val="1921"/>
        <c:marker>
          <c:symbol val="none"/>
        </c:marker>
      </c:pivotFmt>
      <c:pivotFmt>
        <c:idx val="1922"/>
        <c:marker>
          <c:symbol val="none"/>
        </c:marker>
      </c:pivotFmt>
      <c:pivotFmt>
        <c:idx val="1923"/>
        <c:marker>
          <c:symbol val="none"/>
        </c:marker>
      </c:pivotFmt>
      <c:pivotFmt>
        <c:idx val="1924"/>
        <c:marker>
          <c:symbol val="none"/>
        </c:marker>
      </c:pivotFmt>
      <c:pivotFmt>
        <c:idx val="1925"/>
        <c:marker>
          <c:symbol val="none"/>
        </c:marker>
      </c:pivotFmt>
      <c:pivotFmt>
        <c:idx val="1926"/>
        <c:marker>
          <c:symbol val="none"/>
        </c:marker>
      </c:pivotFmt>
      <c:pivotFmt>
        <c:idx val="1927"/>
        <c:marker>
          <c:symbol val="none"/>
        </c:marker>
      </c:pivotFmt>
      <c:pivotFmt>
        <c:idx val="1928"/>
        <c:marker>
          <c:symbol val="none"/>
        </c:marker>
      </c:pivotFmt>
      <c:pivotFmt>
        <c:idx val="1929"/>
        <c:marker>
          <c:symbol val="none"/>
        </c:marker>
      </c:pivotFmt>
      <c:pivotFmt>
        <c:idx val="1930"/>
        <c:marker>
          <c:symbol val="none"/>
        </c:marker>
      </c:pivotFmt>
      <c:pivotFmt>
        <c:idx val="1931"/>
        <c:marker>
          <c:symbol val="none"/>
        </c:marker>
      </c:pivotFmt>
      <c:pivotFmt>
        <c:idx val="1932"/>
        <c:marker>
          <c:symbol val="none"/>
        </c:marker>
      </c:pivotFmt>
      <c:pivotFmt>
        <c:idx val="1933"/>
        <c:marker>
          <c:symbol val="none"/>
        </c:marker>
      </c:pivotFmt>
      <c:pivotFmt>
        <c:idx val="1934"/>
        <c:marker>
          <c:symbol val="none"/>
        </c:marker>
      </c:pivotFmt>
      <c:pivotFmt>
        <c:idx val="1935"/>
        <c:marker>
          <c:symbol val="none"/>
        </c:marker>
      </c:pivotFmt>
      <c:pivotFmt>
        <c:idx val="1936"/>
        <c:marker>
          <c:symbol val="none"/>
        </c:marker>
      </c:pivotFmt>
      <c:pivotFmt>
        <c:idx val="1937"/>
        <c:marker>
          <c:symbol val="none"/>
        </c:marker>
      </c:pivotFmt>
      <c:pivotFmt>
        <c:idx val="1938"/>
        <c:marker>
          <c:symbol val="none"/>
        </c:marker>
      </c:pivotFmt>
      <c:pivotFmt>
        <c:idx val="1939"/>
        <c:marker>
          <c:symbol val="none"/>
        </c:marker>
      </c:pivotFmt>
      <c:pivotFmt>
        <c:idx val="1940"/>
        <c:marker>
          <c:symbol val="none"/>
        </c:marker>
      </c:pivotFmt>
      <c:pivotFmt>
        <c:idx val="1941"/>
        <c:marker>
          <c:symbol val="none"/>
        </c:marker>
      </c:pivotFmt>
      <c:pivotFmt>
        <c:idx val="1942"/>
        <c:marker>
          <c:symbol val="none"/>
        </c:marker>
      </c:pivotFmt>
      <c:pivotFmt>
        <c:idx val="1943"/>
        <c:marker>
          <c:symbol val="none"/>
        </c:marker>
      </c:pivotFmt>
      <c:pivotFmt>
        <c:idx val="1944"/>
        <c:marker>
          <c:symbol val="none"/>
        </c:marker>
      </c:pivotFmt>
      <c:pivotFmt>
        <c:idx val="1945"/>
        <c:marker>
          <c:symbol val="none"/>
        </c:marker>
      </c:pivotFmt>
      <c:pivotFmt>
        <c:idx val="1946"/>
        <c:marker>
          <c:symbol val="none"/>
        </c:marker>
      </c:pivotFmt>
      <c:pivotFmt>
        <c:idx val="1947"/>
        <c:marker>
          <c:symbol val="none"/>
        </c:marker>
      </c:pivotFmt>
      <c:pivotFmt>
        <c:idx val="1948"/>
        <c:marker>
          <c:symbol val="none"/>
        </c:marker>
      </c:pivotFmt>
      <c:pivotFmt>
        <c:idx val="1949"/>
        <c:marker>
          <c:symbol val="none"/>
        </c:marker>
      </c:pivotFmt>
      <c:pivotFmt>
        <c:idx val="1950"/>
        <c:marker>
          <c:symbol val="none"/>
        </c:marker>
      </c:pivotFmt>
      <c:pivotFmt>
        <c:idx val="1951"/>
        <c:marker>
          <c:symbol val="none"/>
        </c:marker>
      </c:pivotFmt>
      <c:pivotFmt>
        <c:idx val="1952"/>
        <c:marker>
          <c:symbol val="none"/>
        </c:marker>
      </c:pivotFmt>
      <c:pivotFmt>
        <c:idx val="1953"/>
        <c:marker>
          <c:symbol val="none"/>
        </c:marker>
      </c:pivotFmt>
      <c:pivotFmt>
        <c:idx val="1954"/>
        <c:marker>
          <c:symbol val="none"/>
        </c:marker>
      </c:pivotFmt>
      <c:pivotFmt>
        <c:idx val="1955"/>
        <c:marker>
          <c:symbol val="none"/>
        </c:marker>
      </c:pivotFmt>
      <c:pivotFmt>
        <c:idx val="1956"/>
        <c:marker>
          <c:symbol val="none"/>
        </c:marker>
      </c:pivotFmt>
      <c:pivotFmt>
        <c:idx val="1957"/>
        <c:marker>
          <c:symbol val="none"/>
        </c:marker>
      </c:pivotFmt>
      <c:pivotFmt>
        <c:idx val="1958"/>
        <c:marker>
          <c:symbol val="none"/>
        </c:marker>
      </c:pivotFmt>
      <c:pivotFmt>
        <c:idx val="1959"/>
        <c:marker>
          <c:symbol val="none"/>
        </c:marker>
      </c:pivotFmt>
      <c:pivotFmt>
        <c:idx val="1960"/>
        <c:marker>
          <c:symbol val="none"/>
        </c:marker>
      </c:pivotFmt>
      <c:pivotFmt>
        <c:idx val="1961"/>
        <c:marker>
          <c:symbol val="none"/>
        </c:marker>
      </c:pivotFmt>
      <c:pivotFmt>
        <c:idx val="1962"/>
        <c:marker>
          <c:symbol val="none"/>
        </c:marker>
      </c:pivotFmt>
      <c:pivotFmt>
        <c:idx val="1963"/>
        <c:marker>
          <c:symbol val="none"/>
        </c:marker>
      </c:pivotFmt>
      <c:pivotFmt>
        <c:idx val="1964"/>
        <c:marker>
          <c:symbol val="none"/>
        </c:marker>
      </c:pivotFmt>
      <c:pivotFmt>
        <c:idx val="1965"/>
        <c:marker>
          <c:symbol val="none"/>
        </c:marker>
      </c:pivotFmt>
      <c:pivotFmt>
        <c:idx val="1966"/>
        <c:marker>
          <c:symbol val="none"/>
        </c:marker>
      </c:pivotFmt>
      <c:pivotFmt>
        <c:idx val="1967"/>
        <c:marker>
          <c:symbol val="none"/>
        </c:marker>
      </c:pivotFmt>
      <c:pivotFmt>
        <c:idx val="1968"/>
        <c:marker>
          <c:symbol val="none"/>
        </c:marker>
      </c:pivotFmt>
      <c:pivotFmt>
        <c:idx val="1969"/>
        <c:marker>
          <c:symbol val="none"/>
        </c:marker>
      </c:pivotFmt>
      <c:pivotFmt>
        <c:idx val="1970"/>
        <c:marker>
          <c:symbol val="none"/>
        </c:marker>
      </c:pivotFmt>
      <c:pivotFmt>
        <c:idx val="1971"/>
        <c:marker>
          <c:symbol val="none"/>
        </c:marker>
      </c:pivotFmt>
      <c:pivotFmt>
        <c:idx val="1972"/>
        <c:marker>
          <c:symbol val="none"/>
        </c:marker>
      </c:pivotFmt>
      <c:pivotFmt>
        <c:idx val="1973"/>
        <c:marker>
          <c:symbol val="none"/>
        </c:marker>
      </c:pivotFmt>
      <c:pivotFmt>
        <c:idx val="1974"/>
        <c:marker>
          <c:symbol val="none"/>
        </c:marker>
      </c:pivotFmt>
      <c:pivotFmt>
        <c:idx val="1975"/>
        <c:marker>
          <c:symbol val="none"/>
        </c:marker>
      </c:pivotFmt>
      <c:pivotFmt>
        <c:idx val="1976"/>
        <c:marker>
          <c:symbol val="none"/>
        </c:marker>
      </c:pivotFmt>
      <c:pivotFmt>
        <c:idx val="1977"/>
        <c:marker>
          <c:symbol val="none"/>
        </c:marker>
      </c:pivotFmt>
      <c:pivotFmt>
        <c:idx val="1978"/>
        <c:marker>
          <c:symbol val="none"/>
        </c:marker>
      </c:pivotFmt>
      <c:pivotFmt>
        <c:idx val="1979"/>
        <c:marker>
          <c:symbol val="none"/>
        </c:marker>
      </c:pivotFmt>
      <c:pivotFmt>
        <c:idx val="1980"/>
        <c:marker>
          <c:symbol val="none"/>
        </c:marker>
      </c:pivotFmt>
      <c:pivotFmt>
        <c:idx val="1981"/>
        <c:marker>
          <c:symbol val="none"/>
        </c:marker>
      </c:pivotFmt>
      <c:pivotFmt>
        <c:idx val="1982"/>
        <c:marker>
          <c:symbol val="none"/>
        </c:marker>
      </c:pivotFmt>
      <c:pivotFmt>
        <c:idx val="1983"/>
        <c:marker>
          <c:symbol val="none"/>
        </c:marker>
      </c:pivotFmt>
      <c:pivotFmt>
        <c:idx val="1984"/>
        <c:marker>
          <c:symbol val="none"/>
        </c:marker>
      </c:pivotFmt>
      <c:pivotFmt>
        <c:idx val="1985"/>
        <c:marker>
          <c:symbol val="none"/>
        </c:marker>
      </c:pivotFmt>
      <c:pivotFmt>
        <c:idx val="1986"/>
        <c:marker>
          <c:symbol val="none"/>
        </c:marker>
      </c:pivotFmt>
      <c:pivotFmt>
        <c:idx val="1987"/>
        <c:marker>
          <c:symbol val="none"/>
        </c:marker>
      </c:pivotFmt>
      <c:pivotFmt>
        <c:idx val="1988"/>
        <c:marker>
          <c:symbol val="none"/>
        </c:marker>
      </c:pivotFmt>
      <c:pivotFmt>
        <c:idx val="1989"/>
        <c:marker>
          <c:symbol val="none"/>
        </c:marker>
      </c:pivotFmt>
      <c:pivotFmt>
        <c:idx val="1990"/>
        <c:marker>
          <c:symbol val="none"/>
        </c:marker>
      </c:pivotFmt>
      <c:pivotFmt>
        <c:idx val="1991"/>
        <c:marker>
          <c:symbol val="none"/>
        </c:marker>
      </c:pivotFmt>
      <c:pivotFmt>
        <c:idx val="1992"/>
        <c:marker>
          <c:symbol val="none"/>
        </c:marker>
      </c:pivotFmt>
      <c:pivotFmt>
        <c:idx val="1993"/>
        <c:marker>
          <c:symbol val="none"/>
        </c:marker>
      </c:pivotFmt>
      <c:pivotFmt>
        <c:idx val="1994"/>
        <c:marker>
          <c:symbol val="none"/>
        </c:marker>
      </c:pivotFmt>
      <c:pivotFmt>
        <c:idx val="1995"/>
        <c:marker>
          <c:symbol val="none"/>
        </c:marker>
      </c:pivotFmt>
      <c:pivotFmt>
        <c:idx val="1996"/>
        <c:marker>
          <c:symbol val="none"/>
        </c:marker>
      </c:pivotFmt>
      <c:pivotFmt>
        <c:idx val="1997"/>
        <c:marker>
          <c:symbol val="none"/>
        </c:marker>
      </c:pivotFmt>
      <c:pivotFmt>
        <c:idx val="1998"/>
        <c:marker>
          <c:symbol val="none"/>
        </c:marker>
      </c:pivotFmt>
      <c:pivotFmt>
        <c:idx val="1999"/>
        <c:marker>
          <c:symbol val="none"/>
        </c:marker>
      </c:pivotFmt>
      <c:pivotFmt>
        <c:idx val="2000"/>
        <c:marker>
          <c:symbol val="none"/>
        </c:marker>
      </c:pivotFmt>
      <c:pivotFmt>
        <c:idx val="2001"/>
        <c:marker>
          <c:symbol val="none"/>
        </c:marker>
      </c:pivotFmt>
      <c:pivotFmt>
        <c:idx val="2002"/>
        <c:marker>
          <c:symbol val="none"/>
        </c:marker>
      </c:pivotFmt>
      <c:pivotFmt>
        <c:idx val="2003"/>
        <c:marker>
          <c:symbol val="none"/>
        </c:marker>
      </c:pivotFmt>
      <c:pivotFmt>
        <c:idx val="2004"/>
        <c:marker>
          <c:symbol val="none"/>
        </c:marker>
      </c:pivotFmt>
      <c:pivotFmt>
        <c:idx val="2005"/>
        <c:marker>
          <c:symbol val="none"/>
        </c:marker>
      </c:pivotFmt>
      <c:pivotFmt>
        <c:idx val="2006"/>
        <c:marker>
          <c:symbol val="none"/>
        </c:marker>
      </c:pivotFmt>
      <c:pivotFmt>
        <c:idx val="2007"/>
        <c:marker>
          <c:symbol val="none"/>
        </c:marker>
      </c:pivotFmt>
      <c:pivotFmt>
        <c:idx val="2008"/>
        <c:marker>
          <c:symbol val="none"/>
        </c:marker>
      </c:pivotFmt>
      <c:pivotFmt>
        <c:idx val="2009"/>
        <c:marker>
          <c:symbol val="none"/>
        </c:marker>
      </c:pivotFmt>
      <c:pivotFmt>
        <c:idx val="2010"/>
        <c:marker>
          <c:symbol val="none"/>
        </c:marker>
      </c:pivotFmt>
      <c:pivotFmt>
        <c:idx val="2011"/>
        <c:marker>
          <c:symbol val="none"/>
        </c:marker>
      </c:pivotFmt>
      <c:pivotFmt>
        <c:idx val="2012"/>
        <c:marker>
          <c:symbol val="none"/>
        </c:marker>
      </c:pivotFmt>
      <c:pivotFmt>
        <c:idx val="2013"/>
        <c:marker>
          <c:symbol val="none"/>
        </c:marker>
      </c:pivotFmt>
      <c:pivotFmt>
        <c:idx val="2014"/>
        <c:marker>
          <c:symbol val="none"/>
        </c:marker>
      </c:pivotFmt>
      <c:pivotFmt>
        <c:idx val="2015"/>
        <c:marker>
          <c:symbol val="none"/>
        </c:marker>
      </c:pivotFmt>
      <c:pivotFmt>
        <c:idx val="2016"/>
        <c:marker>
          <c:symbol val="none"/>
        </c:marker>
      </c:pivotFmt>
      <c:pivotFmt>
        <c:idx val="2017"/>
        <c:marker>
          <c:symbol val="none"/>
        </c:marker>
      </c:pivotFmt>
      <c:pivotFmt>
        <c:idx val="2018"/>
        <c:marker>
          <c:symbol val="none"/>
        </c:marker>
      </c:pivotFmt>
      <c:pivotFmt>
        <c:idx val="2019"/>
        <c:marker>
          <c:symbol val="none"/>
        </c:marker>
      </c:pivotFmt>
      <c:pivotFmt>
        <c:idx val="2020"/>
        <c:marker>
          <c:symbol val="none"/>
        </c:marker>
      </c:pivotFmt>
      <c:pivotFmt>
        <c:idx val="2021"/>
        <c:marker>
          <c:symbol val="none"/>
        </c:marker>
      </c:pivotFmt>
      <c:pivotFmt>
        <c:idx val="2022"/>
        <c:marker>
          <c:symbol val="none"/>
        </c:marker>
      </c:pivotFmt>
      <c:pivotFmt>
        <c:idx val="2023"/>
        <c:marker>
          <c:symbol val="none"/>
        </c:marker>
      </c:pivotFmt>
      <c:pivotFmt>
        <c:idx val="2024"/>
        <c:marker>
          <c:symbol val="none"/>
        </c:marker>
      </c:pivotFmt>
      <c:pivotFmt>
        <c:idx val="2025"/>
        <c:marker>
          <c:symbol val="none"/>
        </c:marker>
      </c:pivotFmt>
      <c:pivotFmt>
        <c:idx val="2026"/>
        <c:marker>
          <c:symbol val="none"/>
        </c:marker>
      </c:pivotFmt>
      <c:pivotFmt>
        <c:idx val="2027"/>
        <c:marker>
          <c:symbol val="none"/>
        </c:marker>
      </c:pivotFmt>
      <c:pivotFmt>
        <c:idx val="2028"/>
        <c:marker>
          <c:symbol val="none"/>
        </c:marker>
      </c:pivotFmt>
      <c:pivotFmt>
        <c:idx val="2029"/>
        <c:marker>
          <c:symbol val="none"/>
        </c:marker>
      </c:pivotFmt>
      <c:pivotFmt>
        <c:idx val="2030"/>
        <c:marker>
          <c:symbol val="none"/>
        </c:marker>
      </c:pivotFmt>
      <c:pivotFmt>
        <c:idx val="2031"/>
        <c:marker>
          <c:symbol val="none"/>
        </c:marker>
      </c:pivotFmt>
      <c:pivotFmt>
        <c:idx val="2032"/>
        <c:marker>
          <c:symbol val="none"/>
        </c:marker>
      </c:pivotFmt>
      <c:pivotFmt>
        <c:idx val="2033"/>
        <c:marker>
          <c:symbol val="none"/>
        </c:marker>
      </c:pivotFmt>
      <c:pivotFmt>
        <c:idx val="2034"/>
        <c:marker>
          <c:symbol val="none"/>
        </c:marker>
      </c:pivotFmt>
      <c:pivotFmt>
        <c:idx val="2035"/>
        <c:marker>
          <c:symbol val="none"/>
        </c:marker>
      </c:pivotFmt>
      <c:pivotFmt>
        <c:idx val="2036"/>
        <c:marker>
          <c:symbol val="none"/>
        </c:marker>
      </c:pivotFmt>
      <c:pivotFmt>
        <c:idx val="2037"/>
        <c:marker>
          <c:symbol val="none"/>
        </c:marker>
      </c:pivotFmt>
      <c:pivotFmt>
        <c:idx val="2038"/>
        <c:marker>
          <c:symbol val="none"/>
        </c:marker>
      </c:pivotFmt>
      <c:pivotFmt>
        <c:idx val="2039"/>
        <c:marker>
          <c:symbol val="none"/>
        </c:marker>
      </c:pivotFmt>
      <c:pivotFmt>
        <c:idx val="2040"/>
        <c:marker>
          <c:symbol val="none"/>
        </c:marker>
      </c:pivotFmt>
      <c:pivotFmt>
        <c:idx val="2041"/>
        <c:marker>
          <c:symbol val="none"/>
        </c:marker>
      </c:pivotFmt>
      <c:pivotFmt>
        <c:idx val="2042"/>
        <c:marker>
          <c:symbol val="none"/>
        </c:marker>
      </c:pivotFmt>
      <c:pivotFmt>
        <c:idx val="2043"/>
        <c:marker>
          <c:symbol val="none"/>
        </c:marker>
      </c:pivotFmt>
      <c:pivotFmt>
        <c:idx val="2044"/>
        <c:marker>
          <c:symbol val="none"/>
        </c:marker>
      </c:pivotFmt>
      <c:pivotFmt>
        <c:idx val="2045"/>
        <c:marker>
          <c:symbol val="none"/>
        </c:marker>
      </c:pivotFmt>
      <c:pivotFmt>
        <c:idx val="2046"/>
        <c:marker>
          <c:symbol val="none"/>
        </c:marker>
      </c:pivotFmt>
      <c:pivotFmt>
        <c:idx val="2047"/>
        <c:marker>
          <c:symbol val="none"/>
        </c:marker>
      </c:pivotFmt>
      <c:pivotFmt>
        <c:idx val="2048"/>
        <c:marker>
          <c:symbol val="none"/>
        </c:marker>
      </c:pivotFmt>
      <c:pivotFmt>
        <c:idx val="2049"/>
        <c:marker>
          <c:symbol val="none"/>
        </c:marker>
      </c:pivotFmt>
      <c:pivotFmt>
        <c:idx val="2050"/>
        <c:marker>
          <c:symbol val="none"/>
        </c:marker>
      </c:pivotFmt>
      <c:pivotFmt>
        <c:idx val="2051"/>
        <c:marker>
          <c:symbol val="none"/>
        </c:marker>
      </c:pivotFmt>
      <c:pivotFmt>
        <c:idx val="2052"/>
        <c:marker>
          <c:symbol val="none"/>
        </c:marker>
      </c:pivotFmt>
      <c:pivotFmt>
        <c:idx val="2053"/>
        <c:marker>
          <c:symbol val="none"/>
        </c:marker>
      </c:pivotFmt>
      <c:pivotFmt>
        <c:idx val="2054"/>
        <c:marker>
          <c:symbol val="none"/>
        </c:marker>
      </c:pivotFmt>
      <c:pivotFmt>
        <c:idx val="2055"/>
        <c:marker>
          <c:symbol val="none"/>
        </c:marker>
      </c:pivotFmt>
      <c:pivotFmt>
        <c:idx val="2056"/>
        <c:marker>
          <c:symbol val="none"/>
        </c:marker>
      </c:pivotFmt>
      <c:pivotFmt>
        <c:idx val="2057"/>
        <c:marker>
          <c:symbol val="none"/>
        </c:marker>
      </c:pivotFmt>
      <c:pivotFmt>
        <c:idx val="2058"/>
        <c:marker>
          <c:symbol val="none"/>
        </c:marker>
      </c:pivotFmt>
      <c:pivotFmt>
        <c:idx val="2059"/>
        <c:marker>
          <c:symbol val="none"/>
        </c:marker>
      </c:pivotFmt>
      <c:pivotFmt>
        <c:idx val="2060"/>
        <c:marker>
          <c:symbol val="none"/>
        </c:marker>
      </c:pivotFmt>
      <c:pivotFmt>
        <c:idx val="2061"/>
        <c:marker>
          <c:symbol val="none"/>
        </c:marker>
      </c:pivotFmt>
      <c:pivotFmt>
        <c:idx val="2062"/>
        <c:marker>
          <c:symbol val="none"/>
        </c:marker>
      </c:pivotFmt>
      <c:pivotFmt>
        <c:idx val="2063"/>
        <c:marker>
          <c:symbol val="none"/>
        </c:marker>
      </c:pivotFmt>
      <c:pivotFmt>
        <c:idx val="2064"/>
        <c:marker>
          <c:symbol val="none"/>
        </c:marker>
      </c:pivotFmt>
      <c:pivotFmt>
        <c:idx val="2065"/>
        <c:marker>
          <c:symbol val="none"/>
        </c:marker>
      </c:pivotFmt>
      <c:pivotFmt>
        <c:idx val="2066"/>
        <c:marker>
          <c:symbol val="none"/>
        </c:marker>
      </c:pivotFmt>
      <c:pivotFmt>
        <c:idx val="2067"/>
        <c:marker>
          <c:symbol val="none"/>
        </c:marker>
      </c:pivotFmt>
      <c:pivotFmt>
        <c:idx val="2068"/>
        <c:marker>
          <c:symbol val="none"/>
        </c:marker>
      </c:pivotFmt>
      <c:pivotFmt>
        <c:idx val="2069"/>
        <c:marker>
          <c:symbol val="none"/>
        </c:marker>
      </c:pivotFmt>
      <c:pivotFmt>
        <c:idx val="2070"/>
        <c:marker>
          <c:symbol val="none"/>
        </c:marker>
      </c:pivotFmt>
      <c:pivotFmt>
        <c:idx val="2071"/>
        <c:marker>
          <c:symbol val="none"/>
        </c:marker>
      </c:pivotFmt>
      <c:pivotFmt>
        <c:idx val="2072"/>
        <c:marker>
          <c:symbol val="none"/>
        </c:marker>
      </c:pivotFmt>
      <c:pivotFmt>
        <c:idx val="2073"/>
        <c:marker>
          <c:symbol val="none"/>
        </c:marker>
      </c:pivotFmt>
      <c:pivotFmt>
        <c:idx val="2074"/>
        <c:marker>
          <c:symbol val="none"/>
        </c:marker>
      </c:pivotFmt>
      <c:pivotFmt>
        <c:idx val="2075"/>
        <c:marker>
          <c:symbol val="none"/>
        </c:marker>
      </c:pivotFmt>
      <c:pivotFmt>
        <c:idx val="2076"/>
        <c:marker>
          <c:symbol val="none"/>
        </c:marker>
      </c:pivotFmt>
      <c:pivotFmt>
        <c:idx val="2077"/>
        <c:marker>
          <c:symbol val="none"/>
        </c:marker>
      </c:pivotFmt>
      <c:pivotFmt>
        <c:idx val="2078"/>
        <c:marker>
          <c:symbol val="none"/>
        </c:marker>
      </c:pivotFmt>
      <c:pivotFmt>
        <c:idx val="2079"/>
        <c:marker>
          <c:symbol val="none"/>
        </c:marker>
      </c:pivotFmt>
      <c:pivotFmt>
        <c:idx val="2080"/>
        <c:marker>
          <c:symbol val="none"/>
        </c:marker>
      </c:pivotFmt>
      <c:pivotFmt>
        <c:idx val="2081"/>
        <c:marker>
          <c:symbol val="none"/>
        </c:marker>
      </c:pivotFmt>
      <c:pivotFmt>
        <c:idx val="2082"/>
        <c:marker>
          <c:symbol val="none"/>
        </c:marker>
      </c:pivotFmt>
      <c:pivotFmt>
        <c:idx val="2083"/>
        <c:marker>
          <c:symbol val="none"/>
        </c:marker>
      </c:pivotFmt>
      <c:pivotFmt>
        <c:idx val="2084"/>
        <c:marker>
          <c:symbol val="none"/>
        </c:marker>
      </c:pivotFmt>
      <c:pivotFmt>
        <c:idx val="2085"/>
        <c:marker>
          <c:symbol val="none"/>
        </c:marker>
      </c:pivotFmt>
      <c:pivotFmt>
        <c:idx val="2086"/>
        <c:marker>
          <c:symbol val="none"/>
        </c:marker>
      </c:pivotFmt>
      <c:pivotFmt>
        <c:idx val="2087"/>
        <c:marker>
          <c:symbol val="none"/>
        </c:marker>
      </c:pivotFmt>
      <c:pivotFmt>
        <c:idx val="2088"/>
        <c:marker>
          <c:symbol val="none"/>
        </c:marker>
      </c:pivotFmt>
      <c:pivotFmt>
        <c:idx val="2089"/>
        <c:marker>
          <c:symbol val="none"/>
        </c:marker>
      </c:pivotFmt>
      <c:pivotFmt>
        <c:idx val="2090"/>
        <c:marker>
          <c:symbol val="none"/>
        </c:marker>
      </c:pivotFmt>
      <c:pivotFmt>
        <c:idx val="2091"/>
        <c:marker>
          <c:symbol val="none"/>
        </c:marker>
      </c:pivotFmt>
      <c:pivotFmt>
        <c:idx val="2092"/>
        <c:marker>
          <c:symbol val="none"/>
        </c:marker>
      </c:pivotFmt>
      <c:pivotFmt>
        <c:idx val="2093"/>
        <c:marker>
          <c:symbol val="none"/>
        </c:marker>
      </c:pivotFmt>
      <c:pivotFmt>
        <c:idx val="2094"/>
        <c:marker>
          <c:symbol val="none"/>
        </c:marker>
      </c:pivotFmt>
      <c:pivotFmt>
        <c:idx val="2095"/>
        <c:marker>
          <c:symbol val="none"/>
        </c:marker>
      </c:pivotFmt>
      <c:pivotFmt>
        <c:idx val="2096"/>
        <c:marker>
          <c:symbol val="none"/>
        </c:marker>
      </c:pivotFmt>
      <c:pivotFmt>
        <c:idx val="2097"/>
        <c:marker>
          <c:symbol val="none"/>
        </c:marker>
      </c:pivotFmt>
      <c:pivotFmt>
        <c:idx val="2098"/>
        <c:marker>
          <c:symbol val="none"/>
        </c:marker>
      </c:pivotFmt>
      <c:pivotFmt>
        <c:idx val="2099"/>
        <c:marker>
          <c:symbol val="none"/>
        </c:marker>
      </c:pivotFmt>
      <c:pivotFmt>
        <c:idx val="2100"/>
        <c:marker>
          <c:symbol val="none"/>
        </c:marker>
      </c:pivotFmt>
      <c:pivotFmt>
        <c:idx val="2101"/>
        <c:marker>
          <c:symbol val="none"/>
        </c:marker>
      </c:pivotFmt>
      <c:pivotFmt>
        <c:idx val="2102"/>
        <c:marker>
          <c:symbol val="none"/>
        </c:marker>
      </c:pivotFmt>
      <c:pivotFmt>
        <c:idx val="2103"/>
        <c:marker>
          <c:symbol val="none"/>
        </c:marker>
      </c:pivotFmt>
      <c:pivotFmt>
        <c:idx val="2104"/>
        <c:marker>
          <c:symbol val="none"/>
        </c:marker>
      </c:pivotFmt>
      <c:pivotFmt>
        <c:idx val="2105"/>
        <c:marker>
          <c:symbol val="none"/>
        </c:marker>
      </c:pivotFmt>
      <c:pivotFmt>
        <c:idx val="2106"/>
        <c:marker>
          <c:symbol val="none"/>
        </c:marker>
      </c:pivotFmt>
      <c:pivotFmt>
        <c:idx val="2107"/>
        <c:marker>
          <c:symbol val="none"/>
        </c:marker>
      </c:pivotFmt>
      <c:pivotFmt>
        <c:idx val="2108"/>
        <c:marker>
          <c:symbol val="none"/>
        </c:marker>
      </c:pivotFmt>
      <c:pivotFmt>
        <c:idx val="2109"/>
        <c:marker>
          <c:symbol val="none"/>
        </c:marker>
      </c:pivotFmt>
      <c:pivotFmt>
        <c:idx val="2110"/>
        <c:marker>
          <c:symbol val="none"/>
        </c:marker>
      </c:pivotFmt>
      <c:pivotFmt>
        <c:idx val="2111"/>
        <c:marker>
          <c:symbol val="none"/>
        </c:marker>
      </c:pivotFmt>
      <c:pivotFmt>
        <c:idx val="2112"/>
        <c:marker>
          <c:symbol val="none"/>
        </c:marker>
      </c:pivotFmt>
      <c:pivotFmt>
        <c:idx val="2113"/>
        <c:marker>
          <c:symbol val="none"/>
        </c:marker>
      </c:pivotFmt>
      <c:pivotFmt>
        <c:idx val="2114"/>
        <c:marker>
          <c:symbol val="none"/>
        </c:marker>
      </c:pivotFmt>
      <c:pivotFmt>
        <c:idx val="2115"/>
        <c:marker>
          <c:symbol val="none"/>
        </c:marker>
      </c:pivotFmt>
      <c:pivotFmt>
        <c:idx val="2116"/>
        <c:marker>
          <c:symbol val="none"/>
        </c:marker>
      </c:pivotFmt>
      <c:pivotFmt>
        <c:idx val="2117"/>
        <c:marker>
          <c:symbol val="none"/>
        </c:marker>
      </c:pivotFmt>
      <c:pivotFmt>
        <c:idx val="2118"/>
        <c:marker>
          <c:symbol val="none"/>
        </c:marker>
      </c:pivotFmt>
      <c:pivotFmt>
        <c:idx val="2119"/>
        <c:marker>
          <c:symbol val="none"/>
        </c:marker>
      </c:pivotFmt>
      <c:pivotFmt>
        <c:idx val="2120"/>
        <c:marker>
          <c:symbol val="none"/>
        </c:marker>
      </c:pivotFmt>
      <c:pivotFmt>
        <c:idx val="2121"/>
        <c:marker>
          <c:symbol val="none"/>
        </c:marker>
      </c:pivotFmt>
      <c:pivotFmt>
        <c:idx val="2122"/>
        <c:marker>
          <c:symbol val="none"/>
        </c:marker>
      </c:pivotFmt>
      <c:pivotFmt>
        <c:idx val="2123"/>
        <c:marker>
          <c:symbol val="none"/>
        </c:marker>
      </c:pivotFmt>
      <c:pivotFmt>
        <c:idx val="2124"/>
        <c:marker>
          <c:symbol val="none"/>
        </c:marker>
      </c:pivotFmt>
      <c:pivotFmt>
        <c:idx val="2125"/>
        <c:marker>
          <c:symbol val="none"/>
        </c:marker>
      </c:pivotFmt>
      <c:pivotFmt>
        <c:idx val="2126"/>
        <c:marker>
          <c:symbol val="none"/>
        </c:marker>
      </c:pivotFmt>
      <c:pivotFmt>
        <c:idx val="2127"/>
        <c:marker>
          <c:symbol val="none"/>
        </c:marker>
      </c:pivotFmt>
      <c:pivotFmt>
        <c:idx val="2128"/>
        <c:marker>
          <c:symbol val="none"/>
        </c:marker>
      </c:pivotFmt>
      <c:pivotFmt>
        <c:idx val="2129"/>
        <c:marker>
          <c:symbol val="none"/>
        </c:marker>
      </c:pivotFmt>
      <c:pivotFmt>
        <c:idx val="2130"/>
        <c:marker>
          <c:symbol val="none"/>
        </c:marker>
      </c:pivotFmt>
      <c:pivotFmt>
        <c:idx val="2131"/>
        <c:marker>
          <c:symbol val="none"/>
        </c:marker>
      </c:pivotFmt>
      <c:pivotFmt>
        <c:idx val="2132"/>
        <c:marker>
          <c:symbol val="none"/>
        </c:marker>
      </c:pivotFmt>
      <c:pivotFmt>
        <c:idx val="2133"/>
        <c:marker>
          <c:symbol val="none"/>
        </c:marker>
      </c:pivotFmt>
      <c:pivotFmt>
        <c:idx val="2134"/>
        <c:marker>
          <c:symbol val="none"/>
        </c:marker>
      </c:pivotFmt>
      <c:pivotFmt>
        <c:idx val="2135"/>
        <c:marker>
          <c:symbol val="none"/>
        </c:marker>
      </c:pivotFmt>
      <c:pivotFmt>
        <c:idx val="2136"/>
        <c:marker>
          <c:symbol val="none"/>
        </c:marker>
      </c:pivotFmt>
      <c:pivotFmt>
        <c:idx val="2137"/>
        <c:marker>
          <c:symbol val="none"/>
        </c:marker>
      </c:pivotFmt>
      <c:pivotFmt>
        <c:idx val="2138"/>
        <c:marker>
          <c:symbol val="none"/>
        </c:marker>
      </c:pivotFmt>
      <c:pivotFmt>
        <c:idx val="2139"/>
        <c:marker>
          <c:symbol val="none"/>
        </c:marker>
      </c:pivotFmt>
      <c:pivotFmt>
        <c:idx val="2140"/>
        <c:marker>
          <c:symbol val="none"/>
        </c:marker>
      </c:pivotFmt>
      <c:pivotFmt>
        <c:idx val="2141"/>
        <c:marker>
          <c:symbol val="none"/>
        </c:marker>
      </c:pivotFmt>
      <c:pivotFmt>
        <c:idx val="2142"/>
        <c:marker>
          <c:symbol val="none"/>
        </c:marker>
      </c:pivotFmt>
      <c:pivotFmt>
        <c:idx val="2143"/>
        <c:marker>
          <c:symbol val="none"/>
        </c:marker>
      </c:pivotFmt>
      <c:pivotFmt>
        <c:idx val="2144"/>
        <c:marker>
          <c:symbol val="none"/>
        </c:marker>
      </c:pivotFmt>
      <c:pivotFmt>
        <c:idx val="2145"/>
        <c:marker>
          <c:symbol val="none"/>
        </c:marker>
      </c:pivotFmt>
      <c:pivotFmt>
        <c:idx val="2146"/>
        <c:marker>
          <c:symbol val="none"/>
        </c:marker>
      </c:pivotFmt>
      <c:pivotFmt>
        <c:idx val="2147"/>
        <c:marker>
          <c:symbol val="none"/>
        </c:marker>
      </c:pivotFmt>
      <c:pivotFmt>
        <c:idx val="2148"/>
        <c:marker>
          <c:symbol val="none"/>
        </c:marker>
      </c:pivotFmt>
      <c:pivotFmt>
        <c:idx val="2149"/>
        <c:marker>
          <c:symbol val="none"/>
        </c:marker>
      </c:pivotFmt>
      <c:pivotFmt>
        <c:idx val="2150"/>
        <c:marker>
          <c:symbol val="none"/>
        </c:marker>
      </c:pivotFmt>
      <c:pivotFmt>
        <c:idx val="2151"/>
        <c:marker>
          <c:symbol val="none"/>
        </c:marker>
      </c:pivotFmt>
      <c:pivotFmt>
        <c:idx val="2152"/>
        <c:marker>
          <c:symbol val="none"/>
        </c:marker>
      </c:pivotFmt>
      <c:pivotFmt>
        <c:idx val="2153"/>
        <c:marker>
          <c:symbol val="none"/>
        </c:marker>
      </c:pivotFmt>
      <c:pivotFmt>
        <c:idx val="2154"/>
        <c:marker>
          <c:symbol val="none"/>
        </c:marker>
      </c:pivotFmt>
      <c:pivotFmt>
        <c:idx val="2155"/>
        <c:marker>
          <c:symbol val="none"/>
        </c:marker>
      </c:pivotFmt>
      <c:pivotFmt>
        <c:idx val="2156"/>
        <c:marker>
          <c:symbol val="none"/>
        </c:marker>
      </c:pivotFmt>
      <c:pivotFmt>
        <c:idx val="2157"/>
        <c:marker>
          <c:symbol val="none"/>
        </c:marker>
      </c:pivotFmt>
      <c:pivotFmt>
        <c:idx val="2158"/>
        <c:marker>
          <c:symbol val="none"/>
        </c:marker>
      </c:pivotFmt>
      <c:pivotFmt>
        <c:idx val="2159"/>
        <c:marker>
          <c:symbol val="none"/>
        </c:marker>
      </c:pivotFmt>
      <c:pivotFmt>
        <c:idx val="2160"/>
        <c:marker>
          <c:symbol val="none"/>
        </c:marker>
      </c:pivotFmt>
      <c:pivotFmt>
        <c:idx val="2161"/>
        <c:marker>
          <c:symbol val="none"/>
        </c:marker>
      </c:pivotFmt>
      <c:pivotFmt>
        <c:idx val="2162"/>
        <c:marker>
          <c:symbol val="none"/>
        </c:marker>
      </c:pivotFmt>
      <c:pivotFmt>
        <c:idx val="2163"/>
        <c:marker>
          <c:symbol val="none"/>
        </c:marker>
      </c:pivotFmt>
      <c:pivotFmt>
        <c:idx val="2164"/>
        <c:marker>
          <c:symbol val="none"/>
        </c:marker>
      </c:pivotFmt>
      <c:pivotFmt>
        <c:idx val="2165"/>
        <c:marker>
          <c:symbol val="none"/>
        </c:marker>
      </c:pivotFmt>
      <c:pivotFmt>
        <c:idx val="2166"/>
        <c:marker>
          <c:symbol val="none"/>
        </c:marker>
      </c:pivotFmt>
      <c:pivotFmt>
        <c:idx val="2167"/>
        <c:marker>
          <c:symbol val="none"/>
        </c:marker>
      </c:pivotFmt>
      <c:pivotFmt>
        <c:idx val="2168"/>
        <c:marker>
          <c:symbol val="none"/>
        </c:marker>
      </c:pivotFmt>
      <c:pivotFmt>
        <c:idx val="2169"/>
        <c:marker>
          <c:symbol val="none"/>
        </c:marker>
      </c:pivotFmt>
      <c:pivotFmt>
        <c:idx val="2170"/>
        <c:marker>
          <c:symbol val="none"/>
        </c:marker>
      </c:pivotFmt>
      <c:pivotFmt>
        <c:idx val="2171"/>
        <c:marker>
          <c:symbol val="none"/>
        </c:marker>
      </c:pivotFmt>
      <c:pivotFmt>
        <c:idx val="2172"/>
        <c:marker>
          <c:symbol val="none"/>
        </c:marker>
      </c:pivotFmt>
      <c:pivotFmt>
        <c:idx val="2173"/>
        <c:marker>
          <c:symbol val="none"/>
        </c:marker>
      </c:pivotFmt>
      <c:pivotFmt>
        <c:idx val="2174"/>
        <c:marker>
          <c:symbol val="none"/>
        </c:marker>
      </c:pivotFmt>
      <c:pivotFmt>
        <c:idx val="2175"/>
        <c:marker>
          <c:symbol val="none"/>
        </c:marker>
      </c:pivotFmt>
      <c:pivotFmt>
        <c:idx val="2176"/>
        <c:marker>
          <c:symbol val="none"/>
        </c:marker>
      </c:pivotFmt>
      <c:pivotFmt>
        <c:idx val="2177"/>
        <c:marker>
          <c:symbol val="none"/>
        </c:marker>
      </c:pivotFmt>
      <c:pivotFmt>
        <c:idx val="2178"/>
        <c:marker>
          <c:symbol val="none"/>
        </c:marker>
      </c:pivotFmt>
      <c:pivotFmt>
        <c:idx val="2179"/>
        <c:marker>
          <c:symbol val="none"/>
        </c:marker>
      </c:pivotFmt>
      <c:pivotFmt>
        <c:idx val="2180"/>
        <c:marker>
          <c:symbol val="none"/>
        </c:marker>
      </c:pivotFmt>
      <c:pivotFmt>
        <c:idx val="2181"/>
        <c:marker>
          <c:symbol val="none"/>
        </c:marker>
      </c:pivotFmt>
      <c:pivotFmt>
        <c:idx val="2182"/>
        <c:marker>
          <c:symbol val="none"/>
        </c:marker>
      </c:pivotFmt>
      <c:pivotFmt>
        <c:idx val="2183"/>
        <c:marker>
          <c:symbol val="none"/>
        </c:marker>
      </c:pivotFmt>
      <c:pivotFmt>
        <c:idx val="2184"/>
        <c:marker>
          <c:symbol val="none"/>
        </c:marker>
      </c:pivotFmt>
      <c:pivotFmt>
        <c:idx val="2185"/>
        <c:marker>
          <c:symbol val="none"/>
        </c:marker>
      </c:pivotFmt>
      <c:pivotFmt>
        <c:idx val="2186"/>
        <c:marker>
          <c:symbol val="none"/>
        </c:marker>
      </c:pivotFmt>
      <c:pivotFmt>
        <c:idx val="2187"/>
        <c:marker>
          <c:symbol val="none"/>
        </c:marker>
      </c:pivotFmt>
      <c:pivotFmt>
        <c:idx val="2188"/>
        <c:marker>
          <c:symbol val="none"/>
        </c:marker>
      </c:pivotFmt>
      <c:pivotFmt>
        <c:idx val="2189"/>
        <c:marker>
          <c:symbol val="none"/>
        </c:marker>
      </c:pivotFmt>
      <c:pivotFmt>
        <c:idx val="2190"/>
        <c:marker>
          <c:symbol val="none"/>
        </c:marker>
      </c:pivotFmt>
      <c:pivotFmt>
        <c:idx val="2191"/>
        <c:marker>
          <c:symbol val="none"/>
        </c:marker>
      </c:pivotFmt>
      <c:pivotFmt>
        <c:idx val="2192"/>
        <c:marker>
          <c:symbol val="none"/>
        </c:marker>
      </c:pivotFmt>
      <c:pivotFmt>
        <c:idx val="2193"/>
        <c:marker>
          <c:symbol val="none"/>
        </c:marker>
      </c:pivotFmt>
      <c:pivotFmt>
        <c:idx val="2194"/>
        <c:marker>
          <c:symbol val="none"/>
        </c:marker>
      </c:pivotFmt>
      <c:pivotFmt>
        <c:idx val="2195"/>
        <c:marker>
          <c:symbol val="none"/>
        </c:marker>
      </c:pivotFmt>
      <c:pivotFmt>
        <c:idx val="2196"/>
        <c:marker>
          <c:symbol val="none"/>
        </c:marker>
      </c:pivotFmt>
      <c:pivotFmt>
        <c:idx val="2197"/>
        <c:marker>
          <c:symbol val="none"/>
        </c:marker>
      </c:pivotFmt>
      <c:pivotFmt>
        <c:idx val="2198"/>
        <c:marker>
          <c:symbol val="none"/>
        </c:marker>
      </c:pivotFmt>
      <c:pivotFmt>
        <c:idx val="2199"/>
        <c:marker>
          <c:symbol val="none"/>
        </c:marker>
      </c:pivotFmt>
      <c:pivotFmt>
        <c:idx val="2200"/>
        <c:marker>
          <c:symbol val="none"/>
        </c:marker>
      </c:pivotFmt>
      <c:pivotFmt>
        <c:idx val="2201"/>
        <c:marker>
          <c:symbol val="none"/>
        </c:marker>
      </c:pivotFmt>
      <c:pivotFmt>
        <c:idx val="2202"/>
        <c:marker>
          <c:symbol val="none"/>
        </c:marker>
      </c:pivotFmt>
      <c:pivotFmt>
        <c:idx val="2203"/>
        <c:marker>
          <c:symbol val="none"/>
        </c:marker>
      </c:pivotFmt>
      <c:pivotFmt>
        <c:idx val="2204"/>
        <c:marker>
          <c:symbol val="none"/>
        </c:marker>
      </c:pivotFmt>
      <c:pivotFmt>
        <c:idx val="2205"/>
        <c:marker>
          <c:symbol val="none"/>
        </c:marker>
      </c:pivotFmt>
      <c:pivotFmt>
        <c:idx val="2206"/>
        <c:marker>
          <c:symbol val="none"/>
        </c:marker>
      </c:pivotFmt>
      <c:pivotFmt>
        <c:idx val="2207"/>
        <c:marker>
          <c:symbol val="none"/>
        </c:marker>
      </c:pivotFmt>
      <c:pivotFmt>
        <c:idx val="2208"/>
        <c:marker>
          <c:symbol val="none"/>
        </c:marker>
      </c:pivotFmt>
      <c:pivotFmt>
        <c:idx val="2209"/>
        <c:marker>
          <c:symbol val="none"/>
        </c:marker>
      </c:pivotFmt>
      <c:pivotFmt>
        <c:idx val="2210"/>
        <c:marker>
          <c:symbol val="none"/>
        </c:marker>
      </c:pivotFmt>
      <c:pivotFmt>
        <c:idx val="2211"/>
        <c:marker>
          <c:symbol val="none"/>
        </c:marker>
      </c:pivotFmt>
      <c:pivotFmt>
        <c:idx val="2212"/>
        <c:marker>
          <c:symbol val="none"/>
        </c:marker>
      </c:pivotFmt>
      <c:pivotFmt>
        <c:idx val="2213"/>
        <c:marker>
          <c:symbol val="none"/>
        </c:marker>
      </c:pivotFmt>
      <c:pivotFmt>
        <c:idx val="2214"/>
        <c:marker>
          <c:symbol val="none"/>
        </c:marker>
      </c:pivotFmt>
      <c:pivotFmt>
        <c:idx val="2215"/>
        <c:marker>
          <c:symbol val="none"/>
        </c:marker>
      </c:pivotFmt>
      <c:pivotFmt>
        <c:idx val="2216"/>
        <c:marker>
          <c:symbol val="none"/>
        </c:marker>
      </c:pivotFmt>
      <c:pivotFmt>
        <c:idx val="2217"/>
        <c:marker>
          <c:symbol val="none"/>
        </c:marker>
      </c:pivotFmt>
      <c:pivotFmt>
        <c:idx val="2218"/>
        <c:marker>
          <c:symbol val="none"/>
        </c:marker>
      </c:pivotFmt>
      <c:pivotFmt>
        <c:idx val="2219"/>
        <c:marker>
          <c:symbol val="none"/>
        </c:marker>
      </c:pivotFmt>
      <c:pivotFmt>
        <c:idx val="2220"/>
        <c:marker>
          <c:symbol val="none"/>
        </c:marker>
      </c:pivotFmt>
      <c:pivotFmt>
        <c:idx val="2221"/>
        <c:marker>
          <c:symbol val="none"/>
        </c:marker>
      </c:pivotFmt>
      <c:pivotFmt>
        <c:idx val="2222"/>
        <c:marker>
          <c:symbol val="none"/>
        </c:marker>
      </c:pivotFmt>
      <c:pivotFmt>
        <c:idx val="2223"/>
        <c:marker>
          <c:symbol val="none"/>
        </c:marker>
      </c:pivotFmt>
      <c:pivotFmt>
        <c:idx val="2224"/>
        <c:marker>
          <c:symbol val="none"/>
        </c:marker>
      </c:pivotFmt>
      <c:pivotFmt>
        <c:idx val="2225"/>
        <c:marker>
          <c:symbol val="none"/>
        </c:marker>
      </c:pivotFmt>
      <c:pivotFmt>
        <c:idx val="2226"/>
        <c:marker>
          <c:symbol val="none"/>
        </c:marker>
      </c:pivotFmt>
      <c:pivotFmt>
        <c:idx val="2227"/>
        <c:marker>
          <c:symbol val="none"/>
        </c:marker>
      </c:pivotFmt>
      <c:pivotFmt>
        <c:idx val="2228"/>
        <c:marker>
          <c:symbol val="none"/>
        </c:marker>
      </c:pivotFmt>
      <c:pivotFmt>
        <c:idx val="2229"/>
        <c:marker>
          <c:symbol val="none"/>
        </c:marker>
      </c:pivotFmt>
      <c:pivotFmt>
        <c:idx val="2230"/>
        <c:marker>
          <c:symbol val="none"/>
        </c:marker>
      </c:pivotFmt>
      <c:pivotFmt>
        <c:idx val="2231"/>
        <c:marker>
          <c:symbol val="none"/>
        </c:marker>
      </c:pivotFmt>
      <c:pivotFmt>
        <c:idx val="2232"/>
        <c:marker>
          <c:symbol val="none"/>
        </c:marker>
      </c:pivotFmt>
      <c:pivotFmt>
        <c:idx val="2233"/>
        <c:marker>
          <c:symbol val="none"/>
        </c:marker>
      </c:pivotFmt>
      <c:pivotFmt>
        <c:idx val="2234"/>
        <c:marker>
          <c:symbol val="none"/>
        </c:marker>
      </c:pivotFmt>
      <c:pivotFmt>
        <c:idx val="2235"/>
        <c:marker>
          <c:symbol val="none"/>
        </c:marker>
      </c:pivotFmt>
      <c:pivotFmt>
        <c:idx val="2236"/>
        <c:marker>
          <c:symbol val="none"/>
        </c:marker>
      </c:pivotFmt>
      <c:pivotFmt>
        <c:idx val="2237"/>
        <c:marker>
          <c:symbol val="none"/>
        </c:marker>
      </c:pivotFmt>
      <c:pivotFmt>
        <c:idx val="2238"/>
        <c:marker>
          <c:symbol val="none"/>
        </c:marker>
      </c:pivotFmt>
      <c:pivotFmt>
        <c:idx val="2239"/>
        <c:marker>
          <c:symbol val="none"/>
        </c:marker>
      </c:pivotFmt>
      <c:pivotFmt>
        <c:idx val="2240"/>
        <c:marker>
          <c:symbol val="none"/>
        </c:marker>
      </c:pivotFmt>
      <c:pivotFmt>
        <c:idx val="2241"/>
        <c:marker>
          <c:symbol val="none"/>
        </c:marker>
      </c:pivotFmt>
      <c:pivotFmt>
        <c:idx val="2242"/>
        <c:marker>
          <c:symbol val="none"/>
        </c:marker>
      </c:pivotFmt>
      <c:pivotFmt>
        <c:idx val="2243"/>
        <c:marker>
          <c:symbol val="none"/>
        </c:marker>
      </c:pivotFmt>
      <c:pivotFmt>
        <c:idx val="2244"/>
        <c:marker>
          <c:symbol val="none"/>
        </c:marker>
      </c:pivotFmt>
      <c:pivotFmt>
        <c:idx val="2245"/>
        <c:marker>
          <c:symbol val="none"/>
        </c:marker>
      </c:pivotFmt>
      <c:pivotFmt>
        <c:idx val="2246"/>
        <c:marker>
          <c:symbol val="none"/>
        </c:marker>
      </c:pivotFmt>
      <c:pivotFmt>
        <c:idx val="2247"/>
        <c:marker>
          <c:symbol val="none"/>
        </c:marker>
      </c:pivotFmt>
      <c:pivotFmt>
        <c:idx val="2248"/>
        <c:marker>
          <c:symbol val="none"/>
        </c:marker>
      </c:pivotFmt>
      <c:pivotFmt>
        <c:idx val="2249"/>
        <c:marker>
          <c:symbol val="none"/>
        </c:marker>
      </c:pivotFmt>
      <c:pivotFmt>
        <c:idx val="2250"/>
        <c:marker>
          <c:symbol val="none"/>
        </c:marker>
      </c:pivotFmt>
      <c:pivotFmt>
        <c:idx val="2251"/>
        <c:marker>
          <c:symbol val="none"/>
        </c:marker>
      </c:pivotFmt>
      <c:pivotFmt>
        <c:idx val="2252"/>
        <c:marker>
          <c:symbol val="none"/>
        </c:marker>
      </c:pivotFmt>
      <c:pivotFmt>
        <c:idx val="2253"/>
        <c:marker>
          <c:symbol val="none"/>
        </c:marker>
      </c:pivotFmt>
      <c:pivotFmt>
        <c:idx val="2254"/>
        <c:marker>
          <c:symbol val="none"/>
        </c:marker>
      </c:pivotFmt>
      <c:pivotFmt>
        <c:idx val="2255"/>
        <c:marker>
          <c:symbol val="none"/>
        </c:marker>
      </c:pivotFmt>
      <c:pivotFmt>
        <c:idx val="2256"/>
        <c:marker>
          <c:symbol val="none"/>
        </c:marker>
      </c:pivotFmt>
      <c:pivotFmt>
        <c:idx val="2257"/>
        <c:marker>
          <c:symbol val="none"/>
        </c:marker>
      </c:pivotFmt>
      <c:pivotFmt>
        <c:idx val="2258"/>
        <c:marker>
          <c:symbol val="none"/>
        </c:marker>
      </c:pivotFmt>
      <c:pivotFmt>
        <c:idx val="2259"/>
        <c:marker>
          <c:symbol val="none"/>
        </c:marker>
      </c:pivotFmt>
      <c:pivotFmt>
        <c:idx val="2260"/>
        <c:marker>
          <c:symbol val="none"/>
        </c:marker>
      </c:pivotFmt>
      <c:pivotFmt>
        <c:idx val="2261"/>
        <c:marker>
          <c:symbol val="none"/>
        </c:marker>
      </c:pivotFmt>
      <c:pivotFmt>
        <c:idx val="2262"/>
        <c:marker>
          <c:symbol val="none"/>
        </c:marker>
      </c:pivotFmt>
      <c:pivotFmt>
        <c:idx val="2263"/>
        <c:marker>
          <c:symbol val="none"/>
        </c:marker>
      </c:pivotFmt>
      <c:pivotFmt>
        <c:idx val="2264"/>
        <c:marker>
          <c:symbol val="none"/>
        </c:marker>
      </c:pivotFmt>
      <c:pivotFmt>
        <c:idx val="2265"/>
        <c:marker>
          <c:symbol val="none"/>
        </c:marker>
      </c:pivotFmt>
      <c:pivotFmt>
        <c:idx val="2266"/>
        <c:marker>
          <c:symbol val="none"/>
        </c:marker>
      </c:pivotFmt>
      <c:pivotFmt>
        <c:idx val="2267"/>
        <c:marker>
          <c:symbol val="none"/>
        </c:marker>
      </c:pivotFmt>
      <c:pivotFmt>
        <c:idx val="2268"/>
        <c:marker>
          <c:symbol val="none"/>
        </c:marker>
      </c:pivotFmt>
      <c:pivotFmt>
        <c:idx val="2269"/>
        <c:marker>
          <c:symbol val="none"/>
        </c:marker>
      </c:pivotFmt>
      <c:pivotFmt>
        <c:idx val="2270"/>
        <c:marker>
          <c:symbol val="none"/>
        </c:marker>
      </c:pivotFmt>
      <c:pivotFmt>
        <c:idx val="2271"/>
        <c:marker>
          <c:symbol val="none"/>
        </c:marker>
      </c:pivotFmt>
      <c:pivotFmt>
        <c:idx val="2272"/>
        <c:marker>
          <c:symbol val="none"/>
        </c:marker>
      </c:pivotFmt>
      <c:pivotFmt>
        <c:idx val="2273"/>
        <c:marker>
          <c:symbol val="none"/>
        </c:marker>
      </c:pivotFmt>
      <c:pivotFmt>
        <c:idx val="2274"/>
        <c:marker>
          <c:symbol val="none"/>
        </c:marker>
      </c:pivotFmt>
      <c:pivotFmt>
        <c:idx val="2275"/>
        <c:marker>
          <c:symbol val="none"/>
        </c:marker>
      </c:pivotFmt>
      <c:pivotFmt>
        <c:idx val="2276"/>
        <c:marker>
          <c:symbol val="none"/>
        </c:marker>
      </c:pivotFmt>
      <c:pivotFmt>
        <c:idx val="2277"/>
        <c:marker>
          <c:symbol val="none"/>
        </c:marker>
      </c:pivotFmt>
      <c:pivotFmt>
        <c:idx val="2278"/>
        <c:marker>
          <c:symbol val="none"/>
        </c:marker>
      </c:pivotFmt>
      <c:pivotFmt>
        <c:idx val="2279"/>
        <c:marker>
          <c:symbol val="none"/>
        </c:marker>
      </c:pivotFmt>
      <c:pivotFmt>
        <c:idx val="2280"/>
        <c:marker>
          <c:symbol val="none"/>
        </c:marker>
      </c:pivotFmt>
      <c:pivotFmt>
        <c:idx val="2281"/>
        <c:marker>
          <c:symbol val="none"/>
        </c:marker>
      </c:pivotFmt>
      <c:pivotFmt>
        <c:idx val="2282"/>
        <c:marker>
          <c:symbol val="none"/>
        </c:marker>
      </c:pivotFmt>
      <c:pivotFmt>
        <c:idx val="2283"/>
        <c:marker>
          <c:symbol val="none"/>
        </c:marker>
      </c:pivotFmt>
      <c:pivotFmt>
        <c:idx val="2284"/>
        <c:marker>
          <c:symbol val="none"/>
        </c:marker>
      </c:pivotFmt>
      <c:pivotFmt>
        <c:idx val="2285"/>
        <c:marker>
          <c:symbol val="none"/>
        </c:marker>
      </c:pivotFmt>
      <c:pivotFmt>
        <c:idx val="2286"/>
        <c:marker>
          <c:symbol val="none"/>
        </c:marker>
      </c:pivotFmt>
      <c:pivotFmt>
        <c:idx val="2287"/>
        <c:marker>
          <c:symbol val="none"/>
        </c:marker>
      </c:pivotFmt>
      <c:pivotFmt>
        <c:idx val="2288"/>
        <c:marker>
          <c:symbol val="none"/>
        </c:marker>
      </c:pivotFmt>
      <c:pivotFmt>
        <c:idx val="2289"/>
        <c:marker>
          <c:symbol val="none"/>
        </c:marker>
      </c:pivotFmt>
      <c:pivotFmt>
        <c:idx val="2290"/>
        <c:marker>
          <c:symbol val="none"/>
        </c:marker>
      </c:pivotFmt>
      <c:pivotFmt>
        <c:idx val="2291"/>
        <c:marker>
          <c:symbol val="none"/>
        </c:marker>
      </c:pivotFmt>
      <c:pivotFmt>
        <c:idx val="2292"/>
        <c:marker>
          <c:symbol val="none"/>
        </c:marker>
      </c:pivotFmt>
      <c:pivotFmt>
        <c:idx val="2293"/>
        <c:marker>
          <c:symbol val="none"/>
        </c:marker>
      </c:pivotFmt>
      <c:pivotFmt>
        <c:idx val="2294"/>
        <c:marker>
          <c:symbol val="none"/>
        </c:marker>
      </c:pivotFmt>
      <c:pivotFmt>
        <c:idx val="2295"/>
        <c:marker>
          <c:symbol val="none"/>
        </c:marker>
      </c:pivotFmt>
      <c:pivotFmt>
        <c:idx val="2296"/>
        <c:marker>
          <c:symbol val="none"/>
        </c:marker>
      </c:pivotFmt>
      <c:pivotFmt>
        <c:idx val="2297"/>
        <c:marker>
          <c:symbol val="none"/>
        </c:marker>
      </c:pivotFmt>
      <c:pivotFmt>
        <c:idx val="2298"/>
        <c:marker>
          <c:symbol val="none"/>
        </c:marker>
      </c:pivotFmt>
      <c:pivotFmt>
        <c:idx val="2299"/>
        <c:marker>
          <c:symbol val="none"/>
        </c:marker>
      </c:pivotFmt>
      <c:pivotFmt>
        <c:idx val="2300"/>
        <c:marker>
          <c:symbol val="none"/>
        </c:marker>
      </c:pivotFmt>
      <c:pivotFmt>
        <c:idx val="2301"/>
        <c:marker>
          <c:symbol val="none"/>
        </c:marker>
      </c:pivotFmt>
      <c:pivotFmt>
        <c:idx val="2302"/>
        <c:marker>
          <c:symbol val="none"/>
        </c:marker>
      </c:pivotFmt>
      <c:pivotFmt>
        <c:idx val="2303"/>
        <c:marker>
          <c:symbol val="none"/>
        </c:marker>
      </c:pivotFmt>
      <c:pivotFmt>
        <c:idx val="2304"/>
        <c:marker>
          <c:symbol val="none"/>
        </c:marker>
      </c:pivotFmt>
      <c:pivotFmt>
        <c:idx val="2305"/>
        <c:marker>
          <c:symbol val="none"/>
        </c:marker>
      </c:pivotFmt>
      <c:pivotFmt>
        <c:idx val="2306"/>
        <c:marker>
          <c:symbol val="none"/>
        </c:marker>
      </c:pivotFmt>
      <c:pivotFmt>
        <c:idx val="2307"/>
        <c:marker>
          <c:symbol val="none"/>
        </c:marker>
      </c:pivotFmt>
      <c:pivotFmt>
        <c:idx val="2308"/>
        <c:marker>
          <c:symbol val="none"/>
        </c:marker>
      </c:pivotFmt>
      <c:pivotFmt>
        <c:idx val="2309"/>
        <c:marker>
          <c:symbol val="none"/>
        </c:marker>
      </c:pivotFmt>
      <c:pivotFmt>
        <c:idx val="2310"/>
        <c:marker>
          <c:symbol val="none"/>
        </c:marker>
      </c:pivotFmt>
      <c:pivotFmt>
        <c:idx val="2311"/>
        <c:marker>
          <c:symbol val="none"/>
        </c:marker>
      </c:pivotFmt>
      <c:pivotFmt>
        <c:idx val="2312"/>
        <c:marker>
          <c:symbol val="none"/>
        </c:marker>
      </c:pivotFmt>
      <c:pivotFmt>
        <c:idx val="2313"/>
        <c:marker>
          <c:symbol val="none"/>
        </c:marker>
      </c:pivotFmt>
      <c:pivotFmt>
        <c:idx val="2314"/>
        <c:marker>
          <c:symbol val="none"/>
        </c:marker>
      </c:pivotFmt>
      <c:pivotFmt>
        <c:idx val="2315"/>
        <c:marker>
          <c:symbol val="none"/>
        </c:marker>
      </c:pivotFmt>
      <c:pivotFmt>
        <c:idx val="2316"/>
        <c:marker>
          <c:symbol val="none"/>
        </c:marker>
      </c:pivotFmt>
      <c:pivotFmt>
        <c:idx val="2317"/>
        <c:marker>
          <c:symbol val="none"/>
        </c:marker>
      </c:pivotFmt>
      <c:pivotFmt>
        <c:idx val="2318"/>
        <c:marker>
          <c:symbol val="none"/>
        </c:marker>
      </c:pivotFmt>
      <c:pivotFmt>
        <c:idx val="2319"/>
        <c:marker>
          <c:symbol val="none"/>
        </c:marker>
      </c:pivotFmt>
      <c:pivotFmt>
        <c:idx val="2320"/>
        <c:marker>
          <c:symbol val="none"/>
        </c:marker>
      </c:pivotFmt>
      <c:pivotFmt>
        <c:idx val="2321"/>
        <c:marker>
          <c:symbol val="none"/>
        </c:marker>
      </c:pivotFmt>
      <c:pivotFmt>
        <c:idx val="2322"/>
        <c:marker>
          <c:symbol val="none"/>
        </c:marker>
      </c:pivotFmt>
      <c:pivotFmt>
        <c:idx val="2323"/>
        <c:marker>
          <c:symbol val="none"/>
        </c:marker>
      </c:pivotFmt>
      <c:pivotFmt>
        <c:idx val="2324"/>
        <c:marker>
          <c:symbol val="none"/>
        </c:marker>
      </c:pivotFmt>
      <c:pivotFmt>
        <c:idx val="2325"/>
        <c:marker>
          <c:symbol val="none"/>
        </c:marker>
      </c:pivotFmt>
      <c:pivotFmt>
        <c:idx val="2326"/>
        <c:marker>
          <c:symbol val="none"/>
        </c:marker>
      </c:pivotFmt>
      <c:pivotFmt>
        <c:idx val="2327"/>
        <c:marker>
          <c:symbol val="none"/>
        </c:marker>
      </c:pivotFmt>
      <c:pivotFmt>
        <c:idx val="2328"/>
        <c:marker>
          <c:symbol val="none"/>
        </c:marker>
      </c:pivotFmt>
      <c:pivotFmt>
        <c:idx val="2329"/>
        <c:marker>
          <c:symbol val="none"/>
        </c:marker>
      </c:pivotFmt>
      <c:pivotFmt>
        <c:idx val="2330"/>
        <c:marker>
          <c:symbol val="none"/>
        </c:marker>
      </c:pivotFmt>
      <c:pivotFmt>
        <c:idx val="2331"/>
        <c:marker>
          <c:symbol val="none"/>
        </c:marker>
      </c:pivotFmt>
      <c:pivotFmt>
        <c:idx val="2332"/>
        <c:marker>
          <c:symbol val="none"/>
        </c:marker>
      </c:pivotFmt>
      <c:pivotFmt>
        <c:idx val="2333"/>
        <c:marker>
          <c:symbol val="none"/>
        </c:marker>
      </c:pivotFmt>
      <c:pivotFmt>
        <c:idx val="2334"/>
        <c:marker>
          <c:symbol val="none"/>
        </c:marker>
      </c:pivotFmt>
      <c:pivotFmt>
        <c:idx val="2335"/>
        <c:marker>
          <c:symbol val="none"/>
        </c:marker>
      </c:pivotFmt>
      <c:pivotFmt>
        <c:idx val="2336"/>
        <c:marker>
          <c:symbol val="none"/>
        </c:marker>
      </c:pivotFmt>
      <c:pivotFmt>
        <c:idx val="2337"/>
        <c:marker>
          <c:symbol val="none"/>
        </c:marker>
      </c:pivotFmt>
      <c:pivotFmt>
        <c:idx val="2338"/>
        <c:marker>
          <c:symbol val="none"/>
        </c:marker>
      </c:pivotFmt>
      <c:pivotFmt>
        <c:idx val="2339"/>
        <c:marker>
          <c:symbol val="none"/>
        </c:marker>
      </c:pivotFmt>
      <c:pivotFmt>
        <c:idx val="2340"/>
        <c:marker>
          <c:symbol val="none"/>
        </c:marker>
      </c:pivotFmt>
      <c:pivotFmt>
        <c:idx val="2341"/>
        <c:marker>
          <c:symbol val="none"/>
        </c:marker>
      </c:pivotFmt>
      <c:pivotFmt>
        <c:idx val="2342"/>
        <c:marker>
          <c:symbol val="none"/>
        </c:marker>
      </c:pivotFmt>
      <c:pivotFmt>
        <c:idx val="2343"/>
        <c:marker>
          <c:symbol val="none"/>
        </c:marker>
      </c:pivotFmt>
      <c:pivotFmt>
        <c:idx val="2344"/>
        <c:marker>
          <c:symbol val="none"/>
        </c:marker>
      </c:pivotFmt>
      <c:pivotFmt>
        <c:idx val="2345"/>
        <c:marker>
          <c:symbol val="none"/>
        </c:marker>
      </c:pivotFmt>
      <c:pivotFmt>
        <c:idx val="2346"/>
        <c:marker>
          <c:symbol val="none"/>
        </c:marker>
      </c:pivotFmt>
      <c:pivotFmt>
        <c:idx val="2347"/>
        <c:marker>
          <c:symbol val="none"/>
        </c:marker>
      </c:pivotFmt>
      <c:pivotFmt>
        <c:idx val="2348"/>
        <c:marker>
          <c:symbol val="none"/>
        </c:marker>
      </c:pivotFmt>
      <c:pivotFmt>
        <c:idx val="2349"/>
        <c:marker>
          <c:symbol val="none"/>
        </c:marker>
      </c:pivotFmt>
      <c:pivotFmt>
        <c:idx val="2350"/>
        <c:marker>
          <c:symbol val="none"/>
        </c:marker>
      </c:pivotFmt>
      <c:pivotFmt>
        <c:idx val="2351"/>
        <c:marker>
          <c:symbol val="none"/>
        </c:marker>
      </c:pivotFmt>
      <c:pivotFmt>
        <c:idx val="2352"/>
        <c:marker>
          <c:symbol val="none"/>
        </c:marker>
      </c:pivotFmt>
      <c:pivotFmt>
        <c:idx val="2353"/>
        <c:marker>
          <c:symbol val="none"/>
        </c:marker>
      </c:pivotFmt>
      <c:pivotFmt>
        <c:idx val="2354"/>
        <c:marker>
          <c:symbol val="none"/>
        </c:marker>
      </c:pivotFmt>
      <c:pivotFmt>
        <c:idx val="2355"/>
        <c:marker>
          <c:symbol val="none"/>
        </c:marker>
      </c:pivotFmt>
      <c:pivotFmt>
        <c:idx val="2356"/>
        <c:marker>
          <c:symbol val="none"/>
        </c:marker>
      </c:pivotFmt>
      <c:pivotFmt>
        <c:idx val="2357"/>
        <c:marker>
          <c:symbol val="none"/>
        </c:marker>
      </c:pivotFmt>
      <c:pivotFmt>
        <c:idx val="2358"/>
        <c:marker>
          <c:symbol val="none"/>
        </c:marker>
      </c:pivotFmt>
      <c:pivotFmt>
        <c:idx val="2359"/>
        <c:marker>
          <c:symbol val="none"/>
        </c:marker>
      </c:pivotFmt>
      <c:pivotFmt>
        <c:idx val="2360"/>
        <c:marker>
          <c:symbol val="none"/>
        </c:marker>
      </c:pivotFmt>
      <c:pivotFmt>
        <c:idx val="2361"/>
        <c:marker>
          <c:symbol val="none"/>
        </c:marker>
      </c:pivotFmt>
      <c:pivotFmt>
        <c:idx val="2362"/>
        <c:marker>
          <c:symbol val="none"/>
        </c:marker>
      </c:pivotFmt>
      <c:pivotFmt>
        <c:idx val="2363"/>
        <c:marker>
          <c:symbol val="none"/>
        </c:marker>
      </c:pivotFmt>
      <c:pivotFmt>
        <c:idx val="2364"/>
        <c:marker>
          <c:symbol val="none"/>
        </c:marker>
      </c:pivotFmt>
      <c:pivotFmt>
        <c:idx val="2365"/>
        <c:marker>
          <c:symbol val="none"/>
        </c:marker>
      </c:pivotFmt>
      <c:pivotFmt>
        <c:idx val="2366"/>
        <c:marker>
          <c:symbol val="none"/>
        </c:marker>
      </c:pivotFmt>
      <c:pivotFmt>
        <c:idx val="2367"/>
        <c:marker>
          <c:symbol val="none"/>
        </c:marker>
      </c:pivotFmt>
      <c:pivotFmt>
        <c:idx val="2368"/>
        <c:marker>
          <c:symbol val="none"/>
        </c:marker>
      </c:pivotFmt>
      <c:pivotFmt>
        <c:idx val="2369"/>
        <c:marker>
          <c:symbol val="none"/>
        </c:marker>
      </c:pivotFmt>
      <c:pivotFmt>
        <c:idx val="2370"/>
        <c:marker>
          <c:symbol val="none"/>
        </c:marker>
      </c:pivotFmt>
      <c:pivotFmt>
        <c:idx val="2371"/>
        <c:marker>
          <c:symbol val="none"/>
        </c:marker>
      </c:pivotFmt>
      <c:pivotFmt>
        <c:idx val="2372"/>
        <c:marker>
          <c:symbol val="none"/>
        </c:marker>
      </c:pivotFmt>
      <c:pivotFmt>
        <c:idx val="2373"/>
        <c:marker>
          <c:symbol val="none"/>
        </c:marker>
      </c:pivotFmt>
      <c:pivotFmt>
        <c:idx val="2374"/>
        <c:marker>
          <c:symbol val="none"/>
        </c:marker>
      </c:pivotFmt>
      <c:pivotFmt>
        <c:idx val="2375"/>
        <c:marker>
          <c:symbol val="none"/>
        </c:marker>
      </c:pivotFmt>
      <c:pivotFmt>
        <c:idx val="2376"/>
        <c:marker>
          <c:symbol val="none"/>
        </c:marker>
      </c:pivotFmt>
      <c:pivotFmt>
        <c:idx val="2377"/>
        <c:marker>
          <c:symbol val="none"/>
        </c:marker>
      </c:pivotFmt>
      <c:pivotFmt>
        <c:idx val="2378"/>
        <c:marker>
          <c:symbol val="none"/>
        </c:marker>
      </c:pivotFmt>
      <c:pivotFmt>
        <c:idx val="2379"/>
        <c:marker>
          <c:symbol val="none"/>
        </c:marker>
      </c:pivotFmt>
      <c:pivotFmt>
        <c:idx val="2380"/>
        <c:marker>
          <c:symbol val="none"/>
        </c:marker>
      </c:pivotFmt>
      <c:pivotFmt>
        <c:idx val="2381"/>
        <c:marker>
          <c:symbol val="none"/>
        </c:marker>
      </c:pivotFmt>
      <c:pivotFmt>
        <c:idx val="2382"/>
        <c:marker>
          <c:symbol val="none"/>
        </c:marker>
      </c:pivotFmt>
      <c:pivotFmt>
        <c:idx val="2383"/>
        <c:marker>
          <c:symbol val="none"/>
        </c:marker>
      </c:pivotFmt>
      <c:pivotFmt>
        <c:idx val="2384"/>
        <c:marker>
          <c:symbol val="none"/>
        </c:marker>
      </c:pivotFmt>
      <c:pivotFmt>
        <c:idx val="2385"/>
        <c:marker>
          <c:symbol val="none"/>
        </c:marker>
      </c:pivotFmt>
      <c:pivotFmt>
        <c:idx val="2386"/>
        <c:marker>
          <c:symbol val="none"/>
        </c:marker>
      </c:pivotFmt>
      <c:pivotFmt>
        <c:idx val="2387"/>
        <c:marker>
          <c:symbol val="none"/>
        </c:marker>
      </c:pivotFmt>
      <c:pivotFmt>
        <c:idx val="2388"/>
        <c:marker>
          <c:symbol val="none"/>
        </c:marker>
      </c:pivotFmt>
      <c:pivotFmt>
        <c:idx val="2389"/>
        <c:marker>
          <c:symbol val="none"/>
        </c:marker>
      </c:pivotFmt>
      <c:pivotFmt>
        <c:idx val="2390"/>
        <c:marker>
          <c:symbol val="none"/>
        </c:marker>
      </c:pivotFmt>
      <c:pivotFmt>
        <c:idx val="2391"/>
        <c:marker>
          <c:symbol val="none"/>
        </c:marker>
      </c:pivotFmt>
      <c:pivotFmt>
        <c:idx val="2392"/>
        <c:marker>
          <c:symbol val="none"/>
        </c:marker>
      </c:pivotFmt>
      <c:pivotFmt>
        <c:idx val="2393"/>
        <c:marker>
          <c:symbol val="none"/>
        </c:marker>
      </c:pivotFmt>
      <c:pivotFmt>
        <c:idx val="2394"/>
        <c:marker>
          <c:symbol val="none"/>
        </c:marker>
      </c:pivotFmt>
      <c:pivotFmt>
        <c:idx val="2395"/>
        <c:marker>
          <c:symbol val="none"/>
        </c:marker>
      </c:pivotFmt>
      <c:pivotFmt>
        <c:idx val="2396"/>
        <c:marker>
          <c:symbol val="none"/>
        </c:marker>
      </c:pivotFmt>
      <c:pivotFmt>
        <c:idx val="2397"/>
        <c:marker>
          <c:symbol val="none"/>
        </c:marker>
      </c:pivotFmt>
      <c:pivotFmt>
        <c:idx val="2398"/>
        <c:marker>
          <c:symbol val="none"/>
        </c:marker>
      </c:pivotFmt>
      <c:pivotFmt>
        <c:idx val="2399"/>
        <c:marker>
          <c:symbol val="none"/>
        </c:marker>
      </c:pivotFmt>
      <c:pivotFmt>
        <c:idx val="2400"/>
        <c:marker>
          <c:symbol val="none"/>
        </c:marker>
      </c:pivotFmt>
      <c:pivotFmt>
        <c:idx val="2401"/>
        <c:marker>
          <c:symbol val="none"/>
        </c:marker>
      </c:pivotFmt>
      <c:pivotFmt>
        <c:idx val="2402"/>
        <c:marker>
          <c:symbol val="none"/>
        </c:marker>
      </c:pivotFmt>
      <c:pivotFmt>
        <c:idx val="2403"/>
        <c:marker>
          <c:symbol val="none"/>
        </c:marker>
      </c:pivotFmt>
      <c:pivotFmt>
        <c:idx val="2404"/>
        <c:marker>
          <c:symbol val="none"/>
        </c:marker>
      </c:pivotFmt>
      <c:pivotFmt>
        <c:idx val="2405"/>
        <c:marker>
          <c:symbol val="none"/>
        </c:marker>
      </c:pivotFmt>
      <c:pivotFmt>
        <c:idx val="2406"/>
        <c:marker>
          <c:symbol val="none"/>
        </c:marker>
      </c:pivotFmt>
      <c:pivotFmt>
        <c:idx val="2407"/>
        <c:marker>
          <c:symbol val="none"/>
        </c:marker>
      </c:pivotFmt>
      <c:pivotFmt>
        <c:idx val="2408"/>
        <c:marker>
          <c:symbol val="none"/>
        </c:marker>
      </c:pivotFmt>
      <c:pivotFmt>
        <c:idx val="2409"/>
        <c:marker>
          <c:symbol val="none"/>
        </c:marker>
      </c:pivotFmt>
      <c:pivotFmt>
        <c:idx val="2410"/>
        <c:marker>
          <c:symbol val="none"/>
        </c:marker>
      </c:pivotFmt>
      <c:pivotFmt>
        <c:idx val="2411"/>
        <c:marker>
          <c:symbol val="none"/>
        </c:marker>
      </c:pivotFmt>
      <c:pivotFmt>
        <c:idx val="2412"/>
        <c:marker>
          <c:symbol val="none"/>
        </c:marker>
      </c:pivotFmt>
      <c:pivotFmt>
        <c:idx val="2413"/>
        <c:marker>
          <c:symbol val="none"/>
        </c:marker>
      </c:pivotFmt>
      <c:pivotFmt>
        <c:idx val="2414"/>
        <c:marker>
          <c:symbol val="none"/>
        </c:marker>
      </c:pivotFmt>
      <c:pivotFmt>
        <c:idx val="2415"/>
        <c:marker>
          <c:symbol val="none"/>
        </c:marker>
      </c:pivotFmt>
      <c:pivotFmt>
        <c:idx val="2416"/>
        <c:marker>
          <c:symbol val="none"/>
        </c:marker>
      </c:pivotFmt>
      <c:pivotFmt>
        <c:idx val="2417"/>
        <c:marker>
          <c:symbol val="none"/>
        </c:marker>
      </c:pivotFmt>
      <c:pivotFmt>
        <c:idx val="2418"/>
        <c:marker>
          <c:symbol val="none"/>
        </c:marker>
      </c:pivotFmt>
      <c:pivotFmt>
        <c:idx val="2419"/>
        <c:marker>
          <c:symbol val="none"/>
        </c:marker>
      </c:pivotFmt>
      <c:pivotFmt>
        <c:idx val="2420"/>
        <c:marker>
          <c:symbol val="none"/>
        </c:marker>
      </c:pivotFmt>
      <c:pivotFmt>
        <c:idx val="2421"/>
        <c:marker>
          <c:symbol val="none"/>
        </c:marker>
      </c:pivotFmt>
      <c:pivotFmt>
        <c:idx val="2422"/>
        <c:marker>
          <c:symbol val="none"/>
        </c:marker>
      </c:pivotFmt>
      <c:pivotFmt>
        <c:idx val="2423"/>
        <c:marker>
          <c:symbol val="none"/>
        </c:marker>
      </c:pivotFmt>
      <c:pivotFmt>
        <c:idx val="2424"/>
        <c:marker>
          <c:symbol val="none"/>
        </c:marker>
      </c:pivotFmt>
      <c:pivotFmt>
        <c:idx val="2425"/>
        <c:marker>
          <c:symbol val="none"/>
        </c:marker>
      </c:pivotFmt>
      <c:pivotFmt>
        <c:idx val="2426"/>
        <c:marker>
          <c:symbol val="none"/>
        </c:marker>
      </c:pivotFmt>
      <c:pivotFmt>
        <c:idx val="2427"/>
        <c:marker>
          <c:symbol val="none"/>
        </c:marker>
      </c:pivotFmt>
      <c:pivotFmt>
        <c:idx val="2428"/>
        <c:marker>
          <c:symbol val="none"/>
        </c:marker>
      </c:pivotFmt>
      <c:pivotFmt>
        <c:idx val="2429"/>
        <c:marker>
          <c:symbol val="none"/>
        </c:marker>
      </c:pivotFmt>
      <c:pivotFmt>
        <c:idx val="2430"/>
        <c:marker>
          <c:symbol val="none"/>
        </c:marker>
      </c:pivotFmt>
      <c:pivotFmt>
        <c:idx val="2431"/>
        <c:marker>
          <c:symbol val="none"/>
        </c:marker>
      </c:pivotFmt>
      <c:pivotFmt>
        <c:idx val="2432"/>
        <c:marker>
          <c:symbol val="none"/>
        </c:marker>
      </c:pivotFmt>
      <c:pivotFmt>
        <c:idx val="2433"/>
        <c:marker>
          <c:symbol val="none"/>
        </c:marker>
      </c:pivotFmt>
      <c:pivotFmt>
        <c:idx val="2434"/>
        <c:marker>
          <c:symbol val="none"/>
        </c:marker>
      </c:pivotFmt>
      <c:pivotFmt>
        <c:idx val="2435"/>
        <c:marker>
          <c:symbol val="none"/>
        </c:marker>
      </c:pivotFmt>
      <c:pivotFmt>
        <c:idx val="2436"/>
        <c:marker>
          <c:symbol val="none"/>
        </c:marker>
      </c:pivotFmt>
      <c:pivotFmt>
        <c:idx val="2437"/>
        <c:marker>
          <c:symbol val="none"/>
        </c:marker>
      </c:pivotFmt>
      <c:pivotFmt>
        <c:idx val="2438"/>
        <c:marker>
          <c:symbol val="none"/>
        </c:marker>
      </c:pivotFmt>
      <c:pivotFmt>
        <c:idx val="2439"/>
        <c:marker>
          <c:symbol val="none"/>
        </c:marker>
      </c:pivotFmt>
      <c:pivotFmt>
        <c:idx val="2440"/>
        <c:marker>
          <c:symbol val="none"/>
        </c:marker>
      </c:pivotFmt>
      <c:pivotFmt>
        <c:idx val="2441"/>
        <c:marker>
          <c:symbol val="none"/>
        </c:marker>
      </c:pivotFmt>
      <c:pivotFmt>
        <c:idx val="2442"/>
        <c:marker>
          <c:symbol val="none"/>
        </c:marker>
      </c:pivotFmt>
      <c:pivotFmt>
        <c:idx val="2443"/>
        <c:marker>
          <c:symbol val="none"/>
        </c:marker>
      </c:pivotFmt>
      <c:pivotFmt>
        <c:idx val="2444"/>
        <c:marker>
          <c:symbol val="none"/>
        </c:marker>
      </c:pivotFmt>
      <c:pivotFmt>
        <c:idx val="2445"/>
        <c:marker>
          <c:symbol val="none"/>
        </c:marker>
      </c:pivotFmt>
      <c:pivotFmt>
        <c:idx val="2446"/>
        <c:marker>
          <c:symbol val="none"/>
        </c:marker>
      </c:pivotFmt>
      <c:pivotFmt>
        <c:idx val="2447"/>
        <c:marker>
          <c:symbol val="none"/>
        </c:marker>
      </c:pivotFmt>
      <c:pivotFmt>
        <c:idx val="2448"/>
        <c:marker>
          <c:symbol val="none"/>
        </c:marker>
      </c:pivotFmt>
      <c:pivotFmt>
        <c:idx val="2449"/>
        <c:marker>
          <c:symbol val="none"/>
        </c:marker>
      </c:pivotFmt>
      <c:pivotFmt>
        <c:idx val="2450"/>
        <c:marker>
          <c:symbol val="none"/>
        </c:marker>
      </c:pivotFmt>
      <c:pivotFmt>
        <c:idx val="2451"/>
        <c:marker>
          <c:symbol val="none"/>
        </c:marker>
      </c:pivotFmt>
      <c:pivotFmt>
        <c:idx val="2452"/>
        <c:marker>
          <c:symbol val="none"/>
        </c:marker>
      </c:pivotFmt>
      <c:pivotFmt>
        <c:idx val="2453"/>
        <c:marker>
          <c:symbol val="none"/>
        </c:marker>
      </c:pivotFmt>
      <c:pivotFmt>
        <c:idx val="2454"/>
        <c:marker>
          <c:symbol val="none"/>
        </c:marker>
      </c:pivotFmt>
      <c:pivotFmt>
        <c:idx val="2455"/>
        <c:marker>
          <c:symbol val="none"/>
        </c:marker>
      </c:pivotFmt>
      <c:pivotFmt>
        <c:idx val="2456"/>
        <c:marker>
          <c:symbol val="none"/>
        </c:marker>
      </c:pivotFmt>
      <c:pivotFmt>
        <c:idx val="2457"/>
        <c:marker>
          <c:symbol val="none"/>
        </c:marker>
      </c:pivotFmt>
      <c:pivotFmt>
        <c:idx val="2458"/>
        <c:marker>
          <c:symbol val="none"/>
        </c:marker>
      </c:pivotFmt>
      <c:pivotFmt>
        <c:idx val="2459"/>
        <c:marker>
          <c:symbol val="none"/>
        </c:marker>
      </c:pivotFmt>
      <c:pivotFmt>
        <c:idx val="2460"/>
        <c:marker>
          <c:symbol val="none"/>
        </c:marker>
      </c:pivotFmt>
      <c:pivotFmt>
        <c:idx val="2461"/>
        <c:marker>
          <c:symbol val="none"/>
        </c:marker>
      </c:pivotFmt>
      <c:pivotFmt>
        <c:idx val="2462"/>
        <c:marker>
          <c:symbol val="none"/>
        </c:marker>
      </c:pivotFmt>
      <c:pivotFmt>
        <c:idx val="2463"/>
        <c:marker>
          <c:symbol val="none"/>
        </c:marker>
      </c:pivotFmt>
      <c:pivotFmt>
        <c:idx val="2464"/>
        <c:marker>
          <c:symbol val="none"/>
        </c:marker>
      </c:pivotFmt>
      <c:pivotFmt>
        <c:idx val="2465"/>
        <c:marker>
          <c:symbol val="none"/>
        </c:marker>
      </c:pivotFmt>
      <c:pivotFmt>
        <c:idx val="2466"/>
        <c:marker>
          <c:symbol val="none"/>
        </c:marker>
      </c:pivotFmt>
      <c:pivotFmt>
        <c:idx val="2467"/>
        <c:marker>
          <c:symbol val="none"/>
        </c:marker>
      </c:pivotFmt>
      <c:pivotFmt>
        <c:idx val="2468"/>
        <c:marker>
          <c:symbol val="none"/>
        </c:marker>
      </c:pivotFmt>
      <c:pivotFmt>
        <c:idx val="2469"/>
        <c:marker>
          <c:symbol val="none"/>
        </c:marker>
      </c:pivotFmt>
      <c:pivotFmt>
        <c:idx val="2470"/>
        <c:marker>
          <c:symbol val="none"/>
        </c:marker>
      </c:pivotFmt>
      <c:pivotFmt>
        <c:idx val="2471"/>
        <c:marker>
          <c:symbol val="none"/>
        </c:marker>
      </c:pivotFmt>
      <c:pivotFmt>
        <c:idx val="2472"/>
        <c:marker>
          <c:symbol val="none"/>
        </c:marker>
      </c:pivotFmt>
      <c:pivotFmt>
        <c:idx val="2473"/>
        <c:marker>
          <c:symbol val="none"/>
        </c:marker>
      </c:pivotFmt>
      <c:pivotFmt>
        <c:idx val="2474"/>
        <c:marker>
          <c:symbol val="none"/>
        </c:marker>
      </c:pivotFmt>
      <c:pivotFmt>
        <c:idx val="2475"/>
        <c:marker>
          <c:symbol val="none"/>
        </c:marker>
      </c:pivotFmt>
      <c:pivotFmt>
        <c:idx val="2476"/>
        <c:marker>
          <c:symbol val="none"/>
        </c:marker>
      </c:pivotFmt>
      <c:pivotFmt>
        <c:idx val="2477"/>
        <c:marker>
          <c:symbol val="none"/>
        </c:marker>
      </c:pivotFmt>
      <c:pivotFmt>
        <c:idx val="2478"/>
        <c:marker>
          <c:symbol val="none"/>
        </c:marker>
      </c:pivotFmt>
      <c:pivotFmt>
        <c:idx val="2479"/>
        <c:marker>
          <c:symbol val="none"/>
        </c:marker>
      </c:pivotFmt>
      <c:pivotFmt>
        <c:idx val="2480"/>
        <c:marker>
          <c:symbol val="none"/>
        </c:marker>
      </c:pivotFmt>
      <c:pivotFmt>
        <c:idx val="2481"/>
        <c:marker>
          <c:symbol val="none"/>
        </c:marker>
      </c:pivotFmt>
      <c:pivotFmt>
        <c:idx val="2482"/>
        <c:marker>
          <c:symbol val="none"/>
        </c:marker>
      </c:pivotFmt>
      <c:pivotFmt>
        <c:idx val="2483"/>
        <c:marker>
          <c:symbol val="none"/>
        </c:marker>
      </c:pivotFmt>
      <c:pivotFmt>
        <c:idx val="2484"/>
        <c:marker>
          <c:symbol val="none"/>
        </c:marker>
      </c:pivotFmt>
      <c:pivotFmt>
        <c:idx val="2485"/>
        <c:marker>
          <c:symbol val="none"/>
        </c:marker>
      </c:pivotFmt>
      <c:pivotFmt>
        <c:idx val="2486"/>
        <c:marker>
          <c:symbol val="none"/>
        </c:marker>
      </c:pivotFmt>
      <c:pivotFmt>
        <c:idx val="2487"/>
        <c:marker>
          <c:symbol val="none"/>
        </c:marker>
      </c:pivotFmt>
      <c:pivotFmt>
        <c:idx val="2488"/>
        <c:marker>
          <c:symbol val="none"/>
        </c:marker>
      </c:pivotFmt>
      <c:pivotFmt>
        <c:idx val="2489"/>
        <c:marker>
          <c:symbol val="none"/>
        </c:marker>
      </c:pivotFmt>
      <c:pivotFmt>
        <c:idx val="2490"/>
        <c:marker>
          <c:symbol val="none"/>
        </c:marker>
      </c:pivotFmt>
      <c:pivotFmt>
        <c:idx val="2491"/>
        <c:marker>
          <c:symbol val="none"/>
        </c:marker>
      </c:pivotFmt>
      <c:pivotFmt>
        <c:idx val="2492"/>
        <c:marker>
          <c:symbol val="none"/>
        </c:marker>
      </c:pivotFmt>
      <c:pivotFmt>
        <c:idx val="2493"/>
        <c:marker>
          <c:symbol val="none"/>
        </c:marker>
      </c:pivotFmt>
      <c:pivotFmt>
        <c:idx val="2494"/>
        <c:marker>
          <c:symbol val="none"/>
        </c:marker>
      </c:pivotFmt>
      <c:pivotFmt>
        <c:idx val="2495"/>
        <c:marker>
          <c:symbol val="none"/>
        </c:marker>
      </c:pivotFmt>
      <c:pivotFmt>
        <c:idx val="2496"/>
        <c:marker>
          <c:symbol val="none"/>
        </c:marker>
      </c:pivotFmt>
      <c:pivotFmt>
        <c:idx val="2497"/>
        <c:marker>
          <c:symbol val="none"/>
        </c:marker>
      </c:pivotFmt>
      <c:pivotFmt>
        <c:idx val="2498"/>
        <c:marker>
          <c:symbol val="none"/>
        </c:marker>
      </c:pivotFmt>
      <c:pivotFmt>
        <c:idx val="2499"/>
        <c:marker>
          <c:symbol val="none"/>
        </c:marker>
      </c:pivotFmt>
      <c:pivotFmt>
        <c:idx val="2500"/>
        <c:marker>
          <c:symbol val="none"/>
        </c:marker>
      </c:pivotFmt>
      <c:pivotFmt>
        <c:idx val="2501"/>
        <c:marker>
          <c:symbol val="none"/>
        </c:marker>
      </c:pivotFmt>
      <c:pivotFmt>
        <c:idx val="2502"/>
        <c:marker>
          <c:symbol val="none"/>
        </c:marker>
      </c:pivotFmt>
      <c:pivotFmt>
        <c:idx val="2503"/>
        <c:marker>
          <c:symbol val="none"/>
        </c:marker>
      </c:pivotFmt>
      <c:pivotFmt>
        <c:idx val="2504"/>
        <c:marker>
          <c:symbol val="none"/>
        </c:marker>
      </c:pivotFmt>
      <c:pivotFmt>
        <c:idx val="2505"/>
        <c:marker>
          <c:symbol val="none"/>
        </c:marker>
      </c:pivotFmt>
      <c:pivotFmt>
        <c:idx val="2506"/>
        <c:marker>
          <c:symbol val="none"/>
        </c:marker>
      </c:pivotFmt>
      <c:pivotFmt>
        <c:idx val="2507"/>
        <c:marker>
          <c:symbol val="none"/>
        </c:marker>
      </c:pivotFmt>
      <c:pivotFmt>
        <c:idx val="2508"/>
        <c:marker>
          <c:symbol val="none"/>
        </c:marker>
      </c:pivotFmt>
      <c:pivotFmt>
        <c:idx val="2509"/>
        <c:marker>
          <c:symbol val="none"/>
        </c:marker>
      </c:pivotFmt>
      <c:pivotFmt>
        <c:idx val="2510"/>
        <c:marker>
          <c:symbol val="none"/>
        </c:marker>
      </c:pivotFmt>
      <c:pivotFmt>
        <c:idx val="2511"/>
        <c:marker>
          <c:symbol val="none"/>
        </c:marker>
      </c:pivotFmt>
      <c:pivotFmt>
        <c:idx val="2512"/>
        <c:marker>
          <c:symbol val="none"/>
        </c:marker>
      </c:pivotFmt>
      <c:pivotFmt>
        <c:idx val="2513"/>
        <c:marker>
          <c:symbol val="none"/>
        </c:marker>
      </c:pivotFmt>
      <c:pivotFmt>
        <c:idx val="2514"/>
        <c:marker>
          <c:symbol val="none"/>
        </c:marker>
      </c:pivotFmt>
      <c:pivotFmt>
        <c:idx val="2515"/>
        <c:marker>
          <c:symbol val="none"/>
        </c:marker>
      </c:pivotFmt>
      <c:pivotFmt>
        <c:idx val="2516"/>
        <c:marker>
          <c:symbol val="none"/>
        </c:marker>
      </c:pivotFmt>
      <c:pivotFmt>
        <c:idx val="2517"/>
        <c:marker>
          <c:symbol val="none"/>
        </c:marker>
      </c:pivotFmt>
      <c:pivotFmt>
        <c:idx val="2518"/>
        <c:marker>
          <c:symbol val="none"/>
        </c:marker>
      </c:pivotFmt>
      <c:pivotFmt>
        <c:idx val="2519"/>
        <c:marker>
          <c:symbol val="none"/>
        </c:marker>
      </c:pivotFmt>
      <c:pivotFmt>
        <c:idx val="2520"/>
        <c:marker>
          <c:symbol val="none"/>
        </c:marker>
      </c:pivotFmt>
      <c:pivotFmt>
        <c:idx val="2521"/>
        <c:marker>
          <c:symbol val="none"/>
        </c:marker>
      </c:pivotFmt>
      <c:pivotFmt>
        <c:idx val="2522"/>
        <c:marker>
          <c:symbol val="none"/>
        </c:marker>
      </c:pivotFmt>
      <c:pivotFmt>
        <c:idx val="2523"/>
        <c:marker>
          <c:symbol val="none"/>
        </c:marker>
      </c:pivotFmt>
      <c:pivotFmt>
        <c:idx val="2524"/>
        <c:marker>
          <c:symbol val="none"/>
        </c:marker>
      </c:pivotFmt>
      <c:pivotFmt>
        <c:idx val="2525"/>
        <c:marker>
          <c:symbol val="none"/>
        </c:marker>
      </c:pivotFmt>
      <c:pivotFmt>
        <c:idx val="2526"/>
        <c:marker>
          <c:symbol val="none"/>
        </c:marker>
      </c:pivotFmt>
      <c:pivotFmt>
        <c:idx val="2527"/>
        <c:marker>
          <c:symbol val="none"/>
        </c:marker>
      </c:pivotFmt>
      <c:pivotFmt>
        <c:idx val="2528"/>
        <c:marker>
          <c:symbol val="none"/>
        </c:marker>
      </c:pivotFmt>
      <c:pivotFmt>
        <c:idx val="2529"/>
        <c:marker>
          <c:symbol val="none"/>
        </c:marker>
      </c:pivotFmt>
      <c:pivotFmt>
        <c:idx val="2530"/>
        <c:marker>
          <c:symbol val="none"/>
        </c:marker>
      </c:pivotFmt>
      <c:pivotFmt>
        <c:idx val="2531"/>
        <c:marker>
          <c:symbol val="none"/>
        </c:marker>
      </c:pivotFmt>
      <c:pivotFmt>
        <c:idx val="2532"/>
        <c:marker>
          <c:symbol val="none"/>
        </c:marker>
      </c:pivotFmt>
      <c:pivotFmt>
        <c:idx val="2533"/>
        <c:marker>
          <c:symbol val="none"/>
        </c:marker>
      </c:pivotFmt>
      <c:pivotFmt>
        <c:idx val="2534"/>
        <c:marker>
          <c:symbol val="none"/>
        </c:marker>
      </c:pivotFmt>
      <c:pivotFmt>
        <c:idx val="2535"/>
        <c:marker>
          <c:symbol val="none"/>
        </c:marker>
      </c:pivotFmt>
      <c:pivotFmt>
        <c:idx val="2536"/>
        <c:marker>
          <c:symbol val="none"/>
        </c:marker>
      </c:pivotFmt>
      <c:pivotFmt>
        <c:idx val="2537"/>
        <c:marker>
          <c:symbol val="none"/>
        </c:marker>
      </c:pivotFmt>
      <c:pivotFmt>
        <c:idx val="2538"/>
        <c:marker>
          <c:symbol val="none"/>
        </c:marker>
      </c:pivotFmt>
      <c:pivotFmt>
        <c:idx val="2539"/>
        <c:marker>
          <c:symbol val="none"/>
        </c:marker>
      </c:pivotFmt>
      <c:pivotFmt>
        <c:idx val="2540"/>
        <c:marker>
          <c:symbol val="none"/>
        </c:marker>
      </c:pivotFmt>
      <c:pivotFmt>
        <c:idx val="2541"/>
        <c:marker>
          <c:symbol val="none"/>
        </c:marker>
      </c:pivotFmt>
      <c:pivotFmt>
        <c:idx val="2542"/>
        <c:marker>
          <c:symbol val="none"/>
        </c:marker>
      </c:pivotFmt>
      <c:pivotFmt>
        <c:idx val="2543"/>
        <c:marker>
          <c:symbol val="none"/>
        </c:marker>
      </c:pivotFmt>
      <c:pivotFmt>
        <c:idx val="2544"/>
        <c:marker>
          <c:symbol val="none"/>
        </c:marker>
      </c:pivotFmt>
      <c:pivotFmt>
        <c:idx val="2545"/>
        <c:marker>
          <c:symbol val="none"/>
        </c:marker>
      </c:pivotFmt>
      <c:pivotFmt>
        <c:idx val="2546"/>
        <c:marker>
          <c:symbol val="none"/>
        </c:marker>
      </c:pivotFmt>
      <c:pivotFmt>
        <c:idx val="2547"/>
        <c:marker>
          <c:symbol val="none"/>
        </c:marker>
      </c:pivotFmt>
      <c:pivotFmt>
        <c:idx val="2548"/>
        <c:marker>
          <c:symbol val="none"/>
        </c:marker>
      </c:pivotFmt>
      <c:pivotFmt>
        <c:idx val="2549"/>
        <c:marker>
          <c:symbol val="none"/>
        </c:marker>
      </c:pivotFmt>
      <c:pivotFmt>
        <c:idx val="2550"/>
        <c:marker>
          <c:symbol val="none"/>
        </c:marker>
      </c:pivotFmt>
      <c:pivotFmt>
        <c:idx val="2551"/>
        <c:marker>
          <c:symbol val="none"/>
        </c:marker>
      </c:pivotFmt>
      <c:pivotFmt>
        <c:idx val="2552"/>
        <c:marker>
          <c:symbol val="none"/>
        </c:marker>
      </c:pivotFmt>
      <c:pivotFmt>
        <c:idx val="2553"/>
        <c:marker>
          <c:symbol val="none"/>
        </c:marker>
      </c:pivotFmt>
      <c:pivotFmt>
        <c:idx val="2554"/>
        <c:marker>
          <c:symbol val="none"/>
        </c:marker>
      </c:pivotFmt>
      <c:pivotFmt>
        <c:idx val="2555"/>
        <c:marker>
          <c:symbol val="none"/>
        </c:marker>
      </c:pivotFmt>
      <c:pivotFmt>
        <c:idx val="2556"/>
        <c:marker>
          <c:symbol val="none"/>
        </c:marker>
      </c:pivotFmt>
      <c:pivotFmt>
        <c:idx val="2557"/>
        <c:marker>
          <c:symbol val="none"/>
        </c:marker>
      </c:pivotFmt>
      <c:pivotFmt>
        <c:idx val="2558"/>
        <c:marker>
          <c:symbol val="none"/>
        </c:marker>
      </c:pivotFmt>
      <c:pivotFmt>
        <c:idx val="2559"/>
        <c:marker>
          <c:symbol val="none"/>
        </c:marker>
      </c:pivotFmt>
      <c:pivotFmt>
        <c:idx val="2560"/>
        <c:marker>
          <c:symbol val="none"/>
        </c:marker>
      </c:pivotFmt>
      <c:pivotFmt>
        <c:idx val="2561"/>
        <c:marker>
          <c:symbol val="none"/>
        </c:marker>
      </c:pivotFmt>
      <c:pivotFmt>
        <c:idx val="2562"/>
        <c:marker>
          <c:symbol val="none"/>
        </c:marker>
      </c:pivotFmt>
      <c:pivotFmt>
        <c:idx val="2563"/>
        <c:marker>
          <c:symbol val="none"/>
        </c:marker>
      </c:pivotFmt>
      <c:pivotFmt>
        <c:idx val="2564"/>
        <c:marker>
          <c:symbol val="none"/>
        </c:marker>
      </c:pivotFmt>
      <c:pivotFmt>
        <c:idx val="2565"/>
        <c:marker>
          <c:symbol val="none"/>
        </c:marker>
      </c:pivotFmt>
      <c:pivotFmt>
        <c:idx val="2566"/>
        <c:marker>
          <c:symbol val="none"/>
        </c:marker>
      </c:pivotFmt>
      <c:pivotFmt>
        <c:idx val="2567"/>
        <c:marker>
          <c:symbol val="none"/>
        </c:marker>
      </c:pivotFmt>
      <c:pivotFmt>
        <c:idx val="2568"/>
        <c:marker>
          <c:symbol val="none"/>
        </c:marker>
      </c:pivotFmt>
      <c:pivotFmt>
        <c:idx val="2569"/>
        <c:marker>
          <c:symbol val="none"/>
        </c:marker>
      </c:pivotFmt>
      <c:pivotFmt>
        <c:idx val="2570"/>
        <c:marker>
          <c:symbol val="none"/>
        </c:marker>
      </c:pivotFmt>
      <c:pivotFmt>
        <c:idx val="2571"/>
        <c:marker>
          <c:symbol val="none"/>
        </c:marker>
      </c:pivotFmt>
      <c:pivotFmt>
        <c:idx val="2572"/>
        <c:marker>
          <c:symbol val="none"/>
        </c:marker>
      </c:pivotFmt>
      <c:pivotFmt>
        <c:idx val="2573"/>
        <c:marker>
          <c:symbol val="none"/>
        </c:marker>
      </c:pivotFmt>
      <c:pivotFmt>
        <c:idx val="2574"/>
        <c:marker>
          <c:symbol val="none"/>
        </c:marker>
      </c:pivotFmt>
      <c:pivotFmt>
        <c:idx val="2575"/>
        <c:marker>
          <c:symbol val="none"/>
        </c:marker>
      </c:pivotFmt>
      <c:pivotFmt>
        <c:idx val="2576"/>
        <c:marker>
          <c:symbol val="none"/>
        </c:marker>
      </c:pivotFmt>
      <c:pivotFmt>
        <c:idx val="2577"/>
        <c:marker>
          <c:symbol val="none"/>
        </c:marker>
      </c:pivotFmt>
      <c:pivotFmt>
        <c:idx val="2578"/>
        <c:marker>
          <c:symbol val="none"/>
        </c:marker>
      </c:pivotFmt>
      <c:pivotFmt>
        <c:idx val="2579"/>
        <c:marker>
          <c:symbol val="none"/>
        </c:marker>
      </c:pivotFmt>
      <c:pivotFmt>
        <c:idx val="2580"/>
        <c:marker>
          <c:symbol val="none"/>
        </c:marker>
      </c:pivotFmt>
      <c:pivotFmt>
        <c:idx val="2581"/>
        <c:marker>
          <c:symbol val="none"/>
        </c:marker>
      </c:pivotFmt>
      <c:pivotFmt>
        <c:idx val="2582"/>
        <c:marker>
          <c:symbol val="none"/>
        </c:marker>
      </c:pivotFmt>
      <c:pivotFmt>
        <c:idx val="2583"/>
        <c:marker>
          <c:symbol val="none"/>
        </c:marker>
      </c:pivotFmt>
      <c:pivotFmt>
        <c:idx val="2584"/>
        <c:marker>
          <c:symbol val="none"/>
        </c:marker>
      </c:pivotFmt>
      <c:pivotFmt>
        <c:idx val="2585"/>
        <c:marker>
          <c:symbol val="none"/>
        </c:marker>
      </c:pivotFmt>
      <c:pivotFmt>
        <c:idx val="2586"/>
        <c:marker>
          <c:symbol val="none"/>
        </c:marker>
      </c:pivotFmt>
      <c:pivotFmt>
        <c:idx val="2587"/>
        <c:marker>
          <c:symbol val="none"/>
        </c:marker>
      </c:pivotFmt>
      <c:pivotFmt>
        <c:idx val="2588"/>
        <c:marker>
          <c:symbol val="none"/>
        </c:marker>
      </c:pivotFmt>
      <c:pivotFmt>
        <c:idx val="2589"/>
        <c:marker>
          <c:symbol val="none"/>
        </c:marker>
      </c:pivotFmt>
      <c:pivotFmt>
        <c:idx val="2590"/>
        <c:marker>
          <c:symbol val="none"/>
        </c:marker>
      </c:pivotFmt>
      <c:pivotFmt>
        <c:idx val="2591"/>
        <c:marker>
          <c:symbol val="none"/>
        </c:marker>
      </c:pivotFmt>
      <c:pivotFmt>
        <c:idx val="2592"/>
        <c:marker>
          <c:symbol val="none"/>
        </c:marker>
      </c:pivotFmt>
      <c:pivotFmt>
        <c:idx val="2593"/>
        <c:marker>
          <c:symbol val="none"/>
        </c:marker>
      </c:pivotFmt>
      <c:pivotFmt>
        <c:idx val="2594"/>
        <c:marker>
          <c:symbol val="none"/>
        </c:marker>
      </c:pivotFmt>
      <c:pivotFmt>
        <c:idx val="2595"/>
        <c:marker>
          <c:symbol val="none"/>
        </c:marker>
      </c:pivotFmt>
      <c:pivotFmt>
        <c:idx val="2596"/>
        <c:marker>
          <c:symbol val="none"/>
        </c:marker>
      </c:pivotFmt>
      <c:pivotFmt>
        <c:idx val="2597"/>
        <c:marker>
          <c:symbol val="none"/>
        </c:marker>
      </c:pivotFmt>
      <c:pivotFmt>
        <c:idx val="2598"/>
        <c:marker>
          <c:symbol val="none"/>
        </c:marker>
      </c:pivotFmt>
      <c:pivotFmt>
        <c:idx val="2599"/>
        <c:marker>
          <c:symbol val="none"/>
        </c:marker>
      </c:pivotFmt>
      <c:pivotFmt>
        <c:idx val="2600"/>
        <c:marker>
          <c:symbol val="none"/>
        </c:marker>
      </c:pivotFmt>
      <c:pivotFmt>
        <c:idx val="2601"/>
        <c:marker>
          <c:symbol val="none"/>
        </c:marker>
      </c:pivotFmt>
      <c:pivotFmt>
        <c:idx val="2602"/>
        <c:marker>
          <c:symbol val="none"/>
        </c:marker>
      </c:pivotFmt>
      <c:pivotFmt>
        <c:idx val="2603"/>
        <c:marker>
          <c:symbol val="none"/>
        </c:marker>
      </c:pivotFmt>
      <c:pivotFmt>
        <c:idx val="2604"/>
        <c:marker>
          <c:symbol val="none"/>
        </c:marker>
      </c:pivotFmt>
      <c:pivotFmt>
        <c:idx val="2605"/>
        <c:marker>
          <c:symbol val="none"/>
        </c:marker>
      </c:pivotFmt>
      <c:pivotFmt>
        <c:idx val="2606"/>
        <c:marker>
          <c:symbol val="none"/>
        </c:marker>
      </c:pivotFmt>
      <c:pivotFmt>
        <c:idx val="2607"/>
        <c:marker>
          <c:symbol val="none"/>
        </c:marker>
      </c:pivotFmt>
      <c:pivotFmt>
        <c:idx val="2608"/>
        <c:marker>
          <c:symbol val="none"/>
        </c:marker>
      </c:pivotFmt>
      <c:pivotFmt>
        <c:idx val="2609"/>
        <c:marker>
          <c:symbol val="none"/>
        </c:marker>
      </c:pivotFmt>
      <c:pivotFmt>
        <c:idx val="2610"/>
        <c:marker>
          <c:symbol val="none"/>
        </c:marker>
      </c:pivotFmt>
      <c:pivotFmt>
        <c:idx val="2611"/>
        <c:marker>
          <c:symbol val="none"/>
        </c:marker>
      </c:pivotFmt>
      <c:pivotFmt>
        <c:idx val="2612"/>
        <c:marker>
          <c:symbol val="none"/>
        </c:marker>
      </c:pivotFmt>
      <c:pivotFmt>
        <c:idx val="2613"/>
        <c:marker>
          <c:symbol val="none"/>
        </c:marker>
      </c:pivotFmt>
      <c:pivotFmt>
        <c:idx val="2614"/>
        <c:marker>
          <c:symbol val="none"/>
        </c:marker>
      </c:pivotFmt>
      <c:pivotFmt>
        <c:idx val="2615"/>
        <c:marker>
          <c:symbol val="none"/>
        </c:marker>
      </c:pivotFmt>
      <c:pivotFmt>
        <c:idx val="2616"/>
        <c:marker>
          <c:symbol val="none"/>
        </c:marker>
      </c:pivotFmt>
      <c:pivotFmt>
        <c:idx val="2617"/>
        <c:marker>
          <c:symbol val="none"/>
        </c:marker>
      </c:pivotFmt>
      <c:pivotFmt>
        <c:idx val="2618"/>
        <c:marker>
          <c:symbol val="none"/>
        </c:marker>
      </c:pivotFmt>
      <c:pivotFmt>
        <c:idx val="2619"/>
        <c:marker>
          <c:symbol val="none"/>
        </c:marker>
      </c:pivotFmt>
      <c:pivotFmt>
        <c:idx val="2620"/>
        <c:marker>
          <c:symbol val="none"/>
        </c:marker>
      </c:pivotFmt>
      <c:pivotFmt>
        <c:idx val="2621"/>
        <c:marker>
          <c:symbol val="none"/>
        </c:marker>
      </c:pivotFmt>
      <c:pivotFmt>
        <c:idx val="2622"/>
        <c:marker>
          <c:symbol val="none"/>
        </c:marker>
      </c:pivotFmt>
      <c:pivotFmt>
        <c:idx val="2623"/>
        <c:marker>
          <c:symbol val="none"/>
        </c:marker>
      </c:pivotFmt>
      <c:pivotFmt>
        <c:idx val="2624"/>
        <c:marker>
          <c:symbol val="none"/>
        </c:marker>
      </c:pivotFmt>
      <c:pivotFmt>
        <c:idx val="2625"/>
        <c:marker>
          <c:symbol val="none"/>
        </c:marker>
      </c:pivotFmt>
      <c:pivotFmt>
        <c:idx val="2626"/>
        <c:marker>
          <c:symbol val="none"/>
        </c:marker>
      </c:pivotFmt>
      <c:pivotFmt>
        <c:idx val="2627"/>
        <c:marker>
          <c:symbol val="none"/>
        </c:marker>
      </c:pivotFmt>
      <c:pivotFmt>
        <c:idx val="2628"/>
        <c:marker>
          <c:symbol val="none"/>
        </c:marker>
      </c:pivotFmt>
      <c:pivotFmt>
        <c:idx val="2629"/>
        <c:marker>
          <c:symbol val="none"/>
        </c:marker>
      </c:pivotFmt>
      <c:pivotFmt>
        <c:idx val="2630"/>
        <c:marker>
          <c:symbol val="none"/>
        </c:marker>
      </c:pivotFmt>
      <c:pivotFmt>
        <c:idx val="2631"/>
        <c:marker>
          <c:symbol val="none"/>
        </c:marker>
      </c:pivotFmt>
      <c:pivotFmt>
        <c:idx val="2632"/>
        <c:marker>
          <c:symbol val="none"/>
        </c:marker>
      </c:pivotFmt>
      <c:pivotFmt>
        <c:idx val="2633"/>
        <c:marker>
          <c:symbol val="none"/>
        </c:marker>
      </c:pivotFmt>
      <c:pivotFmt>
        <c:idx val="2634"/>
        <c:marker>
          <c:symbol val="none"/>
        </c:marker>
      </c:pivotFmt>
      <c:pivotFmt>
        <c:idx val="2635"/>
        <c:marker>
          <c:symbol val="none"/>
        </c:marker>
      </c:pivotFmt>
      <c:pivotFmt>
        <c:idx val="2636"/>
        <c:marker>
          <c:symbol val="none"/>
        </c:marker>
      </c:pivotFmt>
      <c:pivotFmt>
        <c:idx val="2637"/>
        <c:marker>
          <c:symbol val="none"/>
        </c:marker>
      </c:pivotFmt>
      <c:pivotFmt>
        <c:idx val="2638"/>
        <c:marker>
          <c:symbol val="none"/>
        </c:marker>
      </c:pivotFmt>
      <c:pivotFmt>
        <c:idx val="2639"/>
        <c:marker>
          <c:symbol val="none"/>
        </c:marker>
      </c:pivotFmt>
      <c:pivotFmt>
        <c:idx val="2640"/>
        <c:marker>
          <c:symbol val="none"/>
        </c:marker>
      </c:pivotFmt>
      <c:pivotFmt>
        <c:idx val="2641"/>
        <c:marker>
          <c:symbol val="none"/>
        </c:marker>
      </c:pivotFmt>
      <c:pivotFmt>
        <c:idx val="2642"/>
        <c:marker>
          <c:symbol val="none"/>
        </c:marker>
      </c:pivotFmt>
      <c:pivotFmt>
        <c:idx val="2643"/>
        <c:marker>
          <c:symbol val="none"/>
        </c:marker>
      </c:pivotFmt>
      <c:pivotFmt>
        <c:idx val="2644"/>
        <c:marker>
          <c:symbol val="none"/>
        </c:marker>
      </c:pivotFmt>
      <c:pivotFmt>
        <c:idx val="2645"/>
        <c:marker>
          <c:symbol val="none"/>
        </c:marker>
      </c:pivotFmt>
      <c:pivotFmt>
        <c:idx val="2646"/>
        <c:marker>
          <c:symbol val="none"/>
        </c:marker>
      </c:pivotFmt>
      <c:pivotFmt>
        <c:idx val="2647"/>
        <c:marker>
          <c:symbol val="none"/>
        </c:marker>
      </c:pivotFmt>
      <c:pivotFmt>
        <c:idx val="2648"/>
        <c:marker>
          <c:symbol val="none"/>
        </c:marker>
      </c:pivotFmt>
      <c:pivotFmt>
        <c:idx val="2649"/>
        <c:marker>
          <c:symbol val="none"/>
        </c:marker>
      </c:pivotFmt>
      <c:pivotFmt>
        <c:idx val="2650"/>
        <c:marker>
          <c:symbol val="none"/>
        </c:marker>
      </c:pivotFmt>
      <c:pivotFmt>
        <c:idx val="2651"/>
        <c:marker>
          <c:symbol val="none"/>
        </c:marker>
      </c:pivotFmt>
      <c:pivotFmt>
        <c:idx val="2652"/>
        <c:marker>
          <c:symbol val="none"/>
        </c:marker>
      </c:pivotFmt>
      <c:pivotFmt>
        <c:idx val="2653"/>
        <c:marker>
          <c:symbol val="none"/>
        </c:marker>
      </c:pivotFmt>
      <c:pivotFmt>
        <c:idx val="2654"/>
        <c:marker>
          <c:symbol val="none"/>
        </c:marker>
      </c:pivotFmt>
      <c:pivotFmt>
        <c:idx val="2655"/>
        <c:marker>
          <c:symbol val="none"/>
        </c:marker>
      </c:pivotFmt>
      <c:pivotFmt>
        <c:idx val="2656"/>
        <c:marker>
          <c:symbol val="none"/>
        </c:marker>
      </c:pivotFmt>
      <c:pivotFmt>
        <c:idx val="2657"/>
        <c:marker>
          <c:symbol val="none"/>
        </c:marker>
      </c:pivotFmt>
      <c:pivotFmt>
        <c:idx val="2658"/>
        <c:marker>
          <c:symbol val="none"/>
        </c:marker>
      </c:pivotFmt>
      <c:pivotFmt>
        <c:idx val="2659"/>
        <c:marker>
          <c:symbol val="none"/>
        </c:marker>
      </c:pivotFmt>
      <c:pivotFmt>
        <c:idx val="2660"/>
        <c:marker>
          <c:symbol val="none"/>
        </c:marker>
      </c:pivotFmt>
      <c:pivotFmt>
        <c:idx val="2661"/>
        <c:marker>
          <c:symbol val="none"/>
        </c:marker>
      </c:pivotFmt>
      <c:pivotFmt>
        <c:idx val="2662"/>
        <c:marker>
          <c:symbol val="none"/>
        </c:marker>
      </c:pivotFmt>
      <c:pivotFmt>
        <c:idx val="2663"/>
        <c:marker>
          <c:symbol val="none"/>
        </c:marker>
      </c:pivotFmt>
      <c:pivotFmt>
        <c:idx val="2664"/>
        <c:marker>
          <c:symbol val="none"/>
        </c:marker>
      </c:pivotFmt>
      <c:pivotFmt>
        <c:idx val="2665"/>
        <c:marker>
          <c:symbol val="none"/>
        </c:marker>
      </c:pivotFmt>
      <c:pivotFmt>
        <c:idx val="2666"/>
        <c:marker>
          <c:symbol val="none"/>
        </c:marker>
      </c:pivotFmt>
      <c:pivotFmt>
        <c:idx val="2667"/>
        <c:marker>
          <c:symbol val="none"/>
        </c:marker>
      </c:pivotFmt>
      <c:pivotFmt>
        <c:idx val="2668"/>
        <c:marker>
          <c:symbol val="none"/>
        </c:marker>
      </c:pivotFmt>
      <c:pivotFmt>
        <c:idx val="2669"/>
        <c:marker>
          <c:symbol val="none"/>
        </c:marker>
      </c:pivotFmt>
      <c:pivotFmt>
        <c:idx val="2670"/>
        <c:marker>
          <c:symbol val="none"/>
        </c:marker>
      </c:pivotFmt>
      <c:pivotFmt>
        <c:idx val="2671"/>
        <c:marker>
          <c:symbol val="none"/>
        </c:marker>
      </c:pivotFmt>
      <c:pivotFmt>
        <c:idx val="2672"/>
        <c:marker>
          <c:symbol val="none"/>
        </c:marker>
      </c:pivotFmt>
      <c:pivotFmt>
        <c:idx val="2673"/>
        <c:marker>
          <c:symbol val="none"/>
        </c:marker>
      </c:pivotFmt>
      <c:pivotFmt>
        <c:idx val="2674"/>
        <c:marker>
          <c:symbol val="none"/>
        </c:marker>
      </c:pivotFmt>
      <c:pivotFmt>
        <c:idx val="2675"/>
        <c:marker>
          <c:symbol val="none"/>
        </c:marker>
      </c:pivotFmt>
      <c:pivotFmt>
        <c:idx val="2676"/>
        <c:marker>
          <c:symbol val="none"/>
        </c:marker>
      </c:pivotFmt>
      <c:pivotFmt>
        <c:idx val="2677"/>
        <c:marker>
          <c:symbol val="none"/>
        </c:marker>
      </c:pivotFmt>
      <c:pivotFmt>
        <c:idx val="2678"/>
        <c:marker>
          <c:symbol val="none"/>
        </c:marker>
      </c:pivotFmt>
      <c:pivotFmt>
        <c:idx val="2679"/>
        <c:marker>
          <c:symbol val="none"/>
        </c:marker>
      </c:pivotFmt>
      <c:pivotFmt>
        <c:idx val="2680"/>
        <c:marker>
          <c:symbol val="none"/>
        </c:marker>
      </c:pivotFmt>
      <c:pivotFmt>
        <c:idx val="2681"/>
        <c:marker>
          <c:symbol val="none"/>
        </c:marker>
      </c:pivotFmt>
      <c:pivotFmt>
        <c:idx val="2682"/>
        <c:marker>
          <c:symbol val="none"/>
        </c:marker>
      </c:pivotFmt>
      <c:pivotFmt>
        <c:idx val="2683"/>
        <c:marker>
          <c:symbol val="none"/>
        </c:marker>
      </c:pivotFmt>
      <c:pivotFmt>
        <c:idx val="2684"/>
        <c:marker>
          <c:symbol val="none"/>
        </c:marker>
      </c:pivotFmt>
      <c:pivotFmt>
        <c:idx val="2685"/>
        <c:marker>
          <c:symbol val="none"/>
        </c:marker>
      </c:pivotFmt>
      <c:pivotFmt>
        <c:idx val="2686"/>
        <c:marker>
          <c:symbol val="none"/>
        </c:marker>
      </c:pivotFmt>
      <c:pivotFmt>
        <c:idx val="2687"/>
        <c:marker>
          <c:symbol val="none"/>
        </c:marker>
      </c:pivotFmt>
      <c:pivotFmt>
        <c:idx val="2688"/>
        <c:marker>
          <c:symbol val="none"/>
        </c:marker>
      </c:pivotFmt>
      <c:pivotFmt>
        <c:idx val="2689"/>
        <c:marker>
          <c:symbol val="none"/>
        </c:marker>
      </c:pivotFmt>
      <c:pivotFmt>
        <c:idx val="2690"/>
        <c:marker>
          <c:symbol val="none"/>
        </c:marker>
      </c:pivotFmt>
      <c:pivotFmt>
        <c:idx val="2691"/>
        <c:marker>
          <c:symbol val="none"/>
        </c:marker>
      </c:pivotFmt>
      <c:pivotFmt>
        <c:idx val="2692"/>
        <c:marker>
          <c:symbol val="none"/>
        </c:marker>
      </c:pivotFmt>
      <c:pivotFmt>
        <c:idx val="2693"/>
        <c:marker>
          <c:symbol val="none"/>
        </c:marker>
      </c:pivotFmt>
      <c:pivotFmt>
        <c:idx val="2694"/>
        <c:marker>
          <c:symbol val="none"/>
        </c:marker>
      </c:pivotFmt>
      <c:pivotFmt>
        <c:idx val="2695"/>
        <c:marker>
          <c:symbol val="none"/>
        </c:marker>
      </c:pivotFmt>
      <c:pivotFmt>
        <c:idx val="2696"/>
        <c:marker>
          <c:symbol val="none"/>
        </c:marker>
      </c:pivotFmt>
      <c:pivotFmt>
        <c:idx val="2697"/>
        <c:marker>
          <c:symbol val="none"/>
        </c:marker>
      </c:pivotFmt>
      <c:pivotFmt>
        <c:idx val="2698"/>
        <c:marker>
          <c:symbol val="none"/>
        </c:marker>
      </c:pivotFmt>
      <c:pivotFmt>
        <c:idx val="2699"/>
        <c:marker>
          <c:symbol val="none"/>
        </c:marker>
      </c:pivotFmt>
      <c:pivotFmt>
        <c:idx val="2700"/>
        <c:marker>
          <c:symbol val="none"/>
        </c:marker>
      </c:pivotFmt>
      <c:pivotFmt>
        <c:idx val="2701"/>
        <c:marker>
          <c:symbol val="none"/>
        </c:marker>
      </c:pivotFmt>
      <c:pivotFmt>
        <c:idx val="2702"/>
        <c:marker>
          <c:symbol val="none"/>
        </c:marker>
      </c:pivotFmt>
      <c:pivotFmt>
        <c:idx val="2703"/>
        <c:marker>
          <c:symbol val="none"/>
        </c:marker>
      </c:pivotFmt>
      <c:pivotFmt>
        <c:idx val="2704"/>
        <c:marker>
          <c:symbol val="none"/>
        </c:marker>
      </c:pivotFmt>
      <c:pivotFmt>
        <c:idx val="2705"/>
        <c:marker>
          <c:symbol val="none"/>
        </c:marker>
      </c:pivotFmt>
      <c:pivotFmt>
        <c:idx val="2706"/>
        <c:marker>
          <c:symbol val="none"/>
        </c:marker>
      </c:pivotFmt>
      <c:pivotFmt>
        <c:idx val="2707"/>
        <c:marker>
          <c:symbol val="none"/>
        </c:marker>
      </c:pivotFmt>
      <c:pivotFmt>
        <c:idx val="2708"/>
        <c:marker>
          <c:symbol val="none"/>
        </c:marker>
      </c:pivotFmt>
      <c:pivotFmt>
        <c:idx val="2709"/>
        <c:marker>
          <c:symbol val="none"/>
        </c:marker>
      </c:pivotFmt>
      <c:pivotFmt>
        <c:idx val="2710"/>
        <c:marker>
          <c:symbol val="none"/>
        </c:marker>
      </c:pivotFmt>
      <c:pivotFmt>
        <c:idx val="2711"/>
        <c:marker>
          <c:symbol val="none"/>
        </c:marker>
      </c:pivotFmt>
      <c:pivotFmt>
        <c:idx val="2712"/>
        <c:marker>
          <c:symbol val="none"/>
        </c:marker>
      </c:pivotFmt>
      <c:pivotFmt>
        <c:idx val="2713"/>
        <c:marker>
          <c:symbol val="none"/>
        </c:marker>
      </c:pivotFmt>
      <c:pivotFmt>
        <c:idx val="2714"/>
        <c:marker>
          <c:symbol val="none"/>
        </c:marker>
      </c:pivotFmt>
      <c:pivotFmt>
        <c:idx val="2715"/>
        <c:marker>
          <c:symbol val="none"/>
        </c:marker>
      </c:pivotFmt>
      <c:pivotFmt>
        <c:idx val="2716"/>
        <c:marker>
          <c:symbol val="none"/>
        </c:marker>
      </c:pivotFmt>
      <c:pivotFmt>
        <c:idx val="2717"/>
        <c:marker>
          <c:symbol val="none"/>
        </c:marker>
      </c:pivotFmt>
      <c:pivotFmt>
        <c:idx val="2718"/>
        <c:marker>
          <c:symbol val="none"/>
        </c:marker>
      </c:pivotFmt>
      <c:pivotFmt>
        <c:idx val="2719"/>
        <c:marker>
          <c:symbol val="none"/>
        </c:marker>
      </c:pivotFmt>
      <c:pivotFmt>
        <c:idx val="2720"/>
        <c:marker>
          <c:symbol val="none"/>
        </c:marker>
      </c:pivotFmt>
      <c:pivotFmt>
        <c:idx val="2721"/>
        <c:marker>
          <c:symbol val="none"/>
        </c:marker>
      </c:pivotFmt>
      <c:pivotFmt>
        <c:idx val="2722"/>
        <c:marker>
          <c:symbol val="none"/>
        </c:marker>
      </c:pivotFmt>
      <c:pivotFmt>
        <c:idx val="2723"/>
        <c:marker>
          <c:symbol val="none"/>
        </c:marker>
      </c:pivotFmt>
      <c:pivotFmt>
        <c:idx val="2724"/>
        <c:marker>
          <c:symbol val="none"/>
        </c:marker>
      </c:pivotFmt>
      <c:pivotFmt>
        <c:idx val="2725"/>
        <c:marker>
          <c:symbol val="none"/>
        </c:marker>
      </c:pivotFmt>
      <c:pivotFmt>
        <c:idx val="2726"/>
        <c:marker>
          <c:symbol val="none"/>
        </c:marker>
      </c:pivotFmt>
      <c:pivotFmt>
        <c:idx val="2727"/>
        <c:marker>
          <c:symbol val="none"/>
        </c:marker>
      </c:pivotFmt>
      <c:pivotFmt>
        <c:idx val="2728"/>
        <c:marker>
          <c:symbol val="none"/>
        </c:marker>
      </c:pivotFmt>
      <c:pivotFmt>
        <c:idx val="2729"/>
        <c:marker>
          <c:symbol val="none"/>
        </c:marker>
      </c:pivotFmt>
      <c:pivotFmt>
        <c:idx val="2730"/>
        <c:marker>
          <c:symbol val="none"/>
        </c:marker>
      </c:pivotFmt>
      <c:pivotFmt>
        <c:idx val="2731"/>
        <c:marker>
          <c:symbol val="none"/>
        </c:marker>
      </c:pivotFmt>
      <c:pivotFmt>
        <c:idx val="2732"/>
        <c:marker>
          <c:symbol val="none"/>
        </c:marker>
      </c:pivotFmt>
      <c:pivotFmt>
        <c:idx val="2733"/>
        <c:marker>
          <c:symbol val="none"/>
        </c:marker>
      </c:pivotFmt>
      <c:pivotFmt>
        <c:idx val="2734"/>
        <c:marker>
          <c:symbol val="none"/>
        </c:marker>
      </c:pivotFmt>
      <c:pivotFmt>
        <c:idx val="2735"/>
        <c:marker>
          <c:symbol val="none"/>
        </c:marker>
      </c:pivotFmt>
      <c:pivotFmt>
        <c:idx val="2736"/>
        <c:marker>
          <c:symbol val="none"/>
        </c:marker>
      </c:pivotFmt>
      <c:pivotFmt>
        <c:idx val="2737"/>
        <c:marker>
          <c:symbol val="none"/>
        </c:marker>
      </c:pivotFmt>
      <c:pivotFmt>
        <c:idx val="2738"/>
        <c:marker>
          <c:symbol val="none"/>
        </c:marker>
      </c:pivotFmt>
      <c:pivotFmt>
        <c:idx val="2739"/>
        <c:marker>
          <c:symbol val="none"/>
        </c:marker>
      </c:pivotFmt>
      <c:pivotFmt>
        <c:idx val="2740"/>
        <c:marker>
          <c:symbol val="none"/>
        </c:marker>
      </c:pivotFmt>
      <c:pivotFmt>
        <c:idx val="2741"/>
        <c:marker>
          <c:symbol val="none"/>
        </c:marker>
      </c:pivotFmt>
      <c:pivotFmt>
        <c:idx val="2742"/>
        <c:marker>
          <c:symbol val="none"/>
        </c:marker>
      </c:pivotFmt>
      <c:pivotFmt>
        <c:idx val="2743"/>
        <c:marker>
          <c:symbol val="none"/>
        </c:marker>
      </c:pivotFmt>
      <c:pivotFmt>
        <c:idx val="2744"/>
        <c:marker>
          <c:symbol val="none"/>
        </c:marker>
      </c:pivotFmt>
      <c:pivotFmt>
        <c:idx val="2745"/>
        <c:marker>
          <c:symbol val="none"/>
        </c:marker>
      </c:pivotFmt>
      <c:pivotFmt>
        <c:idx val="2746"/>
        <c:marker>
          <c:symbol val="none"/>
        </c:marker>
      </c:pivotFmt>
      <c:pivotFmt>
        <c:idx val="2747"/>
        <c:marker>
          <c:symbol val="none"/>
        </c:marker>
      </c:pivotFmt>
      <c:pivotFmt>
        <c:idx val="2748"/>
        <c:marker>
          <c:symbol val="none"/>
        </c:marker>
      </c:pivotFmt>
      <c:pivotFmt>
        <c:idx val="2749"/>
        <c:marker>
          <c:symbol val="none"/>
        </c:marker>
      </c:pivotFmt>
      <c:pivotFmt>
        <c:idx val="2750"/>
        <c:marker>
          <c:symbol val="none"/>
        </c:marker>
      </c:pivotFmt>
      <c:pivotFmt>
        <c:idx val="2751"/>
        <c:marker>
          <c:symbol val="none"/>
        </c:marker>
      </c:pivotFmt>
      <c:pivotFmt>
        <c:idx val="2752"/>
        <c:marker>
          <c:symbol val="none"/>
        </c:marker>
      </c:pivotFmt>
      <c:pivotFmt>
        <c:idx val="2753"/>
        <c:marker>
          <c:symbol val="none"/>
        </c:marker>
      </c:pivotFmt>
      <c:pivotFmt>
        <c:idx val="2754"/>
        <c:marker>
          <c:symbol val="none"/>
        </c:marker>
      </c:pivotFmt>
      <c:pivotFmt>
        <c:idx val="2755"/>
        <c:marker>
          <c:symbol val="none"/>
        </c:marker>
      </c:pivotFmt>
      <c:pivotFmt>
        <c:idx val="2756"/>
        <c:marker>
          <c:symbol val="none"/>
        </c:marker>
      </c:pivotFmt>
      <c:pivotFmt>
        <c:idx val="2757"/>
        <c:marker>
          <c:symbol val="none"/>
        </c:marker>
      </c:pivotFmt>
      <c:pivotFmt>
        <c:idx val="2758"/>
        <c:marker>
          <c:symbol val="none"/>
        </c:marker>
      </c:pivotFmt>
      <c:pivotFmt>
        <c:idx val="2759"/>
        <c:marker>
          <c:symbol val="none"/>
        </c:marker>
      </c:pivotFmt>
      <c:pivotFmt>
        <c:idx val="2760"/>
        <c:marker>
          <c:symbol val="none"/>
        </c:marker>
      </c:pivotFmt>
      <c:pivotFmt>
        <c:idx val="2761"/>
        <c:marker>
          <c:symbol val="none"/>
        </c:marker>
      </c:pivotFmt>
      <c:pivotFmt>
        <c:idx val="2762"/>
        <c:marker>
          <c:symbol val="none"/>
        </c:marker>
      </c:pivotFmt>
      <c:pivotFmt>
        <c:idx val="2763"/>
        <c:marker>
          <c:symbol val="none"/>
        </c:marker>
      </c:pivotFmt>
      <c:pivotFmt>
        <c:idx val="2764"/>
        <c:marker>
          <c:symbol val="none"/>
        </c:marker>
      </c:pivotFmt>
      <c:pivotFmt>
        <c:idx val="2765"/>
        <c:marker>
          <c:symbol val="none"/>
        </c:marker>
      </c:pivotFmt>
      <c:pivotFmt>
        <c:idx val="2766"/>
        <c:marker>
          <c:symbol val="none"/>
        </c:marker>
      </c:pivotFmt>
      <c:pivotFmt>
        <c:idx val="2767"/>
        <c:marker>
          <c:symbol val="none"/>
        </c:marker>
      </c:pivotFmt>
      <c:pivotFmt>
        <c:idx val="2768"/>
        <c:marker>
          <c:symbol val="none"/>
        </c:marker>
      </c:pivotFmt>
      <c:pivotFmt>
        <c:idx val="2769"/>
        <c:marker>
          <c:symbol val="none"/>
        </c:marker>
      </c:pivotFmt>
      <c:pivotFmt>
        <c:idx val="2770"/>
        <c:marker>
          <c:symbol val="none"/>
        </c:marker>
      </c:pivotFmt>
      <c:pivotFmt>
        <c:idx val="2771"/>
        <c:marker>
          <c:symbol val="none"/>
        </c:marker>
      </c:pivotFmt>
      <c:pivotFmt>
        <c:idx val="2772"/>
        <c:marker>
          <c:symbol val="none"/>
        </c:marker>
      </c:pivotFmt>
      <c:pivotFmt>
        <c:idx val="2773"/>
        <c:marker>
          <c:symbol val="none"/>
        </c:marker>
      </c:pivotFmt>
      <c:pivotFmt>
        <c:idx val="2774"/>
        <c:marker>
          <c:symbol val="none"/>
        </c:marker>
      </c:pivotFmt>
      <c:pivotFmt>
        <c:idx val="2775"/>
        <c:marker>
          <c:symbol val="none"/>
        </c:marker>
      </c:pivotFmt>
      <c:pivotFmt>
        <c:idx val="2776"/>
        <c:marker>
          <c:symbol val="none"/>
        </c:marker>
      </c:pivotFmt>
      <c:pivotFmt>
        <c:idx val="2777"/>
        <c:marker>
          <c:symbol val="none"/>
        </c:marker>
      </c:pivotFmt>
      <c:pivotFmt>
        <c:idx val="2778"/>
        <c:marker>
          <c:symbol val="none"/>
        </c:marker>
      </c:pivotFmt>
      <c:pivotFmt>
        <c:idx val="2779"/>
        <c:marker>
          <c:symbol val="none"/>
        </c:marker>
      </c:pivotFmt>
      <c:pivotFmt>
        <c:idx val="2780"/>
        <c:marker>
          <c:symbol val="none"/>
        </c:marker>
      </c:pivotFmt>
      <c:pivotFmt>
        <c:idx val="2781"/>
        <c:marker>
          <c:symbol val="none"/>
        </c:marker>
      </c:pivotFmt>
      <c:pivotFmt>
        <c:idx val="2782"/>
        <c:marker>
          <c:symbol val="none"/>
        </c:marker>
      </c:pivotFmt>
      <c:pivotFmt>
        <c:idx val="2783"/>
        <c:marker>
          <c:symbol val="none"/>
        </c:marker>
      </c:pivotFmt>
      <c:pivotFmt>
        <c:idx val="2784"/>
        <c:marker>
          <c:symbol val="none"/>
        </c:marker>
      </c:pivotFmt>
      <c:pivotFmt>
        <c:idx val="2785"/>
        <c:marker>
          <c:symbol val="none"/>
        </c:marker>
      </c:pivotFmt>
      <c:pivotFmt>
        <c:idx val="2786"/>
        <c:marker>
          <c:symbol val="none"/>
        </c:marker>
      </c:pivotFmt>
      <c:pivotFmt>
        <c:idx val="2787"/>
        <c:marker>
          <c:symbol val="none"/>
        </c:marker>
      </c:pivotFmt>
      <c:pivotFmt>
        <c:idx val="2788"/>
        <c:marker>
          <c:symbol val="none"/>
        </c:marker>
      </c:pivotFmt>
      <c:pivotFmt>
        <c:idx val="2789"/>
        <c:marker>
          <c:symbol val="none"/>
        </c:marker>
      </c:pivotFmt>
      <c:pivotFmt>
        <c:idx val="2790"/>
        <c:marker>
          <c:symbol val="none"/>
        </c:marker>
      </c:pivotFmt>
      <c:pivotFmt>
        <c:idx val="2791"/>
        <c:marker>
          <c:symbol val="none"/>
        </c:marker>
      </c:pivotFmt>
      <c:pivotFmt>
        <c:idx val="2792"/>
        <c:marker>
          <c:symbol val="none"/>
        </c:marker>
      </c:pivotFmt>
      <c:pivotFmt>
        <c:idx val="2793"/>
        <c:marker>
          <c:symbol val="none"/>
        </c:marker>
      </c:pivotFmt>
      <c:pivotFmt>
        <c:idx val="2794"/>
        <c:marker>
          <c:symbol val="none"/>
        </c:marker>
      </c:pivotFmt>
      <c:pivotFmt>
        <c:idx val="2795"/>
        <c:marker>
          <c:symbol val="none"/>
        </c:marker>
      </c:pivotFmt>
      <c:pivotFmt>
        <c:idx val="2796"/>
        <c:marker>
          <c:symbol val="none"/>
        </c:marker>
      </c:pivotFmt>
      <c:pivotFmt>
        <c:idx val="2797"/>
        <c:marker>
          <c:symbol val="none"/>
        </c:marker>
      </c:pivotFmt>
      <c:pivotFmt>
        <c:idx val="2798"/>
        <c:marker>
          <c:symbol val="none"/>
        </c:marker>
      </c:pivotFmt>
      <c:pivotFmt>
        <c:idx val="2799"/>
        <c:marker>
          <c:symbol val="none"/>
        </c:marker>
      </c:pivotFmt>
      <c:pivotFmt>
        <c:idx val="2800"/>
        <c:marker>
          <c:symbol val="none"/>
        </c:marker>
      </c:pivotFmt>
      <c:pivotFmt>
        <c:idx val="2801"/>
        <c:marker>
          <c:symbol val="none"/>
        </c:marker>
      </c:pivotFmt>
      <c:pivotFmt>
        <c:idx val="2802"/>
        <c:marker>
          <c:symbol val="none"/>
        </c:marker>
      </c:pivotFmt>
      <c:pivotFmt>
        <c:idx val="2803"/>
        <c:marker>
          <c:symbol val="none"/>
        </c:marker>
      </c:pivotFmt>
      <c:pivotFmt>
        <c:idx val="2804"/>
        <c:marker>
          <c:symbol val="none"/>
        </c:marker>
      </c:pivotFmt>
      <c:pivotFmt>
        <c:idx val="2805"/>
        <c:marker>
          <c:symbol val="none"/>
        </c:marker>
      </c:pivotFmt>
      <c:pivotFmt>
        <c:idx val="2806"/>
        <c:marker>
          <c:symbol val="none"/>
        </c:marker>
      </c:pivotFmt>
      <c:pivotFmt>
        <c:idx val="2807"/>
        <c:marker>
          <c:symbol val="none"/>
        </c:marker>
      </c:pivotFmt>
      <c:pivotFmt>
        <c:idx val="2808"/>
        <c:marker>
          <c:symbol val="none"/>
        </c:marker>
      </c:pivotFmt>
      <c:pivotFmt>
        <c:idx val="2809"/>
        <c:marker>
          <c:symbol val="none"/>
        </c:marker>
      </c:pivotFmt>
      <c:pivotFmt>
        <c:idx val="2810"/>
        <c:marker>
          <c:symbol val="none"/>
        </c:marker>
      </c:pivotFmt>
      <c:pivotFmt>
        <c:idx val="2811"/>
        <c:marker>
          <c:symbol val="none"/>
        </c:marker>
      </c:pivotFmt>
      <c:pivotFmt>
        <c:idx val="2812"/>
        <c:marker>
          <c:symbol val="none"/>
        </c:marker>
      </c:pivotFmt>
      <c:pivotFmt>
        <c:idx val="2813"/>
        <c:marker>
          <c:symbol val="none"/>
        </c:marker>
      </c:pivotFmt>
      <c:pivotFmt>
        <c:idx val="2814"/>
        <c:marker>
          <c:symbol val="none"/>
        </c:marker>
      </c:pivotFmt>
      <c:pivotFmt>
        <c:idx val="2815"/>
        <c:marker>
          <c:symbol val="none"/>
        </c:marker>
      </c:pivotFmt>
      <c:pivotFmt>
        <c:idx val="2816"/>
        <c:marker>
          <c:symbol val="none"/>
        </c:marker>
      </c:pivotFmt>
      <c:pivotFmt>
        <c:idx val="2817"/>
        <c:marker>
          <c:symbol val="none"/>
        </c:marker>
      </c:pivotFmt>
      <c:pivotFmt>
        <c:idx val="2818"/>
        <c:marker>
          <c:symbol val="none"/>
        </c:marker>
      </c:pivotFmt>
      <c:pivotFmt>
        <c:idx val="2819"/>
        <c:marker>
          <c:symbol val="none"/>
        </c:marker>
      </c:pivotFmt>
      <c:pivotFmt>
        <c:idx val="2820"/>
        <c:marker>
          <c:symbol val="none"/>
        </c:marker>
      </c:pivotFmt>
      <c:pivotFmt>
        <c:idx val="2821"/>
        <c:marker>
          <c:symbol val="none"/>
        </c:marker>
      </c:pivotFmt>
      <c:pivotFmt>
        <c:idx val="2822"/>
        <c:marker>
          <c:symbol val="none"/>
        </c:marker>
      </c:pivotFmt>
      <c:pivotFmt>
        <c:idx val="2823"/>
        <c:marker>
          <c:symbol val="none"/>
        </c:marker>
      </c:pivotFmt>
      <c:pivotFmt>
        <c:idx val="2824"/>
        <c:marker>
          <c:symbol val="none"/>
        </c:marker>
      </c:pivotFmt>
      <c:pivotFmt>
        <c:idx val="2825"/>
        <c:marker>
          <c:symbol val="none"/>
        </c:marker>
      </c:pivotFmt>
      <c:pivotFmt>
        <c:idx val="2826"/>
        <c:marker>
          <c:symbol val="none"/>
        </c:marker>
      </c:pivotFmt>
      <c:pivotFmt>
        <c:idx val="2827"/>
        <c:marker>
          <c:symbol val="none"/>
        </c:marker>
      </c:pivotFmt>
      <c:pivotFmt>
        <c:idx val="2828"/>
        <c:marker>
          <c:symbol val="none"/>
        </c:marker>
      </c:pivotFmt>
      <c:pivotFmt>
        <c:idx val="2829"/>
        <c:marker>
          <c:symbol val="none"/>
        </c:marker>
      </c:pivotFmt>
      <c:pivotFmt>
        <c:idx val="2830"/>
        <c:marker>
          <c:symbol val="none"/>
        </c:marker>
      </c:pivotFmt>
      <c:pivotFmt>
        <c:idx val="2831"/>
        <c:marker>
          <c:symbol val="none"/>
        </c:marker>
      </c:pivotFmt>
      <c:pivotFmt>
        <c:idx val="2832"/>
        <c:marker>
          <c:symbol val="none"/>
        </c:marker>
      </c:pivotFmt>
      <c:pivotFmt>
        <c:idx val="2833"/>
        <c:marker>
          <c:symbol val="none"/>
        </c:marker>
      </c:pivotFmt>
      <c:pivotFmt>
        <c:idx val="2834"/>
        <c:marker>
          <c:symbol val="none"/>
        </c:marker>
      </c:pivotFmt>
      <c:pivotFmt>
        <c:idx val="2835"/>
        <c:marker>
          <c:symbol val="none"/>
        </c:marker>
      </c:pivotFmt>
      <c:pivotFmt>
        <c:idx val="2836"/>
        <c:marker>
          <c:symbol val="none"/>
        </c:marker>
      </c:pivotFmt>
      <c:pivotFmt>
        <c:idx val="2837"/>
        <c:marker>
          <c:symbol val="none"/>
        </c:marker>
      </c:pivotFmt>
      <c:pivotFmt>
        <c:idx val="2838"/>
        <c:marker>
          <c:symbol val="none"/>
        </c:marker>
      </c:pivotFmt>
      <c:pivotFmt>
        <c:idx val="2839"/>
        <c:marker>
          <c:symbol val="none"/>
        </c:marker>
      </c:pivotFmt>
      <c:pivotFmt>
        <c:idx val="2840"/>
        <c:marker>
          <c:symbol val="none"/>
        </c:marker>
      </c:pivotFmt>
      <c:pivotFmt>
        <c:idx val="2841"/>
        <c:marker>
          <c:symbol val="none"/>
        </c:marker>
      </c:pivotFmt>
      <c:pivotFmt>
        <c:idx val="2842"/>
        <c:marker>
          <c:symbol val="none"/>
        </c:marker>
      </c:pivotFmt>
      <c:pivotFmt>
        <c:idx val="2843"/>
        <c:marker>
          <c:symbol val="none"/>
        </c:marker>
      </c:pivotFmt>
      <c:pivotFmt>
        <c:idx val="2844"/>
        <c:marker>
          <c:symbol val="none"/>
        </c:marker>
      </c:pivotFmt>
      <c:pivotFmt>
        <c:idx val="2845"/>
        <c:marker>
          <c:symbol val="none"/>
        </c:marker>
      </c:pivotFmt>
      <c:pivotFmt>
        <c:idx val="2846"/>
        <c:marker>
          <c:symbol val="none"/>
        </c:marker>
      </c:pivotFmt>
      <c:pivotFmt>
        <c:idx val="2847"/>
        <c:marker>
          <c:symbol val="none"/>
        </c:marker>
      </c:pivotFmt>
      <c:pivotFmt>
        <c:idx val="2848"/>
        <c:marker>
          <c:symbol val="none"/>
        </c:marker>
      </c:pivotFmt>
      <c:pivotFmt>
        <c:idx val="2849"/>
        <c:marker>
          <c:symbol val="none"/>
        </c:marker>
      </c:pivotFmt>
      <c:pivotFmt>
        <c:idx val="2850"/>
        <c:marker>
          <c:symbol val="none"/>
        </c:marker>
      </c:pivotFmt>
      <c:pivotFmt>
        <c:idx val="2851"/>
        <c:marker>
          <c:symbol val="none"/>
        </c:marker>
      </c:pivotFmt>
      <c:pivotFmt>
        <c:idx val="2852"/>
        <c:marker>
          <c:symbol val="none"/>
        </c:marker>
      </c:pivotFmt>
      <c:pivotFmt>
        <c:idx val="2853"/>
        <c:marker>
          <c:symbol val="none"/>
        </c:marker>
      </c:pivotFmt>
      <c:pivotFmt>
        <c:idx val="2854"/>
        <c:marker>
          <c:symbol val="none"/>
        </c:marker>
      </c:pivotFmt>
      <c:pivotFmt>
        <c:idx val="2855"/>
        <c:marker>
          <c:symbol val="none"/>
        </c:marker>
      </c:pivotFmt>
      <c:pivotFmt>
        <c:idx val="2856"/>
        <c:marker>
          <c:symbol val="none"/>
        </c:marker>
      </c:pivotFmt>
      <c:pivotFmt>
        <c:idx val="2857"/>
        <c:marker>
          <c:symbol val="none"/>
        </c:marker>
      </c:pivotFmt>
      <c:pivotFmt>
        <c:idx val="2858"/>
        <c:marker>
          <c:symbol val="none"/>
        </c:marker>
      </c:pivotFmt>
      <c:pivotFmt>
        <c:idx val="2859"/>
        <c:marker>
          <c:symbol val="none"/>
        </c:marker>
      </c:pivotFmt>
      <c:pivotFmt>
        <c:idx val="2860"/>
        <c:marker>
          <c:symbol val="none"/>
        </c:marker>
      </c:pivotFmt>
      <c:pivotFmt>
        <c:idx val="2861"/>
        <c:marker>
          <c:symbol val="none"/>
        </c:marker>
      </c:pivotFmt>
      <c:pivotFmt>
        <c:idx val="2862"/>
        <c:marker>
          <c:symbol val="none"/>
        </c:marker>
      </c:pivotFmt>
      <c:pivotFmt>
        <c:idx val="2863"/>
        <c:marker>
          <c:symbol val="none"/>
        </c:marker>
      </c:pivotFmt>
      <c:pivotFmt>
        <c:idx val="2864"/>
        <c:marker>
          <c:symbol val="none"/>
        </c:marker>
      </c:pivotFmt>
      <c:pivotFmt>
        <c:idx val="2865"/>
        <c:marker>
          <c:symbol val="none"/>
        </c:marker>
      </c:pivotFmt>
      <c:pivotFmt>
        <c:idx val="2866"/>
        <c:marker>
          <c:symbol val="none"/>
        </c:marker>
      </c:pivotFmt>
      <c:pivotFmt>
        <c:idx val="2867"/>
        <c:marker>
          <c:symbol val="none"/>
        </c:marker>
      </c:pivotFmt>
      <c:pivotFmt>
        <c:idx val="2868"/>
        <c:marker>
          <c:symbol val="none"/>
        </c:marker>
      </c:pivotFmt>
      <c:pivotFmt>
        <c:idx val="2869"/>
        <c:marker>
          <c:symbol val="none"/>
        </c:marker>
      </c:pivotFmt>
      <c:pivotFmt>
        <c:idx val="2870"/>
        <c:marker>
          <c:symbol val="none"/>
        </c:marker>
      </c:pivotFmt>
      <c:pivotFmt>
        <c:idx val="2871"/>
        <c:marker>
          <c:symbol val="none"/>
        </c:marker>
      </c:pivotFmt>
      <c:pivotFmt>
        <c:idx val="2872"/>
        <c:marker>
          <c:symbol val="none"/>
        </c:marker>
      </c:pivotFmt>
      <c:pivotFmt>
        <c:idx val="2873"/>
        <c:marker>
          <c:symbol val="none"/>
        </c:marker>
      </c:pivotFmt>
      <c:pivotFmt>
        <c:idx val="2874"/>
        <c:marker>
          <c:symbol val="none"/>
        </c:marker>
      </c:pivotFmt>
      <c:pivotFmt>
        <c:idx val="2875"/>
        <c:marker>
          <c:symbol val="none"/>
        </c:marker>
      </c:pivotFmt>
      <c:pivotFmt>
        <c:idx val="2876"/>
        <c:marker>
          <c:symbol val="none"/>
        </c:marker>
      </c:pivotFmt>
      <c:pivotFmt>
        <c:idx val="2877"/>
        <c:marker>
          <c:symbol val="none"/>
        </c:marker>
      </c:pivotFmt>
      <c:pivotFmt>
        <c:idx val="2878"/>
        <c:marker>
          <c:symbol val="none"/>
        </c:marker>
      </c:pivotFmt>
      <c:pivotFmt>
        <c:idx val="2879"/>
        <c:marker>
          <c:symbol val="none"/>
        </c:marker>
      </c:pivotFmt>
      <c:pivotFmt>
        <c:idx val="2880"/>
        <c:marker>
          <c:symbol val="none"/>
        </c:marker>
      </c:pivotFmt>
      <c:pivotFmt>
        <c:idx val="2881"/>
        <c:marker>
          <c:symbol val="none"/>
        </c:marker>
      </c:pivotFmt>
      <c:pivotFmt>
        <c:idx val="2882"/>
        <c:marker>
          <c:symbol val="none"/>
        </c:marker>
      </c:pivotFmt>
      <c:pivotFmt>
        <c:idx val="2883"/>
        <c:marker>
          <c:symbol val="none"/>
        </c:marker>
      </c:pivotFmt>
      <c:pivotFmt>
        <c:idx val="2884"/>
        <c:marker>
          <c:symbol val="none"/>
        </c:marker>
      </c:pivotFmt>
      <c:pivotFmt>
        <c:idx val="2885"/>
        <c:marker>
          <c:symbol val="none"/>
        </c:marker>
      </c:pivotFmt>
      <c:pivotFmt>
        <c:idx val="2886"/>
        <c:marker>
          <c:symbol val="none"/>
        </c:marker>
      </c:pivotFmt>
      <c:pivotFmt>
        <c:idx val="2887"/>
        <c:marker>
          <c:symbol val="none"/>
        </c:marker>
      </c:pivotFmt>
      <c:pivotFmt>
        <c:idx val="2888"/>
        <c:marker>
          <c:symbol val="none"/>
        </c:marker>
      </c:pivotFmt>
      <c:pivotFmt>
        <c:idx val="2889"/>
        <c:marker>
          <c:symbol val="none"/>
        </c:marker>
      </c:pivotFmt>
      <c:pivotFmt>
        <c:idx val="2890"/>
        <c:marker>
          <c:symbol val="none"/>
        </c:marker>
      </c:pivotFmt>
      <c:pivotFmt>
        <c:idx val="2891"/>
        <c:marker>
          <c:symbol val="none"/>
        </c:marker>
      </c:pivotFmt>
      <c:pivotFmt>
        <c:idx val="2892"/>
        <c:marker>
          <c:symbol val="none"/>
        </c:marker>
      </c:pivotFmt>
      <c:pivotFmt>
        <c:idx val="2893"/>
        <c:marker>
          <c:symbol val="none"/>
        </c:marker>
      </c:pivotFmt>
      <c:pivotFmt>
        <c:idx val="2894"/>
        <c:marker>
          <c:symbol val="none"/>
        </c:marker>
      </c:pivotFmt>
      <c:pivotFmt>
        <c:idx val="2895"/>
        <c:marker>
          <c:symbol val="none"/>
        </c:marker>
      </c:pivotFmt>
      <c:pivotFmt>
        <c:idx val="2896"/>
        <c:marker>
          <c:symbol val="none"/>
        </c:marker>
      </c:pivotFmt>
      <c:pivotFmt>
        <c:idx val="2897"/>
        <c:marker>
          <c:symbol val="none"/>
        </c:marker>
      </c:pivotFmt>
      <c:pivotFmt>
        <c:idx val="2898"/>
        <c:marker>
          <c:symbol val="none"/>
        </c:marker>
      </c:pivotFmt>
      <c:pivotFmt>
        <c:idx val="2899"/>
        <c:marker>
          <c:symbol val="none"/>
        </c:marker>
      </c:pivotFmt>
      <c:pivotFmt>
        <c:idx val="2900"/>
        <c:marker>
          <c:symbol val="none"/>
        </c:marker>
      </c:pivotFmt>
      <c:pivotFmt>
        <c:idx val="2901"/>
        <c:marker>
          <c:symbol val="none"/>
        </c:marker>
      </c:pivotFmt>
      <c:pivotFmt>
        <c:idx val="2902"/>
        <c:marker>
          <c:symbol val="none"/>
        </c:marker>
      </c:pivotFmt>
      <c:pivotFmt>
        <c:idx val="2903"/>
        <c:marker>
          <c:symbol val="none"/>
        </c:marker>
      </c:pivotFmt>
      <c:pivotFmt>
        <c:idx val="2904"/>
        <c:marker>
          <c:symbol val="none"/>
        </c:marker>
      </c:pivotFmt>
      <c:pivotFmt>
        <c:idx val="2905"/>
        <c:marker>
          <c:symbol val="none"/>
        </c:marker>
      </c:pivotFmt>
      <c:pivotFmt>
        <c:idx val="2906"/>
        <c:marker>
          <c:symbol val="none"/>
        </c:marker>
      </c:pivotFmt>
      <c:pivotFmt>
        <c:idx val="2907"/>
        <c:marker>
          <c:symbol val="none"/>
        </c:marker>
      </c:pivotFmt>
      <c:pivotFmt>
        <c:idx val="2908"/>
        <c:marker>
          <c:symbol val="none"/>
        </c:marker>
      </c:pivotFmt>
      <c:pivotFmt>
        <c:idx val="2909"/>
        <c:marker>
          <c:symbol val="none"/>
        </c:marker>
      </c:pivotFmt>
      <c:pivotFmt>
        <c:idx val="2910"/>
        <c:marker>
          <c:symbol val="none"/>
        </c:marker>
      </c:pivotFmt>
      <c:pivotFmt>
        <c:idx val="2911"/>
        <c:marker>
          <c:symbol val="none"/>
        </c:marker>
      </c:pivotFmt>
      <c:pivotFmt>
        <c:idx val="2912"/>
        <c:marker>
          <c:symbol val="none"/>
        </c:marker>
      </c:pivotFmt>
      <c:pivotFmt>
        <c:idx val="2913"/>
        <c:marker>
          <c:symbol val="none"/>
        </c:marker>
      </c:pivotFmt>
      <c:pivotFmt>
        <c:idx val="2914"/>
        <c:marker>
          <c:symbol val="none"/>
        </c:marker>
      </c:pivotFmt>
      <c:pivotFmt>
        <c:idx val="2915"/>
        <c:marker>
          <c:symbol val="none"/>
        </c:marker>
      </c:pivotFmt>
      <c:pivotFmt>
        <c:idx val="2916"/>
        <c:marker>
          <c:symbol val="none"/>
        </c:marker>
      </c:pivotFmt>
      <c:pivotFmt>
        <c:idx val="2917"/>
        <c:marker>
          <c:symbol val="none"/>
        </c:marker>
      </c:pivotFmt>
      <c:pivotFmt>
        <c:idx val="2918"/>
        <c:marker>
          <c:symbol val="none"/>
        </c:marker>
      </c:pivotFmt>
      <c:pivotFmt>
        <c:idx val="2919"/>
        <c:marker>
          <c:symbol val="none"/>
        </c:marker>
      </c:pivotFmt>
      <c:pivotFmt>
        <c:idx val="2920"/>
        <c:marker>
          <c:symbol val="none"/>
        </c:marker>
      </c:pivotFmt>
      <c:pivotFmt>
        <c:idx val="2921"/>
        <c:marker>
          <c:symbol val="none"/>
        </c:marker>
      </c:pivotFmt>
      <c:pivotFmt>
        <c:idx val="2922"/>
        <c:marker>
          <c:symbol val="none"/>
        </c:marker>
      </c:pivotFmt>
      <c:pivotFmt>
        <c:idx val="2923"/>
        <c:marker>
          <c:symbol val="none"/>
        </c:marker>
      </c:pivotFmt>
      <c:pivotFmt>
        <c:idx val="2924"/>
        <c:marker>
          <c:symbol val="none"/>
        </c:marker>
      </c:pivotFmt>
      <c:pivotFmt>
        <c:idx val="2925"/>
        <c:marker>
          <c:symbol val="none"/>
        </c:marker>
      </c:pivotFmt>
      <c:pivotFmt>
        <c:idx val="2926"/>
        <c:marker>
          <c:symbol val="none"/>
        </c:marker>
      </c:pivotFmt>
      <c:pivotFmt>
        <c:idx val="2927"/>
        <c:marker>
          <c:symbol val="none"/>
        </c:marker>
      </c:pivotFmt>
      <c:pivotFmt>
        <c:idx val="2928"/>
        <c:marker>
          <c:symbol val="none"/>
        </c:marker>
      </c:pivotFmt>
      <c:pivotFmt>
        <c:idx val="2929"/>
        <c:marker>
          <c:symbol val="none"/>
        </c:marker>
      </c:pivotFmt>
      <c:pivotFmt>
        <c:idx val="2930"/>
        <c:marker>
          <c:symbol val="none"/>
        </c:marker>
      </c:pivotFmt>
      <c:pivotFmt>
        <c:idx val="2931"/>
        <c:marker>
          <c:symbol val="none"/>
        </c:marker>
      </c:pivotFmt>
      <c:pivotFmt>
        <c:idx val="2932"/>
        <c:marker>
          <c:symbol val="none"/>
        </c:marker>
      </c:pivotFmt>
      <c:pivotFmt>
        <c:idx val="2933"/>
        <c:marker>
          <c:symbol val="none"/>
        </c:marker>
      </c:pivotFmt>
      <c:pivotFmt>
        <c:idx val="2934"/>
        <c:marker>
          <c:symbol val="none"/>
        </c:marker>
      </c:pivotFmt>
      <c:pivotFmt>
        <c:idx val="2935"/>
        <c:marker>
          <c:symbol val="none"/>
        </c:marker>
      </c:pivotFmt>
      <c:pivotFmt>
        <c:idx val="2936"/>
        <c:marker>
          <c:symbol val="none"/>
        </c:marker>
      </c:pivotFmt>
      <c:pivotFmt>
        <c:idx val="2937"/>
        <c:marker>
          <c:symbol val="none"/>
        </c:marker>
      </c:pivotFmt>
      <c:pivotFmt>
        <c:idx val="2938"/>
        <c:marker>
          <c:symbol val="none"/>
        </c:marker>
      </c:pivotFmt>
      <c:pivotFmt>
        <c:idx val="2939"/>
        <c:marker>
          <c:symbol val="none"/>
        </c:marker>
      </c:pivotFmt>
      <c:pivotFmt>
        <c:idx val="2940"/>
        <c:marker>
          <c:symbol val="none"/>
        </c:marker>
      </c:pivotFmt>
      <c:pivotFmt>
        <c:idx val="2941"/>
        <c:marker>
          <c:symbol val="none"/>
        </c:marker>
      </c:pivotFmt>
      <c:pivotFmt>
        <c:idx val="2942"/>
        <c:marker>
          <c:symbol val="none"/>
        </c:marker>
      </c:pivotFmt>
      <c:pivotFmt>
        <c:idx val="2943"/>
        <c:marker>
          <c:symbol val="none"/>
        </c:marker>
      </c:pivotFmt>
      <c:pivotFmt>
        <c:idx val="2944"/>
        <c:marker>
          <c:symbol val="none"/>
        </c:marker>
      </c:pivotFmt>
      <c:pivotFmt>
        <c:idx val="2945"/>
        <c:marker>
          <c:symbol val="none"/>
        </c:marker>
      </c:pivotFmt>
      <c:pivotFmt>
        <c:idx val="2946"/>
        <c:marker>
          <c:symbol val="none"/>
        </c:marker>
      </c:pivotFmt>
      <c:pivotFmt>
        <c:idx val="2947"/>
        <c:marker>
          <c:symbol val="none"/>
        </c:marker>
      </c:pivotFmt>
      <c:pivotFmt>
        <c:idx val="2948"/>
        <c:marker>
          <c:symbol val="none"/>
        </c:marker>
      </c:pivotFmt>
      <c:pivotFmt>
        <c:idx val="2949"/>
        <c:marker>
          <c:symbol val="none"/>
        </c:marker>
      </c:pivotFmt>
      <c:pivotFmt>
        <c:idx val="2950"/>
        <c:marker>
          <c:symbol val="none"/>
        </c:marker>
      </c:pivotFmt>
      <c:pivotFmt>
        <c:idx val="2951"/>
        <c:marker>
          <c:symbol val="none"/>
        </c:marker>
      </c:pivotFmt>
      <c:pivotFmt>
        <c:idx val="2952"/>
        <c:marker>
          <c:symbol val="none"/>
        </c:marker>
      </c:pivotFmt>
      <c:pivotFmt>
        <c:idx val="2953"/>
        <c:marker>
          <c:symbol val="none"/>
        </c:marker>
      </c:pivotFmt>
      <c:pivotFmt>
        <c:idx val="2954"/>
        <c:marker>
          <c:symbol val="none"/>
        </c:marker>
      </c:pivotFmt>
      <c:pivotFmt>
        <c:idx val="2955"/>
        <c:marker>
          <c:symbol val="none"/>
        </c:marker>
      </c:pivotFmt>
      <c:pivotFmt>
        <c:idx val="2956"/>
        <c:marker>
          <c:symbol val="none"/>
        </c:marker>
      </c:pivotFmt>
      <c:pivotFmt>
        <c:idx val="2957"/>
        <c:marker>
          <c:symbol val="none"/>
        </c:marker>
      </c:pivotFmt>
      <c:pivotFmt>
        <c:idx val="2958"/>
        <c:marker>
          <c:symbol val="none"/>
        </c:marker>
      </c:pivotFmt>
      <c:pivotFmt>
        <c:idx val="2959"/>
        <c:marker>
          <c:symbol val="none"/>
        </c:marker>
      </c:pivotFmt>
      <c:pivotFmt>
        <c:idx val="2960"/>
        <c:marker>
          <c:symbol val="none"/>
        </c:marker>
      </c:pivotFmt>
      <c:pivotFmt>
        <c:idx val="2961"/>
        <c:marker>
          <c:symbol val="none"/>
        </c:marker>
      </c:pivotFmt>
      <c:pivotFmt>
        <c:idx val="2962"/>
        <c:marker>
          <c:symbol val="none"/>
        </c:marker>
      </c:pivotFmt>
      <c:pivotFmt>
        <c:idx val="2963"/>
        <c:marker>
          <c:symbol val="none"/>
        </c:marker>
      </c:pivotFmt>
      <c:pivotFmt>
        <c:idx val="2964"/>
        <c:marker>
          <c:symbol val="none"/>
        </c:marker>
      </c:pivotFmt>
      <c:pivotFmt>
        <c:idx val="2965"/>
        <c:marker>
          <c:symbol val="none"/>
        </c:marker>
      </c:pivotFmt>
      <c:pivotFmt>
        <c:idx val="2966"/>
        <c:marker>
          <c:symbol val="none"/>
        </c:marker>
      </c:pivotFmt>
      <c:pivotFmt>
        <c:idx val="2967"/>
        <c:marker>
          <c:symbol val="none"/>
        </c:marker>
      </c:pivotFmt>
      <c:pivotFmt>
        <c:idx val="2968"/>
        <c:marker>
          <c:symbol val="none"/>
        </c:marker>
      </c:pivotFmt>
      <c:pivotFmt>
        <c:idx val="2969"/>
        <c:marker>
          <c:symbol val="none"/>
        </c:marker>
      </c:pivotFmt>
      <c:pivotFmt>
        <c:idx val="2970"/>
        <c:marker>
          <c:symbol val="none"/>
        </c:marker>
      </c:pivotFmt>
      <c:pivotFmt>
        <c:idx val="2971"/>
        <c:marker>
          <c:symbol val="none"/>
        </c:marker>
      </c:pivotFmt>
      <c:pivotFmt>
        <c:idx val="2972"/>
        <c:marker>
          <c:symbol val="none"/>
        </c:marker>
      </c:pivotFmt>
      <c:pivotFmt>
        <c:idx val="2973"/>
        <c:marker>
          <c:symbol val="none"/>
        </c:marker>
      </c:pivotFmt>
      <c:pivotFmt>
        <c:idx val="2974"/>
        <c:marker>
          <c:symbol val="none"/>
        </c:marker>
      </c:pivotFmt>
      <c:pivotFmt>
        <c:idx val="2975"/>
        <c:marker>
          <c:symbol val="none"/>
        </c:marker>
      </c:pivotFmt>
      <c:pivotFmt>
        <c:idx val="2976"/>
        <c:marker>
          <c:symbol val="none"/>
        </c:marker>
      </c:pivotFmt>
      <c:pivotFmt>
        <c:idx val="2977"/>
        <c:marker>
          <c:symbol val="none"/>
        </c:marker>
      </c:pivotFmt>
      <c:pivotFmt>
        <c:idx val="2978"/>
        <c:marker>
          <c:symbol val="none"/>
        </c:marker>
      </c:pivotFmt>
      <c:pivotFmt>
        <c:idx val="2979"/>
        <c:marker>
          <c:symbol val="none"/>
        </c:marker>
      </c:pivotFmt>
      <c:pivotFmt>
        <c:idx val="2980"/>
        <c:marker>
          <c:symbol val="none"/>
        </c:marker>
      </c:pivotFmt>
      <c:pivotFmt>
        <c:idx val="2981"/>
        <c:marker>
          <c:symbol val="none"/>
        </c:marker>
      </c:pivotFmt>
      <c:pivotFmt>
        <c:idx val="2982"/>
        <c:marker>
          <c:symbol val="none"/>
        </c:marker>
      </c:pivotFmt>
      <c:pivotFmt>
        <c:idx val="2983"/>
        <c:marker>
          <c:symbol val="none"/>
        </c:marker>
      </c:pivotFmt>
      <c:pivotFmt>
        <c:idx val="2984"/>
        <c:marker>
          <c:symbol val="none"/>
        </c:marker>
      </c:pivotFmt>
      <c:pivotFmt>
        <c:idx val="2985"/>
        <c:marker>
          <c:symbol val="none"/>
        </c:marker>
      </c:pivotFmt>
      <c:pivotFmt>
        <c:idx val="2986"/>
        <c:marker>
          <c:symbol val="none"/>
        </c:marker>
      </c:pivotFmt>
      <c:pivotFmt>
        <c:idx val="2987"/>
        <c:marker>
          <c:symbol val="none"/>
        </c:marker>
      </c:pivotFmt>
      <c:pivotFmt>
        <c:idx val="2988"/>
        <c:marker>
          <c:symbol val="none"/>
        </c:marker>
      </c:pivotFmt>
      <c:pivotFmt>
        <c:idx val="2989"/>
        <c:marker>
          <c:symbol val="none"/>
        </c:marker>
      </c:pivotFmt>
      <c:pivotFmt>
        <c:idx val="2990"/>
        <c:marker>
          <c:symbol val="none"/>
        </c:marker>
      </c:pivotFmt>
      <c:pivotFmt>
        <c:idx val="2991"/>
        <c:marker>
          <c:symbol val="none"/>
        </c:marker>
      </c:pivotFmt>
      <c:pivotFmt>
        <c:idx val="2992"/>
        <c:marker>
          <c:symbol val="none"/>
        </c:marker>
      </c:pivotFmt>
      <c:pivotFmt>
        <c:idx val="2993"/>
        <c:marker>
          <c:symbol val="none"/>
        </c:marker>
      </c:pivotFmt>
      <c:pivotFmt>
        <c:idx val="2994"/>
        <c:marker>
          <c:symbol val="none"/>
        </c:marker>
      </c:pivotFmt>
      <c:pivotFmt>
        <c:idx val="2995"/>
        <c:marker>
          <c:symbol val="none"/>
        </c:marker>
      </c:pivotFmt>
      <c:pivotFmt>
        <c:idx val="2996"/>
        <c:marker>
          <c:symbol val="none"/>
        </c:marker>
      </c:pivotFmt>
      <c:pivotFmt>
        <c:idx val="2997"/>
        <c:marker>
          <c:symbol val="none"/>
        </c:marker>
      </c:pivotFmt>
      <c:pivotFmt>
        <c:idx val="2998"/>
        <c:marker>
          <c:symbol val="none"/>
        </c:marker>
      </c:pivotFmt>
      <c:pivotFmt>
        <c:idx val="2999"/>
        <c:marker>
          <c:symbol val="none"/>
        </c:marker>
      </c:pivotFmt>
      <c:pivotFmt>
        <c:idx val="3000"/>
        <c:marker>
          <c:symbol val="none"/>
        </c:marker>
      </c:pivotFmt>
      <c:pivotFmt>
        <c:idx val="3001"/>
        <c:marker>
          <c:symbol val="none"/>
        </c:marker>
      </c:pivotFmt>
      <c:pivotFmt>
        <c:idx val="3002"/>
        <c:marker>
          <c:symbol val="none"/>
        </c:marker>
      </c:pivotFmt>
      <c:pivotFmt>
        <c:idx val="3003"/>
        <c:marker>
          <c:symbol val="none"/>
        </c:marker>
      </c:pivotFmt>
      <c:pivotFmt>
        <c:idx val="3004"/>
        <c:marker>
          <c:symbol val="none"/>
        </c:marker>
      </c:pivotFmt>
      <c:pivotFmt>
        <c:idx val="3005"/>
        <c:marker>
          <c:symbol val="none"/>
        </c:marker>
      </c:pivotFmt>
      <c:pivotFmt>
        <c:idx val="3006"/>
        <c:marker>
          <c:symbol val="none"/>
        </c:marker>
      </c:pivotFmt>
      <c:pivotFmt>
        <c:idx val="3007"/>
        <c:marker>
          <c:symbol val="none"/>
        </c:marker>
      </c:pivotFmt>
      <c:pivotFmt>
        <c:idx val="3008"/>
        <c:marker>
          <c:symbol val="none"/>
        </c:marker>
      </c:pivotFmt>
      <c:pivotFmt>
        <c:idx val="3009"/>
        <c:marker>
          <c:symbol val="none"/>
        </c:marker>
      </c:pivotFmt>
      <c:pivotFmt>
        <c:idx val="3010"/>
        <c:marker>
          <c:symbol val="none"/>
        </c:marker>
      </c:pivotFmt>
      <c:pivotFmt>
        <c:idx val="3011"/>
        <c:marker>
          <c:symbol val="none"/>
        </c:marker>
      </c:pivotFmt>
      <c:pivotFmt>
        <c:idx val="3012"/>
        <c:marker>
          <c:symbol val="none"/>
        </c:marker>
      </c:pivotFmt>
      <c:pivotFmt>
        <c:idx val="3013"/>
        <c:marker>
          <c:symbol val="none"/>
        </c:marker>
      </c:pivotFmt>
      <c:pivotFmt>
        <c:idx val="3014"/>
        <c:marker>
          <c:symbol val="none"/>
        </c:marker>
      </c:pivotFmt>
      <c:pivotFmt>
        <c:idx val="3015"/>
        <c:marker>
          <c:symbol val="none"/>
        </c:marker>
      </c:pivotFmt>
      <c:pivotFmt>
        <c:idx val="3016"/>
        <c:marker>
          <c:symbol val="none"/>
        </c:marker>
      </c:pivotFmt>
      <c:pivotFmt>
        <c:idx val="3017"/>
        <c:marker>
          <c:symbol val="none"/>
        </c:marker>
      </c:pivotFmt>
      <c:pivotFmt>
        <c:idx val="3018"/>
        <c:marker>
          <c:symbol val="none"/>
        </c:marker>
      </c:pivotFmt>
      <c:pivotFmt>
        <c:idx val="3019"/>
        <c:marker>
          <c:symbol val="none"/>
        </c:marker>
      </c:pivotFmt>
      <c:pivotFmt>
        <c:idx val="3020"/>
        <c:marker>
          <c:symbol val="none"/>
        </c:marker>
      </c:pivotFmt>
      <c:pivotFmt>
        <c:idx val="3021"/>
        <c:marker>
          <c:symbol val="none"/>
        </c:marker>
      </c:pivotFmt>
      <c:pivotFmt>
        <c:idx val="3022"/>
        <c:marker>
          <c:symbol val="none"/>
        </c:marker>
      </c:pivotFmt>
      <c:pivotFmt>
        <c:idx val="3023"/>
        <c:marker>
          <c:symbol val="none"/>
        </c:marker>
      </c:pivotFmt>
      <c:pivotFmt>
        <c:idx val="3024"/>
        <c:marker>
          <c:symbol val="none"/>
        </c:marker>
      </c:pivotFmt>
      <c:pivotFmt>
        <c:idx val="3025"/>
        <c:marker>
          <c:symbol val="none"/>
        </c:marker>
      </c:pivotFmt>
      <c:pivotFmt>
        <c:idx val="3026"/>
        <c:marker>
          <c:symbol val="none"/>
        </c:marker>
      </c:pivotFmt>
      <c:pivotFmt>
        <c:idx val="3027"/>
        <c:marker>
          <c:symbol val="none"/>
        </c:marker>
      </c:pivotFmt>
      <c:pivotFmt>
        <c:idx val="3028"/>
        <c:marker>
          <c:symbol val="none"/>
        </c:marker>
      </c:pivotFmt>
      <c:pivotFmt>
        <c:idx val="3029"/>
        <c:marker>
          <c:symbol val="none"/>
        </c:marker>
      </c:pivotFmt>
      <c:pivotFmt>
        <c:idx val="3030"/>
        <c:marker>
          <c:symbol val="none"/>
        </c:marker>
      </c:pivotFmt>
      <c:pivotFmt>
        <c:idx val="3031"/>
        <c:marker>
          <c:symbol val="none"/>
        </c:marker>
      </c:pivotFmt>
      <c:pivotFmt>
        <c:idx val="3032"/>
        <c:marker>
          <c:symbol val="none"/>
        </c:marker>
      </c:pivotFmt>
      <c:pivotFmt>
        <c:idx val="3033"/>
        <c:marker>
          <c:symbol val="none"/>
        </c:marker>
      </c:pivotFmt>
      <c:pivotFmt>
        <c:idx val="3034"/>
        <c:marker>
          <c:symbol val="none"/>
        </c:marker>
      </c:pivotFmt>
      <c:pivotFmt>
        <c:idx val="3035"/>
        <c:marker>
          <c:symbol val="none"/>
        </c:marker>
      </c:pivotFmt>
      <c:pivotFmt>
        <c:idx val="3036"/>
        <c:marker>
          <c:symbol val="none"/>
        </c:marker>
      </c:pivotFmt>
      <c:pivotFmt>
        <c:idx val="3037"/>
        <c:marker>
          <c:symbol val="none"/>
        </c:marker>
      </c:pivotFmt>
      <c:pivotFmt>
        <c:idx val="3038"/>
        <c:marker>
          <c:symbol val="none"/>
        </c:marker>
      </c:pivotFmt>
      <c:pivotFmt>
        <c:idx val="3039"/>
        <c:marker>
          <c:symbol val="none"/>
        </c:marker>
      </c:pivotFmt>
      <c:pivotFmt>
        <c:idx val="3040"/>
        <c:marker>
          <c:symbol val="none"/>
        </c:marker>
      </c:pivotFmt>
      <c:pivotFmt>
        <c:idx val="3041"/>
        <c:marker>
          <c:symbol val="none"/>
        </c:marker>
      </c:pivotFmt>
      <c:pivotFmt>
        <c:idx val="3042"/>
        <c:marker>
          <c:symbol val="none"/>
        </c:marker>
      </c:pivotFmt>
      <c:pivotFmt>
        <c:idx val="3043"/>
        <c:marker>
          <c:symbol val="none"/>
        </c:marker>
      </c:pivotFmt>
      <c:pivotFmt>
        <c:idx val="3044"/>
        <c:marker>
          <c:symbol val="none"/>
        </c:marker>
      </c:pivotFmt>
      <c:pivotFmt>
        <c:idx val="3045"/>
        <c:marker>
          <c:symbol val="none"/>
        </c:marker>
      </c:pivotFmt>
      <c:pivotFmt>
        <c:idx val="3046"/>
        <c:marker>
          <c:symbol val="none"/>
        </c:marker>
      </c:pivotFmt>
      <c:pivotFmt>
        <c:idx val="3047"/>
        <c:marker>
          <c:symbol val="none"/>
        </c:marker>
      </c:pivotFmt>
      <c:pivotFmt>
        <c:idx val="3048"/>
        <c:marker>
          <c:symbol val="none"/>
        </c:marker>
      </c:pivotFmt>
      <c:pivotFmt>
        <c:idx val="3049"/>
        <c:marker>
          <c:symbol val="none"/>
        </c:marker>
      </c:pivotFmt>
      <c:pivotFmt>
        <c:idx val="3050"/>
        <c:marker>
          <c:symbol val="none"/>
        </c:marker>
      </c:pivotFmt>
      <c:pivotFmt>
        <c:idx val="3051"/>
        <c:marker>
          <c:symbol val="none"/>
        </c:marker>
      </c:pivotFmt>
      <c:pivotFmt>
        <c:idx val="3052"/>
        <c:marker>
          <c:symbol val="none"/>
        </c:marker>
      </c:pivotFmt>
      <c:pivotFmt>
        <c:idx val="3053"/>
        <c:marker>
          <c:symbol val="none"/>
        </c:marker>
      </c:pivotFmt>
      <c:pivotFmt>
        <c:idx val="3054"/>
        <c:marker>
          <c:symbol val="none"/>
        </c:marker>
      </c:pivotFmt>
      <c:pivotFmt>
        <c:idx val="3055"/>
        <c:marker>
          <c:symbol val="none"/>
        </c:marker>
      </c:pivotFmt>
      <c:pivotFmt>
        <c:idx val="3056"/>
        <c:marker>
          <c:symbol val="none"/>
        </c:marker>
      </c:pivotFmt>
      <c:pivotFmt>
        <c:idx val="3057"/>
        <c:marker>
          <c:symbol val="none"/>
        </c:marker>
      </c:pivotFmt>
      <c:pivotFmt>
        <c:idx val="3058"/>
        <c:marker>
          <c:symbol val="none"/>
        </c:marker>
      </c:pivotFmt>
      <c:pivotFmt>
        <c:idx val="3059"/>
        <c:marker>
          <c:symbol val="none"/>
        </c:marker>
      </c:pivotFmt>
      <c:pivotFmt>
        <c:idx val="3060"/>
        <c:marker>
          <c:symbol val="none"/>
        </c:marker>
      </c:pivotFmt>
      <c:pivotFmt>
        <c:idx val="3061"/>
        <c:marker>
          <c:symbol val="none"/>
        </c:marker>
      </c:pivotFmt>
      <c:pivotFmt>
        <c:idx val="3062"/>
        <c:marker>
          <c:symbol val="none"/>
        </c:marker>
      </c:pivotFmt>
      <c:pivotFmt>
        <c:idx val="3063"/>
        <c:marker>
          <c:symbol val="none"/>
        </c:marker>
      </c:pivotFmt>
      <c:pivotFmt>
        <c:idx val="3064"/>
        <c:marker>
          <c:symbol val="none"/>
        </c:marker>
      </c:pivotFmt>
      <c:pivotFmt>
        <c:idx val="3065"/>
        <c:marker>
          <c:symbol val="none"/>
        </c:marker>
      </c:pivotFmt>
      <c:pivotFmt>
        <c:idx val="3066"/>
        <c:marker>
          <c:symbol val="none"/>
        </c:marker>
      </c:pivotFmt>
      <c:pivotFmt>
        <c:idx val="3067"/>
        <c:marker>
          <c:symbol val="none"/>
        </c:marker>
      </c:pivotFmt>
      <c:pivotFmt>
        <c:idx val="3068"/>
        <c:marker>
          <c:symbol val="none"/>
        </c:marker>
      </c:pivotFmt>
      <c:pivotFmt>
        <c:idx val="3069"/>
        <c:marker>
          <c:symbol val="none"/>
        </c:marker>
      </c:pivotFmt>
      <c:pivotFmt>
        <c:idx val="3070"/>
        <c:marker>
          <c:symbol val="none"/>
        </c:marker>
      </c:pivotFmt>
      <c:pivotFmt>
        <c:idx val="3071"/>
        <c:marker>
          <c:symbol val="none"/>
        </c:marker>
      </c:pivotFmt>
      <c:pivotFmt>
        <c:idx val="3072"/>
        <c:marker>
          <c:symbol val="none"/>
        </c:marker>
      </c:pivotFmt>
      <c:pivotFmt>
        <c:idx val="3073"/>
        <c:marker>
          <c:symbol val="none"/>
        </c:marker>
      </c:pivotFmt>
      <c:pivotFmt>
        <c:idx val="3074"/>
        <c:marker>
          <c:symbol val="none"/>
        </c:marker>
      </c:pivotFmt>
      <c:pivotFmt>
        <c:idx val="3075"/>
        <c:marker>
          <c:symbol val="none"/>
        </c:marker>
      </c:pivotFmt>
      <c:pivotFmt>
        <c:idx val="3076"/>
        <c:marker>
          <c:symbol val="none"/>
        </c:marker>
      </c:pivotFmt>
      <c:pivotFmt>
        <c:idx val="3077"/>
        <c:marker>
          <c:symbol val="none"/>
        </c:marker>
      </c:pivotFmt>
      <c:pivotFmt>
        <c:idx val="3078"/>
        <c:marker>
          <c:symbol val="none"/>
        </c:marker>
      </c:pivotFmt>
      <c:pivotFmt>
        <c:idx val="3079"/>
        <c:marker>
          <c:symbol val="none"/>
        </c:marker>
      </c:pivotFmt>
      <c:pivotFmt>
        <c:idx val="3080"/>
        <c:marker>
          <c:symbol val="none"/>
        </c:marker>
      </c:pivotFmt>
      <c:pivotFmt>
        <c:idx val="3081"/>
        <c:marker>
          <c:symbol val="none"/>
        </c:marker>
      </c:pivotFmt>
      <c:pivotFmt>
        <c:idx val="3082"/>
        <c:marker>
          <c:symbol val="none"/>
        </c:marker>
      </c:pivotFmt>
      <c:pivotFmt>
        <c:idx val="3083"/>
        <c:marker>
          <c:symbol val="none"/>
        </c:marker>
      </c:pivotFmt>
      <c:pivotFmt>
        <c:idx val="3084"/>
        <c:marker>
          <c:symbol val="none"/>
        </c:marker>
      </c:pivotFmt>
      <c:pivotFmt>
        <c:idx val="3085"/>
        <c:marker>
          <c:symbol val="none"/>
        </c:marker>
      </c:pivotFmt>
      <c:pivotFmt>
        <c:idx val="3086"/>
        <c:marker>
          <c:symbol val="none"/>
        </c:marker>
      </c:pivotFmt>
      <c:pivotFmt>
        <c:idx val="3087"/>
        <c:marker>
          <c:symbol val="none"/>
        </c:marker>
      </c:pivotFmt>
      <c:pivotFmt>
        <c:idx val="3088"/>
        <c:marker>
          <c:symbol val="none"/>
        </c:marker>
      </c:pivotFmt>
      <c:pivotFmt>
        <c:idx val="3089"/>
        <c:marker>
          <c:symbol val="none"/>
        </c:marker>
      </c:pivotFmt>
      <c:pivotFmt>
        <c:idx val="3090"/>
        <c:marker>
          <c:symbol val="none"/>
        </c:marker>
      </c:pivotFmt>
      <c:pivotFmt>
        <c:idx val="3091"/>
        <c:marker>
          <c:symbol val="none"/>
        </c:marker>
      </c:pivotFmt>
      <c:pivotFmt>
        <c:idx val="3092"/>
        <c:marker>
          <c:symbol val="none"/>
        </c:marker>
      </c:pivotFmt>
      <c:pivotFmt>
        <c:idx val="3093"/>
        <c:marker>
          <c:symbol val="none"/>
        </c:marker>
      </c:pivotFmt>
      <c:pivotFmt>
        <c:idx val="3094"/>
        <c:marker>
          <c:symbol val="none"/>
        </c:marker>
      </c:pivotFmt>
      <c:pivotFmt>
        <c:idx val="3095"/>
        <c:marker>
          <c:symbol val="none"/>
        </c:marker>
      </c:pivotFmt>
      <c:pivotFmt>
        <c:idx val="3096"/>
        <c:marker>
          <c:symbol val="none"/>
        </c:marker>
      </c:pivotFmt>
      <c:pivotFmt>
        <c:idx val="3097"/>
        <c:marker>
          <c:symbol val="none"/>
        </c:marker>
      </c:pivotFmt>
      <c:pivotFmt>
        <c:idx val="3098"/>
        <c:marker>
          <c:symbol val="none"/>
        </c:marker>
      </c:pivotFmt>
      <c:pivotFmt>
        <c:idx val="3099"/>
        <c:marker>
          <c:symbol val="none"/>
        </c:marker>
      </c:pivotFmt>
      <c:pivotFmt>
        <c:idx val="3100"/>
        <c:marker>
          <c:symbol val="none"/>
        </c:marker>
      </c:pivotFmt>
      <c:pivotFmt>
        <c:idx val="3101"/>
        <c:marker>
          <c:symbol val="none"/>
        </c:marker>
      </c:pivotFmt>
      <c:pivotFmt>
        <c:idx val="3102"/>
        <c:marker>
          <c:symbol val="none"/>
        </c:marker>
      </c:pivotFmt>
      <c:pivotFmt>
        <c:idx val="3103"/>
        <c:marker>
          <c:symbol val="none"/>
        </c:marker>
      </c:pivotFmt>
      <c:pivotFmt>
        <c:idx val="3104"/>
        <c:marker>
          <c:symbol val="none"/>
        </c:marker>
      </c:pivotFmt>
      <c:pivotFmt>
        <c:idx val="3105"/>
        <c:marker>
          <c:symbol val="none"/>
        </c:marker>
      </c:pivotFmt>
      <c:pivotFmt>
        <c:idx val="3106"/>
        <c:marker>
          <c:symbol val="none"/>
        </c:marker>
      </c:pivotFmt>
      <c:pivotFmt>
        <c:idx val="3107"/>
        <c:marker>
          <c:symbol val="none"/>
        </c:marker>
      </c:pivotFmt>
      <c:pivotFmt>
        <c:idx val="3108"/>
        <c:marker>
          <c:symbol val="none"/>
        </c:marker>
      </c:pivotFmt>
      <c:pivotFmt>
        <c:idx val="3109"/>
        <c:marker>
          <c:symbol val="none"/>
        </c:marker>
      </c:pivotFmt>
      <c:pivotFmt>
        <c:idx val="3110"/>
        <c:marker>
          <c:symbol val="none"/>
        </c:marker>
      </c:pivotFmt>
      <c:pivotFmt>
        <c:idx val="3111"/>
        <c:marker>
          <c:symbol val="none"/>
        </c:marker>
      </c:pivotFmt>
      <c:pivotFmt>
        <c:idx val="3112"/>
        <c:marker>
          <c:symbol val="none"/>
        </c:marker>
      </c:pivotFmt>
      <c:pivotFmt>
        <c:idx val="3113"/>
        <c:marker>
          <c:symbol val="none"/>
        </c:marker>
      </c:pivotFmt>
      <c:pivotFmt>
        <c:idx val="3114"/>
        <c:marker>
          <c:symbol val="none"/>
        </c:marker>
      </c:pivotFmt>
      <c:pivotFmt>
        <c:idx val="3115"/>
        <c:marker>
          <c:symbol val="none"/>
        </c:marker>
      </c:pivotFmt>
      <c:pivotFmt>
        <c:idx val="3116"/>
        <c:marker>
          <c:symbol val="none"/>
        </c:marker>
      </c:pivotFmt>
      <c:pivotFmt>
        <c:idx val="3117"/>
        <c:marker>
          <c:symbol val="none"/>
        </c:marker>
      </c:pivotFmt>
      <c:pivotFmt>
        <c:idx val="3118"/>
        <c:marker>
          <c:symbol val="none"/>
        </c:marker>
      </c:pivotFmt>
      <c:pivotFmt>
        <c:idx val="3119"/>
        <c:marker>
          <c:symbol val="none"/>
        </c:marker>
      </c:pivotFmt>
      <c:pivotFmt>
        <c:idx val="3120"/>
        <c:marker>
          <c:symbol val="none"/>
        </c:marker>
      </c:pivotFmt>
      <c:pivotFmt>
        <c:idx val="3121"/>
        <c:marker>
          <c:symbol val="none"/>
        </c:marker>
      </c:pivotFmt>
      <c:pivotFmt>
        <c:idx val="3122"/>
        <c:marker>
          <c:symbol val="none"/>
        </c:marker>
      </c:pivotFmt>
      <c:pivotFmt>
        <c:idx val="3123"/>
        <c:marker>
          <c:symbol val="none"/>
        </c:marker>
      </c:pivotFmt>
      <c:pivotFmt>
        <c:idx val="3124"/>
        <c:marker>
          <c:symbol val="none"/>
        </c:marker>
      </c:pivotFmt>
      <c:pivotFmt>
        <c:idx val="3125"/>
        <c:marker>
          <c:symbol val="none"/>
        </c:marker>
      </c:pivotFmt>
      <c:pivotFmt>
        <c:idx val="3126"/>
        <c:marker>
          <c:symbol val="none"/>
        </c:marker>
      </c:pivotFmt>
      <c:pivotFmt>
        <c:idx val="3127"/>
        <c:marker>
          <c:symbol val="none"/>
        </c:marker>
      </c:pivotFmt>
      <c:pivotFmt>
        <c:idx val="3128"/>
        <c:marker>
          <c:symbol val="none"/>
        </c:marker>
      </c:pivotFmt>
      <c:pivotFmt>
        <c:idx val="3129"/>
        <c:marker>
          <c:symbol val="none"/>
        </c:marker>
      </c:pivotFmt>
      <c:pivotFmt>
        <c:idx val="3130"/>
        <c:marker>
          <c:symbol val="none"/>
        </c:marker>
      </c:pivotFmt>
      <c:pivotFmt>
        <c:idx val="3131"/>
        <c:marker>
          <c:symbol val="none"/>
        </c:marker>
      </c:pivotFmt>
      <c:pivotFmt>
        <c:idx val="3132"/>
        <c:marker>
          <c:symbol val="none"/>
        </c:marker>
      </c:pivotFmt>
      <c:pivotFmt>
        <c:idx val="3133"/>
        <c:marker>
          <c:symbol val="none"/>
        </c:marker>
      </c:pivotFmt>
      <c:pivotFmt>
        <c:idx val="3134"/>
        <c:marker>
          <c:symbol val="none"/>
        </c:marker>
      </c:pivotFmt>
      <c:pivotFmt>
        <c:idx val="3135"/>
        <c:marker>
          <c:symbol val="none"/>
        </c:marker>
      </c:pivotFmt>
      <c:pivotFmt>
        <c:idx val="3136"/>
        <c:marker>
          <c:symbol val="none"/>
        </c:marker>
      </c:pivotFmt>
      <c:pivotFmt>
        <c:idx val="3137"/>
        <c:marker>
          <c:symbol val="none"/>
        </c:marker>
      </c:pivotFmt>
      <c:pivotFmt>
        <c:idx val="3138"/>
        <c:marker>
          <c:symbol val="none"/>
        </c:marker>
      </c:pivotFmt>
      <c:pivotFmt>
        <c:idx val="3139"/>
        <c:marker>
          <c:symbol val="none"/>
        </c:marker>
      </c:pivotFmt>
      <c:pivotFmt>
        <c:idx val="3140"/>
        <c:marker>
          <c:symbol val="none"/>
        </c:marker>
      </c:pivotFmt>
      <c:pivotFmt>
        <c:idx val="3141"/>
        <c:marker>
          <c:symbol val="none"/>
        </c:marker>
      </c:pivotFmt>
      <c:pivotFmt>
        <c:idx val="3142"/>
        <c:marker>
          <c:symbol val="none"/>
        </c:marker>
      </c:pivotFmt>
      <c:pivotFmt>
        <c:idx val="3143"/>
        <c:marker>
          <c:symbol val="none"/>
        </c:marker>
      </c:pivotFmt>
      <c:pivotFmt>
        <c:idx val="3144"/>
        <c:marker>
          <c:symbol val="none"/>
        </c:marker>
      </c:pivotFmt>
      <c:pivotFmt>
        <c:idx val="3145"/>
        <c:marker>
          <c:symbol val="none"/>
        </c:marker>
      </c:pivotFmt>
      <c:pivotFmt>
        <c:idx val="3146"/>
        <c:marker>
          <c:symbol val="none"/>
        </c:marker>
      </c:pivotFmt>
      <c:pivotFmt>
        <c:idx val="3147"/>
        <c:marker>
          <c:symbol val="none"/>
        </c:marker>
      </c:pivotFmt>
      <c:pivotFmt>
        <c:idx val="3148"/>
        <c:marker>
          <c:symbol val="none"/>
        </c:marker>
      </c:pivotFmt>
      <c:pivotFmt>
        <c:idx val="3149"/>
        <c:marker>
          <c:symbol val="none"/>
        </c:marker>
      </c:pivotFmt>
      <c:pivotFmt>
        <c:idx val="3150"/>
        <c:marker>
          <c:symbol val="none"/>
        </c:marker>
      </c:pivotFmt>
      <c:pivotFmt>
        <c:idx val="3151"/>
        <c:marker>
          <c:symbol val="none"/>
        </c:marker>
      </c:pivotFmt>
      <c:pivotFmt>
        <c:idx val="3152"/>
        <c:marker>
          <c:symbol val="none"/>
        </c:marker>
      </c:pivotFmt>
      <c:pivotFmt>
        <c:idx val="3153"/>
        <c:marker>
          <c:symbol val="none"/>
        </c:marker>
      </c:pivotFmt>
      <c:pivotFmt>
        <c:idx val="3154"/>
        <c:marker>
          <c:symbol val="none"/>
        </c:marker>
      </c:pivotFmt>
      <c:pivotFmt>
        <c:idx val="3155"/>
        <c:marker>
          <c:symbol val="none"/>
        </c:marker>
      </c:pivotFmt>
      <c:pivotFmt>
        <c:idx val="3156"/>
        <c:marker>
          <c:symbol val="none"/>
        </c:marker>
      </c:pivotFmt>
      <c:pivotFmt>
        <c:idx val="3157"/>
        <c:marker>
          <c:symbol val="none"/>
        </c:marker>
      </c:pivotFmt>
      <c:pivotFmt>
        <c:idx val="3158"/>
        <c:marker>
          <c:symbol val="none"/>
        </c:marker>
      </c:pivotFmt>
      <c:pivotFmt>
        <c:idx val="3159"/>
        <c:marker>
          <c:symbol val="none"/>
        </c:marker>
      </c:pivotFmt>
      <c:pivotFmt>
        <c:idx val="3160"/>
        <c:marker>
          <c:symbol val="none"/>
        </c:marker>
      </c:pivotFmt>
      <c:pivotFmt>
        <c:idx val="3161"/>
        <c:marker>
          <c:symbol val="none"/>
        </c:marker>
      </c:pivotFmt>
      <c:pivotFmt>
        <c:idx val="3162"/>
        <c:marker>
          <c:symbol val="none"/>
        </c:marker>
      </c:pivotFmt>
      <c:pivotFmt>
        <c:idx val="3163"/>
        <c:marker>
          <c:symbol val="none"/>
        </c:marker>
      </c:pivotFmt>
      <c:pivotFmt>
        <c:idx val="3164"/>
        <c:marker>
          <c:symbol val="none"/>
        </c:marker>
      </c:pivotFmt>
      <c:pivotFmt>
        <c:idx val="3165"/>
        <c:marker>
          <c:symbol val="none"/>
        </c:marker>
      </c:pivotFmt>
      <c:pivotFmt>
        <c:idx val="3166"/>
        <c:marker>
          <c:symbol val="none"/>
        </c:marker>
      </c:pivotFmt>
      <c:pivotFmt>
        <c:idx val="3167"/>
        <c:marker>
          <c:symbol val="none"/>
        </c:marker>
      </c:pivotFmt>
      <c:pivotFmt>
        <c:idx val="3168"/>
        <c:marker>
          <c:symbol val="none"/>
        </c:marker>
      </c:pivotFmt>
      <c:pivotFmt>
        <c:idx val="3169"/>
        <c:marker>
          <c:symbol val="none"/>
        </c:marker>
      </c:pivotFmt>
      <c:pivotFmt>
        <c:idx val="3170"/>
        <c:marker>
          <c:symbol val="none"/>
        </c:marker>
      </c:pivotFmt>
      <c:pivotFmt>
        <c:idx val="3171"/>
        <c:marker>
          <c:symbol val="none"/>
        </c:marker>
      </c:pivotFmt>
      <c:pivotFmt>
        <c:idx val="3172"/>
        <c:marker>
          <c:symbol val="none"/>
        </c:marker>
      </c:pivotFmt>
      <c:pivotFmt>
        <c:idx val="3173"/>
        <c:marker>
          <c:symbol val="none"/>
        </c:marker>
      </c:pivotFmt>
      <c:pivotFmt>
        <c:idx val="3174"/>
        <c:marker>
          <c:symbol val="none"/>
        </c:marker>
      </c:pivotFmt>
      <c:pivotFmt>
        <c:idx val="3175"/>
        <c:marker>
          <c:symbol val="none"/>
        </c:marker>
      </c:pivotFmt>
      <c:pivotFmt>
        <c:idx val="3176"/>
        <c:marker>
          <c:symbol val="none"/>
        </c:marker>
      </c:pivotFmt>
      <c:pivotFmt>
        <c:idx val="3177"/>
        <c:marker>
          <c:symbol val="none"/>
        </c:marker>
      </c:pivotFmt>
      <c:pivotFmt>
        <c:idx val="3178"/>
        <c:marker>
          <c:symbol val="none"/>
        </c:marker>
      </c:pivotFmt>
      <c:pivotFmt>
        <c:idx val="3179"/>
        <c:marker>
          <c:symbol val="none"/>
        </c:marker>
      </c:pivotFmt>
      <c:pivotFmt>
        <c:idx val="3180"/>
        <c:marker>
          <c:symbol val="none"/>
        </c:marker>
      </c:pivotFmt>
      <c:pivotFmt>
        <c:idx val="3181"/>
        <c:marker>
          <c:symbol val="none"/>
        </c:marker>
      </c:pivotFmt>
      <c:pivotFmt>
        <c:idx val="3182"/>
        <c:marker>
          <c:symbol val="none"/>
        </c:marker>
      </c:pivotFmt>
      <c:pivotFmt>
        <c:idx val="3183"/>
        <c:marker>
          <c:symbol val="none"/>
        </c:marker>
      </c:pivotFmt>
      <c:pivotFmt>
        <c:idx val="3184"/>
        <c:marker>
          <c:symbol val="none"/>
        </c:marker>
      </c:pivotFmt>
      <c:pivotFmt>
        <c:idx val="3185"/>
        <c:marker>
          <c:symbol val="none"/>
        </c:marker>
      </c:pivotFmt>
      <c:pivotFmt>
        <c:idx val="3186"/>
        <c:marker>
          <c:symbol val="none"/>
        </c:marker>
      </c:pivotFmt>
      <c:pivotFmt>
        <c:idx val="3187"/>
        <c:marker>
          <c:symbol val="none"/>
        </c:marker>
      </c:pivotFmt>
      <c:pivotFmt>
        <c:idx val="3188"/>
        <c:marker>
          <c:symbol val="none"/>
        </c:marker>
      </c:pivotFmt>
      <c:pivotFmt>
        <c:idx val="3189"/>
        <c:marker>
          <c:symbol val="none"/>
        </c:marker>
      </c:pivotFmt>
      <c:pivotFmt>
        <c:idx val="3190"/>
        <c:marker>
          <c:symbol val="none"/>
        </c:marker>
      </c:pivotFmt>
      <c:pivotFmt>
        <c:idx val="3191"/>
        <c:marker>
          <c:symbol val="none"/>
        </c:marker>
      </c:pivotFmt>
      <c:pivotFmt>
        <c:idx val="3192"/>
        <c:marker>
          <c:symbol val="none"/>
        </c:marker>
      </c:pivotFmt>
      <c:pivotFmt>
        <c:idx val="3193"/>
        <c:marker>
          <c:symbol val="none"/>
        </c:marker>
      </c:pivotFmt>
      <c:pivotFmt>
        <c:idx val="3194"/>
        <c:marker>
          <c:symbol val="none"/>
        </c:marker>
      </c:pivotFmt>
      <c:pivotFmt>
        <c:idx val="3195"/>
        <c:marker>
          <c:symbol val="none"/>
        </c:marker>
      </c:pivotFmt>
      <c:pivotFmt>
        <c:idx val="3196"/>
        <c:marker>
          <c:symbol val="none"/>
        </c:marker>
      </c:pivotFmt>
      <c:pivotFmt>
        <c:idx val="3197"/>
        <c:marker>
          <c:symbol val="none"/>
        </c:marker>
      </c:pivotFmt>
      <c:pivotFmt>
        <c:idx val="3198"/>
        <c:marker>
          <c:symbol val="none"/>
        </c:marker>
      </c:pivotFmt>
      <c:pivotFmt>
        <c:idx val="3199"/>
        <c:marker>
          <c:symbol val="none"/>
        </c:marker>
      </c:pivotFmt>
      <c:pivotFmt>
        <c:idx val="3200"/>
        <c:marker>
          <c:symbol val="none"/>
        </c:marker>
      </c:pivotFmt>
      <c:pivotFmt>
        <c:idx val="3201"/>
        <c:marker>
          <c:symbol val="none"/>
        </c:marker>
      </c:pivotFmt>
      <c:pivotFmt>
        <c:idx val="3202"/>
        <c:marker>
          <c:symbol val="none"/>
        </c:marker>
      </c:pivotFmt>
      <c:pivotFmt>
        <c:idx val="3203"/>
        <c:marker>
          <c:symbol val="none"/>
        </c:marker>
      </c:pivotFmt>
      <c:pivotFmt>
        <c:idx val="3204"/>
        <c:marker>
          <c:symbol val="none"/>
        </c:marker>
      </c:pivotFmt>
      <c:pivotFmt>
        <c:idx val="3205"/>
        <c:marker>
          <c:symbol val="none"/>
        </c:marker>
      </c:pivotFmt>
      <c:pivotFmt>
        <c:idx val="3206"/>
        <c:marker>
          <c:symbol val="none"/>
        </c:marker>
      </c:pivotFmt>
      <c:pivotFmt>
        <c:idx val="3207"/>
        <c:marker>
          <c:symbol val="none"/>
        </c:marker>
      </c:pivotFmt>
      <c:pivotFmt>
        <c:idx val="3208"/>
        <c:marker>
          <c:symbol val="none"/>
        </c:marker>
      </c:pivotFmt>
      <c:pivotFmt>
        <c:idx val="3209"/>
        <c:marker>
          <c:symbol val="none"/>
        </c:marker>
      </c:pivotFmt>
      <c:pivotFmt>
        <c:idx val="3210"/>
        <c:marker>
          <c:symbol val="none"/>
        </c:marker>
      </c:pivotFmt>
      <c:pivotFmt>
        <c:idx val="3211"/>
        <c:marker>
          <c:symbol val="none"/>
        </c:marker>
      </c:pivotFmt>
      <c:pivotFmt>
        <c:idx val="3212"/>
        <c:marker>
          <c:symbol val="none"/>
        </c:marker>
      </c:pivotFmt>
      <c:pivotFmt>
        <c:idx val="3213"/>
        <c:marker>
          <c:symbol val="none"/>
        </c:marker>
      </c:pivotFmt>
      <c:pivotFmt>
        <c:idx val="3214"/>
        <c:marker>
          <c:symbol val="none"/>
        </c:marker>
      </c:pivotFmt>
      <c:pivotFmt>
        <c:idx val="3215"/>
        <c:marker>
          <c:symbol val="none"/>
        </c:marker>
      </c:pivotFmt>
      <c:pivotFmt>
        <c:idx val="3216"/>
        <c:marker>
          <c:symbol val="none"/>
        </c:marker>
      </c:pivotFmt>
      <c:pivotFmt>
        <c:idx val="3217"/>
        <c:marker>
          <c:symbol val="none"/>
        </c:marker>
      </c:pivotFmt>
      <c:pivotFmt>
        <c:idx val="3218"/>
        <c:marker>
          <c:symbol val="none"/>
        </c:marker>
      </c:pivotFmt>
      <c:pivotFmt>
        <c:idx val="3219"/>
        <c:marker>
          <c:symbol val="none"/>
        </c:marker>
      </c:pivotFmt>
      <c:pivotFmt>
        <c:idx val="3220"/>
        <c:marker>
          <c:symbol val="none"/>
        </c:marker>
      </c:pivotFmt>
      <c:pivotFmt>
        <c:idx val="3221"/>
        <c:marker>
          <c:symbol val="none"/>
        </c:marker>
      </c:pivotFmt>
      <c:pivotFmt>
        <c:idx val="3222"/>
        <c:marker>
          <c:symbol val="none"/>
        </c:marker>
      </c:pivotFmt>
      <c:pivotFmt>
        <c:idx val="3223"/>
        <c:marker>
          <c:symbol val="none"/>
        </c:marker>
      </c:pivotFmt>
      <c:pivotFmt>
        <c:idx val="3224"/>
        <c:marker>
          <c:symbol val="none"/>
        </c:marker>
      </c:pivotFmt>
      <c:pivotFmt>
        <c:idx val="3225"/>
        <c:marker>
          <c:symbol val="none"/>
        </c:marker>
      </c:pivotFmt>
      <c:pivotFmt>
        <c:idx val="3226"/>
        <c:marker>
          <c:symbol val="none"/>
        </c:marker>
      </c:pivotFmt>
      <c:pivotFmt>
        <c:idx val="3227"/>
        <c:marker>
          <c:symbol val="none"/>
        </c:marker>
      </c:pivotFmt>
      <c:pivotFmt>
        <c:idx val="3228"/>
        <c:marker>
          <c:symbol val="none"/>
        </c:marker>
      </c:pivotFmt>
      <c:pivotFmt>
        <c:idx val="3229"/>
        <c:marker>
          <c:symbol val="none"/>
        </c:marker>
      </c:pivotFmt>
      <c:pivotFmt>
        <c:idx val="3230"/>
        <c:marker>
          <c:symbol val="none"/>
        </c:marker>
      </c:pivotFmt>
      <c:pivotFmt>
        <c:idx val="3231"/>
        <c:marker>
          <c:symbol val="none"/>
        </c:marker>
      </c:pivotFmt>
      <c:pivotFmt>
        <c:idx val="3232"/>
        <c:marker>
          <c:symbol val="none"/>
        </c:marker>
      </c:pivotFmt>
      <c:pivotFmt>
        <c:idx val="3233"/>
        <c:marker>
          <c:symbol val="none"/>
        </c:marker>
      </c:pivotFmt>
      <c:pivotFmt>
        <c:idx val="3234"/>
        <c:marker>
          <c:symbol val="none"/>
        </c:marker>
      </c:pivotFmt>
      <c:pivotFmt>
        <c:idx val="3235"/>
        <c:marker>
          <c:symbol val="none"/>
        </c:marker>
      </c:pivotFmt>
      <c:pivotFmt>
        <c:idx val="3236"/>
        <c:marker>
          <c:symbol val="none"/>
        </c:marker>
      </c:pivotFmt>
      <c:pivotFmt>
        <c:idx val="3237"/>
        <c:marker>
          <c:symbol val="none"/>
        </c:marker>
      </c:pivotFmt>
    </c:pivotFmts>
    <c:plotArea>
      <c:layout/>
      <c:barChart>
        <c:barDir val="col"/>
        <c:grouping val="stacked"/>
        <c:varyColors val="0"/>
        <c:ser>
          <c:idx val="0"/>
          <c:order val="0"/>
          <c:tx>
            <c:strRef>
              <c:f>'Timing Table'!$B$4:$B$9</c:f>
              <c:strCache>
                <c:ptCount val="1"/>
                <c:pt idx="0">
                  <c:v>ERROR - 1160 - ARMs - Coordinates - Questionable</c:v>
                </c:pt>
              </c:strCache>
            </c:strRef>
          </c:tx>
          <c:invertIfNegative val="0"/>
          <c:cat>
            <c:strRef>
              <c:f>'Timing Table'!$A$10:$A$38</c:f>
              <c:strCache>
                <c:ptCount val="28"/>
                <c:pt idx="0">
                  <c:v>10/3/2016</c:v>
                </c:pt>
                <c:pt idx="1">
                  <c:v>10/4/2016</c:v>
                </c:pt>
                <c:pt idx="2">
                  <c:v>10/5/2016</c:v>
                </c:pt>
                <c:pt idx="3">
                  <c:v>10/6/2016</c:v>
                </c:pt>
                <c:pt idx="4">
                  <c:v>10/7/2016</c:v>
                </c:pt>
                <c:pt idx="5">
                  <c:v>10/8/2016</c:v>
                </c:pt>
                <c:pt idx="6">
                  <c:v>10/10/2016</c:v>
                </c:pt>
                <c:pt idx="7">
                  <c:v>10/11/2016</c:v>
                </c:pt>
                <c:pt idx="8">
                  <c:v>10/12/2016</c:v>
                </c:pt>
                <c:pt idx="9">
                  <c:v>10/13/2016</c:v>
                </c:pt>
                <c:pt idx="10">
                  <c:v>10/14/2016</c:v>
                </c:pt>
                <c:pt idx="11">
                  <c:v>10/15/2016</c:v>
                </c:pt>
                <c:pt idx="12">
                  <c:v>10/16/2016</c:v>
                </c:pt>
                <c:pt idx="13">
                  <c:v>10/17/2016</c:v>
                </c:pt>
                <c:pt idx="14">
                  <c:v>10/18/2016</c:v>
                </c:pt>
                <c:pt idx="15">
                  <c:v>10/19/2016</c:v>
                </c:pt>
                <c:pt idx="16">
                  <c:v>10/20/2016</c:v>
                </c:pt>
                <c:pt idx="17">
                  <c:v>10/21/2016</c:v>
                </c:pt>
                <c:pt idx="18">
                  <c:v>10/25/2016</c:v>
                </c:pt>
                <c:pt idx="19">
                  <c:v>10/26/2016</c:v>
                </c:pt>
                <c:pt idx="20">
                  <c:v>10/27/2016</c:v>
                </c:pt>
                <c:pt idx="21">
                  <c:v>10/28/2016</c:v>
                </c:pt>
                <c:pt idx="22">
                  <c:v>10/29/2016</c:v>
                </c:pt>
                <c:pt idx="23">
                  <c:v>10/30/2016</c:v>
                </c:pt>
                <c:pt idx="24">
                  <c:v>10/31/2016</c:v>
                </c:pt>
                <c:pt idx="25">
                  <c:v>11/1/2016</c:v>
                </c:pt>
                <c:pt idx="26">
                  <c:v>11/2/2016</c:v>
                </c:pt>
                <c:pt idx="27">
                  <c:v>(blank)</c:v>
                </c:pt>
              </c:strCache>
            </c:strRef>
          </c:cat>
          <c:val>
            <c:numRef>
              <c:f>'Timing Table'!$B$10:$B$38</c:f>
              <c:numCache>
                <c:formatCode>General</c:formatCode>
                <c:ptCount val="28"/>
                <c:pt idx="14">
                  <c:v>1</c:v>
                </c:pt>
              </c:numCache>
            </c:numRef>
          </c:val>
        </c:ser>
        <c:ser>
          <c:idx val="1"/>
          <c:order val="1"/>
          <c:tx>
            <c:strRef>
              <c:f>'Timing Table'!$F$4:$F$9</c:f>
              <c:strCache>
                <c:ptCount val="1"/>
                <c:pt idx="0">
                  <c:v>ERROR - 1255 - Barcode/Racks - Barcode - Questionable</c:v>
                </c:pt>
              </c:strCache>
            </c:strRef>
          </c:tx>
          <c:invertIfNegative val="0"/>
          <c:cat>
            <c:strRef>
              <c:f>'Timing Table'!$A$10:$A$38</c:f>
              <c:strCache>
                <c:ptCount val="28"/>
                <c:pt idx="0">
                  <c:v>10/3/2016</c:v>
                </c:pt>
                <c:pt idx="1">
                  <c:v>10/4/2016</c:v>
                </c:pt>
                <c:pt idx="2">
                  <c:v>10/5/2016</c:v>
                </c:pt>
                <c:pt idx="3">
                  <c:v>10/6/2016</c:v>
                </c:pt>
                <c:pt idx="4">
                  <c:v>10/7/2016</c:v>
                </c:pt>
                <c:pt idx="5">
                  <c:v>10/8/2016</c:v>
                </c:pt>
                <c:pt idx="6">
                  <c:v>10/10/2016</c:v>
                </c:pt>
                <c:pt idx="7">
                  <c:v>10/11/2016</c:v>
                </c:pt>
                <c:pt idx="8">
                  <c:v>10/12/2016</c:v>
                </c:pt>
                <c:pt idx="9">
                  <c:v>10/13/2016</c:v>
                </c:pt>
                <c:pt idx="10">
                  <c:v>10/14/2016</c:v>
                </c:pt>
                <c:pt idx="11">
                  <c:v>10/15/2016</c:v>
                </c:pt>
                <c:pt idx="12">
                  <c:v>10/16/2016</c:v>
                </c:pt>
                <c:pt idx="13">
                  <c:v>10/17/2016</c:v>
                </c:pt>
                <c:pt idx="14">
                  <c:v>10/18/2016</c:v>
                </c:pt>
                <c:pt idx="15">
                  <c:v>10/19/2016</c:v>
                </c:pt>
                <c:pt idx="16">
                  <c:v>10/20/2016</c:v>
                </c:pt>
                <c:pt idx="17">
                  <c:v>10/21/2016</c:v>
                </c:pt>
                <c:pt idx="18">
                  <c:v>10/25/2016</c:v>
                </c:pt>
                <c:pt idx="19">
                  <c:v>10/26/2016</c:v>
                </c:pt>
                <c:pt idx="20">
                  <c:v>10/27/2016</c:v>
                </c:pt>
                <c:pt idx="21">
                  <c:v>10/28/2016</c:v>
                </c:pt>
                <c:pt idx="22">
                  <c:v>10/29/2016</c:v>
                </c:pt>
                <c:pt idx="23">
                  <c:v>10/30/2016</c:v>
                </c:pt>
                <c:pt idx="24">
                  <c:v>10/31/2016</c:v>
                </c:pt>
                <c:pt idx="25">
                  <c:v>11/1/2016</c:v>
                </c:pt>
                <c:pt idx="26">
                  <c:v>11/2/2016</c:v>
                </c:pt>
                <c:pt idx="27">
                  <c:v>(blank)</c:v>
                </c:pt>
              </c:strCache>
            </c:strRef>
          </c:cat>
          <c:val>
            <c:numRef>
              <c:f>'Timing Table'!$F$10:$F$38</c:f>
              <c:numCache>
                <c:formatCode>General</c:formatCode>
                <c:ptCount val="28"/>
                <c:pt idx="25">
                  <c:v>1</c:v>
                </c:pt>
              </c:numCache>
            </c:numRef>
          </c:val>
        </c:ser>
        <c:ser>
          <c:idx val="2"/>
          <c:order val="2"/>
          <c:tx>
            <c:strRef>
              <c:f>'Timing Table'!$J$4:$J$9</c:f>
              <c:strCache>
                <c:ptCount val="1"/>
                <c:pt idx="0">
                  <c:v>ERROR - 1294 - LLD (Liquid Level Detection) - Missing Liquid - Questionable</c:v>
                </c:pt>
              </c:strCache>
            </c:strRef>
          </c:tx>
          <c:invertIfNegative val="0"/>
          <c:cat>
            <c:strRef>
              <c:f>'Timing Table'!$A$10:$A$38</c:f>
              <c:strCache>
                <c:ptCount val="28"/>
                <c:pt idx="0">
                  <c:v>10/3/2016</c:v>
                </c:pt>
                <c:pt idx="1">
                  <c:v>10/4/2016</c:v>
                </c:pt>
                <c:pt idx="2">
                  <c:v>10/5/2016</c:v>
                </c:pt>
                <c:pt idx="3">
                  <c:v>10/6/2016</c:v>
                </c:pt>
                <c:pt idx="4">
                  <c:v>10/7/2016</c:v>
                </c:pt>
                <c:pt idx="5">
                  <c:v>10/8/2016</c:v>
                </c:pt>
                <c:pt idx="6">
                  <c:v>10/10/2016</c:v>
                </c:pt>
                <c:pt idx="7">
                  <c:v>10/11/2016</c:v>
                </c:pt>
                <c:pt idx="8">
                  <c:v>10/12/2016</c:v>
                </c:pt>
                <c:pt idx="9">
                  <c:v>10/13/2016</c:v>
                </c:pt>
                <c:pt idx="10">
                  <c:v>10/14/2016</c:v>
                </c:pt>
                <c:pt idx="11">
                  <c:v>10/15/2016</c:v>
                </c:pt>
                <c:pt idx="12">
                  <c:v>10/16/2016</c:v>
                </c:pt>
                <c:pt idx="13">
                  <c:v>10/17/2016</c:v>
                </c:pt>
                <c:pt idx="14">
                  <c:v>10/18/2016</c:v>
                </c:pt>
                <c:pt idx="15">
                  <c:v>10/19/2016</c:v>
                </c:pt>
                <c:pt idx="16">
                  <c:v>10/20/2016</c:v>
                </c:pt>
                <c:pt idx="17">
                  <c:v>10/21/2016</c:v>
                </c:pt>
                <c:pt idx="18">
                  <c:v>10/25/2016</c:v>
                </c:pt>
                <c:pt idx="19">
                  <c:v>10/26/2016</c:v>
                </c:pt>
                <c:pt idx="20">
                  <c:v>10/27/2016</c:v>
                </c:pt>
                <c:pt idx="21">
                  <c:v>10/28/2016</c:v>
                </c:pt>
                <c:pt idx="22">
                  <c:v>10/29/2016</c:v>
                </c:pt>
                <c:pt idx="23">
                  <c:v>10/30/2016</c:v>
                </c:pt>
                <c:pt idx="24">
                  <c:v>10/31/2016</c:v>
                </c:pt>
                <c:pt idx="25">
                  <c:v>11/1/2016</c:v>
                </c:pt>
                <c:pt idx="26">
                  <c:v>11/2/2016</c:v>
                </c:pt>
                <c:pt idx="27">
                  <c:v>(blank)</c:v>
                </c:pt>
              </c:strCache>
            </c:strRef>
          </c:cat>
          <c:val>
            <c:numRef>
              <c:f>'Timing Table'!$J$10:$J$38</c:f>
              <c:numCache>
                <c:formatCode>General</c:formatCode>
                <c:ptCount val="28"/>
                <c:pt idx="7">
                  <c:v>3</c:v>
                </c:pt>
                <c:pt idx="19">
                  <c:v>1</c:v>
                </c:pt>
              </c:numCache>
            </c:numRef>
          </c:val>
        </c:ser>
        <c:ser>
          <c:idx val="3"/>
          <c:order val="3"/>
          <c:tx>
            <c:strRef>
              <c:f>'Timing Table'!$N$4:$N$9</c:f>
              <c:strCache>
                <c:ptCount val="1"/>
                <c:pt idx="0">
                  <c:v>ERROR - 2000 - Fluidics - Rinse Circuit - Frequent</c:v>
                </c:pt>
              </c:strCache>
            </c:strRef>
          </c:tx>
          <c:invertIfNegative val="0"/>
          <c:cat>
            <c:strRef>
              <c:f>'Timing Table'!$A$10:$A$38</c:f>
              <c:strCache>
                <c:ptCount val="28"/>
                <c:pt idx="0">
                  <c:v>10/3/2016</c:v>
                </c:pt>
                <c:pt idx="1">
                  <c:v>10/4/2016</c:v>
                </c:pt>
                <c:pt idx="2">
                  <c:v>10/5/2016</c:v>
                </c:pt>
                <c:pt idx="3">
                  <c:v>10/6/2016</c:v>
                </c:pt>
                <c:pt idx="4">
                  <c:v>10/7/2016</c:v>
                </c:pt>
                <c:pt idx="5">
                  <c:v>10/8/2016</c:v>
                </c:pt>
                <c:pt idx="6">
                  <c:v>10/10/2016</c:v>
                </c:pt>
                <c:pt idx="7">
                  <c:v>10/11/2016</c:v>
                </c:pt>
                <c:pt idx="8">
                  <c:v>10/12/2016</c:v>
                </c:pt>
                <c:pt idx="9">
                  <c:v>10/13/2016</c:v>
                </c:pt>
                <c:pt idx="10">
                  <c:v>10/14/2016</c:v>
                </c:pt>
                <c:pt idx="11">
                  <c:v>10/15/2016</c:v>
                </c:pt>
                <c:pt idx="12">
                  <c:v>10/16/2016</c:v>
                </c:pt>
                <c:pt idx="13">
                  <c:v>10/17/2016</c:v>
                </c:pt>
                <c:pt idx="14">
                  <c:v>10/18/2016</c:v>
                </c:pt>
                <c:pt idx="15">
                  <c:v>10/19/2016</c:v>
                </c:pt>
                <c:pt idx="16">
                  <c:v>10/20/2016</c:v>
                </c:pt>
                <c:pt idx="17">
                  <c:v>10/21/2016</c:v>
                </c:pt>
                <c:pt idx="18">
                  <c:v>10/25/2016</c:v>
                </c:pt>
                <c:pt idx="19">
                  <c:v>10/26/2016</c:v>
                </c:pt>
                <c:pt idx="20">
                  <c:v>10/27/2016</c:v>
                </c:pt>
                <c:pt idx="21">
                  <c:v>10/28/2016</c:v>
                </c:pt>
                <c:pt idx="22">
                  <c:v>10/29/2016</c:v>
                </c:pt>
                <c:pt idx="23">
                  <c:v>10/30/2016</c:v>
                </c:pt>
                <c:pt idx="24">
                  <c:v>10/31/2016</c:v>
                </c:pt>
                <c:pt idx="25">
                  <c:v>11/1/2016</c:v>
                </c:pt>
                <c:pt idx="26">
                  <c:v>11/2/2016</c:v>
                </c:pt>
                <c:pt idx="27">
                  <c:v>(blank)</c:v>
                </c:pt>
              </c:strCache>
            </c:strRef>
          </c:cat>
          <c:val>
            <c:numRef>
              <c:f>'Timing Table'!$N$10:$N$38</c:f>
              <c:numCache>
                <c:formatCode>General</c:formatCode>
                <c:ptCount val="28"/>
                <c:pt idx="17">
                  <c:v>1</c:v>
                </c:pt>
                <c:pt idx="26">
                  <c:v>1</c:v>
                </c:pt>
              </c:numCache>
            </c:numRef>
          </c:val>
        </c:ser>
        <c:ser>
          <c:idx val="4"/>
          <c:order val="4"/>
          <c:tx>
            <c:strRef>
              <c:f>'Timing Table'!$R$4:$R$9</c:f>
              <c:strCache>
                <c:ptCount val="1"/>
                <c:pt idx="0">
                  <c:v>ERROR - 2005 - Fluidics - Waste Liquid Circuit - Frequent</c:v>
                </c:pt>
              </c:strCache>
            </c:strRef>
          </c:tx>
          <c:invertIfNegative val="0"/>
          <c:cat>
            <c:strRef>
              <c:f>'Timing Table'!$A$10:$A$38</c:f>
              <c:strCache>
                <c:ptCount val="28"/>
                <c:pt idx="0">
                  <c:v>10/3/2016</c:v>
                </c:pt>
                <c:pt idx="1">
                  <c:v>10/4/2016</c:v>
                </c:pt>
                <c:pt idx="2">
                  <c:v>10/5/2016</c:v>
                </c:pt>
                <c:pt idx="3">
                  <c:v>10/6/2016</c:v>
                </c:pt>
                <c:pt idx="4">
                  <c:v>10/7/2016</c:v>
                </c:pt>
                <c:pt idx="5">
                  <c:v>10/8/2016</c:v>
                </c:pt>
                <c:pt idx="6">
                  <c:v>10/10/2016</c:v>
                </c:pt>
                <c:pt idx="7">
                  <c:v>10/11/2016</c:v>
                </c:pt>
                <c:pt idx="8">
                  <c:v>10/12/2016</c:v>
                </c:pt>
                <c:pt idx="9">
                  <c:v>10/13/2016</c:v>
                </c:pt>
                <c:pt idx="10">
                  <c:v>10/14/2016</c:v>
                </c:pt>
                <c:pt idx="11">
                  <c:v>10/15/2016</c:v>
                </c:pt>
                <c:pt idx="12">
                  <c:v>10/16/2016</c:v>
                </c:pt>
                <c:pt idx="13">
                  <c:v>10/17/2016</c:v>
                </c:pt>
                <c:pt idx="14">
                  <c:v>10/18/2016</c:v>
                </c:pt>
                <c:pt idx="15">
                  <c:v>10/19/2016</c:v>
                </c:pt>
                <c:pt idx="16">
                  <c:v>10/20/2016</c:v>
                </c:pt>
                <c:pt idx="17">
                  <c:v>10/21/2016</c:v>
                </c:pt>
                <c:pt idx="18">
                  <c:v>10/25/2016</c:v>
                </c:pt>
                <c:pt idx="19">
                  <c:v>10/26/2016</c:v>
                </c:pt>
                <c:pt idx="20">
                  <c:v>10/27/2016</c:v>
                </c:pt>
                <c:pt idx="21">
                  <c:v>10/28/2016</c:v>
                </c:pt>
                <c:pt idx="22">
                  <c:v>10/29/2016</c:v>
                </c:pt>
                <c:pt idx="23">
                  <c:v>10/30/2016</c:v>
                </c:pt>
                <c:pt idx="24">
                  <c:v>10/31/2016</c:v>
                </c:pt>
                <c:pt idx="25">
                  <c:v>11/1/2016</c:v>
                </c:pt>
                <c:pt idx="26">
                  <c:v>11/2/2016</c:v>
                </c:pt>
                <c:pt idx="27">
                  <c:v>(blank)</c:v>
                </c:pt>
              </c:strCache>
            </c:strRef>
          </c:cat>
          <c:val>
            <c:numRef>
              <c:f>'Timing Table'!$R$10:$R$38</c:f>
              <c:numCache>
                <c:formatCode>General</c:formatCode>
                <c:ptCount val="28"/>
                <c:pt idx="5">
                  <c:v>1</c:v>
                </c:pt>
                <c:pt idx="18">
                  <c:v>1</c:v>
                </c:pt>
              </c:numCache>
            </c:numRef>
          </c:val>
        </c:ser>
        <c:ser>
          <c:idx val="5"/>
          <c:order val="5"/>
          <c:tx>
            <c:strRef>
              <c:f>'Timing Table'!$V$4:$V$9</c:f>
              <c:strCache>
                <c:ptCount val="1"/>
                <c:pt idx="0">
                  <c:v>ERROR - 2010 - Barcode/Racks - Barcode - Frequent</c:v>
                </c:pt>
              </c:strCache>
            </c:strRef>
          </c:tx>
          <c:invertIfNegative val="0"/>
          <c:cat>
            <c:strRef>
              <c:f>'Timing Table'!$A$10:$A$38</c:f>
              <c:strCache>
                <c:ptCount val="28"/>
                <c:pt idx="0">
                  <c:v>10/3/2016</c:v>
                </c:pt>
                <c:pt idx="1">
                  <c:v>10/4/2016</c:v>
                </c:pt>
                <c:pt idx="2">
                  <c:v>10/5/2016</c:v>
                </c:pt>
                <c:pt idx="3">
                  <c:v>10/6/2016</c:v>
                </c:pt>
                <c:pt idx="4">
                  <c:v>10/7/2016</c:v>
                </c:pt>
                <c:pt idx="5">
                  <c:v>10/8/2016</c:v>
                </c:pt>
                <c:pt idx="6">
                  <c:v>10/10/2016</c:v>
                </c:pt>
                <c:pt idx="7">
                  <c:v>10/11/2016</c:v>
                </c:pt>
                <c:pt idx="8">
                  <c:v>10/12/2016</c:v>
                </c:pt>
                <c:pt idx="9">
                  <c:v>10/13/2016</c:v>
                </c:pt>
                <c:pt idx="10">
                  <c:v>10/14/2016</c:v>
                </c:pt>
                <c:pt idx="11">
                  <c:v>10/15/2016</c:v>
                </c:pt>
                <c:pt idx="12">
                  <c:v>10/16/2016</c:v>
                </c:pt>
                <c:pt idx="13">
                  <c:v>10/17/2016</c:v>
                </c:pt>
                <c:pt idx="14">
                  <c:v>10/18/2016</c:v>
                </c:pt>
                <c:pt idx="15">
                  <c:v>10/19/2016</c:v>
                </c:pt>
                <c:pt idx="16">
                  <c:v>10/20/2016</c:v>
                </c:pt>
                <c:pt idx="17">
                  <c:v>10/21/2016</c:v>
                </c:pt>
                <c:pt idx="18">
                  <c:v>10/25/2016</c:v>
                </c:pt>
                <c:pt idx="19">
                  <c:v>10/26/2016</c:v>
                </c:pt>
                <c:pt idx="20">
                  <c:v>10/27/2016</c:v>
                </c:pt>
                <c:pt idx="21">
                  <c:v>10/28/2016</c:v>
                </c:pt>
                <c:pt idx="22">
                  <c:v>10/29/2016</c:v>
                </c:pt>
                <c:pt idx="23">
                  <c:v>10/30/2016</c:v>
                </c:pt>
                <c:pt idx="24">
                  <c:v>10/31/2016</c:v>
                </c:pt>
                <c:pt idx="25">
                  <c:v>11/1/2016</c:v>
                </c:pt>
                <c:pt idx="26">
                  <c:v>11/2/2016</c:v>
                </c:pt>
                <c:pt idx="27">
                  <c:v>(blank)</c:v>
                </c:pt>
              </c:strCache>
            </c:strRef>
          </c:cat>
          <c:val>
            <c:numRef>
              <c:f>'Timing Table'!$V$10:$V$38</c:f>
              <c:numCache>
                <c:formatCode>General</c:formatCode>
                <c:ptCount val="28"/>
                <c:pt idx="13">
                  <c:v>1</c:v>
                </c:pt>
                <c:pt idx="15">
                  <c:v>1</c:v>
                </c:pt>
              </c:numCache>
            </c:numRef>
          </c:val>
        </c:ser>
        <c:ser>
          <c:idx val="6"/>
          <c:order val="6"/>
          <c:tx>
            <c:strRef>
              <c:f>'Timing Table'!$Z$4:$Z$9</c:f>
              <c:strCache>
                <c:ptCount val="1"/>
                <c:pt idx="0">
                  <c:v>ERROR - 2015 - Fluidics - Clean Circuit - Frequent</c:v>
                </c:pt>
              </c:strCache>
            </c:strRef>
          </c:tx>
          <c:invertIfNegative val="0"/>
          <c:cat>
            <c:strRef>
              <c:f>'Timing Table'!$A$10:$A$38</c:f>
              <c:strCache>
                <c:ptCount val="28"/>
                <c:pt idx="0">
                  <c:v>10/3/2016</c:v>
                </c:pt>
                <c:pt idx="1">
                  <c:v>10/4/2016</c:v>
                </c:pt>
                <c:pt idx="2">
                  <c:v>10/5/2016</c:v>
                </c:pt>
                <c:pt idx="3">
                  <c:v>10/6/2016</c:v>
                </c:pt>
                <c:pt idx="4">
                  <c:v>10/7/2016</c:v>
                </c:pt>
                <c:pt idx="5">
                  <c:v>10/8/2016</c:v>
                </c:pt>
                <c:pt idx="6">
                  <c:v>10/10/2016</c:v>
                </c:pt>
                <c:pt idx="7">
                  <c:v>10/11/2016</c:v>
                </c:pt>
                <c:pt idx="8">
                  <c:v>10/12/2016</c:v>
                </c:pt>
                <c:pt idx="9">
                  <c:v>10/13/2016</c:v>
                </c:pt>
                <c:pt idx="10">
                  <c:v>10/14/2016</c:v>
                </c:pt>
                <c:pt idx="11">
                  <c:v>10/15/2016</c:v>
                </c:pt>
                <c:pt idx="12">
                  <c:v>10/16/2016</c:v>
                </c:pt>
                <c:pt idx="13">
                  <c:v>10/17/2016</c:v>
                </c:pt>
                <c:pt idx="14">
                  <c:v>10/18/2016</c:v>
                </c:pt>
                <c:pt idx="15">
                  <c:v>10/19/2016</c:v>
                </c:pt>
                <c:pt idx="16">
                  <c:v>10/20/2016</c:v>
                </c:pt>
                <c:pt idx="17">
                  <c:v>10/21/2016</c:v>
                </c:pt>
                <c:pt idx="18">
                  <c:v>10/25/2016</c:v>
                </c:pt>
                <c:pt idx="19">
                  <c:v>10/26/2016</c:v>
                </c:pt>
                <c:pt idx="20">
                  <c:v>10/27/2016</c:v>
                </c:pt>
                <c:pt idx="21">
                  <c:v>10/28/2016</c:v>
                </c:pt>
                <c:pt idx="22">
                  <c:v>10/29/2016</c:v>
                </c:pt>
                <c:pt idx="23">
                  <c:v>10/30/2016</c:v>
                </c:pt>
                <c:pt idx="24">
                  <c:v>10/31/2016</c:v>
                </c:pt>
                <c:pt idx="25">
                  <c:v>11/1/2016</c:v>
                </c:pt>
                <c:pt idx="26">
                  <c:v>11/2/2016</c:v>
                </c:pt>
                <c:pt idx="27">
                  <c:v>(blank)</c:v>
                </c:pt>
              </c:strCache>
            </c:strRef>
          </c:cat>
          <c:val>
            <c:numRef>
              <c:f>'Timing Table'!$Z$10:$Z$38</c:f>
              <c:numCache>
                <c:formatCode>General</c:formatCode>
                <c:ptCount val="28"/>
                <c:pt idx="12">
                  <c:v>1</c:v>
                </c:pt>
              </c:numCache>
            </c:numRef>
          </c:val>
        </c:ser>
        <c:ser>
          <c:idx val="7"/>
          <c:order val="7"/>
          <c:tx>
            <c:strRef>
              <c:f>'Timing Table'!$AD$4:$AD$9</c:f>
              <c:strCache>
                <c:ptCount val="1"/>
                <c:pt idx="0">
                  <c:v>ERROR - 2025 - Cuvettes Movement - Cuvette Waste - Frequent</c:v>
                </c:pt>
              </c:strCache>
            </c:strRef>
          </c:tx>
          <c:invertIfNegative val="0"/>
          <c:cat>
            <c:strRef>
              <c:f>'Timing Table'!$A$10:$A$38</c:f>
              <c:strCache>
                <c:ptCount val="28"/>
                <c:pt idx="0">
                  <c:v>10/3/2016</c:v>
                </c:pt>
                <c:pt idx="1">
                  <c:v>10/4/2016</c:v>
                </c:pt>
                <c:pt idx="2">
                  <c:v>10/5/2016</c:v>
                </c:pt>
                <c:pt idx="3">
                  <c:v>10/6/2016</c:v>
                </c:pt>
                <c:pt idx="4">
                  <c:v>10/7/2016</c:v>
                </c:pt>
                <c:pt idx="5">
                  <c:v>10/8/2016</c:v>
                </c:pt>
                <c:pt idx="6">
                  <c:v>10/10/2016</c:v>
                </c:pt>
                <c:pt idx="7">
                  <c:v>10/11/2016</c:v>
                </c:pt>
                <c:pt idx="8">
                  <c:v>10/12/2016</c:v>
                </c:pt>
                <c:pt idx="9">
                  <c:v>10/13/2016</c:v>
                </c:pt>
                <c:pt idx="10">
                  <c:v>10/14/2016</c:v>
                </c:pt>
                <c:pt idx="11">
                  <c:v>10/15/2016</c:v>
                </c:pt>
                <c:pt idx="12">
                  <c:v>10/16/2016</c:v>
                </c:pt>
                <c:pt idx="13">
                  <c:v>10/17/2016</c:v>
                </c:pt>
                <c:pt idx="14">
                  <c:v>10/18/2016</c:v>
                </c:pt>
                <c:pt idx="15">
                  <c:v>10/19/2016</c:v>
                </c:pt>
                <c:pt idx="16">
                  <c:v>10/20/2016</c:v>
                </c:pt>
                <c:pt idx="17">
                  <c:v>10/21/2016</c:v>
                </c:pt>
                <c:pt idx="18">
                  <c:v>10/25/2016</c:v>
                </c:pt>
                <c:pt idx="19">
                  <c:v>10/26/2016</c:v>
                </c:pt>
                <c:pt idx="20">
                  <c:v>10/27/2016</c:v>
                </c:pt>
                <c:pt idx="21">
                  <c:v>10/28/2016</c:v>
                </c:pt>
                <c:pt idx="22">
                  <c:v>10/29/2016</c:v>
                </c:pt>
                <c:pt idx="23">
                  <c:v>10/30/2016</c:v>
                </c:pt>
                <c:pt idx="24">
                  <c:v>10/31/2016</c:v>
                </c:pt>
                <c:pt idx="25">
                  <c:v>11/1/2016</c:v>
                </c:pt>
                <c:pt idx="26">
                  <c:v>11/2/2016</c:v>
                </c:pt>
                <c:pt idx="27">
                  <c:v>(blank)</c:v>
                </c:pt>
              </c:strCache>
            </c:strRef>
          </c:cat>
          <c:val>
            <c:numRef>
              <c:f>'Timing Table'!$AD$10:$AD$38</c:f>
              <c:numCache>
                <c:formatCode>General</c:formatCode>
                <c:ptCount val="28"/>
                <c:pt idx="3">
                  <c:v>1</c:v>
                </c:pt>
                <c:pt idx="16">
                  <c:v>1</c:v>
                </c:pt>
                <c:pt idx="20">
                  <c:v>2</c:v>
                </c:pt>
                <c:pt idx="26">
                  <c:v>2</c:v>
                </c:pt>
              </c:numCache>
            </c:numRef>
          </c:val>
        </c:ser>
        <c:ser>
          <c:idx val="8"/>
          <c:order val="8"/>
          <c:tx>
            <c:strRef>
              <c:f>'Timing Table'!$AH$4:$AH$9</c:f>
              <c:strCache>
                <c:ptCount val="1"/>
                <c:pt idx="0">
                  <c:v>ERROR - 2030 - Cuvettes Movement - Cuvette Waste - Frequent</c:v>
                </c:pt>
              </c:strCache>
            </c:strRef>
          </c:tx>
          <c:invertIfNegative val="0"/>
          <c:cat>
            <c:strRef>
              <c:f>'Timing Table'!$A$10:$A$38</c:f>
              <c:strCache>
                <c:ptCount val="28"/>
                <c:pt idx="0">
                  <c:v>10/3/2016</c:v>
                </c:pt>
                <c:pt idx="1">
                  <c:v>10/4/2016</c:v>
                </c:pt>
                <c:pt idx="2">
                  <c:v>10/5/2016</c:v>
                </c:pt>
                <c:pt idx="3">
                  <c:v>10/6/2016</c:v>
                </c:pt>
                <c:pt idx="4">
                  <c:v>10/7/2016</c:v>
                </c:pt>
                <c:pt idx="5">
                  <c:v>10/8/2016</c:v>
                </c:pt>
                <c:pt idx="6">
                  <c:v>10/10/2016</c:v>
                </c:pt>
                <c:pt idx="7">
                  <c:v>10/11/2016</c:v>
                </c:pt>
                <c:pt idx="8">
                  <c:v>10/12/2016</c:v>
                </c:pt>
                <c:pt idx="9">
                  <c:v>10/13/2016</c:v>
                </c:pt>
                <c:pt idx="10">
                  <c:v>10/14/2016</c:v>
                </c:pt>
                <c:pt idx="11">
                  <c:v>10/15/2016</c:v>
                </c:pt>
                <c:pt idx="12">
                  <c:v>10/16/2016</c:v>
                </c:pt>
                <c:pt idx="13">
                  <c:v>10/17/2016</c:v>
                </c:pt>
                <c:pt idx="14">
                  <c:v>10/18/2016</c:v>
                </c:pt>
                <c:pt idx="15">
                  <c:v>10/19/2016</c:v>
                </c:pt>
                <c:pt idx="16">
                  <c:v>10/20/2016</c:v>
                </c:pt>
                <c:pt idx="17">
                  <c:v>10/21/2016</c:v>
                </c:pt>
                <c:pt idx="18">
                  <c:v>10/25/2016</c:v>
                </c:pt>
                <c:pt idx="19">
                  <c:v>10/26/2016</c:v>
                </c:pt>
                <c:pt idx="20">
                  <c:v>10/27/2016</c:v>
                </c:pt>
                <c:pt idx="21">
                  <c:v>10/28/2016</c:v>
                </c:pt>
                <c:pt idx="22">
                  <c:v>10/29/2016</c:v>
                </c:pt>
                <c:pt idx="23">
                  <c:v>10/30/2016</c:v>
                </c:pt>
                <c:pt idx="24">
                  <c:v>10/31/2016</c:v>
                </c:pt>
                <c:pt idx="25">
                  <c:v>11/1/2016</c:v>
                </c:pt>
                <c:pt idx="26">
                  <c:v>11/2/2016</c:v>
                </c:pt>
                <c:pt idx="27">
                  <c:v>(blank)</c:v>
                </c:pt>
              </c:strCache>
            </c:strRef>
          </c:cat>
          <c:val>
            <c:numRef>
              <c:f>'Timing Table'!$AH$10:$AH$38</c:f>
              <c:numCache>
                <c:formatCode>General</c:formatCode>
                <c:ptCount val="28"/>
                <c:pt idx="15">
                  <c:v>1</c:v>
                </c:pt>
              </c:numCache>
            </c:numRef>
          </c:val>
        </c:ser>
        <c:ser>
          <c:idx val="9"/>
          <c:order val="9"/>
          <c:tx>
            <c:strRef>
              <c:f>'Timing Table'!$AL$4:$AL$9</c:f>
              <c:strCache>
                <c:ptCount val="1"/>
                <c:pt idx="0">
                  <c:v>ERROR - 2055 - LLD (Liquid Level Detection) - Missing Liquid - Frequent</c:v>
                </c:pt>
              </c:strCache>
            </c:strRef>
          </c:tx>
          <c:invertIfNegative val="0"/>
          <c:cat>
            <c:strRef>
              <c:f>'Timing Table'!$A$10:$A$38</c:f>
              <c:strCache>
                <c:ptCount val="28"/>
                <c:pt idx="0">
                  <c:v>10/3/2016</c:v>
                </c:pt>
                <c:pt idx="1">
                  <c:v>10/4/2016</c:v>
                </c:pt>
                <c:pt idx="2">
                  <c:v>10/5/2016</c:v>
                </c:pt>
                <c:pt idx="3">
                  <c:v>10/6/2016</c:v>
                </c:pt>
                <c:pt idx="4">
                  <c:v>10/7/2016</c:v>
                </c:pt>
                <c:pt idx="5">
                  <c:v>10/8/2016</c:v>
                </c:pt>
                <c:pt idx="6">
                  <c:v>10/10/2016</c:v>
                </c:pt>
                <c:pt idx="7">
                  <c:v>10/11/2016</c:v>
                </c:pt>
                <c:pt idx="8">
                  <c:v>10/12/2016</c:v>
                </c:pt>
                <c:pt idx="9">
                  <c:v>10/13/2016</c:v>
                </c:pt>
                <c:pt idx="10">
                  <c:v>10/14/2016</c:v>
                </c:pt>
                <c:pt idx="11">
                  <c:v>10/15/2016</c:v>
                </c:pt>
                <c:pt idx="12">
                  <c:v>10/16/2016</c:v>
                </c:pt>
                <c:pt idx="13">
                  <c:v>10/17/2016</c:v>
                </c:pt>
                <c:pt idx="14">
                  <c:v>10/18/2016</c:v>
                </c:pt>
                <c:pt idx="15">
                  <c:v>10/19/2016</c:v>
                </c:pt>
                <c:pt idx="16">
                  <c:v>10/20/2016</c:v>
                </c:pt>
                <c:pt idx="17">
                  <c:v>10/21/2016</c:v>
                </c:pt>
                <c:pt idx="18">
                  <c:v>10/25/2016</c:v>
                </c:pt>
                <c:pt idx="19">
                  <c:v>10/26/2016</c:v>
                </c:pt>
                <c:pt idx="20">
                  <c:v>10/27/2016</c:v>
                </c:pt>
                <c:pt idx="21">
                  <c:v>10/28/2016</c:v>
                </c:pt>
                <c:pt idx="22">
                  <c:v>10/29/2016</c:v>
                </c:pt>
                <c:pt idx="23">
                  <c:v>10/30/2016</c:v>
                </c:pt>
                <c:pt idx="24">
                  <c:v>10/31/2016</c:v>
                </c:pt>
                <c:pt idx="25">
                  <c:v>11/1/2016</c:v>
                </c:pt>
                <c:pt idx="26">
                  <c:v>11/2/2016</c:v>
                </c:pt>
                <c:pt idx="27">
                  <c:v>(blank)</c:v>
                </c:pt>
              </c:strCache>
            </c:strRef>
          </c:cat>
          <c:val>
            <c:numRef>
              <c:f>'Timing Table'!$AL$10:$AL$38</c:f>
              <c:numCache>
                <c:formatCode>General</c:formatCode>
                <c:ptCount val="28"/>
                <c:pt idx="3">
                  <c:v>2</c:v>
                </c:pt>
                <c:pt idx="4">
                  <c:v>1</c:v>
                </c:pt>
              </c:numCache>
            </c:numRef>
          </c:val>
        </c:ser>
        <c:ser>
          <c:idx val="10"/>
          <c:order val="10"/>
          <c:tx>
            <c:strRef>
              <c:f>'Timing Table'!$AP$4:$AP$9</c:f>
              <c:strCache>
                <c:ptCount val="1"/>
                <c:pt idx="0">
                  <c:v>ERROR - 2076 - Fluidics - Clean Circuit - Rare</c:v>
                </c:pt>
              </c:strCache>
            </c:strRef>
          </c:tx>
          <c:invertIfNegative val="0"/>
          <c:cat>
            <c:strRef>
              <c:f>'Timing Table'!$A$10:$A$38</c:f>
              <c:strCache>
                <c:ptCount val="28"/>
                <c:pt idx="0">
                  <c:v>10/3/2016</c:v>
                </c:pt>
                <c:pt idx="1">
                  <c:v>10/4/2016</c:v>
                </c:pt>
                <c:pt idx="2">
                  <c:v>10/5/2016</c:v>
                </c:pt>
                <c:pt idx="3">
                  <c:v>10/6/2016</c:v>
                </c:pt>
                <c:pt idx="4">
                  <c:v>10/7/2016</c:v>
                </c:pt>
                <c:pt idx="5">
                  <c:v>10/8/2016</c:v>
                </c:pt>
                <c:pt idx="6">
                  <c:v>10/10/2016</c:v>
                </c:pt>
                <c:pt idx="7">
                  <c:v>10/11/2016</c:v>
                </c:pt>
                <c:pt idx="8">
                  <c:v>10/12/2016</c:v>
                </c:pt>
                <c:pt idx="9">
                  <c:v>10/13/2016</c:v>
                </c:pt>
                <c:pt idx="10">
                  <c:v>10/14/2016</c:v>
                </c:pt>
                <c:pt idx="11">
                  <c:v>10/15/2016</c:v>
                </c:pt>
                <c:pt idx="12">
                  <c:v>10/16/2016</c:v>
                </c:pt>
                <c:pt idx="13">
                  <c:v>10/17/2016</c:v>
                </c:pt>
                <c:pt idx="14">
                  <c:v>10/18/2016</c:v>
                </c:pt>
                <c:pt idx="15">
                  <c:v>10/19/2016</c:v>
                </c:pt>
                <c:pt idx="16">
                  <c:v>10/20/2016</c:v>
                </c:pt>
                <c:pt idx="17">
                  <c:v>10/21/2016</c:v>
                </c:pt>
                <c:pt idx="18">
                  <c:v>10/25/2016</c:v>
                </c:pt>
                <c:pt idx="19">
                  <c:v>10/26/2016</c:v>
                </c:pt>
                <c:pt idx="20">
                  <c:v>10/27/2016</c:v>
                </c:pt>
                <c:pt idx="21">
                  <c:v>10/28/2016</c:v>
                </c:pt>
                <c:pt idx="22">
                  <c:v>10/29/2016</c:v>
                </c:pt>
                <c:pt idx="23">
                  <c:v>10/30/2016</c:v>
                </c:pt>
                <c:pt idx="24">
                  <c:v>10/31/2016</c:v>
                </c:pt>
                <c:pt idx="25">
                  <c:v>11/1/2016</c:v>
                </c:pt>
                <c:pt idx="26">
                  <c:v>11/2/2016</c:v>
                </c:pt>
                <c:pt idx="27">
                  <c:v>(blank)</c:v>
                </c:pt>
              </c:strCache>
            </c:strRef>
          </c:cat>
          <c:val>
            <c:numRef>
              <c:f>'Timing Table'!$AP$10:$AP$38</c:f>
              <c:numCache>
                <c:formatCode>General</c:formatCode>
                <c:ptCount val="28"/>
                <c:pt idx="7">
                  <c:v>3</c:v>
                </c:pt>
                <c:pt idx="19">
                  <c:v>3</c:v>
                </c:pt>
              </c:numCache>
            </c:numRef>
          </c:val>
        </c:ser>
        <c:ser>
          <c:idx val="11"/>
          <c:order val="11"/>
          <c:tx>
            <c:strRef>
              <c:f>'Timing Table'!$AT$4:$AT$9</c:f>
              <c:strCache>
                <c:ptCount val="1"/>
                <c:pt idx="0">
                  <c:v>ERROR - 2083 - LLD (Liquid Level Detection) - Missing Liquid - Frequent</c:v>
                </c:pt>
              </c:strCache>
            </c:strRef>
          </c:tx>
          <c:invertIfNegative val="0"/>
          <c:cat>
            <c:strRef>
              <c:f>'Timing Table'!$A$10:$A$38</c:f>
              <c:strCache>
                <c:ptCount val="28"/>
                <c:pt idx="0">
                  <c:v>10/3/2016</c:v>
                </c:pt>
                <c:pt idx="1">
                  <c:v>10/4/2016</c:v>
                </c:pt>
                <c:pt idx="2">
                  <c:v>10/5/2016</c:v>
                </c:pt>
                <c:pt idx="3">
                  <c:v>10/6/2016</c:v>
                </c:pt>
                <c:pt idx="4">
                  <c:v>10/7/2016</c:v>
                </c:pt>
                <c:pt idx="5">
                  <c:v>10/8/2016</c:v>
                </c:pt>
                <c:pt idx="6">
                  <c:v>10/10/2016</c:v>
                </c:pt>
                <c:pt idx="7">
                  <c:v>10/11/2016</c:v>
                </c:pt>
                <c:pt idx="8">
                  <c:v>10/12/2016</c:v>
                </c:pt>
                <c:pt idx="9">
                  <c:v>10/13/2016</c:v>
                </c:pt>
                <c:pt idx="10">
                  <c:v>10/14/2016</c:v>
                </c:pt>
                <c:pt idx="11">
                  <c:v>10/15/2016</c:v>
                </c:pt>
                <c:pt idx="12">
                  <c:v>10/16/2016</c:v>
                </c:pt>
                <c:pt idx="13">
                  <c:v>10/17/2016</c:v>
                </c:pt>
                <c:pt idx="14">
                  <c:v>10/18/2016</c:v>
                </c:pt>
                <c:pt idx="15">
                  <c:v>10/19/2016</c:v>
                </c:pt>
                <c:pt idx="16">
                  <c:v>10/20/2016</c:v>
                </c:pt>
                <c:pt idx="17">
                  <c:v>10/21/2016</c:v>
                </c:pt>
                <c:pt idx="18">
                  <c:v>10/25/2016</c:v>
                </c:pt>
                <c:pt idx="19">
                  <c:v>10/26/2016</c:v>
                </c:pt>
                <c:pt idx="20">
                  <c:v>10/27/2016</c:v>
                </c:pt>
                <c:pt idx="21">
                  <c:v>10/28/2016</c:v>
                </c:pt>
                <c:pt idx="22">
                  <c:v>10/29/2016</c:v>
                </c:pt>
                <c:pt idx="23">
                  <c:v>10/30/2016</c:v>
                </c:pt>
                <c:pt idx="24">
                  <c:v>10/31/2016</c:v>
                </c:pt>
                <c:pt idx="25">
                  <c:v>11/1/2016</c:v>
                </c:pt>
                <c:pt idx="26">
                  <c:v>11/2/2016</c:v>
                </c:pt>
                <c:pt idx="27">
                  <c:v>(blank)</c:v>
                </c:pt>
              </c:strCache>
            </c:strRef>
          </c:cat>
          <c:val>
            <c:numRef>
              <c:f>'Timing Table'!$AT$10:$AT$38</c:f>
              <c:numCache>
                <c:formatCode>General</c:formatCode>
                <c:ptCount val="28"/>
                <c:pt idx="4">
                  <c:v>4</c:v>
                </c:pt>
                <c:pt idx="7">
                  <c:v>3</c:v>
                </c:pt>
                <c:pt idx="15">
                  <c:v>2</c:v>
                </c:pt>
                <c:pt idx="16">
                  <c:v>1</c:v>
                </c:pt>
                <c:pt idx="19">
                  <c:v>9</c:v>
                </c:pt>
                <c:pt idx="20">
                  <c:v>2</c:v>
                </c:pt>
                <c:pt idx="21">
                  <c:v>4</c:v>
                </c:pt>
                <c:pt idx="26">
                  <c:v>3</c:v>
                </c:pt>
              </c:numCache>
            </c:numRef>
          </c:val>
        </c:ser>
        <c:ser>
          <c:idx val="12"/>
          <c:order val="12"/>
          <c:tx>
            <c:strRef>
              <c:f>'Timing Table'!$AX$4:$AX$9</c:f>
              <c:strCache>
                <c:ptCount val="1"/>
                <c:pt idx="0">
                  <c:v>ERROR - 2086 - Others - Maintenance - Frequent</c:v>
                </c:pt>
              </c:strCache>
            </c:strRef>
          </c:tx>
          <c:invertIfNegative val="0"/>
          <c:cat>
            <c:strRef>
              <c:f>'Timing Table'!$A$10:$A$38</c:f>
              <c:strCache>
                <c:ptCount val="28"/>
                <c:pt idx="0">
                  <c:v>10/3/2016</c:v>
                </c:pt>
                <c:pt idx="1">
                  <c:v>10/4/2016</c:v>
                </c:pt>
                <c:pt idx="2">
                  <c:v>10/5/2016</c:v>
                </c:pt>
                <c:pt idx="3">
                  <c:v>10/6/2016</c:v>
                </c:pt>
                <c:pt idx="4">
                  <c:v>10/7/2016</c:v>
                </c:pt>
                <c:pt idx="5">
                  <c:v>10/8/2016</c:v>
                </c:pt>
                <c:pt idx="6">
                  <c:v>10/10/2016</c:v>
                </c:pt>
                <c:pt idx="7">
                  <c:v>10/11/2016</c:v>
                </c:pt>
                <c:pt idx="8">
                  <c:v>10/12/2016</c:v>
                </c:pt>
                <c:pt idx="9">
                  <c:v>10/13/2016</c:v>
                </c:pt>
                <c:pt idx="10">
                  <c:v>10/14/2016</c:v>
                </c:pt>
                <c:pt idx="11">
                  <c:v>10/15/2016</c:v>
                </c:pt>
                <c:pt idx="12">
                  <c:v>10/16/2016</c:v>
                </c:pt>
                <c:pt idx="13">
                  <c:v>10/17/2016</c:v>
                </c:pt>
                <c:pt idx="14">
                  <c:v>10/18/2016</c:v>
                </c:pt>
                <c:pt idx="15">
                  <c:v>10/19/2016</c:v>
                </c:pt>
                <c:pt idx="16">
                  <c:v>10/20/2016</c:v>
                </c:pt>
                <c:pt idx="17">
                  <c:v>10/21/2016</c:v>
                </c:pt>
                <c:pt idx="18">
                  <c:v>10/25/2016</c:v>
                </c:pt>
                <c:pt idx="19">
                  <c:v>10/26/2016</c:v>
                </c:pt>
                <c:pt idx="20">
                  <c:v>10/27/2016</c:v>
                </c:pt>
                <c:pt idx="21">
                  <c:v>10/28/2016</c:v>
                </c:pt>
                <c:pt idx="22">
                  <c:v>10/29/2016</c:v>
                </c:pt>
                <c:pt idx="23">
                  <c:v>10/30/2016</c:v>
                </c:pt>
                <c:pt idx="24">
                  <c:v>10/31/2016</c:v>
                </c:pt>
                <c:pt idx="25">
                  <c:v>11/1/2016</c:v>
                </c:pt>
                <c:pt idx="26">
                  <c:v>11/2/2016</c:v>
                </c:pt>
                <c:pt idx="27">
                  <c:v>(blank)</c:v>
                </c:pt>
              </c:strCache>
            </c:strRef>
          </c:cat>
          <c:val>
            <c:numRef>
              <c:f>'Timing Table'!$AX$10:$AX$38</c:f>
              <c:numCache>
                <c:formatCode>General</c:formatCode>
                <c:ptCount val="28"/>
                <c:pt idx="12">
                  <c:v>1</c:v>
                </c:pt>
              </c:numCache>
            </c:numRef>
          </c:val>
        </c:ser>
        <c:ser>
          <c:idx val="13"/>
          <c:order val="13"/>
          <c:tx>
            <c:strRef>
              <c:f>'Timing Table'!$BB$4:$BB$9</c:f>
              <c:strCache>
                <c:ptCount val="1"/>
                <c:pt idx="0">
                  <c:v>ERROR - 3004 - Others - Materials - Frequent</c:v>
                </c:pt>
              </c:strCache>
            </c:strRef>
          </c:tx>
          <c:invertIfNegative val="0"/>
          <c:cat>
            <c:strRef>
              <c:f>'Timing Table'!$A$10:$A$38</c:f>
              <c:strCache>
                <c:ptCount val="28"/>
                <c:pt idx="0">
                  <c:v>10/3/2016</c:v>
                </c:pt>
                <c:pt idx="1">
                  <c:v>10/4/2016</c:v>
                </c:pt>
                <c:pt idx="2">
                  <c:v>10/5/2016</c:v>
                </c:pt>
                <c:pt idx="3">
                  <c:v>10/6/2016</c:v>
                </c:pt>
                <c:pt idx="4">
                  <c:v>10/7/2016</c:v>
                </c:pt>
                <c:pt idx="5">
                  <c:v>10/8/2016</c:v>
                </c:pt>
                <c:pt idx="6">
                  <c:v>10/10/2016</c:v>
                </c:pt>
                <c:pt idx="7">
                  <c:v>10/11/2016</c:v>
                </c:pt>
                <c:pt idx="8">
                  <c:v>10/12/2016</c:v>
                </c:pt>
                <c:pt idx="9">
                  <c:v>10/13/2016</c:v>
                </c:pt>
                <c:pt idx="10">
                  <c:v>10/14/2016</c:v>
                </c:pt>
                <c:pt idx="11">
                  <c:v>10/15/2016</c:v>
                </c:pt>
                <c:pt idx="12">
                  <c:v>10/16/2016</c:v>
                </c:pt>
                <c:pt idx="13">
                  <c:v>10/17/2016</c:v>
                </c:pt>
                <c:pt idx="14">
                  <c:v>10/18/2016</c:v>
                </c:pt>
                <c:pt idx="15">
                  <c:v>10/19/2016</c:v>
                </c:pt>
                <c:pt idx="16">
                  <c:v>10/20/2016</c:v>
                </c:pt>
                <c:pt idx="17">
                  <c:v>10/21/2016</c:v>
                </c:pt>
                <c:pt idx="18">
                  <c:v>10/25/2016</c:v>
                </c:pt>
                <c:pt idx="19">
                  <c:v>10/26/2016</c:v>
                </c:pt>
                <c:pt idx="20">
                  <c:v>10/27/2016</c:v>
                </c:pt>
                <c:pt idx="21">
                  <c:v>10/28/2016</c:v>
                </c:pt>
                <c:pt idx="22">
                  <c:v>10/29/2016</c:v>
                </c:pt>
                <c:pt idx="23">
                  <c:v>10/30/2016</c:v>
                </c:pt>
                <c:pt idx="24">
                  <c:v>10/31/2016</c:v>
                </c:pt>
                <c:pt idx="25">
                  <c:v>11/1/2016</c:v>
                </c:pt>
                <c:pt idx="26">
                  <c:v>11/2/2016</c:v>
                </c:pt>
                <c:pt idx="27">
                  <c:v>(blank)</c:v>
                </c:pt>
              </c:strCache>
            </c:strRef>
          </c:cat>
          <c:val>
            <c:numRef>
              <c:f>'Timing Table'!$BB$10:$BB$38</c:f>
              <c:numCache>
                <c:formatCode>General</c:formatCode>
                <c:ptCount val="28"/>
                <c:pt idx="2">
                  <c:v>3</c:v>
                </c:pt>
                <c:pt idx="3">
                  <c:v>16</c:v>
                </c:pt>
                <c:pt idx="4">
                  <c:v>4</c:v>
                </c:pt>
                <c:pt idx="7">
                  <c:v>6</c:v>
                </c:pt>
                <c:pt idx="8">
                  <c:v>1</c:v>
                </c:pt>
                <c:pt idx="15">
                  <c:v>12</c:v>
                </c:pt>
                <c:pt idx="16">
                  <c:v>3</c:v>
                </c:pt>
                <c:pt idx="19">
                  <c:v>10</c:v>
                </c:pt>
                <c:pt idx="20">
                  <c:v>1</c:v>
                </c:pt>
                <c:pt idx="25">
                  <c:v>2</c:v>
                </c:pt>
              </c:numCache>
            </c:numRef>
          </c:val>
        </c:ser>
        <c:ser>
          <c:idx val="14"/>
          <c:order val="14"/>
          <c:tx>
            <c:strRef>
              <c:f>'Timing Table'!$BF$4:$BF$9</c:f>
              <c:strCache>
                <c:ptCount val="1"/>
                <c:pt idx="0">
                  <c:v>ERROR - 3007 - Others - Materials - Frequent</c:v>
                </c:pt>
              </c:strCache>
            </c:strRef>
          </c:tx>
          <c:invertIfNegative val="0"/>
          <c:cat>
            <c:strRef>
              <c:f>'Timing Table'!$A$10:$A$38</c:f>
              <c:strCache>
                <c:ptCount val="28"/>
                <c:pt idx="0">
                  <c:v>10/3/2016</c:v>
                </c:pt>
                <c:pt idx="1">
                  <c:v>10/4/2016</c:v>
                </c:pt>
                <c:pt idx="2">
                  <c:v>10/5/2016</c:v>
                </c:pt>
                <c:pt idx="3">
                  <c:v>10/6/2016</c:v>
                </c:pt>
                <c:pt idx="4">
                  <c:v>10/7/2016</c:v>
                </c:pt>
                <c:pt idx="5">
                  <c:v>10/8/2016</c:v>
                </c:pt>
                <c:pt idx="6">
                  <c:v>10/10/2016</c:v>
                </c:pt>
                <c:pt idx="7">
                  <c:v>10/11/2016</c:v>
                </c:pt>
                <c:pt idx="8">
                  <c:v>10/12/2016</c:v>
                </c:pt>
                <c:pt idx="9">
                  <c:v>10/13/2016</c:v>
                </c:pt>
                <c:pt idx="10">
                  <c:v>10/14/2016</c:v>
                </c:pt>
                <c:pt idx="11">
                  <c:v>10/15/2016</c:v>
                </c:pt>
                <c:pt idx="12">
                  <c:v>10/16/2016</c:v>
                </c:pt>
                <c:pt idx="13">
                  <c:v>10/17/2016</c:v>
                </c:pt>
                <c:pt idx="14">
                  <c:v>10/18/2016</c:v>
                </c:pt>
                <c:pt idx="15">
                  <c:v>10/19/2016</c:v>
                </c:pt>
                <c:pt idx="16">
                  <c:v>10/20/2016</c:v>
                </c:pt>
                <c:pt idx="17">
                  <c:v>10/21/2016</c:v>
                </c:pt>
                <c:pt idx="18">
                  <c:v>10/25/2016</c:v>
                </c:pt>
                <c:pt idx="19">
                  <c:v>10/26/2016</c:v>
                </c:pt>
                <c:pt idx="20">
                  <c:v>10/27/2016</c:v>
                </c:pt>
                <c:pt idx="21">
                  <c:v>10/28/2016</c:v>
                </c:pt>
                <c:pt idx="22">
                  <c:v>10/29/2016</c:v>
                </c:pt>
                <c:pt idx="23">
                  <c:v>10/30/2016</c:v>
                </c:pt>
                <c:pt idx="24">
                  <c:v>10/31/2016</c:v>
                </c:pt>
                <c:pt idx="25">
                  <c:v>11/1/2016</c:v>
                </c:pt>
                <c:pt idx="26">
                  <c:v>11/2/2016</c:v>
                </c:pt>
                <c:pt idx="27">
                  <c:v>(blank)</c:v>
                </c:pt>
              </c:strCache>
            </c:strRef>
          </c:cat>
          <c:val>
            <c:numRef>
              <c:f>'Timing Table'!$BF$10:$BF$38</c:f>
              <c:numCache>
                <c:formatCode>General</c:formatCode>
                <c:ptCount val="28"/>
                <c:pt idx="25">
                  <c:v>2</c:v>
                </c:pt>
              </c:numCache>
            </c:numRef>
          </c:val>
        </c:ser>
        <c:ser>
          <c:idx val="15"/>
          <c:order val="15"/>
          <c:tx>
            <c:strRef>
              <c:f>'Timing Table'!$BJ$4:$BJ$9</c:f>
              <c:strCache>
                <c:ptCount val="1"/>
                <c:pt idx="0">
                  <c:v>ERROR - 3010 - Others - Materials - Frequent</c:v>
                </c:pt>
              </c:strCache>
            </c:strRef>
          </c:tx>
          <c:invertIfNegative val="0"/>
          <c:cat>
            <c:strRef>
              <c:f>'Timing Table'!$A$10:$A$38</c:f>
              <c:strCache>
                <c:ptCount val="28"/>
                <c:pt idx="0">
                  <c:v>10/3/2016</c:v>
                </c:pt>
                <c:pt idx="1">
                  <c:v>10/4/2016</c:v>
                </c:pt>
                <c:pt idx="2">
                  <c:v>10/5/2016</c:v>
                </c:pt>
                <c:pt idx="3">
                  <c:v>10/6/2016</c:v>
                </c:pt>
                <c:pt idx="4">
                  <c:v>10/7/2016</c:v>
                </c:pt>
                <c:pt idx="5">
                  <c:v>10/8/2016</c:v>
                </c:pt>
                <c:pt idx="6">
                  <c:v>10/10/2016</c:v>
                </c:pt>
                <c:pt idx="7">
                  <c:v>10/11/2016</c:v>
                </c:pt>
                <c:pt idx="8">
                  <c:v>10/12/2016</c:v>
                </c:pt>
                <c:pt idx="9">
                  <c:v>10/13/2016</c:v>
                </c:pt>
                <c:pt idx="10">
                  <c:v>10/14/2016</c:v>
                </c:pt>
                <c:pt idx="11">
                  <c:v>10/15/2016</c:v>
                </c:pt>
                <c:pt idx="12">
                  <c:v>10/16/2016</c:v>
                </c:pt>
                <c:pt idx="13">
                  <c:v>10/17/2016</c:v>
                </c:pt>
                <c:pt idx="14">
                  <c:v>10/18/2016</c:v>
                </c:pt>
                <c:pt idx="15">
                  <c:v>10/19/2016</c:v>
                </c:pt>
                <c:pt idx="16">
                  <c:v>10/20/2016</c:v>
                </c:pt>
                <c:pt idx="17">
                  <c:v>10/21/2016</c:v>
                </c:pt>
                <c:pt idx="18">
                  <c:v>10/25/2016</c:v>
                </c:pt>
                <c:pt idx="19">
                  <c:v>10/26/2016</c:v>
                </c:pt>
                <c:pt idx="20">
                  <c:v>10/27/2016</c:v>
                </c:pt>
                <c:pt idx="21">
                  <c:v>10/28/2016</c:v>
                </c:pt>
                <c:pt idx="22">
                  <c:v>10/29/2016</c:v>
                </c:pt>
                <c:pt idx="23">
                  <c:v>10/30/2016</c:v>
                </c:pt>
                <c:pt idx="24">
                  <c:v>10/31/2016</c:v>
                </c:pt>
                <c:pt idx="25">
                  <c:v>11/1/2016</c:v>
                </c:pt>
                <c:pt idx="26">
                  <c:v>11/2/2016</c:v>
                </c:pt>
                <c:pt idx="27">
                  <c:v>(blank)</c:v>
                </c:pt>
              </c:strCache>
            </c:strRef>
          </c:cat>
          <c:val>
            <c:numRef>
              <c:f>'Timing Table'!$BJ$10:$BJ$38</c:f>
              <c:numCache>
                <c:formatCode>General</c:formatCode>
                <c:ptCount val="28"/>
                <c:pt idx="2">
                  <c:v>2</c:v>
                </c:pt>
                <c:pt idx="7">
                  <c:v>2</c:v>
                </c:pt>
                <c:pt idx="25">
                  <c:v>7</c:v>
                </c:pt>
              </c:numCache>
            </c:numRef>
          </c:val>
        </c:ser>
        <c:ser>
          <c:idx val="16"/>
          <c:order val="16"/>
          <c:tx>
            <c:strRef>
              <c:f>'Timing Table'!$BN$4:$BN$9</c:f>
              <c:strCache>
                <c:ptCount val="1"/>
                <c:pt idx="0">
                  <c:v>ERROR - 3013 - Others - Materials - Frequent</c:v>
                </c:pt>
              </c:strCache>
            </c:strRef>
          </c:tx>
          <c:invertIfNegative val="0"/>
          <c:cat>
            <c:strRef>
              <c:f>'Timing Table'!$A$10:$A$38</c:f>
              <c:strCache>
                <c:ptCount val="28"/>
                <c:pt idx="0">
                  <c:v>10/3/2016</c:v>
                </c:pt>
                <c:pt idx="1">
                  <c:v>10/4/2016</c:v>
                </c:pt>
                <c:pt idx="2">
                  <c:v>10/5/2016</c:v>
                </c:pt>
                <c:pt idx="3">
                  <c:v>10/6/2016</c:v>
                </c:pt>
                <c:pt idx="4">
                  <c:v>10/7/2016</c:v>
                </c:pt>
                <c:pt idx="5">
                  <c:v>10/8/2016</c:v>
                </c:pt>
                <c:pt idx="6">
                  <c:v>10/10/2016</c:v>
                </c:pt>
                <c:pt idx="7">
                  <c:v>10/11/2016</c:v>
                </c:pt>
                <c:pt idx="8">
                  <c:v>10/12/2016</c:v>
                </c:pt>
                <c:pt idx="9">
                  <c:v>10/13/2016</c:v>
                </c:pt>
                <c:pt idx="10">
                  <c:v>10/14/2016</c:v>
                </c:pt>
                <c:pt idx="11">
                  <c:v>10/15/2016</c:v>
                </c:pt>
                <c:pt idx="12">
                  <c:v>10/16/2016</c:v>
                </c:pt>
                <c:pt idx="13">
                  <c:v>10/17/2016</c:v>
                </c:pt>
                <c:pt idx="14">
                  <c:v>10/18/2016</c:v>
                </c:pt>
                <c:pt idx="15">
                  <c:v>10/19/2016</c:v>
                </c:pt>
                <c:pt idx="16">
                  <c:v>10/20/2016</c:v>
                </c:pt>
                <c:pt idx="17">
                  <c:v>10/21/2016</c:v>
                </c:pt>
                <c:pt idx="18">
                  <c:v>10/25/2016</c:v>
                </c:pt>
                <c:pt idx="19">
                  <c:v>10/26/2016</c:v>
                </c:pt>
                <c:pt idx="20">
                  <c:v>10/27/2016</c:v>
                </c:pt>
                <c:pt idx="21">
                  <c:v>10/28/2016</c:v>
                </c:pt>
                <c:pt idx="22">
                  <c:v>10/29/2016</c:v>
                </c:pt>
                <c:pt idx="23">
                  <c:v>10/30/2016</c:v>
                </c:pt>
                <c:pt idx="24">
                  <c:v>10/31/2016</c:v>
                </c:pt>
                <c:pt idx="25">
                  <c:v>11/1/2016</c:v>
                </c:pt>
                <c:pt idx="26">
                  <c:v>11/2/2016</c:v>
                </c:pt>
                <c:pt idx="27">
                  <c:v>(blank)</c:v>
                </c:pt>
              </c:strCache>
            </c:strRef>
          </c:cat>
          <c:val>
            <c:numRef>
              <c:f>'Timing Table'!$BN$10:$BN$38</c:f>
              <c:numCache>
                <c:formatCode>General</c:formatCode>
                <c:ptCount val="28"/>
                <c:pt idx="15">
                  <c:v>1</c:v>
                </c:pt>
                <c:pt idx="20">
                  <c:v>2</c:v>
                </c:pt>
              </c:numCache>
            </c:numRef>
          </c:val>
        </c:ser>
        <c:ser>
          <c:idx val="17"/>
          <c:order val="17"/>
          <c:tx>
            <c:strRef>
              <c:f>'Timing Table'!$BR$4:$BR$9</c:f>
              <c:strCache>
                <c:ptCount val="1"/>
                <c:pt idx="0">
                  <c:v>ERROR - 3016 - Others - Materials - Frequent</c:v>
                </c:pt>
              </c:strCache>
            </c:strRef>
          </c:tx>
          <c:invertIfNegative val="0"/>
          <c:cat>
            <c:strRef>
              <c:f>'Timing Table'!$A$10:$A$38</c:f>
              <c:strCache>
                <c:ptCount val="28"/>
                <c:pt idx="0">
                  <c:v>10/3/2016</c:v>
                </c:pt>
                <c:pt idx="1">
                  <c:v>10/4/2016</c:v>
                </c:pt>
                <c:pt idx="2">
                  <c:v>10/5/2016</c:v>
                </c:pt>
                <c:pt idx="3">
                  <c:v>10/6/2016</c:v>
                </c:pt>
                <c:pt idx="4">
                  <c:v>10/7/2016</c:v>
                </c:pt>
                <c:pt idx="5">
                  <c:v>10/8/2016</c:v>
                </c:pt>
                <c:pt idx="6">
                  <c:v>10/10/2016</c:v>
                </c:pt>
                <c:pt idx="7">
                  <c:v>10/11/2016</c:v>
                </c:pt>
                <c:pt idx="8">
                  <c:v>10/12/2016</c:v>
                </c:pt>
                <c:pt idx="9">
                  <c:v>10/13/2016</c:v>
                </c:pt>
                <c:pt idx="10">
                  <c:v>10/14/2016</c:v>
                </c:pt>
                <c:pt idx="11">
                  <c:v>10/15/2016</c:v>
                </c:pt>
                <c:pt idx="12">
                  <c:v>10/16/2016</c:v>
                </c:pt>
                <c:pt idx="13">
                  <c:v>10/17/2016</c:v>
                </c:pt>
                <c:pt idx="14">
                  <c:v>10/18/2016</c:v>
                </c:pt>
                <c:pt idx="15">
                  <c:v>10/19/2016</c:v>
                </c:pt>
                <c:pt idx="16">
                  <c:v>10/20/2016</c:v>
                </c:pt>
                <c:pt idx="17">
                  <c:v>10/21/2016</c:v>
                </c:pt>
                <c:pt idx="18">
                  <c:v>10/25/2016</c:v>
                </c:pt>
                <c:pt idx="19">
                  <c:v>10/26/2016</c:v>
                </c:pt>
                <c:pt idx="20">
                  <c:v>10/27/2016</c:v>
                </c:pt>
                <c:pt idx="21">
                  <c:v>10/28/2016</c:v>
                </c:pt>
                <c:pt idx="22">
                  <c:v>10/29/2016</c:v>
                </c:pt>
                <c:pt idx="23">
                  <c:v>10/30/2016</c:v>
                </c:pt>
                <c:pt idx="24">
                  <c:v>10/31/2016</c:v>
                </c:pt>
                <c:pt idx="25">
                  <c:v>11/1/2016</c:v>
                </c:pt>
                <c:pt idx="26">
                  <c:v>11/2/2016</c:v>
                </c:pt>
                <c:pt idx="27">
                  <c:v>(blank)</c:v>
                </c:pt>
              </c:strCache>
            </c:strRef>
          </c:cat>
          <c:val>
            <c:numRef>
              <c:f>'Timing Table'!$BR$10:$BR$38</c:f>
              <c:numCache>
                <c:formatCode>General</c:formatCode>
                <c:ptCount val="28"/>
                <c:pt idx="4">
                  <c:v>1</c:v>
                </c:pt>
              </c:numCache>
            </c:numRef>
          </c:val>
        </c:ser>
        <c:ser>
          <c:idx val="18"/>
          <c:order val="18"/>
          <c:tx>
            <c:strRef>
              <c:f>'Timing Table'!$BV$4:$BV$9</c:f>
              <c:strCache>
                <c:ptCount val="1"/>
                <c:pt idx="0">
                  <c:v>ERROR - 3042 - Others - Host - Frequent</c:v>
                </c:pt>
              </c:strCache>
            </c:strRef>
          </c:tx>
          <c:invertIfNegative val="0"/>
          <c:cat>
            <c:strRef>
              <c:f>'Timing Table'!$A$10:$A$38</c:f>
              <c:strCache>
                <c:ptCount val="28"/>
                <c:pt idx="0">
                  <c:v>10/3/2016</c:v>
                </c:pt>
                <c:pt idx="1">
                  <c:v>10/4/2016</c:v>
                </c:pt>
                <c:pt idx="2">
                  <c:v>10/5/2016</c:v>
                </c:pt>
                <c:pt idx="3">
                  <c:v>10/6/2016</c:v>
                </c:pt>
                <c:pt idx="4">
                  <c:v>10/7/2016</c:v>
                </c:pt>
                <c:pt idx="5">
                  <c:v>10/8/2016</c:v>
                </c:pt>
                <c:pt idx="6">
                  <c:v>10/10/2016</c:v>
                </c:pt>
                <c:pt idx="7">
                  <c:v>10/11/2016</c:v>
                </c:pt>
                <c:pt idx="8">
                  <c:v>10/12/2016</c:v>
                </c:pt>
                <c:pt idx="9">
                  <c:v>10/13/2016</c:v>
                </c:pt>
                <c:pt idx="10">
                  <c:v>10/14/2016</c:v>
                </c:pt>
                <c:pt idx="11">
                  <c:v>10/15/2016</c:v>
                </c:pt>
                <c:pt idx="12">
                  <c:v>10/16/2016</c:v>
                </c:pt>
                <c:pt idx="13">
                  <c:v>10/17/2016</c:v>
                </c:pt>
                <c:pt idx="14">
                  <c:v>10/18/2016</c:v>
                </c:pt>
                <c:pt idx="15">
                  <c:v>10/19/2016</c:v>
                </c:pt>
                <c:pt idx="16">
                  <c:v>10/20/2016</c:v>
                </c:pt>
                <c:pt idx="17">
                  <c:v>10/21/2016</c:v>
                </c:pt>
                <c:pt idx="18">
                  <c:v>10/25/2016</c:v>
                </c:pt>
                <c:pt idx="19">
                  <c:v>10/26/2016</c:v>
                </c:pt>
                <c:pt idx="20">
                  <c:v>10/27/2016</c:v>
                </c:pt>
                <c:pt idx="21">
                  <c:v>10/28/2016</c:v>
                </c:pt>
                <c:pt idx="22">
                  <c:v>10/29/2016</c:v>
                </c:pt>
                <c:pt idx="23">
                  <c:v>10/30/2016</c:v>
                </c:pt>
                <c:pt idx="24">
                  <c:v>10/31/2016</c:v>
                </c:pt>
                <c:pt idx="25">
                  <c:v>11/1/2016</c:v>
                </c:pt>
                <c:pt idx="26">
                  <c:v>11/2/2016</c:v>
                </c:pt>
                <c:pt idx="27">
                  <c:v>(blank)</c:v>
                </c:pt>
              </c:strCache>
            </c:strRef>
          </c:cat>
          <c:val>
            <c:numRef>
              <c:f>'Timing Table'!$BV$10:$BV$38</c:f>
              <c:numCache>
                <c:formatCode>General</c:formatCode>
                <c:ptCount val="28"/>
                <c:pt idx="1">
                  <c:v>3</c:v>
                </c:pt>
                <c:pt idx="2">
                  <c:v>1</c:v>
                </c:pt>
                <c:pt idx="7">
                  <c:v>1</c:v>
                </c:pt>
                <c:pt idx="15">
                  <c:v>3</c:v>
                </c:pt>
                <c:pt idx="16">
                  <c:v>5</c:v>
                </c:pt>
                <c:pt idx="19">
                  <c:v>2</c:v>
                </c:pt>
                <c:pt idx="25">
                  <c:v>4</c:v>
                </c:pt>
                <c:pt idx="26">
                  <c:v>4</c:v>
                </c:pt>
              </c:numCache>
            </c:numRef>
          </c:val>
        </c:ser>
        <c:ser>
          <c:idx val="19"/>
          <c:order val="19"/>
          <c:tx>
            <c:strRef>
              <c:f>'Timing Table'!$BZ$4:$BZ$9</c:f>
              <c:strCache>
                <c:ptCount val="1"/>
                <c:pt idx="0">
                  <c:v>ERROR - 3084 - Others - Materials - Frequent</c:v>
                </c:pt>
              </c:strCache>
            </c:strRef>
          </c:tx>
          <c:invertIfNegative val="0"/>
          <c:cat>
            <c:strRef>
              <c:f>'Timing Table'!$A$10:$A$38</c:f>
              <c:strCache>
                <c:ptCount val="28"/>
                <c:pt idx="0">
                  <c:v>10/3/2016</c:v>
                </c:pt>
                <c:pt idx="1">
                  <c:v>10/4/2016</c:v>
                </c:pt>
                <c:pt idx="2">
                  <c:v>10/5/2016</c:v>
                </c:pt>
                <c:pt idx="3">
                  <c:v>10/6/2016</c:v>
                </c:pt>
                <c:pt idx="4">
                  <c:v>10/7/2016</c:v>
                </c:pt>
                <c:pt idx="5">
                  <c:v>10/8/2016</c:v>
                </c:pt>
                <c:pt idx="6">
                  <c:v>10/10/2016</c:v>
                </c:pt>
                <c:pt idx="7">
                  <c:v>10/11/2016</c:v>
                </c:pt>
                <c:pt idx="8">
                  <c:v>10/12/2016</c:v>
                </c:pt>
                <c:pt idx="9">
                  <c:v>10/13/2016</c:v>
                </c:pt>
                <c:pt idx="10">
                  <c:v>10/14/2016</c:v>
                </c:pt>
                <c:pt idx="11">
                  <c:v>10/15/2016</c:v>
                </c:pt>
                <c:pt idx="12">
                  <c:v>10/16/2016</c:v>
                </c:pt>
                <c:pt idx="13">
                  <c:v>10/17/2016</c:v>
                </c:pt>
                <c:pt idx="14">
                  <c:v>10/18/2016</c:v>
                </c:pt>
                <c:pt idx="15">
                  <c:v>10/19/2016</c:v>
                </c:pt>
                <c:pt idx="16">
                  <c:v>10/20/2016</c:v>
                </c:pt>
                <c:pt idx="17">
                  <c:v>10/21/2016</c:v>
                </c:pt>
                <c:pt idx="18">
                  <c:v>10/25/2016</c:v>
                </c:pt>
                <c:pt idx="19">
                  <c:v>10/26/2016</c:v>
                </c:pt>
                <c:pt idx="20">
                  <c:v>10/27/2016</c:v>
                </c:pt>
                <c:pt idx="21">
                  <c:v>10/28/2016</c:v>
                </c:pt>
                <c:pt idx="22">
                  <c:v>10/29/2016</c:v>
                </c:pt>
                <c:pt idx="23">
                  <c:v>10/30/2016</c:v>
                </c:pt>
                <c:pt idx="24">
                  <c:v>10/31/2016</c:v>
                </c:pt>
                <c:pt idx="25">
                  <c:v>11/1/2016</c:v>
                </c:pt>
                <c:pt idx="26">
                  <c:v>11/2/2016</c:v>
                </c:pt>
                <c:pt idx="27">
                  <c:v>(blank)</c:v>
                </c:pt>
              </c:strCache>
            </c:strRef>
          </c:cat>
          <c:val>
            <c:numRef>
              <c:f>'Timing Table'!$BZ$10:$BZ$38</c:f>
              <c:numCache>
                <c:formatCode>General</c:formatCode>
                <c:ptCount val="28"/>
                <c:pt idx="5">
                  <c:v>4</c:v>
                </c:pt>
                <c:pt idx="6">
                  <c:v>1</c:v>
                </c:pt>
              </c:numCache>
            </c:numRef>
          </c:val>
        </c:ser>
        <c:ser>
          <c:idx val="20"/>
          <c:order val="20"/>
          <c:tx>
            <c:strRef>
              <c:f>'Timing Table'!$CD$4:$CD$9</c:f>
              <c:strCache>
                <c:ptCount val="1"/>
                <c:pt idx="0">
                  <c:v>ERROR - 3088 - Others - Materials - Frequent</c:v>
                </c:pt>
              </c:strCache>
            </c:strRef>
          </c:tx>
          <c:invertIfNegative val="0"/>
          <c:cat>
            <c:strRef>
              <c:f>'Timing Table'!$A$10:$A$38</c:f>
              <c:strCache>
                <c:ptCount val="28"/>
                <c:pt idx="0">
                  <c:v>10/3/2016</c:v>
                </c:pt>
                <c:pt idx="1">
                  <c:v>10/4/2016</c:v>
                </c:pt>
                <c:pt idx="2">
                  <c:v>10/5/2016</c:v>
                </c:pt>
                <c:pt idx="3">
                  <c:v>10/6/2016</c:v>
                </c:pt>
                <c:pt idx="4">
                  <c:v>10/7/2016</c:v>
                </c:pt>
                <c:pt idx="5">
                  <c:v>10/8/2016</c:v>
                </c:pt>
                <c:pt idx="6">
                  <c:v>10/10/2016</c:v>
                </c:pt>
                <c:pt idx="7">
                  <c:v>10/11/2016</c:v>
                </c:pt>
                <c:pt idx="8">
                  <c:v>10/12/2016</c:v>
                </c:pt>
                <c:pt idx="9">
                  <c:v>10/13/2016</c:v>
                </c:pt>
                <c:pt idx="10">
                  <c:v>10/14/2016</c:v>
                </c:pt>
                <c:pt idx="11">
                  <c:v>10/15/2016</c:v>
                </c:pt>
                <c:pt idx="12">
                  <c:v>10/16/2016</c:v>
                </c:pt>
                <c:pt idx="13">
                  <c:v>10/17/2016</c:v>
                </c:pt>
                <c:pt idx="14">
                  <c:v>10/18/2016</c:v>
                </c:pt>
                <c:pt idx="15">
                  <c:v>10/19/2016</c:v>
                </c:pt>
                <c:pt idx="16">
                  <c:v>10/20/2016</c:v>
                </c:pt>
                <c:pt idx="17">
                  <c:v>10/21/2016</c:v>
                </c:pt>
                <c:pt idx="18">
                  <c:v>10/25/2016</c:v>
                </c:pt>
                <c:pt idx="19">
                  <c:v>10/26/2016</c:v>
                </c:pt>
                <c:pt idx="20">
                  <c:v>10/27/2016</c:v>
                </c:pt>
                <c:pt idx="21">
                  <c:v>10/28/2016</c:v>
                </c:pt>
                <c:pt idx="22">
                  <c:v>10/29/2016</c:v>
                </c:pt>
                <c:pt idx="23">
                  <c:v>10/30/2016</c:v>
                </c:pt>
                <c:pt idx="24">
                  <c:v>10/31/2016</c:v>
                </c:pt>
                <c:pt idx="25">
                  <c:v>11/1/2016</c:v>
                </c:pt>
                <c:pt idx="26">
                  <c:v>11/2/2016</c:v>
                </c:pt>
                <c:pt idx="27">
                  <c:v>(blank)</c:v>
                </c:pt>
              </c:strCache>
            </c:strRef>
          </c:cat>
          <c:val>
            <c:numRef>
              <c:f>'Timing Table'!$CD$10:$CD$38</c:f>
              <c:numCache>
                <c:formatCode>General</c:formatCode>
                <c:ptCount val="28"/>
                <c:pt idx="2">
                  <c:v>1</c:v>
                </c:pt>
                <c:pt idx="4">
                  <c:v>4</c:v>
                </c:pt>
                <c:pt idx="8">
                  <c:v>1</c:v>
                </c:pt>
                <c:pt idx="21">
                  <c:v>4</c:v>
                </c:pt>
                <c:pt idx="25">
                  <c:v>2</c:v>
                </c:pt>
                <c:pt idx="26">
                  <c:v>1</c:v>
                </c:pt>
              </c:numCache>
            </c:numRef>
          </c:val>
        </c:ser>
        <c:ser>
          <c:idx val="21"/>
          <c:order val="21"/>
          <c:tx>
            <c:strRef>
              <c:f>'Timing Table'!$CH$4:$CH$9</c:f>
              <c:strCache>
                <c:ptCount val="1"/>
                <c:pt idx="0">
                  <c:v>ERROR - 3090 - Others - Materials - Frequent</c:v>
                </c:pt>
              </c:strCache>
            </c:strRef>
          </c:tx>
          <c:invertIfNegative val="0"/>
          <c:cat>
            <c:strRef>
              <c:f>'Timing Table'!$A$10:$A$38</c:f>
              <c:strCache>
                <c:ptCount val="28"/>
                <c:pt idx="0">
                  <c:v>10/3/2016</c:v>
                </c:pt>
                <c:pt idx="1">
                  <c:v>10/4/2016</c:v>
                </c:pt>
                <c:pt idx="2">
                  <c:v>10/5/2016</c:v>
                </c:pt>
                <c:pt idx="3">
                  <c:v>10/6/2016</c:v>
                </c:pt>
                <c:pt idx="4">
                  <c:v>10/7/2016</c:v>
                </c:pt>
                <c:pt idx="5">
                  <c:v>10/8/2016</c:v>
                </c:pt>
                <c:pt idx="6">
                  <c:v>10/10/2016</c:v>
                </c:pt>
                <c:pt idx="7">
                  <c:v>10/11/2016</c:v>
                </c:pt>
                <c:pt idx="8">
                  <c:v>10/12/2016</c:v>
                </c:pt>
                <c:pt idx="9">
                  <c:v>10/13/2016</c:v>
                </c:pt>
                <c:pt idx="10">
                  <c:v>10/14/2016</c:v>
                </c:pt>
                <c:pt idx="11">
                  <c:v>10/15/2016</c:v>
                </c:pt>
                <c:pt idx="12">
                  <c:v>10/16/2016</c:v>
                </c:pt>
                <c:pt idx="13">
                  <c:v>10/17/2016</c:v>
                </c:pt>
                <c:pt idx="14">
                  <c:v>10/18/2016</c:v>
                </c:pt>
                <c:pt idx="15">
                  <c:v>10/19/2016</c:v>
                </c:pt>
                <c:pt idx="16">
                  <c:v>10/20/2016</c:v>
                </c:pt>
                <c:pt idx="17">
                  <c:v>10/21/2016</c:v>
                </c:pt>
                <c:pt idx="18">
                  <c:v>10/25/2016</c:v>
                </c:pt>
                <c:pt idx="19">
                  <c:v>10/26/2016</c:v>
                </c:pt>
                <c:pt idx="20">
                  <c:v>10/27/2016</c:v>
                </c:pt>
                <c:pt idx="21">
                  <c:v>10/28/2016</c:v>
                </c:pt>
                <c:pt idx="22">
                  <c:v>10/29/2016</c:v>
                </c:pt>
                <c:pt idx="23">
                  <c:v>10/30/2016</c:v>
                </c:pt>
                <c:pt idx="24">
                  <c:v>10/31/2016</c:v>
                </c:pt>
                <c:pt idx="25">
                  <c:v>11/1/2016</c:v>
                </c:pt>
                <c:pt idx="26">
                  <c:v>11/2/2016</c:v>
                </c:pt>
                <c:pt idx="27">
                  <c:v>(blank)</c:v>
                </c:pt>
              </c:strCache>
            </c:strRef>
          </c:cat>
          <c:val>
            <c:numRef>
              <c:f>'Timing Table'!$CH$10:$CH$38</c:f>
              <c:numCache>
                <c:formatCode>General</c:formatCode>
                <c:ptCount val="28"/>
                <c:pt idx="16">
                  <c:v>1</c:v>
                </c:pt>
              </c:numCache>
            </c:numRef>
          </c:val>
        </c:ser>
        <c:ser>
          <c:idx val="22"/>
          <c:order val="22"/>
          <c:tx>
            <c:strRef>
              <c:f>'Timing Table'!$CL$4:$CL$9</c:f>
              <c:strCache>
                <c:ptCount val="1"/>
                <c:pt idx="0">
                  <c:v>ERROR - 3218 - (blank) - (blank) - (blank)</c:v>
                </c:pt>
              </c:strCache>
            </c:strRef>
          </c:tx>
          <c:invertIfNegative val="0"/>
          <c:cat>
            <c:strRef>
              <c:f>'Timing Table'!$A$10:$A$38</c:f>
              <c:strCache>
                <c:ptCount val="28"/>
                <c:pt idx="0">
                  <c:v>10/3/2016</c:v>
                </c:pt>
                <c:pt idx="1">
                  <c:v>10/4/2016</c:v>
                </c:pt>
                <c:pt idx="2">
                  <c:v>10/5/2016</c:v>
                </c:pt>
                <c:pt idx="3">
                  <c:v>10/6/2016</c:v>
                </c:pt>
                <c:pt idx="4">
                  <c:v>10/7/2016</c:v>
                </c:pt>
                <c:pt idx="5">
                  <c:v>10/8/2016</c:v>
                </c:pt>
                <c:pt idx="6">
                  <c:v>10/10/2016</c:v>
                </c:pt>
                <c:pt idx="7">
                  <c:v>10/11/2016</c:v>
                </c:pt>
                <c:pt idx="8">
                  <c:v>10/12/2016</c:v>
                </c:pt>
                <c:pt idx="9">
                  <c:v>10/13/2016</c:v>
                </c:pt>
                <c:pt idx="10">
                  <c:v>10/14/2016</c:v>
                </c:pt>
                <c:pt idx="11">
                  <c:v>10/15/2016</c:v>
                </c:pt>
                <c:pt idx="12">
                  <c:v>10/16/2016</c:v>
                </c:pt>
                <c:pt idx="13">
                  <c:v>10/17/2016</c:v>
                </c:pt>
                <c:pt idx="14">
                  <c:v>10/18/2016</c:v>
                </c:pt>
                <c:pt idx="15">
                  <c:v>10/19/2016</c:v>
                </c:pt>
                <c:pt idx="16">
                  <c:v>10/20/2016</c:v>
                </c:pt>
                <c:pt idx="17">
                  <c:v>10/21/2016</c:v>
                </c:pt>
                <c:pt idx="18">
                  <c:v>10/25/2016</c:v>
                </c:pt>
                <c:pt idx="19">
                  <c:v>10/26/2016</c:v>
                </c:pt>
                <c:pt idx="20">
                  <c:v>10/27/2016</c:v>
                </c:pt>
                <c:pt idx="21">
                  <c:v>10/28/2016</c:v>
                </c:pt>
                <c:pt idx="22">
                  <c:v>10/29/2016</c:v>
                </c:pt>
                <c:pt idx="23">
                  <c:v>10/30/2016</c:v>
                </c:pt>
                <c:pt idx="24">
                  <c:v>10/31/2016</c:v>
                </c:pt>
                <c:pt idx="25">
                  <c:v>11/1/2016</c:v>
                </c:pt>
                <c:pt idx="26">
                  <c:v>11/2/2016</c:v>
                </c:pt>
                <c:pt idx="27">
                  <c:v>(blank)</c:v>
                </c:pt>
              </c:strCache>
            </c:strRef>
          </c:cat>
          <c:val>
            <c:numRef>
              <c:f>'Timing Table'!$CL$10:$CL$38</c:f>
              <c:numCache>
                <c:formatCode>General</c:formatCode>
                <c:ptCount val="28"/>
                <c:pt idx="1">
                  <c:v>3</c:v>
                </c:pt>
                <c:pt idx="2">
                  <c:v>41</c:v>
                </c:pt>
                <c:pt idx="3">
                  <c:v>35</c:v>
                </c:pt>
                <c:pt idx="4">
                  <c:v>18</c:v>
                </c:pt>
                <c:pt idx="7">
                  <c:v>13</c:v>
                </c:pt>
                <c:pt idx="8">
                  <c:v>27</c:v>
                </c:pt>
                <c:pt idx="9">
                  <c:v>6</c:v>
                </c:pt>
                <c:pt idx="14">
                  <c:v>2</c:v>
                </c:pt>
                <c:pt idx="15">
                  <c:v>1</c:v>
                </c:pt>
                <c:pt idx="16">
                  <c:v>8</c:v>
                </c:pt>
                <c:pt idx="18">
                  <c:v>1</c:v>
                </c:pt>
                <c:pt idx="20">
                  <c:v>25</c:v>
                </c:pt>
                <c:pt idx="21">
                  <c:v>30</c:v>
                </c:pt>
                <c:pt idx="25">
                  <c:v>26</c:v>
                </c:pt>
                <c:pt idx="26">
                  <c:v>17</c:v>
                </c:pt>
              </c:numCache>
            </c:numRef>
          </c:val>
        </c:ser>
        <c:ser>
          <c:idx val="23"/>
          <c:order val="23"/>
          <c:tx>
            <c:strRef>
              <c:f>'Timing Table'!$CP$4:$CP$9</c:f>
              <c:strCache>
                <c:ptCount val="1"/>
                <c:pt idx="0">
                  <c:v>ERROR - 4056 - Fluidics - Waste Liquid Circuit - Frequent</c:v>
                </c:pt>
              </c:strCache>
            </c:strRef>
          </c:tx>
          <c:invertIfNegative val="0"/>
          <c:cat>
            <c:strRef>
              <c:f>'Timing Table'!$A$10:$A$38</c:f>
              <c:strCache>
                <c:ptCount val="28"/>
                <c:pt idx="0">
                  <c:v>10/3/2016</c:v>
                </c:pt>
                <c:pt idx="1">
                  <c:v>10/4/2016</c:v>
                </c:pt>
                <c:pt idx="2">
                  <c:v>10/5/2016</c:v>
                </c:pt>
                <c:pt idx="3">
                  <c:v>10/6/2016</c:v>
                </c:pt>
                <c:pt idx="4">
                  <c:v>10/7/2016</c:v>
                </c:pt>
                <c:pt idx="5">
                  <c:v>10/8/2016</c:v>
                </c:pt>
                <c:pt idx="6">
                  <c:v>10/10/2016</c:v>
                </c:pt>
                <c:pt idx="7">
                  <c:v>10/11/2016</c:v>
                </c:pt>
                <c:pt idx="8">
                  <c:v>10/12/2016</c:v>
                </c:pt>
                <c:pt idx="9">
                  <c:v>10/13/2016</c:v>
                </c:pt>
                <c:pt idx="10">
                  <c:v>10/14/2016</c:v>
                </c:pt>
                <c:pt idx="11">
                  <c:v>10/15/2016</c:v>
                </c:pt>
                <c:pt idx="12">
                  <c:v>10/16/2016</c:v>
                </c:pt>
                <c:pt idx="13">
                  <c:v>10/17/2016</c:v>
                </c:pt>
                <c:pt idx="14">
                  <c:v>10/18/2016</c:v>
                </c:pt>
                <c:pt idx="15">
                  <c:v>10/19/2016</c:v>
                </c:pt>
                <c:pt idx="16">
                  <c:v>10/20/2016</c:v>
                </c:pt>
                <c:pt idx="17">
                  <c:v>10/21/2016</c:v>
                </c:pt>
                <c:pt idx="18">
                  <c:v>10/25/2016</c:v>
                </c:pt>
                <c:pt idx="19">
                  <c:v>10/26/2016</c:v>
                </c:pt>
                <c:pt idx="20">
                  <c:v>10/27/2016</c:v>
                </c:pt>
                <c:pt idx="21">
                  <c:v>10/28/2016</c:v>
                </c:pt>
                <c:pt idx="22">
                  <c:v>10/29/2016</c:v>
                </c:pt>
                <c:pt idx="23">
                  <c:v>10/30/2016</c:v>
                </c:pt>
                <c:pt idx="24">
                  <c:v>10/31/2016</c:v>
                </c:pt>
                <c:pt idx="25">
                  <c:v>11/1/2016</c:v>
                </c:pt>
                <c:pt idx="26">
                  <c:v>11/2/2016</c:v>
                </c:pt>
                <c:pt idx="27">
                  <c:v>(blank)</c:v>
                </c:pt>
              </c:strCache>
            </c:strRef>
          </c:cat>
          <c:val>
            <c:numRef>
              <c:f>'Timing Table'!$CP$10:$CP$38</c:f>
              <c:numCache>
                <c:formatCode>General</c:formatCode>
                <c:ptCount val="28"/>
                <c:pt idx="7">
                  <c:v>1</c:v>
                </c:pt>
                <c:pt idx="19">
                  <c:v>1</c:v>
                </c:pt>
                <c:pt idx="26">
                  <c:v>1</c:v>
                </c:pt>
              </c:numCache>
            </c:numRef>
          </c:val>
        </c:ser>
        <c:ser>
          <c:idx val="24"/>
          <c:order val="24"/>
          <c:tx>
            <c:strRef>
              <c:f>'Timing Table'!$CT$4:$CT$9</c:f>
              <c:strCache>
                <c:ptCount val="1"/>
                <c:pt idx="0">
                  <c:v>ERROR - 4059 - Others - Track Communication - Frequent</c:v>
                </c:pt>
              </c:strCache>
            </c:strRef>
          </c:tx>
          <c:invertIfNegative val="0"/>
          <c:cat>
            <c:strRef>
              <c:f>'Timing Table'!$A$10:$A$38</c:f>
              <c:strCache>
                <c:ptCount val="28"/>
                <c:pt idx="0">
                  <c:v>10/3/2016</c:v>
                </c:pt>
                <c:pt idx="1">
                  <c:v>10/4/2016</c:v>
                </c:pt>
                <c:pt idx="2">
                  <c:v>10/5/2016</c:v>
                </c:pt>
                <c:pt idx="3">
                  <c:v>10/6/2016</c:v>
                </c:pt>
                <c:pt idx="4">
                  <c:v>10/7/2016</c:v>
                </c:pt>
                <c:pt idx="5">
                  <c:v>10/8/2016</c:v>
                </c:pt>
                <c:pt idx="6">
                  <c:v>10/10/2016</c:v>
                </c:pt>
                <c:pt idx="7">
                  <c:v>10/11/2016</c:v>
                </c:pt>
                <c:pt idx="8">
                  <c:v>10/12/2016</c:v>
                </c:pt>
                <c:pt idx="9">
                  <c:v>10/13/2016</c:v>
                </c:pt>
                <c:pt idx="10">
                  <c:v>10/14/2016</c:v>
                </c:pt>
                <c:pt idx="11">
                  <c:v>10/15/2016</c:v>
                </c:pt>
                <c:pt idx="12">
                  <c:v>10/16/2016</c:v>
                </c:pt>
                <c:pt idx="13">
                  <c:v>10/17/2016</c:v>
                </c:pt>
                <c:pt idx="14">
                  <c:v>10/18/2016</c:v>
                </c:pt>
                <c:pt idx="15">
                  <c:v>10/19/2016</c:v>
                </c:pt>
                <c:pt idx="16">
                  <c:v>10/20/2016</c:v>
                </c:pt>
                <c:pt idx="17">
                  <c:v>10/21/2016</c:v>
                </c:pt>
                <c:pt idx="18">
                  <c:v>10/25/2016</c:v>
                </c:pt>
                <c:pt idx="19">
                  <c:v>10/26/2016</c:v>
                </c:pt>
                <c:pt idx="20">
                  <c:v>10/27/2016</c:v>
                </c:pt>
                <c:pt idx="21">
                  <c:v>10/28/2016</c:v>
                </c:pt>
                <c:pt idx="22">
                  <c:v>10/29/2016</c:v>
                </c:pt>
                <c:pt idx="23">
                  <c:v>10/30/2016</c:v>
                </c:pt>
                <c:pt idx="24">
                  <c:v>10/31/2016</c:v>
                </c:pt>
                <c:pt idx="25">
                  <c:v>11/1/2016</c:v>
                </c:pt>
                <c:pt idx="26">
                  <c:v>11/2/2016</c:v>
                </c:pt>
                <c:pt idx="27">
                  <c:v>(blank)</c:v>
                </c:pt>
              </c:strCache>
            </c:strRef>
          </c:cat>
          <c:val>
            <c:numRef>
              <c:f>'Timing Table'!$CT$10:$CT$38</c:f>
              <c:numCache>
                <c:formatCode>General</c:formatCode>
                <c:ptCount val="28"/>
                <c:pt idx="1">
                  <c:v>1</c:v>
                </c:pt>
                <c:pt idx="4">
                  <c:v>1</c:v>
                </c:pt>
                <c:pt idx="26">
                  <c:v>1</c:v>
                </c:pt>
              </c:numCache>
            </c:numRef>
          </c:val>
        </c:ser>
        <c:ser>
          <c:idx val="25"/>
          <c:order val="25"/>
          <c:tx>
            <c:strRef>
              <c:f>'Timing Table'!$CX$4:$CX$9</c:f>
              <c:strCache>
                <c:ptCount val="1"/>
                <c:pt idx="0">
                  <c:v>ERROR - 4068 - (blank) - (blank) - (blank)</c:v>
                </c:pt>
              </c:strCache>
            </c:strRef>
          </c:tx>
          <c:invertIfNegative val="0"/>
          <c:cat>
            <c:strRef>
              <c:f>'Timing Table'!$A$10:$A$38</c:f>
              <c:strCache>
                <c:ptCount val="28"/>
                <c:pt idx="0">
                  <c:v>10/3/2016</c:v>
                </c:pt>
                <c:pt idx="1">
                  <c:v>10/4/2016</c:v>
                </c:pt>
                <c:pt idx="2">
                  <c:v>10/5/2016</c:v>
                </c:pt>
                <c:pt idx="3">
                  <c:v>10/6/2016</c:v>
                </c:pt>
                <c:pt idx="4">
                  <c:v>10/7/2016</c:v>
                </c:pt>
                <c:pt idx="5">
                  <c:v>10/8/2016</c:v>
                </c:pt>
                <c:pt idx="6">
                  <c:v>10/10/2016</c:v>
                </c:pt>
                <c:pt idx="7">
                  <c:v>10/11/2016</c:v>
                </c:pt>
                <c:pt idx="8">
                  <c:v>10/12/2016</c:v>
                </c:pt>
                <c:pt idx="9">
                  <c:v>10/13/2016</c:v>
                </c:pt>
                <c:pt idx="10">
                  <c:v>10/14/2016</c:v>
                </c:pt>
                <c:pt idx="11">
                  <c:v>10/15/2016</c:v>
                </c:pt>
                <c:pt idx="12">
                  <c:v>10/16/2016</c:v>
                </c:pt>
                <c:pt idx="13">
                  <c:v>10/17/2016</c:v>
                </c:pt>
                <c:pt idx="14">
                  <c:v>10/18/2016</c:v>
                </c:pt>
                <c:pt idx="15">
                  <c:v>10/19/2016</c:v>
                </c:pt>
                <c:pt idx="16">
                  <c:v>10/20/2016</c:v>
                </c:pt>
                <c:pt idx="17">
                  <c:v>10/21/2016</c:v>
                </c:pt>
                <c:pt idx="18">
                  <c:v>10/25/2016</c:v>
                </c:pt>
                <c:pt idx="19">
                  <c:v>10/26/2016</c:v>
                </c:pt>
                <c:pt idx="20">
                  <c:v>10/27/2016</c:v>
                </c:pt>
                <c:pt idx="21">
                  <c:v>10/28/2016</c:v>
                </c:pt>
                <c:pt idx="22">
                  <c:v>10/29/2016</c:v>
                </c:pt>
                <c:pt idx="23">
                  <c:v>10/30/2016</c:v>
                </c:pt>
                <c:pt idx="24">
                  <c:v>10/31/2016</c:v>
                </c:pt>
                <c:pt idx="25">
                  <c:v>11/1/2016</c:v>
                </c:pt>
                <c:pt idx="26">
                  <c:v>11/2/2016</c:v>
                </c:pt>
                <c:pt idx="27">
                  <c:v>(blank)</c:v>
                </c:pt>
              </c:strCache>
            </c:strRef>
          </c:cat>
          <c:val>
            <c:numRef>
              <c:f>'Timing Table'!$CX$10:$CX$38</c:f>
              <c:numCache>
                <c:formatCode>General</c:formatCode>
                <c:ptCount val="28"/>
                <c:pt idx="2">
                  <c:v>2</c:v>
                </c:pt>
              </c:numCache>
            </c:numRef>
          </c:val>
        </c:ser>
        <c:ser>
          <c:idx val="26"/>
          <c:order val="26"/>
          <c:tx>
            <c:strRef>
              <c:f>'Timing Table'!$DC$4:$DC$9</c:f>
              <c:strCache>
                <c:ptCount val="1"/>
                <c:pt idx="0">
                  <c:v>INFORMATION - 3046 - SW - SW - Frequent</c:v>
                </c:pt>
              </c:strCache>
            </c:strRef>
          </c:tx>
          <c:invertIfNegative val="0"/>
          <c:cat>
            <c:strRef>
              <c:f>'Timing Table'!$A$10:$A$38</c:f>
              <c:strCache>
                <c:ptCount val="28"/>
                <c:pt idx="0">
                  <c:v>10/3/2016</c:v>
                </c:pt>
                <c:pt idx="1">
                  <c:v>10/4/2016</c:v>
                </c:pt>
                <c:pt idx="2">
                  <c:v>10/5/2016</c:v>
                </c:pt>
                <c:pt idx="3">
                  <c:v>10/6/2016</c:v>
                </c:pt>
                <c:pt idx="4">
                  <c:v>10/7/2016</c:v>
                </c:pt>
                <c:pt idx="5">
                  <c:v>10/8/2016</c:v>
                </c:pt>
                <c:pt idx="6">
                  <c:v>10/10/2016</c:v>
                </c:pt>
                <c:pt idx="7">
                  <c:v>10/11/2016</c:v>
                </c:pt>
                <c:pt idx="8">
                  <c:v>10/12/2016</c:v>
                </c:pt>
                <c:pt idx="9">
                  <c:v>10/13/2016</c:v>
                </c:pt>
                <c:pt idx="10">
                  <c:v>10/14/2016</c:v>
                </c:pt>
                <c:pt idx="11">
                  <c:v>10/15/2016</c:v>
                </c:pt>
                <c:pt idx="12">
                  <c:v>10/16/2016</c:v>
                </c:pt>
                <c:pt idx="13">
                  <c:v>10/17/2016</c:v>
                </c:pt>
                <c:pt idx="14">
                  <c:v>10/18/2016</c:v>
                </c:pt>
                <c:pt idx="15">
                  <c:v>10/19/2016</c:v>
                </c:pt>
                <c:pt idx="16">
                  <c:v>10/20/2016</c:v>
                </c:pt>
                <c:pt idx="17">
                  <c:v>10/21/2016</c:v>
                </c:pt>
                <c:pt idx="18">
                  <c:v>10/25/2016</c:v>
                </c:pt>
                <c:pt idx="19">
                  <c:v>10/26/2016</c:v>
                </c:pt>
                <c:pt idx="20">
                  <c:v>10/27/2016</c:v>
                </c:pt>
                <c:pt idx="21">
                  <c:v>10/28/2016</c:v>
                </c:pt>
                <c:pt idx="22">
                  <c:v>10/29/2016</c:v>
                </c:pt>
                <c:pt idx="23">
                  <c:v>10/30/2016</c:v>
                </c:pt>
                <c:pt idx="24">
                  <c:v>10/31/2016</c:v>
                </c:pt>
                <c:pt idx="25">
                  <c:v>11/1/2016</c:v>
                </c:pt>
                <c:pt idx="26">
                  <c:v>11/2/2016</c:v>
                </c:pt>
                <c:pt idx="27">
                  <c:v>(blank)</c:v>
                </c:pt>
              </c:strCache>
            </c:strRef>
          </c:cat>
          <c:val>
            <c:numRef>
              <c:f>'Timing Table'!$DC$10:$DC$38</c:f>
              <c:numCache>
                <c:formatCode>General</c:formatCode>
                <c:ptCount val="28"/>
                <c:pt idx="0">
                  <c:v>31</c:v>
                </c:pt>
                <c:pt idx="1">
                  <c:v>79</c:v>
                </c:pt>
                <c:pt idx="2">
                  <c:v>80</c:v>
                </c:pt>
                <c:pt idx="3">
                  <c:v>87</c:v>
                </c:pt>
                <c:pt idx="4">
                  <c:v>91</c:v>
                </c:pt>
                <c:pt idx="5">
                  <c:v>47</c:v>
                </c:pt>
                <c:pt idx="7">
                  <c:v>57</c:v>
                </c:pt>
                <c:pt idx="8">
                  <c:v>69</c:v>
                </c:pt>
                <c:pt idx="9">
                  <c:v>72</c:v>
                </c:pt>
                <c:pt idx="10">
                  <c:v>48</c:v>
                </c:pt>
                <c:pt idx="11">
                  <c:v>48</c:v>
                </c:pt>
                <c:pt idx="12">
                  <c:v>12</c:v>
                </c:pt>
                <c:pt idx="13">
                  <c:v>26</c:v>
                </c:pt>
                <c:pt idx="14">
                  <c:v>60</c:v>
                </c:pt>
                <c:pt idx="15">
                  <c:v>64</c:v>
                </c:pt>
                <c:pt idx="16">
                  <c:v>85</c:v>
                </c:pt>
                <c:pt idx="17">
                  <c:v>46</c:v>
                </c:pt>
                <c:pt idx="18">
                  <c:v>10</c:v>
                </c:pt>
                <c:pt idx="19">
                  <c:v>43</c:v>
                </c:pt>
                <c:pt idx="20">
                  <c:v>103</c:v>
                </c:pt>
                <c:pt idx="21">
                  <c:v>76</c:v>
                </c:pt>
                <c:pt idx="22">
                  <c:v>48</c:v>
                </c:pt>
                <c:pt idx="23">
                  <c:v>48</c:v>
                </c:pt>
                <c:pt idx="24">
                  <c:v>46</c:v>
                </c:pt>
                <c:pt idx="25">
                  <c:v>227</c:v>
                </c:pt>
                <c:pt idx="26">
                  <c:v>184</c:v>
                </c:pt>
              </c:numCache>
            </c:numRef>
          </c:val>
        </c:ser>
        <c:ser>
          <c:idx val="27"/>
          <c:order val="27"/>
          <c:tx>
            <c:strRef>
              <c:f>'Timing Table'!$DG$4:$DG$9</c:f>
              <c:strCache>
                <c:ptCount val="1"/>
                <c:pt idx="0">
                  <c:v>INFORMATION - 3051 - Others - Maintenance - Frequent</c:v>
                </c:pt>
              </c:strCache>
            </c:strRef>
          </c:tx>
          <c:invertIfNegative val="0"/>
          <c:cat>
            <c:strRef>
              <c:f>'Timing Table'!$A$10:$A$38</c:f>
              <c:strCache>
                <c:ptCount val="28"/>
                <c:pt idx="0">
                  <c:v>10/3/2016</c:v>
                </c:pt>
                <c:pt idx="1">
                  <c:v>10/4/2016</c:v>
                </c:pt>
                <c:pt idx="2">
                  <c:v>10/5/2016</c:v>
                </c:pt>
                <c:pt idx="3">
                  <c:v>10/6/2016</c:v>
                </c:pt>
                <c:pt idx="4">
                  <c:v>10/7/2016</c:v>
                </c:pt>
                <c:pt idx="5">
                  <c:v>10/8/2016</c:v>
                </c:pt>
                <c:pt idx="6">
                  <c:v>10/10/2016</c:v>
                </c:pt>
                <c:pt idx="7">
                  <c:v>10/11/2016</c:v>
                </c:pt>
                <c:pt idx="8">
                  <c:v>10/12/2016</c:v>
                </c:pt>
                <c:pt idx="9">
                  <c:v>10/13/2016</c:v>
                </c:pt>
                <c:pt idx="10">
                  <c:v>10/14/2016</c:v>
                </c:pt>
                <c:pt idx="11">
                  <c:v>10/15/2016</c:v>
                </c:pt>
                <c:pt idx="12">
                  <c:v>10/16/2016</c:v>
                </c:pt>
                <c:pt idx="13">
                  <c:v>10/17/2016</c:v>
                </c:pt>
                <c:pt idx="14">
                  <c:v>10/18/2016</c:v>
                </c:pt>
                <c:pt idx="15">
                  <c:v>10/19/2016</c:v>
                </c:pt>
                <c:pt idx="16">
                  <c:v>10/20/2016</c:v>
                </c:pt>
                <c:pt idx="17">
                  <c:v>10/21/2016</c:v>
                </c:pt>
                <c:pt idx="18">
                  <c:v>10/25/2016</c:v>
                </c:pt>
                <c:pt idx="19">
                  <c:v>10/26/2016</c:v>
                </c:pt>
                <c:pt idx="20">
                  <c:v>10/27/2016</c:v>
                </c:pt>
                <c:pt idx="21">
                  <c:v>10/28/2016</c:v>
                </c:pt>
                <c:pt idx="22">
                  <c:v>10/29/2016</c:v>
                </c:pt>
                <c:pt idx="23">
                  <c:v>10/30/2016</c:v>
                </c:pt>
                <c:pt idx="24">
                  <c:v>10/31/2016</c:v>
                </c:pt>
                <c:pt idx="25">
                  <c:v>11/1/2016</c:v>
                </c:pt>
                <c:pt idx="26">
                  <c:v>11/2/2016</c:v>
                </c:pt>
                <c:pt idx="27">
                  <c:v>(blank)</c:v>
                </c:pt>
              </c:strCache>
            </c:strRef>
          </c:cat>
          <c:val>
            <c:numRef>
              <c:f>'Timing Table'!$DG$10:$DG$38</c:f>
              <c:numCache>
                <c:formatCode>General</c:formatCode>
                <c:ptCount val="28"/>
                <c:pt idx="1">
                  <c:v>4</c:v>
                </c:pt>
                <c:pt idx="3">
                  <c:v>8</c:v>
                </c:pt>
                <c:pt idx="4">
                  <c:v>6</c:v>
                </c:pt>
                <c:pt idx="7">
                  <c:v>4</c:v>
                </c:pt>
                <c:pt idx="8">
                  <c:v>8</c:v>
                </c:pt>
                <c:pt idx="15">
                  <c:v>3</c:v>
                </c:pt>
                <c:pt idx="16">
                  <c:v>5</c:v>
                </c:pt>
                <c:pt idx="20">
                  <c:v>8</c:v>
                </c:pt>
                <c:pt idx="21">
                  <c:v>4</c:v>
                </c:pt>
                <c:pt idx="25">
                  <c:v>4</c:v>
                </c:pt>
                <c:pt idx="26">
                  <c:v>8</c:v>
                </c:pt>
              </c:numCache>
            </c:numRef>
          </c:val>
        </c:ser>
        <c:ser>
          <c:idx val="28"/>
          <c:order val="28"/>
          <c:tx>
            <c:strRef>
              <c:f>'Timing Table'!$DK$4:$DK$9</c:f>
              <c:strCache>
                <c:ptCount val="1"/>
                <c:pt idx="0">
                  <c:v>INFORMATION - 3052 - Others - Maintenance - Frequent</c:v>
                </c:pt>
              </c:strCache>
            </c:strRef>
          </c:tx>
          <c:invertIfNegative val="0"/>
          <c:cat>
            <c:strRef>
              <c:f>'Timing Table'!$A$10:$A$38</c:f>
              <c:strCache>
                <c:ptCount val="28"/>
                <c:pt idx="0">
                  <c:v>10/3/2016</c:v>
                </c:pt>
                <c:pt idx="1">
                  <c:v>10/4/2016</c:v>
                </c:pt>
                <c:pt idx="2">
                  <c:v>10/5/2016</c:v>
                </c:pt>
                <c:pt idx="3">
                  <c:v>10/6/2016</c:v>
                </c:pt>
                <c:pt idx="4">
                  <c:v>10/7/2016</c:v>
                </c:pt>
                <c:pt idx="5">
                  <c:v>10/8/2016</c:v>
                </c:pt>
                <c:pt idx="6">
                  <c:v>10/10/2016</c:v>
                </c:pt>
                <c:pt idx="7">
                  <c:v>10/11/2016</c:v>
                </c:pt>
                <c:pt idx="8">
                  <c:v>10/12/2016</c:v>
                </c:pt>
                <c:pt idx="9">
                  <c:v>10/13/2016</c:v>
                </c:pt>
                <c:pt idx="10">
                  <c:v>10/14/2016</c:v>
                </c:pt>
                <c:pt idx="11">
                  <c:v>10/15/2016</c:v>
                </c:pt>
                <c:pt idx="12">
                  <c:v>10/16/2016</c:v>
                </c:pt>
                <c:pt idx="13">
                  <c:v>10/17/2016</c:v>
                </c:pt>
                <c:pt idx="14">
                  <c:v>10/18/2016</c:v>
                </c:pt>
                <c:pt idx="15">
                  <c:v>10/19/2016</c:v>
                </c:pt>
                <c:pt idx="16">
                  <c:v>10/20/2016</c:v>
                </c:pt>
                <c:pt idx="17">
                  <c:v>10/21/2016</c:v>
                </c:pt>
                <c:pt idx="18">
                  <c:v>10/25/2016</c:v>
                </c:pt>
                <c:pt idx="19">
                  <c:v>10/26/2016</c:v>
                </c:pt>
                <c:pt idx="20">
                  <c:v>10/27/2016</c:v>
                </c:pt>
                <c:pt idx="21">
                  <c:v>10/28/2016</c:v>
                </c:pt>
                <c:pt idx="22">
                  <c:v>10/29/2016</c:v>
                </c:pt>
                <c:pt idx="23">
                  <c:v>10/30/2016</c:v>
                </c:pt>
                <c:pt idx="24">
                  <c:v>10/31/2016</c:v>
                </c:pt>
                <c:pt idx="25">
                  <c:v>11/1/2016</c:v>
                </c:pt>
                <c:pt idx="26">
                  <c:v>11/2/2016</c:v>
                </c:pt>
                <c:pt idx="27">
                  <c:v>(blank)</c:v>
                </c:pt>
              </c:strCache>
            </c:strRef>
          </c:cat>
          <c:val>
            <c:numRef>
              <c:f>'Timing Table'!$DK$10:$DK$38</c:f>
              <c:numCache>
                <c:formatCode>General</c:formatCode>
                <c:ptCount val="28"/>
                <c:pt idx="1">
                  <c:v>2</c:v>
                </c:pt>
                <c:pt idx="3">
                  <c:v>4</c:v>
                </c:pt>
                <c:pt idx="4">
                  <c:v>4</c:v>
                </c:pt>
                <c:pt idx="7">
                  <c:v>2</c:v>
                </c:pt>
                <c:pt idx="8">
                  <c:v>4</c:v>
                </c:pt>
                <c:pt idx="9">
                  <c:v>2</c:v>
                </c:pt>
                <c:pt idx="15">
                  <c:v>1</c:v>
                </c:pt>
                <c:pt idx="16">
                  <c:v>5</c:v>
                </c:pt>
                <c:pt idx="20">
                  <c:v>5</c:v>
                </c:pt>
                <c:pt idx="21">
                  <c:v>2</c:v>
                </c:pt>
                <c:pt idx="25">
                  <c:v>2</c:v>
                </c:pt>
                <c:pt idx="26">
                  <c:v>4</c:v>
                </c:pt>
              </c:numCache>
            </c:numRef>
          </c:val>
        </c:ser>
        <c:ser>
          <c:idx val="29"/>
          <c:order val="29"/>
          <c:tx>
            <c:strRef>
              <c:f>'Timing Table'!$DO$4:$DO$9</c:f>
              <c:strCache>
                <c:ptCount val="1"/>
                <c:pt idx="0">
                  <c:v>INFORMATION - 3057 - Others - Applications - Frequent</c:v>
                </c:pt>
              </c:strCache>
            </c:strRef>
          </c:tx>
          <c:invertIfNegative val="0"/>
          <c:cat>
            <c:strRef>
              <c:f>'Timing Table'!$A$10:$A$38</c:f>
              <c:strCache>
                <c:ptCount val="28"/>
                <c:pt idx="0">
                  <c:v>10/3/2016</c:v>
                </c:pt>
                <c:pt idx="1">
                  <c:v>10/4/2016</c:v>
                </c:pt>
                <c:pt idx="2">
                  <c:v>10/5/2016</c:v>
                </c:pt>
                <c:pt idx="3">
                  <c:v>10/6/2016</c:v>
                </c:pt>
                <c:pt idx="4">
                  <c:v>10/7/2016</c:v>
                </c:pt>
                <c:pt idx="5">
                  <c:v>10/8/2016</c:v>
                </c:pt>
                <c:pt idx="6">
                  <c:v>10/10/2016</c:v>
                </c:pt>
                <c:pt idx="7">
                  <c:v>10/11/2016</c:v>
                </c:pt>
                <c:pt idx="8">
                  <c:v>10/12/2016</c:v>
                </c:pt>
                <c:pt idx="9">
                  <c:v>10/13/2016</c:v>
                </c:pt>
                <c:pt idx="10">
                  <c:v>10/14/2016</c:v>
                </c:pt>
                <c:pt idx="11">
                  <c:v>10/15/2016</c:v>
                </c:pt>
                <c:pt idx="12">
                  <c:v>10/16/2016</c:v>
                </c:pt>
                <c:pt idx="13">
                  <c:v>10/17/2016</c:v>
                </c:pt>
                <c:pt idx="14">
                  <c:v>10/18/2016</c:v>
                </c:pt>
                <c:pt idx="15">
                  <c:v>10/19/2016</c:v>
                </c:pt>
                <c:pt idx="16">
                  <c:v>10/20/2016</c:v>
                </c:pt>
                <c:pt idx="17">
                  <c:v>10/21/2016</c:v>
                </c:pt>
                <c:pt idx="18">
                  <c:v>10/25/2016</c:v>
                </c:pt>
                <c:pt idx="19">
                  <c:v>10/26/2016</c:v>
                </c:pt>
                <c:pt idx="20">
                  <c:v>10/27/2016</c:v>
                </c:pt>
                <c:pt idx="21">
                  <c:v>10/28/2016</c:v>
                </c:pt>
                <c:pt idx="22">
                  <c:v>10/29/2016</c:v>
                </c:pt>
                <c:pt idx="23">
                  <c:v>10/30/2016</c:v>
                </c:pt>
                <c:pt idx="24">
                  <c:v>10/31/2016</c:v>
                </c:pt>
                <c:pt idx="25">
                  <c:v>11/1/2016</c:v>
                </c:pt>
                <c:pt idx="26">
                  <c:v>11/2/2016</c:v>
                </c:pt>
                <c:pt idx="27">
                  <c:v>(blank)</c:v>
                </c:pt>
              </c:strCache>
            </c:strRef>
          </c:cat>
          <c:val>
            <c:numRef>
              <c:f>'Timing Table'!$DO$10:$DO$38</c:f>
              <c:numCache>
                <c:formatCode>General</c:formatCode>
                <c:ptCount val="28"/>
                <c:pt idx="16">
                  <c:v>5</c:v>
                </c:pt>
              </c:numCache>
            </c:numRef>
          </c:val>
        </c:ser>
        <c:ser>
          <c:idx val="30"/>
          <c:order val="30"/>
          <c:tx>
            <c:strRef>
              <c:f>'Timing Table'!$DS$4:$DS$9</c:f>
              <c:strCache>
                <c:ptCount val="1"/>
                <c:pt idx="0">
                  <c:v>INFORMATION - 3058 - Others - Applications - Frequent</c:v>
                </c:pt>
              </c:strCache>
            </c:strRef>
          </c:tx>
          <c:invertIfNegative val="0"/>
          <c:cat>
            <c:strRef>
              <c:f>'Timing Table'!$A$10:$A$38</c:f>
              <c:strCache>
                <c:ptCount val="28"/>
                <c:pt idx="0">
                  <c:v>10/3/2016</c:v>
                </c:pt>
                <c:pt idx="1">
                  <c:v>10/4/2016</c:v>
                </c:pt>
                <c:pt idx="2">
                  <c:v>10/5/2016</c:v>
                </c:pt>
                <c:pt idx="3">
                  <c:v>10/6/2016</c:v>
                </c:pt>
                <c:pt idx="4">
                  <c:v>10/7/2016</c:v>
                </c:pt>
                <c:pt idx="5">
                  <c:v>10/8/2016</c:v>
                </c:pt>
                <c:pt idx="6">
                  <c:v>10/10/2016</c:v>
                </c:pt>
                <c:pt idx="7">
                  <c:v>10/11/2016</c:v>
                </c:pt>
                <c:pt idx="8">
                  <c:v>10/12/2016</c:v>
                </c:pt>
                <c:pt idx="9">
                  <c:v>10/13/2016</c:v>
                </c:pt>
                <c:pt idx="10">
                  <c:v>10/14/2016</c:v>
                </c:pt>
                <c:pt idx="11">
                  <c:v>10/15/2016</c:v>
                </c:pt>
                <c:pt idx="12">
                  <c:v>10/16/2016</c:v>
                </c:pt>
                <c:pt idx="13">
                  <c:v>10/17/2016</c:v>
                </c:pt>
                <c:pt idx="14">
                  <c:v>10/18/2016</c:v>
                </c:pt>
                <c:pt idx="15">
                  <c:v>10/19/2016</c:v>
                </c:pt>
                <c:pt idx="16">
                  <c:v>10/20/2016</c:v>
                </c:pt>
                <c:pt idx="17">
                  <c:v>10/21/2016</c:v>
                </c:pt>
                <c:pt idx="18">
                  <c:v>10/25/2016</c:v>
                </c:pt>
                <c:pt idx="19">
                  <c:v>10/26/2016</c:v>
                </c:pt>
                <c:pt idx="20">
                  <c:v>10/27/2016</c:v>
                </c:pt>
                <c:pt idx="21">
                  <c:v>10/28/2016</c:v>
                </c:pt>
                <c:pt idx="22">
                  <c:v>10/29/2016</c:v>
                </c:pt>
                <c:pt idx="23">
                  <c:v>10/30/2016</c:v>
                </c:pt>
                <c:pt idx="24">
                  <c:v>10/31/2016</c:v>
                </c:pt>
                <c:pt idx="25">
                  <c:v>11/1/2016</c:v>
                </c:pt>
                <c:pt idx="26">
                  <c:v>11/2/2016</c:v>
                </c:pt>
                <c:pt idx="27">
                  <c:v>(blank)</c:v>
                </c:pt>
              </c:strCache>
            </c:strRef>
          </c:cat>
          <c:val>
            <c:numRef>
              <c:f>'Timing Table'!$DS$10:$DS$38</c:f>
              <c:numCache>
                <c:formatCode>General</c:formatCode>
                <c:ptCount val="28"/>
                <c:pt idx="16">
                  <c:v>1</c:v>
                </c:pt>
                <c:pt idx="25">
                  <c:v>3</c:v>
                </c:pt>
                <c:pt idx="26">
                  <c:v>1</c:v>
                </c:pt>
              </c:numCache>
            </c:numRef>
          </c:val>
        </c:ser>
        <c:ser>
          <c:idx val="31"/>
          <c:order val="31"/>
          <c:tx>
            <c:strRef>
              <c:f>'Timing Table'!$DW$4:$DW$9</c:f>
              <c:strCache>
                <c:ptCount val="1"/>
                <c:pt idx="0">
                  <c:v>INFORMATION - 3059 - Others - Applications - Frequent</c:v>
                </c:pt>
              </c:strCache>
            </c:strRef>
          </c:tx>
          <c:invertIfNegative val="0"/>
          <c:cat>
            <c:strRef>
              <c:f>'Timing Table'!$A$10:$A$38</c:f>
              <c:strCache>
                <c:ptCount val="28"/>
                <c:pt idx="0">
                  <c:v>10/3/2016</c:v>
                </c:pt>
                <c:pt idx="1">
                  <c:v>10/4/2016</c:v>
                </c:pt>
                <c:pt idx="2">
                  <c:v>10/5/2016</c:v>
                </c:pt>
                <c:pt idx="3">
                  <c:v>10/6/2016</c:v>
                </c:pt>
                <c:pt idx="4">
                  <c:v>10/7/2016</c:v>
                </c:pt>
                <c:pt idx="5">
                  <c:v>10/8/2016</c:v>
                </c:pt>
                <c:pt idx="6">
                  <c:v>10/10/2016</c:v>
                </c:pt>
                <c:pt idx="7">
                  <c:v>10/11/2016</c:v>
                </c:pt>
                <c:pt idx="8">
                  <c:v>10/12/2016</c:v>
                </c:pt>
                <c:pt idx="9">
                  <c:v>10/13/2016</c:v>
                </c:pt>
                <c:pt idx="10">
                  <c:v>10/14/2016</c:v>
                </c:pt>
                <c:pt idx="11">
                  <c:v>10/15/2016</c:v>
                </c:pt>
                <c:pt idx="12">
                  <c:v>10/16/2016</c:v>
                </c:pt>
                <c:pt idx="13">
                  <c:v>10/17/2016</c:v>
                </c:pt>
                <c:pt idx="14">
                  <c:v>10/18/2016</c:v>
                </c:pt>
                <c:pt idx="15">
                  <c:v>10/19/2016</c:v>
                </c:pt>
                <c:pt idx="16">
                  <c:v>10/20/2016</c:v>
                </c:pt>
                <c:pt idx="17">
                  <c:v>10/21/2016</c:v>
                </c:pt>
                <c:pt idx="18">
                  <c:v>10/25/2016</c:v>
                </c:pt>
                <c:pt idx="19">
                  <c:v>10/26/2016</c:v>
                </c:pt>
                <c:pt idx="20">
                  <c:v>10/27/2016</c:v>
                </c:pt>
                <c:pt idx="21">
                  <c:v>10/28/2016</c:v>
                </c:pt>
                <c:pt idx="22">
                  <c:v>10/29/2016</c:v>
                </c:pt>
                <c:pt idx="23">
                  <c:v>10/30/2016</c:v>
                </c:pt>
                <c:pt idx="24">
                  <c:v>10/31/2016</c:v>
                </c:pt>
                <c:pt idx="25">
                  <c:v>11/1/2016</c:v>
                </c:pt>
                <c:pt idx="26">
                  <c:v>11/2/2016</c:v>
                </c:pt>
                <c:pt idx="27">
                  <c:v>(blank)</c:v>
                </c:pt>
              </c:strCache>
            </c:strRef>
          </c:cat>
          <c:val>
            <c:numRef>
              <c:f>'Timing Table'!$DW$10:$DW$38</c:f>
              <c:numCache>
                <c:formatCode>General</c:formatCode>
                <c:ptCount val="28"/>
                <c:pt idx="16">
                  <c:v>1</c:v>
                </c:pt>
              </c:numCache>
            </c:numRef>
          </c:val>
        </c:ser>
        <c:ser>
          <c:idx val="32"/>
          <c:order val="32"/>
          <c:tx>
            <c:strRef>
              <c:f>'Timing Table'!$EA$4:$EA$9</c:f>
              <c:strCache>
                <c:ptCount val="1"/>
                <c:pt idx="0">
                  <c:v>INFORMATION - 3060 - Others - Applications - Frequent</c:v>
                </c:pt>
              </c:strCache>
            </c:strRef>
          </c:tx>
          <c:invertIfNegative val="0"/>
          <c:cat>
            <c:strRef>
              <c:f>'Timing Table'!$A$10:$A$38</c:f>
              <c:strCache>
                <c:ptCount val="28"/>
                <c:pt idx="0">
                  <c:v>10/3/2016</c:v>
                </c:pt>
                <c:pt idx="1">
                  <c:v>10/4/2016</c:v>
                </c:pt>
                <c:pt idx="2">
                  <c:v>10/5/2016</c:v>
                </c:pt>
                <c:pt idx="3">
                  <c:v>10/6/2016</c:v>
                </c:pt>
                <c:pt idx="4">
                  <c:v>10/7/2016</c:v>
                </c:pt>
                <c:pt idx="5">
                  <c:v>10/8/2016</c:v>
                </c:pt>
                <c:pt idx="6">
                  <c:v>10/10/2016</c:v>
                </c:pt>
                <c:pt idx="7">
                  <c:v>10/11/2016</c:v>
                </c:pt>
                <c:pt idx="8">
                  <c:v>10/12/2016</c:v>
                </c:pt>
                <c:pt idx="9">
                  <c:v>10/13/2016</c:v>
                </c:pt>
                <c:pt idx="10">
                  <c:v>10/14/2016</c:v>
                </c:pt>
                <c:pt idx="11">
                  <c:v>10/15/2016</c:v>
                </c:pt>
                <c:pt idx="12">
                  <c:v>10/16/2016</c:v>
                </c:pt>
                <c:pt idx="13">
                  <c:v>10/17/2016</c:v>
                </c:pt>
                <c:pt idx="14">
                  <c:v>10/18/2016</c:v>
                </c:pt>
                <c:pt idx="15">
                  <c:v>10/19/2016</c:v>
                </c:pt>
                <c:pt idx="16">
                  <c:v>10/20/2016</c:v>
                </c:pt>
                <c:pt idx="17">
                  <c:v>10/21/2016</c:v>
                </c:pt>
                <c:pt idx="18">
                  <c:v>10/25/2016</c:v>
                </c:pt>
                <c:pt idx="19">
                  <c:v>10/26/2016</c:v>
                </c:pt>
                <c:pt idx="20">
                  <c:v>10/27/2016</c:v>
                </c:pt>
                <c:pt idx="21">
                  <c:v>10/28/2016</c:v>
                </c:pt>
                <c:pt idx="22">
                  <c:v>10/29/2016</c:v>
                </c:pt>
                <c:pt idx="23">
                  <c:v>10/30/2016</c:v>
                </c:pt>
                <c:pt idx="24">
                  <c:v>10/31/2016</c:v>
                </c:pt>
                <c:pt idx="25">
                  <c:v>11/1/2016</c:v>
                </c:pt>
                <c:pt idx="26">
                  <c:v>11/2/2016</c:v>
                </c:pt>
                <c:pt idx="27">
                  <c:v>(blank)</c:v>
                </c:pt>
              </c:strCache>
            </c:strRef>
          </c:cat>
          <c:val>
            <c:numRef>
              <c:f>'Timing Table'!$EA$10:$EA$38</c:f>
              <c:numCache>
                <c:formatCode>General</c:formatCode>
                <c:ptCount val="28"/>
                <c:pt idx="16">
                  <c:v>4</c:v>
                </c:pt>
              </c:numCache>
            </c:numRef>
          </c:val>
        </c:ser>
        <c:ser>
          <c:idx val="33"/>
          <c:order val="33"/>
          <c:tx>
            <c:strRef>
              <c:f>'Timing Table'!$EE$4:$EE$9</c:f>
              <c:strCache>
                <c:ptCount val="1"/>
                <c:pt idx="0">
                  <c:v>INFORMATION - 3061 - Others - Applications - Frequent</c:v>
                </c:pt>
              </c:strCache>
            </c:strRef>
          </c:tx>
          <c:invertIfNegative val="0"/>
          <c:cat>
            <c:strRef>
              <c:f>'Timing Table'!$A$10:$A$38</c:f>
              <c:strCache>
                <c:ptCount val="28"/>
                <c:pt idx="0">
                  <c:v>10/3/2016</c:v>
                </c:pt>
                <c:pt idx="1">
                  <c:v>10/4/2016</c:v>
                </c:pt>
                <c:pt idx="2">
                  <c:v>10/5/2016</c:v>
                </c:pt>
                <c:pt idx="3">
                  <c:v>10/6/2016</c:v>
                </c:pt>
                <c:pt idx="4">
                  <c:v>10/7/2016</c:v>
                </c:pt>
                <c:pt idx="5">
                  <c:v>10/8/2016</c:v>
                </c:pt>
                <c:pt idx="6">
                  <c:v>10/10/2016</c:v>
                </c:pt>
                <c:pt idx="7">
                  <c:v>10/11/2016</c:v>
                </c:pt>
                <c:pt idx="8">
                  <c:v>10/12/2016</c:v>
                </c:pt>
                <c:pt idx="9">
                  <c:v>10/13/2016</c:v>
                </c:pt>
                <c:pt idx="10">
                  <c:v>10/14/2016</c:v>
                </c:pt>
                <c:pt idx="11">
                  <c:v>10/15/2016</c:v>
                </c:pt>
                <c:pt idx="12">
                  <c:v>10/16/2016</c:v>
                </c:pt>
                <c:pt idx="13">
                  <c:v>10/17/2016</c:v>
                </c:pt>
                <c:pt idx="14">
                  <c:v>10/18/2016</c:v>
                </c:pt>
                <c:pt idx="15">
                  <c:v>10/19/2016</c:v>
                </c:pt>
                <c:pt idx="16">
                  <c:v>10/20/2016</c:v>
                </c:pt>
                <c:pt idx="17">
                  <c:v>10/21/2016</c:v>
                </c:pt>
                <c:pt idx="18">
                  <c:v>10/25/2016</c:v>
                </c:pt>
                <c:pt idx="19">
                  <c:v>10/26/2016</c:v>
                </c:pt>
                <c:pt idx="20">
                  <c:v>10/27/2016</c:v>
                </c:pt>
                <c:pt idx="21">
                  <c:v>10/28/2016</c:v>
                </c:pt>
                <c:pt idx="22">
                  <c:v>10/29/2016</c:v>
                </c:pt>
                <c:pt idx="23">
                  <c:v>10/30/2016</c:v>
                </c:pt>
                <c:pt idx="24">
                  <c:v>10/31/2016</c:v>
                </c:pt>
                <c:pt idx="25">
                  <c:v>11/1/2016</c:v>
                </c:pt>
                <c:pt idx="26">
                  <c:v>11/2/2016</c:v>
                </c:pt>
                <c:pt idx="27">
                  <c:v>(blank)</c:v>
                </c:pt>
              </c:strCache>
            </c:strRef>
          </c:cat>
          <c:val>
            <c:numRef>
              <c:f>'Timing Table'!$EE$10:$EE$38</c:f>
              <c:numCache>
                <c:formatCode>General</c:formatCode>
                <c:ptCount val="28"/>
                <c:pt idx="1">
                  <c:v>1</c:v>
                </c:pt>
                <c:pt idx="2">
                  <c:v>74</c:v>
                </c:pt>
                <c:pt idx="7">
                  <c:v>5</c:v>
                </c:pt>
                <c:pt idx="16">
                  <c:v>6</c:v>
                </c:pt>
                <c:pt idx="19">
                  <c:v>4</c:v>
                </c:pt>
                <c:pt idx="20">
                  <c:v>7</c:v>
                </c:pt>
                <c:pt idx="21">
                  <c:v>15</c:v>
                </c:pt>
                <c:pt idx="26">
                  <c:v>5</c:v>
                </c:pt>
              </c:numCache>
            </c:numRef>
          </c:val>
        </c:ser>
        <c:ser>
          <c:idx val="34"/>
          <c:order val="34"/>
          <c:tx>
            <c:strRef>
              <c:f>'Timing Table'!$EI$4:$EI$9</c:f>
              <c:strCache>
                <c:ptCount val="1"/>
                <c:pt idx="0">
                  <c:v>INFORMATION - 3067 - Others - Materials - Frequent</c:v>
                </c:pt>
              </c:strCache>
            </c:strRef>
          </c:tx>
          <c:invertIfNegative val="0"/>
          <c:cat>
            <c:strRef>
              <c:f>'Timing Table'!$A$10:$A$38</c:f>
              <c:strCache>
                <c:ptCount val="28"/>
                <c:pt idx="0">
                  <c:v>10/3/2016</c:v>
                </c:pt>
                <c:pt idx="1">
                  <c:v>10/4/2016</c:v>
                </c:pt>
                <c:pt idx="2">
                  <c:v>10/5/2016</c:v>
                </c:pt>
                <c:pt idx="3">
                  <c:v>10/6/2016</c:v>
                </c:pt>
                <c:pt idx="4">
                  <c:v>10/7/2016</c:v>
                </c:pt>
                <c:pt idx="5">
                  <c:v>10/8/2016</c:v>
                </c:pt>
                <c:pt idx="6">
                  <c:v>10/10/2016</c:v>
                </c:pt>
                <c:pt idx="7">
                  <c:v>10/11/2016</c:v>
                </c:pt>
                <c:pt idx="8">
                  <c:v>10/12/2016</c:v>
                </c:pt>
                <c:pt idx="9">
                  <c:v>10/13/2016</c:v>
                </c:pt>
                <c:pt idx="10">
                  <c:v>10/14/2016</c:v>
                </c:pt>
                <c:pt idx="11">
                  <c:v>10/15/2016</c:v>
                </c:pt>
                <c:pt idx="12">
                  <c:v>10/16/2016</c:v>
                </c:pt>
                <c:pt idx="13">
                  <c:v>10/17/2016</c:v>
                </c:pt>
                <c:pt idx="14">
                  <c:v>10/18/2016</c:v>
                </c:pt>
                <c:pt idx="15">
                  <c:v>10/19/2016</c:v>
                </c:pt>
                <c:pt idx="16">
                  <c:v>10/20/2016</c:v>
                </c:pt>
                <c:pt idx="17">
                  <c:v>10/21/2016</c:v>
                </c:pt>
                <c:pt idx="18">
                  <c:v>10/25/2016</c:v>
                </c:pt>
                <c:pt idx="19">
                  <c:v>10/26/2016</c:v>
                </c:pt>
                <c:pt idx="20">
                  <c:v>10/27/2016</c:v>
                </c:pt>
                <c:pt idx="21">
                  <c:v>10/28/2016</c:v>
                </c:pt>
                <c:pt idx="22">
                  <c:v>10/29/2016</c:v>
                </c:pt>
                <c:pt idx="23">
                  <c:v>10/30/2016</c:v>
                </c:pt>
                <c:pt idx="24">
                  <c:v>10/31/2016</c:v>
                </c:pt>
                <c:pt idx="25">
                  <c:v>11/1/2016</c:v>
                </c:pt>
                <c:pt idx="26">
                  <c:v>11/2/2016</c:v>
                </c:pt>
                <c:pt idx="27">
                  <c:v>(blank)</c:v>
                </c:pt>
              </c:strCache>
            </c:strRef>
          </c:cat>
          <c:val>
            <c:numRef>
              <c:f>'Timing Table'!$EI$10:$EI$38</c:f>
              <c:numCache>
                <c:formatCode>General</c:formatCode>
                <c:ptCount val="28"/>
                <c:pt idx="16">
                  <c:v>2</c:v>
                </c:pt>
              </c:numCache>
            </c:numRef>
          </c:val>
        </c:ser>
        <c:ser>
          <c:idx val="35"/>
          <c:order val="35"/>
          <c:tx>
            <c:strRef>
              <c:f>'Timing Table'!$EM$4:$EM$9</c:f>
              <c:strCache>
                <c:ptCount val="1"/>
                <c:pt idx="0">
                  <c:v>INFORMATION - 3068 - Others - Materials - Frequent</c:v>
                </c:pt>
              </c:strCache>
            </c:strRef>
          </c:tx>
          <c:invertIfNegative val="0"/>
          <c:cat>
            <c:strRef>
              <c:f>'Timing Table'!$A$10:$A$38</c:f>
              <c:strCache>
                <c:ptCount val="28"/>
                <c:pt idx="0">
                  <c:v>10/3/2016</c:v>
                </c:pt>
                <c:pt idx="1">
                  <c:v>10/4/2016</c:v>
                </c:pt>
                <c:pt idx="2">
                  <c:v>10/5/2016</c:v>
                </c:pt>
                <c:pt idx="3">
                  <c:v>10/6/2016</c:v>
                </c:pt>
                <c:pt idx="4">
                  <c:v>10/7/2016</c:v>
                </c:pt>
                <c:pt idx="5">
                  <c:v>10/8/2016</c:v>
                </c:pt>
                <c:pt idx="6">
                  <c:v>10/10/2016</c:v>
                </c:pt>
                <c:pt idx="7">
                  <c:v>10/11/2016</c:v>
                </c:pt>
                <c:pt idx="8">
                  <c:v>10/12/2016</c:v>
                </c:pt>
                <c:pt idx="9">
                  <c:v>10/13/2016</c:v>
                </c:pt>
                <c:pt idx="10">
                  <c:v>10/14/2016</c:v>
                </c:pt>
                <c:pt idx="11">
                  <c:v>10/15/2016</c:v>
                </c:pt>
                <c:pt idx="12">
                  <c:v>10/16/2016</c:v>
                </c:pt>
                <c:pt idx="13">
                  <c:v>10/17/2016</c:v>
                </c:pt>
                <c:pt idx="14">
                  <c:v>10/18/2016</c:v>
                </c:pt>
                <c:pt idx="15">
                  <c:v>10/19/2016</c:v>
                </c:pt>
                <c:pt idx="16">
                  <c:v>10/20/2016</c:v>
                </c:pt>
                <c:pt idx="17">
                  <c:v>10/21/2016</c:v>
                </c:pt>
                <c:pt idx="18">
                  <c:v>10/25/2016</c:v>
                </c:pt>
                <c:pt idx="19">
                  <c:v>10/26/2016</c:v>
                </c:pt>
                <c:pt idx="20">
                  <c:v>10/27/2016</c:v>
                </c:pt>
                <c:pt idx="21">
                  <c:v>10/28/2016</c:v>
                </c:pt>
                <c:pt idx="22">
                  <c:v>10/29/2016</c:v>
                </c:pt>
                <c:pt idx="23">
                  <c:v>10/30/2016</c:v>
                </c:pt>
                <c:pt idx="24">
                  <c:v>10/31/2016</c:v>
                </c:pt>
                <c:pt idx="25">
                  <c:v>11/1/2016</c:v>
                </c:pt>
                <c:pt idx="26">
                  <c:v>11/2/2016</c:v>
                </c:pt>
                <c:pt idx="27">
                  <c:v>(blank)</c:v>
                </c:pt>
              </c:strCache>
            </c:strRef>
          </c:cat>
          <c:val>
            <c:numRef>
              <c:f>'Timing Table'!$EM$10:$EM$38</c:f>
              <c:numCache>
                <c:formatCode>General</c:formatCode>
                <c:ptCount val="28"/>
                <c:pt idx="25">
                  <c:v>1</c:v>
                </c:pt>
              </c:numCache>
            </c:numRef>
          </c:val>
        </c:ser>
        <c:ser>
          <c:idx val="36"/>
          <c:order val="36"/>
          <c:tx>
            <c:strRef>
              <c:f>'Timing Table'!$EQ$4:$EQ$9</c:f>
              <c:strCache>
                <c:ptCount val="1"/>
                <c:pt idx="0">
                  <c:v>INFORMATION - 3071 - Others - Materials - Frequent</c:v>
                </c:pt>
              </c:strCache>
            </c:strRef>
          </c:tx>
          <c:invertIfNegative val="0"/>
          <c:cat>
            <c:strRef>
              <c:f>'Timing Table'!$A$10:$A$38</c:f>
              <c:strCache>
                <c:ptCount val="28"/>
                <c:pt idx="0">
                  <c:v>10/3/2016</c:v>
                </c:pt>
                <c:pt idx="1">
                  <c:v>10/4/2016</c:v>
                </c:pt>
                <c:pt idx="2">
                  <c:v>10/5/2016</c:v>
                </c:pt>
                <c:pt idx="3">
                  <c:v>10/6/2016</c:v>
                </c:pt>
                <c:pt idx="4">
                  <c:v>10/7/2016</c:v>
                </c:pt>
                <c:pt idx="5">
                  <c:v>10/8/2016</c:v>
                </c:pt>
                <c:pt idx="6">
                  <c:v>10/10/2016</c:v>
                </c:pt>
                <c:pt idx="7">
                  <c:v>10/11/2016</c:v>
                </c:pt>
                <c:pt idx="8">
                  <c:v>10/12/2016</c:v>
                </c:pt>
                <c:pt idx="9">
                  <c:v>10/13/2016</c:v>
                </c:pt>
                <c:pt idx="10">
                  <c:v>10/14/2016</c:v>
                </c:pt>
                <c:pt idx="11">
                  <c:v>10/15/2016</c:v>
                </c:pt>
                <c:pt idx="12">
                  <c:v>10/16/2016</c:v>
                </c:pt>
                <c:pt idx="13">
                  <c:v>10/17/2016</c:v>
                </c:pt>
                <c:pt idx="14">
                  <c:v>10/18/2016</c:v>
                </c:pt>
                <c:pt idx="15">
                  <c:v>10/19/2016</c:v>
                </c:pt>
                <c:pt idx="16">
                  <c:v>10/20/2016</c:v>
                </c:pt>
                <c:pt idx="17">
                  <c:v>10/21/2016</c:v>
                </c:pt>
                <c:pt idx="18">
                  <c:v>10/25/2016</c:v>
                </c:pt>
                <c:pt idx="19">
                  <c:v>10/26/2016</c:v>
                </c:pt>
                <c:pt idx="20">
                  <c:v>10/27/2016</c:v>
                </c:pt>
                <c:pt idx="21">
                  <c:v>10/28/2016</c:v>
                </c:pt>
                <c:pt idx="22">
                  <c:v>10/29/2016</c:v>
                </c:pt>
                <c:pt idx="23">
                  <c:v>10/30/2016</c:v>
                </c:pt>
                <c:pt idx="24">
                  <c:v>10/31/2016</c:v>
                </c:pt>
                <c:pt idx="25">
                  <c:v>11/1/2016</c:v>
                </c:pt>
                <c:pt idx="26">
                  <c:v>11/2/2016</c:v>
                </c:pt>
                <c:pt idx="27">
                  <c:v>(blank)</c:v>
                </c:pt>
              </c:strCache>
            </c:strRef>
          </c:cat>
          <c:val>
            <c:numRef>
              <c:f>'Timing Table'!$EQ$10:$EQ$38</c:f>
              <c:numCache>
                <c:formatCode>General</c:formatCode>
                <c:ptCount val="28"/>
                <c:pt idx="25">
                  <c:v>1</c:v>
                </c:pt>
              </c:numCache>
            </c:numRef>
          </c:val>
        </c:ser>
        <c:ser>
          <c:idx val="37"/>
          <c:order val="37"/>
          <c:tx>
            <c:strRef>
              <c:f>'Timing Table'!$EU$4:$EU$9</c:f>
              <c:strCache>
                <c:ptCount val="1"/>
                <c:pt idx="0">
                  <c:v>INFORMATION - 3072 - Others - Materials - Frequent</c:v>
                </c:pt>
              </c:strCache>
            </c:strRef>
          </c:tx>
          <c:invertIfNegative val="0"/>
          <c:cat>
            <c:strRef>
              <c:f>'Timing Table'!$A$10:$A$38</c:f>
              <c:strCache>
                <c:ptCount val="28"/>
                <c:pt idx="0">
                  <c:v>10/3/2016</c:v>
                </c:pt>
                <c:pt idx="1">
                  <c:v>10/4/2016</c:v>
                </c:pt>
                <c:pt idx="2">
                  <c:v>10/5/2016</c:v>
                </c:pt>
                <c:pt idx="3">
                  <c:v>10/6/2016</c:v>
                </c:pt>
                <c:pt idx="4">
                  <c:v>10/7/2016</c:v>
                </c:pt>
                <c:pt idx="5">
                  <c:v>10/8/2016</c:v>
                </c:pt>
                <c:pt idx="6">
                  <c:v>10/10/2016</c:v>
                </c:pt>
                <c:pt idx="7">
                  <c:v>10/11/2016</c:v>
                </c:pt>
                <c:pt idx="8">
                  <c:v>10/12/2016</c:v>
                </c:pt>
                <c:pt idx="9">
                  <c:v>10/13/2016</c:v>
                </c:pt>
                <c:pt idx="10">
                  <c:v>10/14/2016</c:v>
                </c:pt>
                <c:pt idx="11">
                  <c:v>10/15/2016</c:v>
                </c:pt>
                <c:pt idx="12">
                  <c:v>10/16/2016</c:v>
                </c:pt>
                <c:pt idx="13">
                  <c:v>10/17/2016</c:v>
                </c:pt>
                <c:pt idx="14">
                  <c:v>10/18/2016</c:v>
                </c:pt>
                <c:pt idx="15">
                  <c:v>10/19/2016</c:v>
                </c:pt>
                <c:pt idx="16">
                  <c:v>10/20/2016</c:v>
                </c:pt>
                <c:pt idx="17">
                  <c:v>10/21/2016</c:v>
                </c:pt>
                <c:pt idx="18">
                  <c:v>10/25/2016</c:v>
                </c:pt>
                <c:pt idx="19">
                  <c:v>10/26/2016</c:v>
                </c:pt>
                <c:pt idx="20">
                  <c:v>10/27/2016</c:v>
                </c:pt>
                <c:pt idx="21">
                  <c:v>10/28/2016</c:v>
                </c:pt>
                <c:pt idx="22">
                  <c:v>10/29/2016</c:v>
                </c:pt>
                <c:pt idx="23">
                  <c:v>10/30/2016</c:v>
                </c:pt>
                <c:pt idx="24">
                  <c:v>10/31/2016</c:v>
                </c:pt>
                <c:pt idx="25">
                  <c:v>11/1/2016</c:v>
                </c:pt>
                <c:pt idx="26">
                  <c:v>11/2/2016</c:v>
                </c:pt>
                <c:pt idx="27">
                  <c:v>(blank)</c:v>
                </c:pt>
              </c:strCache>
            </c:strRef>
          </c:cat>
          <c:val>
            <c:numRef>
              <c:f>'Timing Table'!$EU$10:$EU$38</c:f>
              <c:numCache>
                <c:formatCode>General</c:formatCode>
                <c:ptCount val="28"/>
                <c:pt idx="25">
                  <c:v>1</c:v>
                </c:pt>
              </c:numCache>
            </c:numRef>
          </c:val>
        </c:ser>
        <c:ser>
          <c:idx val="38"/>
          <c:order val="38"/>
          <c:tx>
            <c:strRef>
              <c:f>'Timing Table'!$EY$4:$EY$9</c:f>
              <c:strCache>
                <c:ptCount val="1"/>
                <c:pt idx="0">
                  <c:v>INFORMATION - 3073 - Others - Applications - Frequent</c:v>
                </c:pt>
              </c:strCache>
            </c:strRef>
          </c:tx>
          <c:invertIfNegative val="0"/>
          <c:cat>
            <c:strRef>
              <c:f>'Timing Table'!$A$10:$A$38</c:f>
              <c:strCache>
                <c:ptCount val="28"/>
                <c:pt idx="0">
                  <c:v>10/3/2016</c:v>
                </c:pt>
                <c:pt idx="1">
                  <c:v>10/4/2016</c:v>
                </c:pt>
                <c:pt idx="2">
                  <c:v>10/5/2016</c:v>
                </c:pt>
                <c:pt idx="3">
                  <c:v>10/6/2016</c:v>
                </c:pt>
                <c:pt idx="4">
                  <c:v>10/7/2016</c:v>
                </c:pt>
                <c:pt idx="5">
                  <c:v>10/8/2016</c:v>
                </c:pt>
                <c:pt idx="6">
                  <c:v>10/10/2016</c:v>
                </c:pt>
                <c:pt idx="7">
                  <c:v>10/11/2016</c:v>
                </c:pt>
                <c:pt idx="8">
                  <c:v>10/12/2016</c:v>
                </c:pt>
                <c:pt idx="9">
                  <c:v>10/13/2016</c:v>
                </c:pt>
                <c:pt idx="10">
                  <c:v>10/14/2016</c:v>
                </c:pt>
                <c:pt idx="11">
                  <c:v>10/15/2016</c:v>
                </c:pt>
                <c:pt idx="12">
                  <c:v>10/16/2016</c:v>
                </c:pt>
                <c:pt idx="13">
                  <c:v>10/17/2016</c:v>
                </c:pt>
                <c:pt idx="14">
                  <c:v>10/18/2016</c:v>
                </c:pt>
                <c:pt idx="15">
                  <c:v>10/19/2016</c:v>
                </c:pt>
                <c:pt idx="16">
                  <c:v>10/20/2016</c:v>
                </c:pt>
                <c:pt idx="17">
                  <c:v>10/21/2016</c:v>
                </c:pt>
                <c:pt idx="18">
                  <c:v>10/25/2016</c:v>
                </c:pt>
                <c:pt idx="19">
                  <c:v>10/26/2016</c:v>
                </c:pt>
                <c:pt idx="20">
                  <c:v>10/27/2016</c:v>
                </c:pt>
                <c:pt idx="21">
                  <c:v>10/28/2016</c:v>
                </c:pt>
                <c:pt idx="22">
                  <c:v>10/29/2016</c:v>
                </c:pt>
                <c:pt idx="23">
                  <c:v>10/30/2016</c:v>
                </c:pt>
                <c:pt idx="24">
                  <c:v>10/31/2016</c:v>
                </c:pt>
                <c:pt idx="25">
                  <c:v>11/1/2016</c:v>
                </c:pt>
                <c:pt idx="26">
                  <c:v>11/2/2016</c:v>
                </c:pt>
                <c:pt idx="27">
                  <c:v>(blank)</c:v>
                </c:pt>
              </c:strCache>
            </c:strRef>
          </c:cat>
          <c:val>
            <c:numRef>
              <c:f>'Timing Table'!$EY$10:$EY$38</c:f>
              <c:numCache>
                <c:formatCode>General</c:formatCode>
                <c:ptCount val="28"/>
                <c:pt idx="17">
                  <c:v>2</c:v>
                </c:pt>
              </c:numCache>
            </c:numRef>
          </c:val>
        </c:ser>
        <c:ser>
          <c:idx val="39"/>
          <c:order val="39"/>
          <c:tx>
            <c:strRef>
              <c:f>'Timing Table'!$FC$4:$FC$9</c:f>
              <c:strCache>
                <c:ptCount val="1"/>
                <c:pt idx="0">
                  <c:v>INFORMATION - 3075 - Others - Host - Frequent</c:v>
                </c:pt>
              </c:strCache>
            </c:strRef>
          </c:tx>
          <c:invertIfNegative val="0"/>
          <c:cat>
            <c:strRef>
              <c:f>'Timing Table'!$A$10:$A$38</c:f>
              <c:strCache>
                <c:ptCount val="28"/>
                <c:pt idx="0">
                  <c:v>10/3/2016</c:v>
                </c:pt>
                <c:pt idx="1">
                  <c:v>10/4/2016</c:v>
                </c:pt>
                <c:pt idx="2">
                  <c:v>10/5/2016</c:v>
                </c:pt>
                <c:pt idx="3">
                  <c:v>10/6/2016</c:v>
                </c:pt>
                <c:pt idx="4">
                  <c:v>10/7/2016</c:v>
                </c:pt>
                <c:pt idx="5">
                  <c:v>10/8/2016</c:v>
                </c:pt>
                <c:pt idx="6">
                  <c:v>10/10/2016</c:v>
                </c:pt>
                <c:pt idx="7">
                  <c:v>10/11/2016</c:v>
                </c:pt>
                <c:pt idx="8">
                  <c:v>10/12/2016</c:v>
                </c:pt>
                <c:pt idx="9">
                  <c:v>10/13/2016</c:v>
                </c:pt>
                <c:pt idx="10">
                  <c:v>10/14/2016</c:v>
                </c:pt>
                <c:pt idx="11">
                  <c:v>10/15/2016</c:v>
                </c:pt>
                <c:pt idx="12">
                  <c:v>10/16/2016</c:v>
                </c:pt>
                <c:pt idx="13">
                  <c:v>10/17/2016</c:v>
                </c:pt>
                <c:pt idx="14">
                  <c:v>10/18/2016</c:v>
                </c:pt>
                <c:pt idx="15">
                  <c:v>10/19/2016</c:v>
                </c:pt>
                <c:pt idx="16">
                  <c:v>10/20/2016</c:v>
                </c:pt>
                <c:pt idx="17">
                  <c:v>10/21/2016</c:v>
                </c:pt>
                <c:pt idx="18">
                  <c:v>10/25/2016</c:v>
                </c:pt>
                <c:pt idx="19">
                  <c:v>10/26/2016</c:v>
                </c:pt>
                <c:pt idx="20">
                  <c:v>10/27/2016</c:v>
                </c:pt>
                <c:pt idx="21">
                  <c:v>10/28/2016</c:v>
                </c:pt>
                <c:pt idx="22">
                  <c:v>10/29/2016</c:v>
                </c:pt>
                <c:pt idx="23">
                  <c:v>10/30/2016</c:v>
                </c:pt>
                <c:pt idx="24">
                  <c:v>10/31/2016</c:v>
                </c:pt>
                <c:pt idx="25">
                  <c:v>11/1/2016</c:v>
                </c:pt>
                <c:pt idx="26">
                  <c:v>11/2/2016</c:v>
                </c:pt>
                <c:pt idx="27">
                  <c:v>(blank)</c:v>
                </c:pt>
              </c:strCache>
            </c:strRef>
          </c:cat>
          <c:val>
            <c:numRef>
              <c:f>'Timing Table'!$FC$10:$FC$38</c:f>
              <c:numCache>
                <c:formatCode>General</c:formatCode>
                <c:ptCount val="28"/>
                <c:pt idx="1">
                  <c:v>1</c:v>
                </c:pt>
                <c:pt idx="25">
                  <c:v>1</c:v>
                </c:pt>
                <c:pt idx="26">
                  <c:v>5</c:v>
                </c:pt>
              </c:numCache>
            </c:numRef>
          </c:val>
        </c:ser>
        <c:ser>
          <c:idx val="40"/>
          <c:order val="40"/>
          <c:tx>
            <c:strRef>
              <c:f>'Timing Table'!$FG$4:$FG$9</c:f>
              <c:strCache>
                <c:ptCount val="1"/>
                <c:pt idx="0">
                  <c:v>INFORMATION - 3076 - Others - QC - Frequent</c:v>
                </c:pt>
              </c:strCache>
            </c:strRef>
          </c:tx>
          <c:invertIfNegative val="0"/>
          <c:cat>
            <c:strRef>
              <c:f>'Timing Table'!$A$10:$A$38</c:f>
              <c:strCache>
                <c:ptCount val="28"/>
                <c:pt idx="0">
                  <c:v>10/3/2016</c:v>
                </c:pt>
                <c:pt idx="1">
                  <c:v>10/4/2016</c:v>
                </c:pt>
                <c:pt idx="2">
                  <c:v>10/5/2016</c:v>
                </c:pt>
                <c:pt idx="3">
                  <c:v>10/6/2016</c:v>
                </c:pt>
                <c:pt idx="4">
                  <c:v>10/7/2016</c:v>
                </c:pt>
                <c:pt idx="5">
                  <c:v>10/8/2016</c:v>
                </c:pt>
                <c:pt idx="6">
                  <c:v>10/10/2016</c:v>
                </c:pt>
                <c:pt idx="7">
                  <c:v>10/11/2016</c:v>
                </c:pt>
                <c:pt idx="8">
                  <c:v>10/12/2016</c:v>
                </c:pt>
                <c:pt idx="9">
                  <c:v>10/13/2016</c:v>
                </c:pt>
                <c:pt idx="10">
                  <c:v>10/14/2016</c:v>
                </c:pt>
                <c:pt idx="11">
                  <c:v>10/15/2016</c:v>
                </c:pt>
                <c:pt idx="12">
                  <c:v>10/16/2016</c:v>
                </c:pt>
                <c:pt idx="13">
                  <c:v>10/17/2016</c:v>
                </c:pt>
                <c:pt idx="14">
                  <c:v>10/18/2016</c:v>
                </c:pt>
                <c:pt idx="15">
                  <c:v>10/19/2016</c:v>
                </c:pt>
                <c:pt idx="16">
                  <c:v>10/20/2016</c:v>
                </c:pt>
                <c:pt idx="17">
                  <c:v>10/21/2016</c:v>
                </c:pt>
                <c:pt idx="18">
                  <c:v>10/25/2016</c:v>
                </c:pt>
                <c:pt idx="19">
                  <c:v>10/26/2016</c:v>
                </c:pt>
                <c:pt idx="20">
                  <c:v>10/27/2016</c:v>
                </c:pt>
                <c:pt idx="21">
                  <c:v>10/28/2016</c:v>
                </c:pt>
                <c:pt idx="22">
                  <c:v>10/29/2016</c:v>
                </c:pt>
                <c:pt idx="23">
                  <c:v>10/30/2016</c:v>
                </c:pt>
                <c:pt idx="24">
                  <c:v>10/31/2016</c:v>
                </c:pt>
                <c:pt idx="25">
                  <c:v>11/1/2016</c:v>
                </c:pt>
                <c:pt idx="26">
                  <c:v>11/2/2016</c:v>
                </c:pt>
                <c:pt idx="27">
                  <c:v>(blank)</c:v>
                </c:pt>
              </c:strCache>
            </c:strRef>
          </c:cat>
          <c:val>
            <c:numRef>
              <c:f>'Timing Table'!$FG$10:$FG$38</c:f>
              <c:numCache>
                <c:formatCode>General</c:formatCode>
                <c:ptCount val="28"/>
                <c:pt idx="4">
                  <c:v>6</c:v>
                </c:pt>
              </c:numCache>
            </c:numRef>
          </c:val>
        </c:ser>
        <c:ser>
          <c:idx val="41"/>
          <c:order val="41"/>
          <c:tx>
            <c:strRef>
              <c:f>'Timing Table'!$FK$4:$FK$9</c:f>
              <c:strCache>
                <c:ptCount val="1"/>
                <c:pt idx="0">
                  <c:v>INFORMATION - 3078 - Others - QC - Frequent</c:v>
                </c:pt>
              </c:strCache>
            </c:strRef>
          </c:tx>
          <c:invertIfNegative val="0"/>
          <c:cat>
            <c:strRef>
              <c:f>'Timing Table'!$A$10:$A$38</c:f>
              <c:strCache>
                <c:ptCount val="28"/>
                <c:pt idx="0">
                  <c:v>10/3/2016</c:v>
                </c:pt>
                <c:pt idx="1">
                  <c:v>10/4/2016</c:v>
                </c:pt>
                <c:pt idx="2">
                  <c:v>10/5/2016</c:v>
                </c:pt>
                <c:pt idx="3">
                  <c:v>10/6/2016</c:v>
                </c:pt>
                <c:pt idx="4">
                  <c:v>10/7/2016</c:v>
                </c:pt>
                <c:pt idx="5">
                  <c:v>10/8/2016</c:v>
                </c:pt>
                <c:pt idx="6">
                  <c:v>10/10/2016</c:v>
                </c:pt>
                <c:pt idx="7">
                  <c:v>10/11/2016</c:v>
                </c:pt>
                <c:pt idx="8">
                  <c:v>10/12/2016</c:v>
                </c:pt>
                <c:pt idx="9">
                  <c:v>10/13/2016</c:v>
                </c:pt>
                <c:pt idx="10">
                  <c:v>10/14/2016</c:v>
                </c:pt>
                <c:pt idx="11">
                  <c:v>10/15/2016</c:v>
                </c:pt>
                <c:pt idx="12">
                  <c:v>10/16/2016</c:v>
                </c:pt>
                <c:pt idx="13">
                  <c:v>10/17/2016</c:v>
                </c:pt>
                <c:pt idx="14">
                  <c:v>10/18/2016</c:v>
                </c:pt>
                <c:pt idx="15">
                  <c:v>10/19/2016</c:v>
                </c:pt>
                <c:pt idx="16">
                  <c:v>10/20/2016</c:v>
                </c:pt>
                <c:pt idx="17">
                  <c:v>10/21/2016</c:v>
                </c:pt>
                <c:pt idx="18">
                  <c:v>10/25/2016</c:v>
                </c:pt>
                <c:pt idx="19">
                  <c:v>10/26/2016</c:v>
                </c:pt>
                <c:pt idx="20">
                  <c:v>10/27/2016</c:v>
                </c:pt>
                <c:pt idx="21">
                  <c:v>10/28/2016</c:v>
                </c:pt>
                <c:pt idx="22">
                  <c:v>10/29/2016</c:v>
                </c:pt>
                <c:pt idx="23">
                  <c:v>10/30/2016</c:v>
                </c:pt>
                <c:pt idx="24">
                  <c:v>10/31/2016</c:v>
                </c:pt>
                <c:pt idx="25">
                  <c:v>11/1/2016</c:v>
                </c:pt>
                <c:pt idx="26">
                  <c:v>11/2/2016</c:v>
                </c:pt>
                <c:pt idx="27">
                  <c:v>(blank)</c:v>
                </c:pt>
              </c:strCache>
            </c:strRef>
          </c:cat>
          <c:val>
            <c:numRef>
              <c:f>'Timing Table'!$FK$10:$FK$38</c:f>
              <c:numCache>
                <c:formatCode>General</c:formatCode>
                <c:ptCount val="28"/>
                <c:pt idx="4">
                  <c:v>1</c:v>
                </c:pt>
                <c:pt idx="25">
                  <c:v>16</c:v>
                </c:pt>
              </c:numCache>
            </c:numRef>
          </c:val>
        </c:ser>
        <c:ser>
          <c:idx val="42"/>
          <c:order val="42"/>
          <c:tx>
            <c:strRef>
              <c:f>'Timing Table'!$FO$4:$FO$9</c:f>
              <c:strCache>
                <c:ptCount val="1"/>
                <c:pt idx="0">
                  <c:v>INFORMATION - 3079 - Others - QC - Frequent</c:v>
                </c:pt>
              </c:strCache>
            </c:strRef>
          </c:tx>
          <c:invertIfNegative val="0"/>
          <c:cat>
            <c:strRef>
              <c:f>'Timing Table'!$A$10:$A$38</c:f>
              <c:strCache>
                <c:ptCount val="28"/>
                <c:pt idx="0">
                  <c:v>10/3/2016</c:v>
                </c:pt>
                <c:pt idx="1">
                  <c:v>10/4/2016</c:v>
                </c:pt>
                <c:pt idx="2">
                  <c:v>10/5/2016</c:v>
                </c:pt>
                <c:pt idx="3">
                  <c:v>10/6/2016</c:v>
                </c:pt>
                <c:pt idx="4">
                  <c:v>10/7/2016</c:v>
                </c:pt>
                <c:pt idx="5">
                  <c:v>10/8/2016</c:v>
                </c:pt>
                <c:pt idx="6">
                  <c:v>10/10/2016</c:v>
                </c:pt>
                <c:pt idx="7">
                  <c:v>10/11/2016</c:v>
                </c:pt>
                <c:pt idx="8">
                  <c:v>10/12/2016</c:v>
                </c:pt>
                <c:pt idx="9">
                  <c:v>10/13/2016</c:v>
                </c:pt>
                <c:pt idx="10">
                  <c:v>10/14/2016</c:v>
                </c:pt>
                <c:pt idx="11">
                  <c:v>10/15/2016</c:v>
                </c:pt>
                <c:pt idx="12">
                  <c:v>10/16/2016</c:v>
                </c:pt>
                <c:pt idx="13">
                  <c:v>10/17/2016</c:v>
                </c:pt>
                <c:pt idx="14">
                  <c:v>10/18/2016</c:v>
                </c:pt>
                <c:pt idx="15">
                  <c:v>10/19/2016</c:v>
                </c:pt>
                <c:pt idx="16">
                  <c:v>10/20/2016</c:v>
                </c:pt>
                <c:pt idx="17">
                  <c:v>10/21/2016</c:v>
                </c:pt>
                <c:pt idx="18">
                  <c:v>10/25/2016</c:v>
                </c:pt>
                <c:pt idx="19">
                  <c:v>10/26/2016</c:v>
                </c:pt>
                <c:pt idx="20">
                  <c:v>10/27/2016</c:v>
                </c:pt>
                <c:pt idx="21">
                  <c:v>10/28/2016</c:v>
                </c:pt>
                <c:pt idx="22">
                  <c:v>10/29/2016</c:v>
                </c:pt>
                <c:pt idx="23">
                  <c:v>10/30/2016</c:v>
                </c:pt>
                <c:pt idx="24">
                  <c:v>10/31/2016</c:v>
                </c:pt>
                <c:pt idx="25">
                  <c:v>11/1/2016</c:v>
                </c:pt>
                <c:pt idx="26">
                  <c:v>11/2/2016</c:v>
                </c:pt>
                <c:pt idx="27">
                  <c:v>(blank)</c:v>
                </c:pt>
              </c:strCache>
            </c:strRef>
          </c:cat>
          <c:val>
            <c:numRef>
              <c:f>'Timing Table'!$FO$10:$FO$38</c:f>
              <c:numCache>
                <c:formatCode>General</c:formatCode>
                <c:ptCount val="28"/>
                <c:pt idx="25">
                  <c:v>16</c:v>
                </c:pt>
              </c:numCache>
            </c:numRef>
          </c:val>
        </c:ser>
        <c:ser>
          <c:idx val="43"/>
          <c:order val="43"/>
          <c:tx>
            <c:strRef>
              <c:f>'Timing Table'!$FS$4:$FS$9</c:f>
              <c:strCache>
                <c:ptCount val="1"/>
                <c:pt idx="0">
                  <c:v>INFORMATION - 3080 - Others - QC - Frequent</c:v>
                </c:pt>
              </c:strCache>
            </c:strRef>
          </c:tx>
          <c:invertIfNegative val="0"/>
          <c:cat>
            <c:strRef>
              <c:f>'Timing Table'!$A$10:$A$38</c:f>
              <c:strCache>
                <c:ptCount val="28"/>
                <c:pt idx="0">
                  <c:v>10/3/2016</c:v>
                </c:pt>
                <c:pt idx="1">
                  <c:v>10/4/2016</c:v>
                </c:pt>
                <c:pt idx="2">
                  <c:v>10/5/2016</c:v>
                </c:pt>
                <c:pt idx="3">
                  <c:v>10/6/2016</c:v>
                </c:pt>
                <c:pt idx="4">
                  <c:v>10/7/2016</c:v>
                </c:pt>
                <c:pt idx="5">
                  <c:v>10/8/2016</c:v>
                </c:pt>
                <c:pt idx="6">
                  <c:v>10/10/2016</c:v>
                </c:pt>
                <c:pt idx="7">
                  <c:v>10/11/2016</c:v>
                </c:pt>
                <c:pt idx="8">
                  <c:v>10/12/2016</c:v>
                </c:pt>
                <c:pt idx="9">
                  <c:v>10/13/2016</c:v>
                </c:pt>
                <c:pt idx="10">
                  <c:v>10/14/2016</c:v>
                </c:pt>
                <c:pt idx="11">
                  <c:v>10/15/2016</c:v>
                </c:pt>
                <c:pt idx="12">
                  <c:v>10/16/2016</c:v>
                </c:pt>
                <c:pt idx="13">
                  <c:v>10/17/2016</c:v>
                </c:pt>
                <c:pt idx="14">
                  <c:v>10/18/2016</c:v>
                </c:pt>
                <c:pt idx="15">
                  <c:v>10/19/2016</c:v>
                </c:pt>
                <c:pt idx="16">
                  <c:v>10/20/2016</c:v>
                </c:pt>
                <c:pt idx="17">
                  <c:v>10/21/2016</c:v>
                </c:pt>
                <c:pt idx="18">
                  <c:v>10/25/2016</c:v>
                </c:pt>
                <c:pt idx="19">
                  <c:v>10/26/2016</c:v>
                </c:pt>
                <c:pt idx="20">
                  <c:v>10/27/2016</c:v>
                </c:pt>
                <c:pt idx="21">
                  <c:v>10/28/2016</c:v>
                </c:pt>
                <c:pt idx="22">
                  <c:v>10/29/2016</c:v>
                </c:pt>
                <c:pt idx="23">
                  <c:v>10/30/2016</c:v>
                </c:pt>
                <c:pt idx="24">
                  <c:v>10/31/2016</c:v>
                </c:pt>
                <c:pt idx="25">
                  <c:v>11/1/2016</c:v>
                </c:pt>
                <c:pt idx="26">
                  <c:v>11/2/2016</c:v>
                </c:pt>
                <c:pt idx="27">
                  <c:v>(blank)</c:v>
                </c:pt>
              </c:strCache>
            </c:strRef>
          </c:cat>
          <c:val>
            <c:numRef>
              <c:f>'Timing Table'!$FS$10:$FS$38</c:f>
              <c:numCache>
                <c:formatCode>General</c:formatCode>
                <c:ptCount val="28"/>
                <c:pt idx="4">
                  <c:v>1</c:v>
                </c:pt>
                <c:pt idx="17">
                  <c:v>19</c:v>
                </c:pt>
              </c:numCache>
            </c:numRef>
          </c:val>
        </c:ser>
        <c:ser>
          <c:idx val="44"/>
          <c:order val="44"/>
          <c:tx>
            <c:strRef>
              <c:f>'Timing Table'!$FW$4:$FW$9</c:f>
              <c:strCache>
                <c:ptCount val="1"/>
                <c:pt idx="0">
                  <c:v>INFORMATION - 3081 - Others - QC - Frequent</c:v>
                </c:pt>
              </c:strCache>
            </c:strRef>
          </c:tx>
          <c:invertIfNegative val="0"/>
          <c:cat>
            <c:strRef>
              <c:f>'Timing Table'!$A$10:$A$38</c:f>
              <c:strCache>
                <c:ptCount val="28"/>
                <c:pt idx="0">
                  <c:v>10/3/2016</c:v>
                </c:pt>
                <c:pt idx="1">
                  <c:v>10/4/2016</c:v>
                </c:pt>
                <c:pt idx="2">
                  <c:v>10/5/2016</c:v>
                </c:pt>
                <c:pt idx="3">
                  <c:v>10/6/2016</c:v>
                </c:pt>
                <c:pt idx="4">
                  <c:v>10/7/2016</c:v>
                </c:pt>
                <c:pt idx="5">
                  <c:v>10/8/2016</c:v>
                </c:pt>
                <c:pt idx="6">
                  <c:v>10/10/2016</c:v>
                </c:pt>
                <c:pt idx="7">
                  <c:v>10/11/2016</c:v>
                </c:pt>
                <c:pt idx="8">
                  <c:v>10/12/2016</c:v>
                </c:pt>
                <c:pt idx="9">
                  <c:v>10/13/2016</c:v>
                </c:pt>
                <c:pt idx="10">
                  <c:v>10/14/2016</c:v>
                </c:pt>
                <c:pt idx="11">
                  <c:v>10/15/2016</c:v>
                </c:pt>
                <c:pt idx="12">
                  <c:v>10/16/2016</c:v>
                </c:pt>
                <c:pt idx="13">
                  <c:v>10/17/2016</c:v>
                </c:pt>
                <c:pt idx="14">
                  <c:v>10/18/2016</c:v>
                </c:pt>
                <c:pt idx="15">
                  <c:v>10/19/2016</c:v>
                </c:pt>
                <c:pt idx="16">
                  <c:v>10/20/2016</c:v>
                </c:pt>
                <c:pt idx="17">
                  <c:v>10/21/2016</c:v>
                </c:pt>
                <c:pt idx="18">
                  <c:v>10/25/2016</c:v>
                </c:pt>
                <c:pt idx="19">
                  <c:v>10/26/2016</c:v>
                </c:pt>
                <c:pt idx="20">
                  <c:v>10/27/2016</c:v>
                </c:pt>
                <c:pt idx="21">
                  <c:v>10/28/2016</c:v>
                </c:pt>
                <c:pt idx="22">
                  <c:v>10/29/2016</c:v>
                </c:pt>
                <c:pt idx="23">
                  <c:v>10/30/2016</c:v>
                </c:pt>
                <c:pt idx="24">
                  <c:v>10/31/2016</c:v>
                </c:pt>
                <c:pt idx="25">
                  <c:v>11/1/2016</c:v>
                </c:pt>
                <c:pt idx="26">
                  <c:v>11/2/2016</c:v>
                </c:pt>
                <c:pt idx="27">
                  <c:v>(blank)</c:v>
                </c:pt>
              </c:strCache>
            </c:strRef>
          </c:cat>
          <c:val>
            <c:numRef>
              <c:f>'Timing Table'!$FW$10:$FW$38</c:f>
              <c:numCache>
                <c:formatCode>General</c:formatCode>
                <c:ptCount val="28"/>
                <c:pt idx="4">
                  <c:v>1</c:v>
                </c:pt>
                <c:pt idx="17">
                  <c:v>4</c:v>
                </c:pt>
              </c:numCache>
            </c:numRef>
          </c:val>
        </c:ser>
        <c:ser>
          <c:idx val="45"/>
          <c:order val="45"/>
          <c:tx>
            <c:strRef>
              <c:f>'Timing Table'!$GA$4:$GA$9</c:f>
              <c:strCache>
                <c:ptCount val="1"/>
                <c:pt idx="0">
                  <c:v>INFORMATION - 3100 - Others - Applications - Frequent</c:v>
                </c:pt>
              </c:strCache>
            </c:strRef>
          </c:tx>
          <c:invertIfNegative val="0"/>
          <c:cat>
            <c:strRef>
              <c:f>'Timing Table'!$A$10:$A$38</c:f>
              <c:strCache>
                <c:ptCount val="28"/>
                <c:pt idx="0">
                  <c:v>10/3/2016</c:v>
                </c:pt>
                <c:pt idx="1">
                  <c:v>10/4/2016</c:v>
                </c:pt>
                <c:pt idx="2">
                  <c:v>10/5/2016</c:v>
                </c:pt>
                <c:pt idx="3">
                  <c:v>10/6/2016</c:v>
                </c:pt>
                <c:pt idx="4">
                  <c:v>10/7/2016</c:v>
                </c:pt>
                <c:pt idx="5">
                  <c:v>10/8/2016</c:v>
                </c:pt>
                <c:pt idx="6">
                  <c:v>10/10/2016</c:v>
                </c:pt>
                <c:pt idx="7">
                  <c:v>10/11/2016</c:v>
                </c:pt>
                <c:pt idx="8">
                  <c:v>10/12/2016</c:v>
                </c:pt>
                <c:pt idx="9">
                  <c:v>10/13/2016</c:v>
                </c:pt>
                <c:pt idx="10">
                  <c:v>10/14/2016</c:v>
                </c:pt>
                <c:pt idx="11">
                  <c:v>10/15/2016</c:v>
                </c:pt>
                <c:pt idx="12">
                  <c:v>10/16/2016</c:v>
                </c:pt>
                <c:pt idx="13">
                  <c:v>10/17/2016</c:v>
                </c:pt>
                <c:pt idx="14">
                  <c:v>10/18/2016</c:v>
                </c:pt>
                <c:pt idx="15">
                  <c:v>10/19/2016</c:v>
                </c:pt>
                <c:pt idx="16">
                  <c:v>10/20/2016</c:v>
                </c:pt>
                <c:pt idx="17">
                  <c:v>10/21/2016</c:v>
                </c:pt>
                <c:pt idx="18">
                  <c:v>10/25/2016</c:v>
                </c:pt>
                <c:pt idx="19">
                  <c:v>10/26/2016</c:v>
                </c:pt>
                <c:pt idx="20">
                  <c:v>10/27/2016</c:v>
                </c:pt>
                <c:pt idx="21">
                  <c:v>10/28/2016</c:v>
                </c:pt>
                <c:pt idx="22">
                  <c:v>10/29/2016</c:v>
                </c:pt>
                <c:pt idx="23">
                  <c:v>10/30/2016</c:v>
                </c:pt>
                <c:pt idx="24">
                  <c:v>10/31/2016</c:v>
                </c:pt>
                <c:pt idx="25">
                  <c:v>11/1/2016</c:v>
                </c:pt>
                <c:pt idx="26">
                  <c:v>11/2/2016</c:v>
                </c:pt>
                <c:pt idx="27">
                  <c:v>(blank)</c:v>
                </c:pt>
              </c:strCache>
            </c:strRef>
          </c:cat>
          <c:val>
            <c:numRef>
              <c:f>'Timing Table'!$GA$10:$GA$38</c:f>
              <c:numCache>
                <c:formatCode>General</c:formatCode>
                <c:ptCount val="28"/>
                <c:pt idx="26">
                  <c:v>1</c:v>
                </c:pt>
              </c:numCache>
            </c:numRef>
          </c:val>
        </c:ser>
        <c:ser>
          <c:idx val="46"/>
          <c:order val="46"/>
          <c:tx>
            <c:strRef>
              <c:f>'Timing Table'!$GE$4:$GE$9</c:f>
              <c:strCache>
                <c:ptCount val="1"/>
                <c:pt idx="0">
                  <c:v>INFORMATION - 3106 - Others - Applications - Frequent</c:v>
                </c:pt>
              </c:strCache>
            </c:strRef>
          </c:tx>
          <c:invertIfNegative val="0"/>
          <c:cat>
            <c:strRef>
              <c:f>'Timing Table'!$A$10:$A$38</c:f>
              <c:strCache>
                <c:ptCount val="28"/>
                <c:pt idx="0">
                  <c:v>10/3/2016</c:v>
                </c:pt>
                <c:pt idx="1">
                  <c:v>10/4/2016</c:v>
                </c:pt>
                <c:pt idx="2">
                  <c:v>10/5/2016</c:v>
                </c:pt>
                <c:pt idx="3">
                  <c:v>10/6/2016</c:v>
                </c:pt>
                <c:pt idx="4">
                  <c:v>10/7/2016</c:v>
                </c:pt>
                <c:pt idx="5">
                  <c:v>10/8/2016</c:v>
                </c:pt>
                <c:pt idx="6">
                  <c:v>10/10/2016</c:v>
                </c:pt>
                <c:pt idx="7">
                  <c:v>10/11/2016</c:v>
                </c:pt>
                <c:pt idx="8">
                  <c:v>10/12/2016</c:v>
                </c:pt>
                <c:pt idx="9">
                  <c:v>10/13/2016</c:v>
                </c:pt>
                <c:pt idx="10">
                  <c:v>10/14/2016</c:v>
                </c:pt>
                <c:pt idx="11">
                  <c:v>10/15/2016</c:v>
                </c:pt>
                <c:pt idx="12">
                  <c:v>10/16/2016</c:v>
                </c:pt>
                <c:pt idx="13">
                  <c:v>10/17/2016</c:v>
                </c:pt>
                <c:pt idx="14">
                  <c:v>10/18/2016</c:v>
                </c:pt>
                <c:pt idx="15">
                  <c:v>10/19/2016</c:v>
                </c:pt>
                <c:pt idx="16">
                  <c:v>10/20/2016</c:v>
                </c:pt>
                <c:pt idx="17">
                  <c:v>10/21/2016</c:v>
                </c:pt>
                <c:pt idx="18">
                  <c:v>10/25/2016</c:v>
                </c:pt>
                <c:pt idx="19">
                  <c:v>10/26/2016</c:v>
                </c:pt>
                <c:pt idx="20">
                  <c:v>10/27/2016</c:v>
                </c:pt>
                <c:pt idx="21">
                  <c:v>10/28/2016</c:v>
                </c:pt>
                <c:pt idx="22">
                  <c:v>10/29/2016</c:v>
                </c:pt>
                <c:pt idx="23">
                  <c:v>10/30/2016</c:v>
                </c:pt>
                <c:pt idx="24">
                  <c:v>10/31/2016</c:v>
                </c:pt>
                <c:pt idx="25">
                  <c:v>11/1/2016</c:v>
                </c:pt>
                <c:pt idx="26">
                  <c:v>11/2/2016</c:v>
                </c:pt>
                <c:pt idx="27">
                  <c:v>(blank)</c:v>
                </c:pt>
              </c:strCache>
            </c:strRef>
          </c:cat>
          <c:val>
            <c:numRef>
              <c:f>'Timing Table'!$GE$10:$GE$38</c:f>
              <c:numCache>
                <c:formatCode>General</c:formatCode>
                <c:ptCount val="28"/>
                <c:pt idx="1">
                  <c:v>1</c:v>
                </c:pt>
                <c:pt idx="2">
                  <c:v>2</c:v>
                </c:pt>
                <c:pt idx="4">
                  <c:v>1</c:v>
                </c:pt>
                <c:pt idx="14">
                  <c:v>2</c:v>
                </c:pt>
                <c:pt idx="15">
                  <c:v>1</c:v>
                </c:pt>
                <c:pt idx="16">
                  <c:v>1</c:v>
                </c:pt>
                <c:pt idx="17">
                  <c:v>1</c:v>
                </c:pt>
                <c:pt idx="18">
                  <c:v>2</c:v>
                </c:pt>
                <c:pt idx="19">
                  <c:v>2</c:v>
                </c:pt>
                <c:pt idx="20">
                  <c:v>2</c:v>
                </c:pt>
                <c:pt idx="21">
                  <c:v>1</c:v>
                </c:pt>
                <c:pt idx="24">
                  <c:v>1</c:v>
                </c:pt>
                <c:pt idx="25">
                  <c:v>3</c:v>
                </c:pt>
                <c:pt idx="26">
                  <c:v>6</c:v>
                </c:pt>
              </c:numCache>
            </c:numRef>
          </c:val>
        </c:ser>
        <c:ser>
          <c:idx val="47"/>
          <c:order val="47"/>
          <c:tx>
            <c:strRef>
              <c:f>'Timing Table'!$GI$4:$GI$9</c:f>
              <c:strCache>
                <c:ptCount val="1"/>
                <c:pt idx="0">
                  <c:v>INFORMATION - 3107 - Others - Applications - Frequent</c:v>
                </c:pt>
              </c:strCache>
            </c:strRef>
          </c:tx>
          <c:invertIfNegative val="0"/>
          <c:cat>
            <c:strRef>
              <c:f>'Timing Table'!$A$10:$A$38</c:f>
              <c:strCache>
                <c:ptCount val="28"/>
                <c:pt idx="0">
                  <c:v>10/3/2016</c:v>
                </c:pt>
                <c:pt idx="1">
                  <c:v>10/4/2016</c:v>
                </c:pt>
                <c:pt idx="2">
                  <c:v>10/5/2016</c:v>
                </c:pt>
                <c:pt idx="3">
                  <c:v>10/6/2016</c:v>
                </c:pt>
                <c:pt idx="4">
                  <c:v>10/7/2016</c:v>
                </c:pt>
                <c:pt idx="5">
                  <c:v>10/8/2016</c:v>
                </c:pt>
                <c:pt idx="6">
                  <c:v>10/10/2016</c:v>
                </c:pt>
                <c:pt idx="7">
                  <c:v>10/11/2016</c:v>
                </c:pt>
                <c:pt idx="8">
                  <c:v>10/12/2016</c:v>
                </c:pt>
                <c:pt idx="9">
                  <c:v>10/13/2016</c:v>
                </c:pt>
                <c:pt idx="10">
                  <c:v>10/14/2016</c:v>
                </c:pt>
                <c:pt idx="11">
                  <c:v>10/15/2016</c:v>
                </c:pt>
                <c:pt idx="12">
                  <c:v>10/16/2016</c:v>
                </c:pt>
                <c:pt idx="13">
                  <c:v>10/17/2016</c:v>
                </c:pt>
                <c:pt idx="14">
                  <c:v>10/18/2016</c:v>
                </c:pt>
                <c:pt idx="15">
                  <c:v>10/19/2016</c:v>
                </c:pt>
                <c:pt idx="16">
                  <c:v>10/20/2016</c:v>
                </c:pt>
                <c:pt idx="17">
                  <c:v>10/21/2016</c:v>
                </c:pt>
                <c:pt idx="18">
                  <c:v>10/25/2016</c:v>
                </c:pt>
                <c:pt idx="19">
                  <c:v>10/26/2016</c:v>
                </c:pt>
                <c:pt idx="20">
                  <c:v>10/27/2016</c:v>
                </c:pt>
                <c:pt idx="21">
                  <c:v>10/28/2016</c:v>
                </c:pt>
                <c:pt idx="22">
                  <c:v>10/29/2016</c:v>
                </c:pt>
                <c:pt idx="23">
                  <c:v>10/30/2016</c:v>
                </c:pt>
                <c:pt idx="24">
                  <c:v>10/31/2016</c:v>
                </c:pt>
                <c:pt idx="25">
                  <c:v>11/1/2016</c:v>
                </c:pt>
                <c:pt idx="26">
                  <c:v>11/2/2016</c:v>
                </c:pt>
                <c:pt idx="27">
                  <c:v>(blank)</c:v>
                </c:pt>
              </c:strCache>
            </c:strRef>
          </c:cat>
          <c:val>
            <c:numRef>
              <c:f>'Timing Table'!$GI$10:$GI$38</c:f>
              <c:numCache>
                <c:formatCode>General</c:formatCode>
                <c:ptCount val="28"/>
                <c:pt idx="14">
                  <c:v>1</c:v>
                </c:pt>
                <c:pt idx="24">
                  <c:v>1</c:v>
                </c:pt>
              </c:numCache>
            </c:numRef>
          </c:val>
        </c:ser>
        <c:ser>
          <c:idx val="48"/>
          <c:order val="48"/>
          <c:tx>
            <c:strRef>
              <c:f>'Timing Table'!$GM$4:$GM$9</c:f>
              <c:strCache>
                <c:ptCount val="1"/>
                <c:pt idx="0">
                  <c:v>INFORMATION - 3108 - Others - Applications - Frequent</c:v>
                </c:pt>
              </c:strCache>
            </c:strRef>
          </c:tx>
          <c:invertIfNegative val="0"/>
          <c:cat>
            <c:strRef>
              <c:f>'Timing Table'!$A$10:$A$38</c:f>
              <c:strCache>
                <c:ptCount val="28"/>
                <c:pt idx="0">
                  <c:v>10/3/2016</c:v>
                </c:pt>
                <c:pt idx="1">
                  <c:v>10/4/2016</c:v>
                </c:pt>
                <c:pt idx="2">
                  <c:v>10/5/2016</c:v>
                </c:pt>
                <c:pt idx="3">
                  <c:v>10/6/2016</c:v>
                </c:pt>
                <c:pt idx="4">
                  <c:v>10/7/2016</c:v>
                </c:pt>
                <c:pt idx="5">
                  <c:v>10/8/2016</c:v>
                </c:pt>
                <c:pt idx="6">
                  <c:v>10/10/2016</c:v>
                </c:pt>
                <c:pt idx="7">
                  <c:v>10/11/2016</c:v>
                </c:pt>
                <c:pt idx="8">
                  <c:v>10/12/2016</c:v>
                </c:pt>
                <c:pt idx="9">
                  <c:v>10/13/2016</c:v>
                </c:pt>
                <c:pt idx="10">
                  <c:v>10/14/2016</c:v>
                </c:pt>
                <c:pt idx="11">
                  <c:v>10/15/2016</c:v>
                </c:pt>
                <c:pt idx="12">
                  <c:v>10/16/2016</c:v>
                </c:pt>
                <c:pt idx="13">
                  <c:v>10/17/2016</c:v>
                </c:pt>
                <c:pt idx="14">
                  <c:v>10/18/2016</c:v>
                </c:pt>
                <c:pt idx="15">
                  <c:v>10/19/2016</c:v>
                </c:pt>
                <c:pt idx="16">
                  <c:v>10/20/2016</c:v>
                </c:pt>
                <c:pt idx="17">
                  <c:v>10/21/2016</c:v>
                </c:pt>
                <c:pt idx="18">
                  <c:v>10/25/2016</c:v>
                </c:pt>
                <c:pt idx="19">
                  <c:v>10/26/2016</c:v>
                </c:pt>
                <c:pt idx="20">
                  <c:v>10/27/2016</c:v>
                </c:pt>
                <c:pt idx="21">
                  <c:v>10/28/2016</c:v>
                </c:pt>
                <c:pt idx="22">
                  <c:v>10/29/2016</c:v>
                </c:pt>
                <c:pt idx="23">
                  <c:v>10/30/2016</c:v>
                </c:pt>
                <c:pt idx="24">
                  <c:v>10/31/2016</c:v>
                </c:pt>
                <c:pt idx="25">
                  <c:v>11/1/2016</c:v>
                </c:pt>
                <c:pt idx="26">
                  <c:v>11/2/2016</c:v>
                </c:pt>
                <c:pt idx="27">
                  <c:v>(blank)</c:v>
                </c:pt>
              </c:strCache>
            </c:strRef>
          </c:cat>
          <c:val>
            <c:numRef>
              <c:f>'Timing Table'!$GM$10:$GM$38</c:f>
              <c:numCache>
                <c:formatCode>General</c:formatCode>
                <c:ptCount val="28"/>
                <c:pt idx="1">
                  <c:v>1</c:v>
                </c:pt>
                <c:pt idx="2">
                  <c:v>2</c:v>
                </c:pt>
                <c:pt idx="4">
                  <c:v>1</c:v>
                </c:pt>
                <c:pt idx="14">
                  <c:v>2</c:v>
                </c:pt>
                <c:pt idx="15">
                  <c:v>1</c:v>
                </c:pt>
                <c:pt idx="16">
                  <c:v>1</c:v>
                </c:pt>
                <c:pt idx="17">
                  <c:v>1</c:v>
                </c:pt>
                <c:pt idx="18">
                  <c:v>1</c:v>
                </c:pt>
                <c:pt idx="25">
                  <c:v>2</c:v>
                </c:pt>
                <c:pt idx="26">
                  <c:v>6</c:v>
                </c:pt>
              </c:numCache>
            </c:numRef>
          </c:val>
        </c:ser>
        <c:ser>
          <c:idx val="49"/>
          <c:order val="49"/>
          <c:tx>
            <c:strRef>
              <c:f>'Timing Table'!$GQ$4:$GQ$9</c:f>
              <c:strCache>
                <c:ptCount val="1"/>
                <c:pt idx="0">
                  <c:v>INFORMATION - 3110 - Others - Applications - Frequent</c:v>
                </c:pt>
              </c:strCache>
            </c:strRef>
          </c:tx>
          <c:invertIfNegative val="0"/>
          <c:cat>
            <c:strRef>
              <c:f>'Timing Table'!$A$10:$A$38</c:f>
              <c:strCache>
                <c:ptCount val="28"/>
                <c:pt idx="0">
                  <c:v>10/3/2016</c:v>
                </c:pt>
                <c:pt idx="1">
                  <c:v>10/4/2016</c:v>
                </c:pt>
                <c:pt idx="2">
                  <c:v>10/5/2016</c:v>
                </c:pt>
                <c:pt idx="3">
                  <c:v>10/6/2016</c:v>
                </c:pt>
                <c:pt idx="4">
                  <c:v>10/7/2016</c:v>
                </c:pt>
                <c:pt idx="5">
                  <c:v>10/8/2016</c:v>
                </c:pt>
                <c:pt idx="6">
                  <c:v>10/10/2016</c:v>
                </c:pt>
                <c:pt idx="7">
                  <c:v>10/11/2016</c:v>
                </c:pt>
                <c:pt idx="8">
                  <c:v>10/12/2016</c:v>
                </c:pt>
                <c:pt idx="9">
                  <c:v>10/13/2016</c:v>
                </c:pt>
                <c:pt idx="10">
                  <c:v>10/14/2016</c:v>
                </c:pt>
                <c:pt idx="11">
                  <c:v>10/15/2016</c:v>
                </c:pt>
                <c:pt idx="12">
                  <c:v>10/16/2016</c:v>
                </c:pt>
                <c:pt idx="13">
                  <c:v>10/17/2016</c:v>
                </c:pt>
                <c:pt idx="14">
                  <c:v>10/18/2016</c:v>
                </c:pt>
                <c:pt idx="15">
                  <c:v>10/19/2016</c:v>
                </c:pt>
                <c:pt idx="16">
                  <c:v>10/20/2016</c:v>
                </c:pt>
                <c:pt idx="17">
                  <c:v>10/21/2016</c:v>
                </c:pt>
                <c:pt idx="18">
                  <c:v>10/25/2016</c:v>
                </c:pt>
                <c:pt idx="19">
                  <c:v>10/26/2016</c:v>
                </c:pt>
                <c:pt idx="20">
                  <c:v>10/27/2016</c:v>
                </c:pt>
                <c:pt idx="21">
                  <c:v>10/28/2016</c:v>
                </c:pt>
                <c:pt idx="22">
                  <c:v>10/29/2016</c:v>
                </c:pt>
                <c:pt idx="23">
                  <c:v>10/30/2016</c:v>
                </c:pt>
                <c:pt idx="24">
                  <c:v>10/31/2016</c:v>
                </c:pt>
                <c:pt idx="25">
                  <c:v>11/1/2016</c:v>
                </c:pt>
                <c:pt idx="26">
                  <c:v>11/2/2016</c:v>
                </c:pt>
                <c:pt idx="27">
                  <c:v>(blank)</c:v>
                </c:pt>
              </c:strCache>
            </c:strRef>
          </c:cat>
          <c:val>
            <c:numRef>
              <c:f>'Timing Table'!$GQ$10:$GQ$38</c:f>
              <c:numCache>
                <c:formatCode>General</c:formatCode>
                <c:ptCount val="28"/>
                <c:pt idx="2">
                  <c:v>8</c:v>
                </c:pt>
                <c:pt idx="16">
                  <c:v>3</c:v>
                </c:pt>
              </c:numCache>
            </c:numRef>
          </c:val>
        </c:ser>
        <c:ser>
          <c:idx val="50"/>
          <c:order val="50"/>
          <c:tx>
            <c:strRef>
              <c:f>'Timing Table'!$GU$4:$GU$9</c:f>
              <c:strCache>
                <c:ptCount val="1"/>
                <c:pt idx="0">
                  <c:v>INFORMATION - 3111 - Others - Applications - Frequent</c:v>
                </c:pt>
              </c:strCache>
            </c:strRef>
          </c:tx>
          <c:invertIfNegative val="0"/>
          <c:cat>
            <c:strRef>
              <c:f>'Timing Table'!$A$10:$A$38</c:f>
              <c:strCache>
                <c:ptCount val="28"/>
                <c:pt idx="0">
                  <c:v>10/3/2016</c:v>
                </c:pt>
                <c:pt idx="1">
                  <c:v>10/4/2016</c:v>
                </c:pt>
                <c:pt idx="2">
                  <c:v>10/5/2016</c:v>
                </c:pt>
                <c:pt idx="3">
                  <c:v>10/6/2016</c:v>
                </c:pt>
                <c:pt idx="4">
                  <c:v>10/7/2016</c:v>
                </c:pt>
                <c:pt idx="5">
                  <c:v>10/8/2016</c:v>
                </c:pt>
                <c:pt idx="6">
                  <c:v>10/10/2016</c:v>
                </c:pt>
                <c:pt idx="7">
                  <c:v>10/11/2016</c:v>
                </c:pt>
                <c:pt idx="8">
                  <c:v>10/12/2016</c:v>
                </c:pt>
                <c:pt idx="9">
                  <c:v>10/13/2016</c:v>
                </c:pt>
                <c:pt idx="10">
                  <c:v>10/14/2016</c:v>
                </c:pt>
                <c:pt idx="11">
                  <c:v>10/15/2016</c:v>
                </c:pt>
                <c:pt idx="12">
                  <c:v>10/16/2016</c:v>
                </c:pt>
                <c:pt idx="13">
                  <c:v>10/17/2016</c:v>
                </c:pt>
                <c:pt idx="14">
                  <c:v>10/18/2016</c:v>
                </c:pt>
                <c:pt idx="15">
                  <c:v>10/19/2016</c:v>
                </c:pt>
                <c:pt idx="16">
                  <c:v>10/20/2016</c:v>
                </c:pt>
                <c:pt idx="17">
                  <c:v>10/21/2016</c:v>
                </c:pt>
                <c:pt idx="18">
                  <c:v>10/25/2016</c:v>
                </c:pt>
                <c:pt idx="19">
                  <c:v>10/26/2016</c:v>
                </c:pt>
                <c:pt idx="20">
                  <c:v>10/27/2016</c:v>
                </c:pt>
                <c:pt idx="21">
                  <c:v>10/28/2016</c:v>
                </c:pt>
                <c:pt idx="22">
                  <c:v>10/29/2016</c:v>
                </c:pt>
                <c:pt idx="23">
                  <c:v>10/30/2016</c:v>
                </c:pt>
                <c:pt idx="24">
                  <c:v>10/31/2016</c:v>
                </c:pt>
                <c:pt idx="25">
                  <c:v>11/1/2016</c:v>
                </c:pt>
                <c:pt idx="26">
                  <c:v>11/2/2016</c:v>
                </c:pt>
                <c:pt idx="27">
                  <c:v>(blank)</c:v>
                </c:pt>
              </c:strCache>
            </c:strRef>
          </c:cat>
          <c:val>
            <c:numRef>
              <c:f>'Timing Table'!$GU$10:$GU$38</c:f>
              <c:numCache>
                <c:formatCode>General</c:formatCode>
                <c:ptCount val="28"/>
                <c:pt idx="2">
                  <c:v>8</c:v>
                </c:pt>
                <c:pt idx="7">
                  <c:v>2</c:v>
                </c:pt>
              </c:numCache>
            </c:numRef>
          </c:val>
        </c:ser>
        <c:ser>
          <c:idx val="51"/>
          <c:order val="51"/>
          <c:tx>
            <c:strRef>
              <c:f>'Timing Table'!$GY$4:$GY$9</c:f>
              <c:strCache>
                <c:ptCount val="1"/>
                <c:pt idx="0">
                  <c:v>INFORMATION - 3112 - Others - Applications - Frequent</c:v>
                </c:pt>
              </c:strCache>
            </c:strRef>
          </c:tx>
          <c:invertIfNegative val="0"/>
          <c:cat>
            <c:strRef>
              <c:f>'Timing Table'!$A$10:$A$38</c:f>
              <c:strCache>
                <c:ptCount val="28"/>
                <c:pt idx="0">
                  <c:v>10/3/2016</c:v>
                </c:pt>
                <c:pt idx="1">
                  <c:v>10/4/2016</c:v>
                </c:pt>
                <c:pt idx="2">
                  <c:v>10/5/2016</c:v>
                </c:pt>
                <c:pt idx="3">
                  <c:v>10/6/2016</c:v>
                </c:pt>
                <c:pt idx="4">
                  <c:v>10/7/2016</c:v>
                </c:pt>
                <c:pt idx="5">
                  <c:v>10/8/2016</c:v>
                </c:pt>
                <c:pt idx="6">
                  <c:v>10/10/2016</c:v>
                </c:pt>
                <c:pt idx="7">
                  <c:v>10/11/2016</c:v>
                </c:pt>
                <c:pt idx="8">
                  <c:v>10/12/2016</c:v>
                </c:pt>
                <c:pt idx="9">
                  <c:v>10/13/2016</c:v>
                </c:pt>
                <c:pt idx="10">
                  <c:v>10/14/2016</c:v>
                </c:pt>
                <c:pt idx="11">
                  <c:v>10/15/2016</c:v>
                </c:pt>
                <c:pt idx="12">
                  <c:v>10/16/2016</c:v>
                </c:pt>
                <c:pt idx="13">
                  <c:v>10/17/2016</c:v>
                </c:pt>
                <c:pt idx="14">
                  <c:v>10/18/2016</c:v>
                </c:pt>
                <c:pt idx="15">
                  <c:v>10/19/2016</c:v>
                </c:pt>
                <c:pt idx="16">
                  <c:v>10/20/2016</c:v>
                </c:pt>
                <c:pt idx="17">
                  <c:v>10/21/2016</c:v>
                </c:pt>
                <c:pt idx="18">
                  <c:v>10/25/2016</c:v>
                </c:pt>
                <c:pt idx="19">
                  <c:v>10/26/2016</c:v>
                </c:pt>
                <c:pt idx="20">
                  <c:v>10/27/2016</c:v>
                </c:pt>
                <c:pt idx="21">
                  <c:v>10/28/2016</c:v>
                </c:pt>
                <c:pt idx="22">
                  <c:v>10/29/2016</c:v>
                </c:pt>
                <c:pt idx="23">
                  <c:v>10/30/2016</c:v>
                </c:pt>
                <c:pt idx="24">
                  <c:v>10/31/2016</c:v>
                </c:pt>
                <c:pt idx="25">
                  <c:v>11/1/2016</c:v>
                </c:pt>
                <c:pt idx="26">
                  <c:v>11/2/2016</c:v>
                </c:pt>
                <c:pt idx="27">
                  <c:v>(blank)</c:v>
                </c:pt>
              </c:strCache>
            </c:strRef>
          </c:cat>
          <c:val>
            <c:numRef>
              <c:f>'Timing Table'!$GY$10:$GY$38</c:f>
              <c:numCache>
                <c:formatCode>General</c:formatCode>
                <c:ptCount val="28"/>
                <c:pt idx="2">
                  <c:v>3</c:v>
                </c:pt>
                <c:pt idx="15">
                  <c:v>1</c:v>
                </c:pt>
                <c:pt idx="16">
                  <c:v>1</c:v>
                </c:pt>
                <c:pt idx="19">
                  <c:v>1</c:v>
                </c:pt>
              </c:numCache>
            </c:numRef>
          </c:val>
        </c:ser>
        <c:ser>
          <c:idx val="52"/>
          <c:order val="52"/>
          <c:tx>
            <c:strRef>
              <c:f>'Timing Table'!$HC$4:$HC$9</c:f>
              <c:strCache>
                <c:ptCount val="1"/>
                <c:pt idx="0">
                  <c:v>INFORMATION - 3120 - Others - Applications - Frequent</c:v>
                </c:pt>
              </c:strCache>
            </c:strRef>
          </c:tx>
          <c:invertIfNegative val="0"/>
          <c:cat>
            <c:strRef>
              <c:f>'Timing Table'!$A$10:$A$38</c:f>
              <c:strCache>
                <c:ptCount val="28"/>
                <c:pt idx="0">
                  <c:v>10/3/2016</c:v>
                </c:pt>
                <c:pt idx="1">
                  <c:v>10/4/2016</c:v>
                </c:pt>
                <c:pt idx="2">
                  <c:v>10/5/2016</c:v>
                </c:pt>
                <c:pt idx="3">
                  <c:v>10/6/2016</c:v>
                </c:pt>
                <c:pt idx="4">
                  <c:v>10/7/2016</c:v>
                </c:pt>
                <c:pt idx="5">
                  <c:v>10/8/2016</c:v>
                </c:pt>
                <c:pt idx="6">
                  <c:v>10/10/2016</c:v>
                </c:pt>
                <c:pt idx="7">
                  <c:v>10/11/2016</c:v>
                </c:pt>
                <c:pt idx="8">
                  <c:v>10/12/2016</c:v>
                </c:pt>
                <c:pt idx="9">
                  <c:v>10/13/2016</c:v>
                </c:pt>
                <c:pt idx="10">
                  <c:v>10/14/2016</c:v>
                </c:pt>
                <c:pt idx="11">
                  <c:v>10/15/2016</c:v>
                </c:pt>
                <c:pt idx="12">
                  <c:v>10/16/2016</c:v>
                </c:pt>
                <c:pt idx="13">
                  <c:v>10/17/2016</c:v>
                </c:pt>
                <c:pt idx="14">
                  <c:v>10/18/2016</c:v>
                </c:pt>
                <c:pt idx="15">
                  <c:v>10/19/2016</c:v>
                </c:pt>
                <c:pt idx="16">
                  <c:v>10/20/2016</c:v>
                </c:pt>
                <c:pt idx="17">
                  <c:v>10/21/2016</c:v>
                </c:pt>
                <c:pt idx="18">
                  <c:v>10/25/2016</c:v>
                </c:pt>
                <c:pt idx="19">
                  <c:v>10/26/2016</c:v>
                </c:pt>
                <c:pt idx="20">
                  <c:v>10/27/2016</c:v>
                </c:pt>
                <c:pt idx="21">
                  <c:v>10/28/2016</c:v>
                </c:pt>
                <c:pt idx="22">
                  <c:v>10/29/2016</c:v>
                </c:pt>
                <c:pt idx="23">
                  <c:v>10/30/2016</c:v>
                </c:pt>
                <c:pt idx="24">
                  <c:v>10/31/2016</c:v>
                </c:pt>
                <c:pt idx="25">
                  <c:v>11/1/2016</c:v>
                </c:pt>
                <c:pt idx="26">
                  <c:v>11/2/2016</c:v>
                </c:pt>
                <c:pt idx="27">
                  <c:v>(blank)</c:v>
                </c:pt>
              </c:strCache>
            </c:strRef>
          </c:cat>
          <c:val>
            <c:numRef>
              <c:f>'Timing Table'!$HC$10:$HC$38</c:f>
              <c:numCache>
                <c:formatCode>General</c:formatCode>
                <c:ptCount val="28"/>
                <c:pt idx="1">
                  <c:v>3</c:v>
                </c:pt>
                <c:pt idx="25">
                  <c:v>1</c:v>
                </c:pt>
                <c:pt idx="26">
                  <c:v>2</c:v>
                </c:pt>
              </c:numCache>
            </c:numRef>
          </c:val>
        </c:ser>
        <c:ser>
          <c:idx val="53"/>
          <c:order val="53"/>
          <c:tx>
            <c:strRef>
              <c:f>'Timing Table'!$HG$4:$HG$9</c:f>
              <c:strCache>
                <c:ptCount val="1"/>
                <c:pt idx="0">
                  <c:v>INFORMATION - 3121 - (blank) - (blank) - (blank)</c:v>
                </c:pt>
              </c:strCache>
            </c:strRef>
          </c:tx>
          <c:invertIfNegative val="0"/>
          <c:cat>
            <c:strRef>
              <c:f>'Timing Table'!$A$10:$A$38</c:f>
              <c:strCache>
                <c:ptCount val="28"/>
                <c:pt idx="0">
                  <c:v>10/3/2016</c:v>
                </c:pt>
                <c:pt idx="1">
                  <c:v>10/4/2016</c:v>
                </c:pt>
                <c:pt idx="2">
                  <c:v>10/5/2016</c:v>
                </c:pt>
                <c:pt idx="3">
                  <c:v>10/6/2016</c:v>
                </c:pt>
                <c:pt idx="4">
                  <c:v>10/7/2016</c:v>
                </c:pt>
                <c:pt idx="5">
                  <c:v>10/8/2016</c:v>
                </c:pt>
                <c:pt idx="6">
                  <c:v>10/10/2016</c:v>
                </c:pt>
                <c:pt idx="7">
                  <c:v>10/11/2016</c:v>
                </c:pt>
                <c:pt idx="8">
                  <c:v>10/12/2016</c:v>
                </c:pt>
                <c:pt idx="9">
                  <c:v>10/13/2016</c:v>
                </c:pt>
                <c:pt idx="10">
                  <c:v>10/14/2016</c:v>
                </c:pt>
                <c:pt idx="11">
                  <c:v>10/15/2016</c:v>
                </c:pt>
                <c:pt idx="12">
                  <c:v>10/16/2016</c:v>
                </c:pt>
                <c:pt idx="13">
                  <c:v>10/17/2016</c:v>
                </c:pt>
                <c:pt idx="14">
                  <c:v>10/18/2016</c:v>
                </c:pt>
                <c:pt idx="15">
                  <c:v>10/19/2016</c:v>
                </c:pt>
                <c:pt idx="16">
                  <c:v>10/20/2016</c:v>
                </c:pt>
                <c:pt idx="17">
                  <c:v>10/21/2016</c:v>
                </c:pt>
                <c:pt idx="18">
                  <c:v>10/25/2016</c:v>
                </c:pt>
                <c:pt idx="19">
                  <c:v>10/26/2016</c:v>
                </c:pt>
                <c:pt idx="20">
                  <c:v>10/27/2016</c:v>
                </c:pt>
                <c:pt idx="21">
                  <c:v>10/28/2016</c:v>
                </c:pt>
                <c:pt idx="22">
                  <c:v>10/29/2016</c:v>
                </c:pt>
                <c:pt idx="23">
                  <c:v>10/30/2016</c:v>
                </c:pt>
                <c:pt idx="24">
                  <c:v>10/31/2016</c:v>
                </c:pt>
                <c:pt idx="25">
                  <c:v>11/1/2016</c:v>
                </c:pt>
                <c:pt idx="26">
                  <c:v>11/2/2016</c:v>
                </c:pt>
                <c:pt idx="27">
                  <c:v>(blank)</c:v>
                </c:pt>
              </c:strCache>
            </c:strRef>
          </c:cat>
          <c:val>
            <c:numRef>
              <c:f>'Timing Table'!$HG$10:$HG$38</c:f>
              <c:numCache>
                <c:formatCode>General</c:formatCode>
                <c:ptCount val="28"/>
                <c:pt idx="17">
                  <c:v>1</c:v>
                </c:pt>
                <c:pt idx="18">
                  <c:v>1</c:v>
                </c:pt>
                <c:pt idx="19">
                  <c:v>2</c:v>
                </c:pt>
                <c:pt idx="20">
                  <c:v>2</c:v>
                </c:pt>
                <c:pt idx="21">
                  <c:v>1</c:v>
                </c:pt>
                <c:pt idx="24">
                  <c:v>1</c:v>
                </c:pt>
              </c:numCache>
            </c:numRef>
          </c:val>
        </c:ser>
        <c:ser>
          <c:idx val="54"/>
          <c:order val="54"/>
          <c:tx>
            <c:strRef>
              <c:f>'Timing Table'!$HK$4:$HK$9</c:f>
              <c:strCache>
                <c:ptCount val="1"/>
                <c:pt idx="0">
                  <c:v>INFORMATION - 3145 - Others - QC - Frequent</c:v>
                </c:pt>
              </c:strCache>
            </c:strRef>
          </c:tx>
          <c:invertIfNegative val="0"/>
          <c:cat>
            <c:strRef>
              <c:f>'Timing Table'!$A$10:$A$38</c:f>
              <c:strCache>
                <c:ptCount val="28"/>
                <c:pt idx="0">
                  <c:v>10/3/2016</c:v>
                </c:pt>
                <c:pt idx="1">
                  <c:v>10/4/2016</c:v>
                </c:pt>
                <c:pt idx="2">
                  <c:v>10/5/2016</c:v>
                </c:pt>
                <c:pt idx="3">
                  <c:v>10/6/2016</c:v>
                </c:pt>
                <c:pt idx="4">
                  <c:v>10/7/2016</c:v>
                </c:pt>
                <c:pt idx="5">
                  <c:v>10/8/2016</c:v>
                </c:pt>
                <c:pt idx="6">
                  <c:v>10/10/2016</c:v>
                </c:pt>
                <c:pt idx="7">
                  <c:v>10/11/2016</c:v>
                </c:pt>
                <c:pt idx="8">
                  <c:v>10/12/2016</c:v>
                </c:pt>
                <c:pt idx="9">
                  <c:v>10/13/2016</c:v>
                </c:pt>
                <c:pt idx="10">
                  <c:v>10/14/2016</c:v>
                </c:pt>
                <c:pt idx="11">
                  <c:v>10/15/2016</c:v>
                </c:pt>
                <c:pt idx="12">
                  <c:v>10/16/2016</c:v>
                </c:pt>
                <c:pt idx="13">
                  <c:v>10/17/2016</c:v>
                </c:pt>
                <c:pt idx="14">
                  <c:v>10/18/2016</c:v>
                </c:pt>
                <c:pt idx="15">
                  <c:v>10/19/2016</c:v>
                </c:pt>
                <c:pt idx="16">
                  <c:v>10/20/2016</c:v>
                </c:pt>
                <c:pt idx="17">
                  <c:v>10/21/2016</c:v>
                </c:pt>
                <c:pt idx="18">
                  <c:v>10/25/2016</c:v>
                </c:pt>
                <c:pt idx="19">
                  <c:v>10/26/2016</c:v>
                </c:pt>
                <c:pt idx="20">
                  <c:v>10/27/2016</c:v>
                </c:pt>
                <c:pt idx="21">
                  <c:v>10/28/2016</c:v>
                </c:pt>
                <c:pt idx="22">
                  <c:v>10/29/2016</c:v>
                </c:pt>
                <c:pt idx="23">
                  <c:v>10/30/2016</c:v>
                </c:pt>
                <c:pt idx="24">
                  <c:v>10/31/2016</c:v>
                </c:pt>
                <c:pt idx="25">
                  <c:v>11/1/2016</c:v>
                </c:pt>
                <c:pt idx="26">
                  <c:v>11/2/2016</c:v>
                </c:pt>
                <c:pt idx="27">
                  <c:v>(blank)</c:v>
                </c:pt>
              </c:strCache>
            </c:strRef>
          </c:cat>
          <c:val>
            <c:numRef>
              <c:f>'Timing Table'!$HK$10:$HK$38</c:f>
              <c:numCache>
                <c:formatCode>General</c:formatCode>
                <c:ptCount val="28"/>
                <c:pt idx="21">
                  <c:v>1</c:v>
                </c:pt>
              </c:numCache>
            </c:numRef>
          </c:val>
        </c:ser>
        <c:ser>
          <c:idx val="55"/>
          <c:order val="55"/>
          <c:tx>
            <c:strRef>
              <c:f>'Timing Table'!$HO$4:$HO$9</c:f>
              <c:strCache>
                <c:ptCount val="1"/>
                <c:pt idx="0">
                  <c:v>INFORMATION - 3146 - Others - QC - Frequent</c:v>
                </c:pt>
              </c:strCache>
            </c:strRef>
          </c:tx>
          <c:invertIfNegative val="0"/>
          <c:cat>
            <c:strRef>
              <c:f>'Timing Table'!$A$10:$A$38</c:f>
              <c:strCache>
                <c:ptCount val="28"/>
                <c:pt idx="0">
                  <c:v>10/3/2016</c:v>
                </c:pt>
                <c:pt idx="1">
                  <c:v>10/4/2016</c:v>
                </c:pt>
                <c:pt idx="2">
                  <c:v>10/5/2016</c:v>
                </c:pt>
                <c:pt idx="3">
                  <c:v>10/6/2016</c:v>
                </c:pt>
                <c:pt idx="4">
                  <c:v>10/7/2016</c:v>
                </c:pt>
                <c:pt idx="5">
                  <c:v>10/8/2016</c:v>
                </c:pt>
                <c:pt idx="6">
                  <c:v>10/10/2016</c:v>
                </c:pt>
                <c:pt idx="7">
                  <c:v>10/11/2016</c:v>
                </c:pt>
                <c:pt idx="8">
                  <c:v>10/12/2016</c:v>
                </c:pt>
                <c:pt idx="9">
                  <c:v>10/13/2016</c:v>
                </c:pt>
                <c:pt idx="10">
                  <c:v>10/14/2016</c:v>
                </c:pt>
                <c:pt idx="11">
                  <c:v>10/15/2016</c:v>
                </c:pt>
                <c:pt idx="12">
                  <c:v>10/16/2016</c:v>
                </c:pt>
                <c:pt idx="13">
                  <c:v>10/17/2016</c:v>
                </c:pt>
                <c:pt idx="14">
                  <c:v>10/18/2016</c:v>
                </c:pt>
                <c:pt idx="15">
                  <c:v>10/19/2016</c:v>
                </c:pt>
                <c:pt idx="16">
                  <c:v>10/20/2016</c:v>
                </c:pt>
                <c:pt idx="17">
                  <c:v>10/21/2016</c:v>
                </c:pt>
                <c:pt idx="18">
                  <c:v>10/25/2016</c:v>
                </c:pt>
                <c:pt idx="19">
                  <c:v>10/26/2016</c:v>
                </c:pt>
                <c:pt idx="20">
                  <c:v>10/27/2016</c:v>
                </c:pt>
                <c:pt idx="21">
                  <c:v>10/28/2016</c:v>
                </c:pt>
                <c:pt idx="22">
                  <c:v>10/29/2016</c:v>
                </c:pt>
                <c:pt idx="23">
                  <c:v>10/30/2016</c:v>
                </c:pt>
                <c:pt idx="24">
                  <c:v>10/31/2016</c:v>
                </c:pt>
                <c:pt idx="25">
                  <c:v>11/1/2016</c:v>
                </c:pt>
                <c:pt idx="26">
                  <c:v>11/2/2016</c:v>
                </c:pt>
                <c:pt idx="27">
                  <c:v>(blank)</c:v>
                </c:pt>
              </c:strCache>
            </c:strRef>
          </c:cat>
          <c:val>
            <c:numRef>
              <c:f>'Timing Table'!$HO$10:$HO$38</c:f>
              <c:numCache>
                <c:formatCode>General</c:formatCode>
                <c:ptCount val="28"/>
                <c:pt idx="25">
                  <c:v>1</c:v>
                </c:pt>
              </c:numCache>
            </c:numRef>
          </c:val>
        </c:ser>
        <c:ser>
          <c:idx val="56"/>
          <c:order val="56"/>
          <c:tx>
            <c:strRef>
              <c:f>'Timing Table'!$HS$4:$HS$9</c:f>
              <c:strCache>
                <c:ptCount val="1"/>
                <c:pt idx="0">
                  <c:v>INFORMATION - 3147 - Others - QC - Frequent</c:v>
                </c:pt>
              </c:strCache>
            </c:strRef>
          </c:tx>
          <c:invertIfNegative val="0"/>
          <c:cat>
            <c:strRef>
              <c:f>'Timing Table'!$A$10:$A$38</c:f>
              <c:strCache>
                <c:ptCount val="28"/>
                <c:pt idx="0">
                  <c:v>10/3/2016</c:v>
                </c:pt>
                <c:pt idx="1">
                  <c:v>10/4/2016</c:v>
                </c:pt>
                <c:pt idx="2">
                  <c:v>10/5/2016</c:v>
                </c:pt>
                <c:pt idx="3">
                  <c:v>10/6/2016</c:v>
                </c:pt>
                <c:pt idx="4">
                  <c:v>10/7/2016</c:v>
                </c:pt>
                <c:pt idx="5">
                  <c:v>10/8/2016</c:v>
                </c:pt>
                <c:pt idx="6">
                  <c:v>10/10/2016</c:v>
                </c:pt>
                <c:pt idx="7">
                  <c:v>10/11/2016</c:v>
                </c:pt>
                <c:pt idx="8">
                  <c:v>10/12/2016</c:v>
                </c:pt>
                <c:pt idx="9">
                  <c:v>10/13/2016</c:v>
                </c:pt>
                <c:pt idx="10">
                  <c:v>10/14/2016</c:v>
                </c:pt>
                <c:pt idx="11">
                  <c:v>10/15/2016</c:v>
                </c:pt>
                <c:pt idx="12">
                  <c:v>10/16/2016</c:v>
                </c:pt>
                <c:pt idx="13">
                  <c:v>10/17/2016</c:v>
                </c:pt>
                <c:pt idx="14">
                  <c:v>10/18/2016</c:v>
                </c:pt>
                <c:pt idx="15">
                  <c:v>10/19/2016</c:v>
                </c:pt>
                <c:pt idx="16">
                  <c:v>10/20/2016</c:v>
                </c:pt>
                <c:pt idx="17">
                  <c:v>10/21/2016</c:v>
                </c:pt>
                <c:pt idx="18">
                  <c:v>10/25/2016</c:v>
                </c:pt>
                <c:pt idx="19">
                  <c:v>10/26/2016</c:v>
                </c:pt>
                <c:pt idx="20">
                  <c:v>10/27/2016</c:v>
                </c:pt>
                <c:pt idx="21">
                  <c:v>10/28/2016</c:v>
                </c:pt>
                <c:pt idx="22">
                  <c:v>10/29/2016</c:v>
                </c:pt>
                <c:pt idx="23">
                  <c:v>10/30/2016</c:v>
                </c:pt>
                <c:pt idx="24">
                  <c:v>10/31/2016</c:v>
                </c:pt>
                <c:pt idx="25">
                  <c:v>11/1/2016</c:v>
                </c:pt>
                <c:pt idx="26">
                  <c:v>11/2/2016</c:v>
                </c:pt>
                <c:pt idx="27">
                  <c:v>(blank)</c:v>
                </c:pt>
              </c:strCache>
            </c:strRef>
          </c:cat>
          <c:val>
            <c:numRef>
              <c:f>'Timing Table'!$HS$10:$HS$38</c:f>
              <c:numCache>
                <c:formatCode>General</c:formatCode>
                <c:ptCount val="28"/>
                <c:pt idx="21">
                  <c:v>1</c:v>
                </c:pt>
              </c:numCache>
            </c:numRef>
          </c:val>
        </c:ser>
        <c:ser>
          <c:idx val="57"/>
          <c:order val="57"/>
          <c:tx>
            <c:strRef>
              <c:f>'Timing Table'!$HW$4:$HW$9</c:f>
              <c:strCache>
                <c:ptCount val="1"/>
                <c:pt idx="0">
                  <c:v>INFORMATION - 3216 - Others - Maintenance - Frequent</c:v>
                </c:pt>
              </c:strCache>
            </c:strRef>
          </c:tx>
          <c:invertIfNegative val="0"/>
          <c:cat>
            <c:strRef>
              <c:f>'Timing Table'!$A$10:$A$38</c:f>
              <c:strCache>
                <c:ptCount val="28"/>
                <c:pt idx="0">
                  <c:v>10/3/2016</c:v>
                </c:pt>
                <c:pt idx="1">
                  <c:v>10/4/2016</c:v>
                </c:pt>
                <c:pt idx="2">
                  <c:v>10/5/2016</c:v>
                </c:pt>
                <c:pt idx="3">
                  <c:v>10/6/2016</c:v>
                </c:pt>
                <c:pt idx="4">
                  <c:v>10/7/2016</c:v>
                </c:pt>
                <c:pt idx="5">
                  <c:v>10/8/2016</c:v>
                </c:pt>
                <c:pt idx="6">
                  <c:v>10/10/2016</c:v>
                </c:pt>
                <c:pt idx="7">
                  <c:v>10/11/2016</c:v>
                </c:pt>
                <c:pt idx="8">
                  <c:v>10/12/2016</c:v>
                </c:pt>
                <c:pt idx="9">
                  <c:v>10/13/2016</c:v>
                </c:pt>
                <c:pt idx="10">
                  <c:v>10/14/2016</c:v>
                </c:pt>
                <c:pt idx="11">
                  <c:v>10/15/2016</c:v>
                </c:pt>
                <c:pt idx="12">
                  <c:v>10/16/2016</c:v>
                </c:pt>
                <c:pt idx="13">
                  <c:v>10/17/2016</c:v>
                </c:pt>
                <c:pt idx="14">
                  <c:v>10/18/2016</c:v>
                </c:pt>
                <c:pt idx="15">
                  <c:v>10/19/2016</c:v>
                </c:pt>
                <c:pt idx="16">
                  <c:v>10/20/2016</c:v>
                </c:pt>
                <c:pt idx="17">
                  <c:v>10/21/2016</c:v>
                </c:pt>
                <c:pt idx="18">
                  <c:v>10/25/2016</c:v>
                </c:pt>
                <c:pt idx="19">
                  <c:v>10/26/2016</c:v>
                </c:pt>
                <c:pt idx="20">
                  <c:v>10/27/2016</c:v>
                </c:pt>
                <c:pt idx="21">
                  <c:v>10/28/2016</c:v>
                </c:pt>
                <c:pt idx="22">
                  <c:v>10/29/2016</c:v>
                </c:pt>
                <c:pt idx="23">
                  <c:v>10/30/2016</c:v>
                </c:pt>
                <c:pt idx="24">
                  <c:v>10/31/2016</c:v>
                </c:pt>
                <c:pt idx="25">
                  <c:v>11/1/2016</c:v>
                </c:pt>
                <c:pt idx="26">
                  <c:v>11/2/2016</c:v>
                </c:pt>
                <c:pt idx="27">
                  <c:v>(blank)</c:v>
                </c:pt>
              </c:strCache>
            </c:strRef>
          </c:cat>
          <c:val>
            <c:numRef>
              <c:f>'Timing Table'!$HW$10:$HW$38</c:f>
              <c:numCache>
                <c:formatCode>General</c:formatCode>
                <c:ptCount val="28"/>
                <c:pt idx="1">
                  <c:v>1</c:v>
                </c:pt>
                <c:pt idx="3">
                  <c:v>1</c:v>
                </c:pt>
                <c:pt idx="4">
                  <c:v>2</c:v>
                </c:pt>
                <c:pt idx="7">
                  <c:v>2</c:v>
                </c:pt>
                <c:pt idx="8">
                  <c:v>1</c:v>
                </c:pt>
                <c:pt idx="9">
                  <c:v>1</c:v>
                </c:pt>
                <c:pt idx="16">
                  <c:v>1</c:v>
                </c:pt>
                <c:pt idx="20">
                  <c:v>1</c:v>
                </c:pt>
                <c:pt idx="21">
                  <c:v>1</c:v>
                </c:pt>
                <c:pt idx="25">
                  <c:v>1</c:v>
                </c:pt>
                <c:pt idx="26">
                  <c:v>1</c:v>
                </c:pt>
              </c:numCache>
            </c:numRef>
          </c:val>
        </c:ser>
        <c:ser>
          <c:idx val="58"/>
          <c:order val="58"/>
          <c:tx>
            <c:strRef>
              <c:f>'Timing Table'!$IA$4:$IA$9</c:f>
              <c:strCache>
                <c:ptCount val="1"/>
                <c:pt idx="0">
                  <c:v>INFORMATION - 3217 - Others - Maintenance - Frequent</c:v>
                </c:pt>
              </c:strCache>
            </c:strRef>
          </c:tx>
          <c:invertIfNegative val="0"/>
          <c:cat>
            <c:strRef>
              <c:f>'Timing Table'!$A$10:$A$38</c:f>
              <c:strCache>
                <c:ptCount val="28"/>
                <c:pt idx="0">
                  <c:v>10/3/2016</c:v>
                </c:pt>
                <c:pt idx="1">
                  <c:v>10/4/2016</c:v>
                </c:pt>
                <c:pt idx="2">
                  <c:v>10/5/2016</c:v>
                </c:pt>
                <c:pt idx="3">
                  <c:v>10/6/2016</c:v>
                </c:pt>
                <c:pt idx="4">
                  <c:v>10/7/2016</c:v>
                </c:pt>
                <c:pt idx="5">
                  <c:v>10/8/2016</c:v>
                </c:pt>
                <c:pt idx="6">
                  <c:v>10/10/2016</c:v>
                </c:pt>
                <c:pt idx="7">
                  <c:v>10/11/2016</c:v>
                </c:pt>
                <c:pt idx="8">
                  <c:v>10/12/2016</c:v>
                </c:pt>
                <c:pt idx="9">
                  <c:v>10/13/2016</c:v>
                </c:pt>
                <c:pt idx="10">
                  <c:v>10/14/2016</c:v>
                </c:pt>
                <c:pt idx="11">
                  <c:v>10/15/2016</c:v>
                </c:pt>
                <c:pt idx="12">
                  <c:v>10/16/2016</c:v>
                </c:pt>
                <c:pt idx="13">
                  <c:v>10/17/2016</c:v>
                </c:pt>
                <c:pt idx="14">
                  <c:v>10/18/2016</c:v>
                </c:pt>
                <c:pt idx="15">
                  <c:v>10/19/2016</c:v>
                </c:pt>
                <c:pt idx="16">
                  <c:v>10/20/2016</c:v>
                </c:pt>
                <c:pt idx="17">
                  <c:v>10/21/2016</c:v>
                </c:pt>
                <c:pt idx="18">
                  <c:v>10/25/2016</c:v>
                </c:pt>
                <c:pt idx="19">
                  <c:v>10/26/2016</c:v>
                </c:pt>
                <c:pt idx="20">
                  <c:v>10/27/2016</c:v>
                </c:pt>
                <c:pt idx="21">
                  <c:v>10/28/2016</c:v>
                </c:pt>
                <c:pt idx="22">
                  <c:v>10/29/2016</c:v>
                </c:pt>
                <c:pt idx="23">
                  <c:v>10/30/2016</c:v>
                </c:pt>
                <c:pt idx="24">
                  <c:v>10/31/2016</c:v>
                </c:pt>
                <c:pt idx="25">
                  <c:v>11/1/2016</c:v>
                </c:pt>
                <c:pt idx="26">
                  <c:v>11/2/2016</c:v>
                </c:pt>
                <c:pt idx="27">
                  <c:v>(blank)</c:v>
                </c:pt>
              </c:strCache>
            </c:strRef>
          </c:cat>
          <c:val>
            <c:numRef>
              <c:f>'Timing Table'!$IA$10:$IA$38</c:f>
              <c:numCache>
                <c:formatCode>General</c:formatCode>
                <c:ptCount val="28"/>
                <c:pt idx="0">
                  <c:v>15</c:v>
                </c:pt>
                <c:pt idx="1">
                  <c:v>26</c:v>
                </c:pt>
                <c:pt idx="2">
                  <c:v>28</c:v>
                </c:pt>
                <c:pt idx="3">
                  <c:v>26</c:v>
                </c:pt>
                <c:pt idx="4">
                  <c:v>26</c:v>
                </c:pt>
                <c:pt idx="5">
                  <c:v>23</c:v>
                </c:pt>
                <c:pt idx="7">
                  <c:v>18</c:v>
                </c:pt>
                <c:pt idx="8">
                  <c:v>23</c:v>
                </c:pt>
                <c:pt idx="9">
                  <c:v>22</c:v>
                </c:pt>
                <c:pt idx="10">
                  <c:v>24</c:v>
                </c:pt>
                <c:pt idx="11">
                  <c:v>24</c:v>
                </c:pt>
                <c:pt idx="12">
                  <c:v>5</c:v>
                </c:pt>
                <c:pt idx="13">
                  <c:v>10</c:v>
                </c:pt>
                <c:pt idx="14">
                  <c:v>18</c:v>
                </c:pt>
                <c:pt idx="15">
                  <c:v>21</c:v>
                </c:pt>
                <c:pt idx="16">
                  <c:v>18</c:v>
                </c:pt>
                <c:pt idx="17">
                  <c:v>23</c:v>
                </c:pt>
                <c:pt idx="18">
                  <c:v>4</c:v>
                </c:pt>
                <c:pt idx="19">
                  <c:v>14</c:v>
                </c:pt>
                <c:pt idx="20">
                  <c:v>31</c:v>
                </c:pt>
                <c:pt idx="21">
                  <c:v>28</c:v>
                </c:pt>
                <c:pt idx="22">
                  <c:v>24</c:v>
                </c:pt>
                <c:pt idx="23">
                  <c:v>24</c:v>
                </c:pt>
                <c:pt idx="24">
                  <c:v>23</c:v>
                </c:pt>
                <c:pt idx="25">
                  <c:v>60</c:v>
                </c:pt>
                <c:pt idx="26">
                  <c:v>38</c:v>
                </c:pt>
              </c:numCache>
            </c:numRef>
          </c:val>
        </c:ser>
        <c:ser>
          <c:idx val="59"/>
          <c:order val="59"/>
          <c:tx>
            <c:strRef>
              <c:f>'Timing Table'!$IE$4:$IE$9</c:f>
              <c:strCache>
                <c:ptCount val="1"/>
                <c:pt idx="0">
                  <c:v>INFORMATION - 4065 - (blank) - (blank) - (blank)</c:v>
                </c:pt>
              </c:strCache>
            </c:strRef>
          </c:tx>
          <c:invertIfNegative val="0"/>
          <c:cat>
            <c:strRef>
              <c:f>'Timing Table'!$A$10:$A$38</c:f>
              <c:strCache>
                <c:ptCount val="28"/>
                <c:pt idx="0">
                  <c:v>10/3/2016</c:v>
                </c:pt>
                <c:pt idx="1">
                  <c:v>10/4/2016</c:v>
                </c:pt>
                <c:pt idx="2">
                  <c:v>10/5/2016</c:v>
                </c:pt>
                <c:pt idx="3">
                  <c:v>10/6/2016</c:v>
                </c:pt>
                <c:pt idx="4">
                  <c:v>10/7/2016</c:v>
                </c:pt>
                <c:pt idx="5">
                  <c:v>10/8/2016</c:v>
                </c:pt>
                <c:pt idx="6">
                  <c:v>10/10/2016</c:v>
                </c:pt>
                <c:pt idx="7">
                  <c:v>10/11/2016</c:v>
                </c:pt>
                <c:pt idx="8">
                  <c:v>10/12/2016</c:v>
                </c:pt>
                <c:pt idx="9">
                  <c:v>10/13/2016</c:v>
                </c:pt>
                <c:pt idx="10">
                  <c:v>10/14/2016</c:v>
                </c:pt>
                <c:pt idx="11">
                  <c:v>10/15/2016</c:v>
                </c:pt>
                <c:pt idx="12">
                  <c:v>10/16/2016</c:v>
                </c:pt>
                <c:pt idx="13">
                  <c:v>10/17/2016</c:v>
                </c:pt>
                <c:pt idx="14">
                  <c:v>10/18/2016</c:v>
                </c:pt>
                <c:pt idx="15">
                  <c:v>10/19/2016</c:v>
                </c:pt>
                <c:pt idx="16">
                  <c:v>10/20/2016</c:v>
                </c:pt>
                <c:pt idx="17">
                  <c:v>10/21/2016</c:v>
                </c:pt>
                <c:pt idx="18">
                  <c:v>10/25/2016</c:v>
                </c:pt>
                <c:pt idx="19">
                  <c:v>10/26/2016</c:v>
                </c:pt>
                <c:pt idx="20">
                  <c:v>10/27/2016</c:v>
                </c:pt>
                <c:pt idx="21">
                  <c:v>10/28/2016</c:v>
                </c:pt>
                <c:pt idx="22">
                  <c:v>10/29/2016</c:v>
                </c:pt>
                <c:pt idx="23">
                  <c:v>10/30/2016</c:v>
                </c:pt>
                <c:pt idx="24">
                  <c:v>10/31/2016</c:v>
                </c:pt>
                <c:pt idx="25">
                  <c:v>11/1/2016</c:v>
                </c:pt>
                <c:pt idx="26">
                  <c:v>11/2/2016</c:v>
                </c:pt>
                <c:pt idx="27">
                  <c:v>(blank)</c:v>
                </c:pt>
              </c:strCache>
            </c:strRef>
          </c:cat>
          <c:val>
            <c:numRef>
              <c:f>'Timing Table'!$IE$10:$IE$38</c:f>
              <c:numCache>
                <c:formatCode>General</c:formatCode>
                <c:ptCount val="28"/>
                <c:pt idx="25">
                  <c:v>1</c:v>
                </c:pt>
              </c:numCache>
            </c:numRef>
          </c:val>
        </c:ser>
        <c:ser>
          <c:idx val="60"/>
          <c:order val="60"/>
          <c:tx>
            <c:strRef>
              <c:f>'Timing Table'!$II$4:$II$9</c:f>
              <c:strCache>
                <c:ptCount val="1"/>
                <c:pt idx="0">
                  <c:v>INFORMATION - 4070 - (blank) - (blank) - (blank)</c:v>
                </c:pt>
              </c:strCache>
            </c:strRef>
          </c:tx>
          <c:invertIfNegative val="0"/>
          <c:cat>
            <c:strRef>
              <c:f>'Timing Table'!$A$10:$A$38</c:f>
              <c:strCache>
                <c:ptCount val="28"/>
                <c:pt idx="0">
                  <c:v>10/3/2016</c:v>
                </c:pt>
                <c:pt idx="1">
                  <c:v>10/4/2016</c:v>
                </c:pt>
                <c:pt idx="2">
                  <c:v>10/5/2016</c:v>
                </c:pt>
                <c:pt idx="3">
                  <c:v>10/6/2016</c:v>
                </c:pt>
                <c:pt idx="4">
                  <c:v>10/7/2016</c:v>
                </c:pt>
                <c:pt idx="5">
                  <c:v>10/8/2016</c:v>
                </c:pt>
                <c:pt idx="6">
                  <c:v>10/10/2016</c:v>
                </c:pt>
                <c:pt idx="7">
                  <c:v>10/11/2016</c:v>
                </c:pt>
                <c:pt idx="8">
                  <c:v>10/12/2016</c:v>
                </c:pt>
                <c:pt idx="9">
                  <c:v>10/13/2016</c:v>
                </c:pt>
                <c:pt idx="10">
                  <c:v>10/14/2016</c:v>
                </c:pt>
                <c:pt idx="11">
                  <c:v>10/15/2016</c:v>
                </c:pt>
                <c:pt idx="12">
                  <c:v>10/16/2016</c:v>
                </c:pt>
                <c:pt idx="13">
                  <c:v>10/17/2016</c:v>
                </c:pt>
                <c:pt idx="14">
                  <c:v>10/18/2016</c:v>
                </c:pt>
                <c:pt idx="15">
                  <c:v>10/19/2016</c:v>
                </c:pt>
                <c:pt idx="16">
                  <c:v>10/20/2016</c:v>
                </c:pt>
                <c:pt idx="17">
                  <c:v>10/21/2016</c:v>
                </c:pt>
                <c:pt idx="18">
                  <c:v>10/25/2016</c:v>
                </c:pt>
                <c:pt idx="19">
                  <c:v>10/26/2016</c:v>
                </c:pt>
                <c:pt idx="20">
                  <c:v>10/27/2016</c:v>
                </c:pt>
                <c:pt idx="21">
                  <c:v>10/28/2016</c:v>
                </c:pt>
                <c:pt idx="22">
                  <c:v>10/29/2016</c:v>
                </c:pt>
                <c:pt idx="23">
                  <c:v>10/30/2016</c:v>
                </c:pt>
                <c:pt idx="24">
                  <c:v>10/31/2016</c:v>
                </c:pt>
                <c:pt idx="25">
                  <c:v>11/1/2016</c:v>
                </c:pt>
                <c:pt idx="26">
                  <c:v>11/2/2016</c:v>
                </c:pt>
                <c:pt idx="27">
                  <c:v>(blank)</c:v>
                </c:pt>
              </c:strCache>
            </c:strRef>
          </c:cat>
          <c:val>
            <c:numRef>
              <c:f>'Timing Table'!$II$10:$II$38</c:f>
              <c:numCache>
                <c:formatCode>General</c:formatCode>
                <c:ptCount val="28"/>
                <c:pt idx="16">
                  <c:v>1</c:v>
                </c:pt>
                <c:pt idx="20">
                  <c:v>1</c:v>
                </c:pt>
              </c:numCache>
            </c:numRef>
          </c:val>
        </c:ser>
        <c:ser>
          <c:idx val="61"/>
          <c:order val="61"/>
          <c:tx>
            <c:strRef>
              <c:f>'Timing Table'!$IN$4:$IN$9</c:f>
              <c:strCache>
                <c:ptCount val="1"/>
                <c:pt idx="0">
                  <c:v>WARNING - 3001 - LLD (Liquid Level Detection) - Missing Liquid - Frequent</c:v>
                </c:pt>
              </c:strCache>
            </c:strRef>
          </c:tx>
          <c:invertIfNegative val="0"/>
          <c:cat>
            <c:strRef>
              <c:f>'Timing Table'!$A$10:$A$38</c:f>
              <c:strCache>
                <c:ptCount val="28"/>
                <c:pt idx="0">
                  <c:v>10/3/2016</c:v>
                </c:pt>
                <c:pt idx="1">
                  <c:v>10/4/2016</c:v>
                </c:pt>
                <c:pt idx="2">
                  <c:v>10/5/2016</c:v>
                </c:pt>
                <c:pt idx="3">
                  <c:v>10/6/2016</c:v>
                </c:pt>
                <c:pt idx="4">
                  <c:v>10/7/2016</c:v>
                </c:pt>
                <c:pt idx="5">
                  <c:v>10/8/2016</c:v>
                </c:pt>
                <c:pt idx="6">
                  <c:v>10/10/2016</c:v>
                </c:pt>
                <c:pt idx="7">
                  <c:v>10/11/2016</c:v>
                </c:pt>
                <c:pt idx="8">
                  <c:v>10/12/2016</c:v>
                </c:pt>
                <c:pt idx="9">
                  <c:v>10/13/2016</c:v>
                </c:pt>
                <c:pt idx="10">
                  <c:v>10/14/2016</c:v>
                </c:pt>
                <c:pt idx="11">
                  <c:v>10/15/2016</c:v>
                </c:pt>
                <c:pt idx="12">
                  <c:v>10/16/2016</c:v>
                </c:pt>
                <c:pt idx="13">
                  <c:v>10/17/2016</c:v>
                </c:pt>
                <c:pt idx="14">
                  <c:v>10/18/2016</c:v>
                </c:pt>
                <c:pt idx="15">
                  <c:v>10/19/2016</c:v>
                </c:pt>
                <c:pt idx="16">
                  <c:v>10/20/2016</c:v>
                </c:pt>
                <c:pt idx="17">
                  <c:v>10/21/2016</c:v>
                </c:pt>
                <c:pt idx="18">
                  <c:v>10/25/2016</c:v>
                </c:pt>
                <c:pt idx="19">
                  <c:v>10/26/2016</c:v>
                </c:pt>
                <c:pt idx="20">
                  <c:v>10/27/2016</c:v>
                </c:pt>
                <c:pt idx="21">
                  <c:v>10/28/2016</c:v>
                </c:pt>
                <c:pt idx="22">
                  <c:v>10/29/2016</c:v>
                </c:pt>
                <c:pt idx="23">
                  <c:v>10/30/2016</c:v>
                </c:pt>
                <c:pt idx="24">
                  <c:v>10/31/2016</c:v>
                </c:pt>
                <c:pt idx="25">
                  <c:v>11/1/2016</c:v>
                </c:pt>
                <c:pt idx="26">
                  <c:v>11/2/2016</c:v>
                </c:pt>
                <c:pt idx="27">
                  <c:v>(blank)</c:v>
                </c:pt>
              </c:strCache>
            </c:strRef>
          </c:cat>
          <c:val>
            <c:numRef>
              <c:f>'Timing Table'!$IN$10:$IN$38</c:f>
              <c:numCache>
                <c:formatCode>General</c:formatCode>
                <c:ptCount val="28"/>
                <c:pt idx="1">
                  <c:v>3</c:v>
                </c:pt>
                <c:pt idx="2">
                  <c:v>4</c:v>
                </c:pt>
                <c:pt idx="3">
                  <c:v>3</c:v>
                </c:pt>
                <c:pt idx="4">
                  <c:v>14</c:v>
                </c:pt>
                <c:pt idx="7">
                  <c:v>2</c:v>
                </c:pt>
                <c:pt idx="8">
                  <c:v>1</c:v>
                </c:pt>
                <c:pt idx="15">
                  <c:v>32</c:v>
                </c:pt>
                <c:pt idx="16">
                  <c:v>12</c:v>
                </c:pt>
                <c:pt idx="19">
                  <c:v>19</c:v>
                </c:pt>
                <c:pt idx="20">
                  <c:v>6</c:v>
                </c:pt>
                <c:pt idx="21">
                  <c:v>3</c:v>
                </c:pt>
                <c:pt idx="25">
                  <c:v>5</c:v>
                </c:pt>
                <c:pt idx="26">
                  <c:v>13</c:v>
                </c:pt>
              </c:numCache>
            </c:numRef>
          </c:val>
        </c:ser>
        <c:ser>
          <c:idx val="62"/>
          <c:order val="62"/>
          <c:tx>
            <c:strRef>
              <c:f>'Timing Table'!$IR$4:$IR$9</c:f>
              <c:strCache>
                <c:ptCount val="1"/>
                <c:pt idx="0">
                  <c:v>WARNING - 3002 - Others - Materials - Frequent</c:v>
                </c:pt>
              </c:strCache>
            </c:strRef>
          </c:tx>
          <c:invertIfNegative val="0"/>
          <c:cat>
            <c:strRef>
              <c:f>'Timing Table'!$A$10:$A$38</c:f>
              <c:strCache>
                <c:ptCount val="28"/>
                <c:pt idx="0">
                  <c:v>10/3/2016</c:v>
                </c:pt>
                <c:pt idx="1">
                  <c:v>10/4/2016</c:v>
                </c:pt>
                <c:pt idx="2">
                  <c:v>10/5/2016</c:v>
                </c:pt>
                <c:pt idx="3">
                  <c:v>10/6/2016</c:v>
                </c:pt>
                <c:pt idx="4">
                  <c:v>10/7/2016</c:v>
                </c:pt>
                <c:pt idx="5">
                  <c:v>10/8/2016</c:v>
                </c:pt>
                <c:pt idx="6">
                  <c:v>10/10/2016</c:v>
                </c:pt>
                <c:pt idx="7">
                  <c:v>10/11/2016</c:v>
                </c:pt>
                <c:pt idx="8">
                  <c:v>10/12/2016</c:v>
                </c:pt>
                <c:pt idx="9">
                  <c:v>10/13/2016</c:v>
                </c:pt>
                <c:pt idx="10">
                  <c:v>10/14/2016</c:v>
                </c:pt>
                <c:pt idx="11">
                  <c:v>10/15/2016</c:v>
                </c:pt>
                <c:pt idx="12">
                  <c:v>10/16/2016</c:v>
                </c:pt>
                <c:pt idx="13">
                  <c:v>10/17/2016</c:v>
                </c:pt>
                <c:pt idx="14">
                  <c:v>10/18/2016</c:v>
                </c:pt>
                <c:pt idx="15">
                  <c:v>10/19/2016</c:v>
                </c:pt>
                <c:pt idx="16">
                  <c:v>10/20/2016</c:v>
                </c:pt>
                <c:pt idx="17">
                  <c:v>10/21/2016</c:v>
                </c:pt>
                <c:pt idx="18">
                  <c:v>10/25/2016</c:v>
                </c:pt>
                <c:pt idx="19">
                  <c:v>10/26/2016</c:v>
                </c:pt>
                <c:pt idx="20">
                  <c:v>10/27/2016</c:v>
                </c:pt>
                <c:pt idx="21">
                  <c:v>10/28/2016</c:v>
                </c:pt>
                <c:pt idx="22">
                  <c:v>10/29/2016</c:v>
                </c:pt>
                <c:pt idx="23">
                  <c:v>10/30/2016</c:v>
                </c:pt>
                <c:pt idx="24">
                  <c:v>10/31/2016</c:v>
                </c:pt>
                <c:pt idx="25">
                  <c:v>11/1/2016</c:v>
                </c:pt>
                <c:pt idx="26">
                  <c:v>11/2/2016</c:v>
                </c:pt>
                <c:pt idx="27">
                  <c:v>(blank)</c:v>
                </c:pt>
              </c:strCache>
            </c:strRef>
          </c:cat>
          <c:val>
            <c:numRef>
              <c:f>'Timing Table'!$IR$10:$IR$38</c:f>
              <c:numCache>
                <c:formatCode>General</c:formatCode>
                <c:ptCount val="28"/>
                <c:pt idx="1">
                  <c:v>1</c:v>
                </c:pt>
                <c:pt idx="5">
                  <c:v>1</c:v>
                </c:pt>
                <c:pt idx="6">
                  <c:v>1</c:v>
                </c:pt>
                <c:pt idx="8">
                  <c:v>2</c:v>
                </c:pt>
                <c:pt idx="16">
                  <c:v>2</c:v>
                </c:pt>
                <c:pt idx="25">
                  <c:v>2</c:v>
                </c:pt>
              </c:numCache>
            </c:numRef>
          </c:val>
        </c:ser>
        <c:ser>
          <c:idx val="63"/>
          <c:order val="63"/>
          <c:tx>
            <c:strRef>
              <c:f>'Timing Table'!$IV$4:$IV$9</c:f>
              <c:strCache>
                <c:ptCount val="1"/>
                <c:pt idx="0">
                  <c:v>WARNING - 3023 - Barcode/Racks - Barcode - Frequent</c:v>
                </c:pt>
              </c:strCache>
            </c:strRef>
          </c:tx>
          <c:invertIfNegative val="0"/>
          <c:cat>
            <c:strRef>
              <c:f>'Timing Table'!$A$10:$A$38</c:f>
              <c:strCache>
                <c:ptCount val="28"/>
                <c:pt idx="0">
                  <c:v>10/3/2016</c:v>
                </c:pt>
                <c:pt idx="1">
                  <c:v>10/4/2016</c:v>
                </c:pt>
                <c:pt idx="2">
                  <c:v>10/5/2016</c:v>
                </c:pt>
                <c:pt idx="3">
                  <c:v>10/6/2016</c:v>
                </c:pt>
                <c:pt idx="4">
                  <c:v>10/7/2016</c:v>
                </c:pt>
                <c:pt idx="5">
                  <c:v>10/8/2016</c:v>
                </c:pt>
                <c:pt idx="6">
                  <c:v>10/10/2016</c:v>
                </c:pt>
                <c:pt idx="7">
                  <c:v>10/11/2016</c:v>
                </c:pt>
                <c:pt idx="8">
                  <c:v>10/12/2016</c:v>
                </c:pt>
                <c:pt idx="9">
                  <c:v>10/13/2016</c:v>
                </c:pt>
                <c:pt idx="10">
                  <c:v>10/14/2016</c:v>
                </c:pt>
                <c:pt idx="11">
                  <c:v>10/15/2016</c:v>
                </c:pt>
                <c:pt idx="12">
                  <c:v>10/16/2016</c:v>
                </c:pt>
                <c:pt idx="13">
                  <c:v>10/17/2016</c:v>
                </c:pt>
                <c:pt idx="14">
                  <c:v>10/18/2016</c:v>
                </c:pt>
                <c:pt idx="15">
                  <c:v>10/19/2016</c:v>
                </c:pt>
                <c:pt idx="16">
                  <c:v>10/20/2016</c:v>
                </c:pt>
                <c:pt idx="17">
                  <c:v>10/21/2016</c:v>
                </c:pt>
                <c:pt idx="18">
                  <c:v>10/25/2016</c:v>
                </c:pt>
                <c:pt idx="19">
                  <c:v>10/26/2016</c:v>
                </c:pt>
                <c:pt idx="20">
                  <c:v>10/27/2016</c:v>
                </c:pt>
                <c:pt idx="21">
                  <c:v>10/28/2016</c:v>
                </c:pt>
                <c:pt idx="22">
                  <c:v>10/29/2016</c:v>
                </c:pt>
                <c:pt idx="23">
                  <c:v>10/30/2016</c:v>
                </c:pt>
                <c:pt idx="24">
                  <c:v>10/31/2016</c:v>
                </c:pt>
                <c:pt idx="25">
                  <c:v>11/1/2016</c:v>
                </c:pt>
                <c:pt idx="26">
                  <c:v>11/2/2016</c:v>
                </c:pt>
                <c:pt idx="27">
                  <c:v>(blank)</c:v>
                </c:pt>
              </c:strCache>
            </c:strRef>
          </c:cat>
          <c:val>
            <c:numRef>
              <c:f>'Timing Table'!$IV$10:$IV$38</c:f>
              <c:numCache>
                <c:formatCode>General</c:formatCode>
                <c:ptCount val="28"/>
                <c:pt idx="4">
                  <c:v>1</c:v>
                </c:pt>
                <c:pt idx="16">
                  <c:v>1</c:v>
                </c:pt>
                <c:pt idx="19">
                  <c:v>3</c:v>
                </c:pt>
              </c:numCache>
            </c:numRef>
          </c:val>
        </c:ser>
        <c:ser>
          <c:idx val="64"/>
          <c:order val="64"/>
          <c:tx>
            <c:strRef>
              <c:f>'Timing Table'!$IZ$4:$IZ$9</c:f>
              <c:strCache>
                <c:ptCount val="1"/>
                <c:pt idx="0">
                  <c:v>WARNING - 3024 - Others - Materials - Frequent</c:v>
                </c:pt>
              </c:strCache>
            </c:strRef>
          </c:tx>
          <c:invertIfNegative val="0"/>
          <c:cat>
            <c:strRef>
              <c:f>'Timing Table'!$A$10:$A$38</c:f>
              <c:strCache>
                <c:ptCount val="28"/>
                <c:pt idx="0">
                  <c:v>10/3/2016</c:v>
                </c:pt>
                <c:pt idx="1">
                  <c:v>10/4/2016</c:v>
                </c:pt>
                <c:pt idx="2">
                  <c:v>10/5/2016</c:v>
                </c:pt>
                <c:pt idx="3">
                  <c:v>10/6/2016</c:v>
                </c:pt>
                <c:pt idx="4">
                  <c:v>10/7/2016</c:v>
                </c:pt>
                <c:pt idx="5">
                  <c:v>10/8/2016</c:v>
                </c:pt>
                <c:pt idx="6">
                  <c:v>10/10/2016</c:v>
                </c:pt>
                <c:pt idx="7">
                  <c:v>10/11/2016</c:v>
                </c:pt>
                <c:pt idx="8">
                  <c:v>10/12/2016</c:v>
                </c:pt>
                <c:pt idx="9">
                  <c:v>10/13/2016</c:v>
                </c:pt>
                <c:pt idx="10">
                  <c:v>10/14/2016</c:v>
                </c:pt>
                <c:pt idx="11">
                  <c:v>10/15/2016</c:v>
                </c:pt>
                <c:pt idx="12">
                  <c:v>10/16/2016</c:v>
                </c:pt>
                <c:pt idx="13">
                  <c:v>10/17/2016</c:v>
                </c:pt>
                <c:pt idx="14">
                  <c:v>10/18/2016</c:v>
                </c:pt>
                <c:pt idx="15">
                  <c:v>10/19/2016</c:v>
                </c:pt>
                <c:pt idx="16">
                  <c:v>10/20/2016</c:v>
                </c:pt>
                <c:pt idx="17">
                  <c:v>10/21/2016</c:v>
                </c:pt>
                <c:pt idx="18">
                  <c:v>10/25/2016</c:v>
                </c:pt>
                <c:pt idx="19">
                  <c:v>10/26/2016</c:v>
                </c:pt>
                <c:pt idx="20">
                  <c:v>10/27/2016</c:v>
                </c:pt>
                <c:pt idx="21">
                  <c:v>10/28/2016</c:v>
                </c:pt>
                <c:pt idx="22">
                  <c:v>10/29/2016</c:v>
                </c:pt>
                <c:pt idx="23">
                  <c:v>10/30/2016</c:v>
                </c:pt>
                <c:pt idx="24">
                  <c:v>10/31/2016</c:v>
                </c:pt>
                <c:pt idx="25">
                  <c:v>11/1/2016</c:v>
                </c:pt>
                <c:pt idx="26">
                  <c:v>11/2/2016</c:v>
                </c:pt>
                <c:pt idx="27">
                  <c:v>(blank)</c:v>
                </c:pt>
              </c:strCache>
            </c:strRef>
          </c:cat>
          <c:val>
            <c:numRef>
              <c:f>'Timing Table'!$IZ$10:$IZ$38</c:f>
              <c:numCache>
                <c:formatCode>General</c:formatCode>
                <c:ptCount val="28"/>
                <c:pt idx="2">
                  <c:v>3</c:v>
                </c:pt>
                <c:pt idx="3">
                  <c:v>3</c:v>
                </c:pt>
                <c:pt idx="4">
                  <c:v>9</c:v>
                </c:pt>
                <c:pt idx="7">
                  <c:v>1</c:v>
                </c:pt>
                <c:pt idx="9">
                  <c:v>3</c:v>
                </c:pt>
                <c:pt idx="15">
                  <c:v>1</c:v>
                </c:pt>
                <c:pt idx="16">
                  <c:v>3</c:v>
                </c:pt>
                <c:pt idx="19">
                  <c:v>10</c:v>
                </c:pt>
                <c:pt idx="20">
                  <c:v>1</c:v>
                </c:pt>
                <c:pt idx="21">
                  <c:v>1</c:v>
                </c:pt>
              </c:numCache>
            </c:numRef>
          </c:val>
        </c:ser>
        <c:ser>
          <c:idx val="65"/>
          <c:order val="65"/>
          <c:tx>
            <c:strRef>
              <c:f>'Timing Table'!$JD$4:$JD$9</c:f>
              <c:strCache>
                <c:ptCount val="1"/>
                <c:pt idx="0">
                  <c:v>WARNING - 3037 - Others - Host - Frequent</c:v>
                </c:pt>
              </c:strCache>
            </c:strRef>
          </c:tx>
          <c:invertIfNegative val="0"/>
          <c:cat>
            <c:strRef>
              <c:f>'Timing Table'!$A$10:$A$38</c:f>
              <c:strCache>
                <c:ptCount val="28"/>
                <c:pt idx="0">
                  <c:v>10/3/2016</c:v>
                </c:pt>
                <c:pt idx="1">
                  <c:v>10/4/2016</c:v>
                </c:pt>
                <c:pt idx="2">
                  <c:v>10/5/2016</c:v>
                </c:pt>
                <c:pt idx="3">
                  <c:v>10/6/2016</c:v>
                </c:pt>
                <c:pt idx="4">
                  <c:v>10/7/2016</c:v>
                </c:pt>
                <c:pt idx="5">
                  <c:v>10/8/2016</c:v>
                </c:pt>
                <c:pt idx="6">
                  <c:v>10/10/2016</c:v>
                </c:pt>
                <c:pt idx="7">
                  <c:v>10/11/2016</c:v>
                </c:pt>
                <c:pt idx="8">
                  <c:v>10/12/2016</c:v>
                </c:pt>
                <c:pt idx="9">
                  <c:v>10/13/2016</c:v>
                </c:pt>
                <c:pt idx="10">
                  <c:v>10/14/2016</c:v>
                </c:pt>
                <c:pt idx="11">
                  <c:v>10/15/2016</c:v>
                </c:pt>
                <c:pt idx="12">
                  <c:v>10/16/2016</c:v>
                </c:pt>
                <c:pt idx="13">
                  <c:v>10/17/2016</c:v>
                </c:pt>
                <c:pt idx="14">
                  <c:v>10/18/2016</c:v>
                </c:pt>
                <c:pt idx="15">
                  <c:v>10/19/2016</c:v>
                </c:pt>
                <c:pt idx="16">
                  <c:v>10/20/2016</c:v>
                </c:pt>
                <c:pt idx="17">
                  <c:v>10/21/2016</c:v>
                </c:pt>
                <c:pt idx="18">
                  <c:v>10/25/2016</c:v>
                </c:pt>
                <c:pt idx="19">
                  <c:v>10/26/2016</c:v>
                </c:pt>
                <c:pt idx="20">
                  <c:v>10/27/2016</c:v>
                </c:pt>
                <c:pt idx="21">
                  <c:v>10/28/2016</c:v>
                </c:pt>
                <c:pt idx="22">
                  <c:v>10/29/2016</c:v>
                </c:pt>
                <c:pt idx="23">
                  <c:v>10/30/2016</c:v>
                </c:pt>
                <c:pt idx="24">
                  <c:v>10/31/2016</c:v>
                </c:pt>
                <c:pt idx="25">
                  <c:v>11/1/2016</c:v>
                </c:pt>
                <c:pt idx="26">
                  <c:v>11/2/2016</c:v>
                </c:pt>
                <c:pt idx="27">
                  <c:v>(blank)</c:v>
                </c:pt>
              </c:strCache>
            </c:strRef>
          </c:cat>
          <c:val>
            <c:numRef>
              <c:f>'Timing Table'!$JD$10:$JD$38</c:f>
              <c:numCache>
                <c:formatCode>General</c:formatCode>
                <c:ptCount val="28"/>
                <c:pt idx="25">
                  <c:v>39</c:v>
                </c:pt>
                <c:pt idx="26">
                  <c:v>1074</c:v>
                </c:pt>
              </c:numCache>
            </c:numRef>
          </c:val>
        </c:ser>
        <c:ser>
          <c:idx val="66"/>
          <c:order val="66"/>
          <c:tx>
            <c:strRef>
              <c:f>'Timing Table'!$JH$4:$JH$9</c:f>
              <c:strCache>
                <c:ptCount val="1"/>
                <c:pt idx="0">
                  <c:v>WARNING - 3047 - Others - Maintenance - Frequent</c:v>
                </c:pt>
              </c:strCache>
            </c:strRef>
          </c:tx>
          <c:invertIfNegative val="0"/>
          <c:cat>
            <c:strRef>
              <c:f>'Timing Table'!$A$10:$A$38</c:f>
              <c:strCache>
                <c:ptCount val="28"/>
                <c:pt idx="0">
                  <c:v>10/3/2016</c:v>
                </c:pt>
                <c:pt idx="1">
                  <c:v>10/4/2016</c:v>
                </c:pt>
                <c:pt idx="2">
                  <c:v>10/5/2016</c:v>
                </c:pt>
                <c:pt idx="3">
                  <c:v>10/6/2016</c:v>
                </c:pt>
                <c:pt idx="4">
                  <c:v>10/7/2016</c:v>
                </c:pt>
                <c:pt idx="5">
                  <c:v>10/8/2016</c:v>
                </c:pt>
                <c:pt idx="6">
                  <c:v>10/10/2016</c:v>
                </c:pt>
                <c:pt idx="7">
                  <c:v>10/11/2016</c:v>
                </c:pt>
                <c:pt idx="8">
                  <c:v>10/12/2016</c:v>
                </c:pt>
                <c:pt idx="9">
                  <c:v>10/13/2016</c:v>
                </c:pt>
                <c:pt idx="10">
                  <c:v>10/14/2016</c:v>
                </c:pt>
                <c:pt idx="11">
                  <c:v>10/15/2016</c:v>
                </c:pt>
                <c:pt idx="12">
                  <c:v>10/16/2016</c:v>
                </c:pt>
                <c:pt idx="13">
                  <c:v>10/17/2016</c:v>
                </c:pt>
                <c:pt idx="14">
                  <c:v>10/18/2016</c:v>
                </c:pt>
                <c:pt idx="15">
                  <c:v>10/19/2016</c:v>
                </c:pt>
                <c:pt idx="16">
                  <c:v>10/20/2016</c:v>
                </c:pt>
                <c:pt idx="17">
                  <c:v>10/21/2016</c:v>
                </c:pt>
                <c:pt idx="18">
                  <c:v>10/25/2016</c:v>
                </c:pt>
                <c:pt idx="19">
                  <c:v>10/26/2016</c:v>
                </c:pt>
                <c:pt idx="20">
                  <c:v>10/27/2016</c:v>
                </c:pt>
                <c:pt idx="21">
                  <c:v>10/28/2016</c:v>
                </c:pt>
                <c:pt idx="22">
                  <c:v>10/29/2016</c:v>
                </c:pt>
                <c:pt idx="23">
                  <c:v>10/30/2016</c:v>
                </c:pt>
                <c:pt idx="24">
                  <c:v>10/31/2016</c:v>
                </c:pt>
                <c:pt idx="25">
                  <c:v>11/1/2016</c:v>
                </c:pt>
                <c:pt idx="26">
                  <c:v>11/2/2016</c:v>
                </c:pt>
                <c:pt idx="27">
                  <c:v>(blank)</c:v>
                </c:pt>
              </c:strCache>
            </c:strRef>
          </c:cat>
          <c:val>
            <c:numRef>
              <c:f>'Timing Table'!$JH$10:$JH$38</c:f>
              <c:numCache>
                <c:formatCode>General</c:formatCode>
                <c:ptCount val="28"/>
                <c:pt idx="1">
                  <c:v>4</c:v>
                </c:pt>
                <c:pt idx="2">
                  <c:v>4</c:v>
                </c:pt>
                <c:pt idx="3">
                  <c:v>2</c:v>
                </c:pt>
                <c:pt idx="4">
                  <c:v>4</c:v>
                </c:pt>
                <c:pt idx="5">
                  <c:v>4</c:v>
                </c:pt>
                <c:pt idx="8">
                  <c:v>8</c:v>
                </c:pt>
                <c:pt idx="10">
                  <c:v>4</c:v>
                </c:pt>
                <c:pt idx="14">
                  <c:v>4</c:v>
                </c:pt>
                <c:pt idx="17">
                  <c:v>4</c:v>
                </c:pt>
                <c:pt idx="19">
                  <c:v>4</c:v>
                </c:pt>
                <c:pt idx="21">
                  <c:v>4</c:v>
                </c:pt>
                <c:pt idx="22">
                  <c:v>4</c:v>
                </c:pt>
                <c:pt idx="26">
                  <c:v>8</c:v>
                </c:pt>
              </c:numCache>
            </c:numRef>
          </c:val>
        </c:ser>
        <c:ser>
          <c:idx val="67"/>
          <c:order val="67"/>
          <c:tx>
            <c:strRef>
              <c:f>'Timing Table'!$JL$4:$JL$9</c:f>
              <c:strCache>
                <c:ptCount val="1"/>
                <c:pt idx="0">
                  <c:v>WARNING - 3056 - Others - Materials - Frequent</c:v>
                </c:pt>
              </c:strCache>
            </c:strRef>
          </c:tx>
          <c:invertIfNegative val="0"/>
          <c:cat>
            <c:strRef>
              <c:f>'Timing Table'!$A$10:$A$38</c:f>
              <c:strCache>
                <c:ptCount val="28"/>
                <c:pt idx="0">
                  <c:v>10/3/2016</c:v>
                </c:pt>
                <c:pt idx="1">
                  <c:v>10/4/2016</c:v>
                </c:pt>
                <c:pt idx="2">
                  <c:v>10/5/2016</c:v>
                </c:pt>
                <c:pt idx="3">
                  <c:v>10/6/2016</c:v>
                </c:pt>
                <c:pt idx="4">
                  <c:v>10/7/2016</c:v>
                </c:pt>
                <c:pt idx="5">
                  <c:v>10/8/2016</c:v>
                </c:pt>
                <c:pt idx="6">
                  <c:v>10/10/2016</c:v>
                </c:pt>
                <c:pt idx="7">
                  <c:v>10/11/2016</c:v>
                </c:pt>
                <c:pt idx="8">
                  <c:v>10/12/2016</c:v>
                </c:pt>
                <c:pt idx="9">
                  <c:v>10/13/2016</c:v>
                </c:pt>
                <c:pt idx="10">
                  <c:v>10/14/2016</c:v>
                </c:pt>
                <c:pt idx="11">
                  <c:v>10/15/2016</c:v>
                </c:pt>
                <c:pt idx="12">
                  <c:v>10/16/2016</c:v>
                </c:pt>
                <c:pt idx="13">
                  <c:v>10/17/2016</c:v>
                </c:pt>
                <c:pt idx="14">
                  <c:v>10/18/2016</c:v>
                </c:pt>
                <c:pt idx="15">
                  <c:v>10/19/2016</c:v>
                </c:pt>
                <c:pt idx="16">
                  <c:v>10/20/2016</c:v>
                </c:pt>
                <c:pt idx="17">
                  <c:v>10/21/2016</c:v>
                </c:pt>
                <c:pt idx="18">
                  <c:v>10/25/2016</c:v>
                </c:pt>
                <c:pt idx="19">
                  <c:v>10/26/2016</c:v>
                </c:pt>
                <c:pt idx="20">
                  <c:v>10/27/2016</c:v>
                </c:pt>
                <c:pt idx="21">
                  <c:v>10/28/2016</c:v>
                </c:pt>
                <c:pt idx="22">
                  <c:v>10/29/2016</c:v>
                </c:pt>
                <c:pt idx="23">
                  <c:v>10/30/2016</c:v>
                </c:pt>
                <c:pt idx="24">
                  <c:v>10/31/2016</c:v>
                </c:pt>
                <c:pt idx="25">
                  <c:v>11/1/2016</c:v>
                </c:pt>
                <c:pt idx="26">
                  <c:v>11/2/2016</c:v>
                </c:pt>
                <c:pt idx="27">
                  <c:v>(blank)</c:v>
                </c:pt>
              </c:strCache>
            </c:strRef>
          </c:cat>
          <c:val>
            <c:numRef>
              <c:f>'Timing Table'!$JL$10:$JL$38</c:f>
              <c:numCache>
                <c:formatCode>General</c:formatCode>
                <c:ptCount val="28"/>
                <c:pt idx="16">
                  <c:v>5</c:v>
                </c:pt>
              </c:numCache>
            </c:numRef>
          </c:val>
        </c:ser>
        <c:ser>
          <c:idx val="68"/>
          <c:order val="68"/>
          <c:tx>
            <c:strRef>
              <c:f>'Timing Table'!$JP$4:$JP$9</c:f>
              <c:strCache>
                <c:ptCount val="1"/>
                <c:pt idx="0">
                  <c:v>WARNING - 3089 - Others - Maintenance - Frequent</c:v>
                </c:pt>
              </c:strCache>
            </c:strRef>
          </c:tx>
          <c:invertIfNegative val="0"/>
          <c:cat>
            <c:strRef>
              <c:f>'Timing Table'!$A$10:$A$38</c:f>
              <c:strCache>
                <c:ptCount val="28"/>
                <c:pt idx="0">
                  <c:v>10/3/2016</c:v>
                </c:pt>
                <c:pt idx="1">
                  <c:v>10/4/2016</c:v>
                </c:pt>
                <c:pt idx="2">
                  <c:v>10/5/2016</c:v>
                </c:pt>
                <c:pt idx="3">
                  <c:v>10/6/2016</c:v>
                </c:pt>
                <c:pt idx="4">
                  <c:v>10/7/2016</c:v>
                </c:pt>
                <c:pt idx="5">
                  <c:v>10/8/2016</c:v>
                </c:pt>
                <c:pt idx="6">
                  <c:v>10/10/2016</c:v>
                </c:pt>
                <c:pt idx="7">
                  <c:v>10/11/2016</c:v>
                </c:pt>
                <c:pt idx="8">
                  <c:v>10/12/2016</c:v>
                </c:pt>
                <c:pt idx="9">
                  <c:v>10/13/2016</c:v>
                </c:pt>
                <c:pt idx="10">
                  <c:v>10/14/2016</c:v>
                </c:pt>
                <c:pt idx="11">
                  <c:v>10/15/2016</c:v>
                </c:pt>
                <c:pt idx="12">
                  <c:v>10/16/2016</c:v>
                </c:pt>
                <c:pt idx="13">
                  <c:v>10/17/2016</c:v>
                </c:pt>
                <c:pt idx="14">
                  <c:v>10/18/2016</c:v>
                </c:pt>
                <c:pt idx="15">
                  <c:v>10/19/2016</c:v>
                </c:pt>
                <c:pt idx="16">
                  <c:v>10/20/2016</c:v>
                </c:pt>
                <c:pt idx="17">
                  <c:v>10/21/2016</c:v>
                </c:pt>
                <c:pt idx="18">
                  <c:v>10/25/2016</c:v>
                </c:pt>
                <c:pt idx="19">
                  <c:v>10/26/2016</c:v>
                </c:pt>
                <c:pt idx="20">
                  <c:v>10/27/2016</c:v>
                </c:pt>
                <c:pt idx="21">
                  <c:v>10/28/2016</c:v>
                </c:pt>
                <c:pt idx="22">
                  <c:v>10/29/2016</c:v>
                </c:pt>
                <c:pt idx="23">
                  <c:v>10/30/2016</c:v>
                </c:pt>
                <c:pt idx="24">
                  <c:v>10/31/2016</c:v>
                </c:pt>
                <c:pt idx="25">
                  <c:v>11/1/2016</c:v>
                </c:pt>
                <c:pt idx="26">
                  <c:v>11/2/2016</c:v>
                </c:pt>
                <c:pt idx="27">
                  <c:v>(blank)</c:v>
                </c:pt>
              </c:strCache>
            </c:strRef>
          </c:cat>
          <c:val>
            <c:numRef>
              <c:f>'Timing Table'!$JP$10:$JP$38</c:f>
              <c:numCache>
                <c:formatCode>General</c:formatCode>
                <c:ptCount val="28"/>
                <c:pt idx="2">
                  <c:v>6</c:v>
                </c:pt>
                <c:pt idx="5">
                  <c:v>4</c:v>
                </c:pt>
                <c:pt idx="8">
                  <c:v>4</c:v>
                </c:pt>
                <c:pt idx="10">
                  <c:v>4</c:v>
                </c:pt>
                <c:pt idx="15">
                  <c:v>4</c:v>
                </c:pt>
                <c:pt idx="17">
                  <c:v>4</c:v>
                </c:pt>
                <c:pt idx="20">
                  <c:v>1</c:v>
                </c:pt>
                <c:pt idx="21">
                  <c:v>4</c:v>
                </c:pt>
                <c:pt idx="22">
                  <c:v>4</c:v>
                </c:pt>
                <c:pt idx="26">
                  <c:v>4</c:v>
                </c:pt>
              </c:numCache>
            </c:numRef>
          </c:val>
        </c:ser>
        <c:ser>
          <c:idx val="69"/>
          <c:order val="69"/>
          <c:tx>
            <c:strRef>
              <c:f>'Timing Table'!$JT$4:$JT$9</c:f>
              <c:strCache>
                <c:ptCount val="1"/>
                <c:pt idx="0">
                  <c:v>WARNING - 3096 - Others - Materials - Frequent</c:v>
                </c:pt>
              </c:strCache>
            </c:strRef>
          </c:tx>
          <c:invertIfNegative val="0"/>
          <c:cat>
            <c:strRef>
              <c:f>'Timing Table'!$A$10:$A$38</c:f>
              <c:strCache>
                <c:ptCount val="28"/>
                <c:pt idx="0">
                  <c:v>10/3/2016</c:v>
                </c:pt>
                <c:pt idx="1">
                  <c:v>10/4/2016</c:v>
                </c:pt>
                <c:pt idx="2">
                  <c:v>10/5/2016</c:v>
                </c:pt>
                <c:pt idx="3">
                  <c:v>10/6/2016</c:v>
                </c:pt>
                <c:pt idx="4">
                  <c:v>10/7/2016</c:v>
                </c:pt>
                <c:pt idx="5">
                  <c:v>10/8/2016</c:v>
                </c:pt>
                <c:pt idx="6">
                  <c:v>10/10/2016</c:v>
                </c:pt>
                <c:pt idx="7">
                  <c:v>10/11/2016</c:v>
                </c:pt>
                <c:pt idx="8">
                  <c:v>10/12/2016</c:v>
                </c:pt>
                <c:pt idx="9">
                  <c:v>10/13/2016</c:v>
                </c:pt>
                <c:pt idx="10">
                  <c:v>10/14/2016</c:v>
                </c:pt>
                <c:pt idx="11">
                  <c:v>10/15/2016</c:v>
                </c:pt>
                <c:pt idx="12">
                  <c:v>10/16/2016</c:v>
                </c:pt>
                <c:pt idx="13">
                  <c:v>10/17/2016</c:v>
                </c:pt>
                <c:pt idx="14">
                  <c:v>10/18/2016</c:v>
                </c:pt>
                <c:pt idx="15">
                  <c:v>10/19/2016</c:v>
                </c:pt>
                <c:pt idx="16">
                  <c:v>10/20/2016</c:v>
                </c:pt>
                <c:pt idx="17">
                  <c:v>10/21/2016</c:v>
                </c:pt>
                <c:pt idx="18">
                  <c:v>10/25/2016</c:v>
                </c:pt>
                <c:pt idx="19">
                  <c:v>10/26/2016</c:v>
                </c:pt>
                <c:pt idx="20">
                  <c:v>10/27/2016</c:v>
                </c:pt>
                <c:pt idx="21">
                  <c:v>10/28/2016</c:v>
                </c:pt>
                <c:pt idx="22">
                  <c:v>10/29/2016</c:v>
                </c:pt>
                <c:pt idx="23">
                  <c:v>10/30/2016</c:v>
                </c:pt>
                <c:pt idx="24">
                  <c:v>10/31/2016</c:v>
                </c:pt>
                <c:pt idx="25">
                  <c:v>11/1/2016</c:v>
                </c:pt>
                <c:pt idx="26">
                  <c:v>11/2/2016</c:v>
                </c:pt>
                <c:pt idx="27">
                  <c:v>(blank)</c:v>
                </c:pt>
              </c:strCache>
            </c:strRef>
          </c:cat>
          <c:val>
            <c:numRef>
              <c:f>'Timing Table'!$JT$10:$JT$38</c:f>
              <c:numCache>
                <c:formatCode>General</c:formatCode>
                <c:ptCount val="28"/>
                <c:pt idx="19">
                  <c:v>2</c:v>
                </c:pt>
              </c:numCache>
            </c:numRef>
          </c:val>
        </c:ser>
        <c:ser>
          <c:idx val="70"/>
          <c:order val="70"/>
          <c:tx>
            <c:strRef>
              <c:f>'Timing Table'!$JX$4:$JX$9</c:f>
              <c:strCache>
                <c:ptCount val="1"/>
                <c:pt idx="0">
                  <c:v>WARNING - 3187 - Others - Materials - Frequent</c:v>
                </c:pt>
              </c:strCache>
            </c:strRef>
          </c:tx>
          <c:invertIfNegative val="0"/>
          <c:cat>
            <c:strRef>
              <c:f>'Timing Table'!$A$10:$A$38</c:f>
              <c:strCache>
                <c:ptCount val="28"/>
                <c:pt idx="0">
                  <c:v>10/3/2016</c:v>
                </c:pt>
                <c:pt idx="1">
                  <c:v>10/4/2016</c:v>
                </c:pt>
                <c:pt idx="2">
                  <c:v>10/5/2016</c:v>
                </c:pt>
                <c:pt idx="3">
                  <c:v>10/6/2016</c:v>
                </c:pt>
                <c:pt idx="4">
                  <c:v>10/7/2016</c:v>
                </c:pt>
                <c:pt idx="5">
                  <c:v>10/8/2016</c:v>
                </c:pt>
                <c:pt idx="6">
                  <c:v>10/10/2016</c:v>
                </c:pt>
                <c:pt idx="7">
                  <c:v>10/11/2016</c:v>
                </c:pt>
                <c:pt idx="8">
                  <c:v>10/12/2016</c:v>
                </c:pt>
                <c:pt idx="9">
                  <c:v>10/13/2016</c:v>
                </c:pt>
                <c:pt idx="10">
                  <c:v>10/14/2016</c:v>
                </c:pt>
                <c:pt idx="11">
                  <c:v>10/15/2016</c:v>
                </c:pt>
                <c:pt idx="12">
                  <c:v>10/16/2016</c:v>
                </c:pt>
                <c:pt idx="13">
                  <c:v>10/17/2016</c:v>
                </c:pt>
                <c:pt idx="14">
                  <c:v>10/18/2016</c:v>
                </c:pt>
                <c:pt idx="15">
                  <c:v>10/19/2016</c:v>
                </c:pt>
                <c:pt idx="16">
                  <c:v>10/20/2016</c:v>
                </c:pt>
                <c:pt idx="17">
                  <c:v>10/21/2016</c:v>
                </c:pt>
                <c:pt idx="18">
                  <c:v>10/25/2016</c:v>
                </c:pt>
                <c:pt idx="19">
                  <c:v>10/26/2016</c:v>
                </c:pt>
                <c:pt idx="20">
                  <c:v>10/27/2016</c:v>
                </c:pt>
                <c:pt idx="21">
                  <c:v>10/28/2016</c:v>
                </c:pt>
                <c:pt idx="22">
                  <c:v>10/29/2016</c:v>
                </c:pt>
                <c:pt idx="23">
                  <c:v>10/30/2016</c:v>
                </c:pt>
                <c:pt idx="24">
                  <c:v>10/31/2016</c:v>
                </c:pt>
                <c:pt idx="25">
                  <c:v>11/1/2016</c:v>
                </c:pt>
                <c:pt idx="26">
                  <c:v>11/2/2016</c:v>
                </c:pt>
                <c:pt idx="27">
                  <c:v>(blank)</c:v>
                </c:pt>
              </c:strCache>
            </c:strRef>
          </c:cat>
          <c:val>
            <c:numRef>
              <c:f>'Timing Table'!$JX$10:$JX$38</c:f>
              <c:numCache>
                <c:formatCode>General</c:formatCode>
                <c:ptCount val="28"/>
                <c:pt idx="1">
                  <c:v>2</c:v>
                </c:pt>
                <c:pt idx="4">
                  <c:v>1</c:v>
                </c:pt>
                <c:pt idx="9">
                  <c:v>1</c:v>
                </c:pt>
              </c:numCache>
            </c:numRef>
          </c:val>
        </c:ser>
        <c:ser>
          <c:idx val="71"/>
          <c:order val="71"/>
          <c:tx>
            <c:strRef>
              <c:f>'Timing Table'!$KB$4:$KB$9</c:f>
              <c:strCache>
                <c:ptCount val="1"/>
                <c:pt idx="0">
                  <c:v>WARNING - 4006 - Barcode/Racks - Barcode - Frequent</c:v>
                </c:pt>
              </c:strCache>
            </c:strRef>
          </c:tx>
          <c:invertIfNegative val="0"/>
          <c:cat>
            <c:strRef>
              <c:f>'Timing Table'!$A$10:$A$38</c:f>
              <c:strCache>
                <c:ptCount val="28"/>
                <c:pt idx="0">
                  <c:v>10/3/2016</c:v>
                </c:pt>
                <c:pt idx="1">
                  <c:v>10/4/2016</c:v>
                </c:pt>
                <c:pt idx="2">
                  <c:v>10/5/2016</c:v>
                </c:pt>
                <c:pt idx="3">
                  <c:v>10/6/2016</c:v>
                </c:pt>
                <c:pt idx="4">
                  <c:v>10/7/2016</c:v>
                </c:pt>
                <c:pt idx="5">
                  <c:v>10/8/2016</c:v>
                </c:pt>
                <c:pt idx="6">
                  <c:v>10/10/2016</c:v>
                </c:pt>
                <c:pt idx="7">
                  <c:v>10/11/2016</c:v>
                </c:pt>
                <c:pt idx="8">
                  <c:v>10/12/2016</c:v>
                </c:pt>
                <c:pt idx="9">
                  <c:v>10/13/2016</c:v>
                </c:pt>
                <c:pt idx="10">
                  <c:v>10/14/2016</c:v>
                </c:pt>
                <c:pt idx="11">
                  <c:v>10/15/2016</c:v>
                </c:pt>
                <c:pt idx="12">
                  <c:v>10/16/2016</c:v>
                </c:pt>
                <c:pt idx="13">
                  <c:v>10/17/2016</c:v>
                </c:pt>
                <c:pt idx="14">
                  <c:v>10/18/2016</c:v>
                </c:pt>
                <c:pt idx="15">
                  <c:v>10/19/2016</c:v>
                </c:pt>
                <c:pt idx="16">
                  <c:v>10/20/2016</c:v>
                </c:pt>
                <c:pt idx="17">
                  <c:v>10/21/2016</c:v>
                </c:pt>
                <c:pt idx="18">
                  <c:v>10/25/2016</c:v>
                </c:pt>
                <c:pt idx="19">
                  <c:v>10/26/2016</c:v>
                </c:pt>
                <c:pt idx="20">
                  <c:v>10/27/2016</c:v>
                </c:pt>
                <c:pt idx="21">
                  <c:v>10/28/2016</c:v>
                </c:pt>
                <c:pt idx="22">
                  <c:v>10/29/2016</c:v>
                </c:pt>
                <c:pt idx="23">
                  <c:v>10/30/2016</c:v>
                </c:pt>
                <c:pt idx="24">
                  <c:v>10/31/2016</c:v>
                </c:pt>
                <c:pt idx="25">
                  <c:v>11/1/2016</c:v>
                </c:pt>
                <c:pt idx="26">
                  <c:v>11/2/2016</c:v>
                </c:pt>
                <c:pt idx="27">
                  <c:v>(blank)</c:v>
                </c:pt>
              </c:strCache>
            </c:strRef>
          </c:cat>
          <c:val>
            <c:numRef>
              <c:f>'Timing Table'!$KB$10:$KB$38</c:f>
              <c:numCache>
                <c:formatCode>General</c:formatCode>
                <c:ptCount val="28"/>
                <c:pt idx="15">
                  <c:v>1</c:v>
                </c:pt>
              </c:numCache>
            </c:numRef>
          </c:val>
        </c:ser>
        <c:ser>
          <c:idx val="72"/>
          <c:order val="72"/>
          <c:tx>
            <c:strRef>
              <c:f>'Timing Table'!$KF$4:$KF$9</c:f>
              <c:strCache>
                <c:ptCount val="1"/>
                <c:pt idx="0">
                  <c:v>WARNING - 4025 - Fluidics - Clean Circuit - Frequent</c:v>
                </c:pt>
              </c:strCache>
            </c:strRef>
          </c:tx>
          <c:invertIfNegative val="0"/>
          <c:cat>
            <c:strRef>
              <c:f>'Timing Table'!$A$10:$A$38</c:f>
              <c:strCache>
                <c:ptCount val="28"/>
                <c:pt idx="0">
                  <c:v>10/3/2016</c:v>
                </c:pt>
                <c:pt idx="1">
                  <c:v>10/4/2016</c:v>
                </c:pt>
                <c:pt idx="2">
                  <c:v>10/5/2016</c:v>
                </c:pt>
                <c:pt idx="3">
                  <c:v>10/6/2016</c:v>
                </c:pt>
                <c:pt idx="4">
                  <c:v>10/7/2016</c:v>
                </c:pt>
                <c:pt idx="5">
                  <c:v>10/8/2016</c:v>
                </c:pt>
                <c:pt idx="6">
                  <c:v>10/10/2016</c:v>
                </c:pt>
                <c:pt idx="7">
                  <c:v>10/11/2016</c:v>
                </c:pt>
                <c:pt idx="8">
                  <c:v>10/12/2016</c:v>
                </c:pt>
                <c:pt idx="9">
                  <c:v>10/13/2016</c:v>
                </c:pt>
                <c:pt idx="10">
                  <c:v>10/14/2016</c:v>
                </c:pt>
                <c:pt idx="11">
                  <c:v>10/15/2016</c:v>
                </c:pt>
                <c:pt idx="12">
                  <c:v>10/16/2016</c:v>
                </c:pt>
                <c:pt idx="13">
                  <c:v>10/17/2016</c:v>
                </c:pt>
                <c:pt idx="14">
                  <c:v>10/18/2016</c:v>
                </c:pt>
                <c:pt idx="15">
                  <c:v>10/19/2016</c:v>
                </c:pt>
                <c:pt idx="16">
                  <c:v>10/20/2016</c:v>
                </c:pt>
                <c:pt idx="17">
                  <c:v>10/21/2016</c:v>
                </c:pt>
                <c:pt idx="18">
                  <c:v>10/25/2016</c:v>
                </c:pt>
                <c:pt idx="19">
                  <c:v>10/26/2016</c:v>
                </c:pt>
                <c:pt idx="20">
                  <c:v>10/27/2016</c:v>
                </c:pt>
                <c:pt idx="21">
                  <c:v>10/28/2016</c:v>
                </c:pt>
                <c:pt idx="22">
                  <c:v>10/29/2016</c:v>
                </c:pt>
                <c:pt idx="23">
                  <c:v>10/30/2016</c:v>
                </c:pt>
                <c:pt idx="24">
                  <c:v>10/31/2016</c:v>
                </c:pt>
                <c:pt idx="25">
                  <c:v>11/1/2016</c:v>
                </c:pt>
                <c:pt idx="26">
                  <c:v>11/2/2016</c:v>
                </c:pt>
                <c:pt idx="27">
                  <c:v>(blank)</c:v>
                </c:pt>
              </c:strCache>
            </c:strRef>
          </c:cat>
          <c:val>
            <c:numRef>
              <c:f>'Timing Table'!$KF$10:$KF$38</c:f>
              <c:numCache>
                <c:formatCode>General</c:formatCode>
                <c:ptCount val="28"/>
                <c:pt idx="1">
                  <c:v>1</c:v>
                </c:pt>
                <c:pt idx="10">
                  <c:v>1</c:v>
                </c:pt>
                <c:pt idx="21">
                  <c:v>1</c:v>
                </c:pt>
              </c:numCache>
            </c:numRef>
          </c:val>
        </c:ser>
        <c:ser>
          <c:idx val="73"/>
          <c:order val="73"/>
          <c:tx>
            <c:strRef>
              <c:f>'Timing Table'!$KJ$4:$KJ$9</c:f>
              <c:strCache>
                <c:ptCount val="1"/>
                <c:pt idx="0">
                  <c:v>WARNING - 4030 - Fluidics - Rinse Circuit - Frequent</c:v>
                </c:pt>
              </c:strCache>
            </c:strRef>
          </c:tx>
          <c:invertIfNegative val="0"/>
          <c:cat>
            <c:strRef>
              <c:f>'Timing Table'!$A$10:$A$38</c:f>
              <c:strCache>
                <c:ptCount val="28"/>
                <c:pt idx="0">
                  <c:v>10/3/2016</c:v>
                </c:pt>
                <c:pt idx="1">
                  <c:v>10/4/2016</c:v>
                </c:pt>
                <c:pt idx="2">
                  <c:v>10/5/2016</c:v>
                </c:pt>
                <c:pt idx="3">
                  <c:v>10/6/2016</c:v>
                </c:pt>
                <c:pt idx="4">
                  <c:v>10/7/2016</c:v>
                </c:pt>
                <c:pt idx="5">
                  <c:v>10/8/2016</c:v>
                </c:pt>
                <c:pt idx="6">
                  <c:v>10/10/2016</c:v>
                </c:pt>
                <c:pt idx="7">
                  <c:v>10/11/2016</c:v>
                </c:pt>
                <c:pt idx="8">
                  <c:v>10/12/2016</c:v>
                </c:pt>
                <c:pt idx="9">
                  <c:v>10/13/2016</c:v>
                </c:pt>
                <c:pt idx="10">
                  <c:v>10/14/2016</c:v>
                </c:pt>
                <c:pt idx="11">
                  <c:v>10/15/2016</c:v>
                </c:pt>
                <c:pt idx="12">
                  <c:v>10/16/2016</c:v>
                </c:pt>
                <c:pt idx="13">
                  <c:v>10/17/2016</c:v>
                </c:pt>
                <c:pt idx="14">
                  <c:v>10/18/2016</c:v>
                </c:pt>
                <c:pt idx="15">
                  <c:v>10/19/2016</c:v>
                </c:pt>
                <c:pt idx="16">
                  <c:v>10/20/2016</c:v>
                </c:pt>
                <c:pt idx="17">
                  <c:v>10/21/2016</c:v>
                </c:pt>
                <c:pt idx="18">
                  <c:v>10/25/2016</c:v>
                </c:pt>
                <c:pt idx="19">
                  <c:v>10/26/2016</c:v>
                </c:pt>
                <c:pt idx="20">
                  <c:v>10/27/2016</c:v>
                </c:pt>
                <c:pt idx="21">
                  <c:v>10/28/2016</c:v>
                </c:pt>
                <c:pt idx="22">
                  <c:v>10/29/2016</c:v>
                </c:pt>
                <c:pt idx="23">
                  <c:v>10/30/2016</c:v>
                </c:pt>
                <c:pt idx="24">
                  <c:v>10/31/2016</c:v>
                </c:pt>
                <c:pt idx="25">
                  <c:v>11/1/2016</c:v>
                </c:pt>
                <c:pt idx="26">
                  <c:v>11/2/2016</c:v>
                </c:pt>
                <c:pt idx="27">
                  <c:v>(blank)</c:v>
                </c:pt>
              </c:strCache>
            </c:strRef>
          </c:cat>
          <c:val>
            <c:numRef>
              <c:f>'Timing Table'!$KJ$10:$KJ$38</c:f>
              <c:numCache>
                <c:formatCode>General</c:formatCode>
                <c:ptCount val="28"/>
                <c:pt idx="0">
                  <c:v>1</c:v>
                </c:pt>
                <c:pt idx="3">
                  <c:v>1</c:v>
                </c:pt>
                <c:pt idx="7">
                  <c:v>1</c:v>
                </c:pt>
                <c:pt idx="8">
                  <c:v>1</c:v>
                </c:pt>
                <c:pt idx="12">
                  <c:v>1</c:v>
                </c:pt>
                <c:pt idx="17">
                  <c:v>1</c:v>
                </c:pt>
                <c:pt idx="21">
                  <c:v>1</c:v>
                </c:pt>
                <c:pt idx="26">
                  <c:v>1</c:v>
                </c:pt>
              </c:numCache>
            </c:numRef>
          </c:val>
        </c:ser>
        <c:ser>
          <c:idx val="74"/>
          <c:order val="74"/>
          <c:tx>
            <c:strRef>
              <c:f>'Timing Table'!$KN$4:$KN$9</c:f>
              <c:strCache>
                <c:ptCount val="1"/>
                <c:pt idx="0">
                  <c:v>WARNING - 4035 - Cuvettes Movement - Loader - Frequent</c:v>
                </c:pt>
              </c:strCache>
            </c:strRef>
          </c:tx>
          <c:invertIfNegative val="0"/>
          <c:cat>
            <c:strRef>
              <c:f>'Timing Table'!$A$10:$A$38</c:f>
              <c:strCache>
                <c:ptCount val="28"/>
                <c:pt idx="0">
                  <c:v>10/3/2016</c:v>
                </c:pt>
                <c:pt idx="1">
                  <c:v>10/4/2016</c:v>
                </c:pt>
                <c:pt idx="2">
                  <c:v>10/5/2016</c:v>
                </c:pt>
                <c:pt idx="3">
                  <c:v>10/6/2016</c:v>
                </c:pt>
                <c:pt idx="4">
                  <c:v>10/7/2016</c:v>
                </c:pt>
                <c:pt idx="5">
                  <c:v>10/8/2016</c:v>
                </c:pt>
                <c:pt idx="6">
                  <c:v>10/10/2016</c:v>
                </c:pt>
                <c:pt idx="7">
                  <c:v>10/11/2016</c:v>
                </c:pt>
                <c:pt idx="8">
                  <c:v>10/12/2016</c:v>
                </c:pt>
                <c:pt idx="9">
                  <c:v>10/13/2016</c:v>
                </c:pt>
                <c:pt idx="10">
                  <c:v>10/14/2016</c:v>
                </c:pt>
                <c:pt idx="11">
                  <c:v>10/15/2016</c:v>
                </c:pt>
                <c:pt idx="12">
                  <c:v>10/16/2016</c:v>
                </c:pt>
                <c:pt idx="13">
                  <c:v>10/17/2016</c:v>
                </c:pt>
                <c:pt idx="14">
                  <c:v>10/18/2016</c:v>
                </c:pt>
                <c:pt idx="15">
                  <c:v>10/19/2016</c:v>
                </c:pt>
                <c:pt idx="16">
                  <c:v>10/20/2016</c:v>
                </c:pt>
                <c:pt idx="17">
                  <c:v>10/21/2016</c:v>
                </c:pt>
                <c:pt idx="18">
                  <c:v>10/25/2016</c:v>
                </c:pt>
                <c:pt idx="19">
                  <c:v>10/26/2016</c:v>
                </c:pt>
                <c:pt idx="20">
                  <c:v>10/27/2016</c:v>
                </c:pt>
                <c:pt idx="21">
                  <c:v>10/28/2016</c:v>
                </c:pt>
                <c:pt idx="22">
                  <c:v>10/29/2016</c:v>
                </c:pt>
                <c:pt idx="23">
                  <c:v>10/30/2016</c:v>
                </c:pt>
                <c:pt idx="24">
                  <c:v>10/31/2016</c:v>
                </c:pt>
                <c:pt idx="25">
                  <c:v>11/1/2016</c:v>
                </c:pt>
                <c:pt idx="26">
                  <c:v>11/2/2016</c:v>
                </c:pt>
                <c:pt idx="27">
                  <c:v>(blank)</c:v>
                </c:pt>
              </c:strCache>
            </c:strRef>
          </c:cat>
          <c:val>
            <c:numRef>
              <c:f>'Timing Table'!$KN$10:$KN$38</c:f>
              <c:numCache>
                <c:formatCode>General</c:formatCode>
                <c:ptCount val="28"/>
                <c:pt idx="1">
                  <c:v>2</c:v>
                </c:pt>
                <c:pt idx="4">
                  <c:v>1</c:v>
                </c:pt>
                <c:pt idx="14">
                  <c:v>1</c:v>
                </c:pt>
                <c:pt idx="20">
                  <c:v>1</c:v>
                </c:pt>
                <c:pt idx="25">
                  <c:v>1</c:v>
                </c:pt>
                <c:pt idx="26">
                  <c:v>1</c:v>
                </c:pt>
              </c:numCache>
            </c:numRef>
          </c:val>
        </c:ser>
        <c:ser>
          <c:idx val="75"/>
          <c:order val="75"/>
          <c:tx>
            <c:strRef>
              <c:f>'Timing Table'!$KR$4:$KR$9</c:f>
              <c:strCache>
                <c:ptCount val="1"/>
                <c:pt idx="0">
                  <c:v>WARNING - 4040 - Cuvettes Movement - Cuvette Waste - Frequent</c:v>
                </c:pt>
              </c:strCache>
            </c:strRef>
          </c:tx>
          <c:invertIfNegative val="0"/>
          <c:cat>
            <c:strRef>
              <c:f>'Timing Table'!$A$10:$A$38</c:f>
              <c:strCache>
                <c:ptCount val="28"/>
                <c:pt idx="0">
                  <c:v>10/3/2016</c:v>
                </c:pt>
                <c:pt idx="1">
                  <c:v>10/4/2016</c:v>
                </c:pt>
                <c:pt idx="2">
                  <c:v>10/5/2016</c:v>
                </c:pt>
                <c:pt idx="3">
                  <c:v>10/6/2016</c:v>
                </c:pt>
                <c:pt idx="4">
                  <c:v>10/7/2016</c:v>
                </c:pt>
                <c:pt idx="5">
                  <c:v>10/8/2016</c:v>
                </c:pt>
                <c:pt idx="6">
                  <c:v>10/10/2016</c:v>
                </c:pt>
                <c:pt idx="7">
                  <c:v>10/11/2016</c:v>
                </c:pt>
                <c:pt idx="8">
                  <c:v>10/12/2016</c:v>
                </c:pt>
                <c:pt idx="9">
                  <c:v>10/13/2016</c:v>
                </c:pt>
                <c:pt idx="10">
                  <c:v>10/14/2016</c:v>
                </c:pt>
                <c:pt idx="11">
                  <c:v>10/15/2016</c:v>
                </c:pt>
                <c:pt idx="12">
                  <c:v>10/16/2016</c:v>
                </c:pt>
                <c:pt idx="13">
                  <c:v>10/17/2016</c:v>
                </c:pt>
                <c:pt idx="14">
                  <c:v>10/18/2016</c:v>
                </c:pt>
                <c:pt idx="15">
                  <c:v>10/19/2016</c:v>
                </c:pt>
                <c:pt idx="16">
                  <c:v>10/20/2016</c:v>
                </c:pt>
                <c:pt idx="17">
                  <c:v>10/21/2016</c:v>
                </c:pt>
                <c:pt idx="18">
                  <c:v>10/25/2016</c:v>
                </c:pt>
                <c:pt idx="19">
                  <c:v>10/26/2016</c:v>
                </c:pt>
                <c:pt idx="20">
                  <c:v>10/27/2016</c:v>
                </c:pt>
                <c:pt idx="21">
                  <c:v>10/28/2016</c:v>
                </c:pt>
                <c:pt idx="22">
                  <c:v>10/29/2016</c:v>
                </c:pt>
                <c:pt idx="23">
                  <c:v>10/30/2016</c:v>
                </c:pt>
                <c:pt idx="24">
                  <c:v>10/31/2016</c:v>
                </c:pt>
                <c:pt idx="25">
                  <c:v>11/1/2016</c:v>
                </c:pt>
                <c:pt idx="26">
                  <c:v>11/2/2016</c:v>
                </c:pt>
                <c:pt idx="27">
                  <c:v>(blank)</c:v>
                </c:pt>
              </c:strCache>
            </c:strRef>
          </c:cat>
          <c:val>
            <c:numRef>
              <c:f>'Timing Table'!$KR$10:$KR$38</c:f>
              <c:numCache>
                <c:formatCode>General</c:formatCode>
                <c:ptCount val="28"/>
                <c:pt idx="15">
                  <c:v>2</c:v>
                </c:pt>
                <c:pt idx="16">
                  <c:v>1</c:v>
                </c:pt>
                <c:pt idx="26">
                  <c:v>1</c:v>
                </c:pt>
              </c:numCache>
            </c:numRef>
          </c:val>
        </c:ser>
        <c:ser>
          <c:idx val="76"/>
          <c:order val="76"/>
          <c:tx>
            <c:strRef>
              <c:f>'Timing Table'!$KV$4:$KV$9</c:f>
              <c:strCache>
                <c:ptCount val="1"/>
                <c:pt idx="0">
                  <c:v>WARNING - 4050 - Fluidics - Waste Liquid Circuit - Frequent</c:v>
                </c:pt>
              </c:strCache>
            </c:strRef>
          </c:tx>
          <c:invertIfNegative val="0"/>
          <c:cat>
            <c:strRef>
              <c:f>'Timing Table'!$A$10:$A$38</c:f>
              <c:strCache>
                <c:ptCount val="28"/>
                <c:pt idx="0">
                  <c:v>10/3/2016</c:v>
                </c:pt>
                <c:pt idx="1">
                  <c:v>10/4/2016</c:v>
                </c:pt>
                <c:pt idx="2">
                  <c:v>10/5/2016</c:v>
                </c:pt>
                <c:pt idx="3">
                  <c:v>10/6/2016</c:v>
                </c:pt>
                <c:pt idx="4">
                  <c:v>10/7/2016</c:v>
                </c:pt>
                <c:pt idx="5">
                  <c:v>10/8/2016</c:v>
                </c:pt>
                <c:pt idx="6">
                  <c:v>10/10/2016</c:v>
                </c:pt>
                <c:pt idx="7">
                  <c:v>10/11/2016</c:v>
                </c:pt>
                <c:pt idx="8">
                  <c:v>10/12/2016</c:v>
                </c:pt>
                <c:pt idx="9">
                  <c:v>10/13/2016</c:v>
                </c:pt>
                <c:pt idx="10">
                  <c:v>10/14/2016</c:v>
                </c:pt>
                <c:pt idx="11">
                  <c:v>10/15/2016</c:v>
                </c:pt>
                <c:pt idx="12">
                  <c:v>10/16/2016</c:v>
                </c:pt>
                <c:pt idx="13">
                  <c:v>10/17/2016</c:v>
                </c:pt>
                <c:pt idx="14">
                  <c:v>10/18/2016</c:v>
                </c:pt>
                <c:pt idx="15">
                  <c:v>10/19/2016</c:v>
                </c:pt>
                <c:pt idx="16">
                  <c:v>10/20/2016</c:v>
                </c:pt>
                <c:pt idx="17">
                  <c:v>10/21/2016</c:v>
                </c:pt>
                <c:pt idx="18">
                  <c:v>10/25/2016</c:v>
                </c:pt>
                <c:pt idx="19">
                  <c:v>10/26/2016</c:v>
                </c:pt>
                <c:pt idx="20">
                  <c:v>10/27/2016</c:v>
                </c:pt>
                <c:pt idx="21">
                  <c:v>10/28/2016</c:v>
                </c:pt>
                <c:pt idx="22">
                  <c:v>10/29/2016</c:v>
                </c:pt>
                <c:pt idx="23">
                  <c:v>10/30/2016</c:v>
                </c:pt>
                <c:pt idx="24">
                  <c:v>10/31/2016</c:v>
                </c:pt>
                <c:pt idx="25">
                  <c:v>11/1/2016</c:v>
                </c:pt>
                <c:pt idx="26">
                  <c:v>11/2/2016</c:v>
                </c:pt>
                <c:pt idx="27">
                  <c:v>(blank)</c:v>
                </c:pt>
              </c:strCache>
            </c:strRef>
          </c:cat>
          <c:val>
            <c:numRef>
              <c:f>'Timing Table'!$KV$10:$KV$38</c:f>
              <c:numCache>
                <c:formatCode>General</c:formatCode>
                <c:ptCount val="28"/>
                <c:pt idx="5">
                  <c:v>9</c:v>
                </c:pt>
                <c:pt idx="17">
                  <c:v>7</c:v>
                </c:pt>
                <c:pt idx="18">
                  <c:v>3</c:v>
                </c:pt>
                <c:pt idx="26">
                  <c:v>4</c:v>
                </c:pt>
              </c:numCache>
            </c:numRef>
          </c:val>
        </c:ser>
        <c:ser>
          <c:idx val="77"/>
          <c:order val="77"/>
          <c:tx>
            <c:strRef>
              <c:f>'Timing Table'!$LA$4:$LA$9</c:f>
              <c:strCache>
                <c:ptCount val="1"/>
                <c:pt idx="0">
                  <c:v>(blank) - (blank) - (blank) - (blank) - (blank)</c:v>
                </c:pt>
              </c:strCache>
            </c:strRef>
          </c:tx>
          <c:invertIfNegative val="0"/>
          <c:cat>
            <c:strRef>
              <c:f>'Timing Table'!$A$10:$A$38</c:f>
              <c:strCache>
                <c:ptCount val="28"/>
                <c:pt idx="0">
                  <c:v>10/3/2016</c:v>
                </c:pt>
                <c:pt idx="1">
                  <c:v>10/4/2016</c:v>
                </c:pt>
                <c:pt idx="2">
                  <c:v>10/5/2016</c:v>
                </c:pt>
                <c:pt idx="3">
                  <c:v>10/6/2016</c:v>
                </c:pt>
                <c:pt idx="4">
                  <c:v>10/7/2016</c:v>
                </c:pt>
                <c:pt idx="5">
                  <c:v>10/8/2016</c:v>
                </c:pt>
                <c:pt idx="6">
                  <c:v>10/10/2016</c:v>
                </c:pt>
                <c:pt idx="7">
                  <c:v>10/11/2016</c:v>
                </c:pt>
                <c:pt idx="8">
                  <c:v>10/12/2016</c:v>
                </c:pt>
                <c:pt idx="9">
                  <c:v>10/13/2016</c:v>
                </c:pt>
                <c:pt idx="10">
                  <c:v>10/14/2016</c:v>
                </c:pt>
                <c:pt idx="11">
                  <c:v>10/15/2016</c:v>
                </c:pt>
                <c:pt idx="12">
                  <c:v>10/16/2016</c:v>
                </c:pt>
                <c:pt idx="13">
                  <c:v>10/17/2016</c:v>
                </c:pt>
                <c:pt idx="14">
                  <c:v>10/18/2016</c:v>
                </c:pt>
                <c:pt idx="15">
                  <c:v>10/19/2016</c:v>
                </c:pt>
                <c:pt idx="16">
                  <c:v>10/20/2016</c:v>
                </c:pt>
                <c:pt idx="17">
                  <c:v>10/21/2016</c:v>
                </c:pt>
                <c:pt idx="18">
                  <c:v>10/25/2016</c:v>
                </c:pt>
                <c:pt idx="19">
                  <c:v>10/26/2016</c:v>
                </c:pt>
                <c:pt idx="20">
                  <c:v>10/27/2016</c:v>
                </c:pt>
                <c:pt idx="21">
                  <c:v>10/28/2016</c:v>
                </c:pt>
                <c:pt idx="22">
                  <c:v>10/29/2016</c:v>
                </c:pt>
                <c:pt idx="23">
                  <c:v>10/30/2016</c:v>
                </c:pt>
                <c:pt idx="24">
                  <c:v>10/31/2016</c:v>
                </c:pt>
                <c:pt idx="25">
                  <c:v>11/1/2016</c:v>
                </c:pt>
                <c:pt idx="26">
                  <c:v>11/2/2016</c:v>
                </c:pt>
                <c:pt idx="27">
                  <c:v>(blank)</c:v>
                </c:pt>
              </c:strCache>
            </c:strRef>
          </c:cat>
          <c:val>
            <c:numRef>
              <c:f>'Timing Table'!$LA$10:$LA$38</c:f>
              <c:numCache>
                <c:formatCode>General</c:formatCode>
                <c:ptCount val="28"/>
              </c:numCache>
            </c:numRef>
          </c:val>
        </c:ser>
        <c:dLbls>
          <c:showLegendKey val="0"/>
          <c:showVal val="0"/>
          <c:showCatName val="0"/>
          <c:showSerName val="0"/>
          <c:showPercent val="0"/>
          <c:showBubbleSize val="0"/>
        </c:dLbls>
        <c:gapWidth val="50"/>
        <c:overlap val="100"/>
        <c:axId val="125656448"/>
        <c:axId val="126862464"/>
      </c:barChart>
      <c:catAx>
        <c:axId val="125656448"/>
        <c:scaling>
          <c:orientation val="minMax"/>
        </c:scaling>
        <c:delete val="0"/>
        <c:axPos val="b"/>
        <c:numFmt formatCode="General" sourceLinked="1"/>
        <c:majorTickMark val="out"/>
        <c:minorTickMark val="none"/>
        <c:tickLblPos val="nextTo"/>
        <c:spPr>
          <a:ln w="3175">
            <a:solidFill>
              <a:srgbClr val="000000"/>
            </a:solidFill>
            <a:prstDash val="solid"/>
          </a:ln>
        </c:spPr>
        <c:txPr>
          <a:bodyPr rot="-5400000" vert="horz"/>
          <a:lstStyle/>
          <a:p>
            <a:pPr>
              <a:defRPr sz="1000" b="0" i="0" u="none" strike="noStrike" baseline="0">
                <a:solidFill>
                  <a:srgbClr val="000000"/>
                </a:solidFill>
                <a:latin typeface="Arial"/>
                <a:ea typeface="Arial"/>
                <a:cs typeface="Arial"/>
              </a:defRPr>
            </a:pPr>
            <a:endParaRPr lang="en-US"/>
          </a:p>
        </c:txPr>
        <c:crossAx val="126862464"/>
        <c:crosses val="autoZero"/>
        <c:auto val="0"/>
        <c:lblAlgn val="ctr"/>
        <c:lblOffset val="100"/>
        <c:tickMarkSkip val="1"/>
        <c:noMultiLvlLbl val="0"/>
      </c:catAx>
      <c:valAx>
        <c:axId val="126862464"/>
        <c:scaling>
          <c:orientation val="minMax"/>
          <c:min val="0"/>
        </c:scaling>
        <c:delete val="0"/>
        <c:axPos val="l"/>
        <c:majorGridlines>
          <c:spPr>
            <a:ln w="3175">
              <a:solidFill>
                <a:srgbClr val="000000"/>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125656448"/>
        <c:crosses val="autoZero"/>
        <c:crossBetween val="between"/>
        <c:minorUnit val="1"/>
      </c:valAx>
      <c:spPr>
        <a:solidFill>
          <a:srgbClr val="C0C0C0"/>
        </a:solidFill>
        <a:ln w="12700">
          <a:solidFill>
            <a:srgbClr val="808080"/>
          </a:solidFill>
          <a:prstDash val="solid"/>
        </a:ln>
      </c:spPr>
    </c:plotArea>
    <c:legend>
      <c:legendPos val="r"/>
      <c:overlay val="0"/>
      <c:spPr>
        <a:solidFill>
          <a:srgbClr val="FFFFFF"/>
        </a:solidFill>
        <a:ln w="3175">
          <a:solidFill>
            <a:srgbClr val="000000"/>
          </a:solidFill>
          <a:prstDash val="solid"/>
        </a:ln>
      </c:spPr>
      <c:txPr>
        <a:bodyPr/>
        <a:lstStyle/>
        <a:p>
          <a:pPr>
            <a:defRPr sz="845" b="0" i="0" u="none" strike="noStrike" baseline="0">
              <a:solidFill>
                <a:srgbClr val="000000"/>
              </a:solidFill>
              <a:latin typeface="Arial"/>
              <a:ea typeface="Arial"/>
              <a:cs typeface="Arial"/>
            </a:defRPr>
          </a:pPr>
          <a:endParaRPr lang="en-US"/>
        </a:p>
      </c:txPr>
    </c:legend>
    <c:plotVisOnly val="1"/>
    <c:dispBlanksAs val="gap"/>
    <c:showDLblsOverMax val="0"/>
  </c:chart>
  <c:spPr>
    <a:noFill/>
    <a:ln w="9525">
      <a:noFill/>
    </a:ln>
  </c:spPr>
  <c:txPr>
    <a:bodyPr/>
    <a:lstStyle/>
    <a:p>
      <a:pPr>
        <a:defRPr sz="1000" b="0" i="0" u="none" strike="noStrike" baseline="0">
          <a:solidFill>
            <a:srgbClr val="000000"/>
          </a:solidFill>
          <a:latin typeface="Arial"/>
          <a:ea typeface="Arial"/>
          <a:cs typeface="Arial"/>
        </a:defRPr>
      </a:pPr>
      <a:endParaRPr lang="en-US"/>
    </a:p>
  </c:txPr>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6483320539497873"/>
          <c:y val="0.13167395259932224"/>
          <c:w val="0.62275806132351985"/>
          <c:h val="0.50168009539684"/>
        </c:manualLayout>
      </c:layout>
      <c:barChart>
        <c:barDir val="col"/>
        <c:grouping val="clustered"/>
        <c:varyColors val="0"/>
        <c:ser>
          <c:idx val="0"/>
          <c:order val="0"/>
          <c:tx>
            <c:strRef>
              <c:f>'Final Graphs'!$AP$71</c:f>
              <c:strCache>
                <c:ptCount val="1"/>
                <c:pt idx="0">
                  <c:v>Barcode/Racks:</c:v>
                </c:pt>
              </c:strCache>
            </c:strRef>
          </c:tx>
          <c:spPr>
            <a:solidFill>
              <a:srgbClr val="50FF50"/>
            </a:solidFill>
            <a:ln w="12700">
              <a:solidFill>
                <a:srgbClr val="000000"/>
              </a:solidFill>
              <a:prstDash val="solid"/>
            </a:ln>
          </c:spPr>
          <c:invertIfNegative val="0"/>
          <c:val>
            <c:numRef>
              <c:f>'Final Graphs'!$AU$71:$AX$71</c:f>
              <c:numCache>
                <c:formatCode>0.0</c:formatCode>
                <c:ptCount val="4"/>
                <c:pt idx="0">
                  <c:v>0</c:v>
                </c:pt>
                <c:pt idx="1">
                  <c:v>0</c:v>
                </c:pt>
                <c:pt idx="2">
                  <c:v>0</c:v>
                </c:pt>
                <c:pt idx="3">
                  <c:v>0</c:v>
                </c:pt>
              </c:numCache>
            </c:numRef>
          </c:val>
        </c:ser>
        <c:dLbls>
          <c:showLegendKey val="0"/>
          <c:showVal val="0"/>
          <c:showCatName val="0"/>
          <c:showSerName val="0"/>
          <c:showPercent val="0"/>
          <c:showBubbleSize val="0"/>
        </c:dLbls>
        <c:gapWidth val="75"/>
        <c:overlap val="-25"/>
        <c:axId val="127448960"/>
        <c:axId val="127450496"/>
      </c:barChart>
      <c:lineChart>
        <c:grouping val="standard"/>
        <c:varyColors val="0"/>
        <c:ser>
          <c:idx val="1"/>
          <c:order val="1"/>
          <c:tx>
            <c:strRef>
              <c:f>'Final Graphs'!$AP$72</c:f>
              <c:strCache>
                <c:ptCount val="1"/>
                <c:pt idx="0">
                  <c:v>Period Threshold</c:v>
                </c:pt>
              </c:strCache>
            </c:strRef>
          </c:tx>
          <c:spPr>
            <a:ln w="38100">
              <a:solidFill>
                <a:srgbClr val="FF0000"/>
              </a:solidFill>
              <a:prstDash val="solid"/>
            </a:ln>
          </c:spPr>
          <c:marker>
            <c:symbol val="none"/>
          </c:marker>
          <c:val>
            <c:numRef>
              <c:f>'Final Graphs'!$AU$72:$AX$72</c:f>
              <c:numCache>
                <c:formatCode>0.0</c:formatCode>
                <c:ptCount val="4"/>
                <c:pt idx="0">
                  <c:v>5</c:v>
                </c:pt>
                <c:pt idx="1">
                  <c:v>5</c:v>
                </c:pt>
                <c:pt idx="2">
                  <c:v>5</c:v>
                </c:pt>
                <c:pt idx="3">
                  <c:v>5</c:v>
                </c:pt>
              </c:numCache>
            </c:numRef>
          </c:val>
          <c:smooth val="0"/>
        </c:ser>
        <c:dLbls>
          <c:showLegendKey val="0"/>
          <c:showVal val="0"/>
          <c:showCatName val="0"/>
          <c:showSerName val="0"/>
          <c:showPercent val="0"/>
          <c:showBubbleSize val="0"/>
        </c:dLbls>
        <c:marker val="1"/>
        <c:smooth val="0"/>
        <c:axId val="127452288"/>
        <c:axId val="127453824"/>
      </c:lineChart>
      <c:catAx>
        <c:axId val="127448960"/>
        <c:scaling>
          <c:orientation val="minMax"/>
        </c:scaling>
        <c:delete val="0"/>
        <c:axPos val="b"/>
        <c:majorTickMark val="none"/>
        <c:minorTickMark val="none"/>
        <c:tickLblPos val="none"/>
        <c:crossAx val="127450496"/>
        <c:crosses val="autoZero"/>
        <c:auto val="1"/>
        <c:lblAlgn val="ctr"/>
        <c:lblOffset val="100"/>
        <c:noMultiLvlLbl val="0"/>
      </c:catAx>
      <c:valAx>
        <c:axId val="127450496"/>
        <c:scaling>
          <c:orientation val="minMax"/>
          <c:max val="10"/>
          <c:min val="0"/>
        </c:scaling>
        <c:delete val="0"/>
        <c:axPos val="l"/>
        <c:majorGridlines/>
        <c:numFmt formatCode="0" sourceLinked="0"/>
        <c:majorTickMark val="none"/>
        <c:minorTickMark val="none"/>
        <c:tickLblPos val="nextTo"/>
        <c:spPr>
          <a:ln w="9525">
            <a:noFill/>
          </a:ln>
        </c:spPr>
        <c:txPr>
          <a:bodyPr rot="0" vert="horz"/>
          <a:lstStyle/>
          <a:p>
            <a:pPr>
              <a:defRPr sz="1000" b="0" i="0" u="none" strike="noStrike" baseline="0">
                <a:solidFill>
                  <a:srgbClr val="000000"/>
                </a:solidFill>
                <a:latin typeface="Calibri"/>
                <a:ea typeface="Calibri"/>
                <a:cs typeface="Calibri"/>
              </a:defRPr>
            </a:pPr>
            <a:endParaRPr lang="en-US"/>
          </a:p>
        </c:txPr>
        <c:crossAx val="127448960"/>
        <c:crosses val="autoZero"/>
        <c:crossBetween val="between"/>
        <c:majorUnit val="1"/>
      </c:valAx>
      <c:catAx>
        <c:axId val="127452288"/>
        <c:scaling>
          <c:orientation val="minMax"/>
        </c:scaling>
        <c:delete val="1"/>
        <c:axPos val="b"/>
        <c:majorTickMark val="out"/>
        <c:minorTickMark val="none"/>
        <c:tickLblPos val="none"/>
        <c:crossAx val="127453824"/>
        <c:crosses val="autoZero"/>
        <c:auto val="1"/>
        <c:lblAlgn val="ctr"/>
        <c:lblOffset val="100"/>
        <c:noMultiLvlLbl val="0"/>
      </c:catAx>
      <c:valAx>
        <c:axId val="127453824"/>
        <c:scaling>
          <c:orientation val="minMax"/>
          <c:max val="10"/>
          <c:min val="0"/>
        </c:scaling>
        <c:delete val="1"/>
        <c:axPos val="r"/>
        <c:numFmt formatCode="0.0" sourceLinked="1"/>
        <c:majorTickMark val="out"/>
        <c:minorTickMark val="none"/>
        <c:tickLblPos val="none"/>
        <c:crossAx val="127452288"/>
        <c:crosses val="max"/>
        <c:crossBetween val="between"/>
        <c:majorUnit val="1"/>
      </c:valAx>
    </c:plotArea>
    <c:legend>
      <c:legendPos val="b"/>
      <c:legendEntry>
        <c:idx val="0"/>
        <c:delete val="1"/>
      </c:legendEntry>
      <c:layout>
        <c:manualLayout>
          <c:xMode val="edge"/>
          <c:yMode val="edge"/>
          <c:x val="7.8059333492404362E-2"/>
          <c:y val="0.9250487282404467"/>
          <c:w val="0.84388324186749386"/>
          <c:h val="5.9566746357262494E-2"/>
        </c:manualLayout>
      </c:layout>
      <c:overlay val="0"/>
      <c:txPr>
        <a:bodyPr/>
        <a:lstStyle/>
        <a:p>
          <a:pPr>
            <a:defRPr sz="920" b="0" i="0" u="none" strike="noStrike" baseline="0">
              <a:solidFill>
                <a:srgbClr val="000000"/>
              </a:solidFill>
              <a:latin typeface="Calibri"/>
              <a:ea typeface="Calibri"/>
              <a:cs typeface="Calibri"/>
            </a:defRPr>
          </a:pPr>
          <a:endParaRPr lang="en-US"/>
        </a:p>
      </c:txPr>
    </c:legend>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000000000000633" l="0.70000000000000062" r="0.70000000000000062" t="0.75000000000000633"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Calibri"/>
                <a:ea typeface="Calibri"/>
                <a:cs typeface="Calibri"/>
              </a:defRPr>
            </a:pPr>
            <a:r>
              <a:rPr lang="it-IT"/>
              <a:t>LLD Macro Area</a:t>
            </a:r>
          </a:p>
        </c:rich>
      </c:tx>
      <c:layout>
        <c:manualLayout>
          <c:xMode val="edge"/>
          <c:yMode val="edge"/>
          <c:x val="0.38413372012708941"/>
          <c:y val="3.4383937301955006E-2"/>
        </c:manualLayout>
      </c:layout>
      <c:overlay val="0"/>
      <c:spPr>
        <a:noFill/>
        <a:ln w="25400">
          <a:noFill/>
        </a:ln>
      </c:spPr>
    </c:title>
    <c:autoTitleDeleted val="0"/>
    <c:plotArea>
      <c:layout>
        <c:manualLayout>
          <c:layoutTarget val="inner"/>
          <c:xMode val="edge"/>
          <c:yMode val="edge"/>
          <c:x val="7.7342541935115555E-2"/>
          <c:y val="0.15186246418338617"/>
          <c:w val="0.89459234883877159"/>
          <c:h val="0.46704871060171921"/>
        </c:manualLayout>
      </c:layout>
      <c:barChart>
        <c:barDir val="col"/>
        <c:grouping val="clustered"/>
        <c:varyColors val="0"/>
        <c:ser>
          <c:idx val="2"/>
          <c:order val="2"/>
          <c:tx>
            <c:strRef>
              <c:f>'Final Graphs'!$C$87</c:f>
              <c:strCache>
                <c:ptCount val="1"/>
                <c:pt idx="0">
                  <c:v>Service Call</c:v>
                </c:pt>
              </c:strCache>
            </c:strRef>
          </c:tx>
          <c:spPr>
            <a:solidFill>
              <a:srgbClr val="00FF00"/>
            </a:solidFill>
            <a:ln w="12700">
              <a:solidFill>
                <a:srgbClr val="00FF00"/>
              </a:solidFill>
              <a:prstDash val="solid"/>
            </a:ln>
          </c:spPr>
          <c:invertIfNegative val="0"/>
          <c:cat>
            <c:numRef>
              <c:f>'Final Graphs'!$H$68:$AL$68</c:f>
              <c:numCache>
                <c:formatCode>m/d/yyyy</c:formatCode>
                <c:ptCount val="31"/>
                <c:pt idx="0">
                  <c:v>42461</c:v>
                </c:pt>
                <c:pt idx="1">
                  <c:v>42462</c:v>
                </c:pt>
                <c:pt idx="2">
                  <c:v>42463</c:v>
                </c:pt>
                <c:pt idx="3">
                  <c:v>42464</c:v>
                </c:pt>
                <c:pt idx="4">
                  <c:v>42465</c:v>
                </c:pt>
                <c:pt idx="5">
                  <c:v>42466</c:v>
                </c:pt>
                <c:pt idx="6">
                  <c:v>42467</c:v>
                </c:pt>
                <c:pt idx="7">
                  <c:v>42468</c:v>
                </c:pt>
                <c:pt idx="8">
                  <c:v>42469</c:v>
                </c:pt>
                <c:pt idx="9">
                  <c:v>42470</c:v>
                </c:pt>
                <c:pt idx="10">
                  <c:v>42471</c:v>
                </c:pt>
                <c:pt idx="11">
                  <c:v>42472</c:v>
                </c:pt>
                <c:pt idx="12">
                  <c:v>42473</c:v>
                </c:pt>
                <c:pt idx="13">
                  <c:v>42474</c:v>
                </c:pt>
                <c:pt idx="14">
                  <c:v>42475</c:v>
                </c:pt>
                <c:pt idx="15">
                  <c:v>42476</c:v>
                </c:pt>
                <c:pt idx="16">
                  <c:v>42477</c:v>
                </c:pt>
                <c:pt idx="17">
                  <c:v>42478</c:v>
                </c:pt>
                <c:pt idx="18">
                  <c:v>42479</c:v>
                </c:pt>
                <c:pt idx="19">
                  <c:v>42480</c:v>
                </c:pt>
                <c:pt idx="20">
                  <c:v>42481</c:v>
                </c:pt>
                <c:pt idx="21">
                  <c:v>42482</c:v>
                </c:pt>
                <c:pt idx="22">
                  <c:v>42483</c:v>
                </c:pt>
                <c:pt idx="23">
                  <c:v>42484</c:v>
                </c:pt>
                <c:pt idx="24">
                  <c:v>42485</c:v>
                </c:pt>
                <c:pt idx="25">
                  <c:v>42486</c:v>
                </c:pt>
                <c:pt idx="26">
                  <c:v>42487</c:v>
                </c:pt>
                <c:pt idx="27">
                  <c:v>42488</c:v>
                </c:pt>
                <c:pt idx="28">
                  <c:v>42489</c:v>
                </c:pt>
                <c:pt idx="29">
                  <c:v>42490</c:v>
                </c:pt>
                <c:pt idx="30">
                  <c:v>42491</c:v>
                </c:pt>
              </c:numCache>
            </c:numRef>
          </c:cat>
          <c:val>
            <c:numRef>
              <c:f>'Final Graphs'!$H$87:$AL$87</c:f>
              <c:numCache>
                <c:formatCode>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er>
        <c:dLbls>
          <c:showLegendKey val="0"/>
          <c:showVal val="0"/>
          <c:showCatName val="0"/>
          <c:showSerName val="0"/>
          <c:showPercent val="0"/>
          <c:showBubbleSize val="0"/>
        </c:dLbls>
        <c:gapWidth val="150"/>
        <c:axId val="126984960"/>
        <c:axId val="126986496"/>
      </c:barChart>
      <c:lineChart>
        <c:grouping val="standard"/>
        <c:varyColors val="0"/>
        <c:ser>
          <c:idx val="0"/>
          <c:order val="0"/>
          <c:tx>
            <c:strRef>
              <c:f>'Final Graphs'!$C$77</c:f>
              <c:strCache>
                <c:ptCount val="1"/>
                <c:pt idx="0">
                  <c:v>LLD:</c:v>
                </c:pt>
              </c:strCache>
            </c:strRef>
          </c:tx>
          <c:spPr>
            <a:ln w="38100">
              <a:solidFill>
                <a:srgbClr val="0000FF"/>
              </a:solidFill>
              <a:prstDash val="solid"/>
            </a:ln>
          </c:spPr>
          <c:marker>
            <c:symbol val="none"/>
          </c:marker>
          <c:cat>
            <c:numRef>
              <c:f>'Final Graphs'!$H$68:$AL$68</c:f>
              <c:numCache>
                <c:formatCode>m/d/yyyy</c:formatCode>
                <c:ptCount val="31"/>
                <c:pt idx="0">
                  <c:v>42461</c:v>
                </c:pt>
                <c:pt idx="1">
                  <c:v>42462</c:v>
                </c:pt>
                <c:pt idx="2">
                  <c:v>42463</c:v>
                </c:pt>
                <c:pt idx="3">
                  <c:v>42464</c:v>
                </c:pt>
                <c:pt idx="4">
                  <c:v>42465</c:v>
                </c:pt>
                <c:pt idx="5">
                  <c:v>42466</c:v>
                </c:pt>
                <c:pt idx="6">
                  <c:v>42467</c:v>
                </c:pt>
                <c:pt idx="7">
                  <c:v>42468</c:v>
                </c:pt>
                <c:pt idx="8">
                  <c:v>42469</c:v>
                </c:pt>
                <c:pt idx="9">
                  <c:v>42470</c:v>
                </c:pt>
                <c:pt idx="10">
                  <c:v>42471</c:v>
                </c:pt>
                <c:pt idx="11">
                  <c:v>42472</c:v>
                </c:pt>
                <c:pt idx="12">
                  <c:v>42473</c:v>
                </c:pt>
                <c:pt idx="13">
                  <c:v>42474</c:v>
                </c:pt>
                <c:pt idx="14">
                  <c:v>42475</c:v>
                </c:pt>
                <c:pt idx="15">
                  <c:v>42476</c:v>
                </c:pt>
                <c:pt idx="16">
                  <c:v>42477</c:v>
                </c:pt>
                <c:pt idx="17">
                  <c:v>42478</c:v>
                </c:pt>
                <c:pt idx="18">
                  <c:v>42479</c:v>
                </c:pt>
                <c:pt idx="19">
                  <c:v>42480</c:v>
                </c:pt>
                <c:pt idx="20">
                  <c:v>42481</c:v>
                </c:pt>
                <c:pt idx="21">
                  <c:v>42482</c:v>
                </c:pt>
                <c:pt idx="22">
                  <c:v>42483</c:v>
                </c:pt>
                <c:pt idx="23">
                  <c:v>42484</c:v>
                </c:pt>
                <c:pt idx="24">
                  <c:v>42485</c:v>
                </c:pt>
                <c:pt idx="25">
                  <c:v>42486</c:v>
                </c:pt>
                <c:pt idx="26">
                  <c:v>42487</c:v>
                </c:pt>
                <c:pt idx="27">
                  <c:v>42488</c:v>
                </c:pt>
                <c:pt idx="28">
                  <c:v>42489</c:v>
                </c:pt>
                <c:pt idx="29">
                  <c:v>42490</c:v>
                </c:pt>
                <c:pt idx="30">
                  <c:v>42491</c:v>
                </c:pt>
              </c:numCache>
            </c:numRef>
          </c:cat>
          <c:val>
            <c:numRef>
              <c:f>'Final Graphs'!$H$77:$AL$77</c:f>
              <c:numCache>
                <c:formatCode>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mooth val="0"/>
        </c:ser>
        <c:ser>
          <c:idx val="1"/>
          <c:order val="1"/>
          <c:tx>
            <c:strRef>
              <c:f>'Final Graphs'!$C$78</c:f>
              <c:strCache>
                <c:ptCount val="1"/>
                <c:pt idx="0">
                  <c:v>Daily Threshold</c:v>
                </c:pt>
              </c:strCache>
            </c:strRef>
          </c:tx>
          <c:spPr>
            <a:ln w="38100">
              <a:solidFill>
                <a:srgbClr val="FF0000"/>
              </a:solidFill>
              <a:prstDash val="solid"/>
            </a:ln>
          </c:spPr>
          <c:marker>
            <c:symbol val="none"/>
          </c:marker>
          <c:cat>
            <c:numRef>
              <c:f>'Final Graphs'!$H$68:$AL$68</c:f>
              <c:numCache>
                <c:formatCode>m/d/yyyy</c:formatCode>
                <c:ptCount val="31"/>
                <c:pt idx="0">
                  <c:v>42461</c:v>
                </c:pt>
                <c:pt idx="1">
                  <c:v>42462</c:v>
                </c:pt>
                <c:pt idx="2">
                  <c:v>42463</c:v>
                </c:pt>
                <c:pt idx="3">
                  <c:v>42464</c:v>
                </c:pt>
                <c:pt idx="4">
                  <c:v>42465</c:v>
                </c:pt>
                <c:pt idx="5">
                  <c:v>42466</c:v>
                </c:pt>
                <c:pt idx="6">
                  <c:v>42467</c:v>
                </c:pt>
                <c:pt idx="7">
                  <c:v>42468</c:v>
                </c:pt>
                <c:pt idx="8">
                  <c:v>42469</c:v>
                </c:pt>
                <c:pt idx="9">
                  <c:v>42470</c:v>
                </c:pt>
                <c:pt idx="10">
                  <c:v>42471</c:v>
                </c:pt>
                <c:pt idx="11">
                  <c:v>42472</c:v>
                </c:pt>
                <c:pt idx="12">
                  <c:v>42473</c:v>
                </c:pt>
                <c:pt idx="13">
                  <c:v>42474</c:v>
                </c:pt>
                <c:pt idx="14">
                  <c:v>42475</c:v>
                </c:pt>
                <c:pt idx="15">
                  <c:v>42476</c:v>
                </c:pt>
                <c:pt idx="16">
                  <c:v>42477</c:v>
                </c:pt>
                <c:pt idx="17">
                  <c:v>42478</c:v>
                </c:pt>
                <c:pt idx="18">
                  <c:v>42479</c:v>
                </c:pt>
                <c:pt idx="19">
                  <c:v>42480</c:v>
                </c:pt>
                <c:pt idx="20">
                  <c:v>42481</c:v>
                </c:pt>
                <c:pt idx="21">
                  <c:v>42482</c:v>
                </c:pt>
                <c:pt idx="22">
                  <c:v>42483</c:v>
                </c:pt>
                <c:pt idx="23">
                  <c:v>42484</c:v>
                </c:pt>
                <c:pt idx="24">
                  <c:v>42485</c:v>
                </c:pt>
                <c:pt idx="25">
                  <c:v>42486</c:v>
                </c:pt>
                <c:pt idx="26">
                  <c:v>42487</c:v>
                </c:pt>
                <c:pt idx="27">
                  <c:v>42488</c:v>
                </c:pt>
                <c:pt idx="28">
                  <c:v>42489</c:v>
                </c:pt>
                <c:pt idx="29">
                  <c:v>42490</c:v>
                </c:pt>
                <c:pt idx="30">
                  <c:v>42491</c:v>
                </c:pt>
              </c:numCache>
            </c:numRef>
          </c:cat>
          <c:val>
            <c:numRef>
              <c:f>'Final Graphs'!$H$78:$AL$78</c:f>
              <c:numCache>
                <c:formatCode>0.0</c:formatCode>
                <c:ptCount val="31"/>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c:v>
                </c:pt>
                <c:pt idx="30">
                  <c:v>1</c:v>
                </c:pt>
              </c:numCache>
            </c:numRef>
          </c:val>
          <c:smooth val="0"/>
        </c:ser>
        <c:dLbls>
          <c:showLegendKey val="0"/>
          <c:showVal val="0"/>
          <c:showCatName val="0"/>
          <c:showSerName val="0"/>
          <c:showPercent val="0"/>
          <c:showBubbleSize val="0"/>
        </c:dLbls>
        <c:marker val="1"/>
        <c:smooth val="0"/>
        <c:axId val="126984960"/>
        <c:axId val="126986496"/>
      </c:lineChart>
      <c:catAx>
        <c:axId val="126984960"/>
        <c:scaling>
          <c:orientation val="minMax"/>
        </c:scaling>
        <c:delete val="0"/>
        <c:axPos val="b"/>
        <c:numFmt formatCode="m/d/yyyy" sourceLinked="1"/>
        <c:majorTickMark val="out"/>
        <c:minorTickMark val="none"/>
        <c:tickLblPos val="nextTo"/>
        <c:spPr>
          <a:ln w="3175">
            <a:solidFill>
              <a:srgbClr val="000000"/>
            </a:solidFill>
            <a:prstDash val="solid"/>
          </a:ln>
        </c:spPr>
        <c:txPr>
          <a:bodyPr rot="-5400000" vert="horz"/>
          <a:lstStyle/>
          <a:p>
            <a:pPr>
              <a:defRPr sz="1000" b="0" i="0" u="none" strike="noStrike" baseline="0">
                <a:solidFill>
                  <a:srgbClr val="000000"/>
                </a:solidFill>
                <a:latin typeface="Calibri"/>
                <a:ea typeface="Calibri"/>
                <a:cs typeface="Calibri"/>
              </a:defRPr>
            </a:pPr>
            <a:endParaRPr lang="en-US"/>
          </a:p>
        </c:txPr>
        <c:crossAx val="126986496"/>
        <c:crosses val="autoZero"/>
        <c:auto val="0"/>
        <c:lblAlgn val="ctr"/>
        <c:lblOffset val="100"/>
        <c:tickLblSkip val="2"/>
        <c:tickMarkSkip val="1"/>
        <c:noMultiLvlLbl val="0"/>
      </c:catAx>
      <c:valAx>
        <c:axId val="126986496"/>
        <c:scaling>
          <c:orientation val="minMax"/>
          <c:max val="10"/>
          <c:min val="0"/>
        </c:scaling>
        <c:delete val="0"/>
        <c:axPos val="l"/>
        <c:majorGridlines>
          <c:spPr>
            <a:ln w="3175">
              <a:solidFill>
                <a:srgbClr val="000000"/>
              </a:solidFill>
              <a:prstDash val="solid"/>
            </a:ln>
          </c:spPr>
        </c:majorGridlines>
        <c:numFmt formatCode="0" sourceLinked="0"/>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Calibri"/>
                <a:ea typeface="Calibri"/>
                <a:cs typeface="Calibri"/>
              </a:defRPr>
            </a:pPr>
            <a:endParaRPr lang="en-US"/>
          </a:p>
        </c:txPr>
        <c:crossAx val="126984960"/>
        <c:crosses val="autoZero"/>
        <c:crossBetween val="between"/>
        <c:majorUnit val="1"/>
        <c:minorUnit val="0.1"/>
      </c:valAx>
    </c:plotArea>
    <c:legend>
      <c:legendPos val="b"/>
      <c:layout>
        <c:manualLayout>
          <c:xMode val="edge"/>
          <c:yMode val="edge"/>
          <c:x val="0.24425893079154701"/>
          <c:y val="0.92263584698971923"/>
          <c:w val="0.65850951788921164"/>
          <c:h val="6.7917098597969364E-2"/>
        </c:manualLayout>
      </c:layout>
      <c:overlay val="0"/>
      <c:txPr>
        <a:bodyPr/>
        <a:lstStyle/>
        <a:p>
          <a:pPr>
            <a:defRPr sz="920" b="0" i="0" u="none" strike="noStrike" baseline="0">
              <a:solidFill>
                <a:srgbClr val="000000"/>
              </a:solidFill>
              <a:latin typeface="Calibri"/>
              <a:ea typeface="Calibri"/>
              <a:cs typeface="Calibri"/>
            </a:defRPr>
          </a:pPr>
          <a:endParaRPr lang="en-US"/>
        </a:p>
      </c:txPr>
    </c:legend>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000000000001465" l="0.70000000000000062" r="0.70000000000000062" t="0.75000000000001465"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Calibri"/>
                <a:ea typeface="Calibri"/>
                <a:cs typeface="Calibri"/>
              </a:defRPr>
            </a:pPr>
            <a:r>
              <a:rPr lang="it-IT"/>
              <a:t>SW Macro Area</a:t>
            </a:r>
          </a:p>
        </c:rich>
      </c:tx>
      <c:layout>
        <c:manualLayout>
          <c:xMode val="edge"/>
          <c:yMode val="edge"/>
          <c:x val="0.38547540965413413"/>
          <c:y val="3.4383933206120841E-2"/>
        </c:manualLayout>
      </c:layout>
      <c:overlay val="0"/>
      <c:spPr>
        <a:noFill/>
        <a:ln w="25400">
          <a:noFill/>
        </a:ln>
      </c:spPr>
    </c:title>
    <c:autoTitleDeleted val="0"/>
    <c:plotArea>
      <c:layout>
        <c:manualLayout>
          <c:layoutTarget val="inner"/>
          <c:xMode val="edge"/>
          <c:yMode val="edge"/>
          <c:x val="7.7618995549797093E-2"/>
          <c:y val="0.15186246418338617"/>
          <c:w val="0.89769633015815964"/>
          <c:h val="0.46704871060171921"/>
        </c:manualLayout>
      </c:layout>
      <c:barChart>
        <c:barDir val="col"/>
        <c:grouping val="clustered"/>
        <c:varyColors val="0"/>
        <c:ser>
          <c:idx val="2"/>
          <c:order val="2"/>
          <c:tx>
            <c:strRef>
              <c:f>'Final Graphs'!$C$87</c:f>
              <c:strCache>
                <c:ptCount val="1"/>
                <c:pt idx="0">
                  <c:v>Service Call</c:v>
                </c:pt>
              </c:strCache>
            </c:strRef>
          </c:tx>
          <c:spPr>
            <a:solidFill>
              <a:srgbClr val="00FF00"/>
            </a:solidFill>
            <a:ln w="12700">
              <a:solidFill>
                <a:srgbClr val="00FF00"/>
              </a:solidFill>
              <a:prstDash val="solid"/>
            </a:ln>
          </c:spPr>
          <c:invertIfNegative val="0"/>
          <c:cat>
            <c:numRef>
              <c:f>'Final Graphs'!$H$68:$AL$68</c:f>
              <c:numCache>
                <c:formatCode>m/d/yyyy</c:formatCode>
                <c:ptCount val="31"/>
                <c:pt idx="0">
                  <c:v>42461</c:v>
                </c:pt>
                <c:pt idx="1">
                  <c:v>42462</c:v>
                </c:pt>
                <c:pt idx="2">
                  <c:v>42463</c:v>
                </c:pt>
                <c:pt idx="3">
                  <c:v>42464</c:v>
                </c:pt>
                <c:pt idx="4">
                  <c:v>42465</c:v>
                </c:pt>
                <c:pt idx="5">
                  <c:v>42466</c:v>
                </c:pt>
                <c:pt idx="6">
                  <c:v>42467</c:v>
                </c:pt>
                <c:pt idx="7">
                  <c:v>42468</c:v>
                </c:pt>
                <c:pt idx="8">
                  <c:v>42469</c:v>
                </c:pt>
                <c:pt idx="9">
                  <c:v>42470</c:v>
                </c:pt>
                <c:pt idx="10">
                  <c:v>42471</c:v>
                </c:pt>
                <c:pt idx="11">
                  <c:v>42472</c:v>
                </c:pt>
                <c:pt idx="12">
                  <c:v>42473</c:v>
                </c:pt>
                <c:pt idx="13">
                  <c:v>42474</c:v>
                </c:pt>
                <c:pt idx="14">
                  <c:v>42475</c:v>
                </c:pt>
                <c:pt idx="15">
                  <c:v>42476</c:v>
                </c:pt>
                <c:pt idx="16">
                  <c:v>42477</c:v>
                </c:pt>
                <c:pt idx="17">
                  <c:v>42478</c:v>
                </c:pt>
                <c:pt idx="18">
                  <c:v>42479</c:v>
                </c:pt>
                <c:pt idx="19">
                  <c:v>42480</c:v>
                </c:pt>
                <c:pt idx="20">
                  <c:v>42481</c:v>
                </c:pt>
                <c:pt idx="21">
                  <c:v>42482</c:v>
                </c:pt>
                <c:pt idx="22">
                  <c:v>42483</c:v>
                </c:pt>
                <c:pt idx="23">
                  <c:v>42484</c:v>
                </c:pt>
                <c:pt idx="24">
                  <c:v>42485</c:v>
                </c:pt>
                <c:pt idx="25">
                  <c:v>42486</c:v>
                </c:pt>
                <c:pt idx="26">
                  <c:v>42487</c:v>
                </c:pt>
                <c:pt idx="27">
                  <c:v>42488</c:v>
                </c:pt>
                <c:pt idx="28">
                  <c:v>42489</c:v>
                </c:pt>
                <c:pt idx="29">
                  <c:v>42490</c:v>
                </c:pt>
                <c:pt idx="30">
                  <c:v>42491</c:v>
                </c:pt>
              </c:numCache>
            </c:numRef>
          </c:cat>
          <c:val>
            <c:numRef>
              <c:f>'Final Graphs'!$H$87:$AL$87</c:f>
              <c:numCache>
                <c:formatCode>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er>
        <c:dLbls>
          <c:showLegendKey val="0"/>
          <c:showVal val="0"/>
          <c:showCatName val="0"/>
          <c:showSerName val="0"/>
          <c:showPercent val="0"/>
          <c:showBubbleSize val="0"/>
        </c:dLbls>
        <c:gapWidth val="150"/>
        <c:axId val="127871232"/>
        <c:axId val="127885312"/>
      </c:barChart>
      <c:lineChart>
        <c:grouping val="standard"/>
        <c:varyColors val="0"/>
        <c:ser>
          <c:idx val="0"/>
          <c:order val="0"/>
          <c:tx>
            <c:strRef>
              <c:f>'Final Graphs'!$C$83</c:f>
              <c:strCache>
                <c:ptCount val="1"/>
                <c:pt idx="0">
                  <c:v>SW:</c:v>
                </c:pt>
              </c:strCache>
            </c:strRef>
          </c:tx>
          <c:spPr>
            <a:ln w="38100">
              <a:solidFill>
                <a:srgbClr val="0000FF"/>
              </a:solidFill>
              <a:prstDash val="solid"/>
            </a:ln>
          </c:spPr>
          <c:marker>
            <c:symbol val="none"/>
          </c:marker>
          <c:cat>
            <c:numRef>
              <c:f>'Final Graphs'!$H$68:$AL$68</c:f>
              <c:numCache>
                <c:formatCode>m/d/yyyy</c:formatCode>
                <c:ptCount val="31"/>
                <c:pt idx="0">
                  <c:v>42461</c:v>
                </c:pt>
                <c:pt idx="1">
                  <c:v>42462</c:v>
                </c:pt>
                <c:pt idx="2">
                  <c:v>42463</c:v>
                </c:pt>
                <c:pt idx="3">
                  <c:v>42464</c:v>
                </c:pt>
                <c:pt idx="4">
                  <c:v>42465</c:v>
                </c:pt>
                <c:pt idx="5">
                  <c:v>42466</c:v>
                </c:pt>
                <c:pt idx="6">
                  <c:v>42467</c:v>
                </c:pt>
                <c:pt idx="7">
                  <c:v>42468</c:v>
                </c:pt>
                <c:pt idx="8">
                  <c:v>42469</c:v>
                </c:pt>
                <c:pt idx="9">
                  <c:v>42470</c:v>
                </c:pt>
                <c:pt idx="10">
                  <c:v>42471</c:v>
                </c:pt>
                <c:pt idx="11">
                  <c:v>42472</c:v>
                </c:pt>
                <c:pt idx="12">
                  <c:v>42473</c:v>
                </c:pt>
                <c:pt idx="13">
                  <c:v>42474</c:v>
                </c:pt>
                <c:pt idx="14">
                  <c:v>42475</c:v>
                </c:pt>
                <c:pt idx="15">
                  <c:v>42476</c:v>
                </c:pt>
                <c:pt idx="16">
                  <c:v>42477</c:v>
                </c:pt>
                <c:pt idx="17">
                  <c:v>42478</c:v>
                </c:pt>
                <c:pt idx="18">
                  <c:v>42479</c:v>
                </c:pt>
                <c:pt idx="19">
                  <c:v>42480</c:v>
                </c:pt>
                <c:pt idx="20">
                  <c:v>42481</c:v>
                </c:pt>
                <c:pt idx="21">
                  <c:v>42482</c:v>
                </c:pt>
                <c:pt idx="22">
                  <c:v>42483</c:v>
                </c:pt>
                <c:pt idx="23">
                  <c:v>42484</c:v>
                </c:pt>
                <c:pt idx="24">
                  <c:v>42485</c:v>
                </c:pt>
                <c:pt idx="25">
                  <c:v>42486</c:v>
                </c:pt>
                <c:pt idx="26">
                  <c:v>42487</c:v>
                </c:pt>
                <c:pt idx="27">
                  <c:v>42488</c:v>
                </c:pt>
                <c:pt idx="28">
                  <c:v>42489</c:v>
                </c:pt>
                <c:pt idx="29">
                  <c:v>42490</c:v>
                </c:pt>
                <c:pt idx="30">
                  <c:v>42491</c:v>
                </c:pt>
              </c:numCache>
            </c:numRef>
          </c:cat>
          <c:val>
            <c:numRef>
              <c:f>'Final Graphs'!$H$83:$AL$83</c:f>
              <c:numCache>
                <c:formatCode>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mooth val="0"/>
        </c:ser>
        <c:ser>
          <c:idx val="1"/>
          <c:order val="1"/>
          <c:tx>
            <c:strRef>
              <c:f>'Final Graphs'!$C$84</c:f>
              <c:strCache>
                <c:ptCount val="1"/>
                <c:pt idx="0">
                  <c:v>Daily Threshold</c:v>
                </c:pt>
              </c:strCache>
            </c:strRef>
          </c:tx>
          <c:spPr>
            <a:ln w="38100">
              <a:solidFill>
                <a:srgbClr val="FF0000"/>
              </a:solidFill>
              <a:prstDash val="solid"/>
            </a:ln>
          </c:spPr>
          <c:marker>
            <c:symbol val="none"/>
          </c:marker>
          <c:cat>
            <c:numRef>
              <c:f>'Final Graphs'!$H$68:$AL$68</c:f>
              <c:numCache>
                <c:formatCode>m/d/yyyy</c:formatCode>
                <c:ptCount val="31"/>
                <c:pt idx="0">
                  <c:v>42461</c:v>
                </c:pt>
                <c:pt idx="1">
                  <c:v>42462</c:v>
                </c:pt>
                <c:pt idx="2">
                  <c:v>42463</c:v>
                </c:pt>
                <c:pt idx="3">
                  <c:v>42464</c:v>
                </c:pt>
                <c:pt idx="4">
                  <c:v>42465</c:v>
                </c:pt>
                <c:pt idx="5">
                  <c:v>42466</c:v>
                </c:pt>
                <c:pt idx="6">
                  <c:v>42467</c:v>
                </c:pt>
                <c:pt idx="7">
                  <c:v>42468</c:v>
                </c:pt>
                <c:pt idx="8">
                  <c:v>42469</c:v>
                </c:pt>
                <c:pt idx="9">
                  <c:v>42470</c:v>
                </c:pt>
                <c:pt idx="10">
                  <c:v>42471</c:v>
                </c:pt>
                <c:pt idx="11">
                  <c:v>42472</c:v>
                </c:pt>
                <c:pt idx="12">
                  <c:v>42473</c:v>
                </c:pt>
                <c:pt idx="13">
                  <c:v>42474</c:v>
                </c:pt>
                <c:pt idx="14">
                  <c:v>42475</c:v>
                </c:pt>
                <c:pt idx="15">
                  <c:v>42476</c:v>
                </c:pt>
                <c:pt idx="16">
                  <c:v>42477</c:v>
                </c:pt>
                <c:pt idx="17">
                  <c:v>42478</c:v>
                </c:pt>
                <c:pt idx="18">
                  <c:v>42479</c:v>
                </c:pt>
                <c:pt idx="19">
                  <c:v>42480</c:v>
                </c:pt>
                <c:pt idx="20">
                  <c:v>42481</c:v>
                </c:pt>
                <c:pt idx="21">
                  <c:v>42482</c:v>
                </c:pt>
                <c:pt idx="22">
                  <c:v>42483</c:v>
                </c:pt>
                <c:pt idx="23">
                  <c:v>42484</c:v>
                </c:pt>
                <c:pt idx="24">
                  <c:v>42485</c:v>
                </c:pt>
                <c:pt idx="25">
                  <c:v>42486</c:v>
                </c:pt>
                <c:pt idx="26">
                  <c:v>42487</c:v>
                </c:pt>
                <c:pt idx="27">
                  <c:v>42488</c:v>
                </c:pt>
                <c:pt idx="28">
                  <c:v>42489</c:v>
                </c:pt>
                <c:pt idx="29">
                  <c:v>42490</c:v>
                </c:pt>
                <c:pt idx="30">
                  <c:v>42491</c:v>
                </c:pt>
              </c:numCache>
            </c:numRef>
          </c:cat>
          <c:val>
            <c:numRef>
              <c:f>'Final Graphs'!$H$84:$AL$84</c:f>
              <c:numCache>
                <c:formatCode>0.0</c:formatCode>
                <c:ptCount val="31"/>
                <c:pt idx="0">
                  <c:v>2</c:v>
                </c:pt>
                <c:pt idx="1">
                  <c:v>2</c:v>
                </c:pt>
                <c:pt idx="2">
                  <c:v>2</c:v>
                </c:pt>
                <c:pt idx="3">
                  <c:v>2</c:v>
                </c:pt>
                <c:pt idx="4">
                  <c:v>2</c:v>
                </c:pt>
                <c:pt idx="5">
                  <c:v>2</c:v>
                </c:pt>
                <c:pt idx="6">
                  <c:v>2</c:v>
                </c:pt>
                <c:pt idx="7">
                  <c:v>2</c:v>
                </c:pt>
                <c:pt idx="8">
                  <c:v>2</c:v>
                </c:pt>
                <c:pt idx="9">
                  <c:v>2</c:v>
                </c:pt>
                <c:pt idx="10">
                  <c:v>2</c:v>
                </c:pt>
                <c:pt idx="11">
                  <c:v>2</c:v>
                </c:pt>
                <c:pt idx="12">
                  <c:v>2</c:v>
                </c:pt>
                <c:pt idx="13">
                  <c:v>2</c:v>
                </c:pt>
                <c:pt idx="14">
                  <c:v>2</c:v>
                </c:pt>
                <c:pt idx="15">
                  <c:v>2</c:v>
                </c:pt>
                <c:pt idx="16">
                  <c:v>2</c:v>
                </c:pt>
                <c:pt idx="17">
                  <c:v>2</c:v>
                </c:pt>
                <c:pt idx="18">
                  <c:v>2</c:v>
                </c:pt>
                <c:pt idx="19">
                  <c:v>2</c:v>
                </c:pt>
                <c:pt idx="20">
                  <c:v>2</c:v>
                </c:pt>
                <c:pt idx="21">
                  <c:v>2</c:v>
                </c:pt>
                <c:pt idx="22">
                  <c:v>2</c:v>
                </c:pt>
                <c:pt idx="23">
                  <c:v>2</c:v>
                </c:pt>
                <c:pt idx="24">
                  <c:v>2</c:v>
                </c:pt>
                <c:pt idx="25">
                  <c:v>2</c:v>
                </c:pt>
                <c:pt idx="26">
                  <c:v>2</c:v>
                </c:pt>
                <c:pt idx="27">
                  <c:v>2</c:v>
                </c:pt>
                <c:pt idx="28">
                  <c:v>2</c:v>
                </c:pt>
                <c:pt idx="29">
                  <c:v>2</c:v>
                </c:pt>
                <c:pt idx="30">
                  <c:v>2</c:v>
                </c:pt>
              </c:numCache>
            </c:numRef>
          </c:val>
          <c:smooth val="0"/>
        </c:ser>
        <c:dLbls>
          <c:showLegendKey val="0"/>
          <c:showVal val="0"/>
          <c:showCatName val="0"/>
          <c:showSerName val="0"/>
          <c:showPercent val="0"/>
          <c:showBubbleSize val="0"/>
        </c:dLbls>
        <c:marker val="1"/>
        <c:smooth val="0"/>
        <c:axId val="127871232"/>
        <c:axId val="127885312"/>
      </c:lineChart>
      <c:catAx>
        <c:axId val="127871232"/>
        <c:scaling>
          <c:orientation val="minMax"/>
        </c:scaling>
        <c:delete val="0"/>
        <c:axPos val="b"/>
        <c:numFmt formatCode="m/d/yyyy" sourceLinked="1"/>
        <c:majorTickMark val="out"/>
        <c:minorTickMark val="none"/>
        <c:tickLblPos val="nextTo"/>
        <c:spPr>
          <a:ln w="3175">
            <a:solidFill>
              <a:srgbClr val="000000"/>
            </a:solidFill>
            <a:prstDash val="solid"/>
          </a:ln>
        </c:spPr>
        <c:txPr>
          <a:bodyPr rot="-5400000" vert="horz"/>
          <a:lstStyle/>
          <a:p>
            <a:pPr>
              <a:defRPr sz="1000" b="0" i="0" u="none" strike="noStrike" baseline="0">
                <a:solidFill>
                  <a:srgbClr val="000000"/>
                </a:solidFill>
                <a:latin typeface="Calibri"/>
                <a:ea typeface="Calibri"/>
                <a:cs typeface="Calibri"/>
              </a:defRPr>
            </a:pPr>
            <a:endParaRPr lang="en-US"/>
          </a:p>
        </c:txPr>
        <c:crossAx val="127885312"/>
        <c:crosses val="autoZero"/>
        <c:auto val="0"/>
        <c:lblAlgn val="ctr"/>
        <c:lblOffset val="100"/>
        <c:tickLblSkip val="2"/>
        <c:tickMarkSkip val="1"/>
        <c:noMultiLvlLbl val="0"/>
      </c:catAx>
      <c:valAx>
        <c:axId val="127885312"/>
        <c:scaling>
          <c:orientation val="minMax"/>
          <c:max val="10"/>
          <c:min val="0"/>
        </c:scaling>
        <c:delete val="0"/>
        <c:axPos val="l"/>
        <c:majorGridlines>
          <c:spPr>
            <a:ln w="3175">
              <a:solidFill>
                <a:srgbClr val="000000"/>
              </a:solidFill>
              <a:prstDash val="solid"/>
            </a:ln>
          </c:spPr>
        </c:majorGridlines>
        <c:numFmt formatCode="0" sourceLinked="0"/>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Calibri"/>
                <a:ea typeface="Calibri"/>
                <a:cs typeface="Calibri"/>
              </a:defRPr>
            </a:pPr>
            <a:endParaRPr lang="en-US"/>
          </a:p>
        </c:txPr>
        <c:crossAx val="127871232"/>
        <c:crosses val="autoZero"/>
        <c:crossBetween val="between"/>
        <c:majorUnit val="1"/>
        <c:minorUnit val="0.1"/>
      </c:valAx>
    </c:plotArea>
    <c:legend>
      <c:legendPos val="b"/>
      <c:layout>
        <c:manualLayout>
          <c:xMode val="edge"/>
          <c:yMode val="edge"/>
          <c:x val="0.24511217281772296"/>
          <c:y val="0.92263607717559504"/>
          <c:w val="0.65986671327818569"/>
          <c:h val="6.902814028469284E-2"/>
        </c:manualLayout>
      </c:layout>
      <c:overlay val="0"/>
      <c:txPr>
        <a:bodyPr/>
        <a:lstStyle/>
        <a:p>
          <a:pPr>
            <a:defRPr sz="920" b="0" i="0" u="none" strike="noStrike" baseline="0">
              <a:solidFill>
                <a:srgbClr val="000000"/>
              </a:solidFill>
              <a:latin typeface="Calibri"/>
              <a:ea typeface="Calibri"/>
              <a:cs typeface="Calibri"/>
            </a:defRPr>
          </a:pPr>
          <a:endParaRPr lang="en-US"/>
        </a:p>
      </c:txPr>
    </c:legend>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000000000001465" l="0.70000000000000062" r="0.70000000000000062" t="0.75000000000001465"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Calibri"/>
                <a:ea typeface="Calibri"/>
                <a:cs typeface="Calibri"/>
              </a:defRPr>
            </a:pPr>
            <a:r>
              <a:rPr lang="it-IT"/>
              <a:t>Temperatures Macro Area</a:t>
            </a:r>
          </a:p>
        </c:rich>
      </c:tx>
      <c:layout>
        <c:manualLayout>
          <c:xMode val="edge"/>
          <c:yMode val="edge"/>
          <c:x val="0.31005643322069243"/>
          <c:y val="3.4383933206120841E-2"/>
        </c:manualLayout>
      </c:layout>
      <c:overlay val="0"/>
      <c:spPr>
        <a:noFill/>
        <a:ln w="25400">
          <a:noFill/>
        </a:ln>
      </c:spPr>
    </c:title>
    <c:autoTitleDeleted val="0"/>
    <c:plotArea>
      <c:layout>
        <c:manualLayout>
          <c:layoutTarget val="inner"/>
          <c:xMode val="edge"/>
          <c:yMode val="edge"/>
          <c:x val="8.3799025549905565E-2"/>
          <c:y val="0.13180515759312394"/>
          <c:w val="0.8932977934716545"/>
          <c:h val="0.51002865329514979"/>
        </c:manualLayout>
      </c:layout>
      <c:barChart>
        <c:barDir val="col"/>
        <c:grouping val="clustered"/>
        <c:varyColors val="0"/>
        <c:ser>
          <c:idx val="2"/>
          <c:order val="2"/>
          <c:tx>
            <c:strRef>
              <c:f>'Final Graphs'!$C$87</c:f>
              <c:strCache>
                <c:ptCount val="1"/>
                <c:pt idx="0">
                  <c:v>Service Call</c:v>
                </c:pt>
              </c:strCache>
            </c:strRef>
          </c:tx>
          <c:spPr>
            <a:solidFill>
              <a:srgbClr val="00FF00"/>
            </a:solidFill>
            <a:ln w="12700">
              <a:solidFill>
                <a:srgbClr val="00FF00"/>
              </a:solidFill>
              <a:prstDash val="solid"/>
            </a:ln>
          </c:spPr>
          <c:invertIfNegative val="0"/>
          <c:cat>
            <c:numRef>
              <c:f>'Final Graphs'!$H$68:$AL$68</c:f>
              <c:numCache>
                <c:formatCode>m/d/yyyy</c:formatCode>
                <c:ptCount val="31"/>
                <c:pt idx="0">
                  <c:v>42461</c:v>
                </c:pt>
                <c:pt idx="1">
                  <c:v>42462</c:v>
                </c:pt>
                <c:pt idx="2">
                  <c:v>42463</c:v>
                </c:pt>
                <c:pt idx="3">
                  <c:v>42464</c:v>
                </c:pt>
                <c:pt idx="4">
                  <c:v>42465</c:v>
                </c:pt>
                <c:pt idx="5">
                  <c:v>42466</c:v>
                </c:pt>
                <c:pt idx="6">
                  <c:v>42467</c:v>
                </c:pt>
                <c:pt idx="7">
                  <c:v>42468</c:v>
                </c:pt>
                <c:pt idx="8">
                  <c:v>42469</c:v>
                </c:pt>
                <c:pt idx="9">
                  <c:v>42470</c:v>
                </c:pt>
                <c:pt idx="10">
                  <c:v>42471</c:v>
                </c:pt>
                <c:pt idx="11">
                  <c:v>42472</c:v>
                </c:pt>
                <c:pt idx="12">
                  <c:v>42473</c:v>
                </c:pt>
                <c:pt idx="13">
                  <c:v>42474</c:v>
                </c:pt>
                <c:pt idx="14">
                  <c:v>42475</c:v>
                </c:pt>
                <c:pt idx="15">
                  <c:v>42476</c:v>
                </c:pt>
                <c:pt idx="16">
                  <c:v>42477</c:v>
                </c:pt>
                <c:pt idx="17">
                  <c:v>42478</c:v>
                </c:pt>
                <c:pt idx="18">
                  <c:v>42479</c:v>
                </c:pt>
                <c:pt idx="19">
                  <c:v>42480</c:v>
                </c:pt>
                <c:pt idx="20">
                  <c:v>42481</c:v>
                </c:pt>
                <c:pt idx="21">
                  <c:v>42482</c:v>
                </c:pt>
                <c:pt idx="22">
                  <c:v>42483</c:v>
                </c:pt>
                <c:pt idx="23">
                  <c:v>42484</c:v>
                </c:pt>
                <c:pt idx="24">
                  <c:v>42485</c:v>
                </c:pt>
                <c:pt idx="25">
                  <c:v>42486</c:v>
                </c:pt>
                <c:pt idx="26">
                  <c:v>42487</c:v>
                </c:pt>
                <c:pt idx="27">
                  <c:v>42488</c:v>
                </c:pt>
                <c:pt idx="28">
                  <c:v>42489</c:v>
                </c:pt>
                <c:pt idx="29">
                  <c:v>42490</c:v>
                </c:pt>
                <c:pt idx="30">
                  <c:v>42491</c:v>
                </c:pt>
              </c:numCache>
            </c:numRef>
          </c:cat>
          <c:val>
            <c:numRef>
              <c:f>'Final Graphs'!$H$87:$AL$87</c:f>
              <c:numCache>
                <c:formatCode>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er>
        <c:dLbls>
          <c:showLegendKey val="0"/>
          <c:showVal val="0"/>
          <c:showCatName val="0"/>
          <c:showSerName val="0"/>
          <c:showPercent val="0"/>
          <c:showBubbleSize val="0"/>
        </c:dLbls>
        <c:gapWidth val="150"/>
        <c:axId val="127923712"/>
        <c:axId val="127925248"/>
      </c:barChart>
      <c:lineChart>
        <c:grouping val="standard"/>
        <c:varyColors val="0"/>
        <c:ser>
          <c:idx val="0"/>
          <c:order val="0"/>
          <c:tx>
            <c:strRef>
              <c:f>'Final Graphs'!$C$85</c:f>
              <c:strCache>
                <c:ptCount val="1"/>
                <c:pt idx="0">
                  <c:v>Temperatures:</c:v>
                </c:pt>
              </c:strCache>
            </c:strRef>
          </c:tx>
          <c:spPr>
            <a:ln w="38100">
              <a:solidFill>
                <a:srgbClr val="0000FF"/>
              </a:solidFill>
              <a:prstDash val="solid"/>
            </a:ln>
          </c:spPr>
          <c:marker>
            <c:symbol val="none"/>
          </c:marker>
          <c:cat>
            <c:numRef>
              <c:f>'Final Graphs'!$H$68:$AL$68</c:f>
              <c:numCache>
                <c:formatCode>m/d/yyyy</c:formatCode>
                <c:ptCount val="31"/>
                <c:pt idx="0">
                  <c:v>42461</c:v>
                </c:pt>
                <c:pt idx="1">
                  <c:v>42462</c:v>
                </c:pt>
                <c:pt idx="2">
                  <c:v>42463</c:v>
                </c:pt>
                <c:pt idx="3">
                  <c:v>42464</c:v>
                </c:pt>
                <c:pt idx="4">
                  <c:v>42465</c:v>
                </c:pt>
                <c:pt idx="5">
                  <c:v>42466</c:v>
                </c:pt>
                <c:pt idx="6">
                  <c:v>42467</c:v>
                </c:pt>
                <c:pt idx="7">
                  <c:v>42468</c:v>
                </c:pt>
                <c:pt idx="8">
                  <c:v>42469</c:v>
                </c:pt>
                <c:pt idx="9">
                  <c:v>42470</c:v>
                </c:pt>
                <c:pt idx="10">
                  <c:v>42471</c:v>
                </c:pt>
                <c:pt idx="11">
                  <c:v>42472</c:v>
                </c:pt>
                <c:pt idx="12">
                  <c:v>42473</c:v>
                </c:pt>
                <c:pt idx="13">
                  <c:v>42474</c:v>
                </c:pt>
                <c:pt idx="14">
                  <c:v>42475</c:v>
                </c:pt>
                <c:pt idx="15">
                  <c:v>42476</c:v>
                </c:pt>
                <c:pt idx="16">
                  <c:v>42477</c:v>
                </c:pt>
                <c:pt idx="17">
                  <c:v>42478</c:v>
                </c:pt>
                <c:pt idx="18">
                  <c:v>42479</c:v>
                </c:pt>
                <c:pt idx="19">
                  <c:v>42480</c:v>
                </c:pt>
                <c:pt idx="20">
                  <c:v>42481</c:v>
                </c:pt>
                <c:pt idx="21">
                  <c:v>42482</c:v>
                </c:pt>
                <c:pt idx="22">
                  <c:v>42483</c:v>
                </c:pt>
                <c:pt idx="23">
                  <c:v>42484</c:v>
                </c:pt>
                <c:pt idx="24">
                  <c:v>42485</c:v>
                </c:pt>
                <c:pt idx="25">
                  <c:v>42486</c:v>
                </c:pt>
                <c:pt idx="26">
                  <c:v>42487</c:v>
                </c:pt>
                <c:pt idx="27">
                  <c:v>42488</c:v>
                </c:pt>
                <c:pt idx="28">
                  <c:v>42489</c:v>
                </c:pt>
                <c:pt idx="29">
                  <c:v>42490</c:v>
                </c:pt>
                <c:pt idx="30">
                  <c:v>42491</c:v>
                </c:pt>
              </c:numCache>
            </c:numRef>
          </c:cat>
          <c:val>
            <c:numRef>
              <c:f>'Final Graphs'!$H$85:$AL$85</c:f>
              <c:numCache>
                <c:formatCode>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mooth val="0"/>
        </c:ser>
        <c:ser>
          <c:idx val="1"/>
          <c:order val="1"/>
          <c:tx>
            <c:strRef>
              <c:f>'Final Graphs'!$C$86</c:f>
              <c:strCache>
                <c:ptCount val="1"/>
                <c:pt idx="0">
                  <c:v>Daily Threshold</c:v>
                </c:pt>
              </c:strCache>
            </c:strRef>
          </c:tx>
          <c:spPr>
            <a:ln w="38100">
              <a:solidFill>
                <a:srgbClr val="FF0000"/>
              </a:solidFill>
              <a:prstDash val="solid"/>
            </a:ln>
          </c:spPr>
          <c:marker>
            <c:symbol val="none"/>
          </c:marker>
          <c:cat>
            <c:numRef>
              <c:f>'Final Graphs'!$H$68:$AL$68</c:f>
              <c:numCache>
                <c:formatCode>m/d/yyyy</c:formatCode>
                <c:ptCount val="31"/>
                <c:pt idx="0">
                  <c:v>42461</c:v>
                </c:pt>
                <c:pt idx="1">
                  <c:v>42462</c:v>
                </c:pt>
                <c:pt idx="2">
                  <c:v>42463</c:v>
                </c:pt>
                <c:pt idx="3">
                  <c:v>42464</c:v>
                </c:pt>
                <c:pt idx="4">
                  <c:v>42465</c:v>
                </c:pt>
                <c:pt idx="5">
                  <c:v>42466</c:v>
                </c:pt>
                <c:pt idx="6">
                  <c:v>42467</c:v>
                </c:pt>
                <c:pt idx="7">
                  <c:v>42468</c:v>
                </c:pt>
                <c:pt idx="8">
                  <c:v>42469</c:v>
                </c:pt>
                <c:pt idx="9">
                  <c:v>42470</c:v>
                </c:pt>
                <c:pt idx="10">
                  <c:v>42471</c:v>
                </c:pt>
                <c:pt idx="11">
                  <c:v>42472</c:v>
                </c:pt>
                <c:pt idx="12">
                  <c:v>42473</c:v>
                </c:pt>
                <c:pt idx="13">
                  <c:v>42474</c:v>
                </c:pt>
                <c:pt idx="14">
                  <c:v>42475</c:v>
                </c:pt>
                <c:pt idx="15">
                  <c:v>42476</c:v>
                </c:pt>
                <c:pt idx="16">
                  <c:v>42477</c:v>
                </c:pt>
                <c:pt idx="17">
                  <c:v>42478</c:v>
                </c:pt>
                <c:pt idx="18">
                  <c:v>42479</c:v>
                </c:pt>
                <c:pt idx="19">
                  <c:v>42480</c:v>
                </c:pt>
                <c:pt idx="20">
                  <c:v>42481</c:v>
                </c:pt>
                <c:pt idx="21">
                  <c:v>42482</c:v>
                </c:pt>
                <c:pt idx="22">
                  <c:v>42483</c:v>
                </c:pt>
                <c:pt idx="23">
                  <c:v>42484</c:v>
                </c:pt>
                <c:pt idx="24">
                  <c:v>42485</c:v>
                </c:pt>
                <c:pt idx="25">
                  <c:v>42486</c:v>
                </c:pt>
                <c:pt idx="26">
                  <c:v>42487</c:v>
                </c:pt>
                <c:pt idx="27">
                  <c:v>42488</c:v>
                </c:pt>
                <c:pt idx="28">
                  <c:v>42489</c:v>
                </c:pt>
                <c:pt idx="29">
                  <c:v>42490</c:v>
                </c:pt>
                <c:pt idx="30">
                  <c:v>42491</c:v>
                </c:pt>
              </c:numCache>
            </c:numRef>
          </c:cat>
          <c:val>
            <c:numRef>
              <c:f>'Final Graphs'!$H$86:$AL$86</c:f>
              <c:numCache>
                <c:formatCode>0.0</c:formatCode>
                <c:ptCount val="31"/>
                <c:pt idx="0">
                  <c:v>2</c:v>
                </c:pt>
                <c:pt idx="1">
                  <c:v>2</c:v>
                </c:pt>
                <c:pt idx="2">
                  <c:v>2</c:v>
                </c:pt>
                <c:pt idx="3">
                  <c:v>2</c:v>
                </c:pt>
                <c:pt idx="4">
                  <c:v>2</c:v>
                </c:pt>
                <c:pt idx="5">
                  <c:v>2</c:v>
                </c:pt>
                <c:pt idx="6">
                  <c:v>2</c:v>
                </c:pt>
                <c:pt idx="7">
                  <c:v>2</c:v>
                </c:pt>
                <c:pt idx="8">
                  <c:v>2</c:v>
                </c:pt>
                <c:pt idx="9">
                  <c:v>2</c:v>
                </c:pt>
                <c:pt idx="10">
                  <c:v>2</c:v>
                </c:pt>
                <c:pt idx="11">
                  <c:v>2</c:v>
                </c:pt>
                <c:pt idx="12">
                  <c:v>2</c:v>
                </c:pt>
                <c:pt idx="13">
                  <c:v>2</c:v>
                </c:pt>
                <c:pt idx="14">
                  <c:v>2</c:v>
                </c:pt>
                <c:pt idx="15">
                  <c:v>2</c:v>
                </c:pt>
                <c:pt idx="16">
                  <c:v>2</c:v>
                </c:pt>
                <c:pt idx="17">
                  <c:v>2</c:v>
                </c:pt>
                <c:pt idx="18">
                  <c:v>2</c:v>
                </c:pt>
                <c:pt idx="19">
                  <c:v>2</c:v>
                </c:pt>
                <c:pt idx="20">
                  <c:v>2</c:v>
                </c:pt>
                <c:pt idx="21">
                  <c:v>2</c:v>
                </c:pt>
                <c:pt idx="22">
                  <c:v>2</c:v>
                </c:pt>
                <c:pt idx="23">
                  <c:v>2</c:v>
                </c:pt>
                <c:pt idx="24">
                  <c:v>2</c:v>
                </c:pt>
                <c:pt idx="25">
                  <c:v>2</c:v>
                </c:pt>
                <c:pt idx="26">
                  <c:v>2</c:v>
                </c:pt>
                <c:pt idx="27">
                  <c:v>2</c:v>
                </c:pt>
                <c:pt idx="28">
                  <c:v>2</c:v>
                </c:pt>
                <c:pt idx="29">
                  <c:v>2</c:v>
                </c:pt>
                <c:pt idx="30">
                  <c:v>2</c:v>
                </c:pt>
              </c:numCache>
            </c:numRef>
          </c:val>
          <c:smooth val="0"/>
        </c:ser>
        <c:dLbls>
          <c:showLegendKey val="0"/>
          <c:showVal val="0"/>
          <c:showCatName val="0"/>
          <c:showSerName val="0"/>
          <c:showPercent val="0"/>
          <c:showBubbleSize val="0"/>
        </c:dLbls>
        <c:marker val="1"/>
        <c:smooth val="0"/>
        <c:axId val="127923712"/>
        <c:axId val="127925248"/>
      </c:lineChart>
      <c:catAx>
        <c:axId val="127923712"/>
        <c:scaling>
          <c:orientation val="minMax"/>
        </c:scaling>
        <c:delete val="0"/>
        <c:axPos val="b"/>
        <c:numFmt formatCode="m/d/yyyy" sourceLinked="1"/>
        <c:majorTickMark val="out"/>
        <c:minorTickMark val="none"/>
        <c:tickLblPos val="nextTo"/>
        <c:spPr>
          <a:ln w="3175">
            <a:solidFill>
              <a:srgbClr val="000000"/>
            </a:solidFill>
            <a:prstDash val="solid"/>
          </a:ln>
        </c:spPr>
        <c:txPr>
          <a:bodyPr rot="-5400000" vert="horz"/>
          <a:lstStyle/>
          <a:p>
            <a:pPr>
              <a:defRPr sz="1000" b="0" i="0" u="none" strike="noStrike" baseline="0">
                <a:solidFill>
                  <a:srgbClr val="000000"/>
                </a:solidFill>
                <a:latin typeface="Calibri"/>
                <a:ea typeface="Calibri"/>
                <a:cs typeface="Calibri"/>
              </a:defRPr>
            </a:pPr>
            <a:endParaRPr lang="en-US"/>
          </a:p>
        </c:txPr>
        <c:crossAx val="127925248"/>
        <c:crosses val="autoZero"/>
        <c:auto val="0"/>
        <c:lblAlgn val="ctr"/>
        <c:lblOffset val="100"/>
        <c:tickLblSkip val="2"/>
        <c:tickMarkSkip val="1"/>
        <c:noMultiLvlLbl val="0"/>
      </c:catAx>
      <c:valAx>
        <c:axId val="127925248"/>
        <c:scaling>
          <c:orientation val="minMax"/>
          <c:max val="10"/>
          <c:min val="0"/>
        </c:scaling>
        <c:delete val="0"/>
        <c:axPos val="l"/>
        <c:majorGridlines>
          <c:spPr>
            <a:ln w="3175">
              <a:solidFill>
                <a:srgbClr val="000000"/>
              </a:solidFill>
              <a:prstDash val="solid"/>
            </a:ln>
          </c:spPr>
        </c:majorGridlines>
        <c:numFmt formatCode="0" sourceLinked="0"/>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127923712"/>
        <c:crosses val="autoZero"/>
        <c:crossBetween val="between"/>
        <c:majorUnit val="1"/>
        <c:minorUnit val="0.1"/>
      </c:valAx>
    </c:plotArea>
    <c:legend>
      <c:legendPos val="b"/>
      <c:layout>
        <c:manualLayout>
          <c:xMode val="edge"/>
          <c:yMode val="edge"/>
          <c:x val="0.17807283603291671"/>
          <c:y val="0.92263578473303653"/>
          <c:w val="0.8086229073374287"/>
          <c:h val="6.902814028469284E-2"/>
        </c:manualLayout>
      </c:layout>
      <c:overlay val="0"/>
      <c:txPr>
        <a:bodyPr/>
        <a:lstStyle/>
        <a:p>
          <a:pPr>
            <a:defRPr sz="920" b="0" i="0" u="none" strike="noStrike" baseline="0">
              <a:solidFill>
                <a:srgbClr val="000000"/>
              </a:solidFill>
              <a:latin typeface="Calibri"/>
              <a:ea typeface="Calibri"/>
              <a:cs typeface="Calibri"/>
            </a:defRPr>
          </a:pPr>
          <a:endParaRPr lang="en-US"/>
        </a:p>
      </c:txPr>
    </c:legend>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000000000001465" l="0.70000000000000062" r="0.70000000000000062" t="0.75000000000001465"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Calibri"/>
                <a:ea typeface="Calibri"/>
                <a:cs typeface="Calibri"/>
              </a:defRPr>
            </a:pPr>
            <a:r>
              <a:rPr lang="it-IT"/>
              <a:t>Barcode/Racks Macro Area </a:t>
            </a:r>
          </a:p>
        </c:rich>
      </c:tx>
      <c:layout>
        <c:manualLayout>
          <c:xMode val="edge"/>
          <c:yMode val="edge"/>
          <c:x val="0.30480154039941965"/>
          <c:y val="3.4384076990376204E-2"/>
        </c:manualLayout>
      </c:layout>
      <c:overlay val="0"/>
      <c:spPr>
        <a:noFill/>
        <a:ln w="25400">
          <a:noFill/>
        </a:ln>
      </c:spPr>
    </c:title>
    <c:autoTitleDeleted val="0"/>
    <c:plotArea>
      <c:layout>
        <c:manualLayout>
          <c:layoutTarget val="inner"/>
          <c:xMode val="edge"/>
          <c:yMode val="edge"/>
          <c:x val="8.5791546427280568E-2"/>
          <c:y val="0.13753581661891118"/>
          <c:w val="0.8875025031007342"/>
          <c:h val="0.50429799426934097"/>
        </c:manualLayout>
      </c:layout>
      <c:barChart>
        <c:barDir val="col"/>
        <c:grouping val="clustered"/>
        <c:varyColors val="0"/>
        <c:ser>
          <c:idx val="2"/>
          <c:order val="2"/>
          <c:tx>
            <c:strRef>
              <c:f>'Final Graphs'!$C$87</c:f>
              <c:strCache>
                <c:ptCount val="1"/>
                <c:pt idx="0">
                  <c:v>Service Call</c:v>
                </c:pt>
              </c:strCache>
            </c:strRef>
          </c:tx>
          <c:spPr>
            <a:solidFill>
              <a:srgbClr val="00FF00"/>
            </a:solidFill>
            <a:ln w="12700">
              <a:solidFill>
                <a:srgbClr val="00FF00"/>
              </a:solidFill>
              <a:prstDash val="solid"/>
            </a:ln>
          </c:spPr>
          <c:invertIfNegative val="0"/>
          <c:cat>
            <c:numRef>
              <c:f>'Final Graphs'!$H$68:$AL$68</c:f>
              <c:numCache>
                <c:formatCode>m/d/yyyy</c:formatCode>
                <c:ptCount val="31"/>
                <c:pt idx="0">
                  <c:v>42461</c:v>
                </c:pt>
                <c:pt idx="1">
                  <c:v>42462</c:v>
                </c:pt>
                <c:pt idx="2">
                  <c:v>42463</c:v>
                </c:pt>
                <c:pt idx="3">
                  <c:v>42464</c:v>
                </c:pt>
                <c:pt idx="4">
                  <c:v>42465</c:v>
                </c:pt>
                <c:pt idx="5">
                  <c:v>42466</c:v>
                </c:pt>
                <c:pt idx="6">
                  <c:v>42467</c:v>
                </c:pt>
                <c:pt idx="7">
                  <c:v>42468</c:v>
                </c:pt>
                <c:pt idx="8">
                  <c:v>42469</c:v>
                </c:pt>
                <c:pt idx="9">
                  <c:v>42470</c:v>
                </c:pt>
                <c:pt idx="10">
                  <c:v>42471</c:v>
                </c:pt>
                <c:pt idx="11">
                  <c:v>42472</c:v>
                </c:pt>
                <c:pt idx="12">
                  <c:v>42473</c:v>
                </c:pt>
                <c:pt idx="13">
                  <c:v>42474</c:v>
                </c:pt>
                <c:pt idx="14">
                  <c:v>42475</c:v>
                </c:pt>
                <c:pt idx="15">
                  <c:v>42476</c:v>
                </c:pt>
                <c:pt idx="16">
                  <c:v>42477</c:v>
                </c:pt>
                <c:pt idx="17">
                  <c:v>42478</c:v>
                </c:pt>
                <c:pt idx="18">
                  <c:v>42479</c:v>
                </c:pt>
                <c:pt idx="19">
                  <c:v>42480</c:v>
                </c:pt>
                <c:pt idx="20">
                  <c:v>42481</c:v>
                </c:pt>
                <c:pt idx="21">
                  <c:v>42482</c:v>
                </c:pt>
                <c:pt idx="22">
                  <c:v>42483</c:v>
                </c:pt>
                <c:pt idx="23">
                  <c:v>42484</c:v>
                </c:pt>
                <c:pt idx="24">
                  <c:v>42485</c:v>
                </c:pt>
                <c:pt idx="25">
                  <c:v>42486</c:v>
                </c:pt>
                <c:pt idx="26">
                  <c:v>42487</c:v>
                </c:pt>
                <c:pt idx="27">
                  <c:v>42488</c:v>
                </c:pt>
                <c:pt idx="28">
                  <c:v>42489</c:v>
                </c:pt>
                <c:pt idx="29">
                  <c:v>42490</c:v>
                </c:pt>
                <c:pt idx="30">
                  <c:v>42491</c:v>
                </c:pt>
              </c:numCache>
            </c:numRef>
          </c:cat>
          <c:val>
            <c:numRef>
              <c:f>'Final Graphs'!$H$87:$AL$87</c:f>
              <c:numCache>
                <c:formatCode>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er>
        <c:dLbls>
          <c:showLegendKey val="0"/>
          <c:showVal val="0"/>
          <c:showCatName val="0"/>
          <c:showSerName val="0"/>
          <c:showPercent val="0"/>
          <c:showBubbleSize val="0"/>
        </c:dLbls>
        <c:gapWidth val="150"/>
        <c:axId val="127829120"/>
        <c:axId val="127830656"/>
      </c:barChart>
      <c:lineChart>
        <c:grouping val="standard"/>
        <c:varyColors val="0"/>
        <c:ser>
          <c:idx val="0"/>
          <c:order val="0"/>
          <c:tx>
            <c:strRef>
              <c:f>'Final Graphs'!$C$71</c:f>
              <c:strCache>
                <c:ptCount val="1"/>
                <c:pt idx="0">
                  <c:v>Barcode/Racks:</c:v>
                </c:pt>
              </c:strCache>
            </c:strRef>
          </c:tx>
          <c:spPr>
            <a:ln w="38100">
              <a:solidFill>
                <a:srgbClr val="0000FF"/>
              </a:solidFill>
              <a:prstDash val="solid"/>
            </a:ln>
          </c:spPr>
          <c:marker>
            <c:symbol val="none"/>
          </c:marker>
          <c:cat>
            <c:numRef>
              <c:f>'Final Graphs'!$H$68:$AL$68</c:f>
              <c:numCache>
                <c:formatCode>m/d/yyyy</c:formatCode>
                <c:ptCount val="31"/>
                <c:pt idx="0">
                  <c:v>42461</c:v>
                </c:pt>
                <c:pt idx="1">
                  <c:v>42462</c:v>
                </c:pt>
                <c:pt idx="2">
                  <c:v>42463</c:v>
                </c:pt>
                <c:pt idx="3">
                  <c:v>42464</c:v>
                </c:pt>
                <c:pt idx="4">
                  <c:v>42465</c:v>
                </c:pt>
                <c:pt idx="5">
                  <c:v>42466</c:v>
                </c:pt>
                <c:pt idx="6">
                  <c:v>42467</c:v>
                </c:pt>
                <c:pt idx="7">
                  <c:v>42468</c:v>
                </c:pt>
                <c:pt idx="8">
                  <c:v>42469</c:v>
                </c:pt>
                <c:pt idx="9">
                  <c:v>42470</c:v>
                </c:pt>
                <c:pt idx="10">
                  <c:v>42471</c:v>
                </c:pt>
                <c:pt idx="11">
                  <c:v>42472</c:v>
                </c:pt>
                <c:pt idx="12">
                  <c:v>42473</c:v>
                </c:pt>
                <c:pt idx="13">
                  <c:v>42474</c:v>
                </c:pt>
                <c:pt idx="14">
                  <c:v>42475</c:v>
                </c:pt>
                <c:pt idx="15">
                  <c:v>42476</c:v>
                </c:pt>
                <c:pt idx="16">
                  <c:v>42477</c:v>
                </c:pt>
                <c:pt idx="17">
                  <c:v>42478</c:v>
                </c:pt>
                <c:pt idx="18">
                  <c:v>42479</c:v>
                </c:pt>
                <c:pt idx="19">
                  <c:v>42480</c:v>
                </c:pt>
                <c:pt idx="20">
                  <c:v>42481</c:v>
                </c:pt>
                <c:pt idx="21">
                  <c:v>42482</c:v>
                </c:pt>
                <c:pt idx="22">
                  <c:v>42483</c:v>
                </c:pt>
                <c:pt idx="23">
                  <c:v>42484</c:v>
                </c:pt>
                <c:pt idx="24">
                  <c:v>42485</c:v>
                </c:pt>
                <c:pt idx="25">
                  <c:v>42486</c:v>
                </c:pt>
                <c:pt idx="26">
                  <c:v>42487</c:v>
                </c:pt>
                <c:pt idx="27">
                  <c:v>42488</c:v>
                </c:pt>
                <c:pt idx="28">
                  <c:v>42489</c:v>
                </c:pt>
                <c:pt idx="29">
                  <c:v>42490</c:v>
                </c:pt>
                <c:pt idx="30">
                  <c:v>42491</c:v>
                </c:pt>
              </c:numCache>
            </c:numRef>
          </c:cat>
          <c:val>
            <c:numRef>
              <c:f>'Final Graphs'!$H$71:$AL$71</c:f>
              <c:numCache>
                <c:formatCode>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mooth val="0"/>
        </c:ser>
        <c:ser>
          <c:idx val="1"/>
          <c:order val="1"/>
          <c:tx>
            <c:strRef>
              <c:f>'Final Graphs'!$C$72</c:f>
              <c:strCache>
                <c:ptCount val="1"/>
                <c:pt idx="0">
                  <c:v>Daily Threshold</c:v>
                </c:pt>
              </c:strCache>
            </c:strRef>
          </c:tx>
          <c:spPr>
            <a:ln w="38100">
              <a:solidFill>
                <a:srgbClr val="FF0000"/>
              </a:solidFill>
              <a:prstDash val="solid"/>
            </a:ln>
          </c:spPr>
          <c:marker>
            <c:symbol val="none"/>
          </c:marker>
          <c:cat>
            <c:numRef>
              <c:f>'Final Graphs'!$H$68:$AL$68</c:f>
              <c:numCache>
                <c:formatCode>m/d/yyyy</c:formatCode>
                <c:ptCount val="31"/>
                <c:pt idx="0">
                  <c:v>42461</c:v>
                </c:pt>
                <c:pt idx="1">
                  <c:v>42462</c:v>
                </c:pt>
                <c:pt idx="2">
                  <c:v>42463</c:v>
                </c:pt>
                <c:pt idx="3">
                  <c:v>42464</c:v>
                </c:pt>
                <c:pt idx="4">
                  <c:v>42465</c:v>
                </c:pt>
                <c:pt idx="5">
                  <c:v>42466</c:v>
                </c:pt>
                <c:pt idx="6">
                  <c:v>42467</c:v>
                </c:pt>
                <c:pt idx="7">
                  <c:v>42468</c:v>
                </c:pt>
                <c:pt idx="8">
                  <c:v>42469</c:v>
                </c:pt>
                <c:pt idx="9">
                  <c:v>42470</c:v>
                </c:pt>
                <c:pt idx="10">
                  <c:v>42471</c:v>
                </c:pt>
                <c:pt idx="11">
                  <c:v>42472</c:v>
                </c:pt>
                <c:pt idx="12">
                  <c:v>42473</c:v>
                </c:pt>
                <c:pt idx="13">
                  <c:v>42474</c:v>
                </c:pt>
                <c:pt idx="14">
                  <c:v>42475</c:v>
                </c:pt>
                <c:pt idx="15">
                  <c:v>42476</c:v>
                </c:pt>
                <c:pt idx="16">
                  <c:v>42477</c:v>
                </c:pt>
                <c:pt idx="17">
                  <c:v>42478</c:v>
                </c:pt>
                <c:pt idx="18">
                  <c:v>42479</c:v>
                </c:pt>
                <c:pt idx="19">
                  <c:v>42480</c:v>
                </c:pt>
                <c:pt idx="20">
                  <c:v>42481</c:v>
                </c:pt>
                <c:pt idx="21">
                  <c:v>42482</c:v>
                </c:pt>
                <c:pt idx="22">
                  <c:v>42483</c:v>
                </c:pt>
                <c:pt idx="23">
                  <c:v>42484</c:v>
                </c:pt>
                <c:pt idx="24">
                  <c:v>42485</c:v>
                </c:pt>
                <c:pt idx="25">
                  <c:v>42486</c:v>
                </c:pt>
                <c:pt idx="26">
                  <c:v>42487</c:v>
                </c:pt>
                <c:pt idx="27">
                  <c:v>42488</c:v>
                </c:pt>
                <c:pt idx="28">
                  <c:v>42489</c:v>
                </c:pt>
                <c:pt idx="29">
                  <c:v>42490</c:v>
                </c:pt>
                <c:pt idx="30">
                  <c:v>42491</c:v>
                </c:pt>
              </c:numCache>
            </c:numRef>
          </c:cat>
          <c:val>
            <c:numRef>
              <c:f>'Final Graphs'!$H$72:$AL$72</c:f>
              <c:numCache>
                <c:formatCode>0.0</c:formatCode>
                <c:ptCount val="31"/>
                <c:pt idx="0">
                  <c:v>3</c:v>
                </c:pt>
                <c:pt idx="1">
                  <c:v>3</c:v>
                </c:pt>
                <c:pt idx="2">
                  <c:v>3</c:v>
                </c:pt>
                <c:pt idx="3">
                  <c:v>3</c:v>
                </c:pt>
                <c:pt idx="4">
                  <c:v>3</c:v>
                </c:pt>
                <c:pt idx="5">
                  <c:v>3</c:v>
                </c:pt>
                <c:pt idx="6">
                  <c:v>3</c:v>
                </c:pt>
                <c:pt idx="7">
                  <c:v>3</c:v>
                </c:pt>
                <c:pt idx="8">
                  <c:v>3</c:v>
                </c:pt>
                <c:pt idx="9">
                  <c:v>3</c:v>
                </c:pt>
                <c:pt idx="10">
                  <c:v>3</c:v>
                </c:pt>
                <c:pt idx="11">
                  <c:v>3</c:v>
                </c:pt>
                <c:pt idx="12">
                  <c:v>3</c:v>
                </c:pt>
                <c:pt idx="13">
                  <c:v>3</c:v>
                </c:pt>
                <c:pt idx="14">
                  <c:v>3</c:v>
                </c:pt>
                <c:pt idx="15">
                  <c:v>3</c:v>
                </c:pt>
                <c:pt idx="16">
                  <c:v>3</c:v>
                </c:pt>
                <c:pt idx="17">
                  <c:v>3</c:v>
                </c:pt>
                <c:pt idx="18">
                  <c:v>3</c:v>
                </c:pt>
                <c:pt idx="19">
                  <c:v>3</c:v>
                </c:pt>
                <c:pt idx="20">
                  <c:v>3</c:v>
                </c:pt>
                <c:pt idx="21">
                  <c:v>3</c:v>
                </c:pt>
                <c:pt idx="22">
                  <c:v>3</c:v>
                </c:pt>
                <c:pt idx="23">
                  <c:v>3</c:v>
                </c:pt>
                <c:pt idx="24">
                  <c:v>3</c:v>
                </c:pt>
                <c:pt idx="25">
                  <c:v>3</c:v>
                </c:pt>
                <c:pt idx="26">
                  <c:v>3</c:v>
                </c:pt>
                <c:pt idx="27">
                  <c:v>3</c:v>
                </c:pt>
                <c:pt idx="28">
                  <c:v>3</c:v>
                </c:pt>
                <c:pt idx="29">
                  <c:v>3</c:v>
                </c:pt>
                <c:pt idx="30">
                  <c:v>3</c:v>
                </c:pt>
              </c:numCache>
            </c:numRef>
          </c:val>
          <c:smooth val="0"/>
        </c:ser>
        <c:dLbls>
          <c:showLegendKey val="0"/>
          <c:showVal val="0"/>
          <c:showCatName val="0"/>
          <c:showSerName val="0"/>
          <c:showPercent val="0"/>
          <c:showBubbleSize val="0"/>
        </c:dLbls>
        <c:marker val="1"/>
        <c:smooth val="0"/>
        <c:axId val="127829120"/>
        <c:axId val="127830656"/>
      </c:lineChart>
      <c:catAx>
        <c:axId val="127829120"/>
        <c:scaling>
          <c:orientation val="minMax"/>
        </c:scaling>
        <c:delete val="0"/>
        <c:axPos val="b"/>
        <c:numFmt formatCode="m/d/yyyy" sourceLinked="1"/>
        <c:majorTickMark val="out"/>
        <c:minorTickMark val="none"/>
        <c:tickLblPos val="nextTo"/>
        <c:spPr>
          <a:ln w="3175">
            <a:solidFill>
              <a:srgbClr val="000000"/>
            </a:solidFill>
            <a:prstDash val="solid"/>
          </a:ln>
        </c:spPr>
        <c:txPr>
          <a:bodyPr rot="-5400000" vert="horz"/>
          <a:lstStyle/>
          <a:p>
            <a:pPr>
              <a:defRPr sz="1000" b="0" i="0" u="none" strike="noStrike" baseline="0">
                <a:solidFill>
                  <a:srgbClr val="000000"/>
                </a:solidFill>
                <a:latin typeface="Calibri"/>
                <a:ea typeface="Calibri"/>
                <a:cs typeface="Calibri"/>
              </a:defRPr>
            </a:pPr>
            <a:endParaRPr lang="en-US"/>
          </a:p>
        </c:txPr>
        <c:crossAx val="127830656"/>
        <c:crosses val="autoZero"/>
        <c:auto val="0"/>
        <c:lblAlgn val="ctr"/>
        <c:lblOffset val="100"/>
        <c:tickLblSkip val="2"/>
        <c:tickMarkSkip val="1"/>
        <c:noMultiLvlLbl val="0"/>
      </c:catAx>
      <c:valAx>
        <c:axId val="127830656"/>
        <c:scaling>
          <c:orientation val="minMax"/>
          <c:max val="10"/>
          <c:min val="0"/>
        </c:scaling>
        <c:delete val="0"/>
        <c:axPos val="l"/>
        <c:majorGridlines>
          <c:spPr>
            <a:ln w="3175">
              <a:solidFill>
                <a:srgbClr val="000000"/>
              </a:solidFill>
              <a:prstDash val="solid"/>
            </a:ln>
          </c:spPr>
        </c:majorGridlines>
        <c:numFmt formatCode="0" sourceLinked="0"/>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127829120"/>
        <c:crosses val="autoZero"/>
        <c:crossBetween val="between"/>
        <c:majorUnit val="1"/>
        <c:minorUnit val="0.1"/>
      </c:valAx>
    </c:plotArea>
    <c:legend>
      <c:legendPos val="b"/>
      <c:layout>
        <c:manualLayout>
          <c:xMode val="edge"/>
          <c:yMode val="edge"/>
          <c:x val="0.17954065466975189"/>
          <c:y val="0.92263604549431322"/>
          <c:w val="0.81572960885174772"/>
          <c:h val="6.7347914843978549E-2"/>
        </c:manualLayout>
      </c:layout>
      <c:overlay val="0"/>
      <c:txPr>
        <a:bodyPr/>
        <a:lstStyle/>
        <a:p>
          <a:pPr>
            <a:defRPr sz="920" b="0" i="0" u="none" strike="noStrike" baseline="0">
              <a:solidFill>
                <a:srgbClr val="000000"/>
              </a:solidFill>
              <a:latin typeface="Calibri"/>
              <a:ea typeface="Calibri"/>
              <a:cs typeface="Calibri"/>
            </a:defRPr>
          </a:pPr>
          <a:endParaRPr lang="en-US"/>
        </a:p>
      </c:txPr>
    </c:legend>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en-US"/>
    </a:p>
  </c:txPr>
  <c:printSettings>
    <c:headerFooter alignWithMargins="0"/>
    <c:pageMargins b="0.75000000000001465" l="0.70000000000000062" r="0.70000000000000062" t="0.75000000000001465" header="0.30000000000000032" footer="0.3000000000000003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Calibri"/>
                <a:ea typeface="Calibri"/>
                <a:cs typeface="Calibri"/>
              </a:defRPr>
            </a:pPr>
            <a:r>
              <a:rPr lang="it-IT"/>
              <a:t>Fluidics Macro Area</a:t>
            </a:r>
          </a:p>
        </c:rich>
      </c:tx>
      <c:layout>
        <c:manualLayout>
          <c:xMode val="edge"/>
          <c:yMode val="edge"/>
          <c:x val="0.3619306908670335"/>
          <c:y val="3.4383933206120841E-2"/>
        </c:manualLayout>
      </c:layout>
      <c:overlay val="0"/>
      <c:spPr>
        <a:noFill/>
        <a:ln w="25400">
          <a:noFill/>
        </a:ln>
      </c:spPr>
    </c:title>
    <c:autoTitleDeleted val="0"/>
    <c:plotArea>
      <c:layout>
        <c:manualLayout>
          <c:layoutTarget val="inner"/>
          <c:xMode val="edge"/>
          <c:yMode val="edge"/>
          <c:x val="7.4455799086000723E-2"/>
          <c:y val="0.15472779369628073"/>
          <c:w val="0.90125991227460822"/>
          <c:h val="0.46418338108883467"/>
        </c:manualLayout>
      </c:layout>
      <c:barChart>
        <c:barDir val="col"/>
        <c:grouping val="clustered"/>
        <c:varyColors val="0"/>
        <c:ser>
          <c:idx val="2"/>
          <c:order val="2"/>
          <c:tx>
            <c:strRef>
              <c:f>'Final Graphs'!$C$87</c:f>
              <c:strCache>
                <c:ptCount val="1"/>
                <c:pt idx="0">
                  <c:v>Service Call</c:v>
                </c:pt>
              </c:strCache>
            </c:strRef>
          </c:tx>
          <c:spPr>
            <a:solidFill>
              <a:srgbClr val="00FF00"/>
            </a:solidFill>
            <a:ln w="12700">
              <a:solidFill>
                <a:srgbClr val="00FF00"/>
              </a:solidFill>
              <a:prstDash val="solid"/>
            </a:ln>
          </c:spPr>
          <c:invertIfNegative val="0"/>
          <c:cat>
            <c:numRef>
              <c:f>'Final Graphs'!$H$68:$AL$68</c:f>
              <c:numCache>
                <c:formatCode>m/d/yyyy</c:formatCode>
                <c:ptCount val="31"/>
                <c:pt idx="0">
                  <c:v>42461</c:v>
                </c:pt>
                <c:pt idx="1">
                  <c:v>42462</c:v>
                </c:pt>
                <c:pt idx="2">
                  <c:v>42463</c:v>
                </c:pt>
                <c:pt idx="3">
                  <c:v>42464</c:v>
                </c:pt>
                <c:pt idx="4">
                  <c:v>42465</c:v>
                </c:pt>
                <c:pt idx="5">
                  <c:v>42466</c:v>
                </c:pt>
                <c:pt idx="6">
                  <c:v>42467</c:v>
                </c:pt>
                <c:pt idx="7">
                  <c:v>42468</c:v>
                </c:pt>
                <c:pt idx="8">
                  <c:v>42469</c:v>
                </c:pt>
                <c:pt idx="9">
                  <c:v>42470</c:v>
                </c:pt>
                <c:pt idx="10">
                  <c:v>42471</c:v>
                </c:pt>
                <c:pt idx="11">
                  <c:v>42472</c:v>
                </c:pt>
                <c:pt idx="12">
                  <c:v>42473</c:v>
                </c:pt>
                <c:pt idx="13">
                  <c:v>42474</c:v>
                </c:pt>
                <c:pt idx="14">
                  <c:v>42475</c:v>
                </c:pt>
                <c:pt idx="15">
                  <c:v>42476</c:v>
                </c:pt>
                <c:pt idx="16">
                  <c:v>42477</c:v>
                </c:pt>
                <c:pt idx="17">
                  <c:v>42478</c:v>
                </c:pt>
                <c:pt idx="18">
                  <c:v>42479</c:v>
                </c:pt>
                <c:pt idx="19">
                  <c:v>42480</c:v>
                </c:pt>
                <c:pt idx="20">
                  <c:v>42481</c:v>
                </c:pt>
                <c:pt idx="21">
                  <c:v>42482</c:v>
                </c:pt>
                <c:pt idx="22">
                  <c:v>42483</c:v>
                </c:pt>
                <c:pt idx="23">
                  <c:v>42484</c:v>
                </c:pt>
                <c:pt idx="24">
                  <c:v>42485</c:v>
                </c:pt>
                <c:pt idx="25">
                  <c:v>42486</c:v>
                </c:pt>
                <c:pt idx="26">
                  <c:v>42487</c:v>
                </c:pt>
                <c:pt idx="27">
                  <c:v>42488</c:v>
                </c:pt>
                <c:pt idx="28">
                  <c:v>42489</c:v>
                </c:pt>
                <c:pt idx="29">
                  <c:v>42490</c:v>
                </c:pt>
                <c:pt idx="30">
                  <c:v>42491</c:v>
                </c:pt>
              </c:numCache>
            </c:numRef>
          </c:cat>
          <c:val>
            <c:numRef>
              <c:f>'Final Graphs'!$H$87:$AL$87</c:f>
              <c:numCache>
                <c:formatCode>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er>
        <c:dLbls>
          <c:showLegendKey val="0"/>
          <c:showVal val="0"/>
          <c:showCatName val="0"/>
          <c:showSerName val="0"/>
          <c:showPercent val="0"/>
          <c:showBubbleSize val="0"/>
        </c:dLbls>
        <c:gapWidth val="150"/>
        <c:axId val="127859328"/>
        <c:axId val="127938944"/>
      </c:barChart>
      <c:lineChart>
        <c:grouping val="standard"/>
        <c:varyColors val="0"/>
        <c:ser>
          <c:idx val="0"/>
          <c:order val="0"/>
          <c:tx>
            <c:strRef>
              <c:f>'Final Graphs'!$C$75</c:f>
              <c:strCache>
                <c:ptCount val="1"/>
                <c:pt idx="0">
                  <c:v>Fluidics:</c:v>
                </c:pt>
              </c:strCache>
            </c:strRef>
          </c:tx>
          <c:spPr>
            <a:ln w="38100">
              <a:solidFill>
                <a:srgbClr val="0000FF"/>
              </a:solidFill>
              <a:prstDash val="solid"/>
            </a:ln>
          </c:spPr>
          <c:marker>
            <c:symbol val="none"/>
          </c:marker>
          <c:cat>
            <c:numRef>
              <c:f>'Final Graphs'!$H$68:$AL$68</c:f>
              <c:numCache>
                <c:formatCode>m/d/yyyy</c:formatCode>
                <c:ptCount val="31"/>
                <c:pt idx="0">
                  <c:v>42461</c:v>
                </c:pt>
                <c:pt idx="1">
                  <c:v>42462</c:v>
                </c:pt>
                <c:pt idx="2">
                  <c:v>42463</c:v>
                </c:pt>
                <c:pt idx="3">
                  <c:v>42464</c:v>
                </c:pt>
                <c:pt idx="4">
                  <c:v>42465</c:v>
                </c:pt>
                <c:pt idx="5">
                  <c:v>42466</c:v>
                </c:pt>
                <c:pt idx="6">
                  <c:v>42467</c:v>
                </c:pt>
                <c:pt idx="7">
                  <c:v>42468</c:v>
                </c:pt>
                <c:pt idx="8">
                  <c:v>42469</c:v>
                </c:pt>
                <c:pt idx="9">
                  <c:v>42470</c:v>
                </c:pt>
                <c:pt idx="10">
                  <c:v>42471</c:v>
                </c:pt>
                <c:pt idx="11">
                  <c:v>42472</c:v>
                </c:pt>
                <c:pt idx="12">
                  <c:v>42473</c:v>
                </c:pt>
                <c:pt idx="13">
                  <c:v>42474</c:v>
                </c:pt>
                <c:pt idx="14">
                  <c:v>42475</c:v>
                </c:pt>
                <c:pt idx="15">
                  <c:v>42476</c:v>
                </c:pt>
                <c:pt idx="16">
                  <c:v>42477</c:v>
                </c:pt>
                <c:pt idx="17">
                  <c:v>42478</c:v>
                </c:pt>
                <c:pt idx="18">
                  <c:v>42479</c:v>
                </c:pt>
                <c:pt idx="19">
                  <c:v>42480</c:v>
                </c:pt>
                <c:pt idx="20">
                  <c:v>42481</c:v>
                </c:pt>
                <c:pt idx="21">
                  <c:v>42482</c:v>
                </c:pt>
                <c:pt idx="22">
                  <c:v>42483</c:v>
                </c:pt>
                <c:pt idx="23">
                  <c:v>42484</c:v>
                </c:pt>
                <c:pt idx="24">
                  <c:v>42485</c:v>
                </c:pt>
                <c:pt idx="25">
                  <c:v>42486</c:v>
                </c:pt>
                <c:pt idx="26">
                  <c:v>42487</c:v>
                </c:pt>
                <c:pt idx="27">
                  <c:v>42488</c:v>
                </c:pt>
                <c:pt idx="28">
                  <c:v>42489</c:v>
                </c:pt>
                <c:pt idx="29">
                  <c:v>42490</c:v>
                </c:pt>
                <c:pt idx="30">
                  <c:v>42491</c:v>
                </c:pt>
              </c:numCache>
            </c:numRef>
          </c:cat>
          <c:val>
            <c:numRef>
              <c:f>'Final Graphs'!$H$75:$AL$75</c:f>
              <c:numCache>
                <c:formatCode>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mooth val="0"/>
        </c:ser>
        <c:ser>
          <c:idx val="1"/>
          <c:order val="1"/>
          <c:tx>
            <c:strRef>
              <c:f>'Final Graphs'!$C$76</c:f>
              <c:strCache>
                <c:ptCount val="1"/>
                <c:pt idx="0">
                  <c:v>Daily Threshold</c:v>
                </c:pt>
              </c:strCache>
            </c:strRef>
          </c:tx>
          <c:spPr>
            <a:ln w="38100">
              <a:solidFill>
                <a:srgbClr val="FF0000"/>
              </a:solidFill>
              <a:prstDash val="solid"/>
            </a:ln>
          </c:spPr>
          <c:marker>
            <c:symbol val="none"/>
          </c:marker>
          <c:cat>
            <c:numRef>
              <c:f>'Final Graphs'!$H$68:$AL$68</c:f>
              <c:numCache>
                <c:formatCode>m/d/yyyy</c:formatCode>
                <c:ptCount val="31"/>
                <c:pt idx="0">
                  <c:v>42461</c:v>
                </c:pt>
                <c:pt idx="1">
                  <c:v>42462</c:v>
                </c:pt>
                <c:pt idx="2">
                  <c:v>42463</c:v>
                </c:pt>
                <c:pt idx="3">
                  <c:v>42464</c:v>
                </c:pt>
                <c:pt idx="4">
                  <c:v>42465</c:v>
                </c:pt>
                <c:pt idx="5">
                  <c:v>42466</c:v>
                </c:pt>
                <c:pt idx="6">
                  <c:v>42467</c:v>
                </c:pt>
                <c:pt idx="7">
                  <c:v>42468</c:v>
                </c:pt>
                <c:pt idx="8">
                  <c:v>42469</c:v>
                </c:pt>
                <c:pt idx="9">
                  <c:v>42470</c:v>
                </c:pt>
                <c:pt idx="10">
                  <c:v>42471</c:v>
                </c:pt>
                <c:pt idx="11">
                  <c:v>42472</c:v>
                </c:pt>
                <c:pt idx="12">
                  <c:v>42473</c:v>
                </c:pt>
                <c:pt idx="13">
                  <c:v>42474</c:v>
                </c:pt>
                <c:pt idx="14">
                  <c:v>42475</c:v>
                </c:pt>
                <c:pt idx="15">
                  <c:v>42476</c:v>
                </c:pt>
                <c:pt idx="16">
                  <c:v>42477</c:v>
                </c:pt>
                <c:pt idx="17">
                  <c:v>42478</c:v>
                </c:pt>
                <c:pt idx="18">
                  <c:v>42479</c:v>
                </c:pt>
                <c:pt idx="19">
                  <c:v>42480</c:v>
                </c:pt>
                <c:pt idx="20">
                  <c:v>42481</c:v>
                </c:pt>
                <c:pt idx="21">
                  <c:v>42482</c:v>
                </c:pt>
                <c:pt idx="22">
                  <c:v>42483</c:v>
                </c:pt>
                <c:pt idx="23">
                  <c:v>42484</c:v>
                </c:pt>
                <c:pt idx="24">
                  <c:v>42485</c:v>
                </c:pt>
                <c:pt idx="25">
                  <c:v>42486</c:v>
                </c:pt>
                <c:pt idx="26">
                  <c:v>42487</c:v>
                </c:pt>
                <c:pt idx="27">
                  <c:v>42488</c:v>
                </c:pt>
                <c:pt idx="28">
                  <c:v>42489</c:v>
                </c:pt>
                <c:pt idx="29">
                  <c:v>42490</c:v>
                </c:pt>
                <c:pt idx="30">
                  <c:v>42491</c:v>
                </c:pt>
              </c:numCache>
            </c:numRef>
          </c:cat>
          <c:val>
            <c:numRef>
              <c:f>'Final Graphs'!$H$76:$AL$76</c:f>
              <c:numCache>
                <c:formatCode>0.0</c:formatCode>
                <c:ptCount val="31"/>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c:v>
                </c:pt>
                <c:pt idx="30">
                  <c:v>1</c:v>
                </c:pt>
              </c:numCache>
            </c:numRef>
          </c:val>
          <c:smooth val="0"/>
        </c:ser>
        <c:dLbls>
          <c:showLegendKey val="0"/>
          <c:showVal val="0"/>
          <c:showCatName val="0"/>
          <c:showSerName val="0"/>
          <c:showPercent val="0"/>
          <c:showBubbleSize val="0"/>
        </c:dLbls>
        <c:marker val="1"/>
        <c:smooth val="0"/>
        <c:axId val="127859328"/>
        <c:axId val="127938944"/>
      </c:lineChart>
      <c:catAx>
        <c:axId val="127859328"/>
        <c:scaling>
          <c:orientation val="minMax"/>
        </c:scaling>
        <c:delete val="0"/>
        <c:axPos val="b"/>
        <c:numFmt formatCode="m/d/yyyy" sourceLinked="1"/>
        <c:majorTickMark val="out"/>
        <c:minorTickMark val="none"/>
        <c:tickLblPos val="nextTo"/>
        <c:spPr>
          <a:ln w="3175">
            <a:solidFill>
              <a:srgbClr val="000000"/>
            </a:solidFill>
            <a:prstDash val="solid"/>
          </a:ln>
        </c:spPr>
        <c:txPr>
          <a:bodyPr rot="-5400000" vert="horz"/>
          <a:lstStyle/>
          <a:p>
            <a:pPr>
              <a:defRPr sz="1000" b="0" i="0" u="none" strike="noStrike" baseline="0">
                <a:solidFill>
                  <a:srgbClr val="000000"/>
                </a:solidFill>
                <a:latin typeface="Calibri"/>
                <a:ea typeface="Calibri"/>
                <a:cs typeface="Calibri"/>
              </a:defRPr>
            </a:pPr>
            <a:endParaRPr lang="en-US"/>
          </a:p>
        </c:txPr>
        <c:crossAx val="127938944"/>
        <c:crosses val="autoZero"/>
        <c:auto val="0"/>
        <c:lblAlgn val="ctr"/>
        <c:lblOffset val="100"/>
        <c:tickLblSkip val="2"/>
        <c:tickMarkSkip val="1"/>
        <c:noMultiLvlLbl val="0"/>
      </c:catAx>
      <c:valAx>
        <c:axId val="127938944"/>
        <c:scaling>
          <c:orientation val="minMax"/>
          <c:max val="10"/>
          <c:min val="0"/>
        </c:scaling>
        <c:delete val="0"/>
        <c:axPos val="l"/>
        <c:majorGridlines>
          <c:spPr>
            <a:ln w="3175">
              <a:solidFill>
                <a:srgbClr val="000000"/>
              </a:solidFill>
              <a:prstDash val="solid"/>
            </a:ln>
          </c:spPr>
        </c:majorGridlines>
        <c:numFmt formatCode="0" sourceLinked="0"/>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Calibri"/>
                <a:ea typeface="Calibri"/>
                <a:cs typeface="Calibri"/>
              </a:defRPr>
            </a:pPr>
            <a:endParaRPr lang="en-US"/>
          </a:p>
        </c:txPr>
        <c:crossAx val="127859328"/>
        <c:crosses val="autoZero"/>
        <c:crossBetween val="between"/>
        <c:majorUnit val="1"/>
        <c:minorUnit val="0.1"/>
      </c:valAx>
    </c:plotArea>
    <c:legend>
      <c:legendPos val="b"/>
      <c:layout>
        <c:manualLayout>
          <c:xMode val="edge"/>
          <c:yMode val="edge"/>
          <c:x val="0.22721228702344534"/>
          <c:y val="0.92263607717559504"/>
          <c:w val="0.71547466524311665"/>
          <c:h val="6.7536683262782032E-2"/>
        </c:manualLayout>
      </c:layout>
      <c:overlay val="0"/>
      <c:txPr>
        <a:bodyPr/>
        <a:lstStyle/>
        <a:p>
          <a:pPr>
            <a:defRPr sz="920" b="0" i="0" u="none" strike="noStrike" baseline="0">
              <a:solidFill>
                <a:srgbClr val="000000"/>
              </a:solidFill>
              <a:latin typeface="Calibri"/>
              <a:ea typeface="Calibri"/>
              <a:cs typeface="Calibri"/>
            </a:defRPr>
          </a:pPr>
          <a:endParaRPr lang="en-US"/>
        </a:p>
      </c:txPr>
    </c:legend>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en-US"/>
    </a:p>
  </c:txPr>
  <c:printSettings>
    <c:headerFooter alignWithMargins="0"/>
    <c:pageMargins b="0.75000000000001465" l="0.70000000000000062" r="0.70000000000000062" t="0.75000000000001465"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Calibri"/>
                <a:ea typeface="Calibri"/>
                <a:cs typeface="Calibri"/>
              </a:defRPr>
            </a:pPr>
            <a:r>
              <a:rPr lang="it-IT"/>
              <a:t>ORU Macro Area</a:t>
            </a:r>
          </a:p>
        </c:rich>
      </c:tx>
      <c:layout>
        <c:manualLayout>
          <c:xMode val="edge"/>
          <c:yMode val="edge"/>
          <c:x val="0.37787053460423042"/>
          <c:y val="3.4383795245933248E-2"/>
        </c:manualLayout>
      </c:layout>
      <c:overlay val="0"/>
      <c:spPr>
        <a:noFill/>
        <a:ln w="25400">
          <a:noFill/>
        </a:ln>
      </c:spPr>
    </c:title>
    <c:autoTitleDeleted val="0"/>
    <c:plotArea>
      <c:layout>
        <c:manualLayout>
          <c:layoutTarget val="inner"/>
          <c:xMode val="edge"/>
          <c:yMode val="edge"/>
          <c:x val="8.0158876765837869E-2"/>
          <c:y val="0.13753581661891118"/>
          <c:w val="0.89876784242362684"/>
          <c:h val="0.50429799426934097"/>
        </c:manualLayout>
      </c:layout>
      <c:barChart>
        <c:barDir val="col"/>
        <c:grouping val="clustered"/>
        <c:varyColors val="0"/>
        <c:ser>
          <c:idx val="2"/>
          <c:order val="2"/>
          <c:tx>
            <c:strRef>
              <c:f>'Final Graphs'!$C$87</c:f>
              <c:strCache>
                <c:ptCount val="1"/>
                <c:pt idx="0">
                  <c:v>Service Call</c:v>
                </c:pt>
              </c:strCache>
            </c:strRef>
          </c:tx>
          <c:spPr>
            <a:solidFill>
              <a:srgbClr val="00FF00"/>
            </a:solidFill>
            <a:ln w="12700">
              <a:solidFill>
                <a:srgbClr val="00FF00"/>
              </a:solidFill>
              <a:prstDash val="solid"/>
            </a:ln>
          </c:spPr>
          <c:invertIfNegative val="0"/>
          <c:cat>
            <c:numRef>
              <c:f>'Final Graphs'!$H$68:$AL$68</c:f>
              <c:numCache>
                <c:formatCode>m/d/yyyy</c:formatCode>
                <c:ptCount val="31"/>
                <c:pt idx="0">
                  <c:v>42461</c:v>
                </c:pt>
                <c:pt idx="1">
                  <c:v>42462</c:v>
                </c:pt>
                <c:pt idx="2">
                  <c:v>42463</c:v>
                </c:pt>
                <c:pt idx="3">
                  <c:v>42464</c:v>
                </c:pt>
                <c:pt idx="4">
                  <c:v>42465</c:v>
                </c:pt>
                <c:pt idx="5">
                  <c:v>42466</c:v>
                </c:pt>
                <c:pt idx="6">
                  <c:v>42467</c:v>
                </c:pt>
                <c:pt idx="7">
                  <c:v>42468</c:v>
                </c:pt>
                <c:pt idx="8">
                  <c:v>42469</c:v>
                </c:pt>
                <c:pt idx="9">
                  <c:v>42470</c:v>
                </c:pt>
                <c:pt idx="10">
                  <c:v>42471</c:v>
                </c:pt>
                <c:pt idx="11">
                  <c:v>42472</c:v>
                </c:pt>
                <c:pt idx="12">
                  <c:v>42473</c:v>
                </c:pt>
                <c:pt idx="13">
                  <c:v>42474</c:v>
                </c:pt>
                <c:pt idx="14">
                  <c:v>42475</c:v>
                </c:pt>
                <c:pt idx="15">
                  <c:v>42476</c:v>
                </c:pt>
                <c:pt idx="16">
                  <c:v>42477</c:v>
                </c:pt>
                <c:pt idx="17">
                  <c:v>42478</c:v>
                </c:pt>
                <c:pt idx="18">
                  <c:v>42479</c:v>
                </c:pt>
                <c:pt idx="19">
                  <c:v>42480</c:v>
                </c:pt>
                <c:pt idx="20">
                  <c:v>42481</c:v>
                </c:pt>
                <c:pt idx="21">
                  <c:v>42482</c:v>
                </c:pt>
                <c:pt idx="22">
                  <c:v>42483</c:v>
                </c:pt>
                <c:pt idx="23">
                  <c:v>42484</c:v>
                </c:pt>
                <c:pt idx="24">
                  <c:v>42485</c:v>
                </c:pt>
                <c:pt idx="25">
                  <c:v>42486</c:v>
                </c:pt>
                <c:pt idx="26">
                  <c:v>42487</c:v>
                </c:pt>
                <c:pt idx="27">
                  <c:v>42488</c:v>
                </c:pt>
                <c:pt idx="28">
                  <c:v>42489</c:v>
                </c:pt>
                <c:pt idx="29">
                  <c:v>42490</c:v>
                </c:pt>
                <c:pt idx="30">
                  <c:v>42491</c:v>
                </c:pt>
              </c:numCache>
            </c:numRef>
          </c:cat>
          <c:val>
            <c:numRef>
              <c:f>'Final Graphs'!$H$87:$AL$87</c:f>
              <c:numCache>
                <c:formatCode>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er>
        <c:dLbls>
          <c:showLegendKey val="0"/>
          <c:showVal val="0"/>
          <c:showCatName val="0"/>
          <c:showSerName val="0"/>
          <c:showPercent val="0"/>
          <c:showBubbleSize val="0"/>
        </c:dLbls>
        <c:gapWidth val="150"/>
        <c:axId val="127982208"/>
        <c:axId val="127984000"/>
      </c:barChart>
      <c:lineChart>
        <c:grouping val="standard"/>
        <c:varyColors val="0"/>
        <c:ser>
          <c:idx val="0"/>
          <c:order val="0"/>
          <c:tx>
            <c:strRef>
              <c:f>'Final Graphs'!$C$79</c:f>
              <c:strCache>
                <c:ptCount val="1"/>
                <c:pt idx="0">
                  <c:v>ORU:</c:v>
                </c:pt>
              </c:strCache>
            </c:strRef>
          </c:tx>
          <c:spPr>
            <a:ln w="38100">
              <a:solidFill>
                <a:srgbClr val="0000FF"/>
              </a:solidFill>
              <a:prstDash val="solid"/>
            </a:ln>
          </c:spPr>
          <c:marker>
            <c:symbol val="none"/>
          </c:marker>
          <c:cat>
            <c:numRef>
              <c:f>'Final Graphs'!$H$68:$AL$68</c:f>
              <c:numCache>
                <c:formatCode>m/d/yyyy</c:formatCode>
                <c:ptCount val="31"/>
                <c:pt idx="0">
                  <c:v>42461</c:v>
                </c:pt>
                <c:pt idx="1">
                  <c:v>42462</c:v>
                </c:pt>
                <c:pt idx="2">
                  <c:v>42463</c:v>
                </c:pt>
                <c:pt idx="3">
                  <c:v>42464</c:v>
                </c:pt>
                <c:pt idx="4">
                  <c:v>42465</c:v>
                </c:pt>
                <c:pt idx="5">
                  <c:v>42466</c:v>
                </c:pt>
                <c:pt idx="6">
                  <c:v>42467</c:v>
                </c:pt>
                <c:pt idx="7">
                  <c:v>42468</c:v>
                </c:pt>
                <c:pt idx="8">
                  <c:v>42469</c:v>
                </c:pt>
                <c:pt idx="9">
                  <c:v>42470</c:v>
                </c:pt>
                <c:pt idx="10">
                  <c:v>42471</c:v>
                </c:pt>
                <c:pt idx="11">
                  <c:v>42472</c:v>
                </c:pt>
                <c:pt idx="12">
                  <c:v>42473</c:v>
                </c:pt>
                <c:pt idx="13">
                  <c:v>42474</c:v>
                </c:pt>
                <c:pt idx="14">
                  <c:v>42475</c:v>
                </c:pt>
                <c:pt idx="15">
                  <c:v>42476</c:v>
                </c:pt>
                <c:pt idx="16">
                  <c:v>42477</c:v>
                </c:pt>
                <c:pt idx="17">
                  <c:v>42478</c:v>
                </c:pt>
                <c:pt idx="18">
                  <c:v>42479</c:v>
                </c:pt>
                <c:pt idx="19">
                  <c:v>42480</c:v>
                </c:pt>
                <c:pt idx="20">
                  <c:v>42481</c:v>
                </c:pt>
                <c:pt idx="21">
                  <c:v>42482</c:v>
                </c:pt>
                <c:pt idx="22">
                  <c:v>42483</c:v>
                </c:pt>
                <c:pt idx="23">
                  <c:v>42484</c:v>
                </c:pt>
                <c:pt idx="24">
                  <c:v>42485</c:v>
                </c:pt>
                <c:pt idx="25">
                  <c:v>42486</c:v>
                </c:pt>
                <c:pt idx="26">
                  <c:v>42487</c:v>
                </c:pt>
                <c:pt idx="27">
                  <c:v>42488</c:v>
                </c:pt>
                <c:pt idx="28">
                  <c:v>42489</c:v>
                </c:pt>
                <c:pt idx="29">
                  <c:v>42490</c:v>
                </c:pt>
                <c:pt idx="30">
                  <c:v>42491</c:v>
                </c:pt>
              </c:numCache>
            </c:numRef>
          </c:cat>
          <c:val>
            <c:numRef>
              <c:f>'Final Graphs'!$H$79:$AL$79</c:f>
              <c:numCache>
                <c:formatCode>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mooth val="0"/>
        </c:ser>
        <c:ser>
          <c:idx val="1"/>
          <c:order val="1"/>
          <c:tx>
            <c:strRef>
              <c:f>'Final Graphs'!$C$80</c:f>
              <c:strCache>
                <c:ptCount val="1"/>
                <c:pt idx="0">
                  <c:v>Daily Threshold</c:v>
                </c:pt>
              </c:strCache>
            </c:strRef>
          </c:tx>
          <c:spPr>
            <a:ln w="38100">
              <a:solidFill>
                <a:srgbClr val="FF0000"/>
              </a:solidFill>
              <a:prstDash val="solid"/>
            </a:ln>
          </c:spPr>
          <c:marker>
            <c:symbol val="none"/>
          </c:marker>
          <c:cat>
            <c:numRef>
              <c:f>'Final Graphs'!$H$68:$AL$68</c:f>
              <c:numCache>
                <c:formatCode>m/d/yyyy</c:formatCode>
                <c:ptCount val="31"/>
                <c:pt idx="0">
                  <c:v>42461</c:v>
                </c:pt>
                <c:pt idx="1">
                  <c:v>42462</c:v>
                </c:pt>
                <c:pt idx="2">
                  <c:v>42463</c:v>
                </c:pt>
                <c:pt idx="3">
                  <c:v>42464</c:v>
                </c:pt>
                <c:pt idx="4">
                  <c:v>42465</c:v>
                </c:pt>
                <c:pt idx="5">
                  <c:v>42466</c:v>
                </c:pt>
                <c:pt idx="6">
                  <c:v>42467</c:v>
                </c:pt>
                <c:pt idx="7">
                  <c:v>42468</c:v>
                </c:pt>
                <c:pt idx="8">
                  <c:v>42469</c:v>
                </c:pt>
                <c:pt idx="9">
                  <c:v>42470</c:v>
                </c:pt>
                <c:pt idx="10">
                  <c:v>42471</c:v>
                </c:pt>
                <c:pt idx="11">
                  <c:v>42472</c:v>
                </c:pt>
                <c:pt idx="12">
                  <c:v>42473</c:v>
                </c:pt>
                <c:pt idx="13">
                  <c:v>42474</c:v>
                </c:pt>
                <c:pt idx="14">
                  <c:v>42475</c:v>
                </c:pt>
                <c:pt idx="15">
                  <c:v>42476</c:v>
                </c:pt>
                <c:pt idx="16">
                  <c:v>42477</c:v>
                </c:pt>
                <c:pt idx="17">
                  <c:v>42478</c:v>
                </c:pt>
                <c:pt idx="18">
                  <c:v>42479</c:v>
                </c:pt>
                <c:pt idx="19">
                  <c:v>42480</c:v>
                </c:pt>
                <c:pt idx="20">
                  <c:v>42481</c:v>
                </c:pt>
                <c:pt idx="21">
                  <c:v>42482</c:v>
                </c:pt>
                <c:pt idx="22">
                  <c:v>42483</c:v>
                </c:pt>
                <c:pt idx="23">
                  <c:v>42484</c:v>
                </c:pt>
                <c:pt idx="24">
                  <c:v>42485</c:v>
                </c:pt>
                <c:pt idx="25">
                  <c:v>42486</c:v>
                </c:pt>
                <c:pt idx="26">
                  <c:v>42487</c:v>
                </c:pt>
                <c:pt idx="27">
                  <c:v>42488</c:v>
                </c:pt>
                <c:pt idx="28">
                  <c:v>42489</c:v>
                </c:pt>
                <c:pt idx="29">
                  <c:v>42490</c:v>
                </c:pt>
                <c:pt idx="30">
                  <c:v>42491</c:v>
                </c:pt>
              </c:numCache>
            </c:numRef>
          </c:cat>
          <c:val>
            <c:numRef>
              <c:f>'Final Graphs'!$H$80:$AL$80</c:f>
              <c:numCache>
                <c:formatCode>0.0</c:formatCode>
                <c:ptCount val="31"/>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c:v>
                </c:pt>
                <c:pt idx="30">
                  <c:v>1</c:v>
                </c:pt>
              </c:numCache>
            </c:numRef>
          </c:val>
          <c:smooth val="0"/>
        </c:ser>
        <c:dLbls>
          <c:showLegendKey val="0"/>
          <c:showVal val="0"/>
          <c:showCatName val="0"/>
          <c:showSerName val="0"/>
          <c:showPercent val="0"/>
          <c:showBubbleSize val="0"/>
        </c:dLbls>
        <c:marker val="1"/>
        <c:smooth val="0"/>
        <c:axId val="127982208"/>
        <c:axId val="127984000"/>
      </c:lineChart>
      <c:catAx>
        <c:axId val="127982208"/>
        <c:scaling>
          <c:orientation val="minMax"/>
        </c:scaling>
        <c:delete val="0"/>
        <c:axPos val="b"/>
        <c:numFmt formatCode="m/d/yyyy" sourceLinked="1"/>
        <c:majorTickMark val="out"/>
        <c:minorTickMark val="none"/>
        <c:tickLblPos val="nextTo"/>
        <c:spPr>
          <a:ln w="3175">
            <a:solidFill>
              <a:srgbClr val="000000"/>
            </a:solidFill>
            <a:prstDash val="solid"/>
          </a:ln>
        </c:spPr>
        <c:txPr>
          <a:bodyPr rot="-5400000" vert="horz"/>
          <a:lstStyle/>
          <a:p>
            <a:pPr>
              <a:defRPr sz="1000" b="0" i="0" u="none" strike="noStrike" baseline="0">
                <a:solidFill>
                  <a:srgbClr val="000000"/>
                </a:solidFill>
                <a:latin typeface="Calibri"/>
                <a:ea typeface="Calibri"/>
                <a:cs typeface="Calibri"/>
              </a:defRPr>
            </a:pPr>
            <a:endParaRPr lang="en-US"/>
          </a:p>
        </c:txPr>
        <c:crossAx val="127984000"/>
        <c:crosses val="autoZero"/>
        <c:auto val="0"/>
        <c:lblAlgn val="ctr"/>
        <c:lblOffset val="100"/>
        <c:tickLblSkip val="2"/>
        <c:tickMarkSkip val="1"/>
        <c:noMultiLvlLbl val="0"/>
      </c:catAx>
      <c:valAx>
        <c:axId val="127984000"/>
        <c:scaling>
          <c:orientation val="minMax"/>
          <c:max val="10"/>
          <c:min val="0"/>
        </c:scaling>
        <c:delete val="0"/>
        <c:axPos val="l"/>
        <c:majorGridlines>
          <c:spPr>
            <a:ln w="3175">
              <a:solidFill>
                <a:srgbClr val="000000"/>
              </a:solidFill>
              <a:prstDash val="solid"/>
            </a:ln>
          </c:spPr>
        </c:majorGridlines>
        <c:numFmt formatCode="0" sourceLinked="0"/>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127982208"/>
        <c:crosses val="autoZero"/>
        <c:crossBetween val="between"/>
        <c:majorUnit val="1"/>
        <c:minorUnit val="0.1"/>
      </c:valAx>
    </c:plotArea>
    <c:legend>
      <c:legendPos val="b"/>
      <c:layout>
        <c:manualLayout>
          <c:xMode val="edge"/>
          <c:yMode val="edge"/>
          <c:x val="0.23590816411106694"/>
          <c:y val="0.92263594169372964"/>
          <c:w val="0.67166337891974071"/>
          <c:h val="6.8495929534232031E-2"/>
        </c:manualLayout>
      </c:layout>
      <c:overlay val="0"/>
      <c:txPr>
        <a:bodyPr/>
        <a:lstStyle/>
        <a:p>
          <a:pPr>
            <a:defRPr sz="920" b="0" i="0" u="none" strike="noStrike" baseline="0">
              <a:solidFill>
                <a:srgbClr val="000000"/>
              </a:solidFill>
              <a:latin typeface="Calibri"/>
              <a:ea typeface="Calibri"/>
              <a:cs typeface="Calibri"/>
            </a:defRPr>
          </a:pPr>
          <a:endParaRPr lang="en-US"/>
        </a:p>
      </c:txPr>
    </c:legend>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en-US"/>
    </a:p>
  </c:txPr>
  <c:printSettings>
    <c:headerFooter alignWithMargins="0"/>
    <c:pageMargins b="0.75000000000001465" l="0.70000000000000062" r="0.70000000000000062" t="0.7500000000000146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Calibri"/>
                <a:ea typeface="Calibri"/>
                <a:cs typeface="Calibri"/>
              </a:defRPr>
            </a:pPr>
            <a:r>
              <a:rPr lang="it-IT"/>
              <a:t>Arms Macro Area </a:t>
            </a:r>
          </a:p>
        </c:rich>
      </c:tx>
      <c:layout>
        <c:manualLayout>
          <c:xMode val="edge"/>
          <c:yMode val="edge"/>
          <c:x val="0.37875758130656734"/>
          <c:y val="3.4383643221067982E-2"/>
        </c:manualLayout>
      </c:layout>
      <c:overlay val="0"/>
      <c:spPr>
        <a:noFill/>
        <a:ln w="25400">
          <a:noFill/>
        </a:ln>
      </c:spPr>
    </c:title>
    <c:autoTitleDeleted val="0"/>
    <c:plotArea>
      <c:layout>
        <c:manualLayout>
          <c:layoutTarget val="inner"/>
          <c:xMode val="edge"/>
          <c:yMode val="edge"/>
          <c:x val="7.7445495437112141E-2"/>
          <c:y val="0.13753581661891118"/>
          <c:w val="0.89872477873701828"/>
          <c:h val="0.50429799426934097"/>
        </c:manualLayout>
      </c:layout>
      <c:barChart>
        <c:barDir val="col"/>
        <c:grouping val="clustered"/>
        <c:varyColors val="0"/>
        <c:ser>
          <c:idx val="2"/>
          <c:order val="2"/>
          <c:tx>
            <c:strRef>
              <c:f>'Final Graphs'!$C$87</c:f>
              <c:strCache>
                <c:ptCount val="1"/>
                <c:pt idx="0">
                  <c:v>Service Call</c:v>
                </c:pt>
              </c:strCache>
            </c:strRef>
          </c:tx>
          <c:spPr>
            <a:solidFill>
              <a:srgbClr val="00FF00"/>
            </a:solidFill>
            <a:ln w="12700">
              <a:solidFill>
                <a:srgbClr val="00FF00"/>
              </a:solidFill>
              <a:prstDash val="solid"/>
            </a:ln>
          </c:spPr>
          <c:invertIfNegative val="0"/>
          <c:cat>
            <c:numRef>
              <c:f>'Final Graphs'!$H$68:$AL$68</c:f>
              <c:numCache>
                <c:formatCode>m/d/yyyy</c:formatCode>
                <c:ptCount val="31"/>
                <c:pt idx="0">
                  <c:v>42461</c:v>
                </c:pt>
                <c:pt idx="1">
                  <c:v>42462</c:v>
                </c:pt>
                <c:pt idx="2">
                  <c:v>42463</c:v>
                </c:pt>
                <c:pt idx="3">
                  <c:v>42464</c:v>
                </c:pt>
                <c:pt idx="4">
                  <c:v>42465</c:v>
                </c:pt>
                <c:pt idx="5">
                  <c:v>42466</c:v>
                </c:pt>
                <c:pt idx="6">
                  <c:v>42467</c:v>
                </c:pt>
                <c:pt idx="7">
                  <c:v>42468</c:v>
                </c:pt>
                <c:pt idx="8">
                  <c:v>42469</c:v>
                </c:pt>
                <c:pt idx="9">
                  <c:v>42470</c:v>
                </c:pt>
                <c:pt idx="10">
                  <c:v>42471</c:v>
                </c:pt>
                <c:pt idx="11">
                  <c:v>42472</c:v>
                </c:pt>
                <c:pt idx="12">
                  <c:v>42473</c:v>
                </c:pt>
                <c:pt idx="13">
                  <c:v>42474</c:v>
                </c:pt>
                <c:pt idx="14">
                  <c:v>42475</c:v>
                </c:pt>
                <c:pt idx="15">
                  <c:v>42476</c:v>
                </c:pt>
                <c:pt idx="16">
                  <c:v>42477</c:v>
                </c:pt>
                <c:pt idx="17">
                  <c:v>42478</c:v>
                </c:pt>
                <c:pt idx="18">
                  <c:v>42479</c:v>
                </c:pt>
                <c:pt idx="19">
                  <c:v>42480</c:v>
                </c:pt>
                <c:pt idx="20">
                  <c:v>42481</c:v>
                </c:pt>
                <c:pt idx="21">
                  <c:v>42482</c:v>
                </c:pt>
                <c:pt idx="22">
                  <c:v>42483</c:v>
                </c:pt>
                <c:pt idx="23">
                  <c:v>42484</c:v>
                </c:pt>
                <c:pt idx="24">
                  <c:v>42485</c:v>
                </c:pt>
                <c:pt idx="25">
                  <c:v>42486</c:v>
                </c:pt>
                <c:pt idx="26">
                  <c:v>42487</c:v>
                </c:pt>
                <c:pt idx="27">
                  <c:v>42488</c:v>
                </c:pt>
                <c:pt idx="28">
                  <c:v>42489</c:v>
                </c:pt>
                <c:pt idx="29">
                  <c:v>42490</c:v>
                </c:pt>
                <c:pt idx="30">
                  <c:v>42491</c:v>
                </c:pt>
              </c:numCache>
            </c:numRef>
          </c:cat>
          <c:val>
            <c:numRef>
              <c:f>'Final Graphs'!$H$87:$AL$87</c:f>
              <c:numCache>
                <c:formatCode>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er>
        <c:dLbls>
          <c:showLegendKey val="0"/>
          <c:showVal val="0"/>
          <c:showCatName val="0"/>
          <c:showSerName val="0"/>
          <c:showPercent val="0"/>
          <c:showBubbleSize val="0"/>
        </c:dLbls>
        <c:gapWidth val="150"/>
        <c:axId val="128084224"/>
        <c:axId val="128094208"/>
      </c:barChart>
      <c:lineChart>
        <c:grouping val="standard"/>
        <c:varyColors val="0"/>
        <c:ser>
          <c:idx val="0"/>
          <c:order val="0"/>
          <c:tx>
            <c:strRef>
              <c:f>'Final Graphs'!$C$69</c:f>
              <c:strCache>
                <c:ptCount val="1"/>
                <c:pt idx="0">
                  <c:v>Arms:</c:v>
                </c:pt>
              </c:strCache>
            </c:strRef>
          </c:tx>
          <c:spPr>
            <a:ln w="38100">
              <a:solidFill>
                <a:srgbClr val="0000FF"/>
              </a:solidFill>
              <a:prstDash val="solid"/>
            </a:ln>
          </c:spPr>
          <c:marker>
            <c:symbol val="none"/>
          </c:marker>
          <c:cat>
            <c:numRef>
              <c:f>'Final Graphs'!$H$68:$AL$68</c:f>
              <c:numCache>
                <c:formatCode>m/d/yyyy</c:formatCode>
                <c:ptCount val="31"/>
                <c:pt idx="0">
                  <c:v>42461</c:v>
                </c:pt>
                <c:pt idx="1">
                  <c:v>42462</c:v>
                </c:pt>
                <c:pt idx="2">
                  <c:v>42463</c:v>
                </c:pt>
                <c:pt idx="3">
                  <c:v>42464</c:v>
                </c:pt>
                <c:pt idx="4">
                  <c:v>42465</c:v>
                </c:pt>
                <c:pt idx="5">
                  <c:v>42466</c:v>
                </c:pt>
                <c:pt idx="6">
                  <c:v>42467</c:v>
                </c:pt>
                <c:pt idx="7">
                  <c:v>42468</c:v>
                </c:pt>
                <c:pt idx="8">
                  <c:v>42469</c:v>
                </c:pt>
                <c:pt idx="9">
                  <c:v>42470</c:v>
                </c:pt>
                <c:pt idx="10">
                  <c:v>42471</c:v>
                </c:pt>
                <c:pt idx="11">
                  <c:v>42472</c:v>
                </c:pt>
                <c:pt idx="12">
                  <c:v>42473</c:v>
                </c:pt>
                <c:pt idx="13">
                  <c:v>42474</c:v>
                </c:pt>
                <c:pt idx="14">
                  <c:v>42475</c:v>
                </c:pt>
                <c:pt idx="15">
                  <c:v>42476</c:v>
                </c:pt>
                <c:pt idx="16">
                  <c:v>42477</c:v>
                </c:pt>
                <c:pt idx="17">
                  <c:v>42478</c:v>
                </c:pt>
                <c:pt idx="18">
                  <c:v>42479</c:v>
                </c:pt>
                <c:pt idx="19">
                  <c:v>42480</c:v>
                </c:pt>
                <c:pt idx="20">
                  <c:v>42481</c:v>
                </c:pt>
                <c:pt idx="21">
                  <c:v>42482</c:v>
                </c:pt>
                <c:pt idx="22">
                  <c:v>42483</c:v>
                </c:pt>
                <c:pt idx="23">
                  <c:v>42484</c:v>
                </c:pt>
                <c:pt idx="24">
                  <c:v>42485</c:v>
                </c:pt>
                <c:pt idx="25">
                  <c:v>42486</c:v>
                </c:pt>
                <c:pt idx="26">
                  <c:v>42487</c:v>
                </c:pt>
                <c:pt idx="27">
                  <c:v>42488</c:v>
                </c:pt>
                <c:pt idx="28">
                  <c:v>42489</c:v>
                </c:pt>
                <c:pt idx="29">
                  <c:v>42490</c:v>
                </c:pt>
                <c:pt idx="30">
                  <c:v>42491</c:v>
                </c:pt>
              </c:numCache>
            </c:numRef>
          </c:cat>
          <c:val>
            <c:numRef>
              <c:f>'Final Graphs'!$H$69:$AL$69</c:f>
              <c:numCache>
                <c:formatCode>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mooth val="0"/>
        </c:ser>
        <c:ser>
          <c:idx val="1"/>
          <c:order val="1"/>
          <c:tx>
            <c:strRef>
              <c:f>'Final Graphs'!$C$70</c:f>
              <c:strCache>
                <c:ptCount val="1"/>
                <c:pt idx="0">
                  <c:v>Daily Threshold</c:v>
                </c:pt>
              </c:strCache>
            </c:strRef>
          </c:tx>
          <c:spPr>
            <a:ln w="38100">
              <a:solidFill>
                <a:srgbClr val="FF0000"/>
              </a:solidFill>
              <a:prstDash val="solid"/>
            </a:ln>
          </c:spPr>
          <c:marker>
            <c:symbol val="none"/>
          </c:marker>
          <c:cat>
            <c:numRef>
              <c:f>'Final Graphs'!$H$68:$AL$68</c:f>
              <c:numCache>
                <c:formatCode>m/d/yyyy</c:formatCode>
                <c:ptCount val="31"/>
                <c:pt idx="0">
                  <c:v>42461</c:v>
                </c:pt>
                <c:pt idx="1">
                  <c:v>42462</c:v>
                </c:pt>
                <c:pt idx="2">
                  <c:v>42463</c:v>
                </c:pt>
                <c:pt idx="3">
                  <c:v>42464</c:v>
                </c:pt>
                <c:pt idx="4">
                  <c:v>42465</c:v>
                </c:pt>
                <c:pt idx="5">
                  <c:v>42466</c:v>
                </c:pt>
                <c:pt idx="6">
                  <c:v>42467</c:v>
                </c:pt>
                <c:pt idx="7">
                  <c:v>42468</c:v>
                </c:pt>
                <c:pt idx="8">
                  <c:v>42469</c:v>
                </c:pt>
                <c:pt idx="9">
                  <c:v>42470</c:v>
                </c:pt>
                <c:pt idx="10">
                  <c:v>42471</c:v>
                </c:pt>
                <c:pt idx="11">
                  <c:v>42472</c:v>
                </c:pt>
                <c:pt idx="12">
                  <c:v>42473</c:v>
                </c:pt>
                <c:pt idx="13">
                  <c:v>42474</c:v>
                </c:pt>
                <c:pt idx="14">
                  <c:v>42475</c:v>
                </c:pt>
                <c:pt idx="15">
                  <c:v>42476</c:v>
                </c:pt>
                <c:pt idx="16">
                  <c:v>42477</c:v>
                </c:pt>
                <c:pt idx="17">
                  <c:v>42478</c:v>
                </c:pt>
                <c:pt idx="18">
                  <c:v>42479</c:v>
                </c:pt>
                <c:pt idx="19">
                  <c:v>42480</c:v>
                </c:pt>
                <c:pt idx="20">
                  <c:v>42481</c:v>
                </c:pt>
                <c:pt idx="21">
                  <c:v>42482</c:v>
                </c:pt>
                <c:pt idx="22">
                  <c:v>42483</c:v>
                </c:pt>
                <c:pt idx="23">
                  <c:v>42484</c:v>
                </c:pt>
                <c:pt idx="24">
                  <c:v>42485</c:v>
                </c:pt>
                <c:pt idx="25">
                  <c:v>42486</c:v>
                </c:pt>
                <c:pt idx="26">
                  <c:v>42487</c:v>
                </c:pt>
                <c:pt idx="27">
                  <c:v>42488</c:v>
                </c:pt>
                <c:pt idx="28">
                  <c:v>42489</c:v>
                </c:pt>
                <c:pt idx="29">
                  <c:v>42490</c:v>
                </c:pt>
                <c:pt idx="30">
                  <c:v>42491</c:v>
                </c:pt>
              </c:numCache>
            </c:numRef>
          </c:cat>
          <c:val>
            <c:numRef>
              <c:f>'Final Graphs'!$H$70:$AL$70</c:f>
              <c:numCache>
                <c:formatCode>0.0</c:formatCode>
                <c:ptCount val="31"/>
                <c:pt idx="0">
                  <c:v>2</c:v>
                </c:pt>
                <c:pt idx="1">
                  <c:v>2</c:v>
                </c:pt>
                <c:pt idx="2">
                  <c:v>2</c:v>
                </c:pt>
                <c:pt idx="3">
                  <c:v>2</c:v>
                </c:pt>
                <c:pt idx="4">
                  <c:v>2</c:v>
                </c:pt>
                <c:pt idx="5">
                  <c:v>2</c:v>
                </c:pt>
                <c:pt idx="6">
                  <c:v>2</c:v>
                </c:pt>
                <c:pt idx="7">
                  <c:v>2</c:v>
                </c:pt>
                <c:pt idx="8">
                  <c:v>2</c:v>
                </c:pt>
                <c:pt idx="9">
                  <c:v>2</c:v>
                </c:pt>
                <c:pt idx="10">
                  <c:v>2</c:v>
                </c:pt>
                <c:pt idx="11">
                  <c:v>2</c:v>
                </c:pt>
                <c:pt idx="12">
                  <c:v>2</c:v>
                </c:pt>
                <c:pt idx="13">
                  <c:v>2</c:v>
                </c:pt>
                <c:pt idx="14">
                  <c:v>2</c:v>
                </c:pt>
                <c:pt idx="15">
                  <c:v>2</c:v>
                </c:pt>
                <c:pt idx="16">
                  <c:v>2</c:v>
                </c:pt>
                <c:pt idx="17">
                  <c:v>2</c:v>
                </c:pt>
                <c:pt idx="18">
                  <c:v>2</c:v>
                </c:pt>
                <c:pt idx="19">
                  <c:v>2</c:v>
                </c:pt>
                <c:pt idx="20">
                  <c:v>2</c:v>
                </c:pt>
                <c:pt idx="21">
                  <c:v>2</c:v>
                </c:pt>
                <c:pt idx="22">
                  <c:v>2</c:v>
                </c:pt>
                <c:pt idx="23">
                  <c:v>2</c:v>
                </c:pt>
                <c:pt idx="24">
                  <c:v>2</c:v>
                </c:pt>
                <c:pt idx="25">
                  <c:v>2</c:v>
                </c:pt>
                <c:pt idx="26">
                  <c:v>2</c:v>
                </c:pt>
                <c:pt idx="27">
                  <c:v>2</c:v>
                </c:pt>
                <c:pt idx="28">
                  <c:v>2</c:v>
                </c:pt>
                <c:pt idx="29">
                  <c:v>2</c:v>
                </c:pt>
                <c:pt idx="30">
                  <c:v>2</c:v>
                </c:pt>
              </c:numCache>
            </c:numRef>
          </c:val>
          <c:smooth val="0"/>
        </c:ser>
        <c:dLbls>
          <c:showLegendKey val="0"/>
          <c:showVal val="0"/>
          <c:showCatName val="0"/>
          <c:showSerName val="0"/>
          <c:showPercent val="0"/>
          <c:showBubbleSize val="0"/>
        </c:dLbls>
        <c:marker val="1"/>
        <c:smooth val="0"/>
        <c:axId val="128084224"/>
        <c:axId val="128094208"/>
      </c:lineChart>
      <c:catAx>
        <c:axId val="128084224"/>
        <c:scaling>
          <c:orientation val="minMax"/>
        </c:scaling>
        <c:delete val="0"/>
        <c:axPos val="b"/>
        <c:numFmt formatCode="m/d/yyyy" sourceLinked="1"/>
        <c:majorTickMark val="out"/>
        <c:minorTickMark val="none"/>
        <c:tickLblPos val="nextTo"/>
        <c:spPr>
          <a:ln w="3175">
            <a:solidFill>
              <a:srgbClr val="000000"/>
            </a:solidFill>
            <a:prstDash val="solid"/>
          </a:ln>
        </c:spPr>
        <c:txPr>
          <a:bodyPr rot="-5400000" vert="horz"/>
          <a:lstStyle/>
          <a:p>
            <a:pPr>
              <a:defRPr sz="1000" b="0" i="0" u="none" strike="noStrike" baseline="0">
                <a:solidFill>
                  <a:srgbClr val="000000"/>
                </a:solidFill>
                <a:latin typeface="Calibri"/>
                <a:ea typeface="Calibri"/>
                <a:cs typeface="Calibri"/>
              </a:defRPr>
            </a:pPr>
            <a:endParaRPr lang="en-US"/>
          </a:p>
        </c:txPr>
        <c:crossAx val="128094208"/>
        <c:crosses val="autoZero"/>
        <c:auto val="0"/>
        <c:lblAlgn val="ctr"/>
        <c:lblOffset val="100"/>
        <c:tickLblSkip val="2"/>
        <c:tickMarkSkip val="1"/>
        <c:noMultiLvlLbl val="0"/>
      </c:catAx>
      <c:valAx>
        <c:axId val="128094208"/>
        <c:scaling>
          <c:orientation val="minMax"/>
          <c:max val="10"/>
          <c:min val="0"/>
        </c:scaling>
        <c:delete val="0"/>
        <c:axPos val="l"/>
        <c:majorGridlines>
          <c:spPr>
            <a:ln w="3175">
              <a:solidFill>
                <a:srgbClr val="000000"/>
              </a:solidFill>
              <a:prstDash val="solid"/>
            </a:ln>
          </c:spPr>
        </c:majorGridlines>
        <c:numFmt formatCode="0" sourceLinked="0"/>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128084224"/>
        <c:crosses val="autoZero"/>
        <c:crossBetween val="between"/>
        <c:majorUnit val="1"/>
        <c:minorUnit val="0.1"/>
      </c:valAx>
    </c:plotArea>
    <c:legend>
      <c:legendPos val="b"/>
      <c:layout>
        <c:manualLayout>
          <c:xMode val="edge"/>
          <c:yMode val="edge"/>
          <c:x val="0.24448913230455074"/>
          <c:y val="0.92263584698971923"/>
          <c:w val="0.64185136981844215"/>
          <c:h val="6.1188772314988774E-2"/>
        </c:manualLayout>
      </c:layout>
      <c:overlay val="0"/>
      <c:txPr>
        <a:bodyPr/>
        <a:lstStyle/>
        <a:p>
          <a:pPr rtl="0">
            <a:defRPr sz="920" b="0" i="0" u="none" strike="noStrike" baseline="0">
              <a:solidFill>
                <a:srgbClr val="000000"/>
              </a:solidFill>
              <a:latin typeface="Calibri"/>
              <a:ea typeface="Calibri"/>
              <a:cs typeface="Calibri"/>
            </a:defRPr>
          </a:pPr>
          <a:endParaRPr lang="en-US"/>
        </a:p>
      </c:txPr>
    </c:legend>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en-US"/>
    </a:p>
  </c:txPr>
  <c:printSettings>
    <c:headerFooter alignWithMargins="0"/>
    <c:pageMargins b="1" l="0.75000000000001465" r="0.75000000000001465" t="1" header="0.5" footer="0.5"/>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6483320539497873"/>
          <c:y val="0.13167395259932224"/>
          <c:w val="0.62275806132351985"/>
          <c:h val="0.50168009539684"/>
        </c:manualLayout>
      </c:layout>
      <c:barChart>
        <c:barDir val="col"/>
        <c:grouping val="clustered"/>
        <c:varyColors val="0"/>
        <c:ser>
          <c:idx val="0"/>
          <c:order val="0"/>
          <c:tx>
            <c:strRef>
              <c:f>'Final Graphs'!$AP$75</c:f>
              <c:strCache>
                <c:ptCount val="1"/>
                <c:pt idx="0">
                  <c:v>Fluidics:</c:v>
                </c:pt>
              </c:strCache>
            </c:strRef>
          </c:tx>
          <c:spPr>
            <a:solidFill>
              <a:srgbClr val="50FF50"/>
            </a:solidFill>
            <a:ln w="12700">
              <a:solidFill>
                <a:srgbClr val="000000"/>
              </a:solidFill>
              <a:prstDash val="solid"/>
            </a:ln>
          </c:spPr>
          <c:invertIfNegative val="0"/>
          <c:val>
            <c:numRef>
              <c:f>'Final Graphs'!$AU$75:$AX$75</c:f>
              <c:numCache>
                <c:formatCode>0.0</c:formatCode>
                <c:ptCount val="4"/>
                <c:pt idx="0">
                  <c:v>0</c:v>
                </c:pt>
                <c:pt idx="1">
                  <c:v>0</c:v>
                </c:pt>
                <c:pt idx="2">
                  <c:v>0</c:v>
                </c:pt>
                <c:pt idx="3">
                  <c:v>0</c:v>
                </c:pt>
              </c:numCache>
            </c:numRef>
          </c:val>
        </c:ser>
        <c:dLbls>
          <c:showLegendKey val="0"/>
          <c:showVal val="0"/>
          <c:showCatName val="0"/>
          <c:showSerName val="0"/>
          <c:showPercent val="0"/>
          <c:showBubbleSize val="0"/>
        </c:dLbls>
        <c:gapWidth val="75"/>
        <c:overlap val="-25"/>
        <c:axId val="128128512"/>
        <c:axId val="128130048"/>
      </c:barChart>
      <c:lineChart>
        <c:grouping val="standard"/>
        <c:varyColors val="0"/>
        <c:ser>
          <c:idx val="1"/>
          <c:order val="1"/>
          <c:tx>
            <c:strRef>
              <c:f>'Final Graphs'!$AP$76</c:f>
              <c:strCache>
                <c:ptCount val="1"/>
                <c:pt idx="0">
                  <c:v>Period Threshold</c:v>
                </c:pt>
              </c:strCache>
            </c:strRef>
          </c:tx>
          <c:spPr>
            <a:ln w="38100">
              <a:solidFill>
                <a:srgbClr val="FF0000"/>
              </a:solidFill>
              <a:prstDash val="solid"/>
            </a:ln>
          </c:spPr>
          <c:marker>
            <c:symbol val="none"/>
          </c:marker>
          <c:val>
            <c:numRef>
              <c:f>'Final Graphs'!$AU$76:$AX$76</c:f>
              <c:numCache>
                <c:formatCode>0.0</c:formatCode>
                <c:ptCount val="4"/>
                <c:pt idx="0">
                  <c:v>2</c:v>
                </c:pt>
                <c:pt idx="1">
                  <c:v>2</c:v>
                </c:pt>
                <c:pt idx="2">
                  <c:v>2</c:v>
                </c:pt>
                <c:pt idx="3">
                  <c:v>2</c:v>
                </c:pt>
              </c:numCache>
            </c:numRef>
          </c:val>
          <c:smooth val="0"/>
        </c:ser>
        <c:dLbls>
          <c:showLegendKey val="0"/>
          <c:showVal val="0"/>
          <c:showCatName val="0"/>
          <c:showSerName val="0"/>
          <c:showPercent val="0"/>
          <c:showBubbleSize val="0"/>
        </c:dLbls>
        <c:marker val="1"/>
        <c:smooth val="0"/>
        <c:axId val="128140032"/>
        <c:axId val="128141568"/>
      </c:lineChart>
      <c:catAx>
        <c:axId val="128128512"/>
        <c:scaling>
          <c:orientation val="minMax"/>
        </c:scaling>
        <c:delete val="0"/>
        <c:axPos val="b"/>
        <c:majorTickMark val="none"/>
        <c:minorTickMark val="none"/>
        <c:tickLblPos val="none"/>
        <c:crossAx val="128130048"/>
        <c:crosses val="autoZero"/>
        <c:auto val="1"/>
        <c:lblAlgn val="ctr"/>
        <c:lblOffset val="100"/>
        <c:noMultiLvlLbl val="0"/>
      </c:catAx>
      <c:valAx>
        <c:axId val="128130048"/>
        <c:scaling>
          <c:orientation val="minMax"/>
          <c:max val="10"/>
          <c:min val="0"/>
        </c:scaling>
        <c:delete val="0"/>
        <c:axPos val="l"/>
        <c:majorGridlines/>
        <c:numFmt formatCode="0" sourceLinked="0"/>
        <c:majorTickMark val="none"/>
        <c:minorTickMark val="none"/>
        <c:tickLblPos val="nextTo"/>
        <c:spPr>
          <a:ln w="9525">
            <a:noFill/>
          </a:ln>
        </c:spPr>
        <c:txPr>
          <a:bodyPr rot="0" vert="horz"/>
          <a:lstStyle/>
          <a:p>
            <a:pPr>
              <a:defRPr sz="1000" b="0" i="0" u="none" strike="noStrike" baseline="0">
                <a:solidFill>
                  <a:srgbClr val="000000"/>
                </a:solidFill>
                <a:latin typeface="Calibri"/>
                <a:ea typeface="Calibri"/>
                <a:cs typeface="Calibri"/>
              </a:defRPr>
            </a:pPr>
            <a:endParaRPr lang="en-US"/>
          </a:p>
        </c:txPr>
        <c:crossAx val="128128512"/>
        <c:crosses val="autoZero"/>
        <c:crossBetween val="between"/>
        <c:majorUnit val="1"/>
      </c:valAx>
      <c:catAx>
        <c:axId val="128140032"/>
        <c:scaling>
          <c:orientation val="minMax"/>
        </c:scaling>
        <c:delete val="1"/>
        <c:axPos val="b"/>
        <c:majorTickMark val="out"/>
        <c:minorTickMark val="none"/>
        <c:tickLblPos val="none"/>
        <c:crossAx val="128141568"/>
        <c:crosses val="autoZero"/>
        <c:auto val="1"/>
        <c:lblAlgn val="ctr"/>
        <c:lblOffset val="100"/>
        <c:noMultiLvlLbl val="0"/>
      </c:catAx>
      <c:valAx>
        <c:axId val="128141568"/>
        <c:scaling>
          <c:orientation val="minMax"/>
          <c:max val="10"/>
          <c:min val="0"/>
        </c:scaling>
        <c:delete val="1"/>
        <c:axPos val="r"/>
        <c:numFmt formatCode="0.0" sourceLinked="1"/>
        <c:majorTickMark val="out"/>
        <c:minorTickMark val="none"/>
        <c:tickLblPos val="none"/>
        <c:crossAx val="128140032"/>
        <c:crosses val="max"/>
        <c:crossBetween val="between"/>
        <c:majorUnit val="1"/>
      </c:valAx>
    </c:plotArea>
    <c:legend>
      <c:legendPos val="b"/>
      <c:legendEntry>
        <c:idx val="0"/>
        <c:delete val="1"/>
      </c:legendEntry>
      <c:layout>
        <c:manualLayout>
          <c:xMode val="edge"/>
          <c:yMode val="edge"/>
          <c:x val="7.8058375233216321E-2"/>
          <c:y val="0.92501996074019999"/>
          <c:w val="0.84388324953356764"/>
          <c:h val="5.9585787070733934E-2"/>
        </c:manualLayout>
      </c:layout>
      <c:overlay val="0"/>
      <c:txPr>
        <a:bodyPr/>
        <a:lstStyle/>
        <a:p>
          <a:pPr>
            <a:defRPr sz="920" b="0" i="0" u="none" strike="noStrike" baseline="0">
              <a:solidFill>
                <a:srgbClr val="000000"/>
              </a:solidFill>
              <a:latin typeface="Calibri"/>
              <a:ea typeface="Calibri"/>
              <a:cs typeface="Calibri"/>
            </a:defRPr>
          </a:pPr>
          <a:endParaRPr lang="en-US"/>
        </a:p>
      </c:txPr>
    </c:legend>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000000000000655" l="0.70000000000000062" r="0.70000000000000062" t="0.75000000000000655"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648332053949789"/>
          <c:y val="0.13167395259932224"/>
          <c:w val="0.62275806132352018"/>
          <c:h val="0.50168009539684"/>
        </c:manualLayout>
      </c:layout>
      <c:barChart>
        <c:barDir val="col"/>
        <c:grouping val="clustered"/>
        <c:varyColors val="0"/>
        <c:ser>
          <c:idx val="0"/>
          <c:order val="0"/>
          <c:tx>
            <c:strRef>
              <c:f>'Final Graphs'!$AP$77</c:f>
              <c:strCache>
                <c:ptCount val="1"/>
                <c:pt idx="0">
                  <c:v>LLD:</c:v>
                </c:pt>
              </c:strCache>
            </c:strRef>
          </c:tx>
          <c:spPr>
            <a:solidFill>
              <a:srgbClr val="50FF50"/>
            </a:solidFill>
            <a:ln w="12700">
              <a:solidFill>
                <a:srgbClr val="000000"/>
              </a:solidFill>
              <a:prstDash val="solid"/>
            </a:ln>
          </c:spPr>
          <c:invertIfNegative val="0"/>
          <c:val>
            <c:numRef>
              <c:f>'Final Graphs'!$AU$77:$AX$77</c:f>
              <c:numCache>
                <c:formatCode>0.0</c:formatCode>
                <c:ptCount val="4"/>
                <c:pt idx="0">
                  <c:v>0</c:v>
                </c:pt>
                <c:pt idx="1">
                  <c:v>0</c:v>
                </c:pt>
                <c:pt idx="2">
                  <c:v>0</c:v>
                </c:pt>
                <c:pt idx="3">
                  <c:v>0</c:v>
                </c:pt>
              </c:numCache>
            </c:numRef>
          </c:val>
        </c:ser>
        <c:dLbls>
          <c:showLegendKey val="0"/>
          <c:showVal val="0"/>
          <c:showCatName val="0"/>
          <c:showSerName val="0"/>
          <c:showPercent val="0"/>
          <c:showBubbleSize val="0"/>
        </c:dLbls>
        <c:gapWidth val="75"/>
        <c:overlap val="-25"/>
        <c:axId val="128172416"/>
        <c:axId val="128173952"/>
      </c:barChart>
      <c:lineChart>
        <c:grouping val="standard"/>
        <c:varyColors val="0"/>
        <c:ser>
          <c:idx val="1"/>
          <c:order val="1"/>
          <c:tx>
            <c:strRef>
              <c:f>'Final Graphs'!$AP$78</c:f>
              <c:strCache>
                <c:ptCount val="1"/>
                <c:pt idx="0">
                  <c:v>Period Threshold</c:v>
                </c:pt>
              </c:strCache>
            </c:strRef>
          </c:tx>
          <c:spPr>
            <a:ln w="38100">
              <a:solidFill>
                <a:srgbClr val="FF0000"/>
              </a:solidFill>
              <a:prstDash val="solid"/>
            </a:ln>
          </c:spPr>
          <c:marker>
            <c:symbol val="none"/>
          </c:marker>
          <c:val>
            <c:numRef>
              <c:f>'Final Graphs'!$AU$78:$AX$78</c:f>
              <c:numCache>
                <c:formatCode>0.0</c:formatCode>
                <c:ptCount val="4"/>
                <c:pt idx="0">
                  <c:v>6</c:v>
                </c:pt>
                <c:pt idx="1">
                  <c:v>6</c:v>
                </c:pt>
                <c:pt idx="2">
                  <c:v>6</c:v>
                </c:pt>
                <c:pt idx="3">
                  <c:v>6</c:v>
                </c:pt>
              </c:numCache>
            </c:numRef>
          </c:val>
          <c:smooth val="0"/>
        </c:ser>
        <c:dLbls>
          <c:showLegendKey val="0"/>
          <c:showVal val="0"/>
          <c:showCatName val="0"/>
          <c:showSerName val="0"/>
          <c:showPercent val="0"/>
          <c:showBubbleSize val="0"/>
        </c:dLbls>
        <c:marker val="1"/>
        <c:smooth val="0"/>
        <c:axId val="128175488"/>
        <c:axId val="128177280"/>
      </c:lineChart>
      <c:catAx>
        <c:axId val="128172416"/>
        <c:scaling>
          <c:orientation val="minMax"/>
        </c:scaling>
        <c:delete val="0"/>
        <c:axPos val="b"/>
        <c:majorTickMark val="none"/>
        <c:minorTickMark val="none"/>
        <c:tickLblPos val="none"/>
        <c:crossAx val="128173952"/>
        <c:crosses val="autoZero"/>
        <c:auto val="1"/>
        <c:lblAlgn val="ctr"/>
        <c:lblOffset val="100"/>
        <c:noMultiLvlLbl val="0"/>
      </c:catAx>
      <c:valAx>
        <c:axId val="128173952"/>
        <c:scaling>
          <c:orientation val="minMax"/>
          <c:max val="10"/>
          <c:min val="0"/>
        </c:scaling>
        <c:delete val="0"/>
        <c:axPos val="l"/>
        <c:majorGridlines/>
        <c:numFmt formatCode="0" sourceLinked="0"/>
        <c:majorTickMark val="none"/>
        <c:minorTickMark val="none"/>
        <c:tickLblPos val="nextTo"/>
        <c:spPr>
          <a:ln w="9525">
            <a:noFill/>
          </a:ln>
        </c:spPr>
        <c:txPr>
          <a:bodyPr rot="0" vert="horz"/>
          <a:lstStyle/>
          <a:p>
            <a:pPr>
              <a:defRPr sz="1000" b="0" i="0" u="none" strike="noStrike" baseline="0">
                <a:solidFill>
                  <a:srgbClr val="000000"/>
                </a:solidFill>
                <a:latin typeface="Calibri"/>
                <a:ea typeface="Calibri"/>
                <a:cs typeface="Calibri"/>
              </a:defRPr>
            </a:pPr>
            <a:endParaRPr lang="en-US"/>
          </a:p>
        </c:txPr>
        <c:crossAx val="128172416"/>
        <c:crosses val="autoZero"/>
        <c:crossBetween val="between"/>
        <c:majorUnit val="1"/>
      </c:valAx>
      <c:catAx>
        <c:axId val="128175488"/>
        <c:scaling>
          <c:orientation val="minMax"/>
        </c:scaling>
        <c:delete val="1"/>
        <c:axPos val="b"/>
        <c:majorTickMark val="out"/>
        <c:minorTickMark val="none"/>
        <c:tickLblPos val="none"/>
        <c:crossAx val="128177280"/>
        <c:crosses val="autoZero"/>
        <c:auto val="1"/>
        <c:lblAlgn val="ctr"/>
        <c:lblOffset val="100"/>
        <c:noMultiLvlLbl val="0"/>
      </c:catAx>
      <c:valAx>
        <c:axId val="128177280"/>
        <c:scaling>
          <c:orientation val="minMax"/>
          <c:max val="10"/>
          <c:min val="0"/>
        </c:scaling>
        <c:delete val="1"/>
        <c:axPos val="r"/>
        <c:numFmt formatCode="0.0" sourceLinked="1"/>
        <c:majorTickMark val="out"/>
        <c:minorTickMark val="none"/>
        <c:tickLblPos val="none"/>
        <c:crossAx val="128175488"/>
        <c:crosses val="max"/>
        <c:crossBetween val="between"/>
        <c:majorUnit val="1"/>
      </c:valAx>
    </c:plotArea>
    <c:legend>
      <c:legendPos val="b"/>
      <c:legendEntry>
        <c:idx val="0"/>
        <c:delete val="1"/>
      </c:legendEntry>
      <c:layout>
        <c:manualLayout>
          <c:xMode val="edge"/>
          <c:yMode val="edge"/>
          <c:x val="7.8058375233216321E-2"/>
          <c:y val="0.92502014712949665"/>
          <c:w val="0.84388324953356764"/>
          <c:h val="5.9585819378211502E-2"/>
        </c:manualLayout>
      </c:layout>
      <c:overlay val="0"/>
      <c:txPr>
        <a:bodyPr/>
        <a:lstStyle/>
        <a:p>
          <a:pPr>
            <a:defRPr sz="920" b="0" i="0" u="none" strike="noStrike" baseline="0">
              <a:solidFill>
                <a:srgbClr val="000000"/>
              </a:solidFill>
              <a:latin typeface="Calibri"/>
              <a:ea typeface="Calibri"/>
              <a:cs typeface="Calibri"/>
            </a:defRPr>
          </a:pPr>
          <a:endParaRPr lang="en-US"/>
        </a:p>
      </c:txPr>
    </c:legend>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000000000000655" l="0.70000000000000062" r="0.70000000000000062" t="0.75000000000000655"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6483320539497901"/>
          <c:y val="0.13167395259932224"/>
          <c:w val="0.62275806132352063"/>
          <c:h val="0.50168009539684"/>
        </c:manualLayout>
      </c:layout>
      <c:barChart>
        <c:barDir val="col"/>
        <c:grouping val="clustered"/>
        <c:varyColors val="0"/>
        <c:ser>
          <c:idx val="0"/>
          <c:order val="0"/>
          <c:tx>
            <c:strRef>
              <c:f>'Final Graphs'!$AP$79</c:f>
              <c:strCache>
                <c:ptCount val="1"/>
                <c:pt idx="0">
                  <c:v>ORU:</c:v>
                </c:pt>
              </c:strCache>
            </c:strRef>
          </c:tx>
          <c:spPr>
            <a:solidFill>
              <a:srgbClr val="50FF50"/>
            </a:solidFill>
            <a:ln w="12700">
              <a:solidFill>
                <a:srgbClr val="000000"/>
              </a:solidFill>
              <a:prstDash val="solid"/>
            </a:ln>
          </c:spPr>
          <c:invertIfNegative val="0"/>
          <c:val>
            <c:numRef>
              <c:f>'Final Graphs'!$AU$79:$AX$79</c:f>
              <c:numCache>
                <c:formatCode>0.0</c:formatCode>
                <c:ptCount val="4"/>
                <c:pt idx="0">
                  <c:v>0</c:v>
                </c:pt>
                <c:pt idx="1">
                  <c:v>0</c:v>
                </c:pt>
                <c:pt idx="2">
                  <c:v>0</c:v>
                </c:pt>
                <c:pt idx="3">
                  <c:v>0</c:v>
                </c:pt>
              </c:numCache>
            </c:numRef>
          </c:val>
        </c:ser>
        <c:dLbls>
          <c:showLegendKey val="0"/>
          <c:showVal val="0"/>
          <c:showCatName val="0"/>
          <c:showSerName val="0"/>
          <c:showPercent val="0"/>
          <c:showBubbleSize val="0"/>
        </c:dLbls>
        <c:gapWidth val="75"/>
        <c:overlap val="-25"/>
        <c:axId val="128199680"/>
        <c:axId val="128217856"/>
      </c:barChart>
      <c:lineChart>
        <c:grouping val="standard"/>
        <c:varyColors val="0"/>
        <c:ser>
          <c:idx val="1"/>
          <c:order val="1"/>
          <c:tx>
            <c:strRef>
              <c:f>'Final Graphs'!$AP$80</c:f>
              <c:strCache>
                <c:ptCount val="1"/>
                <c:pt idx="0">
                  <c:v>Period Threshold</c:v>
                </c:pt>
              </c:strCache>
            </c:strRef>
          </c:tx>
          <c:spPr>
            <a:ln w="38100">
              <a:solidFill>
                <a:srgbClr val="FF0000"/>
              </a:solidFill>
              <a:prstDash val="solid"/>
            </a:ln>
          </c:spPr>
          <c:marker>
            <c:symbol val="none"/>
          </c:marker>
          <c:val>
            <c:numRef>
              <c:f>'Final Graphs'!$AU$80:$AX$80</c:f>
              <c:numCache>
                <c:formatCode>0.0</c:formatCode>
                <c:ptCount val="4"/>
                <c:pt idx="0">
                  <c:v>1</c:v>
                </c:pt>
                <c:pt idx="1">
                  <c:v>1</c:v>
                </c:pt>
                <c:pt idx="2">
                  <c:v>1</c:v>
                </c:pt>
                <c:pt idx="3">
                  <c:v>1</c:v>
                </c:pt>
              </c:numCache>
            </c:numRef>
          </c:val>
          <c:smooth val="0"/>
        </c:ser>
        <c:dLbls>
          <c:showLegendKey val="0"/>
          <c:showVal val="0"/>
          <c:showCatName val="0"/>
          <c:showSerName val="0"/>
          <c:showPercent val="0"/>
          <c:showBubbleSize val="0"/>
        </c:dLbls>
        <c:marker val="1"/>
        <c:smooth val="0"/>
        <c:axId val="128219392"/>
        <c:axId val="128221184"/>
      </c:lineChart>
      <c:catAx>
        <c:axId val="128199680"/>
        <c:scaling>
          <c:orientation val="minMax"/>
        </c:scaling>
        <c:delete val="0"/>
        <c:axPos val="b"/>
        <c:majorTickMark val="none"/>
        <c:minorTickMark val="none"/>
        <c:tickLblPos val="none"/>
        <c:crossAx val="128217856"/>
        <c:crosses val="autoZero"/>
        <c:auto val="1"/>
        <c:lblAlgn val="ctr"/>
        <c:lblOffset val="100"/>
        <c:noMultiLvlLbl val="0"/>
      </c:catAx>
      <c:valAx>
        <c:axId val="128217856"/>
        <c:scaling>
          <c:orientation val="minMax"/>
          <c:max val="10"/>
          <c:min val="0"/>
        </c:scaling>
        <c:delete val="0"/>
        <c:axPos val="l"/>
        <c:majorGridlines/>
        <c:numFmt formatCode="0" sourceLinked="0"/>
        <c:majorTickMark val="none"/>
        <c:minorTickMark val="none"/>
        <c:tickLblPos val="nextTo"/>
        <c:spPr>
          <a:ln w="9525">
            <a:noFill/>
          </a:ln>
        </c:spPr>
        <c:txPr>
          <a:bodyPr rot="0" vert="horz"/>
          <a:lstStyle/>
          <a:p>
            <a:pPr>
              <a:defRPr sz="1000" b="0" i="0" u="none" strike="noStrike" baseline="0">
                <a:solidFill>
                  <a:srgbClr val="000000"/>
                </a:solidFill>
                <a:latin typeface="Calibri"/>
                <a:ea typeface="Calibri"/>
                <a:cs typeface="Calibri"/>
              </a:defRPr>
            </a:pPr>
            <a:endParaRPr lang="en-US"/>
          </a:p>
        </c:txPr>
        <c:crossAx val="128199680"/>
        <c:crosses val="autoZero"/>
        <c:crossBetween val="between"/>
        <c:majorUnit val="1"/>
      </c:valAx>
      <c:catAx>
        <c:axId val="128219392"/>
        <c:scaling>
          <c:orientation val="minMax"/>
        </c:scaling>
        <c:delete val="1"/>
        <c:axPos val="b"/>
        <c:majorTickMark val="out"/>
        <c:minorTickMark val="none"/>
        <c:tickLblPos val="none"/>
        <c:crossAx val="128221184"/>
        <c:crosses val="autoZero"/>
        <c:auto val="1"/>
        <c:lblAlgn val="ctr"/>
        <c:lblOffset val="100"/>
        <c:noMultiLvlLbl val="0"/>
      </c:catAx>
      <c:valAx>
        <c:axId val="128221184"/>
        <c:scaling>
          <c:orientation val="minMax"/>
          <c:max val="10"/>
          <c:min val="0"/>
        </c:scaling>
        <c:delete val="1"/>
        <c:axPos val="r"/>
        <c:numFmt formatCode="0.0" sourceLinked="1"/>
        <c:majorTickMark val="out"/>
        <c:minorTickMark val="none"/>
        <c:tickLblPos val="none"/>
        <c:crossAx val="128219392"/>
        <c:crosses val="max"/>
        <c:crossBetween val="between"/>
        <c:majorUnit val="1"/>
      </c:valAx>
    </c:plotArea>
    <c:legend>
      <c:legendPos val="b"/>
      <c:legendEntry>
        <c:idx val="0"/>
        <c:delete val="1"/>
      </c:legendEntry>
      <c:layout>
        <c:manualLayout>
          <c:xMode val="edge"/>
          <c:yMode val="edge"/>
          <c:x val="7.8058375233216321E-2"/>
          <c:y val="0.92502006887022126"/>
          <c:w val="0.84388324953356764"/>
          <c:h val="5.9586047565781404E-2"/>
        </c:manualLayout>
      </c:layout>
      <c:overlay val="0"/>
      <c:txPr>
        <a:bodyPr/>
        <a:lstStyle/>
        <a:p>
          <a:pPr>
            <a:defRPr sz="920" b="0" i="0" u="none" strike="noStrike" baseline="0">
              <a:solidFill>
                <a:srgbClr val="000000"/>
              </a:solidFill>
              <a:latin typeface="Calibri"/>
              <a:ea typeface="Calibri"/>
              <a:cs typeface="Calibri"/>
            </a:defRPr>
          </a:pPr>
          <a:endParaRPr lang="en-US"/>
        </a:p>
      </c:txPr>
    </c:legend>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000000000000677" l="0.70000000000000062" r="0.70000000000000062" t="0.75000000000000677" header="0.30000000000000032" footer="0.3000000000000003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648332053949789"/>
          <c:y val="0.13167395259932224"/>
          <c:w val="0.62275806132352018"/>
          <c:h val="0.50168009539684"/>
        </c:manualLayout>
      </c:layout>
      <c:barChart>
        <c:barDir val="col"/>
        <c:grouping val="clustered"/>
        <c:varyColors val="0"/>
        <c:ser>
          <c:idx val="0"/>
          <c:order val="0"/>
          <c:tx>
            <c:strRef>
              <c:f>'Final Graphs'!$AP$81</c:f>
              <c:strCache>
                <c:ptCount val="1"/>
                <c:pt idx="0">
                  <c:v>Others:</c:v>
                </c:pt>
              </c:strCache>
            </c:strRef>
          </c:tx>
          <c:spPr>
            <a:solidFill>
              <a:srgbClr val="50FF50"/>
            </a:solidFill>
            <a:ln w="12700">
              <a:solidFill>
                <a:srgbClr val="000000"/>
              </a:solidFill>
              <a:prstDash val="solid"/>
            </a:ln>
          </c:spPr>
          <c:invertIfNegative val="0"/>
          <c:val>
            <c:numRef>
              <c:f>'Final Graphs'!$AU$81:$AX$81</c:f>
              <c:numCache>
                <c:formatCode>0.0</c:formatCode>
                <c:ptCount val="4"/>
                <c:pt idx="0">
                  <c:v>0</c:v>
                </c:pt>
                <c:pt idx="1">
                  <c:v>0</c:v>
                </c:pt>
                <c:pt idx="2">
                  <c:v>0</c:v>
                </c:pt>
                <c:pt idx="3">
                  <c:v>0</c:v>
                </c:pt>
              </c:numCache>
            </c:numRef>
          </c:val>
        </c:ser>
        <c:dLbls>
          <c:showLegendKey val="0"/>
          <c:showVal val="0"/>
          <c:showCatName val="0"/>
          <c:showSerName val="0"/>
          <c:showPercent val="0"/>
          <c:showBubbleSize val="0"/>
        </c:dLbls>
        <c:gapWidth val="75"/>
        <c:overlap val="-25"/>
        <c:axId val="128251776"/>
        <c:axId val="128253312"/>
      </c:barChart>
      <c:lineChart>
        <c:grouping val="standard"/>
        <c:varyColors val="0"/>
        <c:ser>
          <c:idx val="1"/>
          <c:order val="1"/>
          <c:tx>
            <c:strRef>
              <c:f>'Final Graphs'!$AP$82</c:f>
              <c:strCache>
                <c:ptCount val="1"/>
                <c:pt idx="0">
                  <c:v>Period Threshold</c:v>
                </c:pt>
              </c:strCache>
            </c:strRef>
          </c:tx>
          <c:spPr>
            <a:ln w="38100">
              <a:solidFill>
                <a:srgbClr val="FF0000"/>
              </a:solidFill>
              <a:prstDash val="solid"/>
            </a:ln>
          </c:spPr>
          <c:marker>
            <c:symbol val="none"/>
          </c:marker>
          <c:val>
            <c:numRef>
              <c:f>'Final Graphs'!$AU$82:$AX$82</c:f>
              <c:numCache>
                <c:formatCode>0.0</c:formatCode>
                <c:ptCount val="4"/>
                <c:pt idx="0">
                  <c:v>1</c:v>
                </c:pt>
                <c:pt idx="1">
                  <c:v>1</c:v>
                </c:pt>
                <c:pt idx="2">
                  <c:v>1</c:v>
                </c:pt>
                <c:pt idx="3">
                  <c:v>1</c:v>
                </c:pt>
              </c:numCache>
            </c:numRef>
          </c:val>
          <c:smooth val="0"/>
        </c:ser>
        <c:dLbls>
          <c:showLegendKey val="0"/>
          <c:showVal val="0"/>
          <c:showCatName val="0"/>
          <c:showSerName val="0"/>
          <c:showPercent val="0"/>
          <c:showBubbleSize val="0"/>
        </c:dLbls>
        <c:marker val="1"/>
        <c:smooth val="0"/>
        <c:axId val="127542400"/>
        <c:axId val="127543936"/>
      </c:lineChart>
      <c:catAx>
        <c:axId val="128251776"/>
        <c:scaling>
          <c:orientation val="minMax"/>
        </c:scaling>
        <c:delete val="0"/>
        <c:axPos val="b"/>
        <c:majorTickMark val="none"/>
        <c:minorTickMark val="none"/>
        <c:tickLblPos val="none"/>
        <c:crossAx val="128253312"/>
        <c:crosses val="autoZero"/>
        <c:auto val="1"/>
        <c:lblAlgn val="ctr"/>
        <c:lblOffset val="100"/>
        <c:noMultiLvlLbl val="0"/>
      </c:catAx>
      <c:valAx>
        <c:axId val="128253312"/>
        <c:scaling>
          <c:orientation val="minMax"/>
          <c:max val="10"/>
          <c:min val="0"/>
        </c:scaling>
        <c:delete val="0"/>
        <c:axPos val="l"/>
        <c:majorGridlines/>
        <c:numFmt formatCode="0" sourceLinked="0"/>
        <c:majorTickMark val="none"/>
        <c:minorTickMark val="none"/>
        <c:tickLblPos val="nextTo"/>
        <c:spPr>
          <a:ln w="9525">
            <a:noFill/>
          </a:ln>
        </c:spPr>
        <c:txPr>
          <a:bodyPr rot="0" vert="horz"/>
          <a:lstStyle/>
          <a:p>
            <a:pPr>
              <a:defRPr sz="1000" b="0" i="0" u="none" strike="noStrike" baseline="0">
                <a:solidFill>
                  <a:srgbClr val="000000"/>
                </a:solidFill>
                <a:latin typeface="Calibri"/>
                <a:ea typeface="Calibri"/>
                <a:cs typeface="Calibri"/>
              </a:defRPr>
            </a:pPr>
            <a:endParaRPr lang="en-US"/>
          </a:p>
        </c:txPr>
        <c:crossAx val="128251776"/>
        <c:crosses val="autoZero"/>
        <c:crossBetween val="between"/>
        <c:majorUnit val="1"/>
      </c:valAx>
      <c:catAx>
        <c:axId val="127542400"/>
        <c:scaling>
          <c:orientation val="minMax"/>
        </c:scaling>
        <c:delete val="1"/>
        <c:axPos val="b"/>
        <c:majorTickMark val="out"/>
        <c:minorTickMark val="none"/>
        <c:tickLblPos val="none"/>
        <c:crossAx val="127543936"/>
        <c:crosses val="autoZero"/>
        <c:auto val="1"/>
        <c:lblAlgn val="ctr"/>
        <c:lblOffset val="100"/>
        <c:noMultiLvlLbl val="0"/>
      </c:catAx>
      <c:valAx>
        <c:axId val="127543936"/>
        <c:scaling>
          <c:orientation val="minMax"/>
          <c:max val="10"/>
          <c:min val="0"/>
        </c:scaling>
        <c:delete val="1"/>
        <c:axPos val="r"/>
        <c:numFmt formatCode="0.0" sourceLinked="1"/>
        <c:majorTickMark val="out"/>
        <c:minorTickMark val="none"/>
        <c:tickLblPos val="none"/>
        <c:crossAx val="127542400"/>
        <c:crosses val="max"/>
        <c:crossBetween val="between"/>
        <c:majorUnit val="1"/>
      </c:valAx>
    </c:plotArea>
    <c:legend>
      <c:legendPos val="b"/>
      <c:legendEntry>
        <c:idx val="0"/>
        <c:delete val="1"/>
      </c:legendEntry>
      <c:layout>
        <c:manualLayout>
          <c:xMode val="edge"/>
          <c:yMode val="edge"/>
          <c:x val="7.8058375233216321E-2"/>
          <c:y val="0.92501996074019999"/>
          <c:w val="0.84388324953356764"/>
          <c:h val="5.9585787070733934E-2"/>
        </c:manualLayout>
      </c:layout>
      <c:overlay val="0"/>
      <c:txPr>
        <a:bodyPr/>
        <a:lstStyle/>
        <a:p>
          <a:pPr>
            <a:defRPr sz="920" b="0" i="0" u="none" strike="noStrike" baseline="0">
              <a:solidFill>
                <a:srgbClr val="000000"/>
              </a:solidFill>
              <a:latin typeface="Calibri"/>
              <a:ea typeface="Calibri"/>
              <a:cs typeface="Calibri"/>
            </a:defRPr>
          </a:pPr>
          <a:endParaRPr lang="en-US"/>
        </a:p>
      </c:txPr>
    </c:legend>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000000000000677" l="0.70000000000000062" r="0.70000000000000062" t="0.75000000000000677" header="0.30000000000000032" footer="0.30000000000000032"/>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648332053949789"/>
          <c:y val="0.13167395259932224"/>
          <c:w val="0.62275806132352018"/>
          <c:h val="0.50168009539684"/>
        </c:manualLayout>
      </c:layout>
      <c:barChart>
        <c:barDir val="col"/>
        <c:grouping val="clustered"/>
        <c:varyColors val="0"/>
        <c:ser>
          <c:idx val="0"/>
          <c:order val="0"/>
          <c:tx>
            <c:strRef>
              <c:f>'Final Graphs'!$AP$83</c:f>
              <c:strCache>
                <c:ptCount val="1"/>
                <c:pt idx="0">
                  <c:v>SW:</c:v>
                </c:pt>
              </c:strCache>
            </c:strRef>
          </c:tx>
          <c:spPr>
            <a:solidFill>
              <a:srgbClr val="50FF50"/>
            </a:solidFill>
            <a:ln w="12700">
              <a:solidFill>
                <a:srgbClr val="000000"/>
              </a:solidFill>
              <a:prstDash val="solid"/>
            </a:ln>
          </c:spPr>
          <c:invertIfNegative val="0"/>
          <c:val>
            <c:numRef>
              <c:f>'Final Graphs'!$AU$83:$AX$83</c:f>
              <c:numCache>
                <c:formatCode>0.0</c:formatCode>
                <c:ptCount val="4"/>
                <c:pt idx="0">
                  <c:v>0</c:v>
                </c:pt>
                <c:pt idx="1">
                  <c:v>0</c:v>
                </c:pt>
                <c:pt idx="2">
                  <c:v>0</c:v>
                </c:pt>
                <c:pt idx="3">
                  <c:v>0</c:v>
                </c:pt>
              </c:numCache>
            </c:numRef>
          </c:val>
        </c:ser>
        <c:dLbls>
          <c:showLegendKey val="0"/>
          <c:showVal val="0"/>
          <c:showCatName val="0"/>
          <c:showSerName val="0"/>
          <c:showPercent val="0"/>
          <c:showBubbleSize val="0"/>
        </c:dLbls>
        <c:gapWidth val="75"/>
        <c:overlap val="-25"/>
        <c:axId val="127570688"/>
        <c:axId val="127572224"/>
      </c:barChart>
      <c:lineChart>
        <c:grouping val="standard"/>
        <c:varyColors val="0"/>
        <c:ser>
          <c:idx val="1"/>
          <c:order val="1"/>
          <c:tx>
            <c:strRef>
              <c:f>'Final Graphs'!$AP$84</c:f>
              <c:strCache>
                <c:ptCount val="1"/>
                <c:pt idx="0">
                  <c:v>Period Threshold</c:v>
                </c:pt>
              </c:strCache>
            </c:strRef>
          </c:tx>
          <c:spPr>
            <a:ln w="38100">
              <a:solidFill>
                <a:srgbClr val="FF0000"/>
              </a:solidFill>
              <a:prstDash val="solid"/>
            </a:ln>
          </c:spPr>
          <c:marker>
            <c:symbol val="none"/>
          </c:marker>
          <c:val>
            <c:numRef>
              <c:f>'Final Graphs'!$AU$84:$AX$84</c:f>
              <c:numCache>
                <c:formatCode>0.0</c:formatCode>
                <c:ptCount val="4"/>
                <c:pt idx="0">
                  <c:v>4</c:v>
                </c:pt>
                <c:pt idx="1">
                  <c:v>4</c:v>
                </c:pt>
                <c:pt idx="2">
                  <c:v>4</c:v>
                </c:pt>
                <c:pt idx="3">
                  <c:v>4</c:v>
                </c:pt>
              </c:numCache>
            </c:numRef>
          </c:val>
          <c:smooth val="0"/>
        </c:ser>
        <c:dLbls>
          <c:showLegendKey val="0"/>
          <c:showVal val="0"/>
          <c:showCatName val="0"/>
          <c:showSerName val="0"/>
          <c:showPercent val="0"/>
          <c:showBubbleSize val="0"/>
        </c:dLbls>
        <c:marker val="1"/>
        <c:smooth val="0"/>
        <c:axId val="127586304"/>
        <c:axId val="127587840"/>
      </c:lineChart>
      <c:catAx>
        <c:axId val="127570688"/>
        <c:scaling>
          <c:orientation val="minMax"/>
        </c:scaling>
        <c:delete val="0"/>
        <c:axPos val="b"/>
        <c:majorTickMark val="none"/>
        <c:minorTickMark val="none"/>
        <c:tickLblPos val="none"/>
        <c:crossAx val="127572224"/>
        <c:crosses val="autoZero"/>
        <c:auto val="1"/>
        <c:lblAlgn val="ctr"/>
        <c:lblOffset val="100"/>
        <c:noMultiLvlLbl val="0"/>
      </c:catAx>
      <c:valAx>
        <c:axId val="127572224"/>
        <c:scaling>
          <c:orientation val="minMax"/>
          <c:max val="10"/>
          <c:min val="0"/>
        </c:scaling>
        <c:delete val="0"/>
        <c:axPos val="l"/>
        <c:majorGridlines/>
        <c:numFmt formatCode="0" sourceLinked="0"/>
        <c:majorTickMark val="none"/>
        <c:minorTickMark val="none"/>
        <c:tickLblPos val="nextTo"/>
        <c:spPr>
          <a:ln w="9525">
            <a:noFill/>
          </a:ln>
        </c:spPr>
        <c:txPr>
          <a:bodyPr rot="0" vert="horz"/>
          <a:lstStyle/>
          <a:p>
            <a:pPr>
              <a:defRPr sz="1000" b="0" i="0" u="none" strike="noStrike" baseline="0">
                <a:solidFill>
                  <a:srgbClr val="000000"/>
                </a:solidFill>
                <a:latin typeface="Calibri"/>
                <a:ea typeface="Calibri"/>
                <a:cs typeface="Calibri"/>
              </a:defRPr>
            </a:pPr>
            <a:endParaRPr lang="en-US"/>
          </a:p>
        </c:txPr>
        <c:crossAx val="127570688"/>
        <c:crosses val="autoZero"/>
        <c:crossBetween val="between"/>
        <c:majorUnit val="1"/>
      </c:valAx>
      <c:catAx>
        <c:axId val="127586304"/>
        <c:scaling>
          <c:orientation val="minMax"/>
        </c:scaling>
        <c:delete val="1"/>
        <c:axPos val="b"/>
        <c:majorTickMark val="out"/>
        <c:minorTickMark val="none"/>
        <c:tickLblPos val="none"/>
        <c:crossAx val="127587840"/>
        <c:crosses val="autoZero"/>
        <c:auto val="1"/>
        <c:lblAlgn val="ctr"/>
        <c:lblOffset val="100"/>
        <c:noMultiLvlLbl val="0"/>
      </c:catAx>
      <c:valAx>
        <c:axId val="127587840"/>
        <c:scaling>
          <c:orientation val="minMax"/>
          <c:max val="10"/>
          <c:min val="0"/>
        </c:scaling>
        <c:delete val="1"/>
        <c:axPos val="r"/>
        <c:numFmt formatCode="0.0" sourceLinked="1"/>
        <c:majorTickMark val="out"/>
        <c:minorTickMark val="none"/>
        <c:tickLblPos val="none"/>
        <c:crossAx val="127586304"/>
        <c:crosses val="max"/>
        <c:crossBetween val="between"/>
        <c:majorUnit val="1"/>
      </c:valAx>
    </c:plotArea>
    <c:legend>
      <c:legendPos val="b"/>
      <c:legendEntry>
        <c:idx val="0"/>
        <c:delete val="1"/>
      </c:legendEntry>
      <c:layout>
        <c:manualLayout>
          <c:xMode val="edge"/>
          <c:yMode val="edge"/>
          <c:x val="7.8058375233216321E-2"/>
          <c:y val="0.92502014712949665"/>
          <c:w val="0.84388324953356764"/>
          <c:h val="5.9585819378211502E-2"/>
        </c:manualLayout>
      </c:layout>
      <c:overlay val="0"/>
      <c:txPr>
        <a:bodyPr/>
        <a:lstStyle/>
        <a:p>
          <a:pPr>
            <a:defRPr sz="920" b="0" i="0" u="none" strike="noStrike" baseline="0">
              <a:solidFill>
                <a:srgbClr val="000000"/>
              </a:solidFill>
              <a:latin typeface="Calibri"/>
              <a:ea typeface="Calibri"/>
              <a:cs typeface="Calibri"/>
            </a:defRPr>
          </a:pPr>
          <a:endParaRPr lang="en-US"/>
        </a:p>
      </c:txPr>
    </c:legend>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000000000000677" l="0.70000000000000062" r="0.70000000000000062" t="0.75000000000000677" header="0.30000000000000032" footer="0.30000000000000032"/>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648332053949789"/>
          <c:y val="0.13167395259932224"/>
          <c:w val="0.62275806132352018"/>
          <c:h val="0.50168009539684"/>
        </c:manualLayout>
      </c:layout>
      <c:barChart>
        <c:barDir val="col"/>
        <c:grouping val="clustered"/>
        <c:varyColors val="0"/>
        <c:ser>
          <c:idx val="0"/>
          <c:order val="0"/>
          <c:tx>
            <c:strRef>
              <c:f>'Final Graphs'!$AP$85</c:f>
              <c:strCache>
                <c:ptCount val="1"/>
                <c:pt idx="0">
                  <c:v>Temperatures:</c:v>
                </c:pt>
              </c:strCache>
            </c:strRef>
          </c:tx>
          <c:spPr>
            <a:solidFill>
              <a:srgbClr val="50FF50"/>
            </a:solidFill>
            <a:ln w="12700">
              <a:solidFill>
                <a:srgbClr val="000000"/>
              </a:solidFill>
              <a:prstDash val="solid"/>
            </a:ln>
          </c:spPr>
          <c:invertIfNegative val="0"/>
          <c:val>
            <c:numRef>
              <c:f>'Final Graphs'!$AU$85:$AX$85</c:f>
              <c:numCache>
                <c:formatCode>0.0</c:formatCode>
                <c:ptCount val="4"/>
                <c:pt idx="0">
                  <c:v>0</c:v>
                </c:pt>
                <c:pt idx="1">
                  <c:v>0</c:v>
                </c:pt>
                <c:pt idx="2">
                  <c:v>0</c:v>
                </c:pt>
                <c:pt idx="3">
                  <c:v>0</c:v>
                </c:pt>
              </c:numCache>
            </c:numRef>
          </c:val>
        </c:ser>
        <c:dLbls>
          <c:showLegendKey val="0"/>
          <c:showVal val="0"/>
          <c:showCatName val="0"/>
          <c:showSerName val="0"/>
          <c:showPercent val="0"/>
          <c:showBubbleSize val="0"/>
        </c:dLbls>
        <c:gapWidth val="75"/>
        <c:overlap val="-25"/>
        <c:axId val="127609856"/>
        <c:axId val="127628032"/>
      </c:barChart>
      <c:lineChart>
        <c:grouping val="standard"/>
        <c:varyColors val="0"/>
        <c:ser>
          <c:idx val="1"/>
          <c:order val="1"/>
          <c:tx>
            <c:strRef>
              <c:f>'Final Graphs'!$AP$86</c:f>
              <c:strCache>
                <c:ptCount val="1"/>
                <c:pt idx="0">
                  <c:v>Period Threshold</c:v>
                </c:pt>
              </c:strCache>
            </c:strRef>
          </c:tx>
          <c:spPr>
            <a:ln w="38100">
              <a:solidFill>
                <a:srgbClr val="FF0000"/>
              </a:solidFill>
              <a:prstDash val="solid"/>
            </a:ln>
          </c:spPr>
          <c:marker>
            <c:symbol val="none"/>
          </c:marker>
          <c:val>
            <c:numRef>
              <c:f>'Final Graphs'!$AU$86:$AX$86</c:f>
              <c:numCache>
                <c:formatCode>0.0</c:formatCode>
                <c:ptCount val="4"/>
                <c:pt idx="0">
                  <c:v>4</c:v>
                </c:pt>
                <c:pt idx="1">
                  <c:v>4</c:v>
                </c:pt>
                <c:pt idx="2">
                  <c:v>4</c:v>
                </c:pt>
                <c:pt idx="3">
                  <c:v>4</c:v>
                </c:pt>
              </c:numCache>
            </c:numRef>
          </c:val>
          <c:smooth val="0"/>
        </c:ser>
        <c:dLbls>
          <c:showLegendKey val="0"/>
          <c:showVal val="0"/>
          <c:showCatName val="0"/>
          <c:showSerName val="0"/>
          <c:showPercent val="0"/>
          <c:showBubbleSize val="0"/>
        </c:dLbls>
        <c:marker val="1"/>
        <c:smooth val="0"/>
        <c:axId val="127629568"/>
        <c:axId val="127635456"/>
      </c:lineChart>
      <c:catAx>
        <c:axId val="127609856"/>
        <c:scaling>
          <c:orientation val="minMax"/>
        </c:scaling>
        <c:delete val="0"/>
        <c:axPos val="b"/>
        <c:majorTickMark val="none"/>
        <c:minorTickMark val="none"/>
        <c:tickLblPos val="none"/>
        <c:crossAx val="127628032"/>
        <c:crosses val="autoZero"/>
        <c:auto val="1"/>
        <c:lblAlgn val="ctr"/>
        <c:lblOffset val="100"/>
        <c:noMultiLvlLbl val="0"/>
      </c:catAx>
      <c:valAx>
        <c:axId val="127628032"/>
        <c:scaling>
          <c:orientation val="minMax"/>
          <c:max val="10"/>
          <c:min val="0"/>
        </c:scaling>
        <c:delete val="0"/>
        <c:axPos val="l"/>
        <c:majorGridlines/>
        <c:numFmt formatCode="0" sourceLinked="0"/>
        <c:majorTickMark val="none"/>
        <c:minorTickMark val="none"/>
        <c:tickLblPos val="nextTo"/>
        <c:spPr>
          <a:ln w="9525">
            <a:noFill/>
          </a:ln>
        </c:spPr>
        <c:txPr>
          <a:bodyPr rot="0" vert="horz"/>
          <a:lstStyle/>
          <a:p>
            <a:pPr>
              <a:defRPr sz="1000" b="0" i="0" u="none" strike="noStrike" baseline="0">
                <a:solidFill>
                  <a:srgbClr val="000000"/>
                </a:solidFill>
                <a:latin typeface="Calibri"/>
                <a:ea typeface="Calibri"/>
                <a:cs typeface="Calibri"/>
              </a:defRPr>
            </a:pPr>
            <a:endParaRPr lang="en-US"/>
          </a:p>
        </c:txPr>
        <c:crossAx val="127609856"/>
        <c:crosses val="autoZero"/>
        <c:crossBetween val="between"/>
        <c:majorUnit val="1"/>
      </c:valAx>
      <c:catAx>
        <c:axId val="127629568"/>
        <c:scaling>
          <c:orientation val="minMax"/>
        </c:scaling>
        <c:delete val="1"/>
        <c:axPos val="b"/>
        <c:majorTickMark val="out"/>
        <c:minorTickMark val="none"/>
        <c:tickLblPos val="none"/>
        <c:crossAx val="127635456"/>
        <c:crosses val="autoZero"/>
        <c:auto val="1"/>
        <c:lblAlgn val="ctr"/>
        <c:lblOffset val="100"/>
        <c:noMultiLvlLbl val="0"/>
      </c:catAx>
      <c:valAx>
        <c:axId val="127635456"/>
        <c:scaling>
          <c:orientation val="minMax"/>
          <c:max val="10"/>
          <c:min val="0"/>
        </c:scaling>
        <c:delete val="1"/>
        <c:axPos val="r"/>
        <c:numFmt formatCode="0.0" sourceLinked="1"/>
        <c:majorTickMark val="out"/>
        <c:minorTickMark val="none"/>
        <c:tickLblPos val="none"/>
        <c:crossAx val="127629568"/>
        <c:crosses val="max"/>
        <c:crossBetween val="between"/>
        <c:majorUnit val="1"/>
      </c:valAx>
    </c:plotArea>
    <c:legend>
      <c:legendPos val="b"/>
      <c:legendEntry>
        <c:idx val="0"/>
        <c:delete val="1"/>
      </c:legendEntry>
      <c:layout>
        <c:manualLayout>
          <c:xMode val="edge"/>
          <c:yMode val="edge"/>
          <c:x val="7.8058375233216321E-2"/>
          <c:y val="0.92501996074019999"/>
          <c:w val="0.84388324953356764"/>
          <c:h val="5.9585787070733934E-2"/>
        </c:manualLayout>
      </c:layout>
      <c:overlay val="0"/>
      <c:txPr>
        <a:bodyPr/>
        <a:lstStyle/>
        <a:p>
          <a:pPr>
            <a:defRPr sz="920" b="0" i="0" u="none" strike="noStrike" baseline="0">
              <a:solidFill>
                <a:srgbClr val="000000"/>
              </a:solidFill>
              <a:latin typeface="Calibri"/>
              <a:ea typeface="Calibri"/>
              <a:cs typeface="Calibri"/>
            </a:defRPr>
          </a:pPr>
          <a:endParaRPr lang="en-US"/>
        </a:p>
      </c:txPr>
    </c:legend>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000000000000677" l="0.70000000000000062" r="0.70000000000000062" t="0.75000000000000677" header="0.30000000000000032" footer="0.3000000000000003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6483320539497873"/>
          <c:y val="0.13167395259932224"/>
          <c:w val="0.62275806132351985"/>
          <c:h val="0.50168009539684"/>
        </c:manualLayout>
      </c:layout>
      <c:barChart>
        <c:barDir val="col"/>
        <c:grouping val="clustered"/>
        <c:varyColors val="0"/>
        <c:ser>
          <c:idx val="0"/>
          <c:order val="0"/>
          <c:tx>
            <c:strRef>
              <c:f>'Final Graphs'!$AP$69</c:f>
              <c:strCache>
                <c:ptCount val="1"/>
                <c:pt idx="0">
                  <c:v>Arms:</c:v>
                </c:pt>
              </c:strCache>
            </c:strRef>
          </c:tx>
          <c:spPr>
            <a:solidFill>
              <a:srgbClr val="50FF50"/>
            </a:solidFill>
            <a:ln w="12700">
              <a:solidFill>
                <a:srgbClr val="000000"/>
              </a:solidFill>
              <a:prstDash val="solid"/>
            </a:ln>
          </c:spPr>
          <c:invertIfNegative val="0"/>
          <c:val>
            <c:numRef>
              <c:f>'Final Graphs'!$AU$69:$AX$69</c:f>
              <c:numCache>
                <c:formatCode>0.0</c:formatCode>
                <c:ptCount val="4"/>
                <c:pt idx="0">
                  <c:v>0</c:v>
                </c:pt>
                <c:pt idx="1">
                  <c:v>0</c:v>
                </c:pt>
                <c:pt idx="2">
                  <c:v>0</c:v>
                </c:pt>
                <c:pt idx="3">
                  <c:v>0</c:v>
                </c:pt>
              </c:numCache>
            </c:numRef>
          </c:val>
        </c:ser>
        <c:dLbls>
          <c:showLegendKey val="0"/>
          <c:showVal val="0"/>
          <c:showCatName val="0"/>
          <c:showSerName val="0"/>
          <c:showPercent val="0"/>
          <c:showBubbleSize val="0"/>
        </c:dLbls>
        <c:gapWidth val="75"/>
        <c:overlap val="-25"/>
        <c:axId val="127670144"/>
        <c:axId val="127671680"/>
      </c:barChart>
      <c:lineChart>
        <c:grouping val="standard"/>
        <c:varyColors val="0"/>
        <c:ser>
          <c:idx val="1"/>
          <c:order val="1"/>
          <c:tx>
            <c:strRef>
              <c:f>'Final Graphs'!$AP$70</c:f>
              <c:strCache>
                <c:ptCount val="1"/>
                <c:pt idx="0">
                  <c:v>Period Threshold</c:v>
                </c:pt>
              </c:strCache>
            </c:strRef>
          </c:tx>
          <c:spPr>
            <a:ln w="38100">
              <a:solidFill>
                <a:srgbClr val="FF0000"/>
              </a:solidFill>
              <a:prstDash val="solid"/>
            </a:ln>
          </c:spPr>
          <c:marker>
            <c:symbol val="none"/>
          </c:marker>
          <c:val>
            <c:numRef>
              <c:f>'Final Graphs'!$AU$70:$AX$70</c:f>
              <c:numCache>
                <c:formatCode>0.0</c:formatCode>
                <c:ptCount val="4"/>
                <c:pt idx="0">
                  <c:v>3</c:v>
                </c:pt>
                <c:pt idx="1">
                  <c:v>3</c:v>
                </c:pt>
                <c:pt idx="2">
                  <c:v>3</c:v>
                </c:pt>
                <c:pt idx="3">
                  <c:v>3</c:v>
                </c:pt>
              </c:numCache>
            </c:numRef>
          </c:val>
          <c:smooth val="0"/>
        </c:ser>
        <c:dLbls>
          <c:showLegendKey val="0"/>
          <c:showVal val="0"/>
          <c:showCatName val="0"/>
          <c:showSerName val="0"/>
          <c:showPercent val="0"/>
          <c:showBubbleSize val="0"/>
        </c:dLbls>
        <c:marker val="1"/>
        <c:smooth val="0"/>
        <c:axId val="127673472"/>
        <c:axId val="127675008"/>
      </c:lineChart>
      <c:catAx>
        <c:axId val="127670144"/>
        <c:scaling>
          <c:orientation val="minMax"/>
        </c:scaling>
        <c:delete val="0"/>
        <c:axPos val="b"/>
        <c:majorTickMark val="none"/>
        <c:minorTickMark val="none"/>
        <c:tickLblPos val="none"/>
        <c:crossAx val="127671680"/>
        <c:crosses val="autoZero"/>
        <c:auto val="1"/>
        <c:lblAlgn val="ctr"/>
        <c:lblOffset val="100"/>
        <c:noMultiLvlLbl val="0"/>
      </c:catAx>
      <c:valAx>
        <c:axId val="127671680"/>
        <c:scaling>
          <c:orientation val="minMax"/>
          <c:max val="10"/>
          <c:min val="0"/>
        </c:scaling>
        <c:delete val="0"/>
        <c:axPos val="l"/>
        <c:majorGridlines/>
        <c:numFmt formatCode="0" sourceLinked="0"/>
        <c:majorTickMark val="none"/>
        <c:minorTickMark val="none"/>
        <c:tickLblPos val="nextTo"/>
        <c:spPr>
          <a:ln w="9525">
            <a:noFill/>
          </a:ln>
        </c:spPr>
        <c:txPr>
          <a:bodyPr rot="0" vert="horz"/>
          <a:lstStyle/>
          <a:p>
            <a:pPr>
              <a:defRPr sz="1000" b="0" i="0" u="none" strike="noStrike" baseline="0">
                <a:solidFill>
                  <a:srgbClr val="000000"/>
                </a:solidFill>
                <a:latin typeface="Calibri"/>
                <a:ea typeface="Calibri"/>
                <a:cs typeface="Calibri"/>
              </a:defRPr>
            </a:pPr>
            <a:endParaRPr lang="en-US"/>
          </a:p>
        </c:txPr>
        <c:crossAx val="127670144"/>
        <c:crosses val="autoZero"/>
        <c:crossBetween val="between"/>
        <c:majorUnit val="1"/>
      </c:valAx>
      <c:catAx>
        <c:axId val="127673472"/>
        <c:scaling>
          <c:orientation val="minMax"/>
        </c:scaling>
        <c:delete val="1"/>
        <c:axPos val="b"/>
        <c:majorTickMark val="out"/>
        <c:minorTickMark val="none"/>
        <c:tickLblPos val="none"/>
        <c:crossAx val="127675008"/>
        <c:crosses val="autoZero"/>
        <c:auto val="1"/>
        <c:lblAlgn val="ctr"/>
        <c:lblOffset val="100"/>
        <c:noMultiLvlLbl val="0"/>
      </c:catAx>
      <c:valAx>
        <c:axId val="127675008"/>
        <c:scaling>
          <c:orientation val="minMax"/>
          <c:max val="10"/>
          <c:min val="0"/>
        </c:scaling>
        <c:delete val="1"/>
        <c:axPos val="r"/>
        <c:numFmt formatCode="0.0" sourceLinked="1"/>
        <c:majorTickMark val="out"/>
        <c:minorTickMark val="none"/>
        <c:tickLblPos val="none"/>
        <c:crossAx val="127673472"/>
        <c:crosses val="max"/>
        <c:crossBetween val="between"/>
        <c:majorUnit val="1"/>
      </c:valAx>
    </c:plotArea>
    <c:legend>
      <c:legendPos val="b"/>
      <c:legendEntry>
        <c:idx val="0"/>
        <c:delete val="1"/>
      </c:legendEntry>
      <c:layout>
        <c:manualLayout>
          <c:xMode val="edge"/>
          <c:yMode val="edge"/>
          <c:x val="7.8058663719666632E-2"/>
          <c:y val="0.92502006887022126"/>
          <c:w val="0.84388328651901445"/>
          <c:h val="5.9586047565781404E-2"/>
        </c:manualLayout>
      </c:layout>
      <c:overlay val="0"/>
      <c:txPr>
        <a:bodyPr/>
        <a:lstStyle/>
        <a:p>
          <a:pPr>
            <a:defRPr sz="920" b="0" i="0" u="none" strike="noStrike" baseline="0">
              <a:solidFill>
                <a:srgbClr val="000000"/>
              </a:solidFill>
              <a:latin typeface="Calibri"/>
              <a:ea typeface="Calibri"/>
              <a:cs typeface="Calibri"/>
            </a:defRPr>
          </a:pPr>
          <a:endParaRPr lang="en-US"/>
        </a:p>
      </c:txPr>
    </c:legend>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000000000000633" l="0.70000000000000062" r="0.70000000000000062" t="0.75000000000000633" header="0.30000000000000032" footer="0.3000000000000003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6483320539497901"/>
          <c:y val="0.13167395259932224"/>
          <c:w val="0.62275806132352063"/>
          <c:h val="0.50168009539684"/>
        </c:manualLayout>
      </c:layout>
      <c:barChart>
        <c:barDir val="col"/>
        <c:grouping val="clustered"/>
        <c:varyColors val="0"/>
        <c:ser>
          <c:idx val="0"/>
          <c:order val="0"/>
          <c:tx>
            <c:strRef>
              <c:f>'Final Graphs'!$AP$73</c:f>
              <c:strCache>
                <c:ptCount val="1"/>
                <c:pt idx="0">
                  <c:v>Cuvettes Movement:</c:v>
                </c:pt>
              </c:strCache>
            </c:strRef>
          </c:tx>
          <c:spPr>
            <a:solidFill>
              <a:srgbClr val="50FF50"/>
            </a:solidFill>
            <a:ln w="12700">
              <a:solidFill>
                <a:srgbClr val="000000"/>
              </a:solidFill>
              <a:prstDash val="solid"/>
            </a:ln>
          </c:spPr>
          <c:invertIfNegative val="0"/>
          <c:val>
            <c:numRef>
              <c:f>'Final Graphs'!$AU$73:$AX$73</c:f>
              <c:numCache>
                <c:formatCode>0.0</c:formatCode>
                <c:ptCount val="4"/>
                <c:pt idx="0">
                  <c:v>0</c:v>
                </c:pt>
                <c:pt idx="1">
                  <c:v>0</c:v>
                </c:pt>
                <c:pt idx="2">
                  <c:v>0</c:v>
                </c:pt>
                <c:pt idx="3">
                  <c:v>0</c:v>
                </c:pt>
              </c:numCache>
            </c:numRef>
          </c:val>
        </c:ser>
        <c:dLbls>
          <c:showLegendKey val="0"/>
          <c:showVal val="0"/>
          <c:showCatName val="0"/>
          <c:showSerName val="0"/>
          <c:showPercent val="0"/>
          <c:showBubbleSize val="0"/>
        </c:dLbls>
        <c:gapWidth val="75"/>
        <c:overlap val="-25"/>
        <c:axId val="127697664"/>
        <c:axId val="127699200"/>
      </c:barChart>
      <c:lineChart>
        <c:grouping val="standard"/>
        <c:varyColors val="0"/>
        <c:ser>
          <c:idx val="1"/>
          <c:order val="1"/>
          <c:tx>
            <c:strRef>
              <c:f>'Final Graphs'!$AP$74</c:f>
              <c:strCache>
                <c:ptCount val="1"/>
                <c:pt idx="0">
                  <c:v>Period Threshold</c:v>
                </c:pt>
              </c:strCache>
            </c:strRef>
          </c:tx>
          <c:spPr>
            <a:ln w="38100">
              <a:solidFill>
                <a:srgbClr val="FF0000"/>
              </a:solidFill>
              <a:prstDash val="solid"/>
            </a:ln>
          </c:spPr>
          <c:marker>
            <c:symbol val="none"/>
          </c:marker>
          <c:val>
            <c:numRef>
              <c:f>'Final Graphs'!$AU$74:$AX$74</c:f>
              <c:numCache>
                <c:formatCode>0.0</c:formatCode>
                <c:ptCount val="4"/>
                <c:pt idx="0">
                  <c:v>5</c:v>
                </c:pt>
                <c:pt idx="1">
                  <c:v>5</c:v>
                </c:pt>
                <c:pt idx="2">
                  <c:v>5</c:v>
                </c:pt>
                <c:pt idx="3">
                  <c:v>5</c:v>
                </c:pt>
              </c:numCache>
            </c:numRef>
          </c:val>
          <c:smooth val="0"/>
        </c:ser>
        <c:dLbls>
          <c:showLegendKey val="0"/>
          <c:showVal val="0"/>
          <c:showCatName val="0"/>
          <c:showSerName val="0"/>
          <c:showPercent val="0"/>
          <c:showBubbleSize val="0"/>
        </c:dLbls>
        <c:marker val="1"/>
        <c:smooth val="0"/>
        <c:axId val="127705088"/>
        <c:axId val="127706624"/>
      </c:lineChart>
      <c:catAx>
        <c:axId val="127697664"/>
        <c:scaling>
          <c:orientation val="minMax"/>
        </c:scaling>
        <c:delete val="0"/>
        <c:axPos val="b"/>
        <c:majorTickMark val="none"/>
        <c:minorTickMark val="none"/>
        <c:tickLblPos val="none"/>
        <c:crossAx val="127699200"/>
        <c:crosses val="autoZero"/>
        <c:auto val="1"/>
        <c:lblAlgn val="ctr"/>
        <c:lblOffset val="100"/>
        <c:noMultiLvlLbl val="0"/>
      </c:catAx>
      <c:valAx>
        <c:axId val="127699200"/>
        <c:scaling>
          <c:orientation val="minMax"/>
          <c:max val="10"/>
          <c:min val="0"/>
        </c:scaling>
        <c:delete val="0"/>
        <c:axPos val="l"/>
        <c:majorGridlines/>
        <c:numFmt formatCode="0" sourceLinked="0"/>
        <c:majorTickMark val="none"/>
        <c:minorTickMark val="none"/>
        <c:tickLblPos val="nextTo"/>
        <c:spPr>
          <a:ln w="9525">
            <a:noFill/>
          </a:ln>
        </c:spPr>
        <c:txPr>
          <a:bodyPr rot="0" vert="horz"/>
          <a:lstStyle/>
          <a:p>
            <a:pPr>
              <a:defRPr sz="1000" b="0" i="0" u="none" strike="noStrike" baseline="0">
                <a:solidFill>
                  <a:srgbClr val="000000"/>
                </a:solidFill>
                <a:latin typeface="Calibri"/>
                <a:ea typeface="Calibri"/>
                <a:cs typeface="Calibri"/>
              </a:defRPr>
            </a:pPr>
            <a:endParaRPr lang="en-US"/>
          </a:p>
        </c:txPr>
        <c:crossAx val="127697664"/>
        <c:crosses val="autoZero"/>
        <c:crossBetween val="between"/>
        <c:majorUnit val="1"/>
      </c:valAx>
      <c:catAx>
        <c:axId val="127705088"/>
        <c:scaling>
          <c:orientation val="minMax"/>
        </c:scaling>
        <c:delete val="1"/>
        <c:axPos val="b"/>
        <c:majorTickMark val="out"/>
        <c:minorTickMark val="none"/>
        <c:tickLblPos val="none"/>
        <c:crossAx val="127706624"/>
        <c:crosses val="autoZero"/>
        <c:auto val="1"/>
        <c:lblAlgn val="ctr"/>
        <c:lblOffset val="100"/>
        <c:noMultiLvlLbl val="0"/>
      </c:catAx>
      <c:valAx>
        <c:axId val="127706624"/>
        <c:scaling>
          <c:orientation val="minMax"/>
          <c:max val="10"/>
          <c:min val="0"/>
        </c:scaling>
        <c:delete val="1"/>
        <c:axPos val="r"/>
        <c:numFmt formatCode="0.0" sourceLinked="1"/>
        <c:majorTickMark val="out"/>
        <c:minorTickMark val="none"/>
        <c:tickLblPos val="none"/>
        <c:crossAx val="127705088"/>
        <c:crosses val="max"/>
        <c:crossBetween val="between"/>
        <c:majorUnit val="1"/>
      </c:valAx>
    </c:plotArea>
    <c:legend>
      <c:legendPos val="b"/>
      <c:legendEntry>
        <c:idx val="0"/>
        <c:delete val="1"/>
      </c:legendEntry>
      <c:layout>
        <c:manualLayout>
          <c:xMode val="edge"/>
          <c:yMode val="edge"/>
          <c:x val="7.8058992625921822E-2"/>
          <c:y val="0.9250487282404467"/>
          <c:w val="0.84388326459192597"/>
          <c:h val="5.9566453914709876E-2"/>
        </c:manualLayout>
      </c:layout>
      <c:overlay val="0"/>
      <c:txPr>
        <a:bodyPr/>
        <a:lstStyle/>
        <a:p>
          <a:pPr>
            <a:defRPr sz="920" b="0" i="0" u="none" strike="noStrike" baseline="0">
              <a:solidFill>
                <a:srgbClr val="000000"/>
              </a:solidFill>
              <a:latin typeface="Calibri"/>
              <a:ea typeface="Calibri"/>
              <a:cs typeface="Calibri"/>
            </a:defRPr>
          </a:pPr>
          <a:endParaRPr lang="en-US"/>
        </a:p>
      </c:txPr>
    </c:legend>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000000000000677" l="0.70000000000000062" r="0.70000000000000062" t="0.75000000000000677" header="0.30000000000000032" footer="0.3000000000000003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Calibri"/>
                <a:ea typeface="Calibri"/>
                <a:cs typeface="Calibri"/>
              </a:defRPr>
            </a:pPr>
            <a:r>
              <a:rPr lang="it-IT"/>
              <a:t>Cuvettes Movement Macro Area</a:t>
            </a:r>
          </a:p>
        </c:rich>
      </c:tx>
      <c:layout>
        <c:manualLayout>
          <c:xMode val="edge"/>
          <c:yMode val="edge"/>
          <c:x val="0.26396697241597661"/>
          <c:y val="3.4383788618601446E-2"/>
        </c:manualLayout>
      </c:layout>
      <c:overlay val="0"/>
      <c:spPr>
        <a:noFill/>
        <a:ln w="25400">
          <a:noFill/>
        </a:ln>
      </c:spPr>
    </c:title>
    <c:autoTitleDeleted val="0"/>
    <c:plotArea>
      <c:layout>
        <c:manualLayout>
          <c:layoutTarget val="inner"/>
          <c:xMode val="edge"/>
          <c:yMode val="edge"/>
          <c:x val="8.3799025549905565E-2"/>
          <c:y val="0.13180515759312394"/>
          <c:w val="0.88481294471685756"/>
          <c:h val="0.51002865329515001"/>
        </c:manualLayout>
      </c:layout>
      <c:barChart>
        <c:barDir val="col"/>
        <c:grouping val="clustered"/>
        <c:varyColors val="0"/>
        <c:ser>
          <c:idx val="2"/>
          <c:order val="2"/>
          <c:tx>
            <c:strRef>
              <c:f>'Final Graphs'!$C$87</c:f>
              <c:strCache>
                <c:ptCount val="1"/>
                <c:pt idx="0">
                  <c:v>Service Call</c:v>
                </c:pt>
              </c:strCache>
            </c:strRef>
          </c:tx>
          <c:spPr>
            <a:solidFill>
              <a:srgbClr val="00FF00"/>
            </a:solidFill>
            <a:ln w="12700">
              <a:solidFill>
                <a:srgbClr val="00FF00"/>
              </a:solidFill>
              <a:prstDash val="solid"/>
            </a:ln>
          </c:spPr>
          <c:invertIfNegative val="0"/>
          <c:cat>
            <c:numRef>
              <c:f>'Final Graphs'!$H$68:$AL$68</c:f>
              <c:numCache>
                <c:formatCode>m/d/yyyy</c:formatCode>
                <c:ptCount val="31"/>
                <c:pt idx="0">
                  <c:v>42461</c:v>
                </c:pt>
                <c:pt idx="1">
                  <c:v>42462</c:v>
                </c:pt>
                <c:pt idx="2">
                  <c:v>42463</c:v>
                </c:pt>
                <c:pt idx="3">
                  <c:v>42464</c:v>
                </c:pt>
                <c:pt idx="4">
                  <c:v>42465</c:v>
                </c:pt>
                <c:pt idx="5">
                  <c:v>42466</c:v>
                </c:pt>
                <c:pt idx="6">
                  <c:v>42467</c:v>
                </c:pt>
                <c:pt idx="7">
                  <c:v>42468</c:v>
                </c:pt>
                <c:pt idx="8">
                  <c:v>42469</c:v>
                </c:pt>
                <c:pt idx="9">
                  <c:v>42470</c:v>
                </c:pt>
                <c:pt idx="10">
                  <c:v>42471</c:v>
                </c:pt>
                <c:pt idx="11">
                  <c:v>42472</c:v>
                </c:pt>
                <c:pt idx="12">
                  <c:v>42473</c:v>
                </c:pt>
                <c:pt idx="13">
                  <c:v>42474</c:v>
                </c:pt>
                <c:pt idx="14">
                  <c:v>42475</c:v>
                </c:pt>
                <c:pt idx="15">
                  <c:v>42476</c:v>
                </c:pt>
                <c:pt idx="16">
                  <c:v>42477</c:v>
                </c:pt>
                <c:pt idx="17">
                  <c:v>42478</c:v>
                </c:pt>
                <c:pt idx="18">
                  <c:v>42479</c:v>
                </c:pt>
                <c:pt idx="19">
                  <c:v>42480</c:v>
                </c:pt>
                <c:pt idx="20">
                  <c:v>42481</c:v>
                </c:pt>
                <c:pt idx="21">
                  <c:v>42482</c:v>
                </c:pt>
                <c:pt idx="22">
                  <c:v>42483</c:v>
                </c:pt>
                <c:pt idx="23">
                  <c:v>42484</c:v>
                </c:pt>
                <c:pt idx="24">
                  <c:v>42485</c:v>
                </c:pt>
                <c:pt idx="25">
                  <c:v>42486</c:v>
                </c:pt>
                <c:pt idx="26">
                  <c:v>42487</c:v>
                </c:pt>
                <c:pt idx="27">
                  <c:v>42488</c:v>
                </c:pt>
                <c:pt idx="28">
                  <c:v>42489</c:v>
                </c:pt>
                <c:pt idx="29">
                  <c:v>42490</c:v>
                </c:pt>
                <c:pt idx="30">
                  <c:v>42491</c:v>
                </c:pt>
              </c:numCache>
            </c:numRef>
          </c:cat>
          <c:val>
            <c:numRef>
              <c:f>'Final Graphs'!$H$87:$AL$87</c:f>
              <c:numCache>
                <c:formatCode>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er>
        <c:dLbls>
          <c:showLegendKey val="0"/>
          <c:showVal val="0"/>
          <c:showCatName val="0"/>
          <c:showSerName val="0"/>
          <c:showPercent val="0"/>
          <c:showBubbleSize val="0"/>
        </c:dLbls>
        <c:gapWidth val="150"/>
        <c:axId val="128933248"/>
        <c:axId val="128935040"/>
      </c:barChart>
      <c:lineChart>
        <c:grouping val="standard"/>
        <c:varyColors val="0"/>
        <c:ser>
          <c:idx val="0"/>
          <c:order val="0"/>
          <c:tx>
            <c:strRef>
              <c:f>'Final Graphs'!$C$73</c:f>
              <c:strCache>
                <c:ptCount val="1"/>
                <c:pt idx="0">
                  <c:v>Cuvettes Movement:</c:v>
                </c:pt>
              </c:strCache>
            </c:strRef>
          </c:tx>
          <c:spPr>
            <a:ln w="38100">
              <a:solidFill>
                <a:srgbClr val="0000FF"/>
              </a:solidFill>
              <a:prstDash val="solid"/>
            </a:ln>
          </c:spPr>
          <c:marker>
            <c:symbol val="none"/>
          </c:marker>
          <c:cat>
            <c:numRef>
              <c:f>'Final Graphs'!$H$68:$AL$68</c:f>
              <c:numCache>
                <c:formatCode>m/d/yyyy</c:formatCode>
                <c:ptCount val="31"/>
                <c:pt idx="0">
                  <c:v>42461</c:v>
                </c:pt>
                <c:pt idx="1">
                  <c:v>42462</c:v>
                </c:pt>
                <c:pt idx="2">
                  <c:v>42463</c:v>
                </c:pt>
                <c:pt idx="3">
                  <c:v>42464</c:v>
                </c:pt>
                <c:pt idx="4">
                  <c:v>42465</c:v>
                </c:pt>
                <c:pt idx="5">
                  <c:v>42466</c:v>
                </c:pt>
                <c:pt idx="6">
                  <c:v>42467</c:v>
                </c:pt>
                <c:pt idx="7">
                  <c:v>42468</c:v>
                </c:pt>
                <c:pt idx="8">
                  <c:v>42469</c:v>
                </c:pt>
                <c:pt idx="9">
                  <c:v>42470</c:v>
                </c:pt>
                <c:pt idx="10">
                  <c:v>42471</c:v>
                </c:pt>
                <c:pt idx="11">
                  <c:v>42472</c:v>
                </c:pt>
                <c:pt idx="12">
                  <c:v>42473</c:v>
                </c:pt>
                <c:pt idx="13">
                  <c:v>42474</c:v>
                </c:pt>
                <c:pt idx="14">
                  <c:v>42475</c:v>
                </c:pt>
                <c:pt idx="15">
                  <c:v>42476</c:v>
                </c:pt>
                <c:pt idx="16">
                  <c:v>42477</c:v>
                </c:pt>
                <c:pt idx="17">
                  <c:v>42478</c:v>
                </c:pt>
                <c:pt idx="18">
                  <c:v>42479</c:v>
                </c:pt>
                <c:pt idx="19">
                  <c:v>42480</c:v>
                </c:pt>
                <c:pt idx="20">
                  <c:v>42481</c:v>
                </c:pt>
                <c:pt idx="21">
                  <c:v>42482</c:v>
                </c:pt>
                <c:pt idx="22">
                  <c:v>42483</c:v>
                </c:pt>
                <c:pt idx="23">
                  <c:v>42484</c:v>
                </c:pt>
                <c:pt idx="24">
                  <c:v>42485</c:v>
                </c:pt>
                <c:pt idx="25">
                  <c:v>42486</c:v>
                </c:pt>
                <c:pt idx="26">
                  <c:v>42487</c:v>
                </c:pt>
                <c:pt idx="27">
                  <c:v>42488</c:v>
                </c:pt>
                <c:pt idx="28">
                  <c:v>42489</c:v>
                </c:pt>
                <c:pt idx="29">
                  <c:v>42490</c:v>
                </c:pt>
                <c:pt idx="30">
                  <c:v>42491</c:v>
                </c:pt>
              </c:numCache>
            </c:numRef>
          </c:cat>
          <c:val>
            <c:numRef>
              <c:f>'Final Graphs'!$H$73:$AL$73</c:f>
              <c:numCache>
                <c:formatCode>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mooth val="0"/>
        </c:ser>
        <c:ser>
          <c:idx val="1"/>
          <c:order val="1"/>
          <c:tx>
            <c:strRef>
              <c:f>'Final Graphs'!$C$74</c:f>
              <c:strCache>
                <c:ptCount val="1"/>
                <c:pt idx="0">
                  <c:v>Daily Threshold</c:v>
                </c:pt>
              </c:strCache>
            </c:strRef>
          </c:tx>
          <c:spPr>
            <a:ln w="38100">
              <a:solidFill>
                <a:srgbClr val="FF0000"/>
              </a:solidFill>
              <a:prstDash val="solid"/>
            </a:ln>
          </c:spPr>
          <c:marker>
            <c:symbol val="none"/>
          </c:marker>
          <c:cat>
            <c:numRef>
              <c:f>'Final Graphs'!$H$68:$AL$68</c:f>
              <c:numCache>
                <c:formatCode>m/d/yyyy</c:formatCode>
                <c:ptCount val="31"/>
                <c:pt idx="0">
                  <c:v>42461</c:v>
                </c:pt>
                <c:pt idx="1">
                  <c:v>42462</c:v>
                </c:pt>
                <c:pt idx="2">
                  <c:v>42463</c:v>
                </c:pt>
                <c:pt idx="3">
                  <c:v>42464</c:v>
                </c:pt>
                <c:pt idx="4">
                  <c:v>42465</c:v>
                </c:pt>
                <c:pt idx="5">
                  <c:v>42466</c:v>
                </c:pt>
                <c:pt idx="6">
                  <c:v>42467</c:v>
                </c:pt>
                <c:pt idx="7">
                  <c:v>42468</c:v>
                </c:pt>
                <c:pt idx="8">
                  <c:v>42469</c:v>
                </c:pt>
                <c:pt idx="9">
                  <c:v>42470</c:v>
                </c:pt>
                <c:pt idx="10">
                  <c:v>42471</c:v>
                </c:pt>
                <c:pt idx="11">
                  <c:v>42472</c:v>
                </c:pt>
                <c:pt idx="12">
                  <c:v>42473</c:v>
                </c:pt>
                <c:pt idx="13">
                  <c:v>42474</c:v>
                </c:pt>
                <c:pt idx="14">
                  <c:v>42475</c:v>
                </c:pt>
                <c:pt idx="15">
                  <c:v>42476</c:v>
                </c:pt>
                <c:pt idx="16">
                  <c:v>42477</c:v>
                </c:pt>
                <c:pt idx="17">
                  <c:v>42478</c:v>
                </c:pt>
                <c:pt idx="18">
                  <c:v>42479</c:v>
                </c:pt>
                <c:pt idx="19">
                  <c:v>42480</c:v>
                </c:pt>
                <c:pt idx="20">
                  <c:v>42481</c:v>
                </c:pt>
                <c:pt idx="21">
                  <c:v>42482</c:v>
                </c:pt>
                <c:pt idx="22">
                  <c:v>42483</c:v>
                </c:pt>
                <c:pt idx="23">
                  <c:v>42484</c:v>
                </c:pt>
                <c:pt idx="24">
                  <c:v>42485</c:v>
                </c:pt>
                <c:pt idx="25">
                  <c:v>42486</c:v>
                </c:pt>
                <c:pt idx="26">
                  <c:v>42487</c:v>
                </c:pt>
                <c:pt idx="27">
                  <c:v>42488</c:v>
                </c:pt>
                <c:pt idx="28">
                  <c:v>42489</c:v>
                </c:pt>
                <c:pt idx="29">
                  <c:v>42490</c:v>
                </c:pt>
                <c:pt idx="30">
                  <c:v>42491</c:v>
                </c:pt>
              </c:numCache>
            </c:numRef>
          </c:cat>
          <c:val>
            <c:numRef>
              <c:f>'Final Graphs'!$H$74:$AL$74</c:f>
              <c:numCache>
                <c:formatCode>0.0</c:formatCode>
                <c:ptCount val="31"/>
                <c:pt idx="0">
                  <c:v>3</c:v>
                </c:pt>
                <c:pt idx="1">
                  <c:v>3</c:v>
                </c:pt>
                <c:pt idx="2">
                  <c:v>3</c:v>
                </c:pt>
                <c:pt idx="3">
                  <c:v>3</c:v>
                </c:pt>
                <c:pt idx="4">
                  <c:v>3</c:v>
                </c:pt>
                <c:pt idx="5">
                  <c:v>3</c:v>
                </c:pt>
                <c:pt idx="6">
                  <c:v>3</c:v>
                </c:pt>
                <c:pt idx="7">
                  <c:v>3</c:v>
                </c:pt>
                <c:pt idx="8">
                  <c:v>3</c:v>
                </c:pt>
                <c:pt idx="9">
                  <c:v>3</c:v>
                </c:pt>
                <c:pt idx="10">
                  <c:v>3</c:v>
                </c:pt>
                <c:pt idx="11">
                  <c:v>3</c:v>
                </c:pt>
                <c:pt idx="12">
                  <c:v>3</c:v>
                </c:pt>
                <c:pt idx="13">
                  <c:v>3</c:v>
                </c:pt>
                <c:pt idx="14">
                  <c:v>3</c:v>
                </c:pt>
                <c:pt idx="15">
                  <c:v>3</c:v>
                </c:pt>
                <c:pt idx="16">
                  <c:v>3</c:v>
                </c:pt>
                <c:pt idx="17">
                  <c:v>3</c:v>
                </c:pt>
                <c:pt idx="18">
                  <c:v>3</c:v>
                </c:pt>
                <c:pt idx="19">
                  <c:v>3</c:v>
                </c:pt>
                <c:pt idx="20">
                  <c:v>3</c:v>
                </c:pt>
                <c:pt idx="21">
                  <c:v>3</c:v>
                </c:pt>
                <c:pt idx="22">
                  <c:v>3</c:v>
                </c:pt>
                <c:pt idx="23">
                  <c:v>3</c:v>
                </c:pt>
                <c:pt idx="24">
                  <c:v>3</c:v>
                </c:pt>
                <c:pt idx="25">
                  <c:v>3</c:v>
                </c:pt>
                <c:pt idx="26">
                  <c:v>3</c:v>
                </c:pt>
                <c:pt idx="27">
                  <c:v>3</c:v>
                </c:pt>
                <c:pt idx="28">
                  <c:v>3</c:v>
                </c:pt>
                <c:pt idx="29">
                  <c:v>3</c:v>
                </c:pt>
                <c:pt idx="30">
                  <c:v>3</c:v>
                </c:pt>
              </c:numCache>
            </c:numRef>
          </c:val>
          <c:smooth val="0"/>
        </c:ser>
        <c:dLbls>
          <c:showLegendKey val="0"/>
          <c:showVal val="0"/>
          <c:showCatName val="0"/>
          <c:showSerName val="0"/>
          <c:showPercent val="0"/>
          <c:showBubbleSize val="0"/>
        </c:dLbls>
        <c:marker val="1"/>
        <c:smooth val="0"/>
        <c:axId val="128933248"/>
        <c:axId val="128935040"/>
      </c:lineChart>
      <c:catAx>
        <c:axId val="128933248"/>
        <c:scaling>
          <c:orientation val="minMax"/>
        </c:scaling>
        <c:delete val="0"/>
        <c:axPos val="b"/>
        <c:numFmt formatCode="m/d/yyyy" sourceLinked="1"/>
        <c:majorTickMark val="out"/>
        <c:minorTickMark val="none"/>
        <c:tickLblPos val="nextTo"/>
        <c:spPr>
          <a:ln w="3175">
            <a:solidFill>
              <a:srgbClr val="000000"/>
            </a:solidFill>
            <a:prstDash val="solid"/>
          </a:ln>
        </c:spPr>
        <c:txPr>
          <a:bodyPr rot="-5400000" vert="horz"/>
          <a:lstStyle/>
          <a:p>
            <a:pPr>
              <a:defRPr sz="1000" b="0" i="0" u="none" strike="noStrike" baseline="0">
                <a:solidFill>
                  <a:srgbClr val="000000"/>
                </a:solidFill>
                <a:latin typeface="Calibri"/>
                <a:ea typeface="Calibri"/>
                <a:cs typeface="Calibri"/>
              </a:defRPr>
            </a:pPr>
            <a:endParaRPr lang="en-US"/>
          </a:p>
        </c:txPr>
        <c:crossAx val="128935040"/>
        <c:crosses val="autoZero"/>
        <c:auto val="0"/>
        <c:lblAlgn val="ctr"/>
        <c:lblOffset val="100"/>
        <c:tickLblSkip val="2"/>
        <c:tickMarkSkip val="1"/>
        <c:noMultiLvlLbl val="0"/>
      </c:catAx>
      <c:valAx>
        <c:axId val="128935040"/>
        <c:scaling>
          <c:orientation val="minMax"/>
          <c:max val="10"/>
          <c:min val="0"/>
        </c:scaling>
        <c:delete val="0"/>
        <c:axPos val="l"/>
        <c:majorGridlines>
          <c:spPr>
            <a:ln w="3175">
              <a:solidFill>
                <a:srgbClr val="000000"/>
              </a:solidFill>
              <a:prstDash val="solid"/>
            </a:ln>
          </c:spPr>
        </c:majorGridlines>
        <c:numFmt formatCode="0" sourceLinked="0"/>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128933248"/>
        <c:crosses val="autoZero"/>
        <c:crossBetween val="between"/>
        <c:majorUnit val="1"/>
        <c:minorUnit val="0.1"/>
      </c:valAx>
    </c:plotArea>
    <c:legend>
      <c:legendPos val="b"/>
      <c:layout>
        <c:manualLayout>
          <c:xMode val="edge"/>
          <c:yMode val="edge"/>
          <c:x val="0.14245831321824728"/>
          <c:y val="0.92263581577442921"/>
          <c:w val="0.85754168678175269"/>
          <c:h val="6.7726212994326185E-2"/>
        </c:manualLayout>
      </c:layout>
      <c:overlay val="0"/>
      <c:txPr>
        <a:bodyPr/>
        <a:lstStyle/>
        <a:p>
          <a:pPr>
            <a:defRPr sz="920" b="0" i="0" u="none" strike="noStrike" baseline="0">
              <a:solidFill>
                <a:srgbClr val="000000"/>
              </a:solidFill>
              <a:latin typeface="Calibri"/>
              <a:ea typeface="Calibri"/>
              <a:cs typeface="Calibri"/>
            </a:defRPr>
          </a:pPr>
          <a:endParaRPr lang="en-US"/>
        </a:p>
      </c:txPr>
    </c:legend>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en-US"/>
    </a:p>
  </c:txPr>
  <c:printSettings>
    <c:headerFooter alignWithMargins="0"/>
    <c:pageMargins b="0.75000000000001465" l="0.70000000000000062" r="0.70000000000000062" t="0.75000000000001465" header="0.30000000000000032" footer="0.3000000000000003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Calibri"/>
                <a:ea typeface="Calibri"/>
                <a:cs typeface="Calibri"/>
              </a:defRPr>
            </a:pPr>
            <a:r>
              <a:rPr lang="it-IT"/>
              <a:t>Others Macro Area</a:t>
            </a:r>
          </a:p>
        </c:rich>
      </c:tx>
      <c:layout>
        <c:manualLayout>
          <c:xMode val="edge"/>
          <c:yMode val="edge"/>
          <c:x val="0.38547540965413435"/>
          <c:y val="3.4383933206120841E-2"/>
        </c:manualLayout>
      </c:layout>
      <c:overlay val="0"/>
      <c:spPr>
        <a:noFill/>
        <a:ln w="25400">
          <a:noFill/>
        </a:ln>
      </c:spPr>
    </c:title>
    <c:autoTitleDeleted val="0"/>
    <c:plotArea>
      <c:layout>
        <c:manualLayout>
          <c:layoutTarget val="inner"/>
          <c:xMode val="edge"/>
          <c:yMode val="edge"/>
          <c:x val="7.7618995549797093E-2"/>
          <c:y val="0.15186246418338625"/>
          <c:w val="0.89769633015815964"/>
          <c:h val="0.46704871060171921"/>
        </c:manualLayout>
      </c:layout>
      <c:barChart>
        <c:barDir val="col"/>
        <c:grouping val="clustered"/>
        <c:varyColors val="0"/>
        <c:ser>
          <c:idx val="6"/>
          <c:order val="2"/>
          <c:tx>
            <c:strRef>
              <c:f>'Final Graphs'!$C$87</c:f>
              <c:strCache>
                <c:ptCount val="1"/>
                <c:pt idx="0">
                  <c:v>Service Call</c:v>
                </c:pt>
              </c:strCache>
            </c:strRef>
          </c:tx>
          <c:spPr>
            <a:solidFill>
              <a:srgbClr val="00FF00"/>
            </a:solidFill>
            <a:ln w="12700">
              <a:solidFill>
                <a:srgbClr val="00FF00"/>
              </a:solidFill>
              <a:prstDash val="solid"/>
            </a:ln>
          </c:spPr>
          <c:invertIfNegative val="0"/>
          <c:cat>
            <c:numRef>
              <c:f>'Final Graphs'!$H$68:$AL$68</c:f>
              <c:numCache>
                <c:formatCode>m/d/yyyy</c:formatCode>
                <c:ptCount val="31"/>
                <c:pt idx="0">
                  <c:v>42461</c:v>
                </c:pt>
                <c:pt idx="1">
                  <c:v>42462</c:v>
                </c:pt>
                <c:pt idx="2">
                  <c:v>42463</c:v>
                </c:pt>
                <c:pt idx="3">
                  <c:v>42464</c:v>
                </c:pt>
                <c:pt idx="4">
                  <c:v>42465</c:v>
                </c:pt>
                <c:pt idx="5">
                  <c:v>42466</c:v>
                </c:pt>
                <c:pt idx="6">
                  <c:v>42467</c:v>
                </c:pt>
                <c:pt idx="7">
                  <c:v>42468</c:v>
                </c:pt>
                <c:pt idx="8">
                  <c:v>42469</c:v>
                </c:pt>
                <c:pt idx="9">
                  <c:v>42470</c:v>
                </c:pt>
                <c:pt idx="10">
                  <c:v>42471</c:v>
                </c:pt>
                <c:pt idx="11">
                  <c:v>42472</c:v>
                </c:pt>
                <c:pt idx="12">
                  <c:v>42473</c:v>
                </c:pt>
                <c:pt idx="13">
                  <c:v>42474</c:v>
                </c:pt>
                <c:pt idx="14">
                  <c:v>42475</c:v>
                </c:pt>
                <c:pt idx="15">
                  <c:v>42476</c:v>
                </c:pt>
                <c:pt idx="16">
                  <c:v>42477</c:v>
                </c:pt>
                <c:pt idx="17">
                  <c:v>42478</c:v>
                </c:pt>
                <c:pt idx="18">
                  <c:v>42479</c:v>
                </c:pt>
                <c:pt idx="19">
                  <c:v>42480</c:v>
                </c:pt>
                <c:pt idx="20">
                  <c:v>42481</c:v>
                </c:pt>
                <c:pt idx="21">
                  <c:v>42482</c:v>
                </c:pt>
                <c:pt idx="22">
                  <c:v>42483</c:v>
                </c:pt>
                <c:pt idx="23">
                  <c:v>42484</c:v>
                </c:pt>
                <c:pt idx="24">
                  <c:v>42485</c:v>
                </c:pt>
                <c:pt idx="25">
                  <c:v>42486</c:v>
                </c:pt>
                <c:pt idx="26">
                  <c:v>42487</c:v>
                </c:pt>
                <c:pt idx="27">
                  <c:v>42488</c:v>
                </c:pt>
                <c:pt idx="28">
                  <c:v>42489</c:v>
                </c:pt>
                <c:pt idx="29">
                  <c:v>42490</c:v>
                </c:pt>
                <c:pt idx="30">
                  <c:v>42491</c:v>
                </c:pt>
              </c:numCache>
            </c:numRef>
          </c:cat>
          <c:val>
            <c:numRef>
              <c:f>'Final Graphs'!$H$87:$AL$87</c:f>
              <c:numCache>
                <c:formatCode>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er>
        <c:dLbls>
          <c:showLegendKey val="0"/>
          <c:showVal val="0"/>
          <c:showCatName val="0"/>
          <c:showSerName val="0"/>
          <c:showPercent val="0"/>
          <c:showBubbleSize val="0"/>
        </c:dLbls>
        <c:gapWidth val="150"/>
        <c:axId val="128973824"/>
        <c:axId val="128590592"/>
      </c:barChart>
      <c:lineChart>
        <c:grouping val="standard"/>
        <c:varyColors val="0"/>
        <c:ser>
          <c:idx val="4"/>
          <c:order val="0"/>
          <c:tx>
            <c:strRef>
              <c:f>'Final Graphs'!$C$81</c:f>
              <c:strCache>
                <c:ptCount val="1"/>
                <c:pt idx="0">
                  <c:v>Others:</c:v>
                </c:pt>
              </c:strCache>
            </c:strRef>
          </c:tx>
          <c:spPr>
            <a:ln w="38100">
              <a:solidFill>
                <a:srgbClr val="0000FF"/>
              </a:solidFill>
              <a:prstDash val="solid"/>
            </a:ln>
          </c:spPr>
          <c:marker>
            <c:symbol val="none"/>
          </c:marker>
          <c:cat>
            <c:numRef>
              <c:f>'Final Graphs'!$H$68:$AL$68</c:f>
              <c:numCache>
                <c:formatCode>m/d/yyyy</c:formatCode>
                <c:ptCount val="31"/>
                <c:pt idx="0">
                  <c:v>42461</c:v>
                </c:pt>
                <c:pt idx="1">
                  <c:v>42462</c:v>
                </c:pt>
                <c:pt idx="2">
                  <c:v>42463</c:v>
                </c:pt>
                <c:pt idx="3">
                  <c:v>42464</c:v>
                </c:pt>
                <c:pt idx="4">
                  <c:v>42465</c:v>
                </c:pt>
                <c:pt idx="5">
                  <c:v>42466</c:v>
                </c:pt>
                <c:pt idx="6">
                  <c:v>42467</c:v>
                </c:pt>
                <c:pt idx="7">
                  <c:v>42468</c:v>
                </c:pt>
                <c:pt idx="8">
                  <c:v>42469</c:v>
                </c:pt>
                <c:pt idx="9">
                  <c:v>42470</c:v>
                </c:pt>
                <c:pt idx="10">
                  <c:v>42471</c:v>
                </c:pt>
                <c:pt idx="11">
                  <c:v>42472</c:v>
                </c:pt>
                <c:pt idx="12">
                  <c:v>42473</c:v>
                </c:pt>
                <c:pt idx="13">
                  <c:v>42474</c:v>
                </c:pt>
                <c:pt idx="14">
                  <c:v>42475</c:v>
                </c:pt>
                <c:pt idx="15">
                  <c:v>42476</c:v>
                </c:pt>
                <c:pt idx="16">
                  <c:v>42477</c:v>
                </c:pt>
                <c:pt idx="17">
                  <c:v>42478</c:v>
                </c:pt>
                <c:pt idx="18">
                  <c:v>42479</c:v>
                </c:pt>
                <c:pt idx="19">
                  <c:v>42480</c:v>
                </c:pt>
                <c:pt idx="20">
                  <c:v>42481</c:v>
                </c:pt>
                <c:pt idx="21">
                  <c:v>42482</c:v>
                </c:pt>
                <c:pt idx="22">
                  <c:v>42483</c:v>
                </c:pt>
                <c:pt idx="23">
                  <c:v>42484</c:v>
                </c:pt>
                <c:pt idx="24">
                  <c:v>42485</c:v>
                </c:pt>
                <c:pt idx="25">
                  <c:v>42486</c:v>
                </c:pt>
                <c:pt idx="26">
                  <c:v>42487</c:v>
                </c:pt>
                <c:pt idx="27">
                  <c:v>42488</c:v>
                </c:pt>
                <c:pt idx="28">
                  <c:v>42489</c:v>
                </c:pt>
                <c:pt idx="29">
                  <c:v>42490</c:v>
                </c:pt>
                <c:pt idx="30">
                  <c:v>42491</c:v>
                </c:pt>
              </c:numCache>
            </c:numRef>
          </c:cat>
          <c:val>
            <c:numRef>
              <c:f>'Final Graphs'!$H$81:$AL$81</c:f>
              <c:numCache>
                <c:formatCode>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mooth val="0"/>
        </c:ser>
        <c:ser>
          <c:idx val="5"/>
          <c:order val="1"/>
          <c:tx>
            <c:strRef>
              <c:f>'Final Graphs'!$C$82</c:f>
              <c:strCache>
                <c:ptCount val="1"/>
                <c:pt idx="0">
                  <c:v>Daily Threshold</c:v>
                </c:pt>
              </c:strCache>
            </c:strRef>
          </c:tx>
          <c:spPr>
            <a:ln w="38100">
              <a:solidFill>
                <a:srgbClr val="FF0000"/>
              </a:solidFill>
              <a:prstDash val="solid"/>
            </a:ln>
          </c:spPr>
          <c:marker>
            <c:symbol val="none"/>
          </c:marker>
          <c:cat>
            <c:numRef>
              <c:f>'Final Graphs'!$H$68:$AL$68</c:f>
              <c:numCache>
                <c:formatCode>m/d/yyyy</c:formatCode>
                <c:ptCount val="31"/>
                <c:pt idx="0">
                  <c:v>42461</c:v>
                </c:pt>
                <c:pt idx="1">
                  <c:v>42462</c:v>
                </c:pt>
                <c:pt idx="2">
                  <c:v>42463</c:v>
                </c:pt>
                <c:pt idx="3">
                  <c:v>42464</c:v>
                </c:pt>
                <c:pt idx="4">
                  <c:v>42465</c:v>
                </c:pt>
                <c:pt idx="5">
                  <c:v>42466</c:v>
                </c:pt>
                <c:pt idx="6">
                  <c:v>42467</c:v>
                </c:pt>
                <c:pt idx="7">
                  <c:v>42468</c:v>
                </c:pt>
                <c:pt idx="8">
                  <c:v>42469</c:v>
                </c:pt>
                <c:pt idx="9">
                  <c:v>42470</c:v>
                </c:pt>
                <c:pt idx="10">
                  <c:v>42471</c:v>
                </c:pt>
                <c:pt idx="11">
                  <c:v>42472</c:v>
                </c:pt>
                <c:pt idx="12">
                  <c:v>42473</c:v>
                </c:pt>
                <c:pt idx="13">
                  <c:v>42474</c:v>
                </c:pt>
                <c:pt idx="14">
                  <c:v>42475</c:v>
                </c:pt>
                <c:pt idx="15">
                  <c:v>42476</c:v>
                </c:pt>
                <c:pt idx="16">
                  <c:v>42477</c:v>
                </c:pt>
                <c:pt idx="17">
                  <c:v>42478</c:v>
                </c:pt>
                <c:pt idx="18">
                  <c:v>42479</c:v>
                </c:pt>
                <c:pt idx="19">
                  <c:v>42480</c:v>
                </c:pt>
                <c:pt idx="20">
                  <c:v>42481</c:v>
                </c:pt>
                <c:pt idx="21">
                  <c:v>42482</c:v>
                </c:pt>
                <c:pt idx="22">
                  <c:v>42483</c:v>
                </c:pt>
                <c:pt idx="23">
                  <c:v>42484</c:v>
                </c:pt>
                <c:pt idx="24">
                  <c:v>42485</c:v>
                </c:pt>
                <c:pt idx="25">
                  <c:v>42486</c:v>
                </c:pt>
                <c:pt idx="26">
                  <c:v>42487</c:v>
                </c:pt>
                <c:pt idx="27">
                  <c:v>42488</c:v>
                </c:pt>
                <c:pt idx="28">
                  <c:v>42489</c:v>
                </c:pt>
                <c:pt idx="29">
                  <c:v>42490</c:v>
                </c:pt>
                <c:pt idx="30">
                  <c:v>42491</c:v>
                </c:pt>
              </c:numCache>
            </c:numRef>
          </c:cat>
          <c:val>
            <c:numRef>
              <c:f>'Final Graphs'!$H$82:$AL$82</c:f>
              <c:numCache>
                <c:formatCode>0.0</c:formatCode>
                <c:ptCount val="31"/>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c:v>
                </c:pt>
                <c:pt idx="30">
                  <c:v>1</c:v>
                </c:pt>
              </c:numCache>
            </c:numRef>
          </c:val>
          <c:smooth val="0"/>
        </c:ser>
        <c:dLbls>
          <c:showLegendKey val="0"/>
          <c:showVal val="0"/>
          <c:showCatName val="0"/>
          <c:showSerName val="0"/>
          <c:showPercent val="0"/>
          <c:showBubbleSize val="0"/>
        </c:dLbls>
        <c:marker val="1"/>
        <c:smooth val="0"/>
        <c:axId val="128973824"/>
        <c:axId val="128590592"/>
      </c:lineChart>
      <c:catAx>
        <c:axId val="128973824"/>
        <c:scaling>
          <c:orientation val="minMax"/>
        </c:scaling>
        <c:delete val="0"/>
        <c:axPos val="b"/>
        <c:numFmt formatCode="m/d/yyyy" sourceLinked="1"/>
        <c:majorTickMark val="out"/>
        <c:minorTickMark val="none"/>
        <c:tickLblPos val="nextTo"/>
        <c:spPr>
          <a:ln w="3175">
            <a:solidFill>
              <a:srgbClr val="000000"/>
            </a:solidFill>
            <a:prstDash val="solid"/>
          </a:ln>
        </c:spPr>
        <c:txPr>
          <a:bodyPr rot="-5400000" vert="horz"/>
          <a:lstStyle/>
          <a:p>
            <a:pPr>
              <a:defRPr sz="1000" b="0" i="0" u="none" strike="noStrike" baseline="0">
                <a:solidFill>
                  <a:srgbClr val="000000"/>
                </a:solidFill>
                <a:latin typeface="Calibri"/>
                <a:ea typeface="Calibri"/>
                <a:cs typeface="Calibri"/>
              </a:defRPr>
            </a:pPr>
            <a:endParaRPr lang="en-US"/>
          </a:p>
        </c:txPr>
        <c:crossAx val="128590592"/>
        <c:crosses val="autoZero"/>
        <c:auto val="0"/>
        <c:lblAlgn val="ctr"/>
        <c:lblOffset val="100"/>
        <c:tickLblSkip val="2"/>
        <c:tickMarkSkip val="1"/>
        <c:noMultiLvlLbl val="0"/>
      </c:catAx>
      <c:valAx>
        <c:axId val="128590592"/>
        <c:scaling>
          <c:orientation val="minMax"/>
          <c:max val="10"/>
          <c:min val="0"/>
        </c:scaling>
        <c:delete val="0"/>
        <c:axPos val="l"/>
        <c:majorGridlines>
          <c:spPr>
            <a:ln w="3175">
              <a:solidFill>
                <a:srgbClr val="000000"/>
              </a:solidFill>
              <a:prstDash val="solid"/>
            </a:ln>
          </c:spPr>
        </c:majorGridlines>
        <c:numFmt formatCode="0" sourceLinked="0"/>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Calibri"/>
                <a:ea typeface="Calibri"/>
                <a:cs typeface="Calibri"/>
              </a:defRPr>
            </a:pPr>
            <a:endParaRPr lang="en-US"/>
          </a:p>
        </c:txPr>
        <c:crossAx val="128973824"/>
        <c:crosses val="autoZero"/>
        <c:crossBetween val="between"/>
        <c:majorUnit val="1"/>
        <c:minorUnit val="0.1"/>
      </c:valAx>
    </c:plotArea>
    <c:legend>
      <c:legendPos val="b"/>
      <c:layout>
        <c:manualLayout>
          <c:xMode val="edge"/>
          <c:yMode val="edge"/>
          <c:x val="0.24511217281772302"/>
          <c:y val="0.92263607717559526"/>
          <c:w val="0.66138869005011114"/>
          <c:h val="6.0862432195975841E-2"/>
        </c:manualLayout>
      </c:layout>
      <c:overlay val="0"/>
      <c:txPr>
        <a:bodyPr/>
        <a:lstStyle/>
        <a:p>
          <a:pPr>
            <a:defRPr sz="920" b="0" i="0" u="none" strike="noStrike" baseline="0">
              <a:solidFill>
                <a:srgbClr val="000000"/>
              </a:solidFill>
              <a:latin typeface="Calibri"/>
              <a:ea typeface="Calibri"/>
              <a:cs typeface="Calibri"/>
            </a:defRPr>
          </a:pPr>
          <a:endParaRPr lang="en-US"/>
        </a:p>
      </c:txPr>
    </c:legend>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000000000001465" l="0.70000000000000062" r="0.70000000000000062" t="0.75000000000001465" header="0.30000000000000032" footer="0.30000000000000032"/>
    <c:pageSetup/>
  </c:printSettings>
</c:chartSpace>
</file>

<file path=xl/chartsheets/_rels/sheet1.xml.rels><?xml version="1.0" encoding="UTF-8" standalone="yes"?>
<Relationships xmlns="http://schemas.openxmlformats.org/package/2006/relationships"><Relationship Id="rId1" Type="http://schemas.openxmlformats.org/officeDocument/2006/relationships/drawing" Target="../drawings/drawing2.xml"/></Relationships>
</file>

<file path=xl/chartsheets/_rels/sheet2.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chartsheets/sheet1.xml><?xml version="1.0" encoding="utf-8"?>
<chartsheet xmlns="http://schemas.openxmlformats.org/spreadsheetml/2006/main" xmlns:r="http://schemas.openxmlformats.org/officeDocument/2006/relationships">
  <sheetPr codeName="Chart3">
    <tabColor rgb="FFFFC000"/>
  </sheetPr>
  <sheetViews>
    <sheetView zoomScale="92" workbookViewId="0"/>
  </sheetViews>
  <pageMargins left="0.75" right="0.75" top="1" bottom="1" header="0.5" footer="0.5"/>
  <headerFooter alignWithMargins="0"/>
  <drawing r:id="rId1"/>
</chartsheet>
</file>

<file path=xl/chartsheets/sheet2.xml><?xml version="1.0" encoding="utf-8"?>
<chartsheet xmlns="http://schemas.openxmlformats.org/spreadsheetml/2006/main" xmlns:r="http://schemas.openxmlformats.org/officeDocument/2006/relationships">
  <sheetPr codeName="Chart5">
    <tabColor rgb="FF92D050"/>
  </sheetPr>
  <sheetViews>
    <sheetView zoomScale="92" workbookViewId="0"/>
  </sheetViews>
  <pageMargins left="0.75" right="0.75" top="1" bottom="1" header="0.5" footer="0.5"/>
  <pageSetup paperSize="9" orientation="landscape" r:id="rId1"/>
  <headerFooter alignWithMargins="0"/>
  <drawing r:id="rId2"/>
</chartsheet>
</file>

<file path=xl/drawings/_rels/drawing1.xml.rels><?xml version="1.0" encoding="UTF-8" standalone="yes"?>
<Relationships xmlns="http://schemas.openxmlformats.org/package/2006/relationships"><Relationship Id="rId1" Type="http://schemas.openxmlformats.org/officeDocument/2006/relationships/image" Target="../media/image21.jpeg"/></Relationships>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8" Type="http://schemas.openxmlformats.org/officeDocument/2006/relationships/chart" Target="../charts/chart10.xml"/><Relationship Id="rId13" Type="http://schemas.openxmlformats.org/officeDocument/2006/relationships/chart" Target="../charts/chart15.xml"/><Relationship Id="rId18" Type="http://schemas.openxmlformats.org/officeDocument/2006/relationships/chart" Target="../charts/chart20.xml"/><Relationship Id="rId3" Type="http://schemas.openxmlformats.org/officeDocument/2006/relationships/chart" Target="../charts/chart5.xml"/><Relationship Id="rId7" Type="http://schemas.openxmlformats.org/officeDocument/2006/relationships/chart" Target="../charts/chart9.xml"/><Relationship Id="rId12" Type="http://schemas.openxmlformats.org/officeDocument/2006/relationships/chart" Target="../charts/chart14.xml"/><Relationship Id="rId17" Type="http://schemas.openxmlformats.org/officeDocument/2006/relationships/chart" Target="../charts/chart19.xml"/><Relationship Id="rId2" Type="http://schemas.openxmlformats.org/officeDocument/2006/relationships/chart" Target="../charts/chart4.xml"/><Relationship Id="rId16" Type="http://schemas.openxmlformats.org/officeDocument/2006/relationships/chart" Target="../charts/chart18.xml"/><Relationship Id="rId1" Type="http://schemas.openxmlformats.org/officeDocument/2006/relationships/chart" Target="../charts/chart3.xml"/><Relationship Id="rId6" Type="http://schemas.openxmlformats.org/officeDocument/2006/relationships/chart" Target="../charts/chart8.xml"/><Relationship Id="rId11" Type="http://schemas.openxmlformats.org/officeDocument/2006/relationships/chart" Target="../charts/chart13.xml"/><Relationship Id="rId5" Type="http://schemas.openxmlformats.org/officeDocument/2006/relationships/chart" Target="../charts/chart7.xml"/><Relationship Id="rId15" Type="http://schemas.openxmlformats.org/officeDocument/2006/relationships/chart" Target="../charts/chart17.xml"/><Relationship Id="rId10" Type="http://schemas.openxmlformats.org/officeDocument/2006/relationships/chart" Target="../charts/chart12.xml"/><Relationship Id="rId4" Type="http://schemas.openxmlformats.org/officeDocument/2006/relationships/chart" Target="../charts/chart6.xml"/><Relationship Id="rId9" Type="http://schemas.openxmlformats.org/officeDocument/2006/relationships/chart" Target="../charts/chart11.xml"/><Relationship Id="rId14" Type="http://schemas.openxmlformats.org/officeDocument/2006/relationships/chart" Target="../charts/chart16.xml"/></Relationships>
</file>

<file path=xl/drawings/_rels/vmlDrawing1.vml.rels><?xml version="1.0" encoding="UTF-8" standalone="yes"?>
<Relationships xmlns="http://schemas.openxmlformats.org/package/2006/relationships"><Relationship Id="rId8" Type="http://schemas.openxmlformats.org/officeDocument/2006/relationships/image" Target="../media/image13.emf"/><Relationship Id="rId13" Type="http://schemas.openxmlformats.org/officeDocument/2006/relationships/image" Target="../media/image8.emf"/><Relationship Id="rId18" Type="http://schemas.openxmlformats.org/officeDocument/2006/relationships/image" Target="../media/image3.emf"/><Relationship Id="rId3" Type="http://schemas.openxmlformats.org/officeDocument/2006/relationships/image" Target="../media/image18.emf"/><Relationship Id="rId7" Type="http://schemas.openxmlformats.org/officeDocument/2006/relationships/image" Target="../media/image14.emf"/><Relationship Id="rId12" Type="http://schemas.openxmlformats.org/officeDocument/2006/relationships/image" Target="../media/image9.emf"/><Relationship Id="rId17" Type="http://schemas.openxmlformats.org/officeDocument/2006/relationships/image" Target="../media/image4.emf"/><Relationship Id="rId2" Type="http://schemas.openxmlformats.org/officeDocument/2006/relationships/image" Target="../media/image19.emf"/><Relationship Id="rId16" Type="http://schemas.openxmlformats.org/officeDocument/2006/relationships/image" Target="../media/image5.emf"/><Relationship Id="rId20" Type="http://schemas.openxmlformats.org/officeDocument/2006/relationships/image" Target="../media/image1.emf"/><Relationship Id="rId1" Type="http://schemas.openxmlformats.org/officeDocument/2006/relationships/image" Target="../media/image20.emf"/><Relationship Id="rId6" Type="http://schemas.openxmlformats.org/officeDocument/2006/relationships/image" Target="../media/image15.emf"/><Relationship Id="rId11" Type="http://schemas.openxmlformats.org/officeDocument/2006/relationships/image" Target="../media/image10.emf"/><Relationship Id="rId5" Type="http://schemas.openxmlformats.org/officeDocument/2006/relationships/image" Target="../media/image16.emf"/><Relationship Id="rId15" Type="http://schemas.openxmlformats.org/officeDocument/2006/relationships/image" Target="../media/image6.emf"/><Relationship Id="rId10" Type="http://schemas.openxmlformats.org/officeDocument/2006/relationships/image" Target="../media/image11.emf"/><Relationship Id="rId19" Type="http://schemas.openxmlformats.org/officeDocument/2006/relationships/image" Target="../media/image2.emf"/><Relationship Id="rId4" Type="http://schemas.openxmlformats.org/officeDocument/2006/relationships/image" Target="../media/image17.emf"/><Relationship Id="rId9" Type="http://schemas.openxmlformats.org/officeDocument/2006/relationships/image" Target="../media/image12.emf"/><Relationship Id="rId14"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xdr:from>
      <xdr:col>0</xdr:col>
      <xdr:colOff>19050</xdr:colOff>
      <xdr:row>1</xdr:row>
      <xdr:rowOff>19050</xdr:rowOff>
    </xdr:from>
    <xdr:to>
      <xdr:col>0</xdr:col>
      <xdr:colOff>1847850</xdr:colOff>
      <xdr:row>1</xdr:row>
      <xdr:rowOff>495300</xdr:rowOff>
    </xdr:to>
    <xdr:pic macro="[0]!WerfenIL">
      <xdr:nvPicPr>
        <xdr:cNvPr id="2403509" name="Picture 408" descr="IL_RGB"/>
        <xdr:cNvPicPr>
          <a:picLocks noChangeAspect="1" noChangeArrowheads="1"/>
        </xdr:cNvPicPr>
      </xdr:nvPicPr>
      <xdr:blipFill>
        <a:blip xmlns:r="http://schemas.openxmlformats.org/officeDocument/2006/relationships" r:embed="rId1" cstate="print">
          <a:clrChange>
            <a:clrFrom>
              <a:srgbClr val="FFFFFF"/>
            </a:clrFrom>
            <a:clrTo>
              <a:srgbClr val="FFFFFF">
                <a:alpha val="0"/>
              </a:srgbClr>
            </a:clrTo>
          </a:clrChange>
          <a:lum bright="6000" contrast="24000"/>
        </a:blip>
        <a:srcRect/>
        <a:stretch>
          <a:fillRect/>
        </a:stretch>
      </xdr:blipFill>
      <xdr:spPr bwMode="auto">
        <a:xfrm>
          <a:off x="19050" y="180975"/>
          <a:ext cx="1828800" cy="476250"/>
        </a:xfrm>
        <a:prstGeom prst="rect">
          <a:avLst/>
        </a:prstGeom>
        <a:noFill/>
        <a:ln w="9525">
          <a:noFill/>
          <a:miter lim="800000"/>
          <a:headEnd/>
          <a:tailEnd/>
        </a:ln>
      </xdr:spPr>
    </xdr:pic>
    <xdr:clientData/>
  </xdr:twoCellAnchor>
  <mc:AlternateContent xmlns:mc="http://schemas.openxmlformats.org/markup-compatibility/2006">
    <mc:Choice xmlns:a14="http://schemas.microsoft.com/office/drawing/2010/main" Requires="a14">
      <xdr:twoCellAnchor editAs="oneCell">
        <xdr:from>
          <xdr:col>2</xdr:col>
          <xdr:colOff>28575</xdr:colOff>
          <xdr:row>1</xdr:row>
          <xdr:rowOff>38100</xdr:rowOff>
        </xdr:from>
        <xdr:to>
          <xdr:col>4</xdr:col>
          <xdr:colOff>819150</xdr:colOff>
          <xdr:row>1</xdr:row>
          <xdr:rowOff>485775</xdr:rowOff>
        </xdr:to>
        <xdr:sp macro="" textlink="">
          <xdr:nvSpPr>
            <xdr:cNvPr id="5137" name="CommandButton1" hidden="1">
              <a:extLst>
                <a:ext uri="{63B3BB69-23CF-44E3-9099-C40C66FF867C}">
                  <a14:compatExt spid="_x0000_s513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123825</xdr:colOff>
          <xdr:row>1</xdr:row>
          <xdr:rowOff>38100</xdr:rowOff>
        </xdr:from>
        <xdr:to>
          <xdr:col>5</xdr:col>
          <xdr:colOff>1133475</xdr:colOff>
          <xdr:row>1</xdr:row>
          <xdr:rowOff>476250</xdr:rowOff>
        </xdr:to>
        <xdr:sp macro="" textlink="">
          <xdr:nvSpPr>
            <xdr:cNvPr id="5139" name="CheckBox1" hidden="1">
              <a:extLst>
                <a:ext uri="{63B3BB69-23CF-44E3-9099-C40C66FF867C}">
                  <a14:compatExt spid="_x0000_s513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95250</xdr:colOff>
          <xdr:row>4</xdr:row>
          <xdr:rowOff>619125</xdr:rowOff>
        </xdr:from>
        <xdr:to>
          <xdr:col>4</xdr:col>
          <xdr:colOff>771525</xdr:colOff>
          <xdr:row>4</xdr:row>
          <xdr:rowOff>1123950</xdr:rowOff>
        </xdr:to>
        <xdr:sp macro="" textlink="">
          <xdr:nvSpPr>
            <xdr:cNvPr id="5141" name="OptionButton1" hidden="1">
              <a:extLst>
                <a:ext uri="{63B3BB69-23CF-44E3-9099-C40C66FF867C}">
                  <a14:compatExt spid="_x0000_s514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95250</xdr:colOff>
          <xdr:row>4</xdr:row>
          <xdr:rowOff>85725</xdr:rowOff>
        </xdr:from>
        <xdr:to>
          <xdr:col>4</xdr:col>
          <xdr:colOff>762000</xdr:colOff>
          <xdr:row>4</xdr:row>
          <xdr:rowOff>581025</xdr:rowOff>
        </xdr:to>
        <xdr:sp macro="" textlink="">
          <xdr:nvSpPr>
            <xdr:cNvPr id="5142" name="OptionButton2" hidden="1">
              <a:extLst>
                <a:ext uri="{63B3BB69-23CF-44E3-9099-C40C66FF867C}">
                  <a14:compatExt spid="_x0000_s514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123825</xdr:colOff>
          <xdr:row>4</xdr:row>
          <xdr:rowOff>85725</xdr:rowOff>
        </xdr:from>
        <xdr:to>
          <xdr:col>5</xdr:col>
          <xdr:colOff>1143000</xdr:colOff>
          <xdr:row>4</xdr:row>
          <xdr:rowOff>581025</xdr:rowOff>
        </xdr:to>
        <xdr:sp macro="" textlink="">
          <xdr:nvSpPr>
            <xdr:cNvPr id="5143" name="CommandButton2" hidden="1">
              <a:extLst>
                <a:ext uri="{63B3BB69-23CF-44E3-9099-C40C66FF867C}">
                  <a14:compatExt spid="_x0000_s514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123825</xdr:colOff>
          <xdr:row>4</xdr:row>
          <xdr:rowOff>85725</xdr:rowOff>
        </xdr:from>
        <xdr:to>
          <xdr:col>6</xdr:col>
          <xdr:colOff>1143000</xdr:colOff>
          <xdr:row>4</xdr:row>
          <xdr:rowOff>581025</xdr:rowOff>
        </xdr:to>
        <xdr:sp macro="" textlink="">
          <xdr:nvSpPr>
            <xdr:cNvPr id="5144" name="CommandButton3" hidden="1">
              <a:extLst>
                <a:ext uri="{63B3BB69-23CF-44E3-9099-C40C66FF867C}">
                  <a14:compatExt spid="_x0000_s514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1009650</xdr:colOff>
          <xdr:row>4</xdr:row>
          <xdr:rowOff>85725</xdr:rowOff>
        </xdr:from>
        <xdr:to>
          <xdr:col>0</xdr:col>
          <xdr:colOff>2152650</xdr:colOff>
          <xdr:row>4</xdr:row>
          <xdr:rowOff>581025</xdr:rowOff>
        </xdr:to>
        <xdr:sp macro="" textlink="">
          <xdr:nvSpPr>
            <xdr:cNvPr id="5168" name="CheckBox3" hidden="1">
              <a:extLst>
                <a:ext uri="{63B3BB69-23CF-44E3-9099-C40C66FF867C}">
                  <a14:compatExt spid="_x0000_s516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1009650</xdr:colOff>
          <xdr:row>4</xdr:row>
          <xdr:rowOff>609600</xdr:rowOff>
        </xdr:from>
        <xdr:to>
          <xdr:col>0</xdr:col>
          <xdr:colOff>2152650</xdr:colOff>
          <xdr:row>4</xdr:row>
          <xdr:rowOff>1104900</xdr:rowOff>
        </xdr:to>
        <xdr:sp macro="" textlink="">
          <xdr:nvSpPr>
            <xdr:cNvPr id="5169" name="CheckBox4" hidden="1">
              <a:extLst>
                <a:ext uri="{63B3BB69-23CF-44E3-9099-C40C66FF867C}">
                  <a14:compatExt spid="_x0000_s516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2181225</xdr:colOff>
          <xdr:row>4</xdr:row>
          <xdr:rowOff>85725</xdr:rowOff>
        </xdr:from>
        <xdr:to>
          <xdr:col>0</xdr:col>
          <xdr:colOff>3267075</xdr:colOff>
          <xdr:row>4</xdr:row>
          <xdr:rowOff>581025</xdr:rowOff>
        </xdr:to>
        <xdr:sp macro="" textlink="">
          <xdr:nvSpPr>
            <xdr:cNvPr id="5170" name="CheckBox5" hidden="1">
              <a:extLst>
                <a:ext uri="{63B3BB69-23CF-44E3-9099-C40C66FF867C}">
                  <a14:compatExt spid="_x0000_s517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2181225</xdr:colOff>
          <xdr:row>4</xdr:row>
          <xdr:rowOff>609600</xdr:rowOff>
        </xdr:from>
        <xdr:to>
          <xdr:col>0</xdr:col>
          <xdr:colOff>3267075</xdr:colOff>
          <xdr:row>4</xdr:row>
          <xdr:rowOff>1104900</xdr:rowOff>
        </xdr:to>
        <xdr:sp macro="" textlink="">
          <xdr:nvSpPr>
            <xdr:cNvPr id="5173" name="CheckBox6" hidden="1">
              <a:extLst>
                <a:ext uri="{63B3BB69-23CF-44E3-9099-C40C66FF867C}">
                  <a14:compatExt spid="_x0000_s517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2181225</xdr:colOff>
          <xdr:row>4</xdr:row>
          <xdr:rowOff>1143000</xdr:rowOff>
        </xdr:from>
        <xdr:to>
          <xdr:col>0</xdr:col>
          <xdr:colOff>3267075</xdr:colOff>
          <xdr:row>4</xdr:row>
          <xdr:rowOff>1647825</xdr:rowOff>
        </xdr:to>
        <xdr:sp macro="" textlink="">
          <xdr:nvSpPr>
            <xdr:cNvPr id="5174" name="CheckBox7" hidden="1">
              <a:extLst>
                <a:ext uri="{63B3BB69-23CF-44E3-9099-C40C66FF867C}">
                  <a14:compatExt spid="_x0000_s517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123825</xdr:colOff>
          <xdr:row>1</xdr:row>
          <xdr:rowOff>38100</xdr:rowOff>
        </xdr:from>
        <xdr:to>
          <xdr:col>6</xdr:col>
          <xdr:colOff>1133475</xdr:colOff>
          <xdr:row>1</xdr:row>
          <xdr:rowOff>476250</xdr:rowOff>
        </xdr:to>
        <xdr:sp macro="" textlink="">
          <xdr:nvSpPr>
            <xdr:cNvPr id="5182" name="CheckBox2" hidden="1">
              <a:extLst>
                <a:ext uri="{63B3BB69-23CF-44E3-9099-C40C66FF867C}">
                  <a14:compatExt spid="_x0000_s518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57150</xdr:colOff>
          <xdr:row>4</xdr:row>
          <xdr:rowOff>609600</xdr:rowOff>
        </xdr:from>
        <xdr:to>
          <xdr:col>0</xdr:col>
          <xdr:colOff>981075</xdr:colOff>
          <xdr:row>4</xdr:row>
          <xdr:rowOff>1104900</xdr:rowOff>
        </xdr:to>
        <xdr:sp macro="" textlink="">
          <xdr:nvSpPr>
            <xdr:cNvPr id="5184" name="OptionButton3" hidden="1">
              <a:extLst>
                <a:ext uri="{63B3BB69-23CF-44E3-9099-C40C66FF867C}">
                  <a14:compatExt spid="_x0000_s518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57150</xdr:colOff>
          <xdr:row>4</xdr:row>
          <xdr:rowOff>1143000</xdr:rowOff>
        </xdr:from>
        <xdr:to>
          <xdr:col>0</xdr:col>
          <xdr:colOff>981075</xdr:colOff>
          <xdr:row>4</xdr:row>
          <xdr:rowOff>1647825</xdr:rowOff>
        </xdr:to>
        <xdr:sp macro="" textlink="">
          <xdr:nvSpPr>
            <xdr:cNvPr id="5185" name="OptionButton4" hidden="1">
              <a:extLst>
                <a:ext uri="{63B3BB69-23CF-44E3-9099-C40C66FF867C}">
                  <a14:compatExt spid="_x0000_s518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3352800</xdr:colOff>
          <xdr:row>4</xdr:row>
          <xdr:rowOff>342900</xdr:rowOff>
        </xdr:from>
        <xdr:to>
          <xdr:col>0</xdr:col>
          <xdr:colOff>4981575</xdr:colOff>
          <xdr:row>4</xdr:row>
          <xdr:rowOff>571500</xdr:rowOff>
        </xdr:to>
        <xdr:sp macro="" textlink="">
          <xdr:nvSpPr>
            <xdr:cNvPr id="5186" name="OptionButton5" hidden="1">
              <a:extLst>
                <a:ext uri="{63B3BB69-23CF-44E3-9099-C40C66FF867C}">
                  <a14:compatExt spid="_x0000_s518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3352800</xdr:colOff>
          <xdr:row>4</xdr:row>
          <xdr:rowOff>609600</xdr:rowOff>
        </xdr:from>
        <xdr:to>
          <xdr:col>0</xdr:col>
          <xdr:colOff>4981575</xdr:colOff>
          <xdr:row>4</xdr:row>
          <xdr:rowOff>838200</xdr:rowOff>
        </xdr:to>
        <xdr:sp macro="" textlink="">
          <xdr:nvSpPr>
            <xdr:cNvPr id="5187" name="OptionButton6" hidden="1">
              <a:extLst>
                <a:ext uri="{63B3BB69-23CF-44E3-9099-C40C66FF867C}">
                  <a14:compatExt spid="_x0000_s518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3352800</xdr:colOff>
          <xdr:row>4</xdr:row>
          <xdr:rowOff>876300</xdr:rowOff>
        </xdr:from>
        <xdr:to>
          <xdr:col>0</xdr:col>
          <xdr:colOff>4981575</xdr:colOff>
          <xdr:row>4</xdr:row>
          <xdr:rowOff>1104900</xdr:rowOff>
        </xdr:to>
        <xdr:sp macro="" textlink="">
          <xdr:nvSpPr>
            <xdr:cNvPr id="5188" name="OptionButton7" hidden="1">
              <a:extLst>
                <a:ext uri="{63B3BB69-23CF-44E3-9099-C40C66FF867C}">
                  <a14:compatExt spid="_x0000_s518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4</xdr:row>
          <xdr:rowOff>85725</xdr:rowOff>
        </xdr:from>
        <xdr:to>
          <xdr:col>2</xdr:col>
          <xdr:colOff>1038225</xdr:colOff>
          <xdr:row>4</xdr:row>
          <xdr:rowOff>581025</xdr:rowOff>
        </xdr:to>
        <xdr:sp macro="" textlink="">
          <xdr:nvSpPr>
            <xdr:cNvPr id="6061" name="CommandButton4" hidden="1">
              <a:extLst>
                <a:ext uri="{63B3BB69-23CF-44E3-9099-C40C66FF867C}">
                  <a14:compatExt spid="_x0000_s606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57150</xdr:colOff>
          <xdr:row>4</xdr:row>
          <xdr:rowOff>85725</xdr:rowOff>
        </xdr:from>
        <xdr:to>
          <xdr:col>0</xdr:col>
          <xdr:colOff>981075</xdr:colOff>
          <xdr:row>4</xdr:row>
          <xdr:rowOff>581025</xdr:rowOff>
        </xdr:to>
        <xdr:sp macro="" textlink="">
          <xdr:nvSpPr>
            <xdr:cNvPr id="2403454" name="OptionButton8" hidden="1">
              <a:extLst>
                <a:ext uri="{63B3BB69-23CF-44E3-9099-C40C66FF867C}">
                  <a14:compatExt spid="_x0000_s240345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3352800</xdr:colOff>
          <xdr:row>4</xdr:row>
          <xdr:rowOff>85725</xdr:rowOff>
        </xdr:from>
        <xdr:to>
          <xdr:col>0</xdr:col>
          <xdr:colOff>4981575</xdr:colOff>
          <xdr:row>4</xdr:row>
          <xdr:rowOff>314325</xdr:rowOff>
        </xdr:to>
        <xdr:sp macro="" textlink="">
          <xdr:nvSpPr>
            <xdr:cNvPr id="2403461" name="OptionButton9" hidden="1">
              <a:extLst>
                <a:ext uri="{63B3BB69-23CF-44E3-9099-C40C66FF867C}">
                  <a14:compatExt spid="_x0000_s2403461"/>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absoluteAnchor>
    <xdr:pos x="0" y="0"/>
    <xdr:ext cx="8543925" cy="5619750"/>
    <xdr:graphicFrame macro="">
      <xdr:nvGraphicFramePr>
        <xdr:cNvPr id="2" name="Grafico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3.xml><?xml version="1.0" encoding="utf-8"?>
<xdr:wsDr xmlns:xdr="http://schemas.openxmlformats.org/drawingml/2006/spreadsheetDrawing" xmlns:a="http://schemas.openxmlformats.org/drawingml/2006/main">
  <xdr:absoluteAnchor>
    <xdr:pos x="0" y="0"/>
    <xdr:ext cx="9191625" cy="5600700"/>
    <xdr:graphicFrame macro="">
      <xdr:nvGraphicFramePr>
        <xdr:cNvPr id="2" name="Grafico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4.xml><?xml version="1.0" encoding="utf-8"?>
<xdr:wsDr xmlns:xdr="http://schemas.openxmlformats.org/drawingml/2006/spreadsheetDrawing" xmlns:a="http://schemas.openxmlformats.org/drawingml/2006/main">
  <xdr:twoCellAnchor>
    <xdr:from>
      <xdr:col>29</xdr:col>
      <xdr:colOff>19050</xdr:colOff>
      <xdr:row>4</xdr:row>
      <xdr:rowOff>9525</xdr:rowOff>
    </xdr:from>
    <xdr:to>
      <xdr:col>33</xdr:col>
      <xdr:colOff>214650</xdr:colOff>
      <xdr:row>22</xdr:row>
      <xdr:rowOff>152400</xdr:rowOff>
    </xdr:to>
    <xdr:graphicFrame macro="">
      <xdr:nvGraphicFramePr>
        <xdr:cNvPr id="5395196"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18</xdr:col>
      <xdr:colOff>9525</xdr:colOff>
      <xdr:row>25</xdr:row>
      <xdr:rowOff>9525</xdr:rowOff>
    </xdr:from>
    <xdr:to>
      <xdr:col>29</xdr:col>
      <xdr:colOff>28575</xdr:colOff>
      <xdr:row>43</xdr:row>
      <xdr:rowOff>133350</xdr:rowOff>
    </xdr:to>
    <xdr:graphicFrame macro="">
      <xdr:nvGraphicFramePr>
        <xdr:cNvPr id="5395198"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18</xdr:col>
      <xdr:colOff>9525</xdr:colOff>
      <xdr:row>46</xdr:row>
      <xdr:rowOff>9525</xdr:rowOff>
    </xdr:from>
    <xdr:to>
      <xdr:col>29</xdr:col>
      <xdr:colOff>9525</xdr:colOff>
      <xdr:row>64</xdr:row>
      <xdr:rowOff>152400</xdr:rowOff>
    </xdr:to>
    <xdr:graphicFrame macro="">
      <xdr:nvGraphicFramePr>
        <xdr:cNvPr id="5395200" name="Chart 1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35</xdr:col>
      <xdr:colOff>9525</xdr:colOff>
      <xdr:row>46</xdr:row>
      <xdr:rowOff>9525</xdr:rowOff>
    </xdr:from>
    <xdr:to>
      <xdr:col>46</xdr:col>
      <xdr:colOff>9525</xdr:colOff>
      <xdr:row>64</xdr:row>
      <xdr:rowOff>152400</xdr:rowOff>
    </xdr:to>
    <xdr:graphicFrame macro="">
      <xdr:nvGraphicFramePr>
        <xdr:cNvPr id="5395201" name="Chart 1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18</xdr:col>
      <xdr:colOff>9525</xdr:colOff>
      <xdr:row>4</xdr:row>
      <xdr:rowOff>9525</xdr:rowOff>
    </xdr:from>
    <xdr:to>
      <xdr:col>29</xdr:col>
      <xdr:colOff>9525</xdr:colOff>
      <xdr:row>22</xdr:row>
      <xdr:rowOff>161925</xdr:rowOff>
    </xdr:to>
    <xdr:graphicFrame macro="">
      <xdr:nvGraphicFramePr>
        <xdr:cNvPr id="5395203"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xdr:col>
      <xdr:colOff>19050</xdr:colOff>
      <xdr:row>25</xdr:row>
      <xdr:rowOff>9525</xdr:rowOff>
    </xdr:from>
    <xdr:to>
      <xdr:col>12</xdr:col>
      <xdr:colOff>9525</xdr:colOff>
      <xdr:row>43</xdr:row>
      <xdr:rowOff>152400</xdr:rowOff>
    </xdr:to>
    <xdr:graphicFrame macro="">
      <xdr:nvGraphicFramePr>
        <xdr:cNvPr id="5395204"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35</xdr:col>
      <xdr:colOff>9525</xdr:colOff>
      <xdr:row>25</xdr:row>
      <xdr:rowOff>38100</xdr:rowOff>
    </xdr:from>
    <xdr:to>
      <xdr:col>46</xdr:col>
      <xdr:colOff>28575</xdr:colOff>
      <xdr:row>43</xdr:row>
      <xdr:rowOff>133350</xdr:rowOff>
    </xdr:to>
    <xdr:graphicFrame macro="">
      <xdr:nvGraphicFramePr>
        <xdr:cNvPr id="5395205"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xdr:col>
      <xdr:colOff>9525</xdr:colOff>
      <xdr:row>4</xdr:row>
      <xdr:rowOff>28575</xdr:rowOff>
    </xdr:from>
    <xdr:to>
      <xdr:col>12</xdr:col>
      <xdr:colOff>9525</xdr:colOff>
      <xdr:row>22</xdr:row>
      <xdr:rowOff>152400</xdr:rowOff>
    </xdr:to>
    <xdr:graphicFrame macro="">
      <xdr:nvGraphicFramePr>
        <xdr:cNvPr id="5395206"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11</xdr:col>
      <xdr:colOff>412749</xdr:colOff>
      <xdr:row>25</xdr:row>
      <xdr:rowOff>28575</xdr:rowOff>
    </xdr:from>
    <xdr:to>
      <xdr:col>16</xdr:col>
      <xdr:colOff>220999</xdr:colOff>
      <xdr:row>43</xdr:row>
      <xdr:rowOff>152400</xdr:rowOff>
    </xdr:to>
    <xdr:graphicFrame macro="">
      <xdr:nvGraphicFramePr>
        <xdr:cNvPr id="5395207"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28</xdr:col>
      <xdr:colOff>412749</xdr:colOff>
      <xdr:row>25</xdr:row>
      <xdr:rowOff>28575</xdr:rowOff>
    </xdr:from>
    <xdr:to>
      <xdr:col>33</xdr:col>
      <xdr:colOff>220999</xdr:colOff>
      <xdr:row>43</xdr:row>
      <xdr:rowOff>133350</xdr:rowOff>
    </xdr:to>
    <xdr:graphicFrame macro="">
      <xdr:nvGraphicFramePr>
        <xdr:cNvPr id="5395208"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45</xdr:col>
      <xdr:colOff>412749</xdr:colOff>
      <xdr:row>25</xdr:row>
      <xdr:rowOff>9525</xdr:rowOff>
    </xdr:from>
    <xdr:to>
      <xdr:col>50</xdr:col>
      <xdr:colOff>220999</xdr:colOff>
      <xdr:row>43</xdr:row>
      <xdr:rowOff>152400</xdr:rowOff>
    </xdr:to>
    <xdr:graphicFrame macro="">
      <xdr:nvGraphicFramePr>
        <xdr:cNvPr id="5395209" name="Chart 1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11</xdr:col>
      <xdr:colOff>412749</xdr:colOff>
      <xdr:row>46</xdr:row>
      <xdr:rowOff>9525</xdr:rowOff>
    </xdr:from>
    <xdr:to>
      <xdr:col>16</xdr:col>
      <xdr:colOff>220999</xdr:colOff>
      <xdr:row>64</xdr:row>
      <xdr:rowOff>133350</xdr:rowOff>
    </xdr:to>
    <xdr:graphicFrame macro="">
      <xdr:nvGraphicFramePr>
        <xdr:cNvPr id="5395210" name="Chart 1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28</xdr:col>
      <xdr:colOff>412749</xdr:colOff>
      <xdr:row>46</xdr:row>
      <xdr:rowOff>28575</xdr:rowOff>
    </xdr:from>
    <xdr:to>
      <xdr:col>33</xdr:col>
      <xdr:colOff>220999</xdr:colOff>
      <xdr:row>64</xdr:row>
      <xdr:rowOff>133350</xdr:rowOff>
    </xdr:to>
    <xdr:graphicFrame macro="">
      <xdr:nvGraphicFramePr>
        <xdr:cNvPr id="5395211" name="Chart 1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45</xdr:col>
      <xdr:colOff>412749</xdr:colOff>
      <xdr:row>46</xdr:row>
      <xdr:rowOff>9525</xdr:rowOff>
    </xdr:from>
    <xdr:to>
      <xdr:col>50</xdr:col>
      <xdr:colOff>220999</xdr:colOff>
      <xdr:row>64</xdr:row>
      <xdr:rowOff>133350</xdr:rowOff>
    </xdr:to>
    <xdr:graphicFrame macro="">
      <xdr:nvGraphicFramePr>
        <xdr:cNvPr id="5395212" name="Chart 1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11</xdr:col>
      <xdr:colOff>412749</xdr:colOff>
      <xdr:row>4</xdr:row>
      <xdr:rowOff>0</xdr:rowOff>
    </xdr:from>
    <xdr:to>
      <xdr:col>16</xdr:col>
      <xdr:colOff>220999</xdr:colOff>
      <xdr:row>22</xdr:row>
      <xdr:rowOff>142875</xdr:rowOff>
    </xdr:to>
    <xdr:graphicFrame macro="">
      <xdr:nvGraphicFramePr>
        <xdr:cNvPr id="20"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45</xdr:col>
      <xdr:colOff>403224</xdr:colOff>
      <xdr:row>4</xdr:row>
      <xdr:rowOff>0</xdr:rowOff>
    </xdr:from>
    <xdr:to>
      <xdr:col>50</xdr:col>
      <xdr:colOff>211474</xdr:colOff>
      <xdr:row>22</xdr:row>
      <xdr:rowOff>142875</xdr:rowOff>
    </xdr:to>
    <xdr:graphicFrame macro="">
      <xdr:nvGraphicFramePr>
        <xdr:cNvPr id="25"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35</xdr:col>
      <xdr:colOff>0</xdr:colOff>
      <xdr:row>4</xdr:row>
      <xdr:rowOff>9525</xdr:rowOff>
    </xdr:from>
    <xdr:to>
      <xdr:col>46</xdr:col>
      <xdr:colOff>0</xdr:colOff>
      <xdr:row>22</xdr:row>
      <xdr:rowOff>142875</xdr:rowOff>
    </xdr:to>
    <xdr:graphicFrame macro="">
      <xdr:nvGraphicFramePr>
        <xdr:cNvPr id="2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xdr:col>
      <xdr:colOff>0</xdr:colOff>
      <xdr:row>46</xdr:row>
      <xdr:rowOff>0</xdr:rowOff>
    </xdr:from>
    <xdr:to>
      <xdr:col>12</xdr:col>
      <xdr:colOff>0</xdr:colOff>
      <xdr:row>64</xdr:row>
      <xdr:rowOff>142875</xdr:rowOff>
    </xdr:to>
    <xdr:graphicFrame macro="">
      <xdr:nvGraphicFramePr>
        <xdr:cNvPr id="21" name="Chart 1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oneCell">
    <xdr:from>
      <xdr:col>3</xdr:col>
      <xdr:colOff>0</xdr:colOff>
      <xdr:row>1</xdr:row>
      <xdr:rowOff>0</xdr:rowOff>
    </xdr:from>
    <xdr:to>
      <xdr:col>3</xdr:col>
      <xdr:colOff>447675</xdr:colOff>
      <xdr:row>3</xdr:row>
      <xdr:rowOff>152400</xdr:rowOff>
    </xdr:to>
    <xdr:sp macro="" textlink="">
      <xdr:nvSpPr>
        <xdr:cNvPr id="5979460" name="AutoShape 1" descr="caution"/>
        <xdr:cNvSpPr>
          <a:spLocks noChangeAspect="1" noChangeArrowheads="1"/>
        </xdr:cNvSpPr>
      </xdr:nvSpPr>
      <xdr:spPr bwMode="auto">
        <a:xfrm>
          <a:off x="5495925" y="361950"/>
          <a:ext cx="447675" cy="876300"/>
        </a:xfrm>
        <a:prstGeom prst="rect">
          <a:avLst/>
        </a:prstGeom>
        <a:noFill/>
        <a:ln w="9525">
          <a:noFill/>
          <a:miter lim="800000"/>
          <a:headEnd/>
          <a:tailEnd/>
        </a:ln>
      </xdr:spPr>
    </xdr:sp>
    <xdr:clientData/>
  </xdr:twoCellAnchor>
  <xdr:twoCellAnchor editAs="oneCell">
    <xdr:from>
      <xdr:col>1</xdr:col>
      <xdr:colOff>0</xdr:colOff>
      <xdr:row>9</xdr:row>
      <xdr:rowOff>0</xdr:rowOff>
    </xdr:from>
    <xdr:to>
      <xdr:col>1</xdr:col>
      <xdr:colOff>447675</xdr:colOff>
      <xdr:row>11</xdr:row>
      <xdr:rowOff>123825</xdr:rowOff>
    </xdr:to>
    <xdr:sp macro="" textlink="">
      <xdr:nvSpPr>
        <xdr:cNvPr id="5979461" name="AutoShape 2" descr="caution"/>
        <xdr:cNvSpPr>
          <a:spLocks noChangeAspect="1" noChangeArrowheads="1"/>
        </xdr:cNvSpPr>
      </xdr:nvSpPr>
      <xdr:spPr bwMode="auto">
        <a:xfrm>
          <a:off x="733425" y="3257550"/>
          <a:ext cx="447675" cy="1028700"/>
        </a:xfrm>
        <a:prstGeom prst="rect">
          <a:avLst/>
        </a:prstGeom>
        <a:noFill/>
        <a:ln w="9525">
          <a:noFill/>
          <a:miter lim="800000"/>
          <a:headEnd/>
          <a:tailEnd/>
        </a:ln>
      </xdr:spPr>
    </xdr:sp>
    <xdr:clientData/>
  </xdr:twoCellAnchor>
  <xdr:twoCellAnchor editAs="oneCell">
    <xdr:from>
      <xdr:col>0</xdr:col>
      <xdr:colOff>0</xdr:colOff>
      <xdr:row>1</xdr:row>
      <xdr:rowOff>0</xdr:rowOff>
    </xdr:from>
    <xdr:to>
      <xdr:col>0</xdr:col>
      <xdr:colOff>609600</xdr:colOff>
      <xdr:row>3</xdr:row>
      <xdr:rowOff>152400</xdr:rowOff>
    </xdr:to>
    <xdr:sp macro="" textlink="">
      <xdr:nvSpPr>
        <xdr:cNvPr id="5979462" name="AutoShape 3" descr="caution"/>
        <xdr:cNvSpPr>
          <a:spLocks noChangeAspect="1" noChangeArrowheads="1"/>
        </xdr:cNvSpPr>
      </xdr:nvSpPr>
      <xdr:spPr bwMode="auto">
        <a:xfrm>
          <a:off x="0" y="361950"/>
          <a:ext cx="609600" cy="876300"/>
        </a:xfrm>
        <a:prstGeom prst="rect">
          <a:avLst/>
        </a:prstGeom>
        <a:noFill/>
        <a:ln w="9525">
          <a:noFill/>
          <a:miter lim="800000"/>
          <a:headEnd/>
          <a:tailEnd/>
        </a:ln>
      </xdr:spPr>
    </xdr:sp>
    <xdr:clientData/>
  </xdr:twoCellAnchor>
  <xdr:twoCellAnchor editAs="oneCell">
    <xdr:from>
      <xdr:col>3</xdr:col>
      <xdr:colOff>0</xdr:colOff>
      <xdr:row>1</xdr:row>
      <xdr:rowOff>0</xdr:rowOff>
    </xdr:from>
    <xdr:to>
      <xdr:col>3</xdr:col>
      <xdr:colOff>447675</xdr:colOff>
      <xdr:row>3</xdr:row>
      <xdr:rowOff>323850</xdr:rowOff>
    </xdr:to>
    <xdr:sp macro="" textlink="">
      <xdr:nvSpPr>
        <xdr:cNvPr id="5979463" name="AutoShape 16" descr="caution"/>
        <xdr:cNvSpPr>
          <a:spLocks noChangeAspect="1" noChangeArrowheads="1"/>
        </xdr:cNvSpPr>
      </xdr:nvSpPr>
      <xdr:spPr bwMode="auto">
        <a:xfrm>
          <a:off x="5495925" y="361950"/>
          <a:ext cx="447675" cy="1047750"/>
        </a:xfrm>
        <a:prstGeom prst="rect">
          <a:avLst/>
        </a:prstGeom>
        <a:noFill/>
        <a:ln w="9525">
          <a:noFill/>
          <a:miter lim="800000"/>
          <a:headEnd/>
          <a:tailEnd/>
        </a:ln>
      </xdr:spPr>
    </xdr:sp>
    <xdr:clientData/>
  </xdr:twoCellAnchor>
  <xdr:twoCellAnchor editAs="oneCell">
    <xdr:from>
      <xdr:col>1</xdr:col>
      <xdr:colOff>0</xdr:colOff>
      <xdr:row>1</xdr:row>
      <xdr:rowOff>0</xdr:rowOff>
    </xdr:from>
    <xdr:to>
      <xdr:col>1</xdr:col>
      <xdr:colOff>447675</xdr:colOff>
      <xdr:row>3</xdr:row>
      <xdr:rowOff>323850</xdr:rowOff>
    </xdr:to>
    <xdr:sp macro="" textlink="">
      <xdr:nvSpPr>
        <xdr:cNvPr id="5979464" name="AutoShape 17" descr="caution"/>
        <xdr:cNvSpPr>
          <a:spLocks noChangeAspect="1" noChangeArrowheads="1"/>
        </xdr:cNvSpPr>
      </xdr:nvSpPr>
      <xdr:spPr bwMode="auto">
        <a:xfrm>
          <a:off x="733425" y="361950"/>
          <a:ext cx="447675" cy="1047750"/>
        </a:xfrm>
        <a:prstGeom prst="rect">
          <a:avLst/>
        </a:prstGeom>
        <a:noFill/>
        <a:ln w="9525">
          <a:noFill/>
          <a:miter lim="800000"/>
          <a:headEnd/>
          <a:tailEnd/>
        </a:ln>
      </xdr:spPr>
    </xdr:sp>
    <xdr:clientData/>
  </xdr:twoCellAnchor>
  <xdr:twoCellAnchor editAs="oneCell">
    <xdr:from>
      <xdr:col>0</xdr:col>
      <xdr:colOff>0</xdr:colOff>
      <xdr:row>1</xdr:row>
      <xdr:rowOff>0</xdr:rowOff>
    </xdr:from>
    <xdr:to>
      <xdr:col>0</xdr:col>
      <xdr:colOff>609600</xdr:colOff>
      <xdr:row>3</xdr:row>
      <xdr:rowOff>323850</xdr:rowOff>
    </xdr:to>
    <xdr:sp macro="" textlink="">
      <xdr:nvSpPr>
        <xdr:cNvPr id="5979465" name="AutoShape 18" descr="caution"/>
        <xdr:cNvSpPr>
          <a:spLocks noChangeAspect="1" noChangeArrowheads="1"/>
        </xdr:cNvSpPr>
      </xdr:nvSpPr>
      <xdr:spPr bwMode="auto">
        <a:xfrm>
          <a:off x="0" y="361950"/>
          <a:ext cx="609600" cy="1047750"/>
        </a:xfrm>
        <a:prstGeom prst="rect">
          <a:avLst/>
        </a:prstGeom>
        <a:noFill/>
        <a:ln w="9525">
          <a:noFill/>
          <a:miter lim="800000"/>
          <a:headEnd/>
          <a:tailEnd/>
        </a:ln>
      </xdr:spPr>
    </xdr:sp>
    <xdr:clientData/>
  </xdr:twoCellAnchor>
  <xdr:twoCellAnchor editAs="oneCell">
    <xdr:from>
      <xdr:col>0</xdr:col>
      <xdr:colOff>0</xdr:colOff>
      <xdr:row>455</xdr:row>
      <xdr:rowOff>0</xdr:rowOff>
    </xdr:from>
    <xdr:to>
      <xdr:col>0</xdr:col>
      <xdr:colOff>609600</xdr:colOff>
      <xdr:row>457</xdr:row>
      <xdr:rowOff>333375</xdr:rowOff>
    </xdr:to>
    <xdr:sp macro="" textlink="">
      <xdr:nvSpPr>
        <xdr:cNvPr id="5979466" name="AutoShape 19" descr="caution"/>
        <xdr:cNvSpPr>
          <a:spLocks noChangeAspect="1" noChangeArrowheads="1"/>
        </xdr:cNvSpPr>
      </xdr:nvSpPr>
      <xdr:spPr bwMode="auto">
        <a:xfrm>
          <a:off x="0" y="201063225"/>
          <a:ext cx="609600" cy="1057275"/>
        </a:xfrm>
        <a:prstGeom prst="rect">
          <a:avLst/>
        </a:prstGeom>
        <a:noFill/>
        <a:ln w="9525">
          <a:noFill/>
          <a:miter lim="800000"/>
          <a:headEnd/>
          <a:tailEnd/>
        </a:ln>
      </xdr:spPr>
    </xdr:sp>
    <xdr:clientData/>
  </xdr:twoCellAnchor>
  <xdr:twoCellAnchor editAs="oneCell">
    <xdr:from>
      <xdr:col>3</xdr:col>
      <xdr:colOff>0</xdr:colOff>
      <xdr:row>1</xdr:row>
      <xdr:rowOff>0</xdr:rowOff>
    </xdr:from>
    <xdr:to>
      <xdr:col>3</xdr:col>
      <xdr:colOff>447675</xdr:colOff>
      <xdr:row>3</xdr:row>
      <xdr:rowOff>152400</xdr:rowOff>
    </xdr:to>
    <xdr:sp macro="" textlink="">
      <xdr:nvSpPr>
        <xdr:cNvPr id="5979467" name="AutoShape 26" descr="caution"/>
        <xdr:cNvSpPr>
          <a:spLocks noChangeAspect="1" noChangeArrowheads="1"/>
        </xdr:cNvSpPr>
      </xdr:nvSpPr>
      <xdr:spPr bwMode="auto">
        <a:xfrm>
          <a:off x="5495925" y="361950"/>
          <a:ext cx="447675" cy="876300"/>
        </a:xfrm>
        <a:prstGeom prst="rect">
          <a:avLst/>
        </a:prstGeom>
        <a:noFill/>
        <a:ln w="9525">
          <a:noFill/>
          <a:miter lim="800000"/>
          <a:headEnd/>
          <a:tailEnd/>
        </a:ln>
      </xdr:spPr>
    </xdr:sp>
    <xdr:clientData/>
  </xdr:twoCellAnchor>
  <xdr:twoCellAnchor editAs="oneCell">
    <xdr:from>
      <xdr:col>1</xdr:col>
      <xdr:colOff>0</xdr:colOff>
      <xdr:row>9</xdr:row>
      <xdr:rowOff>0</xdr:rowOff>
    </xdr:from>
    <xdr:to>
      <xdr:col>1</xdr:col>
      <xdr:colOff>447675</xdr:colOff>
      <xdr:row>11</xdr:row>
      <xdr:rowOff>123825</xdr:rowOff>
    </xdr:to>
    <xdr:sp macro="" textlink="">
      <xdr:nvSpPr>
        <xdr:cNvPr id="5979468" name="AutoShape 27" descr="caution"/>
        <xdr:cNvSpPr>
          <a:spLocks noChangeAspect="1" noChangeArrowheads="1"/>
        </xdr:cNvSpPr>
      </xdr:nvSpPr>
      <xdr:spPr bwMode="auto">
        <a:xfrm>
          <a:off x="733425" y="3257550"/>
          <a:ext cx="447675" cy="1028700"/>
        </a:xfrm>
        <a:prstGeom prst="rect">
          <a:avLst/>
        </a:prstGeom>
        <a:noFill/>
        <a:ln w="9525">
          <a:noFill/>
          <a:miter lim="800000"/>
          <a:headEnd/>
          <a:tailEnd/>
        </a:ln>
      </xdr:spPr>
    </xdr:sp>
    <xdr:clientData/>
  </xdr:twoCellAnchor>
  <xdr:twoCellAnchor editAs="oneCell">
    <xdr:from>
      <xdr:col>0</xdr:col>
      <xdr:colOff>0</xdr:colOff>
      <xdr:row>1</xdr:row>
      <xdr:rowOff>0</xdr:rowOff>
    </xdr:from>
    <xdr:to>
      <xdr:col>0</xdr:col>
      <xdr:colOff>609600</xdr:colOff>
      <xdr:row>3</xdr:row>
      <xdr:rowOff>152400</xdr:rowOff>
    </xdr:to>
    <xdr:sp macro="" textlink="">
      <xdr:nvSpPr>
        <xdr:cNvPr id="5979469" name="AutoShape 28" descr="caution"/>
        <xdr:cNvSpPr>
          <a:spLocks noChangeAspect="1" noChangeArrowheads="1"/>
        </xdr:cNvSpPr>
      </xdr:nvSpPr>
      <xdr:spPr bwMode="auto">
        <a:xfrm>
          <a:off x="0" y="361950"/>
          <a:ext cx="609600" cy="876300"/>
        </a:xfrm>
        <a:prstGeom prst="rect">
          <a:avLst/>
        </a:prstGeom>
        <a:noFill/>
        <a:ln w="9525">
          <a:noFill/>
          <a:miter lim="800000"/>
          <a:headEnd/>
          <a:tailEnd/>
        </a:ln>
      </xdr:spPr>
    </xdr:sp>
    <xdr:clientData/>
  </xdr:twoCellAnchor>
  <xdr:twoCellAnchor editAs="oneCell">
    <xdr:from>
      <xdr:col>3</xdr:col>
      <xdr:colOff>0</xdr:colOff>
      <xdr:row>1</xdr:row>
      <xdr:rowOff>0</xdr:rowOff>
    </xdr:from>
    <xdr:to>
      <xdr:col>3</xdr:col>
      <xdr:colOff>447675</xdr:colOff>
      <xdr:row>3</xdr:row>
      <xdr:rowOff>323850</xdr:rowOff>
    </xdr:to>
    <xdr:sp macro="" textlink="">
      <xdr:nvSpPr>
        <xdr:cNvPr id="5979470" name="AutoShape 29" descr="caution"/>
        <xdr:cNvSpPr>
          <a:spLocks noChangeAspect="1" noChangeArrowheads="1"/>
        </xdr:cNvSpPr>
      </xdr:nvSpPr>
      <xdr:spPr bwMode="auto">
        <a:xfrm>
          <a:off x="5495925" y="361950"/>
          <a:ext cx="447675" cy="1047750"/>
        </a:xfrm>
        <a:prstGeom prst="rect">
          <a:avLst/>
        </a:prstGeom>
        <a:noFill/>
        <a:ln w="9525">
          <a:noFill/>
          <a:miter lim="800000"/>
          <a:headEnd/>
          <a:tailEnd/>
        </a:ln>
      </xdr:spPr>
    </xdr:sp>
    <xdr:clientData/>
  </xdr:twoCellAnchor>
  <xdr:twoCellAnchor editAs="oneCell">
    <xdr:from>
      <xdr:col>1</xdr:col>
      <xdr:colOff>0</xdr:colOff>
      <xdr:row>11</xdr:row>
      <xdr:rowOff>0</xdr:rowOff>
    </xdr:from>
    <xdr:to>
      <xdr:col>1</xdr:col>
      <xdr:colOff>447675</xdr:colOff>
      <xdr:row>12</xdr:row>
      <xdr:rowOff>504825</xdr:rowOff>
    </xdr:to>
    <xdr:sp macro="" textlink="">
      <xdr:nvSpPr>
        <xdr:cNvPr id="5979471" name="AutoShape 30" descr="caution"/>
        <xdr:cNvSpPr>
          <a:spLocks noChangeAspect="1" noChangeArrowheads="1"/>
        </xdr:cNvSpPr>
      </xdr:nvSpPr>
      <xdr:spPr bwMode="auto">
        <a:xfrm>
          <a:off x="733425" y="4162425"/>
          <a:ext cx="447675" cy="1047750"/>
        </a:xfrm>
        <a:prstGeom prst="rect">
          <a:avLst/>
        </a:prstGeom>
        <a:noFill/>
        <a:ln w="9525">
          <a:noFill/>
          <a:miter lim="800000"/>
          <a:headEnd/>
          <a:tailEnd/>
        </a:ln>
      </xdr:spPr>
    </xdr:sp>
    <xdr:clientData/>
  </xdr:twoCellAnchor>
  <xdr:twoCellAnchor editAs="oneCell">
    <xdr:from>
      <xdr:col>0</xdr:col>
      <xdr:colOff>0</xdr:colOff>
      <xdr:row>1</xdr:row>
      <xdr:rowOff>0</xdr:rowOff>
    </xdr:from>
    <xdr:to>
      <xdr:col>0</xdr:col>
      <xdr:colOff>609600</xdr:colOff>
      <xdr:row>3</xdr:row>
      <xdr:rowOff>323850</xdr:rowOff>
    </xdr:to>
    <xdr:sp macro="" textlink="">
      <xdr:nvSpPr>
        <xdr:cNvPr id="5979472" name="AutoShape 31" descr="caution"/>
        <xdr:cNvSpPr>
          <a:spLocks noChangeAspect="1" noChangeArrowheads="1"/>
        </xdr:cNvSpPr>
      </xdr:nvSpPr>
      <xdr:spPr bwMode="auto">
        <a:xfrm>
          <a:off x="0" y="361950"/>
          <a:ext cx="609600" cy="1047750"/>
        </a:xfrm>
        <a:prstGeom prst="rect">
          <a:avLst/>
        </a:prstGeom>
        <a:noFill/>
        <a:ln w="9525">
          <a:noFill/>
          <a:miter lim="800000"/>
          <a:headEnd/>
          <a:tailEnd/>
        </a:ln>
      </xdr:spPr>
    </xdr:sp>
    <xdr:clientData/>
  </xdr:twoCellAnchor>
  <xdr:twoCellAnchor editAs="oneCell">
    <xdr:from>
      <xdr:col>0</xdr:col>
      <xdr:colOff>0</xdr:colOff>
      <xdr:row>470</xdr:row>
      <xdr:rowOff>0</xdr:rowOff>
    </xdr:from>
    <xdr:to>
      <xdr:col>0</xdr:col>
      <xdr:colOff>609600</xdr:colOff>
      <xdr:row>472</xdr:row>
      <xdr:rowOff>333375</xdr:rowOff>
    </xdr:to>
    <xdr:sp macro="" textlink="">
      <xdr:nvSpPr>
        <xdr:cNvPr id="5979473" name="AutoShape 32" descr="caution"/>
        <xdr:cNvSpPr>
          <a:spLocks noChangeAspect="1" noChangeArrowheads="1"/>
        </xdr:cNvSpPr>
      </xdr:nvSpPr>
      <xdr:spPr bwMode="auto">
        <a:xfrm>
          <a:off x="0" y="207940275"/>
          <a:ext cx="609600" cy="1057275"/>
        </a:xfrm>
        <a:prstGeom prst="rect">
          <a:avLst/>
        </a:prstGeom>
        <a:noFill/>
        <a:ln w="9525">
          <a:noFill/>
          <a:miter lim="800000"/>
          <a:headEnd/>
          <a:tailEnd/>
        </a:ln>
      </xdr:spPr>
    </xdr:sp>
    <xdr:clientData/>
  </xdr:twoCellAnchor>
  <xdr:twoCellAnchor editAs="oneCell">
    <xdr:from>
      <xdr:col>3</xdr:col>
      <xdr:colOff>0</xdr:colOff>
      <xdr:row>1</xdr:row>
      <xdr:rowOff>0</xdr:rowOff>
    </xdr:from>
    <xdr:to>
      <xdr:col>3</xdr:col>
      <xdr:colOff>447675</xdr:colOff>
      <xdr:row>1</xdr:row>
      <xdr:rowOff>514350</xdr:rowOff>
    </xdr:to>
    <xdr:sp macro="" textlink="">
      <xdr:nvSpPr>
        <xdr:cNvPr id="5979474" name="AutoShape 1" descr="caution"/>
        <xdr:cNvSpPr>
          <a:spLocks noChangeAspect="1" noChangeArrowheads="1"/>
        </xdr:cNvSpPr>
      </xdr:nvSpPr>
      <xdr:spPr bwMode="auto">
        <a:xfrm>
          <a:off x="5495925" y="361950"/>
          <a:ext cx="447675" cy="514350"/>
        </a:xfrm>
        <a:prstGeom prst="rect">
          <a:avLst/>
        </a:prstGeom>
        <a:noFill/>
        <a:ln w="9525">
          <a:noFill/>
          <a:miter lim="800000"/>
          <a:headEnd/>
          <a:tailEnd/>
        </a:ln>
      </xdr:spPr>
    </xdr:sp>
    <xdr:clientData/>
  </xdr:twoCellAnchor>
  <xdr:twoCellAnchor editAs="oneCell">
    <xdr:from>
      <xdr:col>1</xdr:col>
      <xdr:colOff>0</xdr:colOff>
      <xdr:row>9</xdr:row>
      <xdr:rowOff>0</xdr:rowOff>
    </xdr:from>
    <xdr:to>
      <xdr:col>1</xdr:col>
      <xdr:colOff>447675</xdr:colOff>
      <xdr:row>10</xdr:row>
      <xdr:rowOff>123825</xdr:rowOff>
    </xdr:to>
    <xdr:sp macro="" textlink="">
      <xdr:nvSpPr>
        <xdr:cNvPr id="5979475" name="AutoShape 2" descr="caution"/>
        <xdr:cNvSpPr>
          <a:spLocks noChangeAspect="1" noChangeArrowheads="1"/>
        </xdr:cNvSpPr>
      </xdr:nvSpPr>
      <xdr:spPr bwMode="auto">
        <a:xfrm>
          <a:off x="733425" y="3257550"/>
          <a:ext cx="447675" cy="485775"/>
        </a:xfrm>
        <a:prstGeom prst="rect">
          <a:avLst/>
        </a:prstGeom>
        <a:noFill/>
        <a:ln w="9525">
          <a:noFill/>
          <a:miter lim="800000"/>
          <a:headEnd/>
          <a:tailEnd/>
        </a:ln>
      </xdr:spPr>
    </xdr:sp>
    <xdr:clientData/>
  </xdr:twoCellAnchor>
  <xdr:twoCellAnchor editAs="oneCell">
    <xdr:from>
      <xdr:col>0</xdr:col>
      <xdr:colOff>0</xdr:colOff>
      <xdr:row>1</xdr:row>
      <xdr:rowOff>0</xdr:rowOff>
    </xdr:from>
    <xdr:to>
      <xdr:col>1</xdr:col>
      <xdr:colOff>0</xdr:colOff>
      <xdr:row>1</xdr:row>
      <xdr:rowOff>514350</xdr:rowOff>
    </xdr:to>
    <xdr:sp macro="" textlink="">
      <xdr:nvSpPr>
        <xdr:cNvPr id="5979476" name="AutoShape 3" descr="caution"/>
        <xdr:cNvSpPr>
          <a:spLocks noChangeAspect="1" noChangeArrowheads="1"/>
        </xdr:cNvSpPr>
      </xdr:nvSpPr>
      <xdr:spPr bwMode="auto">
        <a:xfrm>
          <a:off x="0" y="361950"/>
          <a:ext cx="733425" cy="514350"/>
        </a:xfrm>
        <a:prstGeom prst="rect">
          <a:avLst/>
        </a:prstGeom>
        <a:noFill/>
        <a:ln w="9525">
          <a:noFill/>
          <a:miter lim="800000"/>
          <a:headEnd/>
          <a:tailEnd/>
        </a:ln>
      </xdr:spPr>
    </xdr:sp>
    <xdr:clientData/>
  </xdr:twoCellAnchor>
  <xdr:twoCellAnchor editAs="oneCell">
    <xdr:from>
      <xdr:col>3</xdr:col>
      <xdr:colOff>0</xdr:colOff>
      <xdr:row>1</xdr:row>
      <xdr:rowOff>0</xdr:rowOff>
    </xdr:from>
    <xdr:to>
      <xdr:col>3</xdr:col>
      <xdr:colOff>447675</xdr:colOff>
      <xdr:row>2</xdr:row>
      <xdr:rowOff>0</xdr:rowOff>
    </xdr:to>
    <xdr:sp macro="" textlink="">
      <xdr:nvSpPr>
        <xdr:cNvPr id="5979477" name="AutoShape 16" descr="caution"/>
        <xdr:cNvSpPr>
          <a:spLocks noChangeAspect="1" noChangeArrowheads="1"/>
        </xdr:cNvSpPr>
      </xdr:nvSpPr>
      <xdr:spPr bwMode="auto">
        <a:xfrm>
          <a:off x="5495925" y="361950"/>
          <a:ext cx="447675" cy="542925"/>
        </a:xfrm>
        <a:prstGeom prst="rect">
          <a:avLst/>
        </a:prstGeom>
        <a:noFill/>
        <a:ln w="9525">
          <a:noFill/>
          <a:miter lim="800000"/>
          <a:headEnd/>
          <a:tailEnd/>
        </a:ln>
      </xdr:spPr>
    </xdr:sp>
    <xdr:clientData/>
  </xdr:twoCellAnchor>
  <xdr:twoCellAnchor editAs="oneCell">
    <xdr:from>
      <xdr:col>1</xdr:col>
      <xdr:colOff>0</xdr:colOff>
      <xdr:row>1</xdr:row>
      <xdr:rowOff>0</xdr:rowOff>
    </xdr:from>
    <xdr:to>
      <xdr:col>1</xdr:col>
      <xdr:colOff>447675</xdr:colOff>
      <xdr:row>2</xdr:row>
      <xdr:rowOff>0</xdr:rowOff>
    </xdr:to>
    <xdr:sp macro="" textlink="">
      <xdr:nvSpPr>
        <xdr:cNvPr id="5979478" name="AutoShape 17" descr="caution"/>
        <xdr:cNvSpPr>
          <a:spLocks noChangeAspect="1" noChangeArrowheads="1"/>
        </xdr:cNvSpPr>
      </xdr:nvSpPr>
      <xdr:spPr bwMode="auto">
        <a:xfrm>
          <a:off x="733425" y="361950"/>
          <a:ext cx="447675" cy="542925"/>
        </a:xfrm>
        <a:prstGeom prst="rect">
          <a:avLst/>
        </a:prstGeom>
        <a:noFill/>
        <a:ln w="9525">
          <a:noFill/>
          <a:miter lim="800000"/>
          <a:headEnd/>
          <a:tailEnd/>
        </a:ln>
      </xdr:spPr>
    </xdr:sp>
    <xdr:clientData/>
  </xdr:twoCellAnchor>
  <xdr:twoCellAnchor editAs="oneCell">
    <xdr:from>
      <xdr:col>0</xdr:col>
      <xdr:colOff>0</xdr:colOff>
      <xdr:row>1</xdr:row>
      <xdr:rowOff>0</xdr:rowOff>
    </xdr:from>
    <xdr:to>
      <xdr:col>1</xdr:col>
      <xdr:colOff>0</xdr:colOff>
      <xdr:row>2</xdr:row>
      <xdr:rowOff>0</xdr:rowOff>
    </xdr:to>
    <xdr:sp macro="" textlink="">
      <xdr:nvSpPr>
        <xdr:cNvPr id="5979479" name="AutoShape 18" descr="caution"/>
        <xdr:cNvSpPr>
          <a:spLocks noChangeAspect="1" noChangeArrowheads="1"/>
        </xdr:cNvSpPr>
      </xdr:nvSpPr>
      <xdr:spPr bwMode="auto">
        <a:xfrm>
          <a:off x="0" y="361950"/>
          <a:ext cx="733425" cy="542925"/>
        </a:xfrm>
        <a:prstGeom prst="rect">
          <a:avLst/>
        </a:prstGeom>
        <a:noFill/>
        <a:ln w="9525">
          <a:noFill/>
          <a:miter lim="800000"/>
          <a:headEnd/>
          <a:tailEnd/>
        </a:ln>
      </xdr:spPr>
    </xdr:sp>
    <xdr:clientData/>
  </xdr:twoCellAnchor>
  <xdr:twoCellAnchor editAs="oneCell">
    <xdr:from>
      <xdr:col>0</xdr:col>
      <xdr:colOff>0</xdr:colOff>
      <xdr:row>467</xdr:row>
      <xdr:rowOff>0</xdr:rowOff>
    </xdr:from>
    <xdr:to>
      <xdr:col>1</xdr:col>
      <xdr:colOff>0</xdr:colOff>
      <xdr:row>467</xdr:row>
      <xdr:rowOff>514350</xdr:rowOff>
    </xdr:to>
    <xdr:sp macro="" textlink="">
      <xdr:nvSpPr>
        <xdr:cNvPr id="5979480" name="AutoShape 19" descr="caution"/>
        <xdr:cNvSpPr>
          <a:spLocks noChangeAspect="1" noChangeArrowheads="1"/>
        </xdr:cNvSpPr>
      </xdr:nvSpPr>
      <xdr:spPr bwMode="auto">
        <a:xfrm>
          <a:off x="0" y="206673450"/>
          <a:ext cx="733425" cy="514350"/>
        </a:xfrm>
        <a:prstGeom prst="rect">
          <a:avLst/>
        </a:prstGeom>
        <a:noFill/>
        <a:ln w="9525">
          <a:noFill/>
          <a:miter lim="800000"/>
          <a:headEnd/>
          <a:tailEnd/>
        </a:ln>
      </xdr:spPr>
    </xdr:sp>
    <xdr:clientData/>
  </xdr:twoCellAnchor>
  <xdr:twoCellAnchor editAs="oneCell">
    <xdr:from>
      <xdr:col>3</xdr:col>
      <xdr:colOff>0</xdr:colOff>
      <xdr:row>1</xdr:row>
      <xdr:rowOff>0</xdr:rowOff>
    </xdr:from>
    <xdr:to>
      <xdr:col>3</xdr:col>
      <xdr:colOff>447675</xdr:colOff>
      <xdr:row>1</xdr:row>
      <xdr:rowOff>514350</xdr:rowOff>
    </xdr:to>
    <xdr:sp macro="" textlink="">
      <xdr:nvSpPr>
        <xdr:cNvPr id="5979481" name="AutoShape 26" descr="caution"/>
        <xdr:cNvSpPr>
          <a:spLocks noChangeAspect="1" noChangeArrowheads="1"/>
        </xdr:cNvSpPr>
      </xdr:nvSpPr>
      <xdr:spPr bwMode="auto">
        <a:xfrm>
          <a:off x="5495925" y="361950"/>
          <a:ext cx="447675" cy="514350"/>
        </a:xfrm>
        <a:prstGeom prst="rect">
          <a:avLst/>
        </a:prstGeom>
        <a:noFill/>
        <a:ln w="9525">
          <a:noFill/>
          <a:miter lim="800000"/>
          <a:headEnd/>
          <a:tailEnd/>
        </a:ln>
      </xdr:spPr>
    </xdr:sp>
    <xdr:clientData/>
  </xdr:twoCellAnchor>
  <xdr:twoCellAnchor editAs="oneCell">
    <xdr:from>
      <xdr:col>1</xdr:col>
      <xdr:colOff>0</xdr:colOff>
      <xdr:row>9</xdr:row>
      <xdr:rowOff>0</xdr:rowOff>
    </xdr:from>
    <xdr:to>
      <xdr:col>1</xdr:col>
      <xdr:colOff>447675</xdr:colOff>
      <xdr:row>10</xdr:row>
      <xdr:rowOff>123825</xdr:rowOff>
    </xdr:to>
    <xdr:sp macro="" textlink="">
      <xdr:nvSpPr>
        <xdr:cNvPr id="5979482" name="AutoShape 27" descr="caution"/>
        <xdr:cNvSpPr>
          <a:spLocks noChangeAspect="1" noChangeArrowheads="1"/>
        </xdr:cNvSpPr>
      </xdr:nvSpPr>
      <xdr:spPr bwMode="auto">
        <a:xfrm>
          <a:off x="733425" y="3257550"/>
          <a:ext cx="447675" cy="485775"/>
        </a:xfrm>
        <a:prstGeom prst="rect">
          <a:avLst/>
        </a:prstGeom>
        <a:noFill/>
        <a:ln w="9525">
          <a:noFill/>
          <a:miter lim="800000"/>
          <a:headEnd/>
          <a:tailEnd/>
        </a:ln>
      </xdr:spPr>
    </xdr:sp>
    <xdr:clientData/>
  </xdr:twoCellAnchor>
  <xdr:twoCellAnchor editAs="oneCell">
    <xdr:from>
      <xdr:col>0</xdr:col>
      <xdr:colOff>0</xdr:colOff>
      <xdr:row>1</xdr:row>
      <xdr:rowOff>0</xdr:rowOff>
    </xdr:from>
    <xdr:to>
      <xdr:col>1</xdr:col>
      <xdr:colOff>0</xdr:colOff>
      <xdr:row>1</xdr:row>
      <xdr:rowOff>514350</xdr:rowOff>
    </xdr:to>
    <xdr:sp macro="" textlink="">
      <xdr:nvSpPr>
        <xdr:cNvPr id="5979483" name="AutoShape 28" descr="caution"/>
        <xdr:cNvSpPr>
          <a:spLocks noChangeAspect="1" noChangeArrowheads="1"/>
        </xdr:cNvSpPr>
      </xdr:nvSpPr>
      <xdr:spPr bwMode="auto">
        <a:xfrm>
          <a:off x="0" y="361950"/>
          <a:ext cx="733425" cy="514350"/>
        </a:xfrm>
        <a:prstGeom prst="rect">
          <a:avLst/>
        </a:prstGeom>
        <a:noFill/>
        <a:ln w="9525">
          <a:noFill/>
          <a:miter lim="800000"/>
          <a:headEnd/>
          <a:tailEnd/>
        </a:ln>
      </xdr:spPr>
    </xdr:sp>
    <xdr:clientData/>
  </xdr:twoCellAnchor>
  <xdr:twoCellAnchor editAs="oneCell">
    <xdr:from>
      <xdr:col>3</xdr:col>
      <xdr:colOff>0</xdr:colOff>
      <xdr:row>1</xdr:row>
      <xdr:rowOff>0</xdr:rowOff>
    </xdr:from>
    <xdr:to>
      <xdr:col>3</xdr:col>
      <xdr:colOff>447675</xdr:colOff>
      <xdr:row>2</xdr:row>
      <xdr:rowOff>0</xdr:rowOff>
    </xdr:to>
    <xdr:sp macro="" textlink="">
      <xdr:nvSpPr>
        <xdr:cNvPr id="5979484" name="AutoShape 29" descr="caution"/>
        <xdr:cNvSpPr>
          <a:spLocks noChangeAspect="1" noChangeArrowheads="1"/>
        </xdr:cNvSpPr>
      </xdr:nvSpPr>
      <xdr:spPr bwMode="auto">
        <a:xfrm>
          <a:off x="5495925" y="361950"/>
          <a:ext cx="447675" cy="542925"/>
        </a:xfrm>
        <a:prstGeom prst="rect">
          <a:avLst/>
        </a:prstGeom>
        <a:noFill/>
        <a:ln w="9525">
          <a:noFill/>
          <a:miter lim="800000"/>
          <a:headEnd/>
          <a:tailEnd/>
        </a:ln>
      </xdr:spPr>
    </xdr:sp>
    <xdr:clientData/>
  </xdr:twoCellAnchor>
  <xdr:twoCellAnchor editAs="oneCell">
    <xdr:from>
      <xdr:col>1</xdr:col>
      <xdr:colOff>0</xdr:colOff>
      <xdr:row>11</xdr:row>
      <xdr:rowOff>0</xdr:rowOff>
    </xdr:from>
    <xdr:to>
      <xdr:col>1</xdr:col>
      <xdr:colOff>447675</xdr:colOff>
      <xdr:row>11</xdr:row>
      <xdr:rowOff>361950</xdr:rowOff>
    </xdr:to>
    <xdr:sp macro="" textlink="">
      <xdr:nvSpPr>
        <xdr:cNvPr id="5979485" name="AutoShape 30" descr="caution"/>
        <xdr:cNvSpPr>
          <a:spLocks noChangeAspect="1" noChangeArrowheads="1"/>
        </xdr:cNvSpPr>
      </xdr:nvSpPr>
      <xdr:spPr bwMode="auto">
        <a:xfrm>
          <a:off x="733425" y="4162425"/>
          <a:ext cx="447675" cy="361950"/>
        </a:xfrm>
        <a:prstGeom prst="rect">
          <a:avLst/>
        </a:prstGeom>
        <a:noFill/>
        <a:ln w="9525">
          <a:noFill/>
          <a:miter lim="800000"/>
          <a:headEnd/>
          <a:tailEnd/>
        </a:ln>
      </xdr:spPr>
    </xdr:sp>
    <xdr:clientData/>
  </xdr:twoCellAnchor>
  <xdr:twoCellAnchor editAs="oneCell">
    <xdr:from>
      <xdr:col>0</xdr:col>
      <xdr:colOff>0</xdr:colOff>
      <xdr:row>1</xdr:row>
      <xdr:rowOff>0</xdr:rowOff>
    </xdr:from>
    <xdr:to>
      <xdr:col>1</xdr:col>
      <xdr:colOff>0</xdr:colOff>
      <xdr:row>2</xdr:row>
      <xdr:rowOff>0</xdr:rowOff>
    </xdr:to>
    <xdr:sp macro="" textlink="">
      <xdr:nvSpPr>
        <xdr:cNvPr id="5979486" name="AutoShape 31" descr="caution"/>
        <xdr:cNvSpPr>
          <a:spLocks noChangeAspect="1" noChangeArrowheads="1"/>
        </xdr:cNvSpPr>
      </xdr:nvSpPr>
      <xdr:spPr bwMode="auto">
        <a:xfrm>
          <a:off x="0" y="361950"/>
          <a:ext cx="733425" cy="542925"/>
        </a:xfrm>
        <a:prstGeom prst="rect">
          <a:avLst/>
        </a:prstGeom>
        <a:noFill/>
        <a:ln w="9525">
          <a:noFill/>
          <a:miter lim="800000"/>
          <a:headEnd/>
          <a:tailEnd/>
        </a:ln>
      </xdr:spPr>
    </xdr:sp>
    <xdr:clientData/>
  </xdr:twoCellAnchor>
  <xdr:twoCellAnchor editAs="oneCell">
    <xdr:from>
      <xdr:col>0</xdr:col>
      <xdr:colOff>0</xdr:colOff>
      <xdr:row>482</xdr:row>
      <xdr:rowOff>0</xdr:rowOff>
    </xdr:from>
    <xdr:to>
      <xdr:col>1</xdr:col>
      <xdr:colOff>0</xdr:colOff>
      <xdr:row>482</xdr:row>
      <xdr:rowOff>361950</xdr:rowOff>
    </xdr:to>
    <xdr:sp macro="" textlink="">
      <xdr:nvSpPr>
        <xdr:cNvPr id="5979487" name="AutoShape 32" descr="caution"/>
        <xdr:cNvSpPr>
          <a:spLocks noChangeAspect="1" noChangeArrowheads="1"/>
        </xdr:cNvSpPr>
      </xdr:nvSpPr>
      <xdr:spPr bwMode="auto">
        <a:xfrm>
          <a:off x="0" y="214093425"/>
          <a:ext cx="733425" cy="361950"/>
        </a:xfrm>
        <a:prstGeom prst="rect">
          <a:avLst/>
        </a:prstGeom>
        <a:noFill/>
        <a:ln w="9525">
          <a:noFill/>
          <a:miter lim="800000"/>
          <a:headEnd/>
          <a:tailEnd/>
        </a:ln>
      </xdr:spPr>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3</xdr:col>
      <xdr:colOff>0</xdr:colOff>
      <xdr:row>1</xdr:row>
      <xdr:rowOff>0</xdr:rowOff>
    </xdr:from>
    <xdr:to>
      <xdr:col>11</xdr:col>
      <xdr:colOff>447675</xdr:colOff>
      <xdr:row>1201</xdr:row>
      <xdr:rowOff>161925</xdr:rowOff>
    </xdr:to>
    <xdr:sp macro="" textlink="">
      <xdr:nvSpPr>
        <xdr:cNvPr id="6092718" name="AutoShape 1" descr="caution"/>
        <xdr:cNvSpPr>
          <a:spLocks noChangeAspect="1" noChangeArrowheads="1"/>
        </xdr:cNvSpPr>
      </xdr:nvSpPr>
      <xdr:spPr bwMode="auto">
        <a:xfrm>
          <a:off x="2495550" y="647700"/>
          <a:ext cx="447675" cy="866775"/>
        </a:xfrm>
        <a:prstGeom prst="rect">
          <a:avLst/>
        </a:prstGeom>
        <a:noFill/>
        <a:ln w="9525">
          <a:noFill/>
          <a:miter lim="800000"/>
          <a:headEnd/>
          <a:tailEnd/>
        </a:ln>
      </xdr:spPr>
    </xdr:sp>
    <xdr:clientData/>
  </xdr:twoCellAnchor>
  <xdr:twoCellAnchor editAs="oneCell">
    <xdr:from>
      <xdr:col>1</xdr:col>
      <xdr:colOff>0</xdr:colOff>
      <xdr:row>9</xdr:row>
      <xdr:rowOff>0</xdr:rowOff>
    </xdr:from>
    <xdr:to>
      <xdr:col>1</xdr:col>
      <xdr:colOff>447675</xdr:colOff>
      <xdr:row>1202</xdr:row>
      <xdr:rowOff>133350</xdr:rowOff>
    </xdr:to>
    <xdr:sp macro="" textlink="">
      <xdr:nvSpPr>
        <xdr:cNvPr id="6092719" name="AutoShape 2" descr="caution"/>
        <xdr:cNvSpPr>
          <a:spLocks noChangeAspect="1" noChangeArrowheads="1"/>
        </xdr:cNvSpPr>
      </xdr:nvSpPr>
      <xdr:spPr bwMode="auto">
        <a:xfrm>
          <a:off x="447675" y="647700"/>
          <a:ext cx="447675" cy="1019175"/>
        </a:xfrm>
        <a:prstGeom prst="rect">
          <a:avLst/>
        </a:prstGeom>
        <a:noFill/>
        <a:ln w="9525">
          <a:noFill/>
          <a:miter lim="800000"/>
          <a:headEnd/>
          <a:tailEnd/>
        </a:ln>
      </xdr:spPr>
    </xdr:sp>
    <xdr:clientData/>
  </xdr:twoCellAnchor>
  <xdr:twoCellAnchor editAs="oneCell">
    <xdr:from>
      <xdr:col>0</xdr:col>
      <xdr:colOff>0</xdr:colOff>
      <xdr:row>1</xdr:row>
      <xdr:rowOff>0</xdr:rowOff>
    </xdr:from>
    <xdr:to>
      <xdr:col>1</xdr:col>
      <xdr:colOff>161925</xdr:colOff>
      <xdr:row>1201</xdr:row>
      <xdr:rowOff>161925</xdr:rowOff>
    </xdr:to>
    <xdr:sp macro="" textlink="">
      <xdr:nvSpPr>
        <xdr:cNvPr id="6092720" name="AutoShape 3" descr="caution"/>
        <xdr:cNvSpPr>
          <a:spLocks noChangeAspect="1" noChangeArrowheads="1"/>
        </xdr:cNvSpPr>
      </xdr:nvSpPr>
      <xdr:spPr bwMode="auto">
        <a:xfrm>
          <a:off x="0" y="647700"/>
          <a:ext cx="609600" cy="866775"/>
        </a:xfrm>
        <a:prstGeom prst="rect">
          <a:avLst/>
        </a:prstGeom>
        <a:noFill/>
        <a:ln w="9525">
          <a:noFill/>
          <a:miter lim="800000"/>
          <a:headEnd/>
          <a:tailEnd/>
        </a:ln>
      </xdr:spPr>
    </xdr:sp>
    <xdr:clientData/>
  </xdr:twoCellAnchor>
  <xdr:twoCellAnchor editAs="oneCell">
    <xdr:from>
      <xdr:col>3</xdr:col>
      <xdr:colOff>0</xdr:colOff>
      <xdr:row>1</xdr:row>
      <xdr:rowOff>0</xdr:rowOff>
    </xdr:from>
    <xdr:to>
      <xdr:col>11</xdr:col>
      <xdr:colOff>447675</xdr:colOff>
      <xdr:row>1202</xdr:row>
      <xdr:rowOff>152400</xdr:rowOff>
    </xdr:to>
    <xdr:sp macro="" textlink="">
      <xdr:nvSpPr>
        <xdr:cNvPr id="6092721" name="AutoShape 4" descr="caution"/>
        <xdr:cNvSpPr>
          <a:spLocks noChangeAspect="1" noChangeArrowheads="1"/>
        </xdr:cNvSpPr>
      </xdr:nvSpPr>
      <xdr:spPr bwMode="auto">
        <a:xfrm>
          <a:off x="2495550" y="647700"/>
          <a:ext cx="447675" cy="1038225"/>
        </a:xfrm>
        <a:prstGeom prst="rect">
          <a:avLst/>
        </a:prstGeom>
        <a:noFill/>
        <a:ln w="9525">
          <a:noFill/>
          <a:miter lim="800000"/>
          <a:headEnd/>
          <a:tailEnd/>
        </a:ln>
      </xdr:spPr>
    </xdr:sp>
    <xdr:clientData/>
  </xdr:twoCellAnchor>
  <xdr:twoCellAnchor editAs="oneCell">
    <xdr:from>
      <xdr:col>1</xdr:col>
      <xdr:colOff>0</xdr:colOff>
      <xdr:row>1</xdr:row>
      <xdr:rowOff>0</xdr:rowOff>
    </xdr:from>
    <xdr:to>
      <xdr:col>1</xdr:col>
      <xdr:colOff>447675</xdr:colOff>
      <xdr:row>1202</xdr:row>
      <xdr:rowOff>152400</xdr:rowOff>
    </xdr:to>
    <xdr:sp macro="" textlink="">
      <xdr:nvSpPr>
        <xdr:cNvPr id="6092722" name="AutoShape 5" descr="caution"/>
        <xdr:cNvSpPr>
          <a:spLocks noChangeAspect="1" noChangeArrowheads="1"/>
        </xdr:cNvSpPr>
      </xdr:nvSpPr>
      <xdr:spPr bwMode="auto">
        <a:xfrm>
          <a:off x="447675" y="647700"/>
          <a:ext cx="447675" cy="1038225"/>
        </a:xfrm>
        <a:prstGeom prst="rect">
          <a:avLst/>
        </a:prstGeom>
        <a:noFill/>
        <a:ln w="9525">
          <a:noFill/>
          <a:miter lim="800000"/>
          <a:headEnd/>
          <a:tailEnd/>
        </a:ln>
      </xdr:spPr>
    </xdr:sp>
    <xdr:clientData/>
  </xdr:twoCellAnchor>
  <xdr:twoCellAnchor editAs="oneCell">
    <xdr:from>
      <xdr:col>0</xdr:col>
      <xdr:colOff>0</xdr:colOff>
      <xdr:row>1</xdr:row>
      <xdr:rowOff>0</xdr:rowOff>
    </xdr:from>
    <xdr:to>
      <xdr:col>1</xdr:col>
      <xdr:colOff>161925</xdr:colOff>
      <xdr:row>1202</xdr:row>
      <xdr:rowOff>152400</xdr:rowOff>
    </xdr:to>
    <xdr:sp macro="" textlink="">
      <xdr:nvSpPr>
        <xdr:cNvPr id="6092723" name="AutoShape 6" descr="caution"/>
        <xdr:cNvSpPr>
          <a:spLocks noChangeAspect="1" noChangeArrowheads="1"/>
        </xdr:cNvSpPr>
      </xdr:nvSpPr>
      <xdr:spPr bwMode="auto">
        <a:xfrm>
          <a:off x="0" y="647700"/>
          <a:ext cx="609600" cy="1038225"/>
        </a:xfrm>
        <a:prstGeom prst="rect">
          <a:avLst/>
        </a:prstGeom>
        <a:noFill/>
        <a:ln w="9525">
          <a:noFill/>
          <a:miter lim="800000"/>
          <a:headEnd/>
          <a:tailEnd/>
        </a:ln>
      </xdr:spPr>
    </xdr:sp>
    <xdr:clientData/>
  </xdr:twoCellAnchor>
  <xdr:twoCellAnchor editAs="oneCell">
    <xdr:from>
      <xdr:col>0</xdr:col>
      <xdr:colOff>0</xdr:colOff>
      <xdr:row>455</xdr:row>
      <xdr:rowOff>0</xdr:rowOff>
    </xdr:from>
    <xdr:to>
      <xdr:col>1</xdr:col>
      <xdr:colOff>161925</xdr:colOff>
      <xdr:row>1202</xdr:row>
      <xdr:rowOff>161925</xdr:rowOff>
    </xdr:to>
    <xdr:sp macro="" textlink="">
      <xdr:nvSpPr>
        <xdr:cNvPr id="6092724" name="AutoShape 7" descr="caution"/>
        <xdr:cNvSpPr>
          <a:spLocks noChangeAspect="1" noChangeArrowheads="1"/>
        </xdr:cNvSpPr>
      </xdr:nvSpPr>
      <xdr:spPr bwMode="auto">
        <a:xfrm>
          <a:off x="0" y="647700"/>
          <a:ext cx="609600" cy="1047750"/>
        </a:xfrm>
        <a:prstGeom prst="rect">
          <a:avLst/>
        </a:prstGeom>
        <a:noFill/>
        <a:ln w="9525">
          <a:noFill/>
          <a:miter lim="800000"/>
          <a:headEnd/>
          <a:tailEnd/>
        </a:ln>
      </xdr:spPr>
    </xdr:sp>
    <xdr:clientData/>
  </xdr:twoCellAnchor>
  <xdr:twoCellAnchor editAs="oneCell">
    <xdr:from>
      <xdr:col>3</xdr:col>
      <xdr:colOff>0</xdr:colOff>
      <xdr:row>1</xdr:row>
      <xdr:rowOff>0</xdr:rowOff>
    </xdr:from>
    <xdr:to>
      <xdr:col>11</xdr:col>
      <xdr:colOff>447675</xdr:colOff>
      <xdr:row>1201</xdr:row>
      <xdr:rowOff>161925</xdr:rowOff>
    </xdr:to>
    <xdr:sp macro="" textlink="">
      <xdr:nvSpPr>
        <xdr:cNvPr id="6092725" name="AutoShape 8" descr="caution"/>
        <xdr:cNvSpPr>
          <a:spLocks noChangeAspect="1" noChangeArrowheads="1"/>
        </xdr:cNvSpPr>
      </xdr:nvSpPr>
      <xdr:spPr bwMode="auto">
        <a:xfrm>
          <a:off x="2495550" y="647700"/>
          <a:ext cx="447675" cy="866775"/>
        </a:xfrm>
        <a:prstGeom prst="rect">
          <a:avLst/>
        </a:prstGeom>
        <a:noFill/>
        <a:ln w="9525">
          <a:noFill/>
          <a:miter lim="800000"/>
          <a:headEnd/>
          <a:tailEnd/>
        </a:ln>
      </xdr:spPr>
    </xdr:sp>
    <xdr:clientData/>
  </xdr:twoCellAnchor>
  <xdr:twoCellAnchor editAs="oneCell">
    <xdr:from>
      <xdr:col>1</xdr:col>
      <xdr:colOff>0</xdr:colOff>
      <xdr:row>9</xdr:row>
      <xdr:rowOff>0</xdr:rowOff>
    </xdr:from>
    <xdr:to>
      <xdr:col>1</xdr:col>
      <xdr:colOff>447675</xdr:colOff>
      <xdr:row>1202</xdr:row>
      <xdr:rowOff>133350</xdr:rowOff>
    </xdr:to>
    <xdr:sp macro="" textlink="">
      <xdr:nvSpPr>
        <xdr:cNvPr id="6092726" name="AutoShape 9" descr="caution"/>
        <xdr:cNvSpPr>
          <a:spLocks noChangeAspect="1" noChangeArrowheads="1"/>
        </xdr:cNvSpPr>
      </xdr:nvSpPr>
      <xdr:spPr bwMode="auto">
        <a:xfrm>
          <a:off x="447675" y="647700"/>
          <a:ext cx="447675" cy="1019175"/>
        </a:xfrm>
        <a:prstGeom prst="rect">
          <a:avLst/>
        </a:prstGeom>
        <a:noFill/>
        <a:ln w="9525">
          <a:noFill/>
          <a:miter lim="800000"/>
          <a:headEnd/>
          <a:tailEnd/>
        </a:ln>
      </xdr:spPr>
    </xdr:sp>
    <xdr:clientData/>
  </xdr:twoCellAnchor>
  <xdr:twoCellAnchor editAs="oneCell">
    <xdr:from>
      <xdr:col>0</xdr:col>
      <xdr:colOff>0</xdr:colOff>
      <xdr:row>1</xdr:row>
      <xdr:rowOff>0</xdr:rowOff>
    </xdr:from>
    <xdr:to>
      <xdr:col>1</xdr:col>
      <xdr:colOff>161925</xdr:colOff>
      <xdr:row>1201</xdr:row>
      <xdr:rowOff>161925</xdr:rowOff>
    </xdr:to>
    <xdr:sp macro="" textlink="">
      <xdr:nvSpPr>
        <xdr:cNvPr id="6092727" name="AutoShape 10" descr="caution"/>
        <xdr:cNvSpPr>
          <a:spLocks noChangeAspect="1" noChangeArrowheads="1"/>
        </xdr:cNvSpPr>
      </xdr:nvSpPr>
      <xdr:spPr bwMode="auto">
        <a:xfrm>
          <a:off x="0" y="647700"/>
          <a:ext cx="609600" cy="866775"/>
        </a:xfrm>
        <a:prstGeom prst="rect">
          <a:avLst/>
        </a:prstGeom>
        <a:noFill/>
        <a:ln w="9525">
          <a:noFill/>
          <a:miter lim="800000"/>
          <a:headEnd/>
          <a:tailEnd/>
        </a:ln>
      </xdr:spPr>
    </xdr:sp>
    <xdr:clientData/>
  </xdr:twoCellAnchor>
  <xdr:twoCellAnchor editAs="oneCell">
    <xdr:from>
      <xdr:col>3</xdr:col>
      <xdr:colOff>0</xdr:colOff>
      <xdr:row>1</xdr:row>
      <xdr:rowOff>0</xdr:rowOff>
    </xdr:from>
    <xdr:to>
      <xdr:col>11</xdr:col>
      <xdr:colOff>447675</xdr:colOff>
      <xdr:row>1202</xdr:row>
      <xdr:rowOff>152400</xdr:rowOff>
    </xdr:to>
    <xdr:sp macro="" textlink="">
      <xdr:nvSpPr>
        <xdr:cNvPr id="6092728" name="AutoShape 11" descr="caution"/>
        <xdr:cNvSpPr>
          <a:spLocks noChangeAspect="1" noChangeArrowheads="1"/>
        </xdr:cNvSpPr>
      </xdr:nvSpPr>
      <xdr:spPr bwMode="auto">
        <a:xfrm>
          <a:off x="2495550" y="647700"/>
          <a:ext cx="447675" cy="1038225"/>
        </a:xfrm>
        <a:prstGeom prst="rect">
          <a:avLst/>
        </a:prstGeom>
        <a:noFill/>
        <a:ln w="9525">
          <a:noFill/>
          <a:miter lim="800000"/>
          <a:headEnd/>
          <a:tailEnd/>
        </a:ln>
      </xdr:spPr>
    </xdr:sp>
    <xdr:clientData/>
  </xdr:twoCellAnchor>
  <xdr:twoCellAnchor editAs="oneCell">
    <xdr:from>
      <xdr:col>1</xdr:col>
      <xdr:colOff>0</xdr:colOff>
      <xdr:row>11</xdr:row>
      <xdr:rowOff>0</xdr:rowOff>
    </xdr:from>
    <xdr:to>
      <xdr:col>1</xdr:col>
      <xdr:colOff>447675</xdr:colOff>
      <xdr:row>1202</xdr:row>
      <xdr:rowOff>152400</xdr:rowOff>
    </xdr:to>
    <xdr:sp macro="" textlink="">
      <xdr:nvSpPr>
        <xdr:cNvPr id="6092729" name="AutoShape 12" descr="caution"/>
        <xdr:cNvSpPr>
          <a:spLocks noChangeAspect="1" noChangeArrowheads="1"/>
        </xdr:cNvSpPr>
      </xdr:nvSpPr>
      <xdr:spPr bwMode="auto">
        <a:xfrm>
          <a:off x="447675" y="647700"/>
          <a:ext cx="447675" cy="1038225"/>
        </a:xfrm>
        <a:prstGeom prst="rect">
          <a:avLst/>
        </a:prstGeom>
        <a:noFill/>
        <a:ln w="9525">
          <a:noFill/>
          <a:miter lim="800000"/>
          <a:headEnd/>
          <a:tailEnd/>
        </a:ln>
      </xdr:spPr>
    </xdr:sp>
    <xdr:clientData/>
  </xdr:twoCellAnchor>
  <xdr:twoCellAnchor editAs="oneCell">
    <xdr:from>
      <xdr:col>0</xdr:col>
      <xdr:colOff>0</xdr:colOff>
      <xdr:row>1</xdr:row>
      <xdr:rowOff>0</xdr:rowOff>
    </xdr:from>
    <xdr:to>
      <xdr:col>1</xdr:col>
      <xdr:colOff>161925</xdr:colOff>
      <xdr:row>1202</xdr:row>
      <xdr:rowOff>152400</xdr:rowOff>
    </xdr:to>
    <xdr:sp macro="" textlink="">
      <xdr:nvSpPr>
        <xdr:cNvPr id="6092730" name="AutoShape 13" descr="caution"/>
        <xdr:cNvSpPr>
          <a:spLocks noChangeAspect="1" noChangeArrowheads="1"/>
        </xdr:cNvSpPr>
      </xdr:nvSpPr>
      <xdr:spPr bwMode="auto">
        <a:xfrm>
          <a:off x="0" y="647700"/>
          <a:ext cx="609600" cy="1038225"/>
        </a:xfrm>
        <a:prstGeom prst="rect">
          <a:avLst/>
        </a:prstGeom>
        <a:noFill/>
        <a:ln w="9525">
          <a:noFill/>
          <a:miter lim="800000"/>
          <a:headEnd/>
          <a:tailEnd/>
        </a:ln>
      </xdr:spPr>
    </xdr:sp>
    <xdr:clientData/>
  </xdr:twoCellAnchor>
  <xdr:twoCellAnchor editAs="oneCell">
    <xdr:from>
      <xdr:col>0</xdr:col>
      <xdr:colOff>0</xdr:colOff>
      <xdr:row>470</xdr:row>
      <xdr:rowOff>0</xdr:rowOff>
    </xdr:from>
    <xdr:to>
      <xdr:col>1</xdr:col>
      <xdr:colOff>161925</xdr:colOff>
      <xdr:row>1202</xdr:row>
      <xdr:rowOff>161925</xdr:rowOff>
    </xdr:to>
    <xdr:sp macro="" textlink="">
      <xdr:nvSpPr>
        <xdr:cNvPr id="6092731" name="AutoShape 14" descr="caution"/>
        <xdr:cNvSpPr>
          <a:spLocks noChangeAspect="1" noChangeArrowheads="1"/>
        </xdr:cNvSpPr>
      </xdr:nvSpPr>
      <xdr:spPr bwMode="auto">
        <a:xfrm>
          <a:off x="0" y="647700"/>
          <a:ext cx="609600" cy="1047750"/>
        </a:xfrm>
        <a:prstGeom prst="rect">
          <a:avLst/>
        </a:prstGeom>
        <a:noFill/>
        <a:ln w="9525">
          <a:noFill/>
          <a:miter lim="800000"/>
          <a:headEnd/>
          <a:tailEnd/>
        </a:ln>
      </xdr:spPr>
    </xdr:sp>
    <xdr:clientData/>
  </xdr:twoCellAnchor>
  <xdr:twoCellAnchor editAs="oneCell">
    <xdr:from>
      <xdr:col>3</xdr:col>
      <xdr:colOff>0</xdr:colOff>
      <xdr:row>1</xdr:row>
      <xdr:rowOff>0</xdr:rowOff>
    </xdr:from>
    <xdr:to>
      <xdr:col>11</xdr:col>
      <xdr:colOff>447675</xdr:colOff>
      <xdr:row>1201</xdr:row>
      <xdr:rowOff>161925</xdr:rowOff>
    </xdr:to>
    <xdr:sp macro="" textlink="">
      <xdr:nvSpPr>
        <xdr:cNvPr id="6092732" name="AutoShape 16" descr="caution"/>
        <xdr:cNvSpPr>
          <a:spLocks noChangeAspect="1" noChangeArrowheads="1"/>
        </xdr:cNvSpPr>
      </xdr:nvSpPr>
      <xdr:spPr bwMode="auto">
        <a:xfrm>
          <a:off x="2495550" y="647700"/>
          <a:ext cx="447675" cy="866775"/>
        </a:xfrm>
        <a:prstGeom prst="rect">
          <a:avLst/>
        </a:prstGeom>
        <a:noFill/>
        <a:ln w="9525">
          <a:noFill/>
          <a:miter lim="800000"/>
          <a:headEnd/>
          <a:tailEnd/>
        </a:ln>
      </xdr:spPr>
    </xdr:sp>
    <xdr:clientData/>
  </xdr:twoCellAnchor>
  <xdr:twoCellAnchor editAs="oneCell">
    <xdr:from>
      <xdr:col>1</xdr:col>
      <xdr:colOff>0</xdr:colOff>
      <xdr:row>9</xdr:row>
      <xdr:rowOff>0</xdr:rowOff>
    </xdr:from>
    <xdr:to>
      <xdr:col>1</xdr:col>
      <xdr:colOff>447675</xdr:colOff>
      <xdr:row>1202</xdr:row>
      <xdr:rowOff>142875</xdr:rowOff>
    </xdr:to>
    <xdr:sp macro="" textlink="">
      <xdr:nvSpPr>
        <xdr:cNvPr id="6092733" name="AutoShape 17" descr="caution"/>
        <xdr:cNvSpPr>
          <a:spLocks noChangeAspect="1" noChangeArrowheads="1"/>
        </xdr:cNvSpPr>
      </xdr:nvSpPr>
      <xdr:spPr bwMode="auto">
        <a:xfrm>
          <a:off x="447675" y="647700"/>
          <a:ext cx="447675" cy="1028700"/>
        </a:xfrm>
        <a:prstGeom prst="rect">
          <a:avLst/>
        </a:prstGeom>
        <a:noFill/>
        <a:ln w="9525">
          <a:noFill/>
          <a:miter lim="800000"/>
          <a:headEnd/>
          <a:tailEnd/>
        </a:ln>
      </xdr:spPr>
    </xdr:sp>
    <xdr:clientData/>
  </xdr:twoCellAnchor>
  <xdr:twoCellAnchor editAs="oneCell">
    <xdr:from>
      <xdr:col>0</xdr:col>
      <xdr:colOff>0</xdr:colOff>
      <xdr:row>1</xdr:row>
      <xdr:rowOff>0</xdr:rowOff>
    </xdr:from>
    <xdr:to>
      <xdr:col>1</xdr:col>
      <xdr:colOff>161925</xdr:colOff>
      <xdr:row>1201</xdr:row>
      <xdr:rowOff>161925</xdr:rowOff>
    </xdr:to>
    <xdr:sp macro="" textlink="">
      <xdr:nvSpPr>
        <xdr:cNvPr id="6092734" name="AutoShape 18" descr="caution"/>
        <xdr:cNvSpPr>
          <a:spLocks noChangeAspect="1" noChangeArrowheads="1"/>
        </xdr:cNvSpPr>
      </xdr:nvSpPr>
      <xdr:spPr bwMode="auto">
        <a:xfrm>
          <a:off x="0" y="647700"/>
          <a:ext cx="609600" cy="866775"/>
        </a:xfrm>
        <a:prstGeom prst="rect">
          <a:avLst/>
        </a:prstGeom>
        <a:noFill/>
        <a:ln w="9525">
          <a:noFill/>
          <a:miter lim="800000"/>
          <a:headEnd/>
          <a:tailEnd/>
        </a:ln>
      </xdr:spPr>
    </xdr:sp>
    <xdr:clientData/>
  </xdr:twoCellAnchor>
  <xdr:twoCellAnchor editAs="oneCell">
    <xdr:from>
      <xdr:col>3</xdr:col>
      <xdr:colOff>0</xdr:colOff>
      <xdr:row>1</xdr:row>
      <xdr:rowOff>0</xdr:rowOff>
    </xdr:from>
    <xdr:to>
      <xdr:col>11</xdr:col>
      <xdr:colOff>447675</xdr:colOff>
      <xdr:row>1202</xdr:row>
      <xdr:rowOff>152400</xdr:rowOff>
    </xdr:to>
    <xdr:sp macro="" textlink="">
      <xdr:nvSpPr>
        <xdr:cNvPr id="6092735" name="AutoShape 19" descr="caution"/>
        <xdr:cNvSpPr>
          <a:spLocks noChangeAspect="1" noChangeArrowheads="1"/>
        </xdr:cNvSpPr>
      </xdr:nvSpPr>
      <xdr:spPr bwMode="auto">
        <a:xfrm>
          <a:off x="2495550" y="647700"/>
          <a:ext cx="447675" cy="1038225"/>
        </a:xfrm>
        <a:prstGeom prst="rect">
          <a:avLst/>
        </a:prstGeom>
        <a:noFill/>
        <a:ln w="9525">
          <a:noFill/>
          <a:miter lim="800000"/>
          <a:headEnd/>
          <a:tailEnd/>
        </a:ln>
      </xdr:spPr>
    </xdr:sp>
    <xdr:clientData/>
  </xdr:twoCellAnchor>
  <xdr:twoCellAnchor editAs="oneCell">
    <xdr:from>
      <xdr:col>1</xdr:col>
      <xdr:colOff>0</xdr:colOff>
      <xdr:row>87</xdr:row>
      <xdr:rowOff>0</xdr:rowOff>
    </xdr:from>
    <xdr:to>
      <xdr:col>1</xdr:col>
      <xdr:colOff>447675</xdr:colOff>
      <xdr:row>1202</xdr:row>
      <xdr:rowOff>152400</xdr:rowOff>
    </xdr:to>
    <xdr:sp macro="" textlink="">
      <xdr:nvSpPr>
        <xdr:cNvPr id="6092736" name="AutoShape 20" descr="caution"/>
        <xdr:cNvSpPr>
          <a:spLocks noChangeAspect="1" noChangeArrowheads="1"/>
        </xdr:cNvSpPr>
      </xdr:nvSpPr>
      <xdr:spPr bwMode="auto">
        <a:xfrm>
          <a:off x="447675" y="647700"/>
          <a:ext cx="447675" cy="1038225"/>
        </a:xfrm>
        <a:prstGeom prst="rect">
          <a:avLst/>
        </a:prstGeom>
        <a:noFill/>
        <a:ln w="9525">
          <a:noFill/>
          <a:miter lim="800000"/>
          <a:headEnd/>
          <a:tailEnd/>
        </a:ln>
      </xdr:spPr>
    </xdr:sp>
    <xdr:clientData/>
  </xdr:twoCellAnchor>
  <xdr:twoCellAnchor editAs="oneCell">
    <xdr:from>
      <xdr:col>0</xdr:col>
      <xdr:colOff>0</xdr:colOff>
      <xdr:row>1</xdr:row>
      <xdr:rowOff>0</xdr:rowOff>
    </xdr:from>
    <xdr:to>
      <xdr:col>1</xdr:col>
      <xdr:colOff>161925</xdr:colOff>
      <xdr:row>1202</xdr:row>
      <xdr:rowOff>152400</xdr:rowOff>
    </xdr:to>
    <xdr:sp macro="" textlink="">
      <xdr:nvSpPr>
        <xdr:cNvPr id="6092737" name="AutoShape 21" descr="caution"/>
        <xdr:cNvSpPr>
          <a:spLocks noChangeAspect="1" noChangeArrowheads="1"/>
        </xdr:cNvSpPr>
      </xdr:nvSpPr>
      <xdr:spPr bwMode="auto">
        <a:xfrm>
          <a:off x="0" y="647700"/>
          <a:ext cx="609600" cy="1038225"/>
        </a:xfrm>
        <a:prstGeom prst="rect">
          <a:avLst/>
        </a:prstGeom>
        <a:noFill/>
        <a:ln w="9525">
          <a:noFill/>
          <a:miter lim="800000"/>
          <a:headEnd/>
          <a:tailEnd/>
        </a:ln>
      </xdr:spPr>
    </xdr:sp>
    <xdr:clientData/>
  </xdr:twoCellAnchor>
  <xdr:twoCellAnchor editAs="oneCell">
    <xdr:from>
      <xdr:col>0</xdr:col>
      <xdr:colOff>0</xdr:colOff>
      <xdr:row>455</xdr:row>
      <xdr:rowOff>0</xdr:rowOff>
    </xdr:from>
    <xdr:to>
      <xdr:col>1</xdr:col>
      <xdr:colOff>161925</xdr:colOff>
      <xdr:row>1202</xdr:row>
      <xdr:rowOff>161925</xdr:rowOff>
    </xdr:to>
    <xdr:sp macro="" textlink="">
      <xdr:nvSpPr>
        <xdr:cNvPr id="6092738" name="AutoShape 22" descr="caution"/>
        <xdr:cNvSpPr>
          <a:spLocks noChangeAspect="1" noChangeArrowheads="1"/>
        </xdr:cNvSpPr>
      </xdr:nvSpPr>
      <xdr:spPr bwMode="auto">
        <a:xfrm>
          <a:off x="0" y="647700"/>
          <a:ext cx="609600" cy="1047750"/>
        </a:xfrm>
        <a:prstGeom prst="rect">
          <a:avLst/>
        </a:prstGeom>
        <a:noFill/>
        <a:ln w="9525">
          <a:noFill/>
          <a:miter lim="800000"/>
          <a:headEnd/>
          <a:tailEnd/>
        </a:ln>
      </xdr:spPr>
    </xdr:sp>
    <xdr:clientData/>
  </xdr:twoCellAnchor>
  <xdr:twoCellAnchor editAs="oneCell">
    <xdr:from>
      <xdr:col>3</xdr:col>
      <xdr:colOff>0</xdr:colOff>
      <xdr:row>1</xdr:row>
      <xdr:rowOff>0</xdr:rowOff>
    </xdr:from>
    <xdr:to>
      <xdr:col>11</xdr:col>
      <xdr:colOff>447675</xdr:colOff>
      <xdr:row>1201</xdr:row>
      <xdr:rowOff>161925</xdr:rowOff>
    </xdr:to>
    <xdr:sp macro="" textlink="">
      <xdr:nvSpPr>
        <xdr:cNvPr id="6092739" name="AutoShape 23" descr="caution"/>
        <xdr:cNvSpPr>
          <a:spLocks noChangeAspect="1" noChangeArrowheads="1"/>
        </xdr:cNvSpPr>
      </xdr:nvSpPr>
      <xdr:spPr bwMode="auto">
        <a:xfrm>
          <a:off x="2495550" y="647700"/>
          <a:ext cx="447675" cy="866775"/>
        </a:xfrm>
        <a:prstGeom prst="rect">
          <a:avLst/>
        </a:prstGeom>
        <a:noFill/>
        <a:ln w="9525">
          <a:noFill/>
          <a:miter lim="800000"/>
          <a:headEnd/>
          <a:tailEnd/>
        </a:ln>
      </xdr:spPr>
    </xdr:sp>
    <xdr:clientData/>
  </xdr:twoCellAnchor>
  <xdr:twoCellAnchor editAs="oneCell">
    <xdr:from>
      <xdr:col>1</xdr:col>
      <xdr:colOff>0</xdr:colOff>
      <xdr:row>9</xdr:row>
      <xdr:rowOff>0</xdr:rowOff>
    </xdr:from>
    <xdr:to>
      <xdr:col>1</xdr:col>
      <xdr:colOff>447675</xdr:colOff>
      <xdr:row>1202</xdr:row>
      <xdr:rowOff>142875</xdr:rowOff>
    </xdr:to>
    <xdr:sp macro="" textlink="">
      <xdr:nvSpPr>
        <xdr:cNvPr id="6092740" name="AutoShape 24" descr="caution"/>
        <xdr:cNvSpPr>
          <a:spLocks noChangeAspect="1" noChangeArrowheads="1"/>
        </xdr:cNvSpPr>
      </xdr:nvSpPr>
      <xdr:spPr bwMode="auto">
        <a:xfrm>
          <a:off x="447675" y="647700"/>
          <a:ext cx="447675" cy="1028700"/>
        </a:xfrm>
        <a:prstGeom prst="rect">
          <a:avLst/>
        </a:prstGeom>
        <a:noFill/>
        <a:ln w="9525">
          <a:noFill/>
          <a:miter lim="800000"/>
          <a:headEnd/>
          <a:tailEnd/>
        </a:ln>
      </xdr:spPr>
    </xdr:sp>
    <xdr:clientData/>
  </xdr:twoCellAnchor>
  <xdr:twoCellAnchor editAs="oneCell">
    <xdr:from>
      <xdr:col>0</xdr:col>
      <xdr:colOff>0</xdr:colOff>
      <xdr:row>1</xdr:row>
      <xdr:rowOff>0</xdr:rowOff>
    </xdr:from>
    <xdr:to>
      <xdr:col>1</xdr:col>
      <xdr:colOff>161925</xdr:colOff>
      <xdr:row>1201</xdr:row>
      <xdr:rowOff>161925</xdr:rowOff>
    </xdr:to>
    <xdr:sp macro="" textlink="">
      <xdr:nvSpPr>
        <xdr:cNvPr id="6092741" name="AutoShape 25" descr="caution"/>
        <xdr:cNvSpPr>
          <a:spLocks noChangeAspect="1" noChangeArrowheads="1"/>
        </xdr:cNvSpPr>
      </xdr:nvSpPr>
      <xdr:spPr bwMode="auto">
        <a:xfrm>
          <a:off x="0" y="647700"/>
          <a:ext cx="609600" cy="866775"/>
        </a:xfrm>
        <a:prstGeom prst="rect">
          <a:avLst/>
        </a:prstGeom>
        <a:noFill/>
        <a:ln w="9525">
          <a:noFill/>
          <a:miter lim="800000"/>
          <a:headEnd/>
          <a:tailEnd/>
        </a:ln>
      </xdr:spPr>
    </xdr:sp>
    <xdr:clientData/>
  </xdr:twoCellAnchor>
  <xdr:twoCellAnchor editAs="oneCell">
    <xdr:from>
      <xdr:col>3</xdr:col>
      <xdr:colOff>0</xdr:colOff>
      <xdr:row>1</xdr:row>
      <xdr:rowOff>0</xdr:rowOff>
    </xdr:from>
    <xdr:to>
      <xdr:col>11</xdr:col>
      <xdr:colOff>447675</xdr:colOff>
      <xdr:row>1202</xdr:row>
      <xdr:rowOff>152400</xdr:rowOff>
    </xdr:to>
    <xdr:sp macro="" textlink="">
      <xdr:nvSpPr>
        <xdr:cNvPr id="6092742" name="AutoShape 26" descr="caution"/>
        <xdr:cNvSpPr>
          <a:spLocks noChangeAspect="1" noChangeArrowheads="1"/>
        </xdr:cNvSpPr>
      </xdr:nvSpPr>
      <xdr:spPr bwMode="auto">
        <a:xfrm>
          <a:off x="2495550" y="647700"/>
          <a:ext cx="447675" cy="1038225"/>
        </a:xfrm>
        <a:prstGeom prst="rect">
          <a:avLst/>
        </a:prstGeom>
        <a:noFill/>
        <a:ln w="9525">
          <a:noFill/>
          <a:miter lim="800000"/>
          <a:headEnd/>
          <a:tailEnd/>
        </a:ln>
      </xdr:spPr>
    </xdr:sp>
    <xdr:clientData/>
  </xdr:twoCellAnchor>
  <xdr:twoCellAnchor editAs="oneCell">
    <xdr:from>
      <xdr:col>1</xdr:col>
      <xdr:colOff>0</xdr:colOff>
      <xdr:row>89</xdr:row>
      <xdr:rowOff>0</xdr:rowOff>
    </xdr:from>
    <xdr:to>
      <xdr:col>1</xdr:col>
      <xdr:colOff>447675</xdr:colOff>
      <xdr:row>1202</xdr:row>
      <xdr:rowOff>152400</xdr:rowOff>
    </xdr:to>
    <xdr:sp macro="" textlink="">
      <xdr:nvSpPr>
        <xdr:cNvPr id="6092743" name="AutoShape 27" descr="caution"/>
        <xdr:cNvSpPr>
          <a:spLocks noChangeAspect="1" noChangeArrowheads="1"/>
        </xdr:cNvSpPr>
      </xdr:nvSpPr>
      <xdr:spPr bwMode="auto">
        <a:xfrm>
          <a:off x="447675" y="647700"/>
          <a:ext cx="447675" cy="1038225"/>
        </a:xfrm>
        <a:prstGeom prst="rect">
          <a:avLst/>
        </a:prstGeom>
        <a:noFill/>
        <a:ln w="9525">
          <a:noFill/>
          <a:miter lim="800000"/>
          <a:headEnd/>
          <a:tailEnd/>
        </a:ln>
      </xdr:spPr>
    </xdr:sp>
    <xdr:clientData/>
  </xdr:twoCellAnchor>
  <xdr:twoCellAnchor editAs="oneCell">
    <xdr:from>
      <xdr:col>0</xdr:col>
      <xdr:colOff>0</xdr:colOff>
      <xdr:row>1</xdr:row>
      <xdr:rowOff>0</xdr:rowOff>
    </xdr:from>
    <xdr:to>
      <xdr:col>1</xdr:col>
      <xdr:colOff>161925</xdr:colOff>
      <xdr:row>1202</xdr:row>
      <xdr:rowOff>152400</xdr:rowOff>
    </xdr:to>
    <xdr:sp macro="" textlink="">
      <xdr:nvSpPr>
        <xdr:cNvPr id="6092744" name="AutoShape 28" descr="caution"/>
        <xdr:cNvSpPr>
          <a:spLocks noChangeAspect="1" noChangeArrowheads="1"/>
        </xdr:cNvSpPr>
      </xdr:nvSpPr>
      <xdr:spPr bwMode="auto">
        <a:xfrm>
          <a:off x="0" y="647700"/>
          <a:ext cx="609600" cy="1038225"/>
        </a:xfrm>
        <a:prstGeom prst="rect">
          <a:avLst/>
        </a:prstGeom>
        <a:noFill/>
        <a:ln w="9525">
          <a:noFill/>
          <a:miter lim="800000"/>
          <a:headEnd/>
          <a:tailEnd/>
        </a:ln>
      </xdr:spPr>
    </xdr:sp>
    <xdr:clientData/>
  </xdr:twoCellAnchor>
  <xdr:twoCellAnchor editAs="oneCell">
    <xdr:from>
      <xdr:col>0</xdr:col>
      <xdr:colOff>0</xdr:colOff>
      <xdr:row>470</xdr:row>
      <xdr:rowOff>0</xdr:rowOff>
    </xdr:from>
    <xdr:to>
      <xdr:col>1</xdr:col>
      <xdr:colOff>161925</xdr:colOff>
      <xdr:row>1202</xdr:row>
      <xdr:rowOff>161925</xdr:rowOff>
    </xdr:to>
    <xdr:sp macro="" textlink="">
      <xdr:nvSpPr>
        <xdr:cNvPr id="6092745" name="AutoShape 29" descr="caution"/>
        <xdr:cNvSpPr>
          <a:spLocks noChangeAspect="1" noChangeArrowheads="1"/>
        </xdr:cNvSpPr>
      </xdr:nvSpPr>
      <xdr:spPr bwMode="auto">
        <a:xfrm>
          <a:off x="0" y="647700"/>
          <a:ext cx="609600" cy="1047750"/>
        </a:xfrm>
        <a:prstGeom prst="rect">
          <a:avLst/>
        </a:prstGeom>
        <a:noFill/>
        <a:ln w="9525">
          <a:noFill/>
          <a:miter lim="800000"/>
          <a:headEnd/>
          <a:tailEnd/>
        </a:ln>
      </xdr:spPr>
    </xdr:sp>
    <xdr:clientData/>
  </xdr:twoCellAnchor>
  <xdr:twoCellAnchor editAs="oneCell">
    <xdr:from>
      <xdr:col>3</xdr:col>
      <xdr:colOff>0</xdr:colOff>
      <xdr:row>1</xdr:row>
      <xdr:rowOff>0</xdr:rowOff>
    </xdr:from>
    <xdr:to>
      <xdr:col>11</xdr:col>
      <xdr:colOff>447675</xdr:colOff>
      <xdr:row>1201</xdr:row>
      <xdr:rowOff>161925</xdr:rowOff>
    </xdr:to>
    <xdr:sp macro="" textlink="">
      <xdr:nvSpPr>
        <xdr:cNvPr id="6092746" name="AutoShape 30" descr="caution"/>
        <xdr:cNvSpPr>
          <a:spLocks noChangeAspect="1" noChangeArrowheads="1"/>
        </xdr:cNvSpPr>
      </xdr:nvSpPr>
      <xdr:spPr bwMode="auto">
        <a:xfrm>
          <a:off x="2495550" y="647700"/>
          <a:ext cx="447675" cy="866775"/>
        </a:xfrm>
        <a:prstGeom prst="rect">
          <a:avLst/>
        </a:prstGeom>
        <a:noFill/>
        <a:ln w="9525">
          <a:noFill/>
          <a:miter lim="800000"/>
          <a:headEnd/>
          <a:tailEnd/>
        </a:ln>
      </xdr:spPr>
    </xdr:sp>
    <xdr:clientData/>
  </xdr:twoCellAnchor>
  <xdr:twoCellAnchor editAs="oneCell">
    <xdr:from>
      <xdr:col>1</xdr:col>
      <xdr:colOff>0</xdr:colOff>
      <xdr:row>9</xdr:row>
      <xdr:rowOff>0</xdr:rowOff>
    </xdr:from>
    <xdr:to>
      <xdr:col>1</xdr:col>
      <xdr:colOff>447675</xdr:colOff>
      <xdr:row>1202</xdr:row>
      <xdr:rowOff>142875</xdr:rowOff>
    </xdr:to>
    <xdr:sp macro="" textlink="">
      <xdr:nvSpPr>
        <xdr:cNvPr id="6092747" name="AutoShape 31" descr="caution"/>
        <xdr:cNvSpPr>
          <a:spLocks noChangeAspect="1" noChangeArrowheads="1"/>
        </xdr:cNvSpPr>
      </xdr:nvSpPr>
      <xdr:spPr bwMode="auto">
        <a:xfrm>
          <a:off x="447675" y="647700"/>
          <a:ext cx="447675" cy="1028700"/>
        </a:xfrm>
        <a:prstGeom prst="rect">
          <a:avLst/>
        </a:prstGeom>
        <a:noFill/>
        <a:ln w="9525">
          <a:noFill/>
          <a:miter lim="800000"/>
          <a:headEnd/>
          <a:tailEnd/>
        </a:ln>
      </xdr:spPr>
    </xdr:sp>
    <xdr:clientData/>
  </xdr:twoCellAnchor>
  <xdr:twoCellAnchor editAs="oneCell">
    <xdr:from>
      <xdr:col>0</xdr:col>
      <xdr:colOff>0</xdr:colOff>
      <xdr:row>1</xdr:row>
      <xdr:rowOff>0</xdr:rowOff>
    </xdr:from>
    <xdr:to>
      <xdr:col>1</xdr:col>
      <xdr:colOff>161925</xdr:colOff>
      <xdr:row>1201</xdr:row>
      <xdr:rowOff>161925</xdr:rowOff>
    </xdr:to>
    <xdr:sp macro="" textlink="">
      <xdr:nvSpPr>
        <xdr:cNvPr id="6092748" name="AutoShape 32" descr="caution"/>
        <xdr:cNvSpPr>
          <a:spLocks noChangeAspect="1" noChangeArrowheads="1"/>
        </xdr:cNvSpPr>
      </xdr:nvSpPr>
      <xdr:spPr bwMode="auto">
        <a:xfrm>
          <a:off x="0" y="647700"/>
          <a:ext cx="609600" cy="866775"/>
        </a:xfrm>
        <a:prstGeom prst="rect">
          <a:avLst/>
        </a:prstGeom>
        <a:noFill/>
        <a:ln w="9525">
          <a:noFill/>
          <a:miter lim="800000"/>
          <a:headEnd/>
          <a:tailEnd/>
        </a:ln>
      </xdr:spPr>
    </xdr:sp>
    <xdr:clientData/>
  </xdr:twoCellAnchor>
  <xdr:twoCellAnchor editAs="oneCell">
    <xdr:from>
      <xdr:col>3</xdr:col>
      <xdr:colOff>0</xdr:colOff>
      <xdr:row>1</xdr:row>
      <xdr:rowOff>0</xdr:rowOff>
    </xdr:from>
    <xdr:to>
      <xdr:col>11</xdr:col>
      <xdr:colOff>447675</xdr:colOff>
      <xdr:row>1202</xdr:row>
      <xdr:rowOff>152400</xdr:rowOff>
    </xdr:to>
    <xdr:sp macro="" textlink="">
      <xdr:nvSpPr>
        <xdr:cNvPr id="6092749" name="AutoShape 33" descr="caution"/>
        <xdr:cNvSpPr>
          <a:spLocks noChangeAspect="1" noChangeArrowheads="1"/>
        </xdr:cNvSpPr>
      </xdr:nvSpPr>
      <xdr:spPr bwMode="auto">
        <a:xfrm>
          <a:off x="2495550" y="647700"/>
          <a:ext cx="447675" cy="1038225"/>
        </a:xfrm>
        <a:prstGeom prst="rect">
          <a:avLst/>
        </a:prstGeom>
        <a:noFill/>
        <a:ln w="9525">
          <a:noFill/>
          <a:miter lim="800000"/>
          <a:headEnd/>
          <a:tailEnd/>
        </a:ln>
      </xdr:spPr>
    </xdr:sp>
    <xdr:clientData/>
  </xdr:twoCellAnchor>
  <xdr:twoCellAnchor editAs="oneCell">
    <xdr:from>
      <xdr:col>1</xdr:col>
      <xdr:colOff>0</xdr:colOff>
      <xdr:row>87</xdr:row>
      <xdr:rowOff>0</xdr:rowOff>
    </xdr:from>
    <xdr:to>
      <xdr:col>1</xdr:col>
      <xdr:colOff>447675</xdr:colOff>
      <xdr:row>1202</xdr:row>
      <xdr:rowOff>152400</xdr:rowOff>
    </xdr:to>
    <xdr:sp macro="" textlink="">
      <xdr:nvSpPr>
        <xdr:cNvPr id="6092750" name="AutoShape 34" descr="caution"/>
        <xdr:cNvSpPr>
          <a:spLocks noChangeAspect="1" noChangeArrowheads="1"/>
        </xdr:cNvSpPr>
      </xdr:nvSpPr>
      <xdr:spPr bwMode="auto">
        <a:xfrm>
          <a:off x="447675" y="647700"/>
          <a:ext cx="447675" cy="1038225"/>
        </a:xfrm>
        <a:prstGeom prst="rect">
          <a:avLst/>
        </a:prstGeom>
        <a:noFill/>
        <a:ln w="9525">
          <a:noFill/>
          <a:miter lim="800000"/>
          <a:headEnd/>
          <a:tailEnd/>
        </a:ln>
      </xdr:spPr>
    </xdr:sp>
    <xdr:clientData/>
  </xdr:twoCellAnchor>
  <xdr:twoCellAnchor editAs="oneCell">
    <xdr:from>
      <xdr:col>0</xdr:col>
      <xdr:colOff>0</xdr:colOff>
      <xdr:row>1</xdr:row>
      <xdr:rowOff>0</xdr:rowOff>
    </xdr:from>
    <xdr:to>
      <xdr:col>1</xdr:col>
      <xdr:colOff>161925</xdr:colOff>
      <xdr:row>1202</xdr:row>
      <xdr:rowOff>152400</xdr:rowOff>
    </xdr:to>
    <xdr:sp macro="" textlink="">
      <xdr:nvSpPr>
        <xdr:cNvPr id="6092751" name="AutoShape 35" descr="caution"/>
        <xdr:cNvSpPr>
          <a:spLocks noChangeAspect="1" noChangeArrowheads="1"/>
        </xdr:cNvSpPr>
      </xdr:nvSpPr>
      <xdr:spPr bwMode="auto">
        <a:xfrm>
          <a:off x="0" y="647700"/>
          <a:ext cx="609600" cy="1038225"/>
        </a:xfrm>
        <a:prstGeom prst="rect">
          <a:avLst/>
        </a:prstGeom>
        <a:noFill/>
        <a:ln w="9525">
          <a:noFill/>
          <a:miter lim="800000"/>
          <a:headEnd/>
          <a:tailEnd/>
        </a:ln>
      </xdr:spPr>
    </xdr:sp>
    <xdr:clientData/>
  </xdr:twoCellAnchor>
  <xdr:twoCellAnchor editAs="oneCell">
    <xdr:from>
      <xdr:col>0</xdr:col>
      <xdr:colOff>0</xdr:colOff>
      <xdr:row>455</xdr:row>
      <xdr:rowOff>0</xdr:rowOff>
    </xdr:from>
    <xdr:to>
      <xdr:col>1</xdr:col>
      <xdr:colOff>161925</xdr:colOff>
      <xdr:row>1202</xdr:row>
      <xdr:rowOff>161925</xdr:rowOff>
    </xdr:to>
    <xdr:sp macro="" textlink="">
      <xdr:nvSpPr>
        <xdr:cNvPr id="6092752" name="AutoShape 36" descr="caution"/>
        <xdr:cNvSpPr>
          <a:spLocks noChangeAspect="1" noChangeArrowheads="1"/>
        </xdr:cNvSpPr>
      </xdr:nvSpPr>
      <xdr:spPr bwMode="auto">
        <a:xfrm>
          <a:off x="0" y="647700"/>
          <a:ext cx="609600" cy="1047750"/>
        </a:xfrm>
        <a:prstGeom prst="rect">
          <a:avLst/>
        </a:prstGeom>
        <a:noFill/>
        <a:ln w="9525">
          <a:noFill/>
          <a:miter lim="800000"/>
          <a:headEnd/>
          <a:tailEnd/>
        </a:ln>
      </xdr:spPr>
    </xdr:sp>
    <xdr:clientData/>
  </xdr:twoCellAnchor>
  <xdr:twoCellAnchor editAs="oneCell">
    <xdr:from>
      <xdr:col>3</xdr:col>
      <xdr:colOff>0</xdr:colOff>
      <xdr:row>1</xdr:row>
      <xdr:rowOff>0</xdr:rowOff>
    </xdr:from>
    <xdr:to>
      <xdr:col>11</xdr:col>
      <xdr:colOff>447675</xdr:colOff>
      <xdr:row>1201</xdr:row>
      <xdr:rowOff>161925</xdr:rowOff>
    </xdr:to>
    <xdr:sp macro="" textlink="">
      <xdr:nvSpPr>
        <xdr:cNvPr id="6092753" name="AutoShape 37" descr="caution"/>
        <xdr:cNvSpPr>
          <a:spLocks noChangeAspect="1" noChangeArrowheads="1"/>
        </xdr:cNvSpPr>
      </xdr:nvSpPr>
      <xdr:spPr bwMode="auto">
        <a:xfrm>
          <a:off x="2495550" y="647700"/>
          <a:ext cx="447675" cy="866775"/>
        </a:xfrm>
        <a:prstGeom prst="rect">
          <a:avLst/>
        </a:prstGeom>
        <a:noFill/>
        <a:ln w="9525">
          <a:noFill/>
          <a:miter lim="800000"/>
          <a:headEnd/>
          <a:tailEnd/>
        </a:ln>
      </xdr:spPr>
    </xdr:sp>
    <xdr:clientData/>
  </xdr:twoCellAnchor>
  <xdr:twoCellAnchor editAs="oneCell">
    <xdr:from>
      <xdr:col>1</xdr:col>
      <xdr:colOff>0</xdr:colOff>
      <xdr:row>9</xdr:row>
      <xdr:rowOff>0</xdr:rowOff>
    </xdr:from>
    <xdr:to>
      <xdr:col>1</xdr:col>
      <xdr:colOff>447675</xdr:colOff>
      <xdr:row>1202</xdr:row>
      <xdr:rowOff>142875</xdr:rowOff>
    </xdr:to>
    <xdr:sp macro="" textlink="">
      <xdr:nvSpPr>
        <xdr:cNvPr id="6092754" name="AutoShape 38" descr="caution"/>
        <xdr:cNvSpPr>
          <a:spLocks noChangeAspect="1" noChangeArrowheads="1"/>
        </xdr:cNvSpPr>
      </xdr:nvSpPr>
      <xdr:spPr bwMode="auto">
        <a:xfrm>
          <a:off x="447675" y="647700"/>
          <a:ext cx="447675" cy="1028700"/>
        </a:xfrm>
        <a:prstGeom prst="rect">
          <a:avLst/>
        </a:prstGeom>
        <a:noFill/>
        <a:ln w="9525">
          <a:noFill/>
          <a:miter lim="800000"/>
          <a:headEnd/>
          <a:tailEnd/>
        </a:ln>
      </xdr:spPr>
    </xdr:sp>
    <xdr:clientData/>
  </xdr:twoCellAnchor>
  <xdr:twoCellAnchor editAs="oneCell">
    <xdr:from>
      <xdr:col>0</xdr:col>
      <xdr:colOff>0</xdr:colOff>
      <xdr:row>1</xdr:row>
      <xdr:rowOff>0</xdr:rowOff>
    </xdr:from>
    <xdr:to>
      <xdr:col>1</xdr:col>
      <xdr:colOff>161925</xdr:colOff>
      <xdr:row>1201</xdr:row>
      <xdr:rowOff>161925</xdr:rowOff>
    </xdr:to>
    <xdr:sp macro="" textlink="">
      <xdr:nvSpPr>
        <xdr:cNvPr id="6092755" name="AutoShape 39" descr="caution"/>
        <xdr:cNvSpPr>
          <a:spLocks noChangeAspect="1" noChangeArrowheads="1"/>
        </xdr:cNvSpPr>
      </xdr:nvSpPr>
      <xdr:spPr bwMode="auto">
        <a:xfrm>
          <a:off x="0" y="647700"/>
          <a:ext cx="609600" cy="866775"/>
        </a:xfrm>
        <a:prstGeom prst="rect">
          <a:avLst/>
        </a:prstGeom>
        <a:noFill/>
        <a:ln w="9525">
          <a:noFill/>
          <a:miter lim="800000"/>
          <a:headEnd/>
          <a:tailEnd/>
        </a:ln>
      </xdr:spPr>
    </xdr:sp>
    <xdr:clientData/>
  </xdr:twoCellAnchor>
  <xdr:twoCellAnchor editAs="oneCell">
    <xdr:from>
      <xdr:col>3</xdr:col>
      <xdr:colOff>0</xdr:colOff>
      <xdr:row>1</xdr:row>
      <xdr:rowOff>0</xdr:rowOff>
    </xdr:from>
    <xdr:to>
      <xdr:col>11</xdr:col>
      <xdr:colOff>447675</xdr:colOff>
      <xdr:row>1202</xdr:row>
      <xdr:rowOff>152400</xdr:rowOff>
    </xdr:to>
    <xdr:sp macro="" textlink="">
      <xdr:nvSpPr>
        <xdr:cNvPr id="6092756" name="AutoShape 40" descr="caution"/>
        <xdr:cNvSpPr>
          <a:spLocks noChangeAspect="1" noChangeArrowheads="1"/>
        </xdr:cNvSpPr>
      </xdr:nvSpPr>
      <xdr:spPr bwMode="auto">
        <a:xfrm>
          <a:off x="2495550" y="647700"/>
          <a:ext cx="447675" cy="1038225"/>
        </a:xfrm>
        <a:prstGeom prst="rect">
          <a:avLst/>
        </a:prstGeom>
        <a:noFill/>
        <a:ln w="9525">
          <a:noFill/>
          <a:miter lim="800000"/>
          <a:headEnd/>
          <a:tailEnd/>
        </a:ln>
      </xdr:spPr>
    </xdr:sp>
    <xdr:clientData/>
  </xdr:twoCellAnchor>
  <xdr:twoCellAnchor editAs="oneCell">
    <xdr:from>
      <xdr:col>1</xdr:col>
      <xdr:colOff>0</xdr:colOff>
      <xdr:row>89</xdr:row>
      <xdr:rowOff>0</xdr:rowOff>
    </xdr:from>
    <xdr:to>
      <xdr:col>1</xdr:col>
      <xdr:colOff>447675</xdr:colOff>
      <xdr:row>1202</xdr:row>
      <xdr:rowOff>152400</xdr:rowOff>
    </xdr:to>
    <xdr:sp macro="" textlink="">
      <xdr:nvSpPr>
        <xdr:cNvPr id="6092757" name="AutoShape 41" descr="caution"/>
        <xdr:cNvSpPr>
          <a:spLocks noChangeAspect="1" noChangeArrowheads="1"/>
        </xdr:cNvSpPr>
      </xdr:nvSpPr>
      <xdr:spPr bwMode="auto">
        <a:xfrm>
          <a:off x="447675" y="647700"/>
          <a:ext cx="447675" cy="1038225"/>
        </a:xfrm>
        <a:prstGeom prst="rect">
          <a:avLst/>
        </a:prstGeom>
        <a:noFill/>
        <a:ln w="9525">
          <a:noFill/>
          <a:miter lim="800000"/>
          <a:headEnd/>
          <a:tailEnd/>
        </a:ln>
      </xdr:spPr>
    </xdr:sp>
    <xdr:clientData/>
  </xdr:twoCellAnchor>
  <xdr:twoCellAnchor editAs="oneCell">
    <xdr:from>
      <xdr:col>0</xdr:col>
      <xdr:colOff>0</xdr:colOff>
      <xdr:row>1</xdr:row>
      <xdr:rowOff>0</xdr:rowOff>
    </xdr:from>
    <xdr:to>
      <xdr:col>1</xdr:col>
      <xdr:colOff>161925</xdr:colOff>
      <xdr:row>1202</xdr:row>
      <xdr:rowOff>152400</xdr:rowOff>
    </xdr:to>
    <xdr:sp macro="" textlink="">
      <xdr:nvSpPr>
        <xdr:cNvPr id="6092758" name="AutoShape 42" descr="caution"/>
        <xdr:cNvSpPr>
          <a:spLocks noChangeAspect="1" noChangeArrowheads="1"/>
        </xdr:cNvSpPr>
      </xdr:nvSpPr>
      <xdr:spPr bwMode="auto">
        <a:xfrm>
          <a:off x="0" y="647700"/>
          <a:ext cx="609600" cy="1038225"/>
        </a:xfrm>
        <a:prstGeom prst="rect">
          <a:avLst/>
        </a:prstGeom>
        <a:noFill/>
        <a:ln w="9525">
          <a:noFill/>
          <a:miter lim="800000"/>
          <a:headEnd/>
          <a:tailEnd/>
        </a:ln>
      </xdr:spPr>
    </xdr:sp>
    <xdr:clientData/>
  </xdr:twoCellAnchor>
  <xdr:twoCellAnchor editAs="oneCell">
    <xdr:from>
      <xdr:col>0</xdr:col>
      <xdr:colOff>0</xdr:colOff>
      <xdr:row>470</xdr:row>
      <xdr:rowOff>0</xdr:rowOff>
    </xdr:from>
    <xdr:to>
      <xdr:col>1</xdr:col>
      <xdr:colOff>161925</xdr:colOff>
      <xdr:row>1202</xdr:row>
      <xdr:rowOff>161925</xdr:rowOff>
    </xdr:to>
    <xdr:sp macro="" textlink="">
      <xdr:nvSpPr>
        <xdr:cNvPr id="6092759" name="AutoShape 43" descr="caution"/>
        <xdr:cNvSpPr>
          <a:spLocks noChangeAspect="1" noChangeArrowheads="1"/>
        </xdr:cNvSpPr>
      </xdr:nvSpPr>
      <xdr:spPr bwMode="auto">
        <a:xfrm>
          <a:off x="0" y="647700"/>
          <a:ext cx="609600" cy="1047750"/>
        </a:xfrm>
        <a:prstGeom prst="rect">
          <a:avLst/>
        </a:prstGeom>
        <a:noFill/>
        <a:ln w="9525">
          <a:noFill/>
          <a:miter lim="800000"/>
          <a:headEnd/>
          <a:tailEnd/>
        </a:ln>
      </xdr:spPr>
    </xdr:sp>
    <xdr:clientData/>
  </xdr:twoCellAnchor>
  <xdr:twoCellAnchor editAs="oneCell">
    <xdr:from>
      <xdr:col>3</xdr:col>
      <xdr:colOff>0</xdr:colOff>
      <xdr:row>1</xdr:row>
      <xdr:rowOff>0</xdr:rowOff>
    </xdr:from>
    <xdr:to>
      <xdr:col>11</xdr:col>
      <xdr:colOff>447675</xdr:colOff>
      <xdr:row>1201</xdr:row>
      <xdr:rowOff>161925</xdr:rowOff>
    </xdr:to>
    <xdr:sp macro="" textlink="">
      <xdr:nvSpPr>
        <xdr:cNvPr id="6092760" name="AutoShape 44" descr="caution"/>
        <xdr:cNvSpPr>
          <a:spLocks noChangeAspect="1" noChangeArrowheads="1"/>
        </xdr:cNvSpPr>
      </xdr:nvSpPr>
      <xdr:spPr bwMode="auto">
        <a:xfrm>
          <a:off x="2495550" y="647700"/>
          <a:ext cx="447675" cy="866775"/>
        </a:xfrm>
        <a:prstGeom prst="rect">
          <a:avLst/>
        </a:prstGeom>
        <a:noFill/>
        <a:ln w="9525">
          <a:noFill/>
          <a:miter lim="800000"/>
          <a:headEnd/>
          <a:tailEnd/>
        </a:ln>
      </xdr:spPr>
    </xdr:sp>
    <xdr:clientData/>
  </xdr:twoCellAnchor>
  <xdr:twoCellAnchor editAs="oneCell">
    <xdr:from>
      <xdr:col>1</xdr:col>
      <xdr:colOff>0</xdr:colOff>
      <xdr:row>9</xdr:row>
      <xdr:rowOff>0</xdr:rowOff>
    </xdr:from>
    <xdr:to>
      <xdr:col>1</xdr:col>
      <xdr:colOff>447675</xdr:colOff>
      <xdr:row>1202</xdr:row>
      <xdr:rowOff>142875</xdr:rowOff>
    </xdr:to>
    <xdr:sp macro="" textlink="">
      <xdr:nvSpPr>
        <xdr:cNvPr id="6092761" name="AutoShape 45" descr="caution"/>
        <xdr:cNvSpPr>
          <a:spLocks noChangeAspect="1" noChangeArrowheads="1"/>
        </xdr:cNvSpPr>
      </xdr:nvSpPr>
      <xdr:spPr bwMode="auto">
        <a:xfrm>
          <a:off x="447675" y="647700"/>
          <a:ext cx="447675" cy="1028700"/>
        </a:xfrm>
        <a:prstGeom prst="rect">
          <a:avLst/>
        </a:prstGeom>
        <a:noFill/>
        <a:ln w="9525">
          <a:noFill/>
          <a:miter lim="800000"/>
          <a:headEnd/>
          <a:tailEnd/>
        </a:ln>
      </xdr:spPr>
    </xdr:sp>
    <xdr:clientData/>
  </xdr:twoCellAnchor>
  <xdr:twoCellAnchor editAs="oneCell">
    <xdr:from>
      <xdr:col>0</xdr:col>
      <xdr:colOff>0</xdr:colOff>
      <xdr:row>1</xdr:row>
      <xdr:rowOff>0</xdr:rowOff>
    </xdr:from>
    <xdr:to>
      <xdr:col>1</xdr:col>
      <xdr:colOff>161925</xdr:colOff>
      <xdr:row>1201</xdr:row>
      <xdr:rowOff>161925</xdr:rowOff>
    </xdr:to>
    <xdr:sp macro="" textlink="">
      <xdr:nvSpPr>
        <xdr:cNvPr id="6092762" name="AutoShape 46" descr="caution"/>
        <xdr:cNvSpPr>
          <a:spLocks noChangeAspect="1" noChangeArrowheads="1"/>
        </xdr:cNvSpPr>
      </xdr:nvSpPr>
      <xdr:spPr bwMode="auto">
        <a:xfrm>
          <a:off x="0" y="647700"/>
          <a:ext cx="609600" cy="866775"/>
        </a:xfrm>
        <a:prstGeom prst="rect">
          <a:avLst/>
        </a:prstGeom>
        <a:noFill/>
        <a:ln w="9525">
          <a:noFill/>
          <a:miter lim="800000"/>
          <a:headEnd/>
          <a:tailEnd/>
        </a:ln>
      </xdr:spPr>
    </xdr:sp>
    <xdr:clientData/>
  </xdr:twoCellAnchor>
  <xdr:twoCellAnchor editAs="oneCell">
    <xdr:from>
      <xdr:col>3</xdr:col>
      <xdr:colOff>0</xdr:colOff>
      <xdr:row>1</xdr:row>
      <xdr:rowOff>0</xdr:rowOff>
    </xdr:from>
    <xdr:to>
      <xdr:col>11</xdr:col>
      <xdr:colOff>447675</xdr:colOff>
      <xdr:row>1202</xdr:row>
      <xdr:rowOff>152400</xdr:rowOff>
    </xdr:to>
    <xdr:sp macro="" textlink="">
      <xdr:nvSpPr>
        <xdr:cNvPr id="6092763" name="AutoShape 47" descr="caution"/>
        <xdr:cNvSpPr>
          <a:spLocks noChangeAspect="1" noChangeArrowheads="1"/>
        </xdr:cNvSpPr>
      </xdr:nvSpPr>
      <xdr:spPr bwMode="auto">
        <a:xfrm>
          <a:off x="2495550" y="647700"/>
          <a:ext cx="447675" cy="1038225"/>
        </a:xfrm>
        <a:prstGeom prst="rect">
          <a:avLst/>
        </a:prstGeom>
        <a:noFill/>
        <a:ln w="9525">
          <a:noFill/>
          <a:miter lim="800000"/>
          <a:headEnd/>
          <a:tailEnd/>
        </a:ln>
      </xdr:spPr>
    </xdr:sp>
    <xdr:clientData/>
  </xdr:twoCellAnchor>
  <xdr:twoCellAnchor editAs="oneCell">
    <xdr:from>
      <xdr:col>1</xdr:col>
      <xdr:colOff>0</xdr:colOff>
      <xdr:row>87</xdr:row>
      <xdr:rowOff>0</xdr:rowOff>
    </xdr:from>
    <xdr:to>
      <xdr:col>1</xdr:col>
      <xdr:colOff>447675</xdr:colOff>
      <xdr:row>1202</xdr:row>
      <xdr:rowOff>152400</xdr:rowOff>
    </xdr:to>
    <xdr:sp macro="" textlink="">
      <xdr:nvSpPr>
        <xdr:cNvPr id="6092764" name="AutoShape 48" descr="caution"/>
        <xdr:cNvSpPr>
          <a:spLocks noChangeAspect="1" noChangeArrowheads="1"/>
        </xdr:cNvSpPr>
      </xdr:nvSpPr>
      <xdr:spPr bwMode="auto">
        <a:xfrm>
          <a:off x="447675" y="647700"/>
          <a:ext cx="447675" cy="1038225"/>
        </a:xfrm>
        <a:prstGeom prst="rect">
          <a:avLst/>
        </a:prstGeom>
        <a:noFill/>
        <a:ln w="9525">
          <a:noFill/>
          <a:miter lim="800000"/>
          <a:headEnd/>
          <a:tailEnd/>
        </a:ln>
      </xdr:spPr>
    </xdr:sp>
    <xdr:clientData/>
  </xdr:twoCellAnchor>
  <xdr:twoCellAnchor editAs="oneCell">
    <xdr:from>
      <xdr:col>0</xdr:col>
      <xdr:colOff>0</xdr:colOff>
      <xdr:row>1</xdr:row>
      <xdr:rowOff>0</xdr:rowOff>
    </xdr:from>
    <xdr:to>
      <xdr:col>1</xdr:col>
      <xdr:colOff>161925</xdr:colOff>
      <xdr:row>1202</xdr:row>
      <xdr:rowOff>152400</xdr:rowOff>
    </xdr:to>
    <xdr:sp macro="" textlink="">
      <xdr:nvSpPr>
        <xdr:cNvPr id="6092765" name="AutoShape 49" descr="caution"/>
        <xdr:cNvSpPr>
          <a:spLocks noChangeAspect="1" noChangeArrowheads="1"/>
        </xdr:cNvSpPr>
      </xdr:nvSpPr>
      <xdr:spPr bwMode="auto">
        <a:xfrm>
          <a:off x="0" y="647700"/>
          <a:ext cx="609600" cy="1038225"/>
        </a:xfrm>
        <a:prstGeom prst="rect">
          <a:avLst/>
        </a:prstGeom>
        <a:noFill/>
        <a:ln w="9525">
          <a:noFill/>
          <a:miter lim="800000"/>
          <a:headEnd/>
          <a:tailEnd/>
        </a:ln>
      </xdr:spPr>
    </xdr:sp>
    <xdr:clientData/>
  </xdr:twoCellAnchor>
  <xdr:twoCellAnchor editAs="oneCell">
    <xdr:from>
      <xdr:col>0</xdr:col>
      <xdr:colOff>0</xdr:colOff>
      <xdr:row>455</xdr:row>
      <xdr:rowOff>0</xdr:rowOff>
    </xdr:from>
    <xdr:to>
      <xdr:col>1</xdr:col>
      <xdr:colOff>161925</xdr:colOff>
      <xdr:row>1202</xdr:row>
      <xdr:rowOff>161925</xdr:rowOff>
    </xdr:to>
    <xdr:sp macro="" textlink="">
      <xdr:nvSpPr>
        <xdr:cNvPr id="6092766" name="AutoShape 50" descr="caution"/>
        <xdr:cNvSpPr>
          <a:spLocks noChangeAspect="1" noChangeArrowheads="1"/>
        </xdr:cNvSpPr>
      </xdr:nvSpPr>
      <xdr:spPr bwMode="auto">
        <a:xfrm>
          <a:off x="0" y="647700"/>
          <a:ext cx="609600" cy="1047750"/>
        </a:xfrm>
        <a:prstGeom prst="rect">
          <a:avLst/>
        </a:prstGeom>
        <a:noFill/>
        <a:ln w="9525">
          <a:noFill/>
          <a:miter lim="800000"/>
          <a:headEnd/>
          <a:tailEnd/>
        </a:ln>
      </xdr:spPr>
    </xdr:sp>
    <xdr:clientData/>
  </xdr:twoCellAnchor>
  <xdr:twoCellAnchor editAs="oneCell">
    <xdr:from>
      <xdr:col>3</xdr:col>
      <xdr:colOff>0</xdr:colOff>
      <xdr:row>1</xdr:row>
      <xdr:rowOff>0</xdr:rowOff>
    </xdr:from>
    <xdr:to>
      <xdr:col>11</xdr:col>
      <xdr:colOff>447675</xdr:colOff>
      <xdr:row>1201</xdr:row>
      <xdr:rowOff>161925</xdr:rowOff>
    </xdr:to>
    <xdr:sp macro="" textlink="">
      <xdr:nvSpPr>
        <xdr:cNvPr id="6092767" name="AutoShape 51" descr="caution"/>
        <xdr:cNvSpPr>
          <a:spLocks noChangeAspect="1" noChangeArrowheads="1"/>
        </xdr:cNvSpPr>
      </xdr:nvSpPr>
      <xdr:spPr bwMode="auto">
        <a:xfrm>
          <a:off x="2495550" y="647700"/>
          <a:ext cx="447675" cy="866775"/>
        </a:xfrm>
        <a:prstGeom prst="rect">
          <a:avLst/>
        </a:prstGeom>
        <a:noFill/>
        <a:ln w="9525">
          <a:noFill/>
          <a:miter lim="800000"/>
          <a:headEnd/>
          <a:tailEnd/>
        </a:ln>
      </xdr:spPr>
    </xdr:sp>
    <xdr:clientData/>
  </xdr:twoCellAnchor>
  <xdr:twoCellAnchor editAs="oneCell">
    <xdr:from>
      <xdr:col>1</xdr:col>
      <xdr:colOff>0</xdr:colOff>
      <xdr:row>9</xdr:row>
      <xdr:rowOff>0</xdr:rowOff>
    </xdr:from>
    <xdr:to>
      <xdr:col>1</xdr:col>
      <xdr:colOff>447675</xdr:colOff>
      <xdr:row>1202</xdr:row>
      <xdr:rowOff>142875</xdr:rowOff>
    </xdr:to>
    <xdr:sp macro="" textlink="">
      <xdr:nvSpPr>
        <xdr:cNvPr id="6092768" name="AutoShape 52" descr="caution"/>
        <xdr:cNvSpPr>
          <a:spLocks noChangeAspect="1" noChangeArrowheads="1"/>
        </xdr:cNvSpPr>
      </xdr:nvSpPr>
      <xdr:spPr bwMode="auto">
        <a:xfrm>
          <a:off x="447675" y="647700"/>
          <a:ext cx="447675" cy="1028700"/>
        </a:xfrm>
        <a:prstGeom prst="rect">
          <a:avLst/>
        </a:prstGeom>
        <a:noFill/>
        <a:ln w="9525">
          <a:noFill/>
          <a:miter lim="800000"/>
          <a:headEnd/>
          <a:tailEnd/>
        </a:ln>
      </xdr:spPr>
    </xdr:sp>
    <xdr:clientData/>
  </xdr:twoCellAnchor>
  <xdr:twoCellAnchor editAs="oneCell">
    <xdr:from>
      <xdr:col>0</xdr:col>
      <xdr:colOff>0</xdr:colOff>
      <xdr:row>1</xdr:row>
      <xdr:rowOff>0</xdr:rowOff>
    </xdr:from>
    <xdr:to>
      <xdr:col>1</xdr:col>
      <xdr:colOff>161925</xdr:colOff>
      <xdr:row>1201</xdr:row>
      <xdr:rowOff>161925</xdr:rowOff>
    </xdr:to>
    <xdr:sp macro="" textlink="">
      <xdr:nvSpPr>
        <xdr:cNvPr id="6092769" name="AutoShape 53" descr="caution"/>
        <xdr:cNvSpPr>
          <a:spLocks noChangeAspect="1" noChangeArrowheads="1"/>
        </xdr:cNvSpPr>
      </xdr:nvSpPr>
      <xdr:spPr bwMode="auto">
        <a:xfrm>
          <a:off x="0" y="647700"/>
          <a:ext cx="609600" cy="866775"/>
        </a:xfrm>
        <a:prstGeom prst="rect">
          <a:avLst/>
        </a:prstGeom>
        <a:noFill/>
        <a:ln w="9525">
          <a:noFill/>
          <a:miter lim="800000"/>
          <a:headEnd/>
          <a:tailEnd/>
        </a:ln>
      </xdr:spPr>
    </xdr:sp>
    <xdr:clientData/>
  </xdr:twoCellAnchor>
  <xdr:twoCellAnchor editAs="oneCell">
    <xdr:from>
      <xdr:col>3</xdr:col>
      <xdr:colOff>0</xdr:colOff>
      <xdr:row>1</xdr:row>
      <xdr:rowOff>0</xdr:rowOff>
    </xdr:from>
    <xdr:to>
      <xdr:col>11</xdr:col>
      <xdr:colOff>447675</xdr:colOff>
      <xdr:row>1202</xdr:row>
      <xdr:rowOff>152400</xdr:rowOff>
    </xdr:to>
    <xdr:sp macro="" textlink="">
      <xdr:nvSpPr>
        <xdr:cNvPr id="6092770" name="AutoShape 54" descr="caution"/>
        <xdr:cNvSpPr>
          <a:spLocks noChangeAspect="1" noChangeArrowheads="1"/>
        </xdr:cNvSpPr>
      </xdr:nvSpPr>
      <xdr:spPr bwMode="auto">
        <a:xfrm>
          <a:off x="2495550" y="647700"/>
          <a:ext cx="447675" cy="1038225"/>
        </a:xfrm>
        <a:prstGeom prst="rect">
          <a:avLst/>
        </a:prstGeom>
        <a:noFill/>
        <a:ln w="9525">
          <a:noFill/>
          <a:miter lim="800000"/>
          <a:headEnd/>
          <a:tailEnd/>
        </a:ln>
      </xdr:spPr>
    </xdr:sp>
    <xdr:clientData/>
  </xdr:twoCellAnchor>
  <xdr:twoCellAnchor editAs="oneCell">
    <xdr:from>
      <xdr:col>1</xdr:col>
      <xdr:colOff>0</xdr:colOff>
      <xdr:row>89</xdr:row>
      <xdr:rowOff>0</xdr:rowOff>
    </xdr:from>
    <xdr:to>
      <xdr:col>1</xdr:col>
      <xdr:colOff>447675</xdr:colOff>
      <xdr:row>1202</xdr:row>
      <xdr:rowOff>152400</xdr:rowOff>
    </xdr:to>
    <xdr:sp macro="" textlink="">
      <xdr:nvSpPr>
        <xdr:cNvPr id="6092771" name="AutoShape 55" descr="caution"/>
        <xdr:cNvSpPr>
          <a:spLocks noChangeAspect="1" noChangeArrowheads="1"/>
        </xdr:cNvSpPr>
      </xdr:nvSpPr>
      <xdr:spPr bwMode="auto">
        <a:xfrm>
          <a:off x="447675" y="647700"/>
          <a:ext cx="447675" cy="1038225"/>
        </a:xfrm>
        <a:prstGeom prst="rect">
          <a:avLst/>
        </a:prstGeom>
        <a:noFill/>
        <a:ln w="9525">
          <a:noFill/>
          <a:miter lim="800000"/>
          <a:headEnd/>
          <a:tailEnd/>
        </a:ln>
      </xdr:spPr>
    </xdr:sp>
    <xdr:clientData/>
  </xdr:twoCellAnchor>
  <xdr:twoCellAnchor editAs="oneCell">
    <xdr:from>
      <xdr:col>0</xdr:col>
      <xdr:colOff>0</xdr:colOff>
      <xdr:row>1</xdr:row>
      <xdr:rowOff>0</xdr:rowOff>
    </xdr:from>
    <xdr:to>
      <xdr:col>1</xdr:col>
      <xdr:colOff>161925</xdr:colOff>
      <xdr:row>1202</xdr:row>
      <xdr:rowOff>152400</xdr:rowOff>
    </xdr:to>
    <xdr:sp macro="" textlink="">
      <xdr:nvSpPr>
        <xdr:cNvPr id="6092772" name="AutoShape 56" descr="caution"/>
        <xdr:cNvSpPr>
          <a:spLocks noChangeAspect="1" noChangeArrowheads="1"/>
        </xdr:cNvSpPr>
      </xdr:nvSpPr>
      <xdr:spPr bwMode="auto">
        <a:xfrm>
          <a:off x="0" y="647700"/>
          <a:ext cx="609600" cy="1038225"/>
        </a:xfrm>
        <a:prstGeom prst="rect">
          <a:avLst/>
        </a:prstGeom>
        <a:noFill/>
        <a:ln w="9525">
          <a:noFill/>
          <a:miter lim="800000"/>
          <a:headEnd/>
          <a:tailEnd/>
        </a:ln>
      </xdr:spPr>
    </xdr:sp>
    <xdr:clientData/>
  </xdr:twoCellAnchor>
  <xdr:twoCellAnchor editAs="oneCell">
    <xdr:from>
      <xdr:col>0</xdr:col>
      <xdr:colOff>0</xdr:colOff>
      <xdr:row>470</xdr:row>
      <xdr:rowOff>0</xdr:rowOff>
    </xdr:from>
    <xdr:to>
      <xdr:col>1</xdr:col>
      <xdr:colOff>161925</xdr:colOff>
      <xdr:row>1202</xdr:row>
      <xdr:rowOff>161925</xdr:rowOff>
    </xdr:to>
    <xdr:sp macro="" textlink="">
      <xdr:nvSpPr>
        <xdr:cNvPr id="6092773" name="AutoShape 57" descr="caution"/>
        <xdr:cNvSpPr>
          <a:spLocks noChangeAspect="1" noChangeArrowheads="1"/>
        </xdr:cNvSpPr>
      </xdr:nvSpPr>
      <xdr:spPr bwMode="auto">
        <a:xfrm>
          <a:off x="0" y="647700"/>
          <a:ext cx="609600" cy="1047750"/>
        </a:xfrm>
        <a:prstGeom prst="rect">
          <a:avLst/>
        </a:prstGeom>
        <a:noFill/>
        <a:ln w="9525">
          <a:noFill/>
          <a:miter lim="800000"/>
          <a:headEnd/>
          <a:tailEnd/>
        </a:ln>
      </xdr:spPr>
    </xdr:sp>
    <xdr:clientData/>
  </xdr:twoCellAnchor>
  <xdr:twoCellAnchor editAs="oneCell">
    <xdr:from>
      <xdr:col>0</xdr:col>
      <xdr:colOff>0</xdr:colOff>
      <xdr:row>600</xdr:row>
      <xdr:rowOff>0</xdr:rowOff>
    </xdr:from>
    <xdr:to>
      <xdr:col>1</xdr:col>
      <xdr:colOff>161925</xdr:colOff>
      <xdr:row>1201</xdr:row>
      <xdr:rowOff>161925</xdr:rowOff>
    </xdr:to>
    <xdr:sp macro="" textlink="">
      <xdr:nvSpPr>
        <xdr:cNvPr id="6092774" name="AutoShape 58" descr="caution"/>
        <xdr:cNvSpPr>
          <a:spLocks noChangeAspect="1" noChangeArrowheads="1"/>
        </xdr:cNvSpPr>
      </xdr:nvSpPr>
      <xdr:spPr bwMode="auto">
        <a:xfrm>
          <a:off x="0" y="647700"/>
          <a:ext cx="609600" cy="866775"/>
        </a:xfrm>
        <a:prstGeom prst="rect">
          <a:avLst/>
        </a:prstGeom>
        <a:noFill/>
        <a:ln w="9525">
          <a:noFill/>
          <a:miter lim="800000"/>
          <a:headEnd/>
          <a:tailEnd/>
        </a:ln>
      </xdr:spPr>
    </xdr:sp>
    <xdr:clientData/>
  </xdr:twoCellAnchor>
  <xdr:twoCellAnchor editAs="oneCell">
    <xdr:from>
      <xdr:col>0</xdr:col>
      <xdr:colOff>0</xdr:colOff>
      <xdr:row>600</xdr:row>
      <xdr:rowOff>0</xdr:rowOff>
    </xdr:from>
    <xdr:to>
      <xdr:col>1</xdr:col>
      <xdr:colOff>161925</xdr:colOff>
      <xdr:row>1202</xdr:row>
      <xdr:rowOff>152400</xdr:rowOff>
    </xdr:to>
    <xdr:sp macro="" textlink="">
      <xdr:nvSpPr>
        <xdr:cNvPr id="6092775" name="AutoShape 59" descr="caution"/>
        <xdr:cNvSpPr>
          <a:spLocks noChangeAspect="1" noChangeArrowheads="1"/>
        </xdr:cNvSpPr>
      </xdr:nvSpPr>
      <xdr:spPr bwMode="auto">
        <a:xfrm>
          <a:off x="0" y="647700"/>
          <a:ext cx="609600" cy="1038225"/>
        </a:xfrm>
        <a:prstGeom prst="rect">
          <a:avLst/>
        </a:prstGeom>
        <a:noFill/>
        <a:ln w="9525">
          <a:noFill/>
          <a:miter lim="800000"/>
          <a:headEnd/>
          <a:tailEnd/>
        </a:ln>
      </xdr:spPr>
    </xdr:sp>
    <xdr:clientData/>
  </xdr:twoCellAnchor>
  <xdr:twoCellAnchor editAs="oneCell">
    <xdr:from>
      <xdr:col>0</xdr:col>
      <xdr:colOff>0</xdr:colOff>
      <xdr:row>1054</xdr:row>
      <xdr:rowOff>0</xdr:rowOff>
    </xdr:from>
    <xdr:to>
      <xdr:col>1</xdr:col>
      <xdr:colOff>161925</xdr:colOff>
      <xdr:row>1202</xdr:row>
      <xdr:rowOff>161925</xdr:rowOff>
    </xdr:to>
    <xdr:sp macro="" textlink="">
      <xdr:nvSpPr>
        <xdr:cNvPr id="6092776" name="AutoShape 60" descr="caution"/>
        <xdr:cNvSpPr>
          <a:spLocks noChangeAspect="1" noChangeArrowheads="1"/>
        </xdr:cNvSpPr>
      </xdr:nvSpPr>
      <xdr:spPr bwMode="auto">
        <a:xfrm>
          <a:off x="0" y="647700"/>
          <a:ext cx="609600" cy="1047750"/>
        </a:xfrm>
        <a:prstGeom prst="rect">
          <a:avLst/>
        </a:prstGeom>
        <a:noFill/>
        <a:ln w="9525">
          <a:noFill/>
          <a:miter lim="800000"/>
          <a:headEnd/>
          <a:tailEnd/>
        </a:ln>
      </xdr:spPr>
    </xdr:sp>
    <xdr:clientData/>
  </xdr:twoCellAnchor>
  <xdr:twoCellAnchor editAs="oneCell">
    <xdr:from>
      <xdr:col>0</xdr:col>
      <xdr:colOff>0</xdr:colOff>
      <xdr:row>600</xdr:row>
      <xdr:rowOff>0</xdr:rowOff>
    </xdr:from>
    <xdr:to>
      <xdr:col>1</xdr:col>
      <xdr:colOff>161925</xdr:colOff>
      <xdr:row>1201</xdr:row>
      <xdr:rowOff>161925</xdr:rowOff>
    </xdr:to>
    <xdr:sp macro="" textlink="">
      <xdr:nvSpPr>
        <xdr:cNvPr id="6092777" name="AutoShape 61" descr="caution"/>
        <xdr:cNvSpPr>
          <a:spLocks noChangeAspect="1" noChangeArrowheads="1"/>
        </xdr:cNvSpPr>
      </xdr:nvSpPr>
      <xdr:spPr bwMode="auto">
        <a:xfrm>
          <a:off x="0" y="647700"/>
          <a:ext cx="609600" cy="866775"/>
        </a:xfrm>
        <a:prstGeom prst="rect">
          <a:avLst/>
        </a:prstGeom>
        <a:noFill/>
        <a:ln w="9525">
          <a:noFill/>
          <a:miter lim="800000"/>
          <a:headEnd/>
          <a:tailEnd/>
        </a:ln>
      </xdr:spPr>
    </xdr:sp>
    <xdr:clientData/>
  </xdr:twoCellAnchor>
  <xdr:twoCellAnchor editAs="oneCell">
    <xdr:from>
      <xdr:col>0</xdr:col>
      <xdr:colOff>0</xdr:colOff>
      <xdr:row>600</xdr:row>
      <xdr:rowOff>0</xdr:rowOff>
    </xdr:from>
    <xdr:to>
      <xdr:col>1</xdr:col>
      <xdr:colOff>161925</xdr:colOff>
      <xdr:row>1202</xdr:row>
      <xdr:rowOff>152400</xdr:rowOff>
    </xdr:to>
    <xdr:sp macro="" textlink="">
      <xdr:nvSpPr>
        <xdr:cNvPr id="6092778" name="AutoShape 62" descr="caution"/>
        <xdr:cNvSpPr>
          <a:spLocks noChangeAspect="1" noChangeArrowheads="1"/>
        </xdr:cNvSpPr>
      </xdr:nvSpPr>
      <xdr:spPr bwMode="auto">
        <a:xfrm>
          <a:off x="0" y="647700"/>
          <a:ext cx="609600" cy="1038225"/>
        </a:xfrm>
        <a:prstGeom prst="rect">
          <a:avLst/>
        </a:prstGeom>
        <a:noFill/>
        <a:ln w="9525">
          <a:noFill/>
          <a:miter lim="800000"/>
          <a:headEnd/>
          <a:tailEnd/>
        </a:ln>
      </xdr:spPr>
    </xdr:sp>
    <xdr:clientData/>
  </xdr:twoCellAnchor>
  <xdr:twoCellAnchor editAs="oneCell">
    <xdr:from>
      <xdr:col>0</xdr:col>
      <xdr:colOff>0</xdr:colOff>
      <xdr:row>1069</xdr:row>
      <xdr:rowOff>0</xdr:rowOff>
    </xdr:from>
    <xdr:to>
      <xdr:col>1</xdr:col>
      <xdr:colOff>161925</xdr:colOff>
      <xdr:row>1202</xdr:row>
      <xdr:rowOff>161925</xdr:rowOff>
    </xdr:to>
    <xdr:sp macro="" textlink="">
      <xdr:nvSpPr>
        <xdr:cNvPr id="6092779" name="AutoShape 63" descr="caution"/>
        <xdr:cNvSpPr>
          <a:spLocks noChangeAspect="1" noChangeArrowheads="1"/>
        </xdr:cNvSpPr>
      </xdr:nvSpPr>
      <xdr:spPr bwMode="auto">
        <a:xfrm>
          <a:off x="0" y="647700"/>
          <a:ext cx="609600" cy="1047750"/>
        </a:xfrm>
        <a:prstGeom prst="rect">
          <a:avLst/>
        </a:prstGeom>
        <a:noFill/>
        <a:ln w="9525">
          <a:noFill/>
          <a:miter lim="800000"/>
          <a:headEnd/>
          <a:tailEnd/>
        </a:ln>
      </xdr:spPr>
    </xdr:sp>
    <xdr:clientData/>
  </xdr:twoCellAnchor>
  <xdr:twoCellAnchor editAs="oneCell">
    <xdr:from>
      <xdr:col>0</xdr:col>
      <xdr:colOff>0</xdr:colOff>
      <xdr:row>600</xdr:row>
      <xdr:rowOff>0</xdr:rowOff>
    </xdr:from>
    <xdr:to>
      <xdr:col>1</xdr:col>
      <xdr:colOff>161925</xdr:colOff>
      <xdr:row>1201</xdr:row>
      <xdr:rowOff>161925</xdr:rowOff>
    </xdr:to>
    <xdr:sp macro="" textlink="">
      <xdr:nvSpPr>
        <xdr:cNvPr id="6092780" name="AutoShape 64" descr="caution"/>
        <xdr:cNvSpPr>
          <a:spLocks noChangeAspect="1" noChangeArrowheads="1"/>
        </xdr:cNvSpPr>
      </xdr:nvSpPr>
      <xdr:spPr bwMode="auto">
        <a:xfrm>
          <a:off x="0" y="647700"/>
          <a:ext cx="609600" cy="866775"/>
        </a:xfrm>
        <a:prstGeom prst="rect">
          <a:avLst/>
        </a:prstGeom>
        <a:noFill/>
        <a:ln w="9525">
          <a:noFill/>
          <a:miter lim="800000"/>
          <a:headEnd/>
          <a:tailEnd/>
        </a:ln>
      </xdr:spPr>
    </xdr:sp>
    <xdr:clientData/>
  </xdr:twoCellAnchor>
  <xdr:twoCellAnchor editAs="oneCell">
    <xdr:from>
      <xdr:col>0</xdr:col>
      <xdr:colOff>0</xdr:colOff>
      <xdr:row>600</xdr:row>
      <xdr:rowOff>0</xdr:rowOff>
    </xdr:from>
    <xdr:to>
      <xdr:col>1</xdr:col>
      <xdr:colOff>161925</xdr:colOff>
      <xdr:row>1202</xdr:row>
      <xdr:rowOff>152400</xdr:rowOff>
    </xdr:to>
    <xdr:sp macro="" textlink="">
      <xdr:nvSpPr>
        <xdr:cNvPr id="6092781" name="AutoShape 65" descr="caution"/>
        <xdr:cNvSpPr>
          <a:spLocks noChangeAspect="1" noChangeArrowheads="1"/>
        </xdr:cNvSpPr>
      </xdr:nvSpPr>
      <xdr:spPr bwMode="auto">
        <a:xfrm>
          <a:off x="0" y="647700"/>
          <a:ext cx="609600" cy="1038225"/>
        </a:xfrm>
        <a:prstGeom prst="rect">
          <a:avLst/>
        </a:prstGeom>
        <a:noFill/>
        <a:ln w="9525">
          <a:noFill/>
          <a:miter lim="800000"/>
          <a:headEnd/>
          <a:tailEnd/>
        </a:ln>
      </xdr:spPr>
    </xdr:sp>
    <xdr:clientData/>
  </xdr:twoCellAnchor>
  <xdr:twoCellAnchor editAs="oneCell">
    <xdr:from>
      <xdr:col>0</xdr:col>
      <xdr:colOff>0</xdr:colOff>
      <xdr:row>1054</xdr:row>
      <xdr:rowOff>0</xdr:rowOff>
    </xdr:from>
    <xdr:to>
      <xdr:col>1</xdr:col>
      <xdr:colOff>161925</xdr:colOff>
      <xdr:row>1202</xdr:row>
      <xdr:rowOff>161925</xdr:rowOff>
    </xdr:to>
    <xdr:sp macro="" textlink="">
      <xdr:nvSpPr>
        <xdr:cNvPr id="6092782" name="AutoShape 66" descr="caution"/>
        <xdr:cNvSpPr>
          <a:spLocks noChangeAspect="1" noChangeArrowheads="1"/>
        </xdr:cNvSpPr>
      </xdr:nvSpPr>
      <xdr:spPr bwMode="auto">
        <a:xfrm>
          <a:off x="0" y="647700"/>
          <a:ext cx="609600" cy="1047750"/>
        </a:xfrm>
        <a:prstGeom prst="rect">
          <a:avLst/>
        </a:prstGeom>
        <a:noFill/>
        <a:ln w="9525">
          <a:noFill/>
          <a:miter lim="800000"/>
          <a:headEnd/>
          <a:tailEnd/>
        </a:ln>
      </xdr:spPr>
    </xdr:sp>
    <xdr:clientData/>
  </xdr:twoCellAnchor>
  <xdr:twoCellAnchor editAs="oneCell">
    <xdr:from>
      <xdr:col>0</xdr:col>
      <xdr:colOff>0</xdr:colOff>
      <xdr:row>600</xdr:row>
      <xdr:rowOff>0</xdr:rowOff>
    </xdr:from>
    <xdr:to>
      <xdr:col>1</xdr:col>
      <xdr:colOff>161925</xdr:colOff>
      <xdr:row>1201</xdr:row>
      <xdr:rowOff>161925</xdr:rowOff>
    </xdr:to>
    <xdr:sp macro="" textlink="">
      <xdr:nvSpPr>
        <xdr:cNvPr id="6092783" name="AutoShape 67" descr="caution"/>
        <xdr:cNvSpPr>
          <a:spLocks noChangeAspect="1" noChangeArrowheads="1"/>
        </xdr:cNvSpPr>
      </xdr:nvSpPr>
      <xdr:spPr bwMode="auto">
        <a:xfrm>
          <a:off x="0" y="647700"/>
          <a:ext cx="609600" cy="866775"/>
        </a:xfrm>
        <a:prstGeom prst="rect">
          <a:avLst/>
        </a:prstGeom>
        <a:noFill/>
        <a:ln w="9525">
          <a:noFill/>
          <a:miter lim="800000"/>
          <a:headEnd/>
          <a:tailEnd/>
        </a:ln>
      </xdr:spPr>
    </xdr:sp>
    <xdr:clientData/>
  </xdr:twoCellAnchor>
  <xdr:twoCellAnchor editAs="oneCell">
    <xdr:from>
      <xdr:col>0</xdr:col>
      <xdr:colOff>0</xdr:colOff>
      <xdr:row>600</xdr:row>
      <xdr:rowOff>0</xdr:rowOff>
    </xdr:from>
    <xdr:to>
      <xdr:col>1</xdr:col>
      <xdr:colOff>161925</xdr:colOff>
      <xdr:row>1202</xdr:row>
      <xdr:rowOff>152400</xdr:rowOff>
    </xdr:to>
    <xdr:sp macro="" textlink="">
      <xdr:nvSpPr>
        <xdr:cNvPr id="6092784" name="AutoShape 68" descr="caution"/>
        <xdr:cNvSpPr>
          <a:spLocks noChangeAspect="1" noChangeArrowheads="1"/>
        </xdr:cNvSpPr>
      </xdr:nvSpPr>
      <xdr:spPr bwMode="auto">
        <a:xfrm>
          <a:off x="0" y="647700"/>
          <a:ext cx="609600" cy="1038225"/>
        </a:xfrm>
        <a:prstGeom prst="rect">
          <a:avLst/>
        </a:prstGeom>
        <a:noFill/>
        <a:ln w="9525">
          <a:noFill/>
          <a:miter lim="800000"/>
          <a:headEnd/>
          <a:tailEnd/>
        </a:ln>
      </xdr:spPr>
    </xdr:sp>
    <xdr:clientData/>
  </xdr:twoCellAnchor>
  <xdr:twoCellAnchor editAs="oneCell">
    <xdr:from>
      <xdr:col>0</xdr:col>
      <xdr:colOff>0</xdr:colOff>
      <xdr:row>1069</xdr:row>
      <xdr:rowOff>0</xdr:rowOff>
    </xdr:from>
    <xdr:to>
      <xdr:col>1</xdr:col>
      <xdr:colOff>161925</xdr:colOff>
      <xdr:row>1202</xdr:row>
      <xdr:rowOff>161925</xdr:rowOff>
    </xdr:to>
    <xdr:sp macro="" textlink="">
      <xdr:nvSpPr>
        <xdr:cNvPr id="6092785" name="AutoShape 69" descr="caution"/>
        <xdr:cNvSpPr>
          <a:spLocks noChangeAspect="1" noChangeArrowheads="1"/>
        </xdr:cNvSpPr>
      </xdr:nvSpPr>
      <xdr:spPr bwMode="auto">
        <a:xfrm>
          <a:off x="0" y="647700"/>
          <a:ext cx="609600" cy="1047750"/>
        </a:xfrm>
        <a:prstGeom prst="rect">
          <a:avLst/>
        </a:prstGeom>
        <a:noFill/>
        <a:ln w="9525">
          <a:noFill/>
          <a:miter lim="800000"/>
          <a:headEnd/>
          <a:tailEnd/>
        </a:ln>
      </xdr:spPr>
    </xdr:sp>
    <xdr:clientData/>
  </xdr:twoCellAnchor>
  <xdr:twoCellAnchor editAs="oneCell">
    <xdr:from>
      <xdr:col>0</xdr:col>
      <xdr:colOff>0</xdr:colOff>
      <xdr:row>600</xdr:row>
      <xdr:rowOff>0</xdr:rowOff>
    </xdr:from>
    <xdr:to>
      <xdr:col>1</xdr:col>
      <xdr:colOff>161925</xdr:colOff>
      <xdr:row>1201</xdr:row>
      <xdr:rowOff>161925</xdr:rowOff>
    </xdr:to>
    <xdr:sp macro="" textlink="">
      <xdr:nvSpPr>
        <xdr:cNvPr id="6092786" name="AutoShape 70" descr="caution"/>
        <xdr:cNvSpPr>
          <a:spLocks noChangeAspect="1" noChangeArrowheads="1"/>
        </xdr:cNvSpPr>
      </xdr:nvSpPr>
      <xdr:spPr bwMode="auto">
        <a:xfrm>
          <a:off x="0" y="647700"/>
          <a:ext cx="609600" cy="866775"/>
        </a:xfrm>
        <a:prstGeom prst="rect">
          <a:avLst/>
        </a:prstGeom>
        <a:noFill/>
        <a:ln w="9525">
          <a:noFill/>
          <a:miter lim="800000"/>
          <a:headEnd/>
          <a:tailEnd/>
        </a:ln>
      </xdr:spPr>
    </xdr:sp>
    <xdr:clientData/>
  </xdr:twoCellAnchor>
  <xdr:twoCellAnchor editAs="oneCell">
    <xdr:from>
      <xdr:col>0</xdr:col>
      <xdr:colOff>0</xdr:colOff>
      <xdr:row>600</xdr:row>
      <xdr:rowOff>0</xdr:rowOff>
    </xdr:from>
    <xdr:to>
      <xdr:col>1</xdr:col>
      <xdr:colOff>161925</xdr:colOff>
      <xdr:row>1202</xdr:row>
      <xdr:rowOff>152400</xdr:rowOff>
    </xdr:to>
    <xdr:sp macro="" textlink="">
      <xdr:nvSpPr>
        <xdr:cNvPr id="6092787" name="AutoShape 71" descr="caution"/>
        <xdr:cNvSpPr>
          <a:spLocks noChangeAspect="1" noChangeArrowheads="1"/>
        </xdr:cNvSpPr>
      </xdr:nvSpPr>
      <xdr:spPr bwMode="auto">
        <a:xfrm>
          <a:off x="0" y="647700"/>
          <a:ext cx="609600" cy="1038225"/>
        </a:xfrm>
        <a:prstGeom prst="rect">
          <a:avLst/>
        </a:prstGeom>
        <a:noFill/>
        <a:ln w="9525">
          <a:noFill/>
          <a:miter lim="800000"/>
          <a:headEnd/>
          <a:tailEnd/>
        </a:ln>
      </xdr:spPr>
    </xdr:sp>
    <xdr:clientData/>
  </xdr:twoCellAnchor>
  <xdr:twoCellAnchor editAs="oneCell">
    <xdr:from>
      <xdr:col>0</xdr:col>
      <xdr:colOff>0</xdr:colOff>
      <xdr:row>1054</xdr:row>
      <xdr:rowOff>0</xdr:rowOff>
    </xdr:from>
    <xdr:to>
      <xdr:col>1</xdr:col>
      <xdr:colOff>161925</xdr:colOff>
      <xdr:row>1202</xdr:row>
      <xdr:rowOff>161925</xdr:rowOff>
    </xdr:to>
    <xdr:sp macro="" textlink="">
      <xdr:nvSpPr>
        <xdr:cNvPr id="6092788" name="AutoShape 72" descr="caution"/>
        <xdr:cNvSpPr>
          <a:spLocks noChangeAspect="1" noChangeArrowheads="1"/>
        </xdr:cNvSpPr>
      </xdr:nvSpPr>
      <xdr:spPr bwMode="auto">
        <a:xfrm>
          <a:off x="0" y="647700"/>
          <a:ext cx="609600" cy="1047750"/>
        </a:xfrm>
        <a:prstGeom prst="rect">
          <a:avLst/>
        </a:prstGeom>
        <a:noFill/>
        <a:ln w="9525">
          <a:noFill/>
          <a:miter lim="800000"/>
          <a:headEnd/>
          <a:tailEnd/>
        </a:ln>
      </xdr:spPr>
    </xdr:sp>
    <xdr:clientData/>
  </xdr:twoCellAnchor>
  <xdr:twoCellAnchor editAs="oneCell">
    <xdr:from>
      <xdr:col>0</xdr:col>
      <xdr:colOff>0</xdr:colOff>
      <xdr:row>600</xdr:row>
      <xdr:rowOff>0</xdr:rowOff>
    </xdr:from>
    <xdr:to>
      <xdr:col>1</xdr:col>
      <xdr:colOff>161925</xdr:colOff>
      <xdr:row>1201</xdr:row>
      <xdr:rowOff>161925</xdr:rowOff>
    </xdr:to>
    <xdr:sp macro="" textlink="">
      <xdr:nvSpPr>
        <xdr:cNvPr id="6092789" name="AutoShape 73" descr="caution"/>
        <xdr:cNvSpPr>
          <a:spLocks noChangeAspect="1" noChangeArrowheads="1"/>
        </xdr:cNvSpPr>
      </xdr:nvSpPr>
      <xdr:spPr bwMode="auto">
        <a:xfrm>
          <a:off x="0" y="647700"/>
          <a:ext cx="609600" cy="866775"/>
        </a:xfrm>
        <a:prstGeom prst="rect">
          <a:avLst/>
        </a:prstGeom>
        <a:noFill/>
        <a:ln w="9525">
          <a:noFill/>
          <a:miter lim="800000"/>
          <a:headEnd/>
          <a:tailEnd/>
        </a:ln>
      </xdr:spPr>
    </xdr:sp>
    <xdr:clientData/>
  </xdr:twoCellAnchor>
  <xdr:twoCellAnchor editAs="oneCell">
    <xdr:from>
      <xdr:col>0</xdr:col>
      <xdr:colOff>0</xdr:colOff>
      <xdr:row>600</xdr:row>
      <xdr:rowOff>0</xdr:rowOff>
    </xdr:from>
    <xdr:to>
      <xdr:col>1</xdr:col>
      <xdr:colOff>161925</xdr:colOff>
      <xdr:row>1202</xdr:row>
      <xdr:rowOff>152400</xdr:rowOff>
    </xdr:to>
    <xdr:sp macro="" textlink="">
      <xdr:nvSpPr>
        <xdr:cNvPr id="6092790" name="AutoShape 74" descr="caution"/>
        <xdr:cNvSpPr>
          <a:spLocks noChangeAspect="1" noChangeArrowheads="1"/>
        </xdr:cNvSpPr>
      </xdr:nvSpPr>
      <xdr:spPr bwMode="auto">
        <a:xfrm>
          <a:off x="0" y="647700"/>
          <a:ext cx="609600" cy="1038225"/>
        </a:xfrm>
        <a:prstGeom prst="rect">
          <a:avLst/>
        </a:prstGeom>
        <a:noFill/>
        <a:ln w="9525">
          <a:noFill/>
          <a:miter lim="800000"/>
          <a:headEnd/>
          <a:tailEnd/>
        </a:ln>
      </xdr:spPr>
    </xdr:sp>
    <xdr:clientData/>
  </xdr:twoCellAnchor>
  <xdr:twoCellAnchor editAs="oneCell">
    <xdr:from>
      <xdr:col>0</xdr:col>
      <xdr:colOff>0</xdr:colOff>
      <xdr:row>1069</xdr:row>
      <xdr:rowOff>0</xdr:rowOff>
    </xdr:from>
    <xdr:to>
      <xdr:col>1</xdr:col>
      <xdr:colOff>161925</xdr:colOff>
      <xdr:row>1202</xdr:row>
      <xdr:rowOff>161925</xdr:rowOff>
    </xdr:to>
    <xdr:sp macro="" textlink="">
      <xdr:nvSpPr>
        <xdr:cNvPr id="6092791" name="AutoShape 75" descr="caution"/>
        <xdr:cNvSpPr>
          <a:spLocks noChangeAspect="1" noChangeArrowheads="1"/>
        </xdr:cNvSpPr>
      </xdr:nvSpPr>
      <xdr:spPr bwMode="auto">
        <a:xfrm>
          <a:off x="0" y="647700"/>
          <a:ext cx="609600" cy="1047750"/>
        </a:xfrm>
        <a:prstGeom prst="rect">
          <a:avLst/>
        </a:prstGeom>
        <a:noFill/>
        <a:ln w="9525">
          <a:noFill/>
          <a:miter lim="800000"/>
          <a:headEnd/>
          <a:tailEnd/>
        </a:ln>
      </xdr:spPr>
    </xdr:sp>
    <xdr:clientData/>
  </xdr:twoCellAnchor>
  <xdr:twoCellAnchor editAs="oneCell">
    <xdr:from>
      <xdr:col>0</xdr:col>
      <xdr:colOff>0</xdr:colOff>
      <xdr:row>1210</xdr:row>
      <xdr:rowOff>0</xdr:rowOff>
    </xdr:from>
    <xdr:to>
      <xdr:col>1</xdr:col>
      <xdr:colOff>161925</xdr:colOff>
      <xdr:row>1213</xdr:row>
      <xdr:rowOff>47625</xdr:rowOff>
    </xdr:to>
    <xdr:sp macro="" textlink="">
      <xdr:nvSpPr>
        <xdr:cNvPr id="6092792" name="AutoShape 77" descr="caution"/>
        <xdr:cNvSpPr>
          <a:spLocks noChangeAspect="1" noChangeArrowheads="1"/>
        </xdr:cNvSpPr>
      </xdr:nvSpPr>
      <xdr:spPr bwMode="auto">
        <a:xfrm>
          <a:off x="0" y="2962275"/>
          <a:ext cx="609600" cy="876300"/>
        </a:xfrm>
        <a:prstGeom prst="rect">
          <a:avLst/>
        </a:prstGeom>
        <a:noFill/>
        <a:ln w="9525">
          <a:noFill/>
          <a:miter lim="800000"/>
          <a:headEnd/>
          <a:tailEnd/>
        </a:ln>
      </xdr:spPr>
    </xdr:sp>
    <xdr:clientData/>
  </xdr:twoCellAnchor>
  <xdr:twoCellAnchor editAs="oneCell">
    <xdr:from>
      <xdr:col>0</xdr:col>
      <xdr:colOff>0</xdr:colOff>
      <xdr:row>1210</xdr:row>
      <xdr:rowOff>0</xdr:rowOff>
    </xdr:from>
    <xdr:to>
      <xdr:col>1</xdr:col>
      <xdr:colOff>161925</xdr:colOff>
      <xdr:row>1213</xdr:row>
      <xdr:rowOff>57150</xdr:rowOff>
    </xdr:to>
    <xdr:sp macro="" textlink="">
      <xdr:nvSpPr>
        <xdr:cNvPr id="6092793" name="AutoShape 78" descr="caution"/>
        <xdr:cNvSpPr>
          <a:spLocks noChangeAspect="1" noChangeArrowheads="1"/>
        </xdr:cNvSpPr>
      </xdr:nvSpPr>
      <xdr:spPr bwMode="auto">
        <a:xfrm>
          <a:off x="0" y="2962275"/>
          <a:ext cx="609600" cy="885825"/>
        </a:xfrm>
        <a:prstGeom prst="rect">
          <a:avLst/>
        </a:prstGeom>
        <a:noFill/>
        <a:ln w="9525">
          <a:noFill/>
          <a:miter lim="800000"/>
          <a:headEnd/>
          <a:tailEnd/>
        </a:ln>
      </xdr:spPr>
    </xdr:sp>
    <xdr:clientData/>
  </xdr:twoCellAnchor>
  <xdr:twoCellAnchor editAs="oneCell">
    <xdr:from>
      <xdr:col>0</xdr:col>
      <xdr:colOff>0</xdr:colOff>
      <xdr:row>1210</xdr:row>
      <xdr:rowOff>0</xdr:rowOff>
    </xdr:from>
    <xdr:to>
      <xdr:col>1</xdr:col>
      <xdr:colOff>161925</xdr:colOff>
      <xdr:row>1213</xdr:row>
      <xdr:rowOff>47625</xdr:rowOff>
    </xdr:to>
    <xdr:sp macro="" textlink="">
      <xdr:nvSpPr>
        <xdr:cNvPr id="6092794" name="AutoShape 80" descr="caution"/>
        <xdr:cNvSpPr>
          <a:spLocks noChangeAspect="1" noChangeArrowheads="1"/>
        </xdr:cNvSpPr>
      </xdr:nvSpPr>
      <xdr:spPr bwMode="auto">
        <a:xfrm>
          <a:off x="0" y="2962275"/>
          <a:ext cx="609600" cy="876300"/>
        </a:xfrm>
        <a:prstGeom prst="rect">
          <a:avLst/>
        </a:prstGeom>
        <a:noFill/>
        <a:ln w="9525">
          <a:noFill/>
          <a:miter lim="800000"/>
          <a:headEnd/>
          <a:tailEnd/>
        </a:ln>
      </xdr:spPr>
    </xdr:sp>
    <xdr:clientData/>
  </xdr:twoCellAnchor>
  <xdr:twoCellAnchor editAs="oneCell">
    <xdr:from>
      <xdr:col>0</xdr:col>
      <xdr:colOff>0</xdr:colOff>
      <xdr:row>1210</xdr:row>
      <xdr:rowOff>0</xdr:rowOff>
    </xdr:from>
    <xdr:to>
      <xdr:col>1</xdr:col>
      <xdr:colOff>161925</xdr:colOff>
      <xdr:row>1213</xdr:row>
      <xdr:rowOff>57150</xdr:rowOff>
    </xdr:to>
    <xdr:sp macro="" textlink="">
      <xdr:nvSpPr>
        <xdr:cNvPr id="6092795" name="AutoShape 81" descr="caution"/>
        <xdr:cNvSpPr>
          <a:spLocks noChangeAspect="1" noChangeArrowheads="1"/>
        </xdr:cNvSpPr>
      </xdr:nvSpPr>
      <xdr:spPr bwMode="auto">
        <a:xfrm>
          <a:off x="0" y="2962275"/>
          <a:ext cx="609600" cy="885825"/>
        </a:xfrm>
        <a:prstGeom prst="rect">
          <a:avLst/>
        </a:prstGeom>
        <a:noFill/>
        <a:ln w="9525">
          <a:noFill/>
          <a:miter lim="800000"/>
          <a:headEnd/>
          <a:tailEnd/>
        </a:ln>
      </xdr:spPr>
    </xdr:sp>
    <xdr:clientData/>
  </xdr:twoCellAnchor>
  <xdr:twoCellAnchor editAs="oneCell">
    <xdr:from>
      <xdr:col>0</xdr:col>
      <xdr:colOff>0</xdr:colOff>
      <xdr:row>1210</xdr:row>
      <xdr:rowOff>0</xdr:rowOff>
    </xdr:from>
    <xdr:to>
      <xdr:col>1</xdr:col>
      <xdr:colOff>161925</xdr:colOff>
      <xdr:row>1213</xdr:row>
      <xdr:rowOff>47625</xdr:rowOff>
    </xdr:to>
    <xdr:sp macro="" textlink="">
      <xdr:nvSpPr>
        <xdr:cNvPr id="6092796" name="AutoShape 83" descr="caution"/>
        <xdr:cNvSpPr>
          <a:spLocks noChangeAspect="1" noChangeArrowheads="1"/>
        </xdr:cNvSpPr>
      </xdr:nvSpPr>
      <xdr:spPr bwMode="auto">
        <a:xfrm>
          <a:off x="0" y="2962275"/>
          <a:ext cx="609600" cy="876300"/>
        </a:xfrm>
        <a:prstGeom prst="rect">
          <a:avLst/>
        </a:prstGeom>
        <a:noFill/>
        <a:ln w="9525">
          <a:noFill/>
          <a:miter lim="800000"/>
          <a:headEnd/>
          <a:tailEnd/>
        </a:ln>
      </xdr:spPr>
    </xdr:sp>
    <xdr:clientData/>
  </xdr:twoCellAnchor>
  <xdr:twoCellAnchor editAs="oneCell">
    <xdr:from>
      <xdr:col>0</xdr:col>
      <xdr:colOff>0</xdr:colOff>
      <xdr:row>1210</xdr:row>
      <xdr:rowOff>0</xdr:rowOff>
    </xdr:from>
    <xdr:to>
      <xdr:col>1</xdr:col>
      <xdr:colOff>161925</xdr:colOff>
      <xdr:row>1213</xdr:row>
      <xdr:rowOff>57150</xdr:rowOff>
    </xdr:to>
    <xdr:sp macro="" textlink="">
      <xdr:nvSpPr>
        <xdr:cNvPr id="6092797" name="AutoShape 84" descr="caution"/>
        <xdr:cNvSpPr>
          <a:spLocks noChangeAspect="1" noChangeArrowheads="1"/>
        </xdr:cNvSpPr>
      </xdr:nvSpPr>
      <xdr:spPr bwMode="auto">
        <a:xfrm>
          <a:off x="0" y="2962275"/>
          <a:ext cx="609600" cy="885825"/>
        </a:xfrm>
        <a:prstGeom prst="rect">
          <a:avLst/>
        </a:prstGeom>
        <a:noFill/>
        <a:ln w="9525">
          <a:noFill/>
          <a:miter lim="800000"/>
          <a:headEnd/>
          <a:tailEnd/>
        </a:ln>
      </xdr:spPr>
    </xdr:sp>
    <xdr:clientData/>
  </xdr:twoCellAnchor>
  <xdr:twoCellAnchor editAs="oneCell">
    <xdr:from>
      <xdr:col>0</xdr:col>
      <xdr:colOff>0</xdr:colOff>
      <xdr:row>1210</xdr:row>
      <xdr:rowOff>0</xdr:rowOff>
    </xdr:from>
    <xdr:to>
      <xdr:col>1</xdr:col>
      <xdr:colOff>161925</xdr:colOff>
      <xdr:row>1213</xdr:row>
      <xdr:rowOff>47625</xdr:rowOff>
    </xdr:to>
    <xdr:sp macro="" textlink="">
      <xdr:nvSpPr>
        <xdr:cNvPr id="6092798" name="AutoShape 86" descr="caution"/>
        <xdr:cNvSpPr>
          <a:spLocks noChangeAspect="1" noChangeArrowheads="1"/>
        </xdr:cNvSpPr>
      </xdr:nvSpPr>
      <xdr:spPr bwMode="auto">
        <a:xfrm>
          <a:off x="0" y="2962275"/>
          <a:ext cx="609600" cy="876300"/>
        </a:xfrm>
        <a:prstGeom prst="rect">
          <a:avLst/>
        </a:prstGeom>
        <a:noFill/>
        <a:ln w="9525">
          <a:noFill/>
          <a:miter lim="800000"/>
          <a:headEnd/>
          <a:tailEnd/>
        </a:ln>
      </xdr:spPr>
    </xdr:sp>
    <xdr:clientData/>
  </xdr:twoCellAnchor>
  <xdr:twoCellAnchor editAs="oneCell">
    <xdr:from>
      <xdr:col>0</xdr:col>
      <xdr:colOff>0</xdr:colOff>
      <xdr:row>1210</xdr:row>
      <xdr:rowOff>0</xdr:rowOff>
    </xdr:from>
    <xdr:to>
      <xdr:col>1</xdr:col>
      <xdr:colOff>161925</xdr:colOff>
      <xdr:row>1213</xdr:row>
      <xdr:rowOff>57150</xdr:rowOff>
    </xdr:to>
    <xdr:sp macro="" textlink="">
      <xdr:nvSpPr>
        <xdr:cNvPr id="6092799" name="AutoShape 87" descr="caution"/>
        <xdr:cNvSpPr>
          <a:spLocks noChangeAspect="1" noChangeArrowheads="1"/>
        </xdr:cNvSpPr>
      </xdr:nvSpPr>
      <xdr:spPr bwMode="auto">
        <a:xfrm>
          <a:off x="0" y="2962275"/>
          <a:ext cx="609600" cy="885825"/>
        </a:xfrm>
        <a:prstGeom prst="rect">
          <a:avLst/>
        </a:prstGeom>
        <a:noFill/>
        <a:ln w="9525">
          <a:noFill/>
          <a:miter lim="800000"/>
          <a:headEnd/>
          <a:tailEnd/>
        </a:ln>
      </xdr:spPr>
    </xdr:sp>
    <xdr:clientData/>
  </xdr:twoCellAnchor>
  <xdr:twoCellAnchor editAs="oneCell">
    <xdr:from>
      <xdr:col>0</xdr:col>
      <xdr:colOff>0</xdr:colOff>
      <xdr:row>1210</xdr:row>
      <xdr:rowOff>0</xdr:rowOff>
    </xdr:from>
    <xdr:to>
      <xdr:col>1</xdr:col>
      <xdr:colOff>161925</xdr:colOff>
      <xdr:row>1213</xdr:row>
      <xdr:rowOff>47625</xdr:rowOff>
    </xdr:to>
    <xdr:sp macro="" textlink="">
      <xdr:nvSpPr>
        <xdr:cNvPr id="6203392" name="AutoShape 89" descr="caution"/>
        <xdr:cNvSpPr>
          <a:spLocks noChangeAspect="1" noChangeArrowheads="1"/>
        </xdr:cNvSpPr>
      </xdr:nvSpPr>
      <xdr:spPr bwMode="auto">
        <a:xfrm>
          <a:off x="0" y="2962275"/>
          <a:ext cx="609600" cy="876300"/>
        </a:xfrm>
        <a:prstGeom prst="rect">
          <a:avLst/>
        </a:prstGeom>
        <a:noFill/>
        <a:ln w="9525">
          <a:noFill/>
          <a:miter lim="800000"/>
          <a:headEnd/>
          <a:tailEnd/>
        </a:ln>
      </xdr:spPr>
    </xdr:sp>
    <xdr:clientData/>
  </xdr:twoCellAnchor>
  <xdr:twoCellAnchor editAs="oneCell">
    <xdr:from>
      <xdr:col>0</xdr:col>
      <xdr:colOff>0</xdr:colOff>
      <xdr:row>1210</xdr:row>
      <xdr:rowOff>0</xdr:rowOff>
    </xdr:from>
    <xdr:to>
      <xdr:col>1</xdr:col>
      <xdr:colOff>161925</xdr:colOff>
      <xdr:row>1213</xdr:row>
      <xdr:rowOff>57150</xdr:rowOff>
    </xdr:to>
    <xdr:sp macro="" textlink="">
      <xdr:nvSpPr>
        <xdr:cNvPr id="6203393" name="AutoShape 90" descr="caution"/>
        <xdr:cNvSpPr>
          <a:spLocks noChangeAspect="1" noChangeArrowheads="1"/>
        </xdr:cNvSpPr>
      </xdr:nvSpPr>
      <xdr:spPr bwMode="auto">
        <a:xfrm>
          <a:off x="0" y="2962275"/>
          <a:ext cx="609600" cy="885825"/>
        </a:xfrm>
        <a:prstGeom prst="rect">
          <a:avLst/>
        </a:prstGeom>
        <a:noFill/>
        <a:ln w="9525">
          <a:noFill/>
          <a:miter lim="800000"/>
          <a:headEnd/>
          <a:tailEnd/>
        </a:ln>
      </xdr:spPr>
    </xdr:sp>
    <xdr:clientData/>
  </xdr:twoCellAnchor>
  <xdr:twoCellAnchor editAs="oneCell">
    <xdr:from>
      <xdr:col>0</xdr:col>
      <xdr:colOff>0</xdr:colOff>
      <xdr:row>1210</xdr:row>
      <xdr:rowOff>0</xdr:rowOff>
    </xdr:from>
    <xdr:to>
      <xdr:col>1</xdr:col>
      <xdr:colOff>161925</xdr:colOff>
      <xdr:row>1213</xdr:row>
      <xdr:rowOff>47625</xdr:rowOff>
    </xdr:to>
    <xdr:sp macro="" textlink="">
      <xdr:nvSpPr>
        <xdr:cNvPr id="6203394" name="AutoShape 92" descr="caution"/>
        <xdr:cNvSpPr>
          <a:spLocks noChangeAspect="1" noChangeArrowheads="1"/>
        </xdr:cNvSpPr>
      </xdr:nvSpPr>
      <xdr:spPr bwMode="auto">
        <a:xfrm>
          <a:off x="0" y="2962275"/>
          <a:ext cx="609600" cy="876300"/>
        </a:xfrm>
        <a:prstGeom prst="rect">
          <a:avLst/>
        </a:prstGeom>
        <a:noFill/>
        <a:ln w="9525">
          <a:noFill/>
          <a:miter lim="800000"/>
          <a:headEnd/>
          <a:tailEnd/>
        </a:ln>
      </xdr:spPr>
    </xdr:sp>
    <xdr:clientData/>
  </xdr:twoCellAnchor>
  <xdr:twoCellAnchor editAs="oneCell">
    <xdr:from>
      <xdr:col>0</xdr:col>
      <xdr:colOff>0</xdr:colOff>
      <xdr:row>1210</xdr:row>
      <xdr:rowOff>0</xdr:rowOff>
    </xdr:from>
    <xdr:to>
      <xdr:col>1</xdr:col>
      <xdr:colOff>161925</xdr:colOff>
      <xdr:row>1213</xdr:row>
      <xdr:rowOff>57150</xdr:rowOff>
    </xdr:to>
    <xdr:sp macro="" textlink="">
      <xdr:nvSpPr>
        <xdr:cNvPr id="6203395" name="AutoShape 93" descr="caution"/>
        <xdr:cNvSpPr>
          <a:spLocks noChangeAspect="1" noChangeArrowheads="1"/>
        </xdr:cNvSpPr>
      </xdr:nvSpPr>
      <xdr:spPr bwMode="auto">
        <a:xfrm>
          <a:off x="0" y="2962275"/>
          <a:ext cx="609600" cy="885825"/>
        </a:xfrm>
        <a:prstGeom prst="rect">
          <a:avLst/>
        </a:prstGeom>
        <a:noFill/>
        <a:ln w="9525">
          <a:noFill/>
          <a:miter lim="800000"/>
          <a:headEnd/>
          <a:tailEnd/>
        </a:ln>
      </xdr:spPr>
    </xdr:sp>
    <xdr:clientData/>
  </xdr:twoCellAnchor>
  <xdr:twoCellAnchor editAs="oneCell">
    <xdr:from>
      <xdr:col>3</xdr:col>
      <xdr:colOff>0</xdr:colOff>
      <xdr:row>600</xdr:row>
      <xdr:rowOff>0</xdr:rowOff>
    </xdr:from>
    <xdr:to>
      <xdr:col>11</xdr:col>
      <xdr:colOff>447675</xdr:colOff>
      <xdr:row>1201</xdr:row>
      <xdr:rowOff>161925</xdr:rowOff>
    </xdr:to>
    <xdr:sp macro="" textlink="">
      <xdr:nvSpPr>
        <xdr:cNvPr id="6203396" name="AutoShape 94" descr="caution"/>
        <xdr:cNvSpPr>
          <a:spLocks noChangeAspect="1" noChangeArrowheads="1"/>
        </xdr:cNvSpPr>
      </xdr:nvSpPr>
      <xdr:spPr bwMode="auto">
        <a:xfrm>
          <a:off x="2495550" y="647700"/>
          <a:ext cx="447675" cy="866775"/>
        </a:xfrm>
        <a:prstGeom prst="rect">
          <a:avLst/>
        </a:prstGeom>
        <a:noFill/>
        <a:ln w="9525">
          <a:noFill/>
          <a:miter lim="800000"/>
          <a:headEnd/>
          <a:tailEnd/>
        </a:ln>
      </xdr:spPr>
    </xdr:sp>
    <xdr:clientData/>
  </xdr:twoCellAnchor>
  <xdr:twoCellAnchor editAs="oneCell">
    <xdr:from>
      <xdr:col>1</xdr:col>
      <xdr:colOff>0</xdr:colOff>
      <xdr:row>608</xdr:row>
      <xdr:rowOff>0</xdr:rowOff>
    </xdr:from>
    <xdr:to>
      <xdr:col>1</xdr:col>
      <xdr:colOff>447675</xdr:colOff>
      <xdr:row>1202</xdr:row>
      <xdr:rowOff>142875</xdr:rowOff>
    </xdr:to>
    <xdr:sp macro="" textlink="">
      <xdr:nvSpPr>
        <xdr:cNvPr id="6203397" name="AutoShape 95" descr="caution"/>
        <xdr:cNvSpPr>
          <a:spLocks noChangeAspect="1" noChangeArrowheads="1"/>
        </xdr:cNvSpPr>
      </xdr:nvSpPr>
      <xdr:spPr bwMode="auto">
        <a:xfrm>
          <a:off x="447675" y="647700"/>
          <a:ext cx="447675" cy="1028700"/>
        </a:xfrm>
        <a:prstGeom prst="rect">
          <a:avLst/>
        </a:prstGeom>
        <a:noFill/>
        <a:ln w="9525">
          <a:noFill/>
          <a:miter lim="800000"/>
          <a:headEnd/>
          <a:tailEnd/>
        </a:ln>
      </xdr:spPr>
    </xdr:sp>
    <xdr:clientData/>
  </xdr:twoCellAnchor>
  <xdr:twoCellAnchor editAs="oneCell">
    <xdr:from>
      <xdr:col>0</xdr:col>
      <xdr:colOff>0</xdr:colOff>
      <xdr:row>600</xdr:row>
      <xdr:rowOff>0</xdr:rowOff>
    </xdr:from>
    <xdr:to>
      <xdr:col>1</xdr:col>
      <xdr:colOff>161925</xdr:colOff>
      <xdr:row>1201</xdr:row>
      <xdr:rowOff>161925</xdr:rowOff>
    </xdr:to>
    <xdr:sp macro="" textlink="">
      <xdr:nvSpPr>
        <xdr:cNvPr id="6203398" name="AutoShape 96" descr="caution"/>
        <xdr:cNvSpPr>
          <a:spLocks noChangeAspect="1" noChangeArrowheads="1"/>
        </xdr:cNvSpPr>
      </xdr:nvSpPr>
      <xdr:spPr bwMode="auto">
        <a:xfrm>
          <a:off x="0" y="647700"/>
          <a:ext cx="609600" cy="866775"/>
        </a:xfrm>
        <a:prstGeom prst="rect">
          <a:avLst/>
        </a:prstGeom>
        <a:noFill/>
        <a:ln w="9525">
          <a:noFill/>
          <a:miter lim="800000"/>
          <a:headEnd/>
          <a:tailEnd/>
        </a:ln>
      </xdr:spPr>
    </xdr:sp>
    <xdr:clientData/>
  </xdr:twoCellAnchor>
  <xdr:twoCellAnchor editAs="oneCell">
    <xdr:from>
      <xdr:col>3</xdr:col>
      <xdr:colOff>0</xdr:colOff>
      <xdr:row>600</xdr:row>
      <xdr:rowOff>0</xdr:rowOff>
    </xdr:from>
    <xdr:to>
      <xdr:col>11</xdr:col>
      <xdr:colOff>447675</xdr:colOff>
      <xdr:row>1202</xdr:row>
      <xdr:rowOff>152400</xdr:rowOff>
    </xdr:to>
    <xdr:sp macro="" textlink="">
      <xdr:nvSpPr>
        <xdr:cNvPr id="6203399" name="AutoShape 97" descr="caution"/>
        <xdr:cNvSpPr>
          <a:spLocks noChangeAspect="1" noChangeArrowheads="1"/>
        </xdr:cNvSpPr>
      </xdr:nvSpPr>
      <xdr:spPr bwMode="auto">
        <a:xfrm>
          <a:off x="2495550" y="647700"/>
          <a:ext cx="447675" cy="1038225"/>
        </a:xfrm>
        <a:prstGeom prst="rect">
          <a:avLst/>
        </a:prstGeom>
        <a:noFill/>
        <a:ln w="9525">
          <a:noFill/>
          <a:miter lim="800000"/>
          <a:headEnd/>
          <a:tailEnd/>
        </a:ln>
      </xdr:spPr>
    </xdr:sp>
    <xdr:clientData/>
  </xdr:twoCellAnchor>
  <xdr:twoCellAnchor editAs="oneCell">
    <xdr:from>
      <xdr:col>1</xdr:col>
      <xdr:colOff>0</xdr:colOff>
      <xdr:row>686</xdr:row>
      <xdr:rowOff>0</xdr:rowOff>
    </xdr:from>
    <xdr:to>
      <xdr:col>1</xdr:col>
      <xdr:colOff>447675</xdr:colOff>
      <xdr:row>1202</xdr:row>
      <xdr:rowOff>152400</xdr:rowOff>
    </xdr:to>
    <xdr:sp macro="" textlink="">
      <xdr:nvSpPr>
        <xdr:cNvPr id="6203400" name="AutoShape 98" descr="caution"/>
        <xdr:cNvSpPr>
          <a:spLocks noChangeAspect="1" noChangeArrowheads="1"/>
        </xdr:cNvSpPr>
      </xdr:nvSpPr>
      <xdr:spPr bwMode="auto">
        <a:xfrm>
          <a:off x="447675" y="647700"/>
          <a:ext cx="447675" cy="1038225"/>
        </a:xfrm>
        <a:prstGeom prst="rect">
          <a:avLst/>
        </a:prstGeom>
        <a:noFill/>
        <a:ln w="9525">
          <a:noFill/>
          <a:miter lim="800000"/>
          <a:headEnd/>
          <a:tailEnd/>
        </a:ln>
      </xdr:spPr>
    </xdr:sp>
    <xdr:clientData/>
  </xdr:twoCellAnchor>
  <xdr:twoCellAnchor editAs="oneCell">
    <xdr:from>
      <xdr:col>0</xdr:col>
      <xdr:colOff>0</xdr:colOff>
      <xdr:row>600</xdr:row>
      <xdr:rowOff>0</xdr:rowOff>
    </xdr:from>
    <xdr:to>
      <xdr:col>1</xdr:col>
      <xdr:colOff>161925</xdr:colOff>
      <xdr:row>1202</xdr:row>
      <xdr:rowOff>152400</xdr:rowOff>
    </xdr:to>
    <xdr:sp macro="" textlink="">
      <xdr:nvSpPr>
        <xdr:cNvPr id="6203401" name="AutoShape 99" descr="caution"/>
        <xdr:cNvSpPr>
          <a:spLocks noChangeAspect="1" noChangeArrowheads="1"/>
        </xdr:cNvSpPr>
      </xdr:nvSpPr>
      <xdr:spPr bwMode="auto">
        <a:xfrm>
          <a:off x="0" y="647700"/>
          <a:ext cx="609600" cy="1038225"/>
        </a:xfrm>
        <a:prstGeom prst="rect">
          <a:avLst/>
        </a:prstGeom>
        <a:noFill/>
        <a:ln w="9525">
          <a:noFill/>
          <a:miter lim="800000"/>
          <a:headEnd/>
          <a:tailEnd/>
        </a:ln>
      </xdr:spPr>
    </xdr:sp>
    <xdr:clientData/>
  </xdr:twoCellAnchor>
  <xdr:twoCellAnchor editAs="oneCell">
    <xdr:from>
      <xdr:col>0</xdr:col>
      <xdr:colOff>0</xdr:colOff>
      <xdr:row>1054</xdr:row>
      <xdr:rowOff>0</xdr:rowOff>
    </xdr:from>
    <xdr:to>
      <xdr:col>1</xdr:col>
      <xdr:colOff>161925</xdr:colOff>
      <xdr:row>1202</xdr:row>
      <xdr:rowOff>161925</xdr:rowOff>
    </xdr:to>
    <xdr:sp macro="" textlink="">
      <xdr:nvSpPr>
        <xdr:cNvPr id="6203402" name="AutoShape 100" descr="caution"/>
        <xdr:cNvSpPr>
          <a:spLocks noChangeAspect="1" noChangeArrowheads="1"/>
        </xdr:cNvSpPr>
      </xdr:nvSpPr>
      <xdr:spPr bwMode="auto">
        <a:xfrm>
          <a:off x="0" y="647700"/>
          <a:ext cx="609600" cy="1047750"/>
        </a:xfrm>
        <a:prstGeom prst="rect">
          <a:avLst/>
        </a:prstGeom>
        <a:noFill/>
        <a:ln w="9525">
          <a:noFill/>
          <a:miter lim="800000"/>
          <a:headEnd/>
          <a:tailEnd/>
        </a:ln>
      </xdr:spPr>
    </xdr:sp>
    <xdr:clientData/>
  </xdr:twoCellAnchor>
  <xdr:twoCellAnchor editAs="oneCell">
    <xdr:from>
      <xdr:col>3</xdr:col>
      <xdr:colOff>0</xdr:colOff>
      <xdr:row>600</xdr:row>
      <xdr:rowOff>0</xdr:rowOff>
    </xdr:from>
    <xdr:to>
      <xdr:col>11</xdr:col>
      <xdr:colOff>447675</xdr:colOff>
      <xdr:row>1201</xdr:row>
      <xdr:rowOff>161925</xdr:rowOff>
    </xdr:to>
    <xdr:sp macro="" textlink="">
      <xdr:nvSpPr>
        <xdr:cNvPr id="6203403" name="AutoShape 101" descr="caution"/>
        <xdr:cNvSpPr>
          <a:spLocks noChangeAspect="1" noChangeArrowheads="1"/>
        </xdr:cNvSpPr>
      </xdr:nvSpPr>
      <xdr:spPr bwMode="auto">
        <a:xfrm>
          <a:off x="2495550" y="647700"/>
          <a:ext cx="447675" cy="866775"/>
        </a:xfrm>
        <a:prstGeom prst="rect">
          <a:avLst/>
        </a:prstGeom>
        <a:noFill/>
        <a:ln w="9525">
          <a:noFill/>
          <a:miter lim="800000"/>
          <a:headEnd/>
          <a:tailEnd/>
        </a:ln>
      </xdr:spPr>
    </xdr:sp>
    <xdr:clientData/>
  </xdr:twoCellAnchor>
  <xdr:twoCellAnchor editAs="oneCell">
    <xdr:from>
      <xdr:col>1</xdr:col>
      <xdr:colOff>0</xdr:colOff>
      <xdr:row>608</xdr:row>
      <xdr:rowOff>0</xdr:rowOff>
    </xdr:from>
    <xdr:to>
      <xdr:col>1</xdr:col>
      <xdr:colOff>447675</xdr:colOff>
      <xdr:row>1202</xdr:row>
      <xdr:rowOff>142875</xdr:rowOff>
    </xdr:to>
    <xdr:sp macro="" textlink="">
      <xdr:nvSpPr>
        <xdr:cNvPr id="6203404" name="AutoShape 102" descr="caution"/>
        <xdr:cNvSpPr>
          <a:spLocks noChangeAspect="1" noChangeArrowheads="1"/>
        </xdr:cNvSpPr>
      </xdr:nvSpPr>
      <xdr:spPr bwMode="auto">
        <a:xfrm>
          <a:off x="447675" y="647700"/>
          <a:ext cx="447675" cy="1028700"/>
        </a:xfrm>
        <a:prstGeom prst="rect">
          <a:avLst/>
        </a:prstGeom>
        <a:noFill/>
        <a:ln w="9525">
          <a:noFill/>
          <a:miter lim="800000"/>
          <a:headEnd/>
          <a:tailEnd/>
        </a:ln>
      </xdr:spPr>
    </xdr:sp>
    <xdr:clientData/>
  </xdr:twoCellAnchor>
  <xdr:twoCellAnchor editAs="oneCell">
    <xdr:from>
      <xdr:col>0</xdr:col>
      <xdr:colOff>0</xdr:colOff>
      <xdr:row>600</xdr:row>
      <xdr:rowOff>0</xdr:rowOff>
    </xdr:from>
    <xdr:to>
      <xdr:col>1</xdr:col>
      <xdr:colOff>161925</xdr:colOff>
      <xdr:row>1201</xdr:row>
      <xdr:rowOff>161925</xdr:rowOff>
    </xdr:to>
    <xdr:sp macro="" textlink="">
      <xdr:nvSpPr>
        <xdr:cNvPr id="6203405" name="AutoShape 103" descr="caution"/>
        <xdr:cNvSpPr>
          <a:spLocks noChangeAspect="1" noChangeArrowheads="1"/>
        </xdr:cNvSpPr>
      </xdr:nvSpPr>
      <xdr:spPr bwMode="auto">
        <a:xfrm>
          <a:off x="0" y="647700"/>
          <a:ext cx="609600" cy="866775"/>
        </a:xfrm>
        <a:prstGeom prst="rect">
          <a:avLst/>
        </a:prstGeom>
        <a:noFill/>
        <a:ln w="9525">
          <a:noFill/>
          <a:miter lim="800000"/>
          <a:headEnd/>
          <a:tailEnd/>
        </a:ln>
      </xdr:spPr>
    </xdr:sp>
    <xdr:clientData/>
  </xdr:twoCellAnchor>
  <xdr:twoCellAnchor editAs="oneCell">
    <xdr:from>
      <xdr:col>3</xdr:col>
      <xdr:colOff>0</xdr:colOff>
      <xdr:row>600</xdr:row>
      <xdr:rowOff>0</xdr:rowOff>
    </xdr:from>
    <xdr:to>
      <xdr:col>11</xdr:col>
      <xdr:colOff>447675</xdr:colOff>
      <xdr:row>1202</xdr:row>
      <xdr:rowOff>152400</xdr:rowOff>
    </xdr:to>
    <xdr:sp macro="" textlink="">
      <xdr:nvSpPr>
        <xdr:cNvPr id="6203406" name="AutoShape 104" descr="caution"/>
        <xdr:cNvSpPr>
          <a:spLocks noChangeAspect="1" noChangeArrowheads="1"/>
        </xdr:cNvSpPr>
      </xdr:nvSpPr>
      <xdr:spPr bwMode="auto">
        <a:xfrm>
          <a:off x="2495550" y="647700"/>
          <a:ext cx="447675" cy="1038225"/>
        </a:xfrm>
        <a:prstGeom prst="rect">
          <a:avLst/>
        </a:prstGeom>
        <a:noFill/>
        <a:ln w="9525">
          <a:noFill/>
          <a:miter lim="800000"/>
          <a:headEnd/>
          <a:tailEnd/>
        </a:ln>
      </xdr:spPr>
    </xdr:sp>
    <xdr:clientData/>
  </xdr:twoCellAnchor>
  <xdr:twoCellAnchor editAs="oneCell">
    <xdr:from>
      <xdr:col>1</xdr:col>
      <xdr:colOff>0</xdr:colOff>
      <xdr:row>688</xdr:row>
      <xdr:rowOff>0</xdr:rowOff>
    </xdr:from>
    <xdr:to>
      <xdr:col>1</xdr:col>
      <xdr:colOff>447675</xdr:colOff>
      <xdr:row>1202</xdr:row>
      <xdr:rowOff>152400</xdr:rowOff>
    </xdr:to>
    <xdr:sp macro="" textlink="">
      <xdr:nvSpPr>
        <xdr:cNvPr id="6203407" name="AutoShape 105" descr="caution"/>
        <xdr:cNvSpPr>
          <a:spLocks noChangeAspect="1" noChangeArrowheads="1"/>
        </xdr:cNvSpPr>
      </xdr:nvSpPr>
      <xdr:spPr bwMode="auto">
        <a:xfrm>
          <a:off x="447675" y="647700"/>
          <a:ext cx="447675" cy="1038225"/>
        </a:xfrm>
        <a:prstGeom prst="rect">
          <a:avLst/>
        </a:prstGeom>
        <a:noFill/>
        <a:ln w="9525">
          <a:noFill/>
          <a:miter lim="800000"/>
          <a:headEnd/>
          <a:tailEnd/>
        </a:ln>
      </xdr:spPr>
    </xdr:sp>
    <xdr:clientData/>
  </xdr:twoCellAnchor>
  <xdr:twoCellAnchor editAs="oneCell">
    <xdr:from>
      <xdr:col>0</xdr:col>
      <xdr:colOff>0</xdr:colOff>
      <xdr:row>600</xdr:row>
      <xdr:rowOff>0</xdr:rowOff>
    </xdr:from>
    <xdr:to>
      <xdr:col>1</xdr:col>
      <xdr:colOff>161925</xdr:colOff>
      <xdr:row>1202</xdr:row>
      <xdr:rowOff>152400</xdr:rowOff>
    </xdr:to>
    <xdr:sp macro="" textlink="">
      <xdr:nvSpPr>
        <xdr:cNvPr id="6203408" name="AutoShape 106" descr="caution"/>
        <xdr:cNvSpPr>
          <a:spLocks noChangeAspect="1" noChangeArrowheads="1"/>
        </xdr:cNvSpPr>
      </xdr:nvSpPr>
      <xdr:spPr bwMode="auto">
        <a:xfrm>
          <a:off x="0" y="647700"/>
          <a:ext cx="609600" cy="1038225"/>
        </a:xfrm>
        <a:prstGeom prst="rect">
          <a:avLst/>
        </a:prstGeom>
        <a:noFill/>
        <a:ln w="9525">
          <a:noFill/>
          <a:miter lim="800000"/>
          <a:headEnd/>
          <a:tailEnd/>
        </a:ln>
      </xdr:spPr>
    </xdr:sp>
    <xdr:clientData/>
  </xdr:twoCellAnchor>
  <xdr:twoCellAnchor editAs="oneCell">
    <xdr:from>
      <xdr:col>0</xdr:col>
      <xdr:colOff>0</xdr:colOff>
      <xdr:row>1069</xdr:row>
      <xdr:rowOff>0</xdr:rowOff>
    </xdr:from>
    <xdr:to>
      <xdr:col>1</xdr:col>
      <xdr:colOff>161925</xdr:colOff>
      <xdr:row>1202</xdr:row>
      <xdr:rowOff>161925</xdr:rowOff>
    </xdr:to>
    <xdr:sp macro="" textlink="">
      <xdr:nvSpPr>
        <xdr:cNvPr id="6203409" name="AutoShape 107" descr="caution"/>
        <xdr:cNvSpPr>
          <a:spLocks noChangeAspect="1" noChangeArrowheads="1"/>
        </xdr:cNvSpPr>
      </xdr:nvSpPr>
      <xdr:spPr bwMode="auto">
        <a:xfrm>
          <a:off x="0" y="647700"/>
          <a:ext cx="609600" cy="1047750"/>
        </a:xfrm>
        <a:prstGeom prst="rect">
          <a:avLst/>
        </a:prstGeom>
        <a:noFill/>
        <a:ln w="9525">
          <a:noFill/>
          <a:miter lim="800000"/>
          <a:headEnd/>
          <a:tailEnd/>
        </a:ln>
      </xdr:spPr>
    </xdr:sp>
    <xdr:clientData/>
  </xdr:twoCellAnchor>
  <xdr:twoCellAnchor editAs="oneCell">
    <xdr:from>
      <xdr:col>3</xdr:col>
      <xdr:colOff>0</xdr:colOff>
      <xdr:row>600</xdr:row>
      <xdr:rowOff>0</xdr:rowOff>
    </xdr:from>
    <xdr:to>
      <xdr:col>11</xdr:col>
      <xdr:colOff>447675</xdr:colOff>
      <xdr:row>1201</xdr:row>
      <xdr:rowOff>161925</xdr:rowOff>
    </xdr:to>
    <xdr:sp macro="" textlink="">
      <xdr:nvSpPr>
        <xdr:cNvPr id="6203410" name="AutoShape 108" descr="caution"/>
        <xdr:cNvSpPr>
          <a:spLocks noChangeAspect="1" noChangeArrowheads="1"/>
        </xdr:cNvSpPr>
      </xdr:nvSpPr>
      <xdr:spPr bwMode="auto">
        <a:xfrm>
          <a:off x="2495550" y="647700"/>
          <a:ext cx="447675" cy="866775"/>
        </a:xfrm>
        <a:prstGeom prst="rect">
          <a:avLst/>
        </a:prstGeom>
        <a:noFill/>
        <a:ln w="9525">
          <a:noFill/>
          <a:miter lim="800000"/>
          <a:headEnd/>
          <a:tailEnd/>
        </a:ln>
      </xdr:spPr>
    </xdr:sp>
    <xdr:clientData/>
  </xdr:twoCellAnchor>
  <xdr:twoCellAnchor editAs="oneCell">
    <xdr:from>
      <xdr:col>1</xdr:col>
      <xdr:colOff>0</xdr:colOff>
      <xdr:row>608</xdr:row>
      <xdr:rowOff>0</xdr:rowOff>
    </xdr:from>
    <xdr:to>
      <xdr:col>1</xdr:col>
      <xdr:colOff>447675</xdr:colOff>
      <xdr:row>1202</xdr:row>
      <xdr:rowOff>142875</xdr:rowOff>
    </xdr:to>
    <xdr:sp macro="" textlink="">
      <xdr:nvSpPr>
        <xdr:cNvPr id="6203411" name="AutoShape 109" descr="caution"/>
        <xdr:cNvSpPr>
          <a:spLocks noChangeAspect="1" noChangeArrowheads="1"/>
        </xdr:cNvSpPr>
      </xdr:nvSpPr>
      <xdr:spPr bwMode="auto">
        <a:xfrm>
          <a:off x="447675" y="647700"/>
          <a:ext cx="447675" cy="1028700"/>
        </a:xfrm>
        <a:prstGeom prst="rect">
          <a:avLst/>
        </a:prstGeom>
        <a:noFill/>
        <a:ln w="9525">
          <a:noFill/>
          <a:miter lim="800000"/>
          <a:headEnd/>
          <a:tailEnd/>
        </a:ln>
      </xdr:spPr>
    </xdr:sp>
    <xdr:clientData/>
  </xdr:twoCellAnchor>
  <xdr:twoCellAnchor editAs="oneCell">
    <xdr:from>
      <xdr:col>0</xdr:col>
      <xdr:colOff>0</xdr:colOff>
      <xdr:row>600</xdr:row>
      <xdr:rowOff>0</xdr:rowOff>
    </xdr:from>
    <xdr:to>
      <xdr:col>1</xdr:col>
      <xdr:colOff>161925</xdr:colOff>
      <xdr:row>1201</xdr:row>
      <xdr:rowOff>161925</xdr:rowOff>
    </xdr:to>
    <xdr:sp macro="" textlink="">
      <xdr:nvSpPr>
        <xdr:cNvPr id="6203412" name="AutoShape 110" descr="caution"/>
        <xdr:cNvSpPr>
          <a:spLocks noChangeAspect="1" noChangeArrowheads="1"/>
        </xdr:cNvSpPr>
      </xdr:nvSpPr>
      <xdr:spPr bwMode="auto">
        <a:xfrm>
          <a:off x="0" y="647700"/>
          <a:ext cx="609600" cy="866775"/>
        </a:xfrm>
        <a:prstGeom prst="rect">
          <a:avLst/>
        </a:prstGeom>
        <a:noFill/>
        <a:ln w="9525">
          <a:noFill/>
          <a:miter lim="800000"/>
          <a:headEnd/>
          <a:tailEnd/>
        </a:ln>
      </xdr:spPr>
    </xdr:sp>
    <xdr:clientData/>
  </xdr:twoCellAnchor>
  <xdr:twoCellAnchor editAs="oneCell">
    <xdr:from>
      <xdr:col>3</xdr:col>
      <xdr:colOff>0</xdr:colOff>
      <xdr:row>600</xdr:row>
      <xdr:rowOff>0</xdr:rowOff>
    </xdr:from>
    <xdr:to>
      <xdr:col>11</xdr:col>
      <xdr:colOff>447675</xdr:colOff>
      <xdr:row>1202</xdr:row>
      <xdr:rowOff>152400</xdr:rowOff>
    </xdr:to>
    <xdr:sp macro="" textlink="">
      <xdr:nvSpPr>
        <xdr:cNvPr id="6203413" name="AutoShape 111" descr="caution"/>
        <xdr:cNvSpPr>
          <a:spLocks noChangeAspect="1" noChangeArrowheads="1"/>
        </xdr:cNvSpPr>
      </xdr:nvSpPr>
      <xdr:spPr bwMode="auto">
        <a:xfrm>
          <a:off x="2495550" y="647700"/>
          <a:ext cx="447675" cy="1038225"/>
        </a:xfrm>
        <a:prstGeom prst="rect">
          <a:avLst/>
        </a:prstGeom>
        <a:noFill/>
        <a:ln w="9525">
          <a:noFill/>
          <a:miter lim="800000"/>
          <a:headEnd/>
          <a:tailEnd/>
        </a:ln>
      </xdr:spPr>
    </xdr:sp>
    <xdr:clientData/>
  </xdr:twoCellAnchor>
  <xdr:twoCellAnchor editAs="oneCell">
    <xdr:from>
      <xdr:col>1</xdr:col>
      <xdr:colOff>0</xdr:colOff>
      <xdr:row>686</xdr:row>
      <xdr:rowOff>0</xdr:rowOff>
    </xdr:from>
    <xdr:to>
      <xdr:col>1</xdr:col>
      <xdr:colOff>447675</xdr:colOff>
      <xdr:row>1202</xdr:row>
      <xdr:rowOff>152400</xdr:rowOff>
    </xdr:to>
    <xdr:sp macro="" textlink="">
      <xdr:nvSpPr>
        <xdr:cNvPr id="6203414" name="AutoShape 112" descr="caution"/>
        <xdr:cNvSpPr>
          <a:spLocks noChangeAspect="1" noChangeArrowheads="1"/>
        </xdr:cNvSpPr>
      </xdr:nvSpPr>
      <xdr:spPr bwMode="auto">
        <a:xfrm>
          <a:off x="447675" y="647700"/>
          <a:ext cx="447675" cy="1038225"/>
        </a:xfrm>
        <a:prstGeom prst="rect">
          <a:avLst/>
        </a:prstGeom>
        <a:noFill/>
        <a:ln w="9525">
          <a:noFill/>
          <a:miter lim="800000"/>
          <a:headEnd/>
          <a:tailEnd/>
        </a:ln>
      </xdr:spPr>
    </xdr:sp>
    <xdr:clientData/>
  </xdr:twoCellAnchor>
  <xdr:twoCellAnchor editAs="oneCell">
    <xdr:from>
      <xdr:col>0</xdr:col>
      <xdr:colOff>0</xdr:colOff>
      <xdr:row>600</xdr:row>
      <xdr:rowOff>0</xdr:rowOff>
    </xdr:from>
    <xdr:to>
      <xdr:col>1</xdr:col>
      <xdr:colOff>161925</xdr:colOff>
      <xdr:row>1202</xdr:row>
      <xdr:rowOff>152400</xdr:rowOff>
    </xdr:to>
    <xdr:sp macro="" textlink="">
      <xdr:nvSpPr>
        <xdr:cNvPr id="6203415" name="AutoShape 113" descr="caution"/>
        <xdr:cNvSpPr>
          <a:spLocks noChangeAspect="1" noChangeArrowheads="1"/>
        </xdr:cNvSpPr>
      </xdr:nvSpPr>
      <xdr:spPr bwMode="auto">
        <a:xfrm>
          <a:off x="0" y="647700"/>
          <a:ext cx="609600" cy="1038225"/>
        </a:xfrm>
        <a:prstGeom prst="rect">
          <a:avLst/>
        </a:prstGeom>
        <a:noFill/>
        <a:ln w="9525">
          <a:noFill/>
          <a:miter lim="800000"/>
          <a:headEnd/>
          <a:tailEnd/>
        </a:ln>
      </xdr:spPr>
    </xdr:sp>
    <xdr:clientData/>
  </xdr:twoCellAnchor>
  <xdr:twoCellAnchor editAs="oneCell">
    <xdr:from>
      <xdr:col>0</xdr:col>
      <xdr:colOff>0</xdr:colOff>
      <xdr:row>1054</xdr:row>
      <xdr:rowOff>0</xdr:rowOff>
    </xdr:from>
    <xdr:to>
      <xdr:col>1</xdr:col>
      <xdr:colOff>161925</xdr:colOff>
      <xdr:row>1202</xdr:row>
      <xdr:rowOff>161925</xdr:rowOff>
    </xdr:to>
    <xdr:sp macro="" textlink="">
      <xdr:nvSpPr>
        <xdr:cNvPr id="6203416" name="AutoShape 114" descr="caution"/>
        <xdr:cNvSpPr>
          <a:spLocks noChangeAspect="1" noChangeArrowheads="1"/>
        </xdr:cNvSpPr>
      </xdr:nvSpPr>
      <xdr:spPr bwMode="auto">
        <a:xfrm>
          <a:off x="0" y="647700"/>
          <a:ext cx="609600" cy="1047750"/>
        </a:xfrm>
        <a:prstGeom prst="rect">
          <a:avLst/>
        </a:prstGeom>
        <a:noFill/>
        <a:ln w="9525">
          <a:noFill/>
          <a:miter lim="800000"/>
          <a:headEnd/>
          <a:tailEnd/>
        </a:ln>
      </xdr:spPr>
    </xdr:sp>
    <xdr:clientData/>
  </xdr:twoCellAnchor>
  <xdr:twoCellAnchor editAs="oneCell">
    <xdr:from>
      <xdr:col>3</xdr:col>
      <xdr:colOff>0</xdr:colOff>
      <xdr:row>600</xdr:row>
      <xdr:rowOff>0</xdr:rowOff>
    </xdr:from>
    <xdr:to>
      <xdr:col>11</xdr:col>
      <xdr:colOff>447675</xdr:colOff>
      <xdr:row>1201</xdr:row>
      <xdr:rowOff>161925</xdr:rowOff>
    </xdr:to>
    <xdr:sp macro="" textlink="">
      <xdr:nvSpPr>
        <xdr:cNvPr id="6203417" name="AutoShape 115" descr="caution"/>
        <xdr:cNvSpPr>
          <a:spLocks noChangeAspect="1" noChangeArrowheads="1"/>
        </xdr:cNvSpPr>
      </xdr:nvSpPr>
      <xdr:spPr bwMode="auto">
        <a:xfrm>
          <a:off x="2495550" y="647700"/>
          <a:ext cx="447675" cy="866775"/>
        </a:xfrm>
        <a:prstGeom prst="rect">
          <a:avLst/>
        </a:prstGeom>
        <a:noFill/>
        <a:ln w="9525">
          <a:noFill/>
          <a:miter lim="800000"/>
          <a:headEnd/>
          <a:tailEnd/>
        </a:ln>
      </xdr:spPr>
    </xdr:sp>
    <xdr:clientData/>
  </xdr:twoCellAnchor>
  <xdr:twoCellAnchor editAs="oneCell">
    <xdr:from>
      <xdr:col>1</xdr:col>
      <xdr:colOff>0</xdr:colOff>
      <xdr:row>608</xdr:row>
      <xdr:rowOff>0</xdr:rowOff>
    </xdr:from>
    <xdr:to>
      <xdr:col>1</xdr:col>
      <xdr:colOff>447675</xdr:colOff>
      <xdr:row>1202</xdr:row>
      <xdr:rowOff>142875</xdr:rowOff>
    </xdr:to>
    <xdr:sp macro="" textlink="">
      <xdr:nvSpPr>
        <xdr:cNvPr id="6203418" name="AutoShape 116" descr="caution"/>
        <xdr:cNvSpPr>
          <a:spLocks noChangeAspect="1" noChangeArrowheads="1"/>
        </xdr:cNvSpPr>
      </xdr:nvSpPr>
      <xdr:spPr bwMode="auto">
        <a:xfrm>
          <a:off x="447675" y="647700"/>
          <a:ext cx="447675" cy="1028700"/>
        </a:xfrm>
        <a:prstGeom prst="rect">
          <a:avLst/>
        </a:prstGeom>
        <a:noFill/>
        <a:ln w="9525">
          <a:noFill/>
          <a:miter lim="800000"/>
          <a:headEnd/>
          <a:tailEnd/>
        </a:ln>
      </xdr:spPr>
    </xdr:sp>
    <xdr:clientData/>
  </xdr:twoCellAnchor>
  <xdr:twoCellAnchor editAs="oneCell">
    <xdr:from>
      <xdr:col>0</xdr:col>
      <xdr:colOff>0</xdr:colOff>
      <xdr:row>600</xdr:row>
      <xdr:rowOff>0</xdr:rowOff>
    </xdr:from>
    <xdr:to>
      <xdr:col>1</xdr:col>
      <xdr:colOff>161925</xdr:colOff>
      <xdr:row>1201</xdr:row>
      <xdr:rowOff>161925</xdr:rowOff>
    </xdr:to>
    <xdr:sp macro="" textlink="">
      <xdr:nvSpPr>
        <xdr:cNvPr id="6203419" name="AutoShape 117" descr="caution"/>
        <xdr:cNvSpPr>
          <a:spLocks noChangeAspect="1" noChangeArrowheads="1"/>
        </xdr:cNvSpPr>
      </xdr:nvSpPr>
      <xdr:spPr bwMode="auto">
        <a:xfrm>
          <a:off x="0" y="647700"/>
          <a:ext cx="609600" cy="866775"/>
        </a:xfrm>
        <a:prstGeom prst="rect">
          <a:avLst/>
        </a:prstGeom>
        <a:noFill/>
        <a:ln w="9525">
          <a:noFill/>
          <a:miter lim="800000"/>
          <a:headEnd/>
          <a:tailEnd/>
        </a:ln>
      </xdr:spPr>
    </xdr:sp>
    <xdr:clientData/>
  </xdr:twoCellAnchor>
  <xdr:twoCellAnchor editAs="oneCell">
    <xdr:from>
      <xdr:col>3</xdr:col>
      <xdr:colOff>0</xdr:colOff>
      <xdr:row>600</xdr:row>
      <xdr:rowOff>0</xdr:rowOff>
    </xdr:from>
    <xdr:to>
      <xdr:col>11</xdr:col>
      <xdr:colOff>447675</xdr:colOff>
      <xdr:row>1202</xdr:row>
      <xdr:rowOff>152400</xdr:rowOff>
    </xdr:to>
    <xdr:sp macro="" textlink="">
      <xdr:nvSpPr>
        <xdr:cNvPr id="6203420" name="AutoShape 118" descr="caution"/>
        <xdr:cNvSpPr>
          <a:spLocks noChangeAspect="1" noChangeArrowheads="1"/>
        </xdr:cNvSpPr>
      </xdr:nvSpPr>
      <xdr:spPr bwMode="auto">
        <a:xfrm>
          <a:off x="2495550" y="647700"/>
          <a:ext cx="447675" cy="1038225"/>
        </a:xfrm>
        <a:prstGeom prst="rect">
          <a:avLst/>
        </a:prstGeom>
        <a:noFill/>
        <a:ln w="9525">
          <a:noFill/>
          <a:miter lim="800000"/>
          <a:headEnd/>
          <a:tailEnd/>
        </a:ln>
      </xdr:spPr>
    </xdr:sp>
    <xdr:clientData/>
  </xdr:twoCellAnchor>
  <xdr:twoCellAnchor editAs="oneCell">
    <xdr:from>
      <xdr:col>1</xdr:col>
      <xdr:colOff>0</xdr:colOff>
      <xdr:row>688</xdr:row>
      <xdr:rowOff>0</xdr:rowOff>
    </xdr:from>
    <xdr:to>
      <xdr:col>1</xdr:col>
      <xdr:colOff>447675</xdr:colOff>
      <xdr:row>1202</xdr:row>
      <xdr:rowOff>152400</xdr:rowOff>
    </xdr:to>
    <xdr:sp macro="" textlink="">
      <xdr:nvSpPr>
        <xdr:cNvPr id="6203421" name="AutoShape 119" descr="caution"/>
        <xdr:cNvSpPr>
          <a:spLocks noChangeAspect="1" noChangeArrowheads="1"/>
        </xdr:cNvSpPr>
      </xdr:nvSpPr>
      <xdr:spPr bwMode="auto">
        <a:xfrm>
          <a:off x="447675" y="647700"/>
          <a:ext cx="447675" cy="1038225"/>
        </a:xfrm>
        <a:prstGeom prst="rect">
          <a:avLst/>
        </a:prstGeom>
        <a:noFill/>
        <a:ln w="9525">
          <a:noFill/>
          <a:miter lim="800000"/>
          <a:headEnd/>
          <a:tailEnd/>
        </a:ln>
      </xdr:spPr>
    </xdr:sp>
    <xdr:clientData/>
  </xdr:twoCellAnchor>
  <xdr:twoCellAnchor editAs="oneCell">
    <xdr:from>
      <xdr:col>0</xdr:col>
      <xdr:colOff>0</xdr:colOff>
      <xdr:row>600</xdr:row>
      <xdr:rowOff>0</xdr:rowOff>
    </xdr:from>
    <xdr:to>
      <xdr:col>1</xdr:col>
      <xdr:colOff>161925</xdr:colOff>
      <xdr:row>1202</xdr:row>
      <xdr:rowOff>152400</xdr:rowOff>
    </xdr:to>
    <xdr:sp macro="" textlink="">
      <xdr:nvSpPr>
        <xdr:cNvPr id="6203422" name="AutoShape 120" descr="caution"/>
        <xdr:cNvSpPr>
          <a:spLocks noChangeAspect="1" noChangeArrowheads="1"/>
        </xdr:cNvSpPr>
      </xdr:nvSpPr>
      <xdr:spPr bwMode="auto">
        <a:xfrm>
          <a:off x="0" y="647700"/>
          <a:ext cx="609600" cy="1038225"/>
        </a:xfrm>
        <a:prstGeom prst="rect">
          <a:avLst/>
        </a:prstGeom>
        <a:noFill/>
        <a:ln w="9525">
          <a:noFill/>
          <a:miter lim="800000"/>
          <a:headEnd/>
          <a:tailEnd/>
        </a:ln>
      </xdr:spPr>
    </xdr:sp>
    <xdr:clientData/>
  </xdr:twoCellAnchor>
  <xdr:twoCellAnchor editAs="oneCell">
    <xdr:from>
      <xdr:col>0</xdr:col>
      <xdr:colOff>0</xdr:colOff>
      <xdr:row>1069</xdr:row>
      <xdr:rowOff>0</xdr:rowOff>
    </xdr:from>
    <xdr:to>
      <xdr:col>1</xdr:col>
      <xdr:colOff>161925</xdr:colOff>
      <xdr:row>1202</xdr:row>
      <xdr:rowOff>161925</xdr:rowOff>
    </xdr:to>
    <xdr:sp macro="" textlink="">
      <xdr:nvSpPr>
        <xdr:cNvPr id="6203423" name="AutoShape 121" descr="caution"/>
        <xdr:cNvSpPr>
          <a:spLocks noChangeAspect="1" noChangeArrowheads="1"/>
        </xdr:cNvSpPr>
      </xdr:nvSpPr>
      <xdr:spPr bwMode="auto">
        <a:xfrm>
          <a:off x="0" y="647700"/>
          <a:ext cx="609600" cy="1047750"/>
        </a:xfrm>
        <a:prstGeom prst="rect">
          <a:avLst/>
        </a:prstGeom>
        <a:noFill/>
        <a:ln w="9525">
          <a:noFill/>
          <a:miter lim="800000"/>
          <a:headEnd/>
          <a:tailEnd/>
        </a:ln>
      </xdr:spPr>
    </xdr:sp>
    <xdr:clientData/>
  </xdr:twoCellAnchor>
  <xdr:twoCellAnchor editAs="oneCell">
    <xdr:from>
      <xdr:col>3</xdr:col>
      <xdr:colOff>0</xdr:colOff>
      <xdr:row>600</xdr:row>
      <xdr:rowOff>0</xdr:rowOff>
    </xdr:from>
    <xdr:to>
      <xdr:col>11</xdr:col>
      <xdr:colOff>447675</xdr:colOff>
      <xdr:row>1201</xdr:row>
      <xdr:rowOff>161925</xdr:rowOff>
    </xdr:to>
    <xdr:sp macro="" textlink="">
      <xdr:nvSpPr>
        <xdr:cNvPr id="6203424" name="AutoShape 122" descr="caution"/>
        <xdr:cNvSpPr>
          <a:spLocks noChangeAspect="1" noChangeArrowheads="1"/>
        </xdr:cNvSpPr>
      </xdr:nvSpPr>
      <xdr:spPr bwMode="auto">
        <a:xfrm>
          <a:off x="2495550" y="647700"/>
          <a:ext cx="447675" cy="866775"/>
        </a:xfrm>
        <a:prstGeom prst="rect">
          <a:avLst/>
        </a:prstGeom>
        <a:noFill/>
        <a:ln w="9525">
          <a:noFill/>
          <a:miter lim="800000"/>
          <a:headEnd/>
          <a:tailEnd/>
        </a:ln>
      </xdr:spPr>
    </xdr:sp>
    <xdr:clientData/>
  </xdr:twoCellAnchor>
  <xdr:twoCellAnchor editAs="oneCell">
    <xdr:from>
      <xdr:col>1</xdr:col>
      <xdr:colOff>0</xdr:colOff>
      <xdr:row>608</xdr:row>
      <xdr:rowOff>0</xdr:rowOff>
    </xdr:from>
    <xdr:to>
      <xdr:col>1</xdr:col>
      <xdr:colOff>447675</xdr:colOff>
      <xdr:row>1202</xdr:row>
      <xdr:rowOff>142875</xdr:rowOff>
    </xdr:to>
    <xdr:sp macro="" textlink="">
      <xdr:nvSpPr>
        <xdr:cNvPr id="6203425" name="AutoShape 123" descr="caution"/>
        <xdr:cNvSpPr>
          <a:spLocks noChangeAspect="1" noChangeArrowheads="1"/>
        </xdr:cNvSpPr>
      </xdr:nvSpPr>
      <xdr:spPr bwMode="auto">
        <a:xfrm>
          <a:off x="447675" y="647700"/>
          <a:ext cx="447675" cy="1028700"/>
        </a:xfrm>
        <a:prstGeom prst="rect">
          <a:avLst/>
        </a:prstGeom>
        <a:noFill/>
        <a:ln w="9525">
          <a:noFill/>
          <a:miter lim="800000"/>
          <a:headEnd/>
          <a:tailEnd/>
        </a:ln>
      </xdr:spPr>
    </xdr:sp>
    <xdr:clientData/>
  </xdr:twoCellAnchor>
  <xdr:twoCellAnchor editAs="oneCell">
    <xdr:from>
      <xdr:col>0</xdr:col>
      <xdr:colOff>0</xdr:colOff>
      <xdr:row>600</xdr:row>
      <xdr:rowOff>0</xdr:rowOff>
    </xdr:from>
    <xdr:to>
      <xdr:col>1</xdr:col>
      <xdr:colOff>161925</xdr:colOff>
      <xdr:row>1201</xdr:row>
      <xdr:rowOff>161925</xdr:rowOff>
    </xdr:to>
    <xdr:sp macro="" textlink="">
      <xdr:nvSpPr>
        <xdr:cNvPr id="6203426" name="AutoShape 124" descr="caution"/>
        <xdr:cNvSpPr>
          <a:spLocks noChangeAspect="1" noChangeArrowheads="1"/>
        </xdr:cNvSpPr>
      </xdr:nvSpPr>
      <xdr:spPr bwMode="auto">
        <a:xfrm>
          <a:off x="0" y="647700"/>
          <a:ext cx="609600" cy="866775"/>
        </a:xfrm>
        <a:prstGeom prst="rect">
          <a:avLst/>
        </a:prstGeom>
        <a:noFill/>
        <a:ln w="9525">
          <a:noFill/>
          <a:miter lim="800000"/>
          <a:headEnd/>
          <a:tailEnd/>
        </a:ln>
      </xdr:spPr>
    </xdr:sp>
    <xdr:clientData/>
  </xdr:twoCellAnchor>
  <xdr:twoCellAnchor editAs="oneCell">
    <xdr:from>
      <xdr:col>3</xdr:col>
      <xdr:colOff>0</xdr:colOff>
      <xdr:row>600</xdr:row>
      <xdr:rowOff>0</xdr:rowOff>
    </xdr:from>
    <xdr:to>
      <xdr:col>11</xdr:col>
      <xdr:colOff>447675</xdr:colOff>
      <xdr:row>1202</xdr:row>
      <xdr:rowOff>152400</xdr:rowOff>
    </xdr:to>
    <xdr:sp macro="" textlink="">
      <xdr:nvSpPr>
        <xdr:cNvPr id="6203427" name="AutoShape 125" descr="caution"/>
        <xdr:cNvSpPr>
          <a:spLocks noChangeAspect="1" noChangeArrowheads="1"/>
        </xdr:cNvSpPr>
      </xdr:nvSpPr>
      <xdr:spPr bwMode="auto">
        <a:xfrm>
          <a:off x="2495550" y="647700"/>
          <a:ext cx="447675" cy="1038225"/>
        </a:xfrm>
        <a:prstGeom prst="rect">
          <a:avLst/>
        </a:prstGeom>
        <a:noFill/>
        <a:ln w="9525">
          <a:noFill/>
          <a:miter lim="800000"/>
          <a:headEnd/>
          <a:tailEnd/>
        </a:ln>
      </xdr:spPr>
    </xdr:sp>
    <xdr:clientData/>
  </xdr:twoCellAnchor>
  <xdr:twoCellAnchor editAs="oneCell">
    <xdr:from>
      <xdr:col>1</xdr:col>
      <xdr:colOff>0</xdr:colOff>
      <xdr:row>686</xdr:row>
      <xdr:rowOff>0</xdr:rowOff>
    </xdr:from>
    <xdr:to>
      <xdr:col>1</xdr:col>
      <xdr:colOff>447675</xdr:colOff>
      <xdr:row>1202</xdr:row>
      <xdr:rowOff>152400</xdr:rowOff>
    </xdr:to>
    <xdr:sp macro="" textlink="">
      <xdr:nvSpPr>
        <xdr:cNvPr id="6203428" name="AutoShape 126" descr="caution"/>
        <xdr:cNvSpPr>
          <a:spLocks noChangeAspect="1" noChangeArrowheads="1"/>
        </xdr:cNvSpPr>
      </xdr:nvSpPr>
      <xdr:spPr bwMode="auto">
        <a:xfrm>
          <a:off x="447675" y="647700"/>
          <a:ext cx="447675" cy="1038225"/>
        </a:xfrm>
        <a:prstGeom prst="rect">
          <a:avLst/>
        </a:prstGeom>
        <a:noFill/>
        <a:ln w="9525">
          <a:noFill/>
          <a:miter lim="800000"/>
          <a:headEnd/>
          <a:tailEnd/>
        </a:ln>
      </xdr:spPr>
    </xdr:sp>
    <xdr:clientData/>
  </xdr:twoCellAnchor>
  <xdr:twoCellAnchor editAs="oneCell">
    <xdr:from>
      <xdr:col>0</xdr:col>
      <xdr:colOff>0</xdr:colOff>
      <xdr:row>600</xdr:row>
      <xdr:rowOff>0</xdr:rowOff>
    </xdr:from>
    <xdr:to>
      <xdr:col>1</xdr:col>
      <xdr:colOff>161925</xdr:colOff>
      <xdr:row>1202</xdr:row>
      <xdr:rowOff>152400</xdr:rowOff>
    </xdr:to>
    <xdr:sp macro="" textlink="">
      <xdr:nvSpPr>
        <xdr:cNvPr id="6203429" name="AutoShape 127" descr="caution"/>
        <xdr:cNvSpPr>
          <a:spLocks noChangeAspect="1" noChangeArrowheads="1"/>
        </xdr:cNvSpPr>
      </xdr:nvSpPr>
      <xdr:spPr bwMode="auto">
        <a:xfrm>
          <a:off x="0" y="647700"/>
          <a:ext cx="609600" cy="1038225"/>
        </a:xfrm>
        <a:prstGeom prst="rect">
          <a:avLst/>
        </a:prstGeom>
        <a:noFill/>
        <a:ln w="9525">
          <a:noFill/>
          <a:miter lim="800000"/>
          <a:headEnd/>
          <a:tailEnd/>
        </a:ln>
      </xdr:spPr>
    </xdr:sp>
    <xdr:clientData/>
  </xdr:twoCellAnchor>
  <xdr:twoCellAnchor editAs="oneCell">
    <xdr:from>
      <xdr:col>0</xdr:col>
      <xdr:colOff>0</xdr:colOff>
      <xdr:row>1054</xdr:row>
      <xdr:rowOff>0</xdr:rowOff>
    </xdr:from>
    <xdr:to>
      <xdr:col>1</xdr:col>
      <xdr:colOff>161925</xdr:colOff>
      <xdr:row>1202</xdr:row>
      <xdr:rowOff>161925</xdr:rowOff>
    </xdr:to>
    <xdr:sp macro="" textlink="">
      <xdr:nvSpPr>
        <xdr:cNvPr id="6203430" name="AutoShape 128" descr="caution"/>
        <xdr:cNvSpPr>
          <a:spLocks noChangeAspect="1" noChangeArrowheads="1"/>
        </xdr:cNvSpPr>
      </xdr:nvSpPr>
      <xdr:spPr bwMode="auto">
        <a:xfrm>
          <a:off x="0" y="647700"/>
          <a:ext cx="609600" cy="1047750"/>
        </a:xfrm>
        <a:prstGeom prst="rect">
          <a:avLst/>
        </a:prstGeom>
        <a:noFill/>
        <a:ln w="9525">
          <a:noFill/>
          <a:miter lim="800000"/>
          <a:headEnd/>
          <a:tailEnd/>
        </a:ln>
      </xdr:spPr>
    </xdr:sp>
    <xdr:clientData/>
  </xdr:twoCellAnchor>
  <xdr:twoCellAnchor editAs="oneCell">
    <xdr:from>
      <xdr:col>3</xdr:col>
      <xdr:colOff>0</xdr:colOff>
      <xdr:row>600</xdr:row>
      <xdr:rowOff>0</xdr:rowOff>
    </xdr:from>
    <xdr:to>
      <xdr:col>11</xdr:col>
      <xdr:colOff>447675</xdr:colOff>
      <xdr:row>1201</xdr:row>
      <xdr:rowOff>161925</xdr:rowOff>
    </xdr:to>
    <xdr:sp macro="" textlink="">
      <xdr:nvSpPr>
        <xdr:cNvPr id="6203431" name="AutoShape 129" descr="caution"/>
        <xdr:cNvSpPr>
          <a:spLocks noChangeAspect="1" noChangeArrowheads="1"/>
        </xdr:cNvSpPr>
      </xdr:nvSpPr>
      <xdr:spPr bwMode="auto">
        <a:xfrm>
          <a:off x="2495550" y="647700"/>
          <a:ext cx="447675" cy="866775"/>
        </a:xfrm>
        <a:prstGeom prst="rect">
          <a:avLst/>
        </a:prstGeom>
        <a:noFill/>
        <a:ln w="9525">
          <a:noFill/>
          <a:miter lim="800000"/>
          <a:headEnd/>
          <a:tailEnd/>
        </a:ln>
      </xdr:spPr>
    </xdr:sp>
    <xdr:clientData/>
  </xdr:twoCellAnchor>
  <xdr:twoCellAnchor editAs="oneCell">
    <xdr:from>
      <xdr:col>1</xdr:col>
      <xdr:colOff>0</xdr:colOff>
      <xdr:row>608</xdr:row>
      <xdr:rowOff>0</xdr:rowOff>
    </xdr:from>
    <xdr:to>
      <xdr:col>1</xdr:col>
      <xdr:colOff>447675</xdr:colOff>
      <xdr:row>1202</xdr:row>
      <xdr:rowOff>142875</xdr:rowOff>
    </xdr:to>
    <xdr:sp macro="" textlink="">
      <xdr:nvSpPr>
        <xdr:cNvPr id="6203432" name="AutoShape 130" descr="caution"/>
        <xdr:cNvSpPr>
          <a:spLocks noChangeAspect="1" noChangeArrowheads="1"/>
        </xdr:cNvSpPr>
      </xdr:nvSpPr>
      <xdr:spPr bwMode="auto">
        <a:xfrm>
          <a:off x="447675" y="647700"/>
          <a:ext cx="447675" cy="1028700"/>
        </a:xfrm>
        <a:prstGeom prst="rect">
          <a:avLst/>
        </a:prstGeom>
        <a:noFill/>
        <a:ln w="9525">
          <a:noFill/>
          <a:miter lim="800000"/>
          <a:headEnd/>
          <a:tailEnd/>
        </a:ln>
      </xdr:spPr>
    </xdr:sp>
    <xdr:clientData/>
  </xdr:twoCellAnchor>
  <xdr:twoCellAnchor editAs="oneCell">
    <xdr:from>
      <xdr:col>0</xdr:col>
      <xdr:colOff>0</xdr:colOff>
      <xdr:row>600</xdr:row>
      <xdr:rowOff>0</xdr:rowOff>
    </xdr:from>
    <xdr:to>
      <xdr:col>1</xdr:col>
      <xdr:colOff>161925</xdr:colOff>
      <xdr:row>1201</xdr:row>
      <xdr:rowOff>161925</xdr:rowOff>
    </xdr:to>
    <xdr:sp macro="" textlink="">
      <xdr:nvSpPr>
        <xdr:cNvPr id="6203433" name="AutoShape 131" descr="caution"/>
        <xdr:cNvSpPr>
          <a:spLocks noChangeAspect="1" noChangeArrowheads="1"/>
        </xdr:cNvSpPr>
      </xdr:nvSpPr>
      <xdr:spPr bwMode="auto">
        <a:xfrm>
          <a:off x="0" y="647700"/>
          <a:ext cx="609600" cy="866775"/>
        </a:xfrm>
        <a:prstGeom prst="rect">
          <a:avLst/>
        </a:prstGeom>
        <a:noFill/>
        <a:ln w="9525">
          <a:noFill/>
          <a:miter lim="800000"/>
          <a:headEnd/>
          <a:tailEnd/>
        </a:ln>
      </xdr:spPr>
    </xdr:sp>
    <xdr:clientData/>
  </xdr:twoCellAnchor>
  <xdr:twoCellAnchor editAs="oneCell">
    <xdr:from>
      <xdr:col>3</xdr:col>
      <xdr:colOff>0</xdr:colOff>
      <xdr:row>600</xdr:row>
      <xdr:rowOff>0</xdr:rowOff>
    </xdr:from>
    <xdr:to>
      <xdr:col>11</xdr:col>
      <xdr:colOff>447675</xdr:colOff>
      <xdr:row>1202</xdr:row>
      <xdr:rowOff>152400</xdr:rowOff>
    </xdr:to>
    <xdr:sp macro="" textlink="">
      <xdr:nvSpPr>
        <xdr:cNvPr id="6203434" name="AutoShape 132" descr="caution"/>
        <xdr:cNvSpPr>
          <a:spLocks noChangeAspect="1" noChangeArrowheads="1"/>
        </xdr:cNvSpPr>
      </xdr:nvSpPr>
      <xdr:spPr bwMode="auto">
        <a:xfrm>
          <a:off x="2495550" y="647700"/>
          <a:ext cx="447675" cy="1038225"/>
        </a:xfrm>
        <a:prstGeom prst="rect">
          <a:avLst/>
        </a:prstGeom>
        <a:noFill/>
        <a:ln w="9525">
          <a:noFill/>
          <a:miter lim="800000"/>
          <a:headEnd/>
          <a:tailEnd/>
        </a:ln>
      </xdr:spPr>
    </xdr:sp>
    <xdr:clientData/>
  </xdr:twoCellAnchor>
  <xdr:twoCellAnchor editAs="oneCell">
    <xdr:from>
      <xdr:col>1</xdr:col>
      <xdr:colOff>0</xdr:colOff>
      <xdr:row>688</xdr:row>
      <xdr:rowOff>0</xdr:rowOff>
    </xdr:from>
    <xdr:to>
      <xdr:col>1</xdr:col>
      <xdr:colOff>447675</xdr:colOff>
      <xdr:row>1202</xdr:row>
      <xdr:rowOff>152400</xdr:rowOff>
    </xdr:to>
    <xdr:sp macro="" textlink="">
      <xdr:nvSpPr>
        <xdr:cNvPr id="6203435" name="AutoShape 133" descr="caution"/>
        <xdr:cNvSpPr>
          <a:spLocks noChangeAspect="1" noChangeArrowheads="1"/>
        </xdr:cNvSpPr>
      </xdr:nvSpPr>
      <xdr:spPr bwMode="auto">
        <a:xfrm>
          <a:off x="447675" y="647700"/>
          <a:ext cx="447675" cy="1038225"/>
        </a:xfrm>
        <a:prstGeom prst="rect">
          <a:avLst/>
        </a:prstGeom>
        <a:noFill/>
        <a:ln w="9525">
          <a:noFill/>
          <a:miter lim="800000"/>
          <a:headEnd/>
          <a:tailEnd/>
        </a:ln>
      </xdr:spPr>
    </xdr:sp>
    <xdr:clientData/>
  </xdr:twoCellAnchor>
  <xdr:twoCellAnchor editAs="oneCell">
    <xdr:from>
      <xdr:col>0</xdr:col>
      <xdr:colOff>0</xdr:colOff>
      <xdr:row>600</xdr:row>
      <xdr:rowOff>0</xdr:rowOff>
    </xdr:from>
    <xdr:to>
      <xdr:col>1</xdr:col>
      <xdr:colOff>161925</xdr:colOff>
      <xdr:row>1202</xdr:row>
      <xdr:rowOff>152400</xdr:rowOff>
    </xdr:to>
    <xdr:sp macro="" textlink="">
      <xdr:nvSpPr>
        <xdr:cNvPr id="6203436" name="AutoShape 134" descr="caution"/>
        <xdr:cNvSpPr>
          <a:spLocks noChangeAspect="1" noChangeArrowheads="1"/>
        </xdr:cNvSpPr>
      </xdr:nvSpPr>
      <xdr:spPr bwMode="auto">
        <a:xfrm>
          <a:off x="0" y="647700"/>
          <a:ext cx="609600" cy="1038225"/>
        </a:xfrm>
        <a:prstGeom prst="rect">
          <a:avLst/>
        </a:prstGeom>
        <a:noFill/>
        <a:ln w="9525">
          <a:noFill/>
          <a:miter lim="800000"/>
          <a:headEnd/>
          <a:tailEnd/>
        </a:ln>
      </xdr:spPr>
    </xdr:sp>
    <xdr:clientData/>
  </xdr:twoCellAnchor>
  <xdr:twoCellAnchor editAs="oneCell">
    <xdr:from>
      <xdr:col>0</xdr:col>
      <xdr:colOff>0</xdr:colOff>
      <xdr:row>1069</xdr:row>
      <xdr:rowOff>0</xdr:rowOff>
    </xdr:from>
    <xdr:to>
      <xdr:col>1</xdr:col>
      <xdr:colOff>161925</xdr:colOff>
      <xdr:row>1202</xdr:row>
      <xdr:rowOff>161925</xdr:rowOff>
    </xdr:to>
    <xdr:sp macro="" textlink="">
      <xdr:nvSpPr>
        <xdr:cNvPr id="6203437" name="AutoShape 135" descr="caution"/>
        <xdr:cNvSpPr>
          <a:spLocks noChangeAspect="1" noChangeArrowheads="1"/>
        </xdr:cNvSpPr>
      </xdr:nvSpPr>
      <xdr:spPr bwMode="auto">
        <a:xfrm>
          <a:off x="0" y="647700"/>
          <a:ext cx="609600" cy="1047750"/>
        </a:xfrm>
        <a:prstGeom prst="rect">
          <a:avLst/>
        </a:prstGeom>
        <a:noFill/>
        <a:ln w="9525">
          <a:noFill/>
          <a:miter lim="800000"/>
          <a:headEnd/>
          <a:tailEnd/>
        </a:ln>
      </xdr:spPr>
    </xdr:sp>
    <xdr:clientData/>
  </xdr:twoCellAnchor>
  <xdr:twoCellAnchor editAs="oneCell">
    <xdr:from>
      <xdr:col>0</xdr:col>
      <xdr:colOff>0</xdr:colOff>
      <xdr:row>1210</xdr:row>
      <xdr:rowOff>0</xdr:rowOff>
    </xdr:from>
    <xdr:to>
      <xdr:col>1</xdr:col>
      <xdr:colOff>161925</xdr:colOff>
      <xdr:row>1213</xdr:row>
      <xdr:rowOff>47625</xdr:rowOff>
    </xdr:to>
    <xdr:sp macro="" textlink="">
      <xdr:nvSpPr>
        <xdr:cNvPr id="6203438" name="AutoShape 137" descr="caution"/>
        <xdr:cNvSpPr>
          <a:spLocks noChangeAspect="1" noChangeArrowheads="1"/>
        </xdr:cNvSpPr>
      </xdr:nvSpPr>
      <xdr:spPr bwMode="auto">
        <a:xfrm>
          <a:off x="0" y="2962275"/>
          <a:ext cx="609600" cy="876300"/>
        </a:xfrm>
        <a:prstGeom prst="rect">
          <a:avLst/>
        </a:prstGeom>
        <a:noFill/>
        <a:ln w="9525">
          <a:noFill/>
          <a:miter lim="800000"/>
          <a:headEnd/>
          <a:tailEnd/>
        </a:ln>
      </xdr:spPr>
    </xdr:sp>
    <xdr:clientData/>
  </xdr:twoCellAnchor>
  <xdr:twoCellAnchor editAs="oneCell">
    <xdr:from>
      <xdr:col>0</xdr:col>
      <xdr:colOff>0</xdr:colOff>
      <xdr:row>1210</xdr:row>
      <xdr:rowOff>0</xdr:rowOff>
    </xdr:from>
    <xdr:to>
      <xdr:col>1</xdr:col>
      <xdr:colOff>161925</xdr:colOff>
      <xdr:row>1213</xdr:row>
      <xdr:rowOff>57150</xdr:rowOff>
    </xdr:to>
    <xdr:sp macro="" textlink="">
      <xdr:nvSpPr>
        <xdr:cNvPr id="6203439" name="AutoShape 138" descr="caution"/>
        <xdr:cNvSpPr>
          <a:spLocks noChangeAspect="1" noChangeArrowheads="1"/>
        </xdr:cNvSpPr>
      </xdr:nvSpPr>
      <xdr:spPr bwMode="auto">
        <a:xfrm>
          <a:off x="0" y="2962275"/>
          <a:ext cx="609600" cy="885825"/>
        </a:xfrm>
        <a:prstGeom prst="rect">
          <a:avLst/>
        </a:prstGeom>
        <a:noFill/>
        <a:ln w="9525">
          <a:noFill/>
          <a:miter lim="800000"/>
          <a:headEnd/>
          <a:tailEnd/>
        </a:ln>
      </xdr:spPr>
    </xdr:sp>
    <xdr:clientData/>
  </xdr:twoCellAnchor>
  <xdr:twoCellAnchor editAs="oneCell">
    <xdr:from>
      <xdr:col>0</xdr:col>
      <xdr:colOff>0</xdr:colOff>
      <xdr:row>1210</xdr:row>
      <xdr:rowOff>0</xdr:rowOff>
    </xdr:from>
    <xdr:to>
      <xdr:col>1</xdr:col>
      <xdr:colOff>161925</xdr:colOff>
      <xdr:row>1213</xdr:row>
      <xdr:rowOff>47625</xdr:rowOff>
    </xdr:to>
    <xdr:sp macro="" textlink="">
      <xdr:nvSpPr>
        <xdr:cNvPr id="6203440" name="AutoShape 140" descr="caution"/>
        <xdr:cNvSpPr>
          <a:spLocks noChangeAspect="1" noChangeArrowheads="1"/>
        </xdr:cNvSpPr>
      </xdr:nvSpPr>
      <xdr:spPr bwMode="auto">
        <a:xfrm>
          <a:off x="0" y="2962275"/>
          <a:ext cx="609600" cy="876300"/>
        </a:xfrm>
        <a:prstGeom prst="rect">
          <a:avLst/>
        </a:prstGeom>
        <a:noFill/>
        <a:ln w="9525">
          <a:noFill/>
          <a:miter lim="800000"/>
          <a:headEnd/>
          <a:tailEnd/>
        </a:ln>
      </xdr:spPr>
    </xdr:sp>
    <xdr:clientData/>
  </xdr:twoCellAnchor>
  <xdr:twoCellAnchor editAs="oneCell">
    <xdr:from>
      <xdr:col>0</xdr:col>
      <xdr:colOff>0</xdr:colOff>
      <xdr:row>1210</xdr:row>
      <xdr:rowOff>0</xdr:rowOff>
    </xdr:from>
    <xdr:to>
      <xdr:col>1</xdr:col>
      <xdr:colOff>161925</xdr:colOff>
      <xdr:row>1213</xdr:row>
      <xdr:rowOff>57150</xdr:rowOff>
    </xdr:to>
    <xdr:sp macro="" textlink="">
      <xdr:nvSpPr>
        <xdr:cNvPr id="6203441" name="AutoShape 141" descr="caution"/>
        <xdr:cNvSpPr>
          <a:spLocks noChangeAspect="1" noChangeArrowheads="1"/>
        </xdr:cNvSpPr>
      </xdr:nvSpPr>
      <xdr:spPr bwMode="auto">
        <a:xfrm>
          <a:off x="0" y="2962275"/>
          <a:ext cx="609600" cy="885825"/>
        </a:xfrm>
        <a:prstGeom prst="rect">
          <a:avLst/>
        </a:prstGeom>
        <a:noFill/>
        <a:ln w="9525">
          <a:noFill/>
          <a:miter lim="800000"/>
          <a:headEnd/>
          <a:tailEnd/>
        </a:ln>
      </xdr:spPr>
    </xdr:sp>
    <xdr:clientData/>
  </xdr:twoCellAnchor>
  <xdr:twoCellAnchor editAs="oneCell">
    <xdr:from>
      <xdr:col>0</xdr:col>
      <xdr:colOff>0</xdr:colOff>
      <xdr:row>1210</xdr:row>
      <xdr:rowOff>0</xdr:rowOff>
    </xdr:from>
    <xdr:to>
      <xdr:col>1</xdr:col>
      <xdr:colOff>161925</xdr:colOff>
      <xdr:row>1213</xdr:row>
      <xdr:rowOff>47625</xdr:rowOff>
    </xdr:to>
    <xdr:sp macro="" textlink="">
      <xdr:nvSpPr>
        <xdr:cNvPr id="6203442" name="AutoShape 143" descr="caution"/>
        <xdr:cNvSpPr>
          <a:spLocks noChangeAspect="1" noChangeArrowheads="1"/>
        </xdr:cNvSpPr>
      </xdr:nvSpPr>
      <xdr:spPr bwMode="auto">
        <a:xfrm>
          <a:off x="0" y="2962275"/>
          <a:ext cx="609600" cy="876300"/>
        </a:xfrm>
        <a:prstGeom prst="rect">
          <a:avLst/>
        </a:prstGeom>
        <a:noFill/>
        <a:ln w="9525">
          <a:noFill/>
          <a:miter lim="800000"/>
          <a:headEnd/>
          <a:tailEnd/>
        </a:ln>
      </xdr:spPr>
    </xdr:sp>
    <xdr:clientData/>
  </xdr:twoCellAnchor>
  <xdr:twoCellAnchor editAs="oneCell">
    <xdr:from>
      <xdr:col>0</xdr:col>
      <xdr:colOff>0</xdr:colOff>
      <xdr:row>1210</xdr:row>
      <xdr:rowOff>0</xdr:rowOff>
    </xdr:from>
    <xdr:to>
      <xdr:col>1</xdr:col>
      <xdr:colOff>161925</xdr:colOff>
      <xdr:row>1213</xdr:row>
      <xdr:rowOff>57150</xdr:rowOff>
    </xdr:to>
    <xdr:sp macro="" textlink="">
      <xdr:nvSpPr>
        <xdr:cNvPr id="6203443" name="AutoShape 144" descr="caution"/>
        <xdr:cNvSpPr>
          <a:spLocks noChangeAspect="1" noChangeArrowheads="1"/>
        </xdr:cNvSpPr>
      </xdr:nvSpPr>
      <xdr:spPr bwMode="auto">
        <a:xfrm>
          <a:off x="0" y="2962275"/>
          <a:ext cx="609600" cy="885825"/>
        </a:xfrm>
        <a:prstGeom prst="rect">
          <a:avLst/>
        </a:prstGeom>
        <a:noFill/>
        <a:ln w="9525">
          <a:noFill/>
          <a:miter lim="800000"/>
          <a:headEnd/>
          <a:tailEnd/>
        </a:ln>
      </xdr:spPr>
    </xdr:sp>
    <xdr:clientData/>
  </xdr:twoCellAnchor>
  <xdr:twoCellAnchor editAs="oneCell">
    <xdr:from>
      <xdr:col>0</xdr:col>
      <xdr:colOff>0</xdr:colOff>
      <xdr:row>1210</xdr:row>
      <xdr:rowOff>0</xdr:rowOff>
    </xdr:from>
    <xdr:to>
      <xdr:col>1</xdr:col>
      <xdr:colOff>161925</xdr:colOff>
      <xdr:row>1213</xdr:row>
      <xdr:rowOff>47625</xdr:rowOff>
    </xdr:to>
    <xdr:sp macro="" textlink="">
      <xdr:nvSpPr>
        <xdr:cNvPr id="6203444" name="AutoShape 146" descr="caution"/>
        <xdr:cNvSpPr>
          <a:spLocks noChangeAspect="1" noChangeArrowheads="1"/>
        </xdr:cNvSpPr>
      </xdr:nvSpPr>
      <xdr:spPr bwMode="auto">
        <a:xfrm>
          <a:off x="0" y="2962275"/>
          <a:ext cx="609600" cy="876300"/>
        </a:xfrm>
        <a:prstGeom prst="rect">
          <a:avLst/>
        </a:prstGeom>
        <a:noFill/>
        <a:ln w="9525">
          <a:noFill/>
          <a:miter lim="800000"/>
          <a:headEnd/>
          <a:tailEnd/>
        </a:ln>
      </xdr:spPr>
    </xdr:sp>
    <xdr:clientData/>
  </xdr:twoCellAnchor>
  <xdr:twoCellAnchor editAs="oneCell">
    <xdr:from>
      <xdr:col>0</xdr:col>
      <xdr:colOff>0</xdr:colOff>
      <xdr:row>1210</xdr:row>
      <xdr:rowOff>0</xdr:rowOff>
    </xdr:from>
    <xdr:to>
      <xdr:col>1</xdr:col>
      <xdr:colOff>161925</xdr:colOff>
      <xdr:row>1213</xdr:row>
      <xdr:rowOff>57150</xdr:rowOff>
    </xdr:to>
    <xdr:sp macro="" textlink="">
      <xdr:nvSpPr>
        <xdr:cNvPr id="6203445" name="AutoShape 147" descr="caution"/>
        <xdr:cNvSpPr>
          <a:spLocks noChangeAspect="1" noChangeArrowheads="1"/>
        </xdr:cNvSpPr>
      </xdr:nvSpPr>
      <xdr:spPr bwMode="auto">
        <a:xfrm>
          <a:off x="0" y="2962275"/>
          <a:ext cx="609600" cy="885825"/>
        </a:xfrm>
        <a:prstGeom prst="rect">
          <a:avLst/>
        </a:prstGeom>
        <a:noFill/>
        <a:ln w="9525">
          <a:noFill/>
          <a:miter lim="800000"/>
          <a:headEnd/>
          <a:tailEnd/>
        </a:ln>
      </xdr:spPr>
    </xdr:sp>
    <xdr:clientData/>
  </xdr:twoCellAnchor>
  <xdr:twoCellAnchor editAs="oneCell">
    <xdr:from>
      <xdr:col>0</xdr:col>
      <xdr:colOff>0</xdr:colOff>
      <xdr:row>1210</xdr:row>
      <xdr:rowOff>0</xdr:rowOff>
    </xdr:from>
    <xdr:to>
      <xdr:col>1</xdr:col>
      <xdr:colOff>161925</xdr:colOff>
      <xdr:row>1213</xdr:row>
      <xdr:rowOff>47625</xdr:rowOff>
    </xdr:to>
    <xdr:sp macro="" textlink="">
      <xdr:nvSpPr>
        <xdr:cNvPr id="6203446" name="AutoShape 149" descr="caution"/>
        <xdr:cNvSpPr>
          <a:spLocks noChangeAspect="1" noChangeArrowheads="1"/>
        </xdr:cNvSpPr>
      </xdr:nvSpPr>
      <xdr:spPr bwMode="auto">
        <a:xfrm>
          <a:off x="0" y="2962275"/>
          <a:ext cx="609600" cy="876300"/>
        </a:xfrm>
        <a:prstGeom prst="rect">
          <a:avLst/>
        </a:prstGeom>
        <a:noFill/>
        <a:ln w="9525">
          <a:noFill/>
          <a:miter lim="800000"/>
          <a:headEnd/>
          <a:tailEnd/>
        </a:ln>
      </xdr:spPr>
    </xdr:sp>
    <xdr:clientData/>
  </xdr:twoCellAnchor>
  <xdr:twoCellAnchor editAs="oneCell">
    <xdr:from>
      <xdr:col>0</xdr:col>
      <xdr:colOff>0</xdr:colOff>
      <xdr:row>1210</xdr:row>
      <xdr:rowOff>0</xdr:rowOff>
    </xdr:from>
    <xdr:to>
      <xdr:col>1</xdr:col>
      <xdr:colOff>161925</xdr:colOff>
      <xdr:row>1213</xdr:row>
      <xdr:rowOff>57150</xdr:rowOff>
    </xdr:to>
    <xdr:sp macro="" textlink="">
      <xdr:nvSpPr>
        <xdr:cNvPr id="6203447" name="AutoShape 150" descr="caution"/>
        <xdr:cNvSpPr>
          <a:spLocks noChangeAspect="1" noChangeArrowheads="1"/>
        </xdr:cNvSpPr>
      </xdr:nvSpPr>
      <xdr:spPr bwMode="auto">
        <a:xfrm>
          <a:off x="0" y="2962275"/>
          <a:ext cx="609600" cy="885825"/>
        </a:xfrm>
        <a:prstGeom prst="rect">
          <a:avLst/>
        </a:prstGeom>
        <a:noFill/>
        <a:ln w="9525">
          <a:noFill/>
          <a:miter lim="800000"/>
          <a:headEnd/>
          <a:tailEnd/>
        </a:ln>
      </xdr:spPr>
    </xdr:sp>
    <xdr:clientData/>
  </xdr:twoCellAnchor>
  <xdr:twoCellAnchor editAs="oneCell">
    <xdr:from>
      <xdr:col>0</xdr:col>
      <xdr:colOff>0</xdr:colOff>
      <xdr:row>1210</xdr:row>
      <xdr:rowOff>0</xdr:rowOff>
    </xdr:from>
    <xdr:to>
      <xdr:col>1</xdr:col>
      <xdr:colOff>161925</xdr:colOff>
      <xdr:row>1213</xdr:row>
      <xdr:rowOff>47625</xdr:rowOff>
    </xdr:to>
    <xdr:sp macro="" textlink="">
      <xdr:nvSpPr>
        <xdr:cNvPr id="6203448" name="AutoShape 152" descr="caution"/>
        <xdr:cNvSpPr>
          <a:spLocks noChangeAspect="1" noChangeArrowheads="1"/>
        </xdr:cNvSpPr>
      </xdr:nvSpPr>
      <xdr:spPr bwMode="auto">
        <a:xfrm>
          <a:off x="0" y="2962275"/>
          <a:ext cx="609600" cy="876300"/>
        </a:xfrm>
        <a:prstGeom prst="rect">
          <a:avLst/>
        </a:prstGeom>
        <a:noFill/>
        <a:ln w="9525">
          <a:noFill/>
          <a:miter lim="800000"/>
          <a:headEnd/>
          <a:tailEnd/>
        </a:ln>
      </xdr:spPr>
    </xdr:sp>
    <xdr:clientData/>
  </xdr:twoCellAnchor>
  <xdr:twoCellAnchor editAs="oneCell">
    <xdr:from>
      <xdr:col>0</xdr:col>
      <xdr:colOff>0</xdr:colOff>
      <xdr:row>1210</xdr:row>
      <xdr:rowOff>0</xdr:rowOff>
    </xdr:from>
    <xdr:to>
      <xdr:col>1</xdr:col>
      <xdr:colOff>161925</xdr:colOff>
      <xdr:row>1213</xdr:row>
      <xdr:rowOff>57150</xdr:rowOff>
    </xdr:to>
    <xdr:sp macro="" textlink="">
      <xdr:nvSpPr>
        <xdr:cNvPr id="6203449" name="AutoShape 153" descr="caution"/>
        <xdr:cNvSpPr>
          <a:spLocks noChangeAspect="1" noChangeArrowheads="1"/>
        </xdr:cNvSpPr>
      </xdr:nvSpPr>
      <xdr:spPr bwMode="auto">
        <a:xfrm>
          <a:off x="0" y="2962275"/>
          <a:ext cx="609600" cy="885825"/>
        </a:xfrm>
        <a:prstGeom prst="rect">
          <a:avLst/>
        </a:prstGeom>
        <a:noFill/>
        <a:ln w="9525">
          <a:noFill/>
          <a:miter lim="800000"/>
          <a:headEnd/>
          <a:tailEnd/>
        </a:ln>
      </xdr:spPr>
    </xdr:sp>
    <xdr:clientData/>
  </xdr:twoCellAnchor>
  <xdr:twoCellAnchor editAs="oneCell">
    <xdr:from>
      <xdr:col>4</xdr:col>
      <xdr:colOff>0</xdr:colOff>
      <xdr:row>1210</xdr:row>
      <xdr:rowOff>0</xdr:rowOff>
    </xdr:from>
    <xdr:to>
      <xdr:col>11</xdr:col>
      <xdr:colOff>447675</xdr:colOff>
      <xdr:row>1212</xdr:row>
      <xdr:rowOff>238125</xdr:rowOff>
    </xdr:to>
    <xdr:sp macro="" textlink="">
      <xdr:nvSpPr>
        <xdr:cNvPr id="6203450" name="AutoShape 154" descr="caution"/>
        <xdr:cNvSpPr>
          <a:spLocks noChangeAspect="1" noChangeArrowheads="1"/>
        </xdr:cNvSpPr>
      </xdr:nvSpPr>
      <xdr:spPr bwMode="auto">
        <a:xfrm>
          <a:off x="2495550" y="2962275"/>
          <a:ext cx="447675" cy="742950"/>
        </a:xfrm>
        <a:prstGeom prst="rect">
          <a:avLst/>
        </a:prstGeom>
        <a:noFill/>
        <a:ln w="9525">
          <a:noFill/>
          <a:miter lim="800000"/>
          <a:headEnd/>
          <a:tailEnd/>
        </a:ln>
      </xdr:spPr>
    </xdr:sp>
    <xdr:clientData/>
  </xdr:twoCellAnchor>
  <xdr:twoCellAnchor editAs="oneCell">
    <xdr:from>
      <xdr:col>1</xdr:col>
      <xdr:colOff>0</xdr:colOff>
      <xdr:row>1210</xdr:row>
      <xdr:rowOff>0</xdr:rowOff>
    </xdr:from>
    <xdr:to>
      <xdr:col>1</xdr:col>
      <xdr:colOff>447675</xdr:colOff>
      <xdr:row>1213</xdr:row>
      <xdr:rowOff>38100</xdr:rowOff>
    </xdr:to>
    <xdr:sp macro="" textlink="">
      <xdr:nvSpPr>
        <xdr:cNvPr id="6203451" name="AutoShape 155" descr="caution"/>
        <xdr:cNvSpPr>
          <a:spLocks noChangeAspect="1" noChangeArrowheads="1"/>
        </xdr:cNvSpPr>
      </xdr:nvSpPr>
      <xdr:spPr bwMode="auto">
        <a:xfrm>
          <a:off x="447675" y="2962275"/>
          <a:ext cx="447675" cy="866775"/>
        </a:xfrm>
        <a:prstGeom prst="rect">
          <a:avLst/>
        </a:prstGeom>
        <a:noFill/>
        <a:ln w="9525">
          <a:noFill/>
          <a:miter lim="800000"/>
          <a:headEnd/>
          <a:tailEnd/>
        </a:ln>
      </xdr:spPr>
    </xdr:sp>
    <xdr:clientData/>
  </xdr:twoCellAnchor>
  <xdr:twoCellAnchor editAs="oneCell">
    <xdr:from>
      <xdr:col>3</xdr:col>
      <xdr:colOff>0</xdr:colOff>
      <xdr:row>1210</xdr:row>
      <xdr:rowOff>0</xdr:rowOff>
    </xdr:from>
    <xdr:to>
      <xdr:col>11</xdr:col>
      <xdr:colOff>447675</xdr:colOff>
      <xdr:row>1213</xdr:row>
      <xdr:rowOff>47625</xdr:rowOff>
    </xdr:to>
    <xdr:sp macro="" textlink="">
      <xdr:nvSpPr>
        <xdr:cNvPr id="6203452" name="AutoShape 157" descr="caution"/>
        <xdr:cNvSpPr>
          <a:spLocks noChangeAspect="1" noChangeArrowheads="1"/>
        </xdr:cNvSpPr>
      </xdr:nvSpPr>
      <xdr:spPr bwMode="auto">
        <a:xfrm>
          <a:off x="2495550" y="2962275"/>
          <a:ext cx="447675" cy="876300"/>
        </a:xfrm>
        <a:prstGeom prst="rect">
          <a:avLst/>
        </a:prstGeom>
        <a:noFill/>
        <a:ln w="9525">
          <a:noFill/>
          <a:miter lim="800000"/>
          <a:headEnd/>
          <a:tailEnd/>
        </a:ln>
      </xdr:spPr>
    </xdr:sp>
    <xdr:clientData/>
  </xdr:twoCellAnchor>
  <xdr:twoCellAnchor editAs="oneCell">
    <xdr:from>
      <xdr:col>1</xdr:col>
      <xdr:colOff>0</xdr:colOff>
      <xdr:row>1210</xdr:row>
      <xdr:rowOff>0</xdr:rowOff>
    </xdr:from>
    <xdr:to>
      <xdr:col>1</xdr:col>
      <xdr:colOff>447675</xdr:colOff>
      <xdr:row>1213</xdr:row>
      <xdr:rowOff>47625</xdr:rowOff>
    </xdr:to>
    <xdr:sp macro="" textlink="">
      <xdr:nvSpPr>
        <xdr:cNvPr id="6203453" name="AutoShape 158" descr="caution"/>
        <xdr:cNvSpPr>
          <a:spLocks noChangeAspect="1" noChangeArrowheads="1"/>
        </xdr:cNvSpPr>
      </xdr:nvSpPr>
      <xdr:spPr bwMode="auto">
        <a:xfrm>
          <a:off x="447675" y="2962275"/>
          <a:ext cx="447675" cy="876300"/>
        </a:xfrm>
        <a:prstGeom prst="rect">
          <a:avLst/>
        </a:prstGeom>
        <a:noFill/>
        <a:ln w="9525">
          <a:noFill/>
          <a:miter lim="800000"/>
          <a:headEnd/>
          <a:tailEnd/>
        </a:ln>
      </xdr:spPr>
    </xdr:sp>
    <xdr:clientData/>
  </xdr:twoCellAnchor>
  <xdr:twoCellAnchor editAs="oneCell">
    <xdr:from>
      <xdr:col>0</xdr:col>
      <xdr:colOff>0</xdr:colOff>
      <xdr:row>1210</xdr:row>
      <xdr:rowOff>0</xdr:rowOff>
    </xdr:from>
    <xdr:to>
      <xdr:col>1</xdr:col>
      <xdr:colOff>161925</xdr:colOff>
      <xdr:row>1213</xdr:row>
      <xdr:rowOff>47625</xdr:rowOff>
    </xdr:to>
    <xdr:sp macro="" textlink="">
      <xdr:nvSpPr>
        <xdr:cNvPr id="6203454" name="AutoShape 159" descr="caution"/>
        <xdr:cNvSpPr>
          <a:spLocks noChangeAspect="1" noChangeArrowheads="1"/>
        </xdr:cNvSpPr>
      </xdr:nvSpPr>
      <xdr:spPr bwMode="auto">
        <a:xfrm>
          <a:off x="0" y="2962275"/>
          <a:ext cx="609600" cy="876300"/>
        </a:xfrm>
        <a:prstGeom prst="rect">
          <a:avLst/>
        </a:prstGeom>
        <a:noFill/>
        <a:ln w="9525">
          <a:noFill/>
          <a:miter lim="800000"/>
          <a:headEnd/>
          <a:tailEnd/>
        </a:ln>
      </xdr:spPr>
    </xdr:sp>
    <xdr:clientData/>
  </xdr:twoCellAnchor>
  <xdr:twoCellAnchor editAs="oneCell">
    <xdr:from>
      <xdr:col>0</xdr:col>
      <xdr:colOff>0</xdr:colOff>
      <xdr:row>1210</xdr:row>
      <xdr:rowOff>0</xdr:rowOff>
    </xdr:from>
    <xdr:to>
      <xdr:col>1</xdr:col>
      <xdr:colOff>161925</xdr:colOff>
      <xdr:row>1213</xdr:row>
      <xdr:rowOff>57150</xdr:rowOff>
    </xdr:to>
    <xdr:sp macro="" textlink="">
      <xdr:nvSpPr>
        <xdr:cNvPr id="6203455" name="AutoShape 160" descr="caution"/>
        <xdr:cNvSpPr>
          <a:spLocks noChangeAspect="1" noChangeArrowheads="1"/>
        </xdr:cNvSpPr>
      </xdr:nvSpPr>
      <xdr:spPr bwMode="auto">
        <a:xfrm>
          <a:off x="0" y="2962275"/>
          <a:ext cx="609600" cy="885825"/>
        </a:xfrm>
        <a:prstGeom prst="rect">
          <a:avLst/>
        </a:prstGeom>
        <a:noFill/>
        <a:ln w="9525">
          <a:noFill/>
          <a:miter lim="800000"/>
          <a:headEnd/>
          <a:tailEnd/>
        </a:ln>
      </xdr:spPr>
    </xdr:sp>
    <xdr:clientData/>
  </xdr:twoCellAnchor>
  <xdr:twoCellAnchor editAs="oneCell">
    <xdr:from>
      <xdr:col>4</xdr:col>
      <xdr:colOff>0</xdr:colOff>
      <xdr:row>1210</xdr:row>
      <xdr:rowOff>0</xdr:rowOff>
    </xdr:from>
    <xdr:to>
      <xdr:col>11</xdr:col>
      <xdr:colOff>447675</xdr:colOff>
      <xdr:row>1212</xdr:row>
      <xdr:rowOff>238125</xdr:rowOff>
    </xdr:to>
    <xdr:sp macro="" textlink="">
      <xdr:nvSpPr>
        <xdr:cNvPr id="6203456" name="AutoShape 161" descr="caution"/>
        <xdr:cNvSpPr>
          <a:spLocks noChangeAspect="1" noChangeArrowheads="1"/>
        </xdr:cNvSpPr>
      </xdr:nvSpPr>
      <xdr:spPr bwMode="auto">
        <a:xfrm>
          <a:off x="2495550" y="2962275"/>
          <a:ext cx="447675" cy="742950"/>
        </a:xfrm>
        <a:prstGeom prst="rect">
          <a:avLst/>
        </a:prstGeom>
        <a:noFill/>
        <a:ln w="9525">
          <a:noFill/>
          <a:miter lim="800000"/>
          <a:headEnd/>
          <a:tailEnd/>
        </a:ln>
      </xdr:spPr>
    </xdr:sp>
    <xdr:clientData/>
  </xdr:twoCellAnchor>
  <xdr:twoCellAnchor editAs="oneCell">
    <xdr:from>
      <xdr:col>1</xdr:col>
      <xdr:colOff>0</xdr:colOff>
      <xdr:row>1210</xdr:row>
      <xdr:rowOff>0</xdr:rowOff>
    </xdr:from>
    <xdr:to>
      <xdr:col>1</xdr:col>
      <xdr:colOff>447675</xdr:colOff>
      <xdr:row>1213</xdr:row>
      <xdr:rowOff>38100</xdr:rowOff>
    </xdr:to>
    <xdr:sp macro="" textlink="">
      <xdr:nvSpPr>
        <xdr:cNvPr id="6203457" name="AutoShape 162" descr="caution"/>
        <xdr:cNvSpPr>
          <a:spLocks noChangeAspect="1" noChangeArrowheads="1"/>
        </xdr:cNvSpPr>
      </xdr:nvSpPr>
      <xdr:spPr bwMode="auto">
        <a:xfrm>
          <a:off x="447675" y="2962275"/>
          <a:ext cx="447675" cy="866775"/>
        </a:xfrm>
        <a:prstGeom prst="rect">
          <a:avLst/>
        </a:prstGeom>
        <a:noFill/>
        <a:ln w="9525">
          <a:noFill/>
          <a:miter lim="800000"/>
          <a:headEnd/>
          <a:tailEnd/>
        </a:ln>
      </xdr:spPr>
    </xdr:sp>
    <xdr:clientData/>
  </xdr:twoCellAnchor>
  <xdr:twoCellAnchor editAs="oneCell">
    <xdr:from>
      <xdr:col>3</xdr:col>
      <xdr:colOff>0</xdr:colOff>
      <xdr:row>1210</xdr:row>
      <xdr:rowOff>0</xdr:rowOff>
    </xdr:from>
    <xdr:to>
      <xdr:col>11</xdr:col>
      <xdr:colOff>447675</xdr:colOff>
      <xdr:row>1213</xdr:row>
      <xdr:rowOff>47625</xdr:rowOff>
    </xdr:to>
    <xdr:sp macro="" textlink="">
      <xdr:nvSpPr>
        <xdr:cNvPr id="6203458" name="AutoShape 164" descr="caution"/>
        <xdr:cNvSpPr>
          <a:spLocks noChangeAspect="1" noChangeArrowheads="1"/>
        </xdr:cNvSpPr>
      </xdr:nvSpPr>
      <xdr:spPr bwMode="auto">
        <a:xfrm>
          <a:off x="2495550" y="2962275"/>
          <a:ext cx="447675" cy="876300"/>
        </a:xfrm>
        <a:prstGeom prst="rect">
          <a:avLst/>
        </a:prstGeom>
        <a:noFill/>
        <a:ln w="9525">
          <a:noFill/>
          <a:miter lim="800000"/>
          <a:headEnd/>
          <a:tailEnd/>
        </a:ln>
      </xdr:spPr>
    </xdr:sp>
    <xdr:clientData/>
  </xdr:twoCellAnchor>
  <xdr:twoCellAnchor editAs="oneCell">
    <xdr:from>
      <xdr:col>1</xdr:col>
      <xdr:colOff>0</xdr:colOff>
      <xdr:row>1210</xdr:row>
      <xdr:rowOff>0</xdr:rowOff>
    </xdr:from>
    <xdr:to>
      <xdr:col>1</xdr:col>
      <xdr:colOff>447675</xdr:colOff>
      <xdr:row>1213</xdr:row>
      <xdr:rowOff>47625</xdr:rowOff>
    </xdr:to>
    <xdr:sp macro="" textlink="">
      <xdr:nvSpPr>
        <xdr:cNvPr id="6203459" name="AutoShape 165" descr="caution"/>
        <xdr:cNvSpPr>
          <a:spLocks noChangeAspect="1" noChangeArrowheads="1"/>
        </xdr:cNvSpPr>
      </xdr:nvSpPr>
      <xdr:spPr bwMode="auto">
        <a:xfrm>
          <a:off x="447675" y="2962275"/>
          <a:ext cx="447675" cy="876300"/>
        </a:xfrm>
        <a:prstGeom prst="rect">
          <a:avLst/>
        </a:prstGeom>
        <a:noFill/>
        <a:ln w="9525">
          <a:noFill/>
          <a:miter lim="800000"/>
          <a:headEnd/>
          <a:tailEnd/>
        </a:ln>
      </xdr:spPr>
    </xdr:sp>
    <xdr:clientData/>
  </xdr:twoCellAnchor>
  <xdr:twoCellAnchor editAs="oneCell">
    <xdr:from>
      <xdr:col>0</xdr:col>
      <xdr:colOff>0</xdr:colOff>
      <xdr:row>1210</xdr:row>
      <xdr:rowOff>0</xdr:rowOff>
    </xdr:from>
    <xdr:to>
      <xdr:col>1</xdr:col>
      <xdr:colOff>161925</xdr:colOff>
      <xdr:row>1213</xdr:row>
      <xdr:rowOff>47625</xdr:rowOff>
    </xdr:to>
    <xdr:sp macro="" textlink="">
      <xdr:nvSpPr>
        <xdr:cNvPr id="6203460" name="AutoShape 166" descr="caution"/>
        <xdr:cNvSpPr>
          <a:spLocks noChangeAspect="1" noChangeArrowheads="1"/>
        </xdr:cNvSpPr>
      </xdr:nvSpPr>
      <xdr:spPr bwMode="auto">
        <a:xfrm>
          <a:off x="0" y="2962275"/>
          <a:ext cx="609600" cy="876300"/>
        </a:xfrm>
        <a:prstGeom prst="rect">
          <a:avLst/>
        </a:prstGeom>
        <a:noFill/>
        <a:ln w="9525">
          <a:noFill/>
          <a:miter lim="800000"/>
          <a:headEnd/>
          <a:tailEnd/>
        </a:ln>
      </xdr:spPr>
    </xdr:sp>
    <xdr:clientData/>
  </xdr:twoCellAnchor>
  <xdr:twoCellAnchor editAs="oneCell">
    <xdr:from>
      <xdr:col>0</xdr:col>
      <xdr:colOff>0</xdr:colOff>
      <xdr:row>1210</xdr:row>
      <xdr:rowOff>0</xdr:rowOff>
    </xdr:from>
    <xdr:to>
      <xdr:col>1</xdr:col>
      <xdr:colOff>161925</xdr:colOff>
      <xdr:row>1213</xdr:row>
      <xdr:rowOff>57150</xdr:rowOff>
    </xdr:to>
    <xdr:sp macro="" textlink="">
      <xdr:nvSpPr>
        <xdr:cNvPr id="6203461" name="AutoShape 167" descr="caution"/>
        <xdr:cNvSpPr>
          <a:spLocks noChangeAspect="1" noChangeArrowheads="1"/>
        </xdr:cNvSpPr>
      </xdr:nvSpPr>
      <xdr:spPr bwMode="auto">
        <a:xfrm>
          <a:off x="0" y="2962275"/>
          <a:ext cx="609600" cy="885825"/>
        </a:xfrm>
        <a:prstGeom prst="rect">
          <a:avLst/>
        </a:prstGeom>
        <a:noFill/>
        <a:ln w="9525">
          <a:noFill/>
          <a:miter lim="800000"/>
          <a:headEnd/>
          <a:tailEnd/>
        </a:ln>
      </xdr:spPr>
    </xdr:sp>
    <xdr:clientData/>
  </xdr:twoCellAnchor>
  <xdr:twoCellAnchor editAs="oneCell">
    <xdr:from>
      <xdr:col>4</xdr:col>
      <xdr:colOff>0</xdr:colOff>
      <xdr:row>1210</xdr:row>
      <xdr:rowOff>0</xdr:rowOff>
    </xdr:from>
    <xdr:to>
      <xdr:col>11</xdr:col>
      <xdr:colOff>447675</xdr:colOff>
      <xdr:row>1212</xdr:row>
      <xdr:rowOff>238125</xdr:rowOff>
    </xdr:to>
    <xdr:sp macro="" textlink="">
      <xdr:nvSpPr>
        <xdr:cNvPr id="6203462" name="AutoShape 168" descr="caution"/>
        <xdr:cNvSpPr>
          <a:spLocks noChangeAspect="1" noChangeArrowheads="1"/>
        </xdr:cNvSpPr>
      </xdr:nvSpPr>
      <xdr:spPr bwMode="auto">
        <a:xfrm>
          <a:off x="2495550" y="2962275"/>
          <a:ext cx="447675" cy="742950"/>
        </a:xfrm>
        <a:prstGeom prst="rect">
          <a:avLst/>
        </a:prstGeom>
        <a:noFill/>
        <a:ln w="9525">
          <a:noFill/>
          <a:miter lim="800000"/>
          <a:headEnd/>
          <a:tailEnd/>
        </a:ln>
      </xdr:spPr>
    </xdr:sp>
    <xdr:clientData/>
  </xdr:twoCellAnchor>
  <xdr:twoCellAnchor editAs="oneCell">
    <xdr:from>
      <xdr:col>1</xdr:col>
      <xdr:colOff>0</xdr:colOff>
      <xdr:row>1210</xdr:row>
      <xdr:rowOff>0</xdr:rowOff>
    </xdr:from>
    <xdr:to>
      <xdr:col>1</xdr:col>
      <xdr:colOff>447675</xdr:colOff>
      <xdr:row>1213</xdr:row>
      <xdr:rowOff>38100</xdr:rowOff>
    </xdr:to>
    <xdr:sp macro="" textlink="">
      <xdr:nvSpPr>
        <xdr:cNvPr id="6203463" name="AutoShape 169" descr="caution"/>
        <xdr:cNvSpPr>
          <a:spLocks noChangeAspect="1" noChangeArrowheads="1"/>
        </xdr:cNvSpPr>
      </xdr:nvSpPr>
      <xdr:spPr bwMode="auto">
        <a:xfrm>
          <a:off x="447675" y="2962275"/>
          <a:ext cx="447675" cy="866775"/>
        </a:xfrm>
        <a:prstGeom prst="rect">
          <a:avLst/>
        </a:prstGeom>
        <a:noFill/>
        <a:ln w="9525">
          <a:noFill/>
          <a:miter lim="800000"/>
          <a:headEnd/>
          <a:tailEnd/>
        </a:ln>
      </xdr:spPr>
    </xdr:sp>
    <xdr:clientData/>
  </xdr:twoCellAnchor>
  <xdr:twoCellAnchor editAs="oneCell">
    <xdr:from>
      <xdr:col>3</xdr:col>
      <xdr:colOff>0</xdr:colOff>
      <xdr:row>1210</xdr:row>
      <xdr:rowOff>0</xdr:rowOff>
    </xdr:from>
    <xdr:to>
      <xdr:col>11</xdr:col>
      <xdr:colOff>447675</xdr:colOff>
      <xdr:row>1213</xdr:row>
      <xdr:rowOff>47625</xdr:rowOff>
    </xdr:to>
    <xdr:sp macro="" textlink="">
      <xdr:nvSpPr>
        <xdr:cNvPr id="6203464" name="AutoShape 171" descr="caution"/>
        <xdr:cNvSpPr>
          <a:spLocks noChangeAspect="1" noChangeArrowheads="1"/>
        </xdr:cNvSpPr>
      </xdr:nvSpPr>
      <xdr:spPr bwMode="auto">
        <a:xfrm>
          <a:off x="2495550" y="2962275"/>
          <a:ext cx="447675" cy="876300"/>
        </a:xfrm>
        <a:prstGeom prst="rect">
          <a:avLst/>
        </a:prstGeom>
        <a:noFill/>
        <a:ln w="9525">
          <a:noFill/>
          <a:miter lim="800000"/>
          <a:headEnd/>
          <a:tailEnd/>
        </a:ln>
      </xdr:spPr>
    </xdr:sp>
    <xdr:clientData/>
  </xdr:twoCellAnchor>
  <xdr:twoCellAnchor editAs="oneCell">
    <xdr:from>
      <xdr:col>1</xdr:col>
      <xdr:colOff>0</xdr:colOff>
      <xdr:row>1210</xdr:row>
      <xdr:rowOff>0</xdr:rowOff>
    </xdr:from>
    <xdr:to>
      <xdr:col>1</xdr:col>
      <xdr:colOff>447675</xdr:colOff>
      <xdr:row>1213</xdr:row>
      <xdr:rowOff>47625</xdr:rowOff>
    </xdr:to>
    <xdr:sp macro="" textlink="">
      <xdr:nvSpPr>
        <xdr:cNvPr id="6203465" name="AutoShape 172" descr="caution"/>
        <xdr:cNvSpPr>
          <a:spLocks noChangeAspect="1" noChangeArrowheads="1"/>
        </xdr:cNvSpPr>
      </xdr:nvSpPr>
      <xdr:spPr bwMode="auto">
        <a:xfrm>
          <a:off x="447675" y="2962275"/>
          <a:ext cx="447675" cy="876300"/>
        </a:xfrm>
        <a:prstGeom prst="rect">
          <a:avLst/>
        </a:prstGeom>
        <a:noFill/>
        <a:ln w="9525">
          <a:noFill/>
          <a:miter lim="800000"/>
          <a:headEnd/>
          <a:tailEnd/>
        </a:ln>
      </xdr:spPr>
    </xdr:sp>
    <xdr:clientData/>
  </xdr:twoCellAnchor>
  <xdr:twoCellAnchor editAs="oneCell">
    <xdr:from>
      <xdr:col>0</xdr:col>
      <xdr:colOff>0</xdr:colOff>
      <xdr:row>1210</xdr:row>
      <xdr:rowOff>0</xdr:rowOff>
    </xdr:from>
    <xdr:to>
      <xdr:col>1</xdr:col>
      <xdr:colOff>161925</xdr:colOff>
      <xdr:row>1213</xdr:row>
      <xdr:rowOff>47625</xdr:rowOff>
    </xdr:to>
    <xdr:sp macro="" textlink="">
      <xdr:nvSpPr>
        <xdr:cNvPr id="6203466" name="AutoShape 173" descr="caution"/>
        <xdr:cNvSpPr>
          <a:spLocks noChangeAspect="1" noChangeArrowheads="1"/>
        </xdr:cNvSpPr>
      </xdr:nvSpPr>
      <xdr:spPr bwMode="auto">
        <a:xfrm>
          <a:off x="0" y="2962275"/>
          <a:ext cx="609600" cy="876300"/>
        </a:xfrm>
        <a:prstGeom prst="rect">
          <a:avLst/>
        </a:prstGeom>
        <a:noFill/>
        <a:ln w="9525">
          <a:noFill/>
          <a:miter lim="800000"/>
          <a:headEnd/>
          <a:tailEnd/>
        </a:ln>
      </xdr:spPr>
    </xdr:sp>
    <xdr:clientData/>
  </xdr:twoCellAnchor>
  <xdr:twoCellAnchor editAs="oneCell">
    <xdr:from>
      <xdr:col>0</xdr:col>
      <xdr:colOff>0</xdr:colOff>
      <xdr:row>1210</xdr:row>
      <xdr:rowOff>0</xdr:rowOff>
    </xdr:from>
    <xdr:to>
      <xdr:col>1</xdr:col>
      <xdr:colOff>161925</xdr:colOff>
      <xdr:row>1213</xdr:row>
      <xdr:rowOff>57150</xdr:rowOff>
    </xdr:to>
    <xdr:sp macro="" textlink="">
      <xdr:nvSpPr>
        <xdr:cNvPr id="6203467" name="AutoShape 174" descr="caution"/>
        <xdr:cNvSpPr>
          <a:spLocks noChangeAspect="1" noChangeArrowheads="1"/>
        </xdr:cNvSpPr>
      </xdr:nvSpPr>
      <xdr:spPr bwMode="auto">
        <a:xfrm>
          <a:off x="0" y="2962275"/>
          <a:ext cx="609600" cy="885825"/>
        </a:xfrm>
        <a:prstGeom prst="rect">
          <a:avLst/>
        </a:prstGeom>
        <a:noFill/>
        <a:ln w="9525">
          <a:noFill/>
          <a:miter lim="800000"/>
          <a:headEnd/>
          <a:tailEnd/>
        </a:ln>
      </xdr:spPr>
    </xdr:sp>
    <xdr:clientData/>
  </xdr:twoCellAnchor>
  <xdr:twoCellAnchor editAs="oneCell">
    <xdr:from>
      <xdr:col>4</xdr:col>
      <xdr:colOff>0</xdr:colOff>
      <xdr:row>1210</xdr:row>
      <xdr:rowOff>0</xdr:rowOff>
    </xdr:from>
    <xdr:to>
      <xdr:col>11</xdr:col>
      <xdr:colOff>447675</xdr:colOff>
      <xdr:row>1212</xdr:row>
      <xdr:rowOff>238125</xdr:rowOff>
    </xdr:to>
    <xdr:sp macro="" textlink="">
      <xdr:nvSpPr>
        <xdr:cNvPr id="6203468" name="AutoShape 175" descr="caution"/>
        <xdr:cNvSpPr>
          <a:spLocks noChangeAspect="1" noChangeArrowheads="1"/>
        </xdr:cNvSpPr>
      </xdr:nvSpPr>
      <xdr:spPr bwMode="auto">
        <a:xfrm>
          <a:off x="2495550" y="2962275"/>
          <a:ext cx="447675" cy="742950"/>
        </a:xfrm>
        <a:prstGeom prst="rect">
          <a:avLst/>
        </a:prstGeom>
        <a:noFill/>
        <a:ln w="9525">
          <a:noFill/>
          <a:miter lim="800000"/>
          <a:headEnd/>
          <a:tailEnd/>
        </a:ln>
      </xdr:spPr>
    </xdr:sp>
    <xdr:clientData/>
  </xdr:twoCellAnchor>
  <xdr:twoCellAnchor editAs="oneCell">
    <xdr:from>
      <xdr:col>1</xdr:col>
      <xdr:colOff>0</xdr:colOff>
      <xdr:row>1210</xdr:row>
      <xdr:rowOff>0</xdr:rowOff>
    </xdr:from>
    <xdr:to>
      <xdr:col>1</xdr:col>
      <xdr:colOff>447675</xdr:colOff>
      <xdr:row>1213</xdr:row>
      <xdr:rowOff>38100</xdr:rowOff>
    </xdr:to>
    <xdr:sp macro="" textlink="">
      <xdr:nvSpPr>
        <xdr:cNvPr id="6203469" name="AutoShape 176" descr="caution"/>
        <xdr:cNvSpPr>
          <a:spLocks noChangeAspect="1" noChangeArrowheads="1"/>
        </xdr:cNvSpPr>
      </xdr:nvSpPr>
      <xdr:spPr bwMode="auto">
        <a:xfrm>
          <a:off x="447675" y="2962275"/>
          <a:ext cx="447675" cy="866775"/>
        </a:xfrm>
        <a:prstGeom prst="rect">
          <a:avLst/>
        </a:prstGeom>
        <a:noFill/>
        <a:ln w="9525">
          <a:noFill/>
          <a:miter lim="800000"/>
          <a:headEnd/>
          <a:tailEnd/>
        </a:ln>
      </xdr:spPr>
    </xdr:sp>
    <xdr:clientData/>
  </xdr:twoCellAnchor>
  <xdr:twoCellAnchor editAs="oneCell">
    <xdr:from>
      <xdr:col>3</xdr:col>
      <xdr:colOff>0</xdr:colOff>
      <xdr:row>1210</xdr:row>
      <xdr:rowOff>0</xdr:rowOff>
    </xdr:from>
    <xdr:to>
      <xdr:col>11</xdr:col>
      <xdr:colOff>447675</xdr:colOff>
      <xdr:row>1213</xdr:row>
      <xdr:rowOff>47625</xdr:rowOff>
    </xdr:to>
    <xdr:sp macro="" textlink="">
      <xdr:nvSpPr>
        <xdr:cNvPr id="6203470" name="AutoShape 178" descr="caution"/>
        <xdr:cNvSpPr>
          <a:spLocks noChangeAspect="1" noChangeArrowheads="1"/>
        </xdr:cNvSpPr>
      </xdr:nvSpPr>
      <xdr:spPr bwMode="auto">
        <a:xfrm>
          <a:off x="2495550" y="2962275"/>
          <a:ext cx="447675" cy="876300"/>
        </a:xfrm>
        <a:prstGeom prst="rect">
          <a:avLst/>
        </a:prstGeom>
        <a:noFill/>
        <a:ln w="9525">
          <a:noFill/>
          <a:miter lim="800000"/>
          <a:headEnd/>
          <a:tailEnd/>
        </a:ln>
      </xdr:spPr>
    </xdr:sp>
    <xdr:clientData/>
  </xdr:twoCellAnchor>
  <xdr:twoCellAnchor editAs="oneCell">
    <xdr:from>
      <xdr:col>1</xdr:col>
      <xdr:colOff>0</xdr:colOff>
      <xdr:row>1210</xdr:row>
      <xdr:rowOff>0</xdr:rowOff>
    </xdr:from>
    <xdr:to>
      <xdr:col>1</xdr:col>
      <xdr:colOff>447675</xdr:colOff>
      <xdr:row>1213</xdr:row>
      <xdr:rowOff>47625</xdr:rowOff>
    </xdr:to>
    <xdr:sp macro="" textlink="">
      <xdr:nvSpPr>
        <xdr:cNvPr id="6203471" name="AutoShape 179" descr="caution"/>
        <xdr:cNvSpPr>
          <a:spLocks noChangeAspect="1" noChangeArrowheads="1"/>
        </xdr:cNvSpPr>
      </xdr:nvSpPr>
      <xdr:spPr bwMode="auto">
        <a:xfrm>
          <a:off x="447675" y="2962275"/>
          <a:ext cx="447675" cy="876300"/>
        </a:xfrm>
        <a:prstGeom prst="rect">
          <a:avLst/>
        </a:prstGeom>
        <a:noFill/>
        <a:ln w="9525">
          <a:noFill/>
          <a:miter lim="800000"/>
          <a:headEnd/>
          <a:tailEnd/>
        </a:ln>
      </xdr:spPr>
    </xdr:sp>
    <xdr:clientData/>
  </xdr:twoCellAnchor>
  <xdr:twoCellAnchor editAs="oneCell">
    <xdr:from>
      <xdr:col>0</xdr:col>
      <xdr:colOff>0</xdr:colOff>
      <xdr:row>1210</xdr:row>
      <xdr:rowOff>0</xdr:rowOff>
    </xdr:from>
    <xdr:to>
      <xdr:col>1</xdr:col>
      <xdr:colOff>161925</xdr:colOff>
      <xdr:row>1213</xdr:row>
      <xdr:rowOff>47625</xdr:rowOff>
    </xdr:to>
    <xdr:sp macro="" textlink="">
      <xdr:nvSpPr>
        <xdr:cNvPr id="6203472" name="AutoShape 180" descr="caution"/>
        <xdr:cNvSpPr>
          <a:spLocks noChangeAspect="1" noChangeArrowheads="1"/>
        </xdr:cNvSpPr>
      </xdr:nvSpPr>
      <xdr:spPr bwMode="auto">
        <a:xfrm>
          <a:off x="0" y="2962275"/>
          <a:ext cx="609600" cy="876300"/>
        </a:xfrm>
        <a:prstGeom prst="rect">
          <a:avLst/>
        </a:prstGeom>
        <a:noFill/>
        <a:ln w="9525">
          <a:noFill/>
          <a:miter lim="800000"/>
          <a:headEnd/>
          <a:tailEnd/>
        </a:ln>
      </xdr:spPr>
    </xdr:sp>
    <xdr:clientData/>
  </xdr:twoCellAnchor>
  <xdr:twoCellAnchor editAs="oneCell">
    <xdr:from>
      <xdr:col>0</xdr:col>
      <xdr:colOff>0</xdr:colOff>
      <xdr:row>1210</xdr:row>
      <xdr:rowOff>0</xdr:rowOff>
    </xdr:from>
    <xdr:to>
      <xdr:col>1</xdr:col>
      <xdr:colOff>161925</xdr:colOff>
      <xdr:row>1213</xdr:row>
      <xdr:rowOff>57150</xdr:rowOff>
    </xdr:to>
    <xdr:sp macro="" textlink="">
      <xdr:nvSpPr>
        <xdr:cNvPr id="6203473" name="AutoShape 181" descr="caution"/>
        <xdr:cNvSpPr>
          <a:spLocks noChangeAspect="1" noChangeArrowheads="1"/>
        </xdr:cNvSpPr>
      </xdr:nvSpPr>
      <xdr:spPr bwMode="auto">
        <a:xfrm>
          <a:off x="0" y="2962275"/>
          <a:ext cx="609600" cy="885825"/>
        </a:xfrm>
        <a:prstGeom prst="rect">
          <a:avLst/>
        </a:prstGeom>
        <a:noFill/>
        <a:ln w="9525">
          <a:noFill/>
          <a:miter lim="800000"/>
          <a:headEnd/>
          <a:tailEnd/>
        </a:ln>
      </xdr:spPr>
    </xdr:sp>
    <xdr:clientData/>
  </xdr:twoCellAnchor>
  <xdr:twoCellAnchor editAs="oneCell">
    <xdr:from>
      <xdr:col>4</xdr:col>
      <xdr:colOff>0</xdr:colOff>
      <xdr:row>1210</xdr:row>
      <xdr:rowOff>0</xdr:rowOff>
    </xdr:from>
    <xdr:to>
      <xdr:col>11</xdr:col>
      <xdr:colOff>447675</xdr:colOff>
      <xdr:row>1212</xdr:row>
      <xdr:rowOff>238125</xdr:rowOff>
    </xdr:to>
    <xdr:sp macro="" textlink="">
      <xdr:nvSpPr>
        <xdr:cNvPr id="6203474" name="AutoShape 182" descr="caution"/>
        <xdr:cNvSpPr>
          <a:spLocks noChangeAspect="1" noChangeArrowheads="1"/>
        </xdr:cNvSpPr>
      </xdr:nvSpPr>
      <xdr:spPr bwMode="auto">
        <a:xfrm>
          <a:off x="2495550" y="2962275"/>
          <a:ext cx="447675" cy="742950"/>
        </a:xfrm>
        <a:prstGeom prst="rect">
          <a:avLst/>
        </a:prstGeom>
        <a:noFill/>
        <a:ln w="9525">
          <a:noFill/>
          <a:miter lim="800000"/>
          <a:headEnd/>
          <a:tailEnd/>
        </a:ln>
      </xdr:spPr>
    </xdr:sp>
    <xdr:clientData/>
  </xdr:twoCellAnchor>
  <xdr:twoCellAnchor editAs="oneCell">
    <xdr:from>
      <xdr:col>1</xdr:col>
      <xdr:colOff>0</xdr:colOff>
      <xdr:row>1210</xdr:row>
      <xdr:rowOff>0</xdr:rowOff>
    </xdr:from>
    <xdr:to>
      <xdr:col>1</xdr:col>
      <xdr:colOff>447675</xdr:colOff>
      <xdr:row>1213</xdr:row>
      <xdr:rowOff>38100</xdr:rowOff>
    </xdr:to>
    <xdr:sp macro="" textlink="">
      <xdr:nvSpPr>
        <xdr:cNvPr id="6203475" name="AutoShape 183" descr="caution"/>
        <xdr:cNvSpPr>
          <a:spLocks noChangeAspect="1" noChangeArrowheads="1"/>
        </xdr:cNvSpPr>
      </xdr:nvSpPr>
      <xdr:spPr bwMode="auto">
        <a:xfrm>
          <a:off x="447675" y="2962275"/>
          <a:ext cx="447675" cy="866775"/>
        </a:xfrm>
        <a:prstGeom prst="rect">
          <a:avLst/>
        </a:prstGeom>
        <a:noFill/>
        <a:ln w="9525">
          <a:noFill/>
          <a:miter lim="800000"/>
          <a:headEnd/>
          <a:tailEnd/>
        </a:ln>
      </xdr:spPr>
    </xdr:sp>
    <xdr:clientData/>
  </xdr:twoCellAnchor>
  <xdr:twoCellAnchor editAs="oneCell">
    <xdr:from>
      <xdr:col>1</xdr:col>
      <xdr:colOff>0</xdr:colOff>
      <xdr:row>1210</xdr:row>
      <xdr:rowOff>0</xdr:rowOff>
    </xdr:from>
    <xdr:to>
      <xdr:col>1</xdr:col>
      <xdr:colOff>447675</xdr:colOff>
      <xdr:row>1213</xdr:row>
      <xdr:rowOff>47625</xdr:rowOff>
    </xdr:to>
    <xdr:sp macro="" textlink="">
      <xdr:nvSpPr>
        <xdr:cNvPr id="6203476" name="AutoShape 186" descr="caution"/>
        <xdr:cNvSpPr>
          <a:spLocks noChangeAspect="1" noChangeArrowheads="1"/>
        </xdr:cNvSpPr>
      </xdr:nvSpPr>
      <xdr:spPr bwMode="auto">
        <a:xfrm>
          <a:off x="447675" y="2962275"/>
          <a:ext cx="447675" cy="876300"/>
        </a:xfrm>
        <a:prstGeom prst="rect">
          <a:avLst/>
        </a:prstGeom>
        <a:noFill/>
        <a:ln w="9525">
          <a:noFill/>
          <a:miter lim="800000"/>
          <a:headEnd/>
          <a:tailEnd/>
        </a:ln>
      </xdr:spPr>
    </xdr:sp>
    <xdr:clientData/>
  </xdr:twoCellAnchor>
  <xdr:twoCellAnchor editAs="oneCell">
    <xdr:from>
      <xdr:col>0</xdr:col>
      <xdr:colOff>0</xdr:colOff>
      <xdr:row>1210</xdr:row>
      <xdr:rowOff>0</xdr:rowOff>
    </xdr:from>
    <xdr:to>
      <xdr:col>1</xdr:col>
      <xdr:colOff>161925</xdr:colOff>
      <xdr:row>1213</xdr:row>
      <xdr:rowOff>47625</xdr:rowOff>
    </xdr:to>
    <xdr:sp macro="" textlink="">
      <xdr:nvSpPr>
        <xdr:cNvPr id="6203477" name="AutoShape 187" descr="caution"/>
        <xdr:cNvSpPr>
          <a:spLocks noChangeAspect="1" noChangeArrowheads="1"/>
        </xdr:cNvSpPr>
      </xdr:nvSpPr>
      <xdr:spPr bwMode="auto">
        <a:xfrm>
          <a:off x="0" y="2962275"/>
          <a:ext cx="609600" cy="876300"/>
        </a:xfrm>
        <a:prstGeom prst="rect">
          <a:avLst/>
        </a:prstGeom>
        <a:noFill/>
        <a:ln w="9525">
          <a:noFill/>
          <a:miter lim="800000"/>
          <a:headEnd/>
          <a:tailEnd/>
        </a:ln>
      </xdr:spPr>
    </xdr:sp>
    <xdr:clientData/>
  </xdr:twoCellAnchor>
  <xdr:twoCellAnchor editAs="oneCell">
    <xdr:from>
      <xdr:col>0</xdr:col>
      <xdr:colOff>0</xdr:colOff>
      <xdr:row>1210</xdr:row>
      <xdr:rowOff>0</xdr:rowOff>
    </xdr:from>
    <xdr:to>
      <xdr:col>1</xdr:col>
      <xdr:colOff>161925</xdr:colOff>
      <xdr:row>1213</xdr:row>
      <xdr:rowOff>57150</xdr:rowOff>
    </xdr:to>
    <xdr:sp macro="" textlink="">
      <xdr:nvSpPr>
        <xdr:cNvPr id="6203478" name="AutoShape 188" descr="caution"/>
        <xdr:cNvSpPr>
          <a:spLocks noChangeAspect="1" noChangeArrowheads="1"/>
        </xdr:cNvSpPr>
      </xdr:nvSpPr>
      <xdr:spPr bwMode="auto">
        <a:xfrm>
          <a:off x="0" y="2962275"/>
          <a:ext cx="609600" cy="885825"/>
        </a:xfrm>
        <a:prstGeom prst="rect">
          <a:avLst/>
        </a:prstGeom>
        <a:noFill/>
        <a:ln w="9525">
          <a:noFill/>
          <a:miter lim="800000"/>
          <a:headEnd/>
          <a:tailEnd/>
        </a:ln>
      </xdr:spPr>
    </xdr:sp>
    <xdr:clientData/>
  </xdr:twoCellAnchor>
  <xdr:twoCellAnchor editAs="oneCell">
    <xdr:from>
      <xdr:col>1</xdr:col>
      <xdr:colOff>0</xdr:colOff>
      <xdr:row>1210</xdr:row>
      <xdr:rowOff>0</xdr:rowOff>
    </xdr:from>
    <xdr:to>
      <xdr:col>1</xdr:col>
      <xdr:colOff>447675</xdr:colOff>
      <xdr:row>1213</xdr:row>
      <xdr:rowOff>38100</xdr:rowOff>
    </xdr:to>
    <xdr:sp macro="" textlink="">
      <xdr:nvSpPr>
        <xdr:cNvPr id="6203479" name="AutoShape 190" descr="caution"/>
        <xdr:cNvSpPr>
          <a:spLocks noChangeAspect="1" noChangeArrowheads="1"/>
        </xdr:cNvSpPr>
      </xdr:nvSpPr>
      <xdr:spPr bwMode="auto">
        <a:xfrm>
          <a:off x="447675" y="2962275"/>
          <a:ext cx="447675" cy="866775"/>
        </a:xfrm>
        <a:prstGeom prst="rect">
          <a:avLst/>
        </a:prstGeom>
        <a:noFill/>
        <a:ln w="9525">
          <a:noFill/>
          <a:miter lim="800000"/>
          <a:headEnd/>
          <a:tailEnd/>
        </a:ln>
      </xdr:spPr>
    </xdr:sp>
    <xdr:clientData/>
  </xdr:twoCellAnchor>
  <xdr:twoCellAnchor editAs="oneCell">
    <xdr:from>
      <xdr:col>1</xdr:col>
      <xdr:colOff>0</xdr:colOff>
      <xdr:row>1210</xdr:row>
      <xdr:rowOff>0</xdr:rowOff>
    </xdr:from>
    <xdr:to>
      <xdr:col>1</xdr:col>
      <xdr:colOff>447675</xdr:colOff>
      <xdr:row>1213</xdr:row>
      <xdr:rowOff>47625</xdr:rowOff>
    </xdr:to>
    <xdr:sp macro="" textlink="">
      <xdr:nvSpPr>
        <xdr:cNvPr id="6203480" name="AutoShape 193" descr="caution"/>
        <xdr:cNvSpPr>
          <a:spLocks noChangeAspect="1" noChangeArrowheads="1"/>
        </xdr:cNvSpPr>
      </xdr:nvSpPr>
      <xdr:spPr bwMode="auto">
        <a:xfrm>
          <a:off x="447675" y="2962275"/>
          <a:ext cx="447675" cy="876300"/>
        </a:xfrm>
        <a:prstGeom prst="rect">
          <a:avLst/>
        </a:prstGeom>
        <a:noFill/>
        <a:ln w="9525">
          <a:noFill/>
          <a:miter lim="800000"/>
          <a:headEnd/>
          <a:tailEnd/>
        </a:ln>
      </xdr:spPr>
    </xdr:sp>
    <xdr:clientData/>
  </xdr:twoCellAnchor>
  <xdr:twoCellAnchor editAs="oneCell">
    <xdr:from>
      <xdr:col>0</xdr:col>
      <xdr:colOff>0</xdr:colOff>
      <xdr:row>1210</xdr:row>
      <xdr:rowOff>0</xdr:rowOff>
    </xdr:from>
    <xdr:to>
      <xdr:col>1</xdr:col>
      <xdr:colOff>161925</xdr:colOff>
      <xdr:row>1213</xdr:row>
      <xdr:rowOff>47625</xdr:rowOff>
    </xdr:to>
    <xdr:sp macro="" textlink="">
      <xdr:nvSpPr>
        <xdr:cNvPr id="6203481" name="AutoShape 194" descr="caution"/>
        <xdr:cNvSpPr>
          <a:spLocks noChangeAspect="1" noChangeArrowheads="1"/>
        </xdr:cNvSpPr>
      </xdr:nvSpPr>
      <xdr:spPr bwMode="auto">
        <a:xfrm>
          <a:off x="0" y="2962275"/>
          <a:ext cx="609600" cy="876300"/>
        </a:xfrm>
        <a:prstGeom prst="rect">
          <a:avLst/>
        </a:prstGeom>
        <a:noFill/>
        <a:ln w="9525">
          <a:noFill/>
          <a:miter lim="800000"/>
          <a:headEnd/>
          <a:tailEnd/>
        </a:ln>
      </xdr:spPr>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3</xdr:col>
      <xdr:colOff>0</xdr:colOff>
      <xdr:row>1</xdr:row>
      <xdr:rowOff>0</xdr:rowOff>
    </xdr:from>
    <xdr:to>
      <xdr:col>3</xdr:col>
      <xdr:colOff>447675</xdr:colOff>
      <xdr:row>3</xdr:row>
      <xdr:rowOff>152400</xdr:rowOff>
    </xdr:to>
    <xdr:sp macro="" textlink="">
      <xdr:nvSpPr>
        <xdr:cNvPr id="4880349" name="AutoShape 1" descr="caution"/>
        <xdr:cNvSpPr>
          <a:spLocks noChangeAspect="1" noChangeArrowheads="1"/>
        </xdr:cNvSpPr>
      </xdr:nvSpPr>
      <xdr:spPr bwMode="auto">
        <a:xfrm>
          <a:off x="5210175" y="381000"/>
          <a:ext cx="447675" cy="876300"/>
        </a:xfrm>
        <a:prstGeom prst="rect">
          <a:avLst/>
        </a:prstGeom>
        <a:noFill/>
        <a:ln w="9525">
          <a:noFill/>
          <a:miter lim="800000"/>
          <a:headEnd/>
          <a:tailEnd/>
        </a:ln>
      </xdr:spPr>
    </xdr:sp>
    <xdr:clientData/>
  </xdr:twoCellAnchor>
  <xdr:twoCellAnchor editAs="oneCell">
    <xdr:from>
      <xdr:col>1</xdr:col>
      <xdr:colOff>0</xdr:colOff>
      <xdr:row>9</xdr:row>
      <xdr:rowOff>0</xdr:rowOff>
    </xdr:from>
    <xdr:to>
      <xdr:col>1</xdr:col>
      <xdr:colOff>447675</xdr:colOff>
      <xdr:row>11</xdr:row>
      <xdr:rowOff>123825</xdr:rowOff>
    </xdr:to>
    <xdr:sp macro="" textlink="">
      <xdr:nvSpPr>
        <xdr:cNvPr id="4880350" name="AutoShape 2" descr="caution"/>
        <xdr:cNvSpPr>
          <a:spLocks noChangeAspect="1" noChangeArrowheads="1"/>
        </xdr:cNvSpPr>
      </xdr:nvSpPr>
      <xdr:spPr bwMode="auto">
        <a:xfrm>
          <a:off x="447675" y="3638550"/>
          <a:ext cx="447675" cy="1028700"/>
        </a:xfrm>
        <a:prstGeom prst="rect">
          <a:avLst/>
        </a:prstGeom>
        <a:noFill/>
        <a:ln w="9525">
          <a:noFill/>
          <a:miter lim="800000"/>
          <a:headEnd/>
          <a:tailEnd/>
        </a:ln>
      </xdr:spPr>
    </xdr:sp>
    <xdr:clientData/>
  </xdr:twoCellAnchor>
  <xdr:twoCellAnchor editAs="oneCell">
    <xdr:from>
      <xdr:col>0</xdr:col>
      <xdr:colOff>0</xdr:colOff>
      <xdr:row>1</xdr:row>
      <xdr:rowOff>0</xdr:rowOff>
    </xdr:from>
    <xdr:to>
      <xdr:col>1</xdr:col>
      <xdr:colOff>0</xdr:colOff>
      <xdr:row>3</xdr:row>
      <xdr:rowOff>152400</xdr:rowOff>
    </xdr:to>
    <xdr:sp macro="" textlink="">
      <xdr:nvSpPr>
        <xdr:cNvPr id="4880351" name="AutoShape 3" descr="caution"/>
        <xdr:cNvSpPr>
          <a:spLocks noChangeAspect="1" noChangeArrowheads="1"/>
        </xdr:cNvSpPr>
      </xdr:nvSpPr>
      <xdr:spPr bwMode="auto">
        <a:xfrm>
          <a:off x="0" y="381000"/>
          <a:ext cx="447675" cy="876300"/>
        </a:xfrm>
        <a:prstGeom prst="rect">
          <a:avLst/>
        </a:prstGeom>
        <a:noFill/>
        <a:ln w="9525">
          <a:noFill/>
          <a:miter lim="800000"/>
          <a:headEnd/>
          <a:tailEnd/>
        </a:ln>
      </xdr:spPr>
    </xdr:sp>
    <xdr:clientData/>
  </xdr:twoCellAnchor>
  <xdr:twoCellAnchor editAs="oneCell">
    <xdr:from>
      <xdr:col>3</xdr:col>
      <xdr:colOff>0</xdr:colOff>
      <xdr:row>1</xdr:row>
      <xdr:rowOff>0</xdr:rowOff>
    </xdr:from>
    <xdr:to>
      <xdr:col>3</xdr:col>
      <xdr:colOff>447675</xdr:colOff>
      <xdr:row>3</xdr:row>
      <xdr:rowOff>314325</xdr:rowOff>
    </xdr:to>
    <xdr:sp macro="" textlink="">
      <xdr:nvSpPr>
        <xdr:cNvPr id="4880352" name="AutoShape 16" descr="caution"/>
        <xdr:cNvSpPr>
          <a:spLocks noChangeAspect="1" noChangeArrowheads="1"/>
        </xdr:cNvSpPr>
      </xdr:nvSpPr>
      <xdr:spPr bwMode="auto">
        <a:xfrm>
          <a:off x="5210175" y="381000"/>
          <a:ext cx="447675" cy="1038225"/>
        </a:xfrm>
        <a:prstGeom prst="rect">
          <a:avLst/>
        </a:prstGeom>
        <a:noFill/>
        <a:ln w="9525">
          <a:noFill/>
          <a:miter lim="800000"/>
          <a:headEnd/>
          <a:tailEnd/>
        </a:ln>
      </xdr:spPr>
    </xdr:sp>
    <xdr:clientData/>
  </xdr:twoCellAnchor>
  <xdr:twoCellAnchor editAs="oneCell">
    <xdr:from>
      <xdr:col>1</xdr:col>
      <xdr:colOff>0</xdr:colOff>
      <xdr:row>1</xdr:row>
      <xdr:rowOff>0</xdr:rowOff>
    </xdr:from>
    <xdr:to>
      <xdr:col>1</xdr:col>
      <xdr:colOff>447675</xdr:colOff>
      <xdr:row>3</xdr:row>
      <xdr:rowOff>314325</xdr:rowOff>
    </xdr:to>
    <xdr:sp macro="" textlink="">
      <xdr:nvSpPr>
        <xdr:cNvPr id="4880353" name="AutoShape 17" descr="caution"/>
        <xdr:cNvSpPr>
          <a:spLocks noChangeAspect="1" noChangeArrowheads="1"/>
        </xdr:cNvSpPr>
      </xdr:nvSpPr>
      <xdr:spPr bwMode="auto">
        <a:xfrm>
          <a:off x="447675" y="381000"/>
          <a:ext cx="447675" cy="1038225"/>
        </a:xfrm>
        <a:prstGeom prst="rect">
          <a:avLst/>
        </a:prstGeom>
        <a:noFill/>
        <a:ln w="9525">
          <a:noFill/>
          <a:miter lim="800000"/>
          <a:headEnd/>
          <a:tailEnd/>
        </a:ln>
      </xdr:spPr>
    </xdr:sp>
    <xdr:clientData/>
  </xdr:twoCellAnchor>
  <xdr:twoCellAnchor editAs="oneCell">
    <xdr:from>
      <xdr:col>0</xdr:col>
      <xdr:colOff>0</xdr:colOff>
      <xdr:row>1</xdr:row>
      <xdr:rowOff>0</xdr:rowOff>
    </xdr:from>
    <xdr:to>
      <xdr:col>1</xdr:col>
      <xdr:colOff>0</xdr:colOff>
      <xdr:row>3</xdr:row>
      <xdr:rowOff>314325</xdr:rowOff>
    </xdr:to>
    <xdr:sp macro="" textlink="">
      <xdr:nvSpPr>
        <xdr:cNvPr id="4880354" name="AutoShape 18" descr="caution"/>
        <xdr:cNvSpPr>
          <a:spLocks noChangeAspect="1" noChangeArrowheads="1"/>
        </xdr:cNvSpPr>
      </xdr:nvSpPr>
      <xdr:spPr bwMode="auto">
        <a:xfrm>
          <a:off x="0" y="381000"/>
          <a:ext cx="447675" cy="1038225"/>
        </a:xfrm>
        <a:prstGeom prst="rect">
          <a:avLst/>
        </a:prstGeom>
        <a:noFill/>
        <a:ln w="9525">
          <a:noFill/>
          <a:miter lim="800000"/>
          <a:headEnd/>
          <a:tailEnd/>
        </a:ln>
      </xdr:spPr>
    </xdr:sp>
    <xdr:clientData/>
  </xdr:twoCellAnchor>
  <xdr:twoCellAnchor editAs="oneCell">
    <xdr:from>
      <xdr:col>0</xdr:col>
      <xdr:colOff>0</xdr:colOff>
      <xdr:row>467</xdr:row>
      <xdr:rowOff>0</xdr:rowOff>
    </xdr:from>
    <xdr:to>
      <xdr:col>1</xdr:col>
      <xdr:colOff>0</xdr:colOff>
      <xdr:row>469</xdr:row>
      <xdr:rowOff>152400</xdr:rowOff>
    </xdr:to>
    <xdr:sp macro="" textlink="">
      <xdr:nvSpPr>
        <xdr:cNvPr id="4880355" name="AutoShape 19" descr="caution"/>
        <xdr:cNvSpPr>
          <a:spLocks noChangeAspect="1" noChangeArrowheads="1"/>
        </xdr:cNvSpPr>
      </xdr:nvSpPr>
      <xdr:spPr bwMode="auto">
        <a:xfrm>
          <a:off x="0" y="207054450"/>
          <a:ext cx="447675" cy="1057275"/>
        </a:xfrm>
        <a:prstGeom prst="rect">
          <a:avLst/>
        </a:prstGeom>
        <a:noFill/>
        <a:ln w="9525">
          <a:noFill/>
          <a:miter lim="800000"/>
          <a:headEnd/>
          <a:tailEnd/>
        </a:ln>
      </xdr:spPr>
    </xdr:sp>
    <xdr:clientData/>
  </xdr:twoCellAnchor>
  <xdr:twoCellAnchor editAs="oneCell">
    <xdr:from>
      <xdr:col>3</xdr:col>
      <xdr:colOff>0</xdr:colOff>
      <xdr:row>1</xdr:row>
      <xdr:rowOff>0</xdr:rowOff>
    </xdr:from>
    <xdr:to>
      <xdr:col>3</xdr:col>
      <xdr:colOff>447675</xdr:colOff>
      <xdr:row>3</xdr:row>
      <xdr:rowOff>152400</xdr:rowOff>
    </xdr:to>
    <xdr:sp macro="" textlink="">
      <xdr:nvSpPr>
        <xdr:cNvPr id="4880356" name="AutoShape 26" descr="caution"/>
        <xdr:cNvSpPr>
          <a:spLocks noChangeAspect="1" noChangeArrowheads="1"/>
        </xdr:cNvSpPr>
      </xdr:nvSpPr>
      <xdr:spPr bwMode="auto">
        <a:xfrm>
          <a:off x="5210175" y="381000"/>
          <a:ext cx="447675" cy="876300"/>
        </a:xfrm>
        <a:prstGeom prst="rect">
          <a:avLst/>
        </a:prstGeom>
        <a:noFill/>
        <a:ln w="9525">
          <a:noFill/>
          <a:miter lim="800000"/>
          <a:headEnd/>
          <a:tailEnd/>
        </a:ln>
      </xdr:spPr>
    </xdr:sp>
    <xdr:clientData/>
  </xdr:twoCellAnchor>
  <xdr:twoCellAnchor editAs="oneCell">
    <xdr:from>
      <xdr:col>1</xdr:col>
      <xdr:colOff>0</xdr:colOff>
      <xdr:row>9</xdr:row>
      <xdr:rowOff>0</xdr:rowOff>
    </xdr:from>
    <xdr:to>
      <xdr:col>1</xdr:col>
      <xdr:colOff>447675</xdr:colOff>
      <xdr:row>11</xdr:row>
      <xdr:rowOff>123825</xdr:rowOff>
    </xdr:to>
    <xdr:sp macro="" textlink="">
      <xdr:nvSpPr>
        <xdr:cNvPr id="4880357" name="AutoShape 27" descr="caution"/>
        <xdr:cNvSpPr>
          <a:spLocks noChangeAspect="1" noChangeArrowheads="1"/>
        </xdr:cNvSpPr>
      </xdr:nvSpPr>
      <xdr:spPr bwMode="auto">
        <a:xfrm>
          <a:off x="447675" y="3638550"/>
          <a:ext cx="447675" cy="1028700"/>
        </a:xfrm>
        <a:prstGeom prst="rect">
          <a:avLst/>
        </a:prstGeom>
        <a:noFill/>
        <a:ln w="9525">
          <a:noFill/>
          <a:miter lim="800000"/>
          <a:headEnd/>
          <a:tailEnd/>
        </a:ln>
      </xdr:spPr>
    </xdr:sp>
    <xdr:clientData/>
  </xdr:twoCellAnchor>
  <xdr:twoCellAnchor editAs="oneCell">
    <xdr:from>
      <xdr:col>0</xdr:col>
      <xdr:colOff>0</xdr:colOff>
      <xdr:row>1</xdr:row>
      <xdr:rowOff>0</xdr:rowOff>
    </xdr:from>
    <xdr:to>
      <xdr:col>1</xdr:col>
      <xdr:colOff>0</xdr:colOff>
      <xdr:row>3</xdr:row>
      <xdr:rowOff>152400</xdr:rowOff>
    </xdr:to>
    <xdr:sp macro="" textlink="">
      <xdr:nvSpPr>
        <xdr:cNvPr id="4880358" name="AutoShape 28" descr="caution"/>
        <xdr:cNvSpPr>
          <a:spLocks noChangeAspect="1" noChangeArrowheads="1"/>
        </xdr:cNvSpPr>
      </xdr:nvSpPr>
      <xdr:spPr bwMode="auto">
        <a:xfrm>
          <a:off x="0" y="381000"/>
          <a:ext cx="447675" cy="876300"/>
        </a:xfrm>
        <a:prstGeom prst="rect">
          <a:avLst/>
        </a:prstGeom>
        <a:noFill/>
        <a:ln w="9525">
          <a:noFill/>
          <a:miter lim="800000"/>
          <a:headEnd/>
          <a:tailEnd/>
        </a:ln>
      </xdr:spPr>
    </xdr:sp>
    <xdr:clientData/>
  </xdr:twoCellAnchor>
  <xdr:twoCellAnchor editAs="oneCell">
    <xdr:from>
      <xdr:col>3</xdr:col>
      <xdr:colOff>0</xdr:colOff>
      <xdr:row>1</xdr:row>
      <xdr:rowOff>0</xdr:rowOff>
    </xdr:from>
    <xdr:to>
      <xdr:col>3</xdr:col>
      <xdr:colOff>447675</xdr:colOff>
      <xdr:row>3</xdr:row>
      <xdr:rowOff>314325</xdr:rowOff>
    </xdr:to>
    <xdr:sp macro="" textlink="">
      <xdr:nvSpPr>
        <xdr:cNvPr id="4880359" name="AutoShape 29" descr="caution"/>
        <xdr:cNvSpPr>
          <a:spLocks noChangeAspect="1" noChangeArrowheads="1"/>
        </xdr:cNvSpPr>
      </xdr:nvSpPr>
      <xdr:spPr bwMode="auto">
        <a:xfrm>
          <a:off x="5210175" y="381000"/>
          <a:ext cx="447675" cy="1038225"/>
        </a:xfrm>
        <a:prstGeom prst="rect">
          <a:avLst/>
        </a:prstGeom>
        <a:noFill/>
        <a:ln w="9525">
          <a:noFill/>
          <a:miter lim="800000"/>
          <a:headEnd/>
          <a:tailEnd/>
        </a:ln>
      </xdr:spPr>
    </xdr:sp>
    <xdr:clientData/>
  </xdr:twoCellAnchor>
  <xdr:twoCellAnchor editAs="oneCell">
    <xdr:from>
      <xdr:col>1</xdr:col>
      <xdr:colOff>0</xdr:colOff>
      <xdr:row>11</xdr:row>
      <xdr:rowOff>0</xdr:rowOff>
    </xdr:from>
    <xdr:to>
      <xdr:col>1</xdr:col>
      <xdr:colOff>447675</xdr:colOff>
      <xdr:row>12</xdr:row>
      <xdr:rowOff>504825</xdr:rowOff>
    </xdr:to>
    <xdr:sp macro="" textlink="">
      <xdr:nvSpPr>
        <xdr:cNvPr id="4880360" name="AutoShape 30" descr="caution"/>
        <xdr:cNvSpPr>
          <a:spLocks noChangeAspect="1" noChangeArrowheads="1"/>
        </xdr:cNvSpPr>
      </xdr:nvSpPr>
      <xdr:spPr bwMode="auto">
        <a:xfrm>
          <a:off x="447675" y="4543425"/>
          <a:ext cx="447675" cy="1047750"/>
        </a:xfrm>
        <a:prstGeom prst="rect">
          <a:avLst/>
        </a:prstGeom>
        <a:noFill/>
        <a:ln w="9525">
          <a:noFill/>
          <a:miter lim="800000"/>
          <a:headEnd/>
          <a:tailEnd/>
        </a:ln>
      </xdr:spPr>
    </xdr:sp>
    <xdr:clientData/>
  </xdr:twoCellAnchor>
  <xdr:twoCellAnchor editAs="oneCell">
    <xdr:from>
      <xdr:col>0</xdr:col>
      <xdr:colOff>0</xdr:colOff>
      <xdr:row>1</xdr:row>
      <xdr:rowOff>0</xdr:rowOff>
    </xdr:from>
    <xdr:to>
      <xdr:col>1</xdr:col>
      <xdr:colOff>0</xdr:colOff>
      <xdr:row>3</xdr:row>
      <xdr:rowOff>314325</xdr:rowOff>
    </xdr:to>
    <xdr:sp macro="" textlink="">
      <xdr:nvSpPr>
        <xdr:cNvPr id="4880361" name="AutoShape 31" descr="caution"/>
        <xdr:cNvSpPr>
          <a:spLocks noChangeAspect="1" noChangeArrowheads="1"/>
        </xdr:cNvSpPr>
      </xdr:nvSpPr>
      <xdr:spPr bwMode="auto">
        <a:xfrm>
          <a:off x="0" y="381000"/>
          <a:ext cx="447675" cy="1038225"/>
        </a:xfrm>
        <a:prstGeom prst="rect">
          <a:avLst/>
        </a:prstGeom>
        <a:noFill/>
        <a:ln w="9525">
          <a:noFill/>
          <a:miter lim="800000"/>
          <a:headEnd/>
          <a:tailEnd/>
        </a:ln>
      </xdr:spPr>
    </xdr:sp>
    <xdr:clientData/>
  </xdr:twoCellAnchor>
  <xdr:twoCellAnchor editAs="oneCell">
    <xdr:from>
      <xdr:col>0</xdr:col>
      <xdr:colOff>0</xdr:colOff>
      <xdr:row>482</xdr:row>
      <xdr:rowOff>0</xdr:rowOff>
    </xdr:from>
    <xdr:to>
      <xdr:col>1</xdr:col>
      <xdr:colOff>0</xdr:colOff>
      <xdr:row>483</xdr:row>
      <xdr:rowOff>333375</xdr:rowOff>
    </xdr:to>
    <xdr:sp macro="" textlink="">
      <xdr:nvSpPr>
        <xdr:cNvPr id="4880362" name="AutoShape 32" descr="caution"/>
        <xdr:cNvSpPr>
          <a:spLocks noChangeAspect="1" noChangeArrowheads="1"/>
        </xdr:cNvSpPr>
      </xdr:nvSpPr>
      <xdr:spPr bwMode="auto">
        <a:xfrm>
          <a:off x="0" y="214474425"/>
          <a:ext cx="447675" cy="1057275"/>
        </a:xfrm>
        <a:prstGeom prst="rect">
          <a:avLst/>
        </a:prstGeom>
        <a:noFill/>
        <a:ln w="9525">
          <a:noFill/>
          <a:miter lim="800000"/>
          <a:headEnd/>
          <a:tailEnd/>
        </a:ln>
      </xdr:spPr>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r:id="rId1" refreshedBy="llindsay" refreshedDate="42811.410242245373" missingItemsLimit="0" createdVersion="3" refreshedVersion="4" recordCount="10594">
  <cacheSource type="worksheet">
    <worksheetSource ref="A6:J10600" sheet="LOGBOOK VIEWER"/>
  </cacheSource>
  <cacheFields count="10">
    <cacheField name="Description/Comment" numFmtId="0">
      <sharedItems containsBlank="1"/>
    </cacheField>
    <cacheField name="Code" numFmtId="0">
      <sharedItems containsString="0" containsBlank="1" containsNumber="1" containsInteger="1" minValue="1160" maxValue="4070" count="78">
        <n v="3046"/>
        <n v="4030"/>
        <n v="3217"/>
        <n v="3051"/>
        <n v="3216"/>
        <n v="3052"/>
        <n v="3002"/>
        <n v="3001"/>
        <n v="3120"/>
        <n v="3047"/>
        <n v="3075"/>
        <n v="3187"/>
        <n v="3218"/>
        <n v="3042"/>
        <n v="3061"/>
        <n v="4035"/>
        <n v="3108"/>
        <n v="4059"/>
        <n v="3106"/>
        <n v="4025"/>
        <n v="3089"/>
        <n v="3111"/>
        <n v="3110"/>
        <n v="3112"/>
        <n v="3010"/>
        <n v="4068"/>
        <n v="3024"/>
        <n v="3004"/>
        <n v="3088"/>
        <n v="2025"/>
        <n v="2055"/>
        <n v="3016"/>
        <n v="2083"/>
        <n v="3078"/>
        <n v="3076"/>
        <n v="3080"/>
        <n v="3081"/>
        <n v="3023"/>
        <n v="3084"/>
        <n v="4050"/>
        <n v="2005"/>
        <n v="4056"/>
        <n v="1294"/>
        <n v="2076"/>
        <n v="2015"/>
        <n v="2086"/>
        <n v="2010"/>
        <n v="1160"/>
        <n v="3107"/>
        <n v="3013"/>
        <n v="4040"/>
        <n v="2030"/>
        <n v="4006"/>
        <n v="3060"/>
        <n v="3067"/>
        <n v="4070"/>
        <n v="3090"/>
        <n v="3056"/>
        <n v="3057"/>
        <n v="3058"/>
        <n v="3059"/>
        <n v="3073"/>
        <n v="3121"/>
        <n v="2000"/>
        <n v="3096"/>
        <n v="3147"/>
        <n v="3145"/>
        <n v="3007"/>
        <n v="3071"/>
        <n v="3072"/>
        <n v="3079"/>
        <n v="4065"/>
        <n v="3068"/>
        <n v="3146"/>
        <n v="3037"/>
        <n v="1255"/>
        <n v="3100"/>
        <m/>
      </sharedItems>
    </cacheField>
    <cacheField name="Type" numFmtId="0">
      <sharedItems containsBlank="1" count="4">
        <s v="INFORMATION"/>
        <s v="WARNING"/>
        <s v="ERROR"/>
        <m/>
      </sharedItems>
    </cacheField>
    <cacheField name="Date" numFmtId="0">
      <sharedItems containsNonDate="0" containsDate="1" containsString="0" containsBlank="1" minDate="2016-10-03T00:00:00" maxDate="2016-11-03T00:00:00"/>
    </cacheField>
    <cacheField name="Time" numFmtId="166">
      <sharedItems containsNonDate="0" containsDate="1" containsString="0" containsBlank="1" minDate="1899-12-30T00:04:23" maxDate="1899-12-30T23:59:27"/>
    </cacheField>
    <cacheField name="Function Area" numFmtId="0">
      <sharedItems containsBlank="1"/>
    </cacheField>
    <cacheField name="User Name" numFmtId="0">
      <sharedItems containsBlank="1" count="9">
        <s v="LHO"/>
        <m/>
        <s v="ILService"/>
        <s v="BAH"/>
        <s v="KSW"/>
        <s v="ARS"/>
        <s v="MJO"/>
        <s v="GAY"/>
        <s v="RST"/>
      </sharedItems>
    </cacheField>
    <cacheField name="Macro Area" numFmtId="0">
      <sharedItems containsBlank="1" count="8">
        <s v="SW"/>
        <s v="Fluidics"/>
        <s v="Others"/>
        <s v="LLD (Liquid Level Detection)"/>
        <m/>
        <s v="Cuvettes Movement"/>
        <s v="Barcode/Racks"/>
        <s v="ARMs"/>
      </sharedItems>
    </cacheField>
    <cacheField name="Sub Area" numFmtId="0">
      <sharedItems containsBlank="1" count="16">
        <s v="SW"/>
        <s v="Rinse Circuit"/>
        <s v="Maintenance"/>
        <s v="Materials"/>
        <s v="Missing Liquid"/>
        <s v="Applications"/>
        <s v="Host"/>
        <m/>
        <s v="Loader"/>
        <s v="Track Communication"/>
        <s v="Clean Circuit"/>
        <s v="Cuvette Waste"/>
        <s v="QC"/>
        <s v="Barcode"/>
        <s v="Waste Liquid Circuit"/>
        <s v="Coordinates"/>
      </sharedItems>
    </cacheField>
    <cacheField name="Category" numFmtId="0">
      <sharedItems containsBlank="1" count="4">
        <s v="Frequent"/>
        <m/>
        <s v="Questionable"/>
        <s v="Rare"/>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r:id="rId1" refreshedBy="llindsay" refreshedDate="42811.410242824073" missingItemsLimit="0" createdVersion="3" refreshedVersion="4" recordCount="10594">
  <cacheSource type="worksheet">
    <worksheetSource ref="A6:J10600" sheet="LOGBOOK VIEWER"/>
  </cacheSource>
  <cacheFields count="10">
    <cacheField name="Description/Comment" numFmtId="0">
      <sharedItems containsBlank="1"/>
    </cacheField>
    <cacheField name="Code" numFmtId="0">
      <sharedItems containsString="0" containsBlank="1" containsNumber="1" containsInteger="1" minValue="1160" maxValue="4070" count="78">
        <n v="3046"/>
        <n v="4030"/>
        <n v="3217"/>
        <n v="3051"/>
        <n v="3216"/>
        <n v="3052"/>
        <n v="3002"/>
        <n v="3001"/>
        <n v="3120"/>
        <n v="3047"/>
        <n v="3075"/>
        <n v="3187"/>
        <n v="3218"/>
        <n v="3042"/>
        <n v="3061"/>
        <n v="4035"/>
        <n v="3108"/>
        <n v="4059"/>
        <n v="3106"/>
        <n v="4025"/>
        <n v="3089"/>
        <n v="3111"/>
        <n v="3110"/>
        <n v="3112"/>
        <n v="3010"/>
        <n v="4068"/>
        <n v="3024"/>
        <n v="3004"/>
        <n v="3088"/>
        <n v="2025"/>
        <n v="2055"/>
        <n v="3016"/>
        <n v="2083"/>
        <n v="3078"/>
        <n v="3076"/>
        <n v="3080"/>
        <n v="3081"/>
        <n v="3023"/>
        <n v="3084"/>
        <n v="4050"/>
        <n v="2005"/>
        <n v="4056"/>
        <n v="1294"/>
        <n v="2076"/>
        <n v="2015"/>
        <n v="2086"/>
        <n v="2010"/>
        <n v="1160"/>
        <n v="3107"/>
        <n v="3013"/>
        <n v="4040"/>
        <n v="2030"/>
        <n v="4006"/>
        <n v="3060"/>
        <n v="3067"/>
        <n v="4070"/>
        <n v="3090"/>
        <n v="3056"/>
        <n v="3057"/>
        <n v="3058"/>
        <n v="3059"/>
        <n v="3073"/>
        <n v="3121"/>
        <n v="2000"/>
        <n v="3096"/>
        <n v="3147"/>
        <n v="3145"/>
        <n v="3007"/>
        <n v="3071"/>
        <n v="3072"/>
        <n v="3079"/>
        <n v="4065"/>
        <n v="3068"/>
        <n v="3146"/>
        <n v="3037"/>
        <n v="1255"/>
        <n v="3100"/>
        <m/>
      </sharedItems>
    </cacheField>
    <cacheField name="Type" numFmtId="0">
      <sharedItems containsBlank="1" count="4">
        <s v="INFORMATION"/>
        <s v="WARNING"/>
        <s v="ERROR"/>
        <m/>
      </sharedItems>
    </cacheField>
    <cacheField name="Date" numFmtId="0">
      <sharedItems containsNonDate="0" containsDate="1" containsString="0" containsBlank="1" minDate="2016-10-03T00:00:00" maxDate="2016-11-03T00:00:00" count="28">
        <d v="2016-10-03T00:00:00"/>
        <d v="2016-10-04T00:00:00"/>
        <d v="2016-10-05T00:00:00"/>
        <d v="2016-10-06T00:00:00"/>
        <d v="2016-10-07T00:00:00"/>
        <d v="2016-10-08T00:00:00"/>
        <d v="2016-10-10T00:00:00"/>
        <d v="2016-10-11T00:00:00"/>
        <d v="2016-10-12T00:00:00"/>
        <d v="2016-10-13T00:00:00"/>
        <d v="2016-10-14T00:00:00"/>
        <d v="2016-10-15T00:00:00"/>
        <d v="2016-10-16T00:00:00"/>
        <d v="2016-10-17T00:00:00"/>
        <d v="2016-10-18T00:00:00"/>
        <d v="2016-10-19T00:00:00"/>
        <d v="2016-10-20T00:00:00"/>
        <d v="2016-10-21T00:00:00"/>
        <d v="2016-10-25T00:00:00"/>
        <d v="2016-10-26T00:00:00"/>
        <d v="2016-10-27T00:00:00"/>
        <d v="2016-10-28T00:00:00"/>
        <d v="2016-10-29T00:00:00"/>
        <d v="2016-10-30T00:00:00"/>
        <d v="2016-10-31T00:00:00"/>
        <d v="2016-11-01T00:00:00"/>
        <d v="2016-11-02T00:00:00"/>
        <m/>
      </sharedItems>
    </cacheField>
    <cacheField name="Time" numFmtId="166">
      <sharedItems containsNonDate="0" containsDate="1" containsString="0" containsBlank="1" minDate="1899-12-30T00:04:23" maxDate="1899-12-30T23:59:27"/>
    </cacheField>
    <cacheField name="Function Area" numFmtId="0">
      <sharedItems containsBlank="1"/>
    </cacheField>
    <cacheField name="User Name" numFmtId="0">
      <sharedItems containsBlank="1" count="9">
        <s v="LHO"/>
        <m/>
        <s v="ILService"/>
        <s v="BAH"/>
        <s v="KSW"/>
        <s v="ARS"/>
        <s v="MJO"/>
        <s v="GAY"/>
        <s v="RST"/>
      </sharedItems>
    </cacheField>
    <cacheField name="Macro Area" numFmtId="0">
      <sharedItems containsBlank="1" count="8">
        <s v="SW"/>
        <s v="Fluidics"/>
        <s v="Others"/>
        <s v="LLD (Liquid Level Detection)"/>
        <m/>
        <s v="Cuvettes Movement"/>
        <s v="Barcode/Racks"/>
        <s v="ARMs"/>
      </sharedItems>
    </cacheField>
    <cacheField name="Sub Area" numFmtId="0">
      <sharedItems containsBlank="1" count="16">
        <s v="SW"/>
        <s v="Rinse Circuit"/>
        <s v="Maintenance"/>
        <s v="Materials"/>
        <s v="Missing Liquid"/>
        <s v="Applications"/>
        <s v="Host"/>
        <m/>
        <s v="Loader"/>
        <s v="Track Communication"/>
        <s v="Clean Circuit"/>
        <s v="Cuvette Waste"/>
        <s v="QC"/>
        <s v="Barcode"/>
        <s v="Waste Liquid Circuit"/>
        <s v="Coordinates"/>
      </sharedItems>
    </cacheField>
    <cacheField name="Category" numFmtId="0">
      <sharedItems containsBlank="1" count="4">
        <s v="Frequent"/>
        <m/>
        <s v="Questionable"/>
        <s v="Rare"/>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r:id="rId1" refreshOnLoad="1" refreshedBy="llindsay" refreshedDate="42811.41278402778" missingItemsLimit="0" createdVersion="3" refreshedVersion="4" recordCount="587">
  <cacheSource type="worksheet">
    <worksheetSource ref="A1:K588" sheet="Messages Dictionary"/>
  </cacheSource>
  <cacheFields count="11">
    <cacheField name="Code" numFmtId="164">
      <sharedItems containsSemiMixedTypes="0" containsString="0" containsNumber="1" containsInteger="1" minValue="0" maxValue="10004" count="587">
        <n v="0"/>
        <n v="5"/>
        <n v="7"/>
        <n v="8"/>
        <n v="9"/>
        <n v="10"/>
        <n v="11"/>
        <n v="12"/>
        <n v="13"/>
        <n v="14"/>
        <n v="15"/>
        <n v="16"/>
        <n v="17"/>
        <n v="18"/>
        <n v="19"/>
        <n v="20"/>
        <n v="21"/>
        <n v="22"/>
        <n v="25"/>
        <n v="30"/>
        <n v="31"/>
        <n v="32"/>
        <n v="33"/>
        <n v="34"/>
        <n v="35"/>
        <n v="36"/>
        <n v="37"/>
        <n v="38"/>
        <n v="39"/>
        <n v="40"/>
        <n v="41"/>
        <n v="42"/>
        <n v="43"/>
        <n v="44"/>
        <n v="45"/>
        <n v="46"/>
        <n v="47"/>
        <n v="48"/>
        <n v="49"/>
        <n v="50"/>
        <n v="51"/>
        <n v="52"/>
        <n v="53"/>
        <n v="54"/>
        <n v="56"/>
        <n v="57"/>
        <n v="58"/>
        <n v="59"/>
        <n v="60"/>
        <n v="61"/>
        <n v="62"/>
        <n v="63"/>
        <n v="65"/>
        <n v="66"/>
        <n v="67"/>
        <n v="68"/>
        <n v="70"/>
        <n v="71"/>
        <n v="72"/>
        <n v="73"/>
        <n v="75"/>
        <n v="76"/>
        <n v="77"/>
        <n v="78"/>
        <n v="80"/>
        <n v="81"/>
        <n v="82"/>
        <n v="83"/>
        <n v="84"/>
        <n v="85"/>
        <n v="86"/>
        <n v="1001"/>
        <n v="1002"/>
        <n v="1003"/>
        <n v="1004"/>
        <n v="1005"/>
        <n v="1006"/>
        <n v="1007"/>
        <n v="1008"/>
        <n v="1009"/>
        <n v="1010"/>
        <n v="1011"/>
        <n v="1012"/>
        <n v="1013"/>
        <n v="1014"/>
        <n v="1015"/>
        <n v="1016"/>
        <n v="1017"/>
        <n v="1018"/>
        <n v="1019"/>
        <n v="1020"/>
        <n v="1021"/>
        <n v="1022"/>
        <n v="1023"/>
        <n v="1024"/>
        <n v="1025"/>
        <n v="1026"/>
        <n v="1027"/>
        <n v="1028"/>
        <n v="1029"/>
        <n v="1031"/>
        <n v="1032"/>
        <n v="1033"/>
        <n v="1034"/>
        <n v="1035"/>
        <n v="1036"/>
        <n v="1037"/>
        <n v="1038"/>
        <n v="1039"/>
        <n v="1040"/>
        <n v="1041"/>
        <n v="1042"/>
        <n v="1043"/>
        <n v="1044"/>
        <n v="1045"/>
        <n v="1046"/>
        <n v="1047"/>
        <n v="1048"/>
        <n v="1049"/>
        <n v="1050"/>
        <n v="1100"/>
        <n v="1105"/>
        <n v="1110"/>
        <n v="1111"/>
        <n v="1115"/>
        <n v="1116"/>
        <n v="1117"/>
        <n v="1118"/>
        <n v="1120"/>
        <n v="1125"/>
        <n v="1130"/>
        <n v="1131"/>
        <n v="1132"/>
        <n v="1133"/>
        <n v="1134"/>
        <n v="1135"/>
        <n v="1136"/>
        <n v="1137"/>
        <n v="1138"/>
        <n v="1139"/>
        <n v="1140"/>
        <n v="1141"/>
        <n v="1142"/>
        <n v="1143"/>
        <n v="1144"/>
        <n v="1145"/>
        <n v="1146"/>
        <n v="1151"/>
        <n v="1152"/>
        <n v="1153"/>
        <n v="1154"/>
        <n v="1155"/>
        <n v="1156"/>
        <n v="1157"/>
        <n v="1158"/>
        <n v="1160"/>
        <n v="1161"/>
        <n v="1165"/>
        <n v="1166"/>
        <n v="1170"/>
        <n v="1175"/>
        <n v="1176"/>
        <n v="1177"/>
        <n v="1178"/>
        <n v="1180"/>
        <n v="1181"/>
        <n v="1182"/>
        <n v="1183"/>
        <n v="1185"/>
        <n v="1186"/>
        <n v="1187"/>
        <n v="1188"/>
        <n v="1190"/>
        <n v="1191"/>
        <n v="1200"/>
        <n v="1201"/>
        <n v="1202"/>
        <n v="1203"/>
        <n v="1205"/>
        <n v="1206"/>
        <n v="1207"/>
        <n v="1208"/>
        <n v="1209"/>
        <n v="1210"/>
        <n v="1215"/>
        <n v="1220"/>
        <n v="1221"/>
        <n v="1236"/>
        <n v="1237"/>
        <n v="1238"/>
        <n v="1239"/>
        <n v="1240"/>
        <n v="1241"/>
        <n v="1243"/>
        <n v="1244"/>
        <n v="1245"/>
        <n v="1246"/>
        <n v="1247"/>
        <n v="1248"/>
        <n v="1249"/>
        <n v="1250"/>
        <n v="1251"/>
        <n v="1252"/>
        <n v="1253"/>
        <n v="1254"/>
        <n v="1255"/>
        <n v="1256"/>
        <n v="1257"/>
        <n v="1258"/>
        <n v="1259"/>
        <n v="1260"/>
        <n v="1261"/>
        <n v="1262"/>
        <n v="1263"/>
        <n v="1264"/>
        <n v="1265"/>
        <n v="1266"/>
        <n v="1267"/>
        <n v="1268"/>
        <n v="1269"/>
        <n v="1270"/>
        <n v="1271"/>
        <n v="1272"/>
        <n v="1273"/>
        <n v="1274"/>
        <n v="1275"/>
        <n v="1276"/>
        <n v="1277"/>
        <n v="1278"/>
        <n v="1279"/>
        <n v="1280"/>
        <n v="1281"/>
        <n v="1282"/>
        <n v="1283"/>
        <n v="1284"/>
        <n v="1285"/>
        <n v="1286"/>
        <n v="1292"/>
        <n v="1293"/>
        <n v="1294"/>
        <n v="1295"/>
        <n v="1296"/>
        <n v="1297"/>
        <n v="1313"/>
        <n v="1314"/>
        <n v="1315"/>
        <n v="1316"/>
        <n v="1317"/>
        <n v="1318"/>
        <n v="1319"/>
        <n v="1320"/>
        <n v="1321"/>
        <n v="1322"/>
        <n v="1323"/>
        <n v="1324"/>
        <n v="1325"/>
        <n v="1326"/>
        <n v="1327"/>
        <n v="1328"/>
        <n v="1329"/>
        <n v="1330"/>
        <n v="1331"/>
        <n v="1332"/>
        <n v="1333"/>
        <n v="1334"/>
        <n v="1335"/>
        <n v="1336"/>
        <n v="1341"/>
        <n v="1342"/>
        <n v="1343"/>
        <n v="1344"/>
        <n v="1345"/>
        <n v="1346"/>
        <n v="1347"/>
        <n v="1348"/>
        <n v="1349"/>
        <n v="1350"/>
        <n v="1351"/>
        <n v="1352"/>
        <n v="1353"/>
        <n v="1354"/>
        <n v="1355"/>
        <n v="1356"/>
        <n v="1357"/>
        <n v="1358"/>
        <n v="1359"/>
        <n v="1360"/>
        <n v="1361"/>
        <n v="1362"/>
        <n v="1363"/>
        <n v="1364"/>
        <n v="1365"/>
        <n v="1366"/>
        <n v="1367"/>
        <n v="1368"/>
        <n v="1369"/>
        <n v="1370"/>
        <n v="1371"/>
        <n v="1372"/>
        <n v="1373"/>
        <n v="1374"/>
        <n v="1375"/>
        <n v="1376"/>
        <n v="1377"/>
        <n v="1378"/>
        <n v="1379"/>
        <n v="1380"/>
        <n v="1381"/>
        <n v="1382"/>
        <n v="1383"/>
        <n v="1384"/>
        <n v="1385"/>
        <n v="1386"/>
        <n v="1387"/>
        <n v="1388"/>
        <n v="1389"/>
        <n v="1390"/>
        <n v="1391"/>
        <n v="1392"/>
        <n v="1393"/>
        <n v="1394"/>
        <n v="1395"/>
        <n v="1396"/>
        <n v="1397"/>
        <n v="1398"/>
        <n v="1399"/>
        <n v="1400"/>
        <n v="1401"/>
        <n v="1402"/>
        <n v="1403"/>
        <n v="1404"/>
        <n v="1405"/>
        <n v="1406"/>
        <n v="1407"/>
        <n v="1408"/>
        <n v="1409"/>
        <n v="1410"/>
        <n v="1411"/>
        <n v="1412"/>
        <n v="1413"/>
        <n v="1414"/>
        <n v="1415"/>
        <n v="1416"/>
        <n v="1417"/>
        <n v="1418"/>
        <n v="1419"/>
        <n v="1420"/>
        <n v="1421"/>
        <n v="1422"/>
        <n v="1423"/>
        <n v="1424"/>
        <n v="1425"/>
        <n v="1426"/>
        <n v="1427"/>
        <n v="1428"/>
        <n v="1429"/>
        <n v="1430"/>
        <n v="1431"/>
        <n v="1432"/>
        <n v="1433"/>
        <n v="1434"/>
        <n v="1435"/>
        <n v="1436"/>
        <n v="1437"/>
        <n v="1438"/>
        <n v="1439"/>
        <n v="1440"/>
        <n v="2000"/>
        <n v="2005"/>
        <n v="2006"/>
        <n v="2010"/>
        <n v="2015"/>
        <n v="2020"/>
        <n v="2025"/>
        <n v="2030"/>
        <n v="2035"/>
        <n v="2040"/>
        <n v="2045"/>
        <n v="2046"/>
        <n v="2055"/>
        <n v="2074"/>
        <n v="2075"/>
        <n v="2076"/>
        <n v="2077"/>
        <n v="2080"/>
        <n v="2081"/>
        <n v="2082"/>
        <n v="2083"/>
        <n v="2084"/>
        <n v="2085"/>
        <n v="2086"/>
        <n v="2087"/>
        <n v="2091"/>
        <n v="2092"/>
        <n v="2093"/>
        <n v="2094"/>
        <n v="3001"/>
        <n v="3002"/>
        <n v="3003"/>
        <n v="3004"/>
        <n v="3005"/>
        <n v="3006"/>
        <n v="3007"/>
        <n v="3008"/>
        <n v="3009"/>
        <n v="3010"/>
        <n v="3011"/>
        <n v="3012"/>
        <n v="3013"/>
        <n v="3014"/>
        <n v="3015"/>
        <n v="3016"/>
        <n v="3017"/>
        <n v="3018"/>
        <n v="3019"/>
        <n v="3020"/>
        <n v="3021"/>
        <n v="3022"/>
        <n v="3023"/>
        <n v="3024"/>
        <n v="3025"/>
        <n v="3026"/>
        <n v="3027"/>
        <n v="3028"/>
        <n v="3029"/>
        <n v="3030"/>
        <n v="3031"/>
        <n v="3032"/>
        <n v="3033"/>
        <n v="3034"/>
        <n v="3035"/>
        <n v="3036"/>
        <n v="3037"/>
        <n v="3038"/>
        <n v="3039"/>
        <n v="3040"/>
        <n v="3041"/>
        <n v="3042"/>
        <n v="3043"/>
        <n v="3044"/>
        <n v="3045"/>
        <n v="3046"/>
        <n v="3047"/>
        <n v="3048"/>
        <n v="3049"/>
        <n v="3050"/>
        <n v="3051"/>
        <n v="3052"/>
        <n v="3053"/>
        <n v="3054"/>
        <n v="3055"/>
        <n v="3056"/>
        <n v="3057"/>
        <n v="3058"/>
        <n v="3059"/>
        <n v="3060"/>
        <n v="3061"/>
        <n v="3062"/>
        <n v="3063"/>
        <n v="3064"/>
        <n v="3065"/>
        <n v="3066"/>
        <n v="3067"/>
        <n v="3068"/>
        <n v="3069"/>
        <n v="3070"/>
        <n v="3071"/>
        <n v="3072"/>
        <n v="3073"/>
        <n v="3074"/>
        <n v="3075"/>
        <n v="3076"/>
        <n v="3077"/>
        <n v="3078"/>
        <n v="3079"/>
        <n v="3080"/>
        <n v="3081"/>
        <n v="3082"/>
        <n v="3083"/>
        <n v="3084"/>
        <n v="3085"/>
        <n v="3086"/>
        <n v="3087"/>
        <n v="3088"/>
        <n v="3089"/>
        <n v="3090"/>
        <n v="3091"/>
        <n v="3092"/>
        <n v="3093"/>
        <n v="3094"/>
        <n v="3095"/>
        <n v="3096"/>
        <n v="3097"/>
        <n v="3098"/>
        <n v="3099"/>
        <n v="3100"/>
        <n v="3101"/>
        <n v="3102"/>
        <n v="3103"/>
        <n v="3104"/>
        <n v="3105"/>
        <n v="3106"/>
        <n v="3107"/>
        <n v="3108"/>
        <n v="3109"/>
        <n v="3110"/>
        <n v="3111"/>
        <n v="3112"/>
        <n v="3120"/>
        <n v="3130"/>
        <n v="3131"/>
        <n v="3132"/>
        <n v="3140"/>
        <n v="3141"/>
        <n v="3142"/>
        <n v="3145"/>
        <n v="3146"/>
        <n v="3147"/>
        <n v="3161"/>
        <n v="3164"/>
        <n v="3165"/>
        <n v="3166"/>
        <n v="3167"/>
        <n v="3168"/>
        <n v="3169"/>
        <n v="3180"/>
        <n v="3181"/>
        <n v="3182"/>
        <n v="3183"/>
        <n v="3184"/>
        <n v="3185"/>
        <n v="3186"/>
        <n v="3187"/>
        <n v="3200"/>
        <n v="3201"/>
        <n v="3202"/>
        <n v="3211"/>
        <n v="3212"/>
        <n v="3213"/>
        <n v="3214"/>
        <n v="3215"/>
        <n v="3216"/>
        <n v="3217"/>
        <n v="4000"/>
        <n v="4004"/>
        <n v="4005"/>
        <n v="4006"/>
        <n v="4007"/>
        <n v="4015"/>
        <n v="4020"/>
        <n v="4025"/>
        <n v="4030"/>
        <n v="4035"/>
        <n v="4040"/>
        <n v="4050"/>
        <n v="4051"/>
        <n v="4052"/>
        <n v="4053"/>
        <n v="4054"/>
        <n v="4055"/>
        <n v="4056"/>
        <n v="4057"/>
        <n v="4058"/>
        <n v="4059"/>
        <n v="4060"/>
        <n v="4061"/>
        <n v="4062"/>
        <n v="4063"/>
        <n v="5000"/>
        <n v="5002"/>
        <n v="5090"/>
        <n v="5100"/>
        <n v="5190"/>
        <n v="5191"/>
        <n v="5192"/>
        <n v="5568"/>
        <n v="5650"/>
        <n v="5651"/>
        <n v="5660"/>
        <n v="5700"/>
        <n v="5701"/>
        <n v="5702"/>
        <n v="5703"/>
        <n v="10000"/>
        <n v="10002"/>
        <n v="10003"/>
        <n v="10004"/>
      </sharedItems>
    </cacheField>
    <cacheField name="Message" numFmtId="0">
      <sharedItems count="411">
        <s v="Analyzer / Control Module loss of communication."/>
        <s v="Master controller failure."/>
        <s v="&lt;Arm&gt; Arm controller initialization failure."/>
        <s v="Sample Arm controller initialization failure."/>
        <s v="Intermediate Reagent Arm controller initialization failure."/>
        <s v="Start Reagent Arm controller initialization failure."/>
        <s v="Cuvettes controller initialization failure."/>
        <s v="Racks controller initialization failure."/>
        <s v="Optical Reading Units controller initialization failure."/>
        <s v="&lt;Arm&gt; Arm Controller software error."/>
        <s v="Master Controller software error."/>
        <s v="Cuvettes Controller software error."/>
        <s v="Racks Controller software error."/>
        <s v="Optical Reading Units Controller software error."/>
        <s v="Sample Arm Controller software error."/>
        <s v="Analyzer internal communication error."/>
        <s v="Intermediate Reagent Arm Controller software error."/>
        <s v="Start Reagent Arm Controller software error."/>
        <s v="Rack-Cuvette Controller software error."/>
        <s v="Interrupted communication between the Analyzer and the Control Module."/>
        <s v="Downloaded controller Software version (&lt;Downloaded File Name&gt;) is different than Software version actually used by AM (&lt;Used File Name&gt;)."/>
        <s v="Interface Module upgrade failed."/>
        <s v="Incompatible IM software version"/>
        <s v="Incompatible AM Master software version. Detected interface version &lt;Interface Version&gt; and expected &lt;Interface Version&gt;."/>
        <s v="Incompatible &lt;Controller Name&gt; controller version."/>
        <s v="Material &lt;Material Name&gt; not dispensed."/>
        <s v="&lt;Arm&gt; Arm failure."/>
        <s v="&lt;Syringe&gt; Syringe failure."/>
        <s v="The Optical Reading Unit &lt;ORU ID&gt; has been disabled."/>
        <s v="Optical reading units voltage control failure."/>
        <s v="Arm communication error."/>
        <s v="Cuvettes incubator No. 1 temperature control failure."/>
        <s v="Cuvettes incubator No. 2 temperature control failure."/>
        <s v="Optical reading unit No. 1 temperature control failure."/>
        <s v="Optical reading unit No. 2 temperature control failure."/>
        <s v="Optical reading unit No. 3 temperature control failure."/>
        <s v="Optical reading unit No. 4 temperature control failure."/>
        <s v="Cuvette shuttle temperature control failure."/>
        <s v="Reagent area temperature control failure."/>
        <s v="Optical reading units data acquisition control failure."/>
        <s v="Arm &lt;Arm&gt; controller failure"/>
        <s v="Sample Arm controller failure."/>
        <s v="Intermediate Reagent Arm controller failure."/>
        <s v="Start Reagent Arm controller failure."/>
        <s v="Cuvettes controller failure."/>
        <s v="Racks controller failure."/>
        <s v="Optical Reading Units controller failure."/>
        <s v="Rack-Cuvette controller failure."/>
        <s v="&lt;Arm&gt; Arm controller failure."/>
        <s v="&lt;Arm&gt; Arm controller voltage out of range."/>
        <s v="Sample Arm controller voltage out of range."/>
        <s v="Intermediate Reagent Arm controller voltage out of range."/>
        <s v="Start Reagent Arm controller voltage out of range."/>
        <s v="Cuvettes controller voltage out of range."/>
        <s v="Racks controller voltage out of range."/>
        <s v="Optical Reading Units controller voltage out of range."/>
        <s v="Rack-Cuvette controller voltage out of range."/>
        <s v="Arm &lt;Arm&gt; coordinates error or CTS foot coordinates error."/>
        <s v="Wash station coordinates error"/>
        <s v="Arm &lt;Arm&gt; coordinate adjust required."/>
        <s v="Missing coordinates of aspiration point in track."/>
        <s v="Invalid system configuration."/>
        <s v="Sample probe pre-heater temperature control failure."/>
        <s v="Reagent 1 probe pre-heater temperature control failure."/>
        <s v="Reagent 2 probe pre-heater temperature control failure."/>
        <s v="CTS sample probe pre-heater temperature control failure."/>
        <s v="&lt;Probe&gt; probe temperature control failure."/>
        <s v="Reagent 1 probe temperature control failure."/>
        <s v="Reagent 2 probe temperature control failure."/>
        <s v="CTS sample probe temperature control failure."/>
        <s v="Sample arm clean fluid valve failure."/>
        <s v="Reagent arm 1 clean fluid valve failure."/>
        <s v="Reagent arm 2 clean fluid valve failure."/>
        <s v="CTS sample arm clean fluid valve failure."/>
        <s v="Sample clean pump failure."/>
        <s v="Reagent clean pump failure."/>
        <s v="Sample rinse pump failure."/>
        <s v="Reagent arm 1 rinse pump failure."/>
        <s v="Reagent arm 2 rinse pump failure."/>
        <s v="CTS sample arm rinse pump failure."/>
        <s v="Waste pump failure."/>
        <s v="Coordinate File Saving Failure."/>
        <s v="ORU Stored Reading File Saving Failure."/>
        <s v="CTS sample arm air pump failure."/>
        <s v="CTS Failed to Enter Deep wash"/>
        <s v="Cuvette waste level sensor failure."/>
        <s v="Unable to empty internal waste reservoir."/>
        <s v="Reagent stirring failure."/>
        <s v="Reagent stirring failure in position &lt;rack position #&gt;, track # &lt;rack track #&gt;."/>
        <s v="Cuvette Pivot Arm failure."/>
        <s v="Cuvette indexer motor failure."/>
        <s v="Cuvette Loader Failure."/>
        <s v="Cleaning solution low in clean well."/>
        <s v="Probe &lt;arm&gt; Clean priming failure "/>
        <s v="Cuvettes shuttle movement failure."/>
        <s v="Cuvette waste accumulator unable to empty."/>
        <s v="Bar code reader movement failure."/>
        <s v="All the Optical Reading Units are disabled.   Analysis cannot be performed."/>
        <s v="Flush memory failure."/>
        <s v="Cuvettes accumulator failure."/>
        <s v="Sample probe temperature or dispense temperature out of range."/>
        <s v="Reagent arm 1 probe temperature or dispense temperature out of range."/>
        <s v="Reagent arm 2 probe temperature or dispense temperature out of range."/>
        <s v="Sample probe pre-heater temperature out of range."/>
        <s v="Reagent arm 1 probe pre-heater temperature out of range."/>
        <s v="Reagent arm 2 probe pre-heater temperature out of range."/>
        <s v="Reagent area temperature out of range."/>
        <s v="Cuvette shuttle temperature out of range."/>
        <s v="Optical reading units reference readings out of range for ORU &lt;ORU ID&gt;."/>
        <s v="Optical reading unit &lt;ORU ID&gt; dark readings too high."/>
        <s v="Optical reading units readings too noisy for ORU &lt;ORU ID&gt;."/>
        <s v="Optical reading unit &lt;ORU ID&gt; readings out of range."/>
        <s v="Probe &lt;Arm&gt; Rinse Flow Test Failure."/>
        <s v="Optical reading unit raw data calculation error."/>
        <s v="Air read drift detected for ORU# &lt;ORU ID&gt; Channel# &lt;CHAN ID&gt; Wavelength# &lt;WAVE ID&gt; Drift percentage &lt;DRIFT PERCENTAGE&gt;"/>
        <s v="Probe &lt;probe name&gt; Liquid Level Detection error."/>
        <s v="Probe &lt;probe name&gt; dispense error."/>
        <s v="Probe &lt;arm&gt; liquid level detection error in LAS track."/>
        <s v="Probe &lt;probe name&gt; Liquid Level Detection error in cuvette position &lt;X&gt;, slot &lt;YY&gt;."/>
        <s v="Probe 1 Liquid Level Detection error in well position 2."/>
        <s v="Air read out of range for ORU# &lt;ORU ID&gt; Channel# &lt;CHAN ID&gt; Wavelength# &lt;WAVE ID&gt; Reading: &lt;ORU READING&gt;"/>
        <s v="Bar code reader invalid message format."/>
        <s v="RS232 transmit hardware error."/>
        <s v="Failed to load cuvette clip at the indexer."/>
        <s v="Failed to place cuvette clip in position for pickup."/>
        <s v="Pivot arm did not move to the up position."/>
        <s v="Pivot arm did not move to the down position."/>
        <s v="Cuvette strip not in shuttle after pick up operation."/>
        <s v="No cuvette strip in shuttle to drop off."/>
        <s v="Missing cuvette strip in slot for pick up."/>
        <s v="Cuvette shuttle is full."/>
        <s v="Cuvette not released into slot."/>
        <s v="Invalid position to drop off a cuvette."/>
        <s v="Cuvette not present to pickup."/>
        <s v="Cuvette destination position full."/>
        <s v="Cannot pickup from waste."/>
        <s v="Cannot drop off at loader."/>
        <s v="Cuvette load operation too slow."/>
        <s v="Cuvette slot found too early."/>
        <s v="Gripper back sensor still active."/>
        <s v="Gripper back sensor not found."/>
        <s v="Gripper forward sensor still active."/>
        <s v="Gripper forward sensor not found."/>
        <s v="Cuvette waste tray did not dump."/>
        <s v="Cuvette waste tray not ready to receive cuvettes."/>
        <s v="Probe &lt;arm&gt; liquid level detection error in LAS arm cover aspiration point."/>
        <s v="X, Y or Z Axis - Invalid Profile Parameter"/>
        <s v="X, Y or Z Axis - Speed Exceeds Profile Maximum"/>
        <s v="X, Y or Z Axis - Cannot Process Steps Required"/>
        <s v="X, Y or Z Axis - Selected Profile Is Invalid"/>
        <s v="X, Y or Z Axis - Move Took Too Long To Complete"/>
        <s v="X, Y or Z Axis - Movement Generates Too Many Steps"/>
        <s v="X, Y or Z Axis - Invalid Limit State While Homing"/>
        <s v="X, Y or Z Axis - Limit Detected During Move"/>
        <s v="X, Y or Z Axis - Slippage Detected"/>
        <s v="X, Y or Z Axis - Cannot Store More Ramps"/>
        <s v="X, Y or Z Axis - Motor Stalled"/>
        <s v="X, Y or Z Axis - Operation Timeout"/>
        <s v="X, Y or Z Axis - Operation Failed"/>
        <s v="Tube Release Procedure Failed"/>
        <s v="Sensor Or Motor Failure Caused Latch Offset Measurement To Fail"/>
        <s v="LLD Hardware Failure"/>
        <s v="Piercer Was Not in the Expected State"/>
        <s v="Z Axis - Power DAC failed"/>
        <s v="Syringe Is Always Busy"/>
        <s v="Syringe Took Too Long To Respond"/>
        <s v="Syringe Could Not Be Initialized"/>
        <s v="Syringe Does Not Understand The Command"/>
        <s v="Syringe Command Parameter Is Invalid"/>
        <s v="Syringe Must Be Initialized"/>
        <s v="Syringe Plunger Is Overloaded"/>
        <s v="Syringe Valve Is Overloaded"/>
        <s v="Syringe Move Is Not Permitted"/>
        <s v="Syringe Error With Unknown Source"/>
        <s v="Error Communicating With The Syringe"/>
        <s v="Syringe Hardware Malfunction"/>
        <s v="Arm failure."/>
        <s v="CTS piercer lock not locked."/>
        <s v="CTS probe mode switch failure."/>
        <s v="Cannot switch CTS between piercing and sample mode"/>
        <s v="Location unreachable by &lt;Probe&gt;, track # &lt;rack&gt;, position &lt;Position&gt;"/>
        <s v="Probe &lt;probe name&gt; unexpected liquid level in rack position &lt;X&gt;, track &lt;YY&gt;."/>
        <s v="Probe &lt;probe name&gt; unexpected liquid level in cuvette position &lt;X&gt;,  slot&lt;YY&gt;."/>
        <s v="Probe &lt;Probe name&gt; unexpected liquid level in well position &lt;well pos&gt;."/>
        <s v="Probe &lt;probe name&gt; pre aspiration baseline check failure in rack position &lt;X&gt;, track &lt;YY&gt;."/>
        <s v="Probe &lt;probe name&gt; pre aspiration baseline check failure in cuvette position &lt;X&gt;, slot &lt;YY&gt;."/>
        <s v="Probe &lt;probe name&gt; pre aspiration baseline check failure in well position &lt;well pos&gt;."/>
        <s v="Probe &lt;probe name&gt; aspiration baseline check failure in rack position &lt;X&gt;, track &lt;YY&gt;."/>
        <s v="Probe &lt;probe name&gt; aspiration baseline check failure in cuvette position &lt;X&gt;, slot &lt;YY&gt;."/>
        <s v="Probe &lt;Probe name&gt; aspiration baseline check failure in well position &lt;well pos&gt;."/>
        <s v="Probe &lt;probe name&gt; post aspiration baseline check failure in rack position &lt;X&gt;, track &lt;YY&gt;."/>
        <s v="Probe &lt;probe name&gt; post aspiration baseline check failure in cuvette position &lt;X&gt;, slot &lt;YY&gt;."/>
        <s v="Probe &lt;Probe name&gt; post aspiration baseline check failure in well position &lt;well pos&gt;."/>
        <s v="Probe &lt;arm&gt; unexpected liquid level in LAS track."/>
        <s v="Probe &lt;arm&gt; pre- aspiration baseline check failure in LAS track."/>
        <s v="Probe &lt;arm&gt; aspiration baseline check failure in LAS track."/>
        <s v="Probe &lt;arm&gt; post aspiration baseline check failure in LAS track."/>
        <s v="Probe &lt;arm&gt; unexpected liquid level in LAS arm cover aspiration point."/>
        <s v="Probe &lt;arm&gt; pre aspiration baseline check failure in LAS arm cover aspiration point."/>
        <s v="Probe &lt;arm&gt; aspiration baseline check failure in LAS arm cover aspiration point."/>
        <s v="Probe &lt;arm&gt; post aspiration baseline check failure in LAS arm cover aspiration point."/>
        <s v="&lt;Probe&gt; probe communications failure."/>
        <s v="Probe &lt;Probe&gt; unexpected clean level in rack position &lt;X&gt;, track &lt;YY&gt;."/>
        <s v="Rinse solution bottle empty."/>
        <s v="Waste tank full."/>
        <s v="Cannot empty waste into container."/>
        <s v="&lt;Cover ID&gt; open."/>
        <s v="Clean solution bottle empty."/>
        <s v="Cuvette load area empty."/>
        <s v="Cuvettes waste drawer missing."/>
        <s v="Cuvette waste full"/>
        <s v="Cuvettes strip drop off failure in position &lt;cuvette slot ID&gt;."/>
        <s v="Cuvettes strip positioning failure."/>
        <s v="Cuvette strip pickup failure in position &lt;cuvette slot ID&gt;."/>
        <s v="Clean vial empty."/>
        <s v="Insufficient volume in track # &lt;track ID&gt;, position &lt;rack position #&gt;."/>
        <s v="Insufficient sample volume in LAS track."/>
        <s v="Insufficient liquid in cuvette &lt;cuvette slot ID&gt; well &lt;well position&gt;."/>
        <s v="Probe &lt;Arm&gt;: insufficient volume in clean cup."/>
        <s v="Insufficient volume in LAS arm cover aspiration point."/>
        <s v="Unrecoverable scheduling time violation."/>
        <s v="Rack in &lt;Track ID&gt; slot unplugged."/>
        <s v="ORU Air Calibration data not available for ORU &lt;ORU ID&gt;."/>
        <s v="&lt;Material name&gt; insufficient volume."/>
        <s v="An invalid blanking value has been accepted for ORU &lt;ORU ID&gt; (Value = &lt;VALUE&gt;).  The ORU will be automatically disabled."/>
        <s v="ORU Factor Diluent Calibration data not available for ORU &lt;ORU ID&gt;."/>
        <s v="Maintenance activity interrupted: &lt;Maintenance Activity&gt;"/>
        <s v="Maximum number of tests allowed per run exceeded."/>
        <s v="CTS Filter missing."/>
        <s v="Air presser sensor not operating correctly."/>
        <s v="Not enough free disk space."/>
        <s v="The default file path for the log files does not exist and cannot be created."/>
        <s v="&lt;Material name&gt; volume low."/>
        <s v="&lt;Material name&gt; on-board stability low."/>
        <s v="&lt;Material name&gt; close to expiration."/>
        <s v="Non-identified Material in rack &lt;rack ID&gt; position &lt;rack position #&gt; track # &lt;rack track #&gt;."/>
        <s v="Unknown material in rack &lt;rack ID&gt; position &lt;rack position #&gt; track # &lt;rack track #&gt;."/>
        <s v="New bottle type (&lt;material name&gt; in rack &lt;rack ID&gt; position &lt;rack position #&gt; track # &lt;rack track #&gt;)."/>
        <s v="Unknown lot (&lt;material name&gt; in rack &lt;rack ID&gt; position &lt;rack position #&gt; track # &lt;rack track #&gt;)."/>
        <s v="&lt;Material name&gt; new vial identified in rack &lt;rack ID&gt; position &lt;rack position #&gt; track # &lt;rack track #&gt;."/>
        <s v="Placement error (&lt;material name&gt; in rack &lt;rack ID&gt; position &lt;rack position #&gt; track # &lt;rack track #&gt;)."/>
        <s v="Placement error (&lt;material name&gt; in &lt;rack ID&gt; position &lt;rack position #&gt; track # &lt;rack track #&gt;)."/>
        <s v="Invalid Demographic Data."/>
        <s v="Duplicated Rack ID, Rack ID &lt;Rack ID&gt;."/>
        <s v="&lt;Test code&gt; &lt;job type&gt; not feasible.  Waiting for &lt;material name&gt;."/>
        <s v="&lt;Test Code&gt; automatic &lt;job type&gt; not feasible.  Waiting for &lt;material name&gt;."/>
        <s v="QC Due : &lt;TestCode&gt;- &lt;MaterialName&gt;"/>
        <s v="QC Frequency OK: &lt;Test Code&gt;-&lt;MaterialName&gt;"/>
        <s v="QC Omitted point: &lt;TestCode&gt;- &lt;MaterialName&gt;"/>
        <s v="QC Point restored: &lt;TestCode&gt;- &lt;MaterialName&gt;"/>
        <s v="QC Results purged until &lt;LimitDate&gt;: &lt;TestCode&gt;- &lt;Material Name&gt;"/>
        <s v="Message received with incorrect Instrument ID (&lt;Instrument ID&gt;)."/>
        <s v="Message received with incorrect Host ID (&lt;Host ID&gt;)."/>
        <s v="Invalid Test Code received from host (LIS # &lt;LIS #&gt;)."/>
        <s v="Test orders downloading from host not performed."/>
        <s v="Test results uploading not performed."/>
        <s v="Invalid Test Request received from host (LIS # &lt;LIS #&gt;)."/>
        <s v="Duplicated Test Order received from host (LIS # &lt;LIS #&gt;)."/>
        <s v="Invalid Instrument Sample ID &lt;Instrument Sample ID&gt; received from host."/>
        <s v="LIS request not allowed."/>
        <s v="Invalid Format Message."/>
        <s v="Host Query not performed."/>
        <s v="Communications between the instrument and the LIS have been lost."/>
        <s v="Test Order cancellation not performed (LIS # &lt;LIS #&gt;)."/>
        <s v="Creation of the LIS communication channel failed."/>
        <s v="Current channel configuration is not supported."/>
        <s v="Analyzer Status changed from &lt;AM Status&gt; to &lt;AM Status&gt;"/>
        <s v="Maintenance activity due: &lt;Maintenance Activity&gt;."/>
        <s v="Manual maintenance activity &lt;Maintenance Activity Name&gt; has been added."/>
        <s v="Manual maintenance activity &lt;Maintenance Activity Name&gt; has been deleted."/>
        <s v="Maintenance activity &lt;Maintenance Activity Name&gt; has been configured."/>
        <s v="Frequency status for manual maintenance activity &lt;Maintenance Activity Name&gt; has changed to OK."/>
        <s v="Maintenance activity &lt;Maintenance Activity Name&gt; has been executed."/>
        <s v="Calibration due for &lt;TestCode&gt;."/>
        <s v="Normal Pool Plasma due for &lt;TestCode&gt;."/>
        <s v="Analytical Reference due for &lt;TestCode&gt;."/>
        <s v="Calibration of &lt;Test Code&gt; completed: please review and validate."/>
        <s v="Calibration of &lt;Test Code&gt; recalculated"/>
        <s v="Calibration of &lt;Test Code&gt; validated."/>
        <s v="Calibration of &lt;Test Code&gt; completed and autovalidated."/>
        <s v="Test Definition &lt;test name&gt; has been added."/>
        <s v="Test Definition &lt;test name&gt; has been modified"/>
        <s v="Test Definition &lt;test name&gt; has been deleted."/>
        <s v="Material Definition &lt;material name&gt; has been added."/>
        <s v="Material Definition &lt;material name&gt; has been deleted."/>
        <s v="Material Definition &lt;material name&gt; has been modified: ISI value (active Lot)."/>
        <s v="Material Definition &lt;material name&gt; has been modified: on-board stability."/>
        <s v="Material Definition &lt;material name&gt; has been modified: assigned value for the Test &lt;test name&gt; (active Lot)."/>
        <s v="Material Definition &lt;material name&gt; has been modified: expiration date (active Lot)."/>
        <s v="Material Definition &lt;material name&gt; has been modified: Lot management"/>
        <s v="Material Definition &lt;material name&gt; has been modified: Lot Number (active Lot)."/>
        <s v="Material Definition &lt;material name&gt; has been modified: Alternative Lot cfg."/>
        <s v="Material Definition &lt;material name&gt; generic change. "/>
        <s v="System Definitions: generic change."/>
        <s v="System Definitions: Bar code parameters modified."/>
        <s v="System Definitions: LIS parameters modified"/>
        <s v="QC Definition &lt;Test name&gt; - &lt;Material name&gt; has been added."/>
        <s v="QC Definition &lt;Test name&gt; - &lt;Material name&gt; has been deleted."/>
        <s v="QC Definition &lt;Test name&gt; - &lt;Material name&gt; has been modified: Target Mean."/>
        <s v="QC Definition &lt;Test name&gt; - &lt;Material name&gt; has been modified: Target SD"/>
        <s v="QC Definition &lt;Test name&gt; - &lt;Material name&gt; has been modified:  Patient Flags"/>
        <s v="QC Definition &lt;Test name&gt; - &lt;Material name&gt; has been modified: Rules Cfg."/>
        <s v="QC Definition &lt;Test name&gt; - &lt;Material name&gt; has been modified: Frequency Cfg."/>
        <s v="QC Definition &lt;Test name&gt; - &lt;Material name&gt; has been modified: QC Unit"/>
        <s v="&lt;Material name&gt; on-board stability expired for last available vial."/>
        <s v="&lt;Material name&gt; expired."/>
        <s v="&lt;Material name&gt; requires stirring (rack &lt;rack ID&gt; position &lt;rack position #&gt; track # &lt;rack track #&gt;)."/>
        <s v="QC Overdue: &lt;TestCode&gt;- &lt;MaterialName&gt;"/>
        <s v="QC Failed: &lt;TestCode&gt;- &lt;MaterialName&gt;"/>
        <s v="Maintenance activity overdue: &lt;Maintenance Activity&gt;."/>
        <s v="Calibration Overdue for &lt;TestCode&gt;."/>
        <s v="Normal Pool Plasma Overdue for &lt;TestCode&gt;."/>
        <s v="Analytical Reference Overdue for &lt;TestCode&gt;."/>
        <s v="Analytical Reference Failed for &lt;TestCode&gt;."/>
        <s v="Calibration for &lt;Test Code&gt; interrupted."/>
        <s v="Auto validation of completed calibration for &lt;Test Code&gt; failed."/>
        <s v="&lt;Test Code&gt; is inconsistent and was removed from &lt;Rack ID&gt;, position &lt;rack position #&gt;."/>
        <s v="&lt;TestCode&gt; &lt;JobType&gt; job cannot be executed and was removed from sample/material &lt;Sample ID/Material Name&gt;. Number of predilution cuvette slots is insufficient."/>
        <s v="&lt;TestCode&gt; &lt;JobType&gt; job not feasible. Calibration not available."/>
        <s v="&lt;TestCode&gt; &lt;JobType&gt; job not feasible. QC failed for &lt;Material Name&gt;."/>
        <s v="Software access permissions have been modified."/>
        <s v="User Definition &lt;User Name&gt; has been added."/>
        <s v="User Definition &lt;User Name&gt; has been deleted."/>
        <s v="User Definition &lt;User Name&gt; has been modified."/>
        <s v="User Definition &lt;User Name&gt; has been modified&gt; Security Level"/>
        <s v="User Definition &lt;User Name&gt; has been locked by the system."/>
        <s v="Successful log in by user: &lt;user&gt;."/>
        <s v="Unsuccessful log in by user: &lt;user&gt;."/>
        <s v="Log out by user: &lt;user&gt;."/>
        <s v="The user modified patient demographics for sample &lt;sample ID&gt;."/>
        <s v="Reflex Rule &lt;Reflex Rule Name&gt; has been added."/>
        <s v="Reflex Rule &lt;Reflex Rule Name&gt; has been deleted."/>
        <s v="Reflex Rule &lt;Reflex Rule Name&gt; has been modified."/>
        <s v="Auto-Validation Rules have been modified."/>
        <s v="Sender Definition &lt;Sender Code&gt; has been added."/>
        <s v="Sender Definition &lt;Sender Code&gt; has been deleted."/>
        <s v="Sender Definition &lt;Sender Code&gt; has been modified."/>
        <s v="Test Profile &lt;Test Profile Name&gt; has been added."/>
        <s v="Test Profile &lt;Test Profile Name&gt; has been deleted."/>
        <s v="Test Profile &lt;Test Profile Name&gt; has been modified."/>
        <s v="QC Profile &lt;QC Profile Name&gt; has been added."/>
        <s v="QC Profile &lt;QC Profile Name&gt; has been deleted."/>
        <s v="QC Profile &lt;QC Profile Name&gt; has been modified."/>
        <s v="Test Definition &lt;source test Name&gt; has been promoted to &lt;target test Name&gt;"/>
        <s v="Vial Properties &lt;Vial Type Name&gt; &lt;Vial Properties Revision&gt; has been added."/>
        <s v="Vial Properties &lt;Vial Type Name&gt; &lt;Vial Properties Revision&gt; has been updated."/>
        <s v="Vial Properties &lt;Vial Type Name&gt; &lt;Vial Properties Revision&gt; has been deleted."/>
        <s v="Vial Set &lt;Vial Set Name&gt; has been added."/>
        <s v="Vial Set &lt;Vial Set Name&gt; has been updated."/>
        <s v="Vial Set &lt;Vial Set Name&gt; has been deleted."/>
        <s v="LAS parameters modified."/>
        <s v="IM parameters modified."/>
        <s v="&lt;Test code&gt; is inconsistent/disabled."/>
        <s v="Sample volume for &lt;test code&gt; exceeds the limit of a cuvette cell."/>
        <s v="&lt;Test code&gt; &lt;job type&gt; job not feasible.  Sample &lt;sample ID&gt; has expired."/>
        <s v="&lt;Test code&gt; &lt;Job type&gt; job not feasible.  Waiting for sample &lt;sample ID&gt;."/>
        <s v="Imported Params Report files deleted. Analytical Version in files is different than current one."/>
        <s v="&lt;TestCode&gt; &lt;JobType&gt; Required Clean Material shortage has been estimated. Monitor &lt;material name&gt; availability."/>
        <s v="Storage of messages sent to LIS &lt;%&gt; full."/>
        <s v="Storage of messages sent to LIS overloaded.  New uploaded messages will be rejected."/>
        <s v="Upload message was rejected and therefore not sent to LIS."/>
        <s v="Auto Start failed"/>
        <s v="&lt;Controller Name&gt; controller has been upgraded to version &lt;Version Name&gt;."/>
        <s v="The system detected a software version designed for experimental use."/>
        <s v="Interface module has been upgraded to version &lt;version name&gt;."/>
        <s v="LAS sample expiration time exceeded for &lt;data dictionary - sample ID&gt;."/>
        <s v="Semiautomatic maintenance activity &lt;Maintenance Activity Name&gt; has been executed."/>
        <s v="Automatic maintenance activity &lt;Maintenance Activity Name&gt; has been executed."/>
        <s v="Unable to move bar code reader."/>
        <s v="Invalid bar code size"/>
        <s v="Rack rejected."/>
        <s v="CTS rack rejected."/>
        <s v="Cap not detected for sample in rack &lt;Rack ID&gt;, position &lt;position #&gt;, track &lt;Track ID&gt;."/>
        <s v="Rack button identification failure."/>
        <s v="Bar code reader communication failure."/>
        <s v="In-line cleaning solution level low."/>
        <s v="Rinse solution level low."/>
        <s v="Cuvettes low in the load area."/>
        <s v="Cuvette waste almost full."/>
        <s v="Waste tank almost full."/>
        <s v="A new set of ORU air blanking values has been saved."/>
        <s v="A new set of ORU factor diluent blanking values has been saved."/>
        <s v="Probe &lt;Arm&gt;: Coordinates adjustment procedure completed."/>
        <s v="The analyzer is unable to process the request to enable CTS piercing probe mode."/>
        <s v="The analyzer is unable to process the request to disable CTS piercing probe mode."/>
        <s v="Waste tank not present."/>
        <s v="CM in use is from a different ACL TOP model."/>
        <s v="Unable to create raw data report &lt;path&amp;filename&gt;."/>
        <s v="LAS Interface Manager (IM) communications error."/>
        <s v="Test counter statistics have been reset."/>
        <s v="A new software version has been created with following label: &lt;Data Dictionary-SW Version&gt;."/>
        <s v="A new hardware event has been created with following label: &lt;Data Dictionary-HW Event&gt;."/>
        <s v="Description: &lt;Description&gt; Functional Area: &lt;Functional Area&gt;"/>
        <s v="LLD error"/>
        <s v="Error detected in ORU"/>
        <s v="(Prep) Material dispense error"/>
        <s v="Measured result failed"/>
        <s v="Temperature out of range"/>
        <s v="Warning detected in ORU."/>
        <s v="Material stirring warning"/>
        <s v="Calibration and parallelism transformations do not match"/>
        <s v="Material stability"/>
        <s v="Material expired"/>
        <s v="LAS sample expired during processing."/>
        <s v="Volume tracking - insufficient liquid (sample)"/>
        <s v="Volume tracking - insufficient liquid (reagent)"/>
        <s v="Missing post dispense rinse/clean detected."/>
        <s v="Material dispense error"/>
        <s v="LAS track communications error."/>
        <s v="LAS track unavailable."/>
        <s v="LAS sample &lt;sample ID&gt; rejected."/>
      </sharedItems>
    </cacheField>
    <cacheField name="Description" numFmtId="0">
      <sharedItems longText="1"/>
    </cacheField>
    <cacheField name="Macro Area" numFmtId="0">
      <sharedItems count="9">
        <s v="SW"/>
        <s v="ARMs"/>
        <s v="ORU"/>
        <s v="Temperatures"/>
        <s v="Cuvettes Movement"/>
        <s v="Barcode/Racks"/>
        <s v="Fluidics"/>
        <s v="LLD (Liquid Level Detection)"/>
        <s v="Others"/>
      </sharedItems>
    </cacheField>
    <cacheField name="Sub Area" numFmtId="0">
      <sharedItems count="27">
        <s v="SW"/>
        <s v="Cavro Arms"/>
        <s v="Syringes"/>
        <s v="Data Check"/>
        <s v="Electronic"/>
        <s v="Temperatures"/>
        <s v="Cuvette Controller"/>
        <s v="Rack Controller"/>
        <s v="Coordinates"/>
        <s v="Clean Circuit"/>
        <s v="Rinse Circuit"/>
        <s v="Waste Liquid Circuit"/>
        <s v="Compressed Air Circuit"/>
        <s v="Universal Arms"/>
        <s v="Cuvette Waste"/>
        <s v="Reagent Rack"/>
        <s v="Loader"/>
        <s v="Shuttle"/>
        <s v="Barcode"/>
        <s v="Missing Liquid"/>
        <s v="Baseline Error"/>
        <s v="Maintenance"/>
        <s v="Materials"/>
        <s v="Host"/>
        <s v="QC"/>
        <s v="Applications"/>
        <s v="Track Communication"/>
      </sharedItems>
    </cacheField>
    <cacheField name="Type" numFmtId="0">
      <sharedItems/>
    </cacheField>
    <cacheField name="Category" numFmtId="0">
      <sharedItems/>
    </cacheField>
    <cacheField name="Suggestion" numFmtId="0">
      <sharedItems/>
    </cacheField>
    <cacheField name="Total Events" numFmtId="1">
      <sharedItems containsSemiMixedTypes="0" containsString="0" containsNumber="1" containsInteger="1" minValue="0" maxValue="1787" count="29">
        <n v="0"/>
        <n v="1"/>
        <n v="4"/>
        <n v="2"/>
        <n v="6"/>
        <n v="3"/>
        <n v="28"/>
        <n v="117"/>
        <n v="9"/>
        <n v="58"/>
        <n v="11"/>
        <n v="5"/>
        <n v="35"/>
        <n v="1113"/>
        <n v="23"/>
        <n v="1787"/>
        <n v="62"/>
        <n v="37"/>
        <n v="7"/>
        <n v="17"/>
        <n v="16"/>
        <n v="20"/>
        <n v="13"/>
        <n v="39"/>
        <n v="26"/>
        <n v="18"/>
        <n v="10"/>
        <n v="596"/>
        <n v="8"/>
      </sharedItems>
    </cacheField>
    <cacheField name="Weight Index" numFmtId="0">
      <sharedItems containsSemiMixedTypes="0" containsString="0" containsNumber="1" minValue="0" maxValue="1" count="6">
        <n v="0.25"/>
        <n v="1"/>
        <n v="0.5"/>
        <n v="0.1"/>
        <n v="0"/>
        <n v="0.3"/>
      </sharedItems>
    </cacheField>
    <cacheField name="Total Weight" numFmtId="0">
      <sharedItems containsSemiMixedTypes="0" containsString="0" containsNumber="1" minValue="0" maxValue="4"/>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0594">
  <r>
    <s v="Analyzer Status changed from Error to Ready."/>
    <x v="0"/>
    <x v="0"/>
    <d v="2016-10-03T00:00:00"/>
    <d v="1899-12-30T08:30:26"/>
    <s v="Analyzer"/>
    <x v="0"/>
    <x v="0"/>
    <x v="0"/>
    <x v="0"/>
  </r>
  <r>
    <s v="Rinse solution level low."/>
    <x v="1"/>
    <x v="1"/>
    <d v="2016-10-03T00:00:00"/>
    <d v="1899-12-30T08:30:26"/>
    <s v="Materials"/>
    <x v="0"/>
    <x v="1"/>
    <x v="1"/>
    <x v="0"/>
  </r>
  <r>
    <s v="Analyzer Status changed from Ready to Maintenance."/>
    <x v="0"/>
    <x v="0"/>
    <d v="2016-10-03T00:00:00"/>
    <d v="1899-12-30T09:30:26"/>
    <s v="Analyzer"/>
    <x v="0"/>
    <x v="0"/>
    <x v="0"/>
    <x v="0"/>
  </r>
  <r>
    <s v="Analyzer Status changed from Maintenance to Ready."/>
    <x v="0"/>
    <x v="0"/>
    <d v="2016-10-03T00:00:00"/>
    <d v="1899-12-30T09:32:00"/>
    <s v="Analyzer"/>
    <x v="0"/>
    <x v="0"/>
    <x v="0"/>
    <x v="0"/>
  </r>
  <r>
    <s v="Automatic maintenance activity Automatic Fluidic Line Priming Cycle has been executed."/>
    <x v="2"/>
    <x v="0"/>
    <d v="2016-10-03T00:00:00"/>
    <d v="1899-12-30T09:32:00"/>
    <s v="Maintenance"/>
    <x v="0"/>
    <x v="2"/>
    <x v="2"/>
    <x v="0"/>
  </r>
  <r>
    <s v="Analyzer Status changed from Ready to Maintenance."/>
    <x v="0"/>
    <x v="0"/>
    <d v="2016-10-03T00:00:00"/>
    <d v="1899-12-30T10:32:01"/>
    <s v="Analyzer"/>
    <x v="0"/>
    <x v="0"/>
    <x v="0"/>
    <x v="0"/>
  </r>
  <r>
    <s v="Analyzer Status changed from Maintenance to Ready."/>
    <x v="0"/>
    <x v="0"/>
    <d v="2016-10-03T00:00:00"/>
    <d v="1899-12-30T10:32:22"/>
    <s v="Analyzer"/>
    <x v="0"/>
    <x v="0"/>
    <x v="0"/>
    <x v="0"/>
  </r>
  <r>
    <s v="Automatic maintenance activity Automatic Fluidic Line Priming Cycle has been executed."/>
    <x v="2"/>
    <x v="0"/>
    <d v="2016-10-03T00:00:00"/>
    <d v="1899-12-30T10:32:22"/>
    <s v="Maintenance"/>
    <x v="0"/>
    <x v="2"/>
    <x v="2"/>
    <x v="0"/>
  </r>
  <r>
    <s v="Analyzer Status changed from Ready to Maintenance."/>
    <x v="0"/>
    <x v="0"/>
    <d v="2016-10-03T00:00:00"/>
    <d v="1899-12-30T11:32:23"/>
    <s v="Analyzer"/>
    <x v="0"/>
    <x v="0"/>
    <x v="0"/>
    <x v="0"/>
  </r>
  <r>
    <s v="Analyzer Status changed from Maintenance to Ready."/>
    <x v="0"/>
    <x v="0"/>
    <d v="2016-10-03T00:00:00"/>
    <d v="1899-12-30T11:32:44"/>
    <s v="Analyzer"/>
    <x v="0"/>
    <x v="0"/>
    <x v="0"/>
    <x v="0"/>
  </r>
  <r>
    <s v="Automatic maintenance activity Automatic Fluidic Line Priming Cycle has been executed."/>
    <x v="2"/>
    <x v="0"/>
    <d v="2016-10-03T00:00:00"/>
    <d v="1899-12-30T11:32:44"/>
    <s v="Maintenance"/>
    <x v="0"/>
    <x v="2"/>
    <x v="2"/>
    <x v="0"/>
  </r>
  <r>
    <s v="Analyzer Status changed from Ready to Maintenance."/>
    <x v="0"/>
    <x v="0"/>
    <d v="2016-10-03T00:00:00"/>
    <d v="1899-12-30T12:32:44"/>
    <s v="Analyzer"/>
    <x v="0"/>
    <x v="0"/>
    <x v="0"/>
    <x v="0"/>
  </r>
  <r>
    <s v="Analyzer Status changed from Maintenance to Ready."/>
    <x v="0"/>
    <x v="0"/>
    <d v="2016-10-03T00:00:00"/>
    <d v="1899-12-30T12:33:06"/>
    <s v="Analyzer"/>
    <x v="0"/>
    <x v="0"/>
    <x v="0"/>
    <x v="0"/>
  </r>
  <r>
    <s v="Automatic maintenance activity Automatic Fluidic Line Priming Cycle has been executed."/>
    <x v="2"/>
    <x v="0"/>
    <d v="2016-10-03T00:00:00"/>
    <d v="1899-12-30T12:33:06"/>
    <s v="Maintenance"/>
    <x v="0"/>
    <x v="2"/>
    <x v="2"/>
    <x v="0"/>
  </r>
  <r>
    <s v="Analyzer Status changed from Ready to Maintenance."/>
    <x v="0"/>
    <x v="0"/>
    <d v="2016-10-03T00:00:00"/>
    <d v="1899-12-30T13:33:06"/>
    <s v="Analyzer"/>
    <x v="0"/>
    <x v="0"/>
    <x v="0"/>
    <x v="0"/>
  </r>
  <r>
    <s v="Analyzer Status changed from Maintenance to Ready."/>
    <x v="0"/>
    <x v="0"/>
    <d v="2016-10-03T00:00:00"/>
    <d v="1899-12-30T13:33:28"/>
    <s v="Analyzer"/>
    <x v="0"/>
    <x v="0"/>
    <x v="0"/>
    <x v="0"/>
  </r>
  <r>
    <s v="Automatic maintenance activity Automatic Fluidic Line Priming Cycle has been executed."/>
    <x v="2"/>
    <x v="0"/>
    <d v="2016-10-03T00:00:00"/>
    <d v="1899-12-30T13:33:28"/>
    <s v="Maintenance"/>
    <x v="0"/>
    <x v="2"/>
    <x v="2"/>
    <x v="0"/>
  </r>
  <r>
    <s v="Analyzer Status changed from Ready to Maintenance."/>
    <x v="0"/>
    <x v="0"/>
    <d v="2016-10-03T00:00:00"/>
    <d v="1899-12-30T14:33:28"/>
    <s v="Analyzer"/>
    <x v="0"/>
    <x v="0"/>
    <x v="0"/>
    <x v="0"/>
  </r>
  <r>
    <s v="Analyzer Status changed from Maintenance to Ready."/>
    <x v="0"/>
    <x v="0"/>
    <d v="2016-10-03T00:00:00"/>
    <d v="1899-12-30T14:33:50"/>
    <s v="Analyzer"/>
    <x v="0"/>
    <x v="0"/>
    <x v="0"/>
    <x v="0"/>
  </r>
  <r>
    <s v="Automatic maintenance activity Automatic Fluidic Line Priming Cycle has been executed."/>
    <x v="2"/>
    <x v="0"/>
    <d v="2016-10-03T00:00:00"/>
    <d v="1899-12-30T14:33:50"/>
    <s v="Maintenance"/>
    <x v="0"/>
    <x v="2"/>
    <x v="2"/>
    <x v="0"/>
  </r>
  <r>
    <s v="Analyzer Status changed from Ready to Maintenance."/>
    <x v="0"/>
    <x v="0"/>
    <d v="2016-10-03T00:00:00"/>
    <d v="1899-12-30T15:33:50"/>
    <s v="Analyzer"/>
    <x v="0"/>
    <x v="0"/>
    <x v="0"/>
    <x v="0"/>
  </r>
  <r>
    <s v="Automatic maintenance activity Automatic Fluidic Line Priming Cycle has been executed."/>
    <x v="2"/>
    <x v="0"/>
    <d v="2016-10-03T00:00:00"/>
    <d v="1899-12-30T15:34:11"/>
    <s v="Maintenance"/>
    <x v="0"/>
    <x v="2"/>
    <x v="2"/>
    <x v="0"/>
  </r>
  <r>
    <s v="Analyzer Status changed from Maintenance to Ready."/>
    <x v="0"/>
    <x v="0"/>
    <d v="2016-10-03T00:00:00"/>
    <d v="1899-12-30T15:34:12"/>
    <s v="Analyzer"/>
    <x v="0"/>
    <x v="0"/>
    <x v="0"/>
    <x v="0"/>
  </r>
  <r>
    <s v="Analyzer Status changed from Ready to Maintenance."/>
    <x v="0"/>
    <x v="0"/>
    <d v="2016-10-03T00:00:00"/>
    <d v="1899-12-30T16:34:12"/>
    <s v="Analyzer"/>
    <x v="0"/>
    <x v="0"/>
    <x v="0"/>
    <x v="0"/>
  </r>
  <r>
    <s v="Analyzer Status changed from Maintenance to Ready."/>
    <x v="0"/>
    <x v="0"/>
    <d v="2016-10-03T00:00:00"/>
    <d v="1899-12-30T16:34:34"/>
    <s v="Analyzer"/>
    <x v="0"/>
    <x v="0"/>
    <x v="0"/>
    <x v="0"/>
  </r>
  <r>
    <s v="Automatic maintenance activity Automatic Fluidic Line Priming Cycle has been executed."/>
    <x v="2"/>
    <x v="0"/>
    <d v="2016-10-03T00:00:00"/>
    <d v="1899-12-30T16:34:34"/>
    <s v="Maintenance"/>
    <x v="0"/>
    <x v="2"/>
    <x v="2"/>
    <x v="0"/>
  </r>
  <r>
    <s v="Analyzer Status changed from Ready to Maintenance."/>
    <x v="0"/>
    <x v="0"/>
    <d v="2016-10-03T00:00:00"/>
    <d v="1899-12-30T17:34:34"/>
    <s v="Analyzer"/>
    <x v="0"/>
    <x v="0"/>
    <x v="0"/>
    <x v="0"/>
  </r>
  <r>
    <s v="Automatic maintenance activity Automatic Fluidic Line Priming Cycle has been executed."/>
    <x v="2"/>
    <x v="0"/>
    <d v="2016-10-03T00:00:00"/>
    <d v="1899-12-30T17:34:55"/>
    <s v="Maintenance"/>
    <x v="0"/>
    <x v="2"/>
    <x v="2"/>
    <x v="0"/>
  </r>
  <r>
    <s v="Analyzer Status changed from Maintenance to Ready."/>
    <x v="0"/>
    <x v="0"/>
    <d v="2016-10-03T00:00:00"/>
    <d v="1899-12-30T17:34:56"/>
    <s v="Analyzer"/>
    <x v="0"/>
    <x v="0"/>
    <x v="0"/>
    <x v="0"/>
  </r>
  <r>
    <s v="Analyzer Status changed from Ready to Maintenance."/>
    <x v="0"/>
    <x v="0"/>
    <d v="2016-10-03T00:00:00"/>
    <d v="1899-12-30T18:34:56"/>
    <s v="Analyzer"/>
    <x v="0"/>
    <x v="0"/>
    <x v="0"/>
    <x v="0"/>
  </r>
  <r>
    <s v="Automatic maintenance activity Automatic Fluidic Line Priming Cycle has been executed."/>
    <x v="2"/>
    <x v="0"/>
    <d v="2016-10-03T00:00:00"/>
    <d v="1899-12-30T18:35:17"/>
    <s v="Maintenance"/>
    <x v="0"/>
    <x v="2"/>
    <x v="2"/>
    <x v="0"/>
  </r>
  <r>
    <s v="Analyzer Status changed from Maintenance to Ready."/>
    <x v="0"/>
    <x v="0"/>
    <d v="2016-10-03T00:00:00"/>
    <d v="1899-12-30T18:35:18"/>
    <s v="Analyzer"/>
    <x v="0"/>
    <x v="0"/>
    <x v="0"/>
    <x v="0"/>
  </r>
  <r>
    <s v="Analyzer Status changed from Ready to Maintenance."/>
    <x v="0"/>
    <x v="0"/>
    <d v="2016-10-03T00:00:00"/>
    <d v="1899-12-30T19:35:18"/>
    <s v="Analyzer"/>
    <x v="0"/>
    <x v="0"/>
    <x v="0"/>
    <x v="0"/>
  </r>
  <r>
    <s v="Automatic maintenance activity Automatic Fluidic Line Priming Cycle has been executed."/>
    <x v="2"/>
    <x v="0"/>
    <d v="2016-10-03T00:00:00"/>
    <d v="1899-12-30T19:35:39"/>
    <s v="Maintenance"/>
    <x v="0"/>
    <x v="2"/>
    <x v="2"/>
    <x v="0"/>
  </r>
  <r>
    <s v="Analyzer Status changed from Maintenance to Ready."/>
    <x v="0"/>
    <x v="0"/>
    <d v="2016-10-03T00:00:00"/>
    <d v="1899-12-30T19:35:40"/>
    <s v="Analyzer"/>
    <x v="0"/>
    <x v="0"/>
    <x v="0"/>
    <x v="0"/>
  </r>
  <r>
    <s v="Analyzer Status changed from Ready to Maintenance."/>
    <x v="0"/>
    <x v="0"/>
    <d v="2016-10-03T00:00:00"/>
    <d v="1899-12-30T20:35:40"/>
    <s v="Analyzer"/>
    <x v="0"/>
    <x v="0"/>
    <x v="0"/>
    <x v="0"/>
  </r>
  <r>
    <s v="Automatic maintenance activity Automatic Fluidic Line Priming Cycle has been executed."/>
    <x v="2"/>
    <x v="0"/>
    <d v="2016-10-03T00:00:00"/>
    <d v="1899-12-30T20:36:01"/>
    <s v="Maintenance"/>
    <x v="0"/>
    <x v="2"/>
    <x v="2"/>
    <x v="0"/>
  </r>
  <r>
    <s v="Analyzer Status changed from Maintenance to Ready."/>
    <x v="0"/>
    <x v="0"/>
    <d v="2016-10-03T00:00:00"/>
    <d v="1899-12-30T20:36:02"/>
    <s v="Analyzer"/>
    <x v="0"/>
    <x v="0"/>
    <x v="0"/>
    <x v="0"/>
  </r>
  <r>
    <s v="Analyzer Status changed from Ready to Maintenance."/>
    <x v="0"/>
    <x v="0"/>
    <d v="2016-10-03T00:00:00"/>
    <d v="1899-12-30T21:36:02"/>
    <s v="Analyzer"/>
    <x v="0"/>
    <x v="0"/>
    <x v="0"/>
    <x v="0"/>
  </r>
  <r>
    <s v="Analyzer Status changed from Maintenance to Ready."/>
    <x v="0"/>
    <x v="0"/>
    <d v="2016-10-03T00:00:00"/>
    <d v="1899-12-30T21:36:23"/>
    <s v="Analyzer"/>
    <x v="0"/>
    <x v="0"/>
    <x v="0"/>
    <x v="0"/>
  </r>
  <r>
    <s v="Automatic maintenance activity Automatic Fluidic Line Priming Cycle has been executed."/>
    <x v="2"/>
    <x v="0"/>
    <d v="2016-10-03T00:00:00"/>
    <d v="1899-12-30T21:36:23"/>
    <s v="Maintenance"/>
    <x v="0"/>
    <x v="2"/>
    <x v="2"/>
    <x v="0"/>
  </r>
  <r>
    <s v="Analyzer Status changed from Ready to Maintenance."/>
    <x v="0"/>
    <x v="0"/>
    <d v="2016-10-03T00:00:00"/>
    <d v="1899-12-30T22:36:24"/>
    <s v="Analyzer"/>
    <x v="0"/>
    <x v="0"/>
    <x v="0"/>
    <x v="0"/>
  </r>
  <r>
    <s v="Automatic maintenance activity Automatic Fluidic Line Priming Cycle has been executed."/>
    <x v="2"/>
    <x v="0"/>
    <d v="2016-10-03T00:00:00"/>
    <d v="1899-12-30T22:36:45"/>
    <s v="Maintenance"/>
    <x v="0"/>
    <x v="2"/>
    <x v="2"/>
    <x v="0"/>
  </r>
  <r>
    <s v="Analyzer Status changed from Maintenance to Ready."/>
    <x v="0"/>
    <x v="0"/>
    <d v="2016-10-03T00:00:00"/>
    <d v="1899-12-30T22:36:46"/>
    <s v="Analyzer"/>
    <x v="0"/>
    <x v="0"/>
    <x v="0"/>
    <x v="0"/>
  </r>
  <r>
    <s v="Analyzer Status changed from Ready to Maintenance."/>
    <x v="0"/>
    <x v="0"/>
    <d v="2016-10-03T00:00:00"/>
    <d v="1899-12-30T23:36:46"/>
    <s v="Analyzer"/>
    <x v="0"/>
    <x v="0"/>
    <x v="0"/>
    <x v="0"/>
  </r>
  <r>
    <s v="Automatic maintenance activity Automatic Fluidic Line Priming Cycle has been executed."/>
    <x v="2"/>
    <x v="0"/>
    <d v="2016-10-03T00:00:00"/>
    <d v="1899-12-30T23:37:07"/>
    <s v="Maintenance"/>
    <x v="0"/>
    <x v="2"/>
    <x v="2"/>
    <x v="0"/>
  </r>
  <r>
    <s v="Analyzer Status changed from Maintenance to Ready."/>
    <x v="0"/>
    <x v="0"/>
    <d v="2016-10-03T00:00:00"/>
    <d v="1899-12-30T23:37:08"/>
    <s v="Analyzer"/>
    <x v="0"/>
    <x v="0"/>
    <x v="0"/>
    <x v="0"/>
  </r>
  <r>
    <s v="Analyzer Status changed from Ready to Maintenance."/>
    <x v="0"/>
    <x v="0"/>
    <d v="2016-10-04T00:00:00"/>
    <d v="1899-12-30T00:37:08"/>
    <s v="Analyzer"/>
    <x v="0"/>
    <x v="0"/>
    <x v="0"/>
    <x v="0"/>
  </r>
  <r>
    <s v="Automatic maintenance activity Automatic Fluidic Line Priming Cycle has been executed."/>
    <x v="2"/>
    <x v="0"/>
    <d v="2016-10-04T00:00:00"/>
    <d v="1899-12-30T00:37:29"/>
    <s v="Maintenance"/>
    <x v="0"/>
    <x v="2"/>
    <x v="2"/>
    <x v="0"/>
  </r>
  <r>
    <s v="Analyzer Status changed from Maintenance to Ready."/>
    <x v="0"/>
    <x v="0"/>
    <d v="2016-10-04T00:00:00"/>
    <d v="1899-12-30T00:37:30"/>
    <s v="Analyzer"/>
    <x v="0"/>
    <x v="0"/>
    <x v="0"/>
    <x v="0"/>
  </r>
  <r>
    <s v="Analyzer Status changed from Ready to Maintenance."/>
    <x v="0"/>
    <x v="0"/>
    <d v="2016-10-04T00:00:00"/>
    <d v="1899-12-30T01:37:30"/>
    <s v="Analyzer"/>
    <x v="0"/>
    <x v="0"/>
    <x v="0"/>
    <x v="0"/>
  </r>
  <r>
    <s v="Automatic maintenance activity Automatic Fluidic Line Priming Cycle has been executed."/>
    <x v="2"/>
    <x v="0"/>
    <d v="2016-10-04T00:00:00"/>
    <d v="1899-12-30T01:37:51"/>
    <s v="Maintenance"/>
    <x v="0"/>
    <x v="2"/>
    <x v="2"/>
    <x v="0"/>
  </r>
  <r>
    <s v="Analyzer Status changed from Maintenance to Ready."/>
    <x v="0"/>
    <x v="0"/>
    <d v="2016-10-04T00:00:00"/>
    <d v="1899-12-30T01:37:52"/>
    <s v="Analyzer"/>
    <x v="0"/>
    <x v="0"/>
    <x v="0"/>
    <x v="0"/>
  </r>
  <r>
    <s v="Analyzer Status changed from Ready to Maintenance."/>
    <x v="0"/>
    <x v="0"/>
    <d v="2016-10-04T00:00:00"/>
    <d v="1899-12-30T02:37:52"/>
    <s v="Analyzer"/>
    <x v="0"/>
    <x v="0"/>
    <x v="0"/>
    <x v="0"/>
  </r>
  <r>
    <s v="Automatic maintenance activity Automatic Fluidic Line Priming Cycle has been executed."/>
    <x v="2"/>
    <x v="0"/>
    <d v="2016-10-04T00:00:00"/>
    <d v="1899-12-30T02:38:13"/>
    <s v="Maintenance"/>
    <x v="0"/>
    <x v="2"/>
    <x v="2"/>
    <x v="0"/>
  </r>
  <r>
    <s v="Analyzer Status changed from Maintenance to Ready."/>
    <x v="0"/>
    <x v="0"/>
    <d v="2016-10-04T00:00:00"/>
    <d v="1899-12-30T02:38:14"/>
    <s v="Analyzer"/>
    <x v="0"/>
    <x v="0"/>
    <x v="0"/>
    <x v="0"/>
  </r>
  <r>
    <s v="Analyzer Status changed from Ready to Maintenance."/>
    <x v="0"/>
    <x v="0"/>
    <d v="2016-10-04T00:00:00"/>
    <d v="1899-12-30T03:38:14"/>
    <s v="Analyzer"/>
    <x v="0"/>
    <x v="0"/>
    <x v="0"/>
    <x v="0"/>
  </r>
  <r>
    <s v="Analyzer Status changed from Maintenance to Ready."/>
    <x v="0"/>
    <x v="0"/>
    <d v="2016-10-04T00:00:00"/>
    <d v="1899-12-30T03:38:35"/>
    <s v="Analyzer"/>
    <x v="0"/>
    <x v="0"/>
    <x v="0"/>
    <x v="0"/>
  </r>
  <r>
    <s v="Automatic maintenance activity Automatic Fluidic Line Priming Cycle has been executed."/>
    <x v="2"/>
    <x v="0"/>
    <d v="2016-10-04T00:00:00"/>
    <d v="1899-12-30T03:38:35"/>
    <s v="Maintenance"/>
    <x v="0"/>
    <x v="2"/>
    <x v="2"/>
    <x v="0"/>
  </r>
  <r>
    <s v="Analyzer Status changed from Ready to Maintenance."/>
    <x v="0"/>
    <x v="0"/>
    <d v="2016-10-04T00:00:00"/>
    <d v="1899-12-30T04:38:36"/>
    <s v="Analyzer"/>
    <x v="0"/>
    <x v="0"/>
    <x v="0"/>
    <x v="0"/>
  </r>
  <r>
    <s v="Analyzer Status changed from Maintenance to Ready."/>
    <x v="0"/>
    <x v="0"/>
    <d v="2016-10-04T00:00:00"/>
    <d v="1899-12-30T04:38:57"/>
    <s v="Analyzer"/>
    <x v="0"/>
    <x v="0"/>
    <x v="0"/>
    <x v="0"/>
  </r>
  <r>
    <s v="Automatic maintenance activity Automatic Fluidic Line Priming Cycle has been executed."/>
    <x v="2"/>
    <x v="0"/>
    <d v="2016-10-04T00:00:00"/>
    <d v="1899-12-30T04:38:57"/>
    <s v="Maintenance"/>
    <x v="0"/>
    <x v="2"/>
    <x v="2"/>
    <x v="0"/>
  </r>
  <r>
    <s v="Analyzer Status changed from Ready to Maintenance."/>
    <x v="0"/>
    <x v="0"/>
    <d v="2016-10-04T00:00:00"/>
    <d v="1899-12-30T05:38:57"/>
    <s v="Analyzer"/>
    <x v="0"/>
    <x v="0"/>
    <x v="0"/>
    <x v="0"/>
  </r>
  <r>
    <s v="Analyzer Status changed from Maintenance to Ready."/>
    <x v="0"/>
    <x v="0"/>
    <d v="2016-10-04T00:00:00"/>
    <d v="1899-12-30T05:39:19"/>
    <s v="Analyzer"/>
    <x v="0"/>
    <x v="0"/>
    <x v="0"/>
    <x v="0"/>
  </r>
  <r>
    <s v="Automatic maintenance activity Automatic Fluidic Line Priming Cycle has been executed."/>
    <x v="2"/>
    <x v="0"/>
    <d v="2016-10-04T00:00:00"/>
    <d v="1899-12-30T05:39:19"/>
    <s v="Maintenance"/>
    <x v="0"/>
    <x v="2"/>
    <x v="2"/>
    <x v="0"/>
  </r>
  <r>
    <s v="Analyzer Status changed from Ready to Maintenance."/>
    <x v="0"/>
    <x v="0"/>
    <d v="2016-10-04T00:00:00"/>
    <d v="1899-12-30T06:39:19"/>
    <s v="Analyzer"/>
    <x v="0"/>
    <x v="0"/>
    <x v="0"/>
    <x v="0"/>
  </r>
  <r>
    <s v="Analyzer Status changed from Maintenance to Ready."/>
    <x v="0"/>
    <x v="0"/>
    <d v="2016-10-04T00:00:00"/>
    <d v="1899-12-30T06:39:41"/>
    <s v="Analyzer"/>
    <x v="0"/>
    <x v="0"/>
    <x v="0"/>
    <x v="0"/>
  </r>
  <r>
    <s v="Automatic maintenance activity Automatic Fluidic Line Priming Cycle has been executed."/>
    <x v="2"/>
    <x v="0"/>
    <d v="2016-10-04T00:00:00"/>
    <d v="1899-12-30T06:39:41"/>
    <s v="Maintenance"/>
    <x v="0"/>
    <x v="2"/>
    <x v="2"/>
    <x v="0"/>
  </r>
  <r>
    <s v="Analyzer Status changed from Ready to Maintenance."/>
    <x v="0"/>
    <x v="0"/>
    <d v="2016-10-04T00:00:00"/>
    <d v="1899-12-30T07:32:14"/>
    <s v="Analyzer"/>
    <x v="0"/>
    <x v="0"/>
    <x v="0"/>
    <x v="0"/>
  </r>
  <r>
    <s v="Analyzer Status changed from Maintenance to Ready."/>
    <x v="0"/>
    <x v="0"/>
    <d v="2016-10-04T00:00:00"/>
    <d v="1899-12-30T07:36:11"/>
    <s v="Analyzer"/>
    <x v="0"/>
    <x v="0"/>
    <x v="0"/>
    <x v="0"/>
  </r>
  <r>
    <s v="Frequency status for manual maintenance activity Enhanced Clean for all Probes has changed to OK."/>
    <x v="3"/>
    <x v="0"/>
    <d v="2016-10-04T00:00:00"/>
    <d v="1899-12-30T07:36:11"/>
    <s v="Maintenance"/>
    <x v="0"/>
    <x v="2"/>
    <x v="2"/>
    <x v="0"/>
  </r>
  <r>
    <s v="Frequency status for manual maintenance activity Enhanced Clean for Sample and Reagent Probes has changed to OK."/>
    <x v="3"/>
    <x v="0"/>
    <d v="2016-10-04T00:00:00"/>
    <d v="1899-12-30T07:36:11"/>
    <s v="Maintenance"/>
    <x v="0"/>
    <x v="2"/>
    <x v="2"/>
    <x v="0"/>
  </r>
  <r>
    <s v="Semiautomatic maintenance activity Enhanced Clean for all Probes has been executed."/>
    <x v="4"/>
    <x v="0"/>
    <d v="2016-10-04T00:00:00"/>
    <d v="1899-12-30T07:36:11"/>
    <s v="Maintenance"/>
    <x v="0"/>
    <x v="2"/>
    <x v="2"/>
    <x v="0"/>
  </r>
  <r>
    <s v="Analyzer Status changed from Ready to Maintenance."/>
    <x v="0"/>
    <x v="0"/>
    <d v="2016-10-04T00:00:00"/>
    <d v="1899-12-30T07:38:21"/>
    <s v="Analyzer"/>
    <x v="0"/>
    <x v="0"/>
    <x v="0"/>
    <x v="0"/>
  </r>
  <r>
    <s v="Frequency status for manual maintenance activity make new diluted clean B has changed to OK."/>
    <x v="3"/>
    <x v="0"/>
    <d v="2016-10-04T00:00:00"/>
    <d v="1899-12-30T07:38:23"/>
    <s v="Maintenance"/>
    <x v="0"/>
    <x v="2"/>
    <x v="2"/>
    <x v="0"/>
  </r>
  <r>
    <s v="Manual maintenance activity make new diluted clean B has been executed."/>
    <x v="5"/>
    <x v="0"/>
    <d v="2016-10-04T00:00:00"/>
    <d v="1899-12-30T07:38:23"/>
    <s v="Maintenance"/>
    <x v="0"/>
    <x v="2"/>
    <x v="2"/>
    <x v="0"/>
  </r>
  <r>
    <s v="Analyzer Status changed from Maintenance to Ready."/>
    <x v="0"/>
    <x v="0"/>
    <d v="2016-10-04T00:00:00"/>
    <d v="1899-12-30T07:38:27"/>
    <s v="Analyzer"/>
    <x v="0"/>
    <x v="0"/>
    <x v="0"/>
    <x v="0"/>
  </r>
  <r>
    <s v="Analyzer Status changed from Ready to Maintenance."/>
    <x v="0"/>
    <x v="0"/>
    <d v="2016-10-04T00:00:00"/>
    <d v="1899-12-30T07:38:30"/>
    <s v="Analyzer"/>
    <x v="0"/>
    <x v="0"/>
    <x v="0"/>
    <x v="0"/>
  </r>
  <r>
    <s v="Frequency status for manual maintenance activity replace factor diluent has changed to OK."/>
    <x v="3"/>
    <x v="0"/>
    <d v="2016-10-04T00:00:00"/>
    <d v="1899-12-30T07:38:32"/>
    <s v="Maintenance"/>
    <x v="0"/>
    <x v="2"/>
    <x v="2"/>
    <x v="0"/>
  </r>
  <r>
    <s v="Manual maintenance activity replace factor diluent has been executed."/>
    <x v="5"/>
    <x v="0"/>
    <d v="2016-10-04T00:00:00"/>
    <d v="1899-12-30T07:38:32"/>
    <s v="Maintenance"/>
    <x v="0"/>
    <x v="2"/>
    <x v="2"/>
    <x v="0"/>
  </r>
  <r>
    <s v="Analyzer Status changed from Maintenance to Ready."/>
    <x v="0"/>
    <x v="0"/>
    <d v="2016-10-04T00:00:00"/>
    <d v="1899-12-30T07:38:33"/>
    <s v="Analyzer"/>
    <x v="0"/>
    <x v="0"/>
    <x v="0"/>
    <x v="0"/>
  </r>
  <r>
    <s v="SCT Confirm on-board stability low."/>
    <x v="6"/>
    <x v="1"/>
    <d v="2016-10-04T00:00:00"/>
    <d v="1899-12-30T07:39:46"/>
    <s v="Materials"/>
    <x v="0"/>
    <x v="2"/>
    <x v="3"/>
    <x v="0"/>
  </r>
  <r>
    <s v="APTT-SS volume low."/>
    <x v="7"/>
    <x v="1"/>
    <d v="2016-10-04T00:00:00"/>
    <d v="1899-12-30T07:51:28"/>
    <s v="Materials"/>
    <x v="0"/>
    <x v="3"/>
    <x v="4"/>
    <x v="0"/>
  </r>
  <r>
    <s v="PT RecombiPlasTin volume low."/>
    <x v="7"/>
    <x v="1"/>
    <d v="2016-10-04T00:00:00"/>
    <d v="1899-12-30T07:51:47"/>
    <s v="Materials"/>
    <x v="0"/>
    <x v="3"/>
    <x v="4"/>
    <x v="0"/>
  </r>
  <r>
    <s v="Analyzer Status changed from Ready to Busy."/>
    <x v="0"/>
    <x v="0"/>
    <d v="2016-10-04T00:00:00"/>
    <d v="1899-12-30T08:01:57"/>
    <s v="Analyzer"/>
    <x v="0"/>
    <x v="0"/>
    <x v="0"/>
    <x v="0"/>
  </r>
  <r>
    <s v="Analyzer Status changed from Busy to Ready."/>
    <x v="0"/>
    <x v="0"/>
    <d v="2016-10-04T00:00:00"/>
    <d v="1899-12-30T08:07:57"/>
    <s v="Analyzer"/>
    <x v="0"/>
    <x v="0"/>
    <x v="0"/>
    <x v="0"/>
  </r>
  <r>
    <s v="Analyzer Status changed from Ready to Maintenance."/>
    <x v="0"/>
    <x v="0"/>
    <d v="2016-10-04T00:00:00"/>
    <d v="1899-12-30T08:07:57"/>
    <s v="Analyzer"/>
    <x v="0"/>
    <x v="0"/>
    <x v="0"/>
    <x v="0"/>
  </r>
  <r>
    <s v="Analyzer Status changed from Maintenance to Ready."/>
    <x v="0"/>
    <x v="0"/>
    <d v="2016-10-04T00:00:00"/>
    <d v="1899-12-30T08:08:59"/>
    <s v="Analyzer"/>
    <x v="0"/>
    <x v="0"/>
    <x v="0"/>
    <x v="0"/>
  </r>
  <r>
    <s v="Automatic maintenance activity Automatic Routine Clean for all Probes has been executed."/>
    <x v="2"/>
    <x v="0"/>
    <d v="2016-10-04T00:00:00"/>
    <d v="1899-12-30T08:08:59"/>
    <s v="Maintenance"/>
    <x v="0"/>
    <x v="2"/>
    <x v="2"/>
    <x v="0"/>
  </r>
  <r>
    <s v="Auto-Validation Rules have been modified."/>
    <x v="8"/>
    <x v="0"/>
    <d v="2016-10-04T00:00:00"/>
    <d v="1899-12-30T08:11:53"/>
    <s v="Setup"/>
    <x v="0"/>
    <x v="2"/>
    <x v="5"/>
    <x v="0"/>
  </r>
  <r>
    <s v="Maintenance activity due: Wipe-down all Probes."/>
    <x v="9"/>
    <x v="1"/>
    <d v="2016-10-04T00:00:00"/>
    <d v="1899-12-30T08:25:52"/>
    <s v="Maintenance"/>
    <x v="0"/>
    <x v="2"/>
    <x v="2"/>
    <x v="0"/>
  </r>
  <r>
    <s v="Maintenance activity due: Wipe-down LAS Probe."/>
    <x v="9"/>
    <x v="1"/>
    <d v="2016-10-04T00:00:00"/>
    <d v="1899-12-30T08:25:52"/>
    <s v="Maintenance"/>
    <x v="0"/>
    <x v="2"/>
    <x v="2"/>
    <x v="0"/>
  </r>
  <r>
    <s v="Maintenance activity due: Wipe-down Sample Probe."/>
    <x v="9"/>
    <x v="1"/>
    <d v="2016-10-04T00:00:00"/>
    <d v="1899-12-30T08:25:52"/>
    <s v="Maintenance"/>
    <x v="0"/>
    <x v="2"/>
    <x v="2"/>
    <x v="0"/>
  </r>
  <r>
    <s v="Maintenance activity due: Clean Cuvette Waste Drawer."/>
    <x v="9"/>
    <x v="1"/>
    <d v="2016-10-04T00:00:00"/>
    <d v="1899-12-30T08:33:05"/>
    <s v="Maintenance"/>
    <x v="0"/>
    <x v="2"/>
    <x v="2"/>
    <x v="0"/>
  </r>
  <r>
    <s v="System Definitions: LIS parameters modified."/>
    <x v="10"/>
    <x v="0"/>
    <d v="2016-10-04T00:00:00"/>
    <d v="1899-12-30T08:49:24"/>
    <s v="Setup"/>
    <x v="0"/>
    <x v="2"/>
    <x v="6"/>
    <x v="0"/>
  </r>
  <r>
    <s v="Analyzer Status changed from Ready to Busy."/>
    <x v="0"/>
    <x v="0"/>
    <d v="2016-10-04T00:00:00"/>
    <d v="1899-12-30T08:50:12"/>
    <s v="Analyzer"/>
    <x v="0"/>
    <x v="0"/>
    <x v="0"/>
    <x v="0"/>
  </r>
  <r>
    <s v="Analyzer Status changed from Busy to Ready."/>
    <x v="0"/>
    <x v="0"/>
    <d v="2016-10-04T00:00:00"/>
    <d v="1899-12-30T08:55:48"/>
    <s v="Analyzer"/>
    <x v="0"/>
    <x v="0"/>
    <x v="0"/>
    <x v="0"/>
  </r>
  <r>
    <s v="Analyzer Status changed from Ready to Maintenance."/>
    <x v="0"/>
    <x v="0"/>
    <d v="2016-10-04T00:00:00"/>
    <d v="1899-12-30T08:55:48"/>
    <s v="Analyzer"/>
    <x v="0"/>
    <x v="0"/>
    <x v="0"/>
    <x v="0"/>
  </r>
  <r>
    <s v="Analyzer Status changed from Maintenance to Ready."/>
    <x v="0"/>
    <x v="0"/>
    <d v="2016-10-04T00:00:00"/>
    <d v="1899-12-30T08:56:13"/>
    <s v="Analyzer"/>
    <x v="0"/>
    <x v="0"/>
    <x v="0"/>
    <x v="0"/>
  </r>
  <r>
    <s v="Automatic maintenance activity Automatic Routine Clean for all Probes has been executed."/>
    <x v="2"/>
    <x v="0"/>
    <d v="2016-10-04T00:00:00"/>
    <d v="1899-12-30T08:56:13"/>
    <s v="Maintenance"/>
    <x v="0"/>
    <x v="2"/>
    <x v="2"/>
    <x v="0"/>
  </r>
  <r>
    <s v="D-Dimer HS Latex volume low."/>
    <x v="7"/>
    <x v="1"/>
    <d v="2016-10-04T00:00:00"/>
    <d v="1899-12-30T08:57:51"/>
    <s v="Materials"/>
    <x v="0"/>
    <x v="3"/>
    <x v="4"/>
    <x v="0"/>
  </r>
  <r>
    <s v="Analyzer Status changed from Ready to Busy."/>
    <x v="0"/>
    <x v="0"/>
    <d v="2016-10-04T00:00:00"/>
    <d v="1899-12-30T08:58:40"/>
    <s v="Analyzer"/>
    <x v="0"/>
    <x v="0"/>
    <x v="0"/>
    <x v="0"/>
  </r>
  <r>
    <s v="QFA Patient Required Clean Material shortage has been estimated. Monitor Clean B Diluted availability."/>
    <x v="11"/>
    <x v="1"/>
    <d v="2016-10-04T00:00:00"/>
    <d v="1899-12-30T08:59:11"/>
    <s v="Materials"/>
    <x v="0"/>
    <x v="2"/>
    <x v="3"/>
    <x v="0"/>
  </r>
  <r>
    <s v="UFH Patient Required Clean Material shortage has been estimated. Monitor Clean B Diluted availability."/>
    <x v="11"/>
    <x v="1"/>
    <d v="2016-10-04T00:00:00"/>
    <d v="1899-12-30T08:59:11"/>
    <s v="Materials"/>
    <x v="0"/>
    <x v="2"/>
    <x v="3"/>
    <x v="0"/>
  </r>
  <r>
    <s v="Analyzer Status changed from Busy to Ready."/>
    <x v="0"/>
    <x v="0"/>
    <d v="2016-10-04T00:00:00"/>
    <d v="1899-12-30T09:05:49"/>
    <s v="Analyzer"/>
    <x v="0"/>
    <x v="0"/>
    <x v="0"/>
    <x v="0"/>
  </r>
  <r>
    <s v="Analyzer Status changed from Ready to Maintenance."/>
    <x v="0"/>
    <x v="0"/>
    <d v="2016-10-04T00:00:00"/>
    <d v="1899-12-30T09:05:49"/>
    <s v="Analyzer"/>
    <x v="0"/>
    <x v="0"/>
    <x v="0"/>
    <x v="0"/>
  </r>
  <r>
    <s v="Analyzer Status changed from Maintenance to Ready."/>
    <x v="0"/>
    <x v="0"/>
    <d v="2016-10-04T00:00:00"/>
    <d v="1899-12-30T09:06:16"/>
    <s v="Analyzer"/>
    <x v="0"/>
    <x v="0"/>
    <x v="0"/>
    <x v="0"/>
  </r>
  <r>
    <s v="Automatic maintenance activity Automatic Routine Clean for all Probes has been executed."/>
    <x v="2"/>
    <x v="0"/>
    <d v="2016-10-04T00:00:00"/>
    <d v="1899-12-30T09:06:16"/>
    <s v="Maintenance"/>
    <x v="0"/>
    <x v="2"/>
    <x v="2"/>
    <x v="0"/>
  </r>
  <r>
    <s v="Analyzer Status changed from Ready to Busy."/>
    <x v="0"/>
    <x v="0"/>
    <d v="2016-10-04T00:00:00"/>
    <d v="1899-12-30T09:08:22"/>
    <s v="Analyzer"/>
    <x v="0"/>
    <x v="0"/>
    <x v="0"/>
    <x v="0"/>
  </r>
  <r>
    <s v="Non-identified Sample in rack 01 position 1, track 9."/>
    <x v="12"/>
    <x v="2"/>
    <d v="2016-10-04T00:00:00"/>
    <d v="1899-12-30T09:15:00"/>
    <s v="Materials"/>
    <x v="0"/>
    <x v="4"/>
    <x v="7"/>
    <x v="1"/>
  </r>
  <r>
    <s v="Analyzer Status changed from Busy to Ready."/>
    <x v="0"/>
    <x v="0"/>
    <d v="2016-10-04T00:00:00"/>
    <d v="1899-12-30T09:25:10"/>
    <s v="Analyzer"/>
    <x v="0"/>
    <x v="0"/>
    <x v="0"/>
    <x v="0"/>
  </r>
  <r>
    <s v="Analyzer Status changed from Ready to Maintenance."/>
    <x v="0"/>
    <x v="0"/>
    <d v="2016-10-04T00:00:00"/>
    <d v="1899-12-30T09:25:10"/>
    <s v="Analyzer"/>
    <x v="0"/>
    <x v="0"/>
    <x v="0"/>
    <x v="0"/>
  </r>
  <r>
    <s v="Analyzer Status changed from Maintenance to Ready."/>
    <x v="0"/>
    <x v="0"/>
    <d v="2016-10-04T00:00:00"/>
    <d v="1899-12-30T09:25:38"/>
    <s v="Analyzer"/>
    <x v="0"/>
    <x v="0"/>
    <x v="0"/>
    <x v="0"/>
  </r>
  <r>
    <s v="Automatic maintenance activity Automatic Routine Clean for all Probes has been executed."/>
    <x v="2"/>
    <x v="0"/>
    <d v="2016-10-04T00:00:00"/>
    <d v="1899-12-30T09:25:38"/>
    <s v="Maintenance"/>
    <x v="0"/>
    <x v="2"/>
    <x v="2"/>
    <x v="0"/>
  </r>
  <r>
    <s v="Auto-Validation Rules have been modified."/>
    <x v="8"/>
    <x v="0"/>
    <d v="2016-10-04T00:00:00"/>
    <d v="1899-12-30T09:28:33"/>
    <s v="Setup"/>
    <x v="0"/>
    <x v="2"/>
    <x v="5"/>
    <x v="0"/>
  </r>
  <r>
    <s v="Communications between the instrument and the LIS have been lost."/>
    <x v="13"/>
    <x v="2"/>
    <d v="2016-10-04T00:00:00"/>
    <d v="1899-12-30T09:38:18"/>
    <s v="LIS"/>
    <x v="0"/>
    <x v="2"/>
    <x v="6"/>
    <x v="0"/>
  </r>
  <r>
    <s v="Communications between the instrument and the LIS have been lost."/>
    <x v="13"/>
    <x v="2"/>
    <d v="2016-10-04T00:00:00"/>
    <d v="1899-12-30T10:17:18"/>
    <s v="LIS"/>
    <x v="0"/>
    <x v="2"/>
    <x v="6"/>
    <x v="0"/>
  </r>
  <r>
    <s v="Analyzer Status changed from Ready to Maintenance."/>
    <x v="0"/>
    <x v="0"/>
    <d v="2016-10-04T00:00:00"/>
    <d v="1899-12-30T10:25:38"/>
    <s v="Analyzer"/>
    <x v="0"/>
    <x v="0"/>
    <x v="0"/>
    <x v="0"/>
  </r>
  <r>
    <s v="Analyzer Status changed from Maintenance to Ready."/>
    <x v="0"/>
    <x v="0"/>
    <d v="2016-10-04T00:00:00"/>
    <d v="1899-12-30T10:27:12"/>
    <s v="Analyzer"/>
    <x v="0"/>
    <x v="0"/>
    <x v="0"/>
    <x v="0"/>
  </r>
  <r>
    <s v="Automatic maintenance activity Automatic Fluidic Line Priming Cycle has been executed."/>
    <x v="2"/>
    <x v="0"/>
    <d v="2016-10-04T00:00:00"/>
    <d v="1899-12-30T10:27:12"/>
    <s v="Maintenance"/>
    <x v="0"/>
    <x v="2"/>
    <x v="2"/>
    <x v="0"/>
  </r>
  <r>
    <s v="Non-identified Sample in rack 07 position 1, track 10."/>
    <x v="12"/>
    <x v="2"/>
    <d v="2016-10-04T00:00:00"/>
    <d v="1899-12-30T11:08:22"/>
    <s v="Materials"/>
    <x v="0"/>
    <x v="4"/>
    <x v="7"/>
    <x v="1"/>
  </r>
  <r>
    <s v="Non-identified Sample in rack 07 position 1, track 10."/>
    <x v="12"/>
    <x v="2"/>
    <d v="2016-10-04T00:00:00"/>
    <d v="1899-12-30T11:09:46"/>
    <s v="Materials"/>
    <x v="0"/>
    <x v="4"/>
    <x v="7"/>
    <x v="1"/>
  </r>
  <r>
    <s v="Analyzer Status changed from Ready to Busy."/>
    <x v="0"/>
    <x v="0"/>
    <d v="2016-10-04T00:00:00"/>
    <d v="1899-12-30T11:09:53"/>
    <s v="Analyzer"/>
    <x v="0"/>
    <x v="0"/>
    <x v="0"/>
    <x v="0"/>
  </r>
  <r>
    <s v="Analyzer Status changed from Busy to Ready."/>
    <x v="0"/>
    <x v="0"/>
    <d v="2016-10-04T00:00:00"/>
    <d v="1899-12-30T11:18:31"/>
    <s v="Analyzer"/>
    <x v="0"/>
    <x v="0"/>
    <x v="0"/>
    <x v="0"/>
  </r>
  <r>
    <s v="Analyzer Status changed from Ready to Maintenance."/>
    <x v="0"/>
    <x v="0"/>
    <d v="2016-10-04T00:00:00"/>
    <d v="1899-12-30T11:18:31"/>
    <s v="Analyzer"/>
    <x v="0"/>
    <x v="0"/>
    <x v="0"/>
    <x v="0"/>
  </r>
  <r>
    <s v="Automatic maintenance activity Automatic Routine Clean for all Probes has been executed."/>
    <x v="2"/>
    <x v="0"/>
    <d v="2016-10-04T00:00:00"/>
    <d v="1899-12-30T11:18:55"/>
    <s v="Maintenance"/>
    <x v="0"/>
    <x v="2"/>
    <x v="2"/>
    <x v="0"/>
  </r>
  <r>
    <s v="Analyzer Status changed from Maintenance to Ready."/>
    <x v="0"/>
    <x v="0"/>
    <d v="2016-10-04T00:00:00"/>
    <d v="1899-12-30T11:18:56"/>
    <s v="Analyzer"/>
    <x v="0"/>
    <x v="0"/>
    <x v="0"/>
    <x v="0"/>
  </r>
  <r>
    <s v="Test Definition Hepz Fib has been modified."/>
    <x v="14"/>
    <x v="0"/>
    <d v="2016-10-04T00:00:00"/>
    <d v="1899-12-30T11:51:28"/>
    <s v="Setup"/>
    <x v="0"/>
    <x v="2"/>
    <x v="5"/>
    <x v="0"/>
  </r>
  <r>
    <s v="Analyzer Status changed from Ready to Busy."/>
    <x v="0"/>
    <x v="0"/>
    <d v="2016-10-04T00:00:00"/>
    <d v="1899-12-30T11:52:12"/>
    <s v="Analyzer"/>
    <x v="0"/>
    <x v="0"/>
    <x v="0"/>
    <x v="0"/>
  </r>
  <r>
    <s v="Analyzer Status changed from Busy to Ready."/>
    <x v="0"/>
    <x v="0"/>
    <d v="2016-10-04T00:00:00"/>
    <d v="1899-12-30T11:58:20"/>
    <s v="Analyzer"/>
    <x v="0"/>
    <x v="0"/>
    <x v="0"/>
    <x v="0"/>
  </r>
  <r>
    <s v="Analyzer Status changed from Ready to Maintenance."/>
    <x v="0"/>
    <x v="0"/>
    <d v="2016-10-04T00:00:00"/>
    <d v="1899-12-30T11:58:21"/>
    <s v="Analyzer"/>
    <x v="0"/>
    <x v="0"/>
    <x v="0"/>
    <x v="0"/>
  </r>
  <r>
    <s v="Analyzer Status changed from Maintenance to Ready."/>
    <x v="0"/>
    <x v="0"/>
    <d v="2016-10-04T00:00:00"/>
    <d v="1899-12-30T11:58:45"/>
    <s v="Analyzer"/>
    <x v="0"/>
    <x v="0"/>
    <x v="0"/>
    <x v="0"/>
  </r>
  <r>
    <s v="Automatic maintenance activity Automatic Routine Clean for all Probes has been executed."/>
    <x v="2"/>
    <x v="0"/>
    <d v="2016-10-04T00:00:00"/>
    <d v="1899-12-30T11:58:45"/>
    <s v="Maintenance"/>
    <x v="0"/>
    <x v="2"/>
    <x v="2"/>
    <x v="0"/>
  </r>
  <r>
    <s v="Analyzer Status changed from Ready to Busy."/>
    <x v="0"/>
    <x v="0"/>
    <d v="2016-10-04T00:00:00"/>
    <d v="1899-12-30T12:07:12"/>
    <s v="Analyzer"/>
    <x v="0"/>
    <x v="0"/>
    <x v="0"/>
    <x v="0"/>
  </r>
  <r>
    <s v="Cuvettes low in the load area."/>
    <x v="15"/>
    <x v="1"/>
    <d v="2016-10-04T00:00:00"/>
    <d v="1899-12-30T12:07:25"/>
    <s v="Materials"/>
    <x v="0"/>
    <x v="5"/>
    <x v="8"/>
    <x v="0"/>
  </r>
  <r>
    <s v="Analyzer Status changed from Busy to Ready."/>
    <x v="0"/>
    <x v="0"/>
    <d v="2016-10-04T00:00:00"/>
    <d v="1899-12-30T12:14:32"/>
    <s v="Analyzer"/>
    <x v="0"/>
    <x v="0"/>
    <x v="0"/>
    <x v="0"/>
  </r>
  <r>
    <s v="Analyzer Status changed from Ready to Maintenance."/>
    <x v="0"/>
    <x v="0"/>
    <d v="2016-10-04T00:00:00"/>
    <d v="1899-12-30T12:14:32"/>
    <s v="Analyzer"/>
    <x v="0"/>
    <x v="0"/>
    <x v="0"/>
    <x v="0"/>
  </r>
  <r>
    <s v="Automatic maintenance activity Automatic Routine Clean for all Probes has been executed."/>
    <x v="2"/>
    <x v="0"/>
    <d v="2016-10-04T00:00:00"/>
    <d v="1899-12-30T12:14:58"/>
    <s v="Maintenance"/>
    <x v="0"/>
    <x v="2"/>
    <x v="2"/>
    <x v="0"/>
  </r>
  <r>
    <s v="Analyzer Status changed from Maintenance to Ready."/>
    <x v="0"/>
    <x v="0"/>
    <d v="2016-10-04T00:00:00"/>
    <d v="1899-12-30T12:14:59"/>
    <s v="Analyzer"/>
    <x v="0"/>
    <x v="0"/>
    <x v="0"/>
    <x v="0"/>
  </r>
  <r>
    <s v="Communications between the instrument and the LIS have been lost."/>
    <x v="13"/>
    <x v="2"/>
    <d v="2016-10-04T00:00:00"/>
    <d v="1899-12-30T12:28:18"/>
    <s v="LIS"/>
    <x v="0"/>
    <x v="2"/>
    <x v="6"/>
    <x v="0"/>
  </r>
  <r>
    <s v="Analyzer Status changed from Ready to Initializing."/>
    <x v="0"/>
    <x v="0"/>
    <d v="2016-10-04T00:00:00"/>
    <d v="1899-12-30T12:33:34"/>
    <s v="Analyzer"/>
    <x v="0"/>
    <x v="0"/>
    <x v="0"/>
    <x v="0"/>
  </r>
  <r>
    <s v="Logout by user: LHO."/>
    <x v="16"/>
    <x v="0"/>
    <d v="2016-10-04T00:00:00"/>
    <d v="1899-12-30T12:34:28"/>
    <s v="Other"/>
    <x v="0"/>
    <x v="2"/>
    <x v="5"/>
    <x v="0"/>
  </r>
  <r>
    <s v="LAS Interface Manager (IM) communications error."/>
    <x v="17"/>
    <x v="2"/>
    <d v="2016-10-04T00:00:00"/>
    <d v="1899-12-30T12:44:46"/>
    <s v="LIS"/>
    <x v="1"/>
    <x v="2"/>
    <x v="9"/>
    <x v="0"/>
  </r>
  <r>
    <s v="Successful log in by user: LHO."/>
    <x v="18"/>
    <x v="0"/>
    <d v="2016-10-04T00:00:00"/>
    <d v="1899-12-30T12:45:03"/>
    <s v="Other"/>
    <x v="0"/>
    <x v="2"/>
    <x v="5"/>
    <x v="0"/>
  </r>
  <r>
    <s v="Cuvettes low in the load area."/>
    <x v="15"/>
    <x v="1"/>
    <d v="2016-10-04T00:00:00"/>
    <d v="1899-12-30T12:45:25"/>
    <s v="Materials"/>
    <x v="0"/>
    <x v="5"/>
    <x v="8"/>
    <x v="0"/>
  </r>
  <r>
    <s v="Analyzer Status changed from Not connected to Power up."/>
    <x v="0"/>
    <x v="0"/>
    <d v="2016-10-04T00:00:00"/>
    <d v="1899-12-30T12:45:26"/>
    <s v="Analyzer"/>
    <x v="0"/>
    <x v="0"/>
    <x v="0"/>
    <x v="0"/>
  </r>
  <r>
    <s v="Analyzer Status changed from Power up to Initializing."/>
    <x v="0"/>
    <x v="0"/>
    <d v="2016-10-04T00:00:00"/>
    <d v="1899-12-30T12:45:31"/>
    <s v="Analyzer"/>
    <x v="0"/>
    <x v="0"/>
    <x v="0"/>
    <x v="0"/>
  </r>
  <r>
    <s v="Analyzer Status changed from Initializing to Adjusting thermal."/>
    <x v="0"/>
    <x v="0"/>
    <d v="2016-10-04T00:00:00"/>
    <d v="1899-12-30T12:47:22"/>
    <s v="Analyzer"/>
    <x v="0"/>
    <x v="0"/>
    <x v="0"/>
    <x v="0"/>
  </r>
  <r>
    <s v="Analyzer Status changed from Adjusting thermal to Ready."/>
    <x v="0"/>
    <x v="0"/>
    <d v="2016-10-04T00:00:00"/>
    <d v="1899-12-30T12:49:27"/>
    <s v="Analyzer"/>
    <x v="0"/>
    <x v="0"/>
    <x v="0"/>
    <x v="0"/>
  </r>
  <r>
    <s v="Analyzer Status changed from Ready to Maintenance."/>
    <x v="0"/>
    <x v="0"/>
    <d v="2016-10-04T00:00:00"/>
    <d v="1899-12-30T12:49:27"/>
    <s v="Analyzer"/>
    <x v="0"/>
    <x v="0"/>
    <x v="0"/>
    <x v="0"/>
  </r>
  <r>
    <s v="Analyzer Status changed from Maintenance to Ready."/>
    <x v="0"/>
    <x v="0"/>
    <d v="2016-10-04T00:00:00"/>
    <d v="1899-12-30T12:50:41"/>
    <s v="Analyzer"/>
    <x v="0"/>
    <x v="0"/>
    <x v="0"/>
    <x v="0"/>
  </r>
  <r>
    <s v="Analyzer Status changed from Ready to Maintenance."/>
    <x v="0"/>
    <x v="0"/>
    <d v="2016-10-04T00:00:00"/>
    <d v="1899-12-30T13:50:41"/>
    <s v="Analyzer"/>
    <x v="0"/>
    <x v="0"/>
    <x v="0"/>
    <x v="0"/>
  </r>
  <r>
    <s v="Analyzer Status changed from Maintenance to Ready."/>
    <x v="0"/>
    <x v="0"/>
    <d v="2016-10-04T00:00:00"/>
    <d v="1899-12-30T13:51:02"/>
    <s v="Analyzer"/>
    <x v="0"/>
    <x v="0"/>
    <x v="0"/>
    <x v="0"/>
  </r>
  <r>
    <s v="Automatic maintenance activity Automatic Fluidic Line Priming Cycle has been executed."/>
    <x v="2"/>
    <x v="0"/>
    <d v="2016-10-04T00:00:00"/>
    <d v="1899-12-30T13:51:02"/>
    <s v="Maintenance"/>
    <x v="0"/>
    <x v="2"/>
    <x v="2"/>
    <x v="0"/>
  </r>
  <r>
    <s v="Auto-Validation Rules have been modified."/>
    <x v="8"/>
    <x v="0"/>
    <d v="2016-10-04T00:00:00"/>
    <d v="1899-12-30T14:21:33"/>
    <s v="Setup"/>
    <x v="0"/>
    <x v="2"/>
    <x v="5"/>
    <x v="0"/>
  </r>
  <r>
    <s v="Analyzer Status changed from Ready to Maintenance."/>
    <x v="0"/>
    <x v="0"/>
    <d v="2016-10-04T00:00:00"/>
    <d v="1899-12-30T14:51:03"/>
    <s v="Analyzer"/>
    <x v="0"/>
    <x v="0"/>
    <x v="0"/>
    <x v="0"/>
  </r>
  <r>
    <s v="Analyzer Status changed from Maintenance to Ready."/>
    <x v="0"/>
    <x v="0"/>
    <d v="2016-10-04T00:00:00"/>
    <d v="1899-12-30T14:51:24"/>
    <s v="Analyzer"/>
    <x v="0"/>
    <x v="0"/>
    <x v="0"/>
    <x v="0"/>
  </r>
  <r>
    <s v="Automatic maintenance activity Automatic Fluidic Line Priming Cycle has been executed."/>
    <x v="2"/>
    <x v="0"/>
    <d v="2016-10-04T00:00:00"/>
    <d v="1899-12-30T14:51:24"/>
    <s v="Maintenance"/>
    <x v="0"/>
    <x v="2"/>
    <x v="2"/>
    <x v="0"/>
  </r>
  <r>
    <s v="Analyzer Status changed from Ready to Maintenance."/>
    <x v="0"/>
    <x v="0"/>
    <d v="2016-10-04T00:00:00"/>
    <d v="1899-12-30T15:51:24"/>
    <s v="Analyzer"/>
    <x v="0"/>
    <x v="0"/>
    <x v="0"/>
    <x v="0"/>
  </r>
  <r>
    <s v="Analyzer Status changed from Maintenance to Ready."/>
    <x v="0"/>
    <x v="0"/>
    <d v="2016-10-04T00:00:00"/>
    <d v="1899-12-30T15:51:46"/>
    <s v="Analyzer"/>
    <x v="0"/>
    <x v="0"/>
    <x v="0"/>
    <x v="0"/>
  </r>
  <r>
    <s v="Automatic maintenance activity Automatic Fluidic Line Priming Cycle has been executed."/>
    <x v="2"/>
    <x v="0"/>
    <d v="2016-10-04T00:00:00"/>
    <d v="1899-12-30T15:51:46"/>
    <s v="Maintenance"/>
    <x v="0"/>
    <x v="2"/>
    <x v="2"/>
    <x v="0"/>
  </r>
  <r>
    <s v="Analyzer Status changed from Ready to Maintenance."/>
    <x v="0"/>
    <x v="0"/>
    <d v="2016-10-04T00:00:00"/>
    <d v="1899-12-30T16:51:46"/>
    <s v="Analyzer"/>
    <x v="0"/>
    <x v="0"/>
    <x v="0"/>
    <x v="0"/>
  </r>
  <r>
    <s v="Analyzer Status changed from Maintenance to Ready."/>
    <x v="0"/>
    <x v="0"/>
    <d v="2016-10-04T00:00:00"/>
    <d v="1899-12-30T16:52:08"/>
    <s v="Analyzer"/>
    <x v="0"/>
    <x v="0"/>
    <x v="0"/>
    <x v="0"/>
  </r>
  <r>
    <s v="Automatic maintenance activity Automatic Fluidic Line Priming Cycle has been executed."/>
    <x v="2"/>
    <x v="0"/>
    <d v="2016-10-04T00:00:00"/>
    <d v="1899-12-30T16:52:08"/>
    <s v="Maintenance"/>
    <x v="0"/>
    <x v="2"/>
    <x v="2"/>
    <x v="0"/>
  </r>
  <r>
    <s v="Analyzer Status changed from Ready to Maintenance."/>
    <x v="0"/>
    <x v="0"/>
    <d v="2016-10-04T00:00:00"/>
    <d v="1899-12-30T17:52:08"/>
    <s v="Analyzer"/>
    <x v="0"/>
    <x v="0"/>
    <x v="0"/>
    <x v="0"/>
  </r>
  <r>
    <s v="Analyzer Status changed from Maintenance to Ready."/>
    <x v="0"/>
    <x v="0"/>
    <d v="2016-10-04T00:00:00"/>
    <d v="1899-12-30T17:52:30"/>
    <s v="Analyzer"/>
    <x v="0"/>
    <x v="0"/>
    <x v="0"/>
    <x v="0"/>
  </r>
  <r>
    <s v="Automatic maintenance activity Automatic Fluidic Line Priming Cycle has been executed."/>
    <x v="2"/>
    <x v="0"/>
    <d v="2016-10-04T00:00:00"/>
    <d v="1899-12-30T17:52:30"/>
    <s v="Maintenance"/>
    <x v="0"/>
    <x v="2"/>
    <x v="2"/>
    <x v="0"/>
  </r>
  <r>
    <s v="Analyzer Status changed from Ready to Maintenance."/>
    <x v="0"/>
    <x v="0"/>
    <d v="2016-10-04T00:00:00"/>
    <d v="1899-12-30T18:52:30"/>
    <s v="Analyzer"/>
    <x v="0"/>
    <x v="0"/>
    <x v="0"/>
    <x v="0"/>
  </r>
  <r>
    <s v="Analyzer Status changed from Maintenance to Ready."/>
    <x v="0"/>
    <x v="0"/>
    <d v="2016-10-04T00:00:00"/>
    <d v="1899-12-30T18:52:52"/>
    <s v="Analyzer"/>
    <x v="0"/>
    <x v="0"/>
    <x v="0"/>
    <x v="0"/>
  </r>
  <r>
    <s v="Automatic maintenance activity Automatic Fluidic Line Priming Cycle has been executed."/>
    <x v="2"/>
    <x v="0"/>
    <d v="2016-10-04T00:00:00"/>
    <d v="1899-12-30T18:52:52"/>
    <s v="Maintenance"/>
    <x v="0"/>
    <x v="2"/>
    <x v="2"/>
    <x v="0"/>
  </r>
  <r>
    <s v="Analyzer Status changed from Ready to Maintenance."/>
    <x v="0"/>
    <x v="0"/>
    <d v="2016-10-04T00:00:00"/>
    <d v="1899-12-30T19:52:52"/>
    <s v="Analyzer"/>
    <x v="0"/>
    <x v="0"/>
    <x v="0"/>
    <x v="0"/>
  </r>
  <r>
    <s v="Analyzer Status changed from Maintenance to Ready."/>
    <x v="0"/>
    <x v="0"/>
    <d v="2016-10-04T00:00:00"/>
    <d v="1899-12-30T19:53:14"/>
    <s v="Analyzer"/>
    <x v="0"/>
    <x v="0"/>
    <x v="0"/>
    <x v="0"/>
  </r>
  <r>
    <s v="Automatic maintenance activity Automatic Fluidic Line Priming Cycle has been executed."/>
    <x v="2"/>
    <x v="0"/>
    <d v="2016-10-04T00:00:00"/>
    <d v="1899-12-30T19:53:14"/>
    <s v="Maintenance"/>
    <x v="0"/>
    <x v="2"/>
    <x v="2"/>
    <x v="0"/>
  </r>
  <r>
    <s v="Analyzer Status changed from Ready to Maintenance."/>
    <x v="0"/>
    <x v="0"/>
    <d v="2016-10-04T00:00:00"/>
    <d v="1899-12-30T20:53:14"/>
    <s v="Analyzer"/>
    <x v="0"/>
    <x v="0"/>
    <x v="0"/>
    <x v="0"/>
  </r>
  <r>
    <s v="Clean solution level low."/>
    <x v="19"/>
    <x v="1"/>
    <d v="2016-10-04T00:00:00"/>
    <d v="1899-12-30T20:53:21"/>
    <s v="Materials"/>
    <x v="0"/>
    <x v="1"/>
    <x v="10"/>
    <x v="0"/>
  </r>
  <r>
    <s v="Analyzer Status changed from Maintenance to Ready."/>
    <x v="0"/>
    <x v="0"/>
    <d v="2016-10-04T00:00:00"/>
    <d v="1899-12-30T20:53:36"/>
    <s v="Analyzer"/>
    <x v="0"/>
    <x v="0"/>
    <x v="0"/>
    <x v="0"/>
  </r>
  <r>
    <s v="Automatic maintenance activity Automatic Fluidic Line Priming Cycle has been executed."/>
    <x v="2"/>
    <x v="0"/>
    <d v="2016-10-04T00:00:00"/>
    <d v="1899-12-30T20:53:36"/>
    <s v="Maintenance"/>
    <x v="0"/>
    <x v="2"/>
    <x v="2"/>
    <x v="0"/>
  </r>
  <r>
    <s v="Analyzer Status changed from Ready to Maintenance."/>
    <x v="0"/>
    <x v="0"/>
    <d v="2016-10-04T00:00:00"/>
    <d v="1899-12-30T21:53:36"/>
    <s v="Analyzer"/>
    <x v="0"/>
    <x v="0"/>
    <x v="0"/>
    <x v="0"/>
  </r>
  <r>
    <s v="Analyzer Status changed from Maintenance to Ready."/>
    <x v="0"/>
    <x v="0"/>
    <d v="2016-10-04T00:00:00"/>
    <d v="1899-12-30T21:53:58"/>
    <s v="Analyzer"/>
    <x v="0"/>
    <x v="0"/>
    <x v="0"/>
    <x v="0"/>
  </r>
  <r>
    <s v="Automatic maintenance activity Automatic Fluidic Line Priming Cycle has been executed."/>
    <x v="2"/>
    <x v="0"/>
    <d v="2016-10-04T00:00:00"/>
    <d v="1899-12-30T21:53:58"/>
    <s v="Maintenance"/>
    <x v="0"/>
    <x v="2"/>
    <x v="2"/>
    <x v="0"/>
  </r>
  <r>
    <s v="Analyzer Status changed from Ready to Maintenance."/>
    <x v="0"/>
    <x v="0"/>
    <d v="2016-10-04T00:00:00"/>
    <d v="1899-12-30T22:53:58"/>
    <s v="Analyzer"/>
    <x v="0"/>
    <x v="0"/>
    <x v="0"/>
    <x v="0"/>
  </r>
  <r>
    <s v="Automatic maintenance activity Automatic Fluidic Line Priming Cycle has been executed."/>
    <x v="2"/>
    <x v="0"/>
    <d v="2016-10-04T00:00:00"/>
    <d v="1899-12-30T22:54:19"/>
    <s v="Maintenance"/>
    <x v="0"/>
    <x v="2"/>
    <x v="2"/>
    <x v="0"/>
  </r>
  <r>
    <s v="Analyzer Status changed from Maintenance to Ready."/>
    <x v="0"/>
    <x v="0"/>
    <d v="2016-10-04T00:00:00"/>
    <d v="1899-12-30T22:54:20"/>
    <s v="Analyzer"/>
    <x v="0"/>
    <x v="0"/>
    <x v="0"/>
    <x v="0"/>
  </r>
  <r>
    <s v="Analyzer Status changed from Ready to Maintenance."/>
    <x v="0"/>
    <x v="0"/>
    <d v="2016-10-04T00:00:00"/>
    <d v="1899-12-30T23:54:20"/>
    <s v="Analyzer"/>
    <x v="0"/>
    <x v="0"/>
    <x v="0"/>
    <x v="0"/>
  </r>
  <r>
    <s v="Analyzer Status changed from Maintenance to Ready."/>
    <x v="0"/>
    <x v="0"/>
    <d v="2016-10-04T00:00:00"/>
    <d v="1899-12-30T23:54:42"/>
    <s v="Analyzer"/>
    <x v="0"/>
    <x v="0"/>
    <x v="0"/>
    <x v="0"/>
  </r>
  <r>
    <s v="Automatic maintenance activity Automatic Fluidic Line Priming Cycle has been executed."/>
    <x v="2"/>
    <x v="0"/>
    <d v="2016-10-04T00:00:00"/>
    <d v="1899-12-30T23:54:42"/>
    <s v="Maintenance"/>
    <x v="0"/>
    <x v="2"/>
    <x v="2"/>
    <x v="0"/>
  </r>
  <r>
    <s v="Analyzer Status changed from Ready to Maintenance."/>
    <x v="0"/>
    <x v="0"/>
    <d v="2016-10-05T00:00:00"/>
    <d v="1899-12-30T00:54:42"/>
    <s v="Analyzer"/>
    <x v="0"/>
    <x v="0"/>
    <x v="0"/>
    <x v="0"/>
  </r>
  <r>
    <s v="Analyzer Status changed from Maintenance to Ready."/>
    <x v="0"/>
    <x v="0"/>
    <d v="2016-10-05T00:00:00"/>
    <d v="1899-12-30T00:55:04"/>
    <s v="Analyzer"/>
    <x v="0"/>
    <x v="0"/>
    <x v="0"/>
    <x v="0"/>
  </r>
  <r>
    <s v="Automatic maintenance activity Automatic Fluidic Line Priming Cycle has been executed."/>
    <x v="2"/>
    <x v="0"/>
    <d v="2016-10-05T00:00:00"/>
    <d v="1899-12-30T00:55:04"/>
    <s v="Maintenance"/>
    <x v="0"/>
    <x v="2"/>
    <x v="2"/>
    <x v="0"/>
  </r>
  <r>
    <s v="Analyzer Status changed from Ready to Maintenance."/>
    <x v="0"/>
    <x v="0"/>
    <d v="2016-10-05T00:00:00"/>
    <d v="1899-12-30T01:55:04"/>
    <s v="Analyzer"/>
    <x v="0"/>
    <x v="0"/>
    <x v="0"/>
    <x v="0"/>
  </r>
  <r>
    <s v="Analyzer Status changed from Maintenance to Ready."/>
    <x v="0"/>
    <x v="0"/>
    <d v="2016-10-05T00:00:00"/>
    <d v="1899-12-30T01:55:26"/>
    <s v="Analyzer"/>
    <x v="0"/>
    <x v="0"/>
    <x v="0"/>
    <x v="0"/>
  </r>
  <r>
    <s v="Automatic maintenance activity Automatic Fluidic Line Priming Cycle has been executed."/>
    <x v="2"/>
    <x v="0"/>
    <d v="2016-10-05T00:00:00"/>
    <d v="1899-12-30T01:55:26"/>
    <s v="Maintenance"/>
    <x v="0"/>
    <x v="2"/>
    <x v="2"/>
    <x v="0"/>
  </r>
  <r>
    <s v="Analyzer Status changed from Ready to Maintenance."/>
    <x v="0"/>
    <x v="0"/>
    <d v="2016-10-05T00:00:00"/>
    <d v="1899-12-30T02:55:26"/>
    <s v="Analyzer"/>
    <x v="0"/>
    <x v="0"/>
    <x v="0"/>
    <x v="0"/>
  </r>
  <r>
    <s v="Analyzer Status changed from Maintenance to Ready."/>
    <x v="0"/>
    <x v="0"/>
    <d v="2016-10-05T00:00:00"/>
    <d v="1899-12-30T02:55:48"/>
    <s v="Analyzer"/>
    <x v="0"/>
    <x v="0"/>
    <x v="0"/>
    <x v="0"/>
  </r>
  <r>
    <s v="Automatic maintenance activity Automatic Fluidic Line Priming Cycle has been executed."/>
    <x v="2"/>
    <x v="0"/>
    <d v="2016-10-05T00:00:00"/>
    <d v="1899-12-30T02:55:48"/>
    <s v="Maintenance"/>
    <x v="0"/>
    <x v="2"/>
    <x v="2"/>
    <x v="0"/>
  </r>
  <r>
    <s v="Analyzer Status changed from Ready to Maintenance."/>
    <x v="0"/>
    <x v="0"/>
    <d v="2016-10-05T00:00:00"/>
    <d v="1899-12-30T03:55:48"/>
    <s v="Analyzer"/>
    <x v="0"/>
    <x v="0"/>
    <x v="0"/>
    <x v="0"/>
  </r>
  <r>
    <s v="Analyzer Status changed from Maintenance to Ready."/>
    <x v="0"/>
    <x v="0"/>
    <d v="2016-10-05T00:00:00"/>
    <d v="1899-12-30T03:56:10"/>
    <s v="Analyzer"/>
    <x v="0"/>
    <x v="0"/>
    <x v="0"/>
    <x v="0"/>
  </r>
  <r>
    <s v="Automatic maintenance activity Automatic Fluidic Line Priming Cycle has been executed."/>
    <x v="2"/>
    <x v="0"/>
    <d v="2016-10-05T00:00:00"/>
    <d v="1899-12-30T03:56:10"/>
    <s v="Maintenance"/>
    <x v="0"/>
    <x v="2"/>
    <x v="2"/>
    <x v="0"/>
  </r>
  <r>
    <s v="Analyzer Status changed from Ready to Maintenance."/>
    <x v="0"/>
    <x v="0"/>
    <d v="2016-10-05T00:00:00"/>
    <d v="1899-12-30T04:56:10"/>
    <s v="Analyzer"/>
    <x v="0"/>
    <x v="0"/>
    <x v="0"/>
    <x v="0"/>
  </r>
  <r>
    <s v="Analyzer Status changed from Maintenance to Ready."/>
    <x v="0"/>
    <x v="0"/>
    <d v="2016-10-05T00:00:00"/>
    <d v="1899-12-30T04:56:31"/>
    <s v="Analyzer"/>
    <x v="0"/>
    <x v="0"/>
    <x v="0"/>
    <x v="0"/>
  </r>
  <r>
    <s v="Automatic maintenance activity Automatic Fluidic Line Priming Cycle has been executed."/>
    <x v="2"/>
    <x v="0"/>
    <d v="2016-10-05T00:00:00"/>
    <d v="1899-12-30T04:56:31"/>
    <s v="Maintenance"/>
    <x v="0"/>
    <x v="2"/>
    <x v="2"/>
    <x v="0"/>
  </r>
  <r>
    <s v="Analyzer Status changed from Ready to Maintenance."/>
    <x v="0"/>
    <x v="0"/>
    <d v="2016-10-05T00:00:00"/>
    <d v="1899-12-30T05:56:32"/>
    <s v="Analyzer"/>
    <x v="0"/>
    <x v="0"/>
    <x v="0"/>
    <x v="0"/>
  </r>
  <r>
    <s v="Automatic maintenance activity Automatic Fluidic Line Priming Cycle has been executed."/>
    <x v="2"/>
    <x v="0"/>
    <d v="2016-10-05T00:00:00"/>
    <d v="1899-12-30T05:56:53"/>
    <s v="Maintenance"/>
    <x v="0"/>
    <x v="2"/>
    <x v="2"/>
    <x v="0"/>
  </r>
  <r>
    <s v="Analyzer Status changed from Maintenance to Ready."/>
    <x v="0"/>
    <x v="0"/>
    <d v="2016-10-05T00:00:00"/>
    <d v="1899-12-30T05:56:54"/>
    <s v="Analyzer"/>
    <x v="0"/>
    <x v="0"/>
    <x v="0"/>
    <x v="0"/>
  </r>
  <r>
    <s v="Maintenance activity due: Enhanced Clean for Sample and Reagent Probes."/>
    <x v="9"/>
    <x v="1"/>
    <d v="2016-10-05T00:00:00"/>
    <d v="1899-12-30T06:36:44"/>
    <s v="Maintenance"/>
    <x v="0"/>
    <x v="2"/>
    <x v="2"/>
    <x v="0"/>
  </r>
  <r>
    <s v="Maintenance activity due: Enhanced Clean for all Probes."/>
    <x v="9"/>
    <x v="1"/>
    <d v="2016-10-05T00:00:00"/>
    <d v="1899-12-30T06:36:45"/>
    <s v="Maintenance"/>
    <x v="0"/>
    <x v="2"/>
    <x v="2"/>
    <x v="0"/>
  </r>
  <r>
    <s v="Maintenance activity due: make new diluted clean B."/>
    <x v="9"/>
    <x v="1"/>
    <d v="2016-10-05T00:00:00"/>
    <d v="1899-12-30T06:38:45"/>
    <s v="Maintenance"/>
    <x v="0"/>
    <x v="2"/>
    <x v="2"/>
    <x v="0"/>
  </r>
  <r>
    <s v="Maintenance activity due: replace factor diluent."/>
    <x v="9"/>
    <x v="1"/>
    <d v="2016-10-05T00:00:00"/>
    <d v="1899-12-30T06:38:45"/>
    <s v="Maintenance"/>
    <x v="0"/>
    <x v="2"/>
    <x v="2"/>
    <x v="0"/>
  </r>
  <r>
    <s v="Analyzer Status changed from Ready to Maintenance."/>
    <x v="0"/>
    <x v="0"/>
    <d v="2016-10-05T00:00:00"/>
    <d v="1899-12-30T06:56:54"/>
    <s v="Analyzer"/>
    <x v="0"/>
    <x v="0"/>
    <x v="0"/>
    <x v="0"/>
  </r>
  <r>
    <s v="Analyzer Status changed from Maintenance to Ready."/>
    <x v="0"/>
    <x v="0"/>
    <d v="2016-10-05T00:00:00"/>
    <d v="1899-12-30T06:57:15"/>
    <s v="Analyzer"/>
    <x v="0"/>
    <x v="0"/>
    <x v="0"/>
    <x v="0"/>
  </r>
  <r>
    <s v="Automatic maintenance activity Automatic Fluidic Line Priming Cycle has been executed."/>
    <x v="2"/>
    <x v="0"/>
    <d v="2016-10-05T00:00:00"/>
    <d v="1899-12-30T06:57:15"/>
    <s v="Maintenance"/>
    <x v="0"/>
    <x v="2"/>
    <x v="2"/>
    <x v="0"/>
  </r>
  <r>
    <s v="Maintenance activity overdue: Enhanced Clean for Sample and Reagent Probes."/>
    <x v="20"/>
    <x v="1"/>
    <d v="2016-10-05T00:00:00"/>
    <d v="1899-12-30T07:36:44"/>
    <s v="Maintenance"/>
    <x v="0"/>
    <x v="2"/>
    <x v="2"/>
    <x v="0"/>
  </r>
  <r>
    <s v="Maintenance activity overdue: make new diluted clean B."/>
    <x v="20"/>
    <x v="1"/>
    <d v="2016-10-05T00:00:00"/>
    <d v="1899-12-30T07:38:45"/>
    <s v="Maintenance"/>
    <x v="0"/>
    <x v="2"/>
    <x v="2"/>
    <x v="0"/>
  </r>
  <r>
    <s v="Maintenance activity overdue: replace factor diluent."/>
    <x v="20"/>
    <x v="1"/>
    <d v="2016-10-05T00:00:00"/>
    <d v="1899-12-30T07:38:45"/>
    <s v="Maintenance"/>
    <x v="0"/>
    <x v="2"/>
    <x v="2"/>
    <x v="0"/>
  </r>
  <r>
    <s v="Analyzer Status changed from Ready to Maintenance."/>
    <x v="0"/>
    <x v="0"/>
    <d v="2016-10-05T00:00:00"/>
    <d v="1899-12-30T07:57:16"/>
    <s v="Analyzer"/>
    <x v="0"/>
    <x v="0"/>
    <x v="0"/>
    <x v="0"/>
  </r>
  <r>
    <s v="Analyzer Status changed from Maintenance to Ready."/>
    <x v="0"/>
    <x v="0"/>
    <d v="2016-10-05T00:00:00"/>
    <d v="1899-12-30T07:57:37"/>
    <s v="Analyzer"/>
    <x v="0"/>
    <x v="0"/>
    <x v="0"/>
    <x v="0"/>
  </r>
  <r>
    <s v="Automatic maintenance activity Automatic Fluidic Line Priming Cycle has been executed."/>
    <x v="2"/>
    <x v="0"/>
    <d v="2016-10-05T00:00:00"/>
    <d v="1899-12-30T07:57:37"/>
    <s v="Maintenance"/>
    <x v="0"/>
    <x v="2"/>
    <x v="2"/>
    <x v="0"/>
  </r>
  <r>
    <s v="Test Definition FXI-SS has been modified."/>
    <x v="14"/>
    <x v="0"/>
    <d v="2016-10-05T00:00:00"/>
    <d v="1899-12-30T07:58:12"/>
    <s v="Setup"/>
    <x v="0"/>
    <x v="2"/>
    <x v="5"/>
    <x v="0"/>
  </r>
  <r>
    <s v="Test Definition FXI XDIL has been modified."/>
    <x v="14"/>
    <x v="0"/>
    <d v="2016-10-05T00:00:00"/>
    <d v="1899-12-30T07:58:15"/>
    <s v="Setup"/>
    <x v="0"/>
    <x v="2"/>
    <x v="5"/>
    <x v="0"/>
  </r>
  <r>
    <s v="Test Definition FX-RP has been modified."/>
    <x v="14"/>
    <x v="0"/>
    <d v="2016-10-05T00:00:00"/>
    <d v="1899-12-30T07:58:35"/>
    <s v="Setup"/>
    <x v="0"/>
    <x v="2"/>
    <x v="5"/>
    <x v="0"/>
  </r>
  <r>
    <s v="Test Definition FX XDIL has been modified."/>
    <x v="14"/>
    <x v="0"/>
    <d v="2016-10-05T00:00:00"/>
    <d v="1899-12-30T07:58:36"/>
    <s v="Setup"/>
    <x v="0"/>
    <x v="2"/>
    <x v="5"/>
    <x v="0"/>
  </r>
  <r>
    <s v="Test Definition FXII-SS has been modified."/>
    <x v="14"/>
    <x v="0"/>
    <d v="2016-10-05T00:00:00"/>
    <d v="1899-12-30T07:59:00"/>
    <s v="Setup"/>
    <x v="0"/>
    <x v="2"/>
    <x v="5"/>
    <x v="0"/>
  </r>
  <r>
    <s v="Test Definition FXII XDL has been modified."/>
    <x v="14"/>
    <x v="0"/>
    <d v="2016-10-05T00:00:00"/>
    <d v="1899-12-30T07:59:02"/>
    <s v="Setup"/>
    <x v="0"/>
    <x v="2"/>
    <x v="5"/>
    <x v="0"/>
  </r>
  <r>
    <s v="Test Definition FXII XDL has been modified."/>
    <x v="14"/>
    <x v="0"/>
    <d v="2016-10-05T00:00:00"/>
    <d v="1899-12-30T08:00:23"/>
    <s v="Setup"/>
    <x v="0"/>
    <x v="2"/>
    <x v="5"/>
    <x v="0"/>
  </r>
  <r>
    <s v="Test Definition FXI XDIL has been modified."/>
    <x v="14"/>
    <x v="0"/>
    <d v="2016-10-05T00:00:00"/>
    <d v="1899-12-30T08:01:03"/>
    <s v="Setup"/>
    <x v="0"/>
    <x v="2"/>
    <x v="5"/>
    <x v="0"/>
  </r>
  <r>
    <s v="Test Definition FX XDIL has been modified."/>
    <x v="14"/>
    <x v="0"/>
    <d v="2016-10-05T00:00:00"/>
    <d v="1899-12-30T08:01:23"/>
    <s v="Setup"/>
    <x v="0"/>
    <x v="2"/>
    <x v="5"/>
    <x v="0"/>
  </r>
  <r>
    <s v="Test Definition FV-RP has been modified."/>
    <x v="14"/>
    <x v="0"/>
    <d v="2016-10-05T00:00:00"/>
    <d v="1899-12-30T08:01:49"/>
    <s v="Setup"/>
    <x v="0"/>
    <x v="2"/>
    <x v="5"/>
    <x v="0"/>
  </r>
  <r>
    <s v="Test Definition FV XDIL has been modified."/>
    <x v="14"/>
    <x v="0"/>
    <d v="2016-10-05T00:00:00"/>
    <d v="1899-12-30T08:01:51"/>
    <s v="Setup"/>
    <x v="0"/>
    <x v="2"/>
    <x v="5"/>
    <x v="0"/>
  </r>
  <r>
    <s v="Test Definition FVII-RP has been modified."/>
    <x v="14"/>
    <x v="0"/>
    <d v="2016-10-05T00:00:00"/>
    <d v="1899-12-30T08:02:10"/>
    <s v="Setup"/>
    <x v="0"/>
    <x v="2"/>
    <x v="5"/>
    <x v="0"/>
  </r>
  <r>
    <s v="Test Definition FVII XDL has been modified."/>
    <x v="14"/>
    <x v="0"/>
    <d v="2016-10-05T00:00:00"/>
    <d v="1899-12-30T08:02:12"/>
    <s v="Setup"/>
    <x v="0"/>
    <x v="2"/>
    <x v="5"/>
    <x v="0"/>
  </r>
  <r>
    <s v="Test Definition FVIII XD has been modified."/>
    <x v="14"/>
    <x v="0"/>
    <d v="2016-10-05T00:00:00"/>
    <d v="1899-12-30T08:04:08"/>
    <s v="Setup"/>
    <x v="0"/>
    <x v="2"/>
    <x v="5"/>
    <x v="0"/>
  </r>
  <r>
    <s v="Test Definition FVIII XD has been modified."/>
    <x v="14"/>
    <x v="0"/>
    <d v="2016-10-05T00:00:00"/>
    <d v="1899-12-30T08:04:52"/>
    <s v="Setup"/>
    <x v="0"/>
    <x v="2"/>
    <x v="5"/>
    <x v="0"/>
  </r>
  <r>
    <s v="Test Definition FVII XDL has been modified."/>
    <x v="14"/>
    <x v="0"/>
    <d v="2016-10-05T00:00:00"/>
    <d v="1899-12-30T08:05:48"/>
    <s v="Setup"/>
    <x v="0"/>
    <x v="2"/>
    <x v="5"/>
    <x v="0"/>
  </r>
  <r>
    <s v="Test Definition FV XDIL has been modified."/>
    <x v="14"/>
    <x v="0"/>
    <d v="2016-10-05T00:00:00"/>
    <d v="1899-12-30T08:06:12"/>
    <s v="Setup"/>
    <x v="0"/>
    <x v="2"/>
    <x v="5"/>
    <x v="0"/>
  </r>
  <r>
    <s v="Test Definition FIX-SS has been modified."/>
    <x v="14"/>
    <x v="0"/>
    <d v="2016-10-05T00:00:00"/>
    <d v="1899-12-30T08:06:41"/>
    <s v="Setup"/>
    <x v="0"/>
    <x v="2"/>
    <x v="5"/>
    <x v="0"/>
  </r>
  <r>
    <s v="Test Definition FIX XDIL has been modified."/>
    <x v="14"/>
    <x v="0"/>
    <d v="2016-10-05T00:00:00"/>
    <d v="1899-12-30T08:06:43"/>
    <s v="Setup"/>
    <x v="0"/>
    <x v="2"/>
    <x v="5"/>
    <x v="0"/>
  </r>
  <r>
    <s v="Test Definition FIX XDIL has been modified."/>
    <x v="14"/>
    <x v="0"/>
    <d v="2016-10-05T00:00:00"/>
    <d v="1899-12-30T08:07:04"/>
    <s v="Setup"/>
    <x v="0"/>
    <x v="2"/>
    <x v="5"/>
    <x v="0"/>
  </r>
  <r>
    <s v="Test Definition FII-RP has been modified."/>
    <x v="14"/>
    <x v="0"/>
    <d v="2016-10-05T00:00:00"/>
    <d v="1899-12-30T08:07:56"/>
    <s v="Setup"/>
    <x v="0"/>
    <x v="2"/>
    <x v="5"/>
    <x v="0"/>
  </r>
  <r>
    <s v="Test Definition FII XDIL has been modified."/>
    <x v="14"/>
    <x v="0"/>
    <d v="2016-10-05T00:00:00"/>
    <d v="1899-12-30T08:07:58"/>
    <s v="Setup"/>
    <x v="0"/>
    <x v="2"/>
    <x v="5"/>
    <x v="0"/>
  </r>
  <r>
    <s v="Maintenance activity overdue: Wipe-down all Probes."/>
    <x v="20"/>
    <x v="1"/>
    <d v="2016-10-05T00:00:00"/>
    <d v="1899-12-30T08:25:44"/>
    <s v="Maintenance"/>
    <x v="0"/>
    <x v="2"/>
    <x v="2"/>
    <x v="0"/>
  </r>
  <r>
    <s v="Maintenance activity overdue: Wipe-down Sample Probe."/>
    <x v="20"/>
    <x v="1"/>
    <d v="2016-10-05T00:00:00"/>
    <d v="1899-12-30T08:25:44"/>
    <s v="Maintenance"/>
    <x v="0"/>
    <x v="2"/>
    <x v="2"/>
    <x v="0"/>
  </r>
  <r>
    <s v="Maintenance activity overdue: Clean Cuvette Waste Drawer."/>
    <x v="20"/>
    <x v="1"/>
    <d v="2016-10-05T00:00:00"/>
    <d v="1899-12-30T08:32:44"/>
    <s v="Maintenance"/>
    <x v="0"/>
    <x v="2"/>
    <x v="2"/>
    <x v="0"/>
  </r>
  <r>
    <s v="Analyzer Status changed from Ready to Maintenance."/>
    <x v="0"/>
    <x v="0"/>
    <d v="2016-10-05T00:00:00"/>
    <d v="1899-12-30T08:57:37"/>
    <s v="Analyzer"/>
    <x v="0"/>
    <x v="0"/>
    <x v="0"/>
    <x v="0"/>
  </r>
  <r>
    <s v="Analyzer Status changed from Maintenance to Ready."/>
    <x v="0"/>
    <x v="0"/>
    <d v="2016-10-05T00:00:00"/>
    <d v="1899-12-30T08:57:59"/>
    <s v="Analyzer"/>
    <x v="0"/>
    <x v="0"/>
    <x v="0"/>
    <x v="0"/>
  </r>
  <r>
    <s v="Automatic maintenance activity Automatic Fluidic Line Priming Cycle has been executed."/>
    <x v="2"/>
    <x v="0"/>
    <d v="2016-10-05T00:00:00"/>
    <d v="1899-12-30T08:57:59"/>
    <s v="Maintenance"/>
    <x v="0"/>
    <x v="2"/>
    <x v="2"/>
    <x v="0"/>
  </r>
  <r>
    <s v="Reflex Rule FII-dil has been deleted."/>
    <x v="21"/>
    <x v="0"/>
    <d v="2016-10-05T00:00:00"/>
    <d v="1899-12-30T09:34:19"/>
    <s v="Setup"/>
    <x v="0"/>
    <x v="2"/>
    <x v="5"/>
    <x v="0"/>
  </r>
  <r>
    <s v="Reflex Rule FIX-dil has been deleted."/>
    <x v="21"/>
    <x v="0"/>
    <d v="2016-10-05T00:00:00"/>
    <d v="1899-12-30T09:34:30"/>
    <s v="Setup"/>
    <x v="0"/>
    <x v="2"/>
    <x v="5"/>
    <x v="0"/>
  </r>
  <r>
    <s v="Reflex Rule FV-dil has been deleted."/>
    <x v="21"/>
    <x v="0"/>
    <d v="2016-10-05T00:00:00"/>
    <d v="1899-12-30T09:34:36"/>
    <s v="Setup"/>
    <x v="0"/>
    <x v="2"/>
    <x v="5"/>
    <x v="0"/>
  </r>
  <r>
    <s v="Reflex Rule FVII-dil has been deleted."/>
    <x v="21"/>
    <x v="0"/>
    <d v="2016-10-05T00:00:00"/>
    <d v="1899-12-30T09:34:41"/>
    <s v="Setup"/>
    <x v="0"/>
    <x v="2"/>
    <x v="5"/>
    <x v="0"/>
  </r>
  <r>
    <s v="Reflex Rule FVIII-dil has been deleted."/>
    <x v="21"/>
    <x v="0"/>
    <d v="2016-10-05T00:00:00"/>
    <d v="1899-12-30T09:34:48"/>
    <s v="Setup"/>
    <x v="0"/>
    <x v="2"/>
    <x v="5"/>
    <x v="0"/>
  </r>
  <r>
    <s v="Reflex Rule FX-dil has been deleted."/>
    <x v="21"/>
    <x v="0"/>
    <d v="2016-10-05T00:00:00"/>
    <d v="1899-12-30T09:34:51"/>
    <s v="Setup"/>
    <x v="0"/>
    <x v="2"/>
    <x v="5"/>
    <x v="0"/>
  </r>
  <r>
    <s v="Reflex Rule FXI-dil has been deleted."/>
    <x v="21"/>
    <x v="0"/>
    <d v="2016-10-05T00:00:00"/>
    <d v="1899-12-30T09:34:53"/>
    <s v="Setup"/>
    <x v="0"/>
    <x v="2"/>
    <x v="5"/>
    <x v="0"/>
  </r>
  <r>
    <s v="Reflex Rule FXII-dil has been deleted."/>
    <x v="21"/>
    <x v="0"/>
    <d v="2016-10-05T00:00:00"/>
    <d v="1899-12-30T09:34:56"/>
    <s v="Setup"/>
    <x v="0"/>
    <x v="2"/>
    <x v="5"/>
    <x v="0"/>
  </r>
  <r>
    <s v="Test Definition FX-RP has been modified."/>
    <x v="14"/>
    <x v="0"/>
    <d v="2016-10-05T00:00:00"/>
    <d v="1899-12-30T09:35:15"/>
    <s v="Setup"/>
    <x v="0"/>
    <x v="2"/>
    <x v="5"/>
    <x v="0"/>
  </r>
  <r>
    <s v="Test Definition FX XDIL has been modified."/>
    <x v="14"/>
    <x v="0"/>
    <d v="2016-10-05T00:00:00"/>
    <d v="1899-12-30T09:35:17"/>
    <s v="Setup"/>
    <x v="0"/>
    <x v="2"/>
    <x v="5"/>
    <x v="0"/>
  </r>
  <r>
    <s v="Test Definition FXI-SS has been modified."/>
    <x v="14"/>
    <x v="0"/>
    <d v="2016-10-05T00:00:00"/>
    <d v="1899-12-30T09:35:40"/>
    <s v="Setup"/>
    <x v="0"/>
    <x v="2"/>
    <x v="5"/>
    <x v="0"/>
  </r>
  <r>
    <s v="Test Definition FXI XDIL has been modified."/>
    <x v="14"/>
    <x v="0"/>
    <d v="2016-10-05T00:00:00"/>
    <d v="1899-12-30T09:35:43"/>
    <s v="Setup"/>
    <x v="0"/>
    <x v="2"/>
    <x v="5"/>
    <x v="0"/>
  </r>
  <r>
    <s v="Test Definition FXII-SS has been modified."/>
    <x v="14"/>
    <x v="0"/>
    <d v="2016-10-05T00:00:00"/>
    <d v="1899-12-30T09:36:01"/>
    <s v="Setup"/>
    <x v="0"/>
    <x v="2"/>
    <x v="5"/>
    <x v="0"/>
  </r>
  <r>
    <s v="Test Definition FXII XDL has been modified."/>
    <x v="14"/>
    <x v="0"/>
    <d v="2016-10-05T00:00:00"/>
    <d v="1899-12-30T09:36:04"/>
    <s v="Setup"/>
    <x v="0"/>
    <x v="2"/>
    <x v="5"/>
    <x v="0"/>
  </r>
  <r>
    <s v="Test Definition FXII XDL has been modified."/>
    <x v="14"/>
    <x v="0"/>
    <d v="2016-10-05T00:00:00"/>
    <d v="1899-12-30T09:36:26"/>
    <s v="Setup"/>
    <x v="0"/>
    <x v="2"/>
    <x v="5"/>
    <x v="0"/>
  </r>
  <r>
    <s v="Test Definition FXII XDL has been modified."/>
    <x v="14"/>
    <x v="0"/>
    <d v="2016-10-05T00:00:00"/>
    <d v="1899-12-30T09:36:53"/>
    <s v="Setup"/>
    <x v="0"/>
    <x v="2"/>
    <x v="5"/>
    <x v="0"/>
  </r>
  <r>
    <s v="Test Definition FV-RP has been modified."/>
    <x v="14"/>
    <x v="0"/>
    <d v="2016-10-05T00:00:00"/>
    <d v="1899-12-30T09:37:12"/>
    <s v="Setup"/>
    <x v="0"/>
    <x v="2"/>
    <x v="5"/>
    <x v="0"/>
  </r>
  <r>
    <s v="Test Definition FV XDIL has been modified."/>
    <x v="14"/>
    <x v="0"/>
    <d v="2016-10-05T00:00:00"/>
    <d v="1899-12-30T09:37:14"/>
    <s v="Setup"/>
    <x v="0"/>
    <x v="2"/>
    <x v="5"/>
    <x v="0"/>
  </r>
  <r>
    <s v="Test Definition FVII-RP has been modified."/>
    <x v="14"/>
    <x v="0"/>
    <d v="2016-10-05T00:00:00"/>
    <d v="1899-12-30T09:37:47"/>
    <s v="Setup"/>
    <x v="0"/>
    <x v="2"/>
    <x v="5"/>
    <x v="0"/>
  </r>
  <r>
    <s v="Test Definition FVII XDL has been modified."/>
    <x v="14"/>
    <x v="0"/>
    <d v="2016-10-05T00:00:00"/>
    <d v="1899-12-30T09:37:51"/>
    <s v="Setup"/>
    <x v="0"/>
    <x v="2"/>
    <x v="5"/>
    <x v="0"/>
  </r>
  <r>
    <s v="Test Definition FIX-SS has been modified."/>
    <x v="14"/>
    <x v="0"/>
    <d v="2016-10-05T00:00:00"/>
    <d v="1899-12-30T09:38:30"/>
    <s v="Setup"/>
    <x v="0"/>
    <x v="2"/>
    <x v="5"/>
    <x v="0"/>
  </r>
  <r>
    <s v="Test Definition FIX XDIL has been modified."/>
    <x v="14"/>
    <x v="0"/>
    <d v="2016-10-05T00:00:00"/>
    <d v="1899-12-30T09:38:32"/>
    <s v="Setup"/>
    <x v="0"/>
    <x v="2"/>
    <x v="5"/>
    <x v="0"/>
  </r>
  <r>
    <s v="Test Definition FII-RP has been modified."/>
    <x v="14"/>
    <x v="0"/>
    <d v="2016-10-05T00:00:00"/>
    <d v="1899-12-30T09:38:54"/>
    <s v="Setup"/>
    <x v="0"/>
    <x v="2"/>
    <x v="5"/>
    <x v="0"/>
  </r>
  <r>
    <s v="Test Definition FII XDIL has been modified."/>
    <x v="14"/>
    <x v="0"/>
    <d v="2016-10-05T00:00:00"/>
    <d v="1899-12-30T09:38:56"/>
    <s v="Setup"/>
    <x v="0"/>
    <x v="2"/>
    <x v="5"/>
    <x v="0"/>
  </r>
  <r>
    <s v="Test Definition FXI XDIL has been modified."/>
    <x v="14"/>
    <x v="0"/>
    <d v="2016-10-05T00:00:00"/>
    <d v="1899-12-30T09:39:56"/>
    <s v="Setup"/>
    <x v="0"/>
    <x v="2"/>
    <x v="5"/>
    <x v="0"/>
  </r>
  <r>
    <s v="Test Definition FX XDIL has been modified."/>
    <x v="14"/>
    <x v="0"/>
    <d v="2016-10-05T00:00:00"/>
    <d v="1899-12-30T09:40:23"/>
    <s v="Setup"/>
    <x v="0"/>
    <x v="2"/>
    <x v="5"/>
    <x v="0"/>
  </r>
  <r>
    <s v="Test Definition FVII XDL has been modified."/>
    <x v="14"/>
    <x v="0"/>
    <d v="2016-10-05T00:00:00"/>
    <d v="1899-12-30T09:40:47"/>
    <s v="Setup"/>
    <x v="0"/>
    <x v="2"/>
    <x v="5"/>
    <x v="0"/>
  </r>
  <r>
    <s v="Test Definition FV XDIL has been modified."/>
    <x v="14"/>
    <x v="0"/>
    <d v="2016-10-05T00:00:00"/>
    <d v="1899-12-30T09:41:07"/>
    <s v="Setup"/>
    <x v="0"/>
    <x v="2"/>
    <x v="5"/>
    <x v="0"/>
  </r>
  <r>
    <s v="Test Definition FIX XDIL has been modified."/>
    <x v="14"/>
    <x v="0"/>
    <d v="2016-10-05T00:00:00"/>
    <d v="1899-12-30T09:41:25"/>
    <s v="Setup"/>
    <x v="0"/>
    <x v="2"/>
    <x v="5"/>
    <x v="0"/>
  </r>
  <r>
    <s v="Test Definition FII XDIL has been modified."/>
    <x v="14"/>
    <x v="0"/>
    <d v="2016-10-05T00:00:00"/>
    <d v="1899-12-30T09:41:49"/>
    <s v="Setup"/>
    <x v="0"/>
    <x v="2"/>
    <x v="5"/>
    <x v="0"/>
  </r>
  <r>
    <s v="Analyzer Status changed from Ready to Maintenance."/>
    <x v="0"/>
    <x v="0"/>
    <d v="2016-10-05T00:00:00"/>
    <d v="1899-12-30T09:57:59"/>
    <s v="Analyzer"/>
    <x v="0"/>
    <x v="0"/>
    <x v="0"/>
    <x v="0"/>
  </r>
  <r>
    <s v="Analyzer Status changed from Maintenance to Ready."/>
    <x v="0"/>
    <x v="0"/>
    <d v="2016-10-05T00:00:00"/>
    <d v="1899-12-30T09:58:21"/>
    <s v="Analyzer"/>
    <x v="0"/>
    <x v="0"/>
    <x v="0"/>
    <x v="0"/>
  </r>
  <r>
    <s v="Automatic maintenance activity Automatic Fluidic Line Priming Cycle has been executed."/>
    <x v="2"/>
    <x v="0"/>
    <d v="2016-10-05T00:00:00"/>
    <d v="1899-12-30T09:58:21"/>
    <s v="Maintenance"/>
    <x v="0"/>
    <x v="2"/>
    <x v="2"/>
    <x v="0"/>
  </r>
  <r>
    <s v="Test Definition FVIII-SS has been modified."/>
    <x v="14"/>
    <x v="0"/>
    <d v="2016-10-05T00:00:00"/>
    <d v="1899-12-30T10:28:52"/>
    <s v="Setup"/>
    <x v="0"/>
    <x v="2"/>
    <x v="5"/>
    <x v="0"/>
  </r>
  <r>
    <s v="Test Definition FVIII XD has been modified."/>
    <x v="14"/>
    <x v="0"/>
    <d v="2016-10-05T00:00:00"/>
    <d v="1899-12-30T10:28:54"/>
    <s v="Setup"/>
    <x v="0"/>
    <x v="2"/>
    <x v="5"/>
    <x v="0"/>
  </r>
  <r>
    <s v="Test Definition F8-SS L has been modified."/>
    <x v="14"/>
    <x v="0"/>
    <d v="2016-10-05T00:00:00"/>
    <d v="1899-12-30T10:28:54"/>
    <s v="Setup"/>
    <x v="0"/>
    <x v="2"/>
    <x v="5"/>
    <x v="0"/>
  </r>
  <r>
    <s v="Test Definition FVIII-SS has been modified."/>
    <x v="14"/>
    <x v="0"/>
    <d v="2016-10-05T00:00:00"/>
    <d v="1899-12-30T10:29:03"/>
    <s v="Setup"/>
    <x v="0"/>
    <x v="2"/>
    <x v="5"/>
    <x v="0"/>
  </r>
  <r>
    <s v="Test Definition FVIII XD has been modified."/>
    <x v="14"/>
    <x v="0"/>
    <d v="2016-10-05T00:00:00"/>
    <d v="1899-12-30T10:29:06"/>
    <s v="Setup"/>
    <x v="0"/>
    <x v="2"/>
    <x v="5"/>
    <x v="0"/>
  </r>
  <r>
    <s v="Test Definition F8-SS L has been modified."/>
    <x v="14"/>
    <x v="0"/>
    <d v="2016-10-05T00:00:00"/>
    <d v="1899-12-30T10:29:06"/>
    <s v="Setup"/>
    <x v="0"/>
    <x v="2"/>
    <x v="5"/>
    <x v="0"/>
  </r>
  <r>
    <s v="Logout by user: LHO."/>
    <x v="16"/>
    <x v="0"/>
    <d v="2016-10-05T00:00:00"/>
    <d v="1899-12-30T10:30:38"/>
    <s v="Other"/>
    <x v="0"/>
    <x v="2"/>
    <x v="5"/>
    <x v="0"/>
  </r>
  <r>
    <s v="Successful log in by user: ILService."/>
    <x v="18"/>
    <x v="0"/>
    <d v="2016-10-05T00:00:00"/>
    <d v="1899-12-30T10:30:54"/>
    <s v="Other"/>
    <x v="2"/>
    <x v="2"/>
    <x v="5"/>
    <x v="0"/>
  </r>
  <r>
    <s v="Logout by user: ILService."/>
    <x v="16"/>
    <x v="0"/>
    <d v="2016-10-05T00:00:00"/>
    <d v="1899-12-30T10:31:16"/>
    <s v="Other"/>
    <x v="2"/>
    <x v="2"/>
    <x v="5"/>
    <x v="0"/>
  </r>
  <r>
    <s v="Successful log in by user: LHO."/>
    <x v="18"/>
    <x v="0"/>
    <d v="2016-10-05T00:00:00"/>
    <d v="1899-12-30T10:39:50"/>
    <s v="Other"/>
    <x v="0"/>
    <x v="2"/>
    <x v="5"/>
    <x v="0"/>
  </r>
  <r>
    <s v="Reflex Rule FII XD has been added."/>
    <x v="22"/>
    <x v="0"/>
    <d v="2016-10-05T00:00:00"/>
    <d v="1899-12-30T10:40:46"/>
    <s v="Setup"/>
    <x v="0"/>
    <x v="2"/>
    <x v="5"/>
    <x v="0"/>
  </r>
  <r>
    <s v="Test Definition FX-RP has been modified."/>
    <x v="14"/>
    <x v="0"/>
    <d v="2016-10-05T00:00:00"/>
    <d v="1899-12-30T10:47:04"/>
    <s v="Setup"/>
    <x v="0"/>
    <x v="2"/>
    <x v="5"/>
    <x v="0"/>
  </r>
  <r>
    <s v="Test Definition FX XDIL has been modified."/>
    <x v="14"/>
    <x v="0"/>
    <d v="2016-10-05T00:00:00"/>
    <d v="1899-12-30T10:47:06"/>
    <s v="Setup"/>
    <x v="0"/>
    <x v="2"/>
    <x v="5"/>
    <x v="0"/>
  </r>
  <r>
    <s v="Test Definition FXI-SS has been modified."/>
    <x v="14"/>
    <x v="0"/>
    <d v="2016-10-05T00:00:00"/>
    <d v="1899-12-30T10:47:20"/>
    <s v="Setup"/>
    <x v="0"/>
    <x v="2"/>
    <x v="5"/>
    <x v="0"/>
  </r>
  <r>
    <s v="Test Definition FXI XDIL has been modified."/>
    <x v="14"/>
    <x v="0"/>
    <d v="2016-10-05T00:00:00"/>
    <d v="1899-12-30T10:47:23"/>
    <s v="Setup"/>
    <x v="0"/>
    <x v="2"/>
    <x v="5"/>
    <x v="0"/>
  </r>
  <r>
    <s v="Test Definition FXII-SS has been modified."/>
    <x v="14"/>
    <x v="0"/>
    <d v="2016-10-05T00:00:00"/>
    <d v="1899-12-30T10:47:39"/>
    <s v="Setup"/>
    <x v="0"/>
    <x v="2"/>
    <x v="5"/>
    <x v="0"/>
  </r>
  <r>
    <s v="Test Definition FXII XDL has been modified."/>
    <x v="14"/>
    <x v="0"/>
    <d v="2016-10-05T00:00:00"/>
    <d v="1899-12-30T10:47:43"/>
    <s v="Setup"/>
    <x v="0"/>
    <x v="2"/>
    <x v="5"/>
    <x v="0"/>
  </r>
  <r>
    <s v="Test Definition FXII XDL has been modified."/>
    <x v="14"/>
    <x v="0"/>
    <d v="2016-10-05T00:00:00"/>
    <d v="1899-12-30T10:48:03"/>
    <s v="Setup"/>
    <x v="0"/>
    <x v="2"/>
    <x v="5"/>
    <x v="0"/>
  </r>
  <r>
    <s v="Test Definition FXI XDIL has been modified."/>
    <x v="14"/>
    <x v="0"/>
    <d v="2016-10-05T00:00:00"/>
    <d v="1899-12-30T10:48:38"/>
    <s v="Setup"/>
    <x v="0"/>
    <x v="2"/>
    <x v="5"/>
    <x v="0"/>
  </r>
  <r>
    <s v="Test Definition FX XDIL has been modified."/>
    <x v="14"/>
    <x v="0"/>
    <d v="2016-10-05T00:00:00"/>
    <d v="1899-12-30T10:48:55"/>
    <s v="Setup"/>
    <x v="0"/>
    <x v="2"/>
    <x v="5"/>
    <x v="0"/>
  </r>
  <r>
    <s v="Test Definition FV-RP has been modified."/>
    <x v="14"/>
    <x v="0"/>
    <d v="2016-10-05T00:00:00"/>
    <d v="1899-12-30T10:49:09"/>
    <s v="Setup"/>
    <x v="0"/>
    <x v="2"/>
    <x v="5"/>
    <x v="0"/>
  </r>
  <r>
    <s v="Test Definition FV XDIL has been modified."/>
    <x v="14"/>
    <x v="0"/>
    <d v="2016-10-05T00:00:00"/>
    <d v="1899-12-30T10:49:12"/>
    <s v="Setup"/>
    <x v="0"/>
    <x v="2"/>
    <x v="5"/>
    <x v="0"/>
  </r>
  <r>
    <s v="Test Definition FVII-RP has been modified."/>
    <x v="14"/>
    <x v="0"/>
    <d v="2016-10-05T00:00:00"/>
    <d v="1899-12-30T10:49:27"/>
    <s v="Setup"/>
    <x v="0"/>
    <x v="2"/>
    <x v="5"/>
    <x v="0"/>
  </r>
  <r>
    <s v="Test Definition FVII XDL has been modified."/>
    <x v="14"/>
    <x v="0"/>
    <d v="2016-10-05T00:00:00"/>
    <d v="1899-12-30T10:49:30"/>
    <s v="Setup"/>
    <x v="0"/>
    <x v="2"/>
    <x v="5"/>
    <x v="0"/>
  </r>
  <r>
    <s v="Test Definition FVII XDL has been modified."/>
    <x v="14"/>
    <x v="0"/>
    <d v="2016-10-05T00:00:00"/>
    <d v="1899-12-30T10:50:04"/>
    <s v="Setup"/>
    <x v="0"/>
    <x v="2"/>
    <x v="5"/>
    <x v="0"/>
  </r>
  <r>
    <s v="Test Definition FV XDIL has been modified."/>
    <x v="14"/>
    <x v="0"/>
    <d v="2016-10-05T00:00:00"/>
    <d v="1899-12-30T10:50:25"/>
    <s v="Setup"/>
    <x v="0"/>
    <x v="2"/>
    <x v="5"/>
    <x v="0"/>
  </r>
  <r>
    <s v="Test Definition FIX-SS has been modified."/>
    <x v="14"/>
    <x v="0"/>
    <d v="2016-10-05T00:00:00"/>
    <d v="1899-12-30T10:50:40"/>
    <s v="Setup"/>
    <x v="0"/>
    <x v="2"/>
    <x v="5"/>
    <x v="0"/>
  </r>
  <r>
    <s v="Test Definition FIX XDIL has been modified."/>
    <x v="14"/>
    <x v="0"/>
    <d v="2016-10-05T00:00:00"/>
    <d v="1899-12-30T10:50:42"/>
    <s v="Setup"/>
    <x v="0"/>
    <x v="2"/>
    <x v="5"/>
    <x v="0"/>
  </r>
  <r>
    <s v="Test Definition FIX XDIL has been modified."/>
    <x v="14"/>
    <x v="0"/>
    <d v="2016-10-05T00:00:00"/>
    <d v="1899-12-30T10:50:59"/>
    <s v="Setup"/>
    <x v="0"/>
    <x v="2"/>
    <x v="5"/>
    <x v="0"/>
  </r>
  <r>
    <s v="Test Definition FII-RP has been modified."/>
    <x v="14"/>
    <x v="0"/>
    <d v="2016-10-05T00:00:00"/>
    <d v="1899-12-30T10:51:13"/>
    <s v="Setup"/>
    <x v="0"/>
    <x v="2"/>
    <x v="5"/>
    <x v="0"/>
  </r>
  <r>
    <s v="Test Definition FII XDIL has been modified."/>
    <x v="14"/>
    <x v="0"/>
    <d v="2016-10-05T00:00:00"/>
    <d v="1899-12-30T10:51:15"/>
    <s v="Setup"/>
    <x v="0"/>
    <x v="2"/>
    <x v="5"/>
    <x v="0"/>
  </r>
  <r>
    <s v="Test Definition FII XDIL has been modified."/>
    <x v="14"/>
    <x v="0"/>
    <d v="2016-10-05T00:00:00"/>
    <d v="1899-12-30T10:51:29"/>
    <s v="Setup"/>
    <x v="0"/>
    <x v="2"/>
    <x v="5"/>
    <x v="0"/>
  </r>
  <r>
    <s v="Reflex Rule FII XD has been modified."/>
    <x v="23"/>
    <x v="0"/>
    <d v="2016-10-05T00:00:00"/>
    <d v="1899-12-30T10:54:20"/>
    <s v="Setup"/>
    <x v="0"/>
    <x v="2"/>
    <x v="5"/>
    <x v="0"/>
  </r>
  <r>
    <s v="Reflex Rule FV XD has been added."/>
    <x v="22"/>
    <x v="0"/>
    <d v="2016-10-05T00:00:00"/>
    <d v="1899-12-30T10:54:56"/>
    <s v="Setup"/>
    <x v="0"/>
    <x v="2"/>
    <x v="5"/>
    <x v="0"/>
  </r>
  <r>
    <s v="Reflex Rule FV XD has been modified."/>
    <x v="23"/>
    <x v="0"/>
    <d v="2016-10-05T00:00:00"/>
    <d v="1899-12-30T10:55:05"/>
    <s v="Setup"/>
    <x v="0"/>
    <x v="2"/>
    <x v="5"/>
    <x v="0"/>
  </r>
  <r>
    <s v="Reflex Rule FVII XD has been added."/>
    <x v="22"/>
    <x v="0"/>
    <d v="2016-10-05T00:00:00"/>
    <d v="1899-12-30T10:55:45"/>
    <s v="Setup"/>
    <x v="0"/>
    <x v="2"/>
    <x v="5"/>
    <x v="0"/>
  </r>
  <r>
    <s v="Reflex Rule FIX XD has been added."/>
    <x v="22"/>
    <x v="0"/>
    <d v="2016-10-05T00:00:00"/>
    <d v="1899-12-30T10:57:18"/>
    <s v="Setup"/>
    <x v="0"/>
    <x v="2"/>
    <x v="5"/>
    <x v="0"/>
  </r>
  <r>
    <s v="Reflex Rule FX XD has been added."/>
    <x v="22"/>
    <x v="0"/>
    <d v="2016-10-05T00:00:00"/>
    <d v="1899-12-30T10:57:59"/>
    <s v="Setup"/>
    <x v="0"/>
    <x v="2"/>
    <x v="5"/>
    <x v="0"/>
  </r>
  <r>
    <s v="Analyzer Status changed from Ready to Maintenance."/>
    <x v="0"/>
    <x v="0"/>
    <d v="2016-10-05T00:00:00"/>
    <d v="1899-12-30T10:58:21"/>
    <s v="Analyzer"/>
    <x v="0"/>
    <x v="0"/>
    <x v="0"/>
    <x v="0"/>
  </r>
  <r>
    <s v="Analyzer Status changed from Maintenance to Ready."/>
    <x v="0"/>
    <x v="0"/>
    <d v="2016-10-05T00:00:00"/>
    <d v="1899-12-30T10:58:43"/>
    <s v="Analyzer"/>
    <x v="0"/>
    <x v="0"/>
    <x v="0"/>
    <x v="0"/>
  </r>
  <r>
    <s v="Automatic maintenance activity Automatic Fluidic Line Priming Cycle has been executed."/>
    <x v="2"/>
    <x v="0"/>
    <d v="2016-10-05T00:00:00"/>
    <d v="1899-12-30T10:58:43"/>
    <s v="Maintenance"/>
    <x v="0"/>
    <x v="2"/>
    <x v="2"/>
    <x v="0"/>
  </r>
  <r>
    <s v="Reflex Rule FXI XD has been added."/>
    <x v="22"/>
    <x v="0"/>
    <d v="2016-10-05T00:00:00"/>
    <d v="1899-12-30T10:58:57"/>
    <s v="Setup"/>
    <x v="0"/>
    <x v="2"/>
    <x v="5"/>
    <x v="0"/>
  </r>
  <r>
    <s v="Reflex Rule FXII XD has been added."/>
    <x v="22"/>
    <x v="0"/>
    <d v="2016-10-05T00:00:00"/>
    <d v="1899-12-30T10:59:34"/>
    <s v="Setup"/>
    <x v="0"/>
    <x v="2"/>
    <x v="5"/>
    <x v="0"/>
  </r>
  <r>
    <s v="Test Definition FVIII-SS has been modified."/>
    <x v="14"/>
    <x v="0"/>
    <d v="2016-10-05T00:00:00"/>
    <d v="1899-12-30T11:01:03"/>
    <s v="Setup"/>
    <x v="0"/>
    <x v="2"/>
    <x v="5"/>
    <x v="0"/>
  </r>
  <r>
    <s v="Test Definition FVIII XD has been modified."/>
    <x v="14"/>
    <x v="0"/>
    <d v="2016-10-05T00:00:00"/>
    <d v="1899-12-30T11:01:06"/>
    <s v="Setup"/>
    <x v="0"/>
    <x v="2"/>
    <x v="5"/>
    <x v="0"/>
  </r>
  <r>
    <s v="Test Definition F8-SS L has been modified."/>
    <x v="14"/>
    <x v="0"/>
    <d v="2016-10-05T00:00:00"/>
    <d v="1899-12-30T11:01:06"/>
    <s v="Setup"/>
    <x v="0"/>
    <x v="2"/>
    <x v="5"/>
    <x v="0"/>
  </r>
  <r>
    <s v="Reflex Rule FVIII XD has been added."/>
    <x v="22"/>
    <x v="0"/>
    <d v="2016-10-05T00:00:00"/>
    <d v="1899-12-30T11:03:09"/>
    <s v="Setup"/>
    <x v="0"/>
    <x v="2"/>
    <x v="5"/>
    <x v="0"/>
  </r>
  <r>
    <s v="Non-identified Sample in rack 07 position 1, track 12."/>
    <x v="12"/>
    <x v="2"/>
    <d v="2016-10-05T00:00:00"/>
    <d v="1899-12-30T11:07:52"/>
    <s v="Materials"/>
    <x v="0"/>
    <x v="4"/>
    <x v="7"/>
    <x v="1"/>
  </r>
  <r>
    <s v="Non-identified Sample in rack 07 position 2, track 12."/>
    <x v="12"/>
    <x v="2"/>
    <d v="2016-10-05T00:00:00"/>
    <d v="1899-12-30T11:07:52"/>
    <s v="Materials"/>
    <x v="0"/>
    <x v="4"/>
    <x v="7"/>
    <x v="1"/>
  </r>
  <r>
    <s v="Non-identified Sample in rack 07 position 3, track 12."/>
    <x v="12"/>
    <x v="2"/>
    <d v="2016-10-05T00:00:00"/>
    <d v="1899-12-30T11:07:52"/>
    <s v="Materials"/>
    <x v="0"/>
    <x v="4"/>
    <x v="7"/>
    <x v="1"/>
  </r>
  <r>
    <s v="Non-identified Sample in rack 07 position 4, track 12."/>
    <x v="12"/>
    <x v="2"/>
    <d v="2016-10-05T00:00:00"/>
    <d v="1899-12-30T11:07:52"/>
    <s v="Materials"/>
    <x v="0"/>
    <x v="4"/>
    <x v="7"/>
    <x v="1"/>
  </r>
  <r>
    <s v="Non-identified Sample in rack 07 position 5, track 12."/>
    <x v="12"/>
    <x v="2"/>
    <d v="2016-10-05T00:00:00"/>
    <d v="1899-12-30T11:07:52"/>
    <s v="Materials"/>
    <x v="0"/>
    <x v="4"/>
    <x v="7"/>
    <x v="1"/>
  </r>
  <r>
    <s v="Non-identified Sample in rack 07 position 6, track 12."/>
    <x v="12"/>
    <x v="2"/>
    <d v="2016-10-05T00:00:00"/>
    <d v="1899-12-30T11:07:52"/>
    <s v="Materials"/>
    <x v="0"/>
    <x v="4"/>
    <x v="7"/>
    <x v="1"/>
  </r>
  <r>
    <s v="Non-identified Sample in rack 07 position 7, track 12."/>
    <x v="12"/>
    <x v="2"/>
    <d v="2016-10-05T00:00:00"/>
    <d v="1899-12-30T11:07:52"/>
    <s v="Materials"/>
    <x v="0"/>
    <x v="4"/>
    <x v="7"/>
    <x v="1"/>
  </r>
  <r>
    <s v="Non-identified Sample in rack 07 position 8, track 12."/>
    <x v="12"/>
    <x v="2"/>
    <d v="2016-10-05T00:00:00"/>
    <d v="1899-12-30T11:07:52"/>
    <s v="Materials"/>
    <x v="0"/>
    <x v="4"/>
    <x v="7"/>
    <x v="1"/>
  </r>
  <r>
    <s v="Non-identified Sample in rack 07 position 9, track 12."/>
    <x v="12"/>
    <x v="2"/>
    <d v="2016-10-05T00:00:00"/>
    <d v="1899-12-30T11:07:52"/>
    <s v="Materials"/>
    <x v="0"/>
    <x v="4"/>
    <x v="7"/>
    <x v="1"/>
  </r>
  <r>
    <s v="Non-identified Sample in rack 07 position 10, track 12."/>
    <x v="12"/>
    <x v="2"/>
    <d v="2016-10-05T00:00:00"/>
    <d v="1899-12-30T11:07:52"/>
    <s v="Materials"/>
    <x v="0"/>
    <x v="4"/>
    <x v="7"/>
    <x v="1"/>
  </r>
  <r>
    <s v="Communications between the instrument and the LIS have been lost."/>
    <x v="13"/>
    <x v="2"/>
    <d v="2016-10-05T00:00:00"/>
    <d v="1899-12-30T11:09:00"/>
    <s v="LIS"/>
    <x v="0"/>
    <x v="2"/>
    <x v="6"/>
    <x v="0"/>
  </r>
  <r>
    <s v="Analyzer Status changed from Ready to Busy."/>
    <x v="0"/>
    <x v="0"/>
    <d v="2016-10-05T00:00:00"/>
    <d v="1899-12-30T11:09:25"/>
    <s v="Analyzer"/>
    <x v="0"/>
    <x v="0"/>
    <x v="0"/>
    <x v="0"/>
  </r>
  <r>
    <s v="Analyzer Status changed from Busy to Ready."/>
    <x v="0"/>
    <x v="0"/>
    <d v="2016-10-05T00:00:00"/>
    <d v="1899-12-30T11:19:44"/>
    <s v="Analyzer"/>
    <x v="0"/>
    <x v="0"/>
    <x v="0"/>
    <x v="0"/>
  </r>
  <r>
    <s v="Analyzer Status changed from Ready to Maintenance."/>
    <x v="0"/>
    <x v="0"/>
    <d v="2016-10-05T00:00:00"/>
    <d v="1899-12-30T11:19:44"/>
    <s v="Analyzer"/>
    <x v="0"/>
    <x v="0"/>
    <x v="0"/>
    <x v="0"/>
  </r>
  <r>
    <s v="Analyzer Status changed from Maintenance to Ready."/>
    <x v="0"/>
    <x v="0"/>
    <d v="2016-10-05T00:00:00"/>
    <d v="1899-12-30T11:20:48"/>
    <s v="Analyzer"/>
    <x v="0"/>
    <x v="0"/>
    <x v="0"/>
    <x v="0"/>
  </r>
  <r>
    <s v="Automatic maintenance activity Automatic Routine Clean for all Probes has been executed."/>
    <x v="2"/>
    <x v="0"/>
    <d v="2016-10-05T00:00:00"/>
    <d v="1899-12-30T11:20:48"/>
    <s v="Maintenance"/>
    <x v="0"/>
    <x v="2"/>
    <x v="2"/>
    <x v="0"/>
  </r>
  <r>
    <s v="Non-identified Sample in rack 10 position 1, track 12."/>
    <x v="12"/>
    <x v="2"/>
    <d v="2016-10-05T00:00:00"/>
    <d v="1899-12-30T11:31:07"/>
    <s v="Materials"/>
    <x v="0"/>
    <x v="4"/>
    <x v="7"/>
    <x v="1"/>
  </r>
  <r>
    <s v="Non-identified Sample in rack 10 position 2, track 12."/>
    <x v="12"/>
    <x v="2"/>
    <d v="2016-10-05T00:00:00"/>
    <d v="1899-12-30T11:31:07"/>
    <s v="Materials"/>
    <x v="0"/>
    <x v="4"/>
    <x v="7"/>
    <x v="1"/>
  </r>
  <r>
    <s v="Non-identified Sample in rack 10 position 3, track 12."/>
    <x v="12"/>
    <x v="2"/>
    <d v="2016-10-05T00:00:00"/>
    <d v="1899-12-30T11:31:07"/>
    <s v="Materials"/>
    <x v="0"/>
    <x v="4"/>
    <x v="7"/>
    <x v="1"/>
  </r>
  <r>
    <s v="Analyzer Status changed from Ready to Busy."/>
    <x v="0"/>
    <x v="0"/>
    <d v="2016-10-05T00:00:00"/>
    <d v="1899-12-30T11:31:39"/>
    <s v="Analyzer"/>
    <x v="0"/>
    <x v="0"/>
    <x v="0"/>
    <x v="0"/>
  </r>
  <r>
    <s v="Analyzer Status changed from Busy to Ready."/>
    <x v="0"/>
    <x v="0"/>
    <d v="2016-10-05T00:00:00"/>
    <d v="1899-12-30T11:47:17"/>
    <s v="Analyzer"/>
    <x v="0"/>
    <x v="0"/>
    <x v="0"/>
    <x v="0"/>
  </r>
  <r>
    <s v="Analyzer Status changed from Ready to Maintenance."/>
    <x v="0"/>
    <x v="0"/>
    <d v="2016-10-05T00:00:00"/>
    <d v="1899-12-30T11:47:17"/>
    <s v="Analyzer"/>
    <x v="0"/>
    <x v="0"/>
    <x v="0"/>
    <x v="0"/>
  </r>
  <r>
    <s v="Analyzer Status changed from Maintenance to Ready."/>
    <x v="0"/>
    <x v="0"/>
    <d v="2016-10-05T00:00:00"/>
    <d v="1899-12-30T11:47:43"/>
    <s v="Analyzer"/>
    <x v="0"/>
    <x v="0"/>
    <x v="0"/>
    <x v="0"/>
  </r>
  <r>
    <s v="Automatic maintenance activity Automatic Routine Clean for all Probes has been executed."/>
    <x v="2"/>
    <x v="0"/>
    <d v="2016-10-05T00:00:00"/>
    <d v="1899-12-30T11:47:43"/>
    <s v="Maintenance"/>
    <x v="0"/>
    <x v="2"/>
    <x v="2"/>
    <x v="0"/>
  </r>
  <r>
    <s v="Non-identified Sample in rack 10 position 1, track 12."/>
    <x v="12"/>
    <x v="2"/>
    <d v="2016-10-05T00:00:00"/>
    <d v="1899-12-30T12:01:58"/>
    <s v="Materials"/>
    <x v="0"/>
    <x v="4"/>
    <x v="7"/>
    <x v="1"/>
  </r>
  <r>
    <s v="Non-identified Sample in rack 10 position 2, track 12."/>
    <x v="12"/>
    <x v="2"/>
    <d v="2016-10-05T00:00:00"/>
    <d v="1899-12-30T12:01:58"/>
    <s v="Materials"/>
    <x v="0"/>
    <x v="4"/>
    <x v="7"/>
    <x v="1"/>
  </r>
  <r>
    <s v="Non-identified Sample in rack 10 position 3, track 12."/>
    <x v="12"/>
    <x v="2"/>
    <d v="2016-10-05T00:00:00"/>
    <d v="1899-12-30T12:01:58"/>
    <s v="Materials"/>
    <x v="0"/>
    <x v="4"/>
    <x v="7"/>
    <x v="1"/>
  </r>
  <r>
    <s v="Analyzer Status changed from Ready to Busy."/>
    <x v="0"/>
    <x v="0"/>
    <d v="2016-10-05T00:00:00"/>
    <d v="1899-12-30T12:02:13"/>
    <s v="Analyzer"/>
    <x v="0"/>
    <x v="0"/>
    <x v="0"/>
    <x v="0"/>
  </r>
  <r>
    <s v="Non-identified Sample in rack 09 position 1, track 10."/>
    <x v="12"/>
    <x v="2"/>
    <d v="2016-10-05T00:00:00"/>
    <d v="1899-12-30T12:05:06"/>
    <s v="Materials"/>
    <x v="0"/>
    <x v="4"/>
    <x v="7"/>
    <x v="1"/>
  </r>
  <r>
    <s v="Non-identified Sample in rack 09 position 2, track 10."/>
    <x v="12"/>
    <x v="2"/>
    <d v="2016-10-05T00:00:00"/>
    <d v="1899-12-30T12:05:06"/>
    <s v="Materials"/>
    <x v="0"/>
    <x v="4"/>
    <x v="7"/>
    <x v="1"/>
  </r>
  <r>
    <s v="Placement error (Normal C. Assayed in rack DB, position 3, track 3)."/>
    <x v="24"/>
    <x v="2"/>
    <d v="2016-10-05T00:00:00"/>
    <d v="1899-12-30T12:15:57"/>
    <s v="Materials"/>
    <x v="0"/>
    <x v="2"/>
    <x v="3"/>
    <x v="0"/>
  </r>
  <r>
    <s v="Placement error (High Abn C. Assayed in rack DB, position 4, track 3)."/>
    <x v="24"/>
    <x v="2"/>
    <d v="2016-10-05T00:00:00"/>
    <d v="1899-12-30T12:15:57"/>
    <s v="Materials"/>
    <x v="0"/>
    <x v="2"/>
    <x v="3"/>
    <x v="0"/>
  </r>
  <r>
    <s v="Analyzer Status changed from Busy to Ready."/>
    <x v="0"/>
    <x v="0"/>
    <d v="2016-10-05T00:00:00"/>
    <d v="1899-12-30T12:21:23"/>
    <s v="Analyzer"/>
    <x v="0"/>
    <x v="0"/>
    <x v="0"/>
    <x v="0"/>
  </r>
  <r>
    <s v="Analyzer Status changed from Ready to Maintenance."/>
    <x v="0"/>
    <x v="0"/>
    <d v="2016-10-05T00:00:00"/>
    <d v="1899-12-30T12:21:24"/>
    <s v="Analyzer"/>
    <x v="0"/>
    <x v="0"/>
    <x v="0"/>
    <x v="0"/>
  </r>
  <r>
    <s v="Analyzer Status changed from Maintenance to Ready."/>
    <x v="0"/>
    <x v="0"/>
    <d v="2016-10-05T00:00:00"/>
    <d v="1899-12-30T12:21:51"/>
    <s v="Analyzer"/>
    <x v="0"/>
    <x v="0"/>
    <x v="0"/>
    <x v="0"/>
  </r>
  <r>
    <s v="Automatic maintenance activity Automatic Routine Clean for all Probes has been executed."/>
    <x v="2"/>
    <x v="0"/>
    <d v="2016-10-05T00:00:00"/>
    <d v="1899-12-30T12:21:51"/>
    <s v="Maintenance"/>
    <x v="0"/>
    <x v="2"/>
    <x v="2"/>
    <x v="0"/>
  </r>
  <r>
    <s v="Non-identified Sample in rack 01 position 1, track 12."/>
    <x v="12"/>
    <x v="2"/>
    <d v="2016-10-05T00:00:00"/>
    <d v="1899-12-30T12:49:17"/>
    <s v="Materials"/>
    <x v="0"/>
    <x v="4"/>
    <x v="7"/>
    <x v="1"/>
  </r>
  <r>
    <s v="Non-identified Sample in rack 01 position 2, track 12."/>
    <x v="12"/>
    <x v="2"/>
    <d v="2016-10-05T00:00:00"/>
    <d v="1899-12-30T12:49:17"/>
    <s v="Materials"/>
    <x v="0"/>
    <x v="4"/>
    <x v="7"/>
    <x v="1"/>
  </r>
  <r>
    <s v="Non-identified Sample in rack 01 position 3, track 12."/>
    <x v="12"/>
    <x v="2"/>
    <d v="2016-10-05T00:00:00"/>
    <d v="1899-12-30T12:49:17"/>
    <s v="Materials"/>
    <x v="0"/>
    <x v="4"/>
    <x v="7"/>
    <x v="1"/>
  </r>
  <r>
    <s v="Non-identified Sample in rack 01 position 3, track 12."/>
    <x v="12"/>
    <x v="2"/>
    <d v="2016-10-05T00:00:00"/>
    <d v="1899-12-30T12:49:37"/>
    <s v="Materials"/>
    <x v="0"/>
    <x v="4"/>
    <x v="7"/>
    <x v="1"/>
  </r>
  <r>
    <s v="Sample TT CORR 9 placed in another rack position."/>
    <x v="25"/>
    <x v="2"/>
    <d v="2016-10-05T00:00:00"/>
    <d v="1899-12-30T12:49:37"/>
    <s v="Analyzer"/>
    <x v="0"/>
    <x v="4"/>
    <x v="7"/>
    <x v="1"/>
  </r>
  <r>
    <s v="Analyzer Status changed from Ready to Busy."/>
    <x v="0"/>
    <x v="0"/>
    <d v="2016-10-05T00:00:00"/>
    <d v="1899-12-30T12:49:45"/>
    <s v="Analyzer"/>
    <x v="0"/>
    <x v="0"/>
    <x v="0"/>
    <x v="0"/>
  </r>
  <r>
    <s v="Non-identified Sample in rack 01 position 3, track 12."/>
    <x v="12"/>
    <x v="2"/>
    <d v="2016-10-05T00:00:00"/>
    <d v="1899-12-30T12:49:50"/>
    <s v="Materials"/>
    <x v="0"/>
    <x v="4"/>
    <x v="7"/>
    <x v="1"/>
  </r>
  <r>
    <s v="Sample TT CORR 9 placed in another rack position."/>
    <x v="25"/>
    <x v="2"/>
    <d v="2016-10-05T00:00:00"/>
    <d v="1899-12-30T12:49:50"/>
    <s v="Analyzer"/>
    <x v="0"/>
    <x v="4"/>
    <x v="7"/>
    <x v="1"/>
  </r>
  <r>
    <s v="TT5 Patient job not feasible. Waiting for Thrombin."/>
    <x v="26"/>
    <x v="1"/>
    <d v="2016-10-05T00:00:00"/>
    <d v="1899-12-30T12:49:54"/>
    <s v="Materials"/>
    <x v="0"/>
    <x v="2"/>
    <x v="3"/>
    <x v="0"/>
  </r>
  <r>
    <s v="Analyzer Status changed from Busy to Ready."/>
    <x v="0"/>
    <x v="0"/>
    <d v="2016-10-05T00:00:00"/>
    <d v="1899-12-30T12:49:54"/>
    <s v="Analyzer"/>
    <x v="0"/>
    <x v="0"/>
    <x v="0"/>
    <x v="0"/>
  </r>
  <r>
    <s v="Analyzer Status changed from Ready to Busy."/>
    <x v="0"/>
    <x v="0"/>
    <d v="2016-10-05T00:00:00"/>
    <d v="1899-12-30T12:52:25"/>
    <s v="Analyzer"/>
    <x v="0"/>
    <x v="0"/>
    <x v="0"/>
    <x v="0"/>
  </r>
  <r>
    <s v="Analyzer Status changed from Busy to Ready."/>
    <x v="0"/>
    <x v="0"/>
    <d v="2016-10-05T00:00:00"/>
    <d v="1899-12-30T12:52:26"/>
    <s v="Analyzer"/>
    <x v="0"/>
    <x v="0"/>
    <x v="0"/>
    <x v="0"/>
  </r>
  <r>
    <s v="Analyzer Status changed from Ready to Busy."/>
    <x v="0"/>
    <x v="0"/>
    <d v="2016-10-05T00:00:00"/>
    <d v="1899-12-30T12:52:59"/>
    <s v="Analyzer"/>
    <x v="0"/>
    <x v="0"/>
    <x v="0"/>
    <x v="0"/>
  </r>
  <r>
    <s v="Analyzer Status changed from Busy to Ready."/>
    <x v="0"/>
    <x v="0"/>
    <d v="2016-10-05T00:00:00"/>
    <d v="1899-12-30T13:08:53"/>
    <s v="Analyzer"/>
    <x v="0"/>
    <x v="0"/>
    <x v="0"/>
    <x v="0"/>
  </r>
  <r>
    <s v="Analyzer Status changed from Ready to Maintenance."/>
    <x v="0"/>
    <x v="0"/>
    <d v="2016-10-05T00:00:00"/>
    <d v="1899-12-30T13:08:53"/>
    <s v="Analyzer"/>
    <x v="0"/>
    <x v="0"/>
    <x v="0"/>
    <x v="0"/>
  </r>
  <r>
    <s v="Automatic maintenance activity Automatic Routine Clean for all Probes has been executed."/>
    <x v="2"/>
    <x v="0"/>
    <d v="2016-10-05T00:00:00"/>
    <d v="1899-12-30T13:10:30"/>
    <s v="Maintenance"/>
    <x v="0"/>
    <x v="2"/>
    <x v="2"/>
    <x v="0"/>
  </r>
  <r>
    <s v="Analyzer Status changed from Maintenance to Ready."/>
    <x v="0"/>
    <x v="0"/>
    <d v="2016-10-05T00:00:00"/>
    <d v="1899-12-30T13:10:31"/>
    <s v="Analyzer"/>
    <x v="0"/>
    <x v="0"/>
    <x v="0"/>
    <x v="0"/>
  </r>
  <r>
    <s v="PT RecombiPlasTin volume low."/>
    <x v="7"/>
    <x v="1"/>
    <d v="2016-10-05T00:00:00"/>
    <d v="1899-12-30T13:13:22"/>
    <s v="Materials"/>
    <x v="0"/>
    <x v="3"/>
    <x v="4"/>
    <x v="0"/>
  </r>
  <r>
    <s v="Non-identified Material in rack DA position 5, track 2."/>
    <x v="27"/>
    <x v="2"/>
    <d v="2016-10-05T00:00:00"/>
    <d v="1899-12-30T13:13:22"/>
    <s v="Materials"/>
    <x v="0"/>
    <x v="2"/>
    <x v="3"/>
    <x v="0"/>
  </r>
  <r>
    <s v="Non-identified Sample in rack 07 position 1, track 12."/>
    <x v="12"/>
    <x v="2"/>
    <d v="2016-10-05T00:00:00"/>
    <d v="1899-12-30T13:13:40"/>
    <s v="Materials"/>
    <x v="0"/>
    <x v="4"/>
    <x v="7"/>
    <x v="1"/>
  </r>
  <r>
    <s v="Non-identified Sample in rack 07 position 2, track 12."/>
    <x v="12"/>
    <x v="2"/>
    <d v="2016-10-05T00:00:00"/>
    <d v="1899-12-30T13:13:40"/>
    <s v="Materials"/>
    <x v="0"/>
    <x v="4"/>
    <x v="7"/>
    <x v="1"/>
  </r>
  <r>
    <s v="Non-identified Sample in rack 07 position 3, track 12."/>
    <x v="12"/>
    <x v="2"/>
    <d v="2016-10-05T00:00:00"/>
    <d v="1899-12-30T13:13:40"/>
    <s v="Materials"/>
    <x v="0"/>
    <x v="4"/>
    <x v="7"/>
    <x v="1"/>
  </r>
  <r>
    <s v="Non-identified Sample in rack 07 position 4, track 12."/>
    <x v="12"/>
    <x v="2"/>
    <d v="2016-10-05T00:00:00"/>
    <d v="1899-12-30T13:13:40"/>
    <s v="Materials"/>
    <x v="0"/>
    <x v="4"/>
    <x v="7"/>
    <x v="1"/>
  </r>
  <r>
    <s v="Non-identified Sample in rack 07 position 5, track 12."/>
    <x v="12"/>
    <x v="2"/>
    <d v="2016-10-05T00:00:00"/>
    <d v="1899-12-30T13:13:40"/>
    <s v="Materials"/>
    <x v="0"/>
    <x v="4"/>
    <x v="7"/>
    <x v="1"/>
  </r>
  <r>
    <s v="Non-identified Sample in rack 07 position 6, track 12."/>
    <x v="12"/>
    <x v="2"/>
    <d v="2016-10-05T00:00:00"/>
    <d v="1899-12-30T13:13:40"/>
    <s v="Materials"/>
    <x v="0"/>
    <x v="4"/>
    <x v="7"/>
    <x v="1"/>
  </r>
  <r>
    <s v="D-Dimer HS Latex volume low."/>
    <x v="7"/>
    <x v="1"/>
    <d v="2016-10-05T00:00:00"/>
    <d v="1899-12-30T13:14:11"/>
    <s v="Materials"/>
    <x v="0"/>
    <x v="3"/>
    <x v="4"/>
    <x v="0"/>
  </r>
  <r>
    <s v="Analyzer Status changed from Ready to Busy."/>
    <x v="0"/>
    <x v="0"/>
    <d v="2016-10-05T00:00:00"/>
    <d v="1899-12-30T13:14:24"/>
    <s v="Analyzer"/>
    <x v="0"/>
    <x v="0"/>
    <x v="0"/>
    <x v="0"/>
  </r>
  <r>
    <s v="PTTMX Patient job not feasible. Waiting for Normal Pooled Plasma."/>
    <x v="26"/>
    <x v="1"/>
    <d v="2016-10-05T00:00:00"/>
    <d v="1899-12-30T13:14:25"/>
    <s v="Materials"/>
    <x v="0"/>
    <x v="2"/>
    <x v="3"/>
    <x v="0"/>
  </r>
  <r>
    <s v="Analyzer Status changed from Busy to Ready."/>
    <x v="0"/>
    <x v="0"/>
    <d v="2016-10-05T00:00:00"/>
    <d v="1899-12-30T13:14:29"/>
    <s v="Analyzer"/>
    <x v="0"/>
    <x v="0"/>
    <x v="0"/>
    <x v="0"/>
  </r>
  <r>
    <s v="Analyzer Status changed from Ready to Busy."/>
    <x v="0"/>
    <x v="0"/>
    <d v="2016-10-05T00:00:00"/>
    <d v="1899-12-30T13:18:12"/>
    <s v="Analyzer"/>
    <x v="0"/>
    <x v="0"/>
    <x v="0"/>
    <x v="0"/>
  </r>
  <r>
    <s v="Non-identified Material in rack DA position 5, track 2."/>
    <x v="27"/>
    <x v="2"/>
    <d v="2016-10-05T00:00:00"/>
    <d v="1899-12-30T13:23:59"/>
    <s v="Materials"/>
    <x v="0"/>
    <x v="2"/>
    <x v="3"/>
    <x v="0"/>
  </r>
  <r>
    <s v="Analyzer Status changed from Busy to Ready."/>
    <x v="0"/>
    <x v="0"/>
    <d v="2016-10-05T00:00:00"/>
    <d v="1899-12-30T13:36:46"/>
    <s v="Analyzer"/>
    <x v="0"/>
    <x v="0"/>
    <x v="0"/>
    <x v="0"/>
  </r>
  <r>
    <s v="Analyzer Status changed from Ready to Maintenance."/>
    <x v="0"/>
    <x v="0"/>
    <d v="2016-10-05T00:00:00"/>
    <d v="1899-12-30T13:36:46"/>
    <s v="Analyzer"/>
    <x v="0"/>
    <x v="0"/>
    <x v="0"/>
    <x v="0"/>
  </r>
  <r>
    <s v="Analyzer Status changed from Maintenance to Ready."/>
    <x v="0"/>
    <x v="0"/>
    <d v="2016-10-05T00:00:00"/>
    <d v="1899-12-30T13:37:12"/>
    <s v="Analyzer"/>
    <x v="0"/>
    <x v="0"/>
    <x v="0"/>
    <x v="0"/>
  </r>
  <r>
    <s v="Automatic maintenance activity Automatic Routine Clean for all Probes has been executed."/>
    <x v="2"/>
    <x v="0"/>
    <d v="2016-10-05T00:00:00"/>
    <d v="1899-12-30T13:37:12"/>
    <s v="Maintenance"/>
    <x v="0"/>
    <x v="2"/>
    <x v="2"/>
    <x v="0"/>
  </r>
  <r>
    <s v="Non-identified Sample in rack 04 position 1, track 12."/>
    <x v="12"/>
    <x v="2"/>
    <d v="2016-10-05T00:00:00"/>
    <d v="1899-12-30T13:39:55"/>
    <s v="Materials"/>
    <x v="0"/>
    <x v="4"/>
    <x v="7"/>
    <x v="1"/>
  </r>
  <r>
    <s v="Analyzer Status changed from Ready to Busy."/>
    <x v="0"/>
    <x v="0"/>
    <d v="2016-10-05T00:00:00"/>
    <d v="1899-12-30T13:40:10"/>
    <s v="Analyzer"/>
    <x v="0"/>
    <x v="0"/>
    <x v="0"/>
    <x v="0"/>
  </r>
  <r>
    <s v="TT5 Patient job not feasible. Waiting for Thrombin."/>
    <x v="26"/>
    <x v="1"/>
    <d v="2016-10-05T00:00:00"/>
    <d v="1899-12-30T13:40:32"/>
    <s v="Materials"/>
    <x v="0"/>
    <x v="2"/>
    <x v="3"/>
    <x v="0"/>
  </r>
  <r>
    <s v="Analyzer Status changed from Busy to Ready."/>
    <x v="0"/>
    <x v="0"/>
    <d v="2016-10-05T00:00:00"/>
    <d v="1899-12-30T13:40:32"/>
    <s v="Analyzer"/>
    <x v="0"/>
    <x v="0"/>
    <x v="0"/>
    <x v="0"/>
  </r>
  <r>
    <s v="Analyzer Status changed from Ready to Busy."/>
    <x v="0"/>
    <x v="0"/>
    <d v="2016-10-05T00:00:00"/>
    <d v="1899-12-30T13:41:50"/>
    <s v="Analyzer"/>
    <x v="0"/>
    <x v="0"/>
    <x v="0"/>
    <x v="0"/>
  </r>
  <r>
    <s v="QC Failed: PT-RP-Normal C. Assayed"/>
    <x v="28"/>
    <x v="2"/>
    <d v="2016-10-05T00:00:00"/>
    <d v="1899-12-30T13:44:49"/>
    <s v="QC"/>
    <x v="0"/>
    <x v="2"/>
    <x v="3"/>
    <x v="0"/>
  </r>
  <r>
    <s v="Analyzer Status changed from Busy to Ready."/>
    <x v="0"/>
    <x v="0"/>
    <d v="2016-10-05T00:00:00"/>
    <d v="1899-12-30T13:44:50"/>
    <s v="Analyzer"/>
    <x v="0"/>
    <x v="0"/>
    <x v="0"/>
    <x v="0"/>
  </r>
  <r>
    <s v="Analyzer Status changed from Ready to Maintenance."/>
    <x v="0"/>
    <x v="0"/>
    <d v="2016-10-05T00:00:00"/>
    <d v="1899-12-30T13:44:50"/>
    <s v="Analyzer"/>
    <x v="0"/>
    <x v="0"/>
    <x v="0"/>
    <x v="0"/>
  </r>
  <r>
    <s v="Automatic maintenance activity Automatic Routine Clean for all Probes has been executed."/>
    <x v="2"/>
    <x v="0"/>
    <d v="2016-10-05T00:00:00"/>
    <d v="1899-12-30T13:45:15"/>
    <s v="Maintenance"/>
    <x v="0"/>
    <x v="2"/>
    <x v="2"/>
    <x v="0"/>
  </r>
  <r>
    <s v="Analyzer Status changed from Maintenance to Ready."/>
    <x v="0"/>
    <x v="0"/>
    <d v="2016-10-05T00:00:00"/>
    <d v="1899-12-30T13:45:16"/>
    <s v="Analyzer"/>
    <x v="0"/>
    <x v="0"/>
    <x v="0"/>
    <x v="0"/>
  </r>
  <r>
    <s v="Analyzer Status changed from Ready to Busy."/>
    <x v="0"/>
    <x v="0"/>
    <d v="2016-10-05T00:00:00"/>
    <d v="1899-12-30T13:46:59"/>
    <s v="Analyzer"/>
    <x v="0"/>
    <x v="0"/>
    <x v="0"/>
    <x v="0"/>
  </r>
  <r>
    <s v="Thrombin volume low."/>
    <x v="7"/>
    <x v="1"/>
    <d v="2016-10-05T00:00:00"/>
    <d v="1899-12-30T13:48:32"/>
    <s v="Materials"/>
    <x v="0"/>
    <x v="3"/>
    <x v="4"/>
    <x v="0"/>
  </r>
  <r>
    <s v="Analyzer Status changed from Busy to Ready."/>
    <x v="0"/>
    <x v="0"/>
    <d v="2016-10-05T00:00:00"/>
    <d v="1899-12-30T13:54:20"/>
    <s v="Analyzer"/>
    <x v="0"/>
    <x v="0"/>
    <x v="0"/>
    <x v="0"/>
  </r>
  <r>
    <s v="Analyzer Status changed from Ready to Maintenance."/>
    <x v="0"/>
    <x v="0"/>
    <d v="2016-10-05T00:00:00"/>
    <d v="1899-12-30T13:54:20"/>
    <s v="Analyzer"/>
    <x v="0"/>
    <x v="0"/>
    <x v="0"/>
    <x v="0"/>
  </r>
  <r>
    <s v="Analyzer Status changed from Maintenance to Ready."/>
    <x v="0"/>
    <x v="0"/>
    <d v="2016-10-05T00:00:00"/>
    <d v="1899-12-30T13:54:46"/>
    <s v="Analyzer"/>
    <x v="0"/>
    <x v="0"/>
    <x v="0"/>
    <x v="0"/>
  </r>
  <r>
    <s v="Automatic maintenance activity Automatic Routine Clean for all Probes has been executed."/>
    <x v="2"/>
    <x v="0"/>
    <d v="2016-10-05T00:00:00"/>
    <d v="1899-12-30T13:54:46"/>
    <s v="Maintenance"/>
    <x v="0"/>
    <x v="2"/>
    <x v="2"/>
    <x v="0"/>
  </r>
  <r>
    <s v="Non-identified Sample in rack 02 position 1, track 12."/>
    <x v="12"/>
    <x v="2"/>
    <d v="2016-10-05T00:00:00"/>
    <d v="1899-12-30T14:16:23"/>
    <s v="Materials"/>
    <x v="0"/>
    <x v="4"/>
    <x v="7"/>
    <x v="1"/>
  </r>
  <r>
    <s v="Non-identified Sample in rack 02 position 2, track 12."/>
    <x v="12"/>
    <x v="2"/>
    <d v="2016-10-05T00:00:00"/>
    <d v="1899-12-30T14:16:23"/>
    <s v="Materials"/>
    <x v="0"/>
    <x v="4"/>
    <x v="7"/>
    <x v="1"/>
  </r>
  <r>
    <s v="Non-identified Sample in rack 02 position 3, track 12."/>
    <x v="12"/>
    <x v="2"/>
    <d v="2016-10-05T00:00:00"/>
    <d v="1899-12-30T14:16:23"/>
    <s v="Materials"/>
    <x v="0"/>
    <x v="4"/>
    <x v="7"/>
    <x v="1"/>
  </r>
  <r>
    <s v="Non-identified Sample in rack 02 position 4, track 12."/>
    <x v="12"/>
    <x v="2"/>
    <d v="2016-10-05T00:00:00"/>
    <d v="1899-12-30T14:16:23"/>
    <s v="Materials"/>
    <x v="0"/>
    <x v="4"/>
    <x v="7"/>
    <x v="1"/>
  </r>
  <r>
    <s v="Non-identified Sample in rack 02 position 5, track 12."/>
    <x v="12"/>
    <x v="2"/>
    <d v="2016-10-05T00:00:00"/>
    <d v="1899-12-30T14:16:23"/>
    <s v="Materials"/>
    <x v="0"/>
    <x v="4"/>
    <x v="7"/>
    <x v="1"/>
  </r>
  <r>
    <s v="Non-identified Sample in rack 07 position 1, track 10."/>
    <x v="12"/>
    <x v="2"/>
    <d v="2016-10-05T00:00:00"/>
    <d v="1899-12-30T14:17:53"/>
    <s v="Materials"/>
    <x v="0"/>
    <x v="4"/>
    <x v="7"/>
    <x v="1"/>
  </r>
  <r>
    <s v="Non-identified Sample in rack 07 position 2, track 10."/>
    <x v="12"/>
    <x v="2"/>
    <d v="2016-10-05T00:00:00"/>
    <d v="1899-12-30T14:17:53"/>
    <s v="Materials"/>
    <x v="0"/>
    <x v="4"/>
    <x v="7"/>
    <x v="1"/>
  </r>
  <r>
    <s v="Non-identified Sample in rack 07 position 3, track 10."/>
    <x v="12"/>
    <x v="2"/>
    <d v="2016-10-05T00:00:00"/>
    <d v="1899-12-30T14:17:53"/>
    <s v="Materials"/>
    <x v="0"/>
    <x v="4"/>
    <x v="7"/>
    <x v="1"/>
  </r>
  <r>
    <s v="Non-identified Sample in rack 07 position 4, track 10."/>
    <x v="12"/>
    <x v="2"/>
    <d v="2016-10-05T00:00:00"/>
    <d v="1899-12-30T14:17:53"/>
    <s v="Materials"/>
    <x v="0"/>
    <x v="4"/>
    <x v="7"/>
    <x v="1"/>
  </r>
  <r>
    <s v="Non-identified Sample in rack 07 position 5, track 10."/>
    <x v="12"/>
    <x v="2"/>
    <d v="2016-10-05T00:00:00"/>
    <d v="1899-12-30T14:17:53"/>
    <s v="Materials"/>
    <x v="0"/>
    <x v="4"/>
    <x v="7"/>
    <x v="1"/>
  </r>
  <r>
    <s v="Non-identified Sample in rack 07 position 6, track 10."/>
    <x v="12"/>
    <x v="2"/>
    <d v="2016-10-05T00:00:00"/>
    <d v="1899-12-30T14:17:53"/>
    <s v="Materials"/>
    <x v="0"/>
    <x v="4"/>
    <x v="7"/>
    <x v="1"/>
  </r>
  <r>
    <s v="Non-identified Material in rack DB position 5, track 1."/>
    <x v="27"/>
    <x v="2"/>
    <d v="2016-10-05T00:00:00"/>
    <d v="1899-12-30T14:17:59"/>
    <s v="Materials"/>
    <x v="0"/>
    <x v="2"/>
    <x v="3"/>
    <x v="0"/>
  </r>
  <r>
    <s v="Analyzer Status changed from Ready to Busy."/>
    <x v="0"/>
    <x v="0"/>
    <d v="2016-10-05T00:00:00"/>
    <d v="1899-12-30T14:18:44"/>
    <s v="Analyzer"/>
    <x v="0"/>
    <x v="0"/>
    <x v="0"/>
    <x v="0"/>
  </r>
  <r>
    <s v="APTT-SS CaCl2 volume low."/>
    <x v="7"/>
    <x v="1"/>
    <d v="2016-10-05T00:00:00"/>
    <d v="1899-12-30T14:30:07"/>
    <s v="Materials"/>
    <x v="0"/>
    <x v="3"/>
    <x v="4"/>
    <x v="0"/>
  </r>
  <r>
    <s v="Analyzer Status changed from Busy to Ready."/>
    <x v="0"/>
    <x v="0"/>
    <d v="2016-10-05T00:00:00"/>
    <d v="1899-12-30T14:32:40"/>
    <s v="Analyzer"/>
    <x v="0"/>
    <x v="0"/>
    <x v="0"/>
    <x v="0"/>
  </r>
  <r>
    <s v="Analyzer Status changed from Ready to Maintenance."/>
    <x v="0"/>
    <x v="0"/>
    <d v="2016-10-05T00:00:00"/>
    <d v="1899-12-30T14:32:40"/>
    <s v="Analyzer"/>
    <x v="0"/>
    <x v="0"/>
    <x v="0"/>
    <x v="0"/>
  </r>
  <r>
    <s v="Analyzer Status changed from Maintenance to Ready."/>
    <x v="0"/>
    <x v="0"/>
    <d v="2016-10-05T00:00:00"/>
    <d v="1899-12-30T14:33:00"/>
    <s v="Analyzer"/>
    <x v="0"/>
    <x v="0"/>
    <x v="0"/>
    <x v="0"/>
  </r>
  <r>
    <s v="Automatic maintenance activity Automatic Routine Clean for all Probes has been executed."/>
    <x v="2"/>
    <x v="0"/>
    <d v="2016-10-05T00:00:00"/>
    <d v="1899-12-30T14:33:00"/>
    <s v="Maintenance"/>
    <x v="0"/>
    <x v="2"/>
    <x v="2"/>
    <x v="0"/>
  </r>
  <r>
    <s v="Reflex Rule PTMX1:3 has been modified."/>
    <x v="23"/>
    <x v="0"/>
    <d v="2016-10-05T00:00:00"/>
    <d v="1899-12-30T14:41:56"/>
    <s v="Setup"/>
    <x v="0"/>
    <x v="2"/>
    <x v="5"/>
    <x v="0"/>
  </r>
  <r>
    <s v="Analyzer Status changed from Ready to Maintenance."/>
    <x v="0"/>
    <x v="0"/>
    <d v="2016-10-05T00:00:00"/>
    <d v="1899-12-30T15:33:00"/>
    <s v="Analyzer"/>
    <x v="0"/>
    <x v="0"/>
    <x v="0"/>
    <x v="0"/>
  </r>
  <r>
    <s v="Analyzer Status changed from Maintenance to Ready."/>
    <x v="0"/>
    <x v="0"/>
    <d v="2016-10-05T00:00:00"/>
    <d v="1899-12-30T15:33:22"/>
    <s v="Analyzer"/>
    <x v="0"/>
    <x v="0"/>
    <x v="0"/>
    <x v="0"/>
  </r>
  <r>
    <s v="Automatic maintenance activity Automatic Fluidic Line Priming Cycle has been executed."/>
    <x v="2"/>
    <x v="0"/>
    <d v="2016-10-05T00:00:00"/>
    <d v="1899-12-30T15:33:22"/>
    <s v="Maintenance"/>
    <x v="0"/>
    <x v="2"/>
    <x v="2"/>
    <x v="0"/>
  </r>
  <r>
    <s v="Analyzer Status changed from Ready to Maintenance."/>
    <x v="0"/>
    <x v="0"/>
    <d v="2016-10-05T00:00:00"/>
    <d v="1899-12-30T16:33:22"/>
    <s v="Analyzer"/>
    <x v="0"/>
    <x v="0"/>
    <x v="0"/>
    <x v="0"/>
  </r>
  <r>
    <s v="Analyzer Status changed from Maintenance to Ready."/>
    <x v="0"/>
    <x v="0"/>
    <d v="2016-10-05T00:00:00"/>
    <d v="1899-12-30T16:33:44"/>
    <s v="Analyzer"/>
    <x v="0"/>
    <x v="0"/>
    <x v="0"/>
    <x v="0"/>
  </r>
  <r>
    <s v="Automatic maintenance activity Automatic Fluidic Line Priming Cycle has been executed."/>
    <x v="2"/>
    <x v="0"/>
    <d v="2016-10-05T00:00:00"/>
    <d v="1899-12-30T16:33:44"/>
    <s v="Maintenance"/>
    <x v="0"/>
    <x v="2"/>
    <x v="2"/>
    <x v="0"/>
  </r>
  <r>
    <s v="Analyzer Status changed from Ready to Maintenance."/>
    <x v="0"/>
    <x v="0"/>
    <d v="2016-10-05T00:00:00"/>
    <d v="1899-12-30T17:33:44"/>
    <s v="Analyzer"/>
    <x v="0"/>
    <x v="0"/>
    <x v="0"/>
    <x v="0"/>
  </r>
  <r>
    <s v="Automatic maintenance activity Automatic Fluidic Line Priming Cycle has been executed."/>
    <x v="2"/>
    <x v="0"/>
    <d v="2016-10-05T00:00:00"/>
    <d v="1899-12-30T17:34:05"/>
    <s v="Maintenance"/>
    <x v="0"/>
    <x v="2"/>
    <x v="2"/>
    <x v="0"/>
  </r>
  <r>
    <s v="Analyzer Status changed from Maintenance to Ready."/>
    <x v="0"/>
    <x v="0"/>
    <d v="2016-10-05T00:00:00"/>
    <d v="1899-12-30T17:34:06"/>
    <s v="Analyzer"/>
    <x v="0"/>
    <x v="0"/>
    <x v="0"/>
    <x v="0"/>
  </r>
  <r>
    <s v="Analyzer Status changed from Ready to Maintenance."/>
    <x v="0"/>
    <x v="0"/>
    <d v="2016-10-05T00:00:00"/>
    <d v="1899-12-30T18:34:06"/>
    <s v="Analyzer"/>
    <x v="0"/>
    <x v="0"/>
    <x v="0"/>
    <x v="0"/>
  </r>
  <r>
    <s v="Analyzer Status changed from Maintenance to Ready."/>
    <x v="0"/>
    <x v="0"/>
    <d v="2016-10-05T00:00:00"/>
    <d v="1899-12-30T18:34:27"/>
    <s v="Analyzer"/>
    <x v="0"/>
    <x v="0"/>
    <x v="0"/>
    <x v="0"/>
  </r>
  <r>
    <s v="Automatic maintenance activity Automatic Fluidic Line Priming Cycle has been executed."/>
    <x v="2"/>
    <x v="0"/>
    <d v="2016-10-05T00:00:00"/>
    <d v="1899-12-30T18:34:27"/>
    <s v="Maintenance"/>
    <x v="0"/>
    <x v="2"/>
    <x v="2"/>
    <x v="0"/>
  </r>
  <r>
    <s v="Analyzer Status changed from Ready to Maintenance."/>
    <x v="0"/>
    <x v="0"/>
    <d v="2016-10-05T00:00:00"/>
    <d v="1899-12-30T19:34:27"/>
    <s v="Analyzer"/>
    <x v="0"/>
    <x v="0"/>
    <x v="0"/>
    <x v="0"/>
  </r>
  <r>
    <s v="Analyzer Status changed from Maintenance to Ready."/>
    <x v="0"/>
    <x v="0"/>
    <d v="2016-10-05T00:00:00"/>
    <d v="1899-12-30T19:34:49"/>
    <s v="Analyzer"/>
    <x v="0"/>
    <x v="0"/>
    <x v="0"/>
    <x v="0"/>
  </r>
  <r>
    <s v="Automatic maintenance activity Automatic Fluidic Line Priming Cycle has been executed."/>
    <x v="2"/>
    <x v="0"/>
    <d v="2016-10-05T00:00:00"/>
    <d v="1899-12-30T19:34:49"/>
    <s v="Maintenance"/>
    <x v="0"/>
    <x v="2"/>
    <x v="2"/>
    <x v="0"/>
  </r>
  <r>
    <s v="Analyzer Status changed from Ready to Maintenance."/>
    <x v="0"/>
    <x v="0"/>
    <d v="2016-10-05T00:00:00"/>
    <d v="1899-12-30T20:34:49"/>
    <s v="Analyzer"/>
    <x v="0"/>
    <x v="0"/>
    <x v="0"/>
    <x v="0"/>
  </r>
  <r>
    <s v="Analyzer Status changed from Maintenance to Ready."/>
    <x v="0"/>
    <x v="0"/>
    <d v="2016-10-05T00:00:00"/>
    <d v="1899-12-30T20:35:11"/>
    <s v="Analyzer"/>
    <x v="0"/>
    <x v="0"/>
    <x v="0"/>
    <x v="0"/>
  </r>
  <r>
    <s v="Automatic maintenance activity Automatic Fluidic Line Priming Cycle has been executed."/>
    <x v="2"/>
    <x v="0"/>
    <d v="2016-10-05T00:00:00"/>
    <d v="1899-12-30T20:35:11"/>
    <s v="Maintenance"/>
    <x v="0"/>
    <x v="2"/>
    <x v="2"/>
    <x v="0"/>
  </r>
  <r>
    <s v="Analyzer Status changed from Ready to Maintenance."/>
    <x v="0"/>
    <x v="0"/>
    <d v="2016-10-05T00:00:00"/>
    <d v="1899-12-30T21:35:11"/>
    <s v="Analyzer"/>
    <x v="0"/>
    <x v="0"/>
    <x v="0"/>
    <x v="0"/>
  </r>
  <r>
    <s v="Analyzer Status changed from Maintenance to Ready."/>
    <x v="0"/>
    <x v="0"/>
    <d v="2016-10-05T00:00:00"/>
    <d v="1899-12-30T21:35:33"/>
    <s v="Analyzer"/>
    <x v="0"/>
    <x v="0"/>
    <x v="0"/>
    <x v="0"/>
  </r>
  <r>
    <s v="Automatic maintenance activity Automatic Fluidic Line Priming Cycle has been executed."/>
    <x v="2"/>
    <x v="0"/>
    <d v="2016-10-05T00:00:00"/>
    <d v="1899-12-30T21:35:33"/>
    <s v="Maintenance"/>
    <x v="0"/>
    <x v="2"/>
    <x v="2"/>
    <x v="0"/>
  </r>
  <r>
    <s v="Analyzer Status changed from Ready to Maintenance."/>
    <x v="0"/>
    <x v="0"/>
    <d v="2016-10-05T00:00:00"/>
    <d v="1899-12-30T22:35:33"/>
    <s v="Analyzer"/>
    <x v="0"/>
    <x v="0"/>
    <x v="0"/>
    <x v="0"/>
  </r>
  <r>
    <s v="Analyzer Status changed from Maintenance to Ready."/>
    <x v="0"/>
    <x v="0"/>
    <d v="2016-10-05T00:00:00"/>
    <d v="1899-12-30T22:35:55"/>
    <s v="Analyzer"/>
    <x v="0"/>
    <x v="0"/>
    <x v="0"/>
    <x v="0"/>
  </r>
  <r>
    <s v="Automatic maintenance activity Automatic Fluidic Line Priming Cycle has been executed."/>
    <x v="2"/>
    <x v="0"/>
    <d v="2016-10-05T00:00:00"/>
    <d v="1899-12-30T22:35:55"/>
    <s v="Maintenance"/>
    <x v="0"/>
    <x v="2"/>
    <x v="2"/>
    <x v="0"/>
  </r>
  <r>
    <s v="Analyzer Status changed from Ready to Maintenance."/>
    <x v="0"/>
    <x v="0"/>
    <d v="2016-10-05T00:00:00"/>
    <d v="1899-12-30T23:35:55"/>
    <s v="Analyzer"/>
    <x v="0"/>
    <x v="0"/>
    <x v="0"/>
    <x v="0"/>
  </r>
  <r>
    <s v="Automatic maintenance activity Automatic Fluidic Line Priming Cycle has been executed."/>
    <x v="2"/>
    <x v="0"/>
    <d v="2016-10-05T00:00:00"/>
    <d v="1899-12-30T23:36:16"/>
    <s v="Maintenance"/>
    <x v="0"/>
    <x v="2"/>
    <x v="2"/>
    <x v="0"/>
  </r>
  <r>
    <s v="Analyzer Status changed from Maintenance to Ready."/>
    <x v="0"/>
    <x v="0"/>
    <d v="2016-10-05T00:00:00"/>
    <d v="1899-12-30T23:36:17"/>
    <s v="Analyzer"/>
    <x v="0"/>
    <x v="0"/>
    <x v="0"/>
    <x v="0"/>
  </r>
  <r>
    <s v="Analyzer Status changed from Ready to Maintenance."/>
    <x v="0"/>
    <x v="0"/>
    <d v="2016-10-06T00:00:00"/>
    <d v="1899-12-30T00:36:17"/>
    <s v="Analyzer"/>
    <x v="0"/>
    <x v="0"/>
    <x v="0"/>
    <x v="0"/>
  </r>
  <r>
    <s v="Automatic maintenance activity Automatic Fluidic Line Priming Cycle has been executed."/>
    <x v="2"/>
    <x v="0"/>
    <d v="2016-10-06T00:00:00"/>
    <d v="1899-12-30T00:36:38"/>
    <s v="Maintenance"/>
    <x v="0"/>
    <x v="2"/>
    <x v="2"/>
    <x v="0"/>
  </r>
  <r>
    <s v="Analyzer Status changed from Maintenance to Ready."/>
    <x v="0"/>
    <x v="0"/>
    <d v="2016-10-06T00:00:00"/>
    <d v="1899-12-30T00:36:39"/>
    <s v="Analyzer"/>
    <x v="0"/>
    <x v="0"/>
    <x v="0"/>
    <x v="0"/>
  </r>
  <r>
    <s v="Analyzer Status changed from Ready to Maintenance."/>
    <x v="0"/>
    <x v="0"/>
    <d v="2016-10-06T00:00:00"/>
    <d v="1899-12-30T01:36:39"/>
    <s v="Analyzer"/>
    <x v="0"/>
    <x v="0"/>
    <x v="0"/>
    <x v="0"/>
  </r>
  <r>
    <s v="Automatic maintenance activity Automatic Fluidic Line Priming Cycle has been executed."/>
    <x v="2"/>
    <x v="0"/>
    <d v="2016-10-06T00:00:00"/>
    <d v="1899-12-30T01:37:00"/>
    <s v="Maintenance"/>
    <x v="0"/>
    <x v="2"/>
    <x v="2"/>
    <x v="0"/>
  </r>
  <r>
    <s v="Analyzer Status changed from Maintenance to Ready."/>
    <x v="0"/>
    <x v="0"/>
    <d v="2016-10-06T00:00:00"/>
    <d v="1899-12-30T01:37:01"/>
    <s v="Analyzer"/>
    <x v="0"/>
    <x v="0"/>
    <x v="0"/>
    <x v="0"/>
  </r>
  <r>
    <s v="Analyzer Status changed from Ready to Maintenance."/>
    <x v="0"/>
    <x v="0"/>
    <d v="2016-10-06T00:00:00"/>
    <d v="1899-12-30T02:37:01"/>
    <s v="Analyzer"/>
    <x v="0"/>
    <x v="0"/>
    <x v="0"/>
    <x v="0"/>
  </r>
  <r>
    <s v="Analyzer Status changed from Maintenance to Ready."/>
    <x v="0"/>
    <x v="0"/>
    <d v="2016-10-06T00:00:00"/>
    <d v="1899-12-30T02:37:22"/>
    <s v="Analyzer"/>
    <x v="0"/>
    <x v="0"/>
    <x v="0"/>
    <x v="0"/>
  </r>
  <r>
    <s v="Automatic maintenance activity Automatic Fluidic Line Priming Cycle has been executed."/>
    <x v="2"/>
    <x v="0"/>
    <d v="2016-10-06T00:00:00"/>
    <d v="1899-12-30T02:37:22"/>
    <s v="Maintenance"/>
    <x v="0"/>
    <x v="2"/>
    <x v="2"/>
    <x v="0"/>
  </r>
  <r>
    <s v="Analyzer Status changed from Ready to Maintenance."/>
    <x v="0"/>
    <x v="0"/>
    <d v="2016-10-06T00:00:00"/>
    <d v="1899-12-30T03:37:23"/>
    <s v="Analyzer"/>
    <x v="0"/>
    <x v="0"/>
    <x v="0"/>
    <x v="0"/>
  </r>
  <r>
    <s v="Analyzer Status changed from Maintenance to Ready."/>
    <x v="0"/>
    <x v="0"/>
    <d v="2016-10-06T00:00:00"/>
    <d v="1899-12-30T03:37:44"/>
    <s v="Analyzer"/>
    <x v="0"/>
    <x v="0"/>
    <x v="0"/>
    <x v="0"/>
  </r>
  <r>
    <s v="Automatic maintenance activity Automatic Fluidic Line Priming Cycle has been executed."/>
    <x v="2"/>
    <x v="0"/>
    <d v="2016-10-06T00:00:00"/>
    <d v="1899-12-30T03:37:44"/>
    <s v="Maintenance"/>
    <x v="0"/>
    <x v="2"/>
    <x v="2"/>
    <x v="0"/>
  </r>
  <r>
    <s v="Analyzer Status changed from Ready to Maintenance."/>
    <x v="0"/>
    <x v="0"/>
    <d v="2016-10-06T00:00:00"/>
    <d v="1899-12-30T04:37:45"/>
    <s v="Analyzer"/>
    <x v="0"/>
    <x v="0"/>
    <x v="0"/>
    <x v="0"/>
  </r>
  <r>
    <s v="Analyzer Status changed from Maintenance to Ready."/>
    <x v="0"/>
    <x v="0"/>
    <d v="2016-10-06T00:00:00"/>
    <d v="1899-12-30T04:38:06"/>
    <s v="Analyzer"/>
    <x v="0"/>
    <x v="0"/>
    <x v="0"/>
    <x v="0"/>
  </r>
  <r>
    <s v="Automatic maintenance activity Automatic Fluidic Line Priming Cycle has been executed."/>
    <x v="2"/>
    <x v="0"/>
    <d v="2016-10-06T00:00:00"/>
    <d v="1899-12-30T04:38:06"/>
    <s v="Maintenance"/>
    <x v="0"/>
    <x v="2"/>
    <x v="2"/>
    <x v="0"/>
  </r>
  <r>
    <s v="Analyzer Status changed from Ready to Maintenance."/>
    <x v="0"/>
    <x v="0"/>
    <d v="2016-10-06T00:00:00"/>
    <d v="1899-12-30T05:38:06"/>
    <s v="Analyzer"/>
    <x v="0"/>
    <x v="0"/>
    <x v="0"/>
    <x v="0"/>
  </r>
  <r>
    <s v="Analyzer Status changed from Maintenance to Ready."/>
    <x v="0"/>
    <x v="0"/>
    <d v="2016-10-06T00:00:00"/>
    <d v="1899-12-30T05:38:28"/>
    <s v="Analyzer"/>
    <x v="0"/>
    <x v="0"/>
    <x v="0"/>
    <x v="0"/>
  </r>
  <r>
    <s v="Automatic maintenance activity Automatic Fluidic Line Priming Cycle has been executed."/>
    <x v="2"/>
    <x v="0"/>
    <d v="2016-10-06T00:00:00"/>
    <d v="1899-12-30T05:38:28"/>
    <s v="Maintenance"/>
    <x v="0"/>
    <x v="2"/>
    <x v="2"/>
    <x v="0"/>
  </r>
  <r>
    <s v="Analyzer Status changed from Ready to Maintenance."/>
    <x v="0"/>
    <x v="0"/>
    <d v="2016-10-06T00:00:00"/>
    <d v="1899-12-30T06:38:28"/>
    <s v="Analyzer"/>
    <x v="0"/>
    <x v="0"/>
    <x v="0"/>
    <x v="0"/>
  </r>
  <r>
    <s v="Analyzer Status changed from Maintenance to Ready."/>
    <x v="0"/>
    <x v="0"/>
    <d v="2016-10-06T00:00:00"/>
    <d v="1899-12-30T06:38:50"/>
    <s v="Analyzer"/>
    <x v="0"/>
    <x v="0"/>
    <x v="0"/>
    <x v="0"/>
  </r>
  <r>
    <s v="Automatic maintenance activity Automatic Fluidic Line Priming Cycle has been executed."/>
    <x v="2"/>
    <x v="0"/>
    <d v="2016-10-06T00:00:00"/>
    <d v="1899-12-30T06:38:50"/>
    <s v="Maintenance"/>
    <x v="0"/>
    <x v="2"/>
    <x v="2"/>
    <x v="0"/>
  </r>
  <r>
    <s v="Analyzer Status changed from Ready to Maintenance."/>
    <x v="0"/>
    <x v="0"/>
    <d v="2016-10-06T00:00:00"/>
    <d v="1899-12-30T07:20:29"/>
    <s v="Analyzer"/>
    <x v="0"/>
    <x v="0"/>
    <x v="0"/>
    <x v="0"/>
  </r>
  <r>
    <s v="Analyzer Status changed from Maintenance to Ready."/>
    <x v="0"/>
    <x v="0"/>
    <d v="2016-10-06T00:00:00"/>
    <d v="1899-12-30T07:23:58"/>
    <s v="Analyzer"/>
    <x v="0"/>
    <x v="0"/>
    <x v="0"/>
    <x v="0"/>
  </r>
  <r>
    <s v="Frequency status for manual maintenance activity Enhanced Clean for all Probes has changed to OK."/>
    <x v="3"/>
    <x v="0"/>
    <d v="2016-10-06T00:00:00"/>
    <d v="1899-12-30T07:23:58"/>
    <s v="Maintenance"/>
    <x v="0"/>
    <x v="2"/>
    <x v="2"/>
    <x v="0"/>
  </r>
  <r>
    <s v="Frequency status for manual maintenance activity Enhanced Clean for Sample and Reagent Probes has changed to OK."/>
    <x v="3"/>
    <x v="0"/>
    <d v="2016-10-06T00:00:00"/>
    <d v="1899-12-30T07:23:58"/>
    <s v="Maintenance"/>
    <x v="0"/>
    <x v="2"/>
    <x v="2"/>
    <x v="0"/>
  </r>
  <r>
    <s v="Semiautomatic maintenance activity Enhanced Clean for all Probes has been executed."/>
    <x v="4"/>
    <x v="0"/>
    <d v="2016-10-06T00:00:00"/>
    <d v="1899-12-30T07:23:58"/>
    <s v="Maintenance"/>
    <x v="0"/>
    <x v="2"/>
    <x v="2"/>
    <x v="0"/>
  </r>
  <r>
    <s v="Analyzer Status changed from Ready to Maintenance."/>
    <x v="0"/>
    <x v="0"/>
    <d v="2016-10-06T00:00:00"/>
    <d v="1899-12-30T07:26:13"/>
    <s v="Analyzer"/>
    <x v="0"/>
    <x v="0"/>
    <x v="0"/>
    <x v="0"/>
  </r>
  <r>
    <s v="Analyzer Status changed from Maintenance to Emergency stop."/>
    <x v="0"/>
    <x v="0"/>
    <d v="2016-10-06T00:00:00"/>
    <d v="1899-12-30T07:26:43"/>
    <s v="Analyzer"/>
    <x v="0"/>
    <x v="0"/>
    <x v="0"/>
    <x v="0"/>
  </r>
  <r>
    <s v="Analyzer Status changed from Emergency stop to Not connected."/>
    <x v="0"/>
    <x v="0"/>
    <d v="2016-10-06T00:00:00"/>
    <d v="1899-12-30T07:26:43"/>
    <s v="Analyzer"/>
    <x v="0"/>
    <x v="0"/>
    <x v="0"/>
    <x v="0"/>
  </r>
  <r>
    <s v="Frequency status for manual maintenance activity Wipe-down all Probes has changed to OK."/>
    <x v="3"/>
    <x v="0"/>
    <d v="2016-10-06T00:00:00"/>
    <d v="1899-12-30T07:26:44"/>
    <s v="Maintenance"/>
    <x v="0"/>
    <x v="2"/>
    <x v="2"/>
    <x v="0"/>
  </r>
  <r>
    <s v="Frequency status for manual maintenance activity Wipe-down Sample Probe has changed to OK."/>
    <x v="3"/>
    <x v="0"/>
    <d v="2016-10-06T00:00:00"/>
    <d v="1899-12-30T07:26:44"/>
    <s v="Maintenance"/>
    <x v="0"/>
    <x v="2"/>
    <x v="2"/>
    <x v="0"/>
  </r>
  <r>
    <s v="Frequency status for manual maintenance activity Wipe-down LAS Probe has changed to OK."/>
    <x v="3"/>
    <x v="0"/>
    <d v="2016-10-06T00:00:00"/>
    <d v="1899-12-30T07:26:44"/>
    <s v="Maintenance"/>
    <x v="0"/>
    <x v="2"/>
    <x v="2"/>
    <x v="0"/>
  </r>
  <r>
    <s v="Manual maintenance activity Wipe-down all Probes has been executed."/>
    <x v="5"/>
    <x v="0"/>
    <d v="2016-10-06T00:00:00"/>
    <d v="1899-12-30T07:26:44"/>
    <s v="Maintenance"/>
    <x v="0"/>
    <x v="2"/>
    <x v="2"/>
    <x v="0"/>
  </r>
  <r>
    <s v="Analyzer Status changed from Not connected to Power up."/>
    <x v="0"/>
    <x v="0"/>
    <d v="2016-10-06T00:00:00"/>
    <d v="1899-12-30T07:27:24"/>
    <s v="Analyzer"/>
    <x v="0"/>
    <x v="0"/>
    <x v="0"/>
    <x v="0"/>
  </r>
  <r>
    <s v="Analyzer Status changed from Power up to Initializing."/>
    <x v="0"/>
    <x v="0"/>
    <d v="2016-10-06T00:00:00"/>
    <d v="1899-12-30T07:27:34"/>
    <s v="Analyzer"/>
    <x v="0"/>
    <x v="0"/>
    <x v="0"/>
    <x v="0"/>
  </r>
  <r>
    <s v="Cuvettes waste drawer missing."/>
    <x v="29"/>
    <x v="2"/>
    <d v="2016-10-06T00:00:00"/>
    <d v="1899-12-30T07:28:28"/>
    <s v="Materials"/>
    <x v="0"/>
    <x v="5"/>
    <x v="11"/>
    <x v="0"/>
  </r>
  <r>
    <s v="Analyzer Status changed from Initializing to Error."/>
    <x v="0"/>
    <x v="0"/>
    <d v="2016-10-06T00:00:00"/>
    <d v="1899-12-30T07:28:28"/>
    <s v="Analyzer"/>
    <x v="0"/>
    <x v="0"/>
    <x v="0"/>
    <x v="0"/>
  </r>
  <r>
    <s v="Analyzer Status changed from Error to Initializing."/>
    <x v="0"/>
    <x v="0"/>
    <d v="2016-10-06T00:00:00"/>
    <d v="1899-12-30T07:28:41"/>
    <s v="Analyzer"/>
    <x v="0"/>
    <x v="0"/>
    <x v="0"/>
    <x v="0"/>
  </r>
  <r>
    <s v="Analyzer Status changed from Initializing to Adjusting thermal."/>
    <x v="0"/>
    <x v="0"/>
    <d v="2016-10-06T00:00:00"/>
    <d v="1899-12-30T07:29:24"/>
    <s v="Analyzer"/>
    <x v="0"/>
    <x v="0"/>
    <x v="0"/>
    <x v="0"/>
  </r>
  <r>
    <s v="Analyzer Status changed from Adjusting thermal to Ready."/>
    <x v="0"/>
    <x v="0"/>
    <d v="2016-10-06T00:00:00"/>
    <d v="1899-12-30T07:31:48"/>
    <s v="Analyzer"/>
    <x v="0"/>
    <x v="0"/>
    <x v="0"/>
    <x v="0"/>
  </r>
  <r>
    <s v="Analyzer Status changed from Ready to Maintenance."/>
    <x v="0"/>
    <x v="0"/>
    <d v="2016-10-06T00:00:00"/>
    <d v="1899-12-30T07:31:48"/>
    <s v="Analyzer"/>
    <x v="0"/>
    <x v="0"/>
    <x v="0"/>
    <x v="0"/>
  </r>
  <r>
    <s v="Analyzer Status changed from Maintenance to Ready."/>
    <x v="0"/>
    <x v="0"/>
    <d v="2016-10-06T00:00:00"/>
    <d v="1899-12-30T07:33:01"/>
    <s v="Analyzer"/>
    <x v="0"/>
    <x v="0"/>
    <x v="0"/>
    <x v="0"/>
  </r>
  <r>
    <s v="Analyzer Status changed from Ready to Maintenance."/>
    <x v="0"/>
    <x v="0"/>
    <d v="2016-10-06T00:00:00"/>
    <d v="1899-12-30T07:33:50"/>
    <s v="Analyzer"/>
    <x v="0"/>
    <x v="0"/>
    <x v="0"/>
    <x v="0"/>
  </r>
  <r>
    <s v="Analyzer Status changed from Maintenance to Ready."/>
    <x v="0"/>
    <x v="0"/>
    <d v="2016-10-06T00:00:00"/>
    <d v="1899-12-30T07:33:53"/>
    <s v="Analyzer"/>
    <x v="0"/>
    <x v="0"/>
    <x v="0"/>
    <x v="0"/>
  </r>
  <r>
    <s v="Frequency status for manual maintenance activity Clean Cuvette Waste Drawer has changed to OK."/>
    <x v="3"/>
    <x v="0"/>
    <d v="2016-10-06T00:00:00"/>
    <d v="1899-12-30T07:33:53"/>
    <s v="Maintenance"/>
    <x v="0"/>
    <x v="2"/>
    <x v="2"/>
    <x v="0"/>
  </r>
  <r>
    <s v="Manual maintenance activity Clean Cuvette Waste Drawer has been executed."/>
    <x v="5"/>
    <x v="0"/>
    <d v="2016-10-06T00:00:00"/>
    <d v="1899-12-30T07:33:53"/>
    <s v="Maintenance"/>
    <x v="0"/>
    <x v="2"/>
    <x v="2"/>
    <x v="0"/>
  </r>
  <r>
    <s v="Analyzer Status changed from Ready to Maintenance."/>
    <x v="0"/>
    <x v="0"/>
    <d v="2016-10-06T00:00:00"/>
    <d v="1899-12-30T07:56:02"/>
    <s v="Analyzer"/>
    <x v="0"/>
    <x v="0"/>
    <x v="0"/>
    <x v="0"/>
  </r>
  <r>
    <s v="Analyzer Status changed from Maintenance to Ready."/>
    <x v="0"/>
    <x v="0"/>
    <d v="2016-10-06T00:00:00"/>
    <d v="1899-12-30T07:56:04"/>
    <s v="Analyzer"/>
    <x v="0"/>
    <x v="0"/>
    <x v="0"/>
    <x v="0"/>
  </r>
  <r>
    <s v="Frequency status for manual maintenance activity make new diluted clean B has changed to OK."/>
    <x v="3"/>
    <x v="0"/>
    <d v="2016-10-06T00:00:00"/>
    <d v="1899-12-30T07:56:04"/>
    <s v="Maintenance"/>
    <x v="0"/>
    <x v="2"/>
    <x v="2"/>
    <x v="0"/>
  </r>
  <r>
    <s v="Manual maintenance activity make new diluted clean B has been executed."/>
    <x v="5"/>
    <x v="0"/>
    <d v="2016-10-06T00:00:00"/>
    <d v="1899-12-30T07:56:04"/>
    <s v="Maintenance"/>
    <x v="0"/>
    <x v="2"/>
    <x v="2"/>
    <x v="0"/>
  </r>
  <r>
    <s v="Non-identified Material in rack DA position 3, track 2."/>
    <x v="27"/>
    <x v="2"/>
    <d v="2016-10-06T00:00:00"/>
    <d v="1899-12-30T08:26:49"/>
    <s v="Materials"/>
    <x v="0"/>
    <x v="2"/>
    <x v="3"/>
    <x v="0"/>
  </r>
  <r>
    <s v="Analyzer Status changed from Ready to Maintenance."/>
    <x v="0"/>
    <x v="0"/>
    <d v="2016-10-06T00:00:00"/>
    <d v="1899-12-30T08:26:55"/>
    <s v="Analyzer"/>
    <x v="0"/>
    <x v="0"/>
    <x v="0"/>
    <x v="0"/>
  </r>
  <r>
    <s v="Analyzer Status changed from Maintenance to Ready."/>
    <x v="0"/>
    <x v="0"/>
    <d v="2016-10-06T00:00:00"/>
    <d v="1899-12-30T08:27:00"/>
    <s v="Analyzer"/>
    <x v="0"/>
    <x v="0"/>
    <x v="0"/>
    <x v="0"/>
  </r>
  <r>
    <s v="Frequency status for manual maintenance activity replace factor diluent has changed to OK."/>
    <x v="3"/>
    <x v="0"/>
    <d v="2016-10-06T00:00:00"/>
    <d v="1899-12-30T08:27:00"/>
    <s v="Maintenance"/>
    <x v="0"/>
    <x v="2"/>
    <x v="2"/>
    <x v="0"/>
  </r>
  <r>
    <s v="Manual maintenance activity replace factor diluent has been executed."/>
    <x v="5"/>
    <x v="0"/>
    <d v="2016-10-06T00:00:00"/>
    <d v="1899-12-30T08:27:00"/>
    <s v="Maintenance"/>
    <x v="0"/>
    <x v="2"/>
    <x v="2"/>
    <x v="0"/>
  </r>
  <r>
    <s v="Maintenance activity due: Wipe-down exterior of ACL TOP &amp; Vacuum Filters."/>
    <x v="9"/>
    <x v="1"/>
    <d v="2016-10-06T00:00:00"/>
    <d v="1899-12-30T08:39:45"/>
    <s v="Maintenance"/>
    <x v="0"/>
    <x v="2"/>
    <x v="2"/>
    <x v="0"/>
  </r>
  <r>
    <s v="Maintenance activity due: Replace factor diluent bottle."/>
    <x v="9"/>
    <x v="1"/>
    <d v="2016-10-06T00:00:00"/>
    <d v="1899-12-30T08:40:45"/>
    <s v="Maintenance"/>
    <x v="0"/>
    <x v="2"/>
    <x v="2"/>
    <x v="0"/>
  </r>
  <r>
    <s v="Normal C. Assayed volume low."/>
    <x v="7"/>
    <x v="1"/>
    <d v="2016-10-06T00:00:00"/>
    <d v="1899-12-30T09:02:17"/>
    <s v="Materials"/>
    <x v="0"/>
    <x v="3"/>
    <x v="4"/>
    <x v="0"/>
  </r>
  <r>
    <s v="High Abn C. Assayed volume low."/>
    <x v="7"/>
    <x v="1"/>
    <d v="2016-10-06T00:00:00"/>
    <d v="1899-12-30T09:02:23"/>
    <s v="Materials"/>
    <x v="0"/>
    <x v="3"/>
    <x v="4"/>
    <x v="0"/>
  </r>
  <r>
    <s v="Analyzer Status changed from Ready to Busy."/>
    <x v="0"/>
    <x v="0"/>
    <d v="2016-10-06T00:00:00"/>
    <d v="1899-12-30T09:02:47"/>
    <s v="Analyzer"/>
    <x v="0"/>
    <x v="0"/>
    <x v="0"/>
    <x v="0"/>
  </r>
  <r>
    <s v="Analyzer Status changed from Busy to Ready."/>
    <x v="0"/>
    <x v="0"/>
    <d v="2016-10-06T00:00:00"/>
    <d v="1899-12-30T09:16:43"/>
    <s v="Analyzer"/>
    <x v="0"/>
    <x v="0"/>
    <x v="0"/>
    <x v="0"/>
  </r>
  <r>
    <s v="Analyzer Status changed from Ready to Maintenance."/>
    <x v="0"/>
    <x v="0"/>
    <d v="2016-10-06T00:00:00"/>
    <d v="1899-12-30T09:16:43"/>
    <s v="Analyzer"/>
    <x v="0"/>
    <x v="0"/>
    <x v="0"/>
    <x v="0"/>
  </r>
  <r>
    <s v="Analyzer Status changed from Maintenance to Ready."/>
    <x v="0"/>
    <x v="0"/>
    <d v="2016-10-06T00:00:00"/>
    <d v="1899-12-30T09:17:19"/>
    <s v="Analyzer"/>
    <x v="0"/>
    <x v="0"/>
    <x v="0"/>
    <x v="0"/>
  </r>
  <r>
    <s v="Automatic maintenance activity Automatic Routine Clean for all Probes has been executed."/>
    <x v="2"/>
    <x v="0"/>
    <d v="2016-10-06T00:00:00"/>
    <d v="1899-12-30T09:17:19"/>
    <s v="Maintenance"/>
    <x v="0"/>
    <x v="2"/>
    <x v="2"/>
    <x v="0"/>
  </r>
  <r>
    <s v="Non-identified Material in rack DA position 2, track 2."/>
    <x v="27"/>
    <x v="2"/>
    <d v="2016-10-06T00:00:00"/>
    <d v="1899-12-30T09:58:24"/>
    <s v="Materials"/>
    <x v="0"/>
    <x v="2"/>
    <x v="3"/>
    <x v="0"/>
  </r>
  <r>
    <s v="Non-identified Material in rack RE position 3, track 3."/>
    <x v="27"/>
    <x v="2"/>
    <d v="2016-10-06T00:00:00"/>
    <d v="1899-12-30T09:59:08"/>
    <s v="Materials"/>
    <x v="0"/>
    <x v="2"/>
    <x v="3"/>
    <x v="0"/>
  </r>
  <r>
    <s v="Non-identified Material in rack RC position 4, track 5."/>
    <x v="27"/>
    <x v="2"/>
    <d v="2016-10-06T00:00:00"/>
    <d v="1899-12-30T10:04:14"/>
    <s v="Materials"/>
    <x v="0"/>
    <x v="2"/>
    <x v="3"/>
    <x v="0"/>
  </r>
  <r>
    <s v="Non-identified Material in rack DA position 2, track 2."/>
    <x v="27"/>
    <x v="2"/>
    <d v="2016-10-06T00:00:00"/>
    <d v="1899-12-30T10:05:33"/>
    <s v="Materials"/>
    <x v="0"/>
    <x v="2"/>
    <x v="3"/>
    <x v="0"/>
  </r>
  <r>
    <s v="Non-identified Material in rack DA position 4, track 2."/>
    <x v="27"/>
    <x v="2"/>
    <d v="2016-10-06T00:00:00"/>
    <d v="1899-12-30T10:05:33"/>
    <s v="Materials"/>
    <x v="0"/>
    <x v="2"/>
    <x v="3"/>
    <x v="0"/>
  </r>
  <r>
    <s v="Analyzer Status changed from Ready to Maintenance."/>
    <x v="0"/>
    <x v="0"/>
    <d v="2016-10-06T00:00:00"/>
    <d v="1899-12-30T10:17:19"/>
    <s v="Analyzer"/>
    <x v="0"/>
    <x v="0"/>
    <x v="0"/>
    <x v="0"/>
  </r>
  <r>
    <s v="Automatic maintenance activity Automatic Fluidic Line Priming Cycle has been executed."/>
    <x v="2"/>
    <x v="0"/>
    <d v="2016-10-06T00:00:00"/>
    <d v="1899-12-30T10:17:40"/>
    <s v="Maintenance"/>
    <x v="0"/>
    <x v="2"/>
    <x v="2"/>
    <x v="0"/>
  </r>
  <r>
    <s v="Analyzer Status changed from Maintenance to Ready."/>
    <x v="0"/>
    <x v="0"/>
    <d v="2016-10-06T00:00:00"/>
    <d v="1899-12-30T10:17:41"/>
    <s v="Analyzer"/>
    <x v="0"/>
    <x v="0"/>
    <x v="0"/>
    <x v="0"/>
  </r>
  <r>
    <s v="Non-identified Sample in rack 01 position 1, track 12."/>
    <x v="12"/>
    <x v="2"/>
    <d v="2016-10-06T00:00:00"/>
    <d v="1899-12-30T10:33:48"/>
    <s v="Materials"/>
    <x v="0"/>
    <x v="4"/>
    <x v="7"/>
    <x v="1"/>
  </r>
  <r>
    <s v="Non-identified Sample in rack 01 position 2, track 12."/>
    <x v="12"/>
    <x v="2"/>
    <d v="2016-10-06T00:00:00"/>
    <d v="1899-12-30T10:33:48"/>
    <s v="Materials"/>
    <x v="0"/>
    <x v="4"/>
    <x v="7"/>
    <x v="1"/>
  </r>
  <r>
    <s v="Non-identified Sample in rack 01 position 3, track 12."/>
    <x v="12"/>
    <x v="2"/>
    <d v="2016-10-06T00:00:00"/>
    <d v="1899-12-30T10:33:48"/>
    <s v="Materials"/>
    <x v="0"/>
    <x v="4"/>
    <x v="7"/>
    <x v="1"/>
  </r>
  <r>
    <s v="Non-identified Sample in rack 01 position 4, track 12."/>
    <x v="12"/>
    <x v="2"/>
    <d v="2016-10-06T00:00:00"/>
    <d v="1899-12-30T10:33:48"/>
    <s v="Materials"/>
    <x v="0"/>
    <x v="4"/>
    <x v="7"/>
    <x v="1"/>
  </r>
  <r>
    <s v="Non-identified Sample in rack 01 position 5, track 12."/>
    <x v="12"/>
    <x v="2"/>
    <d v="2016-10-06T00:00:00"/>
    <d v="1899-12-30T10:33:48"/>
    <s v="Materials"/>
    <x v="0"/>
    <x v="4"/>
    <x v="7"/>
    <x v="1"/>
  </r>
  <r>
    <s v="Non-identified Sample in rack 01 position 6, track 12."/>
    <x v="12"/>
    <x v="2"/>
    <d v="2016-10-06T00:00:00"/>
    <d v="1899-12-30T10:33:48"/>
    <s v="Materials"/>
    <x v="0"/>
    <x v="4"/>
    <x v="7"/>
    <x v="1"/>
  </r>
  <r>
    <s v="Non-identified Sample in rack 01 position 7, track 12."/>
    <x v="12"/>
    <x v="2"/>
    <d v="2016-10-06T00:00:00"/>
    <d v="1899-12-30T10:33:48"/>
    <s v="Materials"/>
    <x v="0"/>
    <x v="4"/>
    <x v="7"/>
    <x v="1"/>
  </r>
  <r>
    <s v="Analyzer Status changed from Ready to Busy."/>
    <x v="0"/>
    <x v="0"/>
    <d v="2016-10-06T00:00:00"/>
    <d v="1899-12-30T10:35:24"/>
    <s v="Analyzer"/>
    <x v="0"/>
    <x v="0"/>
    <x v="0"/>
    <x v="0"/>
  </r>
  <r>
    <s v="Analyzer Status changed from Busy to Ready."/>
    <x v="0"/>
    <x v="0"/>
    <d v="2016-10-06T00:00:00"/>
    <d v="1899-12-30T10:47:16"/>
    <s v="Analyzer"/>
    <x v="0"/>
    <x v="0"/>
    <x v="0"/>
    <x v="0"/>
  </r>
  <r>
    <s v="Analyzer Status changed from Ready to Maintenance."/>
    <x v="0"/>
    <x v="0"/>
    <d v="2016-10-06T00:00:00"/>
    <d v="1899-12-30T10:47:16"/>
    <s v="Analyzer"/>
    <x v="0"/>
    <x v="0"/>
    <x v="0"/>
    <x v="0"/>
  </r>
  <r>
    <s v="Analyzer Status changed from Maintenance to Ready."/>
    <x v="0"/>
    <x v="0"/>
    <d v="2016-10-06T00:00:00"/>
    <d v="1899-12-30T10:47:44"/>
    <s v="Analyzer"/>
    <x v="0"/>
    <x v="0"/>
    <x v="0"/>
    <x v="0"/>
  </r>
  <r>
    <s v="Automatic maintenance activity Automatic Routine Clean for all Probes has been executed."/>
    <x v="2"/>
    <x v="0"/>
    <d v="2016-10-06T00:00:00"/>
    <d v="1899-12-30T10:47:44"/>
    <s v="Maintenance"/>
    <x v="0"/>
    <x v="2"/>
    <x v="2"/>
    <x v="0"/>
  </r>
  <r>
    <s v="Non-identified Sample in rack 11 position 1, track 10."/>
    <x v="12"/>
    <x v="2"/>
    <d v="2016-10-06T00:00:00"/>
    <d v="1899-12-30T10:49:46"/>
    <s v="Materials"/>
    <x v="0"/>
    <x v="4"/>
    <x v="7"/>
    <x v="1"/>
  </r>
  <r>
    <s v="Non-identified Sample in rack 11 position 2, track 10."/>
    <x v="12"/>
    <x v="2"/>
    <d v="2016-10-06T00:00:00"/>
    <d v="1899-12-30T10:49:46"/>
    <s v="Materials"/>
    <x v="0"/>
    <x v="4"/>
    <x v="7"/>
    <x v="1"/>
  </r>
  <r>
    <s v="Non-identified Sample in rack 11 position 3, track 10."/>
    <x v="12"/>
    <x v="2"/>
    <d v="2016-10-06T00:00:00"/>
    <d v="1899-12-30T10:49:46"/>
    <s v="Materials"/>
    <x v="0"/>
    <x v="4"/>
    <x v="7"/>
    <x v="1"/>
  </r>
  <r>
    <s v="Non-identified Sample in rack 11 position 4, track 10."/>
    <x v="12"/>
    <x v="2"/>
    <d v="2016-10-06T00:00:00"/>
    <d v="1899-12-30T10:49:46"/>
    <s v="Materials"/>
    <x v="0"/>
    <x v="4"/>
    <x v="7"/>
    <x v="1"/>
  </r>
  <r>
    <s v="Analyzer Status changed from Ready to Busy."/>
    <x v="0"/>
    <x v="0"/>
    <d v="2016-10-06T00:00:00"/>
    <d v="1899-12-30T10:50:38"/>
    <s v="Analyzer"/>
    <x v="0"/>
    <x v="0"/>
    <x v="0"/>
    <x v="0"/>
  </r>
  <r>
    <s v="Analyzer Status changed from Busy to Ready."/>
    <x v="0"/>
    <x v="0"/>
    <d v="2016-10-06T00:00:00"/>
    <d v="1899-12-30T10:59:11"/>
    <s v="Analyzer"/>
    <x v="0"/>
    <x v="0"/>
    <x v="0"/>
    <x v="0"/>
  </r>
  <r>
    <s v="Analyzer Status changed from Ready to Maintenance."/>
    <x v="0"/>
    <x v="0"/>
    <d v="2016-10-06T00:00:00"/>
    <d v="1899-12-30T10:59:11"/>
    <s v="Analyzer"/>
    <x v="0"/>
    <x v="0"/>
    <x v="0"/>
    <x v="0"/>
  </r>
  <r>
    <s v="Analyzer Status changed from Maintenance to Ready."/>
    <x v="0"/>
    <x v="0"/>
    <d v="2016-10-06T00:00:00"/>
    <d v="1899-12-30T10:59:38"/>
    <s v="Analyzer"/>
    <x v="0"/>
    <x v="0"/>
    <x v="0"/>
    <x v="0"/>
  </r>
  <r>
    <s v="Automatic maintenance activity Automatic Routine Clean for all Probes has been executed."/>
    <x v="2"/>
    <x v="0"/>
    <d v="2016-10-06T00:00:00"/>
    <d v="1899-12-30T10:59:38"/>
    <s v="Maintenance"/>
    <x v="0"/>
    <x v="2"/>
    <x v="2"/>
    <x v="0"/>
  </r>
  <r>
    <s v="Non-identified Material in rack RC position 4, track 5."/>
    <x v="27"/>
    <x v="2"/>
    <d v="2016-10-06T00:00:00"/>
    <d v="1899-12-30T11:03:02"/>
    <s v="Materials"/>
    <x v="0"/>
    <x v="2"/>
    <x v="3"/>
    <x v="0"/>
  </r>
  <r>
    <s v="Non-identified Material in rack DA position 2, track 2."/>
    <x v="27"/>
    <x v="2"/>
    <d v="2016-10-06T00:00:00"/>
    <d v="1899-12-30T11:03:28"/>
    <s v="Materials"/>
    <x v="0"/>
    <x v="2"/>
    <x v="3"/>
    <x v="0"/>
  </r>
  <r>
    <s v="Non-identified Material in rack DA position 4, track 2."/>
    <x v="27"/>
    <x v="2"/>
    <d v="2016-10-06T00:00:00"/>
    <d v="1899-12-30T11:03:28"/>
    <s v="Materials"/>
    <x v="0"/>
    <x v="2"/>
    <x v="3"/>
    <x v="0"/>
  </r>
  <r>
    <s v="Non-identified Material in rack RC position 4, track 5."/>
    <x v="27"/>
    <x v="2"/>
    <d v="2016-10-06T00:00:00"/>
    <d v="1899-12-30T11:04:19"/>
    <s v="Materials"/>
    <x v="0"/>
    <x v="2"/>
    <x v="3"/>
    <x v="0"/>
  </r>
  <r>
    <s v="Analyzer Status changed from Ready to Busy."/>
    <x v="0"/>
    <x v="0"/>
    <d v="2016-10-06T00:00:00"/>
    <d v="1899-12-30T11:05:15"/>
    <s v="Analyzer"/>
    <x v="0"/>
    <x v="0"/>
    <x v="0"/>
    <x v="0"/>
  </r>
  <r>
    <s v="Analyzer Status changed from Busy to Ready."/>
    <x v="0"/>
    <x v="0"/>
    <d v="2016-10-06T00:00:00"/>
    <d v="1899-12-30T11:08:30"/>
    <s v="Analyzer"/>
    <x v="0"/>
    <x v="0"/>
    <x v="0"/>
    <x v="0"/>
  </r>
  <r>
    <s v="Analyzer Status changed from Ready to Maintenance."/>
    <x v="0"/>
    <x v="0"/>
    <d v="2016-10-06T00:00:00"/>
    <d v="1899-12-30T11:08:30"/>
    <s v="Analyzer"/>
    <x v="0"/>
    <x v="0"/>
    <x v="0"/>
    <x v="0"/>
  </r>
  <r>
    <s v="Analyzer Status changed from Maintenance to Ready."/>
    <x v="0"/>
    <x v="0"/>
    <d v="2016-10-06T00:00:00"/>
    <d v="1899-12-30T11:08:56"/>
    <s v="Analyzer"/>
    <x v="0"/>
    <x v="0"/>
    <x v="0"/>
    <x v="0"/>
  </r>
  <r>
    <s v="Automatic maintenance activity Automatic Routine Clean for all Probes has been executed."/>
    <x v="2"/>
    <x v="0"/>
    <d v="2016-10-06T00:00:00"/>
    <d v="1899-12-30T11:08:56"/>
    <s v="Maintenance"/>
    <x v="0"/>
    <x v="2"/>
    <x v="2"/>
    <x v="0"/>
  </r>
  <r>
    <s v="Non-identified Sample in rack 01 position 1, track 12."/>
    <x v="12"/>
    <x v="2"/>
    <d v="2016-10-06T00:00:00"/>
    <d v="1899-12-30T11:15:17"/>
    <s v="Materials"/>
    <x v="0"/>
    <x v="4"/>
    <x v="7"/>
    <x v="1"/>
  </r>
  <r>
    <s v="Non-identified Sample in rack 01 position 2, track 12."/>
    <x v="12"/>
    <x v="2"/>
    <d v="2016-10-06T00:00:00"/>
    <d v="1899-12-30T11:15:17"/>
    <s v="Materials"/>
    <x v="0"/>
    <x v="4"/>
    <x v="7"/>
    <x v="1"/>
  </r>
  <r>
    <s v="Non-identified Sample in rack 01 position 3, track 12."/>
    <x v="12"/>
    <x v="2"/>
    <d v="2016-10-06T00:00:00"/>
    <d v="1899-12-30T11:15:17"/>
    <s v="Materials"/>
    <x v="0"/>
    <x v="4"/>
    <x v="7"/>
    <x v="1"/>
  </r>
  <r>
    <s v="Non-identified Sample in rack 01 position 4, track 12."/>
    <x v="12"/>
    <x v="2"/>
    <d v="2016-10-06T00:00:00"/>
    <d v="1899-12-30T11:15:17"/>
    <s v="Materials"/>
    <x v="0"/>
    <x v="4"/>
    <x v="7"/>
    <x v="1"/>
  </r>
  <r>
    <s v="Non-identified Sample in rack 01 position 5, track 12."/>
    <x v="12"/>
    <x v="2"/>
    <d v="2016-10-06T00:00:00"/>
    <d v="1899-12-30T11:15:17"/>
    <s v="Materials"/>
    <x v="0"/>
    <x v="4"/>
    <x v="7"/>
    <x v="1"/>
  </r>
  <r>
    <s v="Non-identified Sample in rack 01 position 6, track 12."/>
    <x v="12"/>
    <x v="2"/>
    <d v="2016-10-06T00:00:00"/>
    <d v="1899-12-30T11:15:17"/>
    <s v="Materials"/>
    <x v="0"/>
    <x v="4"/>
    <x v="7"/>
    <x v="1"/>
  </r>
  <r>
    <s v="Non-identified Sample in rack 01 position 7, track 12."/>
    <x v="12"/>
    <x v="2"/>
    <d v="2016-10-06T00:00:00"/>
    <d v="1899-12-30T11:15:17"/>
    <s v="Materials"/>
    <x v="0"/>
    <x v="4"/>
    <x v="7"/>
    <x v="1"/>
  </r>
  <r>
    <s v="SCTSMX Patient job not feasible. Waiting for Normal Pooled Plasma."/>
    <x v="26"/>
    <x v="1"/>
    <d v="2016-10-06T00:00:00"/>
    <d v="1899-12-30T11:16:04"/>
    <s v="Materials"/>
    <x v="0"/>
    <x v="2"/>
    <x v="3"/>
    <x v="0"/>
  </r>
  <r>
    <s v="SCTCMX Patient job not feasible. Waiting for Normal Pooled Plasma."/>
    <x v="26"/>
    <x v="1"/>
    <d v="2016-10-06T00:00:00"/>
    <d v="1899-12-30T11:16:04"/>
    <s v="Materials"/>
    <x v="0"/>
    <x v="2"/>
    <x v="3"/>
    <x v="0"/>
  </r>
  <r>
    <s v="Analyzer Status changed from Ready to Busy."/>
    <x v="0"/>
    <x v="0"/>
    <d v="2016-10-06T00:00:00"/>
    <d v="1899-12-30T11:16:04"/>
    <s v="Analyzer"/>
    <x v="0"/>
    <x v="0"/>
    <x v="0"/>
    <x v="0"/>
  </r>
  <r>
    <s v="Non-identified Sample in rack 02 position 1, track 11."/>
    <x v="12"/>
    <x v="2"/>
    <d v="2016-10-06T00:00:00"/>
    <d v="1899-12-30T11:20:20"/>
    <s v="Materials"/>
    <x v="0"/>
    <x v="4"/>
    <x v="7"/>
    <x v="1"/>
  </r>
  <r>
    <s v="Non-identified Sample in rack 02 position 2, track 11."/>
    <x v="12"/>
    <x v="2"/>
    <d v="2016-10-06T00:00:00"/>
    <d v="1899-12-30T11:20:20"/>
    <s v="Materials"/>
    <x v="0"/>
    <x v="4"/>
    <x v="7"/>
    <x v="1"/>
  </r>
  <r>
    <s v="Non-identified Sample in rack 02 position 3, track 11."/>
    <x v="12"/>
    <x v="2"/>
    <d v="2016-10-06T00:00:00"/>
    <d v="1899-12-30T11:20:20"/>
    <s v="Materials"/>
    <x v="0"/>
    <x v="4"/>
    <x v="7"/>
    <x v="1"/>
  </r>
  <r>
    <s v="Non-identified Sample in rack 02 position 4, track 11."/>
    <x v="12"/>
    <x v="2"/>
    <d v="2016-10-06T00:00:00"/>
    <d v="1899-12-30T11:20:20"/>
    <s v="Materials"/>
    <x v="0"/>
    <x v="4"/>
    <x v="7"/>
    <x v="1"/>
  </r>
  <r>
    <s v="Non-identified Sample in rack 02 position 5, track 11."/>
    <x v="12"/>
    <x v="2"/>
    <d v="2016-10-06T00:00:00"/>
    <d v="1899-12-30T11:20:20"/>
    <s v="Materials"/>
    <x v="0"/>
    <x v="4"/>
    <x v="7"/>
    <x v="1"/>
  </r>
  <r>
    <s v="FX CHROM Patient job not feasible. Waiting for FX Buffer Chrome."/>
    <x v="26"/>
    <x v="1"/>
    <d v="2016-10-06T00:00:00"/>
    <d v="1899-12-30T11:21:15"/>
    <s v="Materials"/>
    <x v="0"/>
    <x v="2"/>
    <x v="3"/>
    <x v="0"/>
  </r>
  <r>
    <s v="Non-identified Sample in rack 08 position 1, track 9."/>
    <x v="12"/>
    <x v="2"/>
    <d v="2016-10-06T00:00:00"/>
    <d v="1899-12-30T11:23:26"/>
    <s v="Materials"/>
    <x v="0"/>
    <x v="4"/>
    <x v="7"/>
    <x v="1"/>
  </r>
  <r>
    <s v="Non-identified Material in rack DA position 2, track 2."/>
    <x v="27"/>
    <x v="2"/>
    <d v="2016-10-06T00:00:00"/>
    <d v="1899-12-30T11:29:41"/>
    <s v="Materials"/>
    <x v="0"/>
    <x v="2"/>
    <x v="3"/>
    <x v="0"/>
  </r>
  <r>
    <s v="Non-identified Material in rack DA position 4, track 2."/>
    <x v="27"/>
    <x v="2"/>
    <d v="2016-10-06T00:00:00"/>
    <d v="1899-12-30T11:29:42"/>
    <s v="Materials"/>
    <x v="0"/>
    <x v="2"/>
    <x v="3"/>
    <x v="0"/>
  </r>
  <r>
    <s v="Insufficient volume in position 5, track S12."/>
    <x v="30"/>
    <x v="2"/>
    <d v="2016-10-06T00:00:00"/>
    <d v="1899-12-30T11:36:02"/>
    <s v="Materials"/>
    <x v="0"/>
    <x v="3"/>
    <x v="4"/>
    <x v="0"/>
  </r>
  <r>
    <s v="Insufficient volume in position 1, track S12."/>
    <x v="30"/>
    <x v="2"/>
    <d v="2016-10-06T00:00:00"/>
    <d v="1899-12-30T11:37:17"/>
    <s v="Materials"/>
    <x v="0"/>
    <x v="3"/>
    <x v="4"/>
    <x v="0"/>
  </r>
  <r>
    <s v="Analyzer Status changed from Busy to Ready."/>
    <x v="0"/>
    <x v="0"/>
    <d v="2016-10-06T00:00:00"/>
    <d v="1899-12-30T11:49:11"/>
    <s v="Analyzer"/>
    <x v="0"/>
    <x v="0"/>
    <x v="0"/>
    <x v="0"/>
  </r>
  <r>
    <s v="Analyzer Status changed from Ready to Maintenance."/>
    <x v="0"/>
    <x v="0"/>
    <d v="2016-10-06T00:00:00"/>
    <d v="1899-12-30T11:49:11"/>
    <s v="Analyzer"/>
    <x v="0"/>
    <x v="0"/>
    <x v="0"/>
    <x v="0"/>
  </r>
  <r>
    <s v="Analyzer Status changed from Maintenance to Ready."/>
    <x v="0"/>
    <x v="0"/>
    <d v="2016-10-06T00:00:00"/>
    <d v="1899-12-30T11:49:37"/>
    <s v="Analyzer"/>
    <x v="0"/>
    <x v="0"/>
    <x v="0"/>
    <x v="0"/>
  </r>
  <r>
    <s v="Automatic maintenance activity Automatic Routine Clean for all Probes has been executed."/>
    <x v="2"/>
    <x v="0"/>
    <d v="2016-10-06T00:00:00"/>
    <d v="1899-12-30T11:49:37"/>
    <s v="Maintenance"/>
    <x v="0"/>
    <x v="2"/>
    <x v="2"/>
    <x v="0"/>
  </r>
  <r>
    <s v="Non-identified Material in rack DA position 2, track 2."/>
    <x v="27"/>
    <x v="2"/>
    <d v="2016-10-06T00:00:00"/>
    <d v="1899-12-30T12:06:11"/>
    <s v="Materials"/>
    <x v="0"/>
    <x v="2"/>
    <x v="3"/>
    <x v="0"/>
  </r>
  <r>
    <s v="Non-identified Sample in rack 05 position 1, track 12."/>
    <x v="12"/>
    <x v="2"/>
    <d v="2016-10-06T00:00:00"/>
    <d v="1899-12-30T12:22:00"/>
    <s v="Materials"/>
    <x v="0"/>
    <x v="4"/>
    <x v="7"/>
    <x v="1"/>
  </r>
  <r>
    <s v="Non-identified Sample in rack 05 position 2, track 12."/>
    <x v="12"/>
    <x v="2"/>
    <d v="2016-10-06T00:00:00"/>
    <d v="1899-12-30T12:22:00"/>
    <s v="Materials"/>
    <x v="0"/>
    <x v="4"/>
    <x v="7"/>
    <x v="1"/>
  </r>
  <r>
    <s v="Analyzer Status changed from Ready to Busy."/>
    <x v="0"/>
    <x v="0"/>
    <d v="2016-10-06T00:00:00"/>
    <d v="1899-12-30T12:22:26"/>
    <s v="Analyzer"/>
    <x v="0"/>
    <x v="0"/>
    <x v="0"/>
    <x v="0"/>
  </r>
  <r>
    <s v="Analyzer Status changed from Busy to Ready."/>
    <x v="0"/>
    <x v="0"/>
    <d v="2016-10-06T00:00:00"/>
    <d v="1899-12-30T12:26:27"/>
    <s v="Analyzer"/>
    <x v="0"/>
    <x v="0"/>
    <x v="0"/>
    <x v="0"/>
  </r>
  <r>
    <s v="Analyzer Status changed from Ready to Maintenance."/>
    <x v="0"/>
    <x v="0"/>
    <d v="2016-10-06T00:00:00"/>
    <d v="1899-12-30T12:26:27"/>
    <s v="Analyzer"/>
    <x v="0"/>
    <x v="0"/>
    <x v="0"/>
    <x v="0"/>
  </r>
  <r>
    <s v="Automatic maintenance activity Automatic Routine Clean for all Probes has been executed."/>
    <x v="2"/>
    <x v="0"/>
    <d v="2016-10-06T00:00:00"/>
    <d v="1899-12-30T12:26:52"/>
    <s v="Maintenance"/>
    <x v="0"/>
    <x v="2"/>
    <x v="2"/>
    <x v="0"/>
  </r>
  <r>
    <s v="Analyzer Status changed from Maintenance to Ready."/>
    <x v="0"/>
    <x v="0"/>
    <d v="2016-10-06T00:00:00"/>
    <d v="1899-12-30T12:26:53"/>
    <s v="Analyzer"/>
    <x v="0"/>
    <x v="0"/>
    <x v="0"/>
    <x v="0"/>
  </r>
  <r>
    <s v="Non-identified Sample in rack 10 position 1, track 11."/>
    <x v="12"/>
    <x v="2"/>
    <d v="2016-10-06T00:00:00"/>
    <d v="1899-12-30T12:44:16"/>
    <s v="Materials"/>
    <x v="0"/>
    <x v="4"/>
    <x v="7"/>
    <x v="1"/>
  </r>
  <r>
    <s v="Non-identified Sample in rack 10 position 2, track 11."/>
    <x v="12"/>
    <x v="2"/>
    <d v="2016-10-06T00:00:00"/>
    <d v="1899-12-30T12:44:16"/>
    <s v="Materials"/>
    <x v="0"/>
    <x v="4"/>
    <x v="7"/>
    <x v="1"/>
  </r>
  <r>
    <s v="Non-identified Sample in rack 10 position 3, track 11."/>
    <x v="12"/>
    <x v="2"/>
    <d v="2016-10-06T00:00:00"/>
    <d v="1899-12-30T12:44:16"/>
    <s v="Materials"/>
    <x v="0"/>
    <x v="4"/>
    <x v="7"/>
    <x v="1"/>
  </r>
  <r>
    <s v="Non-identified Sample in rack 10 position 4, track 11."/>
    <x v="12"/>
    <x v="2"/>
    <d v="2016-10-06T00:00:00"/>
    <d v="1899-12-30T12:44:16"/>
    <s v="Materials"/>
    <x v="0"/>
    <x v="4"/>
    <x v="7"/>
    <x v="1"/>
  </r>
  <r>
    <s v="Non-identified Sample in rack 10 position 5, track 11."/>
    <x v="12"/>
    <x v="2"/>
    <d v="2016-10-06T00:00:00"/>
    <d v="1899-12-30T12:44:16"/>
    <s v="Materials"/>
    <x v="0"/>
    <x v="4"/>
    <x v="7"/>
    <x v="1"/>
  </r>
  <r>
    <s v="Non-identified Sample in rack 10 position 6, track 11."/>
    <x v="12"/>
    <x v="2"/>
    <d v="2016-10-06T00:00:00"/>
    <d v="1899-12-30T12:44:16"/>
    <s v="Materials"/>
    <x v="0"/>
    <x v="4"/>
    <x v="7"/>
    <x v="1"/>
  </r>
  <r>
    <s v="Non-identified Sample in rack 10 position 7, track 11."/>
    <x v="12"/>
    <x v="2"/>
    <d v="2016-10-06T00:00:00"/>
    <d v="1899-12-30T12:44:16"/>
    <s v="Materials"/>
    <x v="0"/>
    <x v="4"/>
    <x v="7"/>
    <x v="1"/>
  </r>
  <r>
    <s v="Non-identified Sample in rack 10 position 8, track 11."/>
    <x v="12"/>
    <x v="2"/>
    <d v="2016-10-06T00:00:00"/>
    <d v="1899-12-30T12:44:16"/>
    <s v="Materials"/>
    <x v="0"/>
    <x v="4"/>
    <x v="7"/>
    <x v="1"/>
  </r>
  <r>
    <s v="Analyzer Status changed from Ready to Busy."/>
    <x v="0"/>
    <x v="0"/>
    <d v="2016-10-06T00:00:00"/>
    <d v="1899-12-30T12:44:41"/>
    <s v="Analyzer"/>
    <x v="0"/>
    <x v="0"/>
    <x v="0"/>
    <x v="0"/>
  </r>
  <r>
    <s v="FV Def. Plasma volume low."/>
    <x v="7"/>
    <x v="1"/>
    <d v="2016-10-06T00:00:00"/>
    <d v="1899-12-30T12:47:34"/>
    <s v="Materials"/>
    <x v="0"/>
    <x v="3"/>
    <x v="4"/>
    <x v="0"/>
  </r>
  <r>
    <s v="Rinse solution level low."/>
    <x v="1"/>
    <x v="1"/>
    <d v="2016-10-06T00:00:00"/>
    <d v="1899-12-30T12:48:39"/>
    <s v="Materials"/>
    <x v="0"/>
    <x v="1"/>
    <x v="1"/>
    <x v="0"/>
  </r>
  <r>
    <s v="Analyzer Status changed from Busy to Ready."/>
    <x v="0"/>
    <x v="0"/>
    <d v="2016-10-06T00:00:00"/>
    <d v="1899-12-30T12:49:47"/>
    <s v="Analyzer"/>
    <x v="0"/>
    <x v="0"/>
    <x v="0"/>
    <x v="0"/>
  </r>
  <r>
    <s v="Analyzer Status changed from Ready to Maintenance."/>
    <x v="0"/>
    <x v="0"/>
    <d v="2016-10-06T00:00:00"/>
    <d v="1899-12-30T12:49:48"/>
    <s v="Analyzer"/>
    <x v="0"/>
    <x v="0"/>
    <x v="0"/>
    <x v="0"/>
  </r>
  <r>
    <s v="Automatic maintenance activity Automatic Routine Clean for all Probes has been executed."/>
    <x v="2"/>
    <x v="0"/>
    <d v="2016-10-06T00:00:00"/>
    <d v="1899-12-30T12:50:13"/>
    <s v="Maintenance"/>
    <x v="0"/>
    <x v="2"/>
    <x v="2"/>
    <x v="0"/>
  </r>
  <r>
    <s v="Analyzer Status changed from Maintenance to Ready."/>
    <x v="0"/>
    <x v="0"/>
    <d v="2016-10-06T00:00:00"/>
    <d v="1899-12-30T12:50:14"/>
    <s v="Analyzer"/>
    <x v="0"/>
    <x v="0"/>
    <x v="0"/>
    <x v="0"/>
  </r>
  <r>
    <s v="Non-identified Material in rack DA position 2, track 2."/>
    <x v="27"/>
    <x v="2"/>
    <d v="2016-10-06T00:00:00"/>
    <d v="1899-12-30T13:44:56"/>
    <s v="Materials"/>
    <x v="0"/>
    <x v="2"/>
    <x v="3"/>
    <x v="0"/>
  </r>
  <r>
    <s v="Non-identified Material in rack RE position 4, track 3."/>
    <x v="27"/>
    <x v="2"/>
    <d v="2016-10-06T00:00:00"/>
    <d v="1899-12-30T13:45:39"/>
    <s v="Materials"/>
    <x v="0"/>
    <x v="2"/>
    <x v="3"/>
    <x v="0"/>
  </r>
  <r>
    <s v="Analyzer Status changed from Ready to Maintenance."/>
    <x v="0"/>
    <x v="0"/>
    <d v="2016-10-06T00:00:00"/>
    <d v="1899-12-30T13:50:14"/>
    <s v="Analyzer"/>
    <x v="0"/>
    <x v="0"/>
    <x v="0"/>
    <x v="0"/>
  </r>
  <r>
    <s v="Analyzer Status changed from Maintenance to Ready."/>
    <x v="0"/>
    <x v="0"/>
    <d v="2016-10-06T00:00:00"/>
    <d v="1899-12-30T13:50:35"/>
    <s v="Analyzer"/>
    <x v="0"/>
    <x v="0"/>
    <x v="0"/>
    <x v="0"/>
  </r>
  <r>
    <s v="Automatic maintenance activity Automatic Fluidic Line Priming Cycle has been executed."/>
    <x v="2"/>
    <x v="0"/>
    <d v="2016-10-06T00:00:00"/>
    <d v="1899-12-30T13:50:35"/>
    <s v="Maintenance"/>
    <x v="0"/>
    <x v="2"/>
    <x v="2"/>
    <x v="0"/>
  </r>
  <r>
    <s v="Non-identified Material in rack RC position 5, track 5."/>
    <x v="27"/>
    <x v="2"/>
    <d v="2016-10-06T00:00:00"/>
    <d v="1899-12-30T13:55:15"/>
    <s v="Materials"/>
    <x v="0"/>
    <x v="2"/>
    <x v="3"/>
    <x v="0"/>
  </r>
  <r>
    <s v="Non-identified Sample in rack 04 position 1, track 12."/>
    <x v="12"/>
    <x v="2"/>
    <d v="2016-10-06T00:00:00"/>
    <d v="1899-12-30T13:55:45"/>
    <s v="Materials"/>
    <x v="0"/>
    <x v="4"/>
    <x v="7"/>
    <x v="1"/>
  </r>
  <r>
    <s v="Analyzer Status changed from Ready to Busy."/>
    <x v="0"/>
    <x v="0"/>
    <d v="2016-10-06T00:00:00"/>
    <d v="1899-12-30T13:56:03"/>
    <s v="Analyzer"/>
    <x v="0"/>
    <x v="0"/>
    <x v="0"/>
    <x v="0"/>
  </r>
  <r>
    <s v="Analyzer Status changed from Busy to Ready."/>
    <x v="0"/>
    <x v="0"/>
    <d v="2016-10-06T00:00:00"/>
    <d v="1899-12-30T14:01:26"/>
    <s v="Analyzer"/>
    <x v="0"/>
    <x v="0"/>
    <x v="0"/>
    <x v="0"/>
  </r>
  <r>
    <s v="Analyzer Status changed from Ready to Maintenance."/>
    <x v="0"/>
    <x v="0"/>
    <d v="2016-10-06T00:00:00"/>
    <d v="1899-12-30T14:01:26"/>
    <s v="Analyzer"/>
    <x v="0"/>
    <x v="0"/>
    <x v="0"/>
    <x v="0"/>
  </r>
  <r>
    <s v="Analyzer Status changed from Maintenance to Ready."/>
    <x v="0"/>
    <x v="0"/>
    <d v="2016-10-06T00:00:00"/>
    <d v="1899-12-30T14:01:51"/>
    <s v="Analyzer"/>
    <x v="0"/>
    <x v="0"/>
    <x v="0"/>
    <x v="0"/>
  </r>
  <r>
    <s v="Automatic maintenance activity Automatic Routine Clean for all Probes has been executed."/>
    <x v="2"/>
    <x v="0"/>
    <d v="2016-10-06T00:00:00"/>
    <d v="1899-12-30T14:01:51"/>
    <s v="Maintenance"/>
    <x v="0"/>
    <x v="2"/>
    <x v="2"/>
    <x v="0"/>
  </r>
  <r>
    <s v="Analyzer Status changed from Ready to Maintenance."/>
    <x v="0"/>
    <x v="0"/>
    <d v="2016-10-06T00:00:00"/>
    <d v="1899-12-30T15:01:51"/>
    <s v="Analyzer"/>
    <x v="0"/>
    <x v="0"/>
    <x v="0"/>
    <x v="0"/>
  </r>
  <r>
    <s v="Automatic maintenance activity Automatic Fluidic Line Priming Cycle has been executed."/>
    <x v="2"/>
    <x v="0"/>
    <d v="2016-10-06T00:00:00"/>
    <d v="1899-12-30T15:02:12"/>
    <s v="Maintenance"/>
    <x v="0"/>
    <x v="2"/>
    <x v="2"/>
    <x v="0"/>
  </r>
  <r>
    <s v="Analyzer Status changed from Maintenance to Ready."/>
    <x v="0"/>
    <x v="0"/>
    <d v="2016-10-06T00:00:00"/>
    <d v="1899-12-30T15:02:13"/>
    <s v="Analyzer"/>
    <x v="0"/>
    <x v="0"/>
    <x v="0"/>
    <x v="0"/>
  </r>
  <r>
    <s v="Analyzer Status changed from Ready to Maintenance."/>
    <x v="0"/>
    <x v="0"/>
    <d v="2016-10-06T00:00:00"/>
    <d v="1899-12-30T16:02:13"/>
    <s v="Analyzer"/>
    <x v="0"/>
    <x v="0"/>
    <x v="0"/>
    <x v="0"/>
  </r>
  <r>
    <s v="Automatic maintenance activity Automatic Fluidic Line Priming Cycle has been executed."/>
    <x v="2"/>
    <x v="0"/>
    <d v="2016-10-06T00:00:00"/>
    <d v="1899-12-30T16:02:34"/>
    <s v="Maintenance"/>
    <x v="0"/>
    <x v="2"/>
    <x v="2"/>
    <x v="0"/>
  </r>
  <r>
    <s v="Analyzer Status changed from Maintenance to Ready."/>
    <x v="0"/>
    <x v="0"/>
    <d v="2016-10-06T00:00:00"/>
    <d v="1899-12-30T16:02:35"/>
    <s v="Analyzer"/>
    <x v="0"/>
    <x v="0"/>
    <x v="0"/>
    <x v="0"/>
  </r>
  <r>
    <s v="Analyzer Status changed from Ready to Maintenance."/>
    <x v="0"/>
    <x v="0"/>
    <d v="2016-10-06T00:00:00"/>
    <d v="1899-12-30T17:02:35"/>
    <s v="Analyzer"/>
    <x v="0"/>
    <x v="0"/>
    <x v="0"/>
    <x v="0"/>
  </r>
  <r>
    <s v="Automatic maintenance activity Automatic Fluidic Line Priming Cycle has been executed."/>
    <x v="2"/>
    <x v="0"/>
    <d v="2016-10-06T00:00:00"/>
    <d v="1899-12-30T17:02:56"/>
    <s v="Maintenance"/>
    <x v="0"/>
    <x v="2"/>
    <x v="2"/>
    <x v="0"/>
  </r>
  <r>
    <s v="Analyzer Status changed from Maintenance to Ready."/>
    <x v="0"/>
    <x v="0"/>
    <d v="2016-10-06T00:00:00"/>
    <d v="1899-12-30T17:02:57"/>
    <s v="Analyzer"/>
    <x v="0"/>
    <x v="0"/>
    <x v="0"/>
    <x v="0"/>
  </r>
  <r>
    <s v="Analyzer Status changed from Ready to Maintenance."/>
    <x v="0"/>
    <x v="0"/>
    <d v="2016-10-06T00:00:00"/>
    <d v="1899-12-30T18:02:57"/>
    <s v="Analyzer"/>
    <x v="0"/>
    <x v="0"/>
    <x v="0"/>
    <x v="0"/>
  </r>
  <r>
    <s v="Automatic maintenance activity Automatic Fluidic Line Priming Cycle has been executed."/>
    <x v="2"/>
    <x v="0"/>
    <d v="2016-10-06T00:00:00"/>
    <d v="1899-12-30T18:03:18"/>
    <s v="Maintenance"/>
    <x v="0"/>
    <x v="2"/>
    <x v="2"/>
    <x v="0"/>
  </r>
  <r>
    <s v="Analyzer Status changed from Maintenance to Ready."/>
    <x v="0"/>
    <x v="0"/>
    <d v="2016-10-06T00:00:00"/>
    <d v="1899-12-30T18:03:19"/>
    <s v="Analyzer"/>
    <x v="0"/>
    <x v="0"/>
    <x v="0"/>
    <x v="0"/>
  </r>
  <r>
    <s v="Analyzer Status changed from Ready to Maintenance."/>
    <x v="0"/>
    <x v="0"/>
    <d v="2016-10-06T00:00:00"/>
    <d v="1899-12-30T19:03:19"/>
    <s v="Analyzer"/>
    <x v="0"/>
    <x v="0"/>
    <x v="0"/>
    <x v="0"/>
  </r>
  <r>
    <s v="Analyzer Status changed from Maintenance to Ready."/>
    <x v="0"/>
    <x v="0"/>
    <d v="2016-10-06T00:00:00"/>
    <d v="1899-12-30T19:03:40"/>
    <s v="Analyzer"/>
    <x v="0"/>
    <x v="0"/>
    <x v="0"/>
    <x v="0"/>
  </r>
  <r>
    <s v="Automatic maintenance activity Automatic Fluidic Line Priming Cycle has been executed."/>
    <x v="2"/>
    <x v="0"/>
    <d v="2016-10-06T00:00:00"/>
    <d v="1899-12-30T19:03:40"/>
    <s v="Maintenance"/>
    <x v="0"/>
    <x v="2"/>
    <x v="2"/>
    <x v="0"/>
  </r>
  <r>
    <s v="Analyzer Status changed from Ready to Maintenance."/>
    <x v="0"/>
    <x v="0"/>
    <d v="2016-10-06T00:00:00"/>
    <d v="1899-12-30T20:03:41"/>
    <s v="Analyzer"/>
    <x v="0"/>
    <x v="0"/>
    <x v="0"/>
    <x v="0"/>
  </r>
  <r>
    <s v="Analyzer Status changed from Maintenance to Ready."/>
    <x v="0"/>
    <x v="0"/>
    <d v="2016-10-06T00:00:00"/>
    <d v="1899-12-30T20:04:02"/>
    <s v="Analyzer"/>
    <x v="0"/>
    <x v="0"/>
    <x v="0"/>
    <x v="0"/>
  </r>
  <r>
    <s v="Automatic maintenance activity Automatic Fluidic Line Priming Cycle has been executed."/>
    <x v="2"/>
    <x v="0"/>
    <d v="2016-10-06T00:00:00"/>
    <d v="1899-12-30T20:04:02"/>
    <s v="Maintenance"/>
    <x v="0"/>
    <x v="2"/>
    <x v="2"/>
    <x v="0"/>
  </r>
  <r>
    <s v="Analyzer Status changed from Ready to Maintenance."/>
    <x v="0"/>
    <x v="0"/>
    <d v="2016-10-06T00:00:00"/>
    <d v="1899-12-30T21:04:02"/>
    <s v="Analyzer"/>
    <x v="0"/>
    <x v="0"/>
    <x v="0"/>
    <x v="0"/>
  </r>
  <r>
    <s v="Analyzer Status changed from Maintenance to Ready."/>
    <x v="0"/>
    <x v="0"/>
    <d v="2016-10-06T00:00:00"/>
    <d v="1899-12-30T21:04:24"/>
    <s v="Analyzer"/>
    <x v="0"/>
    <x v="0"/>
    <x v="0"/>
    <x v="0"/>
  </r>
  <r>
    <s v="Automatic maintenance activity Automatic Fluidic Line Priming Cycle has been executed."/>
    <x v="2"/>
    <x v="0"/>
    <d v="2016-10-06T00:00:00"/>
    <d v="1899-12-30T21:04:24"/>
    <s v="Maintenance"/>
    <x v="0"/>
    <x v="2"/>
    <x v="2"/>
    <x v="0"/>
  </r>
  <r>
    <s v="Analyzer Status changed from Ready to Maintenance."/>
    <x v="0"/>
    <x v="0"/>
    <d v="2016-10-06T00:00:00"/>
    <d v="1899-12-30T22:04:24"/>
    <s v="Analyzer"/>
    <x v="0"/>
    <x v="0"/>
    <x v="0"/>
    <x v="0"/>
  </r>
  <r>
    <s v="Analyzer Status changed from Maintenance to Ready."/>
    <x v="0"/>
    <x v="0"/>
    <d v="2016-10-06T00:00:00"/>
    <d v="1899-12-30T22:04:46"/>
    <s v="Analyzer"/>
    <x v="0"/>
    <x v="0"/>
    <x v="0"/>
    <x v="0"/>
  </r>
  <r>
    <s v="Automatic maintenance activity Automatic Fluidic Line Priming Cycle has been executed."/>
    <x v="2"/>
    <x v="0"/>
    <d v="2016-10-06T00:00:00"/>
    <d v="1899-12-30T22:04:46"/>
    <s v="Maintenance"/>
    <x v="0"/>
    <x v="2"/>
    <x v="2"/>
    <x v="0"/>
  </r>
  <r>
    <s v="Analyzer Status changed from Ready to Maintenance."/>
    <x v="0"/>
    <x v="0"/>
    <d v="2016-10-06T00:00:00"/>
    <d v="1899-12-30T23:04:46"/>
    <s v="Analyzer"/>
    <x v="0"/>
    <x v="0"/>
    <x v="0"/>
    <x v="0"/>
  </r>
  <r>
    <s v="Analyzer Status changed from Maintenance to Ready."/>
    <x v="0"/>
    <x v="0"/>
    <d v="2016-10-06T00:00:00"/>
    <d v="1899-12-30T23:05:08"/>
    <s v="Analyzer"/>
    <x v="0"/>
    <x v="0"/>
    <x v="0"/>
    <x v="0"/>
  </r>
  <r>
    <s v="Automatic maintenance activity Automatic Fluidic Line Priming Cycle has been executed."/>
    <x v="2"/>
    <x v="0"/>
    <d v="2016-10-06T00:00:00"/>
    <d v="1899-12-30T23:05:08"/>
    <s v="Maintenance"/>
    <x v="0"/>
    <x v="2"/>
    <x v="2"/>
    <x v="0"/>
  </r>
  <r>
    <s v="Analyzer Status changed from Ready to Maintenance."/>
    <x v="0"/>
    <x v="0"/>
    <d v="2016-10-07T00:00:00"/>
    <d v="1899-12-30T00:05:08"/>
    <s v="Analyzer"/>
    <x v="0"/>
    <x v="0"/>
    <x v="0"/>
    <x v="0"/>
  </r>
  <r>
    <s v="Automatic maintenance activity Automatic Fluidic Line Priming Cycle has been executed."/>
    <x v="2"/>
    <x v="0"/>
    <d v="2016-10-07T00:00:00"/>
    <d v="1899-12-30T00:05:29"/>
    <s v="Maintenance"/>
    <x v="0"/>
    <x v="2"/>
    <x v="2"/>
    <x v="0"/>
  </r>
  <r>
    <s v="Analyzer Status changed from Maintenance to Ready."/>
    <x v="0"/>
    <x v="0"/>
    <d v="2016-10-07T00:00:00"/>
    <d v="1899-12-30T00:05:30"/>
    <s v="Analyzer"/>
    <x v="0"/>
    <x v="0"/>
    <x v="0"/>
    <x v="0"/>
  </r>
  <r>
    <s v="Analyzer Status changed from Ready to Maintenance."/>
    <x v="0"/>
    <x v="0"/>
    <d v="2016-10-07T00:00:00"/>
    <d v="1899-12-30T01:05:30"/>
    <s v="Analyzer"/>
    <x v="0"/>
    <x v="0"/>
    <x v="0"/>
    <x v="0"/>
  </r>
  <r>
    <s v="Automatic maintenance activity Automatic Fluidic Line Priming Cycle has been executed."/>
    <x v="2"/>
    <x v="0"/>
    <d v="2016-10-07T00:00:00"/>
    <d v="1899-12-30T01:05:51"/>
    <s v="Maintenance"/>
    <x v="0"/>
    <x v="2"/>
    <x v="2"/>
    <x v="0"/>
  </r>
  <r>
    <s v="Analyzer Status changed from Maintenance to Ready."/>
    <x v="0"/>
    <x v="0"/>
    <d v="2016-10-07T00:00:00"/>
    <d v="1899-12-30T01:05:52"/>
    <s v="Analyzer"/>
    <x v="0"/>
    <x v="0"/>
    <x v="0"/>
    <x v="0"/>
  </r>
  <r>
    <s v="Analyzer Status changed from Ready to Maintenance."/>
    <x v="0"/>
    <x v="0"/>
    <d v="2016-10-07T00:00:00"/>
    <d v="1899-12-30T02:05:52"/>
    <s v="Analyzer"/>
    <x v="0"/>
    <x v="0"/>
    <x v="0"/>
    <x v="0"/>
  </r>
  <r>
    <s v="Analyzer Status changed from Maintenance to Ready."/>
    <x v="0"/>
    <x v="0"/>
    <d v="2016-10-07T00:00:00"/>
    <d v="1899-12-30T02:06:13"/>
    <s v="Analyzer"/>
    <x v="0"/>
    <x v="0"/>
    <x v="0"/>
    <x v="0"/>
  </r>
  <r>
    <s v="Automatic maintenance activity Automatic Fluidic Line Priming Cycle has been executed."/>
    <x v="2"/>
    <x v="0"/>
    <d v="2016-10-07T00:00:00"/>
    <d v="1899-12-30T02:06:13"/>
    <s v="Maintenance"/>
    <x v="0"/>
    <x v="2"/>
    <x v="2"/>
    <x v="0"/>
  </r>
  <r>
    <s v="Analyzer Status changed from Ready to Maintenance."/>
    <x v="0"/>
    <x v="0"/>
    <d v="2016-10-07T00:00:00"/>
    <d v="1899-12-30T03:06:14"/>
    <s v="Analyzer"/>
    <x v="0"/>
    <x v="0"/>
    <x v="0"/>
    <x v="0"/>
  </r>
  <r>
    <s v="Analyzer Status changed from Maintenance to Ready."/>
    <x v="0"/>
    <x v="0"/>
    <d v="2016-10-07T00:00:00"/>
    <d v="1899-12-30T03:06:35"/>
    <s v="Analyzer"/>
    <x v="0"/>
    <x v="0"/>
    <x v="0"/>
    <x v="0"/>
  </r>
  <r>
    <s v="Automatic maintenance activity Automatic Fluidic Line Priming Cycle has been executed."/>
    <x v="2"/>
    <x v="0"/>
    <d v="2016-10-07T00:00:00"/>
    <d v="1899-12-30T03:06:35"/>
    <s v="Maintenance"/>
    <x v="0"/>
    <x v="2"/>
    <x v="2"/>
    <x v="0"/>
  </r>
  <r>
    <s v="Analyzer Status changed from Ready to Maintenance."/>
    <x v="0"/>
    <x v="0"/>
    <d v="2016-10-07T00:00:00"/>
    <d v="1899-12-30T04:06:36"/>
    <s v="Analyzer"/>
    <x v="0"/>
    <x v="0"/>
    <x v="0"/>
    <x v="0"/>
  </r>
  <r>
    <s v="Analyzer Status changed from Maintenance to Ready."/>
    <x v="0"/>
    <x v="0"/>
    <d v="2016-10-07T00:00:00"/>
    <d v="1899-12-30T04:06:57"/>
    <s v="Analyzer"/>
    <x v="0"/>
    <x v="0"/>
    <x v="0"/>
    <x v="0"/>
  </r>
  <r>
    <s v="Automatic maintenance activity Automatic Fluidic Line Priming Cycle has been executed."/>
    <x v="2"/>
    <x v="0"/>
    <d v="2016-10-07T00:00:00"/>
    <d v="1899-12-30T04:06:57"/>
    <s v="Maintenance"/>
    <x v="0"/>
    <x v="2"/>
    <x v="2"/>
    <x v="0"/>
  </r>
  <r>
    <s v="Analyzer Status changed from Ready to Maintenance."/>
    <x v="0"/>
    <x v="0"/>
    <d v="2016-10-07T00:00:00"/>
    <d v="1899-12-30T05:06:58"/>
    <s v="Analyzer"/>
    <x v="0"/>
    <x v="0"/>
    <x v="0"/>
    <x v="0"/>
  </r>
  <r>
    <s v="Analyzer Status changed from Maintenance to Ready."/>
    <x v="0"/>
    <x v="0"/>
    <d v="2016-10-07T00:00:00"/>
    <d v="1899-12-30T05:07:19"/>
    <s v="Analyzer"/>
    <x v="0"/>
    <x v="0"/>
    <x v="0"/>
    <x v="0"/>
  </r>
  <r>
    <s v="Automatic maintenance activity Automatic Fluidic Line Priming Cycle has been executed."/>
    <x v="2"/>
    <x v="0"/>
    <d v="2016-10-07T00:00:00"/>
    <d v="1899-12-30T05:07:19"/>
    <s v="Maintenance"/>
    <x v="0"/>
    <x v="2"/>
    <x v="2"/>
    <x v="0"/>
  </r>
  <r>
    <s v="Analyzer Status changed from Ready to Maintenance."/>
    <x v="0"/>
    <x v="0"/>
    <d v="2016-10-07T00:00:00"/>
    <d v="1899-12-30T06:07:19"/>
    <s v="Analyzer"/>
    <x v="0"/>
    <x v="0"/>
    <x v="0"/>
    <x v="0"/>
  </r>
  <r>
    <s v="Analyzer Status changed from Maintenance to Ready."/>
    <x v="0"/>
    <x v="0"/>
    <d v="2016-10-07T00:00:00"/>
    <d v="1899-12-30T06:07:41"/>
    <s v="Analyzer"/>
    <x v="0"/>
    <x v="0"/>
    <x v="0"/>
    <x v="0"/>
  </r>
  <r>
    <s v="Automatic maintenance activity Automatic Fluidic Line Priming Cycle has been executed."/>
    <x v="2"/>
    <x v="0"/>
    <d v="2016-10-07T00:00:00"/>
    <d v="1899-12-30T06:07:41"/>
    <s v="Maintenance"/>
    <x v="0"/>
    <x v="2"/>
    <x v="2"/>
    <x v="0"/>
  </r>
  <r>
    <s v="Maintenance activity due: Enhanced Clean for all Probes."/>
    <x v="9"/>
    <x v="1"/>
    <d v="2016-10-07T00:00:00"/>
    <d v="1899-12-30T06:23:58"/>
    <s v="Maintenance"/>
    <x v="0"/>
    <x v="2"/>
    <x v="2"/>
    <x v="0"/>
  </r>
  <r>
    <s v="Maintenance activity due: Enhanced Clean for Sample and Reagent Probes."/>
    <x v="9"/>
    <x v="1"/>
    <d v="2016-10-07T00:00:00"/>
    <d v="1899-12-30T06:23:58"/>
    <s v="Maintenance"/>
    <x v="0"/>
    <x v="2"/>
    <x v="2"/>
    <x v="0"/>
  </r>
  <r>
    <s v="Maintenance activity due: make new diluted clean B."/>
    <x v="9"/>
    <x v="1"/>
    <d v="2016-10-07T00:00:00"/>
    <d v="1899-12-30T06:56:04"/>
    <s v="Maintenance"/>
    <x v="0"/>
    <x v="2"/>
    <x v="2"/>
    <x v="0"/>
  </r>
  <r>
    <s v="Analyzer Status changed from Ready to Maintenance."/>
    <x v="0"/>
    <x v="0"/>
    <d v="2016-10-07T00:00:00"/>
    <d v="1899-12-30T07:06:12"/>
    <s v="Analyzer"/>
    <x v="0"/>
    <x v="0"/>
    <x v="0"/>
    <x v="0"/>
  </r>
  <r>
    <s v="Frequency status for manual maintenance activity Replace factor diluent bottle has changed to OK."/>
    <x v="3"/>
    <x v="0"/>
    <d v="2016-10-07T00:00:00"/>
    <d v="1899-12-30T07:06:16"/>
    <s v="Maintenance"/>
    <x v="0"/>
    <x v="2"/>
    <x v="2"/>
    <x v="0"/>
  </r>
  <r>
    <s v="Manual maintenance activity Replace factor diluent bottle has been executed."/>
    <x v="5"/>
    <x v="0"/>
    <d v="2016-10-07T00:00:00"/>
    <d v="1899-12-30T07:06:16"/>
    <s v="Maintenance"/>
    <x v="0"/>
    <x v="2"/>
    <x v="2"/>
    <x v="0"/>
  </r>
  <r>
    <s v="Analyzer Status changed from Maintenance to Ready."/>
    <x v="0"/>
    <x v="0"/>
    <d v="2016-10-07T00:00:00"/>
    <d v="1899-12-30T07:06:20"/>
    <s v="Analyzer"/>
    <x v="0"/>
    <x v="0"/>
    <x v="0"/>
    <x v="0"/>
  </r>
  <r>
    <s v="Analyzer Status changed from Ready to Maintenance."/>
    <x v="0"/>
    <x v="0"/>
    <d v="2016-10-07T00:00:00"/>
    <d v="1899-12-30T07:07:22"/>
    <s v="Analyzer"/>
    <x v="0"/>
    <x v="0"/>
    <x v="0"/>
    <x v="0"/>
  </r>
  <r>
    <s v="Frequency status for manual maintenance activity Wipe-down exterior of ACL TOP &amp; Vacuum Filters has changed to OK."/>
    <x v="3"/>
    <x v="0"/>
    <d v="2016-10-07T00:00:00"/>
    <d v="1899-12-30T07:07:24"/>
    <s v="Maintenance"/>
    <x v="0"/>
    <x v="2"/>
    <x v="2"/>
    <x v="0"/>
  </r>
  <r>
    <s v="Manual maintenance activity Wipe-down exterior of ACL TOP &amp; Vacuum Filters has been executed."/>
    <x v="5"/>
    <x v="0"/>
    <d v="2016-10-07T00:00:00"/>
    <d v="1899-12-30T07:07:24"/>
    <s v="Maintenance"/>
    <x v="0"/>
    <x v="2"/>
    <x v="2"/>
    <x v="0"/>
  </r>
  <r>
    <s v="Analyzer Status changed from Maintenance to Ready."/>
    <x v="0"/>
    <x v="0"/>
    <d v="2016-10-07T00:00:00"/>
    <d v="1899-12-30T07:07:25"/>
    <s v="Analyzer"/>
    <x v="0"/>
    <x v="0"/>
    <x v="0"/>
    <x v="0"/>
  </r>
  <r>
    <s v="Analyzer Status changed from Ready to Maintenance."/>
    <x v="0"/>
    <x v="0"/>
    <d v="2016-10-07T00:00:00"/>
    <d v="1899-12-30T07:07:29"/>
    <s v="Analyzer"/>
    <x v="0"/>
    <x v="0"/>
    <x v="0"/>
    <x v="0"/>
  </r>
  <r>
    <s v="Analyzer Status changed from Maintenance to Ready."/>
    <x v="0"/>
    <x v="0"/>
    <d v="2016-10-07T00:00:00"/>
    <d v="1899-12-30T07:12:21"/>
    <s v="Analyzer"/>
    <x v="0"/>
    <x v="0"/>
    <x v="0"/>
    <x v="0"/>
  </r>
  <r>
    <s v="Frequency status for manual maintenance activity Enhanced Clean for Sample and Reagent Probes has changed to OK."/>
    <x v="3"/>
    <x v="0"/>
    <d v="2016-10-07T00:00:00"/>
    <d v="1899-12-30T07:12:21"/>
    <s v="Maintenance"/>
    <x v="0"/>
    <x v="2"/>
    <x v="2"/>
    <x v="0"/>
  </r>
  <r>
    <s v="Semiautomatic maintenance activity Enhanced Clean for Sample and Reagent Probes has been executed."/>
    <x v="4"/>
    <x v="0"/>
    <d v="2016-10-07T00:00:00"/>
    <d v="1899-12-30T07:12:21"/>
    <s v="Maintenance"/>
    <x v="0"/>
    <x v="2"/>
    <x v="2"/>
    <x v="0"/>
  </r>
  <r>
    <s v="Analyzer Status changed from Ready to Maintenance."/>
    <x v="0"/>
    <x v="0"/>
    <d v="2016-10-07T00:00:00"/>
    <d v="1899-12-30T07:13:54"/>
    <s v="Analyzer"/>
    <x v="0"/>
    <x v="0"/>
    <x v="0"/>
    <x v="0"/>
  </r>
  <r>
    <s v="Frequency status for manual maintenance activity make new diluted clean B has changed to OK."/>
    <x v="3"/>
    <x v="0"/>
    <d v="2016-10-07T00:00:00"/>
    <d v="1899-12-30T07:13:56"/>
    <s v="Maintenance"/>
    <x v="0"/>
    <x v="2"/>
    <x v="2"/>
    <x v="0"/>
  </r>
  <r>
    <s v="Manual maintenance activity make new diluted clean B has been executed."/>
    <x v="5"/>
    <x v="0"/>
    <d v="2016-10-07T00:00:00"/>
    <d v="1899-12-30T07:13:56"/>
    <s v="Maintenance"/>
    <x v="0"/>
    <x v="2"/>
    <x v="2"/>
    <x v="0"/>
  </r>
  <r>
    <s v="Analyzer Status changed from Maintenance to Ready."/>
    <x v="0"/>
    <x v="0"/>
    <d v="2016-10-07T00:00:00"/>
    <d v="1899-12-30T07:14:13"/>
    <s v="Analyzer"/>
    <x v="0"/>
    <x v="0"/>
    <x v="0"/>
    <x v="0"/>
  </r>
  <r>
    <s v="Placement error (Clean B in rack RE, position 1, track 3)."/>
    <x v="31"/>
    <x v="2"/>
    <d v="2016-10-07T00:00:00"/>
    <d v="1899-12-30T07:14:40"/>
    <s v="Materials"/>
    <x v="0"/>
    <x v="2"/>
    <x v="3"/>
    <x v="0"/>
  </r>
  <r>
    <s v="Analyzer Status changed from Ready to Maintenance."/>
    <x v="0"/>
    <x v="0"/>
    <d v="2016-10-07T00:00:00"/>
    <d v="1899-12-30T07:15:31"/>
    <s v="Analyzer"/>
    <x v="0"/>
    <x v="0"/>
    <x v="0"/>
    <x v="0"/>
  </r>
  <r>
    <s v="Clean B volume low."/>
    <x v="7"/>
    <x v="1"/>
    <d v="2016-10-07T00:00:00"/>
    <d v="1899-12-30T07:16:30"/>
    <s v="Materials"/>
    <x v="0"/>
    <x v="3"/>
    <x v="4"/>
    <x v="0"/>
  </r>
  <r>
    <s v="Clean B insufficient material to run additional calibration / test."/>
    <x v="32"/>
    <x v="2"/>
    <d v="2016-10-07T00:00:00"/>
    <d v="1899-12-30T07:17:32"/>
    <s v="Materials"/>
    <x v="0"/>
    <x v="3"/>
    <x v="4"/>
    <x v="0"/>
  </r>
  <r>
    <s v="Frequency status for manual maintenance activity Enhanced Clean for all Probes has changed to OK."/>
    <x v="3"/>
    <x v="0"/>
    <d v="2016-10-07T00:00:00"/>
    <d v="1899-12-30T07:19:33"/>
    <s v="Maintenance"/>
    <x v="0"/>
    <x v="2"/>
    <x v="2"/>
    <x v="0"/>
  </r>
  <r>
    <s v="Semiautomatic maintenance activity Enhanced Clean for all Probes has been executed."/>
    <x v="4"/>
    <x v="0"/>
    <d v="2016-10-07T00:00:00"/>
    <d v="1899-12-30T07:19:33"/>
    <s v="Maintenance"/>
    <x v="0"/>
    <x v="2"/>
    <x v="2"/>
    <x v="0"/>
  </r>
  <r>
    <s v="Analyzer Status changed from Maintenance to Ready."/>
    <x v="0"/>
    <x v="0"/>
    <d v="2016-10-07T00:00:00"/>
    <d v="1899-12-30T07:19:34"/>
    <s v="Analyzer"/>
    <x v="0"/>
    <x v="0"/>
    <x v="0"/>
    <x v="0"/>
  </r>
  <r>
    <s v="Maintenance activity due: replace factor diluent."/>
    <x v="9"/>
    <x v="1"/>
    <d v="2016-10-07T00:00:00"/>
    <d v="1899-12-30T07:27:00"/>
    <s v="Maintenance"/>
    <x v="0"/>
    <x v="2"/>
    <x v="2"/>
    <x v="0"/>
  </r>
  <r>
    <s v="Analyzer Status changed from Ready to Maintenance."/>
    <x v="0"/>
    <x v="0"/>
    <d v="2016-10-07T00:00:00"/>
    <d v="1899-12-30T07:29:40"/>
    <s v="Analyzer"/>
    <x v="0"/>
    <x v="0"/>
    <x v="0"/>
    <x v="0"/>
  </r>
  <r>
    <s v="Frequency status for manual maintenance activity replace factor diluent has changed to OK."/>
    <x v="3"/>
    <x v="0"/>
    <d v="2016-10-07T00:00:00"/>
    <d v="1899-12-30T07:29:42"/>
    <s v="Maintenance"/>
    <x v="0"/>
    <x v="2"/>
    <x v="2"/>
    <x v="0"/>
  </r>
  <r>
    <s v="Manual maintenance activity replace factor diluent has been executed."/>
    <x v="5"/>
    <x v="0"/>
    <d v="2016-10-07T00:00:00"/>
    <d v="1899-12-30T07:29:42"/>
    <s v="Maintenance"/>
    <x v="0"/>
    <x v="2"/>
    <x v="2"/>
    <x v="0"/>
  </r>
  <r>
    <s v="Analyzer Status changed from Maintenance to Ready."/>
    <x v="0"/>
    <x v="0"/>
    <d v="2016-10-07T00:00:00"/>
    <d v="1899-12-30T07:29:43"/>
    <s v="Analyzer"/>
    <x v="0"/>
    <x v="0"/>
    <x v="0"/>
    <x v="0"/>
  </r>
  <r>
    <s v="Normal C. Assayed volume low."/>
    <x v="7"/>
    <x v="1"/>
    <d v="2016-10-07T00:00:00"/>
    <d v="1899-12-30T07:45:19"/>
    <s v="Materials"/>
    <x v="0"/>
    <x v="3"/>
    <x v="4"/>
    <x v="0"/>
  </r>
  <r>
    <s v="Analyzer Status changed from Ready to Busy."/>
    <x v="0"/>
    <x v="0"/>
    <d v="2016-10-07T00:00:00"/>
    <d v="1899-12-30T07:45:48"/>
    <s v="Analyzer"/>
    <x v="0"/>
    <x v="0"/>
    <x v="0"/>
    <x v="0"/>
  </r>
  <r>
    <s v="QC Failed: PT-RP-High Abn C. Assayed"/>
    <x v="28"/>
    <x v="2"/>
    <d v="2016-10-07T00:00:00"/>
    <d v="1899-12-30T07:49:05"/>
    <s v="QC"/>
    <x v="0"/>
    <x v="2"/>
    <x v="3"/>
    <x v="0"/>
  </r>
  <r>
    <s v="Analyzer Status changed from Busy to Ready."/>
    <x v="0"/>
    <x v="0"/>
    <d v="2016-10-07T00:00:00"/>
    <d v="1899-12-30T07:49:06"/>
    <s v="Analyzer"/>
    <x v="0"/>
    <x v="0"/>
    <x v="0"/>
    <x v="0"/>
  </r>
  <r>
    <s v="Analyzer Status changed from Ready to Maintenance."/>
    <x v="0"/>
    <x v="0"/>
    <d v="2016-10-07T00:00:00"/>
    <d v="1899-12-30T07:49:06"/>
    <s v="Analyzer"/>
    <x v="0"/>
    <x v="0"/>
    <x v="0"/>
    <x v="0"/>
  </r>
  <r>
    <s v="Normal C. Assayed volume low."/>
    <x v="7"/>
    <x v="1"/>
    <d v="2016-10-07T00:00:00"/>
    <d v="1899-12-30T07:50:14"/>
    <s v="Materials"/>
    <x v="0"/>
    <x v="3"/>
    <x v="4"/>
    <x v="0"/>
  </r>
  <r>
    <s v="Analyzer Status changed from Maintenance to Ready."/>
    <x v="0"/>
    <x v="0"/>
    <d v="2016-10-07T00:00:00"/>
    <d v="1899-12-30T07:51:21"/>
    <s v="Analyzer"/>
    <x v="0"/>
    <x v="0"/>
    <x v="0"/>
    <x v="0"/>
  </r>
  <r>
    <s v="Automatic maintenance activity Automatic Routine Clean for all Probes has been executed."/>
    <x v="2"/>
    <x v="0"/>
    <d v="2016-10-07T00:00:00"/>
    <d v="1899-12-30T07:51:21"/>
    <s v="Maintenance"/>
    <x v="0"/>
    <x v="2"/>
    <x v="2"/>
    <x v="0"/>
  </r>
  <r>
    <s v="Analyzer Status changed from Ready to Busy."/>
    <x v="0"/>
    <x v="0"/>
    <d v="2016-10-07T00:00:00"/>
    <d v="1899-12-30T07:54:35"/>
    <s v="Analyzer"/>
    <x v="0"/>
    <x v="0"/>
    <x v="0"/>
    <x v="0"/>
  </r>
  <r>
    <s v="QC Failed: PT-RP-High Abn C. Assayed"/>
    <x v="28"/>
    <x v="2"/>
    <d v="2016-10-07T00:00:00"/>
    <d v="1899-12-30T07:57:25"/>
    <s v="QC"/>
    <x v="0"/>
    <x v="2"/>
    <x v="3"/>
    <x v="0"/>
  </r>
  <r>
    <s v="Analyzer Status changed from Busy to Ready."/>
    <x v="0"/>
    <x v="0"/>
    <d v="2016-10-07T00:00:00"/>
    <d v="1899-12-30T07:57:26"/>
    <s v="Analyzer"/>
    <x v="0"/>
    <x v="0"/>
    <x v="0"/>
    <x v="0"/>
  </r>
  <r>
    <s v="Analyzer Status changed from Ready to Maintenance."/>
    <x v="0"/>
    <x v="0"/>
    <d v="2016-10-07T00:00:00"/>
    <d v="1899-12-30T07:57:26"/>
    <s v="Analyzer"/>
    <x v="0"/>
    <x v="0"/>
    <x v="0"/>
    <x v="0"/>
  </r>
  <r>
    <s v="Analyzer Status changed from Maintenance to Ready."/>
    <x v="0"/>
    <x v="0"/>
    <d v="2016-10-07T00:00:00"/>
    <d v="1899-12-30T07:57:52"/>
    <s v="Analyzer"/>
    <x v="0"/>
    <x v="0"/>
    <x v="0"/>
    <x v="0"/>
  </r>
  <r>
    <s v="Automatic maintenance activity Automatic Routine Clean for all Probes has been executed."/>
    <x v="2"/>
    <x v="0"/>
    <d v="2016-10-07T00:00:00"/>
    <d v="1899-12-30T07:57:52"/>
    <s v="Maintenance"/>
    <x v="0"/>
    <x v="2"/>
    <x v="2"/>
    <x v="0"/>
  </r>
  <r>
    <s v="QC Definition PT-RP - High Abn C. Assayed modified: Target Mean."/>
    <x v="33"/>
    <x v="0"/>
    <d v="2016-10-07T00:00:00"/>
    <d v="1899-12-30T07:58:56"/>
    <s v="Setup"/>
    <x v="0"/>
    <x v="2"/>
    <x v="12"/>
    <x v="0"/>
  </r>
  <r>
    <s v="Normal C. Assayed volume low."/>
    <x v="7"/>
    <x v="1"/>
    <d v="2016-10-07T00:00:00"/>
    <d v="1899-12-30T07:59:02"/>
    <s v="Materials"/>
    <x v="0"/>
    <x v="3"/>
    <x v="4"/>
    <x v="0"/>
  </r>
  <r>
    <s v="Analyzer Status changed from Ready to Busy."/>
    <x v="0"/>
    <x v="0"/>
    <d v="2016-10-07T00:00:00"/>
    <d v="1899-12-30T07:59:23"/>
    <s v="Analyzer"/>
    <x v="0"/>
    <x v="0"/>
    <x v="0"/>
    <x v="0"/>
  </r>
  <r>
    <s v="Non-identified Sample in rack 10 position 1, track 12."/>
    <x v="12"/>
    <x v="2"/>
    <d v="2016-10-07T00:00:00"/>
    <d v="1899-12-30T08:01:10"/>
    <s v="Materials"/>
    <x v="0"/>
    <x v="4"/>
    <x v="7"/>
    <x v="1"/>
  </r>
  <r>
    <s v="Non-identified Sample in rack 10 position 2, track 12."/>
    <x v="12"/>
    <x v="2"/>
    <d v="2016-10-07T00:00:00"/>
    <d v="1899-12-30T08:01:10"/>
    <s v="Materials"/>
    <x v="0"/>
    <x v="4"/>
    <x v="7"/>
    <x v="1"/>
  </r>
  <r>
    <s v="Non-identified Sample in rack 10 position 3, track 12."/>
    <x v="12"/>
    <x v="2"/>
    <d v="2016-10-07T00:00:00"/>
    <d v="1899-12-30T08:01:10"/>
    <s v="Materials"/>
    <x v="0"/>
    <x v="4"/>
    <x v="7"/>
    <x v="1"/>
  </r>
  <r>
    <s v="Non-identified Sample in rack 10 position 4, track 12."/>
    <x v="12"/>
    <x v="2"/>
    <d v="2016-10-07T00:00:00"/>
    <d v="1899-12-30T08:01:10"/>
    <s v="Materials"/>
    <x v="0"/>
    <x v="4"/>
    <x v="7"/>
    <x v="1"/>
  </r>
  <r>
    <s v="Non-identified Material in rack DA position 3, track 2."/>
    <x v="27"/>
    <x v="2"/>
    <d v="2016-10-07T00:00:00"/>
    <d v="1899-12-30T08:01:17"/>
    <s v="Materials"/>
    <x v="0"/>
    <x v="2"/>
    <x v="3"/>
    <x v="0"/>
  </r>
  <r>
    <s v="Analyzer Status changed from Busy to Ready."/>
    <x v="0"/>
    <x v="0"/>
    <d v="2016-10-07T00:00:00"/>
    <d v="1899-12-30T08:02:32"/>
    <s v="Analyzer"/>
    <x v="0"/>
    <x v="0"/>
    <x v="0"/>
    <x v="0"/>
  </r>
  <r>
    <s v="Analyzer Status changed from Ready to Maintenance."/>
    <x v="0"/>
    <x v="0"/>
    <d v="2016-10-07T00:00:00"/>
    <d v="1899-12-30T08:02:32"/>
    <s v="Analyzer"/>
    <x v="0"/>
    <x v="0"/>
    <x v="0"/>
    <x v="0"/>
  </r>
  <r>
    <s v="QC Definition PTMX - High Abn C. Assayed has been added."/>
    <x v="34"/>
    <x v="0"/>
    <d v="2016-10-07T00:00:00"/>
    <d v="1899-12-30T08:02:36"/>
    <s v="Setup"/>
    <x v="0"/>
    <x v="2"/>
    <x v="12"/>
    <x v="0"/>
  </r>
  <r>
    <s v="Analyzer Status changed from Maintenance to Ready."/>
    <x v="0"/>
    <x v="0"/>
    <d v="2016-10-07T00:00:00"/>
    <d v="1899-12-30T08:02:57"/>
    <s v="Analyzer"/>
    <x v="0"/>
    <x v="0"/>
    <x v="0"/>
    <x v="0"/>
  </r>
  <r>
    <s v="Automatic maintenance activity Automatic Routine Clean for all Probes has been executed."/>
    <x v="2"/>
    <x v="0"/>
    <d v="2016-10-07T00:00:00"/>
    <d v="1899-12-30T08:02:57"/>
    <s v="Maintenance"/>
    <x v="0"/>
    <x v="2"/>
    <x v="2"/>
    <x v="0"/>
  </r>
  <r>
    <s v="QC Definition PTMX - Normal C. Assayed has been added."/>
    <x v="34"/>
    <x v="0"/>
    <d v="2016-10-07T00:00:00"/>
    <d v="1899-12-30T08:03:12"/>
    <s v="Setup"/>
    <x v="0"/>
    <x v="2"/>
    <x v="12"/>
    <x v="0"/>
  </r>
  <r>
    <s v="QC Definition PT1:3MX - High Abn C. Assayed has been added."/>
    <x v="34"/>
    <x v="0"/>
    <d v="2016-10-07T00:00:00"/>
    <d v="1899-12-30T08:03:41"/>
    <s v="Setup"/>
    <x v="0"/>
    <x v="2"/>
    <x v="12"/>
    <x v="0"/>
  </r>
  <r>
    <s v="QC Definition PTTMX - Normal C. Assayed has been added."/>
    <x v="34"/>
    <x v="0"/>
    <d v="2016-10-07T00:00:00"/>
    <d v="1899-12-30T08:04:02"/>
    <s v="Setup"/>
    <x v="0"/>
    <x v="2"/>
    <x v="12"/>
    <x v="0"/>
  </r>
  <r>
    <s v="QC Definition PTTMX - Normal C. Assayed modified: Patient Flags."/>
    <x v="35"/>
    <x v="0"/>
    <d v="2016-10-07T00:00:00"/>
    <d v="1899-12-30T08:04:08"/>
    <s v="Setup"/>
    <x v="0"/>
    <x v="2"/>
    <x v="12"/>
    <x v="0"/>
  </r>
  <r>
    <s v="QC Definition PTTMX - Normal C. Assayed modified: Rules cfg."/>
    <x v="36"/>
    <x v="0"/>
    <d v="2016-10-07T00:00:00"/>
    <d v="1899-12-30T08:04:08"/>
    <s v="Setup"/>
    <x v="0"/>
    <x v="2"/>
    <x v="12"/>
    <x v="0"/>
  </r>
  <r>
    <s v="QC Definition PTTMX - High Abn C. Assayed has been added."/>
    <x v="34"/>
    <x v="0"/>
    <d v="2016-10-07T00:00:00"/>
    <d v="1899-12-30T08:04:37"/>
    <s v="Setup"/>
    <x v="0"/>
    <x v="2"/>
    <x v="12"/>
    <x v="0"/>
  </r>
  <r>
    <s v="QC Definition PTT4:1MX - Normal C. Assayed has been added."/>
    <x v="34"/>
    <x v="0"/>
    <d v="2016-10-07T00:00:00"/>
    <d v="1899-12-30T08:05:21"/>
    <s v="Setup"/>
    <x v="0"/>
    <x v="2"/>
    <x v="12"/>
    <x v="0"/>
  </r>
  <r>
    <s v="Analyzer Status changed from Ready to Busy."/>
    <x v="0"/>
    <x v="0"/>
    <d v="2016-10-07T00:00:00"/>
    <d v="1899-12-30T08:05:53"/>
    <s v="Analyzer"/>
    <x v="0"/>
    <x v="0"/>
    <x v="0"/>
    <x v="0"/>
  </r>
  <r>
    <s v="Analyzer Status changed from Busy to Ready."/>
    <x v="0"/>
    <x v="0"/>
    <d v="2016-10-07T00:00:00"/>
    <d v="1899-12-30T08:14:17"/>
    <s v="Analyzer"/>
    <x v="0"/>
    <x v="0"/>
    <x v="0"/>
    <x v="0"/>
  </r>
  <r>
    <s v="Analyzer Status changed from Ready to Maintenance."/>
    <x v="0"/>
    <x v="0"/>
    <d v="2016-10-07T00:00:00"/>
    <d v="1899-12-30T08:14:17"/>
    <s v="Analyzer"/>
    <x v="0"/>
    <x v="0"/>
    <x v="0"/>
    <x v="0"/>
  </r>
  <r>
    <s v="Analyzer Status changed from Maintenance to Ready."/>
    <x v="0"/>
    <x v="0"/>
    <d v="2016-10-07T00:00:00"/>
    <d v="1899-12-30T08:14:44"/>
    <s v="Analyzer"/>
    <x v="0"/>
    <x v="0"/>
    <x v="0"/>
    <x v="0"/>
  </r>
  <r>
    <s v="Automatic maintenance activity Automatic Routine Clean for all Probes has been executed."/>
    <x v="2"/>
    <x v="0"/>
    <d v="2016-10-07T00:00:00"/>
    <d v="1899-12-30T08:14:44"/>
    <s v="Maintenance"/>
    <x v="0"/>
    <x v="2"/>
    <x v="2"/>
    <x v="0"/>
  </r>
  <r>
    <s v="Analyzer Status changed from Ready to Maintenance."/>
    <x v="0"/>
    <x v="0"/>
    <d v="2016-10-07T00:00:00"/>
    <d v="1899-12-30T09:14:45"/>
    <s v="Analyzer"/>
    <x v="0"/>
    <x v="0"/>
    <x v="0"/>
    <x v="0"/>
  </r>
  <r>
    <s v="Analyzer Status changed from Maintenance to Ready."/>
    <x v="0"/>
    <x v="0"/>
    <d v="2016-10-07T00:00:00"/>
    <d v="1899-12-30T09:15:06"/>
    <s v="Analyzer"/>
    <x v="0"/>
    <x v="0"/>
    <x v="0"/>
    <x v="0"/>
  </r>
  <r>
    <s v="Automatic maintenance activity Automatic Fluidic Line Priming Cycle has been executed."/>
    <x v="2"/>
    <x v="0"/>
    <d v="2016-10-07T00:00:00"/>
    <d v="1899-12-30T09:15:06"/>
    <s v="Maintenance"/>
    <x v="0"/>
    <x v="2"/>
    <x v="2"/>
    <x v="0"/>
  </r>
  <r>
    <s v="Non-identified Material in rack DA position 3, track 2."/>
    <x v="27"/>
    <x v="2"/>
    <d v="2016-10-07T00:00:00"/>
    <d v="1899-12-30T09:40:43"/>
    <s v="Materials"/>
    <x v="0"/>
    <x v="2"/>
    <x v="3"/>
    <x v="0"/>
  </r>
  <r>
    <s v="Normal C. Assayed insufficient material to run additional calibration / test."/>
    <x v="32"/>
    <x v="2"/>
    <d v="2016-10-07T00:00:00"/>
    <d v="1899-12-30T09:41:53"/>
    <s v="Materials"/>
    <x v="0"/>
    <x v="3"/>
    <x v="4"/>
    <x v="0"/>
  </r>
  <r>
    <s v="Analyzer Status changed from Ready to Busy."/>
    <x v="0"/>
    <x v="0"/>
    <d v="2016-10-07T00:00:00"/>
    <d v="1899-12-30T09:42:46"/>
    <s v="Analyzer"/>
    <x v="0"/>
    <x v="0"/>
    <x v="0"/>
    <x v="0"/>
  </r>
  <r>
    <s v="Non-identified Sample in rack 09 position 1, track 12."/>
    <x v="12"/>
    <x v="2"/>
    <d v="2016-10-07T00:00:00"/>
    <d v="1899-12-30T09:43:12"/>
    <s v="Materials"/>
    <x v="0"/>
    <x v="4"/>
    <x v="7"/>
    <x v="1"/>
  </r>
  <r>
    <s v="Non-identified Sample in rack 09 position 2, track 12."/>
    <x v="12"/>
    <x v="2"/>
    <d v="2016-10-07T00:00:00"/>
    <d v="1899-12-30T09:43:12"/>
    <s v="Materials"/>
    <x v="0"/>
    <x v="4"/>
    <x v="7"/>
    <x v="1"/>
  </r>
  <r>
    <s v="Non-identified Sample in rack 09 position 3, track 12."/>
    <x v="12"/>
    <x v="2"/>
    <d v="2016-10-07T00:00:00"/>
    <d v="1899-12-30T09:43:12"/>
    <s v="Materials"/>
    <x v="0"/>
    <x v="4"/>
    <x v="7"/>
    <x v="1"/>
  </r>
  <r>
    <s v="Non-identified Sample in rack 09 position 4, track 12."/>
    <x v="12"/>
    <x v="2"/>
    <d v="2016-10-07T00:00:00"/>
    <d v="1899-12-30T09:43:12"/>
    <s v="Materials"/>
    <x v="0"/>
    <x v="4"/>
    <x v="7"/>
    <x v="1"/>
  </r>
  <r>
    <s v="Non-identified Sample in rack 09 position 5, track 12."/>
    <x v="12"/>
    <x v="2"/>
    <d v="2016-10-07T00:00:00"/>
    <d v="1899-12-30T09:43:12"/>
    <s v="Materials"/>
    <x v="0"/>
    <x v="4"/>
    <x v="7"/>
    <x v="1"/>
  </r>
  <r>
    <s v="Non-identified Sample in rack 09 position 6, track 12."/>
    <x v="12"/>
    <x v="2"/>
    <d v="2016-10-07T00:00:00"/>
    <d v="1899-12-30T09:43:12"/>
    <s v="Materials"/>
    <x v="0"/>
    <x v="4"/>
    <x v="7"/>
    <x v="1"/>
  </r>
  <r>
    <s v="Analyzer Status changed from Busy to Ready."/>
    <x v="0"/>
    <x v="0"/>
    <d v="2016-10-07T00:00:00"/>
    <d v="1899-12-30T09:54:54"/>
    <s v="Analyzer"/>
    <x v="0"/>
    <x v="0"/>
    <x v="0"/>
    <x v="0"/>
  </r>
  <r>
    <s v="Analyzer Status changed from Ready to Maintenance."/>
    <x v="0"/>
    <x v="0"/>
    <d v="2016-10-07T00:00:00"/>
    <d v="1899-12-30T09:54:54"/>
    <s v="Analyzer"/>
    <x v="0"/>
    <x v="0"/>
    <x v="0"/>
    <x v="0"/>
  </r>
  <r>
    <s v="Analyzer Status changed from Maintenance to Ready."/>
    <x v="0"/>
    <x v="0"/>
    <d v="2016-10-07T00:00:00"/>
    <d v="1899-12-30T09:55:21"/>
    <s v="Analyzer"/>
    <x v="0"/>
    <x v="0"/>
    <x v="0"/>
    <x v="0"/>
  </r>
  <r>
    <s v="Automatic maintenance activity Automatic Routine Clean for all Probes has been executed."/>
    <x v="2"/>
    <x v="0"/>
    <d v="2016-10-07T00:00:00"/>
    <d v="1899-12-30T09:55:21"/>
    <s v="Maintenance"/>
    <x v="0"/>
    <x v="2"/>
    <x v="2"/>
    <x v="0"/>
  </r>
  <r>
    <s v="Analyzer Status changed from Ready to Maintenance."/>
    <x v="0"/>
    <x v="0"/>
    <d v="2016-10-07T00:00:00"/>
    <d v="1899-12-30T10:55:21"/>
    <s v="Analyzer"/>
    <x v="0"/>
    <x v="0"/>
    <x v="0"/>
    <x v="0"/>
  </r>
  <r>
    <s v="Analyzer Status changed from Maintenance to Ready."/>
    <x v="0"/>
    <x v="0"/>
    <d v="2016-10-07T00:00:00"/>
    <d v="1899-12-30T10:55:43"/>
    <s v="Analyzer"/>
    <x v="0"/>
    <x v="0"/>
    <x v="0"/>
    <x v="0"/>
  </r>
  <r>
    <s v="Automatic maintenance activity Automatic Fluidic Line Priming Cycle has been executed."/>
    <x v="2"/>
    <x v="0"/>
    <d v="2016-10-07T00:00:00"/>
    <d v="1899-12-30T10:55:43"/>
    <s v="Maintenance"/>
    <x v="0"/>
    <x v="2"/>
    <x v="2"/>
    <x v="0"/>
  </r>
  <r>
    <s v="Analyzer Status changed from Ready to Busy."/>
    <x v="0"/>
    <x v="0"/>
    <d v="2016-10-07T00:00:00"/>
    <d v="1899-12-30T11:25:00"/>
    <s v="Analyzer"/>
    <x v="0"/>
    <x v="0"/>
    <x v="0"/>
    <x v="0"/>
  </r>
  <r>
    <s v="Analyzer Status changed from Busy to Ready."/>
    <x v="0"/>
    <x v="0"/>
    <d v="2016-10-07T00:00:00"/>
    <d v="1899-12-30T11:37:54"/>
    <s v="Analyzer"/>
    <x v="0"/>
    <x v="0"/>
    <x v="0"/>
    <x v="0"/>
  </r>
  <r>
    <s v="Analyzer Status changed from Ready to Maintenance."/>
    <x v="0"/>
    <x v="0"/>
    <d v="2016-10-07T00:00:00"/>
    <d v="1899-12-30T11:37:54"/>
    <s v="Analyzer"/>
    <x v="0"/>
    <x v="0"/>
    <x v="0"/>
    <x v="0"/>
  </r>
  <r>
    <s v="Analyzer Status changed from Maintenance to Ready."/>
    <x v="0"/>
    <x v="0"/>
    <d v="2016-10-07T00:00:00"/>
    <d v="1899-12-30T11:38:19"/>
    <s v="Analyzer"/>
    <x v="0"/>
    <x v="0"/>
    <x v="0"/>
    <x v="0"/>
  </r>
  <r>
    <s v="Automatic maintenance activity Automatic Routine Clean for all Probes has been executed."/>
    <x v="2"/>
    <x v="0"/>
    <d v="2016-10-07T00:00:00"/>
    <d v="1899-12-30T11:38:19"/>
    <s v="Maintenance"/>
    <x v="0"/>
    <x v="2"/>
    <x v="2"/>
    <x v="0"/>
  </r>
  <r>
    <s v="Non-identified Material in rack DA position 5, track 2."/>
    <x v="27"/>
    <x v="2"/>
    <d v="2016-10-07T00:00:00"/>
    <d v="1899-12-30T12:03:22"/>
    <s v="Materials"/>
    <x v="0"/>
    <x v="2"/>
    <x v="3"/>
    <x v="0"/>
  </r>
  <r>
    <s v="Analyzer Status changed from Ready to Maintenance."/>
    <x v="0"/>
    <x v="0"/>
    <d v="2016-10-07T00:00:00"/>
    <d v="1899-12-30T12:38:19"/>
    <s v="Analyzer"/>
    <x v="0"/>
    <x v="0"/>
    <x v="0"/>
    <x v="0"/>
  </r>
  <r>
    <s v="Analyzer Status changed from Maintenance to Ready."/>
    <x v="0"/>
    <x v="0"/>
    <d v="2016-10-07T00:00:00"/>
    <d v="1899-12-30T12:38:41"/>
    <s v="Analyzer"/>
    <x v="0"/>
    <x v="0"/>
    <x v="0"/>
    <x v="0"/>
  </r>
  <r>
    <s v="Automatic maintenance activity Automatic Fluidic Line Priming Cycle has been executed."/>
    <x v="2"/>
    <x v="0"/>
    <d v="2016-10-07T00:00:00"/>
    <d v="1899-12-30T12:38:41"/>
    <s v="Maintenance"/>
    <x v="0"/>
    <x v="2"/>
    <x v="2"/>
    <x v="0"/>
  </r>
  <r>
    <s v="Duplicated Rack ID, Rack ID DA."/>
    <x v="37"/>
    <x v="1"/>
    <d v="2016-10-07T00:00:00"/>
    <d v="1899-12-30T13:34:11"/>
    <s v="Analyzer"/>
    <x v="0"/>
    <x v="6"/>
    <x v="13"/>
    <x v="0"/>
  </r>
  <r>
    <s v="Non-identified Material in rack DA position 8, track 2."/>
    <x v="27"/>
    <x v="2"/>
    <d v="2016-10-07T00:00:00"/>
    <d v="1899-12-30T13:34:33"/>
    <s v="Materials"/>
    <x v="0"/>
    <x v="2"/>
    <x v="3"/>
    <x v="0"/>
  </r>
  <r>
    <s v="Low Fib Control volume low."/>
    <x v="7"/>
    <x v="1"/>
    <d v="2016-10-07T00:00:00"/>
    <d v="1899-12-30T13:35:11"/>
    <s v="Materials"/>
    <x v="0"/>
    <x v="3"/>
    <x v="4"/>
    <x v="0"/>
  </r>
  <r>
    <s v="Normal C. Assayed volume low."/>
    <x v="7"/>
    <x v="1"/>
    <d v="2016-10-07T00:00:00"/>
    <d v="1899-12-30T13:35:17"/>
    <s v="Materials"/>
    <x v="0"/>
    <x v="3"/>
    <x v="4"/>
    <x v="0"/>
  </r>
  <r>
    <s v="LA POS CONTROL volume low."/>
    <x v="7"/>
    <x v="1"/>
    <d v="2016-10-07T00:00:00"/>
    <d v="1899-12-30T13:35:31"/>
    <s v="Materials"/>
    <x v="0"/>
    <x v="3"/>
    <x v="4"/>
    <x v="0"/>
  </r>
  <r>
    <s v="LA NEG CONTROL volume low."/>
    <x v="7"/>
    <x v="1"/>
    <d v="2016-10-07T00:00:00"/>
    <d v="1899-12-30T13:35:37"/>
    <s v="Materials"/>
    <x v="0"/>
    <x v="3"/>
    <x v="4"/>
    <x v="0"/>
  </r>
  <r>
    <s v="Non-identified Sample in rack 04 position 1, track 12."/>
    <x v="12"/>
    <x v="2"/>
    <d v="2016-10-07T00:00:00"/>
    <d v="1899-12-30T13:35:39"/>
    <s v="Materials"/>
    <x v="0"/>
    <x v="4"/>
    <x v="7"/>
    <x v="1"/>
  </r>
  <r>
    <s v="Non-identified Sample in rack 04 position 2, track 12."/>
    <x v="12"/>
    <x v="2"/>
    <d v="2016-10-07T00:00:00"/>
    <d v="1899-12-30T13:35:39"/>
    <s v="Materials"/>
    <x v="0"/>
    <x v="4"/>
    <x v="7"/>
    <x v="1"/>
  </r>
  <r>
    <s v="Non-identified Sample in rack 04 position 3, track 12."/>
    <x v="12"/>
    <x v="2"/>
    <d v="2016-10-07T00:00:00"/>
    <d v="1899-12-30T13:35:39"/>
    <s v="Materials"/>
    <x v="0"/>
    <x v="4"/>
    <x v="7"/>
    <x v="1"/>
  </r>
  <r>
    <s v="Non-identified Sample in rack 04 position 4, track 12."/>
    <x v="12"/>
    <x v="2"/>
    <d v="2016-10-07T00:00:00"/>
    <d v="1899-12-30T13:35:39"/>
    <s v="Materials"/>
    <x v="0"/>
    <x v="4"/>
    <x v="7"/>
    <x v="1"/>
  </r>
  <r>
    <s v="Non-identified Sample in rack 04 position 5, track 12."/>
    <x v="12"/>
    <x v="2"/>
    <d v="2016-10-07T00:00:00"/>
    <d v="1899-12-30T13:35:39"/>
    <s v="Materials"/>
    <x v="0"/>
    <x v="4"/>
    <x v="7"/>
    <x v="1"/>
  </r>
  <r>
    <s v="Non-identified Sample in rack 04 position 6, track 12."/>
    <x v="12"/>
    <x v="2"/>
    <d v="2016-10-07T00:00:00"/>
    <d v="1899-12-30T13:35:39"/>
    <s v="Materials"/>
    <x v="0"/>
    <x v="4"/>
    <x v="7"/>
    <x v="1"/>
  </r>
  <r>
    <s v="Non-identified Sample in rack 04 position 7, track 12."/>
    <x v="12"/>
    <x v="2"/>
    <d v="2016-10-07T00:00:00"/>
    <d v="1899-12-30T13:35:39"/>
    <s v="Materials"/>
    <x v="0"/>
    <x v="4"/>
    <x v="7"/>
    <x v="1"/>
  </r>
  <r>
    <s v="Non-identified Sample in rack 04 position 8, track 12."/>
    <x v="12"/>
    <x v="2"/>
    <d v="2016-10-07T00:00:00"/>
    <d v="1899-12-30T13:35:39"/>
    <s v="Materials"/>
    <x v="0"/>
    <x v="4"/>
    <x v="7"/>
    <x v="1"/>
  </r>
  <r>
    <s v="dRVVTSMX Patient job not feasible. Waiting for dRVVT SCREEN."/>
    <x v="26"/>
    <x v="1"/>
    <d v="2016-10-07T00:00:00"/>
    <d v="1899-12-30T13:36:44"/>
    <s v="Materials"/>
    <x v="0"/>
    <x v="2"/>
    <x v="3"/>
    <x v="0"/>
  </r>
  <r>
    <s v="dRVVT S QC job not feasible. Waiting for LA POS CONTROL."/>
    <x v="26"/>
    <x v="1"/>
    <d v="2016-10-07T00:00:00"/>
    <d v="1899-12-30T13:36:44"/>
    <s v="Materials"/>
    <x v="0"/>
    <x v="2"/>
    <x v="3"/>
    <x v="0"/>
  </r>
  <r>
    <s v="dRVVTSMX QC job not feasible. Waiting for LA POS CONTROL."/>
    <x v="26"/>
    <x v="1"/>
    <d v="2016-10-07T00:00:00"/>
    <d v="1899-12-30T13:36:44"/>
    <s v="Materials"/>
    <x v="0"/>
    <x v="2"/>
    <x v="3"/>
    <x v="0"/>
  </r>
  <r>
    <s v="dRVVTCMX QC job not feasible. Waiting for LA POS CONTROL."/>
    <x v="26"/>
    <x v="1"/>
    <d v="2016-10-07T00:00:00"/>
    <d v="1899-12-30T13:36:44"/>
    <s v="Materials"/>
    <x v="0"/>
    <x v="2"/>
    <x v="3"/>
    <x v="0"/>
  </r>
  <r>
    <s v="dRVVT S QC job not feasible. Waiting for LA NEG CONTROL."/>
    <x v="26"/>
    <x v="1"/>
    <d v="2016-10-07T00:00:00"/>
    <d v="1899-12-30T13:36:44"/>
    <s v="Materials"/>
    <x v="0"/>
    <x v="2"/>
    <x v="3"/>
    <x v="0"/>
  </r>
  <r>
    <s v="dRVVTSMX QC job not feasible. Waiting for LA NEG CONTROL."/>
    <x v="26"/>
    <x v="1"/>
    <d v="2016-10-07T00:00:00"/>
    <d v="1899-12-30T13:36:44"/>
    <s v="Materials"/>
    <x v="0"/>
    <x v="2"/>
    <x v="3"/>
    <x v="0"/>
  </r>
  <r>
    <s v="dRVVTCMX QC job not feasible. Waiting for LA NEG CONTROL."/>
    <x v="26"/>
    <x v="1"/>
    <d v="2016-10-07T00:00:00"/>
    <d v="1899-12-30T13:36:44"/>
    <s v="Materials"/>
    <x v="0"/>
    <x v="2"/>
    <x v="3"/>
    <x v="0"/>
  </r>
  <r>
    <s v="SCTCMX QC job not feasible. Waiting for LA NEG CONTROL."/>
    <x v="26"/>
    <x v="1"/>
    <d v="2016-10-07T00:00:00"/>
    <d v="1899-12-30T13:36:44"/>
    <s v="Materials"/>
    <x v="0"/>
    <x v="2"/>
    <x v="3"/>
    <x v="0"/>
  </r>
  <r>
    <s v="Analyzer Status changed from Ready to Busy."/>
    <x v="0"/>
    <x v="0"/>
    <d v="2016-10-07T00:00:00"/>
    <d v="1899-12-30T13:36:44"/>
    <s v="Analyzer"/>
    <x v="0"/>
    <x v="0"/>
    <x v="0"/>
    <x v="0"/>
  </r>
  <r>
    <s v="SCTCMX QC job not feasible. Waiting for LA POS CONTROL."/>
    <x v="26"/>
    <x v="1"/>
    <d v="2016-10-07T00:00:00"/>
    <d v="1899-12-30T13:36:45"/>
    <s v="Materials"/>
    <x v="0"/>
    <x v="2"/>
    <x v="3"/>
    <x v="0"/>
  </r>
  <r>
    <s v="Cuvettes low in the load area."/>
    <x v="15"/>
    <x v="1"/>
    <d v="2016-10-07T00:00:00"/>
    <d v="1899-12-30T13:37:13"/>
    <s v="Materials"/>
    <x v="0"/>
    <x v="5"/>
    <x v="8"/>
    <x v="0"/>
  </r>
  <r>
    <s v="LA POS CONTROL volume low."/>
    <x v="7"/>
    <x v="1"/>
    <d v="2016-10-07T00:00:00"/>
    <d v="1899-12-30T13:50:22"/>
    <s v="Materials"/>
    <x v="0"/>
    <x v="3"/>
    <x v="4"/>
    <x v="0"/>
  </r>
  <r>
    <s v="LA NEG CONTROL volume low."/>
    <x v="7"/>
    <x v="1"/>
    <d v="2016-10-07T00:00:00"/>
    <d v="1899-12-30T13:50:31"/>
    <s v="Materials"/>
    <x v="0"/>
    <x v="3"/>
    <x v="4"/>
    <x v="0"/>
  </r>
  <r>
    <s v="Insufficient volume in position 2, track S12."/>
    <x v="30"/>
    <x v="2"/>
    <d v="2016-10-07T00:00:00"/>
    <d v="1899-12-30T13:54:30"/>
    <s v="Materials"/>
    <x v="0"/>
    <x v="3"/>
    <x v="4"/>
    <x v="0"/>
  </r>
  <r>
    <s v="QC Failed: SCTCMX-LA POS CONTROL"/>
    <x v="28"/>
    <x v="2"/>
    <d v="2016-10-07T00:00:00"/>
    <d v="1899-12-30T14:00:04"/>
    <s v="QC"/>
    <x v="0"/>
    <x v="2"/>
    <x v="3"/>
    <x v="0"/>
  </r>
  <r>
    <s v="QC Failed: SCTCMX-LA NEG CONTROL"/>
    <x v="28"/>
    <x v="2"/>
    <d v="2016-10-07T00:00:00"/>
    <d v="1899-12-30T14:00:12"/>
    <s v="QC"/>
    <x v="0"/>
    <x v="2"/>
    <x v="3"/>
    <x v="0"/>
  </r>
  <r>
    <s v="dRVVT SCREEN volume low."/>
    <x v="7"/>
    <x v="1"/>
    <d v="2016-10-07T00:00:00"/>
    <d v="1899-12-30T14:00:29"/>
    <s v="Materials"/>
    <x v="0"/>
    <x v="3"/>
    <x v="4"/>
    <x v="0"/>
  </r>
  <r>
    <s v="dRVVT SCREEN insufficient material to run additional calibration / test."/>
    <x v="32"/>
    <x v="2"/>
    <d v="2016-10-07T00:00:00"/>
    <d v="1899-12-30T14:00:50"/>
    <s v="Materials"/>
    <x v="0"/>
    <x v="3"/>
    <x v="4"/>
    <x v="0"/>
  </r>
  <r>
    <s v="Analyzer Status changed from Busy to Ready."/>
    <x v="0"/>
    <x v="0"/>
    <d v="2016-10-07T00:00:00"/>
    <d v="1899-12-30T14:10:58"/>
    <s v="Analyzer"/>
    <x v="0"/>
    <x v="0"/>
    <x v="0"/>
    <x v="0"/>
  </r>
  <r>
    <s v="Analyzer Status changed from Ready to Maintenance."/>
    <x v="0"/>
    <x v="0"/>
    <d v="2016-10-07T00:00:00"/>
    <d v="1899-12-30T14:10:58"/>
    <s v="Analyzer"/>
    <x v="0"/>
    <x v="0"/>
    <x v="0"/>
    <x v="0"/>
  </r>
  <r>
    <s v="Analyzer Status changed from Maintenance to Ready."/>
    <x v="0"/>
    <x v="0"/>
    <d v="2016-10-07T00:00:00"/>
    <d v="1899-12-30T14:11:26"/>
    <s v="Analyzer"/>
    <x v="0"/>
    <x v="0"/>
    <x v="0"/>
    <x v="0"/>
  </r>
  <r>
    <s v="Automatic maintenance activity Automatic Routine Clean for all Probes has been executed."/>
    <x v="2"/>
    <x v="0"/>
    <d v="2016-10-07T00:00:00"/>
    <d v="1899-12-30T14:11:26"/>
    <s v="Maintenance"/>
    <x v="0"/>
    <x v="2"/>
    <x v="2"/>
    <x v="0"/>
  </r>
  <r>
    <s v="dRVVT SCREEN insufficient material to run additional calibration / test."/>
    <x v="32"/>
    <x v="2"/>
    <d v="2016-10-07T00:00:00"/>
    <d v="1899-12-30T14:12:48"/>
    <s v="Materials"/>
    <x v="0"/>
    <x v="3"/>
    <x v="4"/>
    <x v="0"/>
  </r>
  <r>
    <s v="Analyzer Status changed from Ready to Busy."/>
    <x v="0"/>
    <x v="0"/>
    <d v="2016-10-07T00:00:00"/>
    <d v="1899-12-30T14:13:40"/>
    <s v="Analyzer"/>
    <x v="0"/>
    <x v="0"/>
    <x v="0"/>
    <x v="0"/>
  </r>
  <r>
    <s v="dRVVTSMX Patient Required Clean Material shortage has been estimated. Monitor Clean B Diluted availability."/>
    <x v="11"/>
    <x v="1"/>
    <d v="2016-10-07T00:00:00"/>
    <d v="1899-12-30T14:13:41"/>
    <s v="Materials"/>
    <x v="0"/>
    <x v="2"/>
    <x v="3"/>
    <x v="0"/>
  </r>
  <r>
    <s v="Analyzer Status changed from Busy to Ready."/>
    <x v="0"/>
    <x v="0"/>
    <d v="2016-10-07T00:00:00"/>
    <d v="1899-12-30T14:13:48"/>
    <s v="Analyzer"/>
    <x v="0"/>
    <x v="0"/>
    <x v="0"/>
    <x v="0"/>
  </r>
  <r>
    <s v="Analyzer Status changed from Ready to Busy."/>
    <x v="0"/>
    <x v="0"/>
    <d v="2016-10-07T00:00:00"/>
    <d v="1899-12-30T14:14:50"/>
    <s v="Analyzer"/>
    <x v="0"/>
    <x v="0"/>
    <x v="0"/>
    <x v="0"/>
  </r>
  <r>
    <s v="Analyzer Status changed from Busy to Ready."/>
    <x v="0"/>
    <x v="0"/>
    <d v="2016-10-07T00:00:00"/>
    <d v="1899-12-30T14:22:08"/>
    <s v="Analyzer"/>
    <x v="0"/>
    <x v="0"/>
    <x v="0"/>
    <x v="0"/>
  </r>
  <r>
    <s v="Analyzer Status changed from Ready to Maintenance."/>
    <x v="0"/>
    <x v="0"/>
    <d v="2016-10-07T00:00:00"/>
    <d v="1899-12-30T14:22:08"/>
    <s v="Analyzer"/>
    <x v="0"/>
    <x v="0"/>
    <x v="0"/>
    <x v="0"/>
  </r>
  <r>
    <s v="Analyzer Status changed from Maintenance to Ready."/>
    <x v="0"/>
    <x v="0"/>
    <d v="2016-10-07T00:00:00"/>
    <d v="1899-12-30T14:22:33"/>
    <s v="Analyzer"/>
    <x v="0"/>
    <x v="0"/>
    <x v="0"/>
    <x v="0"/>
  </r>
  <r>
    <s v="Automatic maintenance activity Automatic Routine Clean for all Probes has been executed."/>
    <x v="2"/>
    <x v="0"/>
    <d v="2016-10-07T00:00:00"/>
    <d v="1899-12-30T14:22:33"/>
    <s v="Maintenance"/>
    <x v="0"/>
    <x v="2"/>
    <x v="2"/>
    <x v="0"/>
  </r>
  <r>
    <s v="Analyzer Status changed from Ready to Initializing."/>
    <x v="0"/>
    <x v="0"/>
    <d v="2016-10-07T00:00:00"/>
    <d v="1899-12-30T14:46:59"/>
    <s v="Analyzer"/>
    <x v="0"/>
    <x v="0"/>
    <x v="0"/>
    <x v="0"/>
  </r>
  <r>
    <s v="Logout by user: LHO."/>
    <x v="16"/>
    <x v="0"/>
    <d v="2016-10-07T00:00:00"/>
    <d v="1899-12-30T14:47:53"/>
    <s v="Other"/>
    <x v="0"/>
    <x v="2"/>
    <x v="5"/>
    <x v="0"/>
  </r>
  <r>
    <s v="Analyzer Status changed from Not connected to Emergency stop."/>
    <x v="0"/>
    <x v="0"/>
    <d v="2016-10-07T00:00:00"/>
    <d v="1899-12-30T14:53:41"/>
    <s v="Analyzer"/>
    <x v="1"/>
    <x v="0"/>
    <x v="0"/>
    <x v="0"/>
  </r>
  <r>
    <s v="LAS Interface Manager (IM) communications error."/>
    <x v="17"/>
    <x v="2"/>
    <d v="2016-10-07T00:00:00"/>
    <d v="1899-12-30T14:53:41"/>
    <s v="LIS"/>
    <x v="1"/>
    <x v="2"/>
    <x v="9"/>
    <x v="0"/>
  </r>
  <r>
    <s v="Successful log in by user: LHO."/>
    <x v="18"/>
    <x v="0"/>
    <d v="2016-10-07T00:00:00"/>
    <d v="1899-12-30T14:53:52"/>
    <s v="Other"/>
    <x v="0"/>
    <x v="2"/>
    <x v="5"/>
    <x v="0"/>
  </r>
  <r>
    <s v="Analyzer Status changed from Emergency stop to Not connected."/>
    <x v="0"/>
    <x v="0"/>
    <d v="2016-10-07T00:00:00"/>
    <d v="1899-12-30T14:53:58"/>
    <s v="Analyzer"/>
    <x v="0"/>
    <x v="0"/>
    <x v="0"/>
    <x v="0"/>
  </r>
  <r>
    <s v="Analyzer Status changed from Not connected to Power up."/>
    <x v="0"/>
    <x v="0"/>
    <d v="2016-10-07T00:00:00"/>
    <d v="1899-12-30T14:54:45"/>
    <s v="Analyzer"/>
    <x v="0"/>
    <x v="0"/>
    <x v="0"/>
    <x v="0"/>
  </r>
  <r>
    <s v="LA NEG CONTROL volume low."/>
    <x v="7"/>
    <x v="1"/>
    <d v="2016-10-07T00:00:00"/>
    <d v="1899-12-30T14:54:47"/>
    <s v="Materials"/>
    <x v="0"/>
    <x v="3"/>
    <x v="4"/>
    <x v="0"/>
  </r>
  <r>
    <s v="High Abn C. Assayed volume low."/>
    <x v="7"/>
    <x v="1"/>
    <d v="2016-10-07T00:00:00"/>
    <d v="1899-12-30T14:54:47"/>
    <s v="Materials"/>
    <x v="0"/>
    <x v="3"/>
    <x v="4"/>
    <x v="0"/>
  </r>
  <r>
    <s v="LA POS CONTROL volume low."/>
    <x v="7"/>
    <x v="1"/>
    <d v="2016-10-07T00:00:00"/>
    <d v="1899-12-30T14:54:47"/>
    <s v="Materials"/>
    <x v="0"/>
    <x v="3"/>
    <x v="4"/>
    <x v="0"/>
  </r>
  <r>
    <s v="Analyzer Status changed from Power up to Initializing."/>
    <x v="0"/>
    <x v="0"/>
    <d v="2016-10-07T00:00:00"/>
    <d v="1899-12-30T14:54:55"/>
    <s v="Analyzer"/>
    <x v="0"/>
    <x v="0"/>
    <x v="0"/>
    <x v="0"/>
  </r>
  <r>
    <s v="Analyzer Status changed from Initializing to Adjusting thermal."/>
    <x v="0"/>
    <x v="0"/>
    <d v="2016-10-07T00:00:00"/>
    <d v="1899-12-30T14:56:44"/>
    <s v="Analyzer"/>
    <x v="0"/>
    <x v="0"/>
    <x v="0"/>
    <x v="0"/>
  </r>
  <r>
    <s v="Analyzer Status changed from Adjusting thermal to Ready."/>
    <x v="0"/>
    <x v="0"/>
    <d v="2016-10-07T00:00:00"/>
    <d v="1899-12-30T15:00:14"/>
    <s v="Analyzer"/>
    <x v="0"/>
    <x v="0"/>
    <x v="0"/>
    <x v="0"/>
  </r>
  <r>
    <s v="Analyzer Status changed from Ready to Maintenance."/>
    <x v="0"/>
    <x v="0"/>
    <d v="2016-10-07T00:00:00"/>
    <d v="1899-12-30T15:00:14"/>
    <s v="Analyzer"/>
    <x v="0"/>
    <x v="0"/>
    <x v="0"/>
    <x v="0"/>
  </r>
  <r>
    <s v="Analyzer Status changed from Maintenance to Ready."/>
    <x v="0"/>
    <x v="0"/>
    <d v="2016-10-07T00:00:00"/>
    <d v="1899-12-30T15:01:27"/>
    <s v="Analyzer"/>
    <x v="0"/>
    <x v="0"/>
    <x v="0"/>
    <x v="0"/>
  </r>
  <r>
    <s v="Analyzer Status changed from Ready to Maintenance."/>
    <x v="0"/>
    <x v="0"/>
    <d v="2016-10-07T00:00:00"/>
    <d v="1899-12-30T16:01:28"/>
    <s v="Analyzer"/>
    <x v="0"/>
    <x v="0"/>
    <x v="0"/>
    <x v="0"/>
  </r>
  <r>
    <s v="Analyzer Status changed from Maintenance to Ready."/>
    <x v="0"/>
    <x v="0"/>
    <d v="2016-10-07T00:00:00"/>
    <d v="1899-12-30T16:01:49"/>
    <s v="Analyzer"/>
    <x v="0"/>
    <x v="0"/>
    <x v="0"/>
    <x v="0"/>
  </r>
  <r>
    <s v="Automatic maintenance activity Automatic Fluidic Line Priming Cycle has been executed."/>
    <x v="2"/>
    <x v="0"/>
    <d v="2016-10-07T00:00:00"/>
    <d v="1899-12-30T16:01:49"/>
    <s v="Maintenance"/>
    <x v="0"/>
    <x v="2"/>
    <x v="2"/>
    <x v="0"/>
  </r>
  <r>
    <s v="Analyzer Status changed from Ready to Maintenance."/>
    <x v="0"/>
    <x v="0"/>
    <d v="2016-10-07T00:00:00"/>
    <d v="1899-12-30T17:01:50"/>
    <s v="Analyzer"/>
    <x v="0"/>
    <x v="0"/>
    <x v="0"/>
    <x v="0"/>
  </r>
  <r>
    <s v="Analyzer Status changed from Maintenance to Ready."/>
    <x v="0"/>
    <x v="0"/>
    <d v="2016-10-07T00:00:00"/>
    <d v="1899-12-30T17:02:11"/>
    <s v="Analyzer"/>
    <x v="0"/>
    <x v="0"/>
    <x v="0"/>
    <x v="0"/>
  </r>
  <r>
    <s v="Automatic maintenance activity Automatic Fluidic Line Priming Cycle has been executed."/>
    <x v="2"/>
    <x v="0"/>
    <d v="2016-10-07T00:00:00"/>
    <d v="1899-12-30T17:02:11"/>
    <s v="Maintenance"/>
    <x v="0"/>
    <x v="2"/>
    <x v="2"/>
    <x v="0"/>
  </r>
  <r>
    <s v="Analyzer Status changed from Ready to Maintenance."/>
    <x v="0"/>
    <x v="0"/>
    <d v="2016-10-07T00:00:00"/>
    <d v="1899-12-30T18:02:12"/>
    <s v="Analyzer"/>
    <x v="0"/>
    <x v="0"/>
    <x v="0"/>
    <x v="0"/>
  </r>
  <r>
    <s v="Analyzer Status changed from Maintenance to Ready."/>
    <x v="0"/>
    <x v="0"/>
    <d v="2016-10-07T00:00:00"/>
    <d v="1899-12-30T18:02:33"/>
    <s v="Analyzer"/>
    <x v="0"/>
    <x v="0"/>
    <x v="0"/>
    <x v="0"/>
  </r>
  <r>
    <s v="Automatic maintenance activity Automatic Fluidic Line Priming Cycle has been executed."/>
    <x v="2"/>
    <x v="0"/>
    <d v="2016-10-07T00:00:00"/>
    <d v="1899-12-30T18:02:33"/>
    <s v="Maintenance"/>
    <x v="0"/>
    <x v="2"/>
    <x v="2"/>
    <x v="0"/>
  </r>
  <r>
    <s v="Analyzer Status changed from Ready to Maintenance."/>
    <x v="0"/>
    <x v="0"/>
    <d v="2016-10-07T00:00:00"/>
    <d v="1899-12-30T19:02:34"/>
    <s v="Analyzer"/>
    <x v="0"/>
    <x v="0"/>
    <x v="0"/>
    <x v="0"/>
  </r>
  <r>
    <s v="Automatic maintenance activity Automatic Fluidic Line Priming Cycle has been executed."/>
    <x v="2"/>
    <x v="0"/>
    <d v="2016-10-07T00:00:00"/>
    <d v="1899-12-30T19:02:55"/>
    <s v="Maintenance"/>
    <x v="0"/>
    <x v="2"/>
    <x v="2"/>
    <x v="0"/>
  </r>
  <r>
    <s v="Analyzer Status changed from Maintenance to Ready."/>
    <x v="0"/>
    <x v="0"/>
    <d v="2016-10-07T00:00:00"/>
    <d v="1899-12-30T19:02:56"/>
    <s v="Analyzer"/>
    <x v="0"/>
    <x v="0"/>
    <x v="0"/>
    <x v="0"/>
  </r>
  <r>
    <s v="Analyzer Status changed from Ready to Maintenance."/>
    <x v="0"/>
    <x v="0"/>
    <d v="2016-10-07T00:00:00"/>
    <d v="1899-12-30T20:02:56"/>
    <s v="Analyzer"/>
    <x v="0"/>
    <x v="0"/>
    <x v="0"/>
    <x v="0"/>
  </r>
  <r>
    <s v="Analyzer Status changed from Maintenance to Ready."/>
    <x v="0"/>
    <x v="0"/>
    <d v="2016-10-07T00:00:00"/>
    <d v="1899-12-30T20:03:17"/>
    <s v="Analyzer"/>
    <x v="0"/>
    <x v="0"/>
    <x v="0"/>
    <x v="0"/>
  </r>
  <r>
    <s v="Automatic maintenance activity Automatic Fluidic Line Priming Cycle has been executed."/>
    <x v="2"/>
    <x v="0"/>
    <d v="2016-10-07T00:00:00"/>
    <d v="1899-12-30T20:03:17"/>
    <s v="Maintenance"/>
    <x v="0"/>
    <x v="2"/>
    <x v="2"/>
    <x v="0"/>
  </r>
  <r>
    <s v="Analyzer Status changed from Ready to Maintenance."/>
    <x v="0"/>
    <x v="0"/>
    <d v="2016-10-07T00:00:00"/>
    <d v="1899-12-30T21:03:18"/>
    <s v="Analyzer"/>
    <x v="0"/>
    <x v="0"/>
    <x v="0"/>
    <x v="0"/>
  </r>
  <r>
    <s v="Analyzer Status changed from Maintenance to Ready."/>
    <x v="0"/>
    <x v="0"/>
    <d v="2016-10-07T00:00:00"/>
    <d v="1899-12-30T21:03:39"/>
    <s v="Analyzer"/>
    <x v="0"/>
    <x v="0"/>
    <x v="0"/>
    <x v="0"/>
  </r>
  <r>
    <s v="Automatic maintenance activity Automatic Fluidic Line Priming Cycle has been executed."/>
    <x v="2"/>
    <x v="0"/>
    <d v="2016-10-07T00:00:00"/>
    <d v="1899-12-30T21:03:39"/>
    <s v="Maintenance"/>
    <x v="0"/>
    <x v="2"/>
    <x v="2"/>
    <x v="0"/>
  </r>
  <r>
    <s v="Analyzer Status changed from Ready to Maintenance."/>
    <x v="0"/>
    <x v="0"/>
    <d v="2016-10-07T00:00:00"/>
    <d v="1899-12-30T22:03:39"/>
    <s v="Analyzer"/>
    <x v="0"/>
    <x v="0"/>
    <x v="0"/>
    <x v="0"/>
  </r>
  <r>
    <s v="Analyzer Status changed from Maintenance to Ready."/>
    <x v="0"/>
    <x v="0"/>
    <d v="2016-10-07T00:00:00"/>
    <d v="1899-12-30T22:04:01"/>
    <s v="Analyzer"/>
    <x v="0"/>
    <x v="0"/>
    <x v="0"/>
    <x v="0"/>
  </r>
  <r>
    <s v="Automatic maintenance activity Automatic Fluidic Line Priming Cycle has been executed."/>
    <x v="2"/>
    <x v="0"/>
    <d v="2016-10-07T00:00:00"/>
    <d v="1899-12-30T22:04:01"/>
    <s v="Maintenance"/>
    <x v="0"/>
    <x v="2"/>
    <x v="2"/>
    <x v="0"/>
  </r>
  <r>
    <s v="Analyzer Status changed from Ready to Maintenance."/>
    <x v="0"/>
    <x v="0"/>
    <d v="2016-10-07T00:00:00"/>
    <d v="1899-12-30T23:04:01"/>
    <s v="Analyzer"/>
    <x v="0"/>
    <x v="0"/>
    <x v="0"/>
    <x v="0"/>
  </r>
  <r>
    <s v="Analyzer Status changed from Maintenance to Ready."/>
    <x v="0"/>
    <x v="0"/>
    <d v="2016-10-07T00:00:00"/>
    <d v="1899-12-30T23:04:23"/>
    <s v="Analyzer"/>
    <x v="0"/>
    <x v="0"/>
    <x v="0"/>
    <x v="0"/>
  </r>
  <r>
    <s v="Automatic maintenance activity Automatic Fluidic Line Priming Cycle has been executed."/>
    <x v="2"/>
    <x v="0"/>
    <d v="2016-10-07T00:00:00"/>
    <d v="1899-12-30T23:04:23"/>
    <s v="Maintenance"/>
    <x v="0"/>
    <x v="2"/>
    <x v="2"/>
    <x v="0"/>
  </r>
  <r>
    <s v="Analyzer Status changed from Ready to Maintenance."/>
    <x v="0"/>
    <x v="0"/>
    <d v="2016-10-08T00:00:00"/>
    <d v="1899-12-30T00:04:23"/>
    <s v="Analyzer"/>
    <x v="0"/>
    <x v="0"/>
    <x v="0"/>
    <x v="0"/>
  </r>
  <r>
    <s v="Analyzer Status changed from Maintenance to Ready."/>
    <x v="0"/>
    <x v="0"/>
    <d v="2016-10-08T00:00:00"/>
    <d v="1899-12-30T00:04:45"/>
    <s v="Analyzer"/>
    <x v="0"/>
    <x v="0"/>
    <x v="0"/>
    <x v="0"/>
  </r>
  <r>
    <s v="Automatic maintenance activity Automatic Fluidic Line Priming Cycle has been executed."/>
    <x v="2"/>
    <x v="0"/>
    <d v="2016-10-08T00:00:00"/>
    <d v="1899-12-30T00:04:45"/>
    <s v="Maintenance"/>
    <x v="0"/>
    <x v="2"/>
    <x v="2"/>
    <x v="0"/>
  </r>
  <r>
    <s v="Analyzer Status changed from Ready to Maintenance."/>
    <x v="0"/>
    <x v="0"/>
    <d v="2016-10-08T00:00:00"/>
    <d v="1899-12-30T01:04:45"/>
    <s v="Analyzer"/>
    <x v="0"/>
    <x v="0"/>
    <x v="0"/>
    <x v="0"/>
  </r>
  <r>
    <s v="Analyzer Status changed from Maintenance to Ready."/>
    <x v="0"/>
    <x v="0"/>
    <d v="2016-10-08T00:00:00"/>
    <d v="1899-12-30T01:05:07"/>
    <s v="Analyzer"/>
    <x v="0"/>
    <x v="0"/>
    <x v="0"/>
    <x v="0"/>
  </r>
  <r>
    <s v="Automatic maintenance activity Automatic Fluidic Line Priming Cycle has been executed."/>
    <x v="2"/>
    <x v="0"/>
    <d v="2016-10-08T00:00:00"/>
    <d v="1899-12-30T01:05:07"/>
    <s v="Maintenance"/>
    <x v="0"/>
    <x v="2"/>
    <x v="2"/>
    <x v="0"/>
  </r>
  <r>
    <s v="Analyzer Status changed from Ready to Maintenance."/>
    <x v="0"/>
    <x v="0"/>
    <d v="2016-10-08T00:00:00"/>
    <d v="1899-12-30T02:05:07"/>
    <s v="Analyzer"/>
    <x v="0"/>
    <x v="0"/>
    <x v="0"/>
    <x v="0"/>
  </r>
  <r>
    <s v="Analyzer Status changed from Maintenance to Ready."/>
    <x v="0"/>
    <x v="0"/>
    <d v="2016-10-08T00:00:00"/>
    <d v="1899-12-30T02:05:29"/>
    <s v="Analyzer"/>
    <x v="0"/>
    <x v="0"/>
    <x v="0"/>
    <x v="0"/>
  </r>
  <r>
    <s v="Automatic maintenance activity Automatic Fluidic Line Priming Cycle has been executed."/>
    <x v="2"/>
    <x v="0"/>
    <d v="2016-10-08T00:00:00"/>
    <d v="1899-12-30T02:05:29"/>
    <s v="Maintenance"/>
    <x v="0"/>
    <x v="2"/>
    <x v="2"/>
    <x v="0"/>
  </r>
  <r>
    <s v="Analyzer Status changed from Ready to Maintenance."/>
    <x v="0"/>
    <x v="0"/>
    <d v="2016-10-08T00:00:00"/>
    <d v="1899-12-30T03:05:29"/>
    <s v="Analyzer"/>
    <x v="0"/>
    <x v="0"/>
    <x v="0"/>
    <x v="0"/>
  </r>
  <r>
    <s v="Analyzer Status changed from Maintenance to Ready."/>
    <x v="0"/>
    <x v="0"/>
    <d v="2016-10-08T00:00:00"/>
    <d v="1899-12-30T03:05:51"/>
    <s v="Analyzer"/>
    <x v="0"/>
    <x v="0"/>
    <x v="0"/>
    <x v="0"/>
  </r>
  <r>
    <s v="Automatic maintenance activity Automatic Fluidic Line Priming Cycle has been executed."/>
    <x v="2"/>
    <x v="0"/>
    <d v="2016-10-08T00:00:00"/>
    <d v="1899-12-30T03:05:51"/>
    <s v="Maintenance"/>
    <x v="0"/>
    <x v="2"/>
    <x v="2"/>
    <x v="0"/>
  </r>
  <r>
    <s v="Analyzer Status changed from Ready to Maintenance."/>
    <x v="0"/>
    <x v="0"/>
    <d v="2016-10-08T00:00:00"/>
    <d v="1899-12-30T04:05:51"/>
    <s v="Analyzer"/>
    <x v="0"/>
    <x v="0"/>
    <x v="0"/>
    <x v="0"/>
  </r>
  <r>
    <s v="Analyzer Status changed from Maintenance to Ready."/>
    <x v="0"/>
    <x v="0"/>
    <d v="2016-10-08T00:00:00"/>
    <d v="1899-12-30T04:06:13"/>
    <s v="Analyzer"/>
    <x v="0"/>
    <x v="0"/>
    <x v="0"/>
    <x v="0"/>
  </r>
  <r>
    <s v="Automatic maintenance activity Automatic Fluidic Line Priming Cycle has been executed."/>
    <x v="2"/>
    <x v="0"/>
    <d v="2016-10-08T00:00:00"/>
    <d v="1899-12-30T04:06:13"/>
    <s v="Maintenance"/>
    <x v="0"/>
    <x v="2"/>
    <x v="2"/>
    <x v="0"/>
  </r>
  <r>
    <s v="Analyzer Status changed from Ready to Maintenance."/>
    <x v="0"/>
    <x v="0"/>
    <d v="2016-10-08T00:00:00"/>
    <d v="1899-12-30T05:06:13"/>
    <s v="Analyzer"/>
    <x v="0"/>
    <x v="0"/>
    <x v="0"/>
    <x v="0"/>
  </r>
  <r>
    <s v="Automatic maintenance activity Automatic Fluidic Line Priming Cycle has been executed."/>
    <x v="2"/>
    <x v="0"/>
    <d v="2016-10-08T00:00:00"/>
    <d v="1899-12-30T05:06:34"/>
    <s v="Maintenance"/>
    <x v="0"/>
    <x v="2"/>
    <x v="2"/>
    <x v="0"/>
  </r>
  <r>
    <s v="Analyzer Status changed from Maintenance to Ready."/>
    <x v="0"/>
    <x v="0"/>
    <d v="2016-10-08T00:00:00"/>
    <d v="1899-12-30T05:06:35"/>
    <s v="Analyzer"/>
    <x v="0"/>
    <x v="0"/>
    <x v="0"/>
    <x v="0"/>
  </r>
  <r>
    <s v="Analyzer Status changed from Ready to Maintenance."/>
    <x v="0"/>
    <x v="0"/>
    <d v="2016-10-08T00:00:00"/>
    <d v="1899-12-30T06:06:35"/>
    <s v="Analyzer"/>
    <x v="0"/>
    <x v="0"/>
    <x v="0"/>
    <x v="0"/>
  </r>
  <r>
    <s v="Analyzer Status changed from Maintenance to Ready."/>
    <x v="0"/>
    <x v="0"/>
    <d v="2016-10-08T00:00:00"/>
    <d v="1899-12-30T06:06:56"/>
    <s v="Analyzer"/>
    <x v="0"/>
    <x v="0"/>
    <x v="0"/>
    <x v="0"/>
  </r>
  <r>
    <s v="Automatic maintenance activity Automatic Fluidic Line Priming Cycle has been executed."/>
    <x v="2"/>
    <x v="0"/>
    <d v="2016-10-08T00:00:00"/>
    <d v="1899-12-30T06:06:56"/>
    <s v="Maintenance"/>
    <x v="0"/>
    <x v="2"/>
    <x v="2"/>
    <x v="0"/>
  </r>
  <r>
    <s v="Maintenance activity due: make new diluted clean B."/>
    <x v="9"/>
    <x v="1"/>
    <d v="2016-10-08T00:00:00"/>
    <d v="1899-12-30T06:14:40"/>
    <s v="Maintenance"/>
    <x v="0"/>
    <x v="2"/>
    <x v="2"/>
    <x v="0"/>
  </r>
  <r>
    <s v="Maintenance activity due: Enhanced Clean for Sample and Reagent Probes."/>
    <x v="9"/>
    <x v="1"/>
    <d v="2016-10-08T00:00:00"/>
    <d v="1899-12-30T06:19:40"/>
    <s v="Maintenance"/>
    <x v="0"/>
    <x v="2"/>
    <x v="2"/>
    <x v="0"/>
  </r>
  <r>
    <s v="Maintenance activity due: Enhanced Clean for all Probes."/>
    <x v="9"/>
    <x v="1"/>
    <d v="2016-10-08T00:00:00"/>
    <d v="1899-12-30T06:19:40"/>
    <s v="Maintenance"/>
    <x v="0"/>
    <x v="2"/>
    <x v="2"/>
    <x v="0"/>
  </r>
  <r>
    <s v="Maintenance activity due: replace factor diluent."/>
    <x v="9"/>
    <x v="1"/>
    <d v="2016-10-08T00:00:00"/>
    <d v="1899-12-30T06:30:40"/>
    <s v="Maintenance"/>
    <x v="0"/>
    <x v="2"/>
    <x v="2"/>
    <x v="0"/>
  </r>
  <r>
    <s v="Analyzer Status changed from Ready to Maintenance."/>
    <x v="0"/>
    <x v="0"/>
    <d v="2016-10-08T00:00:00"/>
    <d v="1899-12-30T07:06:57"/>
    <s v="Analyzer"/>
    <x v="0"/>
    <x v="0"/>
    <x v="0"/>
    <x v="0"/>
  </r>
  <r>
    <s v="Analyzer Status changed from Maintenance to Ready."/>
    <x v="0"/>
    <x v="0"/>
    <d v="2016-10-08T00:00:00"/>
    <d v="1899-12-30T07:07:18"/>
    <s v="Analyzer"/>
    <x v="0"/>
    <x v="0"/>
    <x v="0"/>
    <x v="0"/>
  </r>
  <r>
    <s v="Automatic maintenance activity Automatic Fluidic Line Priming Cycle has been executed."/>
    <x v="2"/>
    <x v="0"/>
    <d v="2016-10-08T00:00:00"/>
    <d v="1899-12-30T07:07:18"/>
    <s v="Maintenance"/>
    <x v="0"/>
    <x v="2"/>
    <x v="2"/>
    <x v="0"/>
  </r>
  <r>
    <s v="Maintenance activity overdue: make new diluted clean B."/>
    <x v="20"/>
    <x v="1"/>
    <d v="2016-10-08T00:00:00"/>
    <d v="1899-12-30T07:14:40"/>
    <s v="Maintenance"/>
    <x v="0"/>
    <x v="2"/>
    <x v="2"/>
    <x v="0"/>
  </r>
  <r>
    <s v="Maintenance activity overdue: Enhanced Clean for Sample and Reagent Probes."/>
    <x v="20"/>
    <x v="1"/>
    <d v="2016-10-08T00:00:00"/>
    <d v="1899-12-30T07:19:40"/>
    <s v="Maintenance"/>
    <x v="0"/>
    <x v="2"/>
    <x v="2"/>
    <x v="0"/>
  </r>
  <r>
    <s v="Maintenance activity overdue: Enhanced Clean for all Probes."/>
    <x v="20"/>
    <x v="1"/>
    <d v="2016-10-08T00:00:00"/>
    <d v="1899-12-30T07:19:40"/>
    <s v="Maintenance"/>
    <x v="0"/>
    <x v="2"/>
    <x v="2"/>
    <x v="0"/>
  </r>
  <r>
    <s v="Maintenance activity overdue: replace factor diluent."/>
    <x v="20"/>
    <x v="1"/>
    <d v="2016-10-08T00:00:00"/>
    <d v="1899-12-30T07:30:40"/>
    <s v="Maintenance"/>
    <x v="0"/>
    <x v="2"/>
    <x v="2"/>
    <x v="0"/>
  </r>
  <r>
    <s v="Analyzer Status changed from Ready to Maintenance."/>
    <x v="0"/>
    <x v="0"/>
    <d v="2016-10-08T00:00:00"/>
    <d v="1899-12-30T08:07:19"/>
    <s v="Analyzer"/>
    <x v="0"/>
    <x v="0"/>
    <x v="0"/>
    <x v="0"/>
  </r>
  <r>
    <s v="Analyzer Status changed from Maintenance to Ready."/>
    <x v="0"/>
    <x v="0"/>
    <d v="2016-10-08T00:00:00"/>
    <d v="1899-12-30T08:07:40"/>
    <s v="Analyzer"/>
    <x v="0"/>
    <x v="0"/>
    <x v="0"/>
    <x v="0"/>
  </r>
  <r>
    <s v="Automatic maintenance activity Automatic Fluidic Line Priming Cycle has been executed."/>
    <x v="2"/>
    <x v="0"/>
    <d v="2016-10-08T00:00:00"/>
    <d v="1899-12-30T08:07:40"/>
    <s v="Maintenance"/>
    <x v="0"/>
    <x v="2"/>
    <x v="2"/>
    <x v="0"/>
  </r>
  <r>
    <s v="Normal C. Assayed on-board stability low."/>
    <x v="6"/>
    <x v="1"/>
    <d v="2016-10-08T00:00:00"/>
    <d v="1899-12-30T08:42:55"/>
    <s v="Materials"/>
    <x v="0"/>
    <x v="2"/>
    <x v="3"/>
    <x v="0"/>
  </r>
  <r>
    <s v="Analyzer Status changed from Ready to Maintenance."/>
    <x v="0"/>
    <x v="0"/>
    <d v="2016-10-08T00:00:00"/>
    <d v="1899-12-30T09:07:41"/>
    <s v="Analyzer"/>
    <x v="0"/>
    <x v="0"/>
    <x v="0"/>
    <x v="0"/>
  </r>
  <r>
    <s v="Analyzer Status changed from Maintenance to Ready."/>
    <x v="0"/>
    <x v="0"/>
    <d v="2016-10-08T00:00:00"/>
    <d v="1899-12-30T09:08:02"/>
    <s v="Analyzer"/>
    <x v="0"/>
    <x v="0"/>
    <x v="0"/>
    <x v="0"/>
  </r>
  <r>
    <s v="Automatic maintenance activity Automatic Fluidic Line Priming Cycle has been executed."/>
    <x v="2"/>
    <x v="0"/>
    <d v="2016-10-08T00:00:00"/>
    <d v="1899-12-30T09:08:02"/>
    <s v="Maintenance"/>
    <x v="0"/>
    <x v="2"/>
    <x v="2"/>
    <x v="0"/>
  </r>
  <r>
    <s v="High Abn C. Assayed on-board stability expired for last available vial."/>
    <x v="38"/>
    <x v="2"/>
    <d v="2016-10-08T00:00:00"/>
    <d v="1899-12-30T09:40:55"/>
    <s v="Materials"/>
    <x v="0"/>
    <x v="2"/>
    <x v="3"/>
    <x v="0"/>
  </r>
  <r>
    <s v="Normal C. Assayed on-board stability expired for last available vial."/>
    <x v="38"/>
    <x v="2"/>
    <d v="2016-10-08T00:00:00"/>
    <d v="1899-12-30T09:41:55"/>
    <s v="Materials"/>
    <x v="0"/>
    <x v="2"/>
    <x v="3"/>
    <x v="0"/>
  </r>
  <r>
    <s v="Analyzer Status changed from Ready to Maintenance."/>
    <x v="0"/>
    <x v="0"/>
    <d v="2016-10-08T00:00:00"/>
    <d v="1899-12-30T10:08:02"/>
    <s v="Analyzer"/>
    <x v="0"/>
    <x v="0"/>
    <x v="0"/>
    <x v="0"/>
  </r>
  <r>
    <s v="Analyzer Status changed from Maintenance to Ready."/>
    <x v="0"/>
    <x v="0"/>
    <d v="2016-10-08T00:00:00"/>
    <d v="1899-12-30T10:08:24"/>
    <s v="Analyzer"/>
    <x v="0"/>
    <x v="0"/>
    <x v="0"/>
    <x v="0"/>
  </r>
  <r>
    <s v="Automatic maintenance activity Automatic Fluidic Line Priming Cycle has been executed."/>
    <x v="2"/>
    <x v="0"/>
    <d v="2016-10-08T00:00:00"/>
    <d v="1899-12-30T10:08:24"/>
    <s v="Maintenance"/>
    <x v="0"/>
    <x v="2"/>
    <x v="2"/>
    <x v="0"/>
  </r>
  <r>
    <s v="Analyzer Status changed from Ready to Maintenance."/>
    <x v="0"/>
    <x v="0"/>
    <d v="2016-10-08T00:00:00"/>
    <d v="1899-12-30T11:08:25"/>
    <s v="Analyzer"/>
    <x v="0"/>
    <x v="0"/>
    <x v="0"/>
    <x v="0"/>
  </r>
  <r>
    <s v="Analyzer Status changed from Maintenance to Ready."/>
    <x v="0"/>
    <x v="0"/>
    <d v="2016-10-08T00:00:00"/>
    <d v="1899-12-30T11:08:46"/>
    <s v="Analyzer"/>
    <x v="0"/>
    <x v="0"/>
    <x v="0"/>
    <x v="0"/>
  </r>
  <r>
    <s v="Automatic maintenance activity Automatic Fluidic Line Priming Cycle has been executed."/>
    <x v="2"/>
    <x v="0"/>
    <d v="2016-10-08T00:00:00"/>
    <d v="1899-12-30T11:08:46"/>
    <s v="Maintenance"/>
    <x v="0"/>
    <x v="2"/>
    <x v="2"/>
    <x v="0"/>
  </r>
  <r>
    <s v="Analyzer Status changed from Ready to Maintenance."/>
    <x v="0"/>
    <x v="0"/>
    <d v="2016-10-08T00:00:00"/>
    <d v="1899-12-30T12:08:46"/>
    <s v="Analyzer"/>
    <x v="0"/>
    <x v="0"/>
    <x v="0"/>
    <x v="0"/>
  </r>
  <r>
    <s v="Analyzer Status changed from Maintenance to Ready."/>
    <x v="0"/>
    <x v="0"/>
    <d v="2016-10-08T00:00:00"/>
    <d v="1899-12-30T12:09:08"/>
    <s v="Analyzer"/>
    <x v="0"/>
    <x v="0"/>
    <x v="0"/>
    <x v="0"/>
  </r>
  <r>
    <s v="Automatic maintenance activity Automatic Fluidic Line Priming Cycle has been executed."/>
    <x v="2"/>
    <x v="0"/>
    <d v="2016-10-08T00:00:00"/>
    <d v="1899-12-30T12:09:08"/>
    <s v="Maintenance"/>
    <x v="0"/>
    <x v="2"/>
    <x v="2"/>
    <x v="0"/>
  </r>
  <r>
    <s v="Analyzer Status changed from Ready to Maintenance."/>
    <x v="0"/>
    <x v="0"/>
    <d v="2016-10-08T00:00:00"/>
    <d v="1899-12-30T13:09:09"/>
    <s v="Analyzer"/>
    <x v="0"/>
    <x v="0"/>
    <x v="0"/>
    <x v="0"/>
  </r>
  <r>
    <s v="Analyzer Status changed from Maintenance to Ready."/>
    <x v="0"/>
    <x v="0"/>
    <d v="2016-10-08T00:00:00"/>
    <d v="1899-12-30T13:09:30"/>
    <s v="Analyzer"/>
    <x v="0"/>
    <x v="0"/>
    <x v="0"/>
    <x v="0"/>
  </r>
  <r>
    <s v="Automatic maintenance activity Automatic Fluidic Line Priming Cycle has been executed."/>
    <x v="2"/>
    <x v="0"/>
    <d v="2016-10-08T00:00:00"/>
    <d v="1899-12-30T13:09:30"/>
    <s v="Maintenance"/>
    <x v="0"/>
    <x v="2"/>
    <x v="2"/>
    <x v="0"/>
  </r>
  <r>
    <s v="LA NEG CONTROL on-board stability expired for last available vial."/>
    <x v="38"/>
    <x v="2"/>
    <d v="2016-10-08T00:00:00"/>
    <d v="1899-12-30T13:36:59"/>
    <s v="Materials"/>
    <x v="0"/>
    <x v="2"/>
    <x v="3"/>
    <x v="0"/>
  </r>
  <r>
    <s v="LA POS CONTROL on-board stability expired for last available vial."/>
    <x v="38"/>
    <x v="2"/>
    <d v="2016-10-08T00:00:00"/>
    <d v="1899-12-30T13:36:59"/>
    <s v="Materials"/>
    <x v="0"/>
    <x v="2"/>
    <x v="3"/>
    <x v="0"/>
  </r>
  <r>
    <s v="Analyzer Status changed from Ready to Maintenance."/>
    <x v="0"/>
    <x v="0"/>
    <d v="2016-10-08T00:00:00"/>
    <d v="1899-12-30T14:09:30"/>
    <s v="Analyzer"/>
    <x v="0"/>
    <x v="0"/>
    <x v="0"/>
    <x v="0"/>
  </r>
  <r>
    <s v="Analyzer Status changed from Maintenance to Ready."/>
    <x v="0"/>
    <x v="0"/>
    <d v="2016-10-08T00:00:00"/>
    <d v="1899-12-30T14:09:52"/>
    <s v="Analyzer"/>
    <x v="0"/>
    <x v="0"/>
    <x v="0"/>
    <x v="0"/>
  </r>
  <r>
    <s v="Automatic maintenance activity Automatic Fluidic Line Priming Cycle has been executed."/>
    <x v="2"/>
    <x v="0"/>
    <d v="2016-10-08T00:00:00"/>
    <d v="1899-12-30T14:09:52"/>
    <s v="Maintenance"/>
    <x v="0"/>
    <x v="2"/>
    <x v="2"/>
    <x v="0"/>
  </r>
  <r>
    <s v="Waste tank almost full."/>
    <x v="39"/>
    <x v="1"/>
    <d v="2016-10-08T00:00:00"/>
    <d v="1899-12-30T14:15:17"/>
    <s v="Materials"/>
    <x v="0"/>
    <x v="1"/>
    <x v="14"/>
    <x v="0"/>
  </r>
  <r>
    <s v="Analyzer Status changed from Ready to Maintenance."/>
    <x v="0"/>
    <x v="0"/>
    <d v="2016-10-08T00:00:00"/>
    <d v="1899-12-30T15:09:52"/>
    <s v="Analyzer"/>
    <x v="0"/>
    <x v="0"/>
    <x v="0"/>
    <x v="0"/>
  </r>
  <r>
    <s v="Analyzer Status changed from Maintenance to Ready."/>
    <x v="0"/>
    <x v="0"/>
    <d v="2016-10-08T00:00:00"/>
    <d v="1899-12-30T15:11:27"/>
    <s v="Analyzer"/>
    <x v="0"/>
    <x v="0"/>
    <x v="0"/>
    <x v="0"/>
  </r>
  <r>
    <s v="Automatic maintenance activity Automatic Fluidic Line Priming Cycle has been executed."/>
    <x v="2"/>
    <x v="0"/>
    <d v="2016-10-08T00:00:00"/>
    <d v="1899-12-30T15:11:27"/>
    <s v="Maintenance"/>
    <x v="0"/>
    <x v="2"/>
    <x v="2"/>
    <x v="0"/>
  </r>
  <r>
    <s v="Waste tank almost full."/>
    <x v="39"/>
    <x v="1"/>
    <d v="2016-10-08T00:00:00"/>
    <d v="1899-12-30T15:13:03"/>
    <s v="Materials"/>
    <x v="0"/>
    <x v="1"/>
    <x v="14"/>
    <x v="0"/>
  </r>
  <r>
    <s v="Waste tank almost full."/>
    <x v="39"/>
    <x v="1"/>
    <d v="2016-10-08T00:00:00"/>
    <d v="1899-12-30T15:15:06"/>
    <s v="Materials"/>
    <x v="0"/>
    <x v="1"/>
    <x v="14"/>
    <x v="0"/>
  </r>
  <r>
    <s v="Analyzer Status changed from Ready to Maintenance."/>
    <x v="0"/>
    <x v="0"/>
    <d v="2016-10-08T00:00:00"/>
    <d v="1899-12-30T16:11:27"/>
    <s v="Analyzer"/>
    <x v="0"/>
    <x v="0"/>
    <x v="0"/>
    <x v="0"/>
  </r>
  <r>
    <s v="Automatic maintenance activity Automatic Fluidic Line Priming Cycle has been executed."/>
    <x v="2"/>
    <x v="0"/>
    <d v="2016-10-08T00:00:00"/>
    <d v="1899-12-30T16:11:48"/>
    <s v="Maintenance"/>
    <x v="0"/>
    <x v="2"/>
    <x v="2"/>
    <x v="0"/>
  </r>
  <r>
    <s v="Analyzer Status changed from Maintenance to Ready."/>
    <x v="0"/>
    <x v="0"/>
    <d v="2016-10-08T00:00:00"/>
    <d v="1899-12-30T16:11:49"/>
    <s v="Analyzer"/>
    <x v="0"/>
    <x v="0"/>
    <x v="0"/>
    <x v="0"/>
  </r>
  <r>
    <s v="Waste tank almost full."/>
    <x v="39"/>
    <x v="1"/>
    <d v="2016-10-08T00:00:00"/>
    <d v="1899-12-30T16:13:11"/>
    <s v="Materials"/>
    <x v="0"/>
    <x v="1"/>
    <x v="14"/>
    <x v="0"/>
  </r>
  <r>
    <s v="Waste tank almost full."/>
    <x v="39"/>
    <x v="1"/>
    <d v="2016-10-08T00:00:00"/>
    <d v="1899-12-30T16:19:24"/>
    <s v="Materials"/>
    <x v="0"/>
    <x v="1"/>
    <x v="14"/>
    <x v="0"/>
  </r>
  <r>
    <s v="Analyzer Status changed from Ready to Maintenance."/>
    <x v="0"/>
    <x v="0"/>
    <d v="2016-10-08T00:00:00"/>
    <d v="1899-12-30T17:11:49"/>
    <s v="Analyzer"/>
    <x v="0"/>
    <x v="0"/>
    <x v="0"/>
    <x v="0"/>
  </r>
  <r>
    <s v="Analyzer Status changed from Maintenance to Ready."/>
    <x v="0"/>
    <x v="0"/>
    <d v="2016-10-08T00:00:00"/>
    <d v="1899-12-30T17:12:10"/>
    <s v="Analyzer"/>
    <x v="0"/>
    <x v="0"/>
    <x v="0"/>
    <x v="0"/>
  </r>
  <r>
    <s v="Automatic maintenance activity Automatic Fluidic Line Priming Cycle has been executed."/>
    <x v="2"/>
    <x v="0"/>
    <d v="2016-10-08T00:00:00"/>
    <d v="1899-12-30T17:12:10"/>
    <s v="Maintenance"/>
    <x v="0"/>
    <x v="2"/>
    <x v="2"/>
    <x v="0"/>
  </r>
  <r>
    <s v="Waste tank almost full."/>
    <x v="39"/>
    <x v="1"/>
    <d v="2016-10-08T00:00:00"/>
    <d v="1899-12-30T17:13:20"/>
    <s v="Materials"/>
    <x v="0"/>
    <x v="1"/>
    <x v="14"/>
    <x v="0"/>
  </r>
  <r>
    <s v="Analyzer Status changed from Ready to Maintenance."/>
    <x v="0"/>
    <x v="0"/>
    <d v="2016-10-08T00:00:00"/>
    <d v="1899-12-30T18:12:11"/>
    <s v="Analyzer"/>
    <x v="0"/>
    <x v="0"/>
    <x v="0"/>
    <x v="0"/>
  </r>
  <r>
    <s v="Analyzer Status changed from Maintenance to Ready."/>
    <x v="0"/>
    <x v="0"/>
    <d v="2016-10-08T00:00:00"/>
    <d v="1899-12-30T18:12:32"/>
    <s v="Analyzer"/>
    <x v="0"/>
    <x v="0"/>
    <x v="0"/>
    <x v="0"/>
  </r>
  <r>
    <s v="Automatic maintenance activity Automatic Fluidic Line Priming Cycle has been executed."/>
    <x v="2"/>
    <x v="0"/>
    <d v="2016-10-08T00:00:00"/>
    <d v="1899-12-30T18:12:32"/>
    <s v="Maintenance"/>
    <x v="0"/>
    <x v="2"/>
    <x v="2"/>
    <x v="0"/>
  </r>
  <r>
    <s v="Waste tank almost full."/>
    <x v="39"/>
    <x v="1"/>
    <d v="2016-10-08T00:00:00"/>
    <d v="1899-12-30T18:13:42"/>
    <s v="Materials"/>
    <x v="0"/>
    <x v="1"/>
    <x v="14"/>
    <x v="0"/>
  </r>
  <r>
    <s v="Analyzer Status changed from Ready to Maintenance."/>
    <x v="0"/>
    <x v="0"/>
    <d v="2016-10-08T00:00:00"/>
    <d v="1899-12-30T19:12:33"/>
    <s v="Analyzer"/>
    <x v="0"/>
    <x v="0"/>
    <x v="0"/>
    <x v="0"/>
  </r>
  <r>
    <s v="Analyzer Status changed from Maintenance to Ready."/>
    <x v="0"/>
    <x v="0"/>
    <d v="2016-10-08T00:00:00"/>
    <d v="1899-12-30T19:12:54"/>
    <s v="Analyzer"/>
    <x v="0"/>
    <x v="0"/>
    <x v="0"/>
    <x v="0"/>
  </r>
  <r>
    <s v="Automatic maintenance activity Automatic Fluidic Line Priming Cycle has been executed."/>
    <x v="2"/>
    <x v="0"/>
    <d v="2016-10-08T00:00:00"/>
    <d v="1899-12-30T19:12:54"/>
    <s v="Maintenance"/>
    <x v="0"/>
    <x v="2"/>
    <x v="2"/>
    <x v="0"/>
  </r>
  <r>
    <s v="Waste tank almost full."/>
    <x v="39"/>
    <x v="1"/>
    <d v="2016-10-08T00:00:00"/>
    <d v="1899-12-30T19:14:04"/>
    <s v="Materials"/>
    <x v="0"/>
    <x v="1"/>
    <x v="14"/>
    <x v="0"/>
  </r>
  <r>
    <s v="Analyzer Status changed from Ready to Maintenance."/>
    <x v="0"/>
    <x v="0"/>
    <d v="2016-10-08T00:00:00"/>
    <d v="1899-12-30T20:12:55"/>
    <s v="Analyzer"/>
    <x v="0"/>
    <x v="0"/>
    <x v="0"/>
    <x v="0"/>
  </r>
  <r>
    <s v="Automatic maintenance activity Automatic Fluidic Line Priming Cycle has been executed."/>
    <x v="2"/>
    <x v="0"/>
    <d v="2016-10-08T00:00:00"/>
    <d v="1899-12-30T20:13:16"/>
    <s v="Maintenance"/>
    <x v="0"/>
    <x v="2"/>
    <x v="2"/>
    <x v="0"/>
  </r>
  <r>
    <s v="Analyzer Status changed from Maintenance to Ready."/>
    <x v="0"/>
    <x v="0"/>
    <d v="2016-10-08T00:00:00"/>
    <d v="1899-12-30T20:13:17"/>
    <s v="Analyzer"/>
    <x v="0"/>
    <x v="0"/>
    <x v="0"/>
    <x v="0"/>
  </r>
  <r>
    <s v="Waste tank almost full."/>
    <x v="39"/>
    <x v="1"/>
    <d v="2016-10-08T00:00:00"/>
    <d v="1899-12-30T20:14:26"/>
    <s v="Materials"/>
    <x v="0"/>
    <x v="1"/>
    <x v="14"/>
    <x v="0"/>
  </r>
  <r>
    <s v="Analyzer Status changed from Ready to Maintenance."/>
    <x v="0"/>
    <x v="0"/>
    <d v="2016-10-08T00:00:00"/>
    <d v="1899-12-30T21:13:17"/>
    <s v="Analyzer"/>
    <x v="0"/>
    <x v="0"/>
    <x v="0"/>
    <x v="0"/>
  </r>
  <r>
    <s v="Analyzer Status changed from Maintenance to Ready."/>
    <x v="0"/>
    <x v="0"/>
    <d v="2016-10-08T00:00:00"/>
    <d v="1899-12-30T21:13:38"/>
    <s v="Analyzer"/>
    <x v="0"/>
    <x v="0"/>
    <x v="0"/>
    <x v="0"/>
  </r>
  <r>
    <s v="Automatic maintenance activity Automatic Fluidic Line Priming Cycle has been executed."/>
    <x v="2"/>
    <x v="0"/>
    <d v="2016-10-08T00:00:00"/>
    <d v="1899-12-30T21:13:38"/>
    <s v="Maintenance"/>
    <x v="0"/>
    <x v="2"/>
    <x v="2"/>
    <x v="0"/>
  </r>
  <r>
    <s v="Analyzer Status changed from Ready to Maintenance."/>
    <x v="0"/>
    <x v="0"/>
    <d v="2016-10-08T00:00:00"/>
    <d v="1899-12-30T22:13:39"/>
    <s v="Analyzer"/>
    <x v="0"/>
    <x v="0"/>
    <x v="0"/>
    <x v="0"/>
  </r>
  <r>
    <s v="Analyzer Status changed from Maintenance to Ready."/>
    <x v="0"/>
    <x v="0"/>
    <d v="2016-10-08T00:00:00"/>
    <d v="1899-12-30T22:14:00"/>
    <s v="Analyzer"/>
    <x v="0"/>
    <x v="0"/>
    <x v="0"/>
    <x v="0"/>
  </r>
  <r>
    <s v="Automatic maintenance activity Automatic Fluidic Line Priming Cycle has been executed."/>
    <x v="2"/>
    <x v="0"/>
    <d v="2016-10-08T00:00:00"/>
    <d v="1899-12-30T22:14:00"/>
    <s v="Maintenance"/>
    <x v="0"/>
    <x v="2"/>
    <x v="2"/>
    <x v="0"/>
  </r>
  <r>
    <s v="Waste tank full."/>
    <x v="40"/>
    <x v="2"/>
    <d v="2016-10-08T00:00:00"/>
    <d v="1899-12-30T22:15:40"/>
    <s v="Materials"/>
    <x v="0"/>
    <x v="1"/>
    <x v="14"/>
    <x v="0"/>
  </r>
  <r>
    <s v="Analyzer Status changed from Ready to Error."/>
    <x v="0"/>
    <x v="0"/>
    <d v="2016-10-08T00:00:00"/>
    <d v="1899-12-30T22:15:40"/>
    <s v="Analyzer"/>
    <x v="0"/>
    <x v="0"/>
    <x v="0"/>
    <x v="0"/>
  </r>
  <r>
    <s v="dRVVT CONFIRM on-board stability low."/>
    <x v="6"/>
    <x v="1"/>
    <d v="2016-10-10T00:00:00"/>
    <d v="1899-12-30T12:35:37"/>
    <s v="Materials"/>
    <x v="0"/>
    <x v="2"/>
    <x v="3"/>
    <x v="0"/>
  </r>
  <r>
    <s v="dRVVT CONFIRM on-board stability expired for last available vial."/>
    <x v="38"/>
    <x v="2"/>
    <d v="2016-10-10T00:00:00"/>
    <d v="1899-12-30T13:34:38"/>
    <s v="Materials"/>
    <x v="0"/>
    <x v="2"/>
    <x v="3"/>
    <x v="0"/>
  </r>
  <r>
    <s v="Waste tank not present."/>
    <x v="41"/>
    <x v="2"/>
    <d v="2016-10-11T00:00:00"/>
    <d v="1899-12-30T06:55:22"/>
    <s v="Materials"/>
    <x v="0"/>
    <x v="1"/>
    <x v="14"/>
    <x v="0"/>
  </r>
  <r>
    <s v="Analyzer Status changed from Error to Ready."/>
    <x v="0"/>
    <x v="0"/>
    <d v="2016-10-11T00:00:00"/>
    <d v="1899-12-30T06:57:30"/>
    <s v="Analyzer"/>
    <x v="0"/>
    <x v="0"/>
    <x v="0"/>
    <x v="0"/>
  </r>
  <r>
    <s v="Probe REAGENT 2 Liquid Level Detection error in well position clean cup."/>
    <x v="42"/>
    <x v="2"/>
    <d v="2016-10-11T00:00:00"/>
    <d v="1899-12-30T07:13:59"/>
    <s v="Materials"/>
    <x v="0"/>
    <x v="3"/>
    <x v="4"/>
    <x v="2"/>
  </r>
  <r>
    <s v="Probe REAGENT 2: Insufficient volume in clean cup."/>
    <x v="43"/>
    <x v="2"/>
    <d v="2016-10-11T00:00:00"/>
    <d v="1899-12-30T07:14:00"/>
    <s v="Materials"/>
    <x v="0"/>
    <x v="1"/>
    <x v="10"/>
    <x v="3"/>
  </r>
  <r>
    <s v="Analyzer Status changed from Ready to Maintenance."/>
    <x v="0"/>
    <x v="0"/>
    <d v="2016-10-11T00:00:00"/>
    <d v="1899-12-30T07:14:28"/>
    <s v="Analyzer"/>
    <x v="0"/>
    <x v="0"/>
    <x v="0"/>
    <x v="0"/>
  </r>
  <r>
    <s v="Analyzer Status changed from Maintenance to Ready."/>
    <x v="0"/>
    <x v="0"/>
    <d v="2016-10-11T00:00:00"/>
    <d v="1899-12-30T07:22:21"/>
    <s v="Analyzer"/>
    <x v="0"/>
    <x v="0"/>
    <x v="0"/>
    <x v="0"/>
  </r>
  <r>
    <s v="Frequency status for manual maintenance activity Enhanced Clean for all Probes has changed to OK."/>
    <x v="3"/>
    <x v="0"/>
    <d v="2016-10-11T00:00:00"/>
    <d v="1899-12-30T07:22:21"/>
    <s v="Maintenance"/>
    <x v="0"/>
    <x v="2"/>
    <x v="2"/>
    <x v="0"/>
  </r>
  <r>
    <s v="Frequency status for manual maintenance activity Enhanced Clean for Sample and Reagent Probes has changed to OK."/>
    <x v="3"/>
    <x v="0"/>
    <d v="2016-10-11T00:00:00"/>
    <d v="1899-12-30T07:22:21"/>
    <s v="Maintenance"/>
    <x v="0"/>
    <x v="2"/>
    <x v="2"/>
    <x v="0"/>
  </r>
  <r>
    <s v="Semiautomatic maintenance activity Enhanced Clean for all Probes has been executed."/>
    <x v="4"/>
    <x v="0"/>
    <d v="2016-10-11T00:00:00"/>
    <d v="1899-12-30T07:22:21"/>
    <s v="Maintenance"/>
    <x v="0"/>
    <x v="2"/>
    <x v="2"/>
    <x v="0"/>
  </r>
  <r>
    <s v="Analyzer Status changed from Ready to Maintenance."/>
    <x v="0"/>
    <x v="0"/>
    <d v="2016-10-11T00:00:00"/>
    <d v="1899-12-30T07:23:36"/>
    <s v="Analyzer"/>
    <x v="0"/>
    <x v="0"/>
    <x v="0"/>
    <x v="0"/>
  </r>
  <r>
    <s v="Frequency status for manual maintenance activity replace factor diluent has changed to OK."/>
    <x v="3"/>
    <x v="0"/>
    <d v="2016-10-11T00:00:00"/>
    <d v="1899-12-30T07:23:38"/>
    <s v="Maintenance"/>
    <x v="0"/>
    <x v="2"/>
    <x v="2"/>
    <x v="0"/>
  </r>
  <r>
    <s v="Manual maintenance activity replace factor diluent has been executed."/>
    <x v="5"/>
    <x v="0"/>
    <d v="2016-10-11T00:00:00"/>
    <d v="1899-12-30T07:23:38"/>
    <s v="Maintenance"/>
    <x v="0"/>
    <x v="2"/>
    <x v="2"/>
    <x v="0"/>
  </r>
  <r>
    <s v="Analyzer Status changed from Maintenance to Ready."/>
    <x v="0"/>
    <x v="0"/>
    <d v="2016-10-11T00:00:00"/>
    <d v="1899-12-30T07:23:39"/>
    <s v="Analyzer"/>
    <x v="0"/>
    <x v="0"/>
    <x v="0"/>
    <x v="0"/>
  </r>
  <r>
    <s v="Analyzer Status changed from Ready to Maintenance."/>
    <x v="0"/>
    <x v="0"/>
    <d v="2016-10-11T00:00:00"/>
    <d v="1899-12-30T07:24:00"/>
    <s v="Analyzer"/>
    <x v="0"/>
    <x v="0"/>
    <x v="0"/>
    <x v="0"/>
  </r>
  <r>
    <s v="Frequency status for manual maintenance activity make new diluted clean B has changed to OK."/>
    <x v="3"/>
    <x v="0"/>
    <d v="2016-10-11T00:00:00"/>
    <d v="1899-12-30T07:24:02"/>
    <s v="Maintenance"/>
    <x v="0"/>
    <x v="2"/>
    <x v="2"/>
    <x v="0"/>
  </r>
  <r>
    <s v="Manual maintenance activity make new diluted clean B has been executed."/>
    <x v="5"/>
    <x v="0"/>
    <d v="2016-10-11T00:00:00"/>
    <d v="1899-12-30T07:24:02"/>
    <s v="Maintenance"/>
    <x v="0"/>
    <x v="2"/>
    <x v="2"/>
    <x v="0"/>
  </r>
  <r>
    <s v="Analyzer Status changed from Maintenance to Ready."/>
    <x v="0"/>
    <x v="0"/>
    <d v="2016-10-11T00:00:00"/>
    <d v="1899-12-30T07:24:19"/>
    <s v="Analyzer"/>
    <x v="0"/>
    <x v="0"/>
    <x v="0"/>
    <x v="0"/>
  </r>
  <r>
    <s v="Placement error (Normal C. Assayed in rack DB, position 3, track 3)."/>
    <x v="24"/>
    <x v="2"/>
    <d v="2016-10-11T00:00:00"/>
    <d v="1899-12-30T07:44:30"/>
    <s v="Materials"/>
    <x v="0"/>
    <x v="2"/>
    <x v="3"/>
    <x v="0"/>
  </r>
  <r>
    <s v="Placement error (High Abn C. Assayed in rack DB, position 4, track 3)."/>
    <x v="24"/>
    <x v="2"/>
    <d v="2016-10-11T00:00:00"/>
    <d v="1899-12-30T07:44:30"/>
    <s v="Materials"/>
    <x v="0"/>
    <x v="2"/>
    <x v="3"/>
    <x v="0"/>
  </r>
  <r>
    <s v="Analyzer Status changed from Ready to Busy."/>
    <x v="0"/>
    <x v="0"/>
    <d v="2016-10-11T00:00:00"/>
    <d v="1899-12-30T07:45:09"/>
    <s v="Analyzer"/>
    <x v="0"/>
    <x v="0"/>
    <x v="0"/>
    <x v="0"/>
  </r>
  <r>
    <s v="Analyzer Status changed from Busy to Ready."/>
    <x v="0"/>
    <x v="0"/>
    <d v="2016-10-11T00:00:00"/>
    <d v="1899-12-30T07:51:13"/>
    <s v="Analyzer"/>
    <x v="0"/>
    <x v="0"/>
    <x v="0"/>
    <x v="0"/>
  </r>
  <r>
    <s v="Analyzer Status changed from Ready to Maintenance."/>
    <x v="0"/>
    <x v="0"/>
    <d v="2016-10-11T00:00:00"/>
    <d v="1899-12-30T07:51:13"/>
    <s v="Analyzer"/>
    <x v="0"/>
    <x v="0"/>
    <x v="0"/>
    <x v="0"/>
  </r>
  <r>
    <s v="Probe REAGENT 1 Liquid Level Detection error in well position clean cup."/>
    <x v="42"/>
    <x v="2"/>
    <d v="2016-10-11T00:00:00"/>
    <d v="1899-12-30T07:52:06"/>
    <s v="Materials"/>
    <x v="0"/>
    <x v="3"/>
    <x v="4"/>
    <x v="2"/>
  </r>
  <r>
    <s v="Probe SAMPLE Liquid Level Detection error in well position clean cup."/>
    <x v="42"/>
    <x v="2"/>
    <d v="2016-10-11T00:00:00"/>
    <d v="1899-12-30T07:52:06"/>
    <s v="Materials"/>
    <x v="0"/>
    <x v="3"/>
    <x v="4"/>
    <x v="2"/>
  </r>
  <r>
    <s v="Probe REAGENT 1: Insufficient volume in clean cup."/>
    <x v="43"/>
    <x v="2"/>
    <d v="2016-10-11T00:00:00"/>
    <d v="1899-12-30T07:52:07"/>
    <s v="Materials"/>
    <x v="0"/>
    <x v="1"/>
    <x v="10"/>
    <x v="3"/>
  </r>
  <r>
    <s v="Probe SAMPLE: Insufficient volume in clean cup."/>
    <x v="43"/>
    <x v="2"/>
    <d v="2016-10-11T00:00:00"/>
    <d v="1899-12-30T07:52:07"/>
    <s v="Materials"/>
    <x v="0"/>
    <x v="1"/>
    <x v="10"/>
    <x v="3"/>
  </r>
  <r>
    <s v="Automatic maintenance activity Automatic Routine Clean for all Probes has been executed."/>
    <x v="2"/>
    <x v="0"/>
    <d v="2016-10-11T00:00:00"/>
    <d v="1899-12-30T07:53:26"/>
    <s v="Maintenance"/>
    <x v="0"/>
    <x v="2"/>
    <x v="2"/>
    <x v="0"/>
  </r>
  <r>
    <s v="Analyzer Status changed from Maintenance to Ready."/>
    <x v="0"/>
    <x v="0"/>
    <d v="2016-10-11T00:00:00"/>
    <d v="1899-12-30T07:53:27"/>
    <s v="Analyzer"/>
    <x v="0"/>
    <x v="0"/>
    <x v="0"/>
    <x v="0"/>
  </r>
  <r>
    <s v="Analyzer Status changed from Ready to Maintenance."/>
    <x v="0"/>
    <x v="0"/>
    <d v="2016-10-11T00:00:00"/>
    <d v="1899-12-30T07:56:14"/>
    <s v="Analyzer"/>
    <x v="0"/>
    <x v="0"/>
    <x v="0"/>
    <x v="0"/>
  </r>
  <r>
    <s v="Analyzer Status changed from Maintenance to Ready."/>
    <x v="0"/>
    <x v="0"/>
    <d v="2016-10-11T00:00:00"/>
    <d v="1899-12-30T07:56:56"/>
    <s v="Analyzer"/>
    <x v="0"/>
    <x v="0"/>
    <x v="0"/>
    <x v="0"/>
  </r>
  <r>
    <s v="Semiautomatic maintenance activity Rinse/Clean Priming Cycle for Sample Probe has been executed."/>
    <x v="4"/>
    <x v="0"/>
    <d v="2016-10-11T00:00:00"/>
    <d v="1899-12-30T07:56:56"/>
    <s v="Maintenance"/>
    <x v="0"/>
    <x v="2"/>
    <x v="2"/>
    <x v="0"/>
  </r>
  <r>
    <s v="Test Definition Fib-RP has been modified."/>
    <x v="14"/>
    <x v="0"/>
    <d v="2016-10-11T00:00:00"/>
    <d v="1899-12-30T08:02:47"/>
    <s v="Setup"/>
    <x v="0"/>
    <x v="2"/>
    <x v="5"/>
    <x v="0"/>
  </r>
  <r>
    <s v="Test Definition Hepz PT has been modified."/>
    <x v="14"/>
    <x v="0"/>
    <d v="2016-10-11T00:00:00"/>
    <d v="1899-12-30T08:02:48"/>
    <s v="Setup"/>
    <x v="0"/>
    <x v="2"/>
    <x v="5"/>
    <x v="0"/>
  </r>
  <r>
    <s v="Test Definition PT-RP has been modified."/>
    <x v="14"/>
    <x v="0"/>
    <d v="2016-10-11T00:00:00"/>
    <d v="1899-12-30T08:02:49"/>
    <s v="Setup"/>
    <x v="0"/>
    <x v="2"/>
    <x v="5"/>
    <x v="0"/>
  </r>
  <r>
    <s v="Test Definition Fib-RP has been modified."/>
    <x v="14"/>
    <x v="0"/>
    <d v="2016-10-11T00:00:00"/>
    <d v="1899-12-30T08:02:49"/>
    <s v="Setup"/>
    <x v="0"/>
    <x v="2"/>
    <x v="5"/>
    <x v="0"/>
  </r>
  <r>
    <s v="Test Definition Free PS has been modified."/>
    <x v="14"/>
    <x v="0"/>
    <d v="2016-10-11T00:00:00"/>
    <d v="1899-12-30T08:03:27"/>
    <s v="Setup"/>
    <x v="0"/>
    <x v="2"/>
    <x v="5"/>
    <x v="0"/>
  </r>
  <r>
    <s v="Reflex Rule aPTT-Crit has been deleted."/>
    <x v="21"/>
    <x v="0"/>
    <d v="2016-10-11T00:00:00"/>
    <d v="1899-12-30T08:05:24"/>
    <s v="Setup"/>
    <x v="0"/>
    <x v="2"/>
    <x v="5"/>
    <x v="0"/>
  </r>
  <r>
    <s v="Reflex Rule PT-Crit has been deleted."/>
    <x v="21"/>
    <x v="0"/>
    <d v="2016-10-11T00:00:00"/>
    <d v="1899-12-30T08:05:30"/>
    <s v="Setup"/>
    <x v="0"/>
    <x v="2"/>
    <x v="5"/>
    <x v="0"/>
  </r>
  <r>
    <s v="Non-identified Material in rack DA position 3, track 2."/>
    <x v="27"/>
    <x v="2"/>
    <d v="2016-10-11T00:00:00"/>
    <d v="1899-12-30T08:27:42"/>
    <s v="Materials"/>
    <x v="0"/>
    <x v="2"/>
    <x v="3"/>
    <x v="0"/>
  </r>
  <r>
    <s v="Analyzer Status changed from Ready to Busy."/>
    <x v="0"/>
    <x v="0"/>
    <d v="2016-10-11T00:00:00"/>
    <d v="1899-12-30T08:28:11"/>
    <s v="Analyzer"/>
    <x v="0"/>
    <x v="0"/>
    <x v="0"/>
    <x v="0"/>
  </r>
  <r>
    <s v="Normal C. Assayed volume low."/>
    <x v="7"/>
    <x v="1"/>
    <d v="2016-10-11T00:00:00"/>
    <d v="1899-12-30T08:34:32"/>
    <s v="Materials"/>
    <x v="0"/>
    <x v="3"/>
    <x v="4"/>
    <x v="0"/>
  </r>
  <r>
    <s v="High Abn C. Assayed volume low."/>
    <x v="7"/>
    <x v="1"/>
    <d v="2016-10-11T00:00:00"/>
    <d v="1899-12-30T08:35:12"/>
    <s v="Materials"/>
    <x v="0"/>
    <x v="3"/>
    <x v="4"/>
    <x v="0"/>
  </r>
  <r>
    <s v="Normal Pooled Plasma insufficient material to run additional calibration / test."/>
    <x v="32"/>
    <x v="2"/>
    <d v="2016-10-11T00:00:00"/>
    <d v="1899-12-30T08:36:54"/>
    <s v="Materials"/>
    <x v="0"/>
    <x v="3"/>
    <x v="4"/>
    <x v="0"/>
  </r>
  <r>
    <s v="Analyzer Status changed from Busy to Ready."/>
    <x v="0"/>
    <x v="0"/>
    <d v="2016-10-11T00:00:00"/>
    <d v="1899-12-30T08:42:06"/>
    <s v="Analyzer"/>
    <x v="0"/>
    <x v="0"/>
    <x v="0"/>
    <x v="0"/>
  </r>
  <r>
    <s v="Analyzer Status changed from Ready to Maintenance."/>
    <x v="0"/>
    <x v="0"/>
    <d v="2016-10-11T00:00:00"/>
    <d v="1899-12-30T08:42:06"/>
    <s v="Analyzer"/>
    <x v="0"/>
    <x v="0"/>
    <x v="0"/>
    <x v="0"/>
  </r>
  <r>
    <s v="Analyzer Status changed from Maintenance to Ready."/>
    <x v="0"/>
    <x v="0"/>
    <d v="2016-10-11T00:00:00"/>
    <d v="1899-12-30T08:42:32"/>
    <s v="Analyzer"/>
    <x v="0"/>
    <x v="0"/>
    <x v="0"/>
    <x v="0"/>
  </r>
  <r>
    <s v="Automatic maintenance activity Automatic Routine Clean for all Probes has been executed."/>
    <x v="2"/>
    <x v="0"/>
    <d v="2016-10-11T00:00:00"/>
    <d v="1899-12-30T08:42:32"/>
    <s v="Maintenance"/>
    <x v="0"/>
    <x v="2"/>
    <x v="2"/>
    <x v="0"/>
  </r>
  <r>
    <s v="Non-identified Material in rack DA position 3, track 2."/>
    <x v="27"/>
    <x v="2"/>
    <d v="2016-10-11T00:00:00"/>
    <d v="1899-12-30T09:30:27"/>
    <s v="Materials"/>
    <x v="0"/>
    <x v="2"/>
    <x v="3"/>
    <x v="0"/>
  </r>
  <r>
    <s v="Analyzer Status changed from Ready to Busy."/>
    <x v="0"/>
    <x v="0"/>
    <d v="2016-10-11T00:00:00"/>
    <d v="1899-12-30T09:30:53"/>
    <s v="Analyzer"/>
    <x v="0"/>
    <x v="0"/>
    <x v="0"/>
    <x v="0"/>
  </r>
  <r>
    <s v="Analyzer Status changed from Busy to Ready."/>
    <x v="0"/>
    <x v="0"/>
    <d v="2016-10-11T00:00:00"/>
    <d v="1899-12-30T09:36:45"/>
    <s v="Analyzer"/>
    <x v="0"/>
    <x v="0"/>
    <x v="0"/>
    <x v="0"/>
  </r>
  <r>
    <s v="Analyzer Status changed from Ready to Maintenance."/>
    <x v="0"/>
    <x v="0"/>
    <d v="2016-10-11T00:00:00"/>
    <d v="1899-12-30T09:36:45"/>
    <s v="Analyzer"/>
    <x v="0"/>
    <x v="0"/>
    <x v="0"/>
    <x v="0"/>
  </r>
  <r>
    <s v="Automatic maintenance activity Automatic Routine Clean for all Probes has been executed."/>
    <x v="2"/>
    <x v="0"/>
    <d v="2016-10-11T00:00:00"/>
    <d v="1899-12-30T09:37:11"/>
    <s v="Maintenance"/>
    <x v="0"/>
    <x v="2"/>
    <x v="2"/>
    <x v="0"/>
  </r>
  <r>
    <s v="Analyzer Status changed from Maintenance to Ready."/>
    <x v="0"/>
    <x v="0"/>
    <d v="2016-10-11T00:00:00"/>
    <d v="1899-12-30T09:37:12"/>
    <s v="Analyzer"/>
    <x v="0"/>
    <x v="0"/>
    <x v="0"/>
    <x v="0"/>
  </r>
  <r>
    <s v="Analyzer Status changed from Ready to Maintenance."/>
    <x v="0"/>
    <x v="0"/>
    <d v="2016-10-11T00:00:00"/>
    <d v="1899-12-30T10:37:12"/>
    <s v="Analyzer"/>
    <x v="0"/>
    <x v="0"/>
    <x v="0"/>
    <x v="0"/>
  </r>
  <r>
    <s v="Automatic maintenance activity Automatic Fluidic Line Priming Cycle has been executed."/>
    <x v="2"/>
    <x v="0"/>
    <d v="2016-10-11T00:00:00"/>
    <d v="1899-12-30T10:37:33"/>
    <s v="Maintenance"/>
    <x v="0"/>
    <x v="2"/>
    <x v="2"/>
    <x v="0"/>
  </r>
  <r>
    <s v="Analyzer Status changed from Maintenance to Ready."/>
    <x v="0"/>
    <x v="0"/>
    <d v="2016-10-11T00:00:00"/>
    <d v="1899-12-30T10:37:34"/>
    <s v="Analyzer"/>
    <x v="0"/>
    <x v="0"/>
    <x v="0"/>
    <x v="0"/>
  </r>
  <r>
    <s v="Non-identified Material in rack DA position 3, track 2."/>
    <x v="27"/>
    <x v="2"/>
    <d v="2016-10-11T00:00:00"/>
    <d v="1899-12-30T11:13:35"/>
    <s v="Materials"/>
    <x v="0"/>
    <x v="2"/>
    <x v="3"/>
    <x v="0"/>
  </r>
  <r>
    <s v="Non-identified Sample in rack 07 position 1, track 12."/>
    <x v="12"/>
    <x v="2"/>
    <d v="2016-10-11T00:00:00"/>
    <d v="1899-12-30T11:14:29"/>
    <s v="Materials"/>
    <x v="0"/>
    <x v="4"/>
    <x v="7"/>
    <x v="1"/>
  </r>
  <r>
    <s v="Non-identified Sample in rack 07 position 2, track 12."/>
    <x v="12"/>
    <x v="2"/>
    <d v="2016-10-11T00:00:00"/>
    <d v="1899-12-30T11:14:29"/>
    <s v="Materials"/>
    <x v="0"/>
    <x v="4"/>
    <x v="7"/>
    <x v="1"/>
  </r>
  <r>
    <s v="Analyzer Status changed from Ready to Busy."/>
    <x v="0"/>
    <x v="0"/>
    <d v="2016-10-11T00:00:00"/>
    <d v="1899-12-30T11:14:35"/>
    <s v="Analyzer"/>
    <x v="0"/>
    <x v="0"/>
    <x v="0"/>
    <x v="0"/>
  </r>
  <r>
    <s v="PT1:3MX Patient job not feasible. Waiting for Normal Pooled Plasma."/>
    <x v="26"/>
    <x v="1"/>
    <d v="2016-10-11T00:00:00"/>
    <d v="1899-12-30T11:15:06"/>
    <s v="Materials"/>
    <x v="0"/>
    <x v="2"/>
    <x v="3"/>
    <x v="0"/>
  </r>
  <r>
    <s v="Normal Pooled Plasma insufficient material to run additional calibration / test."/>
    <x v="32"/>
    <x v="2"/>
    <d v="2016-10-11T00:00:00"/>
    <d v="1899-12-30T11:15:31"/>
    <s v="Materials"/>
    <x v="0"/>
    <x v="3"/>
    <x v="4"/>
    <x v="0"/>
  </r>
  <r>
    <s v="Non-identified Material in rack DA position 3, track 2."/>
    <x v="27"/>
    <x v="2"/>
    <d v="2016-10-11T00:00:00"/>
    <d v="1899-12-30T11:17:01"/>
    <s v="Materials"/>
    <x v="0"/>
    <x v="2"/>
    <x v="3"/>
    <x v="0"/>
  </r>
  <r>
    <s v="Non-identified Material in rack DA position 4, track 2."/>
    <x v="27"/>
    <x v="2"/>
    <d v="2016-10-11T00:00:00"/>
    <d v="1899-12-30T11:17:01"/>
    <s v="Materials"/>
    <x v="0"/>
    <x v="2"/>
    <x v="3"/>
    <x v="0"/>
  </r>
  <r>
    <s v="Normal Pooled Plasma insufficient material to run additional calibration / test."/>
    <x v="32"/>
    <x v="2"/>
    <d v="2016-10-11T00:00:00"/>
    <d v="1899-12-30T11:17:07"/>
    <s v="Materials"/>
    <x v="0"/>
    <x v="3"/>
    <x v="4"/>
    <x v="0"/>
  </r>
  <r>
    <s v="Analyzer Status changed from Busy to Ready."/>
    <x v="0"/>
    <x v="0"/>
    <d v="2016-10-11T00:00:00"/>
    <d v="1899-12-30T11:21:36"/>
    <s v="Analyzer"/>
    <x v="0"/>
    <x v="0"/>
    <x v="0"/>
    <x v="0"/>
  </r>
  <r>
    <s v="Analyzer Status changed from Ready to Maintenance."/>
    <x v="0"/>
    <x v="0"/>
    <d v="2016-10-11T00:00:00"/>
    <d v="1899-12-30T11:21:36"/>
    <s v="Analyzer"/>
    <x v="0"/>
    <x v="0"/>
    <x v="0"/>
    <x v="0"/>
  </r>
  <r>
    <s v="Analyzer Status changed from Maintenance to Ready."/>
    <x v="0"/>
    <x v="0"/>
    <d v="2016-10-11T00:00:00"/>
    <d v="1899-12-30T11:22:01"/>
    <s v="Analyzer"/>
    <x v="0"/>
    <x v="0"/>
    <x v="0"/>
    <x v="0"/>
  </r>
  <r>
    <s v="Automatic maintenance activity Automatic Routine Clean for all Probes has been executed."/>
    <x v="2"/>
    <x v="0"/>
    <d v="2016-10-11T00:00:00"/>
    <d v="1899-12-30T11:22:01"/>
    <s v="Maintenance"/>
    <x v="0"/>
    <x v="2"/>
    <x v="2"/>
    <x v="0"/>
  </r>
  <r>
    <s v="Non-identified Sample in rack 10 position 1, track 10."/>
    <x v="12"/>
    <x v="2"/>
    <d v="2016-10-11T00:00:00"/>
    <d v="1899-12-30T11:52:40"/>
    <s v="Materials"/>
    <x v="0"/>
    <x v="4"/>
    <x v="7"/>
    <x v="1"/>
  </r>
  <r>
    <s v="Non-identified Sample in rack 10 position 2, track 10."/>
    <x v="12"/>
    <x v="2"/>
    <d v="2016-10-11T00:00:00"/>
    <d v="1899-12-30T11:52:40"/>
    <s v="Materials"/>
    <x v="0"/>
    <x v="4"/>
    <x v="7"/>
    <x v="1"/>
  </r>
  <r>
    <s v="Non-identified Sample in rack 10 position 3, track 10."/>
    <x v="12"/>
    <x v="2"/>
    <d v="2016-10-11T00:00:00"/>
    <d v="1899-12-30T11:52:40"/>
    <s v="Materials"/>
    <x v="0"/>
    <x v="4"/>
    <x v="7"/>
    <x v="1"/>
  </r>
  <r>
    <s v="Non-identified Sample in rack 10 position 4, track 10."/>
    <x v="12"/>
    <x v="2"/>
    <d v="2016-10-11T00:00:00"/>
    <d v="1899-12-30T11:52:40"/>
    <s v="Materials"/>
    <x v="0"/>
    <x v="4"/>
    <x v="7"/>
    <x v="1"/>
  </r>
  <r>
    <s v="Non-identified Sample in rack 10 position 5, track 10."/>
    <x v="12"/>
    <x v="2"/>
    <d v="2016-10-11T00:00:00"/>
    <d v="1899-12-30T11:52:40"/>
    <s v="Materials"/>
    <x v="0"/>
    <x v="4"/>
    <x v="7"/>
    <x v="1"/>
  </r>
  <r>
    <s v="Non-identified Sample in rack 10 position 6, track 10."/>
    <x v="12"/>
    <x v="2"/>
    <d v="2016-10-11T00:00:00"/>
    <d v="1899-12-30T11:52:40"/>
    <s v="Materials"/>
    <x v="0"/>
    <x v="4"/>
    <x v="7"/>
    <x v="1"/>
  </r>
  <r>
    <s v="Non-identified Sample in rack 10 position 7, track 10."/>
    <x v="12"/>
    <x v="2"/>
    <d v="2016-10-11T00:00:00"/>
    <d v="1899-12-30T11:52:40"/>
    <s v="Materials"/>
    <x v="0"/>
    <x v="4"/>
    <x v="7"/>
    <x v="1"/>
  </r>
  <r>
    <s v="Non-identified Sample in rack 10 position 8, track 10."/>
    <x v="12"/>
    <x v="2"/>
    <d v="2016-10-11T00:00:00"/>
    <d v="1899-12-30T11:52:40"/>
    <s v="Materials"/>
    <x v="0"/>
    <x v="4"/>
    <x v="7"/>
    <x v="1"/>
  </r>
  <r>
    <s v="Non-identified Sample in rack 10 position 9, track 10."/>
    <x v="12"/>
    <x v="2"/>
    <d v="2016-10-11T00:00:00"/>
    <d v="1899-12-30T11:52:40"/>
    <s v="Materials"/>
    <x v="0"/>
    <x v="4"/>
    <x v="7"/>
    <x v="1"/>
  </r>
  <r>
    <s v="Non-identified Sample in rack 10 position 10, track 10."/>
    <x v="12"/>
    <x v="2"/>
    <d v="2016-10-11T00:00:00"/>
    <d v="1899-12-30T11:52:40"/>
    <s v="Materials"/>
    <x v="0"/>
    <x v="4"/>
    <x v="7"/>
    <x v="1"/>
  </r>
  <r>
    <s v="Analyzer Status changed from Ready to Busy."/>
    <x v="0"/>
    <x v="0"/>
    <d v="2016-10-11T00:00:00"/>
    <d v="1899-12-30T11:54:20"/>
    <s v="Analyzer"/>
    <x v="0"/>
    <x v="0"/>
    <x v="0"/>
    <x v="0"/>
  </r>
  <r>
    <s v="Analyzer Status changed from Busy to Ready."/>
    <x v="0"/>
    <x v="0"/>
    <d v="2016-10-11T00:00:00"/>
    <d v="1899-12-30T12:18:11"/>
    <s v="Analyzer"/>
    <x v="0"/>
    <x v="0"/>
    <x v="0"/>
    <x v="0"/>
  </r>
  <r>
    <s v="Analyzer Status changed from Ready to Maintenance."/>
    <x v="0"/>
    <x v="0"/>
    <d v="2016-10-11T00:00:00"/>
    <d v="1899-12-30T12:18:11"/>
    <s v="Analyzer"/>
    <x v="0"/>
    <x v="0"/>
    <x v="0"/>
    <x v="0"/>
  </r>
  <r>
    <s v="Analyzer Status changed from Maintenance to Ready."/>
    <x v="0"/>
    <x v="0"/>
    <d v="2016-10-11T00:00:00"/>
    <d v="1899-12-30T12:18:37"/>
    <s v="Analyzer"/>
    <x v="0"/>
    <x v="0"/>
    <x v="0"/>
    <x v="0"/>
  </r>
  <r>
    <s v="Automatic maintenance activity Automatic Routine Clean for all Probes has been executed."/>
    <x v="2"/>
    <x v="0"/>
    <d v="2016-10-11T00:00:00"/>
    <d v="1899-12-30T12:18:37"/>
    <s v="Maintenance"/>
    <x v="0"/>
    <x v="2"/>
    <x v="2"/>
    <x v="0"/>
  </r>
  <r>
    <s v="Analyzer Status changed from Ready to Maintenance."/>
    <x v="0"/>
    <x v="0"/>
    <d v="2016-10-11T00:00:00"/>
    <d v="1899-12-30T13:18:37"/>
    <s v="Analyzer"/>
    <x v="0"/>
    <x v="0"/>
    <x v="0"/>
    <x v="0"/>
  </r>
  <r>
    <s v="Automatic maintenance activity Automatic Fluidic Line Priming Cycle has been executed."/>
    <x v="2"/>
    <x v="0"/>
    <d v="2016-10-11T00:00:00"/>
    <d v="1899-12-30T13:18:58"/>
    <s v="Maintenance"/>
    <x v="0"/>
    <x v="2"/>
    <x v="2"/>
    <x v="0"/>
  </r>
  <r>
    <s v="Analyzer Status changed from Maintenance to Ready."/>
    <x v="0"/>
    <x v="0"/>
    <d v="2016-10-11T00:00:00"/>
    <d v="1899-12-30T13:18:59"/>
    <s v="Analyzer"/>
    <x v="0"/>
    <x v="0"/>
    <x v="0"/>
    <x v="0"/>
  </r>
  <r>
    <s v="Non-identified Sample in rack 07 position 1, track 12."/>
    <x v="12"/>
    <x v="2"/>
    <d v="2016-10-11T00:00:00"/>
    <d v="1899-12-30T13:45:43"/>
    <s v="Materials"/>
    <x v="0"/>
    <x v="4"/>
    <x v="7"/>
    <x v="1"/>
  </r>
  <r>
    <s v="Analyzer Status changed from Ready to Busy."/>
    <x v="0"/>
    <x v="0"/>
    <d v="2016-10-11T00:00:00"/>
    <d v="1899-12-30T13:45:49"/>
    <s v="Analyzer"/>
    <x v="0"/>
    <x v="0"/>
    <x v="0"/>
    <x v="0"/>
  </r>
  <r>
    <s v="Non-identified Material in rack DA position 5, track 2."/>
    <x v="27"/>
    <x v="2"/>
    <d v="2016-10-11T00:00:00"/>
    <d v="1899-12-30T13:45:53"/>
    <s v="Materials"/>
    <x v="0"/>
    <x v="2"/>
    <x v="3"/>
    <x v="0"/>
  </r>
  <r>
    <s v="Analyzer Status changed from Busy to Ready."/>
    <x v="0"/>
    <x v="0"/>
    <d v="2016-10-11T00:00:00"/>
    <d v="1899-12-30T13:53:03"/>
    <s v="Analyzer"/>
    <x v="0"/>
    <x v="0"/>
    <x v="0"/>
    <x v="0"/>
  </r>
  <r>
    <s v="Analyzer Status changed from Ready to Maintenance."/>
    <x v="0"/>
    <x v="0"/>
    <d v="2016-10-11T00:00:00"/>
    <d v="1899-12-30T13:53:03"/>
    <s v="Analyzer"/>
    <x v="0"/>
    <x v="0"/>
    <x v="0"/>
    <x v="0"/>
  </r>
  <r>
    <s v="Analyzer Status changed from Maintenance to Ready."/>
    <x v="0"/>
    <x v="0"/>
    <d v="2016-10-11T00:00:00"/>
    <d v="1899-12-30T13:53:27"/>
    <s v="Analyzer"/>
    <x v="0"/>
    <x v="0"/>
    <x v="0"/>
    <x v="0"/>
  </r>
  <r>
    <s v="Automatic maintenance activity Automatic Routine Clean for all Probes has been executed."/>
    <x v="2"/>
    <x v="0"/>
    <d v="2016-10-11T00:00:00"/>
    <d v="1899-12-30T13:53:27"/>
    <s v="Maintenance"/>
    <x v="0"/>
    <x v="2"/>
    <x v="2"/>
    <x v="0"/>
  </r>
  <r>
    <s v="Communications between the instrument and the LIS have been lost."/>
    <x v="13"/>
    <x v="2"/>
    <d v="2016-10-11T00:00:00"/>
    <d v="1899-12-30T14:50:56"/>
    <s v="LIS"/>
    <x v="0"/>
    <x v="2"/>
    <x v="6"/>
    <x v="0"/>
  </r>
  <r>
    <s v="Analyzer Status changed from Ready to Maintenance."/>
    <x v="0"/>
    <x v="0"/>
    <d v="2016-10-11T00:00:00"/>
    <d v="1899-12-30T14:53:28"/>
    <s v="Analyzer"/>
    <x v="0"/>
    <x v="0"/>
    <x v="0"/>
    <x v="0"/>
  </r>
  <r>
    <s v="Analyzer Status changed from Maintenance to Ready."/>
    <x v="0"/>
    <x v="0"/>
    <d v="2016-10-11T00:00:00"/>
    <d v="1899-12-30T14:53:49"/>
    <s v="Analyzer"/>
    <x v="0"/>
    <x v="0"/>
    <x v="0"/>
    <x v="0"/>
  </r>
  <r>
    <s v="Automatic maintenance activity Automatic Fluidic Line Priming Cycle has been executed."/>
    <x v="2"/>
    <x v="0"/>
    <d v="2016-10-11T00:00:00"/>
    <d v="1899-12-30T14:53:49"/>
    <s v="Maintenance"/>
    <x v="0"/>
    <x v="2"/>
    <x v="2"/>
    <x v="0"/>
  </r>
  <r>
    <s v="Analyzer Status changed from Ready to Maintenance."/>
    <x v="0"/>
    <x v="0"/>
    <d v="2016-10-11T00:00:00"/>
    <d v="1899-12-30T15:53:50"/>
    <s v="Analyzer"/>
    <x v="0"/>
    <x v="0"/>
    <x v="0"/>
    <x v="0"/>
  </r>
  <r>
    <s v="Analyzer Status changed from Maintenance to Ready."/>
    <x v="0"/>
    <x v="0"/>
    <d v="2016-10-11T00:00:00"/>
    <d v="1899-12-30T15:54:11"/>
    <s v="Analyzer"/>
    <x v="0"/>
    <x v="0"/>
    <x v="0"/>
    <x v="0"/>
  </r>
  <r>
    <s v="Automatic maintenance activity Automatic Fluidic Line Priming Cycle has been executed."/>
    <x v="2"/>
    <x v="0"/>
    <d v="2016-10-11T00:00:00"/>
    <d v="1899-12-30T15:54:11"/>
    <s v="Maintenance"/>
    <x v="0"/>
    <x v="2"/>
    <x v="2"/>
    <x v="0"/>
  </r>
  <r>
    <s v="Analyzer Status changed from Ready to Maintenance."/>
    <x v="0"/>
    <x v="0"/>
    <d v="2016-10-11T00:00:00"/>
    <d v="1899-12-30T16:54:11"/>
    <s v="Analyzer"/>
    <x v="0"/>
    <x v="0"/>
    <x v="0"/>
    <x v="0"/>
  </r>
  <r>
    <s v="Analyzer Status changed from Maintenance to Ready."/>
    <x v="0"/>
    <x v="0"/>
    <d v="2016-10-11T00:00:00"/>
    <d v="1899-12-30T16:54:33"/>
    <s v="Analyzer"/>
    <x v="0"/>
    <x v="0"/>
    <x v="0"/>
    <x v="0"/>
  </r>
  <r>
    <s v="Automatic maintenance activity Automatic Fluidic Line Priming Cycle has been executed."/>
    <x v="2"/>
    <x v="0"/>
    <d v="2016-10-11T00:00:00"/>
    <d v="1899-12-30T16:54:33"/>
    <s v="Maintenance"/>
    <x v="0"/>
    <x v="2"/>
    <x v="2"/>
    <x v="0"/>
  </r>
  <r>
    <s v="Analyzer Status changed from Ready to Maintenance."/>
    <x v="0"/>
    <x v="0"/>
    <d v="2016-10-11T00:00:00"/>
    <d v="1899-12-30T17:54:33"/>
    <s v="Analyzer"/>
    <x v="0"/>
    <x v="0"/>
    <x v="0"/>
    <x v="0"/>
  </r>
  <r>
    <s v="Analyzer Status changed from Maintenance to Ready."/>
    <x v="0"/>
    <x v="0"/>
    <d v="2016-10-11T00:00:00"/>
    <d v="1899-12-30T17:54:55"/>
    <s v="Analyzer"/>
    <x v="0"/>
    <x v="0"/>
    <x v="0"/>
    <x v="0"/>
  </r>
  <r>
    <s v="Automatic maintenance activity Automatic Fluidic Line Priming Cycle has been executed."/>
    <x v="2"/>
    <x v="0"/>
    <d v="2016-10-11T00:00:00"/>
    <d v="1899-12-30T17:54:55"/>
    <s v="Maintenance"/>
    <x v="0"/>
    <x v="2"/>
    <x v="2"/>
    <x v="0"/>
  </r>
  <r>
    <s v="Analyzer Status changed from Ready to Maintenance."/>
    <x v="0"/>
    <x v="0"/>
    <d v="2016-10-11T00:00:00"/>
    <d v="1899-12-30T18:54:55"/>
    <s v="Analyzer"/>
    <x v="0"/>
    <x v="0"/>
    <x v="0"/>
    <x v="0"/>
  </r>
  <r>
    <s v="Analyzer Status changed from Maintenance to Ready."/>
    <x v="0"/>
    <x v="0"/>
    <d v="2016-10-11T00:00:00"/>
    <d v="1899-12-30T18:55:17"/>
    <s v="Analyzer"/>
    <x v="0"/>
    <x v="0"/>
    <x v="0"/>
    <x v="0"/>
  </r>
  <r>
    <s v="Automatic maintenance activity Automatic Fluidic Line Priming Cycle has been executed."/>
    <x v="2"/>
    <x v="0"/>
    <d v="2016-10-11T00:00:00"/>
    <d v="1899-12-30T18:55:17"/>
    <s v="Maintenance"/>
    <x v="0"/>
    <x v="2"/>
    <x v="2"/>
    <x v="0"/>
  </r>
  <r>
    <s v="Analyzer Status changed from Ready to Maintenance."/>
    <x v="0"/>
    <x v="0"/>
    <d v="2016-10-11T00:00:00"/>
    <d v="1899-12-30T19:55:17"/>
    <s v="Analyzer"/>
    <x v="0"/>
    <x v="0"/>
    <x v="0"/>
    <x v="0"/>
  </r>
  <r>
    <s v="Automatic maintenance activity Automatic Fluidic Line Priming Cycle has been executed."/>
    <x v="2"/>
    <x v="0"/>
    <d v="2016-10-11T00:00:00"/>
    <d v="1899-12-30T19:55:38"/>
    <s v="Maintenance"/>
    <x v="0"/>
    <x v="2"/>
    <x v="2"/>
    <x v="0"/>
  </r>
  <r>
    <s v="Analyzer Status changed from Maintenance to Ready."/>
    <x v="0"/>
    <x v="0"/>
    <d v="2016-10-11T00:00:00"/>
    <d v="1899-12-30T19:55:39"/>
    <s v="Analyzer"/>
    <x v="0"/>
    <x v="0"/>
    <x v="0"/>
    <x v="0"/>
  </r>
  <r>
    <s v="Analyzer Status changed from Ready to Maintenance."/>
    <x v="0"/>
    <x v="0"/>
    <d v="2016-10-11T00:00:00"/>
    <d v="1899-12-30T20:55:39"/>
    <s v="Analyzer"/>
    <x v="0"/>
    <x v="0"/>
    <x v="0"/>
    <x v="0"/>
  </r>
  <r>
    <s v="Automatic maintenance activity Automatic Fluidic Line Priming Cycle has been executed."/>
    <x v="2"/>
    <x v="0"/>
    <d v="2016-10-11T00:00:00"/>
    <d v="1899-12-30T20:56:00"/>
    <s v="Maintenance"/>
    <x v="0"/>
    <x v="2"/>
    <x v="2"/>
    <x v="0"/>
  </r>
  <r>
    <s v="Analyzer Status changed from Maintenance to Ready."/>
    <x v="0"/>
    <x v="0"/>
    <d v="2016-10-11T00:00:00"/>
    <d v="1899-12-30T20:56:01"/>
    <s v="Analyzer"/>
    <x v="0"/>
    <x v="0"/>
    <x v="0"/>
    <x v="0"/>
  </r>
  <r>
    <s v="Analyzer Status changed from Ready to Maintenance."/>
    <x v="0"/>
    <x v="0"/>
    <d v="2016-10-11T00:00:00"/>
    <d v="1899-12-30T21:56:01"/>
    <s v="Analyzer"/>
    <x v="0"/>
    <x v="0"/>
    <x v="0"/>
    <x v="0"/>
  </r>
  <r>
    <s v="Analyzer Status changed from Maintenance to Ready."/>
    <x v="0"/>
    <x v="0"/>
    <d v="2016-10-11T00:00:00"/>
    <d v="1899-12-30T21:56:22"/>
    <s v="Analyzer"/>
    <x v="0"/>
    <x v="0"/>
    <x v="0"/>
    <x v="0"/>
  </r>
  <r>
    <s v="Automatic maintenance activity Automatic Fluidic Line Priming Cycle has been executed."/>
    <x v="2"/>
    <x v="0"/>
    <d v="2016-10-11T00:00:00"/>
    <d v="1899-12-30T21:56:22"/>
    <s v="Maintenance"/>
    <x v="0"/>
    <x v="2"/>
    <x v="2"/>
    <x v="0"/>
  </r>
  <r>
    <s v="Analyzer Status changed from Ready to Maintenance."/>
    <x v="0"/>
    <x v="0"/>
    <d v="2016-10-11T00:00:00"/>
    <d v="1899-12-30T22:56:23"/>
    <s v="Analyzer"/>
    <x v="0"/>
    <x v="0"/>
    <x v="0"/>
    <x v="0"/>
  </r>
  <r>
    <s v="Analyzer Status changed from Maintenance to Ready."/>
    <x v="0"/>
    <x v="0"/>
    <d v="2016-10-11T00:00:00"/>
    <d v="1899-12-30T22:56:44"/>
    <s v="Analyzer"/>
    <x v="0"/>
    <x v="0"/>
    <x v="0"/>
    <x v="0"/>
  </r>
  <r>
    <s v="Automatic maintenance activity Automatic Fluidic Line Priming Cycle has been executed."/>
    <x v="2"/>
    <x v="0"/>
    <d v="2016-10-11T00:00:00"/>
    <d v="1899-12-30T22:56:44"/>
    <s v="Maintenance"/>
    <x v="0"/>
    <x v="2"/>
    <x v="2"/>
    <x v="0"/>
  </r>
  <r>
    <s v="Analyzer Status changed from Ready to Maintenance."/>
    <x v="0"/>
    <x v="0"/>
    <d v="2016-10-11T00:00:00"/>
    <d v="1899-12-30T23:56:45"/>
    <s v="Analyzer"/>
    <x v="0"/>
    <x v="0"/>
    <x v="0"/>
    <x v="0"/>
  </r>
  <r>
    <s v="Analyzer Status changed from Maintenance to Ready."/>
    <x v="0"/>
    <x v="0"/>
    <d v="2016-10-11T00:00:00"/>
    <d v="1899-12-30T23:57:06"/>
    <s v="Analyzer"/>
    <x v="0"/>
    <x v="0"/>
    <x v="0"/>
    <x v="0"/>
  </r>
  <r>
    <s v="Automatic maintenance activity Automatic Fluidic Line Priming Cycle has been executed."/>
    <x v="2"/>
    <x v="0"/>
    <d v="2016-10-11T00:00:00"/>
    <d v="1899-12-30T23:57:06"/>
    <s v="Maintenance"/>
    <x v="0"/>
    <x v="2"/>
    <x v="2"/>
    <x v="0"/>
  </r>
  <r>
    <s v="Rinse solution level low."/>
    <x v="1"/>
    <x v="1"/>
    <d v="2016-10-11T00:00:00"/>
    <d v="1899-12-30T23:57:11"/>
    <s v="Materials"/>
    <x v="0"/>
    <x v="1"/>
    <x v="1"/>
    <x v="0"/>
  </r>
  <r>
    <s v="Analyzer Status changed from Ready to Maintenance."/>
    <x v="0"/>
    <x v="0"/>
    <d v="2016-10-12T00:00:00"/>
    <d v="1899-12-30T00:57:06"/>
    <s v="Analyzer"/>
    <x v="0"/>
    <x v="0"/>
    <x v="0"/>
    <x v="0"/>
  </r>
  <r>
    <s v="Analyzer Status changed from Maintenance to Ready."/>
    <x v="0"/>
    <x v="0"/>
    <d v="2016-10-12T00:00:00"/>
    <d v="1899-12-30T00:57:28"/>
    <s v="Analyzer"/>
    <x v="0"/>
    <x v="0"/>
    <x v="0"/>
    <x v="0"/>
  </r>
  <r>
    <s v="Automatic maintenance activity Automatic Fluidic Line Priming Cycle has been executed."/>
    <x v="2"/>
    <x v="0"/>
    <d v="2016-10-12T00:00:00"/>
    <d v="1899-12-30T00:57:28"/>
    <s v="Maintenance"/>
    <x v="0"/>
    <x v="2"/>
    <x v="2"/>
    <x v="0"/>
  </r>
  <r>
    <s v="Analyzer Status changed from Ready to Maintenance."/>
    <x v="0"/>
    <x v="0"/>
    <d v="2016-10-12T00:00:00"/>
    <d v="1899-12-30T01:57:28"/>
    <s v="Analyzer"/>
    <x v="0"/>
    <x v="0"/>
    <x v="0"/>
    <x v="0"/>
  </r>
  <r>
    <s v="Analyzer Status changed from Maintenance to Ready."/>
    <x v="0"/>
    <x v="0"/>
    <d v="2016-10-12T00:00:00"/>
    <d v="1899-12-30T01:57:50"/>
    <s v="Analyzer"/>
    <x v="0"/>
    <x v="0"/>
    <x v="0"/>
    <x v="0"/>
  </r>
  <r>
    <s v="Automatic maintenance activity Automatic Fluidic Line Priming Cycle has been executed."/>
    <x v="2"/>
    <x v="0"/>
    <d v="2016-10-12T00:00:00"/>
    <d v="1899-12-30T01:57:50"/>
    <s v="Maintenance"/>
    <x v="0"/>
    <x v="2"/>
    <x v="2"/>
    <x v="0"/>
  </r>
  <r>
    <s v="Analyzer Status changed from Ready to Maintenance."/>
    <x v="0"/>
    <x v="0"/>
    <d v="2016-10-12T00:00:00"/>
    <d v="1899-12-30T02:57:50"/>
    <s v="Analyzer"/>
    <x v="0"/>
    <x v="0"/>
    <x v="0"/>
    <x v="0"/>
  </r>
  <r>
    <s v="Analyzer Status changed from Maintenance to Ready."/>
    <x v="0"/>
    <x v="0"/>
    <d v="2016-10-12T00:00:00"/>
    <d v="1899-12-30T02:58:12"/>
    <s v="Analyzer"/>
    <x v="0"/>
    <x v="0"/>
    <x v="0"/>
    <x v="0"/>
  </r>
  <r>
    <s v="Automatic maintenance activity Automatic Fluidic Line Priming Cycle has been executed."/>
    <x v="2"/>
    <x v="0"/>
    <d v="2016-10-12T00:00:00"/>
    <d v="1899-12-30T02:58:12"/>
    <s v="Maintenance"/>
    <x v="0"/>
    <x v="2"/>
    <x v="2"/>
    <x v="0"/>
  </r>
  <r>
    <s v="Analyzer Status changed from Ready to Maintenance."/>
    <x v="0"/>
    <x v="0"/>
    <d v="2016-10-12T00:00:00"/>
    <d v="1899-12-30T03:58:12"/>
    <s v="Analyzer"/>
    <x v="0"/>
    <x v="0"/>
    <x v="0"/>
    <x v="0"/>
  </r>
  <r>
    <s v="Automatic maintenance activity Automatic Fluidic Line Priming Cycle has been executed."/>
    <x v="2"/>
    <x v="0"/>
    <d v="2016-10-12T00:00:00"/>
    <d v="1899-12-30T03:58:33"/>
    <s v="Maintenance"/>
    <x v="0"/>
    <x v="2"/>
    <x v="2"/>
    <x v="0"/>
  </r>
  <r>
    <s v="Analyzer Status changed from Maintenance to Ready."/>
    <x v="0"/>
    <x v="0"/>
    <d v="2016-10-12T00:00:00"/>
    <d v="1899-12-30T03:58:34"/>
    <s v="Analyzer"/>
    <x v="0"/>
    <x v="0"/>
    <x v="0"/>
    <x v="0"/>
  </r>
  <r>
    <s v="Analyzer Status changed from Ready to Maintenance."/>
    <x v="0"/>
    <x v="0"/>
    <d v="2016-10-12T00:00:00"/>
    <d v="1899-12-30T04:58:34"/>
    <s v="Analyzer"/>
    <x v="0"/>
    <x v="0"/>
    <x v="0"/>
    <x v="0"/>
  </r>
  <r>
    <s v="Automatic maintenance activity Automatic Fluidic Line Priming Cycle has been executed."/>
    <x v="2"/>
    <x v="0"/>
    <d v="2016-10-12T00:00:00"/>
    <d v="1899-12-30T04:58:55"/>
    <s v="Maintenance"/>
    <x v="0"/>
    <x v="2"/>
    <x v="2"/>
    <x v="0"/>
  </r>
  <r>
    <s v="Analyzer Status changed from Maintenance to Ready."/>
    <x v="0"/>
    <x v="0"/>
    <d v="2016-10-12T00:00:00"/>
    <d v="1899-12-30T04:58:56"/>
    <s v="Analyzer"/>
    <x v="0"/>
    <x v="0"/>
    <x v="0"/>
    <x v="0"/>
  </r>
  <r>
    <s v="Analyzer Status changed from Ready to Maintenance."/>
    <x v="0"/>
    <x v="0"/>
    <d v="2016-10-12T00:00:00"/>
    <d v="1899-12-30T05:58:56"/>
    <s v="Analyzer"/>
    <x v="0"/>
    <x v="0"/>
    <x v="0"/>
    <x v="0"/>
  </r>
  <r>
    <s v="Analyzer Status changed from Maintenance to Ready."/>
    <x v="0"/>
    <x v="0"/>
    <d v="2016-10-12T00:00:00"/>
    <d v="1899-12-30T05:59:17"/>
    <s v="Analyzer"/>
    <x v="0"/>
    <x v="0"/>
    <x v="0"/>
    <x v="0"/>
  </r>
  <r>
    <s v="Automatic maintenance activity Automatic Fluidic Line Priming Cycle has been executed."/>
    <x v="2"/>
    <x v="0"/>
    <d v="2016-10-12T00:00:00"/>
    <d v="1899-12-30T05:59:17"/>
    <s v="Maintenance"/>
    <x v="0"/>
    <x v="2"/>
    <x v="2"/>
    <x v="0"/>
  </r>
  <r>
    <s v="Maintenance activity due: Enhanced Clean for all Probes."/>
    <x v="9"/>
    <x v="1"/>
    <d v="2016-10-12T00:00:00"/>
    <d v="1899-12-30T06:22:21"/>
    <s v="Maintenance"/>
    <x v="0"/>
    <x v="2"/>
    <x v="2"/>
    <x v="0"/>
  </r>
  <r>
    <s v="Maintenance activity due: Enhanced Clean for Sample and Reagent Probes."/>
    <x v="9"/>
    <x v="1"/>
    <d v="2016-10-12T00:00:00"/>
    <d v="1899-12-30T06:22:21"/>
    <s v="Maintenance"/>
    <x v="0"/>
    <x v="2"/>
    <x v="2"/>
    <x v="0"/>
  </r>
  <r>
    <s v="Maintenance activity due: replace factor diluent."/>
    <x v="9"/>
    <x v="1"/>
    <d v="2016-10-12T00:00:00"/>
    <d v="1899-12-30T06:23:38"/>
    <s v="Maintenance"/>
    <x v="0"/>
    <x v="2"/>
    <x v="2"/>
    <x v="0"/>
  </r>
  <r>
    <s v="Maintenance activity due: make new diluted clean B."/>
    <x v="9"/>
    <x v="1"/>
    <d v="2016-10-12T00:00:00"/>
    <d v="1899-12-30T06:24:02"/>
    <s v="Maintenance"/>
    <x v="0"/>
    <x v="2"/>
    <x v="2"/>
    <x v="0"/>
  </r>
  <r>
    <s v="Analyzer Status changed from Ready to Maintenance."/>
    <x v="0"/>
    <x v="0"/>
    <d v="2016-10-12T00:00:00"/>
    <d v="1899-12-30T06:59:18"/>
    <s v="Analyzer"/>
    <x v="0"/>
    <x v="0"/>
    <x v="0"/>
    <x v="0"/>
  </r>
  <r>
    <s v="Analyzer Status changed from Maintenance to Ready."/>
    <x v="0"/>
    <x v="0"/>
    <d v="2016-10-12T00:00:00"/>
    <d v="1899-12-30T06:59:39"/>
    <s v="Analyzer"/>
    <x v="0"/>
    <x v="0"/>
    <x v="0"/>
    <x v="0"/>
  </r>
  <r>
    <s v="Automatic maintenance activity Automatic Fluidic Line Priming Cycle has been executed."/>
    <x v="2"/>
    <x v="0"/>
    <d v="2016-10-12T00:00:00"/>
    <d v="1899-12-30T06:59:39"/>
    <s v="Maintenance"/>
    <x v="0"/>
    <x v="2"/>
    <x v="2"/>
    <x v="0"/>
  </r>
  <r>
    <s v="Maintenance activity overdue: Enhanced Clean for all Probes."/>
    <x v="20"/>
    <x v="1"/>
    <d v="2016-10-12T00:00:00"/>
    <d v="1899-12-30T07:22:21"/>
    <s v="Maintenance"/>
    <x v="0"/>
    <x v="2"/>
    <x v="2"/>
    <x v="0"/>
  </r>
  <r>
    <s v="Maintenance activity overdue: Enhanced Clean for Sample and Reagent Probes."/>
    <x v="20"/>
    <x v="1"/>
    <d v="2016-10-12T00:00:00"/>
    <d v="1899-12-30T07:22:21"/>
    <s v="Maintenance"/>
    <x v="0"/>
    <x v="2"/>
    <x v="2"/>
    <x v="0"/>
  </r>
  <r>
    <s v="Maintenance activity overdue: replace factor diluent."/>
    <x v="20"/>
    <x v="1"/>
    <d v="2016-10-12T00:00:00"/>
    <d v="1899-12-30T07:23:38"/>
    <s v="Maintenance"/>
    <x v="0"/>
    <x v="2"/>
    <x v="2"/>
    <x v="0"/>
  </r>
  <r>
    <s v="Maintenance activity overdue: make new diluted clean B."/>
    <x v="20"/>
    <x v="1"/>
    <d v="2016-10-12T00:00:00"/>
    <d v="1899-12-30T07:24:02"/>
    <s v="Maintenance"/>
    <x v="0"/>
    <x v="2"/>
    <x v="2"/>
    <x v="0"/>
  </r>
  <r>
    <s v="Maintenance activity due: Wipe-down all Probes."/>
    <x v="9"/>
    <x v="1"/>
    <d v="2016-10-12T00:00:00"/>
    <d v="1899-12-30T07:27:40"/>
    <s v="Maintenance"/>
    <x v="0"/>
    <x v="2"/>
    <x v="2"/>
    <x v="0"/>
  </r>
  <r>
    <s v="Maintenance activity due: Wipe-down Sample Probe."/>
    <x v="9"/>
    <x v="1"/>
    <d v="2016-10-12T00:00:00"/>
    <d v="1899-12-30T07:27:40"/>
    <s v="Maintenance"/>
    <x v="0"/>
    <x v="2"/>
    <x v="2"/>
    <x v="0"/>
  </r>
  <r>
    <s v="Maintenance activity due: Wipe-down LAS Probe."/>
    <x v="9"/>
    <x v="1"/>
    <d v="2016-10-12T00:00:00"/>
    <d v="1899-12-30T07:27:40"/>
    <s v="Maintenance"/>
    <x v="0"/>
    <x v="2"/>
    <x v="2"/>
    <x v="0"/>
  </r>
  <r>
    <s v="Maintenance activity due: Clean Cuvette Waste Drawer."/>
    <x v="9"/>
    <x v="1"/>
    <d v="2016-10-12T00:00:00"/>
    <d v="1899-12-30T07:34:40"/>
    <s v="Maintenance"/>
    <x v="0"/>
    <x v="2"/>
    <x v="2"/>
    <x v="0"/>
  </r>
  <r>
    <s v="Analyzer Status changed from Ready to Maintenance."/>
    <x v="0"/>
    <x v="0"/>
    <d v="2016-10-12T00:00:00"/>
    <d v="1899-12-30T07:59:39"/>
    <s v="Analyzer"/>
    <x v="0"/>
    <x v="0"/>
    <x v="0"/>
    <x v="0"/>
  </r>
  <r>
    <s v="Analyzer Status changed from Maintenance to Ready."/>
    <x v="0"/>
    <x v="0"/>
    <d v="2016-10-12T00:00:00"/>
    <d v="1899-12-30T08:00:44"/>
    <s v="Analyzer"/>
    <x v="0"/>
    <x v="0"/>
    <x v="0"/>
    <x v="0"/>
  </r>
  <r>
    <s v="Automatic maintenance activity Automatic Fluidic Line Priming Cycle has been executed."/>
    <x v="2"/>
    <x v="0"/>
    <d v="2016-10-12T00:00:00"/>
    <d v="1899-12-30T08:00:44"/>
    <s v="Maintenance"/>
    <x v="0"/>
    <x v="2"/>
    <x v="2"/>
    <x v="0"/>
  </r>
  <r>
    <s v="Analyzer Status changed from Ready to Maintenance."/>
    <x v="0"/>
    <x v="0"/>
    <d v="2016-10-12T00:00:00"/>
    <d v="1899-12-30T09:00:44"/>
    <s v="Analyzer"/>
    <x v="0"/>
    <x v="0"/>
    <x v="0"/>
    <x v="0"/>
  </r>
  <r>
    <s v="Analyzer Status changed from Maintenance to Ready."/>
    <x v="0"/>
    <x v="0"/>
    <d v="2016-10-12T00:00:00"/>
    <d v="1899-12-30T09:01:46"/>
    <s v="Analyzer"/>
    <x v="0"/>
    <x v="0"/>
    <x v="0"/>
    <x v="0"/>
  </r>
  <r>
    <s v="Automatic maintenance activity Automatic Fluidic Line Priming Cycle has been executed."/>
    <x v="2"/>
    <x v="0"/>
    <d v="2016-10-12T00:00:00"/>
    <d v="1899-12-30T09:01:46"/>
    <s v="Maintenance"/>
    <x v="0"/>
    <x v="2"/>
    <x v="2"/>
    <x v="0"/>
  </r>
  <r>
    <s v="Non-identified Sample in rack 12 position 1, track 12."/>
    <x v="12"/>
    <x v="2"/>
    <d v="2016-10-12T00:00:00"/>
    <d v="1899-12-30T09:51:10"/>
    <s v="Materials"/>
    <x v="0"/>
    <x v="4"/>
    <x v="7"/>
    <x v="1"/>
  </r>
  <r>
    <s v="Non-identified Sample in rack 12 position 2, track 12."/>
    <x v="12"/>
    <x v="2"/>
    <d v="2016-10-12T00:00:00"/>
    <d v="1899-12-30T09:51:10"/>
    <s v="Materials"/>
    <x v="0"/>
    <x v="4"/>
    <x v="7"/>
    <x v="1"/>
  </r>
  <r>
    <s v="Non-identified Sample in rack 12 position 3, track 12."/>
    <x v="12"/>
    <x v="2"/>
    <d v="2016-10-12T00:00:00"/>
    <d v="1899-12-30T09:51:10"/>
    <s v="Materials"/>
    <x v="0"/>
    <x v="4"/>
    <x v="7"/>
    <x v="1"/>
  </r>
  <r>
    <s v="Non-identified Sample in rack 12 position 4, track 12."/>
    <x v="12"/>
    <x v="2"/>
    <d v="2016-10-12T00:00:00"/>
    <d v="1899-12-30T09:51:10"/>
    <s v="Materials"/>
    <x v="0"/>
    <x v="4"/>
    <x v="7"/>
    <x v="1"/>
  </r>
  <r>
    <s v="Non-identified Sample in rack 12 position 5, track 12."/>
    <x v="12"/>
    <x v="2"/>
    <d v="2016-10-12T00:00:00"/>
    <d v="1899-12-30T09:51:10"/>
    <s v="Materials"/>
    <x v="0"/>
    <x v="4"/>
    <x v="7"/>
    <x v="1"/>
  </r>
  <r>
    <s v="Analyzer Status changed from Ready to Maintenance."/>
    <x v="0"/>
    <x v="0"/>
    <d v="2016-10-12T00:00:00"/>
    <d v="1899-12-30T09:53:18"/>
    <s v="Analyzer"/>
    <x v="0"/>
    <x v="0"/>
    <x v="0"/>
    <x v="0"/>
  </r>
  <r>
    <s v="Analyzer Status changed from Maintenance to Ready."/>
    <x v="0"/>
    <x v="0"/>
    <d v="2016-10-12T00:00:00"/>
    <d v="1899-12-30T09:53:20"/>
    <s v="Analyzer"/>
    <x v="0"/>
    <x v="0"/>
    <x v="0"/>
    <x v="0"/>
  </r>
  <r>
    <s v="Frequency status for manual maintenance activity replace factor diluent has changed to OK."/>
    <x v="3"/>
    <x v="0"/>
    <d v="2016-10-12T00:00:00"/>
    <d v="1899-12-30T09:53:20"/>
    <s v="Maintenance"/>
    <x v="0"/>
    <x v="2"/>
    <x v="2"/>
    <x v="0"/>
  </r>
  <r>
    <s v="Manual maintenance activity replace factor diluent has been executed."/>
    <x v="5"/>
    <x v="0"/>
    <d v="2016-10-12T00:00:00"/>
    <d v="1899-12-30T09:53:20"/>
    <s v="Maintenance"/>
    <x v="0"/>
    <x v="2"/>
    <x v="2"/>
    <x v="0"/>
  </r>
  <r>
    <s v="Analyzer Status changed from Ready to Maintenance."/>
    <x v="0"/>
    <x v="0"/>
    <d v="2016-10-12T00:00:00"/>
    <d v="1899-12-30T09:53:26"/>
    <s v="Analyzer"/>
    <x v="0"/>
    <x v="0"/>
    <x v="0"/>
    <x v="0"/>
  </r>
  <r>
    <s v="Frequency status for manual maintenance activity Clean Cuvette Waste Drawer has changed to OK."/>
    <x v="3"/>
    <x v="0"/>
    <d v="2016-10-12T00:00:00"/>
    <d v="1899-12-30T09:53:28"/>
    <s v="Maintenance"/>
    <x v="0"/>
    <x v="2"/>
    <x v="2"/>
    <x v="0"/>
  </r>
  <r>
    <s v="Manual maintenance activity Clean Cuvette Waste Drawer has been executed."/>
    <x v="5"/>
    <x v="0"/>
    <d v="2016-10-12T00:00:00"/>
    <d v="1899-12-30T09:53:28"/>
    <s v="Maintenance"/>
    <x v="0"/>
    <x v="2"/>
    <x v="2"/>
    <x v="0"/>
  </r>
  <r>
    <s v="Analyzer Status changed from Maintenance to Ready."/>
    <x v="0"/>
    <x v="0"/>
    <d v="2016-10-12T00:00:00"/>
    <d v="1899-12-30T09:53:29"/>
    <s v="Analyzer"/>
    <x v="0"/>
    <x v="0"/>
    <x v="0"/>
    <x v="0"/>
  </r>
  <r>
    <s v="Analyzer Status changed from Ready to Maintenance."/>
    <x v="0"/>
    <x v="0"/>
    <d v="2016-10-12T00:00:00"/>
    <d v="1899-12-30T09:55:38"/>
    <s v="Analyzer"/>
    <x v="0"/>
    <x v="0"/>
    <x v="0"/>
    <x v="0"/>
  </r>
  <r>
    <s v="Analyzer Status changed from Maintenance to Emergency stop."/>
    <x v="0"/>
    <x v="0"/>
    <d v="2016-10-12T00:00:00"/>
    <d v="1899-12-30T09:55:57"/>
    <s v="Analyzer"/>
    <x v="0"/>
    <x v="0"/>
    <x v="0"/>
    <x v="0"/>
  </r>
  <r>
    <s v="Analyzer Status changed from Emergency stop to Not connected."/>
    <x v="0"/>
    <x v="0"/>
    <d v="2016-10-12T00:00:00"/>
    <d v="1899-12-30T09:55:57"/>
    <s v="Analyzer"/>
    <x v="0"/>
    <x v="0"/>
    <x v="0"/>
    <x v="0"/>
  </r>
  <r>
    <s v="Frequency status for manual maintenance activity Wipe-down all Probes has changed to OK."/>
    <x v="3"/>
    <x v="0"/>
    <d v="2016-10-12T00:00:00"/>
    <d v="1899-12-30T09:56:01"/>
    <s v="Maintenance"/>
    <x v="0"/>
    <x v="2"/>
    <x v="2"/>
    <x v="0"/>
  </r>
  <r>
    <s v="Frequency status for manual maintenance activity Wipe-down Sample Probe has changed to OK."/>
    <x v="3"/>
    <x v="0"/>
    <d v="2016-10-12T00:00:00"/>
    <d v="1899-12-30T09:56:01"/>
    <s v="Maintenance"/>
    <x v="0"/>
    <x v="2"/>
    <x v="2"/>
    <x v="0"/>
  </r>
  <r>
    <s v="Frequency status for manual maintenance activity Wipe-down LAS Probe has changed to OK."/>
    <x v="3"/>
    <x v="0"/>
    <d v="2016-10-12T00:00:00"/>
    <d v="1899-12-30T09:56:01"/>
    <s v="Maintenance"/>
    <x v="0"/>
    <x v="2"/>
    <x v="2"/>
    <x v="0"/>
  </r>
  <r>
    <s v="Manual maintenance activity Wipe-down all Probes has been executed."/>
    <x v="5"/>
    <x v="0"/>
    <d v="2016-10-12T00:00:00"/>
    <d v="1899-12-30T09:56:01"/>
    <s v="Maintenance"/>
    <x v="0"/>
    <x v="2"/>
    <x v="2"/>
    <x v="0"/>
  </r>
  <r>
    <s v="Analyzer Status changed from Not connected to Power up."/>
    <x v="0"/>
    <x v="0"/>
    <d v="2016-10-12T00:00:00"/>
    <d v="1899-12-30T09:56:39"/>
    <s v="Analyzer"/>
    <x v="0"/>
    <x v="0"/>
    <x v="0"/>
    <x v="0"/>
  </r>
  <r>
    <s v="Rinse solution level low."/>
    <x v="1"/>
    <x v="1"/>
    <d v="2016-10-12T00:00:00"/>
    <d v="1899-12-30T09:56:43"/>
    <s v="Materials"/>
    <x v="0"/>
    <x v="1"/>
    <x v="1"/>
    <x v="0"/>
  </r>
  <r>
    <s v="Analyzer Status changed from Power up to Initializing."/>
    <x v="0"/>
    <x v="0"/>
    <d v="2016-10-12T00:00:00"/>
    <d v="1899-12-30T09:56:49"/>
    <s v="Analyzer"/>
    <x v="0"/>
    <x v="0"/>
    <x v="0"/>
    <x v="0"/>
  </r>
  <r>
    <s v="Analyzer Status changed from Initializing to Adjusting thermal."/>
    <x v="0"/>
    <x v="0"/>
    <d v="2016-10-12T00:00:00"/>
    <d v="1899-12-30T09:58:38"/>
    <s v="Analyzer"/>
    <x v="0"/>
    <x v="0"/>
    <x v="0"/>
    <x v="0"/>
  </r>
  <r>
    <s v="Analyzer Status changed from Adjusting thermal to Ready."/>
    <x v="0"/>
    <x v="0"/>
    <d v="2016-10-12T00:00:00"/>
    <d v="1899-12-30T10:01:02"/>
    <s v="Analyzer"/>
    <x v="0"/>
    <x v="0"/>
    <x v="0"/>
    <x v="0"/>
  </r>
  <r>
    <s v="Analyzer Status changed from Ready to Maintenance."/>
    <x v="0"/>
    <x v="0"/>
    <d v="2016-10-12T00:00:00"/>
    <d v="1899-12-30T10:01:02"/>
    <s v="Analyzer"/>
    <x v="0"/>
    <x v="0"/>
    <x v="0"/>
    <x v="0"/>
  </r>
  <r>
    <s v="Analyzer Status changed from Maintenance to Ready."/>
    <x v="0"/>
    <x v="0"/>
    <d v="2016-10-12T00:00:00"/>
    <d v="1899-12-30T10:02:16"/>
    <s v="Analyzer"/>
    <x v="0"/>
    <x v="0"/>
    <x v="0"/>
    <x v="0"/>
  </r>
  <r>
    <s v="Analyzer Status changed from Ready to Maintenance."/>
    <x v="0"/>
    <x v="0"/>
    <d v="2016-10-12T00:00:00"/>
    <d v="1899-12-30T10:02:44"/>
    <s v="Analyzer"/>
    <x v="0"/>
    <x v="0"/>
    <x v="0"/>
    <x v="0"/>
  </r>
  <r>
    <s v="Frequency status for manual maintenance activity Enhanced Clean for all Probes has changed to OK."/>
    <x v="3"/>
    <x v="0"/>
    <d v="2016-10-12T00:00:00"/>
    <d v="1899-12-30T10:06:12"/>
    <s v="Maintenance"/>
    <x v="0"/>
    <x v="2"/>
    <x v="2"/>
    <x v="0"/>
  </r>
  <r>
    <s v="Frequency status for manual maintenance activity Enhanced Clean for Sample and Reagent Probes has changed to OK."/>
    <x v="3"/>
    <x v="0"/>
    <d v="2016-10-12T00:00:00"/>
    <d v="1899-12-30T10:06:12"/>
    <s v="Maintenance"/>
    <x v="0"/>
    <x v="2"/>
    <x v="2"/>
    <x v="0"/>
  </r>
  <r>
    <s v="Semiautomatic maintenance activity Enhanced Clean for all Probes has been executed."/>
    <x v="4"/>
    <x v="0"/>
    <d v="2016-10-12T00:00:00"/>
    <d v="1899-12-30T10:06:12"/>
    <s v="Maintenance"/>
    <x v="0"/>
    <x v="2"/>
    <x v="2"/>
    <x v="0"/>
  </r>
  <r>
    <s v="Analyzer Status changed from Maintenance to Ready."/>
    <x v="0"/>
    <x v="0"/>
    <d v="2016-10-12T00:00:00"/>
    <d v="1899-12-30T10:06:13"/>
    <s v="Analyzer"/>
    <x v="0"/>
    <x v="0"/>
    <x v="0"/>
    <x v="0"/>
  </r>
  <r>
    <s v="Analyzer Status changed from Ready to Maintenance."/>
    <x v="0"/>
    <x v="0"/>
    <d v="2016-10-12T00:00:00"/>
    <d v="1899-12-30T10:06:26"/>
    <s v="Analyzer"/>
    <x v="0"/>
    <x v="0"/>
    <x v="0"/>
    <x v="0"/>
  </r>
  <r>
    <s v="Analyzer Status changed from Maintenance to Ready."/>
    <x v="0"/>
    <x v="0"/>
    <d v="2016-10-12T00:00:00"/>
    <d v="1899-12-30T10:06:28"/>
    <s v="Analyzer"/>
    <x v="0"/>
    <x v="0"/>
    <x v="0"/>
    <x v="0"/>
  </r>
  <r>
    <s v="Frequency status for manual maintenance activity make new diluted clean B has changed to OK."/>
    <x v="3"/>
    <x v="0"/>
    <d v="2016-10-12T00:00:00"/>
    <d v="1899-12-30T10:06:28"/>
    <s v="Maintenance"/>
    <x v="0"/>
    <x v="2"/>
    <x v="2"/>
    <x v="0"/>
  </r>
  <r>
    <s v="Manual maintenance activity make new diluted clean B has been executed."/>
    <x v="5"/>
    <x v="0"/>
    <d v="2016-10-12T00:00:00"/>
    <d v="1899-12-30T10:06:28"/>
    <s v="Maintenance"/>
    <x v="0"/>
    <x v="2"/>
    <x v="2"/>
    <x v="0"/>
  </r>
  <r>
    <s v="Analyzer Status changed from Ready to Busy."/>
    <x v="0"/>
    <x v="0"/>
    <d v="2016-10-12T00:00:00"/>
    <d v="1899-12-30T10:07:39"/>
    <s v="Analyzer"/>
    <x v="0"/>
    <x v="0"/>
    <x v="0"/>
    <x v="0"/>
  </r>
  <r>
    <s v="Non-identified Sample in rack 12 position 1, track 12."/>
    <x v="12"/>
    <x v="2"/>
    <d v="2016-10-12T00:00:00"/>
    <d v="1899-12-30T10:07:52"/>
    <s v="Materials"/>
    <x v="0"/>
    <x v="4"/>
    <x v="7"/>
    <x v="1"/>
  </r>
  <r>
    <s v="Non-identified Sample in rack 12 position 2, track 12."/>
    <x v="12"/>
    <x v="2"/>
    <d v="2016-10-12T00:00:00"/>
    <d v="1899-12-30T10:07:52"/>
    <s v="Materials"/>
    <x v="0"/>
    <x v="4"/>
    <x v="7"/>
    <x v="1"/>
  </r>
  <r>
    <s v="Non-identified Sample in rack 12 position 3, track 12."/>
    <x v="12"/>
    <x v="2"/>
    <d v="2016-10-12T00:00:00"/>
    <d v="1899-12-30T10:07:52"/>
    <s v="Materials"/>
    <x v="0"/>
    <x v="4"/>
    <x v="7"/>
    <x v="1"/>
  </r>
  <r>
    <s v="Non-identified Sample in rack 12 position 4, track 12."/>
    <x v="12"/>
    <x v="2"/>
    <d v="2016-10-12T00:00:00"/>
    <d v="1899-12-30T10:07:52"/>
    <s v="Materials"/>
    <x v="0"/>
    <x v="4"/>
    <x v="7"/>
    <x v="1"/>
  </r>
  <r>
    <s v="Non-identified Sample in rack 12 position 5, track 12."/>
    <x v="12"/>
    <x v="2"/>
    <d v="2016-10-12T00:00:00"/>
    <d v="1899-12-30T10:07:52"/>
    <s v="Materials"/>
    <x v="0"/>
    <x v="4"/>
    <x v="7"/>
    <x v="1"/>
  </r>
  <r>
    <s v="QC Failed: FVIII-SS-Special Test 2"/>
    <x v="28"/>
    <x v="2"/>
    <d v="2016-10-12T00:00:00"/>
    <d v="1899-12-30T10:18:01"/>
    <s v="QC"/>
    <x v="0"/>
    <x v="2"/>
    <x v="3"/>
    <x v="0"/>
  </r>
  <r>
    <s v="Normal C. Assayed volume low."/>
    <x v="7"/>
    <x v="1"/>
    <d v="2016-10-12T00:00:00"/>
    <d v="1899-12-30T10:21:06"/>
    <s v="Materials"/>
    <x v="0"/>
    <x v="3"/>
    <x v="4"/>
    <x v="0"/>
  </r>
  <r>
    <s v="Analyzer Status changed from Busy to Ready."/>
    <x v="0"/>
    <x v="0"/>
    <d v="2016-10-12T00:00:00"/>
    <d v="1899-12-30T10:27:46"/>
    <s v="Analyzer"/>
    <x v="0"/>
    <x v="0"/>
    <x v="0"/>
    <x v="0"/>
  </r>
  <r>
    <s v="Analyzer Status changed from Ready to Maintenance."/>
    <x v="0"/>
    <x v="0"/>
    <d v="2016-10-12T00:00:00"/>
    <d v="1899-12-30T10:27:46"/>
    <s v="Analyzer"/>
    <x v="0"/>
    <x v="0"/>
    <x v="0"/>
    <x v="0"/>
  </r>
  <r>
    <s v="Analyzer Status changed from Maintenance to Ready."/>
    <x v="0"/>
    <x v="0"/>
    <d v="2016-10-12T00:00:00"/>
    <d v="1899-12-30T10:28:12"/>
    <s v="Analyzer"/>
    <x v="0"/>
    <x v="0"/>
    <x v="0"/>
    <x v="0"/>
  </r>
  <r>
    <s v="Automatic maintenance activity Automatic Routine Clean for all Probes has been executed."/>
    <x v="2"/>
    <x v="0"/>
    <d v="2016-10-12T00:00:00"/>
    <d v="1899-12-30T10:28:12"/>
    <s v="Maintenance"/>
    <x v="0"/>
    <x v="2"/>
    <x v="2"/>
    <x v="0"/>
  </r>
  <r>
    <s v="D-Dimer Low Control on-board stability low."/>
    <x v="6"/>
    <x v="1"/>
    <d v="2016-10-12T00:00:00"/>
    <d v="1899-12-30T10:30:12"/>
    <s v="Materials"/>
    <x v="0"/>
    <x v="2"/>
    <x v="3"/>
    <x v="0"/>
  </r>
  <r>
    <s v="D-Dimer High Control on-board stability low."/>
    <x v="6"/>
    <x v="1"/>
    <d v="2016-10-12T00:00:00"/>
    <d v="1899-12-30T10:30:12"/>
    <s v="Materials"/>
    <x v="0"/>
    <x v="2"/>
    <x v="3"/>
    <x v="0"/>
  </r>
  <r>
    <s v="Non-identified Material in rack RC position 4, track 5."/>
    <x v="27"/>
    <x v="2"/>
    <d v="2016-10-12T00:00:00"/>
    <d v="1899-12-30T10:46:26"/>
    <s v="Materials"/>
    <x v="0"/>
    <x v="2"/>
    <x v="3"/>
    <x v="0"/>
  </r>
  <r>
    <s v="Non-identified Sample in rack 12 position 1, track 12."/>
    <x v="12"/>
    <x v="2"/>
    <d v="2016-10-12T00:00:00"/>
    <d v="1899-12-30T10:46:33"/>
    <s v="Materials"/>
    <x v="0"/>
    <x v="4"/>
    <x v="7"/>
    <x v="1"/>
  </r>
  <r>
    <s v="Non-identified Sample in rack 12 position 2, track 12."/>
    <x v="12"/>
    <x v="2"/>
    <d v="2016-10-12T00:00:00"/>
    <d v="1899-12-30T10:46:33"/>
    <s v="Materials"/>
    <x v="0"/>
    <x v="4"/>
    <x v="7"/>
    <x v="1"/>
  </r>
  <r>
    <s v="Non-identified Sample in rack 12 position 3, track 12."/>
    <x v="12"/>
    <x v="2"/>
    <d v="2016-10-12T00:00:00"/>
    <d v="1899-12-30T10:46:33"/>
    <s v="Materials"/>
    <x v="0"/>
    <x v="4"/>
    <x v="7"/>
    <x v="1"/>
  </r>
  <r>
    <s v="Non-identified Sample in rack 12 position 4, track 12."/>
    <x v="12"/>
    <x v="2"/>
    <d v="2016-10-12T00:00:00"/>
    <d v="1899-12-30T10:46:33"/>
    <s v="Materials"/>
    <x v="0"/>
    <x v="4"/>
    <x v="7"/>
    <x v="1"/>
  </r>
  <r>
    <s v="Non-identified Sample in rack 12 position 5, track 12."/>
    <x v="12"/>
    <x v="2"/>
    <d v="2016-10-12T00:00:00"/>
    <d v="1899-12-30T10:46:33"/>
    <s v="Materials"/>
    <x v="0"/>
    <x v="4"/>
    <x v="7"/>
    <x v="1"/>
  </r>
  <r>
    <s v="Non-identified Sample in rack 12 position 1, track 12."/>
    <x v="12"/>
    <x v="2"/>
    <d v="2016-10-12T00:00:00"/>
    <d v="1899-12-30T11:27:07"/>
    <s v="Materials"/>
    <x v="0"/>
    <x v="4"/>
    <x v="7"/>
    <x v="1"/>
  </r>
  <r>
    <s v="Non-identified Sample in rack 12 position 2, track 12."/>
    <x v="12"/>
    <x v="2"/>
    <d v="2016-10-12T00:00:00"/>
    <d v="1899-12-30T11:27:07"/>
    <s v="Materials"/>
    <x v="0"/>
    <x v="4"/>
    <x v="7"/>
    <x v="1"/>
  </r>
  <r>
    <s v="Non-identified Sample in rack 12 position 3, track 12."/>
    <x v="12"/>
    <x v="2"/>
    <d v="2016-10-12T00:00:00"/>
    <d v="1899-12-30T11:27:07"/>
    <s v="Materials"/>
    <x v="0"/>
    <x v="4"/>
    <x v="7"/>
    <x v="1"/>
  </r>
  <r>
    <s v="Non-identified Sample in rack 12 position 4, track 12."/>
    <x v="12"/>
    <x v="2"/>
    <d v="2016-10-12T00:00:00"/>
    <d v="1899-12-30T11:27:07"/>
    <s v="Materials"/>
    <x v="0"/>
    <x v="4"/>
    <x v="7"/>
    <x v="1"/>
  </r>
  <r>
    <s v="Non-identified Sample in rack 12 position 5, track 12."/>
    <x v="12"/>
    <x v="2"/>
    <d v="2016-10-12T00:00:00"/>
    <d v="1899-12-30T11:27:07"/>
    <s v="Materials"/>
    <x v="0"/>
    <x v="4"/>
    <x v="7"/>
    <x v="1"/>
  </r>
  <r>
    <s v="Non-identified Sample in rack 12 position 6, track 12."/>
    <x v="12"/>
    <x v="2"/>
    <d v="2016-10-12T00:00:00"/>
    <d v="1899-12-30T11:27:07"/>
    <s v="Materials"/>
    <x v="0"/>
    <x v="4"/>
    <x v="7"/>
    <x v="1"/>
  </r>
  <r>
    <s v="Analyzer Status changed from Ready to Busy."/>
    <x v="0"/>
    <x v="0"/>
    <d v="2016-10-12T00:00:00"/>
    <d v="1899-12-30T11:27:13"/>
    <s v="Analyzer"/>
    <x v="0"/>
    <x v="0"/>
    <x v="0"/>
    <x v="0"/>
  </r>
  <r>
    <s v="Analyzer Status changed from Busy to Ready."/>
    <x v="0"/>
    <x v="0"/>
    <d v="2016-10-12T00:00:00"/>
    <d v="1899-12-30T11:35:44"/>
    <s v="Analyzer"/>
    <x v="0"/>
    <x v="0"/>
    <x v="0"/>
    <x v="0"/>
  </r>
  <r>
    <s v="Analyzer Status changed from Ready to Maintenance."/>
    <x v="0"/>
    <x v="0"/>
    <d v="2016-10-12T00:00:00"/>
    <d v="1899-12-30T11:35:45"/>
    <s v="Analyzer"/>
    <x v="0"/>
    <x v="0"/>
    <x v="0"/>
    <x v="0"/>
  </r>
  <r>
    <s v="Analyzer Status changed from Maintenance to Ready."/>
    <x v="0"/>
    <x v="0"/>
    <d v="2016-10-12T00:00:00"/>
    <d v="1899-12-30T11:36:12"/>
    <s v="Analyzer"/>
    <x v="0"/>
    <x v="0"/>
    <x v="0"/>
    <x v="0"/>
  </r>
  <r>
    <s v="Automatic maintenance activity Automatic Routine Clean for all Probes has been executed."/>
    <x v="2"/>
    <x v="0"/>
    <d v="2016-10-12T00:00:00"/>
    <d v="1899-12-30T11:36:12"/>
    <s v="Maintenance"/>
    <x v="0"/>
    <x v="2"/>
    <x v="2"/>
    <x v="0"/>
  </r>
  <r>
    <s v="Non-identified Sample in rack 12 position 1, track 12."/>
    <x v="12"/>
    <x v="2"/>
    <d v="2016-10-12T00:00:00"/>
    <d v="1899-12-30T11:58:13"/>
    <s v="Materials"/>
    <x v="0"/>
    <x v="4"/>
    <x v="7"/>
    <x v="1"/>
  </r>
  <r>
    <s v="Non-identified Sample in rack 12 position 2, track 12."/>
    <x v="12"/>
    <x v="2"/>
    <d v="2016-10-12T00:00:00"/>
    <d v="1899-12-30T11:58:13"/>
    <s v="Materials"/>
    <x v="0"/>
    <x v="4"/>
    <x v="7"/>
    <x v="1"/>
  </r>
  <r>
    <s v="Non-identified Sample in rack 12 position 3, track 12."/>
    <x v="12"/>
    <x v="2"/>
    <d v="2016-10-12T00:00:00"/>
    <d v="1899-12-30T11:58:13"/>
    <s v="Materials"/>
    <x v="0"/>
    <x v="4"/>
    <x v="7"/>
    <x v="1"/>
  </r>
  <r>
    <s v="Non-identified Sample in rack 12 position 4, track 12."/>
    <x v="12"/>
    <x v="2"/>
    <d v="2016-10-12T00:00:00"/>
    <d v="1899-12-30T11:58:13"/>
    <s v="Materials"/>
    <x v="0"/>
    <x v="4"/>
    <x v="7"/>
    <x v="1"/>
  </r>
  <r>
    <s v="Non-identified Sample in rack 12 position 5, track 12."/>
    <x v="12"/>
    <x v="2"/>
    <d v="2016-10-12T00:00:00"/>
    <d v="1899-12-30T11:58:13"/>
    <s v="Materials"/>
    <x v="0"/>
    <x v="4"/>
    <x v="7"/>
    <x v="1"/>
  </r>
  <r>
    <s v="Non-identified Sample in rack 12 position 6, track 12."/>
    <x v="12"/>
    <x v="2"/>
    <d v="2016-10-12T00:00:00"/>
    <d v="1899-12-30T11:58:13"/>
    <s v="Materials"/>
    <x v="0"/>
    <x v="4"/>
    <x v="7"/>
    <x v="1"/>
  </r>
  <r>
    <s v="Analyzer Status changed from Ready to Busy."/>
    <x v="0"/>
    <x v="0"/>
    <d v="2016-10-12T00:00:00"/>
    <d v="1899-12-30T11:58:26"/>
    <s v="Analyzer"/>
    <x v="0"/>
    <x v="0"/>
    <x v="0"/>
    <x v="0"/>
  </r>
  <r>
    <s v="Analyzer Status changed from Busy to Ready."/>
    <x v="0"/>
    <x v="0"/>
    <d v="2016-10-12T00:00:00"/>
    <d v="1899-12-30T12:05:22"/>
    <s v="Analyzer"/>
    <x v="0"/>
    <x v="0"/>
    <x v="0"/>
    <x v="0"/>
  </r>
  <r>
    <s v="Analyzer Status changed from Ready to Maintenance."/>
    <x v="0"/>
    <x v="0"/>
    <d v="2016-10-12T00:00:00"/>
    <d v="1899-12-30T12:05:22"/>
    <s v="Analyzer"/>
    <x v="0"/>
    <x v="0"/>
    <x v="0"/>
    <x v="0"/>
  </r>
  <r>
    <s v="Automatic maintenance activity Automatic Routine Clean for all Probes has been executed."/>
    <x v="2"/>
    <x v="0"/>
    <d v="2016-10-12T00:00:00"/>
    <d v="1899-12-30T12:05:53"/>
    <s v="Maintenance"/>
    <x v="0"/>
    <x v="2"/>
    <x v="2"/>
    <x v="0"/>
  </r>
  <r>
    <s v="Analyzer Status changed from Maintenance to Ready."/>
    <x v="0"/>
    <x v="0"/>
    <d v="2016-10-12T00:00:00"/>
    <d v="1899-12-30T12:05:54"/>
    <s v="Analyzer"/>
    <x v="0"/>
    <x v="0"/>
    <x v="0"/>
    <x v="0"/>
  </r>
  <r>
    <s v="Analyzer Status changed from Ready to Maintenance."/>
    <x v="0"/>
    <x v="0"/>
    <d v="2016-10-12T00:00:00"/>
    <d v="1899-12-30T13:05:54"/>
    <s v="Analyzer"/>
    <x v="0"/>
    <x v="0"/>
    <x v="0"/>
    <x v="0"/>
  </r>
  <r>
    <s v="Automatic maintenance activity Automatic Fluidic Line Priming Cycle has been executed."/>
    <x v="2"/>
    <x v="0"/>
    <d v="2016-10-12T00:00:00"/>
    <d v="1899-12-30T13:06:15"/>
    <s v="Maintenance"/>
    <x v="0"/>
    <x v="2"/>
    <x v="2"/>
    <x v="0"/>
  </r>
  <r>
    <s v="Analyzer Status changed from Maintenance to Ready."/>
    <x v="0"/>
    <x v="0"/>
    <d v="2016-10-12T00:00:00"/>
    <d v="1899-12-30T13:06:16"/>
    <s v="Analyzer"/>
    <x v="0"/>
    <x v="0"/>
    <x v="0"/>
    <x v="0"/>
  </r>
  <r>
    <s v="Analyzer Status changed from Ready to Maintenance."/>
    <x v="0"/>
    <x v="0"/>
    <d v="2016-10-12T00:00:00"/>
    <d v="1899-12-30T14:06:16"/>
    <s v="Analyzer"/>
    <x v="0"/>
    <x v="0"/>
    <x v="0"/>
    <x v="0"/>
  </r>
  <r>
    <s v="Analyzer Status changed from Maintenance to Ready."/>
    <x v="0"/>
    <x v="0"/>
    <d v="2016-10-12T00:00:00"/>
    <d v="1899-12-30T14:06:37"/>
    <s v="Analyzer"/>
    <x v="0"/>
    <x v="0"/>
    <x v="0"/>
    <x v="0"/>
  </r>
  <r>
    <s v="Automatic maintenance activity Automatic Fluidic Line Priming Cycle has been executed."/>
    <x v="2"/>
    <x v="0"/>
    <d v="2016-10-12T00:00:00"/>
    <d v="1899-12-30T14:06:37"/>
    <s v="Maintenance"/>
    <x v="0"/>
    <x v="2"/>
    <x v="2"/>
    <x v="0"/>
  </r>
  <r>
    <s v="Analyzer Status changed from Ready to Maintenance."/>
    <x v="0"/>
    <x v="0"/>
    <d v="2016-10-12T00:00:00"/>
    <d v="1899-12-30T15:06:38"/>
    <s v="Analyzer"/>
    <x v="0"/>
    <x v="0"/>
    <x v="0"/>
    <x v="0"/>
  </r>
  <r>
    <s v="Analyzer Status changed from Maintenance to Ready."/>
    <x v="0"/>
    <x v="0"/>
    <d v="2016-10-12T00:00:00"/>
    <d v="1899-12-30T15:06:59"/>
    <s v="Analyzer"/>
    <x v="0"/>
    <x v="0"/>
    <x v="0"/>
    <x v="0"/>
  </r>
  <r>
    <s v="Automatic maintenance activity Automatic Fluidic Line Priming Cycle has been executed."/>
    <x v="2"/>
    <x v="0"/>
    <d v="2016-10-12T00:00:00"/>
    <d v="1899-12-30T15:06:59"/>
    <s v="Maintenance"/>
    <x v="0"/>
    <x v="2"/>
    <x v="2"/>
    <x v="0"/>
  </r>
  <r>
    <s v="Analyzer Status changed from Ready to Maintenance."/>
    <x v="0"/>
    <x v="0"/>
    <d v="2016-10-12T00:00:00"/>
    <d v="1899-12-30T16:07:00"/>
    <s v="Analyzer"/>
    <x v="0"/>
    <x v="0"/>
    <x v="0"/>
    <x v="0"/>
  </r>
  <r>
    <s v="Analyzer Status changed from Maintenance to Ready."/>
    <x v="0"/>
    <x v="0"/>
    <d v="2016-10-12T00:00:00"/>
    <d v="1899-12-30T16:07:21"/>
    <s v="Analyzer"/>
    <x v="0"/>
    <x v="0"/>
    <x v="0"/>
    <x v="0"/>
  </r>
  <r>
    <s v="Automatic maintenance activity Automatic Fluidic Line Priming Cycle has been executed."/>
    <x v="2"/>
    <x v="0"/>
    <d v="2016-10-12T00:00:00"/>
    <d v="1899-12-30T16:07:21"/>
    <s v="Maintenance"/>
    <x v="0"/>
    <x v="2"/>
    <x v="2"/>
    <x v="0"/>
  </r>
  <r>
    <s v="Analyzer Status changed from Ready to Maintenance."/>
    <x v="0"/>
    <x v="0"/>
    <d v="2016-10-12T00:00:00"/>
    <d v="1899-12-30T17:07:21"/>
    <s v="Analyzer"/>
    <x v="0"/>
    <x v="0"/>
    <x v="0"/>
    <x v="0"/>
  </r>
  <r>
    <s v="Analyzer Status changed from Maintenance to Ready."/>
    <x v="0"/>
    <x v="0"/>
    <d v="2016-10-12T00:00:00"/>
    <d v="1899-12-30T17:07:43"/>
    <s v="Analyzer"/>
    <x v="0"/>
    <x v="0"/>
    <x v="0"/>
    <x v="0"/>
  </r>
  <r>
    <s v="Automatic maintenance activity Automatic Fluidic Line Priming Cycle has been executed."/>
    <x v="2"/>
    <x v="0"/>
    <d v="2016-10-12T00:00:00"/>
    <d v="1899-12-30T17:07:43"/>
    <s v="Maintenance"/>
    <x v="0"/>
    <x v="2"/>
    <x v="2"/>
    <x v="0"/>
  </r>
  <r>
    <s v="Analyzer Status changed from Ready to Maintenance."/>
    <x v="0"/>
    <x v="0"/>
    <d v="2016-10-12T00:00:00"/>
    <d v="1899-12-30T18:07:43"/>
    <s v="Analyzer"/>
    <x v="0"/>
    <x v="0"/>
    <x v="0"/>
    <x v="0"/>
  </r>
  <r>
    <s v="Analyzer Status changed from Maintenance to Ready."/>
    <x v="0"/>
    <x v="0"/>
    <d v="2016-10-12T00:00:00"/>
    <d v="1899-12-30T18:08:05"/>
    <s v="Analyzer"/>
    <x v="0"/>
    <x v="0"/>
    <x v="0"/>
    <x v="0"/>
  </r>
  <r>
    <s v="Automatic maintenance activity Automatic Fluidic Line Priming Cycle has been executed."/>
    <x v="2"/>
    <x v="0"/>
    <d v="2016-10-12T00:00:00"/>
    <d v="1899-12-30T18:08:05"/>
    <s v="Maintenance"/>
    <x v="0"/>
    <x v="2"/>
    <x v="2"/>
    <x v="0"/>
  </r>
  <r>
    <s v="Analyzer Status changed from Ready to Maintenance."/>
    <x v="0"/>
    <x v="0"/>
    <d v="2016-10-12T00:00:00"/>
    <d v="1899-12-30T19:08:05"/>
    <s v="Analyzer"/>
    <x v="0"/>
    <x v="0"/>
    <x v="0"/>
    <x v="0"/>
  </r>
  <r>
    <s v="Analyzer Status changed from Maintenance to Ready."/>
    <x v="0"/>
    <x v="0"/>
    <d v="2016-10-12T00:00:00"/>
    <d v="1899-12-30T19:08:27"/>
    <s v="Analyzer"/>
    <x v="0"/>
    <x v="0"/>
    <x v="0"/>
    <x v="0"/>
  </r>
  <r>
    <s v="Automatic maintenance activity Automatic Fluidic Line Priming Cycle has been executed."/>
    <x v="2"/>
    <x v="0"/>
    <d v="2016-10-12T00:00:00"/>
    <d v="1899-12-30T19:08:27"/>
    <s v="Maintenance"/>
    <x v="0"/>
    <x v="2"/>
    <x v="2"/>
    <x v="0"/>
  </r>
  <r>
    <s v="Analyzer Status changed from Ready to Maintenance."/>
    <x v="0"/>
    <x v="0"/>
    <d v="2016-10-12T00:00:00"/>
    <d v="1899-12-30T20:08:27"/>
    <s v="Analyzer"/>
    <x v="0"/>
    <x v="0"/>
    <x v="0"/>
    <x v="0"/>
  </r>
  <r>
    <s v="Analyzer Status changed from Maintenance to Ready."/>
    <x v="0"/>
    <x v="0"/>
    <d v="2016-10-12T00:00:00"/>
    <d v="1899-12-30T20:08:49"/>
    <s v="Analyzer"/>
    <x v="0"/>
    <x v="0"/>
    <x v="0"/>
    <x v="0"/>
  </r>
  <r>
    <s v="Automatic maintenance activity Automatic Fluidic Line Priming Cycle has been executed."/>
    <x v="2"/>
    <x v="0"/>
    <d v="2016-10-12T00:00:00"/>
    <d v="1899-12-30T20:08:49"/>
    <s v="Maintenance"/>
    <x v="0"/>
    <x v="2"/>
    <x v="2"/>
    <x v="0"/>
  </r>
  <r>
    <s v="Analyzer Status changed from Ready to Maintenance."/>
    <x v="0"/>
    <x v="0"/>
    <d v="2016-10-12T00:00:00"/>
    <d v="1899-12-30T21:08:49"/>
    <s v="Analyzer"/>
    <x v="0"/>
    <x v="0"/>
    <x v="0"/>
    <x v="0"/>
  </r>
  <r>
    <s v="Analyzer Status changed from Maintenance to Ready."/>
    <x v="0"/>
    <x v="0"/>
    <d v="2016-10-12T00:00:00"/>
    <d v="1899-12-30T21:09:11"/>
    <s v="Analyzer"/>
    <x v="0"/>
    <x v="0"/>
    <x v="0"/>
    <x v="0"/>
  </r>
  <r>
    <s v="Automatic maintenance activity Automatic Fluidic Line Priming Cycle has been executed."/>
    <x v="2"/>
    <x v="0"/>
    <d v="2016-10-12T00:00:00"/>
    <d v="1899-12-30T21:09:11"/>
    <s v="Maintenance"/>
    <x v="0"/>
    <x v="2"/>
    <x v="2"/>
    <x v="0"/>
  </r>
  <r>
    <s v="Analyzer Status changed from Ready to Maintenance."/>
    <x v="0"/>
    <x v="0"/>
    <d v="2016-10-12T00:00:00"/>
    <d v="1899-12-30T22:09:11"/>
    <s v="Analyzer"/>
    <x v="0"/>
    <x v="0"/>
    <x v="0"/>
    <x v="0"/>
  </r>
  <r>
    <s v="Analyzer Status changed from Maintenance to Ready."/>
    <x v="0"/>
    <x v="0"/>
    <d v="2016-10-12T00:00:00"/>
    <d v="1899-12-30T22:09:33"/>
    <s v="Analyzer"/>
    <x v="0"/>
    <x v="0"/>
    <x v="0"/>
    <x v="0"/>
  </r>
  <r>
    <s v="Automatic maintenance activity Automatic Fluidic Line Priming Cycle has been executed."/>
    <x v="2"/>
    <x v="0"/>
    <d v="2016-10-12T00:00:00"/>
    <d v="1899-12-30T22:09:33"/>
    <s v="Maintenance"/>
    <x v="0"/>
    <x v="2"/>
    <x v="2"/>
    <x v="0"/>
  </r>
  <r>
    <s v="Analyzer Status changed from Ready to Maintenance."/>
    <x v="0"/>
    <x v="0"/>
    <d v="2016-10-12T00:00:00"/>
    <d v="1899-12-30T23:09:33"/>
    <s v="Analyzer"/>
    <x v="0"/>
    <x v="0"/>
    <x v="0"/>
    <x v="0"/>
  </r>
  <r>
    <s v="Analyzer Status changed from Maintenance to Ready."/>
    <x v="0"/>
    <x v="0"/>
    <d v="2016-10-12T00:00:00"/>
    <d v="1899-12-30T23:09:55"/>
    <s v="Analyzer"/>
    <x v="0"/>
    <x v="0"/>
    <x v="0"/>
    <x v="0"/>
  </r>
  <r>
    <s v="Automatic maintenance activity Automatic Fluidic Line Priming Cycle has been executed."/>
    <x v="2"/>
    <x v="0"/>
    <d v="2016-10-12T00:00:00"/>
    <d v="1899-12-30T23:09:55"/>
    <s v="Maintenance"/>
    <x v="0"/>
    <x v="2"/>
    <x v="2"/>
    <x v="0"/>
  </r>
  <r>
    <s v="Analyzer Status changed from Ready to Maintenance."/>
    <x v="0"/>
    <x v="0"/>
    <d v="2016-10-13T00:00:00"/>
    <d v="1899-12-30T00:09:55"/>
    <s v="Analyzer"/>
    <x v="0"/>
    <x v="0"/>
    <x v="0"/>
    <x v="0"/>
  </r>
  <r>
    <s v="Automatic maintenance activity Automatic Fluidic Line Priming Cycle has been executed."/>
    <x v="2"/>
    <x v="0"/>
    <d v="2016-10-13T00:00:00"/>
    <d v="1899-12-30T00:10:16"/>
    <s v="Maintenance"/>
    <x v="0"/>
    <x v="2"/>
    <x v="2"/>
    <x v="0"/>
  </r>
  <r>
    <s v="Analyzer Status changed from Maintenance to Ready."/>
    <x v="0"/>
    <x v="0"/>
    <d v="2016-10-13T00:00:00"/>
    <d v="1899-12-30T00:10:17"/>
    <s v="Analyzer"/>
    <x v="0"/>
    <x v="0"/>
    <x v="0"/>
    <x v="0"/>
  </r>
  <r>
    <s v="Analyzer Status changed from Ready to Maintenance."/>
    <x v="0"/>
    <x v="0"/>
    <d v="2016-10-13T00:00:00"/>
    <d v="1899-12-30T01:10:17"/>
    <s v="Analyzer"/>
    <x v="0"/>
    <x v="0"/>
    <x v="0"/>
    <x v="0"/>
  </r>
  <r>
    <s v="Automatic maintenance activity Automatic Fluidic Line Priming Cycle has been executed."/>
    <x v="2"/>
    <x v="0"/>
    <d v="2016-10-13T00:00:00"/>
    <d v="1899-12-30T01:10:38"/>
    <s v="Maintenance"/>
    <x v="0"/>
    <x v="2"/>
    <x v="2"/>
    <x v="0"/>
  </r>
  <r>
    <s v="Analyzer Status changed from Maintenance to Ready."/>
    <x v="0"/>
    <x v="0"/>
    <d v="2016-10-13T00:00:00"/>
    <d v="1899-12-30T01:10:39"/>
    <s v="Analyzer"/>
    <x v="0"/>
    <x v="0"/>
    <x v="0"/>
    <x v="0"/>
  </r>
  <r>
    <s v="Analyzer Status changed from Ready to Maintenance."/>
    <x v="0"/>
    <x v="0"/>
    <d v="2016-10-13T00:00:00"/>
    <d v="1899-12-30T02:10:39"/>
    <s v="Analyzer"/>
    <x v="0"/>
    <x v="0"/>
    <x v="0"/>
    <x v="0"/>
  </r>
  <r>
    <s v="Analyzer Status changed from Maintenance to Ready."/>
    <x v="0"/>
    <x v="0"/>
    <d v="2016-10-13T00:00:00"/>
    <d v="1899-12-30T02:11:00"/>
    <s v="Analyzer"/>
    <x v="0"/>
    <x v="0"/>
    <x v="0"/>
    <x v="0"/>
  </r>
  <r>
    <s v="Automatic maintenance activity Automatic Fluidic Line Priming Cycle has been executed."/>
    <x v="2"/>
    <x v="0"/>
    <d v="2016-10-13T00:00:00"/>
    <d v="1899-12-30T02:11:00"/>
    <s v="Maintenance"/>
    <x v="0"/>
    <x v="2"/>
    <x v="2"/>
    <x v="0"/>
  </r>
  <r>
    <s v="Analyzer Status changed from Ready to Maintenance."/>
    <x v="0"/>
    <x v="0"/>
    <d v="2016-10-13T00:00:00"/>
    <d v="1899-12-30T03:11:01"/>
    <s v="Analyzer"/>
    <x v="0"/>
    <x v="0"/>
    <x v="0"/>
    <x v="0"/>
  </r>
  <r>
    <s v="Analyzer Status changed from Maintenance to Ready."/>
    <x v="0"/>
    <x v="0"/>
    <d v="2016-10-13T00:00:00"/>
    <d v="1899-12-30T03:11:22"/>
    <s v="Analyzer"/>
    <x v="0"/>
    <x v="0"/>
    <x v="0"/>
    <x v="0"/>
  </r>
  <r>
    <s v="Automatic maintenance activity Automatic Fluidic Line Priming Cycle has been executed."/>
    <x v="2"/>
    <x v="0"/>
    <d v="2016-10-13T00:00:00"/>
    <d v="1899-12-30T03:11:22"/>
    <s v="Maintenance"/>
    <x v="0"/>
    <x v="2"/>
    <x v="2"/>
    <x v="0"/>
  </r>
  <r>
    <s v="Analyzer Status changed from Ready to Maintenance."/>
    <x v="0"/>
    <x v="0"/>
    <d v="2016-10-13T00:00:00"/>
    <d v="1899-12-30T04:11:22"/>
    <s v="Analyzer"/>
    <x v="0"/>
    <x v="0"/>
    <x v="0"/>
    <x v="0"/>
  </r>
  <r>
    <s v="Analyzer Status changed from Maintenance to Ready."/>
    <x v="0"/>
    <x v="0"/>
    <d v="2016-10-13T00:00:00"/>
    <d v="1899-12-30T04:11:44"/>
    <s v="Analyzer"/>
    <x v="0"/>
    <x v="0"/>
    <x v="0"/>
    <x v="0"/>
  </r>
  <r>
    <s v="Automatic maintenance activity Automatic Fluidic Line Priming Cycle has been executed."/>
    <x v="2"/>
    <x v="0"/>
    <d v="2016-10-13T00:00:00"/>
    <d v="1899-12-30T04:11:44"/>
    <s v="Maintenance"/>
    <x v="0"/>
    <x v="2"/>
    <x v="2"/>
    <x v="0"/>
  </r>
  <r>
    <s v="Analyzer Status changed from Ready to Maintenance."/>
    <x v="0"/>
    <x v="0"/>
    <d v="2016-10-13T00:00:00"/>
    <d v="1899-12-30T05:11:45"/>
    <s v="Analyzer"/>
    <x v="0"/>
    <x v="0"/>
    <x v="0"/>
    <x v="0"/>
  </r>
  <r>
    <s v="Analyzer Status changed from Maintenance to Ready."/>
    <x v="0"/>
    <x v="0"/>
    <d v="2016-10-13T00:00:00"/>
    <d v="1899-12-30T05:12:06"/>
    <s v="Analyzer"/>
    <x v="0"/>
    <x v="0"/>
    <x v="0"/>
    <x v="0"/>
  </r>
  <r>
    <s v="Automatic maintenance activity Automatic Fluidic Line Priming Cycle has been executed."/>
    <x v="2"/>
    <x v="0"/>
    <d v="2016-10-13T00:00:00"/>
    <d v="1899-12-30T05:12:06"/>
    <s v="Maintenance"/>
    <x v="0"/>
    <x v="2"/>
    <x v="2"/>
    <x v="0"/>
  </r>
  <r>
    <s v="Analyzer Status changed from Ready to Maintenance."/>
    <x v="0"/>
    <x v="0"/>
    <d v="2016-10-13T00:00:00"/>
    <d v="1899-12-30T06:12:07"/>
    <s v="Analyzer"/>
    <x v="0"/>
    <x v="0"/>
    <x v="0"/>
    <x v="0"/>
  </r>
  <r>
    <s v="Analyzer Status changed from Maintenance to Ready."/>
    <x v="0"/>
    <x v="0"/>
    <d v="2016-10-13T00:00:00"/>
    <d v="1899-12-30T06:12:28"/>
    <s v="Analyzer"/>
    <x v="0"/>
    <x v="0"/>
    <x v="0"/>
    <x v="0"/>
  </r>
  <r>
    <s v="Automatic maintenance activity Automatic Fluidic Line Priming Cycle has been executed."/>
    <x v="2"/>
    <x v="0"/>
    <d v="2016-10-13T00:00:00"/>
    <d v="1899-12-30T06:12:28"/>
    <s v="Maintenance"/>
    <x v="0"/>
    <x v="2"/>
    <x v="2"/>
    <x v="0"/>
  </r>
  <r>
    <s v="Analyzer Status changed from Ready to Maintenance."/>
    <x v="0"/>
    <x v="0"/>
    <d v="2016-10-13T00:00:00"/>
    <d v="1899-12-30T07:12:28"/>
    <s v="Analyzer"/>
    <x v="0"/>
    <x v="0"/>
    <x v="0"/>
    <x v="0"/>
  </r>
  <r>
    <s v="Analyzer Status changed from Maintenance to Ready."/>
    <x v="0"/>
    <x v="0"/>
    <d v="2016-10-13T00:00:00"/>
    <d v="1899-12-30T07:12:50"/>
    <s v="Analyzer"/>
    <x v="0"/>
    <x v="0"/>
    <x v="0"/>
    <x v="0"/>
  </r>
  <r>
    <s v="Automatic maintenance activity Automatic Fluidic Line Priming Cycle has been executed."/>
    <x v="2"/>
    <x v="0"/>
    <d v="2016-10-13T00:00:00"/>
    <d v="1899-12-30T07:12:50"/>
    <s v="Maintenance"/>
    <x v="0"/>
    <x v="2"/>
    <x v="2"/>
    <x v="0"/>
  </r>
  <r>
    <s v="Analyzer Status changed from Ready to Maintenance."/>
    <x v="0"/>
    <x v="0"/>
    <d v="2016-10-13T00:00:00"/>
    <d v="1899-12-30T08:03:23"/>
    <s v="Analyzer"/>
    <x v="0"/>
    <x v="0"/>
    <x v="0"/>
    <x v="0"/>
  </r>
  <r>
    <s v="Analyzer Status changed from Maintenance to Ready."/>
    <x v="0"/>
    <x v="0"/>
    <d v="2016-10-13T00:00:00"/>
    <d v="1899-12-30T08:15:29"/>
    <s v="Analyzer"/>
    <x v="0"/>
    <x v="0"/>
    <x v="0"/>
    <x v="0"/>
  </r>
  <r>
    <s v="Semiautomatic maintenance activity Enhanced Clean for all Probes has been executed."/>
    <x v="4"/>
    <x v="0"/>
    <d v="2016-10-13T00:00:00"/>
    <d v="1899-12-30T08:15:29"/>
    <s v="Maintenance"/>
    <x v="0"/>
    <x v="2"/>
    <x v="2"/>
    <x v="0"/>
  </r>
  <r>
    <s v="Analyzer Status changed from Ready to Maintenance."/>
    <x v="0"/>
    <x v="0"/>
    <d v="2016-10-13T00:00:00"/>
    <d v="1899-12-30T08:16:06"/>
    <s v="Analyzer"/>
    <x v="0"/>
    <x v="0"/>
    <x v="0"/>
    <x v="0"/>
  </r>
  <r>
    <s v="Manual maintenance activity replace factor diluent has been executed."/>
    <x v="5"/>
    <x v="0"/>
    <d v="2016-10-13T00:00:00"/>
    <d v="1899-12-30T08:16:08"/>
    <s v="Maintenance"/>
    <x v="0"/>
    <x v="2"/>
    <x v="2"/>
    <x v="0"/>
  </r>
  <r>
    <s v="Analyzer Status changed from Maintenance to Ready."/>
    <x v="0"/>
    <x v="0"/>
    <d v="2016-10-13T00:00:00"/>
    <d v="1899-12-30T08:16:09"/>
    <s v="Analyzer"/>
    <x v="0"/>
    <x v="0"/>
    <x v="0"/>
    <x v="0"/>
  </r>
  <r>
    <s v="Analyzer Status changed from Ready to Maintenance."/>
    <x v="0"/>
    <x v="0"/>
    <d v="2016-10-13T00:00:00"/>
    <d v="1899-12-30T08:16:13"/>
    <s v="Analyzer"/>
    <x v="0"/>
    <x v="0"/>
    <x v="0"/>
    <x v="0"/>
  </r>
  <r>
    <s v="Analyzer Status changed from Maintenance to Ready."/>
    <x v="0"/>
    <x v="0"/>
    <d v="2016-10-13T00:00:00"/>
    <d v="1899-12-30T08:16:16"/>
    <s v="Analyzer"/>
    <x v="0"/>
    <x v="0"/>
    <x v="0"/>
    <x v="0"/>
  </r>
  <r>
    <s v="Manual maintenance activity make new diluted clean B has been executed."/>
    <x v="5"/>
    <x v="0"/>
    <d v="2016-10-13T00:00:00"/>
    <d v="1899-12-30T08:16:16"/>
    <s v="Maintenance"/>
    <x v="0"/>
    <x v="2"/>
    <x v="2"/>
    <x v="0"/>
  </r>
  <r>
    <s v="Non-identified Sample in rack 07 position 1, track 12."/>
    <x v="12"/>
    <x v="2"/>
    <d v="2016-10-13T00:00:00"/>
    <d v="1899-12-30T08:18:16"/>
    <s v="Materials"/>
    <x v="0"/>
    <x v="4"/>
    <x v="7"/>
    <x v="1"/>
  </r>
  <r>
    <s v="Non-identified Sample in rack 07 position 2, track 12."/>
    <x v="12"/>
    <x v="2"/>
    <d v="2016-10-13T00:00:00"/>
    <d v="1899-12-30T08:18:16"/>
    <s v="Materials"/>
    <x v="0"/>
    <x v="4"/>
    <x v="7"/>
    <x v="1"/>
  </r>
  <r>
    <s v="Non-identified Sample in rack 07 position 3, track 12."/>
    <x v="12"/>
    <x v="2"/>
    <d v="2016-10-13T00:00:00"/>
    <d v="1899-12-30T08:18:16"/>
    <s v="Materials"/>
    <x v="0"/>
    <x v="4"/>
    <x v="7"/>
    <x v="1"/>
  </r>
  <r>
    <s v="Non-identified Sample in rack 07 position 4, track 12."/>
    <x v="12"/>
    <x v="2"/>
    <d v="2016-10-13T00:00:00"/>
    <d v="1899-12-30T08:18:16"/>
    <s v="Materials"/>
    <x v="0"/>
    <x v="4"/>
    <x v="7"/>
    <x v="1"/>
  </r>
  <r>
    <s v="Non-identified Sample in rack 07 position 5, track 12."/>
    <x v="12"/>
    <x v="2"/>
    <d v="2016-10-13T00:00:00"/>
    <d v="1899-12-30T08:18:16"/>
    <s v="Materials"/>
    <x v="0"/>
    <x v="4"/>
    <x v="7"/>
    <x v="1"/>
  </r>
  <r>
    <s v="Analyzer Status changed from Ready to Busy."/>
    <x v="0"/>
    <x v="0"/>
    <d v="2016-10-13T00:00:00"/>
    <d v="1899-12-30T08:18:44"/>
    <s v="Analyzer"/>
    <x v="0"/>
    <x v="0"/>
    <x v="0"/>
    <x v="0"/>
  </r>
  <r>
    <s v="Analyzer Status changed from Busy to Ready."/>
    <x v="0"/>
    <x v="0"/>
    <d v="2016-10-13T00:00:00"/>
    <d v="1899-12-30T08:32:28"/>
    <s v="Analyzer"/>
    <x v="0"/>
    <x v="0"/>
    <x v="0"/>
    <x v="0"/>
  </r>
  <r>
    <s v="Analyzer Status changed from Ready to Maintenance."/>
    <x v="0"/>
    <x v="0"/>
    <d v="2016-10-13T00:00:00"/>
    <d v="1899-12-30T08:32:29"/>
    <s v="Analyzer"/>
    <x v="0"/>
    <x v="0"/>
    <x v="0"/>
    <x v="0"/>
  </r>
  <r>
    <s v="Automatic maintenance activity Automatic Routine Clean for all Probes has been executed."/>
    <x v="2"/>
    <x v="0"/>
    <d v="2016-10-13T00:00:00"/>
    <d v="1899-12-30T08:33:33"/>
    <s v="Maintenance"/>
    <x v="0"/>
    <x v="2"/>
    <x v="2"/>
    <x v="0"/>
  </r>
  <r>
    <s v="Analyzer Status changed from Maintenance to Ready."/>
    <x v="0"/>
    <x v="0"/>
    <d v="2016-10-13T00:00:00"/>
    <d v="1899-12-30T08:33:34"/>
    <s v="Analyzer"/>
    <x v="0"/>
    <x v="0"/>
    <x v="0"/>
    <x v="0"/>
  </r>
  <r>
    <s v="Analyzer Status changed from Ready to Diagnostics."/>
    <x v="0"/>
    <x v="0"/>
    <d v="2016-10-13T00:00:00"/>
    <d v="1899-12-30T09:29:24"/>
    <s v="Analyzer"/>
    <x v="0"/>
    <x v="0"/>
    <x v="0"/>
    <x v="0"/>
  </r>
  <r>
    <s v="Analyzer Status changed from Diagnostics to Emergency stop."/>
    <x v="0"/>
    <x v="0"/>
    <d v="2016-10-13T00:00:00"/>
    <d v="1899-12-30T09:37:11"/>
    <s v="Analyzer"/>
    <x v="0"/>
    <x v="0"/>
    <x v="0"/>
    <x v="0"/>
  </r>
  <r>
    <s v="Analyzer Status changed from Emergency stop to Not connected."/>
    <x v="0"/>
    <x v="0"/>
    <d v="2016-10-13T00:00:00"/>
    <d v="1899-12-30T09:37:11"/>
    <s v="Analyzer"/>
    <x v="0"/>
    <x v="0"/>
    <x v="0"/>
    <x v="0"/>
  </r>
  <r>
    <s v="Analyzer Status changed from Not connected to Power up."/>
    <x v="0"/>
    <x v="0"/>
    <d v="2016-10-13T00:00:00"/>
    <d v="1899-12-30T09:37:53"/>
    <s v="Analyzer"/>
    <x v="0"/>
    <x v="0"/>
    <x v="0"/>
    <x v="0"/>
  </r>
  <r>
    <s v="Analyzer Status changed from Power up to Initializing."/>
    <x v="0"/>
    <x v="0"/>
    <d v="2016-10-13T00:00:00"/>
    <d v="1899-12-30T09:38:03"/>
    <s v="Analyzer"/>
    <x v="0"/>
    <x v="0"/>
    <x v="0"/>
    <x v="0"/>
  </r>
  <r>
    <s v="Analyzer Status changed from Initializing to Adjusting thermal."/>
    <x v="0"/>
    <x v="0"/>
    <d v="2016-10-13T00:00:00"/>
    <d v="1899-12-30T09:39:49"/>
    <s v="Analyzer"/>
    <x v="0"/>
    <x v="0"/>
    <x v="0"/>
    <x v="0"/>
  </r>
  <r>
    <s v="Analyzer Status changed from Adjusting thermal to Ready."/>
    <x v="0"/>
    <x v="0"/>
    <d v="2016-10-13T00:00:00"/>
    <d v="1899-12-30T09:42:16"/>
    <s v="Analyzer"/>
    <x v="0"/>
    <x v="0"/>
    <x v="0"/>
    <x v="0"/>
  </r>
  <r>
    <s v="Analyzer Status changed from Ready to Maintenance."/>
    <x v="0"/>
    <x v="0"/>
    <d v="2016-10-13T00:00:00"/>
    <d v="1899-12-30T09:42:16"/>
    <s v="Analyzer"/>
    <x v="0"/>
    <x v="0"/>
    <x v="0"/>
    <x v="0"/>
  </r>
  <r>
    <s v="Analyzer Status changed from Maintenance to Ready."/>
    <x v="0"/>
    <x v="0"/>
    <d v="2016-10-13T00:00:00"/>
    <d v="1899-12-30T09:43:29"/>
    <s v="Analyzer"/>
    <x v="0"/>
    <x v="0"/>
    <x v="0"/>
    <x v="0"/>
  </r>
  <r>
    <s v="Analyzer Status changed from Ready to Diagnostics."/>
    <x v="0"/>
    <x v="0"/>
    <d v="2016-10-13T00:00:00"/>
    <d v="1899-12-30T09:56:13"/>
    <s v="Analyzer"/>
    <x v="0"/>
    <x v="0"/>
    <x v="0"/>
    <x v="0"/>
  </r>
  <r>
    <s v="Analyzer Status changed from Diagnostics to Emergency stop."/>
    <x v="0"/>
    <x v="0"/>
    <d v="2016-10-13T00:00:00"/>
    <d v="1899-12-30T10:00:57"/>
    <s v="Analyzer"/>
    <x v="0"/>
    <x v="0"/>
    <x v="0"/>
    <x v="0"/>
  </r>
  <r>
    <s v="Analyzer Status changed from Emergency stop to Not connected."/>
    <x v="0"/>
    <x v="0"/>
    <d v="2016-10-13T00:00:00"/>
    <d v="1899-12-30T10:00:57"/>
    <s v="Analyzer"/>
    <x v="0"/>
    <x v="0"/>
    <x v="0"/>
    <x v="0"/>
  </r>
  <r>
    <s v="Analyzer Status changed from Not connected to Power up."/>
    <x v="0"/>
    <x v="0"/>
    <d v="2016-10-13T00:00:00"/>
    <d v="1899-12-30T10:01:44"/>
    <s v="Analyzer"/>
    <x v="0"/>
    <x v="0"/>
    <x v="0"/>
    <x v="0"/>
  </r>
  <r>
    <s v="Analyzer Status changed from Power up to Initializing."/>
    <x v="0"/>
    <x v="0"/>
    <d v="2016-10-13T00:00:00"/>
    <d v="1899-12-30T10:01:54"/>
    <s v="Analyzer"/>
    <x v="0"/>
    <x v="0"/>
    <x v="0"/>
    <x v="0"/>
  </r>
  <r>
    <s v="Analyzer Status changed from Initializing to Adjusting thermal."/>
    <x v="0"/>
    <x v="0"/>
    <d v="2016-10-13T00:00:00"/>
    <d v="1899-12-30T10:03:41"/>
    <s v="Analyzer"/>
    <x v="0"/>
    <x v="0"/>
    <x v="0"/>
    <x v="0"/>
  </r>
  <r>
    <s v="Analyzer Status changed from Adjusting thermal to Ready."/>
    <x v="0"/>
    <x v="0"/>
    <d v="2016-10-13T00:00:00"/>
    <d v="1899-12-30T10:06:02"/>
    <s v="Analyzer"/>
    <x v="0"/>
    <x v="0"/>
    <x v="0"/>
    <x v="0"/>
  </r>
  <r>
    <s v="Analyzer Status changed from Ready to Maintenance."/>
    <x v="0"/>
    <x v="0"/>
    <d v="2016-10-13T00:00:00"/>
    <d v="1899-12-30T10:06:02"/>
    <s v="Analyzer"/>
    <x v="0"/>
    <x v="0"/>
    <x v="0"/>
    <x v="0"/>
  </r>
  <r>
    <s v="Analyzer Status changed from Maintenance to Ready."/>
    <x v="0"/>
    <x v="0"/>
    <d v="2016-10-13T00:00:00"/>
    <d v="1899-12-30T10:07:15"/>
    <s v="Analyzer"/>
    <x v="0"/>
    <x v="0"/>
    <x v="0"/>
    <x v="0"/>
  </r>
  <r>
    <s v="Non-identified Sample in rack 12 position 1, track 12."/>
    <x v="12"/>
    <x v="2"/>
    <d v="2016-10-13T00:00:00"/>
    <d v="1899-12-30T10:07:59"/>
    <s v="Materials"/>
    <x v="0"/>
    <x v="4"/>
    <x v="7"/>
    <x v="1"/>
  </r>
  <r>
    <s v="Analyzer Status changed from Ready to Busy."/>
    <x v="0"/>
    <x v="0"/>
    <d v="2016-10-13T00:00:00"/>
    <d v="1899-12-30T10:08:04"/>
    <s v="Analyzer"/>
    <x v="0"/>
    <x v="0"/>
    <x v="0"/>
    <x v="0"/>
  </r>
  <r>
    <s v="FII-RP Patient job not feasible. Waiting for Factor Diluent."/>
    <x v="26"/>
    <x v="1"/>
    <d v="2016-10-13T00:00:00"/>
    <d v="1899-12-30T10:08:36"/>
    <s v="Materials"/>
    <x v="0"/>
    <x v="2"/>
    <x v="3"/>
    <x v="0"/>
  </r>
  <r>
    <s v="FII-RP Patient job not feasible. Waiting for FII Def. Plasma."/>
    <x v="26"/>
    <x v="1"/>
    <d v="2016-10-13T00:00:00"/>
    <d v="1899-12-30T10:08:36"/>
    <s v="Materials"/>
    <x v="0"/>
    <x v="2"/>
    <x v="3"/>
    <x v="0"/>
  </r>
  <r>
    <s v="FII-RP Patient job not feasible. Waiting for PT RecombiPlasTin."/>
    <x v="26"/>
    <x v="1"/>
    <d v="2016-10-13T00:00:00"/>
    <d v="1899-12-30T10:08:36"/>
    <s v="Materials"/>
    <x v="0"/>
    <x v="2"/>
    <x v="3"/>
    <x v="0"/>
  </r>
  <r>
    <s v="Analyzer Status changed from Busy to Ready."/>
    <x v="0"/>
    <x v="0"/>
    <d v="2016-10-13T00:00:00"/>
    <d v="1899-12-30T10:08:36"/>
    <s v="Analyzer"/>
    <x v="0"/>
    <x v="0"/>
    <x v="0"/>
    <x v="0"/>
  </r>
  <r>
    <s v="FII-RP Patient Required Clean Material shortage has been estimated. Monitor Clean B Diluted availability."/>
    <x v="11"/>
    <x v="1"/>
    <d v="2016-10-13T00:00:00"/>
    <d v="1899-12-30T10:08:36"/>
    <s v="Materials"/>
    <x v="0"/>
    <x v="2"/>
    <x v="3"/>
    <x v="0"/>
  </r>
  <r>
    <s v="Analyzer Status changed from Ready to Maintenance."/>
    <x v="0"/>
    <x v="0"/>
    <d v="2016-10-13T00:00:00"/>
    <d v="1899-12-30T11:08:37"/>
    <s v="Analyzer"/>
    <x v="0"/>
    <x v="0"/>
    <x v="0"/>
    <x v="0"/>
  </r>
  <r>
    <s v="Analyzer Status changed from Maintenance to Ready."/>
    <x v="0"/>
    <x v="0"/>
    <d v="2016-10-13T00:00:00"/>
    <d v="1899-12-30T11:08:58"/>
    <s v="Analyzer"/>
    <x v="0"/>
    <x v="0"/>
    <x v="0"/>
    <x v="0"/>
  </r>
  <r>
    <s v="Automatic maintenance activity Automatic Fluidic Line Priming Cycle has been executed."/>
    <x v="2"/>
    <x v="0"/>
    <d v="2016-10-13T00:00:00"/>
    <d v="1899-12-30T11:08:58"/>
    <s v="Maintenance"/>
    <x v="0"/>
    <x v="2"/>
    <x v="2"/>
    <x v="0"/>
  </r>
  <r>
    <s v="Analyzer Status changed from Ready to Maintenance."/>
    <x v="0"/>
    <x v="0"/>
    <d v="2016-10-13T00:00:00"/>
    <d v="1899-12-30T12:08:59"/>
    <s v="Analyzer"/>
    <x v="0"/>
    <x v="0"/>
    <x v="0"/>
    <x v="0"/>
  </r>
  <r>
    <s v="Analyzer Status changed from Maintenance to Ready."/>
    <x v="0"/>
    <x v="0"/>
    <d v="2016-10-13T00:00:00"/>
    <d v="1899-12-30T12:09:20"/>
    <s v="Analyzer"/>
    <x v="0"/>
    <x v="0"/>
    <x v="0"/>
    <x v="0"/>
  </r>
  <r>
    <s v="Automatic maintenance activity Automatic Fluidic Line Priming Cycle has been executed."/>
    <x v="2"/>
    <x v="0"/>
    <d v="2016-10-13T00:00:00"/>
    <d v="1899-12-30T12:09:20"/>
    <s v="Maintenance"/>
    <x v="0"/>
    <x v="2"/>
    <x v="2"/>
    <x v="0"/>
  </r>
  <r>
    <s v="Analyzer Status changed from Ready to Maintenance."/>
    <x v="0"/>
    <x v="0"/>
    <d v="2016-10-13T00:00:00"/>
    <d v="1899-12-30T13:09:21"/>
    <s v="Analyzer"/>
    <x v="0"/>
    <x v="0"/>
    <x v="0"/>
    <x v="0"/>
  </r>
  <r>
    <s v="Analyzer Status changed from Maintenance to Ready."/>
    <x v="0"/>
    <x v="0"/>
    <d v="2016-10-13T00:00:00"/>
    <d v="1899-12-30T13:09:42"/>
    <s v="Analyzer"/>
    <x v="0"/>
    <x v="0"/>
    <x v="0"/>
    <x v="0"/>
  </r>
  <r>
    <s v="Automatic maintenance activity Automatic Fluidic Line Priming Cycle has been executed."/>
    <x v="2"/>
    <x v="0"/>
    <d v="2016-10-13T00:00:00"/>
    <d v="1899-12-30T13:09:42"/>
    <s v="Maintenance"/>
    <x v="0"/>
    <x v="2"/>
    <x v="2"/>
    <x v="0"/>
  </r>
  <r>
    <s v="Analyzer Status changed from Ready to Maintenance."/>
    <x v="0"/>
    <x v="0"/>
    <d v="2016-10-13T00:00:00"/>
    <d v="1899-12-30T14:09:43"/>
    <s v="Analyzer"/>
    <x v="0"/>
    <x v="0"/>
    <x v="0"/>
    <x v="0"/>
  </r>
  <r>
    <s v="Analyzer Status changed from Maintenance to Ready."/>
    <x v="0"/>
    <x v="0"/>
    <d v="2016-10-13T00:00:00"/>
    <d v="1899-12-30T14:10:04"/>
    <s v="Analyzer"/>
    <x v="0"/>
    <x v="0"/>
    <x v="0"/>
    <x v="0"/>
  </r>
  <r>
    <s v="Automatic maintenance activity Automatic Fluidic Line Priming Cycle has been executed."/>
    <x v="2"/>
    <x v="0"/>
    <d v="2016-10-13T00:00:00"/>
    <d v="1899-12-30T14:10:04"/>
    <s v="Maintenance"/>
    <x v="0"/>
    <x v="2"/>
    <x v="2"/>
    <x v="0"/>
  </r>
  <r>
    <s v="Analyzer Status changed from Ready to Maintenance."/>
    <x v="0"/>
    <x v="0"/>
    <d v="2016-10-13T00:00:00"/>
    <d v="1899-12-30T15:10:04"/>
    <s v="Analyzer"/>
    <x v="0"/>
    <x v="0"/>
    <x v="0"/>
    <x v="0"/>
  </r>
  <r>
    <s v="Analyzer Status changed from Maintenance to Ready."/>
    <x v="0"/>
    <x v="0"/>
    <d v="2016-10-13T00:00:00"/>
    <d v="1899-12-30T15:10:26"/>
    <s v="Analyzer"/>
    <x v="0"/>
    <x v="0"/>
    <x v="0"/>
    <x v="0"/>
  </r>
  <r>
    <s v="Automatic maintenance activity Automatic Fluidic Line Priming Cycle has been executed."/>
    <x v="2"/>
    <x v="0"/>
    <d v="2016-10-13T00:00:00"/>
    <d v="1899-12-30T15:10:26"/>
    <s v="Maintenance"/>
    <x v="0"/>
    <x v="2"/>
    <x v="2"/>
    <x v="0"/>
  </r>
  <r>
    <s v="Analyzer Status changed from Ready to Maintenance."/>
    <x v="0"/>
    <x v="0"/>
    <d v="2016-10-13T00:00:00"/>
    <d v="1899-12-30T16:10:26"/>
    <s v="Analyzer"/>
    <x v="0"/>
    <x v="0"/>
    <x v="0"/>
    <x v="0"/>
  </r>
  <r>
    <s v="Analyzer Status changed from Maintenance to Ready."/>
    <x v="0"/>
    <x v="0"/>
    <d v="2016-10-13T00:00:00"/>
    <d v="1899-12-30T16:10:48"/>
    <s v="Analyzer"/>
    <x v="0"/>
    <x v="0"/>
    <x v="0"/>
    <x v="0"/>
  </r>
  <r>
    <s v="Automatic maintenance activity Automatic Fluidic Line Priming Cycle has been executed."/>
    <x v="2"/>
    <x v="0"/>
    <d v="2016-10-13T00:00:00"/>
    <d v="1899-12-30T16:10:48"/>
    <s v="Maintenance"/>
    <x v="0"/>
    <x v="2"/>
    <x v="2"/>
    <x v="0"/>
  </r>
  <r>
    <s v="Analyzer Status changed from Ready to Maintenance."/>
    <x v="0"/>
    <x v="0"/>
    <d v="2016-10-13T00:00:00"/>
    <d v="1899-12-30T17:10:48"/>
    <s v="Analyzer"/>
    <x v="0"/>
    <x v="0"/>
    <x v="0"/>
    <x v="0"/>
  </r>
  <r>
    <s v="Analyzer Status changed from Maintenance to Ready."/>
    <x v="0"/>
    <x v="0"/>
    <d v="2016-10-13T00:00:00"/>
    <d v="1899-12-30T17:11:10"/>
    <s v="Analyzer"/>
    <x v="0"/>
    <x v="0"/>
    <x v="0"/>
    <x v="0"/>
  </r>
  <r>
    <s v="Automatic maintenance activity Automatic Fluidic Line Priming Cycle has been executed."/>
    <x v="2"/>
    <x v="0"/>
    <d v="2016-10-13T00:00:00"/>
    <d v="1899-12-30T17:11:10"/>
    <s v="Maintenance"/>
    <x v="0"/>
    <x v="2"/>
    <x v="2"/>
    <x v="0"/>
  </r>
  <r>
    <s v="Analyzer Status changed from Ready to Maintenance."/>
    <x v="0"/>
    <x v="0"/>
    <d v="2016-10-13T00:00:00"/>
    <d v="1899-12-30T18:11:10"/>
    <s v="Analyzer"/>
    <x v="0"/>
    <x v="0"/>
    <x v="0"/>
    <x v="0"/>
  </r>
  <r>
    <s v="Analyzer Status changed from Maintenance to Ready."/>
    <x v="0"/>
    <x v="0"/>
    <d v="2016-10-13T00:00:00"/>
    <d v="1899-12-30T18:11:32"/>
    <s v="Analyzer"/>
    <x v="0"/>
    <x v="0"/>
    <x v="0"/>
    <x v="0"/>
  </r>
  <r>
    <s v="Automatic maintenance activity Automatic Fluidic Line Priming Cycle has been executed."/>
    <x v="2"/>
    <x v="0"/>
    <d v="2016-10-13T00:00:00"/>
    <d v="1899-12-30T18:11:32"/>
    <s v="Maintenance"/>
    <x v="0"/>
    <x v="2"/>
    <x v="2"/>
    <x v="0"/>
  </r>
  <r>
    <s v="Analyzer Status changed from Ready to Maintenance."/>
    <x v="0"/>
    <x v="0"/>
    <d v="2016-10-13T00:00:00"/>
    <d v="1899-12-30T19:11:32"/>
    <s v="Analyzer"/>
    <x v="0"/>
    <x v="0"/>
    <x v="0"/>
    <x v="0"/>
  </r>
  <r>
    <s v="Analyzer Status changed from Maintenance to Ready."/>
    <x v="0"/>
    <x v="0"/>
    <d v="2016-10-13T00:00:00"/>
    <d v="1899-12-30T19:11:54"/>
    <s v="Analyzer"/>
    <x v="0"/>
    <x v="0"/>
    <x v="0"/>
    <x v="0"/>
  </r>
  <r>
    <s v="Automatic maintenance activity Automatic Fluidic Line Priming Cycle has been executed."/>
    <x v="2"/>
    <x v="0"/>
    <d v="2016-10-13T00:00:00"/>
    <d v="1899-12-30T19:11:54"/>
    <s v="Maintenance"/>
    <x v="0"/>
    <x v="2"/>
    <x v="2"/>
    <x v="0"/>
  </r>
  <r>
    <s v="Analyzer Status changed from Ready to Maintenance."/>
    <x v="0"/>
    <x v="0"/>
    <d v="2016-10-13T00:00:00"/>
    <d v="1899-12-30T20:11:54"/>
    <s v="Analyzer"/>
    <x v="0"/>
    <x v="0"/>
    <x v="0"/>
    <x v="0"/>
  </r>
  <r>
    <s v="Automatic maintenance activity Automatic Fluidic Line Priming Cycle has been executed."/>
    <x v="2"/>
    <x v="0"/>
    <d v="2016-10-13T00:00:00"/>
    <d v="1899-12-30T20:12:15"/>
    <s v="Maintenance"/>
    <x v="0"/>
    <x v="2"/>
    <x v="2"/>
    <x v="0"/>
  </r>
  <r>
    <s v="Analyzer Status changed from Maintenance to Ready."/>
    <x v="0"/>
    <x v="0"/>
    <d v="2016-10-13T00:00:00"/>
    <d v="1899-12-30T20:12:16"/>
    <s v="Analyzer"/>
    <x v="0"/>
    <x v="0"/>
    <x v="0"/>
    <x v="0"/>
  </r>
  <r>
    <s v="Analyzer Status changed from Ready to Maintenance."/>
    <x v="0"/>
    <x v="0"/>
    <d v="2016-10-13T00:00:00"/>
    <d v="1899-12-30T21:12:16"/>
    <s v="Analyzer"/>
    <x v="0"/>
    <x v="0"/>
    <x v="0"/>
    <x v="0"/>
  </r>
  <r>
    <s v="Analyzer Status changed from Maintenance to Ready."/>
    <x v="0"/>
    <x v="0"/>
    <d v="2016-10-13T00:00:00"/>
    <d v="1899-12-30T21:12:37"/>
    <s v="Analyzer"/>
    <x v="0"/>
    <x v="0"/>
    <x v="0"/>
    <x v="0"/>
  </r>
  <r>
    <s v="Automatic maintenance activity Automatic Fluidic Line Priming Cycle has been executed."/>
    <x v="2"/>
    <x v="0"/>
    <d v="2016-10-13T00:00:00"/>
    <d v="1899-12-30T21:12:37"/>
    <s v="Maintenance"/>
    <x v="0"/>
    <x v="2"/>
    <x v="2"/>
    <x v="0"/>
  </r>
  <r>
    <s v="Analyzer Status changed from Ready to Maintenance."/>
    <x v="0"/>
    <x v="0"/>
    <d v="2016-10-13T00:00:00"/>
    <d v="1899-12-30T22:12:38"/>
    <s v="Analyzer"/>
    <x v="0"/>
    <x v="0"/>
    <x v="0"/>
    <x v="0"/>
  </r>
  <r>
    <s v="Analyzer Status changed from Maintenance to Ready."/>
    <x v="0"/>
    <x v="0"/>
    <d v="2016-10-13T00:00:00"/>
    <d v="1899-12-30T22:12:59"/>
    <s v="Analyzer"/>
    <x v="0"/>
    <x v="0"/>
    <x v="0"/>
    <x v="0"/>
  </r>
  <r>
    <s v="Automatic maintenance activity Automatic Fluidic Line Priming Cycle has been executed."/>
    <x v="2"/>
    <x v="0"/>
    <d v="2016-10-13T00:00:00"/>
    <d v="1899-12-30T22:12:59"/>
    <s v="Maintenance"/>
    <x v="0"/>
    <x v="2"/>
    <x v="2"/>
    <x v="0"/>
  </r>
  <r>
    <s v="Analyzer Status changed from Ready to Maintenance."/>
    <x v="0"/>
    <x v="0"/>
    <d v="2016-10-13T00:00:00"/>
    <d v="1899-12-30T23:13:00"/>
    <s v="Analyzer"/>
    <x v="0"/>
    <x v="0"/>
    <x v="0"/>
    <x v="0"/>
  </r>
  <r>
    <s v="Automatic maintenance activity Automatic Fluidic Line Priming Cycle has been executed."/>
    <x v="2"/>
    <x v="0"/>
    <d v="2016-10-13T00:00:00"/>
    <d v="1899-12-30T23:13:21"/>
    <s v="Maintenance"/>
    <x v="0"/>
    <x v="2"/>
    <x v="2"/>
    <x v="0"/>
  </r>
  <r>
    <s v="Analyzer Status changed from Maintenance to Ready."/>
    <x v="0"/>
    <x v="0"/>
    <d v="2016-10-13T00:00:00"/>
    <d v="1899-12-30T23:13:22"/>
    <s v="Analyzer"/>
    <x v="0"/>
    <x v="0"/>
    <x v="0"/>
    <x v="0"/>
  </r>
  <r>
    <s v="Analyzer Status changed from Ready to Maintenance."/>
    <x v="0"/>
    <x v="0"/>
    <d v="2016-10-14T00:00:00"/>
    <d v="1899-12-30T00:13:22"/>
    <s v="Analyzer"/>
    <x v="0"/>
    <x v="0"/>
    <x v="0"/>
    <x v="0"/>
  </r>
  <r>
    <s v="Analyzer Status changed from Maintenance to Ready."/>
    <x v="0"/>
    <x v="0"/>
    <d v="2016-10-14T00:00:00"/>
    <d v="1899-12-30T00:13:43"/>
    <s v="Analyzer"/>
    <x v="0"/>
    <x v="0"/>
    <x v="0"/>
    <x v="0"/>
  </r>
  <r>
    <s v="Automatic maintenance activity Automatic Fluidic Line Priming Cycle has been executed."/>
    <x v="2"/>
    <x v="0"/>
    <d v="2016-10-14T00:00:00"/>
    <d v="1899-12-30T00:13:43"/>
    <s v="Maintenance"/>
    <x v="0"/>
    <x v="2"/>
    <x v="2"/>
    <x v="0"/>
  </r>
  <r>
    <s v="Analyzer Status changed from Ready to Maintenance."/>
    <x v="0"/>
    <x v="0"/>
    <d v="2016-10-14T00:00:00"/>
    <d v="1899-12-30T01:13:44"/>
    <s v="Analyzer"/>
    <x v="0"/>
    <x v="0"/>
    <x v="0"/>
    <x v="0"/>
  </r>
  <r>
    <s v="Analyzer Status changed from Maintenance to Ready."/>
    <x v="0"/>
    <x v="0"/>
    <d v="2016-10-14T00:00:00"/>
    <d v="1899-12-30T01:14:05"/>
    <s v="Analyzer"/>
    <x v="0"/>
    <x v="0"/>
    <x v="0"/>
    <x v="0"/>
  </r>
  <r>
    <s v="Automatic maintenance activity Automatic Fluidic Line Priming Cycle has been executed."/>
    <x v="2"/>
    <x v="0"/>
    <d v="2016-10-14T00:00:00"/>
    <d v="1899-12-30T01:14:05"/>
    <s v="Maintenance"/>
    <x v="0"/>
    <x v="2"/>
    <x v="2"/>
    <x v="0"/>
  </r>
  <r>
    <s v="Analyzer Status changed from Ready to Maintenance."/>
    <x v="0"/>
    <x v="0"/>
    <d v="2016-10-14T00:00:00"/>
    <d v="1899-12-30T02:14:06"/>
    <s v="Analyzer"/>
    <x v="0"/>
    <x v="0"/>
    <x v="0"/>
    <x v="0"/>
  </r>
  <r>
    <s v="Analyzer Status changed from Maintenance to Ready."/>
    <x v="0"/>
    <x v="0"/>
    <d v="2016-10-14T00:00:00"/>
    <d v="1899-12-30T02:14:27"/>
    <s v="Analyzer"/>
    <x v="0"/>
    <x v="0"/>
    <x v="0"/>
    <x v="0"/>
  </r>
  <r>
    <s v="Automatic maintenance activity Automatic Fluidic Line Priming Cycle has been executed."/>
    <x v="2"/>
    <x v="0"/>
    <d v="2016-10-14T00:00:00"/>
    <d v="1899-12-30T02:14:27"/>
    <s v="Maintenance"/>
    <x v="0"/>
    <x v="2"/>
    <x v="2"/>
    <x v="0"/>
  </r>
  <r>
    <s v="Analyzer Status changed from Ready to Maintenance."/>
    <x v="0"/>
    <x v="0"/>
    <d v="2016-10-14T00:00:00"/>
    <d v="1899-12-30T03:14:27"/>
    <s v="Analyzer"/>
    <x v="0"/>
    <x v="0"/>
    <x v="0"/>
    <x v="0"/>
  </r>
  <r>
    <s v="Analyzer Status changed from Maintenance to Ready."/>
    <x v="0"/>
    <x v="0"/>
    <d v="2016-10-14T00:00:00"/>
    <d v="1899-12-30T03:14:49"/>
    <s v="Analyzer"/>
    <x v="0"/>
    <x v="0"/>
    <x v="0"/>
    <x v="0"/>
  </r>
  <r>
    <s v="Automatic maintenance activity Automatic Fluidic Line Priming Cycle has been executed."/>
    <x v="2"/>
    <x v="0"/>
    <d v="2016-10-14T00:00:00"/>
    <d v="1899-12-30T03:14:49"/>
    <s v="Maintenance"/>
    <x v="0"/>
    <x v="2"/>
    <x v="2"/>
    <x v="0"/>
  </r>
  <r>
    <s v="Analyzer Status changed from Ready to Maintenance."/>
    <x v="0"/>
    <x v="0"/>
    <d v="2016-10-14T00:00:00"/>
    <d v="1899-12-30T04:14:49"/>
    <s v="Analyzer"/>
    <x v="0"/>
    <x v="0"/>
    <x v="0"/>
    <x v="0"/>
  </r>
  <r>
    <s v="Analyzer Status changed from Maintenance to Ready."/>
    <x v="0"/>
    <x v="0"/>
    <d v="2016-10-14T00:00:00"/>
    <d v="1899-12-30T04:15:11"/>
    <s v="Analyzer"/>
    <x v="0"/>
    <x v="0"/>
    <x v="0"/>
    <x v="0"/>
  </r>
  <r>
    <s v="Automatic maintenance activity Automatic Fluidic Line Priming Cycle has been executed."/>
    <x v="2"/>
    <x v="0"/>
    <d v="2016-10-14T00:00:00"/>
    <d v="1899-12-30T04:15:11"/>
    <s v="Maintenance"/>
    <x v="0"/>
    <x v="2"/>
    <x v="2"/>
    <x v="0"/>
  </r>
  <r>
    <s v="Analyzer Status changed from Ready to Maintenance."/>
    <x v="0"/>
    <x v="0"/>
    <d v="2016-10-14T00:00:00"/>
    <d v="1899-12-30T05:15:11"/>
    <s v="Analyzer"/>
    <x v="0"/>
    <x v="0"/>
    <x v="0"/>
    <x v="0"/>
  </r>
  <r>
    <s v="Analyzer Status changed from Maintenance to Ready."/>
    <x v="0"/>
    <x v="0"/>
    <d v="2016-10-14T00:00:00"/>
    <d v="1899-12-30T05:15:33"/>
    <s v="Analyzer"/>
    <x v="0"/>
    <x v="0"/>
    <x v="0"/>
    <x v="0"/>
  </r>
  <r>
    <s v="Automatic maintenance activity Automatic Fluidic Line Priming Cycle has been executed."/>
    <x v="2"/>
    <x v="0"/>
    <d v="2016-10-14T00:00:00"/>
    <d v="1899-12-30T05:15:33"/>
    <s v="Maintenance"/>
    <x v="0"/>
    <x v="2"/>
    <x v="2"/>
    <x v="0"/>
  </r>
  <r>
    <s v="Analyzer Status changed from Ready to Maintenance."/>
    <x v="0"/>
    <x v="0"/>
    <d v="2016-10-14T00:00:00"/>
    <d v="1899-12-30T06:15:33"/>
    <s v="Analyzer"/>
    <x v="0"/>
    <x v="0"/>
    <x v="0"/>
    <x v="0"/>
  </r>
  <r>
    <s v="Analyzer Status changed from Maintenance to Ready."/>
    <x v="0"/>
    <x v="0"/>
    <d v="2016-10-14T00:00:00"/>
    <d v="1899-12-30T06:15:55"/>
    <s v="Analyzer"/>
    <x v="0"/>
    <x v="0"/>
    <x v="0"/>
    <x v="0"/>
  </r>
  <r>
    <s v="Automatic maintenance activity Automatic Fluidic Line Priming Cycle has been executed."/>
    <x v="2"/>
    <x v="0"/>
    <d v="2016-10-14T00:00:00"/>
    <d v="1899-12-30T06:15:55"/>
    <s v="Maintenance"/>
    <x v="0"/>
    <x v="2"/>
    <x v="2"/>
    <x v="0"/>
  </r>
  <r>
    <s v="Maintenance activity due: Enhanced Clean for all Probes."/>
    <x v="9"/>
    <x v="1"/>
    <d v="2016-10-14T00:00:00"/>
    <d v="1899-12-30T07:15:29"/>
    <s v="Maintenance"/>
    <x v="0"/>
    <x v="2"/>
    <x v="2"/>
    <x v="0"/>
  </r>
  <r>
    <s v="Maintenance activity due: Enhanced Clean for Sample and Reagent Probes."/>
    <x v="9"/>
    <x v="1"/>
    <d v="2016-10-14T00:00:00"/>
    <d v="1899-12-30T07:15:29"/>
    <s v="Maintenance"/>
    <x v="0"/>
    <x v="2"/>
    <x v="2"/>
    <x v="0"/>
  </r>
  <r>
    <s v="Analyzer Status changed from Ready to Maintenance."/>
    <x v="0"/>
    <x v="0"/>
    <d v="2016-10-14T00:00:00"/>
    <d v="1899-12-30T07:15:55"/>
    <s v="Analyzer"/>
    <x v="0"/>
    <x v="0"/>
    <x v="0"/>
    <x v="0"/>
  </r>
  <r>
    <s v="Maintenance activity due: replace factor diluent."/>
    <x v="9"/>
    <x v="1"/>
    <d v="2016-10-14T00:00:00"/>
    <d v="1899-12-30T07:16:08"/>
    <s v="Maintenance"/>
    <x v="0"/>
    <x v="2"/>
    <x v="2"/>
    <x v="0"/>
  </r>
  <r>
    <s v="Maintenance activity due: make new diluted clean B."/>
    <x v="9"/>
    <x v="1"/>
    <d v="2016-10-14T00:00:00"/>
    <d v="1899-12-30T07:16:16"/>
    <s v="Maintenance"/>
    <x v="0"/>
    <x v="2"/>
    <x v="2"/>
    <x v="0"/>
  </r>
  <r>
    <s v="Analyzer Status changed from Maintenance to Ready."/>
    <x v="0"/>
    <x v="0"/>
    <d v="2016-10-14T00:00:00"/>
    <d v="1899-12-30T07:16:17"/>
    <s v="Analyzer"/>
    <x v="0"/>
    <x v="0"/>
    <x v="0"/>
    <x v="0"/>
  </r>
  <r>
    <s v="Automatic maintenance activity Automatic Fluidic Line Priming Cycle has been executed."/>
    <x v="2"/>
    <x v="0"/>
    <d v="2016-10-14T00:00:00"/>
    <d v="1899-12-30T07:16:17"/>
    <s v="Maintenance"/>
    <x v="0"/>
    <x v="2"/>
    <x v="2"/>
    <x v="0"/>
  </r>
  <r>
    <s v="Maintenance activity overdue: Enhanced Clean for all Probes."/>
    <x v="20"/>
    <x v="1"/>
    <d v="2016-10-14T00:00:00"/>
    <d v="1899-12-30T08:15:29"/>
    <s v="Maintenance"/>
    <x v="0"/>
    <x v="2"/>
    <x v="2"/>
    <x v="0"/>
  </r>
  <r>
    <s v="Maintenance activity overdue: Enhanced Clean for Sample and Reagent Probes."/>
    <x v="20"/>
    <x v="1"/>
    <d v="2016-10-14T00:00:00"/>
    <d v="1899-12-30T08:15:29"/>
    <s v="Maintenance"/>
    <x v="0"/>
    <x v="2"/>
    <x v="2"/>
    <x v="0"/>
  </r>
  <r>
    <s v="Maintenance activity overdue: replace factor diluent."/>
    <x v="20"/>
    <x v="1"/>
    <d v="2016-10-14T00:00:00"/>
    <d v="1899-12-30T08:16:08"/>
    <s v="Maintenance"/>
    <x v="0"/>
    <x v="2"/>
    <x v="2"/>
    <x v="0"/>
  </r>
  <r>
    <s v="Maintenance activity overdue: make new diluted clean B."/>
    <x v="20"/>
    <x v="1"/>
    <d v="2016-10-14T00:00:00"/>
    <d v="1899-12-30T08:16:16"/>
    <s v="Maintenance"/>
    <x v="0"/>
    <x v="2"/>
    <x v="2"/>
    <x v="0"/>
  </r>
  <r>
    <s v="Analyzer Status changed from Ready to Maintenance."/>
    <x v="0"/>
    <x v="0"/>
    <d v="2016-10-14T00:00:00"/>
    <d v="1899-12-30T08:16:17"/>
    <s v="Analyzer"/>
    <x v="0"/>
    <x v="0"/>
    <x v="0"/>
    <x v="0"/>
  </r>
  <r>
    <s v="Analyzer Status changed from Maintenance to Ready."/>
    <x v="0"/>
    <x v="0"/>
    <d v="2016-10-14T00:00:00"/>
    <d v="1899-12-30T08:16:39"/>
    <s v="Analyzer"/>
    <x v="0"/>
    <x v="0"/>
    <x v="0"/>
    <x v="0"/>
  </r>
  <r>
    <s v="Automatic maintenance activity Automatic Fluidic Line Priming Cycle has been executed."/>
    <x v="2"/>
    <x v="0"/>
    <d v="2016-10-14T00:00:00"/>
    <d v="1899-12-30T08:16:39"/>
    <s v="Maintenance"/>
    <x v="0"/>
    <x v="2"/>
    <x v="2"/>
    <x v="0"/>
  </r>
  <r>
    <s v="Analyzer Status changed from Ready to Maintenance."/>
    <x v="0"/>
    <x v="0"/>
    <d v="2016-10-14T00:00:00"/>
    <d v="1899-12-30T09:16:39"/>
    <s v="Analyzer"/>
    <x v="0"/>
    <x v="0"/>
    <x v="0"/>
    <x v="0"/>
  </r>
  <r>
    <s v="Analyzer Status changed from Maintenance to Ready."/>
    <x v="0"/>
    <x v="0"/>
    <d v="2016-10-14T00:00:00"/>
    <d v="1899-12-30T09:17:01"/>
    <s v="Analyzer"/>
    <x v="0"/>
    <x v="0"/>
    <x v="0"/>
    <x v="0"/>
  </r>
  <r>
    <s v="Automatic maintenance activity Automatic Fluidic Line Priming Cycle has been executed."/>
    <x v="2"/>
    <x v="0"/>
    <d v="2016-10-14T00:00:00"/>
    <d v="1899-12-30T09:17:01"/>
    <s v="Maintenance"/>
    <x v="0"/>
    <x v="2"/>
    <x v="2"/>
    <x v="0"/>
  </r>
  <r>
    <s v="Analyzer Status changed from Ready to Maintenance."/>
    <x v="0"/>
    <x v="0"/>
    <d v="2016-10-14T00:00:00"/>
    <d v="1899-12-30T10:17:01"/>
    <s v="Analyzer"/>
    <x v="0"/>
    <x v="0"/>
    <x v="0"/>
    <x v="0"/>
  </r>
  <r>
    <s v="Analyzer Status changed from Maintenance to Ready."/>
    <x v="0"/>
    <x v="0"/>
    <d v="2016-10-14T00:00:00"/>
    <d v="1899-12-30T10:18:36"/>
    <s v="Analyzer"/>
    <x v="0"/>
    <x v="0"/>
    <x v="0"/>
    <x v="0"/>
  </r>
  <r>
    <s v="Automatic maintenance activity Automatic Fluidic Line Priming Cycle has been executed."/>
    <x v="2"/>
    <x v="0"/>
    <d v="2016-10-14T00:00:00"/>
    <d v="1899-12-30T10:18:36"/>
    <s v="Maintenance"/>
    <x v="0"/>
    <x v="2"/>
    <x v="2"/>
    <x v="0"/>
  </r>
  <r>
    <s v="Analyzer Status changed from Ready to Maintenance."/>
    <x v="0"/>
    <x v="0"/>
    <d v="2016-10-14T00:00:00"/>
    <d v="1899-12-30T11:18:36"/>
    <s v="Analyzer"/>
    <x v="0"/>
    <x v="0"/>
    <x v="0"/>
    <x v="0"/>
  </r>
  <r>
    <s v="Automatic maintenance activity Automatic Fluidic Line Priming Cycle has been executed."/>
    <x v="2"/>
    <x v="0"/>
    <d v="2016-10-14T00:00:00"/>
    <d v="1899-12-30T11:18:57"/>
    <s v="Maintenance"/>
    <x v="0"/>
    <x v="2"/>
    <x v="2"/>
    <x v="0"/>
  </r>
  <r>
    <s v="Analyzer Status changed from Maintenance to Ready."/>
    <x v="0"/>
    <x v="0"/>
    <d v="2016-10-14T00:00:00"/>
    <d v="1899-12-30T11:18:58"/>
    <s v="Analyzer"/>
    <x v="0"/>
    <x v="0"/>
    <x v="0"/>
    <x v="0"/>
  </r>
  <r>
    <s v="Analyzer Status changed from Ready to Maintenance."/>
    <x v="0"/>
    <x v="0"/>
    <d v="2016-10-14T00:00:00"/>
    <d v="1899-12-30T12:18:58"/>
    <s v="Analyzer"/>
    <x v="0"/>
    <x v="0"/>
    <x v="0"/>
    <x v="0"/>
  </r>
  <r>
    <s v="Automatic maintenance activity Automatic Fluidic Line Priming Cycle has been executed."/>
    <x v="2"/>
    <x v="0"/>
    <d v="2016-10-14T00:00:00"/>
    <d v="1899-12-30T12:19:19"/>
    <s v="Maintenance"/>
    <x v="0"/>
    <x v="2"/>
    <x v="2"/>
    <x v="0"/>
  </r>
  <r>
    <s v="Analyzer Status changed from Maintenance to Ready."/>
    <x v="0"/>
    <x v="0"/>
    <d v="2016-10-14T00:00:00"/>
    <d v="1899-12-30T12:19:20"/>
    <s v="Analyzer"/>
    <x v="0"/>
    <x v="0"/>
    <x v="0"/>
    <x v="0"/>
  </r>
  <r>
    <s v="Analyzer Status changed from Ready to Maintenance."/>
    <x v="0"/>
    <x v="0"/>
    <d v="2016-10-14T00:00:00"/>
    <d v="1899-12-30T13:19:20"/>
    <s v="Analyzer"/>
    <x v="0"/>
    <x v="0"/>
    <x v="0"/>
    <x v="0"/>
  </r>
  <r>
    <s v="Automatic maintenance activity Automatic Fluidic Line Priming Cycle has been executed."/>
    <x v="2"/>
    <x v="0"/>
    <d v="2016-10-14T00:00:00"/>
    <d v="1899-12-30T13:19:41"/>
    <s v="Maintenance"/>
    <x v="0"/>
    <x v="2"/>
    <x v="2"/>
    <x v="0"/>
  </r>
  <r>
    <s v="Analyzer Status changed from Maintenance to Ready."/>
    <x v="0"/>
    <x v="0"/>
    <d v="2016-10-14T00:00:00"/>
    <d v="1899-12-30T13:19:42"/>
    <s v="Analyzer"/>
    <x v="0"/>
    <x v="0"/>
    <x v="0"/>
    <x v="0"/>
  </r>
  <r>
    <s v="Analyzer Status changed from Ready to Maintenance."/>
    <x v="0"/>
    <x v="0"/>
    <d v="2016-10-14T00:00:00"/>
    <d v="1899-12-30T14:19:42"/>
    <s v="Analyzer"/>
    <x v="0"/>
    <x v="0"/>
    <x v="0"/>
    <x v="0"/>
  </r>
  <r>
    <s v="Analyzer Status changed from Maintenance to Ready."/>
    <x v="0"/>
    <x v="0"/>
    <d v="2016-10-14T00:00:00"/>
    <d v="1899-12-30T14:20:03"/>
    <s v="Analyzer"/>
    <x v="0"/>
    <x v="0"/>
    <x v="0"/>
    <x v="0"/>
  </r>
  <r>
    <s v="Automatic maintenance activity Automatic Fluidic Line Priming Cycle has been executed."/>
    <x v="2"/>
    <x v="0"/>
    <d v="2016-10-14T00:00:00"/>
    <d v="1899-12-30T14:20:03"/>
    <s v="Maintenance"/>
    <x v="0"/>
    <x v="2"/>
    <x v="2"/>
    <x v="0"/>
  </r>
  <r>
    <s v="Analyzer Status changed from Ready to Maintenance."/>
    <x v="0"/>
    <x v="0"/>
    <d v="2016-10-14T00:00:00"/>
    <d v="1899-12-30T15:20:04"/>
    <s v="Analyzer"/>
    <x v="0"/>
    <x v="0"/>
    <x v="0"/>
    <x v="0"/>
  </r>
  <r>
    <s v="Analyzer Status changed from Maintenance to Ready."/>
    <x v="0"/>
    <x v="0"/>
    <d v="2016-10-14T00:00:00"/>
    <d v="1899-12-30T15:20:25"/>
    <s v="Analyzer"/>
    <x v="0"/>
    <x v="0"/>
    <x v="0"/>
    <x v="0"/>
  </r>
  <r>
    <s v="Automatic maintenance activity Automatic Fluidic Line Priming Cycle has been executed."/>
    <x v="2"/>
    <x v="0"/>
    <d v="2016-10-14T00:00:00"/>
    <d v="1899-12-30T15:20:25"/>
    <s v="Maintenance"/>
    <x v="0"/>
    <x v="2"/>
    <x v="2"/>
    <x v="0"/>
  </r>
  <r>
    <s v="Analyzer Status changed from Ready to Maintenance."/>
    <x v="0"/>
    <x v="0"/>
    <d v="2016-10-14T00:00:00"/>
    <d v="1899-12-30T16:20:25"/>
    <s v="Analyzer"/>
    <x v="0"/>
    <x v="0"/>
    <x v="0"/>
    <x v="0"/>
  </r>
  <r>
    <s v="Analyzer Status changed from Maintenance to Ready."/>
    <x v="0"/>
    <x v="0"/>
    <d v="2016-10-14T00:00:00"/>
    <d v="1899-12-30T16:20:47"/>
    <s v="Analyzer"/>
    <x v="0"/>
    <x v="0"/>
    <x v="0"/>
    <x v="0"/>
  </r>
  <r>
    <s v="Automatic maintenance activity Automatic Fluidic Line Priming Cycle has been executed."/>
    <x v="2"/>
    <x v="0"/>
    <d v="2016-10-14T00:00:00"/>
    <d v="1899-12-30T16:20:47"/>
    <s v="Maintenance"/>
    <x v="0"/>
    <x v="2"/>
    <x v="2"/>
    <x v="0"/>
  </r>
  <r>
    <s v="Analyzer Status changed from Ready to Maintenance."/>
    <x v="0"/>
    <x v="0"/>
    <d v="2016-10-14T00:00:00"/>
    <d v="1899-12-30T17:20:47"/>
    <s v="Analyzer"/>
    <x v="0"/>
    <x v="0"/>
    <x v="0"/>
    <x v="0"/>
  </r>
  <r>
    <s v="Analyzer Status changed from Maintenance to Ready."/>
    <x v="0"/>
    <x v="0"/>
    <d v="2016-10-14T00:00:00"/>
    <d v="1899-12-30T17:21:09"/>
    <s v="Analyzer"/>
    <x v="0"/>
    <x v="0"/>
    <x v="0"/>
    <x v="0"/>
  </r>
  <r>
    <s v="Automatic maintenance activity Automatic Fluidic Line Priming Cycle has been executed."/>
    <x v="2"/>
    <x v="0"/>
    <d v="2016-10-14T00:00:00"/>
    <d v="1899-12-30T17:21:09"/>
    <s v="Maintenance"/>
    <x v="0"/>
    <x v="2"/>
    <x v="2"/>
    <x v="0"/>
  </r>
  <r>
    <s v="Analyzer Status changed from Ready to Maintenance."/>
    <x v="0"/>
    <x v="0"/>
    <d v="2016-10-14T00:00:00"/>
    <d v="1899-12-30T18:21:09"/>
    <s v="Analyzer"/>
    <x v="0"/>
    <x v="0"/>
    <x v="0"/>
    <x v="0"/>
  </r>
  <r>
    <s v="Analyzer Status changed from Maintenance to Ready."/>
    <x v="0"/>
    <x v="0"/>
    <d v="2016-10-14T00:00:00"/>
    <d v="1899-12-30T18:21:31"/>
    <s v="Analyzer"/>
    <x v="0"/>
    <x v="0"/>
    <x v="0"/>
    <x v="0"/>
  </r>
  <r>
    <s v="Automatic maintenance activity Automatic Fluidic Line Priming Cycle has been executed."/>
    <x v="2"/>
    <x v="0"/>
    <d v="2016-10-14T00:00:00"/>
    <d v="1899-12-30T18:21:31"/>
    <s v="Maintenance"/>
    <x v="0"/>
    <x v="2"/>
    <x v="2"/>
    <x v="0"/>
  </r>
  <r>
    <s v="Analyzer Status changed from Ready to Maintenance."/>
    <x v="0"/>
    <x v="0"/>
    <d v="2016-10-14T00:00:00"/>
    <d v="1899-12-30T19:21:31"/>
    <s v="Analyzer"/>
    <x v="0"/>
    <x v="0"/>
    <x v="0"/>
    <x v="0"/>
  </r>
  <r>
    <s v="Analyzer Status changed from Maintenance to Ready."/>
    <x v="0"/>
    <x v="0"/>
    <d v="2016-10-14T00:00:00"/>
    <d v="1899-12-30T19:21:53"/>
    <s v="Analyzer"/>
    <x v="0"/>
    <x v="0"/>
    <x v="0"/>
    <x v="0"/>
  </r>
  <r>
    <s v="Automatic maintenance activity Automatic Fluidic Line Priming Cycle has been executed."/>
    <x v="2"/>
    <x v="0"/>
    <d v="2016-10-14T00:00:00"/>
    <d v="1899-12-30T19:21:53"/>
    <s v="Maintenance"/>
    <x v="0"/>
    <x v="2"/>
    <x v="2"/>
    <x v="0"/>
  </r>
  <r>
    <s v="Analyzer Status changed from Ready to Maintenance."/>
    <x v="0"/>
    <x v="0"/>
    <d v="2016-10-14T00:00:00"/>
    <d v="1899-12-30T20:21:53"/>
    <s v="Analyzer"/>
    <x v="0"/>
    <x v="0"/>
    <x v="0"/>
    <x v="0"/>
  </r>
  <r>
    <s v="Analyzer Status changed from Maintenance to Ready."/>
    <x v="0"/>
    <x v="0"/>
    <d v="2016-10-14T00:00:00"/>
    <d v="1899-12-30T20:22:15"/>
    <s v="Analyzer"/>
    <x v="0"/>
    <x v="0"/>
    <x v="0"/>
    <x v="0"/>
  </r>
  <r>
    <s v="Automatic maintenance activity Automatic Fluidic Line Priming Cycle has been executed."/>
    <x v="2"/>
    <x v="0"/>
    <d v="2016-10-14T00:00:00"/>
    <d v="1899-12-30T20:22:15"/>
    <s v="Maintenance"/>
    <x v="0"/>
    <x v="2"/>
    <x v="2"/>
    <x v="0"/>
  </r>
  <r>
    <s v="Analyzer Status changed from Ready to Maintenance."/>
    <x v="0"/>
    <x v="0"/>
    <d v="2016-10-14T00:00:00"/>
    <d v="1899-12-30T21:22:15"/>
    <s v="Analyzer"/>
    <x v="0"/>
    <x v="0"/>
    <x v="0"/>
    <x v="0"/>
  </r>
  <r>
    <s v="Analyzer Status changed from Maintenance to Ready."/>
    <x v="0"/>
    <x v="0"/>
    <d v="2016-10-14T00:00:00"/>
    <d v="1899-12-30T21:22:37"/>
    <s v="Analyzer"/>
    <x v="0"/>
    <x v="0"/>
    <x v="0"/>
    <x v="0"/>
  </r>
  <r>
    <s v="Automatic maintenance activity Automatic Fluidic Line Priming Cycle has been executed."/>
    <x v="2"/>
    <x v="0"/>
    <d v="2016-10-14T00:00:00"/>
    <d v="1899-12-30T21:22:37"/>
    <s v="Maintenance"/>
    <x v="0"/>
    <x v="2"/>
    <x v="2"/>
    <x v="0"/>
  </r>
  <r>
    <s v="Analyzer Status changed from Ready to Maintenance."/>
    <x v="0"/>
    <x v="0"/>
    <d v="2016-10-14T00:00:00"/>
    <d v="1899-12-30T22:22:38"/>
    <s v="Analyzer"/>
    <x v="0"/>
    <x v="0"/>
    <x v="0"/>
    <x v="0"/>
  </r>
  <r>
    <s v="Analyzer Status changed from Maintenance to Ready."/>
    <x v="0"/>
    <x v="0"/>
    <d v="2016-10-14T00:00:00"/>
    <d v="1899-12-30T22:22:59"/>
    <s v="Analyzer"/>
    <x v="0"/>
    <x v="0"/>
    <x v="0"/>
    <x v="0"/>
  </r>
  <r>
    <s v="Automatic maintenance activity Automatic Fluidic Line Priming Cycle has been executed."/>
    <x v="2"/>
    <x v="0"/>
    <d v="2016-10-14T00:00:00"/>
    <d v="1899-12-30T22:22:59"/>
    <s v="Maintenance"/>
    <x v="0"/>
    <x v="2"/>
    <x v="2"/>
    <x v="0"/>
  </r>
  <r>
    <s v="Clean solution level low."/>
    <x v="19"/>
    <x v="1"/>
    <d v="2016-10-14T00:00:00"/>
    <d v="1899-12-30T22:23:05"/>
    <s v="Materials"/>
    <x v="0"/>
    <x v="1"/>
    <x v="10"/>
    <x v="0"/>
  </r>
  <r>
    <s v="Analyzer Status changed from Ready to Maintenance."/>
    <x v="0"/>
    <x v="0"/>
    <d v="2016-10-14T00:00:00"/>
    <d v="1899-12-30T23:23:00"/>
    <s v="Analyzer"/>
    <x v="0"/>
    <x v="0"/>
    <x v="0"/>
    <x v="0"/>
  </r>
  <r>
    <s v="Analyzer Status changed from Maintenance to Ready."/>
    <x v="0"/>
    <x v="0"/>
    <d v="2016-10-14T00:00:00"/>
    <d v="1899-12-30T23:23:21"/>
    <s v="Analyzer"/>
    <x v="0"/>
    <x v="0"/>
    <x v="0"/>
    <x v="0"/>
  </r>
  <r>
    <s v="Automatic maintenance activity Automatic Fluidic Line Priming Cycle has been executed."/>
    <x v="2"/>
    <x v="0"/>
    <d v="2016-10-14T00:00:00"/>
    <d v="1899-12-30T23:23:21"/>
    <s v="Maintenance"/>
    <x v="0"/>
    <x v="2"/>
    <x v="2"/>
    <x v="0"/>
  </r>
  <r>
    <s v="Analyzer Status changed from Ready to Maintenance."/>
    <x v="0"/>
    <x v="0"/>
    <d v="2016-10-15T00:00:00"/>
    <d v="1899-12-30T00:23:21"/>
    <s v="Analyzer"/>
    <x v="0"/>
    <x v="0"/>
    <x v="0"/>
    <x v="0"/>
  </r>
  <r>
    <s v="Analyzer Status changed from Maintenance to Ready."/>
    <x v="0"/>
    <x v="0"/>
    <d v="2016-10-15T00:00:00"/>
    <d v="1899-12-30T00:23:43"/>
    <s v="Analyzer"/>
    <x v="0"/>
    <x v="0"/>
    <x v="0"/>
    <x v="0"/>
  </r>
  <r>
    <s v="Automatic maintenance activity Automatic Fluidic Line Priming Cycle has been executed."/>
    <x v="2"/>
    <x v="0"/>
    <d v="2016-10-15T00:00:00"/>
    <d v="1899-12-30T00:23:43"/>
    <s v="Maintenance"/>
    <x v="0"/>
    <x v="2"/>
    <x v="2"/>
    <x v="0"/>
  </r>
  <r>
    <s v="Analyzer Status changed from Ready to Maintenance."/>
    <x v="0"/>
    <x v="0"/>
    <d v="2016-10-15T00:00:00"/>
    <d v="1899-12-30T01:23:43"/>
    <s v="Analyzer"/>
    <x v="0"/>
    <x v="0"/>
    <x v="0"/>
    <x v="0"/>
  </r>
  <r>
    <s v="Automatic maintenance activity Automatic Fluidic Line Priming Cycle has been executed."/>
    <x v="2"/>
    <x v="0"/>
    <d v="2016-10-15T00:00:00"/>
    <d v="1899-12-30T01:24:04"/>
    <s v="Maintenance"/>
    <x v="0"/>
    <x v="2"/>
    <x v="2"/>
    <x v="0"/>
  </r>
  <r>
    <s v="Analyzer Status changed from Maintenance to Ready."/>
    <x v="0"/>
    <x v="0"/>
    <d v="2016-10-15T00:00:00"/>
    <d v="1899-12-30T01:24:05"/>
    <s v="Analyzer"/>
    <x v="0"/>
    <x v="0"/>
    <x v="0"/>
    <x v="0"/>
  </r>
  <r>
    <s v="Analyzer Status changed from Ready to Maintenance."/>
    <x v="0"/>
    <x v="0"/>
    <d v="2016-10-15T00:00:00"/>
    <d v="1899-12-30T02:24:05"/>
    <s v="Analyzer"/>
    <x v="0"/>
    <x v="0"/>
    <x v="0"/>
    <x v="0"/>
  </r>
  <r>
    <s v="Analyzer Status changed from Maintenance to Ready."/>
    <x v="0"/>
    <x v="0"/>
    <d v="2016-10-15T00:00:00"/>
    <d v="1899-12-30T02:24:26"/>
    <s v="Analyzer"/>
    <x v="0"/>
    <x v="0"/>
    <x v="0"/>
    <x v="0"/>
  </r>
  <r>
    <s v="Automatic maintenance activity Automatic Fluidic Line Priming Cycle has been executed."/>
    <x v="2"/>
    <x v="0"/>
    <d v="2016-10-15T00:00:00"/>
    <d v="1899-12-30T02:24:26"/>
    <s v="Maintenance"/>
    <x v="0"/>
    <x v="2"/>
    <x v="2"/>
    <x v="0"/>
  </r>
  <r>
    <s v="Analyzer Status changed from Ready to Maintenance."/>
    <x v="0"/>
    <x v="0"/>
    <d v="2016-10-15T00:00:00"/>
    <d v="1899-12-30T03:24:27"/>
    <s v="Analyzer"/>
    <x v="0"/>
    <x v="0"/>
    <x v="0"/>
    <x v="0"/>
  </r>
  <r>
    <s v="Analyzer Status changed from Maintenance to Ready."/>
    <x v="0"/>
    <x v="0"/>
    <d v="2016-10-15T00:00:00"/>
    <d v="1899-12-30T03:24:48"/>
    <s v="Analyzer"/>
    <x v="0"/>
    <x v="0"/>
    <x v="0"/>
    <x v="0"/>
  </r>
  <r>
    <s v="Automatic maintenance activity Automatic Fluidic Line Priming Cycle has been executed."/>
    <x v="2"/>
    <x v="0"/>
    <d v="2016-10-15T00:00:00"/>
    <d v="1899-12-30T03:24:48"/>
    <s v="Maintenance"/>
    <x v="0"/>
    <x v="2"/>
    <x v="2"/>
    <x v="0"/>
  </r>
  <r>
    <s v="Analyzer Status changed from Ready to Maintenance."/>
    <x v="0"/>
    <x v="0"/>
    <d v="2016-10-15T00:00:00"/>
    <d v="1899-12-30T04:24:48"/>
    <s v="Analyzer"/>
    <x v="0"/>
    <x v="0"/>
    <x v="0"/>
    <x v="0"/>
  </r>
  <r>
    <s v="Analyzer Status changed from Maintenance to Ready."/>
    <x v="0"/>
    <x v="0"/>
    <d v="2016-10-15T00:00:00"/>
    <d v="1899-12-30T04:25:10"/>
    <s v="Analyzer"/>
    <x v="0"/>
    <x v="0"/>
    <x v="0"/>
    <x v="0"/>
  </r>
  <r>
    <s v="Automatic maintenance activity Automatic Fluidic Line Priming Cycle has been executed."/>
    <x v="2"/>
    <x v="0"/>
    <d v="2016-10-15T00:00:00"/>
    <d v="1899-12-30T04:25:10"/>
    <s v="Maintenance"/>
    <x v="0"/>
    <x v="2"/>
    <x v="2"/>
    <x v="0"/>
  </r>
  <r>
    <s v="Analyzer Status changed from Ready to Maintenance."/>
    <x v="0"/>
    <x v="0"/>
    <d v="2016-10-15T00:00:00"/>
    <d v="1899-12-30T05:25:11"/>
    <s v="Analyzer"/>
    <x v="0"/>
    <x v="0"/>
    <x v="0"/>
    <x v="0"/>
  </r>
  <r>
    <s v="Analyzer Status changed from Maintenance to Ready."/>
    <x v="0"/>
    <x v="0"/>
    <d v="2016-10-15T00:00:00"/>
    <d v="1899-12-30T05:25:32"/>
    <s v="Analyzer"/>
    <x v="0"/>
    <x v="0"/>
    <x v="0"/>
    <x v="0"/>
  </r>
  <r>
    <s v="Automatic maintenance activity Automatic Fluidic Line Priming Cycle has been executed."/>
    <x v="2"/>
    <x v="0"/>
    <d v="2016-10-15T00:00:00"/>
    <d v="1899-12-30T05:25:32"/>
    <s v="Maintenance"/>
    <x v="0"/>
    <x v="2"/>
    <x v="2"/>
    <x v="0"/>
  </r>
  <r>
    <s v="Analyzer Status changed from Ready to Maintenance."/>
    <x v="0"/>
    <x v="0"/>
    <d v="2016-10-15T00:00:00"/>
    <d v="1899-12-30T06:25:33"/>
    <s v="Analyzer"/>
    <x v="0"/>
    <x v="0"/>
    <x v="0"/>
    <x v="0"/>
  </r>
  <r>
    <s v="Analyzer Status changed from Maintenance to Ready."/>
    <x v="0"/>
    <x v="0"/>
    <d v="2016-10-15T00:00:00"/>
    <d v="1899-12-30T06:25:54"/>
    <s v="Analyzer"/>
    <x v="0"/>
    <x v="0"/>
    <x v="0"/>
    <x v="0"/>
  </r>
  <r>
    <s v="Automatic maintenance activity Automatic Fluidic Line Priming Cycle has been executed."/>
    <x v="2"/>
    <x v="0"/>
    <d v="2016-10-15T00:00:00"/>
    <d v="1899-12-30T06:25:54"/>
    <s v="Maintenance"/>
    <x v="0"/>
    <x v="2"/>
    <x v="2"/>
    <x v="0"/>
  </r>
  <r>
    <s v="Analyzer Status changed from Ready to Maintenance."/>
    <x v="0"/>
    <x v="0"/>
    <d v="2016-10-15T00:00:00"/>
    <d v="1899-12-30T07:25:55"/>
    <s v="Analyzer"/>
    <x v="0"/>
    <x v="0"/>
    <x v="0"/>
    <x v="0"/>
  </r>
  <r>
    <s v="Analyzer Status changed from Maintenance to Ready."/>
    <x v="0"/>
    <x v="0"/>
    <d v="2016-10-15T00:00:00"/>
    <d v="1899-12-30T07:26:16"/>
    <s v="Analyzer"/>
    <x v="0"/>
    <x v="0"/>
    <x v="0"/>
    <x v="0"/>
  </r>
  <r>
    <s v="Automatic maintenance activity Automatic Fluidic Line Priming Cycle has been executed."/>
    <x v="2"/>
    <x v="0"/>
    <d v="2016-10-15T00:00:00"/>
    <d v="1899-12-30T07:26:16"/>
    <s v="Maintenance"/>
    <x v="0"/>
    <x v="2"/>
    <x v="2"/>
    <x v="0"/>
  </r>
  <r>
    <s v="Analyzer Status changed from Ready to Maintenance."/>
    <x v="0"/>
    <x v="0"/>
    <d v="2016-10-15T00:00:00"/>
    <d v="1899-12-30T08:26:16"/>
    <s v="Analyzer"/>
    <x v="0"/>
    <x v="0"/>
    <x v="0"/>
    <x v="0"/>
  </r>
  <r>
    <s v="Analyzer Status changed from Maintenance to Ready."/>
    <x v="0"/>
    <x v="0"/>
    <d v="2016-10-15T00:00:00"/>
    <d v="1899-12-30T08:26:38"/>
    <s v="Analyzer"/>
    <x v="0"/>
    <x v="0"/>
    <x v="0"/>
    <x v="0"/>
  </r>
  <r>
    <s v="Automatic maintenance activity Automatic Fluidic Line Priming Cycle has been executed."/>
    <x v="2"/>
    <x v="0"/>
    <d v="2016-10-15T00:00:00"/>
    <d v="1899-12-30T08:26:38"/>
    <s v="Maintenance"/>
    <x v="0"/>
    <x v="2"/>
    <x v="2"/>
    <x v="0"/>
  </r>
  <r>
    <s v="Analyzer Status changed from Ready to Maintenance."/>
    <x v="0"/>
    <x v="0"/>
    <d v="2016-10-15T00:00:00"/>
    <d v="1899-12-30T09:26:38"/>
    <s v="Analyzer"/>
    <x v="0"/>
    <x v="0"/>
    <x v="0"/>
    <x v="0"/>
  </r>
  <r>
    <s v="Analyzer Status changed from Maintenance to Ready."/>
    <x v="0"/>
    <x v="0"/>
    <d v="2016-10-15T00:00:00"/>
    <d v="1899-12-30T09:27:00"/>
    <s v="Analyzer"/>
    <x v="0"/>
    <x v="0"/>
    <x v="0"/>
    <x v="0"/>
  </r>
  <r>
    <s v="Automatic maintenance activity Automatic Fluidic Line Priming Cycle has been executed."/>
    <x v="2"/>
    <x v="0"/>
    <d v="2016-10-15T00:00:00"/>
    <d v="1899-12-30T09:27:00"/>
    <s v="Maintenance"/>
    <x v="0"/>
    <x v="2"/>
    <x v="2"/>
    <x v="0"/>
  </r>
  <r>
    <s v="Analyzer Status changed from Ready to Maintenance."/>
    <x v="0"/>
    <x v="0"/>
    <d v="2016-10-15T00:00:00"/>
    <d v="1899-12-30T10:27:00"/>
    <s v="Analyzer"/>
    <x v="0"/>
    <x v="0"/>
    <x v="0"/>
    <x v="0"/>
  </r>
  <r>
    <s v="Analyzer Status changed from Maintenance to Ready."/>
    <x v="0"/>
    <x v="0"/>
    <d v="2016-10-15T00:00:00"/>
    <d v="1899-12-30T10:28:35"/>
    <s v="Analyzer"/>
    <x v="0"/>
    <x v="0"/>
    <x v="0"/>
    <x v="0"/>
  </r>
  <r>
    <s v="Automatic maintenance activity Automatic Fluidic Line Priming Cycle has been executed."/>
    <x v="2"/>
    <x v="0"/>
    <d v="2016-10-15T00:00:00"/>
    <d v="1899-12-30T10:28:35"/>
    <s v="Maintenance"/>
    <x v="0"/>
    <x v="2"/>
    <x v="2"/>
    <x v="0"/>
  </r>
  <r>
    <s v="Analyzer Status changed from Ready to Maintenance."/>
    <x v="0"/>
    <x v="0"/>
    <d v="2016-10-15T00:00:00"/>
    <d v="1899-12-30T11:28:35"/>
    <s v="Analyzer"/>
    <x v="0"/>
    <x v="0"/>
    <x v="0"/>
    <x v="0"/>
  </r>
  <r>
    <s v="Analyzer Status changed from Maintenance to Ready."/>
    <x v="0"/>
    <x v="0"/>
    <d v="2016-10-15T00:00:00"/>
    <d v="1899-12-30T11:28:57"/>
    <s v="Analyzer"/>
    <x v="0"/>
    <x v="0"/>
    <x v="0"/>
    <x v="0"/>
  </r>
  <r>
    <s v="Automatic maintenance activity Automatic Fluidic Line Priming Cycle has been executed."/>
    <x v="2"/>
    <x v="0"/>
    <d v="2016-10-15T00:00:00"/>
    <d v="1899-12-30T11:28:57"/>
    <s v="Maintenance"/>
    <x v="0"/>
    <x v="2"/>
    <x v="2"/>
    <x v="0"/>
  </r>
  <r>
    <s v="Analyzer Status changed from Ready to Maintenance."/>
    <x v="0"/>
    <x v="0"/>
    <d v="2016-10-15T00:00:00"/>
    <d v="1899-12-30T12:28:57"/>
    <s v="Analyzer"/>
    <x v="0"/>
    <x v="0"/>
    <x v="0"/>
    <x v="0"/>
  </r>
  <r>
    <s v="Analyzer Status changed from Maintenance to Ready."/>
    <x v="0"/>
    <x v="0"/>
    <d v="2016-10-15T00:00:00"/>
    <d v="1899-12-30T12:29:19"/>
    <s v="Analyzer"/>
    <x v="0"/>
    <x v="0"/>
    <x v="0"/>
    <x v="0"/>
  </r>
  <r>
    <s v="Automatic maintenance activity Automatic Fluidic Line Priming Cycle has been executed."/>
    <x v="2"/>
    <x v="0"/>
    <d v="2016-10-15T00:00:00"/>
    <d v="1899-12-30T12:29:19"/>
    <s v="Maintenance"/>
    <x v="0"/>
    <x v="2"/>
    <x v="2"/>
    <x v="0"/>
  </r>
  <r>
    <s v="Analyzer Status changed from Ready to Maintenance."/>
    <x v="0"/>
    <x v="0"/>
    <d v="2016-10-15T00:00:00"/>
    <d v="1899-12-30T13:29:19"/>
    <s v="Analyzer"/>
    <x v="0"/>
    <x v="0"/>
    <x v="0"/>
    <x v="0"/>
  </r>
  <r>
    <s v="Analyzer Status changed from Maintenance to Ready."/>
    <x v="0"/>
    <x v="0"/>
    <d v="2016-10-15T00:00:00"/>
    <d v="1899-12-30T13:29:41"/>
    <s v="Analyzer"/>
    <x v="0"/>
    <x v="0"/>
    <x v="0"/>
    <x v="0"/>
  </r>
  <r>
    <s v="Automatic maintenance activity Automatic Fluidic Line Priming Cycle has been executed."/>
    <x v="2"/>
    <x v="0"/>
    <d v="2016-10-15T00:00:00"/>
    <d v="1899-12-30T13:29:41"/>
    <s v="Maintenance"/>
    <x v="0"/>
    <x v="2"/>
    <x v="2"/>
    <x v="0"/>
  </r>
  <r>
    <s v="Analyzer Status changed from Ready to Maintenance."/>
    <x v="0"/>
    <x v="0"/>
    <d v="2016-10-15T00:00:00"/>
    <d v="1899-12-30T14:29:41"/>
    <s v="Analyzer"/>
    <x v="0"/>
    <x v="0"/>
    <x v="0"/>
    <x v="0"/>
  </r>
  <r>
    <s v="Automatic maintenance activity Automatic Fluidic Line Priming Cycle has been executed."/>
    <x v="2"/>
    <x v="0"/>
    <d v="2016-10-15T00:00:00"/>
    <d v="1899-12-30T14:30:02"/>
    <s v="Maintenance"/>
    <x v="0"/>
    <x v="2"/>
    <x v="2"/>
    <x v="0"/>
  </r>
  <r>
    <s v="Analyzer Status changed from Maintenance to Ready."/>
    <x v="0"/>
    <x v="0"/>
    <d v="2016-10-15T00:00:00"/>
    <d v="1899-12-30T14:30:03"/>
    <s v="Analyzer"/>
    <x v="0"/>
    <x v="0"/>
    <x v="0"/>
    <x v="0"/>
  </r>
  <r>
    <s v="Analyzer Status changed from Ready to Maintenance."/>
    <x v="0"/>
    <x v="0"/>
    <d v="2016-10-15T00:00:00"/>
    <d v="1899-12-30T15:30:03"/>
    <s v="Analyzer"/>
    <x v="0"/>
    <x v="0"/>
    <x v="0"/>
    <x v="0"/>
  </r>
  <r>
    <s v="Automatic maintenance activity Automatic Fluidic Line Priming Cycle has been executed."/>
    <x v="2"/>
    <x v="0"/>
    <d v="2016-10-15T00:00:00"/>
    <d v="1899-12-30T15:30:24"/>
    <s v="Maintenance"/>
    <x v="0"/>
    <x v="2"/>
    <x v="2"/>
    <x v="0"/>
  </r>
  <r>
    <s v="Analyzer Status changed from Maintenance to Ready."/>
    <x v="0"/>
    <x v="0"/>
    <d v="2016-10-15T00:00:00"/>
    <d v="1899-12-30T15:30:25"/>
    <s v="Analyzer"/>
    <x v="0"/>
    <x v="0"/>
    <x v="0"/>
    <x v="0"/>
  </r>
  <r>
    <s v="Analyzer Status changed from Ready to Maintenance."/>
    <x v="0"/>
    <x v="0"/>
    <d v="2016-10-15T00:00:00"/>
    <d v="1899-12-30T16:30:25"/>
    <s v="Analyzer"/>
    <x v="0"/>
    <x v="0"/>
    <x v="0"/>
    <x v="0"/>
  </r>
  <r>
    <s v="Analyzer Status changed from Maintenance to Ready."/>
    <x v="0"/>
    <x v="0"/>
    <d v="2016-10-15T00:00:00"/>
    <d v="1899-12-30T16:30:46"/>
    <s v="Analyzer"/>
    <x v="0"/>
    <x v="0"/>
    <x v="0"/>
    <x v="0"/>
  </r>
  <r>
    <s v="Automatic maintenance activity Automatic Fluidic Line Priming Cycle has been executed."/>
    <x v="2"/>
    <x v="0"/>
    <d v="2016-10-15T00:00:00"/>
    <d v="1899-12-30T16:30:46"/>
    <s v="Maintenance"/>
    <x v="0"/>
    <x v="2"/>
    <x v="2"/>
    <x v="0"/>
  </r>
  <r>
    <s v="Analyzer Status changed from Ready to Maintenance."/>
    <x v="0"/>
    <x v="0"/>
    <d v="2016-10-15T00:00:00"/>
    <d v="1899-12-30T17:30:46"/>
    <s v="Analyzer"/>
    <x v="0"/>
    <x v="0"/>
    <x v="0"/>
    <x v="0"/>
  </r>
  <r>
    <s v="Analyzer Status changed from Maintenance to Ready."/>
    <x v="0"/>
    <x v="0"/>
    <d v="2016-10-15T00:00:00"/>
    <d v="1899-12-30T17:31:08"/>
    <s v="Analyzer"/>
    <x v="0"/>
    <x v="0"/>
    <x v="0"/>
    <x v="0"/>
  </r>
  <r>
    <s v="Automatic maintenance activity Automatic Fluidic Line Priming Cycle has been executed."/>
    <x v="2"/>
    <x v="0"/>
    <d v="2016-10-15T00:00:00"/>
    <d v="1899-12-30T17:31:08"/>
    <s v="Maintenance"/>
    <x v="0"/>
    <x v="2"/>
    <x v="2"/>
    <x v="0"/>
  </r>
  <r>
    <s v="Analyzer Status changed from Ready to Maintenance."/>
    <x v="0"/>
    <x v="0"/>
    <d v="2016-10-15T00:00:00"/>
    <d v="1899-12-30T18:31:09"/>
    <s v="Analyzer"/>
    <x v="0"/>
    <x v="0"/>
    <x v="0"/>
    <x v="0"/>
  </r>
  <r>
    <s v="Analyzer Status changed from Maintenance to Ready."/>
    <x v="0"/>
    <x v="0"/>
    <d v="2016-10-15T00:00:00"/>
    <d v="1899-12-30T18:31:30"/>
    <s v="Analyzer"/>
    <x v="0"/>
    <x v="0"/>
    <x v="0"/>
    <x v="0"/>
  </r>
  <r>
    <s v="Automatic maintenance activity Automatic Fluidic Line Priming Cycle has been executed."/>
    <x v="2"/>
    <x v="0"/>
    <d v="2016-10-15T00:00:00"/>
    <d v="1899-12-30T18:31:30"/>
    <s v="Maintenance"/>
    <x v="0"/>
    <x v="2"/>
    <x v="2"/>
    <x v="0"/>
  </r>
  <r>
    <s v="Analyzer Status changed from Ready to Maintenance."/>
    <x v="0"/>
    <x v="0"/>
    <d v="2016-10-15T00:00:00"/>
    <d v="1899-12-30T19:31:30"/>
    <s v="Analyzer"/>
    <x v="0"/>
    <x v="0"/>
    <x v="0"/>
    <x v="0"/>
  </r>
  <r>
    <s v="Analyzer Status changed from Maintenance to Ready."/>
    <x v="0"/>
    <x v="0"/>
    <d v="2016-10-15T00:00:00"/>
    <d v="1899-12-30T19:31:52"/>
    <s v="Analyzer"/>
    <x v="0"/>
    <x v="0"/>
    <x v="0"/>
    <x v="0"/>
  </r>
  <r>
    <s v="Automatic maintenance activity Automatic Fluidic Line Priming Cycle has been executed."/>
    <x v="2"/>
    <x v="0"/>
    <d v="2016-10-15T00:00:00"/>
    <d v="1899-12-30T19:31:52"/>
    <s v="Maintenance"/>
    <x v="0"/>
    <x v="2"/>
    <x v="2"/>
    <x v="0"/>
  </r>
  <r>
    <s v="Analyzer Status changed from Ready to Maintenance."/>
    <x v="0"/>
    <x v="0"/>
    <d v="2016-10-15T00:00:00"/>
    <d v="1899-12-30T20:31:52"/>
    <s v="Analyzer"/>
    <x v="0"/>
    <x v="0"/>
    <x v="0"/>
    <x v="0"/>
  </r>
  <r>
    <s v="Analyzer Status changed from Maintenance to Ready."/>
    <x v="0"/>
    <x v="0"/>
    <d v="2016-10-15T00:00:00"/>
    <d v="1899-12-30T20:32:14"/>
    <s v="Analyzer"/>
    <x v="0"/>
    <x v="0"/>
    <x v="0"/>
    <x v="0"/>
  </r>
  <r>
    <s v="Automatic maintenance activity Automatic Fluidic Line Priming Cycle has been executed."/>
    <x v="2"/>
    <x v="0"/>
    <d v="2016-10-15T00:00:00"/>
    <d v="1899-12-30T20:32:14"/>
    <s v="Maintenance"/>
    <x v="0"/>
    <x v="2"/>
    <x v="2"/>
    <x v="0"/>
  </r>
  <r>
    <s v="Analyzer Status changed from Ready to Maintenance."/>
    <x v="0"/>
    <x v="0"/>
    <d v="2016-10-15T00:00:00"/>
    <d v="1899-12-30T21:32:14"/>
    <s v="Analyzer"/>
    <x v="0"/>
    <x v="0"/>
    <x v="0"/>
    <x v="0"/>
  </r>
  <r>
    <s v="Analyzer Status changed from Maintenance to Ready."/>
    <x v="0"/>
    <x v="0"/>
    <d v="2016-10-15T00:00:00"/>
    <d v="1899-12-30T21:32:36"/>
    <s v="Analyzer"/>
    <x v="0"/>
    <x v="0"/>
    <x v="0"/>
    <x v="0"/>
  </r>
  <r>
    <s v="Automatic maintenance activity Automatic Fluidic Line Priming Cycle has been executed."/>
    <x v="2"/>
    <x v="0"/>
    <d v="2016-10-15T00:00:00"/>
    <d v="1899-12-30T21:32:36"/>
    <s v="Maintenance"/>
    <x v="0"/>
    <x v="2"/>
    <x v="2"/>
    <x v="0"/>
  </r>
  <r>
    <s v="Analyzer Status changed from Ready to Maintenance."/>
    <x v="0"/>
    <x v="0"/>
    <d v="2016-10-15T00:00:00"/>
    <d v="1899-12-30T22:32:36"/>
    <s v="Analyzer"/>
    <x v="0"/>
    <x v="0"/>
    <x v="0"/>
    <x v="0"/>
  </r>
  <r>
    <s v="Analyzer Status changed from Maintenance to Ready."/>
    <x v="0"/>
    <x v="0"/>
    <d v="2016-10-15T00:00:00"/>
    <d v="1899-12-30T22:32:58"/>
    <s v="Analyzer"/>
    <x v="0"/>
    <x v="0"/>
    <x v="0"/>
    <x v="0"/>
  </r>
  <r>
    <s v="Automatic maintenance activity Automatic Fluidic Line Priming Cycle has been executed."/>
    <x v="2"/>
    <x v="0"/>
    <d v="2016-10-15T00:00:00"/>
    <d v="1899-12-30T22:32:58"/>
    <s v="Maintenance"/>
    <x v="0"/>
    <x v="2"/>
    <x v="2"/>
    <x v="0"/>
  </r>
  <r>
    <s v="Analyzer Status changed from Ready to Maintenance."/>
    <x v="0"/>
    <x v="0"/>
    <d v="2016-10-15T00:00:00"/>
    <d v="1899-12-30T23:32:58"/>
    <s v="Analyzer"/>
    <x v="0"/>
    <x v="0"/>
    <x v="0"/>
    <x v="0"/>
  </r>
  <r>
    <s v="Analyzer Status changed from Maintenance to Ready."/>
    <x v="0"/>
    <x v="0"/>
    <d v="2016-10-15T00:00:00"/>
    <d v="1899-12-30T23:33:20"/>
    <s v="Analyzer"/>
    <x v="0"/>
    <x v="0"/>
    <x v="0"/>
    <x v="0"/>
  </r>
  <r>
    <s v="Automatic maintenance activity Automatic Fluidic Line Priming Cycle has been executed."/>
    <x v="2"/>
    <x v="0"/>
    <d v="2016-10-15T00:00:00"/>
    <d v="1899-12-30T23:33:20"/>
    <s v="Maintenance"/>
    <x v="0"/>
    <x v="2"/>
    <x v="2"/>
    <x v="0"/>
  </r>
  <r>
    <s v="Analyzer Status changed from Ready to Maintenance."/>
    <x v="0"/>
    <x v="0"/>
    <d v="2016-10-16T00:00:00"/>
    <d v="1899-12-30T00:33:20"/>
    <s v="Analyzer"/>
    <x v="0"/>
    <x v="0"/>
    <x v="0"/>
    <x v="0"/>
  </r>
  <r>
    <s v="Analyzer Status changed from Maintenance to Ready."/>
    <x v="0"/>
    <x v="0"/>
    <d v="2016-10-16T00:00:00"/>
    <d v="1899-12-30T00:33:42"/>
    <s v="Analyzer"/>
    <x v="0"/>
    <x v="0"/>
    <x v="0"/>
    <x v="0"/>
  </r>
  <r>
    <s v="Automatic maintenance activity Automatic Fluidic Line Priming Cycle has been executed."/>
    <x v="2"/>
    <x v="0"/>
    <d v="2016-10-16T00:00:00"/>
    <d v="1899-12-30T00:33:42"/>
    <s v="Maintenance"/>
    <x v="0"/>
    <x v="2"/>
    <x v="2"/>
    <x v="0"/>
  </r>
  <r>
    <s v="Analyzer Status changed from Ready to Maintenance."/>
    <x v="0"/>
    <x v="0"/>
    <d v="2016-10-16T00:00:00"/>
    <d v="1899-12-30T01:33:42"/>
    <s v="Analyzer"/>
    <x v="0"/>
    <x v="0"/>
    <x v="0"/>
    <x v="0"/>
  </r>
  <r>
    <s v="Analyzer Status changed from Maintenance to Ready."/>
    <x v="0"/>
    <x v="0"/>
    <d v="2016-10-16T00:00:00"/>
    <d v="1899-12-30T01:34:04"/>
    <s v="Analyzer"/>
    <x v="0"/>
    <x v="0"/>
    <x v="0"/>
    <x v="0"/>
  </r>
  <r>
    <s v="Automatic maintenance activity Automatic Fluidic Line Priming Cycle has been executed."/>
    <x v="2"/>
    <x v="0"/>
    <d v="2016-10-16T00:00:00"/>
    <d v="1899-12-30T01:34:04"/>
    <s v="Maintenance"/>
    <x v="0"/>
    <x v="2"/>
    <x v="2"/>
    <x v="0"/>
  </r>
  <r>
    <s v="Analyzer Status changed from Ready to Maintenance."/>
    <x v="0"/>
    <x v="0"/>
    <d v="2016-10-16T00:00:00"/>
    <d v="1899-12-30T02:34:04"/>
    <s v="Analyzer"/>
    <x v="0"/>
    <x v="0"/>
    <x v="0"/>
    <x v="0"/>
  </r>
  <r>
    <s v="Analyzer Status changed from Maintenance to Ready."/>
    <x v="0"/>
    <x v="0"/>
    <d v="2016-10-16T00:00:00"/>
    <d v="1899-12-30T02:34:26"/>
    <s v="Analyzer"/>
    <x v="0"/>
    <x v="0"/>
    <x v="0"/>
    <x v="0"/>
  </r>
  <r>
    <s v="Automatic maintenance activity Automatic Fluidic Line Priming Cycle has been executed."/>
    <x v="2"/>
    <x v="0"/>
    <d v="2016-10-16T00:00:00"/>
    <d v="1899-12-30T02:34:26"/>
    <s v="Maintenance"/>
    <x v="0"/>
    <x v="2"/>
    <x v="2"/>
    <x v="0"/>
  </r>
  <r>
    <s v="Rinse solution level low."/>
    <x v="1"/>
    <x v="1"/>
    <d v="2016-10-16T00:00:00"/>
    <d v="1899-12-30T02:42:52"/>
    <s v="Materials"/>
    <x v="0"/>
    <x v="1"/>
    <x v="1"/>
    <x v="0"/>
  </r>
  <r>
    <s v="Analyzer Status changed from Ready to Maintenance."/>
    <x v="0"/>
    <x v="0"/>
    <d v="2016-10-16T00:00:00"/>
    <d v="1899-12-30T03:34:26"/>
    <s v="Analyzer"/>
    <x v="0"/>
    <x v="0"/>
    <x v="0"/>
    <x v="0"/>
  </r>
  <r>
    <s v="Analyzer Status changed from Maintenance to Ready."/>
    <x v="0"/>
    <x v="0"/>
    <d v="2016-10-16T00:00:00"/>
    <d v="1899-12-30T03:34:48"/>
    <s v="Analyzer"/>
    <x v="0"/>
    <x v="0"/>
    <x v="0"/>
    <x v="0"/>
  </r>
  <r>
    <s v="Automatic maintenance activity Automatic Fluidic Line Priming Cycle has been executed."/>
    <x v="2"/>
    <x v="0"/>
    <d v="2016-10-16T00:00:00"/>
    <d v="1899-12-30T03:34:48"/>
    <s v="Maintenance"/>
    <x v="0"/>
    <x v="2"/>
    <x v="2"/>
    <x v="0"/>
  </r>
  <r>
    <s v="Analyzer Status changed from Ready to Maintenance."/>
    <x v="0"/>
    <x v="0"/>
    <d v="2016-10-16T00:00:00"/>
    <d v="1899-12-30T04:34:48"/>
    <s v="Analyzer"/>
    <x v="0"/>
    <x v="0"/>
    <x v="0"/>
    <x v="0"/>
  </r>
  <r>
    <s v="Analyzer Status changed from Maintenance to Ready."/>
    <x v="0"/>
    <x v="0"/>
    <d v="2016-10-16T00:00:00"/>
    <d v="1899-12-30T04:35:10"/>
    <s v="Analyzer"/>
    <x v="0"/>
    <x v="0"/>
    <x v="0"/>
    <x v="0"/>
  </r>
  <r>
    <s v="Automatic maintenance activity Automatic Fluidic Line Priming Cycle has been executed."/>
    <x v="2"/>
    <x v="0"/>
    <d v="2016-10-16T00:00:00"/>
    <d v="1899-12-30T04:35:10"/>
    <s v="Maintenance"/>
    <x v="0"/>
    <x v="2"/>
    <x v="2"/>
    <x v="0"/>
  </r>
  <r>
    <s v="Analyzer Status changed from Ready to Maintenance."/>
    <x v="0"/>
    <x v="0"/>
    <d v="2016-10-16T00:00:00"/>
    <d v="1899-12-30T05:35:10"/>
    <s v="Analyzer"/>
    <x v="0"/>
    <x v="0"/>
    <x v="0"/>
    <x v="0"/>
  </r>
  <r>
    <s v="Clean solution bottle empty."/>
    <x v="44"/>
    <x v="2"/>
    <d v="2016-10-16T00:00:00"/>
    <d v="1899-12-30T05:35:24"/>
    <s v="Materials"/>
    <x v="0"/>
    <x v="1"/>
    <x v="10"/>
    <x v="0"/>
  </r>
  <r>
    <s v="Analyzer Status changed from Maintenance to Error."/>
    <x v="0"/>
    <x v="0"/>
    <d v="2016-10-16T00:00:00"/>
    <d v="1899-12-30T05:35:24"/>
    <s v="Analyzer"/>
    <x v="0"/>
    <x v="0"/>
    <x v="0"/>
    <x v="0"/>
  </r>
  <r>
    <s v="Maintenance activity interrupted: Automatic Fluidic Line Priming Cycle"/>
    <x v="45"/>
    <x v="2"/>
    <d v="2016-10-16T00:00:00"/>
    <d v="1899-12-30T05:35:32"/>
    <s v="Maintenance"/>
    <x v="0"/>
    <x v="2"/>
    <x v="2"/>
    <x v="0"/>
  </r>
  <r>
    <s v="LAS ARM COVER open."/>
    <x v="46"/>
    <x v="2"/>
    <d v="2016-10-17T00:00:00"/>
    <d v="1899-12-30T10:27:47"/>
    <s v="Analyzer"/>
    <x v="0"/>
    <x v="6"/>
    <x v="13"/>
    <x v="0"/>
  </r>
  <r>
    <s v="Analyzer Status changed from Error to Emergency stop."/>
    <x v="0"/>
    <x v="0"/>
    <d v="2016-10-17T00:00:00"/>
    <d v="1899-12-30T10:27:47"/>
    <s v="Analyzer"/>
    <x v="0"/>
    <x v="0"/>
    <x v="0"/>
    <x v="0"/>
  </r>
  <r>
    <s v="Analyzer Status changed from Emergency stop to Not connected."/>
    <x v="0"/>
    <x v="0"/>
    <d v="2016-10-17T00:00:00"/>
    <d v="1899-12-30T14:23:09"/>
    <s v="Analyzer"/>
    <x v="0"/>
    <x v="0"/>
    <x v="0"/>
    <x v="0"/>
  </r>
  <r>
    <s v="Analyzer Status changed from Not connected to Power up."/>
    <x v="0"/>
    <x v="0"/>
    <d v="2016-10-17T00:00:00"/>
    <d v="1899-12-30T14:23:57"/>
    <s v="Analyzer"/>
    <x v="0"/>
    <x v="0"/>
    <x v="0"/>
    <x v="0"/>
  </r>
  <r>
    <s v="Analyzer Status changed from Power up to Initializing."/>
    <x v="0"/>
    <x v="0"/>
    <d v="2016-10-17T00:00:00"/>
    <d v="1899-12-30T14:24:07"/>
    <s v="Analyzer"/>
    <x v="0"/>
    <x v="0"/>
    <x v="0"/>
    <x v="0"/>
  </r>
  <r>
    <s v="Analyzer Status changed from Initializing to Adjusting thermal."/>
    <x v="0"/>
    <x v="0"/>
    <d v="2016-10-17T00:00:00"/>
    <d v="1899-12-30T14:25:55"/>
    <s v="Analyzer"/>
    <x v="0"/>
    <x v="0"/>
    <x v="0"/>
    <x v="0"/>
  </r>
  <r>
    <s v="Analyzer Status changed from Adjusting thermal to Ready."/>
    <x v="0"/>
    <x v="0"/>
    <d v="2016-10-17T00:00:00"/>
    <d v="1899-12-30T14:38:32"/>
    <s v="Analyzer"/>
    <x v="0"/>
    <x v="0"/>
    <x v="0"/>
    <x v="0"/>
  </r>
  <r>
    <s v="Analyzer Status changed from Ready to Maintenance."/>
    <x v="0"/>
    <x v="0"/>
    <d v="2016-10-17T00:00:00"/>
    <d v="1899-12-30T14:38:32"/>
    <s v="Analyzer"/>
    <x v="0"/>
    <x v="0"/>
    <x v="0"/>
    <x v="0"/>
  </r>
  <r>
    <s v="Automatic maintenance activity Automatic Fluidic Line Priming Cycle has been executed."/>
    <x v="2"/>
    <x v="0"/>
    <d v="2016-10-17T00:00:00"/>
    <d v="1899-12-30T14:40:06"/>
    <s v="Maintenance"/>
    <x v="0"/>
    <x v="2"/>
    <x v="2"/>
    <x v="0"/>
  </r>
  <r>
    <s v="Analyzer Status changed from Maintenance to Ready."/>
    <x v="0"/>
    <x v="0"/>
    <d v="2016-10-17T00:00:00"/>
    <d v="1899-12-30T14:40:07"/>
    <s v="Analyzer"/>
    <x v="0"/>
    <x v="0"/>
    <x v="0"/>
    <x v="0"/>
  </r>
  <r>
    <s v="Analyzer Status changed from Ready to Maintenance."/>
    <x v="0"/>
    <x v="0"/>
    <d v="2016-10-17T00:00:00"/>
    <d v="1899-12-30T15:40:07"/>
    <s v="Analyzer"/>
    <x v="0"/>
    <x v="0"/>
    <x v="0"/>
    <x v="0"/>
  </r>
  <r>
    <s v="Analyzer Status changed from Maintenance to Ready."/>
    <x v="0"/>
    <x v="0"/>
    <d v="2016-10-17T00:00:00"/>
    <d v="1899-12-30T15:40:28"/>
    <s v="Analyzer"/>
    <x v="0"/>
    <x v="0"/>
    <x v="0"/>
    <x v="0"/>
  </r>
  <r>
    <s v="Automatic maintenance activity Automatic Fluidic Line Priming Cycle has been executed."/>
    <x v="2"/>
    <x v="0"/>
    <d v="2016-10-17T00:00:00"/>
    <d v="1899-12-30T15:40:28"/>
    <s v="Maintenance"/>
    <x v="0"/>
    <x v="2"/>
    <x v="2"/>
    <x v="0"/>
  </r>
  <r>
    <s v="Analyzer Status changed from Ready to Maintenance."/>
    <x v="0"/>
    <x v="0"/>
    <d v="2016-10-17T00:00:00"/>
    <d v="1899-12-30T16:40:29"/>
    <s v="Analyzer"/>
    <x v="0"/>
    <x v="0"/>
    <x v="0"/>
    <x v="0"/>
  </r>
  <r>
    <s v="Analyzer Status changed from Maintenance to Ready."/>
    <x v="0"/>
    <x v="0"/>
    <d v="2016-10-17T00:00:00"/>
    <d v="1899-12-30T16:40:50"/>
    <s v="Analyzer"/>
    <x v="0"/>
    <x v="0"/>
    <x v="0"/>
    <x v="0"/>
  </r>
  <r>
    <s v="Automatic maintenance activity Automatic Fluidic Line Priming Cycle has been executed."/>
    <x v="2"/>
    <x v="0"/>
    <d v="2016-10-17T00:00:00"/>
    <d v="1899-12-30T16:40:50"/>
    <s v="Maintenance"/>
    <x v="0"/>
    <x v="2"/>
    <x v="2"/>
    <x v="0"/>
  </r>
  <r>
    <s v="Analyzer Status changed from Ready to Maintenance."/>
    <x v="0"/>
    <x v="0"/>
    <d v="2016-10-17T00:00:00"/>
    <d v="1899-12-30T17:40:51"/>
    <s v="Analyzer"/>
    <x v="0"/>
    <x v="0"/>
    <x v="0"/>
    <x v="0"/>
  </r>
  <r>
    <s v="Analyzer Status changed from Maintenance to Ready."/>
    <x v="0"/>
    <x v="0"/>
    <d v="2016-10-17T00:00:00"/>
    <d v="1899-12-30T17:41:12"/>
    <s v="Analyzer"/>
    <x v="0"/>
    <x v="0"/>
    <x v="0"/>
    <x v="0"/>
  </r>
  <r>
    <s v="Automatic maintenance activity Automatic Fluidic Line Priming Cycle has been executed."/>
    <x v="2"/>
    <x v="0"/>
    <d v="2016-10-17T00:00:00"/>
    <d v="1899-12-30T17:41:12"/>
    <s v="Maintenance"/>
    <x v="0"/>
    <x v="2"/>
    <x v="2"/>
    <x v="0"/>
  </r>
  <r>
    <s v="Analyzer Status changed from Ready to Maintenance."/>
    <x v="0"/>
    <x v="0"/>
    <d v="2016-10-17T00:00:00"/>
    <d v="1899-12-30T18:41:13"/>
    <s v="Analyzer"/>
    <x v="0"/>
    <x v="0"/>
    <x v="0"/>
    <x v="0"/>
  </r>
  <r>
    <s v="Analyzer Status changed from Maintenance to Ready."/>
    <x v="0"/>
    <x v="0"/>
    <d v="2016-10-17T00:00:00"/>
    <d v="1899-12-30T18:41:34"/>
    <s v="Analyzer"/>
    <x v="0"/>
    <x v="0"/>
    <x v="0"/>
    <x v="0"/>
  </r>
  <r>
    <s v="Automatic maintenance activity Automatic Fluidic Line Priming Cycle has been executed."/>
    <x v="2"/>
    <x v="0"/>
    <d v="2016-10-17T00:00:00"/>
    <d v="1899-12-30T18:41:34"/>
    <s v="Maintenance"/>
    <x v="0"/>
    <x v="2"/>
    <x v="2"/>
    <x v="0"/>
  </r>
  <r>
    <s v="Analyzer Status changed from Ready to Maintenance."/>
    <x v="0"/>
    <x v="0"/>
    <d v="2016-10-17T00:00:00"/>
    <d v="1899-12-30T19:41:35"/>
    <s v="Analyzer"/>
    <x v="0"/>
    <x v="0"/>
    <x v="0"/>
    <x v="0"/>
  </r>
  <r>
    <s v="Analyzer Status changed from Maintenance to Ready."/>
    <x v="0"/>
    <x v="0"/>
    <d v="2016-10-17T00:00:00"/>
    <d v="1899-12-30T19:41:56"/>
    <s v="Analyzer"/>
    <x v="0"/>
    <x v="0"/>
    <x v="0"/>
    <x v="0"/>
  </r>
  <r>
    <s v="Automatic maintenance activity Automatic Fluidic Line Priming Cycle has been executed."/>
    <x v="2"/>
    <x v="0"/>
    <d v="2016-10-17T00:00:00"/>
    <d v="1899-12-30T19:41:56"/>
    <s v="Maintenance"/>
    <x v="0"/>
    <x v="2"/>
    <x v="2"/>
    <x v="0"/>
  </r>
  <r>
    <s v="Analyzer Status changed from Ready to Maintenance."/>
    <x v="0"/>
    <x v="0"/>
    <d v="2016-10-17T00:00:00"/>
    <d v="1899-12-30T20:41:57"/>
    <s v="Analyzer"/>
    <x v="0"/>
    <x v="0"/>
    <x v="0"/>
    <x v="0"/>
  </r>
  <r>
    <s v="Analyzer Status changed from Maintenance to Ready."/>
    <x v="0"/>
    <x v="0"/>
    <d v="2016-10-17T00:00:00"/>
    <d v="1899-12-30T20:42:18"/>
    <s v="Analyzer"/>
    <x v="0"/>
    <x v="0"/>
    <x v="0"/>
    <x v="0"/>
  </r>
  <r>
    <s v="Automatic maintenance activity Automatic Fluidic Line Priming Cycle has been executed."/>
    <x v="2"/>
    <x v="0"/>
    <d v="2016-10-17T00:00:00"/>
    <d v="1899-12-30T20:42:18"/>
    <s v="Maintenance"/>
    <x v="0"/>
    <x v="2"/>
    <x v="2"/>
    <x v="0"/>
  </r>
  <r>
    <s v="Analyzer Status changed from Ready to Maintenance."/>
    <x v="0"/>
    <x v="0"/>
    <d v="2016-10-17T00:00:00"/>
    <d v="1899-12-30T21:42:19"/>
    <s v="Analyzer"/>
    <x v="0"/>
    <x v="0"/>
    <x v="0"/>
    <x v="0"/>
  </r>
  <r>
    <s v="Analyzer Status changed from Maintenance to Ready."/>
    <x v="0"/>
    <x v="0"/>
    <d v="2016-10-17T00:00:00"/>
    <d v="1899-12-30T21:42:40"/>
    <s v="Analyzer"/>
    <x v="0"/>
    <x v="0"/>
    <x v="0"/>
    <x v="0"/>
  </r>
  <r>
    <s v="Automatic maintenance activity Automatic Fluidic Line Priming Cycle has been executed."/>
    <x v="2"/>
    <x v="0"/>
    <d v="2016-10-17T00:00:00"/>
    <d v="1899-12-30T21:42:40"/>
    <s v="Maintenance"/>
    <x v="0"/>
    <x v="2"/>
    <x v="2"/>
    <x v="0"/>
  </r>
  <r>
    <s v="Analyzer Status changed from Ready to Maintenance."/>
    <x v="0"/>
    <x v="0"/>
    <d v="2016-10-17T00:00:00"/>
    <d v="1899-12-30T22:42:40"/>
    <s v="Analyzer"/>
    <x v="0"/>
    <x v="0"/>
    <x v="0"/>
    <x v="0"/>
  </r>
  <r>
    <s v="Analyzer Status changed from Maintenance to Ready."/>
    <x v="0"/>
    <x v="0"/>
    <d v="2016-10-17T00:00:00"/>
    <d v="1899-12-30T22:43:02"/>
    <s v="Analyzer"/>
    <x v="0"/>
    <x v="0"/>
    <x v="0"/>
    <x v="0"/>
  </r>
  <r>
    <s v="Automatic maintenance activity Automatic Fluidic Line Priming Cycle has been executed."/>
    <x v="2"/>
    <x v="0"/>
    <d v="2016-10-17T00:00:00"/>
    <d v="1899-12-30T22:43:02"/>
    <s v="Maintenance"/>
    <x v="0"/>
    <x v="2"/>
    <x v="2"/>
    <x v="0"/>
  </r>
  <r>
    <s v="Analyzer Status changed from Ready to Maintenance."/>
    <x v="0"/>
    <x v="0"/>
    <d v="2016-10-17T00:00:00"/>
    <d v="1899-12-30T23:43:02"/>
    <s v="Analyzer"/>
    <x v="0"/>
    <x v="0"/>
    <x v="0"/>
    <x v="0"/>
  </r>
  <r>
    <s v="Analyzer Status changed from Maintenance to Ready."/>
    <x v="0"/>
    <x v="0"/>
    <d v="2016-10-17T00:00:00"/>
    <d v="1899-12-30T23:43:24"/>
    <s v="Analyzer"/>
    <x v="0"/>
    <x v="0"/>
    <x v="0"/>
    <x v="0"/>
  </r>
  <r>
    <s v="Automatic maintenance activity Automatic Fluidic Line Priming Cycle has been executed."/>
    <x v="2"/>
    <x v="0"/>
    <d v="2016-10-17T00:00:00"/>
    <d v="1899-12-30T23:43:24"/>
    <s v="Maintenance"/>
    <x v="0"/>
    <x v="2"/>
    <x v="2"/>
    <x v="0"/>
  </r>
  <r>
    <s v="Analyzer Status changed from Ready to Maintenance."/>
    <x v="0"/>
    <x v="0"/>
    <d v="2016-10-18T00:00:00"/>
    <d v="1899-12-30T00:43:24"/>
    <s v="Analyzer"/>
    <x v="0"/>
    <x v="0"/>
    <x v="0"/>
    <x v="0"/>
  </r>
  <r>
    <s v="Analyzer Status changed from Maintenance to Ready."/>
    <x v="0"/>
    <x v="0"/>
    <d v="2016-10-18T00:00:00"/>
    <d v="1899-12-30T00:43:46"/>
    <s v="Analyzer"/>
    <x v="0"/>
    <x v="0"/>
    <x v="0"/>
    <x v="0"/>
  </r>
  <r>
    <s v="Automatic maintenance activity Automatic Fluidic Line Priming Cycle has been executed."/>
    <x v="2"/>
    <x v="0"/>
    <d v="2016-10-18T00:00:00"/>
    <d v="1899-12-30T00:43:46"/>
    <s v="Maintenance"/>
    <x v="0"/>
    <x v="2"/>
    <x v="2"/>
    <x v="0"/>
  </r>
  <r>
    <s v="Analyzer Status changed from Ready to Maintenance."/>
    <x v="0"/>
    <x v="0"/>
    <d v="2016-10-18T00:00:00"/>
    <d v="1899-12-30T01:43:46"/>
    <s v="Analyzer"/>
    <x v="0"/>
    <x v="0"/>
    <x v="0"/>
    <x v="0"/>
  </r>
  <r>
    <s v="Analyzer Status changed from Maintenance to Ready."/>
    <x v="0"/>
    <x v="0"/>
    <d v="2016-10-18T00:00:00"/>
    <d v="1899-12-30T01:44:08"/>
    <s v="Analyzer"/>
    <x v="0"/>
    <x v="0"/>
    <x v="0"/>
    <x v="0"/>
  </r>
  <r>
    <s v="Automatic maintenance activity Automatic Fluidic Line Priming Cycle has been executed."/>
    <x v="2"/>
    <x v="0"/>
    <d v="2016-10-18T00:00:00"/>
    <d v="1899-12-30T01:44:08"/>
    <s v="Maintenance"/>
    <x v="0"/>
    <x v="2"/>
    <x v="2"/>
    <x v="0"/>
  </r>
  <r>
    <s v="Analyzer Status changed from Ready to Maintenance."/>
    <x v="0"/>
    <x v="0"/>
    <d v="2016-10-18T00:00:00"/>
    <d v="1899-12-30T02:44:09"/>
    <s v="Analyzer"/>
    <x v="0"/>
    <x v="0"/>
    <x v="0"/>
    <x v="0"/>
  </r>
  <r>
    <s v="Analyzer Status changed from Maintenance to Ready."/>
    <x v="0"/>
    <x v="0"/>
    <d v="2016-10-18T00:00:00"/>
    <d v="1899-12-30T02:44:30"/>
    <s v="Analyzer"/>
    <x v="0"/>
    <x v="0"/>
    <x v="0"/>
    <x v="0"/>
  </r>
  <r>
    <s v="Automatic maintenance activity Automatic Fluidic Line Priming Cycle has been executed."/>
    <x v="2"/>
    <x v="0"/>
    <d v="2016-10-18T00:00:00"/>
    <d v="1899-12-30T02:44:30"/>
    <s v="Maintenance"/>
    <x v="0"/>
    <x v="2"/>
    <x v="2"/>
    <x v="0"/>
  </r>
  <r>
    <s v="Analyzer Status changed from Ready to Maintenance."/>
    <x v="0"/>
    <x v="0"/>
    <d v="2016-10-18T00:00:00"/>
    <d v="1899-12-30T03:44:31"/>
    <s v="Analyzer"/>
    <x v="0"/>
    <x v="0"/>
    <x v="0"/>
    <x v="0"/>
  </r>
  <r>
    <s v="Analyzer Status changed from Maintenance to Ready."/>
    <x v="0"/>
    <x v="0"/>
    <d v="2016-10-18T00:00:00"/>
    <d v="1899-12-30T03:44:52"/>
    <s v="Analyzer"/>
    <x v="0"/>
    <x v="0"/>
    <x v="0"/>
    <x v="0"/>
  </r>
  <r>
    <s v="Automatic maintenance activity Automatic Fluidic Line Priming Cycle has been executed."/>
    <x v="2"/>
    <x v="0"/>
    <d v="2016-10-18T00:00:00"/>
    <d v="1899-12-30T03:44:52"/>
    <s v="Maintenance"/>
    <x v="0"/>
    <x v="2"/>
    <x v="2"/>
    <x v="0"/>
  </r>
  <r>
    <s v="Analyzer Status changed from Ready to Maintenance."/>
    <x v="0"/>
    <x v="0"/>
    <d v="2016-10-18T00:00:00"/>
    <d v="1899-12-30T04:44:53"/>
    <s v="Analyzer"/>
    <x v="0"/>
    <x v="0"/>
    <x v="0"/>
    <x v="0"/>
  </r>
  <r>
    <s v="Analyzer Status changed from Maintenance to Ready."/>
    <x v="0"/>
    <x v="0"/>
    <d v="2016-10-18T00:00:00"/>
    <d v="1899-12-30T04:45:14"/>
    <s v="Analyzer"/>
    <x v="0"/>
    <x v="0"/>
    <x v="0"/>
    <x v="0"/>
  </r>
  <r>
    <s v="Automatic maintenance activity Automatic Fluidic Line Priming Cycle has been executed."/>
    <x v="2"/>
    <x v="0"/>
    <d v="2016-10-18T00:00:00"/>
    <d v="1899-12-30T04:45:14"/>
    <s v="Maintenance"/>
    <x v="0"/>
    <x v="2"/>
    <x v="2"/>
    <x v="0"/>
  </r>
  <r>
    <s v="Analyzer Status changed from Ready to Maintenance."/>
    <x v="0"/>
    <x v="0"/>
    <d v="2016-10-18T00:00:00"/>
    <d v="1899-12-30T05:45:14"/>
    <s v="Analyzer"/>
    <x v="0"/>
    <x v="0"/>
    <x v="0"/>
    <x v="0"/>
  </r>
  <r>
    <s v="Analyzer Status changed from Maintenance to Ready."/>
    <x v="0"/>
    <x v="0"/>
    <d v="2016-10-18T00:00:00"/>
    <d v="1899-12-30T05:45:36"/>
    <s v="Analyzer"/>
    <x v="0"/>
    <x v="0"/>
    <x v="0"/>
    <x v="0"/>
  </r>
  <r>
    <s v="Automatic maintenance activity Automatic Fluidic Line Priming Cycle has been executed."/>
    <x v="2"/>
    <x v="0"/>
    <d v="2016-10-18T00:00:00"/>
    <d v="1899-12-30T05:45:36"/>
    <s v="Maintenance"/>
    <x v="0"/>
    <x v="2"/>
    <x v="2"/>
    <x v="0"/>
  </r>
  <r>
    <s v="Analyzer Status changed from Ready to Maintenance."/>
    <x v="0"/>
    <x v="0"/>
    <d v="2016-10-18T00:00:00"/>
    <d v="1899-12-30T06:45:36"/>
    <s v="Analyzer"/>
    <x v="0"/>
    <x v="0"/>
    <x v="0"/>
    <x v="0"/>
  </r>
  <r>
    <s v="Analyzer Status changed from Maintenance to Ready."/>
    <x v="0"/>
    <x v="0"/>
    <d v="2016-10-18T00:00:00"/>
    <d v="1899-12-30T06:45:58"/>
    <s v="Analyzer"/>
    <x v="0"/>
    <x v="0"/>
    <x v="0"/>
    <x v="0"/>
  </r>
  <r>
    <s v="Automatic maintenance activity Automatic Fluidic Line Priming Cycle has been executed."/>
    <x v="2"/>
    <x v="0"/>
    <d v="2016-10-18T00:00:00"/>
    <d v="1899-12-30T06:45:58"/>
    <s v="Maintenance"/>
    <x v="0"/>
    <x v="2"/>
    <x v="2"/>
    <x v="0"/>
  </r>
  <r>
    <s v="Non-identified Sample in rack 02 position 1, track 12."/>
    <x v="12"/>
    <x v="2"/>
    <d v="2016-10-18T00:00:00"/>
    <d v="1899-12-30T07:18:34"/>
    <s v="Materials"/>
    <x v="0"/>
    <x v="4"/>
    <x v="7"/>
    <x v="1"/>
  </r>
  <r>
    <s v="Analyzer Status changed from Ready to Maintenance."/>
    <x v="0"/>
    <x v="0"/>
    <d v="2016-10-18T00:00:00"/>
    <d v="1899-12-30T07:45:58"/>
    <s v="Analyzer"/>
    <x v="0"/>
    <x v="0"/>
    <x v="0"/>
    <x v="0"/>
  </r>
  <r>
    <s v="Analyzer Status changed from Maintenance to Ready."/>
    <x v="0"/>
    <x v="0"/>
    <d v="2016-10-18T00:00:00"/>
    <d v="1899-12-30T07:46:20"/>
    <s v="Analyzer"/>
    <x v="0"/>
    <x v="0"/>
    <x v="0"/>
    <x v="0"/>
  </r>
  <r>
    <s v="Automatic maintenance activity Automatic Fluidic Line Priming Cycle has been executed."/>
    <x v="2"/>
    <x v="0"/>
    <d v="2016-10-18T00:00:00"/>
    <d v="1899-12-30T07:46:20"/>
    <s v="Maintenance"/>
    <x v="0"/>
    <x v="2"/>
    <x v="2"/>
    <x v="0"/>
  </r>
  <r>
    <s v="Analyzer Status changed from Ready to Maintenance."/>
    <x v="0"/>
    <x v="0"/>
    <d v="2016-10-18T00:00:00"/>
    <d v="1899-12-30T08:46:20"/>
    <s v="Analyzer"/>
    <x v="0"/>
    <x v="0"/>
    <x v="0"/>
    <x v="0"/>
  </r>
  <r>
    <s v="Analyzer Status changed from Maintenance to Ready."/>
    <x v="0"/>
    <x v="0"/>
    <d v="2016-10-18T00:00:00"/>
    <d v="1899-12-30T08:46:42"/>
    <s v="Analyzer"/>
    <x v="0"/>
    <x v="0"/>
    <x v="0"/>
    <x v="0"/>
  </r>
  <r>
    <s v="Automatic maintenance activity Automatic Fluidic Line Priming Cycle has been executed."/>
    <x v="2"/>
    <x v="0"/>
    <d v="2016-10-18T00:00:00"/>
    <d v="1899-12-30T08:46:42"/>
    <s v="Maintenance"/>
    <x v="0"/>
    <x v="2"/>
    <x v="2"/>
    <x v="0"/>
  </r>
  <r>
    <s v="Analyzer Status changed from Ready to Maintenance."/>
    <x v="0"/>
    <x v="0"/>
    <d v="2016-10-18T00:00:00"/>
    <d v="1899-12-30T09:46:42"/>
    <s v="Analyzer"/>
    <x v="0"/>
    <x v="0"/>
    <x v="0"/>
    <x v="0"/>
  </r>
  <r>
    <s v="Analyzer Status changed from Maintenance to Ready."/>
    <x v="0"/>
    <x v="0"/>
    <d v="2016-10-18T00:00:00"/>
    <d v="1899-12-30T09:47:04"/>
    <s v="Analyzer"/>
    <x v="0"/>
    <x v="0"/>
    <x v="0"/>
    <x v="0"/>
  </r>
  <r>
    <s v="Automatic maintenance activity Automatic Fluidic Line Priming Cycle has been executed."/>
    <x v="2"/>
    <x v="0"/>
    <d v="2016-10-18T00:00:00"/>
    <d v="1899-12-30T09:47:04"/>
    <s v="Maintenance"/>
    <x v="0"/>
    <x v="2"/>
    <x v="2"/>
    <x v="0"/>
  </r>
  <r>
    <s v="Maintenance activity due: Clean Cuvette Waste Drawer."/>
    <x v="9"/>
    <x v="1"/>
    <d v="2016-10-18T00:00:00"/>
    <d v="1899-12-30T09:53:28"/>
    <s v="Maintenance"/>
    <x v="0"/>
    <x v="2"/>
    <x v="2"/>
    <x v="0"/>
  </r>
  <r>
    <s v="Maintenance activity due: Wipe-down Sample Probe."/>
    <x v="9"/>
    <x v="1"/>
    <d v="2016-10-18T00:00:00"/>
    <d v="1899-12-30T09:56:01"/>
    <s v="Maintenance"/>
    <x v="0"/>
    <x v="2"/>
    <x v="2"/>
    <x v="0"/>
  </r>
  <r>
    <s v="Maintenance activity due: Wipe-down all Probes."/>
    <x v="9"/>
    <x v="1"/>
    <d v="2016-10-18T00:00:00"/>
    <d v="1899-12-30T09:56:01"/>
    <s v="Maintenance"/>
    <x v="0"/>
    <x v="2"/>
    <x v="2"/>
    <x v="0"/>
  </r>
  <r>
    <s v="Maintenance activity due: Wipe-down LAS Probe."/>
    <x v="9"/>
    <x v="1"/>
    <d v="2016-10-18T00:00:00"/>
    <d v="1899-12-30T09:56:01"/>
    <s v="Maintenance"/>
    <x v="0"/>
    <x v="2"/>
    <x v="2"/>
    <x v="0"/>
  </r>
  <r>
    <s v="Analyzer Status changed from Ready to Diagnostics."/>
    <x v="0"/>
    <x v="0"/>
    <d v="2016-10-18T00:00:00"/>
    <d v="1899-12-30T10:29:47"/>
    <s v="Analyzer"/>
    <x v="0"/>
    <x v="0"/>
    <x v="0"/>
    <x v="0"/>
  </r>
  <r>
    <s v="Analyzer Status changed from Diagnostics to Emergency stop."/>
    <x v="0"/>
    <x v="0"/>
    <d v="2016-10-18T00:00:00"/>
    <d v="1899-12-30T11:14:39"/>
    <s v="Analyzer"/>
    <x v="0"/>
    <x v="0"/>
    <x v="0"/>
    <x v="0"/>
  </r>
  <r>
    <s v="Analyzer Status changed from Emergency stop to Not connected."/>
    <x v="0"/>
    <x v="0"/>
    <d v="2016-10-18T00:00:00"/>
    <d v="1899-12-30T11:14:39"/>
    <s v="Analyzer"/>
    <x v="0"/>
    <x v="0"/>
    <x v="0"/>
    <x v="0"/>
  </r>
  <r>
    <s v="Analyzer Status changed from Not connected to Power up."/>
    <x v="0"/>
    <x v="0"/>
    <d v="2016-10-18T00:00:00"/>
    <d v="1899-12-30T11:15:26"/>
    <s v="Analyzer"/>
    <x v="0"/>
    <x v="0"/>
    <x v="0"/>
    <x v="0"/>
  </r>
  <r>
    <s v="Analyzer Status changed from Power up to Initializing."/>
    <x v="0"/>
    <x v="0"/>
    <d v="2016-10-18T00:00:00"/>
    <d v="1899-12-30T11:15:37"/>
    <s v="Analyzer"/>
    <x v="0"/>
    <x v="0"/>
    <x v="0"/>
    <x v="0"/>
  </r>
  <r>
    <s v="Probe SAMPLE coordinates error."/>
    <x v="47"/>
    <x v="2"/>
    <d v="2016-10-18T00:00:00"/>
    <d v="1899-12-30T11:17:14"/>
    <s v="Analyzer"/>
    <x v="0"/>
    <x v="7"/>
    <x v="15"/>
    <x v="2"/>
  </r>
  <r>
    <s v="Analyzer Status changed from Initializing to Error."/>
    <x v="0"/>
    <x v="0"/>
    <d v="2016-10-18T00:00:00"/>
    <d v="1899-12-30T11:17:14"/>
    <s v="Analyzer"/>
    <x v="0"/>
    <x v="0"/>
    <x v="0"/>
    <x v="0"/>
  </r>
  <r>
    <s v="Analyzer Status changed from Error to Diagnostics."/>
    <x v="0"/>
    <x v="0"/>
    <d v="2016-10-18T00:00:00"/>
    <d v="1899-12-30T15:02:53"/>
    <s v="Analyzer"/>
    <x v="0"/>
    <x v="0"/>
    <x v="0"/>
    <x v="0"/>
  </r>
  <r>
    <s v="Analyzer Status changed from Diagnostics to Emergency stop."/>
    <x v="0"/>
    <x v="0"/>
    <d v="2016-10-18T00:00:00"/>
    <d v="1899-12-30T15:04:33"/>
    <s v="Analyzer"/>
    <x v="0"/>
    <x v="0"/>
    <x v="0"/>
    <x v="0"/>
  </r>
  <r>
    <s v="Analyzer Status changed from Emergency stop to Not connected."/>
    <x v="0"/>
    <x v="0"/>
    <d v="2016-10-18T00:00:00"/>
    <d v="1899-12-30T15:04:33"/>
    <s v="Analyzer"/>
    <x v="0"/>
    <x v="0"/>
    <x v="0"/>
    <x v="0"/>
  </r>
  <r>
    <s v="Analyzer Status changed from Not connected to Power up."/>
    <x v="0"/>
    <x v="0"/>
    <d v="2016-10-18T00:00:00"/>
    <d v="1899-12-30T15:05:20"/>
    <s v="Analyzer"/>
    <x v="0"/>
    <x v="0"/>
    <x v="0"/>
    <x v="0"/>
  </r>
  <r>
    <s v="Analyzer Status changed from Power up to Initializing."/>
    <x v="0"/>
    <x v="0"/>
    <d v="2016-10-18T00:00:00"/>
    <d v="1899-12-30T15:05:30"/>
    <s v="Analyzer"/>
    <x v="0"/>
    <x v="0"/>
    <x v="0"/>
    <x v="0"/>
  </r>
  <r>
    <s v="Analyzer Status changed from Initializing to Adjusting thermal."/>
    <x v="0"/>
    <x v="0"/>
    <d v="2016-10-18T00:00:00"/>
    <d v="1899-12-30T15:07:19"/>
    <s v="Analyzer"/>
    <x v="0"/>
    <x v="0"/>
    <x v="0"/>
    <x v="0"/>
  </r>
  <r>
    <s v="Analyzer Status changed from Adjusting thermal to Ready."/>
    <x v="0"/>
    <x v="0"/>
    <d v="2016-10-18T00:00:00"/>
    <d v="1899-12-30T15:09:38"/>
    <s v="Analyzer"/>
    <x v="0"/>
    <x v="0"/>
    <x v="0"/>
    <x v="0"/>
  </r>
  <r>
    <s v="Analyzer Status changed from Ready to Maintenance."/>
    <x v="0"/>
    <x v="0"/>
    <d v="2016-10-18T00:00:00"/>
    <d v="1899-12-30T15:09:38"/>
    <s v="Analyzer"/>
    <x v="0"/>
    <x v="0"/>
    <x v="0"/>
    <x v="0"/>
  </r>
  <r>
    <s v="Logout by user: LHO."/>
    <x v="16"/>
    <x v="0"/>
    <d v="2016-10-18T00:00:00"/>
    <d v="1899-12-30T15:10:40"/>
    <s v="Other"/>
    <x v="0"/>
    <x v="2"/>
    <x v="5"/>
    <x v="0"/>
  </r>
  <r>
    <s v="Unsuccessful log in by user: bah."/>
    <x v="48"/>
    <x v="0"/>
    <d v="2016-10-18T00:00:00"/>
    <d v="1899-12-30T15:10:48"/>
    <s v="Other"/>
    <x v="1"/>
    <x v="2"/>
    <x v="5"/>
    <x v="0"/>
  </r>
  <r>
    <s v="Analyzer Status changed from Maintenance to Ready."/>
    <x v="0"/>
    <x v="0"/>
    <d v="2016-10-18T00:00:00"/>
    <d v="1899-12-30T15:10:51"/>
    <s v="Analyzer"/>
    <x v="1"/>
    <x v="0"/>
    <x v="0"/>
    <x v="0"/>
  </r>
  <r>
    <s v="Successful log in by user: BAH."/>
    <x v="18"/>
    <x v="0"/>
    <d v="2016-10-18T00:00:00"/>
    <d v="1899-12-30T15:11:11"/>
    <s v="Other"/>
    <x v="3"/>
    <x v="2"/>
    <x v="5"/>
    <x v="0"/>
  </r>
  <r>
    <s v="Analyzer Status changed from Ready to Maintenance."/>
    <x v="0"/>
    <x v="0"/>
    <d v="2016-10-18T00:00:00"/>
    <d v="1899-12-30T16:10:51"/>
    <s v="Analyzer"/>
    <x v="3"/>
    <x v="0"/>
    <x v="0"/>
    <x v="0"/>
  </r>
  <r>
    <s v="Analyzer Status changed from Maintenance to Ready."/>
    <x v="0"/>
    <x v="0"/>
    <d v="2016-10-18T00:00:00"/>
    <d v="1899-12-30T16:11:13"/>
    <s v="Analyzer"/>
    <x v="3"/>
    <x v="0"/>
    <x v="0"/>
    <x v="0"/>
  </r>
  <r>
    <s v="Automatic maintenance activity Automatic Fluidic Line Priming Cycle has been executed."/>
    <x v="2"/>
    <x v="0"/>
    <d v="2016-10-18T00:00:00"/>
    <d v="1899-12-30T16:11:13"/>
    <s v="Maintenance"/>
    <x v="3"/>
    <x v="2"/>
    <x v="2"/>
    <x v="0"/>
  </r>
  <r>
    <s v="Analyzer Status changed from Ready to Maintenance."/>
    <x v="0"/>
    <x v="0"/>
    <d v="2016-10-18T00:00:00"/>
    <d v="1899-12-30T17:11:13"/>
    <s v="Analyzer"/>
    <x v="3"/>
    <x v="0"/>
    <x v="0"/>
    <x v="0"/>
  </r>
  <r>
    <s v="Analyzer Status changed from Maintenance to Ready."/>
    <x v="0"/>
    <x v="0"/>
    <d v="2016-10-18T00:00:00"/>
    <d v="1899-12-30T17:11:35"/>
    <s v="Analyzer"/>
    <x v="3"/>
    <x v="0"/>
    <x v="0"/>
    <x v="0"/>
  </r>
  <r>
    <s v="Automatic maintenance activity Automatic Fluidic Line Priming Cycle has been executed."/>
    <x v="2"/>
    <x v="0"/>
    <d v="2016-10-18T00:00:00"/>
    <d v="1899-12-30T17:11:35"/>
    <s v="Maintenance"/>
    <x v="3"/>
    <x v="2"/>
    <x v="2"/>
    <x v="0"/>
  </r>
  <r>
    <s v="Analyzer Status changed from Ready to Maintenance."/>
    <x v="0"/>
    <x v="0"/>
    <d v="2016-10-18T00:00:00"/>
    <d v="1899-12-30T18:11:35"/>
    <s v="Analyzer"/>
    <x v="3"/>
    <x v="0"/>
    <x v="0"/>
    <x v="0"/>
  </r>
  <r>
    <s v="Analyzer Status changed from Maintenance to Ready."/>
    <x v="0"/>
    <x v="0"/>
    <d v="2016-10-18T00:00:00"/>
    <d v="1899-12-30T18:11:57"/>
    <s v="Analyzer"/>
    <x v="3"/>
    <x v="0"/>
    <x v="0"/>
    <x v="0"/>
  </r>
  <r>
    <s v="Automatic maintenance activity Automatic Fluidic Line Priming Cycle has been executed."/>
    <x v="2"/>
    <x v="0"/>
    <d v="2016-10-18T00:00:00"/>
    <d v="1899-12-30T18:11:57"/>
    <s v="Maintenance"/>
    <x v="3"/>
    <x v="2"/>
    <x v="2"/>
    <x v="0"/>
  </r>
  <r>
    <s v="Analyzer Status changed from Ready to Maintenance."/>
    <x v="0"/>
    <x v="0"/>
    <d v="2016-10-18T00:00:00"/>
    <d v="1899-12-30T19:11:57"/>
    <s v="Analyzer"/>
    <x v="3"/>
    <x v="0"/>
    <x v="0"/>
    <x v="0"/>
  </r>
  <r>
    <s v="Analyzer Status changed from Maintenance to Ready."/>
    <x v="0"/>
    <x v="0"/>
    <d v="2016-10-18T00:00:00"/>
    <d v="1899-12-30T19:12:19"/>
    <s v="Analyzer"/>
    <x v="3"/>
    <x v="0"/>
    <x v="0"/>
    <x v="0"/>
  </r>
  <r>
    <s v="Automatic maintenance activity Automatic Fluidic Line Priming Cycle has been executed."/>
    <x v="2"/>
    <x v="0"/>
    <d v="2016-10-18T00:00:00"/>
    <d v="1899-12-30T19:12:19"/>
    <s v="Maintenance"/>
    <x v="3"/>
    <x v="2"/>
    <x v="2"/>
    <x v="0"/>
  </r>
  <r>
    <s v="Analyzer Status changed from Ready to Maintenance."/>
    <x v="0"/>
    <x v="0"/>
    <d v="2016-10-18T00:00:00"/>
    <d v="1899-12-30T20:12:19"/>
    <s v="Analyzer"/>
    <x v="3"/>
    <x v="0"/>
    <x v="0"/>
    <x v="0"/>
  </r>
  <r>
    <s v="Analyzer Status changed from Maintenance to Ready."/>
    <x v="0"/>
    <x v="0"/>
    <d v="2016-10-18T00:00:00"/>
    <d v="1899-12-30T20:12:41"/>
    <s v="Analyzer"/>
    <x v="3"/>
    <x v="0"/>
    <x v="0"/>
    <x v="0"/>
  </r>
  <r>
    <s v="Automatic maintenance activity Automatic Fluidic Line Priming Cycle has been executed."/>
    <x v="2"/>
    <x v="0"/>
    <d v="2016-10-18T00:00:00"/>
    <d v="1899-12-30T20:12:41"/>
    <s v="Maintenance"/>
    <x v="3"/>
    <x v="2"/>
    <x v="2"/>
    <x v="0"/>
  </r>
  <r>
    <s v="Analyzer Status changed from Ready to Maintenance."/>
    <x v="0"/>
    <x v="0"/>
    <d v="2016-10-18T00:00:00"/>
    <d v="1899-12-30T21:12:41"/>
    <s v="Analyzer"/>
    <x v="3"/>
    <x v="0"/>
    <x v="0"/>
    <x v="0"/>
  </r>
  <r>
    <s v="Analyzer Status changed from Maintenance to Ready."/>
    <x v="0"/>
    <x v="0"/>
    <d v="2016-10-18T00:00:00"/>
    <d v="1899-12-30T21:13:03"/>
    <s v="Analyzer"/>
    <x v="3"/>
    <x v="0"/>
    <x v="0"/>
    <x v="0"/>
  </r>
  <r>
    <s v="Automatic maintenance activity Automatic Fluidic Line Priming Cycle has been executed."/>
    <x v="2"/>
    <x v="0"/>
    <d v="2016-10-18T00:00:00"/>
    <d v="1899-12-30T21:13:03"/>
    <s v="Maintenance"/>
    <x v="3"/>
    <x v="2"/>
    <x v="2"/>
    <x v="0"/>
  </r>
  <r>
    <s v="Analyzer Status changed from Ready to Maintenance."/>
    <x v="0"/>
    <x v="0"/>
    <d v="2016-10-18T00:00:00"/>
    <d v="1899-12-30T22:13:03"/>
    <s v="Analyzer"/>
    <x v="3"/>
    <x v="0"/>
    <x v="0"/>
    <x v="0"/>
  </r>
  <r>
    <s v="Analyzer Status changed from Maintenance to Ready."/>
    <x v="0"/>
    <x v="0"/>
    <d v="2016-10-18T00:00:00"/>
    <d v="1899-12-30T22:13:25"/>
    <s v="Analyzer"/>
    <x v="3"/>
    <x v="0"/>
    <x v="0"/>
    <x v="0"/>
  </r>
  <r>
    <s v="Automatic maintenance activity Automatic Fluidic Line Priming Cycle has been executed."/>
    <x v="2"/>
    <x v="0"/>
    <d v="2016-10-18T00:00:00"/>
    <d v="1899-12-30T22:13:25"/>
    <s v="Maintenance"/>
    <x v="3"/>
    <x v="2"/>
    <x v="2"/>
    <x v="0"/>
  </r>
  <r>
    <s v="Analyzer Status changed from Ready to Maintenance."/>
    <x v="0"/>
    <x v="0"/>
    <d v="2016-10-18T00:00:00"/>
    <d v="1899-12-30T23:13:25"/>
    <s v="Analyzer"/>
    <x v="3"/>
    <x v="0"/>
    <x v="0"/>
    <x v="0"/>
  </r>
  <r>
    <s v="Analyzer Status changed from Maintenance to Ready."/>
    <x v="0"/>
    <x v="0"/>
    <d v="2016-10-18T00:00:00"/>
    <d v="1899-12-30T23:13:47"/>
    <s v="Analyzer"/>
    <x v="3"/>
    <x v="0"/>
    <x v="0"/>
    <x v="0"/>
  </r>
  <r>
    <s v="Automatic maintenance activity Automatic Fluidic Line Priming Cycle has been executed."/>
    <x v="2"/>
    <x v="0"/>
    <d v="2016-10-18T00:00:00"/>
    <d v="1899-12-30T23:13:47"/>
    <s v="Maintenance"/>
    <x v="3"/>
    <x v="2"/>
    <x v="2"/>
    <x v="0"/>
  </r>
  <r>
    <s v="Analyzer Status changed from Ready to Diagnostics."/>
    <x v="0"/>
    <x v="0"/>
    <d v="2016-10-18T00:00:00"/>
    <d v="1899-12-30T23:22:21"/>
    <s v="Analyzer"/>
    <x v="3"/>
    <x v="0"/>
    <x v="0"/>
    <x v="0"/>
  </r>
  <r>
    <s v="Analyzer Status changed from Diagnostics to Emergency stop."/>
    <x v="0"/>
    <x v="0"/>
    <d v="2016-10-18T00:00:00"/>
    <d v="1899-12-30T23:23:52"/>
    <s v="Analyzer"/>
    <x v="3"/>
    <x v="0"/>
    <x v="0"/>
    <x v="0"/>
  </r>
  <r>
    <s v="Analyzer Status changed from Emergency stop to Not connected."/>
    <x v="0"/>
    <x v="0"/>
    <d v="2016-10-18T00:00:00"/>
    <d v="1899-12-30T23:23:52"/>
    <s v="Analyzer"/>
    <x v="3"/>
    <x v="0"/>
    <x v="0"/>
    <x v="0"/>
  </r>
  <r>
    <s v="Analyzer Status changed from Not connected to Power up."/>
    <x v="0"/>
    <x v="0"/>
    <d v="2016-10-18T00:00:00"/>
    <d v="1899-12-30T23:24:39"/>
    <s v="Analyzer"/>
    <x v="3"/>
    <x v="0"/>
    <x v="0"/>
    <x v="0"/>
  </r>
  <r>
    <s v="Analyzer Status changed from Power up to Initializing."/>
    <x v="0"/>
    <x v="0"/>
    <d v="2016-10-18T00:00:00"/>
    <d v="1899-12-30T23:24:49"/>
    <s v="Analyzer"/>
    <x v="3"/>
    <x v="0"/>
    <x v="0"/>
    <x v="0"/>
  </r>
  <r>
    <s v="Analyzer Status changed from Initializing to Adjusting thermal."/>
    <x v="0"/>
    <x v="0"/>
    <d v="2016-10-18T00:00:00"/>
    <d v="1899-12-30T23:26:39"/>
    <s v="Analyzer"/>
    <x v="3"/>
    <x v="0"/>
    <x v="0"/>
    <x v="0"/>
  </r>
  <r>
    <s v="Non-identified Sample in rack 10 position 1, track 11."/>
    <x v="12"/>
    <x v="2"/>
    <d v="2016-10-18T00:00:00"/>
    <d v="1899-12-30T23:28:09"/>
    <s v="Materials"/>
    <x v="3"/>
    <x v="4"/>
    <x v="7"/>
    <x v="1"/>
  </r>
  <r>
    <s v="Analyzer Status changed from Adjusting thermal to Ready."/>
    <x v="0"/>
    <x v="0"/>
    <d v="2016-10-18T00:00:00"/>
    <d v="1899-12-30T23:28:57"/>
    <s v="Analyzer"/>
    <x v="3"/>
    <x v="0"/>
    <x v="0"/>
    <x v="0"/>
  </r>
  <r>
    <s v="Analyzer Status changed from Ready to Maintenance."/>
    <x v="0"/>
    <x v="0"/>
    <d v="2016-10-18T00:00:00"/>
    <d v="1899-12-30T23:28:57"/>
    <s v="Analyzer"/>
    <x v="3"/>
    <x v="0"/>
    <x v="0"/>
    <x v="0"/>
  </r>
  <r>
    <s v="Cuvettes low in the load area."/>
    <x v="15"/>
    <x v="1"/>
    <d v="2016-10-18T00:00:00"/>
    <d v="1899-12-30T23:29:06"/>
    <s v="Materials"/>
    <x v="3"/>
    <x v="5"/>
    <x v="8"/>
    <x v="0"/>
  </r>
  <r>
    <s v="Logout by user: BAH."/>
    <x v="16"/>
    <x v="0"/>
    <d v="2016-10-18T00:00:00"/>
    <d v="1899-12-30T23:29:25"/>
    <s v="Other"/>
    <x v="3"/>
    <x v="2"/>
    <x v="5"/>
    <x v="0"/>
  </r>
  <r>
    <s v="Successful log in by user: KSW."/>
    <x v="18"/>
    <x v="0"/>
    <d v="2016-10-18T00:00:00"/>
    <d v="1899-12-30T23:29:59"/>
    <s v="Other"/>
    <x v="4"/>
    <x v="2"/>
    <x v="5"/>
    <x v="0"/>
  </r>
  <r>
    <s v="Analyzer Status changed from Maintenance to Ready."/>
    <x v="0"/>
    <x v="0"/>
    <d v="2016-10-18T00:00:00"/>
    <d v="1899-12-30T23:30:10"/>
    <s v="Analyzer"/>
    <x v="4"/>
    <x v="0"/>
    <x v="0"/>
    <x v="0"/>
  </r>
  <r>
    <s v="Analyzer Status changed from Ready to Maintenance."/>
    <x v="0"/>
    <x v="0"/>
    <d v="2016-10-19T00:00:00"/>
    <d v="1899-12-30T00:30:10"/>
    <s v="Analyzer"/>
    <x v="4"/>
    <x v="0"/>
    <x v="0"/>
    <x v="0"/>
  </r>
  <r>
    <s v="Analyzer Status changed from Maintenance to Ready."/>
    <x v="0"/>
    <x v="0"/>
    <d v="2016-10-19T00:00:00"/>
    <d v="1899-12-30T00:30:32"/>
    <s v="Analyzer"/>
    <x v="4"/>
    <x v="0"/>
    <x v="0"/>
    <x v="0"/>
  </r>
  <r>
    <s v="Automatic maintenance activity Automatic Fluidic Line Priming Cycle has been executed."/>
    <x v="2"/>
    <x v="0"/>
    <d v="2016-10-19T00:00:00"/>
    <d v="1899-12-30T00:30:32"/>
    <s v="Maintenance"/>
    <x v="4"/>
    <x v="2"/>
    <x v="2"/>
    <x v="0"/>
  </r>
  <r>
    <s v="Analyzer Status changed from Ready to Maintenance."/>
    <x v="0"/>
    <x v="0"/>
    <d v="2016-10-19T00:00:00"/>
    <d v="1899-12-30T01:30:32"/>
    <s v="Analyzer"/>
    <x v="4"/>
    <x v="0"/>
    <x v="0"/>
    <x v="0"/>
  </r>
  <r>
    <s v="Analyzer Status changed from Maintenance to Ready."/>
    <x v="0"/>
    <x v="0"/>
    <d v="2016-10-19T00:00:00"/>
    <d v="1899-12-30T01:30:54"/>
    <s v="Analyzer"/>
    <x v="4"/>
    <x v="0"/>
    <x v="0"/>
    <x v="0"/>
  </r>
  <r>
    <s v="Automatic maintenance activity Automatic Fluidic Line Priming Cycle has been executed."/>
    <x v="2"/>
    <x v="0"/>
    <d v="2016-10-19T00:00:00"/>
    <d v="1899-12-30T01:30:54"/>
    <s v="Maintenance"/>
    <x v="4"/>
    <x v="2"/>
    <x v="2"/>
    <x v="0"/>
  </r>
  <r>
    <s v="Analyzer Status changed from Ready to Maintenance."/>
    <x v="0"/>
    <x v="0"/>
    <d v="2016-10-19T00:00:00"/>
    <d v="1899-12-30T02:30:54"/>
    <s v="Analyzer"/>
    <x v="4"/>
    <x v="0"/>
    <x v="0"/>
    <x v="0"/>
  </r>
  <r>
    <s v="Analyzer Status changed from Maintenance to Ready."/>
    <x v="0"/>
    <x v="0"/>
    <d v="2016-10-19T00:00:00"/>
    <d v="1899-12-30T02:31:16"/>
    <s v="Analyzer"/>
    <x v="4"/>
    <x v="0"/>
    <x v="0"/>
    <x v="0"/>
  </r>
  <r>
    <s v="Automatic maintenance activity Automatic Fluidic Line Priming Cycle has been executed."/>
    <x v="2"/>
    <x v="0"/>
    <d v="2016-10-19T00:00:00"/>
    <d v="1899-12-30T02:31:16"/>
    <s v="Maintenance"/>
    <x v="4"/>
    <x v="2"/>
    <x v="2"/>
    <x v="0"/>
  </r>
  <r>
    <s v="Analyzer Status changed from Ready to Maintenance."/>
    <x v="0"/>
    <x v="0"/>
    <d v="2016-10-19T00:00:00"/>
    <d v="1899-12-30T03:31:16"/>
    <s v="Analyzer"/>
    <x v="4"/>
    <x v="0"/>
    <x v="0"/>
    <x v="0"/>
  </r>
  <r>
    <s v="Analyzer Status changed from Maintenance to Ready."/>
    <x v="0"/>
    <x v="0"/>
    <d v="2016-10-19T00:00:00"/>
    <d v="1899-12-30T03:31:37"/>
    <s v="Analyzer"/>
    <x v="4"/>
    <x v="0"/>
    <x v="0"/>
    <x v="0"/>
  </r>
  <r>
    <s v="Automatic maintenance activity Automatic Fluidic Line Priming Cycle has been executed."/>
    <x v="2"/>
    <x v="0"/>
    <d v="2016-10-19T00:00:00"/>
    <d v="1899-12-30T03:31:37"/>
    <s v="Maintenance"/>
    <x v="4"/>
    <x v="2"/>
    <x v="2"/>
    <x v="0"/>
  </r>
  <r>
    <s v="Analyzer Status changed from Ready to Maintenance."/>
    <x v="0"/>
    <x v="0"/>
    <d v="2016-10-19T00:00:00"/>
    <d v="1899-12-30T04:31:38"/>
    <s v="Analyzer"/>
    <x v="4"/>
    <x v="0"/>
    <x v="0"/>
    <x v="0"/>
  </r>
  <r>
    <s v="Analyzer Status changed from Maintenance to Ready."/>
    <x v="0"/>
    <x v="0"/>
    <d v="2016-10-19T00:00:00"/>
    <d v="1899-12-30T04:31:59"/>
    <s v="Analyzer"/>
    <x v="4"/>
    <x v="0"/>
    <x v="0"/>
    <x v="0"/>
  </r>
  <r>
    <s v="Automatic maintenance activity Automatic Fluidic Line Priming Cycle has been executed."/>
    <x v="2"/>
    <x v="0"/>
    <d v="2016-10-19T00:00:00"/>
    <d v="1899-12-30T04:31:59"/>
    <s v="Maintenance"/>
    <x v="4"/>
    <x v="2"/>
    <x v="2"/>
    <x v="0"/>
  </r>
  <r>
    <s v="Analyzer Status changed from Ready to Maintenance."/>
    <x v="0"/>
    <x v="0"/>
    <d v="2016-10-19T00:00:00"/>
    <d v="1899-12-30T05:32:00"/>
    <s v="Analyzer"/>
    <x v="4"/>
    <x v="0"/>
    <x v="0"/>
    <x v="0"/>
  </r>
  <r>
    <s v="Analyzer Status changed from Maintenance to Ready."/>
    <x v="0"/>
    <x v="0"/>
    <d v="2016-10-19T00:00:00"/>
    <d v="1899-12-30T05:32:21"/>
    <s v="Analyzer"/>
    <x v="4"/>
    <x v="0"/>
    <x v="0"/>
    <x v="0"/>
  </r>
  <r>
    <s v="Automatic maintenance activity Automatic Fluidic Line Priming Cycle has been executed."/>
    <x v="2"/>
    <x v="0"/>
    <d v="2016-10-19T00:00:00"/>
    <d v="1899-12-30T05:32:21"/>
    <s v="Maintenance"/>
    <x v="4"/>
    <x v="2"/>
    <x v="2"/>
    <x v="0"/>
  </r>
  <r>
    <s v="Analyzer Status changed from Ready to Maintenance."/>
    <x v="0"/>
    <x v="0"/>
    <d v="2016-10-19T00:00:00"/>
    <d v="1899-12-30T06:32:22"/>
    <s v="Analyzer"/>
    <x v="4"/>
    <x v="0"/>
    <x v="0"/>
    <x v="0"/>
  </r>
  <r>
    <s v="Analyzer Status changed from Maintenance to Ready."/>
    <x v="0"/>
    <x v="0"/>
    <d v="2016-10-19T00:00:00"/>
    <d v="1899-12-30T06:32:43"/>
    <s v="Analyzer"/>
    <x v="4"/>
    <x v="0"/>
    <x v="0"/>
    <x v="0"/>
  </r>
  <r>
    <s v="Automatic maintenance activity Automatic Fluidic Line Priming Cycle has been executed."/>
    <x v="2"/>
    <x v="0"/>
    <d v="2016-10-19T00:00:00"/>
    <d v="1899-12-30T06:32:43"/>
    <s v="Maintenance"/>
    <x v="4"/>
    <x v="2"/>
    <x v="2"/>
    <x v="0"/>
  </r>
  <r>
    <s v="Analyzer Status changed from Ready to Maintenance."/>
    <x v="0"/>
    <x v="0"/>
    <d v="2016-10-19T00:00:00"/>
    <d v="1899-12-30T07:32:44"/>
    <s v="Analyzer"/>
    <x v="4"/>
    <x v="0"/>
    <x v="0"/>
    <x v="0"/>
  </r>
  <r>
    <s v="Analyzer Status changed from Maintenance to Ready."/>
    <x v="0"/>
    <x v="0"/>
    <d v="2016-10-19T00:00:00"/>
    <d v="1899-12-30T07:33:05"/>
    <s v="Analyzer"/>
    <x v="4"/>
    <x v="0"/>
    <x v="0"/>
    <x v="0"/>
  </r>
  <r>
    <s v="Automatic maintenance activity Automatic Fluidic Line Priming Cycle has been executed."/>
    <x v="2"/>
    <x v="0"/>
    <d v="2016-10-19T00:00:00"/>
    <d v="1899-12-30T07:33:05"/>
    <s v="Maintenance"/>
    <x v="4"/>
    <x v="2"/>
    <x v="2"/>
    <x v="0"/>
  </r>
  <r>
    <s v="Analyzer Status changed from Ready to Maintenance."/>
    <x v="0"/>
    <x v="0"/>
    <d v="2016-10-19T00:00:00"/>
    <d v="1899-12-30T08:33:06"/>
    <s v="Analyzer"/>
    <x v="4"/>
    <x v="0"/>
    <x v="0"/>
    <x v="0"/>
  </r>
  <r>
    <s v="Analyzer Status changed from Maintenance to Ready."/>
    <x v="0"/>
    <x v="0"/>
    <d v="2016-10-19T00:00:00"/>
    <d v="1899-12-30T08:33:27"/>
    <s v="Analyzer"/>
    <x v="4"/>
    <x v="0"/>
    <x v="0"/>
    <x v="0"/>
  </r>
  <r>
    <s v="Automatic maintenance activity Automatic Fluidic Line Priming Cycle has been executed."/>
    <x v="2"/>
    <x v="0"/>
    <d v="2016-10-19T00:00:00"/>
    <d v="1899-12-30T08:33:27"/>
    <s v="Maintenance"/>
    <x v="4"/>
    <x v="2"/>
    <x v="2"/>
    <x v="0"/>
  </r>
  <r>
    <s v="Analyzer Status changed from Ready to Maintenance."/>
    <x v="0"/>
    <x v="0"/>
    <d v="2016-10-19T00:00:00"/>
    <d v="1899-12-30T09:33:28"/>
    <s v="Analyzer"/>
    <x v="4"/>
    <x v="0"/>
    <x v="0"/>
    <x v="0"/>
  </r>
  <r>
    <s v="Analyzer Status changed from Maintenance to Ready."/>
    <x v="0"/>
    <x v="0"/>
    <d v="2016-10-19T00:00:00"/>
    <d v="1899-12-30T09:33:49"/>
    <s v="Analyzer"/>
    <x v="4"/>
    <x v="0"/>
    <x v="0"/>
    <x v="0"/>
  </r>
  <r>
    <s v="Automatic maintenance activity Automatic Fluidic Line Priming Cycle has been executed."/>
    <x v="2"/>
    <x v="0"/>
    <d v="2016-10-19T00:00:00"/>
    <d v="1899-12-30T09:33:49"/>
    <s v="Maintenance"/>
    <x v="4"/>
    <x v="2"/>
    <x v="2"/>
    <x v="0"/>
  </r>
  <r>
    <s v="Maintenance activity overdue: Clean Cuvette Waste Drawer."/>
    <x v="20"/>
    <x v="1"/>
    <d v="2016-10-19T00:00:00"/>
    <d v="1899-12-30T09:53:28"/>
    <s v="Maintenance"/>
    <x v="4"/>
    <x v="2"/>
    <x v="2"/>
    <x v="0"/>
  </r>
  <r>
    <s v="Maintenance activity overdue: Wipe-down all Probes."/>
    <x v="20"/>
    <x v="1"/>
    <d v="2016-10-19T00:00:00"/>
    <d v="1899-12-30T09:56:01"/>
    <s v="Maintenance"/>
    <x v="4"/>
    <x v="2"/>
    <x v="2"/>
    <x v="0"/>
  </r>
  <r>
    <s v="Maintenance activity overdue: Wipe-down Sample Probe."/>
    <x v="20"/>
    <x v="1"/>
    <d v="2016-10-19T00:00:00"/>
    <d v="1899-12-30T09:56:01"/>
    <s v="Maintenance"/>
    <x v="4"/>
    <x v="2"/>
    <x v="2"/>
    <x v="0"/>
  </r>
  <r>
    <s v="Maintenance activity overdue: Wipe-down LAS Probe."/>
    <x v="20"/>
    <x v="1"/>
    <d v="2016-10-19T00:00:00"/>
    <d v="1899-12-30T09:56:01"/>
    <s v="Maintenance"/>
    <x v="4"/>
    <x v="2"/>
    <x v="2"/>
    <x v="0"/>
  </r>
  <r>
    <s v="Analyzer Status changed from Ready to Maintenance."/>
    <x v="0"/>
    <x v="0"/>
    <d v="2016-10-19T00:00:00"/>
    <d v="1899-12-30T10:33:49"/>
    <s v="Analyzer"/>
    <x v="4"/>
    <x v="0"/>
    <x v="0"/>
    <x v="0"/>
  </r>
  <r>
    <s v="Analyzer Status changed from Maintenance to Ready."/>
    <x v="0"/>
    <x v="0"/>
    <d v="2016-10-19T00:00:00"/>
    <d v="1899-12-30T10:34:11"/>
    <s v="Analyzer"/>
    <x v="4"/>
    <x v="0"/>
    <x v="0"/>
    <x v="0"/>
  </r>
  <r>
    <s v="Automatic maintenance activity Automatic Fluidic Line Priming Cycle has been executed."/>
    <x v="2"/>
    <x v="0"/>
    <d v="2016-10-19T00:00:00"/>
    <d v="1899-12-30T10:34:11"/>
    <s v="Maintenance"/>
    <x v="4"/>
    <x v="2"/>
    <x v="2"/>
    <x v="0"/>
  </r>
  <r>
    <s v="Logout by user: KSW."/>
    <x v="16"/>
    <x v="0"/>
    <d v="2016-10-19T00:00:00"/>
    <d v="1899-12-30T10:48:45"/>
    <s v="Other"/>
    <x v="4"/>
    <x v="2"/>
    <x v="5"/>
    <x v="0"/>
  </r>
  <r>
    <s v="Successful log in by user: LHO."/>
    <x v="18"/>
    <x v="0"/>
    <d v="2016-10-19T00:00:00"/>
    <d v="1899-12-30T10:48:52"/>
    <s v="Other"/>
    <x v="0"/>
    <x v="2"/>
    <x v="5"/>
    <x v="0"/>
  </r>
  <r>
    <s v="Reflex Rule Q.F.A. Low has been modified."/>
    <x v="23"/>
    <x v="0"/>
    <d v="2016-10-19T00:00:00"/>
    <d v="1899-12-30T10:59:44"/>
    <s v="Setup"/>
    <x v="0"/>
    <x v="2"/>
    <x v="5"/>
    <x v="0"/>
  </r>
  <r>
    <s v="Non-identified Material in rack DA position 2, track 2."/>
    <x v="27"/>
    <x v="2"/>
    <d v="2016-10-19T00:00:00"/>
    <d v="1899-12-30T11:08:26"/>
    <s v="Materials"/>
    <x v="0"/>
    <x v="2"/>
    <x v="3"/>
    <x v="0"/>
  </r>
  <r>
    <s v="Non-identified Material in rack RB position 4, track 1."/>
    <x v="27"/>
    <x v="2"/>
    <d v="2016-10-19T00:00:00"/>
    <d v="1899-12-30T11:08:58"/>
    <s v="Materials"/>
    <x v="0"/>
    <x v="2"/>
    <x v="3"/>
    <x v="0"/>
  </r>
  <r>
    <s v="Non-identified Material in rack RF position 5, track 6."/>
    <x v="27"/>
    <x v="2"/>
    <d v="2016-10-19T00:00:00"/>
    <d v="1899-12-30T11:09:19"/>
    <s v="Materials"/>
    <x v="0"/>
    <x v="2"/>
    <x v="3"/>
    <x v="0"/>
  </r>
  <r>
    <s v="APTT-SS volume low."/>
    <x v="7"/>
    <x v="1"/>
    <d v="2016-10-19T00:00:00"/>
    <d v="1899-12-30T11:09:24"/>
    <s v="Materials"/>
    <x v="0"/>
    <x v="3"/>
    <x v="4"/>
    <x v="0"/>
  </r>
  <r>
    <s v="Anti Chromogenic Sub volume low."/>
    <x v="7"/>
    <x v="1"/>
    <d v="2016-10-19T00:00:00"/>
    <d v="1899-12-30T11:09:38"/>
    <s v="Materials"/>
    <x v="0"/>
    <x v="3"/>
    <x v="4"/>
    <x v="0"/>
  </r>
  <r>
    <s v="Chrome X Substrate volume low."/>
    <x v="7"/>
    <x v="1"/>
    <d v="2016-10-19T00:00:00"/>
    <d v="1899-12-30T11:09:45"/>
    <s v="Materials"/>
    <x v="0"/>
    <x v="3"/>
    <x v="4"/>
    <x v="0"/>
  </r>
  <r>
    <s v="PT RecombiPlasTin volume low."/>
    <x v="7"/>
    <x v="1"/>
    <d v="2016-10-19T00:00:00"/>
    <d v="1899-12-30T11:10:08"/>
    <s v="Materials"/>
    <x v="0"/>
    <x v="3"/>
    <x v="4"/>
    <x v="0"/>
  </r>
  <r>
    <s v="APTT-SS CaCl2 volume low."/>
    <x v="7"/>
    <x v="1"/>
    <d v="2016-10-19T00:00:00"/>
    <d v="1899-12-30T11:10:22"/>
    <s v="Materials"/>
    <x v="0"/>
    <x v="3"/>
    <x v="4"/>
    <x v="0"/>
  </r>
  <r>
    <s v="Anti Factor Xa Rgt. volume low."/>
    <x v="7"/>
    <x v="1"/>
    <d v="2016-10-19T00:00:00"/>
    <d v="1899-12-30T11:10:29"/>
    <s v="Materials"/>
    <x v="0"/>
    <x v="3"/>
    <x v="4"/>
    <x v="0"/>
  </r>
  <r>
    <s v="D-Dimer HS Latex volume low."/>
    <x v="7"/>
    <x v="1"/>
    <d v="2016-10-19T00:00:00"/>
    <d v="1899-12-30T11:10:57"/>
    <s v="Materials"/>
    <x v="0"/>
    <x v="3"/>
    <x v="4"/>
    <x v="0"/>
  </r>
  <r>
    <s v="AT Liq FXa volume low."/>
    <x v="7"/>
    <x v="1"/>
    <d v="2016-10-19T00:00:00"/>
    <d v="1899-12-30T11:12:06"/>
    <s v="Materials"/>
    <x v="0"/>
    <x v="3"/>
    <x v="4"/>
    <x v="0"/>
  </r>
  <r>
    <s v="Protein C Substrate volume low."/>
    <x v="7"/>
    <x v="1"/>
    <d v="2016-10-19T00:00:00"/>
    <d v="1899-12-30T11:12:13"/>
    <s v="Materials"/>
    <x v="0"/>
    <x v="3"/>
    <x v="4"/>
    <x v="0"/>
  </r>
  <r>
    <s v="Protein C Activator volume low."/>
    <x v="7"/>
    <x v="1"/>
    <d v="2016-10-19T00:00:00"/>
    <d v="1899-12-30T11:12:20"/>
    <s v="Materials"/>
    <x v="0"/>
    <x v="3"/>
    <x v="4"/>
    <x v="0"/>
  </r>
  <r>
    <s v="AT Liq Substrate volume low."/>
    <x v="7"/>
    <x v="1"/>
    <d v="2016-10-19T00:00:00"/>
    <d v="1899-12-30T11:12:20"/>
    <s v="Materials"/>
    <x v="0"/>
    <x v="3"/>
    <x v="4"/>
    <x v="0"/>
  </r>
  <r>
    <s v="Analyzer Status changed from Ready to Busy."/>
    <x v="0"/>
    <x v="0"/>
    <d v="2016-10-19T00:00:00"/>
    <d v="1899-12-30T11:13:54"/>
    <s v="Analyzer"/>
    <x v="0"/>
    <x v="0"/>
    <x v="0"/>
    <x v="0"/>
  </r>
  <r>
    <s v="Anti Chromogenic Sub insufficient material to run additional calibration / test."/>
    <x v="32"/>
    <x v="2"/>
    <d v="2016-10-19T00:00:00"/>
    <d v="1899-12-30T11:15:24"/>
    <s v="Materials"/>
    <x v="0"/>
    <x v="3"/>
    <x v="4"/>
    <x v="0"/>
  </r>
  <r>
    <s v="Analyzer Status changed from Busy to Ready."/>
    <x v="0"/>
    <x v="0"/>
    <d v="2016-10-19T00:00:00"/>
    <d v="1899-12-30T11:23:17"/>
    <s v="Analyzer"/>
    <x v="0"/>
    <x v="0"/>
    <x v="0"/>
    <x v="0"/>
  </r>
  <r>
    <s v="Analyzer Status changed from Ready to Maintenance."/>
    <x v="0"/>
    <x v="0"/>
    <d v="2016-10-19T00:00:00"/>
    <d v="1899-12-30T11:23:17"/>
    <s v="Analyzer"/>
    <x v="0"/>
    <x v="0"/>
    <x v="0"/>
    <x v="0"/>
  </r>
  <r>
    <s v="Analyzer Status changed from Maintenance to Ready."/>
    <x v="0"/>
    <x v="0"/>
    <d v="2016-10-19T00:00:00"/>
    <d v="1899-12-30T11:23:44"/>
    <s v="Analyzer"/>
    <x v="0"/>
    <x v="0"/>
    <x v="0"/>
    <x v="0"/>
  </r>
  <r>
    <s v="Automatic maintenance activity Automatic Routine Clean for all Probes has been executed."/>
    <x v="2"/>
    <x v="0"/>
    <d v="2016-10-19T00:00:00"/>
    <d v="1899-12-30T11:23:44"/>
    <s v="Maintenance"/>
    <x v="0"/>
    <x v="2"/>
    <x v="2"/>
    <x v="0"/>
  </r>
  <r>
    <s v="Communications between the instrument and the LIS have been lost."/>
    <x v="13"/>
    <x v="2"/>
    <d v="2016-10-19T00:00:00"/>
    <d v="1899-12-30T11:41:56"/>
    <s v="LIS"/>
    <x v="0"/>
    <x v="2"/>
    <x v="6"/>
    <x v="0"/>
  </r>
  <r>
    <s v="Analyzer Status changed from Ready to Maintenance."/>
    <x v="0"/>
    <x v="0"/>
    <d v="2016-10-19T00:00:00"/>
    <d v="1899-12-30T12:23:44"/>
    <s v="Analyzer"/>
    <x v="0"/>
    <x v="0"/>
    <x v="0"/>
    <x v="0"/>
  </r>
  <r>
    <s v="Analyzer Status changed from Maintenance to Ready."/>
    <x v="0"/>
    <x v="0"/>
    <d v="2016-10-19T00:00:00"/>
    <d v="1899-12-30T12:24:06"/>
    <s v="Analyzer"/>
    <x v="0"/>
    <x v="0"/>
    <x v="0"/>
    <x v="0"/>
  </r>
  <r>
    <s v="Automatic maintenance activity Automatic Fluidic Line Priming Cycle has been executed."/>
    <x v="2"/>
    <x v="0"/>
    <d v="2016-10-19T00:00:00"/>
    <d v="1899-12-30T12:24:06"/>
    <s v="Maintenance"/>
    <x v="0"/>
    <x v="2"/>
    <x v="2"/>
    <x v="0"/>
  </r>
  <r>
    <s v="Communications between the instrument and the LIS have been lost."/>
    <x v="13"/>
    <x v="2"/>
    <d v="2016-10-19T00:00:00"/>
    <d v="1899-12-30T12:31:56"/>
    <s v="LIS"/>
    <x v="0"/>
    <x v="2"/>
    <x v="6"/>
    <x v="0"/>
  </r>
  <r>
    <s v="Non-identified Material in rack DA position 2, track 2."/>
    <x v="27"/>
    <x v="2"/>
    <d v="2016-10-19T00:00:00"/>
    <d v="1899-12-30T12:33:36"/>
    <s v="Materials"/>
    <x v="0"/>
    <x v="2"/>
    <x v="3"/>
    <x v="0"/>
  </r>
  <r>
    <s v="Protein C Substrate volume low."/>
    <x v="7"/>
    <x v="1"/>
    <d v="2016-10-19T00:00:00"/>
    <d v="1899-12-30T12:33:50"/>
    <s v="Materials"/>
    <x v="0"/>
    <x v="3"/>
    <x v="4"/>
    <x v="0"/>
  </r>
  <r>
    <s v="AT Liq Substrate volume low."/>
    <x v="7"/>
    <x v="1"/>
    <d v="2016-10-19T00:00:00"/>
    <d v="1899-12-30T12:33:50"/>
    <s v="Materials"/>
    <x v="0"/>
    <x v="3"/>
    <x v="4"/>
    <x v="0"/>
  </r>
  <r>
    <s v="PT RecombiPlasTin volume low."/>
    <x v="7"/>
    <x v="1"/>
    <d v="2016-10-19T00:00:00"/>
    <d v="1899-12-30T12:34:00"/>
    <s v="Materials"/>
    <x v="0"/>
    <x v="3"/>
    <x v="4"/>
    <x v="0"/>
  </r>
  <r>
    <s v="APTT-SS CaCl2 volume low."/>
    <x v="7"/>
    <x v="1"/>
    <d v="2016-10-19T00:00:00"/>
    <d v="1899-12-30T12:34:00"/>
    <s v="Materials"/>
    <x v="0"/>
    <x v="3"/>
    <x v="4"/>
    <x v="0"/>
  </r>
  <r>
    <s v="Anti Factor Xa Rgt. volume low."/>
    <x v="7"/>
    <x v="1"/>
    <d v="2016-10-19T00:00:00"/>
    <d v="1899-12-30T12:34:00"/>
    <s v="Materials"/>
    <x v="0"/>
    <x v="3"/>
    <x v="4"/>
    <x v="0"/>
  </r>
  <r>
    <s v="D-Dimer HS Latex volume low."/>
    <x v="7"/>
    <x v="1"/>
    <d v="2016-10-19T00:00:00"/>
    <d v="1899-12-30T12:34:00"/>
    <s v="Materials"/>
    <x v="0"/>
    <x v="3"/>
    <x v="4"/>
    <x v="0"/>
  </r>
  <r>
    <s v="Non-identified Material in rack RF position 5, track 6."/>
    <x v="27"/>
    <x v="2"/>
    <d v="2016-10-19T00:00:00"/>
    <d v="1899-12-30T12:34:00"/>
    <s v="Materials"/>
    <x v="0"/>
    <x v="2"/>
    <x v="3"/>
    <x v="0"/>
  </r>
  <r>
    <s v="Non-identified Sample in rack 11 position 1, track 9."/>
    <x v="12"/>
    <x v="2"/>
    <d v="2016-10-19T00:00:00"/>
    <d v="1899-12-30T12:34:55"/>
    <s v="Materials"/>
    <x v="0"/>
    <x v="4"/>
    <x v="7"/>
    <x v="1"/>
  </r>
  <r>
    <s v="Analyzer Status changed from Ready to Busy."/>
    <x v="0"/>
    <x v="0"/>
    <d v="2016-10-19T00:00:00"/>
    <d v="1899-12-30T12:35:02"/>
    <s v="Analyzer"/>
    <x v="0"/>
    <x v="0"/>
    <x v="0"/>
    <x v="0"/>
  </r>
  <r>
    <s v="LMWH Patient job not feasible. Waiting for Anti Chromogenic Sub."/>
    <x v="26"/>
    <x v="1"/>
    <d v="2016-10-19T00:00:00"/>
    <d v="1899-12-30T12:35:35"/>
    <s v="Materials"/>
    <x v="0"/>
    <x v="2"/>
    <x v="3"/>
    <x v="0"/>
  </r>
  <r>
    <s v="Analyzer Status changed from Busy to Ready."/>
    <x v="0"/>
    <x v="0"/>
    <d v="2016-10-19T00:00:00"/>
    <d v="1899-12-30T12:35:39"/>
    <s v="Analyzer"/>
    <x v="0"/>
    <x v="0"/>
    <x v="0"/>
    <x v="0"/>
  </r>
  <r>
    <s v="Protein C Substrate volume low."/>
    <x v="7"/>
    <x v="1"/>
    <d v="2016-10-19T00:00:00"/>
    <d v="1899-12-30T12:36:45"/>
    <s v="Materials"/>
    <x v="0"/>
    <x v="3"/>
    <x v="4"/>
    <x v="0"/>
  </r>
  <r>
    <s v="AT Liq Substrate volume low."/>
    <x v="7"/>
    <x v="1"/>
    <d v="2016-10-19T00:00:00"/>
    <d v="1899-12-30T12:36:45"/>
    <s v="Materials"/>
    <x v="0"/>
    <x v="3"/>
    <x v="4"/>
    <x v="0"/>
  </r>
  <r>
    <s v="Placement error (Anti Chromogenic Sub in rack RC, position 6, track 5)."/>
    <x v="49"/>
    <x v="2"/>
    <d v="2016-10-19T00:00:00"/>
    <d v="1899-12-30T12:36:45"/>
    <s v="Materials"/>
    <x v="0"/>
    <x v="2"/>
    <x v="3"/>
    <x v="0"/>
  </r>
  <r>
    <s v="AT Liq Substrate volume low."/>
    <x v="7"/>
    <x v="1"/>
    <d v="2016-10-19T00:00:00"/>
    <d v="1899-12-30T12:37:43"/>
    <s v="Materials"/>
    <x v="0"/>
    <x v="3"/>
    <x v="4"/>
    <x v="0"/>
  </r>
  <r>
    <s v="Non-identified Material in rack RC position 4, track 5."/>
    <x v="27"/>
    <x v="2"/>
    <d v="2016-10-19T00:00:00"/>
    <d v="1899-12-30T12:37:43"/>
    <s v="Materials"/>
    <x v="0"/>
    <x v="2"/>
    <x v="3"/>
    <x v="0"/>
  </r>
  <r>
    <s v="AT Liq FXa volume low."/>
    <x v="7"/>
    <x v="1"/>
    <d v="2016-10-19T00:00:00"/>
    <d v="1899-12-30T12:37:51"/>
    <s v="Materials"/>
    <x v="0"/>
    <x v="3"/>
    <x v="4"/>
    <x v="0"/>
  </r>
  <r>
    <s v="Protein C Activator volume low."/>
    <x v="7"/>
    <x v="1"/>
    <d v="2016-10-19T00:00:00"/>
    <d v="1899-12-30T12:37:51"/>
    <s v="Materials"/>
    <x v="0"/>
    <x v="3"/>
    <x v="4"/>
    <x v="0"/>
  </r>
  <r>
    <s v="Non-identified Material in rack DA position 2, track 2."/>
    <x v="27"/>
    <x v="2"/>
    <d v="2016-10-19T00:00:00"/>
    <d v="1899-12-30T12:38:29"/>
    <s v="Materials"/>
    <x v="0"/>
    <x v="2"/>
    <x v="3"/>
    <x v="0"/>
  </r>
  <r>
    <s v="Non-identified Material in rack DA position 5, track 2."/>
    <x v="27"/>
    <x v="2"/>
    <d v="2016-10-19T00:00:00"/>
    <d v="1899-12-30T12:38:29"/>
    <s v="Materials"/>
    <x v="0"/>
    <x v="2"/>
    <x v="3"/>
    <x v="0"/>
  </r>
  <r>
    <s v="Analyzer Status changed from Ready to Busy."/>
    <x v="0"/>
    <x v="0"/>
    <d v="2016-10-19T00:00:00"/>
    <d v="1899-12-30T12:38:40"/>
    <s v="Analyzer"/>
    <x v="0"/>
    <x v="0"/>
    <x v="0"/>
    <x v="0"/>
  </r>
  <r>
    <s v="Analyzer Status changed from Busy to Ready."/>
    <x v="0"/>
    <x v="0"/>
    <d v="2016-10-19T00:00:00"/>
    <d v="1899-12-30T12:46:06"/>
    <s v="Analyzer"/>
    <x v="0"/>
    <x v="0"/>
    <x v="0"/>
    <x v="0"/>
  </r>
  <r>
    <s v="Analyzer Status changed from Ready to Maintenance."/>
    <x v="0"/>
    <x v="0"/>
    <d v="2016-10-19T00:00:00"/>
    <d v="1899-12-30T12:46:06"/>
    <s v="Analyzer"/>
    <x v="0"/>
    <x v="0"/>
    <x v="0"/>
    <x v="0"/>
  </r>
  <r>
    <s v="Analyzer Status changed from Maintenance to Ready."/>
    <x v="0"/>
    <x v="0"/>
    <d v="2016-10-19T00:00:00"/>
    <d v="1899-12-30T12:47:07"/>
    <s v="Analyzer"/>
    <x v="0"/>
    <x v="0"/>
    <x v="0"/>
    <x v="0"/>
  </r>
  <r>
    <s v="Automatic maintenance activity Automatic Routine Clean for all Probes has been executed."/>
    <x v="2"/>
    <x v="0"/>
    <d v="2016-10-19T00:00:00"/>
    <d v="1899-12-30T12:47:07"/>
    <s v="Maintenance"/>
    <x v="0"/>
    <x v="2"/>
    <x v="2"/>
    <x v="0"/>
  </r>
  <r>
    <s v="Non-identified Material in rack DA position 2, track 2."/>
    <x v="27"/>
    <x v="2"/>
    <d v="2016-10-19T00:00:00"/>
    <d v="1899-12-30T13:09:10"/>
    <s v="Materials"/>
    <x v="0"/>
    <x v="2"/>
    <x v="3"/>
    <x v="0"/>
  </r>
  <r>
    <s v="Non-identified Material in rack DA position 5, track 2."/>
    <x v="27"/>
    <x v="2"/>
    <d v="2016-10-19T00:00:00"/>
    <d v="1899-12-30T13:09:10"/>
    <s v="Materials"/>
    <x v="0"/>
    <x v="2"/>
    <x v="3"/>
    <x v="0"/>
  </r>
  <r>
    <s v="Anti Chromogenic Sub insufficient material to run additional calibration / test."/>
    <x v="32"/>
    <x v="2"/>
    <d v="2016-10-19T00:00:00"/>
    <d v="1899-12-30T13:09:23"/>
    <s v="Materials"/>
    <x v="0"/>
    <x v="3"/>
    <x v="4"/>
    <x v="0"/>
  </r>
  <r>
    <s v="APTT-SS volume low."/>
    <x v="7"/>
    <x v="1"/>
    <d v="2016-10-19T00:00:00"/>
    <d v="1899-12-30T13:09:23"/>
    <s v="Materials"/>
    <x v="0"/>
    <x v="3"/>
    <x v="4"/>
    <x v="0"/>
  </r>
  <r>
    <s v="Non-identified Material in rack RB position 4, track 1."/>
    <x v="27"/>
    <x v="2"/>
    <d v="2016-10-19T00:00:00"/>
    <d v="1899-12-30T13:09:23"/>
    <s v="Materials"/>
    <x v="0"/>
    <x v="2"/>
    <x v="3"/>
    <x v="0"/>
  </r>
  <r>
    <s v="AT Liq FXa volume low."/>
    <x v="7"/>
    <x v="1"/>
    <d v="2016-10-19T00:00:00"/>
    <d v="1899-12-30T13:09:32"/>
    <s v="Materials"/>
    <x v="0"/>
    <x v="3"/>
    <x v="4"/>
    <x v="0"/>
  </r>
  <r>
    <s v="Protein C Activator volume low."/>
    <x v="7"/>
    <x v="1"/>
    <d v="2016-10-19T00:00:00"/>
    <d v="1899-12-30T13:09:32"/>
    <s v="Materials"/>
    <x v="0"/>
    <x v="3"/>
    <x v="4"/>
    <x v="0"/>
  </r>
  <r>
    <s v="Protein C Substrate volume low."/>
    <x v="7"/>
    <x v="1"/>
    <d v="2016-10-19T00:00:00"/>
    <d v="1899-12-30T13:09:45"/>
    <s v="Materials"/>
    <x v="0"/>
    <x v="3"/>
    <x v="4"/>
    <x v="0"/>
  </r>
  <r>
    <s v="AT Liq Substrate volume low."/>
    <x v="7"/>
    <x v="1"/>
    <d v="2016-10-19T00:00:00"/>
    <d v="1899-12-30T13:09:45"/>
    <s v="Materials"/>
    <x v="0"/>
    <x v="3"/>
    <x v="4"/>
    <x v="0"/>
  </r>
  <r>
    <s v="PT RecombiPlasTin volume low."/>
    <x v="7"/>
    <x v="1"/>
    <d v="2016-10-19T00:00:00"/>
    <d v="1899-12-30T13:09:56"/>
    <s v="Materials"/>
    <x v="0"/>
    <x v="3"/>
    <x v="4"/>
    <x v="0"/>
  </r>
  <r>
    <s v="APTT-SS CaCl2 volume low."/>
    <x v="7"/>
    <x v="1"/>
    <d v="2016-10-19T00:00:00"/>
    <d v="1899-12-30T13:09:56"/>
    <s v="Materials"/>
    <x v="0"/>
    <x v="3"/>
    <x v="4"/>
    <x v="0"/>
  </r>
  <r>
    <s v="Anti Factor Xa Rgt. volume low."/>
    <x v="7"/>
    <x v="1"/>
    <d v="2016-10-19T00:00:00"/>
    <d v="1899-12-30T13:09:56"/>
    <s v="Materials"/>
    <x v="0"/>
    <x v="3"/>
    <x v="4"/>
    <x v="0"/>
  </r>
  <r>
    <s v="D-Dimer HS Latex volume low."/>
    <x v="7"/>
    <x v="1"/>
    <d v="2016-10-19T00:00:00"/>
    <d v="1899-12-30T13:09:56"/>
    <s v="Materials"/>
    <x v="0"/>
    <x v="3"/>
    <x v="4"/>
    <x v="0"/>
  </r>
  <r>
    <s v="Non-identified Material in rack RF position 5, track 6."/>
    <x v="27"/>
    <x v="2"/>
    <d v="2016-10-19T00:00:00"/>
    <d v="1899-12-30T13:09:56"/>
    <s v="Materials"/>
    <x v="0"/>
    <x v="2"/>
    <x v="3"/>
    <x v="0"/>
  </r>
  <r>
    <s v="Q.F.A. Thrombin volume low."/>
    <x v="7"/>
    <x v="1"/>
    <d v="2016-10-19T00:00:00"/>
    <d v="1899-12-30T13:09:58"/>
    <s v="Materials"/>
    <x v="0"/>
    <x v="3"/>
    <x v="4"/>
    <x v="0"/>
  </r>
  <r>
    <s v="Analyzer Status changed from Ready to Busy."/>
    <x v="0"/>
    <x v="0"/>
    <d v="2016-10-19T00:00:00"/>
    <d v="1899-12-30T13:10:17"/>
    <s v="Analyzer"/>
    <x v="0"/>
    <x v="0"/>
    <x v="0"/>
    <x v="0"/>
  </r>
  <r>
    <s v="Analyzer Status changed from Busy to Ready."/>
    <x v="0"/>
    <x v="0"/>
    <d v="2016-10-19T00:00:00"/>
    <d v="1899-12-30T13:17:18"/>
    <s v="Analyzer"/>
    <x v="0"/>
    <x v="0"/>
    <x v="0"/>
    <x v="0"/>
  </r>
  <r>
    <s v="Analyzer Status changed from Ready to Maintenance."/>
    <x v="0"/>
    <x v="0"/>
    <d v="2016-10-19T00:00:00"/>
    <d v="1899-12-30T13:17:19"/>
    <s v="Analyzer"/>
    <x v="0"/>
    <x v="0"/>
    <x v="0"/>
    <x v="0"/>
  </r>
  <r>
    <s v="Analyzer Status changed from Maintenance to Ready."/>
    <x v="0"/>
    <x v="0"/>
    <d v="2016-10-19T00:00:00"/>
    <d v="1899-12-30T13:17:43"/>
    <s v="Analyzer"/>
    <x v="0"/>
    <x v="0"/>
    <x v="0"/>
    <x v="0"/>
  </r>
  <r>
    <s v="Automatic maintenance activity Automatic Routine Clean for all Probes has been executed."/>
    <x v="2"/>
    <x v="0"/>
    <d v="2016-10-19T00:00:00"/>
    <d v="1899-12-30T13:17:43"/>
    <s v="Maintenance"/>
    <x v="0"/>
    <x v="2"/>
    <x v="2"/>
    <x v="0"/>
  </r>
  <r>
    <s v="Analyzer Status changed from Ready to Maintenance."/>
    <x v="0"/>
    <x v="0"/>
    <d v="2016-10-19T00:00:00"/>
    <d v="1899-12-30T13:38:51"/>
    <s v="Analyzer"/>
    <x v="0"/>
    <x v="0"/>
    <x v="0"/>
    <x v="0"/>
  </r>
  <r>
    <s v="Analyzer Status changed from Maintenance to Emergency stop."/>
    <x v="0"/>
    <x v="0"/>
    <d v="2016-10-19T00:00:00"/>
    <d v="1899-12-30T13:43:28"/>
    <s v="Analyzer"/>
    <x v="0"/>
    <x v="0"/>
    <x v="0"/>
    <x v="0"/>
  </r>
  <r>
    <s v="Analyzer Status changed from Emergency stop to Not connected."/>
    <x v="0"/>
    <x v="0"/>
    <d v="2016-10-19T00:00:00"/>
    <d v="1899-12-30T13:43:28"/>
    <s v="Analyzer"/>
    <x v="0"/>
    <x v="0"/>
    <x v="0"/>
    <x v="0"/>
  </r>
  <r>
    <s v="Analyzer Status changed from Not connected to Power up."/>
    <x v="0"/>
    <x v="0"/>
    <d v="2016-10-19T00:00:00"/>
    <d v="1899-12-30T13:44:16"/>
    <s v="Analyzer"/>
    <x v="0"/>
    <x v="0"/>
    <x v="0"/>
    <x v="0"/>
  </r>
  <r>
    <s v="Analyzer Status changed from Power up to Initializing."/>
    <x v="0"/>
    <x v="0"/>
    <d v="2016-10-19T00:00:00"/>
    <d v="1899-12-30T13:44:26"/>
    <s v="Analyzer"/>
    <x v="0"/>
    <x v="0"/>
    <x v="0"/>
    <x v="0"/>
  </r>
  <r>
    <s v="Cuvette waste almost full."/>
    <x v="50"/>
    <x v="1"/>
    <d v="2016-10-19T00:00:00"/>
    <d v="1899-12-30T13:44:46"/>
    <s v="Materials"/>
    <x v="0"/>
    <x v="5"/>
    <x v="11"/>
    <x v="0"/>
  </r>
  <r>
    <s v="Frequency status for manual maintenance activity Wipe-down all Probes has changed to OK."/>
    <x v="3"/>
    <x v="0"/>
    <d v="2016-10-19T00:00:00"/>
    <d v="1899-12-30T13:45:24"/>
    <s v="Maintenance"/>
    <x v="0"/>
    <x v="2"/>
    <x v="2"/>
    <x v="0"/>
  </r>
  <r>
    <s v="Frequency status for manual maintenance activity Wipe-down Sample Probe has changed to OK."/>
    <x v="3"/>
    <x v="0"/>
    <d v="2016-10-19T00:00:00"/>
    <d v="1899-12-30T13:45:24"/>
    <s v="Maintenance"/>
    <x v="0"/>
    <x v="2"/>
    <x v="2"/>
    <x v="0"/>
  </r>
  <r>
    <s v="Frequency status for manual maintenance activity Wipe-down LAS Probe has changed to OK."/>
    <x v="3"/>
    <x v="0"/>
    <d v="2016-10-19T00:00:00"/>
    <d v="1899-12-30T13:45:24"/>
    <s v="Maintenance"/>
    <x v="0"/>
    <x v="2"/>
    <x v="2"/>
    <x v="0"/>
  </r>
  <r>
    <s v="Manual maintenance activity Wipe-down all Probes has been executed."/>
    <x v="5"/>
    <x v="0"/>
    <d v="2016-10-19T00:00:00"/>
    <d v="1899-12-30T13:45:24"/>
    <s v="Maintenance"/>
    <x v="0"/>
    <x v="2"/>
    <x v="2"/>
    <x v="0"/>
  </r>
  <r>
    <s v="Analyzer Status changed from Initializing to Adjusting thermal."/>
    <x v="0"/>
    <x v="0"/>
    <d v="2016-10-19T00:00:00"/>
    <d v="1899-12-30T13:46:15"/>
    <s v="Analyzer"/>
    <x v="0"/>
    <x v="0"/>
    <x v="0"/>
    <x v="0"/>
  </r>
  <r>
    <s v="Analyzer Status changed from Adjusting thermal to Ready."/>
    <x v="0"/>
    <x v="0"/>
    <d v="2016-10-19T00:00:00"/>
    <d v="1899-12-30T13:48:33"/>
    <s v="Analyzer"/>
    <x v="0"/>
    <x v="0"/>
    <x v="0"/>
    <x v="0"/>
  </r>
  <r>
    <s v="Analyzer Status changed from Ready to Maintenance."/>
    <x v="0"/>
    <x v="0"/>
    <d v="2016-10-19T00:00:00"/>
    <d v="1899-12-30T13:48:33"/>
    <s v="Analyzer"/>
    <x v="0"/>
    <x v="0"/>
    <x v="0"/>
    <x v="0"/>
  </r>
  <r>
    <s v="Analyzer Status changed from Maintenance to Ready."/>
    <x v="0"/>
    <x v="0"/>
    <d v="2016-10-19T00:00:00"/>
    <d v="1899-12-30T13:49:47"/>
    <s v="Analyzer"/>
    <x v="0"/>
    <x v="0"/>
    <x v="0"/>
    <x v="0"/>
  </r>
  <r>
    <s v="Analyzer Status changed from Ready to Maintenance."/>
    <x v="0"/>
    <x v="0"/>
    <d v="2016-10-19T00:00:00"/>
    <d v="1899-12-30T14:49:47"/>
    <s v="Analyzer"/>
    <x v="0"/>
    <x v="0"/>
    <x v="0"/>
    <x v="0"/>
  </r>
  <r>
    <s v="Analyzer Status changed from Maintenance to Ready."/>
    <x v="0"/>
    <x v="0"/>
    <d v="2016-10-19T00:00:00"/>
    <d v="1899-12-30T14:50:08"/>
    <s v="Analyzer"/>
    <x v="0"/>
    <x v="0"/>
    <x v="0"/>
    <x v="0"/>
  </r>
  <r>
    <s v="Automatic maintenance activity Automatic Fluidic Line Priming Cycle has been executed."/>
    <x v="2"/>
    <x v="0"/>
    <d v="2016-10-19T00:00:00"/>
    <d v="1899-12-30T14:50:08"/>
    <s v="Maintenance"/>
    <x v="0"/>
    <x v="2"/>
    <x v="2"/>
    <x v="0"/>
  </r>
  <r>
    <s v="Communications between the instrument and the LIS have been lost."/>
    <x v="13"/>
    <x v="2"/>
    <d v="2016-10-19T00:00:00"/>
    <d v="1899-12-30T15:20:56"/>
    <s v="LIS"/>
    <x v="0"/>
    <x v="2"/>
    <x v="6"/>
    <x v="0"/>
  </r>
  <r>
    <s v="Analyzer Status changed from Ready to Maintenance."/>
    <x v="0"/>
    <x v="0"/>
    <d v="2016-10-19T00:00:00"/>
    <d v="1899-12-30T15:50:09"/>
    <s v="Analyzer"/>
    <x v="0"/>
    <x v="0"/>
    <x v="0"/>
    <x v="0"/>
  </r>
  <r>
    <s v="Analyzer Status changed from Maintenance to Ready."/>
    <x v="0"/>
    <x v="0"/>
    <d v="2016-10-19T00:00:00"/>
    <d v="1899-12-30T15:50:30"/>
    <s v="Analyzer"/>
    <x v="0"/>
    <x v="0"/>
    <x v="0"/>
    <x v="0"/>
  </r>
  <r>
    <s v="Automatic maintenance activity Automatic Fluidic Line Priming Cycle has been executed."/>
    <x v="2"/>
    <x v="0"/>
    <d v="2016-10-19T00:00:00"/>
    <d v="1899-12-30T15:50:30"/>
    <s v="Maintenance"/>
    <x v="0"/>
    <x v="2"/>
    <x v="2"/>
    <x v="0"/>
  </r>
  <r>
    <s v="Analyzer Status changed from Ready to Maintenance."/>
    <x v="0"/>
    <x v="0"/>
    <d v="2016-10-19T00:00:00"/>
    <d v="1899-12-30T16:50:30"/>
    <s v="Analyzer"/>
    <x v="0"/>
    <x v="0"/>
    <x v="0"/>
    <x v="0"/>
  </r>
  <r>
    <s v="Analyzer Status changed from Maintenance to Ready."/>
    <x v="0"/>
    <x v="0"/>
    <d v="2016-10-19T00:00:00"/>
    <d v="1899-12-30T16:50:52"/>
    <s v="Analyzer"/>
    <x v="0"/>
    <x v="0"/>
    <x v="0"/>
    <x v="0"/>
  </r>
  <r>
    <s v="Automatic maintenance activity Automatic Fluidic Line Priming Cycle has been executed."/>
    <x v="2"/>
    <x v="0"/>
    <d v="2016-10-19T00:00:00"/>
    <d v="1899-12-30T16:50:52"/>
    <s v="Maintenance"/>
    <x v="0"/>
    <x v="2"/>
    <x v="2"/>
    <x v="0"/>
  </r>
  <r>
    <s v="Analyzer Status changed from Ready to Maintenance."/>
    <x v="0"/>
    <x v="0"/>
    <d v="2016-10-19T00:00:00"/>
    <d v="1899-12-30T17:50:52"/>
    <s v="Analyzer"/>
    <x v="0"/>
    <x v="0"/>
    <x v="0"/>
    <x v="0"/>
  </r>
  <r>
    <s v="Analyzer Status changed from Maintenance to Ready."/>
    <x v="0"/>
    <x v="0"/>
    <d v="2016-10-19T00:00:00"/>
    <d v="1899-12-30T17:51:14"/>
    <s v="Analyzer"/>
    <x v="0"/>
    <x v="0"/>
    <x v="0"/>
    <x v="0"/>
  </r>
  <r>
    <s v="Automatic maintenance activity Automatic Fluidic Line Priming Cycle has been executed."/>
    <x v="2"/>
    <x v="0"/>
    <d v="2016-10-19T00:00:00"/>
    <d v="1899-12-30T17:51:14"/>
    <s v="Maintenance"/>
    <x v="0"/>
    <x v="2"/>
    <x v="2"/>
    <x v="0"/>
  </r>
  <r>
    <s v="Analyzer Status changed from Ready to Maintenance."/>
    <x v="0"/>
    <x v="0"/>
    <d v="2016-10-19T00:00:00"/>
    <d v="1899-12-30T18:51:14"/>
    <s v="Analyzer"/>
    <x v="0"/>
    <x v="0"/>
    <x v="0"/>
    <x v="0"/>
  </r>
  <r>
    <s v="Analyzer Status changed from Maintenance to Ready."/>
    <x v="0"/>
    <x v="0"/>
    <d v="2016-10-19T00:00:00"/>
    <d v="1899-12-30T18:51:36"/>
    <s v="Analyzer"/>
    <x v="0"/>
    <x v="0"/>
    <x v="0"/>
    <x v="0"/>
  </r>
  <r>
    <s v="Automatic maintenance activity Automatic Fluidic Line Priming Cycle has been executed."/>
    <x v="2"/>
    <x v="0"/>
    <d v="2016-10-19T00:00:00"/>
    <d v="1899-12-30T18:51:36"/>
    <s v="Maintenance"/>
    <x v="0"/>
    <x v="2"/>
    <x v="2"/>
    <x v="0"/>
  </r>
  <r>
    <s v="Analyzer Status changed from Ready to Maintenance."/>
    <x v="0"/>
    <x v="0"/>
    <d v="2016-10-19T00:00:00"/>
    <d v="1899-12-30T19:51:36"/>
    <s v="Analyzer"/>
    <x v="0"/>
    <x v="0"/>
    <x v="0"/>
    <x v="0"/>
  </r>
  <r>
    <s v="Analyzer Status changed from Maintenance to Ready."/>
    <x v="0"/>
    <x v="0"/>
    <d v="2016-10-19T00:00:00"/>
    <d v="1899-12-30T19:51:58"/>
    <s v="Analyzer"/>
    <x v="0"/>
    <x v="0"/>
    <x v="0"/>
    <x v="0"/>
  </r>
  <r>
    <s v="Automatic maintenance activity Automatic Fluidic Line Priming Cycle has been executed."/>
    <x v="2"/>
    <x v="0"/>
    <d v="2016-10-19T00:00:00"/>
    <d v="1899-12-30T19:51:58"/>
    <s v="Maintenance"/>
    <x v="0"/>
    <x v="2"/>
    <x v="2"/>
    <x v="0"/>
  </r>
  <r>
    <s v="LAS ARM COVER open."/>
    <x v="46"/>
    <x v="2"/>
    <d v="2016-10-19T00:00:00"/>
    <d v="1899-12-30T20:50:21"/>
    <s v="Analyzer"/>
    <x v="0"/>
    <x v="6"/>
    <x v="13"/>
    <x v="0"/>
  </r>
  <r>
    <s v="Analyzer Status changed from Ready to Emergency stop."/>
    <x v="0"/>
    <x v="0"/>
    <d v="2016-10-19T00:00:00"/>
    <d v="1899-12-30T20:50:21"/>
    <s v="Analyzer"/>
    <x v="0"/>
    <x v="0"/>
    <x v="0"/>
    <x v="0"/>
  </r>
  <r>
    <s v="Analyzer Status changed from Emergency stop to Not connected."/>
    <x v="0"/>
    <x v="0"/>
    <d v="2016-10-19T00:00:00"/>
    <d v="1899-12-30T20:51:21"/>
    <s v="Analyzer"/>
    <x v="0"/>
    <x v="0"/>
    <x v="0"/>
    <x v="0"/>
  </r>
  <r>
    <s v="Cuvette waste almost full."/>
    <x v="50"/>
    <x v="1"/>
    <d v="2016-10-19T00:00:00"/>
    <d v="1899-12-30T20:52:00"/>
    <s v="Materials"/>
    <x v="0"/>
    <x v="5"/>
    <x v="11"/>
    <x v="0"/>
  </r>
  <r>
    <s v="Analyzer Status changed from Not connected to Power up."/>
    <x v="0"/>
    <x v="0"/>
    <d v="2016-10-19T00:00:00"/>
    <d v="1899-12-30T20:52:02"/>
    <s v="Analyzer"/>
    <x v="0"/>
    <x v="0"/>
    <x v="0"/>
    <x v="0"/>
  </r>
  <r>
    <s v="Analyzer Status changed from Power up to Initializing."/>
    <x v="0"/>
    <x v="0"/>
    <d v="2016-10-19T00:00:00"/>
    <d v="1899-12-30T20:52:12"/>
    <s v="Analyzer"/>
    <x v="0"/>
    <x v="0"/>
    <x v="0"/>
    <x v="0"/>
  </r>
  <r>
    <s v="Cuvette waste full."/>
    <x v="51"/>
    <x v="2"/>
    <d v="2016-10-19T00:00:00"/>
    <d v="1899-12-30T20:52:32"/>
    <s v="Materials"/>
    <x v="0"/>
    <x v="5"/>
    <x v="11"/>
    <x v="0"/>
  </r>
  <r>
    <s v="Analyzer Status changed from Initializing to Error."/>
    <x v="0"/>
    <x v="0"/>
    <d v="2016-10-19T00:00:00"/>
    <d v="1899-12-30T20:52:32"/>
    <s v="Analyzer"/>
    <x v="0"/>
    <x v="0"/>
    <x v="0"/>
    <x v="0"/>
  </r>
  <r>
    <s v="CTS rack rejected."/>
    <x v="52"/>
    <x v="1"/>
    <d v="2016-10-19T00:00:00"/>
    <d v="1899-12-30T21:01:00"/>
    <s v="Analyzer"/>
    <x v="0"/>
    <x v="6"/>
    <x v="13"/>
    <x v="0"/>
  </r>
  <r>
    <s v="Analyzer Status changed from Error to Initializing."/>
    <x v="0"/>
    <x v="0"/>
    <d v="2016-10-20T00:00:00"/>
    <d v="1899-12-30T06:56:51"/>
    <s v="Analyzer"/>
    <x v="0"/>
    <x v="0"/>
    <x v="0"/>
    <x v="0"/>
  </r>
  <r>
    <s v="Cuvette waste almost full."/>
    <x v="50"/>
    <x v="1"/>
    <d v="2016-10-20T00:00:00"/>
    <d v="1899-12-30T06:56:51"/>
    <s v="Materials"/>
    <x v="0"/>
    <x v="5"/>
    <x v="11"/>
    <x v="0"/>
  </r>
  <r>
    <s v="Cuvettes waste drawer missing."/>
    <x v="29"/>
    <x v="2"/>
    <d v="2016-10-20T00:00:00"/>
    <d v="1899-12-30T06:56:52"/>
    <s v="Materials"/>
    <x v="0"/>
    <x v="5"/>
    <x v="11"/>
    <x v="0"/>
  </r>
  <r>
    <s v="Analyzer Status changed from Initializing to Error."/>
    <x v="0"/>
    <x v="0"/>
    <d v="2016-10-20T00:00:00"/>
    <d v="1899-12-30T06:56:52"/>
    <s v="Analyzer"/>
    <x v="0"/>
    <x v="0"/>
    <x v="0"/>
    <x v="0"/>
  </r>
  <r>
    <s v="Analyzer Status changed from Error to Ready."/>
    <x v="0"/>
    <x v="0"/>
    <d v="2016-10-20T00:00:00"/>
    <d v="1899-12-30T06:57:07"/>
    <s v="Analyzer"/>
    <x v="0"/>
    <x v="0"/>
    <x v="0"/>
    <x v="0"/>
  </r>
  <r>
    <s v="Analyzer Status changed from Ready to Maintenance."/>
    <x v="0"/>
    <x v="0"/>
    <d v="2016-10-20T00:00:00"/>
    <d v="1899-12-30T06:57:07"/>
    <s v="Analyzer"/>
    <x v="0"/>
    <x v="0"/>
    <x v="0"/>
    <x v="0"/>
  </r>
  <r>
    <s v="Analyzer Status changed from Maintenance to Ready."/>
    <x v="0"/>
    <x v="0"/>
    <d v="2016-10-20T00:00:00"/>
    <d v="1899-12-30T06:58:21"/>
    <s v="Analyzer"/>
    <x v="0"/>
    <x v="0"/>
    <x v="0"/>
    <x v="0"/>
  </r>
  <r>
    <s v="Analyzer Status changed from Ready to Maintenance."/>
    <x v="0"/>
    <x v="0"/>
    <d v="2016-10-20T00:00:00"/>
    <d v="1899-12-30T06:58:23"/>
    <s v="Analyzer"/>
    <x v="0"/>
    <x v="0"/>
    <x v="0"/>
    <x v="0"/>
  </r>
  <r>
    <s v="Analyzer Status changed from Maintenance to Emergency stop."/>
    <x v="0"/>
    <x v="0"/>
    <d v="2016-10-20T00:00:00"/>
    <d v="1899-12-30T06:59:05"/>
    <s v="Analyzer"/>
    <x v="0"/>
    <x v="0"/>
    <x v="0"/>
    <x v="0"/>
  </r>
  <r>
    <s v="Analyzer Status changed from Emergency stop to Not connected."/>
    <x v="0"/>
    <x v="0"/>
    <d v="2016-10-20T00:00:00"/>
    <d v="1899-12-30T06:59:05"/>
    <s v="Analyzer"/>
    <x v="0"/>
    <x v="0"/>
    <x v="0"/>
    <x v="0"/>
  </r>
  <r>
    <s v="Manual maintenance activity Wipe-down all Probes has been executed."/>
    <x v="5"/>
    <x v="0"/>
    <d v="2016-10-20T00:00:00"/>
    <d v="1899-12-30T06:59:09"/>
    <s v="Maintenance"/>
    <x v="0"/>
    <x v="2"/>
    <x v="2"/>
    <x v="0"/>
  </r>
  <r>
    <s v="Analyzer Status changed from Not connected to Power up."/>
    <x v="0"/>
    <x v="0"/>
    <d v="2016-10-20T00:00:00"/>
    <d v="1899-12-30T06:59:46"/>
    <s v="Analyzer"/>
    <x v="0"/>
    <x v="0"/>
    <x v="0"/>
    <x v="0"/>
  </r>
  <r>
    <s v="Analyzer Status changed from Power up to Initializing."/>
    <x v="0"/>
    <x v="0"/>
    <d v="2016-10-20T00:00:00"/>
    <d v="1899-12-30T06:59:57"/>
    <s v="Analyzer"/>
    <x v="0"/>
    <x v="0"/>
    <x v="0"/>
    <x v="0"/>
  </r>
  <r>
    <s v="Analyzer Status changed from Initializing to Adjusting thermal."/>
    <x v="0"/>
    <x v="0"/>
    <d v="2016-10-20T00:00:00"/>
    <d v="1899-12-30T07:01:48"/>
    <s v="Analyzer"/>
    <x v="0"/>
    <x v="0"/>
    <x v="0"/>
    <x v="0"/>
  </r>
  <r>
    <s v="Analyzer Status changed from Adjusting thermal to Ready."/>
    <x v="0"/>
    <x v="0"/>
    <d v="2016-10-20T00:00:00"/>
    <d v="1899-12-30T07:04:10"/>
    <s v="Analyzer"/>
    <x v="0"/>
    <x v="0"/>
    <x v="0"/>
    <x v="0"/>
  </r>
  <r>
    <s v="Analyzer Status changed from Ready to Maintenance."/>
    <x v="0"/>
    <x v="0"/>
    <d v="2016-10-20T00:00:00"/>
    <d v="1899-12-30T07:04:10"/>
    <s v="Analyzer"/>
    <x v="0"/>
    <x v="0"/>
    <x v="0"/>
    <x v="0"/>
  </r>
  <r>
    <s v="Analyzer Status changed from Maintenance to Ready."/>
    <x v="0"/>
    <x v="0"/>
    <d v="2016-10-20T00:00:00"/>
    <d v="1899-12-30T07:05:23"/>
    <s v="Analyzer"/>
    <x v="0"/>
    <x v="0"/>
    <x v="0"/>
    <x v="0"/>
  </r>
  <r>
    <s v="Analyzer Status changed from Ready to Maintenance."/>
    <x v="0"/>
    <x v="0"/>
    <d v="2016-10-20T00:00:00"/>
    <d v="1899-12-30T07:11:34"/>
    <s v="Analyzer"/>
    <x v="0"/>
    <x v="0"/>
    <x v="0"/>
    <x v="0"/>
  </r>
  <r>
    <s v="Analyzer Status changed from Maintenance to Ready."/>
    <x v="0"/>
    <x v="0"/>
    <d v="2016-10-20T00:00:00"/>
    <d v="1899-12-30T07:11:39"/>
    <s v="Analyzer"/>
    <x v="0"/>
    <x v="0"/>
    <x v="0"/>
    <x v="0"/>
  </r>
  <r>
    <s v="Frequency status for manual maintenance activity Clean Cuvette Waste Drawer has changed to OK."/>
    <x v="3"/>
    <x v="0"/>
    <d v="2016-10-20T00:00:00"/>
    <d v="1899-12-30T07:11:39"/>
    <s v="Maintenance"/>
    <x v="0"/>
    <x v="2"/>
    <x v="2"/>
    <x v="0"/>
  </r>
  <r>
    <s v="Manual maintenance activity Clean Cuvette Waste Drawer has been executed."/>
    <x v="5"/>
    <x v="0"/>
    <d v="2016-10-20T00:00:00"/>
    <d v="1899-12-30T07:11:39"/>
    <s v="Maintenance"/>
    <x v="0"/>
    <x v="2"/>
    <x v="2"/>
    <x v="0"/>
  </r>
  <r>
    <s v="Analyzer Status changed from Ready to Maintenance."/>
    <x v="0"/>
    <x v="0"/>
    <d v="2016-10-20T00:00:00"/>
    <d v="1899-12-30T07:11:44"/>
    <s v="Analyzer"/>
    <x v="0"/>
    <x v="0"/>
    <x v="0"/>
    <x v="0"/>
  </r>
  <r>
    <s v="Clean B on-board stability low."/>
    <x v="6"/>
    <x v="1"/>
    <d v="2016-10-20T00:00:00"/>
    <d v="1899-12-30T07:17:04"/>
    <s v="Materials"/>
    <x v="0"/>
    <x v="2"/>
    <x v="3"/>
    <x v="0"/>
  </r>
  <r>
    <s v="Clean B on-board stability low."/>
    <x v="6"/>
    <x v="1"/>
    <d v="2016-10-20T00:00:00"/>
    <d v="1899-12-30T07:18:04"/>
    <s v="Materials"/>
    <x v="0"/>
    <x v="2"/>
    <x v="3"/>
    <x v="0"/>
  </r>
  <r>
    <s v="Analyzer Status changed from Maintenance to Ready."/>
    <x v="0"/>
    <x v="0"/>
    <d v="2016-10-20T00:00:00"/>
    <d v="1899-12-30T07:30:51"/>
    <s v="Analyzer"/>
    <x v="0"/>
    <x v="0"/>
    <x v="0"/>
    <x v="0"/>
  </r>
  <r>
    <s v="Frequency status for manual maintenance activity Enhanced Clean for all Probes has changed to OK."/>
    <x v="3"/>
    <x v="0"/>
    <d v="2016-10-20T00:00:00"/>
    <d v="1899-12-30T07:30:51"/>
    <s v="Maintenance"/>
    <x v="0"/>
    <x v="2"/>
    <x v="2"/>
    <x v="0"/>
  </r>
  <r>
    <s v="Frequency status for manual maintenance activity Enhanced Clean for Sample and Reagent Probes has changed to OK."/>
    <x v="3"/>
    <x v="0"/>
    <d v="2016-10-20T00:00:00"/>
    <d v="1899-12-30T07:30:51"/>
    <s v="Maintenance"/>
    <x v="0"/>
    <x v="2"/>
    <x v="2"/>
    <x v="0"/>
  </r>
  <r>
    <s v="Semiautomatic maintenance activity Enhanced Clean for all Probes has been executed."/>
    <x v="4"/>
    <x v="0"/>
    <d v="2016-10-20T00:00:00"/>
    <d v="1899-12-30T07:30:51"/>
    <s v="Maintenance"/>
    <x v="0"/>
    <x v="2"/>
    <x v="2"/>
    <x v="0"/>
  </r>
  <r>
    <s v="Analyzer Status changed from Ready to Maintenance."/>
    <x v="0"/>
    <x v="0"/>
    <d v="2016-10-20T00:00:00"/>
    <d v="1899-12-30T07:30:55"/>
    <s v="Analyzer"/>
    <x v="0"/>
    <x v="0"/>
    <x v="0"/>
    <x v="0"/>
  </r>
  <r>
    <s v="Frequency status for manual maintenance activity make new diluted clean B has changed to OK."/>
    <x v="3"/>
    <x v="0"/>
    <d v="2016-10-20T00:00:00"/>
    <d v="1899-12-30T07:30:57"/>
    <s v="Maintenance"/>
    <x v="0"/>
    <x v="2"/>
    <x v="2"/>
    <x v="0"/>
  </r>
  <r>
    <s v="Manual maintenance activity make new diluted clean B has been executed."/>
    <x v="5"/>
    <x v="0"/>
    <d v="2016-10-20T00:00:00"/>
    <d v="1899-12-30T07:30:57"/>
    <s v="Maintenance"/>
    <x v="0"/>
    <x v="2"/>
    <x v="2"/>
    <x v="0"/>
  </r>
  <r>
    <s v="Analyzer Status changed from Maintenance to Ready."/>
    <x v="0"/>
    <x v="0"/>
    <d v="2016-10-20T00:00:00"/>
    <d v="1899-12-30T07:30:58"/>
    <s v="Analyzer"/>
    <x v="0"/>
    <x v="0"/>
    <x v="0"/>
    <x v="0"/>
  </r>
  <r>
    <s v="Analyzer Status changed from Ready to Maintenance."/>
    <x v="0"/>
    <x v="0"/>
    <d v="2016-10-20T00:00:00"/>
    <d v="1899-12-30T07:31:00"/>
    <s v="Analyzer"/>
    <x v="0"/>
    <x v="0"/>
    <x v="0"/>
    <x v="0"/>
  </r>
  <r>
    <s v="Frequency status for manual maintenance activity replace factor diluent has changed to OK."/>
    <x v="3"/>
    <x v="0"/>
    <d v="2016-10-20T00:00:00"/>
    <d v="1899-12-30T07:31:02"/>
    <s v="Maintenance"/>
    <x v="0"/>
    <x v="2"/>
    <x v="2"/>
    <x v="0"/>
  </r>
  <r>
    <s v="Manual maintenance activity replace factor diluent has been executed."/>
    <x v="5"/>
    <x v="0"/>
    <d v="2016-10-20T00:00:00"/>
    <d v="1899-12-30T07:31:02"/>
    <s v="Maintenance"/>
    <x v="0"/>
    <x v="2"/>
    <x v="2"/>
    <x v="0"/>
  </r>
  <r>
    <s v="Analyzer Status changed from Maintenance to Ready."/>
    <x v="0"/>
    <x v="0"/>
    <d v="2016-10-20T00:00:00"/>
    <d v="1899-12-30T07:31:03"/>
    <s v="Analyzer"/>
    <x v="0"/>
    <x v="0"/>
    <x v="0"/>
    <x v="0"/>
  </r>
  <r>
    <s v="Reflex Rule Q.F.A. Low has been modified."/>
    <x v="23"/>
    <x v="0"/>
    <d v="2016-10-20T00:00:00"/>
    <d v="1899-12-30T07:33:34"/>
    <s v="Setup"/>
    <x v="0"/>
    <x v="2"/>
    <x v="5"/>
    <x v="0"/>
  </r>
  <r>
    <s v="Test Definition Hepz LQF has been added."/>
    <x v="53"/>
    <x v="0"/>
    <d v="2016-10-20T00:00:00"/>
    <d v="1899-12-30T07:34:48"/>
    <s v="Setup"/>
    <x v="0"/>
    <x v="2"/>
    <x v="5"/>
    <x v="0"/>
  </r>
  <r>
    <s v="Test Definition Hepz LQF has been modified."/>
    <x v="14"/>
    <x v="0"/>
    <d v="2016-10-20T00:00:00"/>
    <d v="1899-12-30T07:35:17"/>
    <s v="Setup"/>
    <x v="0"/>
    <x v="2"/>
    <x v="5"/>
    <x v="0"/>
  </r>
  <r>
    <s v="Test Definition Hepz LQF has been modified."/>
    <x v="14"/>
    <x v="0"/>
    <d v="2016-10-20T00:00:00"/>
    <d v="1899-12-30T07:35:57"/>
    <s v="Setup"/>
    <x v="0"/>
    <x v="2"/>
    <x v="5"/>
    <x v="0"/>
  </r>
  <r>
    <s v="Material Definition HemosIL Cal Plasma modified: assigned value for Test Hepz LQF (active Lot)."/>
    <x v="54"/>
    <x v="0"/>
    <d v="2016-10-20T00:00:00"/>
    <d v="1899-12-30T07:35:57"/>
    <s v="Setup"/>
    <x v="0"/>
    <x v="2"/>
    <x v="3"/>
    <x v="0"/>
  </r>
  <r>
    <s v="Reflex Rule Hepz LQF has been added."/>
    <x v="22"/>
    <x v="0"/>
    <d v="2016-10-20T00:00:00"/>
    <d v="1899-12-30T07:37:57"/>
    <s v="Setup"/>
    <x v="0"/>
    <x v="2"/>
    <x v="5"/>
    <x v="0"/>
  </r>
  <r>
    <s v="Analyzer Status changed from Ready to Busy."/>
    <x v="0"/>
    <x v="0"/>
    <d v="2016-10-20T00:00:00"/>
    <d v="1899-12-30T07:55:41"/>
    <s v="Analyzer"/>
    <x v="0"/>
    <x v="0"/>
    <x v="0"/>
    <x v="0"/>
  </r>
  <r>
    <s v="Analyzer Status changed from Busy to Ready."/>
    <x v="0"/>
    <x v="0"/>
    <d v="2016-10-20T00:00:00"/>
    <d v="1899-12-30T08:04:46"/>
    <s v="Analyzer"/>
    <x v="0"/>
    <x v="0"/>
    <x v="0"/>
    <x v="0"/>
  </r>
  <r>
    <s v="Analyzer Status changed from Ready to Maintenance."/>
    <x v="0"/>
    <x v="0"/>
    <d v="2016-10-20T00:00:00"/>
    <d v="1899-12-30T08:04:46"/>
    <s v="Analyzer"/>
    <x v="0"/>
    <x v="0"/>
    <x v="0"/>
    <x v="0"/>
  </r>
  <r>
    <s v="Communications between the instrument and the LIS have been lost."/>
    <x v="13"/>
    <x v="2"/>
    <d v="2016-10-20T00:00:00"/>
    <d v="1899-12-30T08:04:56"/>
    <s v="LIS"/>
    <x v="0"/>
    <x v="2"/>
    <x v="6"/>
    <x v="0"/>
  </r>
  <r>
    <s v="Analyzer Status changed from Maintenance to Ready."/>
    <x v="0"/>
    <x v="0"/>
    <d v="2016-10-20T00:00:00"/>
    <d v="1899-12-30T08:05:12"/>
    <s v="Analyzer"/>
    <x v="0"/>
    <x v="0"/>
    <x v="0"/>
    <x v="0"/>
  </r>
  <r>
    <s v="Automatic maintenance activity Automatic Routine Clean for all Probes has been executed."/>
    <x v="2"/>
    <x v="0"/>
    <d v="2016-10-20T00:00:00"/>
    <d v="1899-12-30T08:05:12"/>
    <s v="Maintenance"/>
    <x v="0"/>
    <x v="2"/>
    <x v="2"/>
    <x v="0"/>
  </r>
  <r>
    <s v="Non-identified Sample in rack 04 position 1, track 12."/>
    <x v="12"/>
    <x v="2"/>
    <d v="2016-10-20T00:00:00"/>
    <d v="1899-12-30T08:10:19"/>
    <s v="Materials"/>
    <x v="0"/>
    <x v="4"/>
    <x v="7"/>
    <x v="1"/>
  </r>
  <r>
    <s v="Non-identified Sample in rack 04 position 2, track 12."/>
    <x v="12"/>
    <x v="2"/>
    <d v="2016-10-20T00:00:00"/>
    <d v="1899-12-30T08:10:19"/>
    <s v="Materials"/>
    <x v="0"/>
    <x v="4"/>
    <x v="7"/>
    <x v="1"/>
  </r>
  <r>
    <s v="Non-identified Sample in rack 04 position 3, track 12."/>
    <x v="12"/>
    <x v="2"/>
    <d v="2016-10-20T00:00:00"/>
    <d v="1899-12-30T08:10:19"/>
    <s v="Materials"/>
    <x v="0"/>
    <x v="4"/>
    <x v="7"/>
    <x v="1"/>
  </r>
  <r>
    <s v="Non-identified Sample in rack 04 position 4, track 12."/>
    <x v="12"/>
    <x v="2"/>
    <d v="2016-10-20T00:00:00"/>
    <d v="1899-12-30T08:10:19"/>
    <s v="Materials"/>
    <x v="0"/>
    <x v="4"/>
    <x v="7"/>
    <x v="1"/>
  </r>
  <r>
    <s v="Non-identified Sample in rack 04 position 5, track 12."/>
    <x v="12"/>
    <x v="2"/>
    <d v="2016-10-20T00:00:00"/>
    <d v="1899-12-30T08:10:19"/>
    <s v="Materials"/>
    <x v="0"/>
    <x v="4"/>
    <x v="7"/>
    <x v="1"/>
  </r>
  <r>
    <s v="Analyzer Status changed from Ready to Busy."/>
    <x v="0"/>
    <x v="0"/>
    <d v="2016-10-20T00:00:00"/>
    <d v="1899-12-30T08:11:18"/>
    <s v="Analyzer"/>
    <x v="0"/>
    <x v="0"/>
    <x v="0"/>
    <x v="0"/>
  </r>
  <r>
    <s v="Analyzer Status changed from Busy to Ready."/>
    <x v="0"/>
    <x v="0"/>
    <d v="2016-10-20T00:00:00"/>
    <d v="1899-12-30T08:22:38"/>
    <s v="Analyzer"/>
    <x v="0"/>
    <x v="0"/>
    <x v="0"/>
    <x v="0"/>
  </r>
  <r>
    <s v="Analyzer Status changed from Ready to Maintenance."/>
    <x v="0"/>
    <x v="0"/>
    <d v="2016-10-20T00:00:00"/>
    <d v="1899-12-30T08:22:38"/>
    <s v="Analyzer"/>
    <x v="0"/>
    <x v="0"/>
    <x v="0"/>
    <x v="0"/>
  </r>
  <r>
    <s v="Automatic maintenance activity Automatic Routine Clean for all Probes has been executed."/>
    <x v="2"/>
    <x v="0"/>
    <d v="2016-10-20T00:00:00"/>
    <d v="1899-12-30T08:23:04"/>
    <s v="Maintenance"/>
    <x v="0"/>
    <x v="2"/>
    <x v="2"/>
    <x v="0"/>
  </r>
  <r>
    <s v="Analyzer Status changed from Maintenance to Ready."/>
    <x v="0"/>
    <x v="0"/>
    <d v="2016-10-20T00:00:00"/>
    <d v="1899-12-30T08:23:05"/>
    <s v="Analyzer"/>
    <x v="0"/>
    <x v="0"/>
    <x v="0"/>
    <x v="0"/>
  </r>
  <r>
    <s v="Duplicated Rack ID, Rack ID RB."/>
    <x v="37"/>
    <x v="1"/>
    <d v="2016-10-20T00:00:00"/>
    <d v="1899-12-30T08:49:20"/>
    <s v="Analyzer"/>
    <x v="0"/>
    <x v="6"/>
    <x v="13"/>
    <x v="0"/>
  </r>
  <r>
    <s v="AT Liq FXa volume low."/>
    <x v="7"/>
    <x v="1"/>
    <d v="2016-10-20T00:00:00"/>
    <d v="1899-12-30T08:49:37"/>
    <s v="Materials"/>
    <x v="0"/>
    <x v="3"/>
    <x v="4"/>
    <x v="0"/>
  </r>
  <r>
    <s v="Non-identified Material in rack RF position 5, track 5."/>
    <x v="27"/>
    <x v="2"/>
    <d v="2016-10-20T00:00:00"/>
    <d v="1899-12-30T08:49:43"/>
    <s v="Materials"/>
    <x v="0"/>
    <x v="2"/>
    <x v="3"/>
    <x v="0"/>
  </r>
  <r>
    <s v="Non-identified Material in rack RF position 6, track 5."/>
    <x v="27"/>
    <x v="2"/>
    <d v="2016-10-20T00:00:00"/>
    <d v="1899-12-30T08:49:43"/>
    <s v="Materials"/>
    <x v="0"/>
    <x v="2"/>
    <x v="3"/>
    <x v="0"/>
  </r>
  <r>
    <s v="Protein C Activator volume low."/>
    <x v="7"/>
    <x v="1"/>
    <d v="2016-10-20T00:00:00"/>
    <d v="1899-12-30T08:49:51"/>
    <s v="Materials"/>
    <x v="0"/>
    <x v="3"/>
    <x v="4"/>
    <x v="0"/>
  </r>
  <r>
    <s v="Protein C Substrate volume low."/>
    <x v="7"/>
    <x v="1"/>
    <d v="2016-10-20T00:00:00"/>
    <d v="1899-12-30T08:50:21"/>
    <s v="Materials"/>
    <x v="0"/>
    <x v="3"/>
    <x v="4"/>
    <x v="0"/>
  </r>
  <r>
    <s v="AT Liq Substrate volume low."/>
    <x v="7"/>
    <x v="1"/>
    <d v="2016-10-20T00:00:00"/>
    <d v="1899-12-30T08:50:28"/>
    <s v="Materials"/>
    <x v="0"/>
    <x v="3"/>
    <x v="4"/>
    <x v="0"/>
  </r>
  <r>
    <s v="PT RecombiPlasTin volume low."/>
    <x v="7"/>
    <x v="1"/>
    <d v="2016-10-20T00:00:00"/>
    <d v="1899-12-30T08:50:42"/>
    <s v="Materials"/>
    <x v="0"/>
    <x v="3"/>
    <x v="4"/>
    <x v="0"/>
  </r>
  <r>
    <s v="APTT-SS CaCl2 volume low."/>
    <x v="7"/>
    <x v="1"/>
    <d v="2016-10-20T00:00:00"/>
    <d v="1899-12-30T08:50:56"/>
    <s v="Materials"/>
    <x v="0"/>
    <x v="3"/>
    <x v="4"/>
    <x v="0"/>
  </r>
  <r>
    <s v="Anti Factor Xa Rgt. volume low."/>
    <x v="7"/>
    <x v="1"/>
    <d v="2016-10-20T00:00:00"/>
    <d v="1899-12-30T08:51:03"/>
    <s v="Materials"/>
    <x v="0"/>
    <x v="3"/>
    <x v="4"/>
    <x v="0"/>
  </r>
  <r>
    <s v="Non-identified Material in rack RB position 4, track 1."/>
    <x v="27"/>
    <x v="2"/>
    <d v="2016-10-20T00:00:00"/>
    <d v="1899-12-30T08:54:04"/>
    <s v="Materials"/>
    <x v="0"/>
    <x v="2"/>
    <x v="3"/>
    <x v="0"/>
  </r>
  <r>
    <s v="HemosIL Cal Plasma volume low."/>
    <x v="7"/>
    <x v="1"/>
    <d v="2016-10-20T00:00:00"/>
    <d v="1899-12-30T08:54:13"/>
    <s v="Materials"/>
    <x v="0"/>
    <x v="3"/>
    <x v="4"/>
    <x v="0"/>
  </r>
  <r>
    <s v="Analyzer Status changed from Ready to Busy."/>
    <x v="0"/>
    <x v="0"/>
    <d v="2016-10-20T00:00:00"/>
    <d v="1899-12-30T08:54:25"/>
    <s v="Analyzer"/>
    <x v="0"/>
    <x v="0"/>
    <x v="0"/>
    <x v="0"/>
  </r>
  <r>
    <s v="APTT-SS volume low."/>
    <x v="7"/>
    <x v="1"/>
    <d v="2016-10-20T00:00:00"/>
    <d v="1899-12-30T08:54:56"/>
    <s v="Materials"/>
    <x v="0"/>
    <x v="3"/>
    <x v="4"/>
    <x v="0"/>
  </r>
  <r>
    <s v="QFA Calibration job not feasible. Waiting for HemosIL Cal Plasma."/>
    <x v="26"/>
    <x v="1"/>
    <d v="2016-10-20T00:00:00"/>
    <d v="1899-12-30T08:55:16"/>
    <s v="Materials"/>
    <x v="0"/>
    <x v="2"/>
    <x v="3"/>
    <x v="0"/>
  </r>
  <r>
    <s v="Analyzer Status changed from Busy to Ready."/>
    <x v="0"/>
    <x v="0"/>
    <d v="2016-10-20T00:00:00"/>
    <d v="1899-12-30T08:55:21"/>
    <s v="Analyzer"/>
    <x v="0"/>
    <x v="0"/>
    <x v="0"/>
    <x v="0"/>
  </r>
  <r>
    <s v="Communications between the instrument and the LIS have been lost."/>
    <x v="13"/>
    <x v="2"/>
    <d v="2016-10-20T00:00:00"/>
    <d v="1899-12-30T09:06:56"/>
    <s v="LIS"/>
    <x v="0"/>
    <x v="2"/>
    <x v="6"/>
    <x v="0"/>
  </r>
  <r>
    <s v="Analyzer Status changed from Ready to Maintenance."/>
    <x v="0"/>
    <x v="0"/>
    <d v="2016-10-20T00:00:00"/>
    <d v="1899-12-30T09:55:22"/>
    <s v="Analyzer"/>
    <x v="0"/>
    <x v="0"/>
    <x v="0"/>
    <x v="0"/>
  </r>
  <r>
    <s v="Analyzer Status changed from Maintenance to Ready."/>
    <x v="0"/>
    <x v="0"/>
    <d v="2016-10-20T00:00:00"/>
    <d v="1899-12-30T09:55:43"/>
    <s v="Analyzer"/>
    <x v="0"/>
    <x v="0"/>
    <x v="0"/>
    <x v="0"/>
  </r>
  <r>
    <s v="Automatic maintenance activity Automatic Fluidic Line Priming Cycle has been executed."/>
    <x v="2"/>
    <x v="0"/>
    <d v="2016-10-20T00:00:00"/>
    <d v="1899-12-30T09:55:43"/>
    <s v="Maintenance"/>
    <x v="0"/>
    <x v="2"/>
    <x v="2"/>
    <x v="0"/>
  </r>
  <r>
    <s v="Analyzer Status changed from Ready to Maintenance."/>
    <x v="0"/>
    <x v="0"/>
    <d v="2016-10-20T00:00:00"/>
    <d v="1899-12-30T10:55:43"/>
    <s v="Analyzer"/>
    <x v="0"/>
    <x v="0"/>
    <x v="0"/>
    <x v="0"/>
  </r>
  <r>
    <s v="Analyzer Status changed from Maintenance to Ready."/>
    <x v="0"/>
    <x v="0"/>
    <d v="2016-10-20T00:00:00"/>
    <d v="1899-12-30T10:56:05"/>
    <s v="Analyzer"/>
    <x v="0"/>
    <x v="0"/>
    <x v="0"/>
    <x v="0"/>
  </r>
  <r>
    <s v="Automatic maintenance activity Automatic Fluidic Line Priming Cycle has been executed."/>
    <x v="2"/>
    <x v="0"/>
    <d v="2016-10-20T00:00:00"/>
    <d v="1899-12-30T10:56:05"/>
    <s v="Maintenance"/>
    <x v="0"/>
    <x v="2"/>
    <x v="2"/>
    <x v="0"/>
  </r>
  <r>
    <s v="Analyzer Status changed from Ready to Maintenance."/>
    <x v="0"/>
    <x v="0"/>
    <d v="2016-10-20T00:00:00"/>
    <d v="1899-12-30T11:56:05"/>
    <s v="Analyzer"/>
    <x v="0"/>
    <x v="0"/>
    <x v="0"/>
    <x v="0"/>
  </r>
  <r>
    <s v="Analyzer Status changed from Maintenance to Ready."/>
    <x v="0"/>
    <x v="0"/>
    <d v="2016-10-20T00:00:00"/>
    <d v="1899-12-30T11:56:27"/>
    <s v="Analyzer"/>
    <x v="0"/>
    <x v="0"/>
    <x v="0"/>
    <x v="0"/>
  </r>
  <r>
    <s v="Automatic maintenance activity Automatic Fluidic Line Priming Cycle has been executed."/>
    <x v="2"/>
    <x v="0"/>
    <d v="2016-10-20T00:00:00"/>
    <d v="1899-12-30T11:56:27"/>
    <s v="Maintenance"/>
    <x v="0"/>
    <x v="2"/>
    <x v="2"/>
    <x v="0"/>
  </r>
  <r>
    <s v="Non-identified Sample in rack 01 position 1, track 12."/>
    <x v="12"/>
    <x v="2"/>
    <d v="2016-10-20T00:00:00"/>
    <d v="1899-12-30T12:27:11"/>
    <s v="Materials"/>
    <x v="0"/>
    <x v="4"/>
    <x v="7"/>
    <x v="1"/>
  </r>
  <r>
    <s v="Analyzer Status changed from Ready to Busy."/>
    <x v="0"/>
    <x v="0"/>
    <d v="2016-10-20T00:00:00"/>
    <d v="1899-12-30T12:27:28"/>
    <s v="Analyzer"/>
    <x v="0"/>
    <x v="0"/>
    <x v="0"/>
    <x v="0"/>
  </r>
  <r>
    <s v="User deleted Hepz Fib Patient test order from sample Id 29400001A."/>
    <x v="55"/>
    <x v="0"/>
    <d v="2016-10-20T00:00:00"/>
    <d v="1899-12-30T12:27:38"/>
    <s v="Other"/>
    <x v="0"/>
    <x v="4"/>
    <x v="7"/>
    <x v="1"/>
  </r>
  <r>
    <s v="Non-identified Sample in rack 01 position 1, track 12."/>
    <x v="12"/>
    <x v="2"/>
    <d v="2016-10-20T00:00:00"/>
    <d v="1899-12-30T12:28:06"/>
    <s v="Materials"/>
    <x v="0"/>
    <x v="4"/>
    <x v="7"/>
    <x v="1"/>
  </r>
  <r>
    <s v="Analyzer Status changed from Busy to Ready."/>
    <x v="0"/>
    <x v="0"/>
    <d v="2016-10-20T00:00:00"/>
    <d v="1899-12-30T12:34:50"/>
    <s v="Analyzer"/>
    <x v="0"/>
    <x v="0"/>
    <x v="0"/>
    <x v="0"/>
  </r>
  <r>
    <s v="Analyzer Status changed from Ready to Maintenance."/>
    <x v="0"/>
    <x v="0"/>
    <d v="2016-10-20T00:00:00"/>
    <d v="1899-12-30T12:34:51"/>
    <s v="Analyzer"/>
    <x v="0"/>
    <x v="0"/>
    <x v="0"/>
    <x v="0"/>
  </r>
  <r>
    <s v="Analyzer Status changed from Maintenance to Ready."/>
    <x v="0"/>
    <x v="0"/>
    <d v="2016-10-20T00:00:00"/>
    <d v="1899-12-30T12:35:16"/>
    <s v="Analyzer"/>
    <x v="0"/>
    <x v="0"/>
    <x v="0"/>
    <x v="0"/>
  </r>
  <r>
    <s v="Automatic maintenance activity Automatic Routine Clean for all Probes has been executed."/>
    <x v="2"/>
    <x v="0"/>
    <d v="2016-10-20T00:00:00"/>
    <d v="1899-12-30T12:35:16"/>
    <s v="Maintenance"/>
    <x v="0"/>
    <x v="2"/>
    <x v="2"/>
    <x v="0"/>
  </r>
  <r>
    <s v="Analyzer Status changed from Ready to Maintenance."/>
    <x v="0"/>
    <x v="0"/>
    <d v="2016-10-20T00:00:00"/>
    <d v="1899-12-30T13:28:53"/>
    <s v="Analyzer"/>
    <x v="0"/>
    <x v="0"/>
    <x v="0"/>
    <x v="0"/>
  </r>
  <r>
    <s v="Analyzer Status changed from Maintenance to Emergency stop."/>
    <x v="0"/>
    <x v="0"/>
    <d v="2016-10-20T00:00:00"/>
    <d v="1899-12-30T13:30:09"/>
    <s v="Analyzer"/>
    <x v="0"/>
    <x v="0"/>
    <x v="0"/>
    <x v="0"/>
  </r>
  <r>
    <s v="Analyzer Status changed from Emergency stop to Not connected."/>
    <x v="0"/>
    <x v="0"/>
    <d v="2016-10-20T00:00:00"/>
    <d v="1899-12-30T13:30:09"/>
    <s v="Analyzer"/>
    <x v="0"/>
    <x v="0"/>
    <x v="0"/>
    <x v="0"/>
  </r>
  <r>
    <s v="Manual maintenance activity Wipe-down all Probes has been executed."/>
    <x v="5"/>
    <x v="0"/>
    <d v="2016-10-20T00:00:00"/>
    <d v="1899-12-30T13:30:22"/>
    <s v="Maintenance"/>
    <x v="0"/>
    <x v="2"/>
    <x v="2"/>
    <x v="0"/>
  </r>
  <r>
    <s v="Analyzer Status changed from Not connected to Power up."/>
    <x v="0"/>
    <x v="0"/>
    <d v="2016-10-20T00:00:00"/>
    <d v="1899-12-30T13:30:57"/>
    <s v="Analyzer"/>
    <x v="0"/>
    <x v="0"/>
    <x v="0"/>
    <x v="0"/>
  </r>
  <r>
    <s v="Analyzer Status changed from Power up to Initializing."/>
    <x v="0"/>
    <x v="0"/>
    <d v="2016-10-20T00:00:00"/>
    <d v="1899-12-30T13:31:07"/>
    <s v="Analyzer"/>
    <x v="0"/>
    <x v="0"/>
    <x v="0"/>
    <x v="0"/>
  </r>
  <r>
    <s v="Analyzer Status changed from Initializing to Adjusting thermal."/>
    <x v="0"/>
    <x v="0"/>
    <d v="2016-10-20T00:00:00"/>
    <d v="1899-12-30T13:32:57"/>
    <s v="Analyzer"/>
    <x v="0"/>
    <x v="0"/>
    <x v="0"/>
    <x v="0"/>
  </r>
  <r>
    <s v="Logout by user: LHO."/>
    <x v="16"/>
    <x v="0"/>
    <d v="2016-10-20T00:00:00"/>
    <d v="1899-12-30T13:33:04"/>
    <s v="Other"/>
    <x v="0"/>
    <x v="2"/>
    <x v="5"/>
    <x v="0"/>
  </r>
  <r>
    <s v="Communications between the instrument and the LIS have been lost."/>
    <x v="13"/>
    <x v="2"/>
    <d v="2016-10-20T00:00:00"/>
    <d v="1899-12-30T13:34:56"/>
    <s v="LIS"/>
    <x v="1"/>
    <x v="2"/>
    <x v="6"/>
    <x v="0"/>
  </r>
  <r>
    <s v="Analyzer Status changed from Adjusting thermal to Ready."/>
    <x v="0"/>
    <x v="0"/>
    <d v="2016-10-20T00:00:00"/>
    <d v="1899-12-30T13:35:14"/>
    <s v="Analyzer"/>
    <x v="1"/>
    <x v="0"/>
    <x v="0"/>
    <x v="0"/>
  </r>
  <r>
    <s v="Analyzer Status changed from Ready to Maintenance."/>
    <x v="0"/>
    <x v="0"/>
    <d v="2016-10-20T00:00:00"/>
    <d v="1899-12-30T13:35:14"/>
    <s v="Analyzer"/>
    <x v="1"/>
    <x v="0"/>
    <x v="0"/>
    <x v="0"/>
  </r>
  <r>
    <s v="Successful log in by user: LHO."/>
    <x v="18"/>
    <x v="0"/>
    <d v="2016-10-20T00:00:00"/>
    <d v="1899-12-30T13:35:57"/>
    <s v="Other"/>
    <x v="0"/>
    <x v="2"/>
    <x v="5"/>
    <x v="0"/>
  </r>
  <r>
    <s v="Analyzer Status changed from Maintenance to Ready."/>
    <x v="0"/>
    <x v="0"/>
    <d v="2016-10-20T00:00:00"/>
    <d v="1899-12-30T13:36:28"/>
    <s v="Analyzer"/>
    <x v="0"/>
    <x v="0"/>
    <x v="0"/>
    <x v="0"/>
  </r>
  <r>
    <s v="Test Definition Hepz QFA has been modified."/>
    <x v="14"/>
    <x v="0"/>
    <d v="2016-10-20T00:00:00"/>
    <d v="1899-12-30T13:52:48"/>
    <s v="Setup"/>
    <x v="0"/>
    <x v="2"/>
    <x v="5"/>
    <x v="0"/>
  </r>
  <r>
    <s v="Test Definition Hepz QFA has been modified."/>
    <x v="14"/>
    <x v="0"/>
    <d v="2016-10-20T00:00:00"/>
    <d v="1899-12-30T13:53:12"/>
    <s v="Setup"/>
    <x v="0"/>
    <x v="2"/>
    <x v="5"/>
    <x v="0"/>
  </r>
  <r>
    <s v="Test Definition Hepz LQF has been modified."/>
    <x v="14"/>
    <x v="0"/>
    <d v="2016-10-20T00:00:00"/>
    <d v="1899-12-30T13:53:20"/>
    <s v="Setup"/>
    <x v="0"/>
    <x v="2"/>
    <x v="5"/>
    <x v="0"/>
  </r>
  <r>
    <s v="Test Definition Hepz Fib has been added."/>
    <x v="53"/>
    <x v="0"/>
    <d v="2016-10-20T00:00:00"/>
    <d v="1899-12-30T13:54:07"/>
    <s v="Setup"/>
    <x v="0"/>
    <x v="2"/>
    <x v="5"/>
    <x v="0"/>
  </r>
  <r>
    <s v="Test Definition Hepz Fib has been modified."/>
    <x v="14"/>
    <x v="0"/>
    <d v="2016-10-20T00:00:00"/>
    <d v="1899-12-30T13:54:17"/>
    <s v="Setup"/>
    <x v="0"/>
    <x v="2"/>
    <x v="5"/>
    <x v="0"/>
  </r>
  <r>
    <s v="Material Definition HemosIL Cal Plasma modified: assigned value for Test Hepz Fib (active Lot)."/>
    <x v="54"/>
    <x v="0"/>
    <d v="2016-10-20T00:00:00"/>
    <d v="1899-12-30T13:54:17"/>
    <s v="Setup"/>
    <x v="0"/>
    <x v="2"/>
    <x v="3"/>
    <x v="0"/>
  </r>
  <r>
    <s v="Calibration Overdue for Hepz Fib."/>
    <x v="56"/>
    <x v="2"/>
    <d v="2016-10-20T00:00:00"/>
    <d v="1899-12-30T13:54:17"/>
    <s v="JobFrequency"/>
    <x v="0"/>
    <x v="2"/>
    <x v="3"/>
    <x v="0"/>
  </r>
  <r>
    <s v="Test Definition Hepz LF has been added."/>
    <x v="53"/>
    <x v="0"/>
    <d v="2016-10-20T00:00:00"/>
    <d v="1899-12-30T13:55:28"/>
    <s v="Setup"/>
    <x v="0"/>
    <x v="2"/>
    <x v="5"/>
    <x v="0"/>
  </r>
  <r>
    <s v="Test Definition Hepz HF has been added."/>
    <x v="53"/>
    <x v="0"/>
    <d v="2016-10-20T00:00:00"/>
    <d v="1899-12-30T13:56:48"/>
    <s v="Setup"/>
    <x v="0"/>
    <x v="2"/>
    <x v="5"/>
    <x v="0"/>
  </r>
  <r>
    <s v="Reflex Rule Hepz LF has been added."/>
    <x v="22"/>
    <x v="0"/>
    <d v="2016-10-20T00:00:00"/>
    <d v="1899-12-30T13:59:05"/>
    <s v="Setup"/>
    <x v="0"/>
    <x v="2"/>
    <x v="5"/>
    <x v="0"/>
  </r>
  <r>
    <s v="Reflex Rule Hepz HF has been added."/>
    <x v="22"/>
    <x v="0"/>
    <d v="2016-10-20T00:00:00"/>
    <d v="1899-12-30T14:00:37"/>
    <s v="Setup"/>
    <x v="0"/>
    <x v="2"/>
    <x v="5"/>
    <x v="0"/>
  </r>
  <r>
    <s v="HemosIL Cal Plasma volume low."/>
    <x v="7"/>
    <x v="1"/>
    <d v="2016-10-20T00:00:00"/>
    <d v="1899-12-30T14:16:56"/>
    <s v="Materials"/>
    <x v="0"/>
    <x v="3"/>
    <x v="4"/>
    <x v="0"/>
  </r>
  <r>
    <s v="Analyzer Status changed from Ready to Busy."/>
    <x v="0"/>
    <x v="0"/>
    <d v="2016-10-20T00:00:00"/>
    <d v="1899-12-30T14:18:10"/>
    <s v="Analyzer"/>
    <x v="0"/>
    <x v="0"/>
    <x v="0"/>
    <x v="0"/>
  </r>
  <r>
    <s v="Calibration of Hepz LF completed: please review and validate."/>
    <x v="57"/>
    <x v="1"/>
    <d v="2016-10-20T00:00:00"/>
    <d v="1899-12-30T14:29:09"/>
    <s v="JobFrequency"/>
    <x v="0"/>
    <x v="2"/>
    <x v="3"/>
    <x v="0"/>
  </r>
  <r>
    <s v="Calibration of Hepz HF completed: please review and validate."/>
    <x v="57"/>
    <x v="1"/>
    <d v="2016-10-20T00:00:00"/>
    <d v="1899-12-30T14:29:09"/>
    <s v="JobFrequency"/>
    <x v="0"/>
    <x v="2"/>
    <x v="3"/>
    <x v="0"/>
  </r>
  <r>
    <s v="Calibration of Fib-C H completed: please review and validate."/>
    <x v="57"/>
    <x v="1"/>
    <d v="2016-10-20T00:00:00"/>
    <d v="1899-12-30T14:29:10"/>
    <s v="JobFrequency"/>
    <x v="0"/>
    <x v="2"/>
    <x v="3"/>
    <x v="0"/>
  </r>
  <r>
    <s v="Calibration of Fib-C L completed: please review and validate."/>
    <x v="57"/>
    <x v="1"/>
    <d v="2016-10-20T00:00:00"/>
    <d v="1899-12-30T14:29:11"/>
    <s v="JobFrequency"/>
    <x v="0"/>
    <x v="2"/>
    <x v="3"/>
    <x v="0"/>
  </r>
  <r>
    <s v="Calibration of Fib-C completed: please review and validate."/>
    <x v="57"/>
    <x v="1"/>
    <d v="2016-10-20T00:00:00"/>
    <d v="1899-12-30T14:29:11"/>
    <s v="JobFrequency"/>
    <x v="0"/>
    <x v="2"/>
    <x v="3"/>
    <x v="0"/>
  </r>
  <r>
    <s v="Analyzer Status changed from Busy to Ready."/>
    <x v="0"/>
    <x v="0"/>
    <d v="2016-10-20T00:00:00"/>
    <d v="1899-12-30T14:29:12"/>
    <s v="Analyzer"/>
    <x v="0"/>
    <x v="0"/>
    <x v="0"/>
    <x v="0"/>
  </r>
  <r>
    <s v="Analyzer Status changed from Ready to Maintenance."/>
    <x v="0"/>
    <x v="0"/>
    <d v="2016-10-20T00:00:00"/>
    <d v="1899-12-30T14:29:12"/>
    <s v="Analyzer"/>
    <x v="0"/>
    <x v="0"/>
    <x v="0"/>
    <x v="0"/>
  </r>
  <r>
    <s v="Automatic maintenance activity Automatic Routine Clean for all Probes has been executed."/>
    <x v="2"/>
    <x v="0"/>
    <d v="2016-10-20T00:00:00"/>
    <d v="1899-12-30T14:29:35"/>
    <s v="Maintenance"/>
    <x v="0"/>
    <x v="2"/>
    <x v="2"/>
    <x v="0"/>
  </r>
  <r>
    <s v="Analyzer Status changed from Maintenance to Ready."/>
    <x v="0"/>
    <x v="0"/>
    <d v="2016-10-20T00:00:00"/>
    <d v="1899-12-30T14:29:36"/>
    <s v="Analyzer"/>
    <x v="0"/>
    <x v="0"/>
    <x v="0"/>
    <x v="0"/>
  </r>
  <r>
    <s v="Calibration of Fib-C recalculated."/>
    <x v="58"/>
    <x v="0"/>
    <d v="2016-10-20T00:00:00"/>
    <d v="1899-12-30T14:32:04"/>
    <s v="JobFrequency"/>
    <x v="0"/>
    <x v="2"/>
    <x v="5"/>
    <x v="0"/>
  </r>
  <r>
    <s v="Calibration of Hepz LF recalculated."/>
    <x v="58"/>
    <x v="0"/>
    <d v="2016-10-20T00:00:00"/>
    <d v="1899-12-30T14:32:04"/>
    <s v="JobFrequency"/>
    <x v="0"/>
    <x v="2"/>
    <x v="5"/>
    <x v="0"/>
  </r>
  <r>
    <s v="Calibration of Hepz HF recalculated."/>
    <x v="58"/>
    <x v="0"/>
    <d v="2016-10-20T00:00:00"/>
    <d v="1899-12-30T14:32:04"/>
    <s v="JobFrequency"/>
    <x v="0"/>
    <x v="2"/>
    <x v="5"/>
    <x v="0"/>
  </r>
  <r>
    <s v="Calibration of Fib-C H recalculated."/>
    <x v="58"/>
    <x v="0"/>
    <d v="2016-10-20T00:00:00"/>
    <d v="1899-12-30T14:32:05"/>
    <s v="JobFrequency"/>
    <x v="0"/>
    <x v="2"/>
    <x v="5"/>
    <x v="0"/>
  </r>
  <r>
    <s v="Calibration of Fib-C L recalculated."/>
    <x v="58"/>
    <x v="0"/>
    <d v="2016-10-20T00:00:00"/>
    <d v="1899-12-30T14:32:06"/>
    <s v="JobFrequency"/>
    <x v="0"/>
    <x v="2"/>
    <x v="5"/>
    <x v="0"/>
  </r>
  <r>
    <s v="Calibration of Fib-C validated."/>
    <x v="59"/>
    <x v="0"/>
    <d v="2016-10-20T00:00:00"/>
    <d v="1899-12-30T14:32:09"/>
    <s v="JobFrequency"/>
    <x v="0"/>
    <x v="2"/>
    <x v="5"/>
    <x v="0"/>
  </r>
  <r>
    <s v="Analyzer Status changed from Ready to Busy."/>
    <x v="0"/>
    <x v="0"/>
    <d v="2016-10-20T00:00:00"/>
    <d v="1899-12-30T14:32:58"/>
    <s v="Analyzer"/>
    <x v="0"/>
    <x v="0"/>
    <x v="0"/>
    <x v="0"/>
  </r>
  <r>
    <s v="Hepz Fib Calibration job not feasible. Waiting for HemosIL Cal Plasma."/>
    <x v="26"/>
    <x v="1"/>
    <d v="2016-10-20T00:00:00"/>
    <d v="1899-12-30T14:32:59"/>
    <s v="Materials"/>
    <x v="0"/>
    <x v="2"/>
    <x v="3"/>
    <x v="0"/>
  </r>
  <r>
    <s v="Analyzer Status changed from Busy to Ready."/>
    <x v="0"/>
    <x v="0"/>
    <d v="2016-10-20T00:00:00"/>
    <d v="1899-12-30T14:32:59"/>
    <s v="Analyzer"/>
    <x v="0"/>
    <x v="0"/>
    <x v="0"/>
    <x v="0"/>
  </r>
  <r>
    <s v="HemosIL Cal Plasma volume low."/>
    <x v="7"/>
    <x v="1"/>
    <d v="2016-10-20T00:00:00"/>
    <d v="1899-12-30T14:33:35"/>
    <s v="Materials"/>
    <x v="0"/>
    <x v="3"/>
    <x v="4"/>
    <x v="0"/>
  </r>
  <r>
    <s v="Analyzer Status changed from Ready to Busy."/>
    <x v="0"/>
    <x v="0"/>
    <d v="2016-10-20T00:00:00"/>
    <d v="1899-12-30T14:33:55"/>
    <s v="Analyzer"/>
    <x v="0"/>
    <x v="0"/>
    <x v="0"/>
    <x v="0"/>
  </r>
  <r>
    <s v="Fib-C volume low."/>
    <x v="7"/>
    <x v="1"/>
    <d v="2016-10-20T00:00:00"/>
    <d v="1899-12-30T14:40:33"/>
    <s v="Materials"/>
    <x v="0"/>
    <x v="3"/>
    <x v="4"/>
    <x v="0"/>
  </r>
  <r>
    <s v="Communications between the instrument and the LIS have been lost."/>
    <x v="13"/>
    <x v="2"/>
    <d v="2016-10-20T00:00:00"/>
    <d v="1899-12-30T14:43:56"/>
    <s v="LIS"/>
    <x v="0"/>
    <x v="2"/>
    <x v="6"/>
    <x v="0"/>
  </r>
  <r>
    <s v="Calibration of Hepz Fib completed and autovalidated."/>
    <x v="60"/>
    <x v="0"/>
    <d v="2016-10-20T00:00:00"/>
    <d v="1899-12-30T14:44:40"/>
    <s v="JobFrequency"/>
    <x v="0"/>
    <x v="2"/>
    <x v="5"/>
    <x v="0"/>
  </r>
  <r>
    <s v="Analyzer Status changed from Busy to Ready."/>
    <x v="0"/>
    <x v="0"/>
    <d v="2016-10-20T00:00:00"/>
    <d v="1899-12-30T14:44:41"/>
    <s v="Analyzer"/>
    <x v="0"/>
    <x v="0"/>
    <x v="0"/>
    <x v="0"/>
  </r>
  <r>
    <s v="Analyzer Status changed from Ready to Maintenance."/>
    <x v="0"/>
    <x v="0"/>
    <d v="2016-10-20T00:00:00"/>
    <d v="1899-12-30T14:44:41"/>
    <s v="Analyzer"/>
    <x v="0"/>
    <x v="0"/>
    <x v="0"/>
    <x v="0"/>
  </r>
  <r>
    <s v="Automatic maintenance activity Automatic Routine Clean for all Probes has been executed."/>
    <x v="2"/>
    <x v="0"/>
    <d v="2016-10-20T00:00:00"/>
    <d v="1899-12-30T14:45:08"/>
    <s v="Maintenance"/>
    <x v="0"/>
    <x v="2"/>
    <x v="2"/>
    <x v="0"/>
  </r>
  <r>
    <s v="Analyzer Status changed from Maintenance to Ready."/>
    <x v="0"/>
    <x v="0"/>
    <d v="2016-10-20T00:00:00"/>
    <d v="1899-12-30T14:45:09"/>
    <s v="Analyzer"/>
    <x v="0"/>
    <x v="0"/>
    <x v="0"/>
    <x v="0"/>
  </r>
  <r>
    <s v="Non-identified Sample in rack 02 position 1, track 12."/>
    <x v="12"/>
    <x v="2"/>
    <d v="2016-10-20T00:00:00"/>
    <d v="1899-12-30T14:45:10"/>
    <s v="Materials"/>
    <x v="0"/>
    <x v="4"/>
    <x v="7"/>
    <x v="1"/>
  </r>
  <r>
    <s v="Analyzer Status changed from Ready to Busy."/>
    <x v="0"/>
    <x v="0"/>
    <d v="2016-10-20T00:00:00"/>
    <d v="1899-12-30T14:45:17"/>
    <s v="Analyzer"/>
    <x v="0"/>
    <x v="0"/>
    <x v="0"/>
    <x v="0"/>
  </r>
  <r>
    <s v="Hepz QFA Patient job not feasible. Waiting for Q.F.A. Thrombin."/>
    <x v="26"/>
    <x v="1"/>
    <d v="2016-10-20T00:00:00"/>
    <d v="1899-12-30T14:45:49"/>
    <s v="Materials"/>
    <x v="0"/>
    <x v="2"/>
    <x v="3"/>
    <x v="0"/>
  </r>
  <r>
    <s v="Analyzer Status changed from Busy to Ready."/>
    <x v="0"/>
    <x v="0"/>
    <d v="2016-10-20T00:00:00"/>
    <d v="1899-12-30T14:45:49"/>
    <s v="Analyzer"/>
    <x v="0"/>
    <x v="0"/>
    <x v="0"/>
    <x v="0"/>
  </r>
  <r>
    <s v="Analyzer Status changed from Ready to Busy."/>
    <x v="0"/>
    <x v="0"/>
    <d v="2016-10-20T00:00:00"/>
    <d v="1899-12-30T14:49:32"/>
    <s v="Analyzer"/>
    <x v="0"/>
    <x v="0"/>
    <x v="0"/>
    <x v="0"/>
  </r>
  <r>
    <s v="Fib-C insufficient material to run additional calibration / test."/>
    <x v="32"/>
    <x v="2"/>
    <d v="2016-10-20T00:00:00"/>
    <d v="1899-12-30T14:50:41"/>
    <s v="Materials"/>
    <x v="0"/>
    <x v="3"/>
    <x v="4"/>
    <x v="0"/>
  </r>
  <r>
    <s v="Analyzer Status changed from Busy to Ready."/>
    <x v="0"/>
    <x v="0"/>
    <d v="2016-10-20T00:00:00"/>
    <d v="1899-12-30T14:52:44"/>
    <s v="Analyzer"/>
    <x v="0"/>
    <x v="0"/>
    <x v="0"/>
    <x v="0"/>
  </r>
  <r>
    <s v="Analyzer Status changed from Ready to Maintenance."/>
    <x v="0"/>
    <x v="0"/>
    <d v="2016-10-20T00:00:00"/>
    <d v="1899-12-30T14:52:44"/>
    <s v="Analyzer"/>
    <x v="0"/>
    <x v="0"/>
    <x v="0"/>
    <x v="0"/>
  </r>
  <r>
    <s v="Analyzer Status changed from Maintenance to Ready."/>
    <x v="0"/>
    <x v="0"/>
    <d v="2016-10-20T00:00:00"/>
    <d v="1899-12-30T14:53:10"/>
    <s v="Analyzer"/>
    <x v="0"/>
    <x v="0"/>
    <x v="0"/>
    <x v="0"/>
  </r>
  <r>
    <s v="Automatic maintenance activity Automatic Routine Clean for all Probes has been executed."/>
    <x v="2"/>
    <x v="0"/>
    <d v="2016-10-20T00:00:00"/>
    <d v="1899-12-30T14:53:10"/>
    <s v="Maintenance"/>
    <x v="0"/>
    <x v="2"/>
    <x v="2"/>
    <x v="0"/>
  </r>
  <r>
    <s v="Communications between the instrument and the LIS have been lost."/>
    <x v="13"/>
    <x v="2"/>
    <d v="2016-10-20T00:00:00"/>
    <d v="1899-12-30T15:21:56"/>
    <s v="LIS"/>
    <x v="0"/>
    <x v="2"/>
    <x v="6"/>
    <x v="0"/>
  </r>
  <r>
    <s v="Analyzer Status changed from Ready to Maintenance."/>
    <x v="0"/>
    <x v="0"/>
    <d v="2016-10-20T00:00:00"/>
    <d v="1899-12-30T15:53:10"/>
    <s v="Analyzer"/>
    <x v="0"/>
    <x v="0"/>
    <x v="0"/>
    <x v="0"/>
  </r>
  <r>
    <s v="Analyzer Status changed from Maintenance to Ready."/>
    <x v="0"/>
    <x v="0"/>
    <d v="2016-10-20T00:00:00"/>
    <d v="1899-12-30T15:53:31"/>
    <s v="Analyzer"/>
    <x v="0"/>
    <x v="0"/>
    <x v="0"/>
    <x v="0"/>
  </r>
  <r>
    <s v="Automatic maintenance activity Automatic Fluidic Line Priming Cycle has been executed."/>
    <x v="2"/>
    <x v="0"/>
    <d v="2016-10-20T00:00:00"/>
    <d v="1899-12-30T15:53:31"/>
    <s v="Maintenance"/>
    <x v="0"/>
    <x v="2"/>
    <x v="2"/>
    <x v="0"/>
  </r>
  <r>
    <s v="Analyzer Status changed from Ready to Maintenance."/>
    <x v="0"/>
    <x v="0"/>
    <d v="2016-10-20T00:00:00"/>
    <d v="1899-12-30T16:53:32"/>
    <s v="Analyzer"/>
    <x v="0"/>
    <x v="0"/>
    <x v="0"/>
    <x v="0"/>
  </r>
  <r>
    <s v="Analyzer Status changed from Maintenance to Ready."/>
    <x v="0"/>
    <x v="0"/>
    <d v="2016-10-20T00:00:00"/>
    <d v="1899-12-30T16:53:53"/>
    <s v="Analyzer"/>
    <x v="0"/>
    <x v="0"/>
    <x v="0"/>
    <x v="0"/>
  </r>
  <r>
    <s v="Automatic maintenance activity Automatic Fluidic Line Priming Cycle has been executed."/>
    <x v="2"/>
    <x v="0"/>
    <d v="2016-10-20T00:00:00"/>
    <d v="1899-12-30T16:53:53"/>
    <s v="Maintenance"/>
    <x v="0"/>
    <x v="2"/>
    <x v="2"/>
    <x v="0"/>
  </r>
  <r>
    <s v="Analyzer Status changed from Ready to Maintenance."/>
    <x v="0"/>
    <x v="0"/>
    <d v="2016-10-20T00:00:00"/>
    <d v="1899-12-30T17:53:53"/>
    <s v="Analyzer"/>
    <x v="0"/>
    <x v="0"/>
    <x v="0"/>
    <x v="0"/>
  </r>
  <r>
    <s v="Analyzer Status changed from Maintenance to Ready."/>
    <x v="0"/>
    <x v="0"/>
    <d v="2016-10-20T00:00:00"/>
    <d v="1899-12-30T17:54:15"/>
    <s v="Analyzer"/>
    <x v="0"/>
    <x v="0"/>
    <x v="0"/>
    <x v="0"/>
  </r>
  <r>
    <s v="Automatic maintenance activity Automatic Fluidic Line Priming Cycle has been executed."/>
    <x v="2"/>
    <x v="0"/>
    <d v="2016-10-20T00:00:00"/>
    <d v="1899-12-30T17:54:15"/>
    <s v="Maintenance"/>
    <x v="0"/>
    <x v="2"/>
    <x v="2"/>
    <x v="0"/>
  </r>
  <r>
    <s v="Analyzer Status changed from Ready to Maintenance."/>
    <x v="0"/>
    <x v="0"/>
    <d v="2016-10-20T00:00:00"/>
    <d v="1899-12-30T18:54:15"/>
    <s v="Analyzer"/>
    <x v="0"/>
    <x v="0"/>
    <x v="0"/>
    <x v="0"/>
  </r>
  <r>
    <s v="Analyzer Status changed from Maintenance to Ready."/>
    <x v="0"/>
    <x v="0"/>
    <d v="2016-10-20T00:00:00"/>
    <d v="1899-12-30T18:54:37"/>
    <s v="Analyzer"/>
    <x v="0"/>
    <x v="0"/>
    <x v="0"/>
    <x v="0"/>
  </r>
  <r>
    <s v="Automatic maintenance activity Automatic Fluidic Line Priming Cycle has been executed."/>
    <x v="2"/>
    <x v="0"/>
    <d v="2016-10-20T00:00:00"/>
    <d v="1899-12-30T18:54:37"/>
    <s v="Maintenance"/>
    <x v="0"/>
    <x v="2"/>
    <x v="2"/>
    <x v="0"/>
  </r>
  <r>
    <s v="Analyzer Status changed from Ready to Maintenance."/>
    <x v="0"/>
    <x v="0"/>
    <d v="2016-10-20T00:00:00"/>
    <d v="1899-12-30T19:54:37"/>
    <s v="Analyzer"/>
    <x v="0"/>
    <x v="0"/>
    <x v="0"/>
    <x v="0"/>
  </r>
  <r>
    <s v="Automatic maintenance activity Automatic Fluidic Line Priming Cycle has been executed."/>
    <x v="2"/>
    <x v="0"/>
    <d v="2016-10-20T00:00:00"/>
    <d v="1899-12-30T19:54:58"/>
    <s v="Maintenance"/>
    <x v="0"/>
    <x v="2"/>
    <x v="2"/>
    <x v="0"/>
  </r>
  <r>
    <s v="Analyzer Status changed from Maintenance to Ready."/>
    <x v="0"/>
    <x v="0"/>
    <d v="2016-10-20T00:00:00"/>
    <d v="1899-12-30T19:54:59"/>
    <s v="Analyzer"/>
    <x v="0"/>
    <x v="0"/>
    <x v="0"/>
    <x v="0"/>
  </r>
  <r>
    <s v="Analyzer Status changed from Ready to Maintenance."/>
    <x v="0"/>
    <x v="0"/>
    <d v="2016-10-20T00:00:00"/>
    <d v="1899-12-30T20:56:00"/>
    <s v="Analyzer"/>
    <x v="0"/>
    <x v="0"/>
    <x v="0"/>
    <x v="0"/>
  </r>
  <r>
    <s v="Automatic maintenance activity Automatic Fluidic Line Priming Cycle has been executed."/>
    <x v="2"/>
    <x v="0"/>
    <d v="2016-10-20T00:00:00"/>
    <d v="1899-12-30T20:56:21"/>
    <s v="Maintenance"/>
    <x v="0"/>
    <x v="2"/>
    <x v="2"/>
    <x v="0"/>
  </r>
  <r>
    <s v="Analyzer Status changed from Maintenance to Ready."/>
    <x v="0"/>
    <x v="0"/>
    <d v="2016-10-20T00:00:00"/>
    <d v="1899-12-30T20:56:22"/>
    <s v="Analyzer"/>
    <x v="0"/>
    <x v="0"/>
    <x v="0"/>
    <x v="0"/>
  </r>
  <r>
    <s v="Analyzer Status changed from Ready to Maintenance."/>
    <x v="0"/>
    <x v="0"/>
    <d v="2016-10-20T00:00:00"/>
    <d v="1899-12-30T21:56:22"/>
    <s v="Analyzer"/>
    <x v="0"/>
    <x v="0"/>
    <x v="0"/>
    <x v="0"/>
  </r>
  <r>
    <s v="Automatic maintenance activity Automatic Fluidic Line Priming Cycle has been executed."/>
    <x v="2"/>
    <x v="0"/>
    <d v="2016-10-20T00:00:00"/>
    <d v="1899-12-30T21:56:43"/>
    <s v="Maintenance"/>
    <x v="0"/>
    <x v="2"/>
    <x v="2"/>
    <x v="0"/>
  </r>
  <r>
    <s v="Analyzer Status changed from Maintenance to Ready."/>
    <x v="0"/>
    <x v="0"/>
    <d v="2016-10-20T00:00:00"/>
    <d v="1899-12-30T21:56:44"/>
    <s v="Analyzer"/>
    <x v="0"/>
    <x v="0"/>
    <x v="0"/>
    <x v="0"/>
  </r>
  <r>
    <s v="Analyzer Status changed from Ready to Maintenance."/>
    <x v="0"/>
    <x v="0"/>
    <d v="2016-10-20T00:00:00"/>
    <d v="1899-12-30T22:56:44"/>
    <s v="Analyzer"/>
    <x v="0"/>
    <x v="0"/>
    <x v="0"/>
    <x v="0"/>
  </r>
  <r>
    <s v="Automatic maintenance activity Automatic Fluidic Line Priming Cycle has been executed."/>
    <x v="2"/>
    <x v="0"/>
    <d v="2016-10-20T00:00:00"/>
    <d v="1899-12-30T22:57:05"/>
    <s v="Maintenance"/>
    <x v="0"/>
    <x v="2"/>
    <x v="2"/>
    <x v="0"/>
  </r>
  <r>
    <s v="Analyzer Status changed from Maintenance to Ready."/>
    <x v="0"/>
    <x v="0"/>
    <d v="2016-10-20T00:00:00"/>
    <d v="1899-12-30T22:57:06"/>
    <s v="Analyzer"/>
    <x v="0"/>
    <x v="0"/>
    <x v="0"/>
    <x v="0"/>
  </r>
  <r>
    <s v="Analyzer Status changed from Ready to Maintenance."/>
    <x v="0"/>
    <x v="0"/>
    <d v="2016-10-20T00:00:00"/>
    <d v="1899-12-30T23:57:06"/>
    <s v="Analyzer"/>
    <x v="0"/>
    <x v="0"/>
    <x v="0"/>
    <x v="0"/>
  </r>
  <r>
    <s v="Automatic maintenance activity Automatic Fluidic Line Priming Cycle has been executed."/>
    <x v="2"/>
    <x v="0"/>
    <d v="2016-10-20T00:00:00"/>
    <d v="1899-12-30T23:57:27"/>
    <s v="Maintenance"/>
    <x v="0"/>
    <x v="2"/>
    <x v="2"/>
    <x v="0"/>
  </r>
  <r>
    <s v="Analyzer Status changed from Maintenance to Ready."/>
    <x v="0"/>
    <x v="0"/>
    <d v="2016-10-20T00:00:00"/>
    <d v="1899-12-30T23:57:28"/>
    <s v="Analyzer"/>
    <x v="0"/>
    <x v="0"/>
    <x v="0"/>
    <x v="0"/>
  </r>
  <r>
    <s v="Analyzer Status changed from Ready to Maintenance."/>
    <x v="0"/>
    <x v="0"/>
    <d v="2016-10-21T00:00:00"/>
    <d v="1899-12-30T00:57:28"/>
    <s v="Analyzer"/>
    <x v="0"/>
    <x v="0"/>
    <x v="0"/>
    <x v="0"/>
  </r>
  <r>
    <s v="Automatic maintenance activity Automatic Fluidic Line Priming Cycle has been executed."/>
    <x v="2"/>
    <x v="0"/>
    <d v="2016-10-21T00:00:00"/>
    <d v="1899-12-30T00:57:49"/>
    <s v="Maintenance"/>
    <x v="0"/>
    <x v="2"/>
    <x v="2"/>
    <x v="0"/>
  </r>
  <r>
    <s v="Analyzer Status changed from Maintenance to Ready."/>
    <x v="0"/>
    <x v="0"/>
    <d v="2016-10-21T00:00:00"/>
    <d v="1899-12-30T00:57:50"/>
    <s v="Analyzer"/>
    <x v="0"/>
    <x v="0"/>
    <x v="0"/>
    <x v="0"/>
  </r>
  <r>
    <s v="Analyzer Status changed from Ready to Maintenance."/>
    <x v="0"/>
    <x v="0"/>
    <d v="2016-10-21T00:00:00"/>
    <d v="1899-12-30T01:57:50"/>
    <s v="Analyzer"/>
    <x v="0"/>
    <x v="0"/>
    <x v="0"/>
    <x v="0"/>
  </r>
  <r>
    <s v="Automatic maintenance activity Automatic Fluidic Line Priming Cycle has been executed."/>
    <x v="2"/>
    <x v="0"/>
    <d v="2016-10-21T00:00:00"/>
    <d v="1899-12-30T01:58:11"/>
    <s v="Maintenance"/>
    <x v="0"/>
    <x v="2"/>
    <x v="2"/>
    <x v="0"/>
  </r>
  <r>
    <s v="Analyzer Status changed from Maintenance to Ready."/>
    <x v="0"/>
    <x v="0"/>
    <d v="2016-10-21T00:00:00"/>
    <d v="1899-12-30T01:58:12"/>
    <s v="Analyzer"/>
    <x v="0"/>
    <x v="0"/>
    <x v="0"/>
    <x v="0"/>
  </r>
  <r>
    <s v="Analyzer Status changed from Ready to Maintenance."/>
    <x v="0"/>
    <x v="0"/>
    <d v="2016-10-21T00:00:00"/>
    <d v="1899-12-30T02:58:12"/>
    <s v="Analyzer"/>
    <x v="0"/>
    <x v="0"/>
    <x v="0"/>
    <x v="0"/>
  </r>
  <r>
    <s v="Automatic maintenance activity Automatic Fluidic Line Priming Cycle has been executed."/>
    <x v="2"/>
    <x v="0"/>
    <d v="2016-10-21T00:00:00"/>
    <d v="1899-12-30T02:58:33"/>
    <s v="Maintenance"/>
    <x v="0"/>
    <x v="2"/>
    <x v="2"/>
    <x v="0"/>
  </r>
  <r>
    <s v="Analyzer Status changed from Maintenance to Ready."/>
    <x v="0"/>
    <x v="0"/>
    <d v="2016-10-21T00:00:00"/>
    <d v="1899-12-30T02:58:34"/>
    <s v="Analyzer"/>
    <x v="0"/>
    <x v="0"/>
    <x v="0"/>
    <x v="0"/>
  </r>
  <r>
    <s v="Analyzer Status changed from Ready to Maintenance."/>
    <x v="0"/>
    <x v="0"/>
    <d v="2016-10-21T00:00:00"/>
    <d v="1899-12-30T03:58:34"/>
    <s v="Analyzer"/>
    <x v="0"/>
    <x v="0"/>
    <x v="0"/>
    <x v="0"/>
  </r>
  <r>
    <s v="Automatic maintenance activity Automatic Fluidic Line Priming Cycle has been executed."/>
    <x v="2"/>
    <x v="0"/>
    <d v="2016-10-21T00:00:00"/>
    <d v="1899-12-30T03:58:55"/>
    <s v="Maintenance"/>
    <x v="0"/>
    <x v="2"/>
    <x v="2"/>
    <x v="0"/>
  </r>
  <r>
    <s v="Analyzer Status changed from Maintenance to Ready."/>
    <x v="0"/>
    <x v="0"/>
    <d v="2016-10-21T00:00:00"/>
    <d v="1899-12-30T03:58:56"/>
    <s v="Analyzer"/>
    <x v="0"/>
    <x v="0"/>
    <x v="0"/>
    <x v="0"/>
  </r>
  <r>
    <s v="Analyzer Status changed from Ready to Maintenance."/>
    <x v="0"/>
    <x v="0"/>
    <d v="2016-10-21T00:00:00"/>
    <d v="1899-12-30T04:58:56"/>
    <s v="Analyzer"/>
    <x v="0"/>
    <x v="0"/>
    <x v="0"/>
    <x v="0"/>
  </r>
  <r>
    <s v="Automatic maintenance activity Automatic Fluidic Line Priming Cycle has been executed."/>
    <x v="2"/>
    <x v="0"/>
    <d v="2016-10-21T00:00:00"/>
    <d v="1899-12-30T04:59:17"/>
    <s v="Maintenance"/>
    <x v="0"/>
    <x v="2"/>
    <x v="2"/>
    <x v="0"/>
  </r>
  <r>
    <s v="Analyzer Status changed from Maintenance to Ready."/>
    <x v="0"/>
    <x v="0"/>
    <d v="2016-10-21T00:00:00"/>
    <d v="1899-12-30T04:59:18"/>
    <s v="Analyzer"/>
    <x v="0"/>
    <x v="0"/>
    <x v="0"/>
    <x v="0"/>
  </r>
  <r>
    <s v="Analyzer Status changed from Ready to Maintenance."/>
    <x v="0"/>
    <x v="0"/>
    <d v="2016-10-21T00:00:00"/>
    <d v="1899-12-30T05:59:18"/>
    <s v="Analyzer"/>
    <x v="0"/>
    <x v="0"/>
    <x v="0"/>
    <x v="0"/>
  </r>
  <r>
    <s v="Automatic maintenance activity Automatic Fluidic Line Priming Cycle has been executed."/>
    <x v="2"/>
    <x v="0"/>
    <d v="2016-10-21T00:00:00"/>
    <d v="1899-12-30T05:59:39"/>
    <s v="Maintenance"/>
    <x v="0"/>
    <x v="2"/>
    <x v="2"/>
    <x v="0"/>
  </r>
  <r>
    <s v="Analyzer Status changed from Maintenance to Ready."/>
    <x v="0"/>
    <x v="0"/>
    <d v="2016-10-21T00:00:00"/>
    <d v="1899-12-30T05:59:40"/>
    <s v="Analyzer"/>
    <x v="0"/>
    <x v="0"/>
    <x v="0"/>
    <x v="0"/>
  </r>
  <r>
    <s v="Maintenance activity due: Enhanced Clean for all Probes."/>
    <x v="9"/>
    <x v="1"/>
    <d v="2016-10-21T00:00:00"/>
    <d v="1899-12-30T06:31:52"/>
    <s v="Maintenance"/>
    <x v="0"/>
    <x v="2"/>
    <x v="2"/>
    <x v="0"/>
  </r>
  <r>
    <s v="Maintenance activity due: Enhanced Clean for Sample and Reagent Probes."/>
    <x v="9"/>
    <x v="1"/>
    <d v="2016-10-21T00:00:00"/>
    <d v="1899-12-30T06:31:52"/>
    <s v="Maintenance"/>
    <x v="0"/>
    <x v="2"/>
    <x v="2"/>
    <x v="0"/>
  </r>
  <r>
    <s v="Maintenance activity due: make new diluted clean B."/>
    <x v="9"/>
    <x v="1"/>
    <d v="2016-10-21T00:00:00"/>
    <d v="1899-12-30T06:31:58"/>
    <s v="Maintenance"/>
    <x v="0"/>
    <x v="2"/>
    <x v="2"/>
    <x v="0"/>
  </r>
  <r>
    <s v="Maintenance activity due: replace factor diluent."/>
    <x v="9"/>
    <x v="1"/>
    <d v="2016-10-21T00:00:00"/>
    <d v="1899-12-30T06:32:03"/>
    <s v="Maintenance"/>
    <x v="0"/>
    <x v="2"/>
    <x v="2"/>
    <x v="0"/>
  </r>
  <r>
    <s v="Analyzer Status changed from Ready to Maintenance."/>
    <x v="0"/>
    <x v="0"/>
    <d v="2016-10-21T00:00:00"/>
    <d v="1899-12-30T06:59:40"/>
    <s v="Analyzer"/>
    <x v="0"/>
    <x v="0"/>
    <x v="0"/>
    <x v="0"/>
  </r>
  <r>
    <s v="Automatic maintenance activity Automatic Fluidic Line Priming Cycle has been executed."/>
    <x v="2"/>
    <x v="0"/>
    <d v="2016-10-21T00:00:00"/>
    <d v="1899-12-30T07:00:01"/>
    <s v="Maintenance"/>
    <x v="0"/>
    <x v="2"/>
    <x v="2"/>
    <x v="0"/>
  </r>
  <r>
    <s v="Analyzer Status changed from Maintenance to Ready."/>
    <x v="0"/>
    <x v="0"/>
    <d v="2016-10-21T00:00:00"/>
    <d v="1899-12-30T07:00:02"/>
    <s v="Analyzer"/>
    <x v="0"/>
    <x v="0"/>
    <x v="0"/>
    <x v="0"/>
  </r>
  <r>
    <s v="Maintenance activity overdue: Enhanced Clean for all Probes."/>
    <x v="20"/>
    <x v="1"/>
    <d v="2016-10-21T00:00:00"/>
    <d v="1899-12-30T07:30:52"/>
    <s v="Maintenance"/>
    <x v="0"/>
    <x v="2"/>
    <x v="2"/>
    <x v="0"/>
  </r>
  <r>
    <s v="Maintenance activity overdue: Enhanced Clean for Sample and Reagent Probes."/>
    <x v="20"/>
    <x v="1"/>
    <d v="2016-10-21T00:00:00"/>
    <d v="1899-12-30T07:30:52"/>
    <s v="Maintenance"/>
    <x v="0"/>
    <x v="2"/>
    <x v="2"/>
    <x v="0"/>
  </r>
  <r>
    <s v="Maintenance activity overdue: make new diluted clean B."/>
    <x v="20"/>
    <x v="1"/>
    <d v="2016-10-21T00:00:00"/>
    <d v="1899-12-30T07:30:58"/>
    <s v="Maintenance"/>
    <x v="0"/>
    <x v="2"/>
    <x v="2"/>
    <x v="0"/>
  </r>
  <r>
    <s v="Maintenance activity overdue: replace factor diluent."/>
    <x v="20"/>
    <x v="1"/>
    <d v="2016-10-21T00:00:00"/>
    <d v="1899-12-30T07:31:03"/>
    <s v="Maintenance"/>
    <x v="0"/>
    <x v="2"/>
    <x v="2"/>
    <x v="0"/>
  </r>
  <r>
    <s v="Analyzer Status changed from Ready to Maintenance."/>
    <x v="0"/>
    <x v="0"/>
    <d v="2016-10-21T00:00:00"/>
    <d v="1899-12-30T08:00:02"/>
    <s v="Analyzer"/>
    <x v="0"/>
    <x v="0"/>
    <x v="0"/>
    <x v="0"/>
  </r>
  <r>
    <s v="Automatic maintenance activity Automatic Fluidic Line Priming Cycle has been executed."/>
    <x v="2"/>
    <x v="0"/>
    <d v="2016-10-21T00:00:00"/>
    <d v="1899-12-30T08:00:23"/>
    <s v="Maintenance"/>
    <x v="0"/>
    <x v="2"/>
    <x v="2"/>
    <x v="0"/>
  </r>
  <r>
    <s v="Analyzer Status changed from Maintenance to Ready."/>
    <x v="0"/>
    <x v="0"/>
    <d v="2016-10-21T00:00:00"/>
    <d v="1899-12-30T08:00:24"/>
    <s v="Analyzer"/>
    <x v="0"/>
    <x v="0"/>
    <x v="0"/>
    <x v="0"/>
  </r>
  <r>
    <s v="Analyzer Status changed from Ready to Maintenance."/>
    <x v="0"/>
    <x v="0"/>
    <d v="2016-10-21T00:00:00"/>
    <d v="1899-12-30T09:00:24"/>
    <s v="Analyzer"/>
    <x v="0"/>
    <x v="0"/>
    <x v="0"/>
    <x v="0"/>
  </r>
  <r>
    <s v="Automatic maintenance activity Automatic Fluidic Line Priming Cycle has been executed."/>
    <x v="2"/>
    <x v="0"/>
    <d v="2016-10-21T00:00:00"/>
    <d v="1899-12-30T09:00:45"/>
    <s v="Maintenance"/>
    <x v="0"/>
    <x v="2"/>
    <x v="2"/>
    <x v="0"/>
  </r>
  <r>
    <s v="Analyzer Status changed from Maintenance to Ready."/>
    <x v="0"/>
    <x v="0"/>
    <d v="2016-10-21T00:00:00"/>
    <d v="1899-12-30T09:00:46"/>
    <s v="Analyzer"/>
    <x v="0"/>
    <x v="0"/>
    <x v="0"/>
    <x v="0"/>
  </r>
  <r>
    <s v="Analyzer Status changed from Ready to Maintenance."/>
    <x v="0"/>
    <x v="0"/>
    <d v="2016-10-21T00:00:00"/>
    <d v="1899-12-30T10:00:46"/>
    <s v="Analyzer"/>
    <x v="0"/>
    <x v="0"/>
    <x v="0"/>
    <x v="0"/>
  </r>
  <r>
    <s v="Automatic maintenance activity Automatic Fluidic Line Priming Cycle has been executed."/>
    <x v="2"/>
    <x v="0"/>
    <d v="2016-10-21T00:00:00"/>
    <d v="1899-12-30T10:01:07"/>
    <s v="Maintenance"/>
    <x v="0"/>
    <x v="2"/>
    <x v="2"/>
    <x v="0"/>
  </r>
  <r>
    <s v="Analyzer Status changed from Maintenance to Ready."/>
    <x v="0"/>
    <x v="0"/>
    <d v="2016-10-21T00:00:00"/>
    <d v="1899-12-30T10:01:08"/>
    <s v="Analyzer"/>
    <x v="0"/>
    <x v="0"/>
    <x v="0"/>
    <x v="0"/>
  </r>
  <r>
    <s v="Analyzer Status changed from Ready to Maintenance."/>
    <x v="0"/>
    <x v="0"/>
    <d v="2016-10-21T00:00:00"/>
    <d v="1899-12-30T11:01:08"/>
    <s v="Analyzer"/>
    <x v="0"/>
    <x v="0"/>
    <x v="0"/>
    <x v="0"/>
  </r>
  <r>
    <s v="Analyzer Status changed from Maintenance to Ready."/>
    <x v="0"/>
    <x v="0"/>
    <d v="2016-10-21T00:00:00"/>
    <d v="1899-12-30T11:01:29"/>
    <s v="Analyzer"/>
    <x v="0"/>
    <x v="0"/>
    <x v="0"/>
    <x v="0"/>
  </r>
  <r>
    <s v="Automatic maintenance activity Automatic Fluidic Line Priming Cycle has been executed."/>
    <x v="2"/>
    <x v="0"/>
    <d v="2016-10-21T00:00:00"/>
    <d v="1899-12-30T11:01:29"/>
    <s v="Maintenance"/>
    <x v="0"/>
    <x v="2"/>
    <x v="2"/>
    <x v="0"/>
  </r>
  <r>
    <s v="Rinse solution level low."/>
    <x v="1"/>
    <x v="1"/>
    <d v="2016-10-21T00:00:00"/>
    <d v="1899-12-30T11:06:20"/>
    <s v="Materials"/>
    <x v="0"/>
    <x v="1"/>
    <x v="1"/>
    <x v="0"/>
  </r>
  <r>
    <s v="Analyzer Status changed from Ready to Maintenance."/>
    <x v="0"/>
    <x v="0"/>
    <d v="2016-10-21T00:00:00"/>
    <d v="1899-12-30T12:01:30"/>
    <s v="Analyzer"/>
    <x v="0"/>
    <x v="0"/>
    <x v="0"/>
    <x v="0"/>
  </r>
  <r>
    <s v="Analyzer Status changed from Maintenance to Ready."/>
    <x v="0"/>
    <x v="0"/>
    <d v="2016-10-21T00:00:00"/>
    <d v="1899-12-30T12:01:51"/>
    <s v="Analyzer"/>
    <x v="0"/>
    <x v="0"/>
    <x v="0"/>
    <x v="0"/>
  </r>
  <r>
    <s v="Automatic maintenance activity Automatic Fluidic Line Priming Cycle has been executed."/>
    <x v="2"/>
    <x v="0"/>
    <d v="2016-10-21T00:00:00"/>
    <d v="1899-12-30T12:01:51"/>
    <s v="Maintenance"/>
    <x v="0"/>
    <x v="2"/>
    <x v="2"/>
    <x v="0"/>
  </r>
  <r>
    <s v="Analyzer Status changed from Ready to Maintenance."/>
    <x v="0"/>
    <x v="0"/>
    <d v="2016-10-21T00:00:00"/>
    <d v="1899-12-30T13:01:51"/>
    <s v="Analyzer"/>
    <x v="0"/>
    <x v="0"/>
    <x v="0"/>
    <x v="0"/>
  </r>
  <r>
    <s v="Analyzer Status changed from Maintenance to Ready."/>
    <x v="0"/>
    <x v="0"/>
    <d v="2016-10-21T00:00:00"/>
    <d v="1899-12-30T13:02:13"/>
    <s v="Analyzer"/>
    <x v="0"/>
    <x v="0"/>
    <x v="0"/>
    <x v="0"/>
  </r>
  <r>
    <s v="Automatic maintenance activity Automatic Fluidic Line Priming Cycle has been executed."/>
    <x v="2"/>
    <x v="0"/>
    <d v="2016-10-21T00:00:00"/>
    <d v="1899-12-30T13:02:13"/>
    <s v="Maintenance"/>
    <x v="0"/>
    <x v="2"/>
    <x v="2"/>
    <x v="0"/>
  </r>
  <r>
    <s v="System Definitions: generic change."/>
    <x v="61"/>
    <x v="0"/>
    <d v="2016-10-21T00:00:00"/>
    <d v="1899-12-30T13:42:46"/>
    <s v="Setup"/>
    <x v="0"/>
    <x v="2"/>
    <x v="5"/>
    <x v="0"/>
  </r>
  <r>
    <s v="System Definitions: generic change."/>
    <x v="61"/>
    <x v="0"/>
    <d v="2016-10-21T00:00:00"/>
    <d v="1899-12-30T13:43:08"/>
    <s v="Setup"/>
    <x v="0"/>
    <x v="2"/>
    <x v="5"/>
    <x v="0"/>
  </r>
  <r>
    <s v="QC Definition APTT-SS - Normal C. Assayed modified: Patient Flags."/>
    <x v="35"/>
    <x v="0"/>
    <d v="2016-10-21T00:00:00"/>
    <d v="1899-12-30T14:00:48"/>
    <s v="Setup"/>
    <x v="0"/>
    <x v="2"/>
    <x v="12"/>
    <x v="0"/>
  </r>
  <r>
    <s v="QC Definition APTT-SS - High Abn C. Assayed modified: Patient Flags."/>
    <x v="35"/>
    <x v="0"/>
    <d v="2016-10-21T00:00:00"/>
    <d v="1899-12-30T14:00:54"/>
    <s v="Setup"/>
    <x v="0"/>
    <x v="2"/>
    <x v="12"/>
    <x v="0"/>
  </r>
  <r>
    <s v="QC Definition AT LIQ - Normal C. Assayed modified: Patient Flags."/>
    <x v="35"/>
    <x v="0"/>
    <d v="2016-10-21T00:00:00"/>
    <d v="1899-12-30T14:01:00"/>
    <s v="Setup"/>
    <x v="0"/>
    <x v="2"/>
    <x v="12"/>
    <x v="0"/>
  </r>
  <r>
    <s v="QC Definition AT LIQ - Special Test 2 modified: Patient Flags."/>
    <x v="35"/>
    <x v="0"/>
    <d v="2016-10-21T00:00:00"/>
    <d v="1899-12-30T14:01:04"/>
    <s v="Setup"/>
    <x v="0"/>
    <x v="2"/>
    <x v="12"/>
    <x v="0"/>
  </r>
  <r>
    <s v="QC Definition DDHS - D-Dimer High Control modified: Patient Flags."/>
    <x v="35"/>
    <x v="0"/>
    <d v="2016-10-21T00:00:00"/>
    <d v="1899-12-30T14:01:09"/>
    <s v="Setup"/>
    <x v="0"/>
    <x v="2"/>
    <x v="12"/>
    <x v="0"/>
  </r>
  <r>
    <s v="QC Definition DDHS - D-Dimer Low Control modified: Patient Flags."/>
    <x v="35"/>
    <x v="0"/>
    <d v="2016-10-21T00:00:00"/>
    <d v="1899-12-30T14:01:13"/>
    <s v="Setup"/>
    <x v="0"/>
    <x v="2"/>
    <x v="12"/>
    <x v="0"/>
  </r>
  <r>
    <s v="QC Definition dRVVT S - LA POS CONTROL modified: Patient Flags."/>
    <x v="35"/>
    <x v="0"/>
    <d v="2016-10-21T00:00:00"/>
    <d v="1899-12-30T14:01:19"/>
    <s v="Setup"/>
    <x v="0"/>
    <x v="2"/>
    <x v="12"/>
    <x v="0"/>
  </r>
  <r>
    <s v="QC Definition dRVVT S - LA POS CONTROL modified: Rules cfg."/>
    <x v="36"/>
    <x v="0"/>
    <d v="2016-10-21T00:00:00"/>
    <d v="1899-12-30T14:01:19"/>
    <s v="Setup"/>
    <x v="0"/>
    <x v="2"/>
    <x v="12"/>
    <x v="0"/>
  </r>
  <r>
    <s v="QC Definition dRVVT S - LA NEG CONTROL modified: Patient Flags."/>
    <x v="35"/>
    <x v="0"/>
    <d v="2016-10-21T00:00:00"/>
    <d v="1899-12-30T14:01:24"/>
    <s v="Setup"/>
    <x v="0"/>
    <x v="2"/>
    <x v="12"/>
    <x v="0"/>
  </r>
  <r>
    <s v="QC Definition dRVVT S - LA NEG CONTROL modified: Rules cfg."/>
    <x v="36"/>
    <x v="0"/>
    <d v="2016-10-21T00:00:00"/>
    <d v="1899-12-30T14:01:24"/>
    <s v="Setup"/>
    <x v="0"/>
    <x v="2"/>
    <x v="12"/>
    <x v="0"/>
  </r>
  <r>
    <s v="QC Definition Fib-C - Normal C. Assayed modified: Patient Flags."/>
    <x v="35"/>
    <x v="0"/>
    <d v="2016-10-21T00:00:00"/>
    <d v="1899-12-30T14:01:46"/>
    <s v="Setup"/>
    <x v="0"/>
    <x v="2"/>
    <x v="12"/>
    <x v="0"/>
  </r>
  <r>
    <s v="QC Definition FII-RP - Normal C. Assayed modified: Patient Flags."/>
    <x v="35"/>
    <x v="0"/>
    <d v="2016-10-21T00:00:00"/>
    <d v="1899-12-30T14:01:55"/>
    <s v="Setup"/>
    <x v="0"/>
    <x v="2"/>
    <x v="12"/>
    <x v="0"/>
  </r>
  <r>
    <s v="QC Definition FII-RP - Special Test 2 modified: Patient Flags."/>
    <x v="35"/>
    <x v="0"/>
    <d v="2016-10-21T00:00:00"/>
    <d v="1899-12-30T14:02:03"/>
    <s v="Setup"/>
    <x v="0"/>
    <x v="2"/>
    <x v="12"/>
    <x v="0"/>
  </r>
  <r>
    <s v="QC Definition FIX-SS - Normal C. Assayed modified: Patient Flags."/>
    <x v="35"/>
    <x v="0"/>
    <d v="2016-10-21T00:00:00"/>
    <d v="1899-12-30T14:02:08"/>
    <s v="Setup"/>
    <x v="0"/>
    <x v="2"/>
    <x v="12"/>
    <x v="0"/>
  </r>
  <r>
    <s v="Analyzer Status changed from Ready to Maintenance."/>
    <x v="0"/>
    <x v="0"/>
    <d v="2016-10-21T00:00:00"/>
    <d v="1899-12-30T14:02:13"/>
    <s v="Analyzer"/>
    <x v="0"/>
    <x v="0"/>
    <x v="0"/>
    <x v="0"/>
  </r>
  <r>
    <s v="QC Definition Free PS - Special Test 2 modified: Patient Flags."/>
    <x v="35"/>
    <x v="0"/>
    <d v="2016-10-21T00:00:00"/>
    <d v="1899-12-30T14:02:21"/>
    <s v="Setup"/>
    <x v="0"/>
    <x v="2"/>
    <x v="12"/>
    <x v="0"/>
  </r>
  <r>
    <s v="QC Definition FVIII-SS - Normal C. Assayed modified: Patient Flags."/>
    <x v="35"/>
    <x v="0"/>
    <d v="2016-10-21T00:00:00"/>
    <d v="1899-12-30T14:02:26"/>
    <s v="Setup"/>
    <x v="0"/>
    <x v="2"/>
    <x v="12"/>
    <x v="0"/>
  </r>
  <r>
    <s v="QC Definition FVIII-SS - Special Test 2 modified: Patient Flags."/>
    <x v="35"/>
    <x v="0"/>
    <d v="2016-10-21T00:00:00"/>
    <d v="1899-12-30T14:02:34"/>
    <s v="Setup"/>
    <x v="0"/>
    <x v="2"/>
    <x v="12"/>
    <x v="0"/>
  </r>
  <r>
    <s v="QC Definition FX CHROM - Special Test 2 modified: Patient Flags."/>
    <x v="35"/>
    <x v="0"/>
    <d v="2016-10-21T00:00:00"/>
    <d v="1899-12-30T14:03:00"/>
    <s v="Setup"/>
    <x v="0"/>
    <x v="2"/>
    <x v="12"/>
    <x v="0"/>
  </r>
  <r>
    <s v="Analyzer Status changed from Maintenance to Ready."/>
    <x v="0"/>
    <x v="0"/>
    <d v="2016-10-21T00:00:00"/>
    <d v="1899-12-30T14:03:18"/>
    <s v="Analyzer"/>
    <x v="0"/>
    <x v="0"/>
    <x v="0"/>
    <x v="0"/>
  </r>
  <r>
    <s v="Automatic maintenance activity Automatic Fluidic Line Priming Cycle has been executed."/>
    <x v="2"/>
    <x v="0"/>
    <d v="2016-10-21T00:00:00"/>
    <d v="1899-12-30T14:03:18"/>
    <s v="Maintenance"/>
    <x v="0"/>
    <x v="2"/>
    <x v="2"/>
    <x v="0"/>
  </r>
  <r>
    <s v="QC Definition QFA Low - Low Fib Control modified: Patient Flags."/>
    <x v="35"/>
    <x v="0"/>
    <d v="2016-10-21T00:00:00"/>
    <d v="1899-12-30T14:04:24"/>
    <s v="Setup"/>
    <x v="0"/>
    <x v="2"/>
    <x v="12"/>
    <x v="0"/>
  </r>
  <r>
    <s v="QC Definition SCT-S - LA POS CONTROL modified: Patient Flags."/>
    <x v="35"/>
    <x v="0"/>
    <d v="2016-10-21T00:00:00"/>
    <d v="1899-12-30T14:04:48"/>
    <s v="Setup"/>
    <x v="0"/>
    <x v="2"/>
    <x v="12"/>
    <x v="0"/>
  </r>
  <r>
    <s v="QC Definition SCT-S - LA POS CONTROL modified: Rules cfg."/>
    <x v="36"/>
    <x v="0"/>
    <d v="2016-10-21T00:00:00"/>
    <d v="1899-12-30T14:04:48"/>
    <s v="Setup"/>
    <x v="0"/>
    <x v="2"/>
    <x v="12"/>
    <x v="0"/>
  </r>
  <r>
    <s v="QC Definition SCT-S - LA NEG CONTROL modified: Patient Flags."/>
    <x v="35"/>
    <x v="0"/>
    <d v="2016-10-21T00:00:00"/>
    <d v="1899-12-30T14:04:54"/>
    <s v="Setup"/>
    <x v="0"/>
    <x v="2"/>
    <x v="12"/>
    <x v="0"/>
  </r>
  <r>
    <s v="QC Definition SCT-S - LA NEG CONTROL modified: Rules cfg."/>
    <x v="36"/>
    <x v="0"/>
    <d v="2016-10-21T00:00:00"/>
    <d v="1899-12-30T14:04:54"/>
    <s v="Setup"/>
    <x v="0"/>
    <x v="2"/>
    <x v="12"/>
    <x v="0"/>
  </r>
  <r>
    <s v="Analyzer Status changed from Ready to Maintenance."/>
    <x v="0"/>
    <x v="0"/>
    <d v="2016-10-21T00:00:00"/>
    <d v="1899-12-30T15:03:18"/>
    <s v="Analyzer"/>
    <x v="0"/>
    <x v="0"/>
    <x v="0"/>
    <x v="0"/>
  </r>
  <r>
    <s v="Analyzer Status changed from Maintenance to Ready."/>
    <x v="0"/>
    <x v="0"/>
    <d v="2016-10-21T00:00:00"/>
    <d v="1899-12-30T15:04:20"/>
    <s v="Analyzer"/>
    <x v="0"/>
    <x v="0"/>
    <x v="0"/>
    <x v="0"/>
  </r>
  <r>
    <s v="Automatic maintenance activity Automatic Fluidic Line Priming Cycle has been executed."/>
    <x v="2"/>
    <x v="0"/>
    <d v="2016-10-21T00:00:00"/>
    <d v="1899-12-30T15:04:20"/>
    <s v="Maintenance"/>
    <x v="0"/>
    <x v="2"/>
    <x v="2"/>
    <x v="0"/>
  </r>
  <r>
    <s v="Automatic logout."/>
    <x v="62"/>
    <x v="0"/>
    <d v="2016-10-21T00:00:00"/>
    <d v="1899-12-30T15:45:24"/>
    <s v="Other"/>
    <x v="0"/>
    <x v="4"/>
    <x v="7"/>
    <x v="1"/>
  </r>
  <r>
    <s v="Analyzer Status changed from Ready to Maintenance."/>
    <x v="0"/>
    <x v="0"/>
    <d v="2016-10-21T00:00:00"/>
    <d v="1899-12-30T16:04:20"/>
    <s v="Analyzer"/>
    <x v="1"/>
    <x v="0"/>
    <x v="0"/>
    <x v="0"/>
  </r>
  <r>
    <s v="Analyzer Status changed from Maintenance to Ready."/>
    <x v="0"/>
    <x v="0"/>
    <d v="2016-10-21T00:00:00"/>
    <d v="1899-12-30T16:05:22"/>
    <s v="Analyzer"/>
    <x v="1"/>
    <x v="0"/>
    <x v="0"/>
    <x v="0"/>
  </r>
  <r>
    <s v="Automatic maintenance activity Automatic Fluidic Line Priming Cycle has been executed."/>
    <x v="2"/>
    <x v="0"/>
    <d v="2016-10-21T00:00:00"/>
    <d v="1899-12-30T16:05:22"/>
    <s v="Maintenance"/>
    <x v="1"/>
    <x v="2"/>
    <x v="2"/>
    <x v="0"/>
  </r>
  <r>
    <s v="Analyzer Status changed from Ready to Maintenance."/>
    <x v="0"/>
    <x v="0"/>
    <d v="2016-10-21T00:00:00"/>
    <d v="1899-12-30T17:05:22"/>
    <s v="Analyzer"/>
    <x v="1"/>
    <x v="0"/>
    <x v="0"/>
    <x v="0"/>
  </r>
  <r>
    <s v="Analyzer Status changed from Maintenance to Ready."/>
    <x v="0"/>
    <x v="0"/>
    <d v="2016-10-21T00:00:00"/>
    <d v="1899-12-30T17:06:24"/>
    <s v="Analyzer"/>
    <x v="1"/>
    <x v="0"/>
    <x v="0"/>
    <x v="0"/>
  </r>
  <r>
    <s v="Automatic maintenance activity Automatic Fluidic Line Priming Cycle has been executed."/>
    <x v="2"/>
    <x v="0"/>
    <d v="2016-10-21T00:00:00"/>
    <d v="1899-12-30T17:06:24"/>
    <s v="Maintenance"/>
    <x v="1"/>
    <x v="2"/>
    <x v="2"/>
    <x v="0"/>
  </r>
  <r>
    <s v="Analyzer Status changed from Ready to Maintenance."/>
    <x v="0"/>
    <x v="0"/>
    <d v="2016-10-21T00:00:00"/>
    <d v="1899-12-30T18:06:24"/>
    <s v="Analyzer"/>
    <x v="1"/>
    <x v="0"/>
    <x v="0"/>
    <x v="0"/>
  </r>
  <r>
    <s v="Analyzer Status changed from Maintenance to Ready."/>
    <x v="0"/>
    <x v="0"/>
    <d v="2016-10-21T00:00:00"/>
    <d v="1899-12-30T18:07:26"/>
    <s v="Analyzer"/>
    <x v="1"/>
    <x v="0"/>
    <x v="0"/>
    <x v="0"/>
  </r>
  <r>
    <s v="Automatic maintenance activity Automatic Fluidic Line Priming Cycle has been executed."/>
    <x v="2"/>
    <x v="0"/>
    <d v="2016-10-21T00:00:00"/>
    <d v="1899-12-30T18:07:26"/>
    <s v="Maintenance"/>
    <x v="1"/>
    <x v="2"/>
    <x v="2"/>
    <x v="0"/>
  </r>
  <r>
    <s v="Analyzer Status changed from Ready to Maintenance."/>
    <x v="0"/>
    <x v="0"/>
    <d v="2016-10-21T00:00:00"/>
    <d v="1899-12-30T19:07:26"/>
    <s v="Analyzer"/>
    <x v="1"/>
    <x v="0"/>
    <x v="0"/>
    <x v="0"/>
  </r>
  <r>
    <s v="Analyzer Status changed from Maintenance to Ready."/>
    <x v="0"/>
    <x v="0"/>
    <d v="2016-10-21T00:00:00"/>
    <d v="1899-12-30T19:08:28"/>
    <s v="Analyzer"/>
    <x v="1"/>
    <x v="0"/>
    <x v="0"/>
    <x v="0"/>
  </r>
  <r>
    <s v="Automatic maintenance activity Automatic Fluidic Line Priming Cycle has been executed."/>
    <x v="2"/>
    <x v="0"/>
    <d v="2016-10-21T00:00:00"/>
    <d v="1899-12-30T19:08:28"/>
    <s v="Maintenance"/>
    <x v="1"/>
    <x v="2"/>
    <x v="2"/>
    <x v="0"/>
  </r>
  <r>
    <s v="Analyzer Status changed from Ready to Maintenance."/>
    <x v="0"/>
    <x v="0"/>
    <d v="2016-10-21T00:00:00"/>
    <d v="1899-12-30T20:08:28"/>
    <s v="Analyzer"/>
    <x v="1"/>
    <x v="0"/>
    <x v="0"/>
    <x v="0"/>
  </r>
  <r>
    <s v="Analyzer Status changed from Maintenance to Ready."/>
    <x v="0"/>
    <x v="0"/>
    <d v="2016-10-21T00:00:00"/>
    <d v="1899-12-30T20:09:30"/>
    <s v="Analyzer"/>
    <x v="1"/>
    <x v="0"/>
    <x v="0"/>
    <x v="0"/>
  </r>
  <r>
    <s v="Automatic maintenance activity Automatic Fluidic Line Priming Cycle has been executed."/>
    <x v="2"/>
    <x v="0"/>
    <d v="2016-10-21T00:00:00"/>
    <d v="1899-12-30T20:09:30"/>
    <s v="Maintenance"/>
    <x v="1"/>
    <x v="2"/>
    <x v="2"/>
    <x v="0"/>
  </r>
  <r>
    <s v="Waste tank almost full."/>
    <x v="39"/>
    <x v="1"/>
    <d v="2016-10-21T00:00:00"/>
    <d v="1899-12-30T20:15:46"/>
    <s v="Materials"/>
    <x v="1"/>
    <x v="1"/>
    <x v="14"/>
    <x v="0"/>
  </r>
  <r>
    <s v="Waste tank almost full."/>
    <x v="39"/>
    <x v="1"/>
    <d v="2016-10-21T00:00:00"/>
    <d v="1899-12-30T20:17:10"/>
    <s v="Materials"/>
    <x v="1"/>
    <x v="1"/>
    <x v="14"/>
    <x v="0"/>
  </r>
  <r>
    <s v="Waste tank almost full."/>
    <x v="39"/>
    <x v="1"/>
    <d v="2016-10-21T00:00:00"/>
    <d v="1899-12-30T20:20:58"/>
    <s v="Materials"/>
    <x v="1"/>
    <x v="1"/>
    <x v="14"/>
    <x v="0"/>
  </r>
  <r>
    <s v="Analyzer Status changed from Ready to Maintenance."/>
    <x v="0"/>
    <x v="0"/>
    <d v="2016-10-21T00:00:00"/>
    <d v="1899-12-30T21:09:30"/>
    <s v="Analyzer"/>
    <x v="1"/>
    <x v="0"/>
    <x v="0"/>
    <x v="0"/>
  </r>
  <r>
    <s v="Analyzer Status changed from Maintenance to Ready."/>
    <x v="0"/>
    <x v="0"/>
    <d v="2016-10-21T00:00:00"/>
    <d v="1899-12-30T21:10:31"/>
    <s v="Analyzer"/>
    <x v="1"/>
    <x v="0"/>
    <x v="0"/>
    <x v="0"/>
  </r>
  <r>
    <s v="Automatic maintenance activity Automatic Fluidic Line Priming Cycle has been executed."/>
    <x v="2"/>
    <x v="0"/>
    <d v="2016-10-21T00:00:00"/>
    <d v="1899-12-30T21:10:31"/>
    <s v="Maintenance"/>
    <x v="1"/>
    <x v="2"/>
    <x v="2"/>
    <x v="0"/>
  </r>
  <r>
    <s v="Waste tank almost full."/>
    <x v="39"/>
    <x v="1"/>
    <d v="2016-10-21T00:00:00"/>
    <d v="1899-12-30T21:15:23"/>
    <s v="Materials"/>
    <x v="1"/>
    <x v="1"/>
    <x v="14"/>
    <x v="0"/>
  </r>
  <r>
    <s v="Analyzer Status changed from Ready to Maintenance."/>
    <x v="0"/>
    <x v="0"/>
    <d v="2016-10-21T00:00:00"/>
    <d v="1899-12-30T22:10:32"/>
    <s v="Analyzer"/>
    <x v="1"/>
    <x v="0"/>
    <x v="0"/>
    <x v="0"/>
  </r>
  <r>
    <s v="Analyzer Status changed from Maintenance to Ready."/>
    <x v="0"/>
    <x v="0"/>
    <d v="2016-10-21T00:00:00"/>
    <d v="1899-12-30T22:11:33"/>
    <s v="Analyzer"/>
    <x v="1"/>
    <x v="0"/>
    <x v="0"/>
    <x v="0"/>
  </r>
  <r>
    <s v="Automatic maintenance activity Automatic Fluidic Line Priming Cycle has been executed."/>
    <x v="2"/>
    <x v="0"/>
    <d v="2016-10-21T00:00:00"/>
    <d v="1899-12-30T22:11:33"/>
    <s v="Maintenance"/>
    <x v="1"/>
    <x v="2"/>
    <x v="2"/>
    <x v="0"/>
  </r>
  <r>
    <s v="Waste tank almost full."/>
    <x v="39"/>
    <x v="1"/>
    <d v="2016-10-21T00:00:00"/>
    <d v="1899-12-30T22:12:33"/>
    <s v="Materials"/>
    <x v="1"/>
    <x v="1"/>
    <x v="14"/>
    <x v="0"/>
  </r>
  <r>
    <s v="Waste tank almost full."/>
    <x v="39"/>
    <x v="1"/>
    <d v="2016-10-21T00:00:00"/>
    <d v="1899-12-30T22:15:41"/>
    <s v="Materials"/>
    <x v="1"/>
    <x v="1"/>
    <x v="14"/>
    <x v="0"/>
  </r>
  <r>
    <s v="Successful log in by user: ARS."/>
    <x v="18"/>
    <x v="0"/>
    <d v="2016-10-21T00:00:00"/>
    <d v="1899-12-30T22:48:18"/>
    <s v="Other"/>
    <x v="5"/>
    <x v="2"/>
    <x v="5"/>
    <x v="0"/>
  </r>
  <r>
    <s v="Logout by user: ARS."/>
    <x v="16"/>
    <x v="0"/>
    <d v="2016-10-21T00:00:00"/>
    <d v="1899-12-30T23:02:43"/>
    <s v="Other"/>
    <x v="5"/>
    <x v="2"/>
    <x v="5"/>
    <x v="0"/>
  </r>
  <r>
    <s v="Analyzer Status changed from Ready to Maintenance."/>
    <x v="0"/>
    <x v="0"/>
    <d v="2016-10-21T00:00:00"/>
    <d v="1899-12-30T23:11:33"/>
    <s v="Analyzer"/>
    <x v="1"/>
    <x v="0"/>
    <x v="0"/>
    <x v="0"/>
  </r>
  <r>
    <s v="Rinse solution bottle empty."/>
    <x v="63"/>
    <x v="2"/>
    <d v="2016-10-21T00:00:00"/>
    <d v="1899-12-30T23:11:57"/>
    <s v="Materials"/>
    <x v="1"/>
    <x v="1"/>
    <x v="1"/>
    <x v="0"/>
  </r>
  <r>
    <s v="Analyzer Status changed from Maintenance to Error."/>
    <x v="0"/>
    <x v="0"/>
    <d v="2016-10-21T00:00:00"/>
    <d v="1899-12-30T23:11:57"/>
    <s v="Analyzer"/>
    <x v="1"/>
    <x v="0"/>
    <x v="0"/>
    <x v="0"/>
  </r>
  <r>
    <s v="Automatic maintenance activity Automatic Fluidic Line Priming Cycle has been executed."/>
    <x v="2"/>
    <x v="0"/>
    <d v="2016-10-21T00:00:00"/>
    <d v="1899-12-30T23:12:35"/>
    <s v="Maintenance"/>
    <x v="1"/>
    <x v="2"/>
    <x v="2"/>
    <x v="0"/>
  </r>
  <r>
    <s v="Waste tank almost full."/>
    <x v="39"/>
    <x v="1"/>
    <d v="2016-10-21T00:00:00"/>
    <d v="1899-12-30T23:14:32"/>
    <s v="Materials"/>
    <x v="1"/>
    <x v="1"/>
    <x v="14"/>
    <x v="0"/>
  </r>
  <r>
    <s v="Successful log in by user: LHO."/>
    <x v="18"/>
    <x v="0"/>
    <d v="2016-10-25T00:00:00"/>
    <d v="1899-12-30T07:06:22"/>
    <s v="Other"/>
    <x v="0"/>
    <x v="2"/>
    <x v="5"/>
    <x v="0"/>
  </r>
  <r>
    <s v="Analyzer Status changed from Error to Ready."/>
    <x v="0"/>
    <x v="0"/>
    <d v="2016-10-25T00:00:00"/>
    <d v="1899-12-30T07:07:42"/>
    <s v="Analyzer"/>
    <x v="0"/>
    <x v="0"/>
    <x v="0"/>
    <x v="0"/>
  </r>
  <r>
    <s v="Logout by user: LHO."/>
    <x v="16"/>
    <x v="0"/>
    <d v="2016-10-25T00:00:00"/>
    <d v="1899-12-30T07:27:08"/>
    <s v="Other"/>
    <x v="0"/>
    <x v="2"/>
    <x v="5"/>
    <x v="0"/>
  </r>
  <r>
    <s v="Successful log in by user: LHO."/>
    <x v="18"/>
    <x v="0"/>
    <d v="2016-10-25T00:00:00"/>
    <d v="1899-12-30T07:27:27"/>
    <s v="Other"/>
    <x v="0"/>
    <x v="2"/>
    <x v="5"/>
    <x v="0"/>
  </r>
  <r>
    <s v="Non-identified Sample in rack 02 position 1, track 11."/>
    <x v="12"/>
    <x v="2"/>
    <d v="2016-10-25T00:00:00"/>
    <d v="1899-12-30T07:30:07"/>
    <s v="Materials"/>
    <x v="0"/>
    <x v="4"/>
    <x v="7"/>
    <x v="1"/>
  </r>
  <r>
    <s v="Analyzer Status changed from Ready to Maintenance."/>
    <x v="0"/>
    <x v="0"/>
    <d v="2016-10-25T00:00:00"/>
    <d v="1899-12-30T08:07:43"/>
    <s v="Analyzer"/>
    <x v="0"/>
    <x v="0"/>
    <x v="0"/>
    <x v="0"/>
  </r>
  <r>
    <s v="Waste tank almost full."/>
    <x v="39"/>
    <x v="1"/>
    <d v="2016-10-25T00:00:00"/>
    <d v="1899-12-30T08:09:14"/>
    <s v="Materials"/>
    <x v="0"/>
    <x v="1"/>
    <x v="14"/>
    <x v="0"/>
  </r>
  <r>
    <s v="Analyzer Status changed from Maintenance to Ready."/>
    <x v="0"/>
    <x v="0"/>
    <d v="2016-10-25T00:00:00"/>
    <d v="1899-12-30T08:09:17"/>
    <s v="Analyzer"/>
    <x v="0"/>
    <x v="0"/>
    <x v="0"/>
    <x v="0"/>
  </r>
  <r>
    <s v="Automatic maintenance activity Automatic Fluidic Line Priming Cycle has been executed."/>
    <x v="2"/>
    <x v="0"/>
    <d v="2016-10-25T00:00:00"/>
    <d v="1899-12-30T08:09:17"/>
    <s v="Maintenance"/>
    <x v="0"/>
    <x v="2"/>
    <x v="2"/>
    <x v="0"/>
  </r>
  <r>
    <s v="Analyzer Status changed from Ready to Maintenance."/>
    <x v="0"/>
    <x v="0"/>
    <d v="2016-10-25T00:00:00"/>
    <d v="1899-12-30T09:09:18"/>
    <s v="Analyzer"/>
    <x v="0"/>
    <x v="0"/>
    <x v="0"/>
    <x v="0"/>
  </r>
  <r>
    <s v="Analyzer Status changed from Maintenance to Ready."/>
    <x v="0"/>
    <x v="0"/>
    <d v="2016-10-25T00:00:00"/>
    <d v="1899-12-30T09:09:39"/>
    <s v="Analyzer"/>
    <x v="0"/>
    <x v="0"/>
    <x v="0"/>
    <x v="0"/>
  </r>
  <r>
    <s v="Automatic maintenance activity Automatic Fluidic Line Priming Cycle has been executed."/>
    <x v="2"/>
    <x v="0"/>
    <d v="2016-10-25T00:00:00"/>
    <d v="1899-12-30T09:09:39"/>
    <s v="Maintenance"/>
    <x v="0"/>
    <x v="2"/>
    <x v="2"/>
    <x v="0"/>
  </r>
  <r>
    <s v="Waste tank almost full."/>
    <x v="39"/>
    <x v="1"/>
    <d v="2016-10-25T00:00:00"/>
    <d v="1899-12-30T09:10:49"/>
    <s v="Materials"/>
    <x v="0"/>
    <x v="1"/>
    <x v="14"/>
    <x v="0"/>
  </r>
  <r>
    <s v="Waste tank almost full."/>
    <x v="39"/>
    <x v="1"/>
    <d v="2016-10-25T00:00:00"/>
    <d v="1899-12-30T09:52:07"/>
    <s v="Materials"/>
    <x v="0"/>
    <x v="1"/>
    <x v="14"/>
    <x v="0"/>
  </r>
  <r>
    <s v="Analyzer Status changed from Ready to Maintenance."/>
    <x v="0"/>
    <x v="0"/>
    <d v="2016-10-25T00:00:00"/>
    <d v="1899-12-30T10:09:39"/>
    <s v="Analyzer"/>
    <x v="0"/>
    <x v="0"/>
    <x v="0"/>
    <x v="0"/>
  </r>
  <r>
    <s v="Analyzer Status changed from Maintenance to Ready."/>
    <x v="0"/>
    <x v="0"/>
    <d v="2016-10-25T00:00:00"/>
    <d v="1899-12-30T10:10:01"/>
    <s v="Analyzer"/>
    <x v="0"/>
    <x v="0"/>
    <x v="0"/>
    <x v="0"/>
  </r>
  <r>
    <s v="Automatic maintenance activity Automatic Fluidic Line Priming Cycle has been executed."/>
    <x v="2"/>
    <x v="0"/>
    <d v="2016-10-25T00:00:00"/>
    <d v="1899-12-30T10:10:01"/>
    <s v="Maintenance"/>
    <x v="0"/>
    <x v="2"/>
    <x v="2"/>
    <x v="0"/>
  </r>
  <r>
    <s v="Automatic logout."/>
    <x v="62"/>
    <x v="0"/>
    <d v="2016-10-25T00:00:00"/>
    <d v="1899-12-30T10:11:47"/>
    <s v="Other"/>
    <x v="0"/>
    <x v="4"/>
    <x v="7"/>
    <x v="1"/>
  </r>
  <r>
    <s v="Analyzer Status changed from Ready to Maintenance."/>
    <x v="0"/>
    <x v="0"/>
    <d v="2016-10-25T00:00:00"/>
    <d v="1899-12-30T11:10:01"/>
    <s v="Analyzer"/>
    <x v="1"/>
    <x v="0"/>
    <x v="0"/>
    <x v="0"/>
  </r>
  <r>
    <s v="Analyzer Status changed from Maintenance to Ready."/>
    <x v="0"/>
    <x v="0"/>
    <d v="2016-10-25T00:00:00"/>
    <d v="1899-12-30T11:10:23"/>
    <s v="Analyzer"/>
    <x v="1"/>
    <x v="0"/>
    <x v="0"/>
    <x v="0"/>
  </r>
  <r>
    <s v="Automatic maintenance activity Automatic Fluidic Line Priming Cycle has been executed."/>
    <x v="2"/>
    <x v="0"/>
    <d v="2016-10-25T00:00:00"/>
    <d v="1899-12-30T11:10:23"/>
    <s v="Maintenance"/>
    <x v="1"/>
    <x v="2"/>
    <x v="2"/>
    <x v="0"/>
  </r>
  <r>
    <s v="Waste tank full."/>
    <x v="40"/>
    <x v="2"/>
    <d v="2016-10-25T00:00:00"/>
    <d v="1899-12-30T11:12:03"/>
    <s v="Materials"/>
    <x v="1"/>
    <x v="1"/>
    <x v="14"/>
    <x v="0"/>
  </r>
  <r>
    <s v="Analyzer Status changed from Ready to Error."/>
    <x v="0"/>
    <x v="0"/>
    <d v="2016-10-25T00:00:00"/>
    <d v="1899-12-30T11:12:03"/>
    <s v="Analyzer"/>
    <x v="1"/>
    <x v="0"/>
    <x v="0"/>
    <x v="0"/>
  </r>
  <r>
    <s v="Maintenance activity due: Clean Cuvette Waste Drawer."/>
    <x v="9"/>
    <x v="1"/>
    <d v="2016-10-26T00:00:00"/>
    <d v="1899-12-30T07:12:40"/>
    <s v="Maintenance"/>
    <x v="1"/>
    <x v="2"/>
    <x v="2"/>
    <x v="0"/>
  </r>
  <r>
    <s v="Communications between the instrument and the LIS have been lost."/>
    <x v="13"/>
    <x v="2"/>
    <d v="2016-10-26T00:00:00"/>
    <d v="1899-12-30T08:39:56"/>
    <s v="LIS"/>
    <x v="1"/>
    <x v="2"/>
    <x v="6"/>
    <x v="0"/>
  </r>
  <r>
    <s v="Successful log in by user: LHO."/>
    <x v="18"/>
    <x v="0"/>
    <d v="2016-10-26T00:00:00"/>
    <d v="1899-12-30T12:20:06"/>
    <s v="Other"/>
    <x v="0"/>
    <x v="2"/>
    <x v="5"/>
    <x v="0"/>
  </r>
  <r>
    <s v="Waste tank not present."/>
    <x v="41"/>
    <x v="2"/>
    <d v="2016-10-26T00:00:00"/>
    <d v="1899-12-30T12:20:27"/>
    <s v="Materials"/>
    <x v="0"/>
    <x v="1"/>
    <x v="14"/>
    <x v="0"/>
  </r>
  <r>
    <s v="Analyzer Status changed from Error to Ready."/>
    <x v="0"/>
    <x v="0"/>
    <d v="2016-10-26T00:00:00"/>
    <d v="1899-12-30T12:22:25"/>
    <s v="Analyzer"/>
    <x v="0"/>
    <x v="0"/>
    <x v="0"/>
    <x v="0"/>
  </r>
  <r>
    <s v="Duplicated Rack ID, Rack ID RB."/>
    <x v="37"/>
    <x v="1"/>
    <d v="2016-10-26T00:00:00"/>
    <d v="1899-12-30T12:23:40"/>
    <s v="Analyzer"/>
    <x v="0"/>
    <x v="6"/>
    <x v="13"/>
    <x v="0"/>
  </r>
  <r>
    <s v="Non-identified Material in rack RD position 1, track 2."/>
    <x v="27"/>
    <x v="2"/>
    <d v="2016-10-26T00:00:00"/>
    <d v="1899-12-30T12:24:02"/>
    <s v="Materials"/>
    <x v="0"/>
    <x v="2"/>
    <x v="3"/>
    <x v="0"/>
  </r>
  <r>
    <s v="Non-identified Material in rack RF position 5, track 5."/>
    <x v="27"/>
    <x v="2"/>
    <d v="2016-10-26T00:00:00"/>
    <d v="1899-12-30T12:24:22"/>
    <s v="Materials"/>
    <x v="0"/>
    <x v="2"/>
    <x v="3"/>
    <x v="0"/>
  </r>
  <r>
    <s v="AT Liq FXa volume low."/>
    <x v="7"/>
    <x v="1"/>
    <d v="2016-10-26T00:00:00"/>
    <d v="1899-12-30T12:24:25"/>
    <s v="Materials"/>
    <x v="0"/>
    <x v="3"/>
    <x v="4"/>
    <x v="0"/>
  </r>
  <r>
    <s v="Duplicated Rack ID, Rack ID RB."/>
    <x v="37"/>
    <x v="1"/>
    <d v="2016-10-26T00:00:00"/>
    <d v="1899-12-30T12:24:28"/>
    <s v="Analyzer"/>
    <x v="0"/>
    <x v="6"/>
    <x v="13"/>
    <x v="0"/>
  </r>
  <r>
    <s v="Probe REAGENT 1 Liquid Level Detection error in well position clean cup."/>
    <x v="42"/>
    <x v="2"/>
    <d v="2016-10-26T00:00:00"/>
    <d v="1899-12-30T12:24:29"/>
    <s v="Materials"/>
    <x v="0"/>
    <x v="3"/>
    <x v="4"/>
    <x v="2"/>
  </r>
  <r>
    <s v="Probe REAGENT 1: Insufficient volume in clean cup."/>
    <x v="43"/>
    <x v="2"/>
    <d v="2016-10-26T00:00:00"/>
    <d v="1899-12-30T12:24:30"/>
    <s v="Materials"/>
    <x v="0"/>
    <x v="1"/>
    <x v="10"/>
    <x v="3"/>
  </r>
  <r>
    <s v="PT RecombiPlasTin volume low."/>
    <x v="7"/>
    <x v="1"/>
    <d v="2016-10-26T00:00:00"/>
    <d v="1899-12-30T12:24:37"/>
    <s v="Materials"/>
    <x v="0"/>
    <x v="3"/>
    <x v="4"/>
    <x v="0"/>
  </r>
  <r>
    <s v="Probe REAGENT 2: Insufficient volume in clean cup."/>
    <x v="43"/>
    <x v="2"/>
    <d v="2016-10-26T00:00:00"/>
    <d v="1899-12-30T12:24:42"/>
    <s v="Materials"/>
    <x v="0"/>
    <x v="1"/>
    <x v="10"/>
    <x v="3"/>
  </r>
  <r>
    <s v="APTT-SS CaCl2 volume low."/>
    <x v="7"/>
    <x v="1"/>
    <d v="2016-10-26T00:00:00"/>
    <d v="1899-12-30T12:24:51"/>
    <s v="Materials"/>
    <x v="0"/>
    <x v="3"/>
    <x v="4"/>
    <x v="0"/>
  </r>
  <r>
    <s v="Non-identified Material in rack RB position 3, track 1."/>
    <x v="27"/>
    <x v="2"/>
    <d v="2016-10-26T00:00:00"/>
    <d v="1899-12-30T12:24:54"/>
    <s v="Materials"/>
    <x v="0"/>
    <x v="2"/>
    <x v="3"/>
    <x v="0"/>
  </r>
  <r>
    <s v="Non-identified Material in rack RB position 4, track 1."/>
    <x v="27"/>
    <x v="2"/>
    <d v="2016-10-26T00:00:00"/>
    <d v="1899-12-30T12:24:54"/>
    <s v="Materials"/>
    <x v="0"/>
    <x v="2"/>
    <x v="3"/>
    <x v="0"/>
  </r>
  <r>
    <s v="D-Dimer HS Latex insufficient material to run additional calibration / test."/>
    <x v="32"/>
    <x v="2"/>
    <d v="2016-10-26T00:00:00"/>
    <d v="1899-12-30T12:24:58"/>
    <s v="Materials"/>
    <x v="0"/>
    <x v="3"/>
    <x v="4"/>
    <x v="0"/>
  </r>
  <r>
    <s v="Q.F.A. Thrombin volume low."/>
    <x v="7"/>
    <x v="1"/>
    <d v="2016-10-26T00:00:00"/>
    <d v="1899-12-30T12:25:05"/>
    <s v="Materials"/>
    <x v="0"/>
    <x v="3"/>
    <x v="4"/>
    <x v="0"/>
  </r>
  <r>
    <s v="APTT-SS volume low."/>
    <x v="7"/>
    <x v="1"/>
    <d v="2016-10-26T00:00:00"/>
    <d v="1899-12-30T12:25:21"/>
    <s v="Materials"/>
    <x v="0"/>
    <x v="3"/>
    <x v="4"/>
    <x v="0"/>
  </r>
  <r>
    <s v="Protein C Substrate insufficient material to run additional calibration / test."/>
    <x v="32"/>
    <x v="2"/>
    <d v="2016-10-26T00:00:00"/>
    <d v="1899-12-30T12:25:40"/>
    <s v="Materials"/>
    <x v="0"/>
    <x v="3"/>
    <x v="4"/>
    <x v="0"/>
  </r>
  <r>
    <s v="AT Liq Substrate volume low."/>
    <x v="7"/>
    <x v="1"/>
    <d v="2016-10-26T00:00:00"/>
    <d v="1899-12-30T12:25:47"/>
    <s v="Materials"/>
    <x v="0"/>
    <x v="3"/>
    <x v="4"/>
    <x v="0"/>
  </r>
  <r>
    <s v="Duplicated Rack ID, Rack ID DA."/>
    <x v="37"/>
    <x v="1"/>
    <d v="2016-10-26T00:00:00"/>
    <d v="1899-12-30T12:26:37"/>
    <s v="Analyzer"/>
    <x v="0"/>
    <x v="6"/>
    <x v="13"/>
    <x v="0"/>
  </r>
  <r>
    <s v="Non-identified Material in rack DC position 1, track 3."/>
    <x v="27"/>
    <x v="2"/>
    <d v="2016-10-26T00:00:00"/>
    <d v="1899-12-30T12:27:29"/>
    <s v="Materials"/>
    <x v="0"/>
    <x v="2"/>
    <x v="3"/>
    <x v="0"/>
  </r>
  <r>
    <s v="Analyzer Status changed from Ready to Busy."/>
    <x v="0"/>
    <x v="0"/>
    <d v="2016-10-26T00:00:00"/>
    <d v="1899-12-30T12:28:12"/>
    <s v="Analyzer"/>
    <x v="0"/>
    <x v="0"/>
    <x v="0"/>
    <x v="0"/>
  </r>
  <r>
    <s v="FXI Def. Plasma volume low."/>
    <x v="7"/>
    <x v="1"/>
    <d v="2016-10-26T00:00:00"/>
    <d v="1899-12-30T12:28:17"/>
    <s v="Materials"/>
    <x v="0"/>
    <x v="3"/>
    <x v="4"/>
    <x v="0"/>
  </r>
  <r>
    <s v="FX Def. Plasma insufficient material to run additional calibration / test."/>
    <x v="32"/>
    <x v="2"/>
    <d v="2016-10-26T00:00:00"/>
    <d v="1899-12-30T12:28:24"/>
    <s v="Materials"/>
    <x v="0"/>
    <x v="3"/>
    <x v="4"/>
    <x v="0"/>
  </r>
  <r>
    <s v="FV Def. Plasma insufficient material to run additional calibration / test."/>
    <x v="32"/>
    <x v="2"/>
    <d v="2016-10-26T00:00:00"/>
    <d v="1899-12-30T12:28:50"/>
    <s v="Materials"/>
    <x v="0"/>
    <x v="3"/>
    <x v="4"/>
    <x v="0"/>
  </r>
  <r>
    <s v="FVIII-SS Parallelism job not feasible. Waiting for APTT-SS CaCl2."/>
    <x v="26"/>
    <x v="1"/>
    <d v="2016-10-26T00:00:00"/>
    <d v="1899-12-30T12:28:57"/>
    <s v="Materials"/>
    <x v="0"/>
    <x v="2"/>
    <x v="3"/>
    <x v="0"/>
  </r>
  <r>
    <s v="FXI-SS Parallelism job not feasible. Waiting for APTT-SS CaCl2."/>
    <x v="26"/>
    <x v="1"/>
    <d v="2016-10-26T00:00:00"/>
    <d v="1899-12-30T12:28:57"/>
    <s v="Materials"/>
    <x v="0"/>
    <x v="2"/>
    <x v="3"/>
    <x v="0"/>
  </r>
  <r>
    <s v="FIX-SS Parallelism job not feasible. Waiting for APTT-SS CaCl2."/>
    <x v="26"/>
    <x v="1"/>
    <d v="2016-10-26T00:00:00"/>
    <d v="1899-12-30T12:28:57"/>
    <s v="Materials"/>
    <x v="0"/>
    <x v="2"/>
    <x v="3"/>
    <x v="0"/>
  </r>
  <r>
    <s v="FX-RP Parallelism job not feasible. Waiting for FX Def. Plasma."/>
    <x v="26"/>
    <x v="1"/>
    <d v="2016-10-26T00:00:00"/>
    <d v="1899-12-30T12:28:57"/>
    <s v="Materials"/>
    <x v="0"/>
    <x v="2"/>
    <x v="3"/>
    <x v="0"/>
  </r>
  <r>
    <s v="FV-RP Parallelism job not feasible. Waiting for FV Def. Plasma."/>
    <x v="26"/>
    <x v="1"/>
    <d v="2016-10-26T00:00:00"/>
    <d v="1899-12-30T12:28:57"/>
    <s v="Materials"/>
    <x v="0"/>
    <x v="2"/>
    <x v="3"/>
    <x v="0"/>
  </r>
  <r>
    <s v="Q.F.A. Thrombin volume low."/>
    <x v="7"/>
    <x v="1"/>
    <d v="2016-10-26T00:00:00"/>
    <d v="1899-12-30T12:37:44"/>
    <s v="Materials"/>
    <x v="0"/>
    <x v="3"/>
    <x v="4"/>
    <x v="0"/>
  </r>
  <r>
    <s v="AT Liq Substrate volume low."/>
    <x v="7"/>
    <x v="1"/>
    <d v="2016-10-26T00:00:00"/>
    <d v="1899-12-30T12:37:44"/>
    <s v="Materials"/>
    <x v="0"/>
    <x v="3"/>
    <x v="4"/>
    <x v="0"/>
  </r>
  <r>
    <s v="Non-identified Material in rack RC position 4, track 6."/>
    <x v="27"/>
    <x v="2"/>
    <d v="2016-10-26T00:00:00"/>
    <d v="1899-12-30T12:37:44"/>
    <s v="Materials"/>
    <x v="0"/>
    <x v="2"/>
    <x v="3"/>
    <x v="0"/>
  </r>
  <r>
    <s v="AT Liq FXa volume low."/>
    <x v="7"/>
    <x v="1"/>
    <d v="2016-10-26T00:00:00"/>
    <d v="1899-12-30T12:38:02"/>
    <s v="Materials"/>
    <x v="0"/>
    <x v="3"/>
    <x v="4"/>
    <x v="0"/>
  </r>
  <r>
    <s v="APTT-SS volume low."/>
    <x v="7"/>
    <x v="1"/>
    <d v="2016-10-26T00:00:00"/>
    <d v="1899-12-30T12:41:37"/>
    <s v="Materials"/>
    <x v="0"/>
    <x v="3"/>
    <x v="4"/>
    <x v="0"/>
  </r>
  <r>
    <s v="APTT-SS CaCl2 volume low."/>
    <x v="7"/>
    <x v="1"/>
    <d v="2016-10-26T00:00:00"/>
    <d v="1899-12-30T12:41:37"/>
    <s v="Materials"/>
    <x v="0"/>
    <x v="3"/>
    <x v="4"/>
    <x v="0"/>
  </r>
  <r>
    <s v="FXI-SP is inconsistent/disable/lock manual ordering."/>
    <x v="64"/>
    <x v="1"/>
    <d v="2016-10-26T00:00:00"/>
    <d v="1899-12-30T12:54:21"/>
    <s v="Materials"/>
    <x v="0"/>
    <x v="2"/>
    <x v="3"/>
    <x v="0"/>
  </r>
  <r>
    <s v="FII Def. Plasma volume low."/>
    <x v="7"/>
    <x v="1"/>
    <d v="2016-10-26T00:00:00"/>
    <d v="1899-12-30T12:56:25"/>
    <s v="Materials"/>
    <x v="0"/>
    <x v="3"/>
    <x v="4"/>
    <x v="0"/>
  </r>
  <r>
    <s v="Analyzer Status changed from Busy to Ready."/>
    <x v="0"/>
    <x v="0"/>
    <d v="2016-10-26T00:00:00"/>
    <d v="1899-12-30T13:11:25"/>
    <s v="Analyzer"/>
    <x v="0"/>
    <x v="0"/>
    <x v="0"/>
    <x v="0"/>
  </r>
  <r>
    <s v="Analyzer Status changed from Ready to Maintenance."/>
    <x v="0"/>
    <x v="0"/>
    <d v="2016-10-26T00:00:00"/>
    <d v="1899-12-30T13:11:25"/>
    <s v="Analyzer"/>
    <x v="0"/>
    <x v="0"/>
    <x v="0"/>
    <x v="0"/>
  </r>
  <r>
    <s v="Probe SAMPLE: Insufficient volume in clean cup."/>
    <x v="43"/>
    <x v="2"/>
    <d v="2016-10-26T00:00:00"/>
    <d v="1899-12-30T13:12:21"/>
    <s v="Materials"/>
    <x v="0"/>
    <x v="1"/>
    <x v="10"/>
    <x v="3"/>
  </r>
  <r>
    <s v="Analyzer Status changed from Maintenance to Ready."/>
    <x v="0"/>
    <x v="0"/>
    <d v="2016-10-26T00:00:00"/>
    <d v="1899-12-30T13:13:43"/>
    <s v="Analyzer"/>
    <x v="0"/>
    <x v="0"/>
    <x v="0"/>
    <x v="0"/>
  </r>
  <r>
    <s v="Automatic maintenance activity Automatic Routine Clean for all Probes has been executed."/>
    <x v="2"/>
    <x v="0"/>
    <d v="2016-10-26T00:00:00"/>
    <d v="1899-12-30T13:13:43"/>
    <s v="Maintenance"/>
    <x v="0"/>
    <x v="2"/>
    <x v="2"/>
    <x v="0"/>
  </r>
  <r>
    <s v="Maintenance activity due: Wipe-down LAS Probe."/>
    <x v="9"/>
    <x v="1"/>
    <d v="2016-10-26T00:00:00"/>
    <d v="1899-12-30T13:31:23"/>
    <s v="Maintenance"/>
    <x v="0"/>
    <x v="2"/>
    <x v="2"/>
    <x v="0"/>
  </r>
  <r>
    <s v="Maintenance activity due: Wipe-down all Probes."/>
    <x v="9"/>
    <x v="1"/>
    <d v="2016-10-26T00:00:00"/>
    <d v="1899-12-30T13:31:23"/>
    <s v="Maintenance"/>
    <x v="0"/>
    <x v="2"/>
    <x v="2"/>
    <x v="0"/>
  </r>
  <r>
    <s v="Maintenance activity due: Wipe-down Sample Probe."/>
    <x v="9"/>
    <x v="1"/>
    <d v="2016-10-26T00:00:00"/>
    <d v="1899-12-30T13:31:23"/>
    <s v="Maintenance"/>
    <x v="0"/>
    <x v="2"/>
    <x v="2"/>
    <x v="0"/>
  </r>
  <r>
    <s v="Automatic logout."/>
    <x v="62"/>
    <x v="0"/>
    <d v="2016-10-26T00:00:00"/>
    <d v="1899-12-30T13:57:06"/>
    <s v="Other"/>
    <x v="0"/>
    <x v="4"/>
    <x v="7"/>
    <x v="1"/>
  </r>
  <r>
    <s v="Successful log in by user: LHO."/>
    <x v="18"/>
    <x v="0"/>
    <d v="2016-10-26T00:00:00"/>
    <d v="1899-12-30T14:04:04"/>
    <s v="Other"/>
    <x v="0"/>
    <x v="2"/>
    <x v="5"/>
    <x v="0"/>
  </r>
  <r>
    <s v="Non-identified Material in rack DC position 1, track 3."/>
    <x v="27"/>
    <x v="2"/>
    <d v="2016-10-26T00:00:00"/>
    <d v="1899-12-30T14:13:16"/>
    <s v="Materials"/>
    <x v="0"/>
    <x v="2"/>
    <x v="3"/>
    <x v="0"/>
  </r>
  <r>
    <s v="FX Def. Plasma insufficient material to run additional calibration / test."/>
    <x v="32"/>
    <x v="2"/>
    <d v="2016-10-26T00:00:00"/>
    <d v="1899-12-30T14:13:30"/>
    <s v="Materials"/>
    <x v="0"/>
    <x v="3"/>
    <x v="4"/>
    <x v="0"/>
  </r>
  <r>
    <s v="FV Def. Plasma insufficient material to run additional calibration / test."/>
    <x v="32"/>
    <x v="2"/>
    <d v="2016-10-26T00:00:00"/>
    <d v="1899-12-30T14:13:30"/>
    <s v="Materials"/>
    <x v="0"/>
    <x v="3"/>
    <x v="4"/>
    <x v="0"/>
  </r>
  <r>
    <s v="FXI Def. Plasma insufficient material to run additional calibration / test."/>
    <x v="32"/>
    <x v="2"/>
    <d v="2016-10-26T00:00:00"/>
    <d v="1899-12-30T14:13:30"/>
    <s v="Materials"/>
    <x v="0"/>
    <x v="3"/>
    <x v="4"/>
    <x v="0"/>
  </r>
  <r>
    <s v="FXI Def. Plasma volume low."/>
    <x v="7"/>
    <x v="1"/>
    <d v="2016-10-26T00:00:00"/>
    <d v="1899-12-30T14:13:30"/>
    <s v="Materials"/>
    <x v="0"/>
    <x v="3"/>
    <x v="4"/>
    <x v="0"/>
  </r>
  <r>
    <s v="FII Def. Plasma volume low."/>
    <x v="7"/>
    <x v="1"/>
    <d v="2016-10-26T00:00:00"/>
    <d v="1899-12-30T14:13:30"/>
    <s v="Materials"/>
    <x v="0"/>
    <x v="3"/>
    <x v="4"/>
    <x v="0"/>
  </r>
  <r>
    <s v="Analyzer Status changed from Ready to Maintenance."/>
    <x v="0"/>
    <x v="0"/>
    <d v="2016-10-26T00:00:00"/>
    <d v="1899-12-30T14:13:45"/>
    <s v="Analyzer"/>
    <x v="0"/>
    <x v="0"/>
    <x v="0"/>
    <x v="0"/>
  </r>
  <r>
    <s v="Analyzer Status changed from Maintenance to Ready."/>
    <x v="0"/>
    <x v="0"/>
    <d v="2016-10-26T00:00:00"/>
    <d v="1899-12-30T14:14:28"/>
    <s v="Analyzer"/>
    <x v="0"/>
    <x v="0"/>
    <x v="0"/>
    <x v="0"/>
  </r>
  <r>
    <s v="Automatic maintenance activity Automatic Fluidic Line Priming Cycle has been executed."/>
    <x v="2"/>
    <x v="0"/>
    <d v="2016-10-26T00:00:00"/>
    <d v="1899-12-30T14:14:28"/>
    <s v="Maintenance"/>
    <x v="0"/>
    <x v="2"/>
    <x v="2"/>
    <x v="0"/>
  </r>
  <r>
    <s v="Analyzer Status changed from Ready to Busy."/>
    <x v="0"/>
    <x v="0"/>
    <d v="2016-10-26T00:00:00"/>
    <d v="1899-12-30T14:15:27"/>
    <s v="Analyzer"/>
    <x v="0"/>
    <x v="0"/>
    <x v="0"/>
    <x v="0"/>
  </r>
  <r>
    <s v="Analyzer Status changed from Busy to Ready."/>
    <x v="0"/>
    <x v="0"/>
    <d v="2016-10-26T00:00:00"/>
    <d v="1899-12-30T14:21:54"/>
    <s v="Analyzer"/>
    <x v="0"/>
    <x v="0"/>
    <x v="0"/>
    <x v="0"/>
  </r>
  <r>
    <s v="Analyzer Status changed from Ready to Maintenance."/>
    <x v="0"/>
    <x v="0"/>
    <d v="2016-10-26T00:00:00"/>
    <d v="1899-12-30T14:21:54"/>
    <s v="Analyzer"/>
    <x v="0"/>
    <x v="0"/>
    <x v="0"/>
    <x v="0"/>
  </r>
  <r>
    <s v="FXI-SP is inconsistent/disable/lock manual ordering."/>
    <x v="64"/>
    <x v="1"/>
    <d v="2016-10-26T00:00:00"/>
    <d v="1899-12-30T14:21:54"/>
    <s v="Materials"/>
    <x v="0"/>
    <x v="2"/>
    <x v="3"/>
    <x v="0"/>
  </r>
  <r>
    <s v="Analyzer Status changed from Maintenance to Ready."/>
    <x v="0"/>
    <x v="0"/>
    <d v="2016-10-26T00:00:00"/>
    <d v="1899-12-30T14:22:19"/>
    <s v="Analyzer"/>
    <x v="0"/>
    <x v="0"/>
    <x v="0"/>
    <x v="0"/>
  </r>
  <r>
    <s v="Automatic maintenance activity Automatic Routine Clean for all Probes has been executed."/>
    <x v="2"/>
    <x v="0"/>
    <d v="2016-10-26T00:00:00"/>
    <d v="1899-12-30T14:22:19"/>
    <s v="Maintenance"/>
    <x v="0"/>
    <x v="2"/>
    <x v="2"/>
    <x v="0"/>
  </r>
  <r>
    <s v="Reflex Rule FXI XD has been modified."/>
    <x v="23"/>
    <x v="0"/>
    <d v="2016-10-26T00:00:00"/>
    <d v="1899-12-30T14:29:06"/>
    <s v="Setup"/>
    <x v="0"/>
    <x v="2"/>
    <x v="5"/>
    <x v="0"/>
  </r>
  <r>
    <s v="Analyzer Status changed from Ready to Busy."/>
    <x v="0"/>
    <x v="0"/>
    <d v="2016-10-26T00:00:00"/>
    <d v="1899-12-30T14:30:30"/>
    <s v="Analyzer"/>
    <x v="0"/>
    <x v="0"/>
    <x v="0"/>
    <x v="0"/>
  </r>
  <r>
    <s v="Communications between the instrument and the LIS have been lost."/>
    <x v="13"/>
    <x v="2"/>
    <d v="2016-10-26T00:00:00"/>
    <d v="1899-12-30T14:35:56"/>
    <s v="LIS"/>
    <x v="0"/>
    <x v="2"/>
    <x v="6"/>
    <x v="0"/>
  </r>
  <r>
    <s v="FXI XDIL Parallelism job not feasible. Waiting for FXI Def. Plasma."/>
    <x v="26"/>
    <x v="1"/>
    <d v="2016-10-26T00:00:00"/>
    <d v="1899-12-30T14:37:03"/>
    <s v="Materials"/>
    <x v="0"/>
    <x v="2"/>
    <x v="3"/>
    <x v="0"/>
  </r>
  <r>
    <s v="FXI XDIL Parallelism job not feasible. Waiting for APTT-SS CaCl2."/>
    <x v="26"/>
    <x v="1"/>
    <d v="2016-10-26T00:00:00"/>
    <d v="1899-12-30T14:37:03"/>
    <s v="Materials"/>
    <x v="0"/>
    <x v="2"/>
    <x v="3"/>
    <x v="0"/>
  </r>
  <r>
    <s v="Analyzer Status changed from Busy to Ready."/>
    <x v="0"/>
    <x v="0"/>
    <d v="2016-10-26T00:00:00"/>
    <d v="1899-12-30T14:37:03"/>
    <s v="Analyzer"/>
    <x v="0"/>
    <x v="0"/>
    <x v="0"/>
    <x v="0"/>
  </r>
  <r>
    <s v="Analyzer Status changed from Ready to Maintenance."/>
    <x v="0"/>
    <x v="0"/>
    <d v="2016-10-26T00:00:00"/>
    <d v="1899-12-30T14:37:03"/>
    <s v="Analyzer"/>
    <x v="0"/>
    <x v="0"/>
    <x v="0"/>
    <x v="0"/>
  </r>
  <r>
    <s v="Analyzer Status changed from Maintenance to Ready."/>
    <x v="0"/>
    <x v="0"/>
    <d v="2016-10-26T00:00:00"/>
    <d v="1899-12-30T14:37:23"/>
    <s v="Analyzer"/>
    <x v="0"/>
    <x v="0"/>
    <x v="0"/>
    <x v="0"/>
  </r>
  <r>
    <s v="Automatic maintenance activity Automatic Routine Clean for all Probes has been executed."/>
    <x v="2"/>
    <x v="0"/>
    <d v="2016-10-26T00:00:00"/>
    <d v="1899-12-30T14:37:23"/>
    <s v="Maintenance"/>
    <x v="0"/>
    <x v="2"/>
    <x v="2"/>
    <x v="0"/>
  </r>
  <r>
    <s v="Non-identified Material in rack DC position 1, track 3."/>
    <x v="27"/>
    <x v="2"/>
    <d v="2016-10-26T00:00:00"/>
    <d v="1899-12-30T14:49:50"/>
    <s v="Materials"/>
    <x v="0"/>
    <x v="2"/>
    <x v="3"/>
    <x v="0"/>
  </r>
  <r>
    <s v="FXI Def. Plasma insufficient material to run additional calibration / test."/>
    <x v="32"/>
    <x v="2"/>
    <d v="2016-10-26T00:00:00"/>
    <d v="1899-12-30T14:50:01"/>
    <s v="Materials"/>
    <x v="0"/>
    <x v="3"/>
    <x v="4"/>
    <x v="0"/>
  </r>
  <r>
    <s v="FX Def. Plasma insufficient material to run additional calibration / test."/>
    <x v="32"/>
    <x v="2"/>
    <d v="2016-10-26T00:00:00"/>
    <d v="1899-12-30T14:50:01"/>
    <s v="Materials"/>
    <x v="0"/>
    <x v="3"/>
    <x v="4"/>
    <x v="0"/>
  </r>
  <r>
    <s v="FII Def. Plasma volume low."/>
    <x v="7"/>
    <x v="1"/>
    <d v="2016-10-26T00:00:00"/>
    <d v="1899-12-30T14:50:01"/>
    <s v="Materials"/>
    <x v="0"/>
    <x v="3"/>
    <x v="4"/>
    <x v="0"/>
  </r>
  <r>
    <s v="Non-identified Material in rack DC position 1, track 3."/>
    <x v="27"/>
    <x v="2"/>
    <d v="2016-10-26T00:00:00"/>
    <d v="1899-12-30T14:51:25"/>
    <s v="Materials"/>
    <x v="0"/>
    <x v="2"/>
    <x v="3"/>
    <x v="0"/>
  </r>
  <r>
    <s v="Analyzer Status changed from Ready to Busy."/>
    <x v="0"/>
    <x v="0"/>
    <d v="2016-10-26T00:00:00"/>
    <d v="1899-12-30T14:51:30"/>
    <s v="Analyzer"/>
    <x v="0"/>
    <x v="0"/>
    <x v="0"/>
    <x v="0"/>
  </r>
  <r>
    <s v="Analyzer Status changed from Busy to Ready."/>
    <x v="0"/>
    <x v="0"/>
    <d v="2016-10-26T00:00:00"/>
    <d v="1899-12-30T15:00:52"/>
    <s v="Analyzer"/>
    <x v="0"/>
    <x v="0"/>
    <x v="0"/>
    <x v="0"/>
  </r>
  <r>
    <s v="Analyzer Status changed from Ready to Maintenance."/>
    <x v="0"/>
    <x v="0"/>
    <d v="2016-10-26T00:00:00"/>
    <d v="1899-12-30T15:00:52"/>
    <s v="Analyzer"/>
    <x v="0"/>
    <x v="0"/>
    <x v="0"/>
    <x v="0"/>
  </r>
  <r>
    <s v="Analyzer Status changed from Maintenance to Ready."/>
    <x v="0"/>
    <x v="0"/>
    <d v="2016-10-26T00:00:00"/>
    <d v="1899-12-30T15:01:19"/>
    <s v="Analyzer"/>
    <x v="0"/>
    <x v="0"/>
    <x v="0"/>
    <x v="0"/>
  </r>
  <r>
    <s v="Automatic maintenance activity Automatic Routine Clean for all Probes has been executed."/>
    <x v="2"/>
    <x v="0"/>
    <d v="2016-10-26T00:00:00"/>
    <d v="1899-12-30T15:01:19"/>
    <s v="Maintenance"/>
    <x v="0"/>
    <x v="2"/>
    <x v="2"/>
    <x v="0"/>
  </r>
  <r>
    <s v="Test Definition FXII-SS has been modified."/>
    <x v="14"/>
    <x v="0"/>
    <d v="2016-10-26T00:00:00"/>
    <d v="1899-12-30T15:01:21"/>
    <s v="Setup"/>
    <x v="0"/>
    <x v="2"/>
    <x v="5"/>
    <x v="0"/>
  </r>
  <r>
    <s v="Test Definition FXII XDL has been modified."/>
    <x v="14"/>
    <x v="0"/>
    <d v="2016-10-26T00:00:00"/>
    <d v="1899-12-30T15:01:25"/>
    <s v="Setup"/>
    <x v="0"/>
    <x v="2"/>
    <x v="5"/>
    <x v="0"/>
  </r>
  <r>
    <s v="Test Definition FXII-SS has been modified."/>
    <x v="14"/>
    <x v="0"/>
    <d v="2016-10-26T00:00:00"/>
    <d v="1899-12-30T15:01:37"/>
    <s v="Setup"/>
    <x v="0"/>
    <x v="2"/>
    <x v="5"/>
    <x v="0"/>
  </r>
  <r>
    <s v="Test Definition FXII XDL has been modified."/>
    <x v="14"/>
    <x v="0"/>
    <d v="2016-10-26T00:00:00"/>
    <d v="1899-12-30T15:01:40"/>
    <s v="Setup"/>
    <x v="0"/>
    <x v="2"/>
    <x v="5"/>
    <x v="0"/>
  </r>
  <r>
    <s v="Analyzer Status changed from Ready to Busy."/>
    <x v="0"/>
    <x v="0"/>
    <d v="2016-10-26T00:00:00"/>
    <d v="1899-12-30T15:07:54"/>
    <s v="Analyzer"/>
    <x v="0"/>
    <x v="0"/>
    <x v="0"/>
    <x v="0"/>
  </r>
  <r>
    <s v="FXII-SS Parallelism job not feasible. Waiting for FXII Def. Plasma."/>
    <x v="26"/>
    <x v="1"/>
    <d v="2016-10-26T00:00:00"/>
    <d v="1899-12-30T15:07:55"/>
    <s v="Materials"/>
    <x v="0"/>
    <x v="2"/>
    <x v="3"/>
    <x v="0"/>
  </r>
  <r>
    <s v="Analyzer Status changed from Busy to Ready."/>
    <x v="0"/>
    <x v="0"/>
    <d v="2016-10-26T00:00:00"/>
    <d v="1899-12-30T15:07:55"/>
    <s v="Analyzer"/>
    <x v="0"/>
    <x v="0"/>
    <x v="0"/>
    <x v="0"/>
  </r>
  <r>
    <s v="Analyzer Status changed from Ready to Busy."/>
    <x v="0"/>
    <x v="0"/>
    <d v="2016-10-26T00:00:00"/>
    <d v="1899-12-30T15:08:25"/>
    <s v="Analyzer"/>
    <x v="0"/>
    <x v="0"/>
    <x v="0"/>
    <x v="0"/>
  </r>
  <r>
    <s v="FXII-SS Parallelism job not feasible. Waiting for APTT-SS CaCl2."/>
    <x v="26"/>
    <x v="1"/>
    <d v="2016-10-26T00:00:00"/>
    <d v="1899-12-30T15:08:26"/>
    <s v="Materials"/>
    <x v="0"/>
    <x v="2"/>
    <x v="3"/>
    <x v="0"/>
  </r>
  <r>
    <s v="Analyzer Status changed from Busy to Ready."/>
    <x v="0"/>
    <x v="0"/>
    <d v="2016-10-26T00:00:00"/>
    <d v="1899-12-30T15:08:26"/>
    <s v="Analyzer"/>
    <x v="0"/>
    <x v="0"/>
    <x v="0"/>
    <x v="0"/>
  </r>
  <r>
    <s v="PT RecombiPlasTin volume low."/>
    <x v="7"/>
    <x v="1"/>
    <d v="2016-10-26T00:00:00"/>
    <d v="1899-12-30T15:09:19"/>
    <s v="Materials"/>
    <x v="0"/>
    <x v="3"/>
    <x v="4"/>
    <x v="0"/>
  </r>
  <r>
    <s v="APTT-SS CaCl2 volume low."/>
    <x v="7"/>
    <x v="1"/>
    <d v="2016-10-26T00:00:00"/>
    <d v="1899-12-30T15:09:19"/>
    <s v="Materials"/>
    <x v="0"/>
    <x v="3"/>
    <x v="4"/>
    <x v="0"/>
  </r>
  <r>
    <s v="Non-identified Material in rack RF position 5, track 5."/>
    <x v="27"/>
    <x v="2"/>
    <d v="2016-10-26T00:00:00"/>
    <d v="1899-12-30T15:09:19"/>
    <s v="Materials"/>
    <x v="0"/>
    <x v="2"/>
    <x v="3"/>
    <x v="0"/>
  </r>
  <r>
    <s v="APTT-SS CaCl2 volume low."/>
    <x v="7"/>
    <x v="1"/>
    <d v="2016-10-26T00:00:00"/>
    <d v="1899-12-30T15:09:55"/>
    <s v="Materials"/>
    <x v="0"/>
    <x v="3"/>
    <x v="4"/>
    <x v="0"/>
  </r>
  <r>
    <s v="Analyzer Status changed from Ready to Busy."/>
    <x v="0"/>
    <x v="0"/>
    <d v="2016-10-26T00:00:00"/>
    <d v="1899-12-30T15:10:11"/>
    <s v="Analyzer"/>
    <x v="0"/>
    <x v="0"/>
    <x v="0"/>
    <x v="0"/>
  </r>
  <r>
    <s v="FXI XDIL Parallelism job not feasible. Waiting for APTT-SS."/>
    <x v="26"/>
    <x v="1"/>
    <d v="2016-10-26T00:00:00"/>
    <d v="1899-12-30T15:10:12"/>
    <s v="Materials"/>
    <x v="0"/>
    <x v="2"/>
    <x v="3"/>
    <x v="0"/>
  </r>
  <r>
    <s v="Analyzer Status changed from Busy to Ready."/>
    <x v="0"/>
    <x v="0"/>
    <d v="2016-10-26T00:00:00"/>
    <d v="1899-12-30T15:22:27"/>
    <s v="Analyzer"/>
    <x v="0"/>
    <x v="0"/>
    <x v="0"/>
    <x v="0"/>
  </r>
  <r>
    <s v="Analyzer Status changed from Ready to Maintenance."/>
    <x v="0"/>
    <x v="0"/>
    <d v="2016-10-26T00:00:00"/>
    <d v="1899-12-30T15:22:27"/>
    <s v="Analyzer"/>
    <x v="0"/>
    <x v="0"/>
    <x v="0"/>
    <x v="0"/>
  </r>
  <r>
    <s v="Automatic maintenance activity Automatic Routine Clean for all Probes has been executed."/>
    <x v="2"/>
    <x v="0"/>
    <d v="2016-10-26T00:00:00"/>
    <d v="1899-12-30T15:22:52"/>
    <s v="Maintenance"/>
    <x v="0"/>
    <x v="2"/>
    <x v="2"/>
    <x v="0"/>
  </r>
  <r>
    <s v="Analyzer Status changed from Maintenance to Ready."/>
    <x v="0"/>
    <x v="0"/>
    <d v="2016-10-26T00:00:00"/>
    <d v="1899-12-30T15:22:53"/>
    <s v="Analyzer"/>
    <x v="0"/>
    <x v="0"/>
    <x v="0"/>
    <x v="0"/>
  </r>
  <r>
    <s v="Automatic logout."/>
    <x v="62"/>
    <x v="0"/>
    <d v="2016-10-26T00:00:00"/>
    <d v="1899-12-30T16:17:59"/>
    <s v="Other"/>
    <x v="0"/>
    <x v="4"/>
    <x v="7"/>
    <x v="1"/>
  </r>
  <r>
    <s v="Analyzer Status changed from Ready to Maintenance."/>
    <x v="0"/>
    <x v="0"/>
    <d v="2016-10-26T00:00:00"/>
    <d v="1899-12-30T16:22:53"/>
    <s v="Analyzer"/>
    <x v="1"/>
    <x v="0"/>
    <x v="0"/>
    <x v="0"/>
  </r>
  <r>
    <s v="Automatic maintenance activity Automatic Fluidic Line Priming Cycle has been executed."/>
    <x v="2"/>
    <x v="0"/>
    <d v="2016-10-26T00:00:00"/>
    <d v="1899-12-30T16:23:14"/>
    <s v="Maintenance"/>
    <x v="1"/>
    <x v="2"/>
    <x v="2"/>
    <x v="0"/>
  </r>
  <r>
    <s v="Analyzer Status changed from Maintenance to Ready."/>
    <x v="0"/>
    <x v="0"/>
    <d v="2016-10-26T00:00:00"/>
    <d v="1899-12-30T16:23:15"/>
    <s v="Analyzer"/>
    <x v="1"/>
    <x v="0"/>
    <x v="0"/>
    <x v="0"/>
  </r>
  <r>
    <s v="Analyzer Status changed from Ready to Maintenance."/>
    <x v="0"/>
    <x v="0"/>
    <d v="2016-10-26T00:00:00"/>
    <d v="1899-12-30T17:23:15"/>
    <s v="Analyzer"/>
    <x v="1"/>
    <x v="0"/>
    <x v="0"/>
    <x v="0"/>
  </r>
  <r>
    <s v="Analyzer Status changed from Maintenance to Ready."/>
    <x v="0"/>
    <x v="0"/>
    <d v="2016-10-26T00:00:00"/>
    <d v="1899-12-30T17:23:36"/>
    <s v="Analyzer"/>
    <x v="1"/>
    <x v="0"/>
    <x v="0"/>
    <x v="0"/>
  </r>
  <r>
    <s v="Automatic maintenance activity Automatic Fluidic Line Priming Cycle has been executed."/>
    <x v="2"/>
    <x v="0"/>
    <d v="2016-10-26T00:00:00"/>
    <d v="1899-12-30T17:23:36"/>
    <s v="Maintenance"/>
    <x v="1"/>
    <x v="2"/>
    <x v="2"/>
    <x v="0"/>
  </r>
  <r>
    <s v="Analyzer Status changed from Ready to Maintenance."/>
    <x v="0"/>
    <x v="0"/>
    <d v="2016-10-26T00:00:00"/>
    <d v="1899-12-30T18:23:37"/>
    <s v="Analyzer"/>
    <x v="1"/>
    <x v="0"/>
    <x v="0"/>
    <x v="0"/>
  </r>
  <r>
    <s v="Analyzer Status changed from Maintenance to Ready."/>
    <x v="0"/>
    <x v="0"/>
    <d v="2016-10-26T00:00:00"/>
    <d v="1899-12-30T18:23:58"/>
    <s v="Analyzer"/>
    <x v="1"/>
    <x v="0"/>
    <x v="0"/>
    <x v="0"/>
  </r>
  <r>
    <s v="Automatic maintenance activity Automatic Fluidic Line Priming Cycle has been executed."/>
    <x v="2"/>
    <x v="0"/>
    <d v="2016-10-26T00:00:00"/>
    <d v="1899-12-30T18:23:58"/>
    <s v="Maintenance"/>
    <x v="1"/>
    <x v="2"/>
    <x v="2"/>
    <x v="0"/>
  </r>
  <r>
    <s v="Analyzer Status changed from Ready to Maintenance."/>
    <x v="0"/>
    <x v="0"/>
    <d v="2016-10-26T00:00:00"/>
    <d v="1899-12-30T19:23:59"/>
    <s v="Analyzer"/>
    <x v="1"/>
    <x v="0"/>
    <x v="0"/>
    <x v="0"/>
  </r>
  <r>
    <s v="Analyzer Status changed from Maintenance to Ready."/>
    <x v="0"/>
    <x v="0"/>
    <d v="2016-10-26T00:00:00"/>
    <d v="1899-12-30T19:24:20"/>
    <s v="Analyzer"/>
    <x v="1"/>
    <x v="0"/>
    <x v="0"/>
    <x v="0"/>
  </r>
  <r>
    <s v="Automatic maintenance activity Automatic Fluidic Line Priming Cycle has been executed."/>
    <x v="2"/>
    <x v="0"/>
    <d v="2016-10-26T00:00:00"/>
    <d v="1899-12-30T19:24:20"/>
    <s v="Maintenance"/>
    <x v="1"/>
    <x v="2"/>
    <x v="2"/>
    <x v="0"/>
  </r>
  <r>
    <s v="Analyzer Status changed from Ready to Maintenance."/>
    <x v="0"/>
    <x v="0"/>
    <d v="2016-10-26T00:00:00"/>
    <d v="1899-12-30T20:24:21"/>
    <s v="Analyzer"/>
    <x v="1"/>
    <x v="0"/>
    <x v="0"/>
    <x v="0"/>
  </r>
  <r>
    <s v="Analyzer Status changed from Maintenance to Ready."/>
    <x v="0"/>
    <x v="0"/>
    <d v="2016-10-26T00:00:00"/>
    <d v="1899-12-30T20:24:42"/>
    <s v="Analyzer"/>
    <x v="1"/>
    <x v="0"/>
    <x v="0"/>
    <x v="0"/>
  </r>
  <r>
    <s v="Automatic maintenance activity Automatic Fluidic Line Priming Cycle has been executed."/>
    <x v="2"/>
    <x v="0"/>
    <d v="2016-10-26T00:00:00"/>
    <d v="1899-12-30T20:24:42"/>
    <s v="Maintenance"/>
    <x v="1"/>
    <x v="2"/>
    <x v="2"/>
    <x v="0"/>
  </r>
  <r>
    <s v="Analyzer Status changed from Ready to Maintenance."/>
    <x v="0"/>
    <x v="0"/>
    <d v="2016-10-26T00:00:00"/>
    <d v="1899-12-30T21:24:42"/>
    <s v="Analyzer"/>
    <x v="1"/>
    <x v="0"/>
    <x v="0"/>
    <x v="0"/>
  </r>
  <r>
    <s v="Analyzer Status changed from Maintenance to Ready."/>
    <x v="0"/>
    <x v="0"/>
    <d v="2016-10-26T00:00:00"/>
    <d v="1899-12-30T21:25:04"/>
    <s v="Analyzer"/>
    <x v="1"/>
    <x v="0"/>
    <x v="0"/>
    <x v="0"/>
  </r>
  <r>
    <s v="Automatic maintenance activity Automatic Fluidic Line Priming Cycle has been executed."/>
    <x v="2"/>
    <x v="0"/>
    <d v="2016-10-26T00:00:00"/>
    <d v="1899-12-30T21:25:04"/>
    <s v="Maintenance"/>
    <x v="1"/>
    <x v="2"/>
    <x v="2"/>
    <x v="0"/>
  </r>
  <r>
    <s v="Analyzer Status changed from Ready to Maintenance."/>
    <x v="0"/>
    <x v="0"/>
    <d v="2016-10-26T00:00:00"/>
    <d v="1899-12-30T22:25:04"/>
    <s v="Analyzer"/>
    <x v="1"/>
    <x v="0"/>
    <x v="0"/>
    <x v="0"/>
  </r>
  <r>
    <s v="Analyzer Status changed from Maintenance to Ready."/>
    <x v="0"/>
    <x v="0"/>
    <d v="2016-10-26T00:00:00"/>
    <d v="1899-12-30T22:25:26"/>
    <s v="Analyzer"/>
    <x v="1"/>
    <x v="0"/>
    <x v="0"/>
    <x v="0"/>
  </r>
  <r>
    <s v="Automatic maintenance activity Automatic Fluidic Line Priming Cycle has been executed."/>
    <x v="2"/>
    <x v="0"/>
    <d v="2016-10-26T00:00:00"/>
    <d v="1899-12-30T22:25:26"/>
    <s v="Maintenance"/>
    <x v="1"/>
    <x v="2"/>
    <x v="2"/>
    <x v="0"/>
  </r>
  <r>
    <s v="Analyzer Status changed from Ready to Maintenance."/>
    <x v="0"/>
    <x v="0"/>
    <d v="2016-10-26T00:00:00"/>
    <d v="1899-12-30T23:25:26"/>
    <s v="Analyzer"/>
    <x v="1"/>
    <x v="0"/>
    <x v="0"/>
    <x v="0"/>
  </r>
  <r>
    <s v="Analyzer Status changed from Maintenance to Ready."/>
    <x v="0"/>
    <x v="0"/>
    <d v="2016-10-26T00:00:00"/>
    <d v="1899-12-30T23:25:48"/>
    <s v="Analyzer"/>
    <x v="1"/>
    <x v="0"/>
    <x v="0"/>
    <x v="0"/>
  </r>
  <r>
    <s v="Automatic maintenance activity Automatic Fluidic Line Priming Cycle has been executed."/>
    <x v="2"/>
    <x v="0"/>
    <d v="2016-10-26T00:00:00"/>
    <d v="1899-12-30T23:25:48"/>
    <s v="Maintenance"/>
    <x v="1"/>
    <x v="2"/>
    <x v="2"/>
    <x v="0"/>
  </r>
  <r>
    <s v="Analyzer Status changed from Ready to Maintenance."/>
    <x v="0"/>
    <x v="0"/>
    <d v="2016-10-27T00:00:00"/>
    <d v="1899-12-30T00:25:49"/>
    <s v="Analyzer"/>
    <x v="1"/>
    <x v="0"/>
    <x v="0"/>
    <x v="0"/>
  </r>
  <r>
    <s v="Analyzer Status changed from Maintenance to Ready."/>
    <x v="0"/>
    <x v="0"/>
    <d v="2016-10-27T00:00:00"/>
    <d v="1899-12-30T00:26:10"/>
    <s v="Analyzer"/>
    <x v="1"/>
    <x v="0"/>
    <x v="0"/>
    <x v="0"/>
  </r>
  <r>
    <s v="Automatic maintenance activity Automatic Fluidic Line Priming Cycle has been executed."/>
    <x v="2"/>
    <x v="0"/>
    <d v="2016-10-27T00:00:00"/>
    <d v="1899-12-30T00:26:10"/>
    <s v="Maintenance"/>
    <x v="1"/>
    <x v="2"/>
    <x v="2"/>
    <x v="0"/>
  </r>
  <r>
    <s v="Analyzer Status changed from Ready to Maintenance."/>
    <x v="0"/>
    <x v="0"/>
    <d v="2016-10-27T00:00:00"/>
    <d v="1899-12-30T01:26:10"/>
    <s v="Analyzer"/>
    <x v="1"/>
    <x v="0"/>
    <x v="0"/>
    <x v="0"/>
  </r>
  <r>
    <s v="Analyzer Status changed from Maintenance to Ready."/>
    <x v="0"/>
    <x v="0"/>
    <d v="2016-10-27T00:00:00"/>
    <d v="1899-12-30T01:26:32"/>
    <s v="Analyzer"/>
    <x v="1"/>
    <x v="0"/>
    <x v="0"/>
    <x v="0"/>
  </r>
  <r>
    <s v="Automatic maintenance activity Automatic Fluidic Line Priming Cycle has been executed."/>
    <x v="2"/>
    <x v="0"/>
    <d v="2016-10-27T00:00:00"/>
    <d v="1899-12-30T01:26:32"/>
    <s v="Maintenance"/>
    <x v="1"/>
    <x v="2"/>
    <x v="2"/>
    <x v="0"/>
  </r>
  <r>
    <s v="Analyzer Status changed from Ready to Maintenance."/>
    <x v="0"/>
    <x v="0"/>
    <d v="2016-10-27T00:00:00"/>
    <d v="1899-12-30T02:26:32"/>
    <s v="Analyzer"/>
    <x v="1"/>
    <x v="0"/>
    <x v="0"/>
    <x v="0"/>
  </r>
  <r>
    <s v="Analyzer Status changed from Maintenance to Ready."/>
    <x v="0"/>
    <x v="0"/>
    <d v="2016-10-27T00:00:00"/>
    <d v="1899-12-30T02:26:54"/>
    <s v="Analyzer"/>
    <x v="1"/>
    <x v="0"/>
    <x v="0"/>
    <x v="0"/>
  </r>
  <r>
    <s v="Automatic maintenance activity Automatic Fluidic Line Priming Cycle has been executed."/>
    <x v="2"/>
    <x v="0"/>
    <d v="2016-10-27T00:00:00"/>
    <d v="1899-12-30T02:26:54"/>
    <s v="Maintenance"/>
    <x v="1"/>
    <x v="2"/>
    <x v="2"/>
    <x v="0"/>
  </r>
  <r>
    <s v="Analyzer Status changed from Ready to Maintenance."/>
    <x v="0"/>
    <x v="0"/>
    <d v="2016-10-27T00:00:00"/>
    <d v="1899-12-30T03:26:54"/>
    <s v="Analyzer"/>
    <x v="1"/>
    <x v="0"/>
    <x v="0"/>
    <x v="0"/>
  </r>
  <r>
    <s v="Analyzer Status changed from Maintenance to Ready."/>
    <x v="0"/>
    <x v="0"/>
    <d v="2016-10-27T00:00:00"/>
    <d v="1899-12-30T03:27:16"/>
    <s v="Analyzer"/>
    <x v="1"/>
    <x v="0"/>
    <x v="0"/>
    <x v="0"/>
  </r>
  <r>
    <s v="Automatic maintenance activity Automatic Fluidic Line Priming Cycle has been executed."/>
    <x v="2"/>
    <x v="0"/>
    <d v="2016-10-27T00:00:00"/>
    <d v="1899-12-30T03:27:16"/>
    <s v="Maintenance"/>
    <x v="1"/>
    <x v="2"/>
    <x v="2"/>
    <x v="0"/>
  </r>
  <r>
    <s v="Analyzer Status changed from Ready to Maintenance."/>
    <x v="0"/>
    <x v="0"/>
    <d v="2016-10-27T00:00:00"/>
    <d v="1899-12-30T04:27:16"/>
    <s v="Analyzer"/>
    <x v="1"/>
    <x v="0"/>
    <x v="0"/>
    <x v="0"/>
  </r>
  <r>
    <s v="Analyzer Status changed from Maintenance to Ready."/>
    <x v="0"/>
    <x v="0"/>
    <d v="2016-10-27T00:00:00"/>
    <d v="1899-12-30T04:27:38"/>
    <s v="Analyzer"/>
    <x v="1"/>
    <x v="0"/>
    <x v="0"/>
    <x v="0"/>
  </r>
  <r>
    <s v="Automatic maintenance activity Automatic Fluidic Line Priming Cycle has been executed."/>
    <x v="2"/>
    <x v="0"/>
    <d v="2016-10-27T00:00:00"/>
    <d v="1899-12-30T04:27:38"/>
    <s v="Maintenance"/>
    <x v="1"/>
    <x v="2"/>
    <x v="2"/>
    <x v="0"/>
  </r>
  <r>
    <s v="Analyzer Status changed from Ready to Maintenance."/>
    <x v="0"/>
    <x v="0"/>
    <d v="2016-10-27T00:00:00"/>
    <d v="1899-12-30T05:27:38"/>
    <s v="Analyzer"/>
    <x v="1"/>
    <x v="0"/>
    <x v="0"/>
    <x v="0"/>
  </r>
  <r>
    <s v="Analyzer Status changed from Maintenance to Ready."/>
    <x v="0"/>
    <x v="0"/>
    <d v="2016-10-27T00:00:00"/>
    <d v="1899-12-30T05:28:00"/>
    <s v="Analyzer"/>
    <x v="1"/>
    <x v="0"/>
    <x v="0"/>
    <x v="0"/>
  </r>
  <r>
    <s v="Automatic maintenance activity Automatic Fluidic Line Priming Cycle has been executed."/>
    <x v="2"/>
    <x v="0"/>
    <d v="2016-10-27T00:00:00"/>
    <d v="1899-12-30T05:28:00"/>
    <s v="Maintenance"/>
    <x v="1"/>
    <x v="2"/>
    <x v="2"/>
    <x v="0"/>
  </r>
  <r>
    <s v="Analyzer Status changed from Ready to Maintenance."/>
    <x v="0"/>
    <x v="0"/>
    <d v="2016-10-27T00:00:00"/>
    <d v="1899-12-30T06:28:00"/>
    <s v="Analyzer"/>
    <x v="1"/>
    <x v="0"/>
    <x v="0"/>
    <x v="0"/>
  </r>
  <r>
    <s v="Analyzer Status changed from Maintenance to Ready."/>
    <x v="0"/>
    <x v="0"/>
    <d v="2016-10-27T00:00:00"/>
    <d v="1899-12-30T06:28:22"/>
    <s v="Analyzer"/>
    <x v="1"/>
    <x v="0"/>
    <x v="0"/>
    <x v="0"/>
  </r>
  <r>
    <s v="Automatic maintenance activity Automatic Fluidic Line Priming Cycle has been executed."/>
    <x v="2"/>
    <x v="0"/>
    <d v="2016-10-27T00:00:00"/>
    <d v="1899-12-30T06:28:22"/>
    <s v="Maintenance"/>
    <x v="1"/>
    <x v="2"/>
    <x v="2"/>
    <x v="0"/>
  </r>
  <r>
    <s v="Successful log in by user: LHO."/>
    <x v="18"/>
    <x v="0"/>
    <d v="2016-10-27T00:00:00"/>
    <d v="1899-12-30T07:08:57"/>
    <s v="Other"/>
    <x v="0"/>
    <x v="2"/>
    <x v="5"/>
    <x v="0"/>
  </r>
  <r>
    <s v="Analyzer Status changed from Ready to Maintenance."/>
    <x v="0"/>
    <x v="0"/>
    <d v="2016-10-27T00:00:00"/>
    <d v="1899-12-30T07:09:16"/>
    <s v="Analyzer"/>
    <x v="0"/>
    <x v="0"/>
    <x v="0"/>
    <x v="0"/>
  </r>
  <r>
    <s v="Analyzer Status changed from Maintenance to Emergency stop."/>
    <x v="0"/>
    <x v="0"/>
    <d v="2016-10-27T00:00:00"/>
    <d v="1899-12-30T07:10:00"/>
    <s v="Analyzer"/>
    <x v="0"/>
    <x v="0"/>
    <x v="0"/>
    <x v="0"/>
  </r>
  <r>
    <s v="Analyzer Status changed from Emergency stop to Not connected."/>
    <x v="0"/>
    <x v="0"/>
    <d v="2016-10-27T00:00:00"/>
    <d v="1899-12-30T07:10:00"/>
    <s v="Analyzer"/>
    <x v="0"/>
    <x v="0"/>
    <x v="0"/>
    <x v="0"/>
  </r>
  <r>
    <s v="Frequency status for manual maintenance activity Wipe-down all Probes has changed to OK."/>
    <x v="3"/>
    <x v="0"/>
    <d v="2016-10-27T00:00:00"/>
    <d v="1899-12-30T07:10:02"/>
    <s v="Maintenance"/>
    <x v="0"/>
    <x v="2"/>
    <x v="2"/>
    <x v="0"/>
  </r>
  <r>
    <s v="Frequency status for manual maintenance activity Wipe-down Sample Probe has changed to OK."/>
    <x v="3"/>
    <x v="0"/>
    <d v="2016-10-27T00:00:00"/>
    <d v="1899-12-30T07:10:02"/>
    <s v="Maintenance"/>
    <x v="0"/>
    <x v="2"/>
    <x v="2"/>
    <x v="0"/>
  </r>
  <r>
    <s v="Frequency status for manual maintenance activity Wipe-down LAS Probe has changed to OK."/>
    <x v="3"/>
    <x v="0"/>
    <d v="2016-10-27T00:00:00"/>
    <d v="1899-12-30T07:10:02"/>
    <s v="Maintenance"/>
    <x v="0"/>
    <x v="2"/>
    <x v="2"/>
    <x v="0"/>
  </r>
  <r>
    <s v="Manual maintenance activity Wipe-down all Probes has been executed."/>
    <x v="5"/>
    <x v="0"/>
    <d v="2016-10-27T00:00:00"/>
    <d v="1899-12-30T07:10:02"/>
    <s v="Maintenance"/>
    <x v="0"/>
    <x v="2"/>
    <x v="2"/>
    <x v="0"/>
  </r>
  <r>
    <s v="Analyzer Status changed from Not connected to Power up."/>
    <x v="0"/>
    <x v="0"/>
    <d v="2016-10-27T00:00:00"/>
    <d v="1899-12-30T07:10:41"/>
    <s v="Analyzer"/>
    <x v="0"/>
    <x v="0"/>
    <x v="0"/>
    <x v="0"/>
  </r>
  <r>
    <s v="Analyzer Status changed from Power up to Initializing."/>
    <x v="0"/>
    <x v="0"/>
    <d v="2016-10-27T00:00:00"/>
    <d v="1899-12-30T07:10:51"/>
    <s v="Analyzer"/>
    <x v="0"/>
    <x v="0"/>
    <x v="0"/>
    <x v="0"/>
  </r>
  <r>
    <s v="Maintenance activity overdue: Clean Cuvette Waste Drawer."/>
    <x v="20"/>
    <x v="1"/>
    <d v="2016-10-27T00:00:00"/>
    <d v="1899-12-30T07:11:40"/>
    <s v="Maintenance"/>
    <x v="0"/>
    <x v="2"/>
    <x v="2"/>
    <x v="0"/>
  </r>
  <r>
    <s v="AT Liq FXa volume low."/>
    <x v="7"/>
    <x v="1"/>
    <d v="2016-10-27T00:00:00"/>
    <d v="1899-12-30T07:12:01"/>
    <s v="Materials"/>
    <x v="0"/>
    <x v="3"/>
    <x v="4"/>
    <x v="0"/>
  </r>
  <r>
    <s v="APTT-SS volume low."/>
    <x v="7"/>
    <x v="1"/>
    <d v="2016-10-27T00:00:00"/>
    <d v="1899-12-30T07:12:01"/>
    <s v="Materials"/>
    <x v="0"/>
    <x v="3"/>
    <x v="4"/>
    <x v="0"/>
  </r>
  <r>
    <s v="PT RecombiPlasTin volume low."/>
    <x v="7"/>
    <x v="1"/>
    <d v="2016-10-27T00:00:00"/>
    <d v="1899-12-30T07:12:17"/>
    <s v="Materials"/>
    <x v="0"/>
    <x v="3"/>
    <x v="4"/>
    <x v="0"/>
  </r>
  <r>
    <s v="APTT-SS CaCl2 volume low."/>
    <x v="7"/>
    <x v="1"/>
    <d v="2016-10-27T00:00:00"/>
    <d v="1899-12-30T07:12:17"/>
    <s v="Materials"/>
    <x v="0"/>
    <x v="3"/>
    <x v="4"/>
    <x v="0"/>
  </r>
  <r>
    <s v="Non-identified Material in rack RF position 5, track 5."/>
    <x v="27"/>
    <x v="2"/>
    <d v="2016-10-27T00:00:00"/>
    <d v="1899-12-30T07:12:17"/>
    <s v="Materials"/>
    <x v="0"/>
    <x v="2"/>
    <x v="3"/>
    <x v="0"/>
  </r>
  <r>
    <s v="Analyzer Status changed from Initializing to Adjusting thermal."/>
    <x v="0"/>
    <x v="0"/>
    <d v="2016-10-27T00:00:00"/>
    <d v="1899-12-30T07:12:40"/>
    <s v="Analyzer"/>
    <x v="0"/>
    <x v="0"/>
    <x v="0"/>
    <x v="0"/>
  </r>
  <r>
    <s v="Cuvettes waste drawer missing."/>
    <x v="29"/>
    <x v="2"/>
    <d v="2016-10-27T00:00:00"/>
    <d v="1899-12-30T07:13:51"/>
    <s v="Materials"/>
    <x v="0"/>
    <x v="5"/>
    <x v="11"/>
    <x v="0"/>
  </r>
  <r>
    <s v="Cuvettes waste drawer missing."/>
    <x v="29"/>
    <x v="2"/>
    <d v="2016-10-27T00:00:00"/>
    <d v="1899-12-30T07:13:51"/>
    <s v="Materials"/>
    <x v="0"/>
    <x v="5"/>
    <x v="11"/>
    <x v="0"/>
  </r>
  <r>
    <s v="Analyzer Status changed from Adjusting thermal to Error."/>
    <x v="0"/>
    <x v="0"/>
    <d v="2016-10-27T00:00:00"/>
    <d v="1899-12-30T07:13:51"/>
    <s v="Analyzer"/>
    <x v="0"/>
    <x v="0"/>
    <x v="0"/>
    <x v="0"/>
  </r>
  <r>
    <s v="Analyzer Status changed from Error to Adjusting thermal."/>
    <x v="0"/>
    <x v="0"/>
    <d v="2016-10-27T00:00:00"/>
    <d v="1899-12-30T07:14:13"/>
    <s v="Analyzer"/>
    <x v="0"/>
    <x v="0"/>
    <x v="0"/>
    <x v="0"/>
  </r>
  <r>
    <s v="Analyzer Status changed from Adjusting thermal to Ready."/>
    <x v="0"/>
    <x v="0"/>
    <d v="2016-10-27T00:00:00"/>
    <d v="1899-12-30T07:15:04"/>
    <s v="Analyzer"/>
    <x v="0"/>
    <x v="0"/>
    <x v="0"/>
    <x v="0"/>
  </r>
  <r>
    <s v="Analyzer Status changed from Ready to Maintenance."/>
    <x v="0"/>
    <x v="0"/>
    <d v="2016-10-27T00:00:00"/>
    <d v="1899-12-30T07:15:04"/>
    <s v="Analyzer"/>
    <x v="0"/>
    <x v="0"/>
    <x v="0"/>
    <x v="0"/>
  </r>
  <r>
    <s v="Cuvettes low in the load area."/>
    <x v="15"/>
    <x v="1"/>
    <d v="2016-10-27T00:00:00"/>
    <d v="1899-12-30T07:15:14"/>
    <s v="Materials"/>
    <x v="0"/>
    <x v="5"/>
    <x v="8"/>
    <x v="0"/>
  </r>
  <r>
    <s v="Analyzer Status changed from Maintenance to Ready."/>
    <x v="0"/>
    <x v="0"/>
    <d v="2016-10-27T00:00:00"/>
    <d v="1899-12-30T07:16:18"/>
    <s v="Analyzer"/>
    <x v="0"/>
    <x v="0"/>
    <x v="0"/>
    <x v="0"/>
  </r>
  <r>
    <s v="Analyzer Status changed from Ready to Maintenance."/>
    <x v="0"/>
    <x v="0"/>
    <d v="2016-10-27T00:00:00"/>
    <d v="1899-12-30T07:17:24"/>
    <s v="Analyzer"/>
    <x v="0"/>
    <x v="0"/>
    <x v="0"/>
    <x v="0"/>
  </r>
  <r>
    <s v="Analyzer Status changed from Maintenance to Ready."/>
    <x v="0"/>
    <x v="0"/>
    <d v="2016-10-27T00:00:00"/>
    <d v="1899-12-30T07:22:15"/>
    <s v="Analyzer"/>
    <x v="0"/>
    <x v="0"/>
    <x v="0"/>
    <x v="0"/>
  </r>
  <r>
    <s v="Frequency status for manual maintenance activity Enhanced Clean for all Probes has changed to OK."/>
    <x v="3"/>
    <x v="0"/>
    <d v="2016-10-27T00:00:00"/>
    <d v="1899-12-30T07:22:15"/>
    <s v="Maintenance"/>
    <x v="0"/>
    <x v="2"/>
    <x v="2"/>
    <x v="0"/>
  </r>
  <r>
    <s v="Frequency status for manual maintenance activity Enhanced Clean for Sample and Reagent Probes has changed to OK."/>
    <x v="3"/>
    <x v="0"/>
    <d v="2016-10-27T00:00:00"/>
    <d v="1899-12-30T07:22:15"/>
    <s v="Maintenance"/>
    <x v="0"/>
    <x v="2"/>
    <x v="2"/>
    <x v="0"/>
  </r>
  <r>
    <s v="Semiautomatic maintenance activity Enhanced Clean for all Probes has been executed."/>
    <x v="4"/>
    <x v="0"/>
    <d v="2016-10-27T00:00:00"/>
    <d v="1899-12-30T07:22:15"/>
    <s v="Maintenance"/>
    <x v="0"/>
    <x v="2"/>
    <x v="2"/>
    <x v="0"/>
  </r>
  <r>
    <s v="Analyzer Status changed from Ready to Maintenance."/>
    <x v="0"/>
    <x v="0"/>
    <d v="2016-10-27T00:00:00"/>
    <d v="1899-12-30T07:26:49"/>
    <s v="Analyzer"/>
    <x v="0"/>
    <x v="0"/>
    <x v="0"/>
    <x v="0"/>
  </r>
  <r>
    <s v="Analyzer Status changed from Maintenance to Ready."/>
    <x v="0"/>
    <x v="0"/>
    <d v="2016-10-27T00:00:00"/>
    <d v="1899-12-30T07:26:52"/>
    <s v="Analyzer"/>
    <x v="0"/>
    <x v="0"/>
    <x v="0"/>
    <x v="0"/>
  </r>
  <r>
    <s v="Frequency status for manual maintenance activity make new diluted clean B has changed to OK."/>
    <x v="3"/>
    <x v="0"/>
    <d v="2016-10-27T00:00:00"/>
    <d v="1899-12-30T07:26:52"/>
    <s v="Maintenance"/>
    <x v="0"/>
    <x v="2"/>
    <x v="2"/>
    <x v="0"/>
  </r>
  <r>
    <s v="Manual maintenance activity make new diluted clean B has been executed."/>
    <x v="5"/>
    <x v="0"/>
    <d v="2016-10-27T00:00:00"/>
    <d v="1899-12-30T07:26:52"/>
    <s v="Maintenance"/>
    <x v="0"/>
    <x v="2"/>
    <x v="2"/>
    <x v="0"/>
  </r>
  <r>
    <s v="Analyzer Status changed from Ready to Maintenance."/>
    <x v="0"/>
    <x v="0"/>
    <d v="2016-10-27T00:00:00"/>
    <d v="1899-12-30T07:26:54"/>
    <s v="Analyzer"/>
    <x v="0"/>
    <x v="0"/>
    <x v="0"/>
    <x v="0"/>
  </r>
  <r>
    <s v="Analyzer Status changed from Maintenance to Ready."/>
    <x v="0"/>
    <x v="0"/>
    <d v="2016-10-27T00:00:00"/>
    <d v="1899-12-30T07:26:56"/>
    <s v="Analyzer"/>
    <x v="0"/>
    <x v="0"/>
    <x v="0"/>
    <x v="0"/>
  </r>
  <r>
    <s v="Frequency status for manual maintenance activity Clean Cuvette Waste Drawer has changed to OK."/>
    <x v="3"/>
    <x v="0"/>
    <d v="2016-10-27T00:00:00"/>
    <d v="1899-12-30T07:26:56"/>
    <s v="Maintenance"/>
    <x v="0"/>
    <x v="2"/>
    <x v="2"/>
    <x v="0"/>
  </r>
  <r>
    <s v="Manual maintenance activity Clean Cuvette Waste Drawer has been executed."/>
    <x v="5"/>
    <x v="0"/>
    <d v="2016-10-27T00:00:00"/>
    <d v="1899-12-30T07:26:56"/>
    <s v="Maintenance"/>
    <x v="0"/>
    <x v="2"/>
    <x v="2"/>
    <x v="0"/>
  </r>
  <r>
    <s v="Analyzer Status changed from Ready to Maintenance."/>
    <x v="0"/>
    <x v="0"/>
    <d v="2016-10-27T00:00:00"/>
    <d v="1899-12-30T07:27:00"/>
    <s v="Analyzer"/>
    <x v="0"/>
    <x v="0"/>
    <x v="0"/>
    <x v="0"/>
  </r>
  <r>
    <s v="Analyzer Status changed from Maintenance to Ready."/>
    <x v="0"/>
    <x v="0"/>
    <d v="2016-10-27T00:00:00"/>
    <d v="1899-12-30T07:27:02"/>
    <s v="Analyzer"/>
    <x v="0"/>
    <x v="0"/>
    <x v="0"/>
    <x v="0"/>
  </r>
  <r>
    <s v="Frequency status for manual maintenance activity replace factor diluent has changed to OK."/>
    <x v="3"/>
    <x v="0"/>
    <d v="2016-10-27T00:00:00"/>
    <d v="1899-12-30T07:27:02"/>
    <s v="Maintenance"/>
    <x v="0"/>
    <x v="2"/>
    <x v="2"/>
    <x v="0"/>
  </r>
  <r>
    <s v="Manual maintenance activity replace factor diluent has been executed."/>
    <x v="5"/>
    <x v="0"/>
    <d v="2016-10-27T00:00:00"/>
    <d v="1899-12-30T07:27:02"/>
    <s v="Maintenance"/>
    <x v="0"/>
    <x v="2"/>
    <x v="2"/>
    <x v="0"/>
  </r>
  <r>
    <s v="Analyzer Status changed from Ready to Maintenance."/>
    <x v="0"/>
    <x v="0"/>
    <d v="2016-10-27T00:00:00"/>
    <d v="1899-12-30T07:27:09"/>
    <s v="Analyzer"/>
    <x v="0"/>
    <x v="0"/>
    <x v="0"/>
    <x v="0"/>
  </r>
  <r>
    <s v="Analyzer Status changed from Maintenance to Ready."/>
    <x v="0"/>
    <x v="0"/>
    <d v="2016-10-27T00:00:00"/>
    <d v="1899-12-30T07:27:12"/>
    <s v="Analyzer"/>
    <x v="0"/>
    <x v="0"/>
    <x v="0"/>
    <x v="0"/>
  </r>
  <r>
    <s v="Manual maintenance activity Replace factor diluent bottle has been executed."/>
    <x v="5"/>
    <x v="0"/>
    <d v="2016-10-27T00:00:00"/>
    <d v="1899-12-30T07:27:12"/>
    <s v="Maintenance"/>
    <x v="0"/>
    <x v="2"/>
    <x v="2"/>
    <x v="0"/>
  </r>
  <r>
    <s v="Analyzer Status changed from Ready to Maintenance."/>
    <x v="0"/>
    <x v="0"/>
    <d v="2016-10-27T00:00:00"/>
    <d v="1899-12-30T08:27:12"/>
    <s v="Analyzer"/>
    <x v="0"/>
    <x v="0"/>
    <x v="0"/>
    <x v="0"/>
  </r>
  <r>
    <s v="Analyzer Status changed from Maintenance to Ready."/>
    <x v="0"/>
    <x v="0"/>
    <d v="2016-10-27T00:00:00"/>
    <d v="1899-12-30T08:27:34"/>
    <s v="Analyzer"/>
    <x v="0"/>
    <x v="0"/>
    <x v="0"/>
    <x v="0"/>
  </r>
  <r>
    <s v="Automatic maintenance activity Automatic Fluidic Line Priming Cycle has been executed."/>
    <x v="2"/>
    <x v="0"/>
    <d v="2016-10-27T00:00:00"/>
    <d v="1899-12-30T08:27:34"/>
    <s v="Maintenance"/>
    <x v="0"/>
    <x v="2"/>
    <x v="2"/>
    <x v="0"/>
  </r>
  <r>
    <s v="Placement error (Anti Chromogenic Sub in rack RC, position 1, track 6)."/>
    <x v="49"/>
    <x v="2"/>
    <d v="2016-10-27T00:00:00"/>
    <d v="1899-12-30T08:30:33"/>
    <s v="Materials"/>
    <x v="0"/>
    <x v="2"/>
    <x v="3"/>
    <x v="0"/>
  </r>
  <r>
    <s v="Placement error (Anti Chromogenic Sub in rack RC, position 2, track 6)."/>
    <x v="49"/>
    <x v="2"/>
    <d v="2016-10-27T00:00:00"/>
    <d v="1899-12-30T08:30:33"/>
    <s v="Materials"/>
    <x v="0"/>
    <x v="2"/>
    <x v="3"/>
    <x v="0"/>
  </r>
  <r>
    <s v="Non-identified Sample in rack 11 position 1, track 10."/>
    <x v="12"/>
    <x v="2"/>
    <d v="2016-10-27T00:00:00"/>
    <d v="1899-12-30T08:40:35"/>
    <s v="Materials"/>
    <x v="0"/>
    <x v="4"/>
    <x v="7"/>
    <x v="1"/>
  </r>
  <r>
    <s v="Non-identified Sample in rack 11 position 2, track 10."/>
    <x v="12"/>
    <x v="2"/>
    <d v="2016-10-27T00:00:00"/>
    <d v="1899-12-30T08:40:35"/>
    <s v="Materials"/>
    <x v="0"/>
    <x v="4"/>
    <x v="7"/>
    <x v="1"/>
  </r>
  <r>
    <s v="Non-identified Sample in rack 11 position 3, track 10."/>
    <x v="12"/>
    <x v="2"/>
    <d v="2016-10-27T00:00:00"/>
    <d v="1899-12-30T08:40:35"/>
    <s v="Materials"/>
    <x v="0"/>
    <x v="4"/>
    <x v="7"/>
    <x v="1"/>
  </r>
  <r>
    <s v="Non-identified Sample in rack 11 position 4, track 10."/>
    <x v="12"/>
    <x v="2"/>
    <d v="2016-10-27T00:00:00"/>
    <d v="1899-12-30T08:40:35"/>
    <s v="Materials"/>
    <x v="0"/>
    <x v="4"/>
    <x v="7"/>
    <x v="1"/>
  </r>
  <r>
    <s v="Non-identified Sample in rack 11 position 5, track 10."/>
    <x v="12"/>
    <x v="2"/>
    <d v="2016-10-27T00:00:00"/>
    <d v="1899-12-30T08:40:35"/>
    <s v="Materials"/>
    <x v="0"/>
    <x v="4"/>
    <x v="7"/>
    <x v="1"/>
  </r>
  <r>
    <s v="Non-identified Sample in rack 11 position 6, track 10."/>
    <x v="12"/>
    <x v="2"/>
    <d v="2016-10-27T00:00:00"/>
    <d v="1899-12-30T08:40:35"/>
    <s v="Materials"/>
    <x v="0"/>
    <x v="4"/>
    <x v="7"/>
    <x v="1"/>
  </r>
  <r>
    <s v="Non-identified Sample in rack 11 position 7, track 10."/>
    <x v="12"/>
    <x v="2"/>
    <d v="2016-10-27T00:00:00"/>
    <d v="1899-12-30T08:40:35"/>
    <s v="Materials"/>
    <x v="0"/>
    <x v="4"/>
    <x v="7"/>
    <x v="1"/>
  </r>
  <r>
    <s v="Non-identified Sample in rack 11 position 8, track 10."/>
    <x v="12"/>
    <x v="2"/>
    <d v="2016-10-27T00:00:00"/>
    <d v="1899-12-30T08:40:35"/>
    <s v="Materials"/>
    <x v="0"/>
    <x v="4"/>
    <x v="7"/>
    <x v="1"/>
  </r>
  <r>
    <s v="Non-identified Sample in rack 11 position 9, track 10."/>
    <x v="12"/>
    <x v="2"/>
    <d v="2016-10-27T00:00:00"/>
    <d v="1899-12-30T08:40:35"/>
    <s v="Materials"/>
    <x v="0"/>
    <x v="4"/>
    <x v="7"/>
    <x v="1"/>
  </r>
  <r>
    <s v="Non-identified Sample in rack 11 position 10, track 10."/>
    <x v="12"/>
    <x v="2"/>
    <d v="2016-10-27T00:00:00"/>
    <d v="1899-12-30T08:40:35"/>
    <s v="Materials"/>
    <x v="0"/>
    <x v="4"/>
    <x v="7"/>
    <x v="1"/>
  </r>
  <r>
    <s v="Analyzer Status changed from Ready to Busy."/>
    <x v="0"/>
    <x v="0"/>
    <d v="2016-10-27T00:00:00"/>
    <d v="1899-12-30T08:41:54"/>
    <s v="Analyzer"/>
    <x v="0"/>
    <x v="0"/>
    <x v="0"/>
    <x v="0"/>
  </r>
  <r>
    <s v="Analyzer Status changed from Busy to Ready."/>
    <x v="0"/>
    <x v="0"/>
    <d v="2016-10-27T00:00:00"/>
    <d v="1899-12-30T08:48:26"/>
    <s v="Analyzer"/>
    <x v="0"/>
    <x v="0"/>
    <x v="0"/>
    <x v="0"/>
  </r>
  <r>
    <s v="Analyzer Status changed from Ready to Maintenance."/>
    <x v="0"/>
    <x v="0"/>
    <d v="2016-10-27T00:00:00"/>
    <d v="1899-12-30T08:48:26"/>
    <s v="Analyzer"/>
    <x v="0"/>
    <x v="0"/>
    <x v="0"/>
    <x v="0"/>
  </r>
  <r>
    <s v="Analyzer Status changed from Maintenance to Ready."/>
    <x v="0"/>
    <x v="0"/>
    <d v="2016-10-27T00:00:00"/>
    <d v="1899-12-30T08:48:54"/>
    <s v="Analyzer"/>
    <x v="0"/>
    <x v="0"/>
    <x v="0"/>
    <x v="0"/>
  </r>
  <r>
    <s v="Automatic maintenance activity Automatic Routine Clean for all Probes has been executed."/>
    <x v="2"/>
    <x v="0"/>
    <d v="2016-10-27T00:00:00"/>
    <d v="1899-12-30T08:48:54"/>
    <s v="Maintenance"/>
    <x v="0"/>
    <x v="2"/>
    <x v="2"/>
    <x v="0"/>
  </r>
  <r>
    <s v="Analyzer Status changed from Ready to Busy."/>
    <x v="0"/>
    <x v="0"/>
    <d v="2016-10-27T00:00:00"/>
    <d v="1899-12-30T08:53:19"/>
    <s v="Analyzer"/>
    <x v="0"/>
    <x v="0"/>
    <x v="0"/>
    <x v="0"/>
  </r>
  <r>
    <s v="Analyzer Status changed from Busy to Ready."/>
    <x v="0"/>
    <x v="0"/>
    <d v="2016-10-27T00:00:00"/>
    <d v="1899-12-30T08:59:48"/>
    <s v="Analyzer"/>
    <x v="0"/>
    <x v="0"/>
    <x v="0"/>
    <x v="0"/>
  </r>
  <r>
    <s v="Analyzer Status changed from Ready to Maintenance."/>
    <x v="0"/>
    <x v="0"/>
    <d v="2016-10-27T00:00:00"/>
    <d v="1899-12-30T08:59:48"/>
    <s v="Analyzer"/>
    <x v="0"/>
    <x v="0"/>
    <x v="0"/>
    <x v="0"/>
  </r>
  <r>
    <s v="Analyzer Status changed from Maintenance to Ready."/>
    <x v="0"/>
    <x v="0"/>
    <d v="2016-10-27T00:00:00"/>
    <d v="1899-12-30T09:00:17"/>
    <s v="Analyzer"/>
    <x v="0"/>
    <x v="0"/>
    <x v="0"/>
    <x v="0"/>
  </r>
  <r>
    <s v="Automatic maintenance activity Automatic Routine Clean for all Probes has been executed."/>
    <x v="2"/>
    <x v="0"/>
    <d v="2016-10-27T00:00:00"/>
    <d v="1899-12-30T09:00:17"/>
    <s v="Maintenance"/>
    <x v="0"/>
    <x v="2"/>
    <x v="2"/>
    <x v="0"/>
  </r>
  <r>
    <s v="Analyzer Status changed from Ready to Maintenance."/>
    <x v="0"/>
    <x v="0"/>
    <d v="2016-10-27T00:00:00"/>
    <d v="1899-12-30T10:00:17"/>
    <s v="Analyzer"/>
    <x v="0"/>
    <x v="0"/>
    <x v="0"/>
    <x v="0"/>
  </r>
  <r>
    <s v="Analyzer Status changed from Maintenance to Ready."/>
    <x v="0"/>
    <x v="0"/>
    <d v="2016-10-27T00:00:00"/>
    <d v="1899-12-30T10:00:39"/>
    <s v="Analyzer"/>
    <x v="0"/>
    <x v="0"/>
    <x v="0"/>
    <x v="0"/>
  </r>
  <r>
    <s v="Automatic maintenance activity Automatic Fluidic Line Priming Cycle has been executed."/>
    <x v="2"/>
    <x v="0"/>
    <d v="2016-10-27T00:00:00"/>
    <d v="1899-12-30T10:00:39"/>
    <s v="Maintenance"/>
    <x v="0"/>
    <x v="2"/>
    <x v="2"/>
    <x v="0"/>
  </r>
  <r>
    <s v="Automatic logout."/>
    <x v="62"/>
    <x v="0"/>
    <d v="2016-10-27T00:00:00"/>
    <d v="1899-12-30T10:06:58"/>
    <s v="Other"/>
    <x v="0"/>
    <x v="4"/>
    <x v="7"/>
    <x v="1"/>
  </r>
  <r>
    <s v="Successful log in by user: LHO."/>
    <x v="18"/>
    <x v="0"/>
    <d v="2016-10-27T00:00:00"/>
    <d v="1899-12-30T10:42:16"/>
    <s v="Other"/>
    <x v="0"/>
    <x v="2"/>
    <x v="5"/>
    <x v="0"/>
  </r>
  <r>
    <s v="Analyzer Status changed from Ready to Maintenance."/>
    <x v="0"/>
    <x v="0"/>
    <d v="2016-10-27T00:00:00"/>
    <d v="1899-12-30T11:00:39"/>
    <s v="Analyzer"/>
    <x v="0"/>
    <x v="0"/>
    <x v="0"/>
    <x v="0"/>
  </r>
  <r>
    <s v="Analyzer Status changed from Maintenance to Ready."/>
    <x v="0"/>
    <x v="0"/>
    <d v="2016-10-27T00:00:00"/>
    <d v="1899-12-30T11:01:01"/>
    <s v="Analyzer"/>
    <x v="0"/>
    <x v="0"/>
    <x v="0"/>
    <x v="0"/>
  </r>
  <r>
    <s v="Automatic maintenance activity Automatic Fluidic Line Priming Cycle has been executed."/>
    <x v="2"/>
    <x v="0"/>
    <d v="2016-10-27T00:00:00"/>
    <d v="1899-12-30T11:01:01"/>
    <s v="Maintenance"/>
    <x v="0"/>
    <x v="2"/>
    <x v="2"/>
    <x v="0"/>
  </r>
  <r>
    <s v="Non-identified Sample in rack 10 position 1, track 10."/>
    <x v="12"/>
    <x v="2"/>
    <d v="2016-10-27T00:00:00"/>
    <d v="1899-12-30T11:11:05"/>
    <s v="Materials"/>
    <x v="0"/>
    <x v="4"/>
    <x v="7"/>
    <x v="1"/>
  </r>
  <r>
    <s v="Non-identified Sample in rack 10 position 2, track 10."/>
    <x v="12"/>
    <x v="2"/>
    <d v="2016-10-27T00:00:00"/>
    <d v="1899-12-30T11:11:05"/>
    <s v="Materials"/>
    <x v="0"/>
    <x v="4"/>
    <x v="7"/>
    <x v="1"/>
  </r>
  <r>
    <s v="Non-identified Sample in rack 10 position 3, track 10."/>
    <x v="12"/>
    <x v="2"/>
    <d v="2016-10-27T00:00:00"/>
    <d v="1899-12-30T11:11:05"/>
    <s v="Materials"/>
    <x v="0"/>
    <x v="4"/>
    <x v="7"/>
    <x v="1"/>
  </r>
  <r>
    <s v="Non-identified Sample in rack 10 position 4, track 10."/>
    <x v="12"/>
    <x v="2"/>
    <d v="2016-10-27T00:00:00"/>
    <d v="1899-12-30T11:11:05"/>
    <s v="Materials"/>
    <x v="0"/>
    <x v="4"/>
    <x v="7"/>
    <x v="1"/>
  </r>
  <r>
    <s v="Non-identified Sample in rack 10 position 5, track 10."/>
    <x v="12"/>
    <x v="2"/>
    <d v="2016-10-27T00:00:00"/>
    <d v="1899-12-30T11:11:05"/>
    <s v="Materials"/>
    <x v="0"/>
    <x v="4"/>
    <x v="7"/>
    <x v="1"/>
  </r>
  <r>
    <s v="Analyzer Status changed from Ready to Busy."/>
    <x v="0"/>
    <x v="0"/>
    <d v="2016-10-27T00:00:00"/>
    <d v="1899-12-30T11:11:39"/>
    <s v="Analyzer"/>
    <x v="0"/>
    <x v="0"/>
    <x v="0"/>
    <x v="0"/>
  </r>
  <r>
    <s v="Analyzer Status changed from Busy to Ready."/>
    <x v="0"/>
    <x v="0"/>
    <d v="2016-10-27T00:00:00"/>
    <d v="1899-12-30T11:24:34"/>
    <s v="Analyzer"/>
    <x v="0"/>
    <x v="0"/>
    <x v="0"/>
    <x v="0"/>
  </r>
  <r>
    <s v="Analyzer Status changed from Ready to Maintenance."/>
    <x v="0"/>
    <x v="0"/>
    <d v="2016-10-27T00:00:00"/>
    <d v="1899-12-30T11:24:34"/>
    <s v="Analyzer"/>
    <x v="0"/>
    <x v="0"/>
    <x v="0"/>
    <x v="0"/>
  </r>
  <r>
    <s v="Analyzer Status changed from Maintenance to Ready."/>
    <x v="0"/>
    <x v="0"/>
    <d v="2016-10-27T00:00:00"/>
    <d v="1899-12-30T11:25:01"/>
    <s v="Analyzer"/>
    <x v="0"/>
    <x v="0"/>
    <x v="0"/>
    <x v="0"/>
  </r>
  <r>
    <s v="Automatic maintenance activity Automatic Routine Clean for all Probes has been executed."/>
    <x v="2"/>
    <x v="0"/>
    <d v="2016-10-27T00:00:00"/>
    <d v="1899-12-30T11:25:01"/>
    <s v="Maintenance"/>
    <x v="0"/>
    <x v="2"/>
    <x v="2"/>
    <x v="0"/>
  </r>
  <r>
    <s v="Analyzer Status changed from Ready to Busy."/>
    <x v="0"/>
    <x v="0"/>
    <d v="2016-10-27T00:00:00"/>
    <d v="1899-12-30T11:25:38"/>
    <s v="Analyzer"/>
    <x v="0"/>
    <x v="0"/>
    <x v="0"/>
    <x v="0"/>
  </r>
  <r>
    <s v="Analyzer Status changed from Busy to Ready."/>
    <x v="0"/>
    <x v="0"/>
    <d v="2016-10-27T00:00:00"/>
    <d v="1899-12-30T11:29:27"/>
    <s v="Analyzer"/>
    <x v="0"/>
    <x v="0"/>
    <x v="0"/>
    <x v="0"/>
  </r>
  <r>
    <s v="Analyzer Status changed from Ready to Maintenance."/>
    <x v="0"/>
    <x v="0"/>
    <d v="2016-10-27T00:00:00"/>
    <d v="1899-12-30T11:29:27"/>
    <s v="Analyzer"/>
    <x v="0"/>
    <x v="0"/>
    <x v="0"/>
    <x v="0"/>
  </r>
  <r>
    <s v="Analyzer Status changed from Maintenance to Ready."/>
    <x v="0"/>
    <x v="0"/>
    <d v="2016-10-27T00:00:00"/>
    <d v="1899-12-30T11:29:53"/>
    <s v="Analyzer"/>
    <x v="0"/>
    <x v="0"/>
    <x v="0"/>
    <x v="0"/>
  </r>
  <r>
    <s v="Automatic maintenance activity Automatic Routine Clean for all Probes has been executed."/>
    <x v="2"/>
    <x v="0"/>
    <d v="2016-10-27T00:00:00"/>
    <d v="1899-12-30T11:29:53"/>
    <s v="Maintenance"/>
    <x v="0"/>
    <x v="2"/>
    <x v="2"/>
    <x v="0"/>
  </r>
  <r>
    <s v="Test Definition UFH has been modified."/>
    <x v="14"/>
    <x v="0"/>
    <d v="2016-10-27T00:00:00"/>
    <d v="1899-12-30T12:19:21"/>
    <s v="Setup"/>
    <x v="0"/>
    <x v="2"/>
    <x v="5"/>
    <x v="0"/>
  </r>
  <r>
    <s v="Test Definition RIVA has been modified."/>
    <x v="14"/>
    <x v="0"/>
    <d v="2016-10-27T00:00:00"/>
    <d v="1899-12-30T12:19:37"/>
    <s v="Setup"/>
    <x v="0"/>
    <x v="2"/>
    <x v="5"/>
    <x v="0"/>
  </r>
  <r>
    <s v="Test Definition LMWH has been modified."/>
    <x v="14"/>
    <x v="0"/>
    <d v="2016-10-27T00:00:00"/>
    <d v="1899-12-30T12:19:57"/>
    <s v="Setup"/>
    <x v="0"/>
    <x v="2"/>
    <x v="5"/>
    <x v="0"/>
  </r>
  <r>
    <s v="Test Definition Hepz Fib has been modified."/>
    <x v="14"/>
    <x v="0"/>
    <d v="2016-10-27T00:00:00"/>
    <d v="1899-12-30T12:21:31"/>
    <s v="Setup"/>
    <x v="0"/>
    <x v="2"/>
    <x v="5"/>
    <x v="0"/>
  </r>
  <r>
    <s v="Test Definition Hepz HF has been modified."/>
    <x v="14"/>
    <x v="0"/>
    <d v="2016-10-27T00:00:00"/>
    <d v="1899-12-30T12:21:48"/>
    <s v="Setup"/>
    <x v="0"/>
    <x v="2"/>
    <x v="5"/>
    <x v="0"/>
  </r>
  <r>
    <s v="Test Definition Hepz LF has been modified."/>
    <x v="14"/>
    <x v="0"/>
    <d v="2016-10-27T00:00:00"/>
    <d v="1899-12-30T12:22:04"/>
    <s v="Setup"/>
    <x v="0"/>
    <x v="2"/>
    <x v="5"/>
    <x v="0"/>
  </r>
  <r>
    <s v="Test Definition Hepz LF has been modified."/>
    <x v="14"/>
    <x v="0"/>
    <d v="2016-10-27T00:00:00"/>
    <d v="1899-12-30T12:22:12"/>
    <s v="Setup"/>
    <x v="0"/>
    <x v="2"/>
    <x v="5"/>
    <x v="0"/>
  </r>
  <r>
    <s v="Analyzer Status changed from Ready to Maintenance."/>
    <x v="0"/>
    <x v="0"/>
    <d v="2016-10-27T00:00:00"/>
    <d v="1899-12-30T12:29:53"/>
    <s v="Analyzer"/>
    <x v="0"/>
    <x v="0"/>
    <x v="0"/>
    <x v="0"/>
  </r>
  <r>
    <s v="Automatic maintenance activity Automatic Fluidic Line Priming Cycle has been executed."/>
    <x v="2"/>
    <x v="0"/>
    <d v="2016-10-27T00:00:00"/>
    <d v="1899-12-30T12:30:14"/>
    <s v="Maintenance"/>
    <x v="0"/>
    <x v="2"/>
    <x v="2"/>
    <x v="0"/>
  </r>
  <r>
    <s v="Analyzer Status changed from Maintenance to Ready."/>
    <x v="0"/>
    <x v="0"/>
    <d v="2016-10-27T00:00:00"/>
    <d v="1899-12-30T12:30:15"/>
    <s v="Analyzer"/>
    <x v="0"/>
    <x v="0"/>
    <x v="0"/>
    <x v="0"/>
  </r>
  <r>
    <s v="Non-identified Sample in rack 12 position 1, track 8."/>
    <x v="12"/>
    <x v="2"/>
    <d v="2016-10-27T00:00:00"/>
    <d v="1899-12-30T12:36:39"/>
    <s v="Materials"/>
    <x v="0"/>
    <x v="4"/>
    <x v="7"/>
    <x v="1"/>
  </r>
  <r>
    <s v="Non-identified Sample in rack 12 position 2, track 8."/>
    <x v="12"/>
    <x v="2"/>
    <d v="2016-10-27T00:00:00"/>
    <d v="1899-12-30T12:36:39"/>
    <s v="Materials"/>
    <x v="0"/>
    <x v="4"/>
    <x v="7"/>
    <x v="1"/>
  </r>
  <r>
    <s v="Non-identified Sample in rack 12 position 3, track 8."/>
    <x v="12"/>
    <x v="2"/>
    <d v="2016-10-27T00:00:00"/>
    <d v="1899-12-30T12:36:39"/>
    <s v="Materials"/>
    <x v="0"/>
    <x v="4"/>
    <x v="7"/>
    <x v="1"/>
  </r>
  <r>
    <s v="Non-identified Sample in rack 12 position 4, track 8."/>
    <x v="12"/>
    <x v="2"/>
    <d v="2016-10-27T00:00:00"/>
    <d v="1899-12-30T12:36:39"/>
    <s v="Materials"/>
    <x v="0"/>
    <x v="4"/>
    <x v="7"/>
    <x v="1"/>
  </r>
  <r>
    <s v="Non-identified Sample in rack 12 position 5, track 8."/>
    <x v="12"/>
    <x v="2"/>
    <d v="2016-10-27T00:00:00"/>
    <d v="1899-12-30T12:36:39"/>
    <s v="Materials"/>
    <x v="0"/>
    <x v="4"/>
    <x v="7"/>
    <x v="1"/>
  </r>
  <r>
    <s v="Anti Chromogenic Sub volume low."/>
    <x v="7"/>
    <x v="1"/>
    <d v="2016-10-27T00:00:00"/>
    <d v="1899-12-30T12:37:38"/>
    <s v="Materials"/>
    <x v="0"/>
    <x v="3"/>
    <x v="4"/>
    <x v="0"/>
  </r>
  <r>
    <s v="Analyzer Status changed from Ready to Busy."/>
    <x v="0"/>
    <x v="0"/>
    <d v="2016-10-27T00:00:00"/>
    <d v="1899-12-30T12:38:18"/>
    <s v="Analyzer"/>
    <x v="0"/>
    <x v="0"/>
    <x v="0"/>
    <x v="0"/>
  </r>
  <r>
    <s v="RIVA Patient job not feasible. Waiting for Anti Chromogenic Sub."/>
    <x v="26"/>
    <x v="1"/>
    <d v="2016-10-27T00:00:00"/>
    <d v="1899-12-30T12:38:40"/>
    <s v="Materials"/>
    <x v="0"/>
    <x v="2"/>
    <x v="3"/>
    <x v="0"/>
  </r>
  <r>
    <s v="Anti Chromogenic Sub insufficient material to run additional calibration / test."/>
    <x v="32"/>
    <x v="2"/>
    <d v="2016-10-27T00:00:00"/>
    <d v="1899-12-30T12:39:55"/>
    <s v="Materials"/>
    <x v="0"/>
    <x v="3"/>
    <x v="4"/>
    <x v="0"/>
  </r>
  <r>
    <s v="Analyzer Status changed from Busy to Ready."/>
    <x v="0"/>
    <x v="0"/>
    <d v="2016-10-27T00:00:00"/>
    <d v="1899-12-30T12:42:35"/>
    <s v="Analyzer"/>
    <x v="0"/>
    <x v="0"/>
    <x v="0"/>
    <x v="0"/>
  </r>
  <r>
    <s v="Analyzer Status changed from Ready to Maintenance."/>
    <x v="0"/>
    <x v="0"/>
    <d v="2016-10-27T00:00:00"/>
    <d v="1899-12-30T12:42:35"/>
    <s v="Analyzer"/>
    <x v="0"/>
    <x v="0"/>
    <x v="0"/>
    <x v="0"/>
  </r>
  <r>
    <s v="Analyzer Status changed from Maintenance to Ready."/>
    <x v="0"/>
    <x v="0"/>
    <d v="2016-10-27T00:00:00"/>
    <d v="1899-12-30T12:43:04"/>
    <s v="Analyzer"/>
    <x v="0"/>
    <x v="0"/>
    <x v="0"/>
    <x v="0"/>
  </r>
  <r>
    <s v="Automatic maintenance activity Automatic Routine Clean for all Probes has been executed."/>
    <x v="2"/>
    <x v="0"/>
    <d v="2016-10-27T00:00:00"/>
    <d v="1899-12-30T12:43:04"/>
    <s v="Maintenance"/>
    <x v="0"/>
    <x v="2"/>
    <x v="2"/>
    <x v="0"/>
  </r>
  <r>
    <s v="Analyzer Status changed from Ready to Busy."/>
    <x v="0"/>
    <x v="0"/>
    <d v="2016-10-27T00:00:00"/>
    <d v="1899-12-30T12:48:05"/>
    <s v="Analyzer"/>
    <x v="0"/>
    <x v="0"/>
    <x v="0"/>
    <x v="0"/>
  </r>
  <r>
    <s v="Analyzer Status changed from Busy to Ready."/>
    <x v="0"/>
    <x v="0"/>
    <d v="2016-10-27T00:00:00"/>
    <d v="1899-12-30T12:53:16"/>
    <s v="Analyzer"/>
    <x v="0"/>
    <x v="0"/>
    <x v="0"/>
    <x v="0"/>
  </r>
  <r>
    <s v="Analyzer Status changed from Ready to Maintenance."/>
    <x v="0"/>
    <x v="0"/>
    <d v="2016-10-27T00:00:00"/>
    <d v="1899-12-30T12:53:16"/>
    <s v="Analyzer"/>
    <x v="0"/>
    <x v="0"/>
    <x v="0"/>
    <x v="0"/>
  </r>
  <r>
    <s v="Analyzer Status changed from Maintenance to Ready."/>
    <x v="0"/>
    <x v="0"/>
    <d v="2016-10-27T00:00:00"/>
    <d v="1899-12-30T12:53:43"/>
    <s v="Analyzer"/>
    <x v="0"/>
    <x v="0"/>
    <x v="0"/>
    <x v="0"/>
  </r>
  <r>
    <s v="Automatic maintenance activity Automatic Routine Clean for all Probes has been executed."/>
    <x v="2"/>
    <x v="0"/>
    <d v="2016-10-27T00:00:00"/>
    <d v="1899-12-30T12:53:43"/>
    <s v="Maintenance"/>
    <x v="0"/>
    <x v="2"/>
    <x v="2"/>
    <x v="0"/>
  </r>
  <r>
    <s v="Analyzer Status changed from Ready to Busy."/>
    <x v="0"/>
    <x v="0"/>
    <d v="2016-10-27T00:00:00"/>
    <d v="1899-12-30T13:04:53"/>
    <s v="Analyzer"/>
    <x v="0"/>
    <x v="0"/>
    <x v="0"/>
    <x v="0"/>
  </r>
  <r>
    <s v="Analyzer Status changed from Busy to Ready."/>
    <x v="0"/>
    <x v="0"/>
    <d v="2016-10-27T00:00:00"/>
    <d v="1899-12-30T13:09:36"/>
    <s v="Analyzer"/>
    <x v="0"/>
    <x v="0"/>
    <x v="0"/>
    <x v="0"/>
  </r>
  <r>
    <s v="Analyzer Status changed from Ready to Maintenance."/>
    <x v="0"/>
    <x v="0"/>
    <d v="2016-10-27T00:00:00"/>
    <d v="1899-12-30T13:09:36"/>
    <s v="Analyzer"/>
    <x v="0"/>
    <x v="0"/>
    <x v="0"/>
    <x v="0"/>
  </r>
  <r>
    <s v="Analyzer Status changed from Maintenance to Ready."/>
    <x v="0"/>
    <x v="0"/>
    <d v="2016-10-27T00:00:00"/>
    <d v="1899-12-30T13:10:05"/>
    <s v="Analyzer"/>
    <x v="0"/>
    <x v="0"/>
    <x v="0"/>
    <x v="0"/>
  </r>
  <r>
    <s v="Automatic maintenance activity Automatic Routine Clean for all Probes has been executed."/>
    <x v="2"/>
    <x v="0"/>
    <d v="2016-10-27T00:00:00"/>
    <d v="1899-12-30T13:10:05"/>
    <s v="Maintenance"/>
    <x v="0"/>
    <x v="2"/>
    <x v="2"/>
    <x v="0"/>
  </r>
  <r>
    <s v="User deleted RIVA Patient test order from sample Id CORR 8."/>
    <x v="55"/>
    <x v="0"/>
    <d v="2016-10-27T00:00:00"/>
    <d v="1899-12-30T13:14:13"/>
    <s v="Other"/>
    <x v="0"/>
    <x v="4"/>
    <x v="7"/>
    <x v="1"/>
  </r>
  <r>
    <s v="Analyzer Status changed from Ready to Busy."/>
    <x v="0"/>
    <x v="0"/>
    <d v="2016-10-27T00:00:00"/>
    <d v="1899-12-30T13:14:23"/>
    <s v="Analyzer"/>
    <x v="0"/>
    <x v="0"/>
    <x v="0"/>
    <x v="0"/>
  </r>
  <r>
    <s v="Analyzer Status changed from Busy to Ready."/>
    <x v="0"/>
    <x v="0"/>
    <d v="2016-10-27T00:00:00"/>
    <d v="1899-12-30T13:18:10"/>
    <s v="Analyzer"/>
    <x v="0"/>
    <x v="0"/>
    <x v="0"/>
    <x v="0"/>
  </r>
  <r>
    <s v="Analyzer Status changed from Ready to Maintenance."/>
    <x v="0"/>
    <x v="0"/>
    <d v="2016-10-27T00:00:00"/>
    <d v="1899-12-30T13:18:11"/>
    <s v="Analyzer"/>
    <x v="0"/>
    <x v="0"/>
    <x v="0"/>
    <x v="0"/>
  </r>
  <r>
    <s v="Analyzer Status changed from Maintenance to Ready."/>
    <x v="0"/>
    <x v="0"/>
    <d v="2016-10-27T00:00:00"/>
    <d v="1899-12-30T13:18:37"/>
    <s v="Analyzer"/>
    <x v="0"/>
    <x v="0"/>
    <x v="0"/>
    <x v="0"/>
  </r>
  <r>
    <s v="Automatic maintenance activity Automatic Routine Clean for all Probes has been executed."/>
    <x v="2"/>
    <x v="0"/>
    <d v="2016-10-27T00:00:00"/>
    <d v="1899-12-30T13:18:37"/>
    <s v="Maintenance"/>
    <x v="0"/>
    <x v="2"/>
    <x v="2"/>
    <x v="0"/>
  </r>
  <r>
    <s v="Analyzer Status changed from Ready to Maintenance."/>
    <x v="0"/>
    <x v="0"/>
    <d v="2016-10-27T00:00:00"/>
    <d v="1899-12-30T14:18:38"/>
    <s v="Analyzer"/>
    <x v="0"/>
    <x v="0"/>
    <x v="0"/>
    <x v="0"/>
  </r>
  <r>
    <s v="Non-identified Sample in rack 12 position 1, track 10."/>
    <x v="12"/>
    <x v="2"/>
    <d v="2016-10-27T00:00:00"/>
    <d v="1899-12-30T14:18:57"/>
    <s v="Materials"/>
    <x v="0"/>
    <x v="4"/>
    <x v="7"/>
    <x v="1"/>
  </r>
  <r>
    <s v="Non-identified Sample in rack 12 position 2, track 10."/>
    <x v="12"/>
    <x v="2"/>
    <d v="2016-10-27T00:00:00"/>
    <d v="1899-12-30T14:18:57"/>
    <s v="Materials"/>
    <x v="0"/>
    <x v="4"/>
    <x v="7"/>
    <x v="1"/>
  </r>
  <r>
    <s v="Non-identified Sample in rack 12 position 3, track 10."/>
    <x v="12"/>
    <x v="2"/>
    <d v="2016-10-27T00:00:00"/>
    <d v="1899-12-30T14:18:57"/>
    <s v="Materials"/>
    <x v="0"/>
    <x v="4"/>
    <x v="7"/>
    <x v="1"/>
  </r>
  <r>
    <s v="Non-identified Sample in rack 12 position 4, track 10."/>
    <x v="12"/>
    <x v="2"/>
    <d v="2016-10-27T00:00:00"/>
    <d v="1899-12-30T14:18:57"/>
    <s v="Materials"/>
    <x v="0"/>
    <x v="4"/>
    <x v="7"/>
    <x v="1"/>
  </r>
  <r>
    <s v="Non-identified Sample in rack 12 position 5, track 10."/>
    <x v="12"/>
    <x v="2"/>
    <d v="2016-10-27T00:00:00"/>
    <d v="1899-12-30T14:18:57"/>
    <s v="Materials"/>
    <x v="0"/>
    <x v="4"/>
    <x v="7"/>
    <x v="1"/>
  </r>
  <r>
    <s v="Analyzer Status changed from Maintenance to Ready."/>
    <x v="0"/>
    <x v="0"/>
    <d v="2016-10-27T00:00:00"/>
    <d v="1899-12-30T14:18:59"/>
    <s v="Analyzer"/>
    <x v="0"/>
    <x v="0"/>
    <x v="0"/>
    <x v="0"/>
  </r>
  <r>
    <s v="Automatic maintenance activity Automatic Fluidic Line Priming Cycle has been executed."/>
    <x v="2"/>
    <x v="0"/>
    <d v="2016-10-27T00:00:00"/>
    <d v="1899-12-30T14:18:59"/>
    <s v="Maintenance"/>
    <x v="0"/>
    <x v="2"/>
    <x v="2"/>
    <x v="0"/>
  </r>
  <r>
    <s v="Analyzer Status changed from Ready to Busy."/>
    <x v="0"/>
    <x v="0"/>
    <d v="2016-10-27T00:00:00"/>
    <d v="1899-12-30T14:19:29"/>
    <s v="Analyzer"/>
    <x v="0"/>
    <x v="0"/>
    <x v="0"/>
    <x v="0"/>
  </r>
  <r>
    <s v="Analyzer Status changed from Busy to Ready."/>
    <x v="0"/>
    <x v="0"/>
    <d v="2016-10-27T00:00:00"/>
    <d v="1899-12-30T14:24:14"/>
    <s v="Analyzer"/>
    <x v="0"/>
    <x v="0"/>
    <x v="0"/>
    <x v="0"/>
  </r>
  <r>
    <s v="Analyzer Status changed from Ready to Maintenance."/>
    <x v="0"/>
    <x v="0"/>
    <d v="2016-10-27T00:00:00"/>
    <d v="1899-12-30T14:24:14"/>
    <s v="Analyzer"/>
    <x v="0"/>
    <x v="0"/>
    <x v="0"/>
    <x v="0"/>
  </r>
  <r>
    <s v="Analyzer Status changed from Maintenance to Ready."/>
    <x v="0"/>
    <x v="0"/>
    <d v="2016-10-27T00:00:00"/>
    <d v="1899-12-30T14:24:43"/>
    <s v="Analyzer"/>
    <x v="0"/>
    <x v="0"/>
    <x v="0"/>
    <x v="0"/>
  </r>
  <r>
    <s v="Automatic maintenance activity Automatic Routine Clean for all Probes has been executed."/>
    <x v="2"/>
    <x v="0"/>
    <d v="2016-10-27T00:00:00"/>
    <d v="1899-12-30T14:24:43"/>
    <s v="Maintenance"/>
    <x v="0"/>
    <x v="2"/>
    <x v="2"/>
    <x v="0"/>
  </r>
  <r>
    <s v="Analyzer Status changed from Ready to Busy."/>
    <x v="0"/>
    <x v="0"/>
    <d v="2016-10-27T00:00:00"/>
    <d v="1899-12-30T14:25:06"/>
    <s v="Analyzer"/>
    <x v="0"/>
    <x v="0"/>
    <x v="0"/>
    <x v="0"/>
  </r>
  <r>
    <s v="Anti Chromogenic Sub volume low."/>
    <x v="7"/>
    <x v="1"/>
    <d v="2016-10-27T00:00:00"/>
    <d v="1899-12-30T14:26:20"/>
    <s v="Materials"/>
    <x v="0"/>
    <x v="3"/>
    <x v="4"/>
    <x v="0"/>
  </r>
  <r>
    <s v="Anti Chromogenic Sub insufficient material to run additional calibration / test."/>
    <x v="32"/>
    <x v="2"/>
    <d v="2016-10-27T00:00:00"/>
    <d v="1899-12-30T14:33:02"/>
    <s v="Materials"/>
    <x v="0"/>
    <x v="3"/>
    <x v="4"/>
    <x v="0"/>
  </r>
  <r>
    <s v="Analyzer Status changed from Busy to Ready."/>
    <x v="0"/>
    <x v="0"/>
    <d v="2016-10-27T00:00:00"/>
    <d v="1899-12-30T14:35:38"/>
    <s v="Analyzer"/>
    <x v="0"/>
    <x v="0"/>
    <x v="0"/>
    <x v="0"/>
  </r>
  <r>
    <s v="Analyzer Status changed from Ready to Maintenance."/>
    <x v="0"/>
    <x v="0"/>
    <d v="2016-10-27T00:00:00"/>
    <d v="1899-12-30T14:35:38"/>
    <s v="Analyzer"/>
    <x v="0"/>
    <x v="0"/>
    <x v="0"/>
    <x v="0"/>
  </r>
  <r>
    <s v="Automatic maintenance activity Automatic Routine Clean for all Probes has been executed."/>
    <x v="2"/>
    <x v="0"/>
    <d v="2016-10-27T00:00:00"/>
    <d v="1899-12-30T14:36:04"/>
    <s v="Maintenance"/>
    <x v="0"/>
    <x v="2"/>
    <x v="2"/>
    <x v="0"/>
  </r>
  <r>
    <s v="Analyzer Status changed from Maintenance to Ready."/>
    <x v="0"/>
    <x v="0"/>
    <d v="2016-10-27T00:00:00"/>
    <d v="1899-12-30T14:36:05"/>
    <s v="Analyzer"/>
    <x v="0"/>
    <x v="0"/>
    <x v="0"/>
    <x v="0"/>
  </r>
  <r>
    <s v="Analyzer Status changed from Ready to Maintenance."/>
    <x v="0"/>
    <x v="0"/>
    <d v="2016-10-27T00:00:00"/>
    <d v="1899-12-30T15:36:05"/>
    <s v="Analyzer"/>
    <x v="0"/>
    <x v="0"/>
    <x v="0"/>
    <x v="0"/>
  </r>
  <r>
    <s v="Analyzer Status changed from Maintenance to Ready."/>
    <x v="0"/>
    <x v="0"/>
    <d v="2016-10-27T00:00:00"/>
    <d v="1899-12-30T15:36:27"/>
    <s v="Analyzer"/>
    <x v="0"/>
    <x v="0"/>
    <x v="0"/>
    <x v="0"/>
  </r>
  <r>
    <s v="Automatic maintenance activity Automatic Fluidic Line Priming Cycle has been executed."/>
    <x v="2"/>
    <x v="0"/>
    <d v="2016-10-27T00:00:00"/>
    <d v="1899-12-30T15:36:27"/>
    <s v="Maintenance"/>
    <x v="0"/>
    <x v="2"/>
    <x v="2"/>
    <x v="0"/>
  </r>
  <r>
    <s v="Analyzer Status changed from Ready to Maintenance."/>
    <x v="0"/>
    <x v="0"/>
    <d v="2016-10-27T00:00:00"/>
    <d v="1899-12-30T16:36:27"/>
    <s v="Analyzer"/>
    <x v="0"/>
    <x v="0"/>
    <x v="0"/>
    <x v="0"/>
  </r>
  <r>
    <s v="Automatic maintenance activity Automatic Fluidic Line Priming Cycle has been executed."/>
    <x v="2"/>
    <x v="0"/>
    <d v="2016-10-27T00:00:00"/>
    <d v="1899-12-30T16:36:48"/>
    <s v="Maintenance"/>
    <x v="0"/>
    <x v="2"/>
    <x v="2"/>
    <x v="0"/>
  </r>
  <r>
    <s v="Analyzer Status changed from Maintenance to Ready."/>
    <x v="0"/>
    <x v="0"/>
    <d v="2016-10-27T00:00:00"/>
    <d v="1899-12-30T16:36:49"/>
    <s v="Analyzer"/>
    <x v="0"/>
    <x v="0"/>
    <x v="0"/>
    <x v="0"/>
  </r>
  <r>
    <s v="Automatic logout."/>
    <x v="62"/>
    <x v="0"/>
    <d v="2016-10-27T00:00:00"/>
    <d v="1899-12-30T16:48:38"/>
    <s v="Other"/>
    <x v="0"/>
    <x v="4"/>
    <x v="7"/>
    <x v="1"/>
  </r>
  <r>
    <s v="Analyzer Status changed from Ready to Maintenance."/>
    <x v="0"/>
    <x v="0"/>
    <d v="2016-10-27T00:00:00"/>
    <d v="1899-12-30T17:36:49"/>
    <s v="Analyzer"/>
    <x v="1"/>
    <x v="0"/>
    <x v="0"/>
    <x v="0"/>
  </r>
  <r>
    <s v="Automatic maintenance activity Automatic Fluidic Line Priming Cycle has been executed."/>
    <x v="2"/>
    <x v="0"/>
    <d v="2016-10-27T00:00:00"/>
    <d v="1899-12-30T17:37:10"/>
    <s v="Maintenance"/>
    <x v="1"/>
    <x v="2"/>
    <x v="2"/>
    <x v="0"/>
  </r>
  <r>
    <s v="Analyzer Status changed from Maintenance to Ready."/>
    <x v="0"/>
    <x v="0"/>
    <d v="2016-10-27T00:00:00"/>
    <d v="1899-12-30T17:37:11"/>
    <s v="Analyzer"/>
    <x v="1"/>
    <x v="0"/>
    <x v="0"/>
    <x v="0"/>
  </r>
  <r>
    <s v="Analyzer Status changed from Ready to Maintenance."/>
    <x v="0"/>
    <x v="0"/>
    <d v="2016-10-27T00:00:00"/>
    <d v="1899-12-30T18:37:11"/>
    <s v="Analyzer"/>
    <x v="1"/>
    <x v="0"/>
    <x v="0"/>
    <x v="0"/>
  </r>
  <r>
    <s v="Analyzer Status changed from Maintenance to Ready."/>
    <x v="0"/>
    <x v="0"/>
    <d v="2016-10-27T00:00:00"/>
    <d v="1899-12-30T18:37:32"/>
    <s v="Analyzer"/>
    <x v="1"/>
    <x v="0"/>
    <x v="0"/>
    <x v="0"/>
  </r>
  <r>
    <s v="Automatic maintenance activity Automatic Fluidic Line Priming Cycle has been executed."/>
    <x v="2"/>
    <x v="0"/>
    <d v="2016-10-27T00:00:00"/>
    <d v="1899-12-30T18:37:32"/>
    <s v="Maintenance"/>
    <x v="1"/>
    <x v="2"/>
    <x v="2"/>
    <x v="0"/>
  </r>
  <r>
    <s v="Analyzer Status changed from Ready to Maintenance."/>
    <x v="0"/>
    <x v="0"/>
    <d v="2016-10-27T00:00:00"/>
    <d v="1899-12-30T19:37:33"/>
    <s v="Analyzer"/>
    <x v="1"/>
    <x v="0"/>
    <x v="0"/>
    <x v="0"/>
  </r>
  <r>
    <s v="Analyzer Status changed from Maintenance to Ready."/>
    <x v="0"/>
    <x v="0"/>
    <d v="2016-10-27T00:00:00"/>
    <d v="1899-12-30T19:37:54"/>
    <s v="Analyzer"/>
    <x v="1"/>
    <x v="0"/>
    <x v="0"/>
    <x v="0"/>
  </r>
  <r>
    <s v="Automatic maintenance activity Automatic Fluidic Line Priming Cycle has been executed."/>
    <x v="2"/>
    <x v="0"/>
    <d v="2016-10-27T00:00:00"/>
    <d v="1899-12-30T19:37:54"/>
    <s v="Maintenance"/>
    <x v="1"/>
    <x v="2"/>
    <x v="2"/>
    <x v="0"/>
  </r>
  <r>
    <s v="Analyzer Status changed from Ready to Maintenance."/>
    <x v="0"/>
    <x v="0"/>
    <d v="2016-10-27T00:00:00"/>
    <d v="1899-12-30T20:37:54"/>
    <s v="Analyzer"/>
    <x v="1"/>
    <x v="0"/>
    <x v="0"/>
    <x v="0"/>
  </r>
  <r>
    <s v="Analyzer Status changed from Maintenance to Ready."/>
    <x v="0"/>
    <x v="0"/>
    <d v="2016-10-27T00:00:00"/>
    <d v="1899-12-30T20:38:16"/>
    <s v="Analyzer"/>
    <x v="1"/>
    <x v="0"/>
    <x v="0"/>
    <x v="0"/>
  </r>
  <r>
    <s v="Automatic maintenance activity Automatic Fluidic Line Priming Cycle has been executed."/>
    <x v="2"/>
    <x v="0"/>
    <d v="2016-10-27T00:00:00"/>
    <d v="1899-12-30T20:38:16"/>
    <s v="Maintenance"/>
    <x v="1"/>
    <x v="2"/>
    <x v="2"/>
    <x v="0"/>
  </r>
  <r>
    <s v="Analyzer Status changed from Ready to Maintenance."/>
    <x v="0"/>
    <x v="0"/>
    <d v="2016-10-27T00:00:00"/>
    <d v="1899-12-30T21:38:16"/>
    <s v="Analyzer"/>
    <x v="1"/>
    <x v="0"/>
    <x v="0"/>
    <x v="0"/>
  </r>
  <r>
    <s v="Analyzer Status changed from Maintenance to Ready."/>
    <x v="0"/>
    <x v="0"/>
    <d v="2016-10-27T00:00:00"/>
    <d v="1899-12-30T21:38:38"/>
    <s v="Analyzer"/>
    <x v="1"/>
    <x v="0"/>
    <x v="0"/>
    <x v="0"/>
  </r>
  <r>
    <s v="Automatic maintenance activity Automatic Fluidic Line Priming Cycle has been executed."/>
    <x v="2"/>
    <x v="0"/>
    <d v="2016-10-27T00:00:00"/>
    <d v="1899-12-30T21:38:38"/>
    <s v="Maintenance"/>
    <x v="1"/>
    <x v="2"/>
    <x v="2"/>
    <x v="0"/>
  </r>
  <r>
    <s v="Analyzer Status changed from Ready to Maintenance."/>
    <x v="0"/>
    <x v="0"/>
    <d v="2016-10-27T00:00:00"/>
    <d v="1899-12-30T22:38:38"/>
    <s v="Analyzer"/>
    <x v="1"/>
    <x v="0"/>
    <x v="0"/>
    <x v="0"/>
  </r>
  <r>
    <s v="Analyzer Status changed from Maintenance to Ready."/>
    <x v="0"/>
    <x v="0"/>
    <d v="2016-10-27T00:00:00"/>
    <d v="1899-12-30T22:39:00"/>
    <s v="Analyzer"/>
    <x v="1"/>
    <x v="0"/>
    <x v="0"/>
    <x v="0"/>
  </r>
  <r>
    <s v="Automatic maintenance activity Automatic Fluidic Line Priming Cycle has been executed."/>
    <x v="2"/>
    <x v="0"/>
    <d v="2016-10-27T00:00:00"/>
    <d v="1899-12-30T22:39:00"/>
    <s v="Maintenance"/>
    <x v="1"/>
    <x v="2"/>
    <x v="2"/>
    <x v="0"/>
  </r>
  <r>
    <s v="Analyzer Status changed from Ready to Maintenance."/>
    <x v="0"/>
    <x v="0"/>
    <d v="2016-10-27T00:00:00"/>
    <d v="1899-12-30T23:39:00"/>
    <s v="Analyzer"/>
    <x v="1"/>
    <x v="0"/>
    <x v="0"/>
    <x v="0"/>
  </r>
  <r>
    <s v="Analyzer Status changed from Maintenance to Ready."/>
    <x v="0"/>
    <x v="0"/>
    <d v="2016-10-27T00:00:00"/>
    <d v="1899-12-30T23:39:22"/>
    <s v="Analyzer"/>
    <x v="1"/>
    <x v="0"/>
    <x v="0"/>
    <x v="0"/>
  </r>
  <r>
    <s v="Automatic maintenance activity Automatic Fluidic Line Priming Cycle has been executed."/>
    <x v="2"/>
    <x v="0"/>
    <d v="2016-10-27T00:00:00"/>
    <d v="1899-12-30T23:39:22"/>
    <s v="Maintenance"/>
    <x v="1"/>
    <x v="2"/>
    <x v="2"/>
    <x v="0"/>
  </r>
  <r>
    <s v="Analyzer Status changed from Ready to Maintenance."/>
    <x v="0"/>
    <x v="0"/>
    <d v="2016-10-28T00:00:00"/>
    <d v="1899-12-30T00:39:22"/>
    <s v="Analyzer"/>
    <x v="1"/>
    <x v="0"/>
    <x v="0"/>
    <x v="0"/>
  </r>
  <r>
    <s v="Analyzer Status changed from Maintenance to Ready."/>
    <x v="0"/>
    <x v="0"/>
    <d v="2016-10-28T00:00:00"/>
    <d v="1899-12-30T00:39:44"/>
    <s v="Analyzer"/>
    <x v="1"/>
    <x v="0"/>
    <x v="0"/>
    <x v="0"/>
  </r>
  <r>
    <s v="Automatic maintenance activity Automatic Fluidic Line Priming Cycle has been executed."/>
    <x v="2"/>
    <x v="0"/>
    <d v="2016-10-28T00:00:00"/>
    <d v="1899-12-30T00:39:44"/>
    <s v="Maintenance"/>
    <x v="1"/>
    <x v="2"/>
    <x v="2"/>
    <x v="0"/>
  </r>
  <r>
    <s v="Analyzer Status changed from Ready to Maintenance."/>
    <x v="0"/>
    <x v="0"/>
    <d v="2016-10-28T00:00:00"/>
    <d v="1899-12-30T01:39:44"/>
    <s v="Analyzer"/>
    <x v="1"/>
    <x v="0"/>
    <x v="0"/>
    <x v="0"/>
  </r>
  <r>
    <s v="Automatic maintenance activity Automatic Fluidic Line Priming Cycle has been executed."/>
    <x v="2"/>
    <x v="0"/>
    <d v="2016-10-28T00:00:00"/>
    <d v="1899-12-30T01:40:05"/>
    <s v="Maintenance"/>
    <x v="1"/>
    <x v="2"/>
    <x v="2"/>
    <x v="0"/>
  </r>
  <r>
    <s v="Analyzer Status changed from Maintenance to Ready."/>
    <x v="0"/>
    <x v="0"/>
    <d v="2016-10-28T00:00:00"/>
    <d v="1899-12-30T01:40:06"/>
    <s v="Analyzer"/>
    <x v="1"/>
    <x v="0"/>
    <x v="0"/>
    <x v="0"/>
  </r>
  <r>
    <s v="Analyzer Status changed from Ready to Maintenance."/>
    <x v="0"/>
    <x v="0"/>
    <d v="2016-10-28T00:00:00"/>
    <d v="1899-12-30T02:40:06"/>
    <s v="Analyzer"/>
    <x v="1"/>
    <x v="0"/>
    <x v="0"/>
    <x v="0"/>
  </r>
  <r>
    <s v="Automatic maintenance activity Automatic Fluidic Line Priming Cycle has been executed."/>
    <x v="2"/>
    <x v="0"/>
    <d v="2016-10-28T00:00:00"/>
    <d v="1899-12-30T02:40:27"/>
    <s v="Maintenance"/>
    <x v="1"/>
    <x v="2"/>
    <x v="2"/>
    <x v="0"/>
  </r>
  <r>
    <s v="Analyzer Status changed from Maintenance to Ready."/>
    <x v="0"/>
    <x v="0"/>
    <d v="2016-10-28T00:00:00"/>
    <d v="1899-12-30T02:40:28"/>
    <s v="Analyzer"/>
    <x v="1"/>
    <x v="0"/>
    <x v="0"/>
    <x v="0"/>
  </r>
  <r>
    <s v="Analyzer Status changed from Ready to Maintenance."/>
    <x v="0"/>
    <x v="0"/>
    <d v="2016-10-28T00:00:00"/>
    <d v="1899-12-30T03:40:28"/>
    <s v="Analyzer"/>
    <x v="1"/>
    <x v="0"/>
    <x v="0"/>
    <x v="0"/>
  </r>
  <r>
    <s v="Analyzer Status changed from Maintenance to Ready."/>
    <x v="0"/>
    <x v="0"/>
    <d v="2016-10-28T00:00:00"/>
    <d v="1899-12-30T03:40:49"/>
    <s v="Analyzer"/>
    <x v="1"/>
    <x v="0"/>
    <x v="0"/>
    <x v="0"/>
  </r>
  <r>
    <s v="Automatic maintenance activity Automatic Fluidic Line Priming Cycle has been executed."/>
    <x v="2"/>
    <x v="0"/>
    <d v="2016-10-28T00:00:00"/>
    <d v="1899-12-30T03:40:49"/>
    <s v="Maintenance"/>
    <x v="1"/>
    <x v="2"/>
    <x v="2"/>
    <x v="0"/>
  </r>
  <r>
    <s v="Analyzer Status changed from Ready to Maintenance."/>
    <x v="0"/>
    <x v="0"/>
    <d v="2016-10-28T00:00:00"/>
    <d v="1899-12-30T04:40:50"/>
    <s v="Analyzer"/>
    <x v="1"/>
    <x v="0"/>
    <x v="0"/>
    <x v="0"/>
  </r>
  <r>
    <s v="Analyzer Status changed from Maintenance to Ready."/>
    <x v="0"/>
    <x v="0"/>
    <d v="2016-10-28T00:00:00"/>
    <d v="1899-12-30T04:41:11"/>
    <s v="Analyzer"/>
    <x v="1"/>
    <x v="0"/>
    <x v="0"/>
    <x v="0"/>
  </r>
  <r>
    <s v="Automatic maintenance activity Automatic Fluidic Line Priming Cycle has been executed."/>
    <x v="2"/>
    <x v="0"/>
    <d v="2016-10-28T00:00:00"/>
    <d v="1899-12-30T04:41:11"/>
    <s v="Maintenance"/>
    <x v="1"/>
    <x v="2"/>
    <x v="2"/>
    <x v="0"/>
  </r>
  <r>
    <s v="Analyzer Status changed from Ready to Maintenance."/>
    <x v="0"/>
    <x v="0"/>
    <d v="2016-10-28T00:00:00"/>
    <d v="1899-12-30T05:41:11"/>
    <s v="Analyzer"/>
    <x v="1"/>
    <x v="0"/>
    <x v="0"/>
    <x v="0"/>
  </r>
  <r>
    <s v="Analyzer Status changed from Maintenance to Ready."/>
    <x v="0"/>
    <x v="0"/>
    <d v="2016-10-28T00:00:00"/>
    <d v="1899-12-30T05:41:33"/>
    <s v="Analyzer"/>
    <x v="1"/>
    <x v="0"/>
    <x v="0"/>
    <x v="0"/>
  </r>
  <r>
    <s v="Automatic maintenance activity Automatic Fluidic Line Priming Cycle has been executed."/>
    <x v="2"/>
    <x v="0"/>
    <d v="2016-10-28T00:00:00"/>
    <d v="1899-12-30T05:41:33"/>
    <s v="Maintenance"/>
    <x v="1"/>
    <x v="2"/>
    <x v="2"/>
    <x v="0"/>
  </r>
  <r>
    <s v="Maintenance activity due: Enhanced Clean for all Probes."/>
    <x v="9"/>
    <x v="1"/>
    <d v="2016-10-28T00:00:00"/>
    <d v="1899-12-30T06:22:15"/>
    <s v="Maintenance"/>
    <x v="1"/>
    <x v="2"/>
    <x v="2"/>
    <x v="0"/>
  </r>
  <r>
    <s v="Maintenance activity due: Enhanced Clean for Sample and Reagent Probes."/>
    <x v="9"/>
    <x v="1"/>
    <d v="2016-10-28T00:00:00"/>
    <d v="1899-12-30T06:22:15"/>
    <s v="Maintenance"/>
    <x v="1"/>
    <x v="2"/>
    <x v="2"/>
    <x v="0"/>
  </r>
  <r>
    <s v="Maintenance activity due: make new diluted clean B."/>
    <x v="9"/>
    <x v="1"/>
    <d v="2016-10-28T00:00:00"/>
    <d v="1899-12-30T06:26:52"/>
    <s v="Maintenance"/>
    <x v="1"/>
    <x v="2"/>
    <x v="2"/>
    <x v="0"/>
  </r>
  <r>
    <s v="Maintenance activity due: replace factor diluent."/>
    <x v="9"/>
    <x v="1"/>
    <d v="2016-10-28T00:00:00"/>
    <d v="1899-12-30T06:27:02"/>
    <s v="Maintenance"/>
    <x v="1"/>
    <x v="2"/>
    <x v="2"/>
    <x v="0"/>
  </r>
  <r>
    <s v="Analyzer Status changed from Ready to Maintenance."/>
    <x v="0"/>
    <x v="0"/>
    <d v="2016-10-28T00:00:00"/>
    <d v="1899-12-30T06:41:33"/>
    <s v="Analyzer"/>
    <x v="1"/>
    <x v="0"/>
    <x v="0"/>
    <x v="0"/>
  </r>
  <r>
    <s v="Analyzer Status changed from Maintenance to Ready."/>
    <x v="0"/>
    <x v="0"/>
    <d v="2016-10-28T00:00:00"/>
    <d v="1899-12-30T06:41:55"/>
    <s v="Analyzer"/>
    <x v="1"/>
    <x v="0"/>
    <x v="0"/>
    <x v="0"/>
  </r>
  <r>
    <s v="Automatic maintenance activity Automatic Fluidic Line Priming Cycle has been executed."/>
    <x v="2"/>
    <x v="0"/>
    <d v="2016-10-28T00:00:00"/>
    <d v="1899-12-30T06:41:55"/>
    <s v="Maintenance"/>
    <x v="1"/>
    <x v="2"/>
    <x v="2"/>
    <x v="0"/>
  </r>
  <r>
    <s v="Maintenance activity overdue: Enhanced Clean for all Probes."/>
    <x v="20"/>
    <x v="1"/>
    <d v="2016-10-28T00:00:00"/>
    <d v="1899-12-30T07:22:15"/>
    <s v="Maintenance"/>
    <x v="1"/>
    <x v="2"/>
    <x v="2"/>
    <x v="0"/>
  </r>
  <r>
    <s v="Maintenance activity overdue: Enhanced Clean for Sample and Reagent Probes."/>
    <x v="20"/>
    <x v="1"/>
    <d v="2016-10-28T00:00:00"/>
    <d v="1899-12-30T07:22:15"/>
    <s v="Maintenance"/>
    <x v="1"/>
    <x v="2"/>
    <x v="2"/>
    <x v="0"/>
  </r>
  <r>
    <s v="Maintenance activity overdue: make new diluted clean B."/>
    <x v="20"/>
    <x v="1"/>
    <d v="2016-10-28T00:00:00"/>
    <d v="1899-12-30T07:26:52"/>
    <s v="Maintenance"/>
    <x v="1"/>
    <x v="2"/>
    <x v="2"/>
    <x v="0"/>
  </r>
  <r>
    <s v="Maintenance activity overdue: replace factor diluent."/>
    <x v="20"/>
    <x v="1"/>
    <d v="2016-10-28T00:00:00"/>
    <d v="1899-12-30T07:27:02"/>
    <s v="Maintenance"/>
    <x v="1"/>
    <x v="2"/>
    <x v="2"/>
    <x v="0"/>
  </r>
  <r>
    <s v="Analyzer Status changed from Ready to Maintenance."/>
    <x v="0"/>
    <x v="0"/>
    <d v="2016-10-28T00:00:00"/>
    <d v="1899-12-30T07:41:56"/>
    <s v="Analyzer"/>
    <x v="1"/>
    <x v="0"/>
    <x v="0"/>
    <x v="0"/>
  </r>
  <r>
    <s v="Analyzer Status changed from Maintenance to Ready."/>
    <x v="0"/>
    <x v="0"/>
    <d v="2016-10-28T00:00:00"/>
    <d v="1899-12-30T07:43:30"/>
    <s v="Analyzer"/>
    <x v="1"/>
    <x v="0"/>
    <x v="0"/>
    <x v="0"/>
  </r>
  <r>
    <s v="Automatic maintenance activity Automatic Fluidic Line Priming Cycle has been executed."/>
    <x v="2"/>
    <x v="0"/>
    <d v="2016-10-28T00:00:00"/>
    <d v="1899-12-30T07:43:30"/>
    <s v="Maintenance"/>
    <x v="1"/>
    <x v="2"/>
    <x v="2"/>
    <x v="0"/>
  </r>
  <r>
    <s v="Analyzer Status changed from Ready to Maintenance."/>
    <x v="0"/>
    <x v="0"/>
    <d v="2016-10-28T00:00:00"/>
    <d v="1899-12-30T08:43:30"/>
    <s v="Analyzer"/>
    <x v="1"/>
    <x v="0"/>
    <x v="0"/>
    <x v="0"/>
  </r>
  <r>
    <s v="Clean solution level low."/>
    <x v="19"/>
    <x v="1"/>
    <d v="2016-10-28T00:00:00"/>
    <d v="1899-12-30T08:43:44"/>
    <s v="Materials"/>
    <x v="1"/>
    <x v="1"/>
    <x v="10"/>
    <x v="0"/>
  </r>
  <r>
    <s v="Analyzer Status changed from Maintenance to Ready."/>
    <x v="0"/>
    <x v="0"/>
    <d v="2016-10-28T00:00:00"/>
    <d v="1899-12-30T08:43:52"/>
    <s v="Analyzer"/>
    <x v="1"/>
    <x v="0"/>
    <x v="0"/>
    <x v="0"/>
  </r>
  <r>
    <s v="Automatic maintenance activity Automatic Fluidic Line Priming Cycle has been executed."/>
    <x v="2"/>
    <x v="0"/>
    <d v="2016-10-28T00:00:00"/>
    <d v="1899-12-30T08:43:52"/>
    <s v="Maintenance"/>
    <x v="1"/>
    <x v="2"/>
    <x v="2"/>
    <x v="0"/>
  </r>
  <r>
    <s v="Analyzer Status changed from Ready to Maintenance."/>
    <x v="0"/>
    <x v="0"/>
    <d v="2016-10-28T00:00:00"/>
    <d v="1899-12-30T09:43:52"/>
    <s v="Analyzer"/>
    <x v="1"/>
    <x v="0"/>
    <x v="0"/>
    <x v="0"/>
  </r>
  <r>
    <s v="Analyzer Status changed from Maintenance to Ready."/>
    <x v="0"/>
    <x v="0"/>
    <d v="2016-10-28T00:00:00"/>
    <d v="1899-12-30T09:44:14"/>
    <s v="Analyzer"/>
    <x v="1"/>
    <x v="0"/>
    <x v="0"/>
    <x v="0"/>
  </r>
  <r>
    <s v="Automatic maintenance activity Automatic Fluidic Line Priming Cycle has been executed."/>
    <x v="2"/>
    <x v="0"/>
    <d v="2016-10-28T00:00:00"/>
    <d v="1899-12-30T09:44:14"/>
    <s v="Maintenance"/>
    <x v="1"/>
    <x v="2"/>
    <x v="2"/>
    <x v="0"/>
  </r>
  <r>
    <s v="Analyzer Status changed from Ready to Maintenance."/>
    <x v="0"/>
    <x v="0"/>
    <d v="2016-10-28T00:00:00"/>
    <d v="1899-12-30T10:44:14"/>
    <s v="Analyzer"/>
    <x v="1"/>
    <x v="0"/>
    <x v="0"/>
    <x v="0"/>
  </r>
  <r>
    <s v="Automatic maintenance activity Automatic Fluidic Line Priming Cycle has been executed."/>
    <x v="2"/>
    <x v="0"/>
    <d v="2016-10-28T00:00:00"/>
    <d v="1899-12-30T10:44:35"/>
    <s v="Maintenance"/>
    <x v="1"/>
    <x v="2"/>
    <x v="2"/>
    <x v="0"/>
  </r>
  <r>
    <s v="Analyzer Status changed from Maintenance to Ready."/>
    <x v="0"/>
    <x v="0"/>
    <d v="2016-10-28T00:00:00"/>
    <d v="1899-12-30T10:44:36"/>
    <s v="Analyzer"/>
    <x v="1"/>
    <x v="0"/>
    <x v="0"/>
    <x v="0"/>
  </r>
  <r>
    <s v="Successful log in by user: LHO."/>
    <x v="18"/>
    <x v="0"/>
    <d v="2016-10-28T00:00:00"/>
    <d v="1899-12-30T10:52:21"/>
    <s v="Other"/>
    <x v="0"/>
    <x v="2"/>
    <x v="5"/>
    <x v="0"/>
  </r>
  <r>
    <s v="Analyzer Status changed from Ready to Maintenance."/>
    <x v="0"/>
    <x v="0"/>
    <d v="2016-10-28T00:00:00"/>
    <d v="1899-12-30T10:57:23"/>
    <s v="Analyzer"/>
    <x v="0"/>
    <x v="0"/>
    <x v="0"/>
    <x v="0"/>
  </r>
  <r>
    <s v="Analyzer Status changed from Maintenance to Ready."/>
    <x v="0"/>
    <x v="0"/>
    <d v="2016-10-28T00:00:00"/>
    <d v="1899-12-30T11:01:50"/>
    <s v="Analyzer"/>
    <x v="0"/>
    <x v="0"/>
    <x v="0"/>
    <x v="0"/>
  </r>
  <r>
    <s v="Frequency status for manual maintenance activity Enhanced Clean for all Probes has changed to OK."/>
    <x v="3"/>
    <x v="0"/>
    <d v="2016-10-28T00:00:00"/>
    <d v="1899-12-30T11:01:50"/>
    <s v="Maintenance"/>
    <x v="0"/>
    <x v="2"/>
    <x v="2"/>
    <x v="0"/>
  </r>
  <r>
    <s v="Frequency status for manual maintenance activity Enhanced Clean for Sample and Reagent Probes has changed to OK."/>
    <x v="3"/>
    <x v="0"/>
    <d v="2016-10-28T00:00:00"/>
    <d v="1899-12-30T11:01:50"/>
    <s v="Maintenance"/>
    <x v="0"/>
    <x v="2"/>
    <x v="2"/>
    <x v="0"/>
  </r>
  <r>
    <s v="Semiautomatic maintenance activity Enhanced Clean for all Probes has been executed."/>
    <x v="4"/>
    <x v="0"/>
    <d v="2016-10-28T00:00:00"/>
    <d v="1899-12-30T11:01:50"/>
    <s v="Maintenance"/>
    <x v="0"/>
    <x v="2"/>
    <x v="2"/>
    <x v="0"/>
  </r>
  <r>
    <s v="Analyzer Status changed from Ready to Maintenance."/>
    <x v="0"/>
    <x v="0"/>
    <d v="2016-10-28T00:00:00"/>
    <d v="1899-12-30T11:09:24"/>
    <s v="Analyzer"/>
    <x v="0"/>
    <x v="0"/>
    <x v="0"/>
    <x v="0"/>
  </r>
  <r>
    <s v="Frequency status for manual maintenance activity replace factor diluent has changed to OK."/>
    <x v="3"/>
    <x v="0"/>
    <d v="2016-10-28T00:00:00"/>
    <d v="1899-12-30T11:09:25"/>
    <s v="Maintenance"/>
    <x v="0"/>
    <x v="2"/>
    <x v="2"/>
    <x v="0"/>
  </r>
  <r>
    <s v="Manual maintenance activity replace factor diluent has been executed."/>
    <x v="5"/>
    <x v="0"/>
    <d v="2016-10-28T00:00:00"/>
    <d v="1899-12-30T11:09:25"/>
    <s v="Maintenance"/>
    <x v="0"/>
    <x v="2"/>
    <x v="2"/>
    <x v="0"/>
  </r>
  <r>
    <s v="Analyzer Status changed from Maintenance to Ready."/>
    <x v="0"/>
    <x v="0"/>
    <d v="2016-10-28T00:00:00"/>
    <d v="1899-12-30T11:09:28"/>
    <s v="Analyzer"/>
    <x v="0"/>
    <x v="0"/>
    <x v="0"/>
    <x v="0"/>
  </r>
  <r>
    <s v="Analyzer Status changed from Ready to Maintenance."/>
    <x v="0"/>
    <x v="0"/>
    <d v="2016-10-28T00:00:00"/>
    <d v="1899-12-30T11:09:30"/>
    <s v="Analyzer"/>
    <x v="0"/>
    <x v="0"/>
    <x v="0"/>
    <x v="0"/>
  </r>
  <r>
    <s v="Analyzer Status changed from Maintenance to Ready."/>
    <x v="0"/>
    <x v="0"/>
    <d v="2016-10-28T00:00:00"/>
    <d v="1899-12-30T11:09:32"/>
    <s v="Analyzer"/>
    <x v="0"/>
    <x v="0"/>
    <x v="0"/>
    <x v="0"/>
  </r>
  <r>
    <s v="Frequency status for manual maintenance activity make new diluted clean B has changed to OK."/>
    <x v="3"/>
    <x v="0"/>
    <d v="2016-10-28T00:00:00"/>
    <d v="1899-12-30T11:09:32"/>
    <s v="Maintenance"/>
    <x v="0"/>
    <x v="2"/>
    <x v="2"/>
    <x v="0"/>
  </r>
  <r>
    <s v="Manual maintenance activity make new diluted clean B has been executed."/>
    <x v="5"/>
    <x v="0"/>
    <d v="2016-10-28T00:00:00"/>
    <d v="1899-12-30T11:09:32"/>
    <s v="Maintenance"/>
    <x v="0"/>
    <x v="2"/>
    <x v="2"/>
    <x v="0"/>
  </r>
  <r>
    <s v="Non-identified Sample in rack 01 position 1, track 10."/>
    <x v="12"/>
    <x v="2"/>
    <d v="2016-10-28T00:00:00"/>
    <d v="1899-12-30T11:13:59"/>
    <s v="Materials"/>
    <x v="0"/>
    <x v="4"/>
    <x v="7"/>
    <x v="1"/>
  </r>
  <r>
    <s v="Non-identified Sample in rack 01 position 2, track 10."/>
    <x v="12"/>
    <x v="2"/>
    <d v="2016-10-28T00:00:00"/>
    <d v="1899-12-30T11:13:59"/>
    <s v="Materials"/>
    <x v="0"/>
    <x v="4"/>
    <x v="7"/>
    <x v="1"/>
  </r>
  <r>
    <s v="Non-identified Sample in rack 01 position 1, track 10."/>
    <x v="12"/>
    <x v="2"/>
    <d v="2016-10-28T00:00:00"/>
    <d v="1899-12-30T11:14:04"/>
    <s v="Materials"/>
    <x v="0"/>
    <x v="4"/>
    <x v="7"/>
    <x v="1"/>
  </r>
  <r>
    <s v="Non-identified Sample in rack 01 position 2, track 10."/>
    <x v="12"/>
    <x v="2"/>
    <d v="2016-10-28T00:00:00"/>
    <d v="1899-12-30T11:14:08"/>
    <s v="Materials"/>
    <x v="0"/>
    <x v="4"/>
    <x v="7"/>
    <x v="1"/>
  </r>
  <r>
    <s v="Analyzer Status changed from Ready to Busy."/>
    <x v="0"/>
    <x v="0"/>
    <d v="2016-10-28T00:00:00"/>
    <d v="1899-12-30T11:14:18"/>
    <s v="Analyzer"/>
    <x v="0"/>
    <x v="0"/>
    <x v="0"/>
    <x v="0"/>
  </r>
  <r>
    <s v="Rinse solution level low."/>
    <x v="1"/>
    <x v="1"/>
    <d v="2016-10-28T00:00:00"/>
    <d v="1899-12-30T11:15:44"/>
    <s v="Materials"/>
    <x v="0"/>
    <x v="1"/>
    <x v="1"/>
    <x v="0"/>
  </r>
  <r>
    <s v="QC Failed: RIVA-RIVA HIGH"/>
    <x v="28"/>
    <x v="2"/>
    <d v="2016-10-28T00:00:00"/>
    <d v="1899-12-30T11:17:53"/>
    <s v="QC"/>
    <x v="0"/>
    <x v="2"/>
    <x v="3"/>
    <x v="0"/>
  </r>
  <r>
    <s v="Analyzer Status changed from Busy to Ready."/>
    <x v="0"/>
    <x v="0"/>
    <d v="2016-10-28T00:00:00"/>
    <d v="1899-12-30T11:17:54"/>
    <s v="Analyzer"/>
    <x v="0"/>
    <x v="0"/>
    <x v="0"/>
    <x v="0"/>
  </r>
  <r>
    <s v="Analyzer Status changed from Ready to Maintenance."/>
    <x v="0"/>
    <x v="0"/>
    <d v="2016-10-28T00:00:00"/>
    <d v="1899-12-30T11:17:54"/>
    <s v="Analyzer"/>
    <x v="0"/>
    <x v="0"/>
    <x v="0"/>
    <x v="0"/>
  </r>
  <r>
    <s v="Automatic maintenance activity Automatic Routine Clean for all Probes has been executed."/>
    <x v="2"/>
    <x v="0"/>
    <d v="2016-10-28T00:00:00"/>
    <d v="1899-12-30T11:18:58"/>
    <s v="Maintenance"/>
    <x v="0"/>
    <x v="2"/>
    <x v="2"/>
    <x v="0"/>
  </r>
  <r>
    <s v="Analyzer Status changed from Maintenance to Ready."/>
    <x v="0"/>
    <x v="0"/>
    <d v="2016-10-28T00:00:00"/>
    <d v="1899-12-30T11:18:59"/>
    <s v="Analyzer"/>
    <x v="0"/>
    <x v="0"/>
    <x v="0"/>
    <x v="0"/>
  </r>
  <r>
    <s v="Non-identified Sample in rack 01 position 1, track 10."/>
    <x v="12"/>
    <x v="2"/>
    <d v="2016-10-28T00:00:00"/>
    <d v="1899-12-30T11:30:09"/>
    <s v="Materials"/>
    <x v="0"/>
    <x v="4"/>
    <x v="7"/>
    <x v="1"/>
  </r>
  <r>
    <s v="Non-identified Sample in rack 01 position 2, track 10."/>
    <x v="12"/>
    <x v="2"/>
    <d v="2016-10-28T00:00:00"/>
    <d v="1899-12-30T11:30:09"/>
    <s v="Materials"/>
    <x v="0"/>
    <x v="4"/>
    <x v="7"/>
    <x v="1"/>
  </r>
  <r>
    <s v="Non-identified Sample in rack 01 position 1, track 10."/>
    <x v="12"/>
    <x v="2"/>
    <d v="2016-10-28T00:00:00"/>
    <d v="1899-12-30T11:30:14"/>
    <s v="Materials"/>
    <x v="0"/>
    <x v="4"/>
    <x v="7"/>
    <x v="1"/>
  </r>
  <r>
    <s v="Non-identified Sample in rack 01 position 2, track 10."/>
    <x v="12"/>
    <x v="2"/>
    <d v="2016-10-28T00:00:00"/>
    <d v="1899-12-30T11:30:17"/>
    <s v="Materials"/>
    <x v="0"/>
    <x v="4"/>
    <x v="7"/>
    <x v="1"/>
  </r>
  <r>
    <s v="Analyzer Status changed from Ready to Busy."/>
    <x v="0"/>
    <x v="0"/>
    <d v="2016-10-28T00:00:00"/>
    <d v="1899-12-30T11:30:26"/>
    <s v="Analyzer"/>
    <x v="0"/>
    <x v="0"/>
    <x v="0"/>
    <x v="0"/>
  </r>
  <r>
    <s v="QC Failed: RIVA-RIVA HIGH"/>
    <x v="28"/>
    <x v="2"/>
    <d v="2016-10-28T00:00:00"/>
    <d v="1899-12-30T11:34:02"/>
    <s v="QC"/>
    <x v="0"/>
    <x v="2"/>
    <x v="3"/>
    <x v="0"/>
  </r>
  <r>
    <s v="Analyzer Status changed from Busy to Ready."/>
    <x v="0"/>
    <x v="0"/>
    <d v="2016-10-28T00:00:00"/>
    <d v="1899-12-30T11:34:03"/>
    <s v="Analyzer"/>
    <x v="0"/>
    <x v="0"/>
    <x v="0"/>
    <x v="0"/>
  </r>
  <r>
    <s v="Analyzer Status changed from Ready to Maintenance."/>
    <x v="0"/>
    <x v="0"/>
    <d v="2016-10-28T00:00:00"/>
    <d v="1899-12-30T11:34:03"/>
    <s v="Analyzer"/>
    <x v="0"/>
    <x v="0"/>
    <x v="0"/>
    <x v="0"/>
  </r>
  <r>
    <s v="Analyzer Status changed from Maintenance to Ready."/>
    <x v="0"/>
    <x v="0"/>
    <d v="2016-10-28T00:00:00"/>
    <d v="1899-12-30T11:34:29"/>
    <s v="Analyzer"/>
    <x v="0"/>
    <x v="0"/>
    <x v="0"/>
    <x v="0"/>
  </r>
  <r>
    <s v="Automatic maintenance activity Automatic Routine Clean for all Probes has been executed."/>
    <x v="2"/>
    <x v="0"/>
    <d v="2016-10-28T00:00:00"/>
    <d v="1899-12-30T11:34:29"/>
    <s v="Maintenance"/>
    <x v="0"/>
    <x v="2"/>
    <x v="2"/>
    <x v="0"/>
  </r>
  <r>
    <s v="Analyzer Status changed from Ready to Busy."/>
    <x v="0"/>
    <x v="0"/>
    <d v="2016-10-28T00:00:00"/>
    <d v="1899-12-30T11:37:12"/>
    <s v="Analyzer"/>
    <x v="0"/>
    <x v="0"/>
    <x v="0"/>
    <x v="0"/>
  </r>
  <r>
    <s v="Analyzer Status changed from Busy to Ready."/>
    <x v="0"/>
    <x v="0"/>
    <d v="2016-10-28T00:00:00"/>
    <d v="1899-12-30T11:40:08"/>
    <s v="Analyzer"/>
    <x v="0"/>
    <x v="0"/>
    <x v="0"/>
    <x v="0"/>
  </r>
  <r>
    <s v="Analyzer Status changed from Ready to Maintenance."/>
    <x v="0"/>
    <x v="0"/>
    <d v="2016-10-28T00:00:00"/>
    <d v="1899-12-30T11:40:08"/>
    <s v="Analyzer"/>
    <x v="0"/>
    <x v="0"/>
    <x v="0"/>
    <x v="0"/>
  </r>
  <r>
    <s v="QC Failed: RIVA-RIVA HIGH"/>
    <x v="28"/>
    <x v="2"/>
    <d v="2016-10-28T00:00:00"/>
    <d v="1899-12-30T11:40:08"/>
    <s v="QC"/>
    <x v="0"/>
    <x v="2"/>
    <x v="3"/>
    <x v="0"/>
  </r>
  <r>
    <s v="Analyzer Status changed from Maintenance to Ready."/>
    <x v="0"/>
    <x v="0"/>
    <d v="2016-10-28T00:00:00"/>
    <d v="1899-12-30T11:40:35"/>
    <s v="Analyzer"/>
    <x v="0"/>
    <x v="0"/>
    <x v="0"/>
    <x v="0"/>
  </r>
  <r>
    <s v="Automatic maintenance activity Automatic Routine Clean for all Probes has been executed."/>
    <x v="2"/>
    <x v="0"/>
    <d v="2016-10-28T00:00:00"/>
    <d v="1899-12-30T11:40:35"/>
    <s v="Maintenance"/>
    <x v="0"/>
    <x v="2"/>
    <x v="2"/>
    <x v="0"/>
  </r>
  <r>
    <s v="Test Definition Fib-RP has been modified."/>
    <x v="14"/>
    <x v="0"/>
    <d v="2016-10-28T00:00:00"/>
    <d v="1899-12-30T12:17:25"/>
    <s v="Setup"/>
    <x v="0"/>
    <x v="2"/>
    <x v="5"/>
    <x v="0"/>
  </r>
  <r>
    <s v="Test Definition Hepz PT has been modified."/>
    <x v="14"/>
    <x v="0"/>
    <d v="2016-10-28T00:00:00"/>
    <d v="1899-12-30T12:17:26"/>
    <s v="Setup"/>
    <x v="0"/>
    <x v="2"/>
    <x v="5"/>
    <x v="0"/>
  </r>
  <r>
    <s v="Test Definition PT-RP has been modified."/>
    <x v="14"/>
    <x v="0"/>
    <d v="2016-10-28T00:00:00"/>
    <d v="1899-12-30T12:17:27"/>
    <s v="Setup"/>
    <x v="0"/>
    <x v="2"/>
    <x v="5"/>
    <x v="0"/>
  </r>
  <r>
    <s v="Test Definition Fib-RP has been modified."/>
    <x v="14"/>
    <x v="0"/>
    <d v="2016-10-28T00:00:00"/>
    <d v="1899-12-30T12:17:27"/>
    <s v="Setup"/>
    <x v="0"/>
    <x v="2"/>
    <x v="5"/>
    <x v="0"/>
  </r>
  <r>
    <s v="Test Definition Hepz PT has been modified."/>
    <x v="14"/>
    <x v="0"/>
    <d v="2016-10-28T00:00:00"/>
    <d v="1899-12-30T12:17:40"/>
    <s v="Setup"/>
    <x v="0"/>
    <x v="2"/>
    <x v="5"/>
    <x v="0"/>
  </r>
  <r>
    <s v="Test Definition dRVVT S has been modified."/>
    <x v="14"/>
    <x v="0"/>
    <d v="2016-10-28T00:00:00"/>
    <d v="1899-12-30T12:17:55"/>
    <s v="Setup"/>
    <x v="0"/>
    <x v="2"/>
    <x v="5"/>
    <x v="0"/>
  </r>
  <r>
    <s v="Test Definition dRVVT C has been modified."/>
    <x v="14"/>
    <x v="0"/>
    <d v="2016-10-28T00:00:00"/>
    <d v="1899-12-30T12:17:55"/>
    <s v="Setup"/>
    <x v="0"/>
    <x v="2"/>
    <x v="5"/>
    <x v="0"/>
  </r>
  <r>
    <s v="Test Definition dRVVTSMX has been modified."/>
    <x v="14"/>
    <x v="0"/>
    <d v="2016-10-28T00:00:00"/>
    <d v="1899-12-30T12:18:15"/>
    <s v="Setup"/>
    <x v="0"/>
    <x v="2"/>
    <x v="5"/>
    <x v="0"/>
  </r>
  <r>
    <s v="Test Definition dRVVTCMX has been modified."/>
    <x v="14"/>
    <x v="0"/>
    <d v="2016-10-28T00:00:00"/>
    <d v="1899-12-30T12:18:16"/>
    <s v="Setup"/>
    <x v="0"/>
    <x v="2"/>
    <x v="5"/>
    <x v="0"/>
  </r>
  <r>
    <s v="Test Definition dRVVTCMX has been modified."/>
    <x v="14"/>
    <x v="0"/>
    <d v="2016-10-28T00:00:00"/>
    <d v="1899-12-30T12:18:30"/>
    <s v="Setup"/>
    <x v="0"/>
    <x v="2"/>
    <x v="5"/>
    <x v="0"/>
  </r>
  <r>
    <s v="Test Definition SCT-S has been modified."/>
    <x v="14"/>
    <x v="0"/>
    <d v="2016-10-28T00:00:00"/>
    <d v="1899-12-30T12:18:42"/>
    <s v="Setup"/>
    <x v="0"/>
    <x v="2"/>
    <x v="5"/>
    <x v="0"/>
  </r>
  <r>
    <s v="Test Definition SCT-C has been modified."/>
    <x v="14"/>
    <x v="0"/>
    <d v="2016-10-28T00:00:00"/>
    <d v="1899-12-30T12:18:43"/>
    <s v="Setup"/>
    <x v="0"/>
    <x v="2"/>
    <x v="5"/>
    <x v="0"/>
  </r>
  <r>
    <s v="Test Definition SCTSMX has been modified."/>
    <x v="14"/>
    <x v="0"/>
    <d v="2016-10-28T00:00:00"/>
    <d v="1899-12-30T12:18:54"/>
    <s v="Setup"/>
    <x v="0"/>
    <x v="2"/>
    <x v="5"/>
    <x v="0"/>
  </r>
  <r>
    <s v="Test Definition SCTCMX has been modified."/>
    <x v="14"/>
    <x v="0"/>
    <d v="2016-10-28T00:00:00"/>
    <d v="1899-12-30T12:18:54"/>
    <s v="Setup"/>
    <x v="0"/>
    <x v="2"/>
    <x v="5"/>
    <x v="0"/>
  </r>
  <r>
    <s v="Test Definition SCTCMX has been modified."/>
    <x v="14"/>
    <x v="0"/>
    <d v="2016-10-28T00:00:00"/>
    <d v="1899-12-30T12:19:07"/>
    <s v="Setup"/>
    <x v="0"/>
    <x v="2"/>
    <x v="5"/>
    <x v="0"/>
  </r>
  <r>
    <s v="QC Profile Routine has been modified."/>
    <x v="65"/>
    <x v="0"/>
    <d v="2016-10-28T00:00:00"/>
    <d v="1899-12-30T12:19:57"/>
    <s v="Setup"/>
    <x v="0"/>
    <x v="2"/>
    <x v="12"/>
    <x v="0"/>
  </r>
  <r>
    <s v="QC Profile Lupus has been added."/>
    <x v="66"/>
    <x v="0"/>
    <d v="2016-10-28T00:00:00"/>
    <d v="1899-12-30T12:21:53"/>
    <s v="Setup"/>
    <x v="0"/>
    <x v="2"/>
    <x v="12"/>
    <x v="0"/>
  </r>
  <r>
    <s v="Non-identified Sample in rack 11 position 1, track 11."/>
    <x v="12"/>
    <x v="2"/>
    <d v="2016-10-28T00:00:00"/>
    <d v="1899-12-30T12:28:21"/>
    <s v="Materials"/>
    <x v="0"/>
    <x v="4"/>
    <x v="7"/>
    <x v="1"/>
  </r>
  <r>
    <s v="Non-identified Sample in rack 11 position 2, track 11."/>
    <x v="12"/>
    <x v="2"/>
    <d v="2016-10-28T00:00:00"/>
    <d v="1899-12-30T12:28:21"/>
    <s v="Materials"/>
    <x v="0"/>
    <x v="4"/>
    <x v="7"/>
    <x v="1"/>
  </r>
  <r>
    <s v="Non-identified Sample in rack 11 position 3, track 11."/>
    <x v="12"/>
    <x v="2"/>
    <d v="2016-10-28T00:00:00"/>
    <d v="1899-12-30T12:28:21"/>
    <s v="Materials"/>
    <x v="0"/>
    <x v="4"/>
    <x v="7"/>
    <x v="1"/>
  </r>
  <r>
    <s v="Non-identified Sample in rack 11 position 4, track 11."/>
    <x v="12"/>
    <x v="2"/>
    <d v="2016-10-28T00:00:00"/>
    <d v="1899-12-30T12:28:21"/>
    <s v="Materials"/>
    <x v="0"/>
    <x v="4"/>
    <x v="7"/>
    <x v="1"/>
  </r>
  <r>
    <s v="Non-identified Sample in rack 11 position 5, track 11."/>
    <x v="12"/>
    <x v="2"/>
    <d v="2016-10-28T00:00:00"/>
    <d v="1899-12-30T12:28:21"/>
    <s v="Materials"/>
    <x v="0"/>
    <x v="4"/>
    <x v="7"/>
    <x v="1"/>
  </r>
  <r>
    <s v="Non-identified Sample in rack 11 position 6, track 11."/>
    <x v="12"/>
    <x v="2"/>
    <d v="2016-10-28T00:00:00"/>
    <d v="1899-12-30T12:28:21"/>
    <s v="Materials"/>
    <x v="0"/>
    <x v="4"/>
    <x v="7"/>
    <x v="1"/>
  </r>
  <r>
    <s v="Non-identified Sample in rack 11 position 7, track 11."/>
    <x v="12"/>
    <x v="2"/>
    <d v="2016-10-28T00:00:00"/>
    <d v="1899-12-30T12:28:21"/>
    <s v="Materials"/>
    <x v="0"/>
    <x v="4"/>
    <x v="7"/>
    <x v="1"/>
  </r>
  <r>
    <s v="Non-identified Sample in rack 11 position 8, track 11."/>
    <x v="12"/>
    <x v="2"/>
    <d v="2016-10-28T00:00:00"/>
    <d v="1899-12-30T12:28:21"/>
    <s v="Materials"/>
    <x v="0"/>
    <x v="4"/>
    <x v="7"/>
    <x v="1"/>
  </r>
  <r>
    <s v="Non-identified Sample in rack 11 position 9, track 11."/>
    <x v="12"/>
    <x v="2"/>
    <d v="2016-10-28T00:00:00"/>
    <d v="1899-12-30T12:28:21"/>
    <s v="Materials"/>
    <x v="0"/>
    <x v="4"/>
    <x v="7"/>
    <x v="1"/>
  </r>
  <r>
    <s v="Non-identified Sample in rack 11 position 10, track 11."/>
    <x v="12"/>
    <x v="2"/>
    <d v="2016-10-28T00:00:00"/>
    <d v="1899-12-30T12:28:21"/>
    <s v="Materials"/>
    <x v="0"/>
    <x v="4"/>
    <x v="7"/>
    <x v="1"/>
  </r>
  <r>
    <s v="Analyzer Status changed from Ready to Busy."/>
    <x v="0"/>
    <x v="0"/>
    <d v="2016-10-28T00:00:00"/>
    <d v="1899-12-30T12:29:15"/>
    <s v="Analyzer"/>
    <x v="0"/>
    <x v="0"/>
    <x v="0"/>
    <x v="0"/>
  </r>
  <r>
    <s v="Analyzer Status changed from Busy to Ready."/>
    <x v="0"/>
    <x v="0"/>
    <d v="2016-10-28T00:00:00"/>
    <d v="1899-12-30T12:42:03"/>
    <s v="Analyzer"/>
    <x v="0"/>
    <x v="0"/>
    <x v="0"/>
    <x v="0"/>
  </r>
  <r>
    <s v="Analyzer Status changed from Ready to Maintenance."/>
    <x v="0"/>
    <x v="0"/>
    <d v="2016-10-28T00:00:00"/>
    <d v="1899-12-30T12:42:03"/>
    <s v="Analyzer"/>
    <x v="0"/>
    <x v="0"/>
    <x v="0"/>
    <x v="0"/>
  </r>
  <r>
    <s v="Analyzer Status changed from Maintenance to Ready."/>
    <x v="0"/>
    <x v="0"/>
    <d v="2016-10-28T00:00:00"/>
    <d v="1899-12-30T12:42:32"/>
    <s v="Analyzer"/>
    <x v="0"/>
    <x v="0"/>
    <x v="0"/>
    <x v="0"/>
  </r>
  <r>
    <s v="Automatic maintenance activity Automatic Routine Clean for all Probes has been executed."/>
    <x v="2"/>
    <x v="0"/>
    <d v="2016-10-28T00:00:00"/>
    <d v="1899-12-30T12:42:32"/>
    <s v="Maintenance"/>
    <x v="0"/>
    <x v="2"/>
    <x v="2"/>
    <x v="0"/>
  </r>
  <r>
    <s v="Analyzer Status changed from Ready to Busy."/>
    <x v="0"/>
    <x v="0"/>
    <d v="2016-10-28T00:00:00"/>
    <d v="1899-12-30T12:42:44"/>
    <s v="Analyzer"/>
    <x v="0"/>
    <x v="0"/>
    <x v="0"/>
    <x v="0"/>
  </r>
  <r>
    <s v="Analyzer Status changed from Busy to Ready."/>
    <x v="0"/>
    <x v="0"/>
    <d v="2016-10-28T00:00:00"/>
    <d v="1899-12-30T12:49:29"/>
    <s v="Analyzer"/>
    <x v="0"/>
    <x v="0"/>
    <x v="0"/>
    <x v="0"/>
  </r>
  <r>
    <s v="Analyzer Status changed from Ready to Maintenance."/>
    <x v="0"/>
    <x v="0"/>
    <d v="2016-10-28T00:00:00"/>
    <d v="1899-12-30T12:49:30"/>
    <s v="Analyzer"/>
    <x v="0"/>
    <x v="0"/>
    <x v="0"/>
    <x v="0"/>
  </r>
  <r>
    <s v="Automatic maintenance activity Automatic Routine Clean for all Probes has been executed."/>
    <x v="2"/>
    <x v="0"/>
    <d v="2016-10-28T00:00:00"/>
    <d v="1899-12-30T12:49:56"/>
    <s v="Maintenance"/>
    <x v="0"/>
    <x v="2"/>
    <x v="2"/>
    <x v="0"/>
  </r>
  <r>
    <s v="Analyzer Status changed from Maintenance to Ready."/>
    <x v="0"/>
    <x v="0"/>
    <d v="2016-10-28T00:00:00"/>
    <d v="1899-12-30T12:49:57"/>
    <s v="Analyzer"/>
    <x v="0"/>
    <x v="0"/>
    <x v="0"/>
    <x v="0"/>
  </r>
  <r>
    <s v="Non-identified Sample in rack 10 position 1, track 12."/>
    <x v="12"/>
    <x v="2"/>
    <d v="2016-10-28T00:00:00"/>
    <d v="1899-12-30T13:06:01"/>
    <s v="Materials"/>
    <x v="0"/>
    <x v="4"/>
    <x v="7"/>
    <x v="1"/>
  </r>
  <r>
    <s v="Non-identified Sample in rack 10 position 2, track 12."/>
    <x v="12"/>
    <x v="2"/>
    <d v="2016-10-28T00:00:00"/>
    <d v="1899-12-30T13:06:01"/>
    <s v="Materials"/>
    <x v="0"/>
    <x v="4"/>
    <x v="7"/>
    <x v="1"/>
  </r>
  <r>
    <s v="Non-identified Sample in rack 10 position 3, track 12."/>
    <x v="12"/>
    <x v="2"/>
    <d v="2016-10-28T00:00:00"/>
    <d v="1899-12-30T13:06:01"/>
    <s v="Materials"/>
    <x v="0"/>
    <x v="4"/>
    <x v="7"/>
    <x v="1"/>
  </r>
  <r>
    <s v="Non-identified Sample in rack 10 position 4, track 12."/>
    <x v="12"/>
    <x v="2"/>
    <d v="2016-10-28T00:00:00"/>
    <d v="1899-12-30T13:06:01"/>
    <s v="Materials"/>
    <x v="0"/>
    <x v="4"/>
    <x v="7"/>
    <x v="1"/>
  </r>
  <r>
    <s v="Non-identified Sample in rack 10 position 5, track 12."/>
    <x v="12"/>
    <x v="2"/>
    <d v="2016-10-28T00:00:00"/>
    <d v="1899-12-30T13:06:01"/>
    <s v="Materials"/>
    <x v="0"/>
    <x v="4"/>
    <x v="7"/>
    <x v="1"/>
  </r>
  <r>
    <s v="Non-identified Sample in rack 10 position 6, track 12."/>
    <x v="12"/>
    <x v="2"/>
    <d v="2016-10-28T00:00:00"/>
    <d v="1899-12-30T13:06:01"/>
    <s v="Materials"/>
    <x v="0"/>
    <x v="4"/>
    <x v="7"/>
    <x v="1"/>
  </r>
  <r>
    <s v="Non-identified Sample in rack 10 position 7, track 12."/>
    <x v="12"/>
    <x v="2"/>
    <d v="2016-10-28T00:00:00"/>
    <d v="1899-12-30T13:06:01"/>
    <s v="Materials"/>
    <x v="0"/>
    <x v="4"/>
    <x v="7"/>
    <x v="1"/>
  </r>
  <r>
    <s v="Non-identified Sample in rack 10 position 8, track 12."/>
    <x v="12"/>
    <x v="2"/>
    <d v="2016-10-28T00:00:00"/>
    <d v="1899-12-30T13:06:01"/>
    <s v="Materials"/>
    <x v="0"/>
    <x v="4"/>
    <x v="7"/>
    <x v="1"/>
  </r>
  <r>
    <s v="Non-identified Sample in rack 10 position 9, track 12."/>
    <x v="12"/>
    <x v="2"/>
    <d v="2016-10-28T00:00:00"/>
    <d v="1899-12-30T13:06:01"/>
    <s v="Materials"/>
    <x v="0"/>
    <x v="4"/>
    <x v="7"/>
    <x v="1"/>
  </r>
  <r>
    <s v="Non-identified Sample in rack 10 position 10, track 12."/>
    <x v="12"/>
    <x v="2"/>
    <d v="2016-10-28T00:00:00"/>
    <d v="1899-12-30T13:06:01"/>
    <s v="Materials"/>
    <x v="0"/>
    <x v="4"/>
    <x v="7"/>
    <x v="1"/>
  </r>
  <r>
    <s v="Analyzer Status changed from Ready to Busy."/>
    <x v="0"/>
    <x v="0"/>
    <d v="2016-10-28T00:00:00"/>
    <d v="1899-12-30T13:06:58"/>
    <s v="Analyzer"/>
    <x v="0"/>
    <x v="0"/>
    <x v="0"/>
    <x v="0"/>
  </r>
  <r>
    <s v="Anti Chromogenic Sub volume low."/>
    <x v="7"/>
    <x v="1"/>
    <d v="2016-10-28T00:00:00"/>
    <d v="1899-12-30T13:09:10"/>
    <s v="Materials"/>
    <x v="0"/>
    <x v="3"/>
    <x v="4"/>
    <x v="0"/>
  </r>
  <r>
    <s v="Anti Chromogenic Sub insufficient material to run additional calibration / test."/>
    <x v="32"/>
    <x v="2"/>
    <d v="2016-10-28T00:00:00"/>
    <d v="1899-12-30T13:10:56"/>
    <s v="Materials"/>
    <x v="0"/>
    <x v="3"/>
    <x v="4"/>
    <x v="0"/>
  </r>
  <r>
    <s v="Anti Chromogenic Sub volume low."/>
    <x v="7"/>
    <x v="1"/>
    <d v="2016-10-28T00:00:00"/>
    <d v="1899-12-30T13:10:56"/>
    <s v="Materials"/>
    <x v="0"/>
    <x v="3"/>
    <x v="4"/>
    <x v="0"/>
  </r>
  <r>
    <s v="Anti Factor Xa Rgt. volume low."/>
    <x v="7"/>
    <x v="1"/>
    <d v="2016-10-28T00:00:00"/>
    <d v="1899-12-30T13:11:45"/>
    <s v="Materials"/>
    <x v="0"/>
    <x v="3"/>
    <x v="4"/>
    <x v="0"/>
  </r>
  <r>
    <s v="RIVA Patient job not feasible. Waiting for Anti Factor Xa Rgt.."/>
    <x v="26"/>
    <x v="1"/>
    <d v="2016-10-28T00:00:00"/>
    <d v="1899-12-30T13:12:17"/>
    <s v="Materials"/>
    <x v="0"/>
    <x v="2"/>
    <x v="3"/>
    <x v="0"/>
  </r>
  <r>
    <s v="Anti Factor Xa Rgt. insufficient material to run additional calibration / test."/>
    <x v="32"/>
    <x v="2"/>
    <d v="2016-10-28T00:00:00"/>
    <d v="1899-12-30T13:14:43"/>
    <s v="Materials"/>
    <x v="0"/>
    <x v="3"/>
    <x v="4"/>
    <x v="0"/>
  </r>
  <r>
    <s v="Anti Factor Xa Rgt. insufficient material to run additional calibration / test."/>
    <x v="32"/>
    <x v="2"/>
    <d v="2016-10-28T00:00:00"/>
    <d v="1899-12-30T13:15:29"/>
    <s v="Materials"/>
    <x v="0"/>
    <x v="3"/>
    <x v="4"/>
    <x v="0"/>
  </r>
  <r>
    <s v="Anti Factor Xa Rgt. insufficient material to run additional calibration / test."/>
    <x v="32"/>
    <x v="2"/>
    <d v="2016-10-28T00:00:00"/>
    <d v="1899-12-30T13:15:29"/>
    <s v="Materials"/>
    <x v="0"/>
    <x v="3"/>
    <x v="4"/>
    <x v="0"/>
  </r>
  <r>
    <s v="Analyzer Status changed from Busy to Ready."/>
    <x v="0"/>
    <x v="0"/>
    <d v="2016-10-28T00:00:00"/>
    <d v="1899-12-30T13:26:21"/>
    <s v="Analyzer"/>
    <x v="0"/>
    <x v="0"/>
    <x v="0"/>
    <x v="0"/>
  </r>
  <r>
    <s v="Analyzer Status changed from Ready to Maintenance."/>
    <x v="0"/>
    <x v="0"/>
    <d v="2016-10-28T00:00:00"/>
    <d v="1899-12-30T13:26:21"/>
    <s v="Analyzer"/>
    <x v="0"/>
    <x v="0"/>
    <x v="0"/>
    <x v="0"/>
  </r>
  <r>
    <s v="Automatic maintenance activity Automatic Routine Clean for all Probes has been executed."/>
    <x v="2"/>
    <x v="0"/>
    <d v="2016-10-28T00:00:00"/>
    <d v="1899-12-30T13:26:47"/>
    <s v="Maintenance"/>
    <x v="0"/>
    <x v="2"/>
    <x v="2"/>
    <x v="0"/>
  </r>
  <r>
    <s v="Analyzer Status changed from Maintenance to Ready."/>
    <x v="0"/>
    <x v="0"/>
    <d v="2016-10-28T00:00:00"/>
    <d v="1899-12-30T13:26:48"/>
    <s v="Analyzer"/>
    <x v="0"/>
    <x v="0"/>
    <x v="0"/>
    <x v="0"/>
  </r>
  <r>
    <s v="Non-identified Sample in rack 01 position 1, track 12."/>
    <x v="12"/>
    <x v="2"/>
    <d v="2016-10-28T00:00:00"/>
    <d v="1899-12-30T13:29:30"/>
    <s v="Materials"/>
    <x v="0"/>
    <x v="4"/>
    <x v="7"/>
    <x v="1"/>
  </r>
  <r>
    <s v="Non-identified Sample in rack 01 position 1, track 12."/>
    <x v="12"/>
    <x v="2"/>
    <d v="2016-10-28T00:00:00"/>
    <d v="1899-12-30T13:29:38"/>
    <s v="Materials"/>
    <x v="0"/>
    <x v="4"/>
    <x v="7"/>
    <x v="1"/>
  </r>
  <r>
    <s v="Analyzer Status changed from Ready to Busy."/>
    <x v="0"/>
    <x v="0"/>
    <d v="2016-10-28T00:00:00"/>
    <d v="1899-12-30T13:29:49"/>
    <s v="Analyzer"/>
    <x v="0"/>
    <x v="0"/>
    <x v="0"/>
    <x v="0"/>
  </r>
  <r>
    <s v="QC Failed: RIVA-RIVA HIGH"/>
    <x v="28"/>
    <x v="2"/>
    <d v="2016-10-28T00:00:00"/>
    <d v="1899-12-30T13:33:01"/>
    <s v="QC"/>
    <x v="0"/>
    <x v="2"/>
    <x v="3"/>
    <x v="0"/>
  </r>
  <r>
    <s v="Analyzer Status changed from Busy to Ready."/>
    <x v="0"/>
    <x v="0"/>
    <d v="2016-10-28T00:00:00"/>
    <d v="1899-12-30T13:33:02"/>
    <s v="Analyzer"/>
    <x v="0"/>
    <x v="0"/>
    <x v="0"/>
    <x v="0"/>
  </r>
  <r>
    <s v="Analyzer Status changed from Ready to Maintenance."/>
    <x v="0"/>
    <x v="0"/>
    <d v="2016-10-28T00:00:00"/>
    <d v="1899-12-30T13:33:02"/>
    <s v="Analyzer"/>
    <x v="0"/>
    <x v="0"/>
    <x v="0"/>
    <x v="0"/>
  </r>
  <r>
    <s v="Analyzer Status changed from Maintenance to Ready."/>
    <x v="0"/>
    <x v="0"/>
    <d v="2016-10-28T00:00:00"/>
    <d v="1899-12-30T13:33:28"/>
    <s v="Analyzer"/>
    <x v="0"/>
    <x v="0"/>
    <x v="0"/>
    <x v="0"/>
  </r>
  <r>
    <s v="Automatic maintenance activity Automatic Routine Clean for all Probes has been executed."/>
    <x v="2"/>
    <x v="0"/>
    <d v="2016-10-28T00:00:00"/>
    <d v="1899-12-30T13:33:28"/>
    <s v="Maintenance"/>
    <x v="0"/>
    <x v="2"/>
    <x v="2"/>
    <x v="0"/>
  </r>
  <r>
    <s v="Analyzer Status changed from Ready to Maintenance."/>
    <x v="0"/>
    <x v="0"/>
    <d v="2016-10-28T00:00:00"/>
    <d v="1899-12-30T14:33:28"/>
    <s v="Analyzer"/>
    <x v="0"/>
    <x v="0"/>
    <x v="0"/>
    <x v="0"/>
  </r>
  <r>
    <s v="Analyzer Status changed from Maintenance to Ready."/>
    <x v="0"/>
    <x v="0"/>
    <d v="2016-10-28T00:00:00"/>
    <d v="1899-12-30T14:33:50"/>
    <s v="Analyzer"/>
    <x v="0"/>
    <x v="0"/>
    <x v="0"/>
    <x v="0"/>
  </r>
  <r>
    <s v="Automatic maintenance activity Automatic Fluidic Line Priming Cycle has been executed."/>
    <x v="2"/>
    <x v="0"/>
    <d v="2016-10-28T00:00:00"/>
    <d v="1899-12-30T14:33:50"/>
    <s v="Maintenance"/>
    <x v="0"/>
    <x v="2"/>
    <x v="2"/>
    <x v="0"/>
  </r>
  <r>
    <s v="Analyzer Status changed from Ready to Maintenance."/>
    <x v="0"/>
    <x v="0"/>
    <d v="2016-10-28T00:00:00"/>
    <d v="1899-12-30T15:33:50"/>
    <s v="Analyzer"/>
    <x v="0"/>
    <x v="0"/>
    <x v="0"/>
    <x v="0"/>
  </r>
  <r>
    <s v="Analyzer Status changed from Maintenance to Ready."/>
    <x v="0"/>
    <x v="0"/>
    <d v="2016-10-28T00:00:00"/>
    <d v="1899-12-30T15:34:12"/>
    <s v="Analyzer"/>
    <x v="0"/>
    <x v="0"/>
    <x v="0"/>
    <x v="0"/>
  </r>
  <r>
    <s v="Automatic maintenance activity Automatic Fluidic Line Priming Cycle has been executed."/>
    <x v="2"/>
    <x v="0"/>
    <d v="2016-10-28T00:00:00"/>
    <d v="1899-12-30T15:34:12"/>
    <s v="Maintenance"/>
    <x v="0"/>
    <x v="2"/>
    <x v="2"/>
    <x v="0"/>
  </r>
  <r>
    <s v="Automatic logout."/>
    <x v="62"/>
    <x v="0"/>
    <d v="2016-10-28T00:00:00"/>
    <d v="1899-12-30T16:08:20"/>
    <s v="Other"/>
    <x v="0"/>
    <x v="4"/>
    <x v="7"/>
    <x v="1"/>
  </r>
  <r>
    <s v="Analyzer Status changed from Ready to Maintenance."/>
    <x v="0"/>
    <x v="0"/>
    <d v="2016-10-28T00:00:00"/>
    <d v="1899-12-30T16:34:12"/>
    <s v="Analyzer"/>
    <x v="1"/>
    <x v="0"/>
    <x v="0"/>
    <x v="0"/>
  </r>
  <r>
    <s v="Automatic maintenance activity Automatic Fluidic Line Priming Cycle has been executed."/>
    <x v="2"/>
    <x v="0"/>
    <d v="2016-10-28T00:00:00"/>
    <d v="1899-12-30T16:34:33"/>
    <s v="Maintenance"/>
    <x v="1"/>
    <x v="2"/>
    <x v="2"/>
    <x v="0"/>
  </r>
  <r>
    <s v="Analyzer Status changed from Maintenance to Ready."/>
    <x v="0"/>
    <x v="0"/>
    <d v="2016-10-28T00:00:00"/>
    <d v="1899-12-30T16:34:34"/>
    <s v="Analyzer"/>
    <x v="1"/>
    <x v="0"/>
    <x v="0"/>
    <x v="0"/>
  </r>
  <r>
    <s v="Analyzer Status changed from Ready to Maintenance."/>
    <x v="0"/>
    <x v="0"/>
    <d v="2016-10-28T00:00:00"/>
    <d v="1899-12-30T17:34:34"/>
    <s v="Analyzer"/>
    <x v="1"/>
    <x v="0"/>
    <x v="0"/>
    <x v="0"/>
  </r>
  <r>
    <s v="Automatic maintenance activity Automatic Fluidic Line Priming Cycle has been executed."/>
    <x v="2"/>
    <x v="0"/>
    <d v="2016-10-28T00:00:00"/>
    <d v="1899-12-30T17:34:55"/>
    <s v="Maintenance"/>
    <x v="1"/>
    <x v="2"/>
    <x v="2"/>
    <x v="0"/>
  </r>
  <r>
    <s v="Analyzer Status changed from Maintenance to Ready."/>
    <x v="0"/>
    <x v="0"/>
    <d v="2016-10-28T00:00:00"/>
    <d v="1899-12-30T17:34:56"/>
    <s v="Analyzer"/>
    <x v="1"/>
    <x v="0"/>
    <x v="0"/>
    <x v="0"/>
  </r>
  <r>
    <s v="Analyzer Status changed from Ready to Maintenance."/>
    <x v="0"/>
    <x v="0"/>
    <d v="2016-10-28T00:00:00"/>
    <d v="1899-12-30T18:34:56"/>
    <s v="Analyzer"/>
    <x v="1"/>
    <x v="0"/>
    <x v="0"/>
    <x v="0"/>
  </r>
  <r>
    <s v="Automatic maintenance activity Automatic Fluidic Line Priming Cycle has been executed."/>
    <x v="2"/>
    <x v="0"/>
    <d v="2016-10-28T00:00:00"/>
    <d v="1899-12-30T18:35:17"/>
    <s v="Maintenance"/>
    <x v="1"/>
    <x v="2"/>
    <x v="2"/>
    <x v="0"/>
  </r>
  <r>
    <s v="Analyzer Status changed from Maintenance to Ready."/>
    <x v="0"/>
    <x v="0"/>
    <d v="2016-10-28T00:00:00"/>
    <d v="1899-12-30T18:35:18"/>
    <s v="Analyzer"/>
    <x v="1"/>
    <x v="0"/>
    <x v="0"/>
    <x v="0"/>
  </r>
  <r>
    <s v="Analyzer Status changed from Ready to Maintenance."/>
    <x v="0"/>
    <x v="0"/>
    <d v="2016-10-28T00:00:00"/>
    <d v="1899-12-30T19:35:18"/>
    <s v="Analyzer"/>
    <x v="1"/>
    <x v="0"/>
    <x v="0"/>
    <x v="0"/>
  </r>
  <r>
    <s v="Analyzer Status changed from Maintenance to Ready."/>
    <x v="0"/>
    <x v="0"/>
    <d v="2016-10-28T00:00:00"/>
    <d v="1899-12-30T19:35:39"/>
    <s v="Analyzer"/>
    <x v="1"/>
    <x v="0"/>
    <x v="0"/>
    <x v="0"/>
  </r>
  <r>
    <s v="Automatic maintenance activity Automatic Fluidic Line Priming Cycle has been executed."/>
    <x v="2"/>
    <x v="0"/>
    <d v="2016-10-28T00:00:00"/>
    <d v="1899-12-30T19:35:39"/>
    <s v="Maintenance"/>
    <x v="1"/>
    <x v="2"/>
    <x v="2"/>
    <x v="0"/>
  </r>
  <r>
    <s v="Analyzer Status changed from Ready to Maintenance."/>
    <x v="0"/>
    <x v="0"/>
    <d v="2016-10-28T00:00:00"/>
    <d v="1899-12-30T20:35:40"/>
    <s v="Analyzer"/>
    <x v="1"/>
    <x v="0"/>
    <x v="0"/>
    <x v="0"/>
  </r>
  <r>
    <s v="Analyzer Status changed from Maintenance to Ready."/>
    <x v="0"/>
    <x v="0"/>
    <d v="2016-10-28T00:00:00"/>
    <d v="1899-12-30T20:36:01"/>
    <s v="Analyzer"/>
    <x v="1"/>
    <x v="0"/>
    <x v="0"/>
    <x v="0"/>
  </r>
  <r>
    <s v="Automatic maintenance activity Automatic Fluidic Line Priming Cycle has been executed."/>
    <x v="2"/>
    <x v="0"/>
    <d v="2016-10-28T00:00:00"/>
    <d v="1899-12-30T20:36:01"/>
    <s v="Maintenance"/>
    <x v="1"/>
    <x v="2"/>
    <x v="2"/>
    <x v="0"/>
  </r>
  <r>
    <s v="Analyzer Status changed from Ready to Maintenance."/>
    <x v="0"/>
    <x v="0"/>
    <d v="2016-10-28T00:00:00"/>
    <d v="1899-12-30T21:36:01"/>
    <s v="Analyzer"/>
    <x v="1"/>
    <x v="0"/>
    <x v="0"/>
    <x v="0"/>
  </r>
  <r>
    <s v="Analyzer Status changed from Maintenance to Ready."/>
    <x v="0"/>
    <x v="0"/>
    <d v="2016-10-28T00:00:00"/>
    <d v="1899-12-30T21:36:23"/>
    <s v="Analyzer"/>
    <x v="1"/>
    <x v="0"/>
    <x v="0"/>
    <x v="0"/>
  </r>
  <r>
    <s v="Automatic maintenance activity Automatic Fluidic Line Priming Cycle has been executed."/>
    <x v="2"/>
    <x v="0"/>
    <d v="2016-10-28T00:00:00"/>
    <d v="1899-12-30T21:36:23"/>
    <s v="Maintenance"/>
    <x v="1"/>
    <x v="2"/>
    <x v="2"/>
    <x v="0"/>
  </r>
  <r>
    <s v="Analyzer Status changed from Ready to Maintenance."/>
    <x v="0"/>
    <x v="0"/>
    <d v="2016-10-28T00:00:00"/>
    <d v="1899-12-30T22:36:23"/>
    <s v="Analyzer"/>
    <x v="1"/>
    <x v="0"/>
    <x v="0"/>
    <x v="0"/>
  </r>
  <r>
    <s v="Analyzer Status changed from Maintenance to Ready."/>
    <x v="0"/>
    <x v="0"/>
    <d v="2016-10-28T00:00:00"/>
    <d v="1899-12-30T22:36:45"/>
    <s v="Analyzer"/>
    <x v="1"/>
    <x v="0"/>
    <x v="0"/>
    <x v="0"/>
  </r>
  <r>
    <s v="Automatic maintenance activity Automatic Fluidic Line Priming Cycle has been executed."/>
    <x v="2"/>
    <x v="0"/>
    <d v="2016-10-28T00:00:00"/>
    <d v="1899-12-30T22:36:45"/>
    <s v="Maintenance"/>
    <x v="1"/>
    <x v="2"/>
    <x v="2"/>
    <x v="0"/>
  </r>
  <r>
    <s v="Analyzer Status changed from Ready to Maintenance."/>
    <x v="0"/>
    <x v="0"/>
    <d v="2016-10-28T00:00:00"/>
    <d v="1899-12-30T23:36:45"/>
    <s v="Analyzer"/>
    <x v="1"/>
    <x v="0"/>
    <x v="0"/>
    <x v="0"/>
  </r>
  <r>
    <s v="Analyzer Status changed from Maintenance to Ready."/>
    <x v="0"/>
    <x v="0"/>
    <d v="2016-10-28T00:00:00"/>
    <d v="1899-12-30T23:37:07"/>
    <s v="Analyzer"/>
    <x v="1"/>
    <x v="0"/>
    <x v="0"/>
    <x v="0"/>
  </r>
  <r>
    <s v="Automatic maintenance activity Automatic Fluidic Line Priming Cycle has been executed."/>
    <x v="2"/>
    <x v="0"/>
    <d v="2016-10-28T00:00:00"/>
    <d v="1899-12-30T23:37:07"/>
    <s v="Maintenance"/>
    <x v="1"/>
    <x v="2"/>
    <x v="2"/>
    <x v="0"/>
  </r>
  <r>
    <s v="Analyzer Status changed from Ready to Maintenance."/>
    <x v="0"/>
    <x v="0"/>
    <d v="2016-10-29T00:00:00"/>
    <d v="1899-12-30T00:37:07"/>
    <s v="Analyzer"/>
    <x v="1"/>
    <x v="0"/>
    <x v="0"/>
    <x v="0"/>
  </r>
  <r>
    <s v="Analyzer Status changed from Maintenance to Ready."/>
    <x v="0"/>
    <x v="0"/>
    <d v="2016-10-29T00:00:00"/>
    <d v="1899-12-30T00:37:29"/>
    <s v="Analyzer"/>
    <x v="1"/>
    <x v="0"/>
    <x v="0"/>
    <x v="0"/>
  </r>
  <r>
    <s v="Automatic maintenance activity Automatic Fluidic Line Priming Cycle has been executed."/>
    <x v="2"/>
    <x v="0"/>
    <d v="2016-10-29T00:00:00"/>
    <d v="1899-12-30T00:37:29"/>
    <s v="Maintenance"/>
    <x v="1"/>
    <x v="2"/>
    <x v="2"/>
    <x v="0"/>
  </r>
  <r>
    <s v="Analyzer Status changed from Ready to Maintenance."/>
    <x v="0"/>
    <x v="0"/>
    <d v="2016-10-29T00:00:00"/>
    <d v="1899-12-30T01:37:29"/>
    <s v="Analyzer"/>
    <x v="1"/>
    <x v="0"/>
    <x v="0"/>
    <x v="0"/>
  </r>
  <r>
    <s v="Analyzer Status changed from Maintenance to Ready."/>
    <x v="0"/>
    <x v="0"/>
    <d v="2016-10-29T00:00:00"/>
    <d v="1899-12-30T01:37:51"/>
    <s v="Analyzer"/>
    <x v="1"/>
    <x v="0"/>
    <x v="0"/>
    <x v="0"/>
  </r>
  <r>
    <s v="Automatic maintenance activity Automatic Fluidic Line Priming Cycle has been executed."/>
    <x v="2"/>
    <x v="0"/>
    <d v="2016-10-29T00:00:00"/>
    <d v="1899-12-30T01:37:51"/>
    <s v="Maintenance"/>
    <x v="1"/>
    <x v="2"/>
    <x v="2"/>
    <x v="0"/>
  </r>
  <r>
    <s v="Analyzer Status changed from Ready to Maintenance."/>
    <x v="0"/>
    <x v="0"/>
    <d v="2016-10-29T00:00:00"/>
    <d v="1899-12-30T02:37:51"/>
    <s v="Analyzer"/>
    <x v="1"/>
    <x v="0"/>
    <x v="0"/>
    <x v="0"/>
  </r>
  <r>
    <s v="Analyzer Status changed from Maintenance to Ready."/>
    <x v="0"/>
    <x v="0"/>
    <d v="2016-10-29T00:00:00"/>
    <d v="1899-12-30T02:38:13"/>
    <s v="Analyzer"/>
    <x v="1"/>
    <x v="0"/>
    <x v="0"/>
    <x v="0"/>
  </r>
  <r>
    <s v="Automatic maintenance activity Automatic Fluidic Line Priming Cycle has been executed."/>
    <x v="2"/>
    <x v="0"/>
    <d v="2016-10-29T00:00:00"/>
    <d v="1899-12-30T02:38:13"/>
    <s v="Maintenance"/>
    <x v="1"/>
    <x v="2"/>
    <x v="2"/>
    <x v="0"/>
  </r>
  <r>
    <s v="Analyzer Status changed from Ready to Maintenance."/>
    <x v="0"/>
    <x v="0"/>
    <d v="2016-10-29T00:00:00"/>
    <d v="1899-12-30T03:38:13"/>
    <s v="Analyzer"/>
    <x v="1"/>
    <x v="0"/>
    <x v="0"/>
    <x v="0"/>
  </r>
  <r>
    <s v="Analyzer Status changed from Maintenance to Ready."/>
    <x v="0"/>
    <x v="0"/>
    <d v="2016-10-29T00:00:00"/>
    <d v="1899-12-30T03:38:35"/>
    <s v="Analyzer"/>
    <x v="1"/>
    <x v="0"/>
    <x v="0"/>
    <x v="0"/>
  </r>
  <r>
    <s v="Automatic maintenance activity Automatic Fluidic Line Priming Cycle has been executed."/>
    <x v="2"/>
    <x v="0"/>
    <d v="2016-10-29T00:00:00"/>
    <d v="1899-12-30T03:38:35"/>
    <s v="Maintenance"/>
    <x v="1"/>
    <x v="2"/>
    <x v="2"/>
    <x v="0"/>
  </r>
  <r>
    <s v="Analyzer Status changed from Ready to Maintenance."/>
    <x v="0"/>
    <x v="0"/>
    <d v="2016-10-29T00:00:00"/>
    <d v="1899-12-30T04:38:35"/>
    <s v="Analyzer"/>
    <x v="1"/>
    <x v="0"/>
    <x v="0"/>
    <x v="0"/>
  </r>
  <r>
    <s v="Analyzer Status changed from Maintenance to Ready."/>
    <x v="0"/>
    <x v="0"/>
    <d v="2016-10-29T00:00:00"/>
    <d v="1899-12-30T04:38:57"/>
    <s v="Analyzer"/>
    <x v="1"/>
    <x v="0"/>
    <x v="0"/>
    <x v="0"/>
  </r>
  <r>
    <s v="Automatic maintenance activity Automatic Fluidic Line Priming Cycle has been executed."/>
    <x v="2"/>
    <x v="0"/>
    <d v="2016-10-29T00:00:00"/>
    <d v="1899-12-30T04:38:57"/>
    <s v="Maintenance"/>
    <x v="1"/>
    <x v="2"/>
    <x v="2"/>
    <x v="0"/>
  </r>
  <r>
    <s v="Analyzer Status changed from Ready to Maintenance."/>
    <x v="0"/>
    <x v="0"/>
    <d v="2016-10-29T00:00:00"/>
    <d v="1899-12-30T05:38:57"/>
    <s v="Analyzer"/>
    <x v="1"/>
    <x v="0"/>
    <x v="0"/>
    <x v="0"/>
  </r>
  <r>
    <s v="Analyzer Status changed from Maintenance to Ready."/>
    <x v="0"/>
    <x v="0"/>
    <d v="2016-10-29T00:00:00"/>
    <d v="1899-12-30T05:39:19"/>
    <s v="Analyzer"/>
    <x v="1"/>
    <x v="0"/>
    <x v="0"/>
    <x v="0"/>
  </r>
  <r>
    <s v="Automatic maintenance activity Automatic Fluidic Line Priming Cycle has been executed."/>
    <x v="2"/>
    <x v="0"/>
    <d v="2016-10-29T00:00:00"/>
    <d v="1899-12-30T05:39:19"/>
    <s v="Maintenance"/>
    <x v="1"/>
    <x v="2"/>
    <x v="2"/>
    <x v="0"/>
  </r>
  <r>
    <s v="Analyzer Status changed from Ready to Maintenance."/>
    <x v="0"/>
    <x v="0"/>
    <d v="2016-10-29T00:00:00"/>
    <d v="1899-12-30T06:39:19"/>
    <s v="Analyzer"/>
    <x v="1"/>
    <x v="0"/>
    <x v="0"/>
    <x v="0"/>
  </r>
  <r>
    <s v="Analyzer Status changed from Maintenance to Ready."/>
    <x v="0"/>
    <x v="0"/>
    <d v="2016-10-29T00:00:00"/>
    <d v="1899-12-30T06:39:41"/>
    <s v="Analyzer"/>
    <x v="1"/>
    <x v="0"/>
    <x v="0"/>
    <x v="0"/>
  </r>
  <r>
    <s v="Automatic maintenance activity Automatic Fluidic Line Priming Cycle has been executed."/>
    <x v="2"/>
    <x v="0"/>
    <d v="2016-10-29T00:00:00"/>
    <d v="1899-12-30T06:39:41"/>
    <s v="Maintenance"/>
    <x v="1"/>
    <x v="2"/>
    <x v="2"/>
    <x v="0"/>
  </r>
  <r>
    <s v="Analyzer Status changed from Ready to Maintenance."/>
    <x v="0"/>
    <x v="0"/>
    <d v="2016-10-29T00:00:00"/>
    <d v="1899-12-30T07:39:41"/>
    <s v="Analyzer"/>
    <x v="1"/>
    <x v="0"/>
    <x v="0"/>
    <x v="0"/>
  </r>
  <r>
    <s v="Analyzer Status changed from Maintenance to Ready."/>
    <x v="0"/>
    <x v="0"/>
    <d v="2016-10-29T00:00:00"/>
    <d v="1899-12-30T07:40:03"/>
    <s v="Analyzer"/>
    <x v="1"/>
    <x v="0"/>
    <x v="0"/>
    <x v="0"/>
  </r>
  <r>
    <s v="Automatic maintenance activity Automatic Fluidic Line Priming Cycle has been executed."/>
    <x v="2"/>
    <x v="0"/>
    <d v="2016-10-29T00:00:00"/>
    <d v="1899-12-30T07:40:03"/>
    <s v="Maintenance"/>
    <x v="1"/>
    <x v="2"/>
    <x v="2"/>
    <x v="0"/>
  </r>
  <r>
    <s v="Analyzer Status changed from Ready to Maintenance."/>
    <x v="0"/>
    <x v="0"/>
    <d v="2016-10-29T00:00:00"/>
    <d v="1899-12-30T08:40:03"/>
    <s v="Analyzer"/>
    <x v="1"/>
    <x v="0"/>
    <x v="0"/>
    <x v="0"/>
  </r>
  <r>
    <s v="Automatic maintenance activity Automatic Fluidic Line Priming Cycle has been executed."/>
    <x v="2"/>
    <x v="0"/>
    <d v="2016-10-29T00:00:00"/>
    <d v="1899-12-30T08:41:37"/>
    <s v="Maintenance"/>
    <x v="1"/>
    <x v="2"/>
    <x v="2"/>
    <x v="0"/>
  </r>
  <r>
    <s v="Analyzer Status changed from Maintenance to Ready."/>
    <x v="0"/>
    <x v="0"/>
    <d v="2016-10-29T00:00:00"/>
    <d v="1899-12-30T08:41:38"/>
    <s v="Analyzer"/>
    <x v="1"/>
    <x v="0"/>
    <x v="0"/>
    <x v="0"/>
  </r>
  <r>
    <s v="Analyzer Status changed from Ready to Maintenance."/>
    <x v="0"/>
    <x v="0"/>
    <d v="2016-10-29T00:00:00"/>
    <d v="1899-12-30T09:41:38"/>
    <s v="Analyzer"/>
    <x v="1"/>
    <x v="0"/>
    <x v="0"/>
    <x v="0"/>
  </r>
  <r>
    <s v="Automatic maintenance activity Automatic Fluidic Line Priming Cycle has been executed."/>
    <x v="2"/>
    <x v="0"/>
    <d v="2016-10-29T00:00:00"/>
    <d v="1899-12-30T09:41:59"/>
    <s v="Maintenance"/>
    <x v="1"/>
    <x v="2"/>
    <x v="2"/>
    <x v="0"/>
  </r>
  <r>
    <s v="Analyzer Status changed from Maintenance to Ready."/>
    <x v="0"/>
    <x v="0"/>
    <d v="2016-10-29T00:00:00"/>
    <d v="1899-12-30T09:42:00"/>
    <s v="Analyzer"/>
    <x v="1"/>
    <x v="0"/>
    <x v="0"/>
    <x v="0"/>
  </r>
  <r>
    <s v="Maintenance activity due: Enhanced Clean for Sample and Reagent Probes."/>
    <x v="9"/>
    <x v="1"/>
    <d v="2016-10-29T00:00:00"/>
    <d v="1899-12-30T10:01:50"/>
    <s v="Maintenance"/>
    <x v="1"/>
    <x v="2"/>
    <x v="2"/>
    <x v="0"/>
  </r>
  <r>
    <s v="Maintenance activity due: Enhanced Clean for all Probes."/>
    <x v="9"/>
    <x v="1"/>
    <d v="2016-10-29T00:00:00"/>
    <d v="1899-12-30T10:01:50"/>
    <s v="Maintenance"/>
    <x v="1"/>
    <x v="2"/>
    <x v="2"/>
    <x v="0"/>
  </r>
  <r>
    <s v="Maintenance activity due: replace factor diluent."/>
    <x v="9"/>
    <x v="1"/>
    <d v="2016-10-29T00:00:00"/>
    <d v="1899-12-30T10:09:25"/>
    <s v="Maintenance"/>
    <x v="1"/>
    <x v="2"/>
    <x v="2"/>
    <x v="0"/>
  </r>
  <r>
    <s v="Maintenance activity due: make new diluted clean B."/>
    <x v="9"/>
    <x v="1"/>
    <d v="2016-10-29T00:00:00"/>
    <d v="1899-12-30T10:09:32"/>
    <s v="Maintenance"/>
    <x v="1"/>
    <x v="2"/>
    <x v="2"/>
    <x v="0"/>
  </r>
  <r>
    <s v="Analyzer Status changed from Ready to Maintenance."/>
    <x v="0"/>
    <x v="0"/>
    <d v="2016-10-29T00:00:00"/>
    <d v="1899-12-30T10:42:00"/>
    <s v="Analyzer"/>
    <x v="1"/>
    <x v="0"/>
    <x v="0"/>
    <x v="0"/>
  </r>
  <r>
    <s v="Analyzer Status changed from Maintenance to Ready."/>
    <x v="0"/>
    <x v="0"/>
    <d v="2016-10-29T00:00:00"/>
    <d v="1899-12-30T10:42:21"/>
    <s v="Analyzer"/>
    <x v="1"/>
    <x v="0"/>
    <x v="0"/>
    <x v="0"/>
  </r>
  <r>
    <s v="Automatic maintenance activity Automatic Fluidic Line Priming Cycle has been executed."/>
    <x v="2"/>
    <x v="0"/>
    <d v="2016-10-29T00:00:00"/>
    <d v="1899-12-30T10:42:21"/>
    <s v="Maintenance"/>
    <x v="1"/>
    <x v="2"/>
    <x v="2"/>
    <x v="0"/>
  </r>
  <r>
    <s v="Maintenance activity overdue: Enhanced Clean for Sample and Reagent Probes."/>
    <x v="20"/>
    <x v="1"/>
    <d v="2016-10-29T00:00:00"/>
    <d v="1899-12-30T11:01:50"/>
    <s v="Maintenance"/>
    <x v="1"/>
    <x v="2"/>
    <x v="2"/>
    <x v="0"/>
  </r>
  <r>
    <s v="Maintenance activity overdue: Enhanced Clean for all Probes."/>
    <x v="20"/>
    <x v="1"/>
    <d v="2016-10-29T00:00:00"/>
    <d v="1899-12-30T11:01:50"/>
    <s v="Maintenance"/>
    <x v="1"/>
    <x v="2"/>
    <x v="2"/>
    <x v="0"/>
  </r>
  <r>
    <s v="Maintenance activity overdue: replace factor diluent."/>
    <x v="20"/>
    <x v="1"/>
    <d v="2016-10-29T00:00:00"/>
    <d v="1899-12-30T11:09:25"/>
    <s v="Maintenance"/>
    <x v="1"/>
    <x v="2"/>
    <x v="2"/>
    <x v="0"/>
  </r>
  <r>
    <s v="Maintenance activity overdue: make new diluted clean B."/>
    <x v="20"/>
    <x v="1"/>
    <d v="2016-10-29T00:00:00"/>
    <d v="1899-12-30T11:09:32"/>
    <s v="Maintenance"/>
    <x v="1"/>
    <x v="2"/>
    <x v="2"/>
    <x v="0"/>
  </r>
  <r>
    <s v="Analyzer Status changed from Ready to Maintenance."/>
    <x v="0"/>
    <x v="0"/>
    <d v="2016-10-29T00:00:00"/>
    <d v="1899-12-30T11:42:22"/>
    <s v="Analyzer"/>
    <x v="1"/>
    <x v="0"/>
    <x v="0"/>
    <x v="0"/>
  </r>
  <r>
    <s v="Analyzer Status changed from Maintenance to Ready."/>
    <x v="0"/>
    <x v="0"/>
    <d v="2016-10-29T00:00:00"/>
    <d v="1899-12-30T11:42:43"/>
    <s v="Analyzer"/>
    <x v="1"/>
    <x v="0"/>
    <x v="0"/>
    <x v="0"/>
  </r>
  <r>
    <s v="Automatic maintenance activity Automatic Fluidic Line Priming Cycle has been executed."/>
    <x v="2"/>
    <x v="0"/>
    <d v="2016-10-29T00:00:00"/>
    <d v="1899-12-30T11:42:43"/>
    <s v="Maintenance"/>
    <x v="1"/>
    <x v="2"/>
    <x v="2"/>
    <x v="0"/>
  </r>
  <r>
    <s v="Analyzer Status changed from Ready to Maintenance."/>
    <x v="0"/>
    <x v="0"/>
    <d v="2016-10-29T00:00:00"/>
    <d v="1899-12-30T12:42:43"/>
    <s v="Analyzer"/>
    <x v="1"/>
    <x v="0"/>
    <x v="0"/>
    <x v="0"/>
  </r>
  <r>
    <s v="Analyzer Status changed from Maintenance to Ready."/>
    <x v="0"/>
    <x v="0"/>
    <d v="2016-10-29T00:00:00"/>
    <d v="1899-12-30T12:43:05"/>
    <s v="Analyzer"/>
    <x v="1"/>
    <x v="0"/>
    <x v="0"/>
    <x v="0"/>
  </r>
  <r>
    <s v="Automatic maintenance activity Automatic Fluidic Line Priming Cycle has been executed."/>
    <x v="2"/>
    <x v="0"/>
    <d v="2016-10-29T00:00:00"/>
    <d v="1899-12-30T12:43:05"/>
    <s v="Maintenance"/>
    <x v="1"/>
    <x v="2"/>
    <x v="2"/>
    <x v="0"/>
  </r>
  <r>
    <s v="Analyzer Status changed from Ready to Maintenance."/>
    <x v="0"/>
    <x v="0"/>
    <d v="2016-10-29T00:00:00"/>
    <d v="1899-12-30T13:43:05"/>
    <s v="Analyzer"/>
    <x v="1"/>
    <x v="0"/>
    <x v="0"/>
    <x v="0"/>
  </r>
  <r>
    <s v="Analyzer Status changed from Maintenance to Ready."/>
    <x v="0"/>
    <x v="0"/>
    <d v="2016-10-29T00:00:00"/>
    <d v="1899-12-30T13:43:27"/>
    <s v="Analyzer"/>
    <x v="1"/>
    <x v="0"/>
    <x v="0"/>
    <x v="0"/>
  </r>
  <r>
    <s v="Automatic maintenance activity Automatic Fluidic Line Priming Cycle has been executed."/>
    <x v="2"/>
    <x v="0"/>
    <d v="2016-10-29T00:00:00"/>
    <d v="1899-12-30T13:43:27"/>
    <s v="Maintenance"/>
    <x v="1"/>
    <x v="2"/>
    <x v="2"/>
    <x v="0"/>
  </r>
  <r>
    <s v="Analyzer Status changed from Ready to Maintenance."/>
    <x v="0"/>
    <x v="0"/>
    <d v="2016-10-29T00:00:00"/>
    <d v="1899-12-30T14:43:27"/>
    <s v="Analyzer"/>
    <x v="1"/>
    <x v="0"/>
    <x v="0"/>
    <x v="0"/>
  </r>
  <r>
    <s v="Analyzer Status changed from Maintenance to Ready."/>
    <x v="0"/>
    <x v="0"/>
    <d v="2016-10-29T00:00:00"/>
    <d v="1899-12-30T14:43:49"/>
    <s v="Analyzer"/>
    <x v="1"/>
    <x v="0"/>
    <x v="0"/>
    <x v="0"/>
  </r>
  <r>
    <s v="Automatic maintenance activity Automatic Fluidic Line Priming Cycle has been executed."/>
    <x v="2"/>
    <x v="0"/>
    <d v="2016-10-29T00:00:00"/>
    <d v="1899-12-30T14:43:49"/>
    <s v="Maintenance"/>
    <x v="1"/>
    <x v="2"/>
    <x v="2"/>
    <x v="0"/>
  </r>
  <r>
    <s v="Analyzer Status changed from Ready to Maintenance."/>
    <x v="0"/>
    <x v="0"/>
    <d v="2016-10-29T00:00:00"/>
    <d v="1899-12-30T15:43:49"/>
    <s v="Analyzer"/>
    <x v="1"/>
    <x v="0"/>
    <x v="0"/>
    <x v="0"/>
  </r>
  <r>
    <s v="Analyzer Status changed from Maintenance to Ready."/>
    <x v="0"/>
    <x v="0"/>
    <d v="2016-10-29T00:00:00"/>
    <d v="1899-12-30T15:44:11"/>
    <s v="Analyzer"/>
    <x v="1"/>
    <x v="0"/>
    <x v="0"/>
    <x v="0"/>
  </r>
  <r>
    <s v="Automatic maintenance activity Automatic Fluidic Line Priming Cycle has been executed."/>
    <x v="2"/>
    <x v="0"/>
    <d v="2016-10-29T00:00:00"/>
    <d v="1899-12-30T15:44:11"/>
    <s v="Maintenance"/>
    <x v="1"/>
    <x v="2"/>
    <x v="2"/>
    <x v="0"/>
  </r>
  <r>
    <s v="Analyzer Status changed from Ready to Maintenance."/>
    <x v="0"/>
    <x v="0"/>
    <d v="2016-10-29T00:00:00"/>
    <d v="1899-12-30T16:44:11"/>
    <s v="Analyzer"/>
    <x v="1"/>
    <x v="0"/>
    <x v="0"/>
    <x v="0"/>
  </r>
  <r>
    <s v="Automatic maintenance activity Automatic Fluidic Line Priming Cycle has been executed."/>
    <x v="2"/>
    <x v="0"/>
    <d v="2016-10-29T00:00:00"/>
    <d v="1899-12-30T16:44:32"/>
    <s v="Maintenance"/>
    <x v="1"/>
    <x v="2"/>
    <x v="2"/>
    <x v="0"/>
  </r>
  <r>
    <s v="Analyzer Status changed from Maintenance to Ready."/>
    <x v="0"/>
    <x v="0"/>
    <d v="2016-10-29T00:00:00"/>
    <d v="1899-12-30T16:44:33"/>
    <s v="Analyzer"/>
    <x v="1"/>
    <x v="0"/>
    <x v="0"/>
    <x v="0"/>
  </r>
  <r>
    <s v="Analyzer Status changed from Ready to Maintenance."/>
    <x v="0"/>
    <x v="0"/>
    <d v="2016-10-29T00:00:00"/>
    <d v="1899-12-30T17:44:33"/>
    <s v="Analyzer"/>
    <x v="1"/>
    <x v="0"/>
    <x v="0"/>
    <x v="0"/>
  </r>
  <r>
    <s v="Analyzer Status changed from Maintenance to Ready."/>
    <x v="0"/>
    <x v="0"/>
    <d v="2016-10-29T00:00:00"/>
    <d v="1899-12-30T17:44:54"/>
    <s v="Analyzer"/>
    <x v="1"/>
    <x v="0"/>
    <x v="0"/>
    <x v="0"/>
  </r>
  <r>
    <s v="Automatic maintenance activity Automatic Fluidic Line Priming Cycle has been executed."/>
    <x v="2"/>
    <x v="0"/>
    <d v="2016-10-29T00:00:00"/>
    <d v="1899-12-30T17:44:54"/>
    <s v="Maintenance"/>
    <x v="1"/>
    <x v="2"/>
    <x v="2"/>
    <x v="0"/>
  </r>
  <r>
    <s v="Analyzer Status changed from Ready to Maintenance."/>
    <x v="0"/>
    <x v="0"/>
    <d v="2016-10-29T00:00:00"/>
    <d v="1899-12-30T18:44:55"/>
    <s v="Analyzer"/>
    <x v="1"/>
    <x v="0"/>
    <x v="0"/>
    <x v="0"/>
  </r>
  <r>
    <s v="Analyzer Status changed from Maintenance to Ready."/>
    <x v="0"/>
    <x v="0"/>
    <d v="2016-10-29T00:00:00"/>
    <d v="1899-12-30T18:45:16"/>
    <s v="Analyzer"/>
    <x v="1"/>
    <x v="0"/>
    <x v="0"/>
    <x v="0"/>
  </r>
  <r>
    <s v="Automatic maintenance activity Automatic Fluidic Line Priming Cycle has been executed."/>
    <x v="2"/>
    <x v="0"/>
    <d v="2016-10-29T00:00:00"/>
    <d v="1899-12-30T18:45:16"/>
    <s v="Maintenance"/>
    <x v="1"/>
    <x v="2"/>
    <x v="2"/>
    <x v="0"/>
  </r>
  <r>
    <s v="Analyzer Status changed from Ready to Maintenance."/>
    <x v="0"/>
    <x v="0"/>
    <d v="2016-10-29T00:00:00"/>
    <d v="1899-12-30T19:45:17"/>
    <s v="Analyzer"/>
    <x v="1"/>
    <x v="0"/>
    <x v="0"/>
    <x v="0"/>
  </r>
  <r>
    <s v="Automatic maintenance activity Automatic Fluidic Line Priming Cycle has been executed."/>
    <x v="2"/>
    <x v="0"/>
    <d v="2016-10-29T00:00:00"/>
    <d v="1899-12-30T19:45:38"/>
    <s v="Maintenance"/>
    <x v="1"/>
    <x v="2"/>
    <x v="2"/>
    <x v="0"/>
  </r>
  <r>
    <s v="Analyzer Status changed from Maintenance to Ready."/>
    <x v="0"/>
    <x v="0"/>
    <d v="2016-10-29T00:00:00"/>
    <d v="1899-12-30T19:45:39"/>
    <s v="Analyzer"/>
    <x v="1"/>
    <x v="0"/>
    <x v="0"/>
    <x v="0"/>
  </r>
  <r>
    <s v="Analyzer Status changed from Ready to Maintenance."/>
    <x v="0"/>
    <x v="0"/>
    <d v="2016-10-29T00:00:00"/>
    <d v="1899-12-30T20:45:39"/>
    <s v="Analyzer"/>
    <x v="1"/>
    <x v="0"/>
    <x v="0"/>
    <x v="0"/>
  </r>
  <r>
    <s v="Automatic maintenance activity Automatic Fluidic Line Priming Cycle has been executed."/>
    <x v="2"/>
    <x v="0"/>
    <d v="2016-10-29T00:00:00"/>
    <d v="1899-12-30T20:46:00"/>
    <s v="Maintenance"/>
    <x v="1"/>
    <x v="2"/>
    <x v="2"/>
    <x v="0"/>
  </r>
  <r>
    <s v="Analyzer Status changed from Maintenance to Ready."/>
    <x v="0"/>
    <x v="0"/>
    <d v="2016-10-29T00:00:00"/>
    <d v="1899-12-30T20:46:01"/>
    <s v="Analyzer"/>
    <x v="1"/>
    <x v="0"/>
    <x v="0"/>
    <x v="0"/>
  </r>
  <r>
    <s v="Analyzer Status changed from Ready to Maintenance."/>
    <x v="0"/>
    <x v="0"/>
    <d v="2016-10-29T00:00:00"/>
    <d v="1899-12-30T21:46:01"/>
    <s v="Analyzer"/>
    <x v="1"/>
    <x v="0"/>
    <x v="0"/>
    <x v="0"/>
  </r>
  <r>
    <s v="Automatic maintenance activity Automatic Fluidic Line Priming Cycle has been executed."/>
    <x v="2"/>
    <x v="0"/>
    <d v="2016-10-29T00:00:00"/>
    <d v="1899-12-30T21:46:22"/>
    <s v="Maintenance"/>
    <x v="1"/>
    <x v="2"/>
    <x v="2"/>
    <x v="0"/>
  </r>
  <r>
    <s v="Analyzer Status changed from Maintenance to Ready."/>
    <x v="0"/>
    <x v="0"/>
    <d v="2016-10-29T00:00:00"/>
    <d v="1899-12-30T21:46:23"/>
    <s v="Analyzer"/>
    <x v="1"/>
    <x v="0"/>
    <x v="0"/>
    <x v="0"/>
  </r>
  <r>
    <s v="Analyzer Status changed from Ready to Maintenance."/>
    <x v="0"/>
    <x v="0"/>
    <d v="2016-10-29T00:00:00"/>
    <d v="1899-12-30T22:46:23"/>
    <s v="Analyzer"/>
    <x v="1"/>
    <x v="0"/>
    <x v="0"/>
    <x v="0"/>
  </r>
  <r>
    <s v="Automatic maintenance activity Automatic Fluidic Line Priming Cycle has been executed."/>
    <x v="2"/>
    <x v="0"/>
    <d v="2016-10-29T00:00:00"/>
    <d v="1899-12-30T22:46:44"/>
    <s v="Maintenance"/>
    <x v="1"/>
    <x v="2"/>
    <x v="2"/>
    <x v="0"/>
  </r>
  <r>
    <s v="Analyzer Status changed from Maintenance to Ready."/>
    <x v="0"/>
    <x v="0"/>
    <d v="2016-10-29T00:00:00"/>
    <d v="1899-12-30T22:46:45"/>
    <s v="Analyzer"/>
    <x v="1"/>
    <x v="0"/>
    <x v="0"/>
    <x v="0"/>
  </r>
  <r>
    <s v="Analyzer Status changed from Ready to Maintenance."/>
    <x v="0"/>
    <x v="0"/>
    <d v="2016-10-29T00:00:00"/>
    <d v="1899-12-30T23:46:45"/>
    <s v="Analyzer"/>
    <x v="1"/>
    <x v="0"/>
    <x v="0"/>
    <x v="0"/>
  </r>
  <r>
    <s v="Automatic maintenance activity Automatic Fluidic Line Priming Cycle has been executed."/>
    <x v="2"/>
    <x v="0"/>
    <d v="2016-10-29T00:00:00"/>
    <d v="1899-12-30T23:47:06"/>
    <s v="Maintenance"/>
    <x v="1"/>
    <x v="2"/>
    <x v="2"/>
    <x v="0"/>
  </r>
  <r>
    <s v="Analyzer Status changed from Maintenance to Ready."/>
    <x v="0"/>
    <x v="0"/>
    <d v="2016-10-29T00:00:00"/>
    <d v="1899-12-30T23:47:07"/>
    <s v="Analyzer"/>
    <x v="1"/>
    <x v="0"/>
    <x v="0"/>
    <x v="0"/>
  </r>
  <r>
    <s v="Analyzer Status changed from Ready to Maintenance."/>
    <x v="0"/>
    <x v="0"/>
    <d v="2016-10-30T00:00:00"/>
    <d v="1899-12-30T00:47:07"/>
    <s v="Analyzer"/>
    <x v="1"/>
    <x v="0"/>
    <x v="0"/>
    <x v="0"/>
  </r>
  <r>
    <s v="Automatic maintenance activity Automatic Fluidic Line Priming Cycle has been executed."/>
    <x v="2"/>
    <x v="0"/>
    <d v="2016-10-30T00:00:00"/>
    <d v="1899-12-30T00:47:28"/>
    <s v="Maintenance"/>
    <x v="1"/>
    <x v="2"/>
    <x v="2"/>
    <x v="0"/>
  </r>
  <r>
    <s v="Analyzer Status changed from Maintenance to Ready."/>
    <x v="0"/>
    <x v="0"/>
    <d v="2016-10-30T00:00:00"/>
    <d v="1899-12-30T00:47:29"/>
    <s v="Analyzer"/>
    <x v="1"/>
    <x v="0"/>
    <x v="0"/>
    <x v="0"/>
  </r>
  <r>
    <s v="Analyzer Status changed from Ready to Maintenance."/>
    <x v="0"/>
    <x v="0"/>
    <d v="2016-10-30T00:00:00"/>
    <d v="1899-12-30T01:47:29"/>
    <s v="Analyzer"/>
    <x v="1"/>
    <x v="0"/>
    <x v="0"/>
    <x v="0"/>
  </r>
  <r>
    <s v="Analyzer Status changed from Maintenance to Ready."/>
    <x v="0"/>
    <x v="0"/>
    <d v="2016-10-30T00:00:00"/>
    <d v="1899-12-30T01:47:50"/>
    <s v="Analyzer"/>
    <x v="1"/>
    <x v="0"/>
    <x v="0"/>
    <x v="0"/>
  </r>
  <r>
    <s v="Automatic maintenance activity Automatic Fluidic Line Priming Cycle has been executed."/>
    <x v="2"/>
    <x v="0"/>
    <d v="2016-10-30T00:00:00"/>
    <d v="1899-12-30T01:47:50"/>
    <s v="Maintenance"/>
    <x v="1"/>
    <x v="2"/>
    <x v="2"/>
    <x v="0"/>
  </r>
  <r>
    <s v="Analyzer Status changed from Ready to Maintenance."/>
    <x v="0"/>
    <x v="0"/>
    <d v="2016-10-30T00:00:00"/>
    <d v="1899-12-30T02:47:51"/>
    <s v="Analyzer"/>
    <x v="1"/>
    <x v="0"/>
    <x v="0"/>
    <x v="0"/>
  </r>
  <r>
    <s v="Analyzer Status changed from Maintenance to Ready."/>
    <x v="0"/>
    <x v="0"/>
    <d v="2016-10-30T00:00:00"/>
    <d v="1899-12-30T02:48:12"/>
    <s v="Analyzer"/>
    <x v="1"/>
    <x v="0"/>
    <x v="0"/>
    <x v="0"/>
  </r>
  <r>
    <s v="Automatic maintenance activity Automatic Fluidic Line Priming Cycle has been executed."/>
    <x v="2"/>
    <x v="0"/>
    <d v="2016-10-30T00:00:00"/>
    <d v="1899-12-30T02:48:12"/>
    <s v="Maintenance"/>
    <x v="1"/>
    <x v="2"/>
    <x v="2"/>
    <x v="0"/>
  </r>
  <r>
    <s v="Analyzer Status changed from Ready to Maintenance."/>
    <x v="0"/>
    <x v="0"/>
    <d v="2016-10-30T00:00:00"/>
    <d v="1899-12-30T03:48:12"/>
    <s v="Analyzer"/>
    <x v="1"/>
    <x v="0"/>
    <x v="0"/>
    <x v="0"/>
  </r>
  <r>
    <s v="Analyzer Status changed from Maintenance to Ready."/>
    <x v="0"/>
    <x v="0"/>
    <d v="2016-10-30T00:00:00"/>
    <d v="1899-12-30T03:48:34"/>
    <s v="Analyzer"/>
    <x v="1"/>
    <x v="0"/>
    <x v="0"/>
    <x v="0"/>
  </r>
  <r>
    <s v="Automatic maintenance activity Automatic Fluidic Line Priming Cycle has been executed."/>
    <x v="2"/>
    <x v="0"/>
    <d v="2016-10-30T00:00:00"/>
    <d v="1899-12-30T03:48:34"/>
    <s v="Maintenance"/>
    <x v="1"/>
    <x v="2"/>
    <x v="2"/>
    <x v="0"/>
  </r>
  <r>
    <s v="Analyzer Status changed from Ready to Maintenance."/>
    <x v="0"/>
    <x v="0"/>
    <d v="2016-10-30T00:00:00"/>
    <d v="1899-12-30T04:48:34"/>
    <s v="Analyzer"/>
    <x v="1"/>
    <x v="0"/>
    <x v="0"/>
    <x v="0"/>
  </r>
  <r>
    <s v="Analyzer Status changed from Maintenance to Ready."/>
    <x v="0"/>
    <x v="0"/>
    <d v="2016-10-30T00:00:00"/>
    <d v="1899-12-30T04:48:56"/>
    <s v="Analyzer"/>
    <x v="1"/>
    <x v="0"/>
    <x v="0"/>
    <x v="0"/>
  </r>
  <r>
    <s v="Automatic maintenance activity Automatic Fluidic Line Priming Cycle has been executed."/>
    <x v="2"/>
    <x v="0"/>
    <d v="2016-10-30T00:00:00"/>
    <d v="1899-12-30T04:48:56"/>
    <s v="Maintenance"/>
    <x v="1"/>
    <x v="2"/>
    <x v="2"/>
    <x v="0"/>
  </r>
  <r>
    <s v="Analyzer Status changed from Ready to Maintenance."/>
    <x v="0"/>
    <x v="0"/>
    <d v="2016-10-30T00:00:00"/>
    <d v="1899-12-30T05:48:56"/>
    <s v="Analyzer"/>
    <x v="1"/>
    <x v="0"/>
    <x v="0"/>
    <x v="0"/>
  </r>
  <r>
    <s v="Analyzer Status changed from Maintenance to Ready."/>
    <x v="0"/>
    <x v="0"/>
    <d v="2016-10-30T00:00:00"/>
    <d v="1899-12-30T05:49:18"/>
    <s v="Analyzer"/>
    <x v="1"/>
    <x v="0"/>
    <x v="0"/>
    <x v="0"/>
  </r>
  <r>
    <s v="Automatic maintenance activity Automatic Fluidic Line Priming Cycle has been executed."/>
    <x v="2"/>
    <x v="0"/>
    <d v="2016-10-30T00:00:00"/>
    <d v="1899-12-30T05:49:18"/>
    <s v="Maintenance"/>
    <x v="1"/>
    <x v="2"/>
    <x v="2"/>
    <x v="0"/>
  </r>
  <r>
    <s v="Analyzer Status changed from Ready to Maintenance."/>
    <x v="0"/>
    <x v="0"/>
    <d v="2016-10-30T00:00:00"/>
    <d v="1899-12-30T06:49:18"/>
    <s v="Analyzer"/>
    <x v="1"/>
    <x v="0"/>
    <x v="0"/>
    <x v="0"/>
  </r>
  <r>
    <s v="Automatic maintenance activity Automatic Fluidic Line Priming Cycle has been executed."/>
    <x v="2"/>
    <x v="0"/>
    <d v="2016-10-30T00:00:00"/>
    <d v="1899-12-30T06:49:39"/>
    <s v="Maintenance"/>
    <x v="1"/>
    <x v="2"/>
    <x v="2"/>
    <x v="0"/>
  </r>
  <r>
    <s v="Analyzer Status changed from Maintenance to Ready."/>
    <x v="0"/>
    <x v="0"/>
    <d v="2016-10-30T00:00:00"/>
    <d v="1899-12-30T06:49:40"/>
    <s v="Analyzer"/>
    <x v="1"/>
    <x v="0"/>
    <x v="0"/>
    <x v="0"/>
  </r>
  <r>
    <s v="Analyzer Status changed from Ready to Maintenance."/>
    <x v="0"/>
    <x v="0"/>
    <d v="2016-10-30T00:00:00"/>
    <d v="1899-12-30T07:49:40"/>
    <s v="Analyzer"/>
    <x v="1"/>
    <x v="0"/>
    <x v="0"/>
    <x v="0"/>
  </r>
  <r>
    <s v="Automatic maintenance activity Automatic Fluidic Line Priming Cycle has been executed."/>
    <x v="2"/>
    <x v="0"/>
    <d v="2016-10-30T00:00:00"/>
    <d v="1899-12-30T07:50:01"/>
    <s v="Maintenance"/>
    <x v="1"/>
    <x v="2"/>
    <x v="2"/>
    <x v="0"/>
  </r>
  <r>
    <s v="Analyzer Status changed from Maintenance to Ready."/>
    <x v="0"/>
    <x v="0"/>
    <d v="2016-10-30T00:00:00"/>
    <d v="1899-12-30T07:50:02"/>
    <s v="Analyzer"/>
    <x v="1"/>
    <x v="0"/>
    <x v="0"/>
    <x v="0"/>
  </r>
  <r>
    <s v="Analyzer Status changed from Ready to Maintenance."/>
    <x v="0"/>
    <x v="0"/>
    <d v="2016-10-30T00:00:00"/>
    <d v="1899-12-30T08:50:02"/>
    <s v="Analyzer"/>
    <x v="1"/>
    <x v="0"/>
    <x v="0"/>
    <x v="0"/>
  </r>
  <r>
    <s v="Analyzer Status changed from Maintenance to Ready."/>
    <x v="0"/>
    <x v="0"/>
    <d v="2016-10-30T00:00:00"/>
    <d v="1899-12-30T08:51:36"/>
    <s v="Analyzer"/>
    <x v="1"/>
    <x v="0"/>
    <x v="0"/>
    <x v="0"/>
  </r>
  <r>
    <s v="Automatic maintenance activity Automatic Fluidic Line Priming Cycle has been executed."/>
    <x v="2"/>
    <x v="0"/>
    <d v="2016-10-30T00:00:00"/>
    <d v="1899-12-30T08:51:36"/>
    <s v="Maintenance"/>
    <x v="1"/>
    <x v="2"/>
    <x v="2"/>
    <x v="0"/>
  </r>
  <r>
    <s v="Analyzer Status changed from Ready to Maintenance."/>
    <x v="0"/>
    <x v="0"/>
    <d v="2016-10-30T00:00:00"/>
    <d v="1899-12-30T09:51:36"/>
    <s v="Analyzer"/>
    <x v="1"/>
    <x v="0"/>
    <x v="0"/>
    <x v="0"/>
  </r>
  <r>
    <s v="Analyzer Status changed from Maintenance to Ready."/>
    <x v="0"/>
    <x v="0"/>
    <d v="2016-10-30T00:00:00"/>
    <d v="1899-12-30T09:51:58"/>
    <s v="Analyzer"/>
    <x v="1"/>
    <x v="0"/>
    <x v="0"/>
    <x v="0"/>
  </r>
  <r>
    <s v="Automatic maintenance activity Automatic Fluidic Line Priming Cycle has been executed."/>
    <x v="2"/>
    <x v="0"/>
    <d v="2016-10-30T00:00:00"/>
    <d v="1899-12-30T09:51:58"/>
    <s v="Maintenance"/>
    <x v="1"/>
    <x v="2"/>
    <x v="2"/>
    <x v="0"/>
  </r>
  <r>
    <s v="Analyzer Status changed from Ready to Maintenance."/>
    <x v="0"/>
    <x v="0"/>
    <d v="2016-10-30T00:00:00"/>
    <d v="1899-12-30T10:51:58"/>
    <s v="Analyzer"/>
    <x v="1"/>
    <x v="0"/>
    <x v="0"/>
    <x v="0"/>
  </r>
  <r>
    <s v="Analyzer Status changed from Maintenance to Ready."/>
    <x v="0"/>
    <x v="0"/>
    <d v="2016-10-30T00:00:00"/>
    <d v="1899-12-30T10:52:20"/>
    <s v="Analyzer"/>
    <x v="1"/>
    <x v="0"/>
    <x v="0"/>
    <x v="0"/>
  </r>
  <r>
    <s v="Automatic maintenance activity Automatic Fluidic Line Priming Cycle has been executed."/>
    <x v="2"/>
    <x v="0"/>
    <d v="2016-10-30T00:00:00"/>
    <d v="1899-12-30T10:52:20"/>
    <s v="Maintenance"/>
    <x v="1"/>
    <x v="2"/>
    <x v="2"/>
    <x v="0"/>
  </r>
  <r>
    <s v="Analyzer Status changed from Ready to Maintenance."/>
    <x v="0"/>
    <x v="0"/>
    <d v="2016-10-30T00:00:00"/>
    <d v="1899-12-30T11:52:20"/>
    <s v="Analyzer"/>
    <x v="1"/>
    <x v="0"/>
    <x v="0"/>
    <x v="0"/>
  </r>
  <r>
    <s v="Analyzer Status changed from Maintenance to Ready."/>
    <x v="0"/>
    <x v="0"/>
    <d v="2016-10-30T00:00:00"/>
    <d v="1899-12-30T11:52:42"/>
    <s v="Analyzer"/>
    <x v="1"/>
    <x v="0"/>
    <x v="0"/>
    <x v="0"/>
  </r>
  <r>
    <s v="Automatic maintenance activity Automatic Fluidic Line Priming Cycle has been executed."/>
    <x v="2"/>
    <x v="0"/>
    <d v="2016-10-30T00:00:00"/>
    <d v="1899-12-30T11:52:42"/>
    <s v="Maintenance"/>
    <x v="1"/>
    <x v="2"/>
    <x v="2"/>
    <x v="0"/>
  </r>
  <r>
    <s v="Analyzer Status changed from Ready to Maintenance."/>
    <x v="0"/>
    <x v="0"/>
    <d v="2016-10-30T00:00:00"/>
    <d v="1899-12-30T12:52:42"/>
    <s v="Analyzer"/>
    <x v="1"/>
    <x v="0"/>
    <x v="0"/>
    <x v="0"/>
  </r>
  <r>
    <s v="Automatic maintenance activity Automatic Fluidic Line Priming Cycle has been executed."/>
    <x v="2"/>
    <x v="0"/>
    <d v="2016-10-30T00:00:00"/>
    <d v="1899-12-30T12:53:03"/>
    <s v="Maintenance"/>
    <x v="1"/>
    <x v="2"/>
    <x v="2"/>
    <x v="0"/>
  </r>
  <r>
    <s v="Analyzer Status changed from Maintenance to Ready."/>
    <x v="0"/>
    <x v="0"/>
    <d v="2016-10-30T00:00:00"/>
    <d v="1899-12-30T12:53:04"/>
    <s v="Analyzer"/>
    <x v="1"/>
    <x v="0"/>
    <x v="0"/>
    <x v="0"/>
  </r>
  <r>
    <s v="Analyzer Status changed from Ready to Maintenance."/>
    <x v="0"/>
    <x v="0"/>
    <d v="2016-10-30T00:00:00"/>
    <d v="1899-12-30T13:53:04"/>
    <s v="Analyzer"/>
    <x v="1"/>
    <x v="0"/>
    <x v="0"/>
    <x v="0"/>
  </r>
  <r>
    <s v="Automatic maintenance activity Automatic Fluidic Line Priming Cycle has been executed."/>
    <x v="2"/>
    <x v="0"/>
    <d v="2016-10-30T00:00:00"/>
    <d v="1899-12-30T13:53:25"/>
    <s v="Maintenance"/>
    <x v="1"/>
    <x v="2"/>
    <x v="2"/>
    <x v="0"/>
  </r>
  <r>
    <s v="Analyzer Status changed from Maintenance to Ready."/>
    <x v="0"/>
    <x v="0"/>
    <d v="2016-10-30T00:00:00"/>
    <d v="1899-12-30T13:53:26"/>
    <s v="Analyzer"/>
    <x v="1"/>
    <x v="0"/>
    <x v="0"/>
    <x v="0"/>
  </r>
  <r>
    <s v="Analyzer Status changed from Ready to Maintenance."/>
    <x v="0"/>
    <x v="0"/>
    <d v="2016-10-30T00:00:00"/>
    <d v="1899-12-30T14:53:26"/>
    <s v="Analyzer"/>
    <x v="1"/>
    <x v="0"/>
    <x v="0"/>
    <x v="0"/>
  </r>
  <r>
    <s v="Automatic maintenance activity Automatic Fluidic Line Priming Cycle has been executed."/>
    <x v="2"/>
    <x v="0"/>
    <d v="2016-10-30T00:00:00"/>
    <d v="1899-12-30T14:53:47"/>
    <s v="Maintenance"/>
    <x v="1"/>
    <x v="2"/>
    <x v="2"/>
    <x v="0"/>
  </r>
  <r>
    <s v="Analyzer Status changed from Maintenance to Ready."/>
    <x v="0"/>
    <x v="0"/>
    <d v="2016-10-30T00:00:00"/>
    <d v="1899-12-30T14:53:48"/>
    <s v="Analyzer"/>
    <x v="1"/>
    <x v="0"/>
    <x v="0"/>
    <x v="0"/>
  </r>
  <r>
    <s v="Analyzer Status changed from Ready to Maintenance."/>
    <x v="0"/>
    <x v="0"/>
    <d v="2016-10-30T00:00:00"/>
    <d v="1899-12-30T15:53:48"/>
    <s v="Analyzer"/>
    <x v="1"/>
    <x v="0"/>
    <x v="0"/>
    <x v="0"/>
  </r>
  <r>
    <s v="Analyzer Status changed from Maintenance to Ready."/>
    <x v="0"/>
    <x v="0"/>
    <d v="2016-10-30T00:00:00"/>
    <d v="1899-12-30T15:54:09"/>
    <s v="Analyzer"/>
    <x v="1"/>
    <x v="0"/>
    <x v="0"/>
    <x v="0"/>
  </r>
  <r>
    <s v="Automatic maintenance activity Automatic Fluidic Line Priming Cycle has been executed."/>
    <x v="2"/>
    <x v="0"/>
    <d v="2016-10-30T00:00:00"/>
    <d v="1899-12-30T15:54:09"/>
    <s v="Maintenance"/>
    <x v="1"/>
    <x v="2"/>
    <x v="2"/>
    <x v="0"/>
  </r>
  <r>
    <s v="Analyzer Status changed from Ready to Maintenance."/>
    <x v="0"/>
    <x v="0"/>
    <d v="2016-10-30T00:00:00"/>
    <d v="1899-12-30T16:54:10"/>
    <s v="Analyzer"/>
    <x v="1"/>
    <x v="0"/>
    <x v="0"/>
    <x v="0"/>
  </r>
  <r>
    <s v="Analyzer Status changed from Maintenance to Ready."/>
    <x v="0"/>
    <x v="0"/>
    <d v="2016-10-30T00:00:00"/>
    <d v="1899-12-30T16:54:31"/>
    <s v="Analyzer"/>
    <x v="1"/>
    <x v="0"/>
    <x v="0"/>
    <x v="0"/>
  </r>
  <r>
    <s v="Automatic maintenance activity Automatic Fluidic Line Priming Cycle has been executed."/>
    <x v="2"/>
    <x v="0"/>
    <d v="2016-10-30T00:00:00"/>
    <d v="1899-12-30T16:54:31"/>
    <s v="Maintenance"/>
    <x v="1"/>
    <x v="2"/>
    <x v="2"/>
    <x v="0"/>
  </r>
  <r>
    <s v="Analyzer Status changed from Ready to Maintenance."/>
    <x v="0"/>
    <x v="0"/>
    <d v="2016-10-30T00:00:00"/>
    <d v="1899-12-30T17:54:31"/>
    <s v="Analyzer"/>
    <x v="1"/>
    <x v="0"/>
    <x v="0"/>
    <x v="0"/>
  </r>
  <r>
    <s v="Analyzer Status changed from Maintenance to Ready."/>
    <x v="0"/>
    <x v="0"/>
    <d v="2016-10-30T00:00:00"/>
    <d v="1899-12-30T17:54:53"/>
    <s v="Analyzer"/>
    <x v="1"/>
    <x v="0"/>
    <x v="0"/>
    <x v="0"/>
  </r>
  <r>
    <s v="Automatic maintenance activity Automatic Fluidic Line Priming Cycle has been executed."/>
    <x v="2"/>
    <x v="0"/>
    <d v="2016-10-30T00:00:00"/>
    <d v="1899-12-30T17:54:53"/>
    <s v="Maintenance"/>
    <x v="1"/>
    <x v="2"/>
    <x v="2"/>
    <x v="0"/>
  </r>
  <r>
    <s v="Analyzer Status changed from Ready to Maintenance."/>
    <x v="0"/>
    <x v="0"/>
    <d v="2016-10-30T00:00:00"/>
    <d v="1899-12-30T18:54:53"/>
    <s v="Analyzer"/>
    <x v="1"/>
    <x v="0"/>
    <x v="0"/>
    <x v="0"/>
  </r>
  <r>
    <s v="Analyzer Status changed from Maintenance to Ready."/>
    <x v="0"/>
    <x v="0"/>
    <d v="2016-10-30T00:00:00"/>
    <d v="1899-12-30T18:55:15"/>
    <s v="Analyzer"/>
    <x v="1"/>
    <x v="0"/>
    <x v="0"/>
    <x v="0"/>
  </r>
  <r>
    <s v="Automatic maintenance activity Automatic Fluidic Line Priming Cycle has been executed."/>
    <x v="2"/>
    <x v="0"/>
    <d v="2016-10-30T00:00:00"/>
    <d v="1899-12-30T18:55:15"/>
    <s v="Maintenance"/>
    <x v="1"/>
    <x v="2"/>
    <x v="2"/>
    <x v="0"/>
  </r>
  <r>
    <s v="Analyzer Status changed from Ready to Maintenance."/>
    <x v="0"/>
    <x v="0"/>
    <d v="2016-10-30T00:00:00"/>
    <d v="1899-12-30T19:55:15"/>
    <s v="Analyzer"/>
    <x v="1"/>
    <x v="0"/>
    <x v="0"/>
    <x v="0"/>
  </r>
  <r>
    <s v="Analyzer Status changed from Maintenance to Ready."/>
    <x v="0"/>
    <x v="0"/>
    <d v="2016-10-30T00:00:00"/>
    <d v="1899-12-30T19:55:37"/>
    <s v="Analyzer"/>
    <x v="1"/>
    <x v="0"/>
    <x v="0"/>
    <x v="0"/>
  </r>
  <r>
    <s v="Automatic maintenance activity Automatic Fluidic Line Priming Cycle has been executed."/>
    <x v="2"/>
    <x v="0"/>
    <d v="2016-10-30T00:00:00"/>
    <d v="1899-12-30T19:55:37"/>
    <s v="Maintenance"/>
    <x v="1"/>
    <x v="2"/>
    <x v="2"/>
    <x v="0"/>
  </r>
  <r>
    <s v="Analyzer Status changed from Ready to Maintenance."/>
    <x v="0"/>
    <x v="0"/>
    <d v="2016-10-30T00:00:00"/>
    <d v="1899-12-30T20:55:37"/>
    <s v="Analyzer"/>
    <x v="1"/>
    <x v="0"/>
    <x v="0"/>
    <x v="0"/>
  </r>
  <r>
    <s v="Automatic maintenance activity Automatic Fluidic Line Priming Cycle has been executed."/>
    <x v="2"/>
    <x v="0"/>
    <d v="2016-10-30T00:00:00"/>
    <d v="1899-12-30T20:55:58"/>
    <s v="Maintenance"/>
    <x v="1"/>
    <x v="2"/>
    <x v="2"/>
    <x v="0"/>
  </r>
  <r>
    <s v="Analyzer Status changed from Maintenance to Ready."/>
    <x v="0"/>
    <x v="0"/>
    <d v="2016-10-30T00:00:00"/>
    <d v="1899-12-30T20:55:59"/>
    <s v="Analyzer"/>
    <x v="1"/>
    <x v="0"/>
    <x v="0"/>
    <x v="0"/>
  </r>
  <r>
    <s v="Analyzer Status changed from Ready to Maintenance."/>
    <x v="0"/>
    <x v="0"/>
    <d v="2016-10-30T00:00:00"/>
    <d v="1899-12-30T21:55:59"/>
    <s v="Analyzer"/>
    <x v="1"/>
    <x v="0"/>
    <x v="0"/>
    <x v="0"/>
  </r>
  <r>
    <s v="Automatic maintenance activity Automatic Fluidic Line Priming Cycle has been executed."/>
    <x v="2"/>
    <x v="0"/>
    <d v="2016-10-30T00:00:00"/>
    <d v="1899-12-30T21:56:20"/>
    <s v="Maintenance"/>
    <x v="1"/>
    <x v="2"/>
    <x v="2"/>
    <x v="0"/>
  </r>
  <r>
    <s v="Analyzer Status changed from Maintenance to Ready."/>
    <x v="0"/>
    <x v="0"/>
    <d v="2016-10-30T00:00:00"/>
    <d v="1899-12-30T21:56:21"/>
    <s v="Analyzer"/>
    <x v="1"/>
    <x v="0"/>
    <x v="0"/>
    <x v="0"/>
  </r>
  <r>
    <s v="Analyzer Status changed from Ready to Maintenance."/>
    <x v="0"/>
    <x v="0"/>
    <d v="2016-10-30T00:00:00"/>
    <d v="1899-12-30T22:56:21"/>
    <s v="Analyzer"/>
    <x v="1"/>
    <x v="0"/>
    <x v="0"/>
    <x v="0"/>
  </r>
  <r>
    <s v="Automatic maintenance activity Automatic Fluidic Line Priming Cycle has been executed."/>
    <x v="2"/>
    <x v="0"/>
    <d v="2016-10-30T00:00:00"/>
    <d v="1899-12-30T22:56:42"/>
    <s v="Maintenance"/>
    <x v="1"/>
    <x v="2"/>
    <x v="2"/>
    <x v="0"/>
  </r>
  <r>
    <s v="Analyzer Status changed from Maintenance to Ready."/>
    <x v="0"/>
    <x v="0"/>
    <d v="2016-10-30T00:00:00"/>
    <d v="1899-12-30T22:56:43"/>
    <s v="Analyzer"/>
    <x v="1"/>
    <x v="0"/>
    <x v="0"/>
    <x v="0"/>
  </r>
  <r>
    <s v="Analyzer Status changed from Ready to Maintenance."/>
    <x v="0"/>
    <x v="0"/>
    <d v="2016-10-30T00:00:00"/>
    <d v="1899-12-30T23:56:43"/>
    <s v="Analyzer"/>
    <x v="1"/>
    <x v="0"/>
    <x v="0"/>
    <x v="0"/>
  </r>
  <r>
    <s v="Analyzer Status changed from Maintenance to Ready."/>
    <x v="0"/>
    <x v="0"/>
    <d v="2016-10-30T00:00:00"/>
    <d v="1899-12-30T23:57:04"/>
    <s v="Analyzer"/>
    <x v="1"/>
    <x v="0"/>
    <x v="0"/>
    <x v="0"/>
  </r>
  <r>
    <s v="Automatic maintenance activity Automatic Fluidic Line Priming Cycle has been executed."/>
    <x v="2"/>
    <x v="0"/>
    <d v="2016-10-30T00:00:00"/>
    <d v="1899-12-30T23:57:04"/>
    <s v="Maintenance"/>
    <x v="1"/>
    <x v="2"/>
    <x v="2"/>
    <x v="0"/>
  </r>
  <r>
    <s v="Analyzer Status changed from Ready to Maintenance."/>
    <x v="0"/>
    <x v="0"/>
    <d v="2016-10-31T00:00:00"/>
    <d v="1899-12-30T00:57:05"/>
    <s v="Analyzer"/>
    <x v="1"/>
    <x v="0"/>
    <x v="0"/>
    <x v="0"/>
  </r>
  <r>
    <s v="Analyzer Status changed from Maintenance to Ready."/>
    <x v="0"/>
    <x v="0"/>
    <d v="2016-10-31T00:00:00"/>
    <d v="1899-12-30T00:57:26"/>
    <s v="Analyzer"/>
    <x v="1"/>
    <x v="0"/>
    <x v="0"/>
    <x v="0"/>
  </r>
  <r>
    <s v="Automatic maintenance activity Automatic Fluidic Line Priming Cycle has been executed."/>
    <x v="2"/>
    <x v="0"/>
    <d v="2016-10-31T00:00:00"/>
    <d v="1899-12-30T00:57:26"/>
    <s v="Maintenance"/>
    <x v="1"/>
    <x v="2"/>
    <x v="2"/>
    <x v="0"/>
  </r>
  <r>
    <s v="Analyzer Status changed from Ready to Maintenance."/>
    <x v="0"/>
    <x v="0"/>
    <d v="2016-10-31T00:00:00"/>
    <d v="1899-12-30T01:57:27"/>
    <s v="Analyzer"/>
    <x v="1"/>
    <x v="0"/>
    <x v="0"/>
    <x v="0"/>
  </r>
  <r>
    <s v="Analyzer Status changed from Maintenance to Ready."/>
    <x v="0"/>
    <x v="0"/>
    <d v="2016-10-31T00:00:00"/>
    <d v="1899-12-30T01:57:48"/>
    <s v="Analyzer"/>
    <x v="1"/>
    <x v="0"/>
    <x v="0"/>
    <x v="0"/>
  </r>
  <r>
    <s v="Automatic maintenance activity Automatic Fluidic Line Priming Cycle has been executed."/>
    <x v="2"/>
    <x v="0"/>
    <d v="2016-10-31T00:00:00"/>
    <d v="1899-12-30T01:57:48"/>
    <s v="Maintenance"/>
    <x v="1"/>
    <x v="2"/>
    <x v="2"/>
    <x v="0"/>
  </r>
  <r>
    <s v="Analyzer Status changed from Ready to Maintenance."/>
    <x v="0"/>
    <x v="0"/>
    <d v="2016-10-31T00:00:00"/>
    <d v="1899-12-30T02:57:49"/>
    <s v="Analyzer"/>
    <x v="1"/>
    <x v="0"/>
    <x v="0"/>
    <x v="0"/>
  </r>
  <r>
    <s v="Analyzer Status changed from Maintenance to Ready."/>
    <x v="0"/>
    <x v="0"/>
    <d v="2016-10-31T00:00:00"/>
    <d v="1899-12-30T02:58:10"/>
    <s v="Analyzer"/>
    <x v="1"/>
    <x v="0"/>
    <x v="0"/>
    <x v="0"/>
  </r>
  <r>
    <s v="Automatic maintenance activity Automatic Fluidic Line Priming Cycle has been executed."/>
    <x v="2"/>
    <x v="0"/>
    <d v="2016-10-31T00:00:00"/>
    <d v="1899-12-30T02:58:10"/>
    <s v="Maintenance"/>
    <x v="1"/>
    <x v="2"/>
    <x v="2"/>
    <x v="0"/>
  </r>
  <r>
    <s v="Analyzer Status changed from Ready to Maintenance."/>
    <x v="0"/>
    <x v="0"/>
    <d v="2016-10-31T00:00:00"/>
    <d v="1899-12-30T03:58:11"/>
    <s v="Analyzer"/>
    <x v="1"/>
    <x v="0"/>
    <x v="0"/>
    <x v="0"/>
  </r>
  <r>
    <s v="Analyzer Status changed from Maintenance to Ready."/>
    <x v="0"/>
    <x v="0"/>
    <d v="2016-10-31T00:00:00"/>
    <d v="1899-12-30T03:58:32"/>
    <s v="Analyzer"/>
    <x v="1"/>
    <x v="0"/>
    <x v="0"/>
    <x v="0"/>
  </r>
  <r>
    <s v="Automatic maintenance activity Automatic Fluidic Line Priming Cycle has been executed."/>
    <x v="2"/>
    <x v="0"/>
    <d v="2016-10-31T00:00:00"/>
    <d v="1899-12-30T03:58:32"/>
    <s v="Maintenance"/>
    <x v="1"/>
    <x v="2"/>
    <x v="2"/>
    <x v="0"/>
  </r>
  <r>
    <s v="Analyzer Status changed from Ready to Maintenance."/>
    <x v="0"/>
    <x v="0"/>
    <d v="2016-10-31T00:00:00"/>
    <d v="1899-12-30T04:58:33"/>
    <s v="Analyzer"/>
    <x v="1"/>
    <x v="0"/>
    <x v="0"/>
    <x v="0"/>
  </r>
  <r>
    <s v="Analyzer Status changed from Maintenance to Ready."/>
    <x v="0"/>
    <x v="0"/>
    <d v="2016-10-31T00:00:00"/>
    <d v="1899-12-30T04:58:54"/>
    <s v="Analyzer"/>
    <x v="1"/>
    <x v="0"/>
    <x v="0"/>
    <x v="0"/>
  </r>
  <r>
    <s v="Automatic maintenance activity Automatic Fluidic Line Priming Cycle has been executed."/>
    <x v="2"/>
    <x v="0"/>
    <d v="2016-10-31T00:00:00"/>
    <d v="1899-12-30T04:58:54"/>
    <s v="Maintenance"/>
    <x v="1"/>
    <x v="2"/>
    <x v="2"/>
    <x v="0"/>
  </r>
  <r>
    <s v="Analyzer Status changed from Ready to Maintenance."/>
    <x v="0"/>
    <x v="0"/>
    <d v="2016-10-31T00:00:00"/>
    <d v="1899-12-30T05:58:55"/>
    <s v="Analyzer"/>
    <x v="1"/>
    <x v="0"/>
    <x v="0"/>
    <x v="0"/>
  </r>
  <r>
    <s v="Analyzer Status changed from Maintenance to Ready."/>
    <x v="0"/>
    <x v="0"/>
    <d v="2016-10-31T00:00:00"/>
    <d v="1899-12-30T05:59:16"/>
    <s v="Analyzer"/>
    <x v="1"/>
    <x v="0"/>
    <x v="0"/>
    <x v="0"/>
  </r>
  <r>
    <s v="Automatic maintenance activity Automatic Fluidic Line Priming Cycle has been executed."/>
    <x v="2"/>
    <x v="0"/>
    <d v="2016-10-31T00:00:00"/>
    <d v="1899-12-30T05:59:16"/>
    <s v="Maintenance"/>
    <x v="1"/>
    <x v="2"/>
    <x v="2"/>
    <x v="0"/>
  </r>
  <r>
    <s v="Analyzer Status changed from Ready to Maintenance."/>
    <x v="0"/>
    <x v="0"/>
    <d v="2016-10-31T00:00:00"/>
    <d v="1899-12-30T06:59:17"/>
    <s v="Analyzer"/>
    <x v="1"/>
    <x v="0"/>
    <x v="0"/>
    <x v="0"/>
  </r>
  <r>
    <s v="Analyzer Status changed from Maintenance to Ready."/>
    <x v="0"/>
    <x v="0"/>
    <d v="2016-10-31T00:00:00"/>
    <d v="1899-12-30T06:59:38"/>
    <s v="Analyzer"/>
    <x v="1"/>
    <x v="0"/>
    <x v="0"/>
    <x v="0"/>
  </r>
  <r>
    <s v="Automatic maintenance activity Automatic Fluidic Line Priming Cycle has been executed."/>
    <x v="2"/>
    <x v="0"/>
    <d v="2016-10-31T00:00:00"/>
    <d v="1899-12-30T06:59:38"/>
    <s v="Maintenance"/>
    <x v="1"/>
    <x v="2"/>
    <x v="2"/>
    <x v="0"/>
  </r>
  <r>
    <s v="Analyzer Status changed from Ready to Maintenance."/>
    <x v="0"/>
    <x v="0"/>
    <d v="2016-10-31T00:00:00"/>
    <d v="1899-12-30T07:59:38"/>
    <s v="Analyzer"/>
    <x v="1"/>
    <x v="0"/>
    <x v="0"/>
    <x v="0"/>
  </r>
  <r>
    <s v="Analyzer Status changed from Maintenance to Ready."/>
    <x v="0"/>
    <x v="0"/>
    <d v="2016-10-31T00:00:00"/>
    <d v="1899-12-30T08:00:00"/>
    <s v="Analyzer"/>
    <x v="1"/>
    <x v="0"/>
    <x v="0"/>
    <x v="0"/>
  </r>
  <r>
    <s v="Automatic maintenance activity Automatic Fluidic Line Priming Cycle has been executed."/>
    <x v="2"/>
    <x v="0"/>
    <d v="2016-10-31T00:00:00"/>
    <d v="1899-12-30T08:00:00"/>
    <s v="Maintenance"/>
    <x v="1"/>
    <x v="2"/>
    <x v="2"/>
    <x v="0"/>
  </r>
  <r>
    <s v="Analyzer Status changed from Ready to Maintenance."/>
    <x v="0"/>
    <x v="0"/>
    <d v="2016-10-31T00:00:00"/>
    <d v="1899-12-30T09:00:00"/>
    <s v="Analyzer"/>
    <x v="1"/>
    <x v="0"/>
    <x v="0"/>
    <x v="0"/>
  </r>
  <r>
    <s v="Analyzer Status changed from Maintenance to Ready."/>
    <x v="0"/>
    <x v="0"/>
    <d v="2016-10-31T00:00:00"/>
    <d v="1899-12-30T09:01:35"/>
    <s v="Analyzer"/>
    <x v="1"/>
    <x v="0"/>
    <x v="0"/>
    <x v="0"/>
  </r>
  <r>
    <s v="Automatic maintenance activity Automatic Fluidic Line Priming Cycle has been executed."/>
    <x v="2"/>
    <x v="0"/>
    <d v="2016-10-31T00:00:00"/>
    <d v="1899-12-30T09:01:35"/>
    <s v="Maintenance"/>
    <x v="1"/>
    <x v="2"/>
    <x v="2"/>
    <x v="0"/>
  </r>
  <r>
    <s v="Analyzer Status changed from Ready to Maintenance."/>
    <x v="0"/>
    <x v="0"/>
    <d v="2016-10-31T00:00:00"/>
    <d v="1899-12-30T10:01:35"/>
    <s v="Analyzer"/>
    <x v="1"/>
    <x v="0"/>
    <x v="0"/>
    <x v="0"/>
  </r>
  <r>
    <s v="Automatic maintenance activity Automatic Fluidic Line Priming Cycle has been executed."/>
    <x v="2"/>
    <x v="0"/>
    <d v="2016-10-31T00:00:00"/>
    <d v="1899-12-30T10:01:56"/>
    <s v="Maintenance"/>
    <x v="1"/>
    <x v="2"/>
    <x v="2"/>
    <x v="0"/>
  </r>
  <r>
    <s v="Analyzer Status changed from Maintenance to Ready."/>
    <x v="0"/>
    <x v="0"/>
    <d v="2016-10-31T00:00:00"/>
    <d v="1899-12-30T10:01:57"/>
    <s v="Analyzer"/>
    <x v="1"/>
    <x v="0"/>
    <x v="0"/>
    <x v="0"/>
  </r>
  <r>
    <s v="Successful log in by user: LHO."/>
    <x v="18"/>
    <x v="0"/>
    <d v="2016-10-31T00:00:00"/>
    <d v="1899-12-30T10:57:56"/>
    <s v="Other"/>
    <x v="0"/>
    <x v="2"/>
    <x v="5"/>
    <x v="0"/>
  </r>
  <r>
    <s v="Analyzer Status changed from Ready to Maintenance."/>
    <x v="0"/>
    <x v="0"/>
    <d v="2016-10-31T00:00:00"/>
    <d v="1899-12-30T11:01:57"/>
    <s v="Analyzer"/>
    <x v="0"/>
    <x v="0"/>
    <x v="0"/>
    <x v="0"/>
  </r>
  <r>
    <s v="Automatic maintenance activity Automatic Fluidic Line Priming Cycle has been executed."/>
    <x v="2"/>
    <x v="0"/>
    <d v="2016-10-31T00:00:00"/>
    <d v="1899-12-30T11:02:18"/>
    <s v="Maintenance"/>
    <x v="0"/>
    <x v="2"/>
    <x v="2"/>
    <x v="0"/>
  </r>
  <r>
    <s v="Analyzer Status changed from Maintenance to Ready."/>
    <x v="0"/>
    <x v="0"/>
    <d v="2016-10-31T00:00:00"/>
    <d v="1899-12-30T11:02:19"/>
    <s v="Analyzer"/>
    <x v="0"/>
    <x v="0"/>
    <x v="0"/>
    <x v="0"/>
  </r>
  <r>
    <s v="Analyzer Status changed from Ready to Maintenance."/>
    <x v="0"/>
    <x v="0"/>
    <d v="2016-10-31T00:00:00"/>
    <d v="1899-12-30T12:02:19"/>
    <s v="Analyzer"/>
    <x v="0"/>
    <x v="0"/>
    <x v="0"/>
    <x v="0"/>
  </r>
  <r>
    <s v="Analyzer Status changed from Maintenance to Ready."/>
    <x v="0"/>
    <x v="0"/>
    <d v="2016-10-31T00:00:00"/>
    <d v="1899-12-30T12:02:40"/>
    <s v="Analyzer"/>
    <x v="0"/>
    <x v="0"/>
    <x v="0"/>
    <x v="0"/>
  </r>
  <r>
    <s v="Automatic maintenance activity Automatic Fluidic Line Priming Cycle has been executed."/>
    <x v="2"/>
    <x v="0"/>
    <d v="2016-10-31T00:00:00"/>
    <d v="1899-12-30T12:02:40"/>
    <s v="Maintenance"/>
    <x v="0"/>
    <x v="2"/>
    <x v="2"/>
    <x v="0"/>
  </r>
  <r>
    <s v="Automatic logout."/>
    <x v="62"/>
    <x v="0"/>
    <d v="2016-10-31T00:00:00"/>
    <d v="1899-12-30T12:30:37"/>
    <s v="Other"/>
    <x v="0"/>
    <x v="4"/>
    <x v="7"/>
    <x v="1"/>
  </r>
  <r>
    <s v="Analyzer Status changed from Ready to Maintenance."/>
    <x v="0"/>
    <x v="0"/>
    <d v="2016-10-31T00:00:00"/>
    <d v="1899-12-30T13:02:41"/>
    <s v="Analyzer"/>
    <x v="1"/>
    <x v="0"/>
    <x v="0"/>
    <x v="0"/>
  </r>
  <r>
    <s v="Analyzer Status changed from Maintenance to Ready."/>
    <x v="0"/>
    <x v="0"/>
    <d v="2016-10-31T00:00:00"/>
    <d v="1899-12-30T13:03:02"/>
    <s v="Analyzer"/>
    <x v="1"/>
    <x v="0"/>
    <x v="0"/>
    <x v="0"/>
  </r>
  <r>
    <s v="Automatic maintenance activity Automatic Fluidic Line Priming Cycle has been executed."/>
    <x v="2"/>
    <x v="0"/>
    <d v="2016-10-31T00:00:00"/>
    <d v="1899-12-30T13:03:02"/>
    <s v="Maintenance"/>
    <x v="1"/>
    <x v="2"/>
    <x v="2"/>
    <x v="0"/>
  </r>
  <r>
    <s v="Unsuccessful log in by user: cbu."/>
    <x v="48"/>
    <x v="0"/>
    <d v="2016-10-31T00:00:00"/>
    <d v="1899-12-30T13:22:14"/>
    <s v="Other"/>
    <x v="1"/>
    <x v="2"/>
    <x v="5"/>
    <x v="0"/>
  </r>
  <r>
    <s v="Analyzer Status changed from Ready to Maintenance."/>
    <x v="0"/>
    <x v="0"/>
    <d v="2016-10-31T00:00:00"/>
    <d v="1899-12-30T14:03:02"/>
    <s v="Analyzer"/>
    <x v="1"/>
    <x v="0"/>
    <x v="0"/>
    <x v="0"/>
  </r>
  <r>
    <s v="Analyzer Status changed from Maintenance to Ready."/>
    <x v="0"/>
    <x v="0"/>
    <d v="2016-10-31T00:00:00"/>
    <d v="1899-12-30T14:03:24"/>
    <s v="Analyzer"/>
    <x v="1"/>
    <x v="0"/>
    <x v="0"/>
    <x v="0"/>
  </r>
  <r>
    <s v="Automatic maintenance activity Automatic Fluidic Line Priming Cycle has been executed."/>
    <x v="2"/>
    <x v="0"/>
    <d v="2016-10-31T00:00:00"/>
    <d v="1899-12-30T14:03:24"/>
    <s v="Maintenance"/>
    <x v="1"/>
    <x v="2"/>
    <x v="2"/>
    <x v="0"/>
  </r>
  <r>
    <s v="Analyzer Status changed from Ready to Maintenance."/>
    <x v="0"/>
    <x v="0"/>
    <d v="2016-10-31T00:00:00"/>
    <d v="1899-12-30T15:03:24"/>
    <s v="Analyzer"/>
    <x v="1"/>
    <x v="0"/>
    <x v="0"/>
    <x v="0"/>
  </r>
  <r>
    <s v="Analyzer Status changed from Maintenance to Ready."/>
    <x v="0"/>
    <x v="0"/>
    <d v="2016-10-31T00:00:00"/>
    <d v="1899-12-30T15:03:46"/>
    <s v="Analyzer"/>
    <x v="1"/>
    <x v="0"/>
    <x v="0"/>
    <x v="0"/>
  </r>
  <r>
    <s v="Automatic maintenance activity Automatic Fluidic Line Priming Cycle has been executed."/>
    <x v="2"/>
    <x v="0"/>
    <d v="2016-10-31T00:00:00"/>
    <d v="1899-12-30T15:03:46"/>
    <s v="Maintenance"/>
    <x v="1"/>
    <x v="2"/>
    <x v="2"/>
    <x v="0"/>
  </r>
  <r>
    <s v="Analyzer Status changed from Ready to Maintenance."/>
    <x v="0"/>
    <x v="0"/>
    <d v="2016-10-31T00:00:00"/>
    <d v="1899-12-30T16:03:46"/>
    <s v="Analyzer"/>
    <x v="1"/>
    <x v="0"/>
    <x v="0"/>
    <x v="0"/>
  </r>
  <r>
    <s v="Analyzer Status changed from Maintenance to Ready."/>
    <x v="0"/>
    <x v="0"/>
    <d v="2016-10-31T00:00:00"/>
    <d v="1899-12-30T16:04:08"/>
    <s v="Analyzer"/>
    <x v="1"/>
    <x v="0"/>
    <x v="0"/>
    <x v="0"/>
  </r>
  <r>
    <s v="Automatic maintenance activity Automatic Fluidic Line Priming Cycle has been executed."/>
    <x v="2"/>
    <x v="0"/>
    <d v="2016-10-31T00:00:00"/>
    <d v="1899-12-30T16:04:08"/>
    <s v="Maintenance"/>
    <x v="1"/>
    <x v="2"/>
    <x v="2"/>
    <x v="0"/>
  </r>
  <r>
    <s v="Analyzer Status changed from Ready to Maintenance."/>
    <x v="0"/>
    <x v="0"/>
    <d v="2016-10-31T00:00:00"/>
    <d v="1899-12-30T17:04:08"/>
    <s v="Analyzer"/>
    <x v="1"/>
    <x v="0"/>
    <x v="0"/>
    <x v="0"/>
  </r>
  <r>
    <s v="Automatic maintenance activity Automatic Fluidic Line Priming Cycle has been executed."/>
    <x v="2"/>
    <x v="0"/>
    <d v="2016-10-31T00:00:00"/>
    <d v="1899-12-30T17:04:29"/>
    <s v="Maintenance"/>
    <x v="1"/>
    <x v="2"/>
    <x v="2"/>
    <x v="0"/>
  </r>
  <r>
    <s v="Analyzer Status changed from Maintenance to Ready."/>
    <x v="0"/>
    <x v="0"/>
    <d v="2016-10-31T00:00:00"/>
    <d v="1899-12-30T17:04:30"/>
    <s v="Analyzer"/>
    <x v="1"/>
    <x v="0"/>
    <x v="0"/>
    <x v="0"/>
  </r>
  <r>
    <s v="Analyzer Status changed from Ready to Maintenance."/>
    <x v="0"/>
    <x v="0"/>
    <d v="2016-10-31T00:00:00"/>
    <d v="1899-12-30T18:04:30"/>
    <s v="Analyzer"/>
    <x v="1"/>
    <x v="0"/>
    <x v="0"/>
    <x v="0"/>
  </r>
  <r>
    <s v="Automatic maintenance activity Automatic Fluidic Line Priming Cycle has been executed."/>
    <x v="2"/>
    <x v="0"/>
    <d v="2016-10-31T00:00:00"/>
    <d v="1899-12-30T18:04:51"/>
    <s v="Maintenance"/>
    <x v="1"/>
    <x v="2"/>
    <x v="2"/>
    <x v="0"/>
  </r>
  <r>
    <s v="Analyzer Status changed from Maintenance to Ready."/>
    <x v="0"/>
    <x v="0"/>
    <d v="2016-10-31T00:00:00"/>
    <d v="1899-12-30T18:04:52"/>
    <s v="Analyzer"/>
    <x v="1"/>
    <x v="0"/>
    <x v="0"/>
    <x v="0"/>
  </r>
  <r>
    <s v="Analyzer Status changed from Ready to Maintenance."/>
    <x v="0"/>
    <x v="0"/>
    <d v="2016-10-31T00:00:00"/>
    <d v="1899-12-30T19:04:52"/>
    <s v="Analyzer"/>
    <x v="1"/>
    <x v="0"/>
    <x v="0"/>
    <x v="0"/>
  </r>
  <r>
    <s v="Automatic maintenance activity Automatic Fluidic Line Priming Cycle has been executed."/>
    <x v="2"/>
    <x v="0"/>
    <d v="2016-10-31T00:00:00"/>
    <d v="1899-12-30T19:05:13"/>
    <s v="Maintenance"/>
    <x v="1"/>
    <x v="2"/>
    <x v="2"/>
    <x v="0"/>
  </r>
  <r>
    <s v="Analyzer Status changed from Maintenance to Ready."/>
    <x v="0"/>
    <x v="0"/>
    <d v="2016-10-31T00:00:00"/>
    <d v="1899-12-30T19:05:14"/>
    <s v="Analyzer"/>
    <x v="1"/>
    <x v="0"/>
    <x v="0"/>
    <x v="0"/>
  </r>
  <r>
    <s v="Analyzer Status changed from Ready to Maintenance."/>
    <x v="0"/>
    <x v="0"/>
    <d v="2016-10-31T00:00:00"/>
    <d v="1899-12-30T20:05:14"/>
    <s v="Analyzer"/>
    <x v="1"/>
    <x v="0"/>
    <x v="0"/>
    <x v="0"/>
  </r>
  <r>
    <s v="Automatic maintenance activity Automatic Fluidic Line Priming Cycle has been executed."/>
    <x v="2"/>
    <x v="0"/>
    <d v="2016-10-31T00:00:00"/>
    <d v="1899-12-30T20:05:35"/>
    <s v="Maintenance"/>
    <x v="1"/>
    <x v="2"/>
    <x v="2"/>
    <x v="0"/>
  </r>
  <r>
    <s v="Analyzer Status changed from Maintenance to Ready."/>
    <x v="0"/>
    <x v="0"/>
    <d v="2016-10-31T00:00:00"/>
    <d v="1899-12-30T20:05:36"/>
    <s v="Analyzer"/>
    <x v="1"/>
    <x v="0"/>
    <x v="0"/>
    <x v="0"/>
  </r>
  <r>
    <s v="Analyzer Status changed from Ready to Maintenance."/>
    <x v="0"/>
    <x v="0"/>
    <d v="2016-10-31T00:00:00"/>
    <d v="1899-12-30T21:05:36"/>
    <s v="Analyzer"/>
    <x v="1"/>
    <x v="0"/>
    <x v="0"/>
    <x v="0"/>
  </r>
  <r>
    <s v="Analyzer Status changed from Maintenance to Ready."/>
    <x v="0"/>
    <x v="0"/>
    <d v="2016-10-31T00:00:00"/>
    <d v="1899-12-30T21:05:57"/>
    <s v="Analyzer"/>
    <x v="1"/>
    <x v="0"/>
    <x v="0"/>
    <x v="0"/>
  </r>
  <r>
    <s v="Automatic maintenance activity Automatic Fluidic Line Priming Cycle has been executed."/>
    <x v="2"/>
    <x v="0"/>
    <d v="2016-10-31T00:00:00"/>
    <d v="1899-12-30T21:05:57"/>
    <s v="Maintenance"/>
    <x v="1"/>
    <x v="2"/>
    <x v="2"/>
    <x v="0"/>
  </r>
  <r>
    <s v="Analyzer Status changed from Ready to Maintenance."/>
    <x v="0"/>
    <x v="0"/>
    <d v="2016-10-31T00:00:00"/>
    <d v="1899-12-30T22:05:58"/>
    <s v="Analyzer"/>
    <x v="1"/>
    <x v="0"/>
    <x v="0"/>
    <x v="0"/>
  </r>
  <r>
    <s v="Analyzer Status changed from Maintenance to Ready."/>
    <x v="0"/>
    <x v="0"/>
    <d v="2016-10-31T00:00:00"/>
    <d v="1899-12-30T22:06:19"/>
    <s v="Analyzer"/>
    <x v="1"/>
    <x v="0"/>
    <x v="0"/>
    <x v="0"/>
  </r>
  <r>
    <s v="Automatic maintenance activity Automatic Fluidic Line Priming Cycle has been executed."/>
    <x v="2"/>
    <x v="0"/>
    <d v="2016-10-31T00:00:00"/>
    <d v="1899-12-30T22:06:19"/>
    <s v="Maintenance"/>
    <x v="1"/>
    <x v="2"/>
    <x v="2"/>
    <x v="0"/>
  </r>
  <r>
    <s v="Analyzer Status changed from Ready to Maintenance."/>
    <x v="0"/>
    <x v="0"/>
    <d v="2016-10-31T00:00:00"/>
    <d v="1899-12-30T23:06:20"/>
    <s v="Analyzer"/>
    <x v="1"/>
    <x v="0"/>
    <x v="0"/>
    <x v="0"/>
  </r>
  <r>
    <s v="Analyzer Status changed from Maintenance to Ready."/>
    <x v="0"/>
    <x v="0"/>
    <d v="2016-10-31T00:00:00"/>
    <d v="1899-12-30T23:06:41"/>
    <s v="Analyzer"/>
    <x v="1"/>
    <x v="0"/>
    <x v="0"/>
    <x v="0"/>
  </r>
  <r>
    <s v="Automatic maintenance activity Automatic Fluidic Line Priming Cycle has been executed."/>
    <x v="2"/>
    <x v="0"/>
    <d v="2016-10-31T00:00:00"/>
    <d v="1899-12-30T23:06:41"/>
    <s v="Maintenance"/>
    <x v="1"/>
    <x v="2"/>
    <x v="2"/>
    <x v="0"/>
  </r>
  <r>
    <s v="Analyzer Status changed from Ready to Maintenance."/>
    <x v="0"/>
    <x v="0"/>
    <d v="2016-11-01T00:00:00"/>
    <d v="1899-12-30T00:06:41"/>
    <s v="Analyzer"/>
    <x v="1"/>
    <x v="0"/>
    <x v="0"/>
    <x v="0"/>
  </r>
  <r>
    <s v="Analyzer Status changed from Maintenance to Ready."/>
    <x v="0"/>
    <x v="0"/>
    <d v="2016-11-01T00:00:00"/>
    <d v="1899-12-30T00:07:03"/>
    <s v="Analyzer"/>
    <x v="1"/>
    <x v="0"/>
    <x v="0"/>
    <x v="0"/>
  </r>
  <r>
    <s v="Automatic maintenance activity Automatic Fluidic Line Priming Cycle has been executed."/>
    <x v="2"/>
    <x v="0"/>
    <d v="2016-11-01T00:00:00"/>
    <d v="1899-12-30T00:07:03"/>
    <s v="Maintenance"/>
    <x v="1"/>
    <x v="2"/>
    <x v="2"/>
    <x v="0"/>
  </r>
  <r>
    <s v="Analyzer Status changed from Ready to Maintenance."/>
    <x v="0"/>
    <x v="0"/>
    <d v="2016-11-01T00:00:00"/>
    <d v="1899-12-30T01:07:03"/>
    <s v="Analyzer"/>
    <x v="1"/>
    <x v="0"/>
    <x v="0"/>
    <x v="0"/>
  </r>
  <r>
    <s v="Analyzer Status changed from Maintenance to Ready."/>
    <x v="0"/>
    <x v="0"/>
    <d v="2016-11-01T00:00:00"/>
    <d v="1899-12-30T01:07:25"/>
    <s v="Analyzer"/>
    <x v="1"/>
    <x v="0"/>
    <x v="0"/>
    <x v="0"/>
  </r>
  <r>
    <s v="Automatic maintenance activity Automatic Fluidic Line Priming Cycle has been executed."/>
    <x v="2"/>
    <x v="0"/>
    <d v="2016-11-01T00:00:00"/>
    <d v="1899-12-30T01:07:25"/>
    <s v="Maintenance"/>
    <x v="1"/>
    <x v="2"/>
    <x v="2"/>
    <x v="0"/>
  </r>
  <r>
    <s v="Analyzer Status changed from Ready to Maintenance."/>
    <x v="0"/>
    <x v="0"/>
    <d v="2016-11-01T00:00:00"/>
    <d v="1899-12-30T02:07:25"/>
    <s v="Analyzer"/>
    <x v="1"/>
    <x v="0"/>
    <x v="0"/>
    <x v="0"/>
  </r>
  <r>
    <s v="Analyzer Status changed from Maintenance to Ready."/>
    <x v="0"/>
    <x v="0"/>
    <d v="2016-11-01T00:00:00"/>
    <d v="1899-12-30T02:07:47"/>
    <s v="Analyzer"/>
    <x v="1"/>
    <x v="0"/>
    <x v="0"/>
    <x v="0"/>
  </r>
  <r>
    <s v="Automatic maintenance activity Automatic Fluidic Line Priming Cycle has been executed."/>
    <x v="2"/>
    <x v="0"/>
    <d v="2016-11-01T00:00:00"/>
    <d v="1899-12-30T02:07:47"/>
    <s v="Maintenance"/>
    <x v="1"/>
    <x v="2"/>
    <x v="2"/>
    <x v="0"/>
  </r>
  <r>
    <s v="Analyzer Status changed from Ready to Maintenance."/>
    <x v="0"/>
    <x v="0"/>
    <d v="2016-11-01T00:00:00"/>
    <d v="1899-12-30T03:07:47"/>
    <s v="Analyzer"/>
    <x v="1"/>
    <x v="0"/>
    <x v="0"/>
    <x v="0"/>
  </r>
  <r>
    <s v="Analyzer Status changed from Maintenance to Ready."/>
    <x v="0"/>
    <x v="0"/>
    <d v="2016-11-01T00:00:00"/>
    <d v="1899-12-30T03:08:09"/>
    <s v="Analyzer"/>
    <x v="1"/>
    <x v="0"/>
    <x v="0"/>
    <x v="0"/>
  </r>
  <r>
    <s v="Automatic maintenance activity Automatic Fluidic Line Priming Cycle has been executed."/>
    <x v="2"/>
    <x v="0"/>
    <d v="2016-11-01T00:00:00"/>
    <d v="1899-12-30T03:08:09"/>
    <s v="Maintenance"/>
    <x v="1"/>
    <x v="2"/>
    <x v="2"/>
    <x v="0"/>
  </r>
  <r>
    <s v="Analyzer Status changed from Ready to Maintenance."/>
    <x v="0"/>
    <x v="0"/>
    <d v="2016-11-01T00:00:00"/>
    <d v="1899-12-30T04:08:09"/>
    <s v="Analyzer"/>
    <x v="1"/>
    <x v="0"/>
    <x v="0"/>
    <x v="0"/>
  </r>
  <r>
    <s v="Analyzer Status changed from Maintenance to Ready."/>
    <x v="0"/>
    <x v="0"/>
    <d v="2016-11-01T00:00:00"/>
    <d v="1899-12-30T04:08:31"/>
    <s v="Analyzer"/>
    <x v="1"/>
    <x v="0"/>
    <x v="0"/>
    <x v="0"/>
  </r>
  <r>
    <s v="Automatic maintenance activity Automatic Fluidic Line Priming Cycle has been executed."/>
    <x v="2"/>
    <x v="0"/>
    <d v="2016-11-01T00:00:00"/>
    <d v="1899-12-30T04:08:31"/>
    <s v="Maintenance"/>
    <x v="1"/>
    <x v="2"/>
    <x v="2"/>
    <x v="0"/>
  </r>
  <r>
    <s v="Analyzer Status changed from Ready to Maintenance."/>
    <x v="0"/>
    <x v="0"/>
    <d v="2016-11-01T00:00:00"/>
    <d v="1899-12-30T05:08:31"/>
    <s v="Analyzer"/>
    <x v="1"/>
    <x v="0"/>
    <x v="0"/>
    <x v="0"/>
  </r>
  <r>
    <s v="Analyzer Status changed from Maintenance to Ready."/>
    <x v="0"/>
    <x v="0"/>
    <d v="2016-11-01T00:00:00"/>
    <d v="1899-12-30T05:08:53"/>
    <s v="Analyzer"/>
    <x v="1"/>
    <x v="0"/>
    <x v="0"/>
    <x v="0"/>
  </r>
  <r>
    <s v="Automatic maintenance activity Automatic Fluidic Line Priming Cycle has been executed."/>
    <x v="2"/>
    <x v="0"/>
    <d v="2016-11-01T00:00:00"/>
    <d v="1899-12-30T05:08:53"/>
    <s v="Maintenance"/>
    <x v="1"/>
    <x v="2"/>
    <x v="2"/>
    <x v="0"/>
  </r>
  <r>
    <s v="Analyzer Status changed from Ready to Maintenance."/>
    <x v="0"/>
    <x v="0"/>
    <d v="2016-11-01T00:00:00"/>
    <d v="1899-12-30T06:08:53"/>
    <s v="Analyzer"/>
    <x v="1"/>
    <x v="0"/>
    <x v="0"/>
    <x v="0"/>
  </r>
  <r>
    <s v="Analyzer Status changed from Maintenance to Ready."/>
    <x v="0"/>
    <x v="0"/>
    <d v="2016-11-01T00:00:00"/>
    <d v="1899-12-30T06:09:15"/>
    <s v="Analyzer"/>
    <x v="1"/>
    <x v="0"/>
    <x v="0"/>
    <x v="0"/>
  </r>
  <r>
    <s v="Automatic maintenance activity Automatic Fluidic Line Priming Cycle has been executed."/>
    <x v="2"/>
    <x v="0"/>
    <d v="2016-11-01T00:00:00"/>
    <d v="1899-12-30T06:09:15"/>
    <s v="Maintenance"/>
    <x v="1"/>
    <x v="2"/>
    <x v="2"/>
    <x v="0"/>
  </r>
  <r>
    <s v="Analyzer Status changed from Ready to Maintenance."/>
    <x v="0"/>
    <x v="0"/>
    <d v="2016-11-01T00:00:00"/>
    <d v="1899-12-30T07:09:15"/>
    <s v="Analyzer"/>
    <x v="1"/>
    <x v="0"/>
    <x v="0"/>
    <x v="0"/>
  </r>
  <r>
    <s v="Analyzer Status changed from Maintenance to Ready."/>
    <x v="0"/>
    <x v="0"/>
    <d v="2016-11-01T00:00:00"/>
    <d v="1899-12-30T07:09:37"/>
    <s v="Analyzer"/>
    <x v="1"/>
    <x v="0"/>
    <x v="0"/>
    <x v="0"/>
  </r>
  <r>
    <s v="Automatic maintenance activity Automatic Fluidic Line Priming Cycle has been executed."/>
    <x v="2"/>
    <x v="0"/>
    <d v="2016-11-01T00:00:00"/>
    <d v="1899-12-30T07:09:37"/>
    <s v="Maintenance"/>
    <x v="1"/>
    <x v="2"/>
    <x v="2"/>
    <x v="0"/>
  </r>
  <r>
    <s v="Communications between the instrument and the LIS have been lost."/>
    <x v="13"/>
    <x v="2"/>
    <d v="2016-11-01T00:00:00"/>
    <d v="1899-12-30T07:31:56"/>
    <s v="LIS"/>
    <x v="1"/>
    <x v="2"/>
    <x v="6"/>
    <x v="0"/>
  </r>
  <r>
    <s v="Successful log in by user: LHO."/>
    <x v="18"/>
    <x v="0"/>
    <d v="2016-11-01T00:00:00"/>
    <d v="1899-12-30T07:32:53"/>
    <s v="Other"/>
    <x v="0"/>
    <x v="2"/>
    <x v="5"/>
    <x v="0"/>
  </r>
  <r>
    <s v="Analyzer Status changed from Ready to Maintenance."/>
    <x v="0"/>
    <x v="0"/>
    <d v="2016-11-01T00:00:00"/>
    <d v="1899-12-30T08:09:37"/>
    <s v="Analyzer"/>
    <x v="0"/>
    <x v="0"/>
    <x v="0"/>
    <x v="0"/>
  </r>
  <r>
    <s v="Analyzer Status changed from Maintenance to Ready."/>
    <x v="0"/>
    <x v="0"/>
    <d v="2016-11-01T00:00:00"/>
    <d v="1899-12-30T08:09:59"/>
    <s v="Analyzer"/>
    <x v="0"/>
    <x v="0"/>
    <x v="0"/>
    <x v="0"/>
  </r>
  <r>
    <s v="Automatic maintenance activity Automatic Fluidic Line Priming Cycle has been executed."/>
    <x v="2"/>
    <x v="0"/>
    <d v="2016-11-01T00:00:00"/>
    <d v="1899-12-30T08:09:59"/>
    <s v="Maintenance"/>
    <x v="0"/>
    <x v="2"/>
    <x v="2"/>
    <x v="0"/>
  </r>
  <r>
    <s v="Analyzer Status changed from Ready to Maintenance."/>
    <x v="0"/>
    <x v="0"/>
    <d v="2016-11-01T00:00:00"/>
    <d v="1899-12-30T08:31:19"/>
    <s v="Analyzer"/>
    <x v="0"/>
    <x v="0"/>
    <x v="0"/>
    <x v="0"/>
  </r>
  <r>
    <s v="Frequency status for manual maintenance activity Enhanced Clean for all Probes has changed to OK."/>
    <x v="3"/>
    <x v="0"/>
    <d v="2016-11-01T00:00:00"/>
    <d v="1899-12-30T08:34:37"/>
    <s v="Maintenance"/>
    <x v="0"/>
    <x v="2"/>
    <x v="2"/>
    <x v="0"/>
  </r>
  <r>
    <s v="Frequency status for manual maintenance activity Enhanced Clean for Sample and Reagent Probes has changed to OK."/>
    <x v="3"/>
    <x v="0"/>
    <d v="2016-11-01T00:00:00"/>
    <d v="1899-12-30T08:34:37"/>
    <s v="Maintenance"/>
    <x v="0"/>
    <x v="2"/>
    <x v="2"/>
    <x v="0"/>
  </r>
  <r>
    <s v="Semiautomatic maintenance activity Enhanced Clean for all Probes has been executed."/>
    <x v="4"/>
    <x v="0"/>
    <d v="2016-11-01T00:00:00"/>
    <d v="1899-12-30T08:34:37"/>
    <s v="Maintenance"/>
    <x v="0"/>
    <x v="2"/>
    <x v="2"/>
    <x v="0"/>
  </r>
  <r>
    <s v="Analyzer Status changed from Maintenance to Ready."/>
    <x v="0"/>
    <x v="0"/>
    <d v="2016-11-01T00:00:00"/>
    <d v="1899-12-30T08:34:38"/>
    <s v="Analyzer"/>
    <x v="0"/>
    <x v="0"/>
    <x v="0"/>
    <x v="0"/>
  </r>
  <r>
    <s v="Unknown lot (Normal C. Assayed in rack DC position 6, track 1)."/>
    <x v="67"/>
    <x v="2"/>
    <d v="2016-11-01T00:00:00"/>
    <d v="1899-12-30T08:35:32"/>
    <s v="Materials"/>
    <x v="0"/>
    <x v="2"/>
    <x v="3"/>
    <x v="0"/>
  </r>
  <r>
    <s v="Analyzer Status changed from Ready to Maintenance."/>
    <x v="0"/>
    <x v="0"/>
    <d v="2016-11-01T00:00:00"/>
    <d v="1899-12-30T08:35:40"/>
    <s v="Analyzer"/>
    <x v="0"/>
    <x v="0"/>
    <x v="0"/>
    <x v="0"/>
  </r>
  <r>
    <s v="Frequency status for manual maintenance activity make new diluted clean B has changed to OK."/>
    <x v="3"/>
    <x v="0"/>
    <d v="2016-11-01T00:00:00"/>
    <d v="1899-12-30T08:35:43"/>
    <s v="Maintenance"/>
    <x v="0"/>
    <x v="2"/>
    <x v="2"/>
    <x v="0"/>
  </r>
  <r>
    <s v="Manual maintenance activity make new diluted clean B has been executed."/>
    <x v="5"/>
    <x v="0"/>
    <d v="2016-11-01T00:00:00"/>
    <d v="1899-12-30T08:35:43"/>
    <s v="Maintenance"/>
    <x v="0"/>
    <x v="2"/>
    <x v="2"/>
    <x v="0"/>
  </r>
  <r>
    <s v="Analyzer Status changed from Maintenance to Ready."/>
    <x v="0"/>
    <x v="0"/>
    <d v="2016-11-01T00:00:00"/>
    <d v="1899-12-30T08:36:17"/>
    <s v="Analyzer"/>
    <x v="0"/>
    <x v="0"/>
    <x v="0"/>
    <x v="0"/>
  </r>
  <r>
    <s v="Analyzer Status changed from Ready to Maintenance."/>
    <x v="0"/>
    <x v="0"/>
    <d v="2016-11-01T00:00:00"/>
    <d v="1899-12-30T08:36:21"/>
    <s v="Analyzer"/>
    <x v="0"/>
    <x v="0"/>
    <x v="0"/>
    <x v="0"/>
  </r>
  <r>
    <s v="Frequency status for manual maintenance activity replace factor diluent has changed to OK."/>
    <x v="3"/>
    <x v="0"/>
    <d v="2016-11-01T00:00:00"/>
    <d v="1899-12-30T08:36:22"/>
    <s v="Maintenance"/>
    <x v="0"/>
    <x v="2"/>
    <x v="2"/>
    <x v="0"/>
  </r>
  <r>
    <s v="Manual maintenance activity replace factor diluent has been executed."/>
    <x v="5"/>
    <x v="0"/>
    <d v="2016-11-01T00:00:00"/>
    <d v="1899-12-30T08:36:22"/>
    <s v="Maintenance"/>
    <x v="0"/>
    <x v="2"/>
    <x v="2"/>
    <x v="0"/>
  </r>
  <r>
    <s v="Analyzer Status changed from Maintenance to Ready."/>
    <x v="0"/>
    <x v="0"/>
    <d v="2016-11-01T00:00:00"/>
    <d v="1899-12-30T08:36:23"/>
    <s v="Analyzer"/>
    <x v="0"/>
    <x v="0"/>
    <x v="0"/>
    <x v="0"/>
  </r>
  <r>
    <s v="Communications between the instrument and the LIS have been lost."/>
    <x v="13"/>
    <x v="2"/>
    <d v="2016-11-01T00:00:00"/>
    <d v="1899-12-30T08:41:56"/>
    <s v="LIS"/>
    <x v="0"/>
    <x v="2"/>
    <x v="6"/>
    <x v="0"/>
  </r>
  <r>
    <s v="Material Definition Normal C. Assayed modified: Alternative Lot cfg."/>
    <x v="68"/>
    <x v="0"/>
    <d v="2016-11-01T00:00:00"/>
    <d v="1899-12-30T08:42:53"/>
    <s v="Setup"/>
    <x v="0"/>
    <x v="2"/>
    <x v="3"/>
    <x v="0"/>
  </r>
  <r>
    <s v="Material Definition Normal C. Assayed generic change."/>
    <x v="69"/>
    <x v="0"/>
    <d v="2016-11-01T00:00:00"/>
    <d v="1899-12-30T08:43:17"/>
    <s v="Setup"/>
    <x v="0"/>
    <x v="2"/>
    <x v="3"/>
    <x v="0"/>
  </r>
  <r>
    <s v="QC Definition APTT-SS - Normal C. Assayed modified: Target Mean."/>
    <x v="33"/>
    <x v="0"/>
    <d v="2016-11-01T00:00:00"/>
    <d v="1899-12-30T08:43:22"/>
    <s v="Setup"/>
    <x v="0"/>
    <x v="2"/>
    <x v="12"/>
    <x v="0"/>
  </r>
  <r>
    <s v="QC Definition APTT-SS - Normal C. Assayed modified: Target SD."/>
    <x v="70"/>
    <x v="0"/>
    <d v="2016-11-01T00:00:00"/>
    <d v="1899-12-30T08:43:22"/>
    <s v="Setup"/>
    <x v="0"/>
    <x v="2"/>
    <x v="12"/>
    <x v="0"/>
  </r>
  <r>
    <s v="QC Definition Fib-C - Normal C. Assayed modified: Target Mean."/>
    <x v="33"/>
    <x v="0"/>
    <d v="2016-11-01T00:00:00"/>
    <d v="1899-12-30T08:43:23"/>
    <s v="Setup"/>
    <x v="0"/>
    <x v="2"/>
    <x v="12"/>
    <x v="0"/>
  </r>
  <r>
    <s v="QC Definition PC - Normal C. Assayed modified: Target Mean."/>
    <x v="33"/>
    <x v="0"/>
    <d v="2016-11-01T00:00:00"/>
    <d v="1899-12-30T08:43:23"/>
    <s v="Setup"/>
    <x v="0"/>
    <x v="2"/>
    <x v="12"/>
    <x v="0"/>
  </r>
  <r>
    <s v="QC Definition Fib-C - Normal C. Assayed modified: Target SD."/>
    <x v="70"/>
    <x v="0"/>
    <d v="2016-11-01T00:00:00"/>
    <d v="1899-12-30T08:43:23"/>
    <s v="Setup"/>
    <x v="0"/>
    <x v="2"/>
    <x v="12"/>
    <x v="0"/>
  </r>
  <r>
    <s v="QC Definition PC - Normal C. Assayed modified: Target SD."/>
    <x v="70"/>
    <x v="0"/>
    <d v="2016-11-01T00:00:00"/>
    <d v="1899-12-30T08:43:23"/>
    <s v="Setup"/>
    <x v="0"/>
    <x v="2"/>
    <x v="12"/>
    <x v="0"/>
  </r>
  <r>
    <s v="QC Definition PT-RP - Normal C. Assayed modified: Target Mean."/>
    <x v="33"/>
    <x v="0"/>
    <d v="2016-11-01T00:00:00"/>
    <d v="1899-12-30T08:43:24"/>
    <s v="Setup"/>
    <x v="0"/>
    <x v="2"/>
    <x v="12"/>
    <x v="0"/>
  </r>
  <r>
    <s v="QC Definition Free PS - Normal C. Assayed modified: Target Mean."/>
    <x v="33"/>
    <x v="0"/>
    <d v="2016-11-01T00:00:00"/>
    <d v="1899-12-30T08:43:24"/>
    <s v="Setup"/>
    <x v="0"/>
    <x v="2"/>
    <x v="12"/>
    <x v="0"/>
  </r>
  <r>
    <s v="QC Definition PT-RP - Normal C. Assayed modified: Target SD."/>
    <x v="70"/>
    <x v="0"/>
    <d v="2016-11-01T00:00:00"/>
    <d v="1899-12-30T08:43:24"/>
    <s v="Setup"/>
    <x v="0"/>
    <x v="2"/>
    <x v="12"/>
    <x v="0"/>
  </r>
  <r>
    <s v="QC Definition Free PS - Normal C. Assayed modified: Target SD."/>
    <x v="70"/>
    <x v="0"/>
    <d v="2016-11-01T00:00:00"/>
    <d v="1899-12-30T08:43:24"/>
    <s v="Setup"/>
    <x v="0"/>
    <x v="2"/>
    <x v="12"/>
    <x v="0"/>
  </r>
  <r>
    <s v="QC Definition TT5 - Normal C. Assayed modified: Target Mean."/>
    <x v="33"/>
    <x v="0"/>
    <d v="2016-11-01T00:00:00"/>
    <d v="1899-12-30T08:43:25"/>
    <s v="Setup"/>
    <x v="0"/>
    <x v="2"/>
    <x v="12"/>
    <x v="0"/>
  </r>
  <r>
    <s v="QC Definition AT LIQ - Normal C. Assayed modified: Target Mean."/>
    <x v="33"/>
    <x v="0"/>
    <d v="2016-11-01T00:00:00"/>
    <d v="1899-12-30T08:43:25"/>
    <s v="Setup"/>
    <x v="0"/>
    <x v="2"/>
    <x v="12"/>
    <x v="0"/>
  </r>
  <r>
    <s v="QC Definition TT5 - Normal C. Assayed modified: Target SD."/>
    <x v="70"/>
    <x v="0"/>
    <d v="2016-11-01T00:00:00"/>
    <d v="1899-12-30T08:43:25"/>
    <s v="Setup"/>
    <x v="0"/>
    <x v="2"/>
    <x v="12"/>
    <x v="0"/>
  </r>
  <r>
    <s v="QC Definition AT LIQ - Normal C. Assayed modified: Target SD."/>
    <x v="70"/>
    <x v="0"/>
    <d v="2016-11-01T00:00:00"/>
    <d v="1899-12-30T08:43:25"/>
    <s v="Setup"/>
    <x v="0"/>
    <x v="2"/>
    <x v="12"/>
    <x v="0"/>
  </r>
  <r>
    <s v="QC Definition FII-RP - Normal C. Assayed modified: Target Mean."/>
    <x v="33"/>
    <x v="0"/>
    <d v="2016-11-01T00:00:00"/>
    <d v="1899-12-30T08:43:26"/>
    <s v="Setup"/>
    <x v="0"/>
    <x v="2"/>
    <x v="12"/>
    <x v="0"/>
  </r>
  <r>
    <s v="QC Definition FV-RP - Normal C. Assayed modified: Target Mean."/>
    <x v="33"/>
    <x v="0"/>
    <d v="2016-11-01T00:00:00"/>
    <d v="1899-12-30T08:43:26"/>
    <s v="Setup"/>
    <x v="0"/>
    <x v="2"/>
    <x v="12"/>
    <x v="0"/>
  </r>
  <r>
    <s v="QC Definition FII-RP - Normal C. Assayed modified: Target SD."/>
    <x v="70"/>
    <x v="0"/>
    <d v="2016-11-01T00:00:00"/>
    <d v="1899-12-30T08:43:26"/>
    <s v="Setup"/>
    <x v="0"/>
    <x v="2"/>
    <x v="12"/>
    <x v="0"/>
  </r>
  <r>
    <s v="QC Definition FV-RP - Normal C. Assayed modified: Target SD."/>
    <x v="70"/>
    <x v="0"/>
    <d v="2016-11-01T00:00:00"/>
    <d v="1899-12-30T08:43:26"/>
    <s v="Setup"/>
    <x v="0"/>
    <x v="2"/>
    <x v="12"/>
    <x v="0"/>
  </r>
  <r>
    <s v="QC Definition FVII-RP - Normal C. Assayed modified: Target Mean."/>
    <x v="33"/>
    <x v="0"/>
    <d v="2016-11-01T00:00:00"/>
    <d v="1899-12-30T08:43:27"/>
    <s v="Setup"/>
    <x v="0"/>
    <x v="2"/>
    <x v="12"/>
    <x v="0"/>
  </r>
  <r>
    <s v="QC Definition FVIII-SS - Normal C. Assayed modified: Target Mean."/>
    <x v="33"/>
    <x v="0"/>
    <d v="2016-11-01T00:00:00"/>
    <d v="1899-12-30T08:43:27"/>
    <s v="Setup"/>
    <x v="0"/>
    <x v="2"/>
    <x v="12"/>
    <x v="0"/>
  </r>
  <r>
    <s v="QC Definition FVII-RP - Normal C. Assayed modified: Target SD."/>
    <x v="70"/>
    <x v="0"/>
    <d v="2016-11-01T00:00:00"/>
    <d v="1899-12-30T08:43:27"/>
    <s v="Setup"/>
    <x v="0"/>
    <x v="2"/>
    <x v="12"/>
    <x v="0"/>
  </r>
  <r>
    <s v="QC Definition FVIII-SS - Normal C. Assayed modified: Target SD."/>
    <x v="70"/>
    <x v="0"/>
    <d v="2016-11-01T00:00:00"/>
    <d v="1899-12-30T08:43:27"/>
    <s v="Setup"/>
    <x v="0"/>
    <x v="2"/>
    <x v="12"/>
    <x v="0"/>
  </r>
  <r>
    <s v="QC Definition FIX-SS - Normal C. Assayed modified: Target Mean."/>
    <x v="33"/>
    <x v="0"/>
    <d v="2016-11-01T00:00:00"/>
    <d v="1899-12-30T08:43:28"/>
    <s v="Setup"/>
    <x v="0"/>
    <x v="2"/>
    <x v="12"/>
    <x v="0"/>
  </r>
  <r>
    <s v="QC Definition FX-RP - Normal C. Assayed modified: Target Mean."/>
    <x v="33"/>
    <x v="0"/>
    <d v="2016-11-01T00:00:00"/>
    <d v="1899-12-30T08:43:28"/>
    <s v="Setup"/>
    <x v="0"/>
    <x v="2"/>
    <x v="12"/>
    <x v="0"/>
  </r>
  <r>
    <s v="QC Definition FIX-SS - Normal C. Assayed modified: Target SD."/>
    <x v="70"/>
    <x v="0"/>
    <d v="2016-11-01T00:00:00"/>
    <d v="1899-12-30T08:43:28"/>
    <s v="Setup"/>
    <x v="0"/>
    <x v="2"/>
    <x v="12"/>
    <x v="0"/>
  </r>
  <r>
    <s v="QC Definition FX-RP - Normal C. Assayed modified: Target SD."/>
    <x v="70"/>
    <x v="0"/>
    <d v="2016-11-01T00:00:00"/>
    <d v="1899-12-30T08:43:28"/>
    <s v="Setup"/>
    <x v="0"/>
    <x v="2"/>
    <x v="12"/>
    <x v="0"/>
  </r>
  <r>
    <s v="QC Definition FXI-SS - Normal C. Assayed modified: Target Mean."/>
    <x v="33"/>
    <x v="0"/>
    <d v="2016-11-01T00:00:00"/>
    <d v="1899-12-30T08:43:29"/>
    <s v="Setup"/>
    <x v="0"/>
    <x v="2"/>
    <x v="12"/>
    <x v="0"/>
  </r>
  <r>
    <s v="QC Definition FXII-SS - Normal C. Assayed modified: Target Mean."/>
    <x v="33"/>
    <x v="0"/>
    <d v="2016-11-01T00:00:00"/>
    <d v="1899-12-30T08:43:29"/>
    <s v="Setup"/>
    <x v="0"/>
    <x v="2"/>
    <x v="12"/>
    <x v="0"/>
  </r>
  <r>
    <s v="QC Definition FXI-SS - Normal C. Assayed modified: Target SD."/>
    <x v="70"/>
    <x v="0"/>
    <d v="2016-11-01T00:00:00"/>
    <d v="1899-12-30T08:43:29"/>
    <s v="Setup"/>
    <x v="0"/>
    <x v="2"/>
    <x v="12"/>
    <x v="0"/>
  </r>
  <r>
    <s v="QC Definition FXII-SS - Normal C. Assayed modified: Target SD."/>
    <x v="70"/>
    <x v="0"/>
    <d v="2016-11-01T00:00:00"/>
    <d v="1899-12-30T08:43:29"/>
    <s v="Setup"/>
    <x v="0"/>
    <x v="2"/>
    <x v="12"/>
    <x v="0"/>
  </r>
  <r>
    <s v="Material Definition Normal C. Assayed modified: Alternate lot activated."/>
    <x v="71"/>
    <x v="0"/>
    <d v="2016-11-01T00:00:00"/>
    <d v="1899-12-30T08:43:33"/>
    <s v="Setup"/>
    <x v="0"/>
    <x v="4"/>
    <x v="7"/>
    <x v="1"/>
  </r>
  <r>
    <s v="Unknown lot (Normal C. Assayed in rack DC position 6, track 1)."/>
    <x v="67"/>
    <x v="2"/>
    <d v="2016-11-01T00:00:00"/>
    <d v="1899-12-30T08:44:03"/>
    <s v="Materials"/>
    <x v="0"/>
    <x v="2"/>
    <x v="3"/>
    <x v="0"/>
  </r>
  <r>
    <s v="Material Definition Normal C. Assayed modified: expiration date (active Lot)."/>
    <x v="72"/>
    <x v="0"/>
    <d v="2016-11-01T00:00:00"/>
    <d v="1899-12-30T08:45:28"/>
    <s v="Setup"/>
    <x v="0"/>
    <x v="2"/>
    <x v="3"/>
    <x v="0"/>
  </r>
  <r>
    <s v="Analyzer Status changed from Ready to Busy."/>
    <x v="0"/>
    <x v="0"/>
    <d v="2016-11-01T00:00:00"/>
    <d v="1899-12-30T08:50:20"/>
    <s v="Analyzer"/>
    <x v="0"/>
    <x v="0"/>
    <x v="0"/>
    <x v="0"/>
  </r>
  <r>
    <s v="QC Failed: DDHS-D-Dimer Low Control"/>
    <x v="28"/>
    <x v="2"/>
    <d v="2016-11-01T00:00:00"/>
    <d v="1899-12-30T08:56:00"/>
    <s v="QC"/>
    <x v="0"/>
    <x v="2"/>
    <x v="3"/>
    <x v="0"/>
  </r>
  <r>
    <s v="Analyzer Status changed from Busy to Ready."/>
    <x v="0"/>
    <x v="0"/>
    <d v="2016-11-01T00:00:00"/>
    <d v="1899-12-30T08:56:34"/>
    <s v="Analyzer"/>
    <x v="0"/>
    <x v="0"/>
    <x v="0"/>
    <x v="0"/>
  </r>
  <r>
    <s v="Analyzer Status changed from Ready to Maintenance."/>
    <x v="0"/>
    <x v="0"/>
    <d v="2016-11-01T00:00:00"/>
    <d v="1899-12-30T08:56:34"/>
    <s v="Analyzer"/>
    <x v="0"/>
    <x v="0"/>
    <x v="0"/>
    <x v="0"/>
  </r>
  <r>
    <s v="Analyzer Status changed from Maintenance to Ready."/>
    <x v="0"/>
    <x v="0"/>
    <d v="2016-11-01T00:00:00"/>
    <d v="1899-12-30T08:57:38"/>
    <s v="Analyzer"/>
    <x v="0"/>
    <x v="0"/>
    <x v="0"/>
    <x v="0"/>
  </r>
  <r>
    <s v="Automatic maintenance activity Automatic Routine Clean for all Probes has been executed."/>
    <x v="2"/>
    <x v="0"/>
    <d v="2016-11-01T00:00:00"/>
    <d v="1899-12-30T08:57:38"/>
    <s v="Maintenance"/>
    <x v="0"/>
    <x v="2"/>
    <x v="2"/>
    <x v="0"/>
  </r>
  <r>
    <s v="Analyzer Status changed from Ready to Busy."/>
    <x v="0"/>
    <x v="0"/>
    <d v="2016-11-01T00:00:00"/>
    <d v="1899-12-30T08:57:53"/>
    <s v="Analyzer"/>
    <x v="0"/>
    <x v="0"/>
    <x v="0"/>
    <x v="0"/>
  </r>
  <r>
    <s v="QC Failed: DDHS-D-Dimer Low Control"/>
    <x v="28"/>
    <x v="2"/>
    <d v="2016-11-01T00:00:00"/>
    <d v="1899-12-30T09:02:48"/>
    <s v="QC"/>
    <x v="0"/>
    <x v="2"/>
    <x v="3"/>
    <x v="0"/>
  </r>
  <r>
    <s v="Analyzer Status changed from Busy to Ready."/>
    <x v="0"/>
    <x v="0"/>
    <d v="2016-11-01T00:00:00"/>
    <d v="1899-12-30T09:02:49"/>
    <s v="Analyzer"/>
    <x v="0"/>
    <x v="0"/>
    <x v="0"/>
    <x v="0"/>
  </r>
  <r>
    <s v="Analyzer Status changed from Ready to Maintenance."/>
    <x v="0"/>
    <x v="0"/>
    <d v="2016-11-01T00:00:00"/>
    <d v="1899-12-30T09:02:49"/>
    <s v="Analyzer"/>
    <x v="0"/>
    <x v="0"/>
    <x v="0"/>
    <x v="0"/>
  </r>
  <r>
    <s v="Analyzer Status changed from Maintenance to Ready."/>
    <x v="0"/>
    <x v="0"/>
    <d v="2016-11-01T00:00:00"/>
    <d v="1899-12-30T09:04:31"/>
    <s v="Analyzer"/>
    <x v="0"/>
    <x v="0"/>
    <x v="0"/>
    <x v="0"/>
  </r>
  <r>
    <s v="Automatic maintenance activity Automatic Routine Clean for all Probes has been executed."/>
    <x v="2"/>
    <x v="0"/>
    <d v="2016-11-01T00:00:00"/>
    <d v="1899-12-30T09:04:31"/>
    <s v="Maintenance"/>
    <x v="0"/>
    <x v="2"/>
    <x v="2"/>
    <x v="0"/>
  </r>
  <r>
    <s v="QC Definition DDHS - D-Dimer Low Control modified: Target Mean."/>
    <x v="33"/>
    <x v="0"/>
    <d v="2016-11-01T00:00:00"/>
    <d v="1899-12-30T09:05:47"/>
    <s v="Setup"/>
    <x v="0"/>
    <x v="2"/>
    <x v="12"/>
    <x v="0"/>
  </r>
  <r>
    <s v="QC Definition DDHS - D-Dimer Low Control modified: Target SD."/>
    <x v="70"/>
    <x v="0"/>
    <d v="2016-11-01T00:00:00"/>
    <d v="1899-12-30T09:05:47"/>
    <s v="Setup"/>
    <x v="0"/>
    <x v="2"/>
    <x v="12"/>
    <x v="0"/>
  </r>
  <r>
    <s v="D-Dimer Low Control on-board stability low."/>
    <x v="6"/>
    <x v="1"/>
    <d v="2016-11-01T00:00:00"/>
    <d v="1899-12-30T09:05:56"/>
    <s v="Materials"/>
    <x v="0"/>
    <x v="2"/>
    <x v="3"/>
    <x v="0"/>
  </r>
  <r>
    <s v="D-Dimer High Control on-board stability low."/>
    <x v="6"/>
    <x v="1"/>
    <d v="2016-11-01T00:00:00"/>
    <d v="1899-12-30T09:05:56"/>
    <s v="Materials"/>
    <x v="0"/>
    <x v="2"/>
    <x v="3"/>
    <x v="0"/>
  </r>
  <r>
    <s v="QC Profile Lupus has been deleted."/>
    <x v="73"/>
    <x v="0"/>
    <d v="2016-11-01T00:00:00"/>
    <d v="1899-12-30T09:06:20"/>
    <s v="Setup"/>
    <x v="0"/>
    <x v="2"/>
    <x v="12"/>
    <x v="0"/>
  </r>
  <r>
    <s v="Analyzer Status changed from Ready to Busy."/>
    <x v="0"/>
    <x v="0"/>
    <d v="2016-11-01T00:00:00"/>
    <d v="1899-12-30T09:06:49"/>
    <s v="Analyzer"/>
    <x v="0"/>
    <x v="0"/>
    <x v="0"/>
    <x v="0"/>
  </r>
  <r>
    <s v="Analyzer Status changed from Busy to Ready."/>
    <x v="0"/>
    <x v="0"/>
    <d v="2016-11-01T00:00:00"/>
    <d v="1899-12-30T09:11:45"/>
    <s v="Analyzer"/>
    <x v="0"/>
    <x v="0"/>
    <x v="0"/>
    <x v="0"/>
  </r>
  <r>
    <s v="Analyzer Status changed from Ready to Maintenance."/>
    <x v="0"/>
    <x v="0"/>
    <d v="2016-11-01T00:00:00"/>
    <d v="1899-12-30T09:11:46"/>
    <s v="Analyzer"/>
    <x v="0"/>
    <x v="0"/>
    <x v="0"/>
    <x v="0"/>
  </r>
  <r>
    <s v="Analyzer Status changed from Maintenance to Ready."/>
    <x v="0"/>
    <x v="0"/>
    <d v="2016-11-01T00:00:00"/>
    <d v="1899-12-30T09:12:13"/>
    <s v="Analyzer"/>
    <x v="0"/>
    <x v="0"/>
    <x v="0"/>
    <x v="0"/>
  </r>
  <r>
    <s v="Automatic maintenance activity Automatic Routine Clean for all Probes has been executed."/>
    <x v="2"/>
    <x v="0"/>
    <d v="2016-11-01T00:00:00"/>
    <d v="1899-12-30T09:12:13"/>
    <s v="Maintenance"/>
    <x v="0"/>
    <x v="2"/>
    <x v="2"/>
    <x v="0"/>
  </r>
  <r>
    <s v="Analyzer Status changed from Ready to Busy."/>
    <x v="0"/>
    <x v="0"/>
    <d v="2016-11-01T00:00:00"/>
    <d v="1899-12-30T09:57:11"/>
    <s v="Analyzer"/>
    <x v="0"/>
    <x v="0"/>
    <x v="0"/>
    <x v="0"/>
  </r>
  <r>
    <s v="Analyzer Status changed from Busy to Ready."/>
    <x v="0"/>
    <x v="0"/>
    <d v="2016-11-01T00:00:00"/>
    <d v="1899-12-30T10:00:44"/>
    <s v="Analyzer"/>
    <x v="0"/>
    <x v="0"/>
    <x v="0"/>
    <x v="0"/>
  </r>
  <r>
    <s v="Analyzer Status changed from Ready to Maintenance."/>
    <x v="0"/>
    <x v="0"/>
    <d v="2016-11-01T00:00:00"/>
    <d v="1899-12-30T10:00:44"/>
    <s v="Analyzer"/>
    <x v="0"/>
    <x v="0"/>
    <x v="0"/>
    <x v="0"/>
  </r>
  <r>
    <s v="Automatic maintenance activity Automatic Routine Clean for all Probes has been executed."/>
    <x v="2"/>
    <x v="0"/>
    <d v="2016-11-01T00:00:00"/>
    <d v="1899-12-30T10:01:09"/>
    <s v="Maintenance"/>
    <x v="0"/>
    <x v="2"/>
    <x v="2"/>
    <x v="0"/>
  </r>
  <r>
    <s v="Analyzer Status changed from Maintenance to Ready."/>
    <x v="0"/>
    <x v="0"/>
    <d v="2016-11-01T00:00:00"/>
    <d v="1899-12-30T10:01:10"/>
    <s v="Analyzer"/>
    <x v="0"/>
    <x v="0"/>
    <x v="0"/>
    <x v="0"/>
  </r>
  <r>
    <s v="Analyzer Status changed from Ready to Busy."/>
    <x v="0"/>
    <x v="0"/>
    <d v="2016-11-01T00:00:00"/>
    <d v="1899-12-30T10:16:59"/>
    <s v="Analyzer"/>
    <x v="0"/>
    <x v="0"/>
    <x v="0"/>
    <x v="0"/>
  </r>
  <r>
    <s v="Analyzer Status changed from Busy to Ready."/>
    <x v="0"/>
    <x v="0"/>
    <d v="2016-11-01T00:00:00"/>
    <d v="1899-12-30T10:23:06"/>
    <s v="Analyzer"/>
    <x v="0"/>
    <x v="0"/>
    <x v="0"/>
    <x v="0"/>
  </r>
  <r>
    <s v="Analyzer Status changed from Ready to Maintenance."/>
    <x v="0"/>
    <x v="0"/>
    <d v="2016-11-01T00:00:00"/>
    <d v="1899-12-30T10:23:06"/>
    <s v="Analyzer"/>
    <x v="0"/>
    <x v="0"/>
    <x v="0"/>
    <x v="0"/>
  </r>
  <r>
    <s v="Automatic maintenance activity Automatic Routine Clean for all Probes has been executed."/>
    <x v="2"/>
    <x v="0"/>
    <d v="2016-11-01T00:00:00"/>
    <d v="1899-12-30T10:23:31"/>
    <s v="Maintenance"/>
    <x v="0"/>
    <x v="2"/>
    <x v="2"/>
    <x v="0"/>
  </r>
  <r>
    <s v="Analyzer Status changed from Maintenance to Ready."/>
    <x v="0"/>
    <x v="0"/>
    <d v="2016-11-01T00:00:00"/>
    <d v="1899-12-30T10:23:32"/>
    <s v="Analyzer"/>
    <x v="0"/>
    <x v="0"/>
    <x v="0"/>
    <x v="0"/>
  </r>
  <r>
    <s v="Non-identified Sample in rack 05 position 10, track 7."/>
    <x v="12"/>
    <x v="2"/>
    <d v="2016-11-01T00:00:00"/>
    <d v="1899-12-30T10:28:03"/>
    <s v="Materials"/>
    <x v="0"/>
    <x v="4"/>
    <x v="7"/>
    <x v="1"/>
  </r>
  <r>
    <s v="Analyzer Status changed from Ready to Busy."/>
    <x v="0"/>
    <x v="0"/>
    <d v="2016-11-01T00:00:00"/>
    <d v="1899-12-30T10:28:09"/>
    <s v="Analyzer"/>
    <x v="0"/>
    <x v="0"/>
    <x v="0"/>
    <x v="0"/>
  </r>
  <r>
    <s v="Analyzer Status changed from Busy to Ready."/>
    <x v="0"/>
    <x v="0"/>
    <d v="2016-11-01T00:00:00"/>
    <d v="1899-12-30T10:32:00"/>
    <s v="Analyzer"/>
    <x v="0"/>
    <x v="0"/>
    <x v="0"/>
    <x v="0"/>
  </r>
  <r>
    <s v="Analyzer Status changed from Ready to Maintenance."/>
    <x v="0"/>
    <x v="0"/>
    <d v="2016-11-01T00:00:00"/>
    <d v="1899-12-30T10:32:00"/>
    <s v="Analyzer"/>
    <x v="0"/>
    <x v="0"/>
    <x v="0"/>
    <x v="0"/>
  </r>
  <r>
    <s v="Analyzer Status changed from Maintenance to Ready."/>
    <x v="0"/>
    <x v="0"/>
    <d v="2016-11-01T00:00:00"/>
    <d v="1899-12-30T10:32:24"/>
    <s v="Analyzer"/>
    <x v="0"/>
    <x v="0"/>
    <x v="0"/>
    <x v="0"/>
  </r>
  <r>
    <s v="Automatic maintenance activity Automatic Routine Clean for all Probes has been executed."/>
    <x v="2"/>
    <x v="0"/>
    <d v="2016-11-01T00:00:00"/>
    <d v="1899-12-30T10:32:24"/>
    <s v="Maintenance"/>
    <x v="0"/>
    <x v="2"/>
    <x v="2"/>
    <x v="0"/>
  </r>
  <r>
    <s v="Analyzer Status changed from Ready to Busy."/>
    <x v="0"/>
    <x v="0"/>
    <d v="2016-11-01T00:00:00"/>
    <d v="1899-12-30T10:36:14"/>
    <s v="Analyzer"/>
    <x v="0"/>
    <x v="0"/>
    <x v="0"/>
    <x v="0"/>
  </r>
  <r>
    <s v="Duplicated Test Order for 30601057B received from host (LIS # 921)."/>
    <x v="74"/>
    <x v="1"/>
    <d v="2016-11-01T00:00:00"/>
    <d v="1899-12-30T10:36:44"/>
    <s v="LIS"/>
    <x v="0"/>
    <x v="2"/>
    <x v="6"/>
    <x v="0"/>
  </r>
  <r>
    <s v="Analyzer Status changed from Busy to Ready."/>
    <x v="0"/>
    <x v="0"/>
    <d v="2016-11-01T00:00:00"/>
    <d v="1899-12-30T10:41:53"/>
    <s v="Analyzer"/>
    <x v="0"/>
    <x v="0"/>
    <x v="0"/>
    <x v="0"/>
  </r>
  <r>
    <s v="Analyzer Status changed from Ready to Maintenance."/>
    <x v="0"/>
    <x v="0"/>
    <d v="2016-11-01T00:00:00"/>
    <d v="1899-12-30T10:41:53"/>
    <s v="Analyzer"/>
    <x v="0"/>
    <x v="0"/>
    <x v="0"/>
    <x v="0"/>
  </r>
  <r>
    <s v="Automatic maintenance activity Automatic Routine Clean for all Probes has been executed."/>
    <x v="2"/>
    <x v="0"/>
    <d v="2016-11-01T00:00:00"/>
    <d v="1899-12-30T10:42:25"/>
    <s v="Maintenance"/>
    <x v="0"/>
    <x v="2"/>
    <x v="2"/>
    <x v="0"/>
  </r>
  <r>
    <s v="Analyzer Status changed from Maintenance to Ready."/>
    <x v="0"/>
    <x v="0"/>
    <d v="2016-11-01T00:00:00"/>
    <d v="1899-12-30T10:42:26"/>
    <s v="Analyzer"/>
    <x v="0"/>
    <x v="0"/>
    <x v="0"/>
    <x v="0"/>
  </r>
  <r>
    <s v="Auto-Validation Rules have been modified."/>
    <x v="8"/>
    <x v="0"/>
    <d v="2016-11-01T00:00:00"/>
    <d v="1899-12-30T10:47:29"/>
    <s v="Setup"/>
    <x v="0"/>
    <x v="2"/>
    <x v="5"/>
    <x v="0"/>
  </r>
  <r>
    <s v="Analyzer Status changed from Ready to Busy."/>
    <x v="0"/>
    <x v="0"/>
    <d v="2016-11-01T00:00:00"/>
    <d v="1899-12-30T11:16:05"/>
    <s v="Analyzer"/>
    <x v="0"/>
    <x v="0"/>
    <x v="0"/>
    <x v="0"/>
  </r>
  <r>
    <s v="Analyzer Status changed from Busy to Ready."/>
    <x v="0"/>
    <x v="0"/>
    <d v="2016-11-01T00:00:00"/>
    <d v="1899-12-30T11:18:57"/>
    <s v="Analyzer"/>
    <x v="0"/>
    <x v="0"/>
    <x v="0"/>
    <x v="0"/>
  </r>
  <r>
    <s v="Analyzer Status changed from Ready to Maintenance."/>
    <x v="0"/>
    <x v="0"/>
    <d v="2016-11-01T00:00:00"/>
    <d v="1899-12-30T11:18:57"/>
    <s v="Analyzer"/>
    <x v="0"/>
    <x v="0"/>
    <x v="0"/>
    <x v="0"/>
  </r>
  <r>
    <s v="Analyzer Status changed from Maintenance to Ready."/>
    <x v="0"/>
    <x v="0"/>
    <d v="2016-11-01T00:00:00"/>
    <d v="1899-12-30T11:19:22"/>
    <s v="Analyzer"/>
    <x v="0"/>
    <x v="0"/>
    <x v="0"/>
    <x v="0"/>
  </r>
  <r>
    <s v="Automatic maintenance activity Automatic Routine Clean for all Probes has been executed."/>
    <x v="2"/>
    <x v="0"/>
    <d v="2016-11-01T00:00:00"/>
    <d v="1899-12-30T11:19:22"/>
    <s v="Maintenance"/>
    <x v="0"/>
    <x v="2"/>
    <x v="2"/>
    <x v="0"/>
  </r>
  <r>
    <s v="Analyzer Status changed from Ready to Busy."/>
    <x v="0"/>
    <x v="0"/>
    <d v="2016-11-01T00:00:00"/>
    <d v="1899-12-30T11:19:30"/>
    <s v="Analyzer"/>
    <x v="0"/>
    <x v="0"/>
    <x v="0"/>
    <x v="0"/>
  </r>
  <r>
    <s v="Analyzer Status changed from Busy to Ready."/>
    <x v="0"/>
    <x v="0"/>
    <d v="2016-11-01T00:00:00"/>
    <d v="1899-12-30T11:24:20"/>
    <s v="Analyzer"/>
    <x v="0"/>
    <x v="0"/>
    <x v="0"/>
    <x v="0"/>
  </r>
  <r>
    <s v="Analyzer Status changed from Ready to Maintenance."/>
    <x v="0"/>
    <x v="0"/>
    <d v="2016-11-01T00:00:00"/>
    <d v="1899-12-30T11:24:20"/>
    <s v="Analyzer"/>
    <x v="0"/>
    <x v="0"/>
    <x v="0"/>
    <x v="0"/>
  </r>
  <r>
    <s v="Analyzer Status changed from Maintenance to Ready."/>
    <x v="0"/>
    <x v="0"/>
    <d v="2016-11-01T00:00:00"/>
    <d v="1899-12-30T11:24:48"/>
    <s v="Analyzer"/>
    <x v="0"/>
    <x v="0"/>
    <x v="0"/>
    <x v="0"/>
  </r>
  <r>
    <s v="Automatic maintenance activity Automatic Routine Clean for all Probes has been executed."/>
    <x v="2"/>
    <x v="0"/>
    <d v="2016-11-01T00:00:00"/>
    <d v="1899-12-30T11:24:48"/>
    <s v="Maintenance"/>
    <x v="0"/>
    <x v="2"/>
    <x v="2"/>
    <x v="0"/>
  </r>
  <r>
    <s v="Analyzer Status changed from Ready to Busy."/>
    <x v="0"/>
    <x v="0"/>
    <d v="2016-11-01T00:00:00"/>
    <d v="1899-12-30T11:50:36"/>
    <s v="Analyzer"/>
    <x v="0"/>
    <x v="0"/>
    <x v="0"/>
    <x v="0"/>
  </r>
  <r>
    <s v="Analyzer Status changed from Busy to Ready."/>
    <x v="0"/>
    <x v="0"/>
    <d v="2016-11-01T00:00:00"/>
    <d v="1899-12-30T11:57:56"/>
    <s v="Analyzer"/>
    <x v="0"/>
    <x v="0"/>
    <x v="0"/>
    <x v="0"/>
  </r>
  <r>
    <s v="Analyzer Status changed from Ready to Maintenance."/>
    <x v="0"/>
    <x v="0"/>
    <d v="2016-11-01T00:00:00"/>
    <d v="1899-12-30T11:57:56"/>
    <s v="Analyzer"/>
    <x v="0"/>
    <x v="0"/>
    <x v="0"/>
    <x v="0"/>
  </r>
  <r>
    <s v="Analyzer Status changed from Maintenance to Ready."/>
    <x v="0"/>
    <x v="0"/>
    <d v="2016-11-01T00:00:00"/>
    <d v="1899-12-30T11:58:22"/>
    <s v="Analyzer"/>
    <x v="0"/>
    <x v="0"/>
    <x v="0"/>
    <x v="0"/>
  </r>
  <r>
    <s v="Automatic maintenance activity Automatic Routine Clean for all Probes has been executed."/>
    <x v="2"/>
    <x v="0"/>
    <d v="2016-11-01T00:00:00"/>
    <d v="1899-12-30T11:58:22"/>
    <s v="Maintenance"/>
    <x v="0"/>
    <x v="2"/>
    <x v="2"/>
    <x v="0"/>
  </r>
  <r>
    <s v="Analyzer Status changed from Ready to Busy."/>
    <x v="0"/>
    <x v="0"/>
    <d v="2016-11-01T00:00:00"/>
    <d v="1899-12-30T12:05:32"/>
    <s v="Analyzer"/>
    <x v="0"/>
    <x v="0"/>
    <x v="0"/>
    <x v="0"/>
  </r>
  <r>
    <s v="Analyzer Status changed from Busy to Ready."/>
    <x v="0"/>
    <x v="0"/>
    <d v="2016-11-01T00:00:00"/>
    <d v="1899-12-30T12:08:38"/>
    <s v="Analyzer"/>
    <x v="0"/>
    <x v="0"/>
    <x v="0"/>
    <x v="0"/>
  </r>
  <r>
    <s v="Analyzer Status changed from Ready to Maintenance."/>
    <x v="0"/>
    <x v="0"/>
    <d v="2016-11-01T00:00:00"/>
    <d v="1899-12-30T12:08:38"/>
    <s v="Analyzer"/>
    <x v="0"/>
    <x v="0"/>
    <x v="0"/>
    <x v="0"/>
  </r>
  <r>
    <s v="Analyzer Status changed from Maintenance to Ready."/>
    <x v="0"/>
    <x v="0"/>
    <d v="2016-11-01T00:00:00"/>
    <d v="1899-12-30T12:09:04"/>
    <s v="Analyzer"/>
    <x v="0"/>
    <x v="0"/>
    <x v="0"/>
    <x v="0"/>
  </r>
  <r>
    <s v="Automatic maintenance activity Automatic Routine Clean for all Probes has been executed."/>
    <x v="2"/>
    <x v="0"/>
    <d v="2016-11-01T00:00:00"/>
    <d v="1899-12-30T12:09:04"/>
    <s v="Maintenance"/>
    <x v="0"/>
    <x v="2"/>
    <x v="2"/>
    <x v="0"/>
  </r>
  <r>
    <s v="Communications between the instrument and the LIS have been lost."/>
    <x v="13"/>
    <x v="2"/>
    <d v="2016-11-01T00:00:00"/>
    <d v="1899-12-30T12:15:56"/>
    <s v="LIS"/>
    <x v="0"/>
    <x v="2"/>
    <x v="6"/>
    <x v="0"/>
  </r>
  <r>
    <s v="Duplicated Test Order for 30601478A received from host (LIS # 921)."/>
    <x v="74"/>
    <x v="1"/>
    <d v="2016-11-01T00:00:00"/>
    <d v="1899-12-30T12:16:44"/>
    <s v="LIS"/>
    <x v="0"/>
    <x v="2"/>
    <x v="6"/>
    <x v="0"/>
  </r>
  <r>
    <s v="Duplicated Test Order for 30601478A received from host (LIS # 921)."/>
    <x v="74"/>
    <x v="1"/>
    <d v="2016-11-01T00:00:00"/>
    <d v="1899-12-30T12:17:44"/>
    <s v="LIS"/>
    <x v="0"/>
    <x v="2"/>
    <x v="6"/>
    <x v="0"/>
  </r>
  <r>
    <s v="Analyzer Status changed from Ready to Busy."/>
    <x v="0"/>
    <x v="0"/>
    <d v="2016-11-01T00:00:00"/>
    <d v="1899-12-30T12:17:59"/>
    <s v="Analyzer"/>
    <x v="0"/>
    <x v="0"/>
    <x v="0"/>
    <x v="0"/>
  </r>
  <r>
    <s v="Duplicated Test Order for 30601478A received from host (LIS # 921)."/>
    <x v="74"/>
    <x v="1"/>
    <d v="2016-11-01T00:00:00"/>
    <d v="1899-12-30T12:18:44"/>
    <s v="LIS"/>
    <x v="0"/>
    <x v="2"/>
    <x v="6"/>
    <x v="0"/>
  </r>
  <r>
    <s v="Duplicated Test Order for 30601478A received from host (LIS # 921)."/>
    <x v="74"/>
    <x v="1"/>
    <d v="2016-11-01T00:00:00"/>
    <d v="1899-12-30T12:19:44"/>
    <s v="LIS"/>
    <x v="0"/>
    <x v="2"/>
    <x v="6"/>
    <x v="0"/>
  </r>
  <r>
    <s v="Duplicated Test Order for 30601478A received from host (LIS # 921)."/>
    <x v="74"/>
    <x v="1"/>
    <d v="2016-11-01T00:00:00"/>
    <d v="1899-12-30T12:20:44"/>
    <s v="LIS"/>
    <x v="0"/>
    <x v="2"/>
    <x v="6"/>
    <x v="0"/>
  </r>
  <r>
    <s v="Duplicated Test Order for 30601493D received from host (LIS # 131)."/>
    <x v="74"/>
    <x v="1"/>
    <d v="2016-11-01T00:00:00"/>
    <d v="1899-12-30T12:20:44"/>
    <s v="LIS"/>
    <x v="0"/>
    <x v="2"/>
    <x v="6"/>
    <x v="0"/>
  </r>
  <r>
    <s v="Duplicated Test Order for 30601493D received from host (LIS # 921)."/>
    <x v="74"/>
    <x v="1"/>
    <d v="2016-11-01T00:00:00"/>
    <d v="1899-12-30T12:20:45"/>
    <s v="LIS"/>
    <x v="0"/>
    <x v="2"/>
    <x v="6"/>
    <x v="0"/>
  </r>
  <r>
    <s v="Duplicated Test Order for 30601493D received from host (LIS # 2101)."/>
    <x v="74"/>
    <x v="1"/>
    <d v="2016-11-01T00:00:00"/>
    <d v="1899-12-30T12:20:45"/>
    <s v="LIS"/>
    <x v="0"/>
    <x v="2"/>
    <x v="6"/>
    <x v="0"/>
  </r>
  <r>
    <s v="Duplicated Test Order for 30601496A received from host (LIS # 131)."/>
    <x v="74"/>
    <x v="1"/>
    <d v="2016-11-01T00:00:00"/>
    <d v="1899-12-30T12:20:45"/>
    <s v="LIS"/>
    <x v="0"/>
    <x v="2"/>
    <x v="6"/>
    <x v="0"/>
  </r>
  <r>
    <s v="Duplicated Test Order for 30601478A received from host (LIS # 921)."/>
    <x v="74"/>
    <x v="1"/>
    <d v="2016-11-01T00:00:00"/>
    <d v="1899-12-30T12:21:44"/>
    <s v="LIS"/>
    <x v="0"/>
    <x v="2"/>
    <x v="6"/>
    <x v="0"/>
  </r>
  <r>
    <s v="Duplicated Test Order for 30601493D received from host (LIS # 131)."/>
    <x v="74"/>
    <x v="1"/>
    <d v="2016-11-01T00:00:00"/>
    <d v="1899-12-30T12:21:44"/>
    <s v="LIS"/>
    <x v="0"/>
    <x v="2"/>
    <x v="6"/>
    <x v="0"/>
  </r>
  <r>
    <s v="Duplicated Test Order for 30601493D received from host (LIS # 921)."/>
    <x v="74"/>
    <x v="1"/>
    <d v="2016-11-01T00:00:00"/>
    <d v="1899-12-30T12:21:45"/>
    <s v="LIS"/>
    <x v="0"/>
    <x v="2"/>
    <x v="6"/>
    <x v="0"/>
  </r>
  <r>
    <s v="Duplicated Test Order for 30601493D received from host (LIS # 2101)."/>
    <x v="74"/>
    <x v="1"/>
    <d v="2016-11-01T00:00:00"/>
    <d v="1899-12-30T12:21:45"/>
    <s v="LIS"/>
    <x v="0"/>
    <x v="2"/>
    <x v="6"/>
    <x v="0"/>
  </r>
  <r>
    <s v="Duplicated Test Order for 30601496A received from host (LIS # 131)."/>
    <x v="74"/>
    <x v="1"/>
    <d v="2016-11-01T00:00:00"/>
    <d v="1899-12-30T12:21:45"/>
    <s v="LIS"/>
    <x v="0"/>
    <x v="2"/>
    <x v="6"/>
    <x v="0"/>
  </r>
  <r>
    <s v="Communications between the instrument and the LIS have been lost."/>
    <x v="13"/>
    <x v="2"/>
    <d v="2016-11-01T00:00:00"/>
    <d v="1899-12-30T12:22:56"/>
    <s v="LIS"/>
    <x v="0"/>
    <x v="2"/>
    <x v="6"/>
    <x v="0"/>
  </r>
  <r>
    <s v="Duplicated Test Order for 30601478A received from host (LIS # 921)."/>
    <x v="74"/>
    <x v="1"/>
    <d v="2016-11-01T00:00:00"/>
    <d v="1899-12-30T12:23:28"/>
    <s v="LIS"/>
    <x v="0"/>
    <x v="2"/>
    <x v="6"/>
    <x v="0"/>
  </r>
  <r>
    <s v="Duplicated Test Order for 30601493D received from host (LIS # 131)."/>
    <x v="74"/>
    <x v="1"/>
    <d v="2016-11-01T00:00:00"/>
    <d v="1899-12-30T12:23:28"/>
    <s v="LIS"/>
    <x v="0"/>
    <x v="2"/>
    <x v="6"/>
    <x v="0"/>
  </r>
  <r>
    <s v="Duplicated Test Order for 30601493D received from host (LIS # 921)."/>
    <x v="74"/>
    <x v="1"/>
    <d v="2016-11-01T00:00:00"/>
    <d v="1899-12-30T12:23:29"/>
    <s v="LIS"/>
    <x v="0"/>
    <x v="2"/>
    <x v="6"/>
    <x v="0"/>
  </r>
  <r>
    <s v="Duplicated Test Order for 30601493D received from host (LIS # 2101)."/>
    <x v="74"/>
    <x v="1"/>
    <d v="2016-11-01T00:00:00"/>
    <d v="1899-12-30T12:23:29"/>
    <s v="LIS"/>
    <x v="0"/>
    <x v="2"/>
    <x v="6"/>
    <x v="0"/>
  </r>
  <r>
    <s v="Duplicated Test Order for 30601496A received from host (LIS # 131)."/>
    <x v="74"/>
    <x v="1"/>
    <d v="2016-11-01T00:00:00"/>
    <d v="1899-12-30T12:23:29"/>
    <s v="LIS"/>
    <x v="0"/>
    <x v="2"/>
    <x v="6"/>
    <x v="0"/>
  </r>
  <r>
    <s v="Duplicated Test Order for 30601478A received from host (LIS # 921)."/>
    <x v="74"/>
    <x v="1"/>
    <d v="2016-11-01T00:00:00"/>
    <d v="1899-12-30T12:23:44"/>
    <s v="LIS"/>
    <x v="0"/>
    <x v="2"/>
    <x v="6"/>
    <x v="0"/>
  </r>
  <r>
    <s v="Duplicated Test Order for 30601493D received from host (LIS # 131)."/>
    <x v="74"/>
    <x v="1"/>
    <d v="2016-11-01T00:00:00"/>
    <d v="1899-12-30T12:23:44"/>
    <s v="LIS"/>
    <x v="0"/>
    <x v="2"/>
    <x v="6"/>
    <x v="0"/>
  </r>
  <r>
    <s v="Duplicated Test Order for 30601493D received from host (LIS # 921)."/>
    <x v="74"/>
    <x v="1"/>
    <d v="2016-11-01T00:00:00"/>
    <d v="1899-12-30T12:23:45"/>
    <s v="LIS"/>
    <x v="0"/>
    <x v="2"/>
    <x v="6"/>
    <x v="0"/>
  </r>
  <r>
    <s v="Duplicated Test Order for 30601493D received from host (LIS # 2101)."/>
    <x v="74"/>
    <x v="1"/>
    <d v="2016-11-01T00:00:00"/>
    <d v="1899-12-30T12:23:45"/>
    <s v="LIS"/>
    <x v="0"/>
    <x v="2"/>
    <x v="6"/>
    <x v="0"/>
  </r>
  <r>
    <s v="Duplicated Test Order for 30601496A received from host (LIS # 131)."/>
    <x v="74"/>
    <x v="1"/>
    <d v="2016-11-01T00:00:00"/>
    <d v="1899-12-30T12:23:45"/>
    <s v="LIS"/>
    <x v="0"/>
    <x v="2"/>
    <x v="6"/>
    <x v="0"/>
  </r>
  <r>
    <s v="Analyzer Status changed from Busy to Ready."/>
    <x v="0"/>
    <x v="0"/>
    <d v="2016-11-01T00:00:00"/>
    <d v="1899-12-30T12:24:31"/>
    <s v="Analyzer"/>
    <x v="0"/>
    <x v="0"/>
    <x v="0"/>
    <x v="0"/>
  </r>
  <r>
    <s v="Analyzer Status changed from Ready to Maintenance."/>
    <x v="0"/>
    <x v="0"/>
    <d v="2016-11-01T00:00:00"/>
    <d v="1899-12-30T12:24:31"/>
    <s v="Analyzer"/>
    <x v="0"/>
    <x v="0"/>
    <x v="0"/>
    <x v="0"/>
  </r>
  <r>
    <s v="Duplicated Test Order for 30601478A received from host (LIS # 921)."/>
    <x v="74"/>
    <x v="1"/>
    <d v="2016-11-01T00:00:00"/>
    <d v="1899-12-30T12:24:44"/>
    <s v="LIS"/>
    <x v="0"/>
    <x v="2"/>
    <x v="6"/>
    <x v="0"/>
  </r>
  <r>
    <s v="Duplicated Test Order for 30601493D received from host (LIS # 131)."/>
    <x v="74"/>
    <x v="1"/>
    <d v="2016-11-01T00:00:00"/>
    <d v="1899-12-30T12:24:44"/>
    <s v="LIS"/>
    <x v="0"/>
    <x v="2"/>
    <x v="6"/>
    <x v="0"/>
  </r>
  <r>
    <s v="Duplicated Test Order for 30601493D received from host (LIS # 921)."/>
    <x v="74"/>
    <x v="1"/>
    <d v="2016-11-01T00:00:00"/>
    <d v="1899-12-30T12:24:45"/>
    <s v="LIS"/>
    <x v="0"/>
    <x v="2"/>
    <x v="6"/>
    <x v="0"/>
  </r>
  <r>
    <s v="Duplicated Test Order for 30601493D received from host (LIS # 2101)."/>
    <x v="74"/>
    <x v="1"/>
    <d v="2016-11-01T00:00:00"/>
    <d v="1899-12-30T12:24:45"/>
    <s v="LIS"/>
    <x v="0"/>
    <x v="2"/>
    <x v="6"/>
    <x v="0"/>
  </r>
  <r>
    <s v="Duplicated Test Order for 30601496A received from host (LIS # 131)."/>
    <x v="74"/>
    <x v="1"/>
    <d v="2016-11-01T00:00:00"/>
    <d v="1899-12-30T12:24:45"/>
    <s v="LIS"/>
    <x v="0"/>
    <x v="2"/>
    <x v="6"/>
    <x v="0"/>
  </r>
  <r>
    <s v="Analyzer Status changed from Maintenance to Ready."/>
    <x v="0"/>
    <x v="0"/>
    <d v="2016-11-01T00:00:00"/>
    <d v="1899-12-30T12:24:56"/>
    <s v="Analyzer"/>
    <x v="0"/>
    <x v="0"/>
    <x v="0"/>
    <x v="0"/>
  </r>
  <r>
    <s v="Automatic maintenance activity Automatic Routine Clean for all Probes has been executed."/>
    <x v="2"/>
    <x v="0"/>
    <d v="2016-11-01T00:00:00"/>
    <d v="1899-12-30T12:24:56"/>
    <s v="Maintenance"/>
    <x v="0"/>
    <x v="2"/>
    <x v="2"/>
    <x v="0"/>
  </r>
  <r>
    <s v="Duplicated Test Order for 30601478A received from host (LIS # 921)."/>
    <x v="74"/>
    <x v="1"/>
    <d v="2016-11-01T00:00:00"/>
    <d v="1899-12-30T12:25:44"/>
    <s v="LIS"/>
    <x v="0"/>
    <x v="2"/>
    <x v="6"/>
    <x v="0"/>
  </r>
  <r>
    <s v="Duplicated Test Order for 30601493D received from host (LIS # 131)."/>
    <x v="74"/>
    <x v="1"/>
    <d v="2016-11-01T00:00:00"/>
    <d v="1899-12-30T12:25:45"/>
    <s v="LIS"/>
    <x v="0"/>
    <x v="2"/>
    <x v="6"/>
    <x v="0"/>
  </r>
  <r>
    <s v="Duplicated Test Order for 30601493D received from host (LIS # 921)."/>
    <x v="74"/>
    <x v="1"/>
    <d v="2016-11-01T00:00:00"/>
    <d v="1899-12-30T12:25:45"/>
    <s v="LIS"/>
    <x v="0"/>
    <x v="2"/>
    <x v="6"/>
    <x v="0"/>
  </r>
  <r>
    <s v="Duplicated Test Order for 30601493D received from host (LIS # 2101)."/>
    <x v="74"/>
    <x v="1"/>
    <d v="2016-11-01T00:00:00"/>
    <d v="1899-12-30T12:25:45"/>
    <s v="LIS"/>
    <x v="0"/>
    <x v="2"/>
    <x v="6"/>
    <x v="0"/>
  </r>
  <r>
    <s v="Duplicated Test Order for 30601496A received from host (LIS # 131)."/>
    <x v="74"/>
    <x v="1"/>
    <d v="2016-11-01T00:00:00"/>
    <d v="1899-12-30T12:25:45"/>
    <s v="LIS"/>
    <x v="0"/>
    <x v="2"/>
    <x v="6"/>
    <x v="0"/>
  </r>
  <r>
    <s v="Analyzer Status changed from Ready to Busy."/>
    <x v="0"/>
    <x v="0"/>
    <d v="2016-11-01T00:00:00"/>
    <d v="1899-12-30T12:25:49"/>
    <s v="Analyzer"/>
    <x v="0"/>
    <x v="0"/>
    <x v="0"/>
    <x v="0"/>
  </r>
  <r>
    <s v="System Definitions: LIS parameters modified."/>
    <x v="10"/>
    <x v="0"/>
    <d v="2016-11-01T00:00:00"/>
    <d v="1899-12-30T12:26:02"/>
    <s v="Setup"/>
    <x v="0"/>
    <x v="2"/>
    <x v="6"/>
    <x v="0"/>
  </r>
  <r>
    <s v="Analyzer Status changed from Busy to Ready."/>
    <x v="0"/>
    <x v="0"/>
    <d v="2016-11-01T00:00:00"/>
    <d v="1899-12-30T12:29:12"/>
    <s v="Analyzer"/>
    <x v="0"/>
    <x v="0"/>
    <x v="0"/>
    <x v="0"/>
  </r>
  <r>
    <s v="Analyzer Status changed from Ready to Maintenance."/>
    <x v="0"/>
    <x v="0"/>
    <d v="2016-11-01T00:00:00"/>
    <d v="1899-12-30T12:29:12"/>
    <s v="Analyzer"/>
    <x v="0"/>
    <x v="0"/>
    <x v="0"/>
    <x v="0"/>
  </r>
  <r>
    <s v="Analyzer Status changed from Maintenance to Ready."/>
    <x v="0"/>
    <x v="0"/>
    <d v="2016-11-01T00:00:00"/>
    <d v="1899-12-30T12:29:37"/>
    <s v="Analyzer"/>
    <x v="0"/>
    <x v="0"/>
    <x v="0"/>
    <x v="0"/>
  </r>
  <r>
    <s v="Automatic maintenance activity Automatic Routine Clean for all Probes has been executed."/>
    <x v="2"/>
    <x v="0"/>
    <d v="2016-11-01T00:00:00"/>
    <d v="1899-12-30T12:29:37"/>
    <s v="Maintenance"/>
    <x v="0"/>
    <x v="2"/>
    <x v="2"/>
    <x v="0"/>
  </r>
  <r>
    <s v="Analyzer Status changed from Ready to Busy."/>
    <x v="0"/>
    <x v="0"/>
    <d v="2016-11-01T00:00:00"/>
    <d v="1899-12-30T12:29:49"/>
    <s v="Analyzer"/>
    <x v="0"/>
    <x v="0"/>
    <x v="0"/>
    <x v="0"/>
  </r>
  <r>
    <s v="Non-identified Sample in rack 07 position 4, track 9."/>
    <x v="12"/>
    <x v="2"/>
    <d v="2016-11-01T00:00:00"/>
    <d v="1899-12-30T12:33:05"/>
    <s v="Materials"/>
    <x v="0"/>
    <x v="4"/>
    <x v="7"/>
    <x v="1"/>
  </r>
  <r>
    <s v="Analyzer Status changed from Busy to Ready."/>
    <x v="0"/>
    <x v="0"/>
    <d v="2016-11-01T00:00:00"/>
    <d v="1899-12-30T12:36:36"/>
    <s v="Analyzer"/>
    <x v="0"/>
    <x v="0"/>
    <x v="0"/>
    <x v="0"/>
  </r>
  <r>
    <s v="Analyzer Status changed from Ready to Maintenance."/>
    <x v="0"/>
    <x v="0"/>
    <d v="2016-11-01T00:00:00"/>
    <d v="1899-12-30T12:36:37"/>
    <s v="Analyzer"/>
    <x v="0"/>
    <x v="0"/>
    <x v="0"/>
    <x v="0"/>
  </r>
  <r>
    <s v="Analyzer Status changed from Maintenance to Ready."/>
    <x v="0"/>
    <x v="0"/>
    <d v="2016-11-01T00:00:00"/>
    <d v="1899-12-30T12:37:03"/>
    <s v="Analyzer"/>
    <x v="0"/>
    <x v="0"/>
    <x v="0"/>
    <x v="0"/>
  </r>
  <r>
    <s v="Automatic maintenance activity Automatic Routine Clean for all Probes has been executed."/>
    <x v="2"/>
    <x v="0"/>
    <d v="2016-11-01T00:00:00"/>
    <d v="1899-12-30T12:37:03"/>
    <s v="Maintenance"/>
    <x v="0"/>
    <x v="2"/>
    <x v="2"/>
    <x v="0"/>
  </r>
  <r>
    <s v="Non-identified Sample in rack 12 position 6, track 11."/>
    <x v="12"/>
    <x v="2"/>
    <d v="2016-11-01T00:00:00"/>
    <d v="1899-12-30T12:39:54"/>
    <s v="Materials"/>
    <x v="0"/>
    <x v="4"/>
    <x v="7"/>
    <x v="1"/>
  </r>
  <r>
    <s v="Duplicated Test Order for 30601493D received from host (LIS # 131)."/>
    <x v="74"/>
    <x v="1"/>
    <d v="2016-11-01T00:00:00"/>
    <d v="1899-12-30T12:39:57"/>
    <s v="LIS"/>
    <x v="0"/>
    <x v="2"/>
    <x v="6"/>
    <x v="0"/>
  </r>
  <r>
    <s v="Duplicated Test Order for 30601493D received from host (LIS # 921)."/>
    <x v="74"/>
    <x v="1"/>
    <d v="2016-11-01T00:00:00"/>
    <d v="1899-12-30T12:39:57"/>
    <s v="LIS"/>
    <x v="0"/>
    <x v="2"/>
    <x v="6"/>
    <x v="0"/>
  </r>
  <r>
    <s v="Duplicated Test Order for 30601493D received from host (LIS # 2101)."/>
    <x v="74"/>
    <x v="1"/>
    <d v="2016-11-01T00:00:00"/>
    <d v="1899-12-30T12:39:57"/>
    <s v="LIS"/>
    <x v="0"/>
    <x v="2"/>
    <x v="6"/>
    <x v="0"/>
  </r>
  <r>
    <s v="Analyzer Status changed from Ready to Busy."/>
    <x v="0"/>
    <x v="0"/>
    <d v="2016-11-01T00:00:00"/>
    <d v="1899-12-30T12:40:02"/>
    <s v="Analyzer"/>
    <x v="0"/>
    <x v="0"/>
    <x v="0"/>
    <x v="0"/>
  </r>
  <r>
    <s v="Analyzer Status changed from Busy to Ready."/>
    <x v="0"/>
    <x v="0"/>
    <d v="2016-11-01T00:00:00"/>
    <d v="1899-12-30T12:46:58"/>
    <s v="Analyzer"/>
    <x v="0"/>
    <x v="0"/>
    <x v="0"/>
    <x v="0"/>
  </r>
  <r>
    <s v="Analyzer Status changed from Ready to Maintenance."/>
    <x v="0"/>
    <x v="0"/>
    <d v="2016-11-01T00:00:00"/>
    <d v="1899-12-30T12:46:58"/>
    <s v="Analyzer"/>
    <x v="0"/>
    <x v="0"/>
    <x v="0"/>
    <x v="0"/>
  </r>
  <r>
    <s v="Analyzer Status changed from Maintenance to Ready."/>
    <x v="0"/>
    <x v="0"/>
    <d v="2016-11-01T00:00:00"/>
    <d v="1899-12-30T12:47:23"/>
    <s v="Analyzer"/>
    <x v="0"/>
    <x v="0"/>
    <x v="0"/>
    <x v="0"/>
  </r>
  <r>
    <s v="Automatic maintenance activity Automatic Routine Clean for all Probes has been executed."/>
    <x v="2"/>
    <x v="0"/>
    <d v="2016-11-01T00:00:00"/>
    <d v="1899-12-30T12:47:23"/>
    <s v="Maintenance"/>
    <x v="0"/>
    <x v="2"/>
    <x v="2"/>
    <x v="0"/>
  </r>
  <r>
    <s v="Analyzer Status changed from Ready to Busy."/>
    <x v="0"/>
    <x v="0"/>
    <d v="2016-11-01T00:00:00"/>
    <d v="1899-12-30T12:51:44"/>
    <s v="Analyzer"/>
    <x v="0"/>
    <x v="0"/>
    <x v="0"/>
    <x v="0"/>
  </r>
  <r>
    <s v="Analyzer Status changed from Busy to Ready."/>
    <x v="0"/>
    <x v="0"/>
    <d v="2016-11-01T00:00:00"/>
    <d v="1899-12-30T12:54:35"/>
    <s v="Analyzer"/>
    <x v="0"/>
    <x v="0"/>
    <x v="0"/>
    <x v="0"/>
  </r>
  <r>
    <s v="Analyzer Status changed from Ready to Maintenance."/>
    <x v="0"/>
    <x v="0"/>
    <d v="2016-11-01T00:00:00"/>
    <d v="1899-12-30T12:54:35"/>
    <s v="Analyzer"/>
    <x v="0"/>
    <x v="0"/>
    <x v="0"/>
    <x v="0"/>
  </r>
  <r>
    <s v="Analyzer Status changed from Maintenance to Ready."/>
    <x v="0"/>
    <x v="0"/>
    <d v="2016-11-01T00:00:00"/>
    <d v="1899-12-30T12:55:01"/>
    <s v="Analyzer"/>
    <x v="0"/>
    <x v="0"/>
    <x v="0"/>
    <x v="0"/>
  </r>
  <r>
    <s v="Automatic maintenance activity Automatic Routine Clean for all Probes has been executed."/>
    <x v="2"/>
    <x v="0"/>
    <d v="2016-11-01T00:00:00"/>
    <d v="1899-12-30T12:55:01"/>
    <s v="Maintenance"/>
    <x v="0"/>
    <x v="2"/>
    <x v="2"/>
    <x v="0"/>
  </r>
  <r>
    <s v="Analyzer Status changed from Ready to Busy."/>
    <x v="0"/>
    <x v="0"/>
    <d v="2016-11-01T00:00:00"/>
    <d v="1899-12-30T12:55:48"/>
    <s v="Analyzer"/>
    <x v="0"/>
    <x v="0"/>
    <x v="0"/>
    <x v="0"/>
  </r>
  <r>
    <s v="Barcode reader movement failure."/>
    <x v="75"/>
    <x v="2"/>
    <d v="2016-11-01T00:00:00"/>
    <d v="1899-12-30T12:57:39"/>
    <s v="Analyzer"/>
    <x v="0"/>
    <x v="6"/>
    <x v="13"/>
    <x v="2"/>
  </r>
  <r>
    <s v="Analyzer Status changed from Busy to Controlled stop."/>
    <x v="0"/>
    <x v="0"/>
    <d v="2016-11-01T00:00:00"/>
    <d v="1899-12-30T12:57:39"/>
    <s v="Analyzer"/>
    <x v="0"/>
    <x v="0"/>
    <x v="0"/>
    <x v="0"/>
  </r>
  <r>
    <s v="Analyzer Status changed from Controlled stop to Busy."/>
    <x v="0"/>
    <x v="0"/>
    <d v="2016-11-01T00:00:00"/>
    <d v="1899-12-30T12:58:16"/>
    <s v="Analyzer"/>
    <x v="0"/>
    <x v="0"/>
    <x v="0"/>
    <x v="0"/>
  </r>
  <r>
    <s v="Duplicated Test Order for 30601510A received from host (LIS # 131)."/>
    <x v="74"/>
    <x v="1"/>
    <d v="2016-11-01T00:00:00"/>
    <d v="1899-12-30T13:01:13"/>
    <s v="LIS"/>
    <x v="0"/>
    <x v="2"/>
    <x v="6"/>
    <x v="0"/>
  </r>
  <r>
    <s v="Analyzer Status changed from Busy to Ready."/>
    <x v="0"/>
    <x v="0"/>
    <d v="2016-11-01T00:00:00"/>
    <d v="1899-12-30T13:04:13"/>
    <s v="Analyzer"/>
    <x v="0"/>
    <x v="0"/>
    <x v="0"/>
    <x v="0"/>
  </r>
  <r>
    <s v="Analyzer Status changed from Ready to Maintenance."/>
    <x v="0"/>
    <x v="0"/>
    <d v="2016-11-01T00:00:00"/>
    <d v="1899-12-30T13:04:13"/>
    <s v="Analyzer"/>
    <x v="0"/>
    <x v="0"/>
    <x v="0"/>
    <x v="0"/>
  </r>
  <r>
    <s v="Analyzer Status changed from Maintenance to Ready."/>
    <x v="0"/>
    <x v="0"/>
    <d v="2016-11-01T00:00:00"/>
    <d v="1899-12-30T13:04:39"/>
    <s v="Analyzer"/>
    <x v="0"/>
    <x v="0"/>
    <x v="0"/>
    <x v="0"/>
  </r>
  <r>
    <s v="Automatic maintenance activity Automatic Routine Clean for all Probes has been executed."/>
    <x v="2"/>
    <x v="0"/>
    <d v="2016-11-01T00:00:00"/>
    <d v="1899-12-30T13:04:39"/>
    <s v="Maintenance"/>
    <x v="0"/>
    <x v="2"/>
    <x v="2"/>
    <x v="0"/>
  </r>
  <r>
    <s v="Analyzer Status changed from Ready to Busy."/>
    <x v="0"/>
    <x v="0"/>
    <d v="2016-11-01T00:00:00"/>
    <d v="1899-12-30T13:06:05"/>
    <s v="Analyzer"/>
    <x v="0"/>
    <x v="0"/>
    <x v="0"/>
    <x v="0"/>
  </r>
  <r>
    <s v="Analyzer Status changed from Busy to Ready."/>
    <x v="0"/>
    <x v="0"/>
    <d v="2016-11-01T00:00:00"/>
    <d v="1899-12-30T13:09:17"/>
    <s v="Analyzer"/>
    <x v="0"/>
    <x v="0"/>
    <x v="0"/>
    <x v="0"/>
  </r>
  <r>
    <s v="Analyzer Status changed from Ready to Maintenance."/>
    <x v="0"/>
    <x v="0"/>
    <d v="2016-11-01T00:00:00"/>
    <d v="1899-12-30T13:09:17"/>
    <s v="Analyzer"/>
    <x v="0"/>
    <x v="0"/>
    <x v="0"/>
    <x v="0"/>
  </r>
  <r>
    <s v="Analyzer Status changed from Maintenance to Ready."/>
    <x v="0"/>
    <x v="0"/>
    <d v="2016-11-01T00:00:00"/>
    <d v="1899-12-30T13:09:44"/>
    <s v="Analyzer"/>
    <x v="0"/>
    <x v="0"/>
    <x v="0"/>
    <x v="0"/>
  </r>
  <r>
    <s v="Automatic maintenance activity Automatic Routine Clean for all Probes has been executed."/>
    <x v="2"/>
    <x v="0"/>
    <d v="2016-11-01T00:00:00"/>
    <d v="1899-12-30T13:09:44"/>
    <s v="Maintenance"/>
    <x v="0"/>
    <x v="2"/>
    <x v="2"/>
    <x v="0"/>
  </r>
  <r>
    <s v="Non-identified Sample in rack 12 position 1, track 12."/>
    <x v="12"/>
    <x v="2"/>
    <d v="2016-11-01T00:00:00"/>
    <d v="1899-12-30T13:17:25"/>
    <s v="Materials"/>
    <x v="0"/>
    <x v="4"/>
    <x v="7"/>
    <x v="1"/>
  </r>
  <r>
    <s v="Non-identified Sample in rack 12 position 2, track 12."/>
    <x v="12"/>
    <x v="2"/>
    <d v="2016-11-01T00:00:00"/>
    <d v="1899-12-30T13:17:25"/>
    <s v="Materials"/>
    <x v="0"/>
    <x v="4"/>
    <x v="7"/>
    <x v="1"/>
  </r>
  <r>
    <s v="Non-identified Sample in rack 12 position 2, track 12."/>
    <x v="12"/>
    <x v="2"/>
    <d v="2016-11-01T00:00:00"/>
    <d v="1899-12-30T13:17:34"/>
    <s v="Materials"/>
    <x v="0"/>
    <x v="4"/>
    <x v="7"/>
    <x v="1"/>
  </r>
  <r>
    <s v="Analyzer Status changed from Ready to Busy."/>
    <x v="0"/>
    <x v="0"/>
    <d v="2016-11-01T00:00:00"/>
    <d v="1899-12-30T13:17:42"/>
    <s v="Analyzer"/>
    <x v="0"/>
    <x v="0"/>
    <x v="0"/>
    <x v="0"/>
  </r>
  <r>
    <s v="Analyzer Status changed from Busy to Ready."/>
    <x v="0"/>
    <x v="0"/>
    <d v="2016-11-01T00:00:00"/>
    <d v="1899-12-30T13:23:49"/>
    <s v="Analyzer"/>
    <x v="0"/>
    <x v="0"/>
    <x v="0"/>
    <x v="0"/>
  </r>
  <r>
    <s v="Analyzer Status changed from Ready to Maintenance."/>
    <x v="0"/>
    <x v="0"/>
    <d v="2016-11-01T00:00:00"/>
    <d v="1899-12-30T13:23:50"/>
    <s v="Analyzer"/>
    <x v="0"/>
    <x v="0"/>
    <x v="0"/>
    <x v="0"/>
  </r>
  <r>
    <s v="Analyzer Status changed from Maintenance to Ready."/>
    <x v="0"/>
    <x v="0"/>
    <d v="2016-11-01T00:00:00"/>
    <d v="1899-12-30T13:24:19"/>
    <s v="Analyzer"/>
    <x v="0"/>
    <x v="0"/>
    <x v="0"/>
    <x v="0"/>
  </r>
  <r>
    <s v="Automatic maintenance activity Automatic Routine Clean for all Probes has been executed."/>
    <x v="2"/>
    <x v="0"/>
    <d v="2016-11-01T00:00:00"/>
    <d v="1899-12-30T13:24:19"/>
    <s v="Maintenance"/>
    <x v="0"/>
    <x v="2"/>
    <x v="2"/>
    <x v="0"/>
  </r>
  <r>
    <s v="Analyzer Status changed from Ready to Busy."/>
    <x v="0"/>
    <x v="0"/>
    <d v="2016-11-01T00:00:00"/>
    <d v="1899-12-30T13:48:30"/>
    <s v="Analyzer"/>
    <x v="0"/>
    <x v="0"/>
    <x v="0"/>
    <x v="0"/>
  </r>
  <r>
    <s v="Analyzer Status changed from Busy to Ready."/>
    <x v="0"/>
    <x v="0"/>
    <d v="2016-11-01T00:00:00"/>
    <d v="1899-12-30T13:51:32"/>
    <s v="Analyzer"/>
    <x v="0"/>
    <x v="0"/>
    <x v="0"/>
    <x v="0"/>
  </r>
  <r>
    <s v="Analyzer Status changed from Ready to Maintenance."/>
    <x v="0"/>
    <x v="0"/>
    <d v="2016-11-01T00:00:00"/>
    <d v="1899-12-30T13:51:33"/>
    <s v="Analyzer"/>
    <x v="0"/>
    <x v="0"/>
    <x v="0"/>
    <x v="0"/>
  </r>
  <r>
    <s v="Analyzer Status changed from Maintenance to Ready."/>
    <x v="0"/>
    <x v="0"/>
    <d v="2016-11-01T00:00:00"/>
    <d v="1899-12-30T13:51:58"/>
    <s v="Analyzer"/>
    <x v="0"/>
    <x v="0"/>
    <x v="0"/>
    <x v="0"/>
  </r>
  <r>
    <s v="Automatic maintenance activity Automatic Routine Clean for all Probes has been executed."/>
    <x v="2"/>
    <x v="0"/>
    <d v="2016-11-01T00:00:00"/>
    <d v="1899-12-30T13:51:58"/>
    <s v="Maintenance"/>
    <x v="0"/>
    <x v="2"/>
    <x v="2"/>
    <x v="0"/>
  </r>
  <r>
    <s v="Analyzer Status changed from Ready to Busy."/>
    <x v="0"/>
    <x v="0"/>
    <d v="2016-11-01T00:00:00"/>
    <d v="1899-12-30T14:01:40"/>
    <s v="Analyzer"/>
    <x v="0"/>
    <x v="0"/>
    <x v="0"/>
    <x v="0"/>
  </r>
  <r>
    <s v="Analyzer Status changed from Busy to Ready."/>
    <x v="0"/>
    <x v="0"/>
    <d v="2016-11-01T00:00:00"/>
    <d v="1899-12-30T14:04:31"/>
    <s v="Analyzer"/>
    <x v="0"/>
    <x v="0"/>
    <x v="0"/>
    <x v="0"/>
  </r>
  <r>
    <s v="Analyzer Status changed from Ready to Maintenance."/>
    <x v="0"/>
    <x v="0"/>
    <d v="2016-11-01T00:00:00"/>
    <d v="1899-12-30T14:04:31"/>
    <s v="Analyzer"/>
    <x v="0"/>
    <x v="0"/>
    <x v="0"/>
    <x v="0"/>
  </r>
  <r>
    <s v="Analyzer Status changed from Maintenance to Ready."/>
    <x v="0"/>
    <x v="0"/>
    <d v="2016-11-01T00:00:00"/>
    <d v="1899-12-30T14:04:57"/>
    <s v="Analyzer"/>
    <x v="0"/>
    <x v="0"/>
    <x v="0"/>
    <x v="0"/>
  </r>
  <r>
    <s v="Automatic maintenance activity Automatic Routine Clean for all Probes has been executed."/>
    <x v="2"/>
    <x v="0"/>
    <d v="2016-11-01T00:00:00"/>
    <d v="1899-12-30T14:04:57"/>
    <s v="Maintenance"/>
    <x v="0"/>
    <x v="2"/>
    <x v="2"/>
    <x v="0"/>
  </r>
  <r>
    <s v="Analyzer Status changed from Ready to Busy."/>
    <x v="0"/>
    <x v="0"/>
    <d v="2016-11-01T00:00:00"/>
    <d v="1899-12-30T14:18:04"/>
    <s v="Analyzer"/>
    <x v="0"/>
    <x v="0"/>
    <x v="0"/>
    <x v="0"/>
  </r>
  <r>
    <s v="Analyzer Status changed from Busy to Ready."/>
    <x v="0"/>
    <x v="0"/>
    <d v="2016-11-01T00:00:00"/>
    <d v="1899-12-30T14:24:02"/>
    <s v="Analyzer"/>
    <x v="0"/>
    <x v="0"/>
    <x v="0"/>
    <x v="0"/>
  </r>
  <r>
    <s v="Analyzer Status changed from Ready to Maintenance."/>
    <x v="0"/>
    <x v="0"/>
    <d v="2016-11-01T00:00:00"/>
    <d v="1899-12-30T14:24:02"/>
    <s v="Analyzer"/>
    <x v="0"/>
    <x v="0"/>
    <x v="0"/>
    <x v="0"/>
  </r>
  <r>
    <s v="Automatic maintenance activity Automatic Routine Clean for all Probes has been executed."/>
    <x v="2"/>
    <x v="0"/>
    <d v="2016-11-01T00:00:00"/>
    <d v="1899-12-30T14:24:26"/>
    <s v="Maintenance"/>
    <x v="0"/>
    <x v="2"/>
    <x v="2"/>
    <x v="0"/>
  </r>
  <r>
    <s v="Analyzer Status changed from Maintenance to Ready."/>
    <x v="0"/>
    <x v="0"/>
    <d v="2016-11-01T00:00:00"/>
    <d v="1899-12-30T14:24:27"/>
    <s v="Analyzer"/>
    <x v="0"/>
    <x v="0"/>
    <x v="0"/>
    <x v="0"/>
  </r>
  <r>
    <s v="Analyzer Status changed from Ready to Busy."/>
    <x v="0"/>
    <x v="0"/>
    <d v="2016-11-01T00:00:00"/>
    <d v="1899-12-30T14:36:38"/>
    <s v="Analyzer"/>
    <x v="0"/>
    <x v="0"/>
    <x v="0"/>
    <x v="0"/>
  </r>
  <r>
    <s v="Analyzer Status changed from Busy to Ready."/>
    <x v="0"/>
    <x v="0"/>
    <d v="2016-11-01T00:00:00"/>
    <d v="1899-12-30T14:42:14"/>
    <s v="Analyzer"/>
    <x v="0"/>
    <x v="0"/>
    <x v="0"/>
    <x v="0"/>
  </r>
  <r>
    <s v="Analyzer Status changed from Ready to Maintenance."/>
    <x v="0"/>
    <x v="0"/>
    <d v="2016-11-01T00:00:00"/>
    <d v="1899-12-30T14:42:14"/>
    <s v="Analyzer"/>
    <x v="0"/>
    <x v="0"/>
    <x v="0"/>
    <x v="0"/>
  </r>
  <r>
    <s v="Analyzer Status changed from Maintenance to Ready."/>
    <x v="0"/>
    <x v="0"/>
    <d v="2016-11-01T00:00:00"/>
    <d v="1899-12-30T14:42:39"/>
    <s v="Analyzer"/>
    <x v="0"/>
    <x v="0"/>
    <x v="0"/>
    <x v="0"/>
  </r>
  <r>
    <s v="Automatic maintenance activity Automatic Routine Clean for all Probes has been executed."/>
    <x v="2"/>
    <x v="0"/>
    <d v="2016-11-01T00:00:00"/>
    <d v="1899-12-30T14:42:39"/>
    <s v="Maintenance"/>
    <x v="0"/>
    <x v="2"/>
    <x v="2"/>
    <x v="0"/>
  </r>
  <r>
    <s v="Non-identified Sample in rack 01 position 6, track 7."/>
    <x v="12"/>
    <x v="2"/>
    <d v="2016-11-01T00:00:00"/>
    <d v="1899-12-30T14:45:26"/>
    <s v="Materials"/>
    <x v="0"/>
    <x v="4"/>
    <x v="7"/>
    <x v="1"/>
  </r>
  <r>
    <s v="Analyzer Status changed from Ready to Busy."/>
    <x v="0"/>
    <x v="0"/>
    <d v="2016-11-01T00:00:00"/>
    <d v="1899-12-30T14:45:39"/>
    <s v="Analyzer"/>
    <x v="0"/>
    <x v="0"/>
    <x v="0"/>
    <x v="0"/>
  </r>
  <r>
    <s v="Analyzer Status changed from Busy to Ready."/>
    <x v="0"/>
    <x v="0"/>
    <d v="2016-11-01T00:00:00"/>
    <d v="1899-12-30T14:48:33"/>
    <s v="Analyzer"/>
    <x v="0"/>
    <x v="0"/>
    <x v="0"/>
    <x v="0"/>
  </r>
  <r>
    <s v="Analyzer Status changed from Ready to Maintenance."/>
    <x v="0"/>
    <x v="0"/>
    <d v="2016-11-01T00:00:00"/>
    <d v="1899-12-30T14:48:33"/>
    <s v="Analyzer"/>
    <x v="0"/>
    <x v="0"/>
    <x v="0"/>
    <x v="0"/>
  </r>
  <r>
    <s v="Analyzer Status changed from Maintenance to Ready."/>
    <x v="0"/>
    <x v="0"/>
    <d v="2016-11-01T00:00:00"/>
    <d v="1899-12-30T14:48:59"/>
    <s v="Analyzer"/>
    <x v="0"/>
    <x v="0"/>
    <x v="0"/>
    <x v="0"/>
  </r>
  <r>
    <s v="Automatic maintenance activity Automatic Routine Clean for all Probes has been executed."/>
    <x v="2"/>
    <x v="0"/>
    <d v="2016-11-01T00:00:00"/>
    <d v="1899-12-30T14:48:59"/>
    <s v="Maintenance"/>
    <x v="0"/>
    <x v="2"/>
    <x v="2"/>
    <x v="0"/>
  </r>
  <r>
    <s v="Analyzer Status changed from Ready to Busy."/>
    <x v="0"/>
    <x v="0"/>
    <d v="2016-11-01T00:00:00"/>
    <d v="1899-12-30T14:56:23"/>
    <s v="Analyzer"/>
    <x v="0"/>
    <x v="0"/>
    <x v="0"/>
    <x v="0"/>
  </r>
  <r>
    <s v="Analyzer Status changed from Busy to Ready."/>
    <x v="0"/>
    <x v="0"/>
    <d v="2016-11-01T00:00:00"/>
    <d v="1899-12-30T14:59:41"/>
    <s v="Analyzer"/>
    <x v="0"/>
    <x v="0"/>
    <x v="0"/>
    <x v="0"/>
  </r>
  <r>
    <s v="Analyzer Status changed from Ready to Maintenance."/>
    <x v="0"/>
    <x v="0"/>
    <d v="2016-11-01T00:00:00"/>
    <d v="1899-12-30T14:59:41"/>
    <s v="Analyzer"/>
    <x v="0"/>
    <x v="0"/>
    <x v="0"/>
    <x v="0"/>
  </r>
  <r>
    <s v="Automatic maintenance activity Automatic Routine Clean for all Probes has been executed."/>
    <x v="2"/>
    <x v="0"/>
    <d v="2016-11-01T00:00:00"/>
    <d v="1899-12-30T15:00:07"/>
    <s v="Maintenance"/>
    <x v="0"/>
    <x v="2"/>
    <x v="2"/>
    <x v="0"/>
  </r>
  <r>
    <s v="Analyzer Status changed from Maintenance to Ready."/>
    <x v="0"/>
    <x v="0"/>
    <d v="2016-11-01T00:00:00"/>
    <d v="1899-12-30T15:00:08"/>
    <s v="Analyzer"/>
    <x v="0"/>
    <x v="0"/>
    <x v="0"/>
    <x v="0"/>
  </r>
  <r>
    <s v="Analyzer Status changed from Ready to Busy."/>
    <x v="0"/>
    <x v="0"/>
    <d v="2016-11-01T00:00:00"/>
    <d v="1899-12-30T15:04:16"/>
    <s v="Analyzer"/>
    <x v="0"/>
    <x v="0"/>
    <x v="0"/>
    <x v="0"/>
  </r>
  <r>
    <s v="Cuvettes low in the load area."/>
    <x v="15"/>
    <x v="1"/>
    <d v="2016-11-01T00:00:00"/>
    <d v="1899-12-30T15:04:54"/>
    <s v="Materials"/>
    <x v="0"/>
    <x v="5"/>
    <x v="8"/>
    <x v="0"/>
  </r>
  <r>
    <s v="Analyzer Status changed from Busy to Ready."/>
    <x v="0"/>
    <x v="0"/>
    <d v="2016-11-01T00:00:00"/>
    <d v="1899-12-30T15:10:58"/>
    <s v="Analyzer"/>
    <x v="0"/>
    <x v="0"/>
    <x v="0"/>
    <x v="0"/>
  </r>
  <r>
    <s v="Analyzer Status changed from Ready to Maintenance."/>
    <x v="0"/>
    <x v="0"/>
    <d v="2016-11-01T00:00:00"/>
    <d v="1899-12-30T15:10:59"/>
    <s v="Analyzer"/>
    <x v="0"/>
    <x v="0"/>
    <x v="0"/>
    <x v="0"/>
  </r>
  <r>
    <s v="Analyzer Status changed from Maintenance to Ready."/>
    <x v="0"/>
    <x v="0"/>
    <d v="2016-11-01T00:00:00"/>
    <d v="1899-12-30T15:11:24"/>
    <s v="Analyzer"/>
    <x v="0"/>
    <x v="0"/>
    <x v="0"/>
    <x v="0"/>
  </r>
  <r>
    <s v="Automatic maintenance activity Automatic Routine Clean for all Probes has been executed."/>
    <x v="2"/>
    <x v="0"/>
    <d v="2016-11-01T00:00:00"/>
    <d v="1899-12-30T15:11:24"/>
    <s v="Maintenance"/>
    <x v="0"/>
    <x v="2"/>
    <x v="2"/>
    <x v="0"/>
  </r>
  <r>
    <s v="Logout by user: LHO."/>
    <x v="16"/>
    <x v="0"/>
    <d v="2016-11-01T00:00:00"/>
    <d v="1899-12-30T15:15:13"/>
    <s v="Other"/>
    <x v="0"/>
    <x v="2"/>
    <x v="5"/>
    <x v="0"/>
  </r>
  <r>
    <s v="Successful log in by user: MJO."/>
    <x v="18"/>
    <x v="0"/>
    <d v="2016-11-01T00:00:00"/>
    <d v="1899-12-30T15:15:27"/>
    <s v="Other"/>
    <x v="6"/>
    <x v="2"/>
    <x v="5"/>
    <x v="0"/>
  </r>
  <r>
    <s v="Analyzer Status changed from Ready to Busy."/>
    <x v="0"/>
    <x v="0"/>
    <d v="2016-11-01T00:00:00"/>
    <d v="1899-12-30T15:18:35"/>
    <s v="Analyzer"/>
    <x v="6"/>
    <x v="0"/>
    <x v="0"/>
    <x v="0"/>
  </r>
  <r>
    <s v="Analyzer Status changed from Busy to Ready."/>
    <x v="0"/>
    <x v="0"/>
    <d v="2016-11-01T00:00:00"/>
    <d v="1899-12-30T15:24:54"/>
    <s v="Analyzer"/>
    <x v="6"/>
    <x v="0"/>
    <x v="0"/>
    <x v="0"/>
  </r>
  <r>
    <s v="Analyzer Status changed from Ready to Maintenance."/>
    <x v="0"/>
    <x v="0"/>
    <d v="2016-11-01T00:00:00"/>
    <d v="1899-12-30T15:24:54"/>
    <s v="Analyzer"/>
    <x v="6"/>
    <x v="0"/>
    <x v="0"/>
    <x v="0"/>
  </r>
  <r>
    <s v="Analyzer Status changed from Maintenance to Ready."/>
    <x v="0"/>
    <x v="0"/>
    <d v="2016-11-01T00:00:00"/>
    <d v="1899-12-30T15:25:19"/>
    <s v="Analyzer"/>
    <x v="6"/>
    <x v="0"/>
    <x v="0"/>
    <x v="0"/>
  </r>
  <r>
    <s v="Automatic maintenance activity Automatic Routine Clean for all Probes has been executed."/>
    <x v="2"/>
    <x v="0"/>
    <d v="2016-11-01T00:00:00"/>
    <d v="1899-12-30T15:25:19"/>
    <s v="Maintenance"/>
    <x v="6"/>
    <x v="2"/>
    <x v="2"/>
    <x v="0"/>
  </r>
  <r>
    <s v="Analyzer Status changed from Ready to Busy."/>
    <x v="0"/>
    <x v="0"/>
    <d v="2016-11-01T00:00:00"/>
    <d v="1899-12-30T16:00:48"/>
    <s v="Analyzer"/>
    <x v="6"/>
    <x v="0"/>
    <x v="0"/>
    <x v="0"/>
  </r>
  <r>
    <s v="Analyzer Status changed from Busy to Ready."/>
    <x v="0"/>
    <x v="0"/>
    <d v="2016-11-01T00:00:00"/>
    <d v="1899-12-30T16:06:25"/>
    <s v="Analyzer"/>
    <x v="6"/>
    <x v="0"/>
    <x v="0"/>
    <x v="0"/>
  </r>
  <r>
    <s v="Analyzer Status changed from Ready to Maintenance."/>
    <x v="0"/>
    <x v="0"/>
    <d v="2016-11-01T00:00:00"/>
    <d v="1899-12-30T16:06:26"/>
    <s v="Analyzer"/>
    <x v="6"/>
    <x v="0"/>
    <x v="0"/>
    <x v="0"/>
  </r>
  <r>
    <s v="Analyzer Status changed from Maintenance to Ready."/>
    <x v="0"/>
    <x v="0"/>
    <d v="2016-11-01T00:00:00"/>
    <d v="1899-12-30T16:06:50"/>
    <s v="Analyzer"/>
    <x v="6"/>
    <x v="0"/>
    <x v="0"/>
    <x v="0"/>
  </r>
  <r>
    <s v="Automatic maintenance activity Automatic Routine Clean for all Probes has been executed."/>
    <x v="2"/>
    <x v="0"/>
    <d v="2016-11-01T00:00:00"/>
    <d v="1899-12-30T16:06:50"/>
    <s v="Maintenance"/>
    <x v="6"/>
    <x v="2"/>
    <x v="2"/>
    <x v="0"/>
  </r>
  <r>
    <s v="Analyzer Status changed from Ready to Busy."/>
    <x v="0"/>
    <x v="0"/>
    <d v="2016-11-01T00:00:00"/>
    <d v="1899-12-30T16:07:59"/>
    <s v="Analyzer"/>
    <x v="6"/>
    <x v="0"/>
    <x v="0"/>
    <x v="0"/>
  </r>
  <r>
    <s v="Analyzer Status changed from Busy to Ready."/>
    <x v="0"/>
    <x v="0"/>
    <d v="2016-11-01T00:00:00"/>
    <d v="1899-12-30T16:18:37"/>
    <s v="Analyzer"/>
    <x v="6"/>
    <x v="0"/>
    <x v="0"/>
    <x v="0"/>
  </r>
  <r>
    <s v="Analyzer Status changed from Ready to Maintenance."/>
    <x v="0"/>
    <x v="0"/>
    <d v="2016-11-01T00:00:00"/>
    <d v="1899-12-30T16:18:38"/>
    <s v="Analyzer"/>
    <x v="6"/>
    <x v="0"/>
    <x v="0"/>
    <x v="0"/>
  </r>
  <r>
    <s v="Analyzer Status changed from Maintenance to Ready."/>
    <x v="0"/>
    <x v="0"/>
    <d v="2016-11-01T00:00:00"/>
    <d v="1899-12-30T16:19:02"/>
    <s v="Analyzer"/>
    <x v="6"/>
    <x v="0"/>
    <x v="0"/>
    <x v="0"/>
  </r>
  <r>
    <s v="Automatic maintenance activity Automatic Routine Clean for all Probes has been executed."/>
    <x v="2"/>
    <x v="0"/>
    <d v="2016-11-01T00:00:00"/>
    <d v="1899-12-30T16:19:02"/>
    <s v="Maintenance"/>
    <x v="6"/>
    <x v="2"/>
    <x v="2"/>
    <x v="0"/>
  </r>
  <r>
    <s v="Analyzer Status changed from Ready to Busy."/>
    <x v="0"/>
    <x v="0"/>
    <d v="2016-11-01T00:00:00"/>
    <d v="1899-12-30T16:25:51"/>
    <s v="Analyzer"/>
    <x v="6"/>
    <x v="0"/>
    <x v="0"/>
    <x v="0"/>
  </r>
  <r>
    <s v="Analyzer Status changed from Busy to Ready."/>
    <x v="0"/>
    <x v="0"/>
    <d v="2016-11-01T00:00:00"/>
    <d v="1899-12-30T16:32:07"/>
    <s v="Analyzer"/>
    <x v="6"/>
    <x v="0"/>
    <x v="0"/>
    <x v="0"/>
  </r>
  <r>
    <s v="Analyzer Status changed from Ready to Maintenance."/>
    <x v="0"/>
    <x v="0"/>
    <d v="2016-11-01T00:00:00"/>
    <d v="1899-12-30T16:32:07"/>
    <s v="Analyzer"/>
    <x v="6"/>
    <x v="0"/>
    <x v="0"/>
    <x v="0"/>
  </r>
  <r>
    <s v="Analyzer Status changed from Maintenance to Ready."/>
    <x v="0"/>
    <x v="0"/>
    <d v="2016-11-01T00:00:00"/>
    <d v="1899-12-30T16:32:33"/>
    <s v="Analyzer"/>
    <x v="6"/>
    <x v="0"/>
    <x v="0"/>
    <x v="0"/>
  </r>
  <r>
    <s v="Automatic maintenance activity Automatic Routine Clean for all Probes has been executed."/>
    <x v="2"/>
    <x v="0"/>
    <d v="2016-11-01T00:00:00"/>
    <d v="1899-12-30T16:32:33"/>
    <s v="Maintenance"/>
    <x v="6"/>
    <x v="2"/>
    <x v="2"/>
    <x v="0"/>
  </r>
  <r>
    <s v="Analyzer Status changed from Ready to Busy."/>
    <x v="0"/>
    <x v="0"/>
    <d v="2016-11-01T00:00:00"/>
    <d v="1899-12-30T16:45:01"/>
    <s v="Analyzer"/>
    <x v="6"/>
    <x v="0"/>
    <x v="0"/>
    <x v="0"/>
  </r>
  <r>
    <s v="Analyzer Status changed from Busy to Ready."/>
    <x v="0"/>
    <x v="0"/>
    <d v="2016-11-01T00:00:00"/>
    <d v="1899-12-30T16:48:26"/>
    <s v="Analyzer"/>
    <x v="6"/>
    <x v="0"/>
    <x v="0"/>
    <x v="0"/>
  </r>
  <r>
    <s v="Analyzer Status changed from Ready to Maintenance."/>
    <x v="0"/>
    <x v="0"/>
    <d v="2016-11-01T00:00:00"/>
    <d v="1899-12-30T16:48:27"/>
    <s v="Analyzer"/>
    <x v="6"/>
    <x v="0"/>
    <x v="0"/>
    <x v="0"/>
  </r>
  <r>
    <s v="Analyzer Status changed from Maintenance to Ready."/>
    <x v="0"/>
    <x v="0"/>
    <d v="2016-11-01T00:00:00"/>
    <d v="1899-12-30T16:48:53"/>
    <s v="Analyzer"/>
    <x v="6"/>
    <x v="0"/>
    <x v="0"/>
    <x v="0"/>
  </r>
  <r>
    <s v="Automatic maintenance activity Automatic Routine Clean for all Probes has been executed."/>
    <x v="2"/>
    <x v="0"/>
    <d v="2016-11-01T00:00:00"/>
    <d v="1899-12-30T16:48:53"/>
    <s v="Maintenance"/>
    <x v="6"/>
    <x v="2"/>
    <x v="2"/>
    <x v="0"/>
  </r>
  <r>
    <s v="Analyzer Status changed from Ready to Busy."/>
    <x v="0"/>
    <x v="0"/>
    <d v="2016-11-01T00:00:00"/>
    <d v="1899-12-30T16:49:16"/>
    <s v="Analyzer"/>
    <x v="6"/>
    <x v="0"/>
    <x v="0"/>
    <x v="0"/>
  </r>
  <r>
    <s v="Analyzer Status changed from Busy to Ready."/>
    <x v="0"/>
    <x v="0"/>
    <d v="2016-11-01T00:00:00"/>
    <d v="1899-12-30T16:56:58"/>
    <s v="Analyzer"/>
    <x v="6"/>
    <x v="0"/>
    <x v="0"/>
    <x v="0"/>
  </r>
  <r>
    <s v="Analyzer Status changed from Ready to Maintenance."/>
    <x v="0"/>
    <x v="0"/>
    <d v="2016-11-01T00:00:00"/>
    <d v="1899-12-30T16:56:58"/>
    <s v="Analyzer"/>
    <x v="6"/>
    <x v="0"/>
    <x v="0"/>
    <x v="0"/>
  </r>
  <r>
    <s v="Analyzer Status changed from Maintenance to Ready."/>
    <x v="0"/>
    <x v="0"/>
    <d v="2016-11-01T00:00:00"/>
    <d v="1899-12-30T16:57:24"/>
    <s v="Analyzer"/>
    <x v="6"/>
    <x v="0"/>
    <x v="0"/>
    <x v="0"/>
  </r>
  <r>
    <s v="Automatic maintenance activity Automatic Routine Clean for all Probes has been executed."/>
    <x v="2"/>
    <x v="0"/>
    <d v="2016-11-01T00:00:00"/>
    <d v="1899-12-30T16:57:24"/>
    <s v="Maintenance"/>
    <x v="6"/>
    <x v="2"/>
    <x v="2"/>
    <x v="0"/>
  </r>
  <r>
    <s v="Analyzer Status changed from Ready to Busy."/>
    <x v="0"/>
    <x v="0"/>
    <d v="2016-11-01T00:00:00"/>
    <d v="1899-12-30T17:03:07"/>
    <s v="Analyzer"/>
    <x v="6"/>
    <x v="0"/>
    <x v="0"/>
    <x v="0"/>
  </r>
  <r>
    <s v="Analyzer Status changed from Busy to Ready."/>
    <x v="0"/>
    <x v="0"/>
    <d v="2016-11-01T00:00:00"/>
    <d v="1899-12-30T17:06:09"/>
    <s v="Analyzer"/>
    <x v="6"/>
    <x v="0"/>
    <x v="0"/>
    <x v="0"/>
  </r>
  <r>
    <s v="Analyzer Status changed from Ready to Maintenance."/>
    <x v="0"/>
    <x v="0"/>
    <d v="2016-11-01T00:00:00"/>
    <d v="1899-12-30T17:06:09"/>
    <s v="Analyzer"/>
    <x v="6"/>
    <x v="0"/>
    <x v="0"/>
    <x v="0"/>
  </r>
  <r>
    <s v="Analyzer Status changed from Maintenance to Ready."/>
    <x v="0"/>
    <x v="0"/>
    <d v="2016-11-01T00:00:00"/>
    <d v="1899-12-30T17:06:35"/>
    <s v="Analyzer"/>
    <x v="6"/>
    <x v="0"/>
    <x v="0"/>
    <x v="0"/>
  </r>
  <r>
    <s v="Automatic maintenance activity Automatic Routine Clean for all Probes has been executed."/>
    <x v="2"/>
    <x v="0"/>
    <d v="2016-11-01T00:00:00"/>
    <d v="1899-12-30T17:06:35"/>
    <s v="Maintenance"/>
    <x v="6"/>
    <x v="2"/>
    <x v="2"/>
    <x v="0"/>
  </r>
  <r>
    <s v="Non-identified Sample in rack 06 position 2, track 10."/>
    <x v="12"/>
    <x v="2"/>
    <d v="2016-11-01T00:00:00"/>
    <d v="1899-12-30T17:12:38"/>
    <s v="Materials"/>
    <x v="6"/>
    <x v="4"/>
    <x v="7"/>
    <x v="1"/>
  </r>
  <r>
    <s v="Analyzer Status changed from Ready to Busy."/>
    <x v="0"/>
    <x v="0"/>
    <d v="2016-11-01T00:00:00"/>
    <d v="1899-12-30T17:12:55"/>
    <s v="Analyzer"/>
    <x v="6"/>
    <x v="0"/>
    <x v="0"/>
    <x v="0"/>
  </r>
  <r>
    <s v="Normal C. Assayed volume low."/>
    <x v="7"/>
    <x v="1"/>
    <d v="2016-11-01T00:00:00"/>
    <d v="1899-12-30T17:15:42"/>
    <s v="Materials"/>
    <x v="6"/>
    <x v="3"/>
    <x v="4"/>
    <x v="0"/>
  </r>
  <r>
    <s v="Analyzer Status changed from Busy to Ready."/>
    <x v="0"/>
    <x v="0"/>
    <d v="2016-11-01T00:00:00"/>
    <d v="1899-12-30T17:18:31"/>
    <s v="Analyzer"/>
    <x v="6"/>
    <x v="0"/>
    <x v="0"/>
    <x v="0"/>
  </r>
  <r>
    <s v="Analyzer Status changed from Ready to Maintenance."/>
    <x v="0"/>
    <x v="0"/>
    <d v="2016-11-01T00:00:00"/>
    <d v="1899-12-30T17:18:32"/>
    <s v="Analyzer"/>
    <x v="6"/>
    <x v="0"/>
    <x v="0"/>
    <x v="0"/>
  </r>
  <r>
    <s v="Analyzer Status changed from Maintenance to Ready."/>
    <x v="0"/>
    <x v="0"/>
    <d v="2016-11-01T00:00:00"/>
    <d v="1899-12-30T17:18:56"/>
    <s v="Analyzer"/>
    <x v="6"/>
    <x v="0"/>
    <x v="0"/>
    <x v="0"/>
  </r>
  <r>
    <s v="Automatic maintenance activity Automatic Routine Clean for all Probes has been executed."/>
    <x v="2"/>
    <x v="0"/>
    <d v="2016-11-01T00:00:00"/>
    <d v="1899-12-30T17:18:56"/>
    <s v="Maintenance"/>
    <x v="6"/>
    <x v="2"/>
    <x v="2"/>
    <x v="0"/>
  </r>
  <r>
    <s v="Normal C. Assayed volume low."/>
    <x v="7"/>
    <x v="1"/>
    <d v="2016-11-01T00:00:00"/>
    <d v="1899-12-30T17:21:39"/>
    <s v="Materials"/>
    <x v="6"/>
    <x v="3"/>
    <x v="4"/>
    <x v="0"/>
  </r>
  <r>
    <s v="Placement error (UF Hep High Control in rack DC, position 2, track 3)."/>
    <x v="24"/>
    <x v="2"/>
    <d v="2016-11-01T00:00:00"/>
    <d v="1899-12-30T17:24:21"/>
    <s v="Materials"/>
    <x v="6"/>
    <x v="2"/>
    <x v="3"/>
    <x v="0"/>
  </r>
  <r>
    <s v="Placement error (D-Dimer High Control in rack DC, position 3, track 3)."/>
    <x v="24"/>
    <x v="2"/>
    <d v="2016-11-01T00:00:00"/>
    <d v="1899-12-30T17:24:21"/>
    <s v="Materials"/>
    <x v="6"/>
    <x v="2"/>
    <x v="3"/>
    <x v="0"/>
  </r>
  <r>
    <s v="Placement error (D-Dimer Low Control in rack DC, position 4, track 3)."/>
    <x v="24"/>
    <x v="2"/>
    <d v="2016-11-01T00:00:00"/>
    <d v="1899-12-30T17:24:21"/>
    <s v="Materials"/>
    <x v="6"/>
    <x v="2"/>
    <x v="3"/>
    <x v="0"/>
  </r>
  <r>
    <s v="Placement error (UF Hep Low Control in rack DC, position 5, track 3)."/>
    <x v="24"/>
    <x v="2"/>
    <d v="2016-11-01T00:00:00"/>
    <d v="1899-12-30T17:24:21"/>
    <s v="Materials"/>
    <x v="6"/>
    <x v="2"/>
    <x v="3"/>
    <x v="0"/>
  </r>
  <r>
    <s v="Placement error (Normal C. Assayed in rack DC, position 6, track 3)."/>
    <x v="24"/>
    <x v="2"/>
    <d v="2016-11-01T00:00:00"/>
    <d v="1899-12-30T17:24:21"/>
    <s v="Materials"/>
    <x v="6"/>
    <x v="2"/>
    <x v="3"/>
    <x v="0"/>
  </r>
  <r>
    <s v="Placement error (Low Fib Control in rack DC, position 7, track 3)."/>
    <x v="24"/>
    <x v="2"/>
    <d v="2016-11-01T00:00:00"/>
    <d v="1899-12-30T17:24:21"/>
    <s v="Materials"/>
    <x v="6"/>
    <x v="2"/>
    <x v="3"/>
    <x v="0"/>
  </r>
  <r>
    <s v="Placement error (High Abn C. Assayed in rack DC, position 8, track 3)."/>
    <x v="24"/>
    <x v="2"/>
    <d v="2016-11-01T00:00:00"/>
    <d v="1899-12-30T17:24:21"/>
    <s v="Materials"/>
    <x v="6"/>
    <x v="2"/>
    <x v="3"/>
    <x v="0"/>
  </r>
  <r>
    <s v="Normal C. Assayed volume low."/>
    <x v="7"/>
    <x v="1"/>
    <d v="2016-11-01T00:00:00"/>
    <d v="1899-12-30T17:24:51"/>
    <s v="Materials"/>
    <x v="6"/>
    <x v="3"/>
    <x v="4"/>
    <x v="0"/>
  </r>
  <r>
    <s v="Non-identified Material in rack DC position 6, track 1."/>
    <x v="27"/>
    <x v="2"/>
    <d v="2016-11-01T00:00:00"/>
    <d v="1899-12-30T17:28:05"/>
    <s v="Materials"/>
    <x v="6"/>
    <x v="2"/>
    <x v="3"/>
    <x v="0"/>
  </r>
  <r>
    <s v="Non-identified Material in rack DC position 8, track 1."/>
    <x v="27"/>
    <x v="2"/>
    <d v="2016-11-01T00:00:00"/>
    <d v="1899-12-30T17:28:05"/>
    <s v="Materials"/>
    <x v="6"/>
    <x v="2"/>
    <x v="3"/>
    <x v="0"/>
  </r>
  <r>
    <s v="Non-identified Sample in rack 11 position 1, track 6."/>
    <x v="12"/>
    <x v="2"/>
    <d v="2016-11-01T00:00:00"/>
    <d v="1899-12-30T17:29:34"/>
    <s v="Materials"/>
    <x v="6"/>
    <x v="4"/>
    <x v="7"/>
    <x v="1"/>
  </r>
  <r>
    <s v="Analyzer Status changed from Ready to Busy."/>
    <x v="0"/>
    <x v="0"/>
    <d v="2016-11-01T00:00:00"/>
    <d v="1899-12-30T17:30:32"/>
    <s v="Analyzer"/>
    <x v="6"/>
    <x v="0"/>
    <x v="0"/>
    <x v="0"/>
  </r>
  <r>
    <s v="Analyzer Status changed from Busy to Ready."/>
    <x v="0"/>
    <x v="0"/>
    <d v="2016-11-01T00:00:00"/>
    <d v="1899-12-30T17:33:28"/>
    <s v="Analyzer"/>
    <x v="6"/>
    <x v="0"/>
    <x v="0"/>
    <x v="0"/>
  </r>
  <r>
    <s v="Analyzer Status changed from Ready to Maintenance."/>
    <x v="0"/>
    <x v="0"/>
    <d v="2016-11-01T00:00:00"/>
    <d v="1899-12-30T17:33:28"/>
    <s v="Analyzer"/>
    <x v="6"/>
    <x v="0"/>
    <x v="0"/>
    <x v="0"/>
  </r>
  <r>
    <s v="Automatic maintenance activity Automatic Routine Clean for all Probes has been executed."/>
    <x v="2"/>
    <x v="0"/>
    <d v="2016-11-01T00:00:00"/>
    <d v="1899-12-30T17:33:53"/>
    <s v="Maintenance"/>
    <x v="6"/>
    <x v="2"/>
    <x v="2"/>
    <x v="0"/>
  </r>
  <r>
    <s v="Analyzer Status changed from Maintenance to Ready."/>
    <x v="0"/>
    <x v="0"/>
    <d v="2016-11-01T00:00:00"/>
    <d v="1899-12-30T17:33:54"/>
    <s v="Analyzer"/>
    <x v="6"/>
    <x v="0"/>
    <x v="0"/>
    <x v="0"/>
  </r>
  <r>
    <s v="Non-identified Sample in rack 11 position 1, track 5."/>
    <x v="12"/>
    <x v="2"/>
    <d v="2016-11-01T00:00:00"/>
    <d v="1899-12-30T17:38:59"/>
    <s v="Materials"/>
    <x v="6"/>
    <x v="4"/>
    <x v="7"/>
    <x v="1"/>
  </r>
  <r>
    <s v="Non-identified Sample in rack 11 position 2, track 5."/>
    <x v="12"/>
    <x v="2"/>
    <d v="2016-11-01T00:00:00"/>
    <d v="1899-12-30T17:38:59"/>
    <s v="Materials"/>
    <x v="6"/>
    <x v="4"/>
    <x v="7"/>
    <x v="1"/>
  </r>
  <r>
    <s v="Non-identified Sample in rack 11 position 3, track 5."/>
    <x v="12"/>
    <x v="2"/>
    <d v="2016-11-01T00:00:00"/>
    <d v="1899-12-30T17:38:59"/>
    <s v="Materials"/>
    <x v="6"/>
    <x v="4"/>
    <x v="7"/>
    <x v="1"/>
  </r>
  <r>
    <s v="Non-identified Sample in rack 11 position 4, track 5."/>
    <x v="12"/>
    <x v="2"/>
    <d v="2016-11-01T00:00:00"/>
    <d v="1899-12-30T17:38:59"/>
    <s v="Materials"/>
    <x v="6"/>
    <x v="4"/>
    <x v="7"/>
    <x v="1"/>
  </r>
  <r>
    <s v="Non-identified Sample in rack 11 position 5, track 5."/>
    <x v="12"/>
    <x v="2"/>
    <d v="2016-11-01T00:00:00"/>
    <d v="1899-12-30T17:38:59"/>
    <s v="Materials"/>
    <x v="6"/>
    <x v="4"/>
    <x v="7"/>
    <x v="1"/>
  </r>
  <r>
    <s v="Non-identified Sample in rack 11 position 6, track 5."/>
    <x v="12"/>
    <x v="2"/>
    <d v="2016-11-01T00:00:00"/>
    <d v="1899-12-30T17:38:59"/>
    <s v="Materials"/>
    <x v="6"/>
    <x v="4"/>
    <x v="7"/>
    <x v="1"/>
  </r>
  <r>
    <s v="Non-identified Sample in rack 11 position 1, track 5."/>
    <x v="12"/>
    <x v="2"/>
    <d v="2016-11-01T00:00:00"/>
    <d v="1899-12-30T17:39:09"/>
    <s v="Materials"/>
    <x v="6"/>
    <x v="4"/>
    <x v="7"/>
    <x v="1"/>
  </r>
  <r>
    <s v="Analyzer Status changed from Ready to Busy."/>
    <x v="0"/>
    <x v="0"/>
    <d v="2016-11-01T00:00:00"/>
    <d v="1899-12-30T17:39:24"/>
    <s v="Analyzer"/>
    <x v="6"/>
    <x v="0"/>
    <x v="0"/>
    <x v="0"/>
  </r>
  <r>
    <s v="Non-identified Sample in rack 11 position 2, track 5."/>
    <x v="12"/>
    <x v="2"/>
    <d v="2016-11-01T00:00:00"/>
    <d v="1899-12-30T17:39:33"/>
    <s v="Materials"/>
    <x v="6"/>
    <x v="4"/>
    <x v="7"/>
    <x v="1"/>
  </r>
  <r>
    <s v="Non-identified Sample in rack 11 position 3, track 5."/>
    <x v="12"/>
    <x v="2"/>
    <d v="2016-11-01T00:00:00"/>
    <d v="1899-12-30T17:40:05"/>
    <s v="Materials"/>
    <x v="6"/>
    <x v="4"/>
    <x v="7"/>
    <x v="1"/>
  </r>
  <r>
    <s v="Non-identified Sample in rack 11 position 4, track 5."/>
    <x v="12"/>
    <x v="2"/>
    <d v="2016-11-01T00:00:00"/>
    <d v="1899-12-30T17:40:27"/>
    <s v="Materials"/>
    <x v="6"/>
    <x v="4"/>
    <x v="7"/>
    <x v="1"/>
  </r>
  <r>
    <s v="Non-identified Sample in rack 11 position 5, track 5."/>
    <x v="12"/>
    <x v="2"/>
    <d v="2016-11-01T00:00:00"/>
    <d v="1899-12-30T17:40:41"/>
    <s v="Materials"/>
    <x v="6"/>
    <x v="4"/>
    <x v="7"/>
    <x v="1"/>
  </r>
  <r>
    <s v="Non-identified Sample in rack 11 position 6, track 5."/>
    <x v="12"/>
    <x v="2"/>
    <d v="2016-11-01T00:00:00"/>
    <d v="1899-12-30T17:41:00"/>
    <s v="Materials"/>
    <x v="6"/>
    <x v="4"/>
    <x v="7"/>
    <x v="1"/>
  </r>
  <r>
    <s v="Analyzer Status changed from Busy to Ready."/>
    <x v="0"/>
    <x v="0"/>
    <d v="2016-11-01T00:00:00"/>
    <d v="1899-12-30T17:47:57"/>
    <s v="Analyzer"/>
    <x v="6"/>
    <x v="0"/>
    <x v="0"/>
    <x v="0"/>
  </r>
  <r>
    <s v="Analyzer Status changed from Ready to Maintenance."/>
    <x v="0"/>
    <x v="0"/>
    <d v="2016-11-01T00:00:00"/>
    <d v="1899-12-30T17:47:57"/>
    <s v="Analyzer"/>
    <x v="6"/>
    <x v="0"/>
    <x v="0"/>
    <x v="0"/>
  </r>
  <r>
    <s v="Analyzer Status changed from Maintenance to Ready."/>
    <x v="0"/>
    <x v="0"/>
    <d v="2016-11-01T00:00:00"/>
    <d v="1899-12-30T17:48:29"/>
    <s v="Analyzer"/>
    <x v="6"/>
    <x v="0"/>
    <x v="0"/>
    <x v="0"/>
  </r>
  <r>
    <s v="Automatic maintenance activity Automatic Routine Clean for all Probes has been executed."/>
    <x v="2"/>
    <x v="0"/>
    <d v="2016-11-01T00:00:00"/>
    <d v="1899-12-30T17:48:29"/>
    <s v="Maintenance"/>
    <x v="6"/>
    <x v="2"/>
    <x v="2"/>
    <x v="0"/>
  </r>
  <r>
    <s v="Non-identified Sample in rack 05 position 1, track 12."/>
    <x v="12"/>
    <x v="2"/>
    <d v="2016-11-01T00:00:00"/>
    <d v="1899-12-30T17:56:19"/>
    <s v="Materials"/>
    <x v="6"/>
    <x v="4"/>
    <x v="7"/>
    <x v="1"/>
  </r>
  <r>
    <s v="Analyzer Status changed from Ready to Busy."/>
    <x v="0"/>
    <x v="0"/>
    <d v="2016-11-01T00:00:00"/>
    <d v="1899-12-30T17:56:26"/>
    <s v="Analyzer"/>
    <x v="6"/>
    <x v="0"/>
    <x v="0"/>
    <x v="0"/>
  </r>
  <r>
    <s v="Analyzer Status changed from Busy to Ready."/>
    <x v="0"/>
    <x v="0"/>
    <d v="2016-11-01T00:00:00"/>
    <d v="1899-12-30T17:59:27"/>
    <s v="Analyzer"/>
    <x v="6"/>
    <x v="0"/>
    <x v="0"/>
    <x v="0"/>
  </r>
  <r>
    <s v="Analyzer Status changed from Ready to Maintenance."/>
    <x v="0"/>
    <x v="0"/>
    <d v="2016-11-01T00:00:00"/>
    <d v="1899-12-30T17:59:27"/>
    <s v="Analyzer"/>
    <x v="6"/>
    <x v="0"/>
    <x v="0"/>
    <x v="0"/>
  </r>
  <r>
    <s v="Analyzer Status changed from Maintenance to Ready."/>
    <x v="0"/>
    <x v="0"/>
    <d v="2016-11-01T00:00:00"/>
    <d v="1899-12-30T17:59:52"/>
    <s v="Analyzer"/>
    <x v="6"/>
    <x v="0"/>
    <x v="0"/>
    <x v="0"/>
  </r>
  <r>
    <s v="Automatic maintenance activity Automatic Routine Clean for all Probes has been executed."/>
    <x v="2"/>
    <x v="0"/>
    <d v="2016-11-01T00:00:00"/>
    <d v="1899-12-30T17:59:52"/>
    <s v="Maintenance"/>
    <x v="6"/>
    <x v="2"/>
    <x v="2"/>
    <x v="0"/>
  </r>
  <r>
    <s v="Analyzer Status changed from Ready to Busy."/>
    <x v="0"/>
    <x v="0"/>
    <d v="2016-11-01T00:00:00"/>
    <d v="1899-12-30T18:10:02"/>
    <s v="Analyzer"/>
    <x v="6"/>
    <x v="0"/>
    <x v="0"/>
    <x v="0"/>
  </r>
  <r>
    <s v="Analyzer Status changed from Busy to Ready."/>
    <x v="0"/>
    <x v="0"/>
    <d v="2016-11-01T00:00:00"/>
    <d v="1899-12-30T18:13:55"/>
    <s v="Analyzer"/>
    <x v="6"/>
    <x v="0"/>
    <x v="0"/>
    <x v="0"/>
  </r>
  <r>
    <s v="Analyzer Status changed from Ready to Maintenance."/>
    <x v="0"/>
    <x v="0"/>
    <d v="2016-11-01T00:00:00"/>
    <d v="1899-12-30T18:13:56"/>
    <s v="Analyzer"/>
    <x v="6"/>
    <x v="0"/>
    <x v="0"/>
    <x v="0"/>
  </r>
  <r>
    <s v="Analyzer Status changed from Maintenance to Ready."/>
    <x v="0"/>
    <x v="0"/>
    <d v="2016-11-01T00:00:00"/>
    <d v="1899-12-30T18:14:22"/>
    <s v="Analyzer"/>
    <x v="6"/>
    <x v="0"/>
    <x v="0"/>
    <x v="0"/>
  </r>
  <r>
    <s v="Automatic maintenance activity Automatic Routine Clean for all Probes has been executed."/>
    <x v="2"/>
    <x v="0"/>
    <d v="2016-11-01T00:00:00"/>
    <d v="1899-12-30T18:14:22"/>
    <s v="Maintenance"/>
    <x v="6"/>
    <x v="2"/>
    <x v="2"/>
    <x v="0"/>
  </r>
  <r>
    <s v="Analyzer Status changed from Ready to Busy."/>
    <x v="0"/>
    <x v="0"/>
    <d v="2016-11-01T00:00:00"/>
    <d v="1899-12-30T18:15:39"/>
    <s v="Analyzer"/>
    <x v="6"/>
    <x v="0"/>
    <x v="0"/>
    <x v="0"/>
  </r>
  <r>
    <s v="Analyzer Status changed from Busy to Ready."/>
    <x v="0"/>
    <x v="0"/>
    <d v="2016-11-01T00:00:00"/>
    <d v="1899-12-30T18:24:23"/>
    <s v="Analyzer"/>
    <x v="6"/>
    <x v="0"/>
    <x v="0"/>
    <x v="0"/>
  </r>
  <r>
    <s v="Analyzer Status changed from Ready to Maintenance."/>
    <x v="0"/>
    <x v="0"/>
    <d v="2016-11-01T00:00:00"/>
    <d v="1899-12-30T18:24:23"/>
    <s v="Analyzer"/>
    <x v="6"/>
    <x v="0"/>
    <x v="0"/>
    <x v="0"/>
  </r>
  <r>
    <s v="Analyzer Status changed from Maintenance to Ready."/>
    <x v="0"/>
    <x v="0"/>
    <d v="2016-11-01T00:00:00"/>
    <d v="1899-12-30T18:24:48"/>
    <s v="Analyzer"/>
    <x v="6"/>
    <x v="0"/>
    <x v="0"/>
    <x v="0"/>
  </r>
  <r>
    <s v="Automatic maintenance activity Automatic Routine Clean for all Probes has been executed."/>
    <x v="2"/>
    <x v="0"/>
    <d v="2016-11-01T00:00:00"/>
    <d v="1899-12-30T18:24:48"/>
    <s v="Maintenance"/>
    <x v="6"/>
    <x v="2"/>
    <x v="2"/>
    <x v="0"/>
  </r>
  <r>
    <s v="Analyzer Status changed from Ready to Busy."/>
    <x v="0"/>
    <x v="0"/>
    <d v="2016-11-01T00:00:00"/>
    <d v="1899-12-30T18:42:02"/>
    <s v="Analyzer"/>
    <x v="6"/>
    <x v="0"/>
    <x v="0"/>
    <x v="0"/>
  </r>
  <r>
    <s v="Analyzer Status changed from Busy to Ready."/>
    <x v="0"/>
    <x v="0"/>
    <d v="2016-11-01T00:00:00"/>
    <d v="1899-12-30T18:56:31"/>
    <s v="Analyzer"/>
    <x v="6"/>
    <x v="0"/>
    <x v="0"/>
    <x v="0"/>
  </r>
  <r>
    <s v="Analyzer Status changed from Ready to Maintenance."/>
    <x v="0"/>
    <x v="0"/>
    <d v="2016-11-01T00:00:00"/>
    <d v="1899-12-30T18:56:31"/>
    <s v="Analyzer"/>
    <x v="6"/>
    <x v="0"/>
    <x v="0"/>
    <x v="0"/>
  </r>
  <r>
    <s v="Analyzer Status changed from Maintenance to Ready."/>
    <x v="0"/>
    <x v="0"/>
    <d v="2016-11-01T00:00:00"/>
    <d v="1899-12-30T18:57:02"/>
    <s v="Analyzer"/>
    <x v="6"/>
    <x v="0"/>
    <x v="0"/>
    <x v="0"/>
  </r>
  <r>
    <s v="Automatic maintenance activity Automatic Routine Clean for all Probes has been executed."/>
    <x v="2"/>
    <x v="0"/>
    <d v="2016-11-01T00:00:00"/>
    <d v="1899-12-30T18:57:02"/>
    <s v="Maintenance"/>
    <x v="6"/>
    <x v="2"/>
    <x v="2"/>
    <x v="0"/>
  </r>
  <r>
    <s v="Analyzer Status changed from Ready to Busy."/>
    <x v="0"/>
    <x v="0"/>
    <d v="2016-11-01T00:00:00"/>
    <d v="1899-12-30T19:01:08"/>
    <s v="Analyzer"/>
    <x v="6"/>
    <x v="0"/>
    <x v="0"/>
    <x v="0"/>
  </r>
  <r>
    <s v="Non-identified Sample in rack 02 position 6, track 8."/>
    <x v="12"/>
    <x v="2"/>
    <d v="2016-11-01T00:00:00"/>
    <d v="1899-12-30T19:02:33"/>
    <s v="Materials"/>
    <x v="6"/>
    <x v="4"/>
    <x v="7"/>
    <x v="1"/>
  </r>
  <r>
    <s v="Non-identified Sample in rack 01 position 2, track 11."/>
    <x v="12"/>
    <x v="2"/>
    <d v="2016-11-01T00:00:00"/>
    <d v="1899-12-30T19:09:18"/>
    <s v="Materials"/>
    <x v="6"/>
    <x v="4"/>
    <x v="7"/>
    <x v="1"/>
  </r>
  <r>
    <s v="Analyzer Status changed from Busy to Ready."/>
    <x v="0"/>
    <x v="0"/>
    <d v="2016-11-01T00:00:00"/>
    <d v="1899-12-30T19:15:39"/>
    <s v="Analyzer"/>
    <x v="6"/>
    <x v="0"/>
    <x v="0"/>
    <x v="0"/>
  </r>
  <r>
    <s v="Analyzer Status changed from Ready to Maintenance."/>
    <x v="0"/>
    <x v="0"/>
    <d v="2016-11-01T00:00:00"/>
    <d v="1899-12-30T19:15:40"/>
    <s v="Analyzer"/>
    <x v="6"/>
    <x v="0"/>
    <x v="0"/>
    <x v="0"/>
  </r>
  <r>
    <s v="Analyzer Status changed from Maintenance to Ready."/>
    <x v="0"/>
    <x v="0"/>
    <d v="2016-11-01T00:00:00"/>
    <d v="1899-12-30T19:16:04"/>
    <s v="Analyzer"/>
    <x v="6"/>
    <x v="0"/>
    <x v="0"/>
    <x v="0"/>
  </r>
  <r>
    <s v="Automatic maintenance activity Automatic Routine Clean for all Probes has been executed."/>
    <x v="2"/>
    <x v="0"/>
    <d v="2016-11-01T00:00:00"/>
    <d v="1899-12-30T19:16:04"/>
    <s v="Maintenance"/>
    <x v="6"/>
    <x v="2"/>
    <x v="2"/>
    <x v="0"/>
  </r>
  <r>
    <s v="Calibration of Fib-C H validated."/>
    <x v="59"/>
    <x v="0"/>
    <d v="2016-11-01T00:00:00"/>
    <d v="1899-12-30T19:16:06"/>
    <s v="JobFrequency"/>
    <x v="6"/>
    <x v="2"/>
    <x v="5"/>
    <x v="0"/>
  </r>
  <r>
    <s v="Calibration of Fib-C H validated."/>
    <x v="59"/>
    <x v="0"/>
    <d v="2016-11-01T00:00:00"/>
    <d v="1899-12-30T19:16:15"/>
    <s v="JobFrequency"/>
    <x v="6"/>
    <x v="2"/>
    <x v="5"/>
    <x v="0"/>
  </r>
  <r>
    <s v="Calibration of Fib-C H validated."/>
    <x v="59"/>
    <x v="0"/>
    <d v="2016-11-01T00:00:00"/>
    <d v="1899-12-30T19:16:28"/>
    <s v="JobFrequency"/>
    <x v="6"/>
    <x v="2"/>
    <x v="5"/>
    <x v="0"/>
  </r>
  <r>
    <s v="Analyzer Status changed from Ready to Busy."/>
    <x v="0"/>
    <x v="0"/>
    <d v="2016-11-01T00:00:00"/>
    <d v="1899-12-30T19:17:18"/>
    <s v="Analyzer"/>
    <x v="6"/>
    <x v="0"/>
    <x v="0"/>
    <x v="0"/>
  </r>
  <r>
    <s v="Non-identified Sample in rack 07 position 2, track 9."/>
    <x v="12"/>
    <x v="2"/>
    <d v="2016-11-01T00:00:00"/>
    <d v="1899-12-30T19:18:52"/>
    <s v="Materials"/>
    <x v="6"/>
    <x v="4"/>
    <x v="7"/>
    <x v="1"/>
  </r>
  <r>
    <s v="Anti Chromogenic Sub volume low."/>
    <x v="7"/>
    <x v="1"/>
    <d v="2016-11-01T00:00:00"/>
    <d v="1899-12-30T19:23:54"/>
    <s v="Materials"/>
    <x v="6"/>
    <x v="3"/>
    <x v="4"/>
    <x v="0"/>
  </r>
  <r>
    <s v="Analyzer Status changed from Busy to Ready."/>
    <x v="0"/>
    <x v="0"/>
    <d v="2016-11-01T00:00:00"/>
    <d v="1899-12-30T19:28:48"/>
    <s v="Analyzer"/>
    <x v="6"/>
    <x v="0"/>
    <x v="0"/>
    <x v="0"/>
  </r>
  <r>
    <s v="Analyzer Status changed from Ready to Maintenance."/>
    <x v="0"/>
    <x v="0"/>
    <d v="2016-11-01T00:00:00"/>
    <d v="1899-12-30T19:28:49"/>
    <s v="Analyzer"/>
    <x v="6"/>
    <x v="0"/>
    <x v="0"/>
    <x v="0"/>
  </r>
  <r>
    <s v="Analyzer Status changed from Maintenance to Ready."/>
    <x v="0"/>
    <x v="0"/>
    <d v="2016-11-01T00:00:00"/>
    <d v="1899-12-30T19:29:15"/>
    <s v="Analyzer"/>
    <x v="6"/>
    <x v="0"/>
    <x v="0"/>
    <x v="0"/>
  </r>
  <r>
    <s v="Automatic maintenance activity Automatic Routine Clean for all Probes has been executed."/>
    <x v="2"/>
    <x v="0"/>
    <d v="2016-11-01T00:00:00"/>
    <d v="1899-12-30T19:29:15"/>
    <s v="Maintenance"/>
    <x v="6"/>
    <x v="2"/>
    <x v="2"/>
    <x v="0"/>
  </r>
  <r>
    <s v="Analyzer Status changed from Ready to Busy."/>
    <x v="0"/>
    <x v="0"/>
    <d v="2016-11-01T00:00:00"/>
    <d v="1899-12-30T19:36:45"/>
    <s v="Analyzer"/>
    <x v="6"/>
    <x v="0"/>
    <x v="0"/>
    <x v="0"/>
  </r>
  <r>
    <s v="Analyzer Status changed from Busy to Ready."/>
    <x v="0"/>
    <x v="0"/>
    <d v="2016-11-01T00:00:00"/>
    <d v="1899-12-30T19:39:37"/>
    <s v="Analyzer"/>
    <x v="6"/>
    <x v="0"/>
    <x v="0"/>
    <x v="0"/>
  </r>
  <r>
    <s v="Analyzer Status changed from Ready to Maintenance."/>
    <x v="0"/>
    <x v="0"/>
    <d v="2016-11-01T00:00:00"/>
    <d v="1899-12-30T19:39:37"/>
    <s v="Analyzer"/>
    <x v="6"/>
    <x v="0"/>
    <x v="0"/>
    <x v="0"/>
  </r>
  <r>
    <s v="Automatic maintenance activity Automatic Routine Clean for all Probes has been executed."/>
    <x v="2"/>
    <x v="0"/>
    <d v="2016-11-01T00:00:00"/>
    <d v="1899-12-30T19:40:01"/>
    <s v="Maintenance"/>
    <x v="6"/>
    <x v="2"/>
    <x v="2"/>
    <x v="0"/>
  </r>
  <r>
    <s v="Analyzer Status changed from Maintenance to Ready."/>
    <x v="0"/>
    <x v="0"/>
    <d v="2016-11-01T00:00:00"/>
    <d v="1899-12-30T19:40:02"/>
    <s v="Analyzer"/>
    <x v="6"/>
    <x v="0"/>
    <x v="0"/>
    <x v="0"/>
  </r>
  <r>
    <s v="Analyzer Status changed from Ready to Busy."/>
    <x v="0"/>
    <x v="0"/>
    <d v="2016-11-01T00:00:00"/>
    <d v="1899-12-30T20:20:10"/>
    <s v="Analyzer"/>
    <x v="6"/>
    <x v="0"/>
    <x v="0"/>
    <x v="0"/>
  </r>
  <r>
    <s v="Analyzer Status changed from Busy to Ready."/>
    <x v="0"/>
    <x v="0"/>
    <d v="2016-11-01T00:00:00"/>
    <d v="1899-12-30T20:26:07"/>
    <s v="Analyzer"/>
    <x v="6"/>
    <x v="0"/>
    <x v="0"/>
    <x v="0"/>
  </r>
  <r>
    <s v="Analyzer Status changed from Ready to Maintenance."/>
    <x v="0"/>
    <x v="0"/>
    <d v="2016-11-01T00:00:00"/>
    <d v="1899-12-30T20:26:07"/>
    <s v="Analyzer"/>
    <x v="6"/>
    <x v="0"/>
    <x v="0"/>
    <x v="0"/>
  </r>
  <r>
    <s v="Analyzer Status changed from Maintenance to Ready."/>
    <x v="0"/>
    <x v="0"/>
    <d v="2016-11-01T00:00:00"/>
    <d v="1899-12-30T20:26:32"/>
    <s v="Analyzer"/>
    <x v="6"/>
    <x v="0"/>
    <x v="0"/>
    <x v="0"/>
  </r>
  <r>
    <s v="Automatic maintenance activity Automatic Routine Clean for all Probes has been executed."/>
    <x v="2"/>
    <x v="0"/>
    <d v="2016-11-01T00:00:00"/>
    <d v="1899-12-30T20:26:32"/>
    <s v="Maintenance"/>
    <x v="6"/>
    <x v="2"/>
    <x v="2"/>
    <x v="0"/>
  </r>
  <r>
    <s v="Analyzer Status changed from Ready to Busy."/>
    <x v="0"/>
    <x v="0"/>
    <d v="2016-11-01T00:00:00"/>
    <d v="1899-12-30T20:32:49"/>
    <s v="Analyzer"/>
    <x v="6"/>
    <x v="0"/>
    <x v="0"/>
    <x v="0"/>
  </r>
  <r>
    <s v="Anti Factor Xa Rgt. volume low."/>
    <x v="7"/>
    <x v="1"/>
    <d v="2016-11-01T00:00:00"/>
    <d v="1899-12-30T20:34:38"/>
    <s v="Materials"/>
    <x v="6"/>
    <x v="3"/>
    <x v="4"/>
    <x v="0"/>
  </r>
  <r>
    <s v="Analyzer Status changed from Busy to Ready."/>
    <x v="0"/>
    <x v="0"/>
    <d v="2016-11-01T00:00:00"/>
    <d v="1899-12-30T20:36:43"/>
    <s v="Analyzer"/>
    <x v="6"/>
    <x v="0"/>
    <x v="0"/>
    <x v="0"/>
  </r>
  <r>
    <s v="Analyzer Status changed from Ready to Maintenance."/>
    <x v="0"/>
    <x v="0"/>
    <d v="2016-11-01T00:00:00"/>
    <d v="1899-12-30T20:36:44"/>
    <s v="Analyzer"/>
    <x v="6"/>
    <x v="0"/>
    <x v="0"/>
    <x v="0"/>
  </r>
  <r>
    <s v="Analyzer Status changed from Maintenance to Ready."/>
    <x v="0"/>
    <x v="0"/>
    <d v="2016-11-01T00:00:00"/>
    <d v="1899-12-30T20:37:10"/>
    <s v="Analyzer"/>
    <x v="6"/>
    <x v="0"/>
    <x v="0"/>
    <x v="0"/>
  </r>
  <r>
    <s v="Automatic maintenance activity Automatic Routine Clean for all Probes has been executed."/>
    <x v="2"/>
    <x v="0"/>
    <d v="2016-11-01T00:00:00"/>
    <d v="1899-12-30T20:37:10"/>
    <s v="Maintenance"/>
    <x v="6"/>
    <x v="2"/>
    <x v="2"/>
    <x v="0"/>
  </r>
  <r>
    <s v="Analyzer Status changed from Ready to Maintenance."/>
    <x v="0"/>
    <x v="0"/>
    <d v="2016-11-01T00:00:00"/>
    <d v="1899-12-30T21:37:10"/>
    <s v="Analyzer"/>
    <x v="6"/>
    <x v="0"/>
    <x v="0"/>
    <x v="0"/>
  </r>
  <r>
    <s v="Analyzer Status changed from Maintenance to Ready."/>
    <x v="0"/>
    <x v="0"/>
    <d v="2016-11-01T00:00:00"/>
    <d v="1899-12-30T21:37:32"/>
    <s v="Analyzer"/>
    <x v="6"/>
    <x v="0"/>
    <x v="0"/>
    <x v="0"/>
  </r>
  <r>
    <s v="Automatic maintenance activity Automatic Fluidic Line Priming Cycle has been executed."/>
    <x v="2"/>
    <x v="0"/>
    <d v="2016-11-01T00:00:00"/>
    <d v="1899-12-30T21:37:32"/>
    <s v="Maintenance"/>
    <x v="6"/>
    <x v="2"/>
    <x v="2"/>
    <x v="0"/>
  </r>
  <r>
    <s v="Analyzer Status changed from Ready to Maintenance."/>
    <x v="0"/>
    <x v="0"/>
    <d v="2016-11-01T00:00:00"/>
    <d v="1899-12-30T22:37:33"/>
    <s v="Analyzer"/>
    <x v="6"/>
    <x v="0"/>
    <x v="0"/>
    <x v="0"/>
  </r>
  <r>
    <s v="Analyzer Status changed from Maintenance to Ready."/>
    <x v="0"/>
    <x v="0"/>
    <d v="2016-11-01T00:00:00"/>
    <d v="1899-12-30T22:37:54"/>
    <s v="Analyzer"/>
    <x v="6"/>
    <x v="0"/>
    <x v="0"/>
    <x v="0"/>
  </r>
  <r>
    <s v="Automatic maintenance activity Automatic Fluidic Line Priming Cycle has been executed."/>
    <x v="2"/>
    <x v="0"/>
    <d v="2016-11-01T00:00:00"/>
    <d v="1899-12-30T22:37:54"/>
    <s v="Maintenance"/>
    <x v="6"/>
    <x v="2"/>
    <x v="2"/>
    <x v="0"/>
  </r>
  <r>
    <s v="Analyzer Status changed from Ready to Busy."/>
    <x v="0"/>
    <x v="0"/>
    <d v="2016-11-01T00:00:00"/>
    <d v="1899-12-30T22:38:14"/>
    <s v="Analyzer"/>
    <x v="6"/>
    <x v="0"/>
    <x v="0"/>
    <x v="0"/>
  </r>
  <r>
    <s v="Analyzer Status changed from Busy to Ready."/>
    <x v="0"/>
    <x v="0"/>
    <d v="2016-11-01T00:00:00"/>
    <d v="1899-12-30T22:43:57"/>
    <s v="Analyzer"/>
    <x v="6"/>
    <x v="0"/>
    <x v="0"/>
    <x v="0"/>
  </r>
  <r>
    <s v="Analyzer Status changed from Ready to Maintenance."/>
    <x v="0"/>
    <x v="0"/>
    <d v="2016-11-01T00:00:00"/>
    <d v="1899-12-30T22:43:57"/>
    <s v="Analyzer"/>
    <x v="6"/>
    <x v="0"/>
    <x v="0"/>
    <x v="0"/>
  </r>
  <r>
    <s v="Analyzer Status changed from Maintenance to Ready."/>
    <x v="0"/>
    <x v="0"/>
    <d v="2016-11-01T00:00:00"/>
    <d v="1899-12-30T22:45:03"/>
    <s v="Analyzer"/>
    <x v="6"/>
    <x v="0"/>
    <x v="0"/>
    <x v="0"/>
  </r>
  <r>
    <s v="Automatic maintenance activity Automatic Routine Clean for all Probes has been executed."/>
    <x v="2"/>
    <x v="0"/>
    <d v="2016-11-01T00:00:00"/>
    <d v="1899-12-30T22:45:03"/>
    <s v="Maintenance"/>
    <x v="6"/>
    <x v="2"/>
    <x v="2"/>
    <x v="0"/>
  </r>
  <r>
    <s v="Non-identified Sample in rack 12 position 2, track 10."/>
    <x v="12"/>
    <x v="2"/>
    <d v="2016-11-01T00:00:00"/>
    <d v="1899-12-30T22:49:46"/>
    <s v="Materials"/>
    <x v="6"/>
    <x v="4"/>
    <x v="7"/>
    <x v="1"/>
  </r>
  <r>
    <s v="Analyzer Status changed from Ready to Busy."/>
    <x v="0"/>
    <x v="0"/>
    <d v="2016-11-01T00:00:00"/>
    <d v="1899-12-30T22:50:08"/>
    <s v="Analyzer"/>
    <x v="6"/>
    <x v="0"/>
    <x v="0"/>
    <x v="0"/>
  </r>
  <r>
    <s v="Analyzer Status changed from Busy to Ready."/>
    <x v="0"/>
    <x v="0"/>
    <d v="2016-11-01T00:00:00"/>
    <d v="1899-12-30T22:56:30"/>
    <s v="Analyzer"/>
    <x v="6"/>
    <x v="0"/>
    <x v="0"/>
    <x v="0"/>
  </r>
  <r>
    <s v="Analyzer Status changed from Ready to Maintenance."/>
    <x v="0"/>
    <x v="0"/>
    <d v="2016-11-01T00:00:00"/>
    <d v="1899-12-30T22:56:30"/>
    <s v="Analyzer"/>
    <x v="6"/>
    <x v="0"/>
    <x v="0"/>
    <x v="0"/>
  </r>
  <r>
    <s v="Analyzer Status changed from Maintenance to Ready."/>
    <x v="0"/>
    <x v="0"/>
    <d v="2016-11-01T00:00:00"/>
    <d v="1899-12-30T22:56:57"/>
    <s v="Analyzer"/>
    <x v="6"/>
    <x v="0"/>
    <x v="0"/>
    <x v="0"/>
  </r>
  <r>
    <s v="Automatic maintenance activity Automatic Routine Clean for all Probes has been executed."/>
    <x v="2"/>
    <x v="0"/>
    <d v="2016-11-01T00:00:00"/>
    <d v="1899-12-30T22:56:57"/>
    <s v="Maintenance"/>
    <x v="6"/>
    <x v="2"/>
    <x v="2"/>
    <x v="0"/>
  </r>
  <r>
    <s v="Analyzer Status changed from Ready to Busy."/>
    <x v="0"/>
    <x v="0"/>
    <d v="2016-11-01T00:00:00"/>
    <d v="1899-12-30T23:17:10"/>
    <s v="Analyzer"/>
    <x v="6"/>
    <x v="0"/>
    <x v="0"/>
    <x v="0"/>
  </r>
  <r>
    <s v="Logout by user: MJO."/>
    <x v="16"/>
    <x v="0"/>
    <d v="2016-11-01T00:00:00"/>
    <d v="1899-12-30T23:22:26"/>
    <s v="Other"/>
    <x v="6"/>
    <x v="2"/>
    <x v="5"/>
    <x v="0"/>
  </r>
  <r>
    <s v="Successful log in by user: GAY."/>
    <x v="18"/>
    <x v="0"/>
    <d v="2016-11-01T00:00:00"/>
    <d v="1899-12-30T23:23:03"/>
    <s v="Other"/>
    <x v="7"/>
    <x v="2"/>
    <x v="5"/>
    <x v="0"/>
  </r>
  <r>
    <s v="Analyzer Status changed from Busy to Ready."/>
    <x v="0"/>
    <x v="0"/>
    <d v="2016-11-01T00:00:00"/>
    <d v="1899-12-30T23:23:29"/>
    <s v="Analyzer"/>
    <x v="7"/>
    <x v="0"/>
    <x v="0"/>
    <x v="0"/>
  </r>
  <r>
    <s v="Analyzer Status changed from Ready to Maintenance."/>
    <x v="0"/>
    <x v="0"/>
    <d v="2016-11-01T00:00:00"/>
    <d v="1899-12-30T23:23:29"/>
    <s v="Analyzer"/>
    <x v="7"/>
    <x v="0"/>
    <x v="0"/>
    <x v="0"/>
  </r>
  <r>
    <s v="Analyzer Status changed from Maintenance to Ready."/>
    <x v="0"/>
    <x v="0"/>
    <d v="2016-11-01T00:00:00"/>
    <d v="1899-12-30T23:23:59"/>
    <s v="Analyzer"/>
    <x v="7"/>
    <x v="0"/>
    <x v="0"/>
    <x v="0"/>
  </r>
  <r>
    <s v="Automatic maintenance activity Automatic Routine Clean for all Probes has been executed."/>
    <x v="2"/>
    <x v="0"/>
    <d v="2016-11-01T00:00:00"/>
    <d v="1899-12-30T23:23:59"/>
    <s v="Maintenance"/>
    <x v="7"/>
    <x v="2"/>
    <x v="2"/>
    <x v="0"/>
  </r>
  <r>
    <s v="Analyzer Status changed from Ready to Busy."/>
    <x v="0"/>
    <x v="0"/>
    <d v="2016-11-01T00:00:00"/>
    <d v="1899-12-30T23:31:39"/>
    <s v="Analyzer"/>
    <x v="7"/>
    <x v="0"/>
    <x v="0"/>
    <x v="0"/>
  </r>
  <r>
    <s v="Analyzer Status changed from Busy to Ready."/>
    <x v="0"/>
    <x v="0"/>
    <d v="2016-11-01T00:00:00"/>
    <d v="1899-12-30T23:34:37"/>
    <s v="Analyzer"/>
    <x v="7"/>
    <x v="0"/>
    <x v="0"/>
    <x v="0"/>
  </r>
  <r>
    <s v="Analyzer Status changed from Ready to Maintenance."/>
    <x v="0"/>
    <x v="0"/>
    <d v="2016-11-01T00:00:00"/>
    <d v="1899-12-30T23:34:37"/>
    <s v="Analyzer"/>
    <x v="7"/>
    <x v="0"/>
    <x v="0"/>
    <x v="0"/>
  </r>
  <r>
    <s v="Automatic maintenance activity Automatic Routine Clean for all Probes has been executed."/>
    <x v="2"/>
    <x v="0"/>
    <d v="2016-11-01T00:00:00"/>
    <d v="1899-12-30T23:35:02"/>
    <s v="Maintenance"/>
    <x v="7"/>
    <x v="2"/>
    <x v="2"/>
    <x v="0"/>
  </r>
  <r>
    <s v="Analyzer Status changed from Maintenance to Ready."/>
    <x v="0"/>
    <x v="0"/>
    <d v="2016-11-01T00:00:00"/>
    <d v="1899-12-30T23:35:03"/>
    <s v="Analyzer"/>
    <x v="7"/>
    <x v="0"/>
    <x v="0"/>
    <x v="0"/>
  </r>
  <r>
    <s v="Analyzer Status changed from Ready to Busy."/>
    <x v="0"/>
    <x v="0"/>
    <d v="2016-11-01T00:00:00"/>
    <d v="1899-12-30T23:59:27"/>
    <s v="Analyzer"/>
    <x v="7"/>
    <x v="0"/>
    <x v="0"/>
    <x v="0"/>
  </r>
  <r>
    <s v="Analyzer Status changed from Busy to Ready."/>
    <x v="0"/>
    <x v="0"/>
    <d v="2016-11-02T00:00:00"/>
    <d v="1899-12-30T00:05:55"/>
    <s v="Analyzer"/>
    <x v="7"/>
    <x v="0"/>
    <x v="0"/>
    <x v="0"/>
  </r>
  <r>
    <s v="Analyzer Status changed from Ready to Maintenance."/>
    <x v="0"/>
    <x v="0"/>
    <d v="2016-11-02T00:00:00"/>
    <d v="1899-12-30T00:05:55"/>
    <s v="Analyzer"/>
    <x v="7"/>
    <x v="0"/>
    <x v="0"/>
    <x v="0"/>
  </r>
  <r>
    <s v="Analyzer Status changed from Maintenance to Ready."/>
    <x v="0"/>
    <x v="0"/>
    <d v="2016-11-02T00:00:00"/>
    <d v="1899-12-30T00:06:21"/>
    <s v="Analyzer"/>
    <x v="7"/>
    <x v="0"/>
    <x v="0"/>
    <x v="0"/>
  </r>
  <r>
    <s v="Automatic maintenance activity Automatic Routine Clean for all Probes has been executed."/>
    <x v="2"/>
    <x v="0"/>
    <d v="2016-11-02T00:00:00"/>
    <d v="1899-12-30T00:06:21"/>
    <s v="Maintenance"/>
    <x v="7"/>
    <x v="2"/>
    <x v="2"/>
    <x v="0"/>
  </r>
  <r>
    <s v="Analyzer Status changed from Ready to Busy."/>
    <x v="0"/>
    <x v="0"/>
    <d v="2016-11-02T00:00:00"/>
    <d v="1899-12-30T00:32:50"/>
    <s v="Analyzer"/>
    <x v="7"/>
    <x v="0"/>
    <x v="0"/>
    <x v="0"/>
  </r>
  <r>
    <s v="Analyzer Status changed from Busy to Ready."/>
    <x v="0"/>
    <x v="0"/>
    <d v="2016-11-02T00:00:00"/>
    <d v="1899-12-30T00:35:41"/>
    <s v="Analyzer"/>
    <x v="7"/>
    <x v="0"/>
    <x v="0"/>
    <x v="0"/>
  </r>
  <r>
    <s v="Analyzer Status changed from Ready to Maintenance."/>
    <x v="0"/>
    <x v="0"/>
    <d v="2016-11-02T00:00:00"/>
    <d v="1899-12-30T00:35:41"/>
    <s v="Analyzer"/>
    <x v="7"/>
    <x v="0"/>
    <x v="0"/>
    <x v="0"/>
  </r>
  <r>
    <s v="Automatic maintenance activity Automatic Routine Clean for all Probes has been executed."/>
    <x v="2"/>
    <x v="0"/>
    <d v="2016-11-02T00:00:00"/>
    <d v="1899-12-30T00:36:05"/>
    <s v="Maintenance"/>
    <x v="7"/>
    <x v="2"/>
    <x v="2"/>
    <x v="0"/>
  </r>
  <r>
    <s v="Analyzer Status changed from Maintenance to Ready."/>
    <x v="0"/>
    <x v="0"/>
    <d v="2016-11-02T00:00:00"/>
    <d v="1899-12-30T00:36:06"/>
    <s v="Analyzer"/>
    <x v="7"/>
    <x v="0"/>
    <x v="0"/>
    <x v="0"/>
  </r>
  <r>
    <s v="Analyzer Status changed from Ready to Busy."/>
    <x v="0"/>
    <x v="0"/>
    <d v="2016-11-02T00:00:00"/>
    <d v="1899-12-30T00:47:39"/>
    <s v="Analyzer"/>
    <x v="7"/>
    <x v="0"/>
    <x v="0"/>
    <x v="0"/>
  </r>
  <r>
    <s v="Analyzer Status changed from Busy to Ready."/>
    <x v="0"/>
    <x v="0"/>
    <d v="2016-11-02T00:00:00"/>
    <d v="1899-12-30T00:53:49"/>
    <s v="Analyzer"/>
    <x v="7"/>
    <x v="0"/>
    <x v="0"/>
    <x v="0"/>
  </r>
  <r>
    <s v="Analyzer Status changed from Ready to Maintenance."/>
    <x v="0"/>
    <x v="0"/>
    <d v="2016-11-02T00:00:00"/>
    <d v="1899-12-30T00:53:49"/>
    <s v="Analyzer"/>
    <x v="7"/>
    <x v="0"/>
    <x v="0"/>
    <x v="0"/>
  </r>
  <r>
    <s v="Analyzer Status changed from Maintenance to Ready."/>
    <x v="0"/>
    <x v="0"/>
    <d v="2016-11-02T00:00:00"/>
    <d v="1899-12-30T00:54:16"/>
    <s v="Analyzer"/>
    <x v="7"/>
    <x v="0"/>
    <x v="0"/>
    <x v="0"/>
  </r>
  <r>
    <s v="Automatic maintenance activity Automatic Routine Clean for all Probes has been executed."/>
    <x v="2"/>
    <x v="0"/>
    <d v="2016-11-02T00:00:00"/>
    <d v="1899-12-30T00:54:16"/>
    <s v="Maintenance"/>
    <x v="7"/>
    <x v="2"/>
    <x v="2"/>
    <x v="0"/>
  </r>
  <r>
    <s v="Analyzer Status changed from Ready to Busy."/>
    <x v="0"/>
    <x v="0"/>
    <d v="2016-11-02T00:00:00"/>
    <d v="1899-12-30T01:01:31"/>
    <s v="Analyzer"/>
    <x v="7"/>
    <x v="0"/>
    <x v="0"/>
    <x v="0"/>
  </r>
  <r>
    <s v="Analyzer Status changed from Busy to Ready."/>
    <x v="0"/>
    <x v="0"/>
    <d v="2016-11-02T00:00:00"/>
    <d v="1899-12-30T01:07:51"/>
    <s v="Analyzer"/>
    <x v="7"/>
    <x v="0"/>
    <x v="0"/>
    <x v="0"/>
  </r>
  <r>
    <s v="Analyzer Status changed from Ready to Maintenance."/>
    <x v="0"/>
    <x v="0"/>
    <d v="2016-11-02T00:00:00"/>
    <d v="1899-12-30T01:07:51"/>
    <s v="Analyzer"/>
    <x v="7"/>
    <x v="0"/>
    <x v="0"/>
    <x v="0"/>
  </r>
  <r>
    <s v="Analyzer Status changed from Maintenance to Ready."/>
    <x v="0"/>
    <x v="0"/>
    <d v="2016-11-02T00:00:00"/>
    <d v="1899-12-30T01:08:16"/>
    <s v="Analyzer"/>
    <x v="7"/>
    <x v="0"/>
    <x v="0"/>
    <x v="0"/>
  </r>
  <r>
    <s v="Automatic maintenance activity Automatic Routine Clean for all Probes has been executed."/>
    <x v="2"/>
    <x v="0"/>
    <d v="2016-11-02T00:00:00"/>
    <d v="1899-12-30T01:08:16"/>
    <s v="Maintenance"/>
    <x v="7"/>
    <x v="2"/>
    <x v="2"/>
    <x v="0"/>
  </r>
  <r>
    <s v="Analyzer Status changed from Ready to Busy."/>
    <x v="0"/>
    <x v="0"/>
    <d v="2016-11-02T00:00:00"/>
    <d v="1899-12-30T01:19:55"/>
    <s v="Analyzer"/>
    <x v="7"/>
    <x v="0"/>
    <x v="0"/>
    <x v="0"/>
  </r>
  <r>
    <s v="Analyzer Status changed from Busy to Ready."/>
    <x v="0"/>
    <x v="0"/>
    <d v="2016-11-02T00:00:00"/>
    <d v="1899-12-30T01:22:47"/>
    <s v="Analyzer"/>
    <x v="7"/>
    <x v="0"/>
    <x v="0"/>
    <x v="0"/>
  </r>
  <r>
    <s v="Analyzer Status changed from Ready to Maintenance."/>
    <x v="0"/>
    <x v="0"/>
    <d v="2016-11-02T00:00:00"/>
    <d v="1899-12-30T01:22:47"/>
    <s v="Analyzer"/>
    <x v="7"/>
    <x v="0"/>
    <x v="0"/>
    <x v="0"/>
  </r>
  <r>
    <s v="Analyzer Status changed from Maintenance to Ready."/>
    <x v="0"/>
    <x v="0"/>
    <d v="2016-11-02T00:00:00"/>
    <d v="1899-12-30T01:23:12"/>
    <s v="Analyzer"/>
    <x v="7"/>
    <x v="0"/>
    <x v="0"/>
    <x v="0"/>
  </r>
  <r>
    <s v="Automatic maintenance activity Automatic Routine Clean for all Probes has been executed."/>
    <x v="2"/>
    <x v="0"/>
    <d v="2016-11-02T00:00:00"/>
    <d v="1899-12-30T01:23:12"/>
    <s v="Maintenance"/>
    <x v="7"/>
    <x v="2"/>
    <x v="2"/>
    <x v="0"/>
  </r>
  <r>
    <s v="Non-identified Sample in rack 06 position 1, track 8."/>
    <x v="12"/>
    <x v="2"/>
    <d v="2016-11-02T00:00:00"/>
    <d v="1899-12-30T02:18:15"/>
    <s v="Materials"/>
    <x v="7"/>
    <x v="4"/>
    <x v="7"/>
    <x v="1"/>
  </r>
  <r>
    <s v="Analyzer Status changed from Ready to Busy."/>
    <x v="0"/>
    <x v="0"/>
    <d v="2016-11-02T00:00:00"/>
    <d v="1899-12-30T02:18:21"/>
    <s v="Analyzer"/>
    <x v="7"/>
    <x v="0"/>
    <x v="0"/>
    <x v="0"/>
  </r>
  <r>
    <s v="Analyzer Status changed from Busy to Ready."/>
    <x v="0"/>
    <x v="0"/>
    <d v="2016-11-02T00:00:00"/>
    <d v="1899-12-30T02:21:33"/>
    <s v="Analyzer"/>
    <x v="7"/>
    <x v="0"/>
    <x v="0"/>
    <x v="0"/>
  </r>
  <r>
    <s v="Analyzer Status changed from Ready to Maintenance."/>
    <x v="0"/>
    <x v="0"/>
    <d v="2016-11-02T00:00:00"/>
    <d v="1899-12-30T02:21:33"/>
    <s v="Analyzer"/>
    <x v="7"/>
    <x v="0"/>
    <x v="0"/>
    <x v="0"/>
  </r>
  <r>
    <s v="Automatic maintenance activity Automatic Routine Clean for all Probes has been executed."/>
    <x v="2"/>
    <x v="0"/>
    <d v="2016-11-02T00:00:00"/>
    <d v="1899-12-30T02:21:59"/>
    <s v="Maintenance"/>
    <x v="7"/>
    <x v="2"/>
    <x v="2"/>
    <x v="0"/>
  </r>
  <r>
    <s v="Analyzer Status changed from Maintenance to Ready."/>
    <x v="0"/>
    <x v="0"/>
    <d v="2016-11-02T00:00:00"/>
    <d v="1899-12-30T02:22:00"/>
    <s v="Analyzer"/>
    <x v="7"/>
    <x v="0"/>
    <x v="0"/>
    <x v="0"/>
  </r>
  <r>
    <s v="Analyzer Status changed from Ready to Busy."/>
    <x v="0"/>
    <x v="0"/>
    <d v="2016-11-02T00:00:00"/>
    <d v="1899-12-30T02:34:03"/>
    <s v="Analyzer"/>
    <x v="7"/>
    <x v="0"/>
    <x v="0"/>
    <x v="0"/>
  </r>
  <r>
    <s v="Analyzer Status changed from Busy to Ready."/>
    <x v="0"/>
    <x v="0"/>
    <d v="2016-11-02T00:00:00"/>
    <d v="1899-12-30T02:45:09"/>
    <s v="Analyzer"/>
    <x v="7"/>
    <x v="0"/>
    <x v="0"/>
    <x v="0"/>
  </r>
  <r>
    <s v="Analyzer Status changed from Ready to Maintenance."/>
    <x v="0"/>
    <x v="0"/>
    <d v="2016-11-02T00:00:00"/>
    <d v="1899-12-30T02:45:09"/>
    <s v="Analyzer"/>
    <x v="7"/>
    <x v="0"/>
    <x v="0"/>
    <x v="0"/>
  </r>
  <r>
    <s v="Analyzer Status changed from Maintenance to Ready."/>
    <x v="0"/>
    <x v="0"/>
    <d v="2016-11-02T00:00:00"/>
    <d v="1899-12-30T02:45:34"/>
    <s v="Analyzer"/>
    <x v="7"/>
    <x v="0"/>
    <x v="0"/>
    <x v="0"/>
  </r>
  <r>
    <s v="Automatic maintenance activity Automatic Routine Clean for all Probes has been executed."/>
    <x v="2"/>
    <x v="0"/>
    <d v="2016-11-02T00:00:00"/>
    <d v="1899-12-30T02:45:34"/>
    <s v="Maintenance"/>
    <x v="7"/>
    <x v="2"/>
    <x v="2"/>
    <x v="0"/>
  </r>
  <r>
    <s v="Non-identified Sample in rack 01 position 1, track 11."/>
    <x v="12"/>
    <x v="2"/>
    <d v="2016-11-02T00:00:00"/>
    <d v="1899-12-30T02:53:12"/>
    <s v="Materials"/>
    <x v="7"/>
    <x v="4"/>
    <x v="7"/>
    <x v="1"/>
  </r>
  <r>
    <s v="Analyzer Status changed from Ready to Busy."/>
    <x v="0"/>
    <x v="0"/>
    <d v="2016-11-02T00:00:00"/>
    <d v="1899-12-30T02:53:17"/>
    <s v="Analyzer"/>
    <x v="7"/>
    <x v="0"/>
    <x v="0"/>
    <x v="0"/>
  </r>
  <r>
    <s v="Analyzer Status changed from Busy to Ready."/>
    <x v="0"/>
    <x v="0"/>
    <d v="2016-11-02T00:00:00"/>
    <d v="1899-12-30T02:56:10"/>
    <s v="Analyzer"/>
    <x v="7"/>
    <x v="0"/>
    <x v="0"/>
    <x v="0"/>
  </r>
  <r>
    <s v="Analyzer Status changed from Ready to Maintenance."/>
    <x v="0"/>
    <x v="0"/>
    <d v="2016-11-02T00:00:00"/>
    <d v="1899-12-30T02:56:10"/>
    <s v="Analyzer"/>
    <x v="7"/>
    <x v="0"/>
    <x v="0"/>
    <x v="0"/>
  </r>
  <r>
    <s v="Automatic maintenance activity Automatic Routine Clean for all Probes has been executed."/>
    <x v="2"/>
    <x v="0"/>
    <d v="2016-11-02T00:00:00"/>
    <d v="1899-12-30T02:56:35"/>
    <s v="Maintenance"/>
    <x v="7"/>
    <x v="2"/>
    <x v="2"/>
    <x v="0"/>
  </r>
  <r>
    <s v="Analyzer Status changed from Maintenance to Ready."/>
    <x v="0"/>
    <x v="0"/>
    <d v="2016-11-02T00:00:00"/>
    <d v="1899-12-30T02:56:36"/>
    <s v="Analyzer"/>
    <x v="7"/>
    <x v="0"/>
    <x v="0"/>
    <x v="0"/>
  </r>
  <r>
    <s v="Analyzer Status changed from Ready to Busy."/>
    <x v="0"/>
    <x v="0"/>
    <d v="2016-11-02T00:00:00"/>
    <d v="1899-12-30T03:03:19"/>
    <s v="Analyzer"/>
    <x v="7"/>
    <x v="0"/>
    <x v="0"/>
    <x v="0"/>
  </r>
  <r>
    <s v="Analyzer Status changed from Busy to Ready."/>
    <x v="0"/>
    <x v="0"/>
    <d v="2016-11-02T00:00:00"/>
    <d v="1899-12-30T03:10:43"/>
    <s v="Analyzer"/>
    <x v="7"/>
    <x v="0"/>
    <x v="0"/>
    <x v="0"/>
  </r>
  <r>
    <s v="Analyzer Status changed from Ready to Maintenance."/>
    <x v="0"/>
    <x v="0"/>
    <d v="2016-11-02T00:00:00"/>
    <d v="1899-12-30T03:10:43"/>
    <s v="Analyzer"/>
    <x v="7"/>
    <x v="0"/>
    <x v="0"/>
    <x v="0"/>
  </r>
  <r>
    <s v="Analyzer Status changed from Maintenance to Ready."/>
    <x v="0"/>
    <x v="0"/>
    <d v="2016-11-02T00:00:00"/>
    <d v="1899-12-30T03:11:08"/>
    <s v="Analyzer"/>
    <x v="7"/>
    <x v="0"/>
    <x v="0"/>
    <x v="0"/>
  </r>
  <r>
    <s v="Automatic maintenance activity Automatic Routine Clean for all Probes has been executed."/>
    <x v="2"/>
    <x v="0"/>
    <d v="2016-11-02T00:00:00"/>
    <d v="1899-12-30T03:11:08"/>
    <s v="Maintenance"/>
    <x v="7"/>
    <x v="2"/>
    <x v="2"/>
    <x v="0"/>
  </r>
  <r>
    <s v="Analyzer Status changed from Ready to Busy."/>
    <x v="0"/>
    <x v="0"/>
    <d v="2016-11-02T00:00:00"/>
    <d v="1899-12-30T03:20:59"/>
    <s v="Analyzer"/>
    <x v="7"/>
    <x v="0"/>
    <x v="0"/>
    <x v="0"/>
  </r>
  <r>
    <s v="Rinse solution level low."/>
    <x v="1"/>
    <x v="1"/>
    <d v="2016-11-02T00:00:00"/>
    <d v="1899-12-30T03:23:10"/>
    <s v="Materials"/>
    <x v="7"/>
    <x v="1"/>
    <x v="1"/>
    <x v="0"/>
  </r>
  <r>
    <s v="Fib-C volume low."/>
    <x v="7"/>
    <x v="1"/>
    <d v="2016-11-02T00:00:00"/>
    <d v="1899-12-30T03:26:05"/>
    <s v="Materials"/>
    <x v="7"/>
    <x v="3"/>
    <x v="4"/>
    <x v="0"/>
  </r>
  <r>
    <s v="Cuvette waste almost full."/>
    <x v="50"/>
    <x v="1"/>
    <d v="2016-11-02T00:00:00"/>
    <d v="1899-12-30T03:28:16"/>
    <s v="Materials"/>
    <x v="7"/>
    <x v="5"/>
    <x v="11"/>
    <x v="0"/>
  </r>
  <r>
    <s v="Analyzer Status changed from Busy to Ready."/>
    <x v="0"/>
    <x v="0"/>
    <d v="2016-11-02T00:00:00"/>
    <d v="1899-12-30T03:31:53"/>
    <s v="Analyzer"/>
    <x v="7"/>
    <x v="0"/>
    <x v="0"/>
    <x v="0"/>
  </r>
  <r>
    <s v="Analyzer Status changed from Ready to Maintenance."/>
    <x v="0"/>
    <x v="0"/>
    <d v="2016-11-02T00:00:00"/>
    <d v="1899-12-30T03:31:53"/>
    <s v="Analyzer"/>
    <x v="7"/>
    <x v="0"/>
    <x v="0"/>
    <x v="0"/>
  </r>
  <r>
    <s v="Analyzer Status changed from Maintenance to Ready."/>
    <x v="0"/>
    <x v="0"/>
    <d v="2016-11-02T00:00:00"/>
    <d v="1899-12-30T03:32:18"/>
    <s v="Analyzer"/>
    <x v="7"/>
    <x v="0"/>
    <x v="0"/>
    <x v="0"/>
  </r>
  <r>
    <s v="Automatic maintenance activity Automatic Routine Clean for all Probes has been executed."/>
    <x v="2"/>
    <x v="0"/>
    <d v="2016-11-02T00:00:00"/>
    <d v="1899-12-30T03:32:18"/>
    <s v="Maintenance"/>
    <x v="7"/>
    <x v="2"/>
    <x v="2"/>
    <x v="0"/>
  </r>
  <r>
    <s v="Analyzer Status changed from Ready to Busy."/>
    <x v="0"/>
    <x v="0"/>
    <d v="2016-11-02T00:00:00"/>
    <d v="1899-12-30T03:53:03"/>
    <s v="Analyzer"/>
    <x v="7"/>
    <x v="0"/>
    <x v="0"/>
    <x v="0"/>
  </r>
  <r>
    <s v="Analyzer Status changed from Busy to Ready."/>
    <x v="0"/>
    <x v="0"/>
    <d v="2016-11-02T00:00:00"/>
    <d v="1899-12-30T03:56:43"/>
    <s v="Analyzer"/>
    <x v="7"/>
    <x v="0"/>
    <x v="0"/>
    <x v="0"/>
  </r>
  <r>
    <s v="Analyzer Status changed from Ready to Maintenance."/>
    <x v="0"/>
    <x v="0"/>
    <d v="2016-11-02T00:00:00"/>
    <d v="1899-12-30T03:56:43"/>
    <s v="Analyzer"/>
    <x v="7"/>
    <x v="0"/>
    <x v="0"/>
    <x v="0"/>
  </r>
  <r>
    <s v="Analyzer Status changed from Maintenance to Ready."/>
    <x v="0"/>
    <x v="0"/>
    <d v="2016-11-02T00:00:00"/>
    <d v="1899-12-30T03:57:10"/>
    <s v="Analyzer"/>
    <x v="7"/>
    <x v="0"/>
    <x v="0"/>
    <x v="0"/>
  </r>
  <r>
    <s v="Automatic maintenance activity Automatic Routine Clean for all Probes has been executed."/>
    <x v="2"/>
    <x v="0"/>
    <d v="2016-11-02T00:00:00"/>
    <d v="1899-12-30T03:57:10"/>
    <s v="Maintenance"/>
    <x v="7"/>
    <x v="2"/>
    <x v="2"/>
    <x v="0"/>
  </r>
  <r>
    <s v="Analyzer Status changed from Ready to Busy."/>
    <x v="0"/>
    <x v="0"/>
    <d v="2016-11-02T00:00:00"/>
    <d v="1899-12-30T04:05:57"/>
    <s v="Analyzer"/>
    <x v="7"/>
    <x v="0"/>
    <x v="0"/>
    <x v="0"/>
  </r>
  <r>
    <s v="Analyzer Status changed from Busy to Ready."/>
    <x v="0"/>
    <x v="0"/>
    <d v="2016-11-02T00:00:00"/>
    <d v="1899-12-30T04:13:40"/>
    <s v="Analyzer"/>
    <x v="7"/>
    <x v="0"/>
    <x v="0"/>
    <x v="0"/>
  </r>
  <r>
    <s v="Analyzer Status changed from Ready to Maintenance."/>
    <x v="0"/>
    <x v="0"/>
    <d v="2016-11-02T00:00:00"/>
    <d v="1899-12-30T04:13:41"/>
    <s v="Analyzer"/>
    <x v="7"/>
    <x v="0"/>
    <x v="0"/>
    <x v="0"/>
  </r>
  <r>
    <s v="Analyzer Status changed from Maintenance to Ready."/>
    <x v="0"/>
    <x v="0"/>
    <d v="2016-11-02T00:00:00"/>
    <d v="1899-12-30T04:14:11"/>
    <s v="Analyzer"/>
    <x v="7"/>
    <x v="0"/>
    <x v="0"/>
    <x v="0"/>
  </r>
  <r>
    <s v="Automatic maintenance activity Automatic Routine Clean for all Probes has been executed."/>
    <x v="2"/>
    <x v="0"/>
    <d v="2016-11-02T00:00:00"/>
    <d v="1899-12-30T04:14:11"/>
    <s v="Maintenance"/>
    <x v="7"/>
    <x v="2"/>
    <x v="2"/>
    <x v="0"/>
  </r>
  <r>
    <s v="Cuvettes waste drawer missing."/>
    <x v="29"/>
    <x v="2"/>
    <d v="2016-11-02T00:00:00"/>
    <d v="1899-12-30T04:21:15"/>
    <s v="Materials"/>
    <x v="7"/>
    <x v="5"/>
    <x v="11"/>
    <x v="0"/>
  </r>
  <r>
    <s v="Analyzer Status changed from Ready to Error."/>
    <x v="0"/>
    <x v="0"/>
    <d v="2016-11-02T00:00:00"/>
    <d v="1899-12-30T04:21:15"/>
    <s v="Analyzer"/>
    <x v="7"/>
    <x v="0"/>
    <x v="0"/>
    <x v="0"/>
  </r>
  <r>
    <s v="Analyzer Status changed from Error to Ready."/>
    <x v="0"/>
    <x v="0"/>
    <d v="2016-11-02T00:00:00"/>
    <d v="1899-12-30T04:22:04"/>
    <s v="Analyzer"/>
    <x v="7"/>
    <x v="0"/>
    <x v="0"/>
    <x v="0"/>
  </r>
  <r>
    <s v="Rinse solution bottle empty."/>
    <x v="63"/>
    <x v="2"/>
    <d v="2016-11-02T00:00:00"/>
    <d v="1899-12-30T04:28:41"/>
    <s v="Materials"/>
    <x v="7"/>
    <x v="1"/>
    <x v="1"/>
    <x v="0"/>
  </r>
  <r>
    <s v="Analyzer Status changed from Ready to Error."/>
    <x v="0"/>
    <x v="0"/>
    <d v="2016-11-02T00:00:00"/>
    <d v="1899-12-30T04:28:41"/>
    <s v="Analyzer"/>
    <x v="7"/>
    <x v="0"/>
    <x v="0"/>
    <x v="0"/>
  </r>
  <r>
    <s v="Analyzer Status changed from Error to Ready."/>
    <x v="0"/>
    <x v="0"/>
    <d v="2016-11-02T00:00:00"/>
    <d v="1899-12-30T04:31:06"/>
    <s v="Analyzer"/>
    <x v="7"/>
    <x v="0"/>
    <x v="0"/>
    <x v="0"/>
  </r>
  <r>
    <s v="Duplicated Test Order for 30700412C received from host (LIS # 131)."/>
    <x v="74"/>
    <x v="1"/>
    <d v="2016-11-02T00:00:00"/>
    <d v="1899-12-30T04:31:33"/>
    <s v="LIS"/>
    <x v="7"/>
    <x v="2"/>
    <x v="6"/>
    <x v="0"/>
  </r>
  <r>
    <s v="Duplicated Test Order for 30700412C received from host (LIS # 921)."/>
    <x v="74"/>
    <x v="1"/>
    <d v="2016-11-02T00:00:00"/>
    <d v="1899-12-30T04:31:33"/>
    <s v="LIS"/>
    <x v="7"/>
    <x v="2"/>
    <x v="6"/>
    <x v="0"/>
  </r>
  <r>
    <s v="Analyzer Status changed from Ready to Busy."/>
    <x v="0"/>
    <x v="0"/>
    <d v="2016-11-02T00:00:00"/>
    <d v="1899-12-30T04:31:38"/>
    <s v="Analyzer"/>
    <x v="7"/>
    <x v="0"/>
    <x v="0"/>
    <x v="0"/>
  </r>
  <r>
    <s v="Analyzer Status changed from Busy to Ready."/>
    <x v="0"/>
    <x v="0"/>
    <d v="2016-11-02T00:00:00"/>
    <d v="1899-12-30T04:37:14"/>
    <s v="Analyzer"/>
    <x v="7"/>
    <x v="0"/>
    <x v="0"/>
    <x v="0"/>
  </r>
  <r>
    <s v="Analyzer Status changed from Ready to Maintenance."/>
    <x v="0"/>
    <x v="0"/>
    <d v="2016-11-02T00:00:00"/>
    <d v="1899-12-30T04:37:15"/>
    <s v="Analyzer"/>
    <x v="7"/>
    <x v="0"/>
    <x v="0"/>
    <x v="0"/>
  </r>
  <r>
    <s v="Analyzer Status changed from Maintenance to Ready."/>
    <x v="0"/>
    <x v="0"/>
    <d v="2016-11-02T00:00:00"/>
    <d v="1899-12-30T04:37:39"/>
    <s v="Analyzer"/>
    <x v="7"/>
    <x v="0"/>
    <x v="0"/>
    <x v="0"/>
  </r>
  <r>
    <s v="Automatic maintenance activity Automatic Routine Clean for all Probes has been executed."/>
    <x v="2"/>
    <x v="0"/>
    <d v="2016-11-02T00:00:00"/>
    <d v="1899-12-30T04:37:39"/>
    <s v="Maintenance"/>
    <x v="7"/>
    <x v="2"/>
    <x v="2"/>
    <x v="0"/>
  </r>
  <r>
    <s v="Analyzer Status changed from Ready to Busy."/>
    <x v="0"/>
    <x v="0"/>
    <d v="2016-11-02T00:00:00"/>
    <d v="1899-12-30T04:48:02"/>
    <s v="Analyzer"/>
    <x v="7"/>
    <x v="0"/>
    <x v="0"/>
    <x v="0"/>
  </r>
  <r>
    <s v="Waste tank almost full."/>
    <x v="39"/>
    <x v="1"/>
    <d v="2016-11-02T00:00:00"/>
    <d v="1899-12-30T04:52:43"/>
    <s v="Materials"/>
    <x v="7"/>
    <x v="1"/>
    <x v="14"/>
    <x v="0"/>
  </r>
  <r>
    <s v="Waste tank almost full."/>
    <x v="39"/>
    <x v="1"/>
    <d v="2016-11-02T00:00:00"/>
    <d v="1899-12-30T04:56:53"/>
    <s v="Materials"/>
    <x v="7"/>
    <x v="1"/>
    <x v="14"/>
    <x v="0"/>
  </r>
  <r>
    <s v="Analyzer Status changed from Busy to Ready."/>
    <x v="0"/>
    <x v="0"/>
    <d v="2016-11-02T00:00:00"/>
    <d v="1899-12-30T04:57:28"/>
    <s v="Analyzer"/>
    <x v="7"/>
    <x v="0"/>
    <x v="0"/>
    <x v="0"/>
  </r>
  <r>
    <s v="Analyzer Status changed from Ready to Maintenance."/>
    <x v="0"/>
    <x v="0"/>
    <d v="2016-11-02T00:00:00"/>
    <d v="1899-12-30T04:57:28"/>
    <s v="Analyzer"/>
    <x v="7"/>
    <x v="0"/>
    <x v="0"/>
    <x v="0"/>
  </r>
  <r>
    <s v="Analyzer Status changed from Maintenance to Ready."/>
    <x v="0"/>
    <x v="0"/>
    <d v="2016-11-02T00:00:00"/>
    <d v="1899-12-30T04:57:54"/>
    <s v="Analyzer"/>
    <x v="7"/>
    <x v="0"/>
    <x v="0"/>
    <x v="0"/>
  </r>
  <r>
    <s v="Automatic maintenance activity Automatic Routine Clean for all Probes has been executed."/>
    <x v="2"/>
    <x v="0"/>
    <d v="2016-11-02T00:00:00"/>
    <d v="1899-12-30T04:57:54"/>
    <s v="Maintenance"/>
    <x v="7"/>
    <x v="2"/>
    <x v="2"/>
    <x v="0"/>
  </r>
  <r>
    <s v="Anti Chromogenic Sub volume low."/>
    <x v="7"/>
    <x v="1"/>
    <d v="2016-11-02T00:00:00"/>
    <d v="1899-12-30T05:03:33"/>
    <s v="Materials"/>
    <x v="7"/>
    <x v="3"/>
    <x v="4"/>
    <x v="0"/>
  </r>
  <r>
    <s v="Anti Factor Xa Rgt. volume low."/>
    <x v="7"/>
    <x v="1"/>
    <d v="2016-11-02T00:00:00"/>
    <d v="1899-12-30T05:04:26"/>
    <s v="Materials"/>
    <x v="7"/>
    <x v="3"/>
    <x v="4"/>
    <x v="0"/>
  </r>
  <r>
    <s v="D-Dimer Low Control volume low."/>
    <x v="7"/>
    <x v="1"/>
    <d v="2016-11-02T00:00:00"/>
    <d v="1899-12-30T05:08:43"/>
    <s v="Materials"/>
    <x v="7"/>
    <x v="3"/>
    <x v="4"/>
    <x v="0"/>
  </r>
  <r>
    <s v="High Abn C. Assayed volume low."/>
    <x v="7"/>
    <x v="1"/>
    <d v="2016-11-02T00:00:00"/>
    <d v="1899-12-30T05:09:02"/>
    <s v="Materials"/>
    <x v="7"/>
    <x v="3"/>
    <x v="4"/>
    <x v="0"/>
  </r>
  <r>
    <s v="Normal C. Assayed insufficient material to run additional calibration / test."/>
    <x v="32"/>
    <x v="2"/>
    <d v="2016-11-02T00:00:00"/>
    <d v="1899-12-30T05:09:09"/>
    <s v="Materials"/>
    <x v="7"/>
    <x v="3"/>
    <x v="4"/>
    <x v="0"/>
  </r>
  <r>
    <s v="Waste tank almost full."/>
    <x v="39"/>
    <x v="1"/>
    <d v="2016-11-02T00:00:00"/>
    <d v="1899-12-30T05:10:48"/>
    <s v="Materials"/>
    <x v="7"/>
    <x v="1"/>
    <x v="14"/>
    <x v="0"/>
  </r>
  <r>
    <s v="D-Dimer Low Control volume low."/>
    <x v="7"/>
    <x v="1"/>
    <d v="2016-11-02T00:00:00"/>
    <d v="1899-12-30T05:11:11"/>
    <s v="Materials"/>
    <x v="7"/>
    <x v="3"/>
    <x v="4"/>
    <x v="0"/>
  </r>
  <r>
    <s v="High Abn C. Assayed volume low."/>
    <x v="7"/>
    <x v="1"/>
    <d v="2016-11-02T00:00:00"/>
    <d v="1899-12-30T05:11:11"/>
    <s v="Materials"/>
    <x v="7"/>
    <x v="3"/>
    <x v="4"/>
    <x v="0"/>
  </r>
  <r>
    <s v="Waste tank almost full."/>
    <x v="39"/>
    <x v="1"/>
    <d v="2016-11-02T00:00:00"/>
    <d v="1899-12-30T05:12:57"/>
    <s v="Materials"/>
    <x v="7"/>
    <x v="1"/>
    <x v="14"/>
    <x v="0"/>
  </r>
  <r>
    <s v="Non-identified Sample in rack 01 position 1, track 12."/>
    <x v="12"/>
    <x v="2"/>
    <d v="2016-11-02T00:00:00"/>
    <d v="1899-12-30T05:13:45"/>
    <s v="Materials"/>
    <x v="7"/>
    <x v="4"/>
    <x v="7"/>
    <x v="1"/>
  </r>
  <r>
    <s v="Analyzer Status changed from Ready to Busy."/>
    <x v="0"/>
    <x v="0"/>
    <d v="2016-11-02T00:00:00"/>
    <d v="1899-12-30T05:13:51"/>
    <s v="Analyzer"/>
    <x v="7"/>
    <x v="0"/>
    <x v="0"/>
    <x v="0"/>
  </r>
  <r>
    <s v="Analyzer Status changed from Busy to Ready."/>
    <x v="0"/>
    <x v="0"/>
    <d v="2016-11-02T00:00:00"/>
    <d v="1899-12-30T05:19:49"/>
    <s v="Analyzer"/>
    <x v="7"/>
    <x v="0"/>
    <x v="0"/>
    <x v="0"/>
  </r>
  <r>
    <s v="Analyzer Status changed from Ready to Maintenance."/>
    <x v="0"/>
    <x v="0"/>
    <d v="2016-11-02T00:00:00"/>
    <d v="1899-12-30T05:19:49"/>
    <s v="Analyzer"/>
    <x v="7"/>
    <x v="0"/>
    <x v="0"/>
    <x v="0"/>
  </r>
  <r>
    <s v="Analyzer Status changed from Maintenance to Ready."/>
    <x v="0"/>
    <x v="0"/>
    <d v="2016-11-02T00:00:00"/>
    <d v="1899-12-30T05:20:13"/>
    <s v="Analyzer"/>
    <x v="7"/>
    <x v="0"/>
    <x v="0"/>
    <x v="0"/>
  </r>
  <r>
    <s v="Automatic maintenance activity Automatic Routine Clean for all Probes has been executed."/>
    <x v="2"/>
    <x v="0"/>
    <d v="2016-11-02T00:00:00"/>
    <d v="1899-12-30T05:20:13"/>
    <s v="Maintenance"/>
    <x v="7"/>
    <x v="2"/>
    <x v="2"/>
    <x v="0"/>
  </r>
  <r>
    <s v="Non-identified Sample in rack 11 position 1, track 6."/>
    <x v="12"/>
    <x v="2"/>
    <d v="2016-11-02T00:00:00"/>
    <d v="1899-12-30T05:25:01"/>
    <s v="Materials"/>
    <x v="7"/>
    <x v="4"/>
    <x v="7"/>
    <x v="1"/>
  </r>
  <r>
    <s v="Non-identified Sample in rack 11 position 2, track 6."/>
    <x v="12"/>
    <x v="2"/>
    <d v="2016-11-02T00:00:00"/>
    <d v="1899-12-30T05:25:01"/>
    <s v="Materials"/>
    <x v="7"/>
    <x v="4"/>
    <x v="7"/>
    <x v="1"/>
  </r>
  <r>
    <s v="Non-identified Sample in rack 11 position 3, track 6."/>
    <x v="12"/>
    <x v="2"/>
    <d v="2016-11-02T00:00:00"/>
    <d v="1899-12-30T05:25:01"/>
    <s v="Materials"/>
    <x v="7"/>
    <x v="4"/>
    <x v="7"/>
    <x v="1"/>
  </r>
  <r>
    <s v="Non-identified Sample in rack 11 position 4, track 6."/>
    <x v="12"/>
    <x v="2"/>
    <d v="2016-11-02T00:00:00"/>
    <d v="1899-12-30T05:25:01"/>
    <s v="Materials"/>
    <x v="7"/>
    <x v="4"/>
    <x v="7"/>
    <x v="1"/>
  </r>
  <r>
    <s v="Non-identified Sample in rack 11 position 5, track 6."/>
    <x v="12"/>
    <x v="2"/>
    <d v="2016-11-02T00:00:00"/>
    <d v="1899-12-30T05:25:01"/>
    <s v="Materials"/>
    <x v="7"/>
    <x v="4"/>
    <x v="7"/>
    <x v="1"/>
  </r>
  <r>
    <s v="Non-identified Sample in rack 11 position 6, track 6."/>
    <x v="12"/>
    <x v="2"/>
    <d v="2016-11-02T00:00:00"/>
    <d v="1899-12-30T05:25:01"/>
    <s v="Materials"/>
    <x v="7"/>
    <x v="4"/>
    <x v="7"/>
    <x v="1"/>
  </r>
  <r>
    <s v="Analyzer Status changed from Ready to Busy."/>
    <x v="0"/>
    <x v="0"/>
    <d v="2016-11-02T00:00:00"/>
    <d v="1899-12-30T05:25:20"/>
    <s v="Analyzer"/>
    <x v="7"/>
    <x v="0"/>
    <x v="0"/>
    <x v="0"/>
  </r>
  <r>
    <s v="QC Failed: Fib-C-Low Fib Control"/>
    <x v="28"/>
    <x v="2"/>
    <d v="2016-11-02T00:00:00"/>
    <d v="1899-12-30T05:30:32"/>
    <s v="QC"/>
    <x v="7"/>
    <x v="2"/>
    <x v="3"/>
    <x v="0"/>
  </r>
  <r>
    <s v="Analyzer Status changed from Busy to Ready."/>
    <x v="0"/>
    <x v="0"/>
    <d v="2016-11-02T00:00:00"/>
    <d v="1899-12-30T05:31:11"/>
    <s v="Analyzer"/>
    <x v="7"/>
    <x v="0"/>
    <x v="0"/>
    <x v="0"/>
  </r>
  <r>
    <s v="Analyzer Status changed from Ready to Maintenance."/>
    <x v="0"/>
    <x v="0"/>
    <d v="2016-11-02T00:00:00"/>
    <d v="1899-12-30T05:31:11"/>
    <s v="Analyzer"/>
    <x v="7"/>
    <x v="0"/>
    <x v="0"/>
    <x v="0"/>
  </r>
  <r>
    <s v="Analyzer Status changed from Maintenance to Ready."/>
    <x v="0"/>
    <x v="0"/>
    <d v="2016-11-02T00:00:00"/>
    <d v="1899-12-30T05:31:37"/>
    <s v="Analyzer"/>
    <x v="7"/>
    <x v="0"/>
    <x v="0"/>
    <x v="0"/>
  </r>
  <r>
    <s v="Automatic maintenance activity Automatic Routine Clean for all Probes has been executed."/>
    <x v="2"/>
    <x v="0"/>
    <d v="2016-11-02T00:00:00"/>
    <d v="1899-12-30T05:31:37"/>
    <s v="Maintenance"/>
    <x v="7"/>
    <x v="2"/>
    <x v="2"/>
    <x v="0"/>
  </r>
  <r>
    <s v="Non-identified Sample in rack 12 position 1, track 9."/>
    <x v="12"/>
    <x v="2"/>
    <d v="2016-11-02T00:00:00"/>
    <d v="1899-12-30T05:32:27"/>
    <s v="Materials"/>
    <x v="7"/>
    <x v="4"/>
    <x v="7"/>
    <x v="1"/>
  </r>
  <r>
    <s v="Analyzer Status changed from Ready to Busy."/>
    <x v="0"/>
    <x v="0"/>
    <d v="2016-11-02T00:00:00"/>
    <d v="1899-12-30T05:32:36"/>
    <s v="Analyzer"/>
    <x v="7"/>
    <x v="0"/>
    <x v="0"/>
    <x v="0"/>
  </r>
  <r>
    <s v="Duplicated Test Order for 30700245B received from host (LIS # 131)."/>
    <x v="74"/>
    <x v="1"/>
    <d v="2016-11-02T00:00:00"/>
    <d v="1899-12-30T05:32:50"/>
    <s v="LIS"/>
    <x v="7"/>
    <x v="2"/>
    <x v="6"/>
    <x v="0"/>
  </r>
  <r>
    <s v="Duplicated Test Order for 30700229C received from host (LIS # 131)."/>
    <x v="74"/>
    <x v="1"/>
    <d v="2016-11-02T00:00:00"/>
    <d v="1899-12-30T05:32:50"/>
    <s v="LIS"/>
    <x v="7"/>
    <x v="2"/>
    <x v="6"/>
    <x v="0"/>
  </r>
  <r>
    <s v="Duplicated Test Order for 30700235C received from host (LIS # 131)."/>
    <x v="74"/>
    <x v="1"/>
    <d v="2016-11-02T00:00:00"/>
    <d v="1899-12-30T05:32:50"/>
    <s v="LIS"/>
    <x v="7"/>
    <x v="2"/>
    <x v="6"/>
    <x v="0"/>
  </r>
  <r>
    <s v="Duplicated Test Order for 30700290A received from host (LIS # 131)."/>
    <x v="74"/>
    <x v="1"/>
    <d v="2016-11-02T00:00:00"/>
    <d v="1899-12-30T05:32:50"/>
    <s v="LIS"/>
    <x v="7"/>
    <x v="2"/>
    <x v="6"/>
    <x v="0"/>
  </r>
  <r>
    <s v="Duplicated Test Order for 30700419D received from host (LIS # 131)."/>
    <x v="74"/>
    <x v="1"/>
    <d v="2016-11-02T00:00:00"/>
    <d v="1899-12-30T05:32:50"/>
    <s v="LIS"/>
    <x v="7"/>
    <x v="2"/>
    <x v="6"/>
    <x v="0"/>
  </r>
  <r>
    <s v="Analyzer Status changed from Busy to Ready."/>
    <x v="0"/>
    <x v="0"/>
    <d v="2016-11-02T00:00:00"/>
    <d v="1899-12-30T05:38:07"/>
    <s v="Analyzer"/>
    <x v="7"/>
    <x v="0"/>
    <x v="0"/>
    <x v="0"/>
  </r>
  <r>
    <s v="Analyzer Status changed from Ready to Maintenance."/>
    <x v="0"/>
    <x v="0"/>
    <d v="2016-11-02T00:00:00"/>
    <d v="1899-12-30T05:38:08"/>
    <s v="Analyzer"/>
    <x v="7"/>
    <x v="0"/>
    <x v="0"/>
    <x v="0"/>
  </r>
  <r>
    <s v="Analyzer Status changed from Maintenance to Ready."/>
    <x v="0"/>
    <x v="0"/>
    <d v="2016-11-02T00:00:00"/>
    <d v="1899-12-30T05:38:39"/>
    <s v="Analyzer"/>
    <x v="7"/>
    <x v="0"/>
    <x v="0"/>
    <x v="0"/>
  </r>
  <r>
    <s v="Automatic maintenance activity Automatic Routine Clean for all Probes has been executed."/>
    <x v="2"/>
    <x v="0"/>
    <d v="2016-11-02T00:00:00"/>
    <d v="1899-12-30T05:38:39"/>
    <s v="Maintenance"/>
    <x v="7"/>
    <x v="2"/>
    <x v="2"/>
    <x v="0"/>
  </r>
  <r>
    <s v="Analyzer Status changed from Ready to Error."/>
    <x v="0"/>
    <x v="0"/>
    <d v="2016-11-02T00:00:00"/>
    <d v="1899-12-30T05:39:59"/>
    <s v="Analyzer"/>
    <x v="7"/>
    <x v="0"/>
    <x v="0"/>
    <x v="0"/>
  </r>
  <r>
    <s v="Waste tank not present."/>
    <x v="41"/>
    <x v="2"/>
    <d v="2016-11-02T00:00:00"/>
    <d v="1899-12-30T05:39:59"/>
    <s v="Materials"/>
    <x v="7"/>
    <x v="1"/>
    <x v="14"/>
    <x v="0"/>
  </r>
  <r>
    <s v="Analyzer Status changed from Error to Ready."/>
    <x v="0"/>
    <x v="0"/>
    <d v="2016-11-02T00:00:00"/>
    <d v="1899-12-30T05:41:48"/>
    <s v="Analyzer"/>
    <x v="7"/>
    <x v="0"/>
    <x v="0"/>
    <x v="0"/>
  </r>
  <r>
    <s v="Analyzer Status changed from Ready to Busy."/>
    <x v="0"/>
    <x v="0"/>
    <d v="2016-11-02T00:00:00"/>
    <d v="1899-12-30T05:41:59"/>
    <s v="Analyzer"/>
    <x v="7"/>
    <x v="0"/>
    <x v="0"/>
    <x v="0"/>
  </r>
  <r>
    <s v="Analyzer Status changed from Busy to Ready."/>
    <x v="0"/>
    <x v="0"/>
    <d v="2016-11-02T00:00:00"/>
    <d v="1899-12-30T05:45:03"/>
    <s v="Analyzer"/>
    <x v="7"/>
    <x v="0"/>
    <x v="0"/>
    <x v="0"/>
  </r>
  <r>
    <s v="Analyzer Status changed from Ready to Maintenance."/>
    <x v="0"/>
    <x v="0"/>
    <d v="2016-11-02T00:00:00"/>
    <d v="1899-12-30T05:45:03"/>
    <s v="Analyzer"/>
    <x v="7"/>
    <x v="0"/>
    <x v="0"/>
    <x v="0"/>
  </r>
  <r>
    <s v="Analyzer Status changed from Maintenance to Ready."/>
    <x v="0"/>
    <x v="0"/>
    <d v="2016-11-02T00:00:00"/>
    <d v="1899-12-30T05:45:29"/>
    <s v="Analyzer"/>
    <x v="7"/>
    <x v="0"/>
    <x v="0"/>
    <x v="0"/>
  </r>
  <r>
    <s v="Automatic maintenance activity Automatic Routine Clean for all Probes has been executed."/>
    <x v="2"/>
    <x v="0"/>
    <d v="2016-11-02T00:00:00"/>
    <d v="1899-12-30T05:45:29"/>
    <s v="Maintenance"/>
    <x v="7"/>
    <x v="2"/>
    <x v="2"/>
    <x v="0"/>
  </r>
  <r>
    <s v="Non-identified Sample in rack 11 position 1, track 6."/>
    <x v="12"/>
    <x v="2"/>
    <d v="2016-11-02T00:00:00"/>
    <d v="1899-12-30T05:46:21"/>
    <s v="Materials"/>
    <x v="7"/>
    <x v="4"/>
    <x v="7"/>
    <x v="1"/>
  </r>
  <r>
    <s v="Analyzer Status changed from Ready to Busy."/>
    <x v="0"/>
    <x v="0"/>
    <d v="2016-11-02T00:00:00"/>
    <d v="1899-12-30T05:46:28"/>
    <s v="Analyzer"/>
    <x v="7"/>
    <x v="0"/>
    <x v="0"/>
    <x v="0"/>
  </r>
  <r>
    <s v="Analyzer Status changed from Busy to Ready."/>
    <x v="0"/>
    <x v="0"/>
    <d v="2016-11-02T00:00:00"/>
    <d v="1899-12-30T05:49:30"/>
    <s v="Analyzer"/>
    <x v="7"/>
    <x v="0"/>
    <x v="0"/>
    <x v="0"/>
  </r>
  <r>
    <s v="Analyzer Status changed from Ready to Maintenance."/>
    <x v="0"/>
    <x v="0"/>
    <d v="2016-11-02T00:00:00"/>
    <d v="1899-12-30T05:49:30"/>
    <s v="Analyzer"/>
    <x v="7"/>
    <x v="0"/>
    <x v="0"/>
    <x v="0"/>
  </r>
  <r>
    <s v="Analyzer Status changed from Maintenance to Ready."/>
    <x v="0"/>
    <x v="0"/>
    <d v="2016-11-02T00:00:00"/>
    <d v="1899-12-30T05:49:54"/>
    <s v="Analyzer"/>
    <x v="7"/>
    <x v="0"/>
    <x v="0"/>
    <x v="0"/>
  </r>
  <r>
    <s v="Automatic maintenance activity Automatic Routine Clean for all Probes has been executed."/>
    <x v="2"/>
    <x v="0"/>
    <d v="2016-11-02T00:00:00"/>
    <d v="1899-12-30T05:49:54"/>
    <s v="Maintenance"/>
    <x v="7"/>
    <x v="2"/>
    <x v="2"/>
    <x v="0"/>
  </r>
  <r>
    <s v="Non-identified Sample in rack 12 position 2, track 8."/>
    <x v="12"/>
    <x v="2"/>
    <d v="2016-11-02T00:00:00"/>
    <d v="1899-12-30T05:50:00"/>
    <s v="Materials"/>
    <x v="7"/>
    <x v="4"/>
    <x v="7"/>
    <x v="1"/>
  </r>
  <r>
    <s v="Analyzer Status changed from Ready to Busy."/>
    <x v="0"/>
    <x v="0"/>
    <d v="2016-11-02T00:00:00"/>
    <d v="1899-12-30T05:50:09"/>
    <s v="Analyzer"/>
    <x v="7"/>
    <x v="0"/>
    <x v="0"/>
    <x v="0"/>
  </r>
  <r>
    <s v="Duplicated Test Order for 30700438A received from host (LIS # 2011)."/>
    <x v="74"/>
    <x v="1"/>
    <d v="2016-11-02T00:00:00"/>
    <d v="1899-12-30T05:50:17"/>
    <s v="LIS"/>
    <x v="7"/>
    <x v="2"/>
    <x v="6"/>
    <x v="0"/>
  </r>
  <r>
    <s v="Duplicated Test Order for 30700438A received from host (LIS # 2241)."/>
    <x v="74"/>
    <x v="1"/>
    <d v="2016-11-02T00:00:00"/>
    <d v="1899-12-30T05:50:18"/>
    <s v="LIS"/>
    <x v="7"/>
    <x v="2"/>
    <x v="6"/>
    <x v="0"/>
  </r>
  <r>
    <s v="Analyzer Status changed from Busy to Ready."/>
    <x v="0"/>
    <x v="0"/>
    <d v="2016-11-02T00:00:00"/>
    <d v="1899-12-30T05:58:24"/>
    <s v="Analyzer"/>
    <x v="7"/>
    <x v="0"/>
    <x v="0"/>
    <x v="0"/>
  </r>
  <r>
    <s v="Analyzer Status changed from Ready to Maintenance."/>
    <x v="0"/>
    <x v="0"/>
    <d v="2016-11-02T00:00:00"/>
    <d v="1899-12-30T05:58:24"/>
    <s v="Analyzer"/>
    <x v="7"/>
    <x v="0"/>
    <x v="0"/>
    <x v="0"/>
  </r>
  <r>
    <s v="Automatic maintenance activity Automatic Routine Clean for all Probes has been executed."/>
    <x v="2"/>
    <x v="0"/>
    <d v="2016-11-02T00:00:00"/>
    <d v="1899-12-30T05:58:51"/>
    <s v="Maintenance"/>
    <x v="7"/>
    <x v="2"/>
    <x v="2"/>
    <x v="0"/>
  </r>
  <r>
    <s v="Analyzer Status changed from Maintenance to Ready."/>
    <x v="0"/>
    <x v="0"/>
    <d v="2016-11-02T00:00:00"/>
    <d v="1899-12-30T05:58:52"/>
    <s v="Analyzer"/>
    <x v="7"/>
    <x v="0"/>
    <x v="0"/>
    <x v="0"/>
  </r>
  <r>
    <s v="Analyzer Status changed from Ready to Busy."/>
    <x v="0"/>
    <x v="0"/>
    <d v="2016-11-02T00:00:00"/>
    <d v="1899-12-30T05:59:47"/>
    <s v="Analyzer"/>
    <x v="7"/>
    <x v="0"/>
    <x v="0"/>
    <x v="0"/>
  </r>
  <r>
    <s v="Analyzer Status changed from Busy to Ready."/>
    <x v="0"/>
    <x v="0"/>
    <d v="2016-11-02T00:00:00"/>
    <d v="1899-12-30T06:05:29"/>
    <s v="Analyzer"/>
    <x v="7"/>
    <x v="0"/>
    <x v="0"/>
    <x v="0"/>
  </r>
  <r>
    <s v="Analyzer Status changed from Ready to Maintenance."/>
    <x v="0"/>
    <x v="0"/>
    <d v="2016-11-02T00:00:00"/>
    <d v="1899-12-30T06:05:29"/>
    <s v="Analyzer"/>
    <x v="7"/>
    <x v="0"/>
    <x v="0"/>
    <x v="0"/>
  </r>
  <r>
    <s v="Automatic maintenance activity Automatic Routine Clean for all Probes has been executed."/>
    <x v="2"/>
    <x v="0"/>
    <d v="2016-11-02T00:00:00"/>
    <d v="1899-12-30T06:05:53"/>
    <s v="Maintenance"/>
    <x v="7"/>
    <x v="2"/>
    <x v="2"/>
    <x v="0"/>
  </r>
  <r>
    <s v="Analyzer Status changed from Maintenance to Ready."/>
    <x v="0"/>
    <x v="0"/>
    <d v="2016-11-02T00:00:00"/>
    <d v="1899-12-30T06:05:54"/>
    <s v="Analyzer"/>
    <x v="7"/>
    <x v="0"/>
    <x v="0"/>
    <x v="0"/>
  </r>
  <r>
    <s v="Analyzer Status changed from Ready to Busy."/>
    <x v="0"/>
    <x v="0"/>
    <d v="2016-11-02T00:00:00"/>
    <d v="1899-12-30T06:17:11"/>
    <s v="Analyzer"/>
    <x v="7"/>
    <x v="0"/>
    <x v="0"/>
    <x v="0"/>
  </r>
  <r>
    <s v="Analyzer Status changed from Busy to Ready."/>
    <x v="0"/>
    <x v="0"/>
    <d v="2016-11-02T00:00:00"/>
    <d v="1899-12-30T06:21:53"/>
    <s v="Analyzer"/>
    <x v="7"/>
    <x v="0"/>
    <x v="0"/>
    <x v="0"/>
  </r>
  <r>
    <s v="Analyzer Status changed from Ready to Maintenance."/>
    <x v="0"/>
    <x v="0"/>
    <d v="2016-11-02T00:00:00"/>
    <d v="1899-12-30T06:21:53"/>
    <s v="Analyzer"/>
    <x v="7"/>
    <x v="0"/>
    <x v="0"/>
    <x v="0"/>
  </r>
  <r>
    <s v="Analyzer Status changed from Maintenance to Ready."/>
    <x v="0"/>
    <x v="0"/>
    <d v="2016-11-02T00:00:00"/>
    <d v="1899-12-30T06:22:19"/>
    <s v="Analyzer"/>
    <x v="7"/>
    <x v="0"/>
    <x v="0"/>
    <x v="0"/>
  </r>
  <r>
    <s v="Automatic maintenance activity Automatic Routine Clean for all Probes has been executed."/>
    <x v="2"/>
    <x v="0"/>
    <d v="2016-11-02T00:00:00"/>
    <d v="1899-12-30T06:22:19"/>
    <s v="Maintenance"/>
    <x v="7"/>
    <x v="2"/>
    <x v="2"/>
    <x v="0"/>
  </r>
  <r>
    <s v="Analyzer Status changed from Ready to Busy."/>
    <x v="0"/>
    <x v="0"/>
    <d v="2016-11-02T00:00:00"/>
    <d v="1899-12-30T06:30:18"/>
    <s v="Analyzer"/>
    <x v="7"/>
    <x v="0"/>
    <x v="0"/>
    <x v="0"/>
  </r>
  <r>
    <s v="Analyzer Status changed from Busy to Ready."/>
    <x v="0"/>
    <x v="0"/>
    <d v="2016-11-02T00:00:00"/>
    <d v="1899-12-30T06:35:49"/>
    <s v="Analyzer"/>
    <x v="7"/>
    <x v="0"/>
    <x v="0"/>
    <x v="0"/>
  </r>
  <r>
    <s v="Analyzer Status changed from Ready to Maintenance."/>
    <x v="0"/>
    <x v="0"/>
    <d v="2016-11-02T00:00:00"/>
    <d v="1899-12-30T06:35:49"/>
    <s v="Analyzer"/>
    <x v="7"/>
    <x v="0"/>
    <x v="0"/>
    <x v="0"/>
  </r>
  <r>
    <s v="Analyzer Status changed from Maintenance to Ready."/>
    <x v="0"/>
    <x v="0"/>
    <d v="2016-11-02T00:00:00"/>
    <d v="1899-12-30T06:36:21"/>
    <s v="Analyzer"/>
    <x v="7"/>
    <x v="0"/>
    <x v="0"/>
    <x v="0"/>
  </r>
  <r>
    <s v="Automatic maintenance activity Automatic Routine Clean for all Probes has been executed."/>
    <x v="2"/>
    <x v="0"/>
    <d v="2016-11-02T00:00:00"/>
    <d v="1899-12-30T06:36:21"/>
    <s v="Maintenance"/>
    <x v="7"/>
    <x v="2"/>
    <x v="2"/>
    <x v="0"/>
  </r>
  <r>
    <s v="Analyzer Status changed from Ready to Busy."/>
    <x v="0"/>
    <x v="0"/>
    <d v="2016-11-02T00:00:00"/>
    <d v="1899-12-30T06:47:14"/>
    <s v="Analyzer"/>
    <x v="7"/>
    <x v="0"/>
    <x v="0"/>
    <x v="0"/>
  </r>
  <r>
    <s v="Analyzer Status changed from Busy to Ready."/>
    <x v="0"/>
    <x v="0"/>
    <d v="2016-11-02T00:00:00"/>
    <d v="1899-12-30T06:50:15"/>
    <s v="Analyzer"/>
    <x v="7"/>
    <x v="0"/>
    <x v="0"/>
    <x v="0"/>
  </r>
  <r>
    <s v="Analyzer Status changed from Ready to Maintenance."/>
    <x v="0"/>
    <x v="0"/>
    <d v="2016-11-02T00:00:00"/>
    <d v="1899-12-30T06:50:15"/>
    <s v="Analyzer"/>
    <x v="7"/>
    <x v="0"/>
    <x v="0"/>
    <x v="0"/>
  </r>
  <r>
    <s v="Analyzer Status changed from Maintenance to Ready."/>
    <x v="0"/>
    <x v="0"/>
    <d v="2016-11-02T00:00:00"/>
    <d v="1899-12-30T06:50:40"/>
    <s v="Analyzer"/>
    <x v="7"/>
    <x v="0"/>
    <x v="0"/>
    <x v="0"/>
  </r>
  <r>
    <s v="Automatic maintenance activity Automatic Routine Clean for all Probes has been executed."/>
    <x v="2"/>
    <x v="0"/>
    <d v="2016-11-02T00:00:00"/>
    <d v="1899-12-30T06:50:40"/>
    <s v="Maintenance"/>
    <x v="7"/>
    <x v="2"/>
    <x v="2"/>
    <x v="0"/>
  </r>
  <r>
    <s v="Logout by user: GAY."/>
    <x v="16"/>
    <x v="0"/>
    <d v="2016-11-02T00:00:00"/>
    <d v="1899-12-30T06:59:39"/>
    <s v="Other"/>
    <x v="7"/>
    <x v="2"/>
    <x v="5"/>
    <x v="0"/>
  </r>
  <r>
    <s v="Successful log in by user: RST."/>
    <x v="18"/>
    <x v="0"/>
    <d v="2016-11-02T00:00:00"/>
    <d v="1899-12-30T07:00:00"/>
    <s v="Other"/>
    <x v="8"/>
    <x v="2"/>
    <x v="5"/>
    <x v="0"/>
  </r>
  <r>
    <s v="Non-identified Sample in rack 07 position 10, track 6."/>
    <x v="12"/>
    <x v="2"/>
    <d v="2016-11-02T00:00:00"/>
    <d v="1899-12-30T07:08:47"/>
    <s v="Materials"/>
    <x v="8"/>
    <x v="4"/>
    <x v="7"/>
    <x v="1"/>
  </r>
  <r>
    <s v="Analyzer Status changed from Ready to Busy."/>
    <x v="0"/>
    <x v="0"/>
    <d v="2016-11-02T00:00:00"/>
    <d v="1899-12-30T07:08:56"/>
    <s v="Analyzer"/>
    <x v="8"/>
    <x v="0"/>
    <x v="0"/>
    <x v="0"/>
  </r>
  <r>
    <s v="Maintenance activity due: Wipe-down all Probes."/>
    <x v="9"/>
    <x v="1"/>
    <d v="2016-11-02T00:00:00"/>
    <d v="1899-12-30T07:10:02"/>
    <s v="Maintenance"/>
    <x v="8"/>
    <x v="2"/>
    <x v="2"/>
    <x v="0"/>
  </r>
  <r>
    <s v="Maintenance activity due: Wipe-down Sample Probe."/>
    <x v="9"/>
    <x v="1"/>
    <d v="2016-11-02T00:00:00"/>
    <d v="1899-12-30T07:10:02"/>
    <s v="Maintenance"/>
    <x v="8"/>
    <x v="2"/>
    <x v="2"/>
    <x v="0"/>
  </r>
  <r>
    <s v="Maintenance activity due: Wipe-down LAS Probe."/>
    <x v="9"/>
    <x v="1"/>
    <d v="2016-11-02T00:00:00"/>
    <d v="1899-12-30T07:10:02"/>
    <s v="Maintenance"/>
    <x v="8"/>
    <x v="2"/>
    <x v="2"/>
    <x v="0"/>
  </r>
  <r>
    <s v="Analyzer Status changed from Busy to Ready."/>
    <x v="0"/>
    <x v="0"/>
    <d v="2016-11-02T00:00:00"/>
    <d v="1899-12-30T07:14:07"/>
    <s v="Analyzer"/>
    <x v="8"/>
    <x v="0"/>
    <x v="0"/>
    <x v="0"/>
  </r>
  <r>
    <s v="Analyzer Status changed from Ready to Maintenance."/>
    <x v="0"/>
    <x v="0"/>
    <d v="2016-11-02T00:00:00"/>
    <d v="1899-12-30T07:14:07"/>
    <s v="Analyzer"/>
    <x v="8"/>
    <x v="0"/>
    <x v="0"/>
    <x v="0"/>
  </r>
  <r>
    <s v="Analyzer Status changed from Maintenance to Ready."/>
    <x v="0"/>
    <x v="0"/>
    <d v="2016-11-02T00:00:00"/>
    <d v="1899-12-30T07:14:35"/>
    <s v="Analyzer"/>
    <x v="8"/>
    <x v="0"/>
    <x v="0"/>
    <x v="0"/>
  </r>
  <r>
    <s v="Automatic maintenance activity Automatic Routine Clean for all Probes has been executed."/>
    <x v="2"/>
    <x v="0"/>
    <d v="2016-11-02T00:00:00"/>
    <d v="1899-12-30T07:14:35"/>
    <s v="Maintenance"/>
    <x v="8"/>
    <x v="2"/>
    <x v="2"/>
    <x v="0"/>
  </r>
  <r>
    <s v="Analyzer Status changed from Ready to Busy."/>
    <x v="0"/>
    <x v="0"/>
    <d v="2016-11-02T00:00:00"/>
    <d v="1899-12-30T07:17:38"/>
    <s v="Analyzer"/>
    <x v="8"/>
    <x v="0"/>
    <x v="0"/>
    <x v="0"/>
  </r>
  <r>
    <s v="Non-identified Sample in rack 05 position 10, track 7."/>
    <x v="12"/>
    <x v="2"/>
    <d v="2016-11-02T00:00:00"/>
    <d v="1899-12-30T07:21:12"/>
    <s v="Materials"/>
    <x v="8"/>
    <x v="4"/>
    <x v="7"/>
    <x v="1"/>
  </r>
  <r>
    <s v="Cuvettes low in the load area."/>
    <x v="15"/>
    <x v="1"/>
    <d v="2016-11-02T00:00:00"/>
    <d v="1899-12-30T07:22:07"/>
    <s v="Materials"/>
    <x v="8"/>
    <x v="5"/>
    <x v="8"/>
    <x v="0"/>
  </r>
  <r>
    <s v="D-Dimer HS Latex volume low."/>
    <x v="7"/>
    <x v="1"/>
    <d v="2016-11-02T00:00:00"/>
    <d v="1899-12-30T07:22:59"/>
    <s v="Materials"/>
    <x v="8"/>
    <x v="3"/>
    <x v="4"/>
    <x v="0"/>
  </r>
  <r>
    <s v="Calibration of Fib-C L validated."/>
    <x v="59"/>
    <x v="0"/>
    <d v="2016-11-02T00:00:00"/>
    <d v="1899-12-30T07:26:33"/>
    <s v="JobFrequency"/>
    <x v="8"/>
    <x v="2"/>
    <x v="5"/>
    <x v="0"/>
  </r>
  <r>
    <s v="Maintenance activity due: Clean Cuvette Waste Drawer."/>
    <x v="9"/>
    <x v="1"/>
    <d v="2016-11-02T00:00:00"/>
    <d v="1899-12-30T07:26:56"/>
    <s v="Maintenance"/>
    <x v="8"/>
    <x v="2"/>
    <x v="2"/>
    <x v="0"/>
  </r>
  <r>
    <s v="Analyzer Status changed from Busy to Ready."/>
    <x v="0"/>
    <x v="0"/>
    <d v="2016-11-02T00:00:00"/>
    <d v="1899-12-30T07:27:03"/>
    <s v="Analyzer"/>
    <x v="8"/>
    <x v="0"/>
    <x v="0"/>
    <x v="0"/>
  </r>
  <r>
    <s v="Analyzer Status changed from Ready to Maintenance."/>
    <x v="0"/>
    <x v="0"/>
    <d v="2016-11-02T00:00:00"/>
    <d v="1899-12-30T07:27:03"/>
    <s v="Analyzer"/>
    <x v="8"/>
    <x v="0"/>
    <x v="0"/>
    <x v="0"/>
  </r>
  <r>
    <s v="Automatic maintenance activity Automatic Routine Clean for all Probes has been executed."/>
    <x v="2"/>
    <x v="0"/>
    <d v="2016-11-02T00:00:00"/>
    <d v="1899-12-30T07:27:32"/>
    <s v="Maintenance"/>
    <x v="8"/>
    <x v="2"/>
    <x v="2"/>
    <x v="0"/>
  </r>
  <r>
    <s v="Analyzer Status changed from Maintenance to Ready."/>
    <x v="0"/>
    <x v="0"/>
    <d v="2016-11-02T00:00:00"/>
    <d v="1899-12-30T07:27:33"/>
    <s v="Analyzer"/>
    <x v="8"/>
    <x v="0"/>
    <x v="0"/>
    <x v="0"/>
  </r>
  <r>
    <s v="Logout by user: RST."/>
    <x v="16"/>
    <x v="0"/>
    <d v="2016-11-02T00:00:00"/>
    <d v="1899-12-30T07:29:47"/>
    <s v="Other"/>
    <x v="8"/>
    <x v="2"/>
    <x v="5"/>
    <x v="0"/>
  </r>
  <r>
    <s v="Successful log in by user: LHO."/>
    <x v="18"/>
    <x v="0"/>
    <d v="2016-11-02T00:00:00"/>
    <d v="1899-12-30T07:29:54"/>
    <s v="Other"/>
    <x v="0"/>
    <x v="2"/>
    <x v="5"/>
    <x v="0"/>
  </r>
  <r>
    <s v="Logout by user: LHO."/>
    <x v="16"/>
    <x v="0"/>
    <d v="2016-11-02T00:00:00"/>
    <d v="1899-12-30T07:30:35"/>
    <s v="Other"/>
    <x v="0"/>
    <x v="2"/>
    <x v="5"/>
    <x v="0"/>
  </r>
  <r>
    <s v="Successful log in by user: LHO."/>
    <x v="18"/>
    <x v="0"/>
    <d v="2016-11-02T00:00:00"/>
    <d v="1899-12-30T07:30:45"/>
    <s v="Other"/>
    <x v="0"/>
    <x v="2"/>
    <x v="5"/>
    <x v="0"/>
  </r>
  <r>
    <s v="Analyzer Status changed from Ready to Busy."/>
    <x v="0"/>
    <x v="0"/>
    <d v="2016-11-02T00:00:00"/>
    <d v="1899-12-30T07:32:45"/>
    <s v="Analyzer"/>
    <x v="0"/>
    <x v="0"/>
    <x v="0"/>
    <x v="0"/>
  </r>
  <r>
    <s v="Maintenance activity due: Enhanced Clean for all Probes."/>
    <x v="9"/>
    <x v="1"/>
    <d v="2016-11-02T00:00:00"/>
    <d v="1899-12-30T07:34:37"/>
    <s v="Maintenance"/>
    <x v="0"/>
    <x v="2"/>
    <x v="2"/>
    <x v="0"/>
  </r>
  <r>
    <s v="Maintenance activity due: Enhanced Clean for Sample and Reagent Probes."/>
    <x v="9"/>
    <x v="1"/>
    <d v="2016-11-02T00:00:00"/>
    <d v="1899-12-30T07:34:37"/>
    <s v="Maintenance"/>
    <x v="0"/>
    <x v="2"/>
    <x v="2"/>
    <x v="0"/>
  </r>
  <r>
    <s v="Maintenance activity due: make new diluted clean B."/>
    <x v="9"/>
    <x v="1"/>
    <d v="2016-11-02T00:00:00"/>
    <d v="1899-12-30T07:35:43"/>
    <s v="Maintenance"/>
    <x v="0"/>
    <x v="2"/>
    <x v="2"/>
    <x v="0"/>
  </r>
  <r>
    <s v="Analyzer Status changed from Busy to Ready."/>
    <x v="0"/>
    <x v="0"/>
    <d v="2016-11-02T00:00:00"/>
    <d v="1899-12-30T07:36:08"/>
    <s v="Analyzer"/>
    <x v="0"/>
    <x v="0"/>
    <x v="0"/>
    <x v="0"/>
  </r>
  <r>
    <s v="Analyzer Status changed from Ready to Maintenance."/>
    <x v="0"/>
    <x v="0"/>
    <d v="2016-11-02T00:00:00"/>
    <d v="1899-12-30T07:36:08"/>
    <s v="Analyzer"/>
    <x v="0"/>
    <x v="0"/>
    <x v="0"/>
    <x v="0"/>
  </r>
  <r>
    <s v="Maintenance activity due: replace factor diluent."/>
    <x v="9"/>
    <x v="1"/>
    <d v="2016-11-02T00:00:00"/>
    <d v="1899-12-30T07:36:22"/>
    <s v="Maintenance"/>
    <x v="0"/>
    <x v="2"/>
    <x v="2"/>
    <x v="0"/>
  </r>
  <r>
    <s v="Analyzer Status changed from Maintenance to Ready."/>
    <x v="0"/>
    <x v="0"/>
    <d v="2016-11-02T00:00:00"/>
    <d v="1899-12-30T07:36:33"/>
    <s v="Analyzer"/>
    <x v="0"/>
    <x v="0"/>
    <x v="0"/>
    <x v="0"/>
  </r>
  <r>
    <s v="Automatic maintenance activity Automatic Routine Clean for all Probes has been executed."/>
    <x v="2"/>
    <x v="0"/>
    <d v="2016-11-02T00:00:00"/>
    <d v="1899-12-30T07:36:33"/>
    <s v="Maintenance"/>
    <x v="0"/>
    <x v="2"/>
    <x v="2"/>
    <x v="0"/>
  </r>
  <r>
    <s v="Logout by user: LHO."/>
    <x v="16"/>
    <x v="0"/>
    <d v="2016-11-02T00:00:00"/>
    <d v="1899-12-30T07:40:31"/>
    <s v="Other"/>
    <x v="0"/>
    <x v="2"/>
    <x v="5"/>
    <x v="0"/>
  </r>
  <r>
    <s v="Successful log in by user: RST."/>
    <x v="18"/>
    <x v="0"/>
    <d v="2016-11-02T00:00:00"/>
    <d v="1899-12-30T07:40:57"/>
    <s v="Other"/>
    <x v="8"/>
    <x v="2"/>
    <x v="5"/>
    <x v="0"/>
  </r>
  <r>
    <s v="Analyzer Status changed from Ready to Busy."/>
    <x v="0"/>
    <x v="0"/>
    <d v="2016-11-02T00:00:00"/>
    <d v="1899-12-30T07:46:13"/>
    <s v="Analyzer"/>
    <x v="8"/>
    <x v="0"/>
    <x v="0"/>
    <x v="0"/>
  </r>
  <r>
    <s v="Non-identified Sample in rack 12 position 1, track 12."/>
    <x v="12"/>
    <x v="2"/>
    <d v="2016-11-02T00:00:00"/>
    <d v="1899-12-30T07:49:02"/>
    <s v="Materials"/>
    <x v="8"/>
    <x v="4"/>
    <x v="7"/>
    <x v="1"/>
  </r>
  <r>
    <s v="D-Dimer High Control insufficient material to run additional calibration / test."/>
    <x v="32"/>
    <x v="2"/>
    <d v="2016-11-02T00:00:00"/>
    <d v="1899-12-30T07:50:40"/>
    <s v="Materials"/>
    <x v="8"/>
    <x v="3"/>
    <x v="4"/>
    <x v="0"/>
  </r>
  <r>
    <s v="D-Dimer Low Control insufficient material to run additional calibration / test."/>
    <x v="32"/>
    <x v="2"/>
    <d v="2016-11-02T00:00:00"/>
    <d v="1899-12-30T07:50:49"/>
    <s v="Materials"/>
    <x v="8"/>
    <x v="3"/>
    <x v="4"/>
    <x v="0"/>
  </r>
  <r>
    <s v="Analyzer Status changed from Busy to Ready."/>
    <x v="0"/>
    <x v="0"/>
    <d v="2016-11-02T00:00:00"/>
    <d v="1899-12-30T07:54:02"/>
    <s v="Analyzer"/>
    <x v="8"/>
    <x v="0"/>
    <x v="0"/>
    <x v="0"/>
  </r>
  <r>
    <s v="Analyzer Status changed from Ready to Maintenance."/>
    <x v="0"/>
    <x v="0"/>
    <d v="2016-11-02T00:00:00"/>
    <d v="1899-12-30T07:54:02"/>
    <s v="Analyzer"/>
    <x v="8"/>
    <x v="0"/>
    <x v="0"/>
    <x v="0"/>
  </r>
  <r>
    <s v="Automatic maintenance activity Automatic Routine Clean for all Probes has been executed."/>
    <x v="2"/>
    <x v="0"/>
    <d v="2016-11-02T00:00:00"/>
    <d v="1899-12-30T07:54:26"/>
    <s v="Maintenance"/>
    <x v="8"/>
    <x v="2"/>
    <x v="2"/>
    <x v="0"/>
  </r>
  <r>
    <s v="Analyzer Status changed from Maintenance to Ready."/>
    <x v="0"/>
    <x v="0"/>
    <d v="2016-11-02T00:00:00"/>
    <d v="1899-12-30T07:54:27"/>
    <s v="Analyzer"/>
    <x v="8"/>
    <x v="0"/>
    <x v="0"/>
    <x v="0"/>
  </r>
  <r>
    <s v="Communications between the instrument and the LIS have been lost."/>
    <x v="13"/>
    <x v="2"/>
    <d v="2016-11-02T00:00:00"/>
    <d v="1899-12-30T08:03:17"/>
    <s v="LIS"/>
    <x v="8"/>
    <x v="2"/>
    <x v="6"/>
    <x v="0"/>
  </r>
  <r>
    <s v="Non-identified Sample in rack 12 position 10, track 5."/>
    <x v="12"/>
    <x v="2"/>
    <d v="2016-11-02T00:00:00"/>
    <d v="1899-12-30T08:17:47"/>
    <s v="Materials"/>
    <x v="8"/>
    <x v="4"/>
    <x v="7"/>
    <x v="1"/>
  </r>
  <r>
    <s v="Analyzer Status changed from Ready to Busy."/>
    <x v="0"/>
    <x v="0"/>
    <d v="2016-11-02T00:00:00"/>
    <d v="1899-12-30T08:17:55"/>
    <s v="Analyzer"/>
    <x v="8"/>
    <x v="0"/>
    <x v="0"/>
    <x v="0"/>
  </r>
  <r>
    <s v="Non-identified Sample in rack 06 position 1, track 12."/>
    <x v="12"/>
    <x v="2"/>
    <d v="2016-11-02T00:00:00"/>
    <d v="1899-12-30T08:22:50"/>
    <s v="Materials"/>
    <x v="8"/>
    <x v="4"/>
    <x v="7"/>
    <x v="1"/>
  </r>
  <r>
    <s v="Analyzer Status changed from Busy to Ready."/>
    <x v="0"/>
    <x v="0"/>
    <d v="2016-11-02T00:00:00"/>
    <d v="1899-12-30T08:29:56"/>
    <s v="Analyzer"/>
    <x v="8"/>
    <x v="0"/>
    <x v="0"/>
    <x v="0"/>
  </r>
  <r>
    <s v="Analyzer Status changed from Ready to Maintenance."/>
    <x v="0"/>
    <x v="0"/>
    <d v="2016-11-02T00:00:00"/>
    <d v="1899-12-30T08:29:56"/>
    <s v="Analyzer"/>
    <x v="8"/>
    <x v="0"/>
    <x v="0"/>
    <x v="0"/>
  </r>
  <r>
    <s v="Automatic maintenance activity Automatic Routine Clean for all Probes has been executed."/>
    <x v="2"/>
    <x v="0"/>
    <d v="2016-11-02T00:00:00"/>
    <d v="1899-12-30T08:30:20"/>
    <s v="Maintenance"/>
    <x v="8"/>
    <x v="2"/>
    <x v="2"/>
    <x v="0"/>
  </r>
  <r>
    <s v="Analyzer Status changed from Maintenance to Ready."/>
    <x v="0"/>
    <x v="0"/>
    <d v="2016-11-02T00:00:00"/>
    <d v="1899-12-30T08:30:21"/>
    <s v="Analyzer"/>
    <x v="8"/>
    <x v="0"/>
    <x v="0"/>
    <x v="0"/>
  </r>
  <r>
    <s v="Maintenance activity overdue: Enhanced Clean for all Probes."/>
    <x v="20"/>
    <x v="1"/>
    <d v="2016-11-02T00:00:00"/>
    <d v="1899-12-30T08:34:37"/>
    <s v="Maintenance"/>
    <x v="8"/>
    <x v="2"/>
    <x v="2"/>
    <x v="0"/>
  </r>
  <r>
    <s v="Maintenance activity overdue: Enhanced Clean for Sample and Reagent Probes."/>
    <x v="20"/>
    <x v="1"/>
    <d v="2016-11-02T00:00:00"/>
    <d v="1899-12-30T08:34:37"/>
    <s v="Maintenance"/>
    <x v="8"/>
    <x v="2"/>
    <x v="2"/>
    <x v="0"/>
  </r>
  <r>
    <s v="Analyzer Status changed from Ready to Busy."/>
    <x v="0"/>
    <x v="0"/>
    <d v="2016-11-02T00:00:00"/>
    <d v="1899-12-30T08:34:51"/>
    <s v="Analyzer"/>
    <x v="8"/>
    <x v="0"/>
    <x v="0"/>
    <x v="0"/>
  </r>
  <r>
    <s v="Maintenance activity overdue: make new diluted clean B."/>
    <x v="20"/>
    <x v="1"/>
    <d v="2016-11-02T00:00:00"/>
    <d v="1899-12-30T08:35:43"/>
    <s v="Maintenance"/>
    <x v="8"/>
    <x v="2"/>
    <x v="2"/>
    <x v="0"/>
  </r>
  <r>
    <s v="Maintenance activity overdue: replace factor diluent."/>
    <x v="20"/>
    <x v="1"/>
    <d v="2016-11-02T00:00:00"/>
    <d v="1899-12-30T08:36:22"/>
    <s v="Maintenance"/>
    <x v="8"/>
    <x v="2"/>
    <x v="2"/>
    <x v="0"/>
  </r>
  <r>
    <s v="Analyzer Status changed from Busy to Ready."/>
    <x v="0"/>
    <x v="0"/>
    <d v="2016-11-02T00:00:00"/>
    <d v="1899-12-30T08:44:47"/>
    <s v="Analyzer"/>
    <x v="8"/>
    <x v="0"/>
    <x v="0"/>
    <x v="0"/>
  </r>
  <r>
    <s v="Analyzer Status changed from Ready to Maintenance."/>
    <x v="0"/>
    <x v="0"/>
    <d v="2016-11-02T00:00:00"/>
    <d v="1899-12-30T08:44:47"/>
    <s v="Analyzer"/>
    <x v="8"/>
    <x v="0"/>
    <x v="0"/>
    <x v="0"/>
  </r>
  <r>
    <s v="Analyzer Status changed from Maintenance to Ready."/>
    <x v="0"/>
    <x v="0"/>
    <d v="2016-11-02T00:00:00"/>
    <d v="1899-12-30T08:45:13"/>
    <s v="Analyzer"/>
    <x v="8"/>
    <x v="0"/>
    <x v="0"/>
    <x v="0"/>
  </r>
  <r>
    <s v="Automatic maintenance activity Automatic Routine Clean for all Probes has been executed."/>
    <x v="2"/>
    <x v="0"/>
    <d v="2016-11-02T00:00:00"/>
    <d v="1899-12-30T08:45:13"/>
    <s v="Maintenance"/>
    <x v="8"/>
    <x v="2"/>
    <x v="2"/>
    <x v="0"/>
  </r>
  <r>
    <s v="Logout by user: RST."/>
    <x v="16"/>
    <x v="0"/>
    <d v="2016-11-02T00:00:00"/>
    <d v="1899-12-30T08:55:09"/>
    <s v="Other"/>
    <x v="8"/>
    <x v="2"/>
    <x v="5"/>
    <x v="0"/>
  </r>
  <r>
    <s v="Successful log in by user: LHO."/>
    <x v="18"/>
    <x v="0"/>
    <d v="2016-11-02T00:00:00"/>
    <d v="1899-12-30T08:55:14"/>
    <s v="Other"/>
    <x v="0"/>
    <x v="2"/>
    <x v="5"/>
    <x v="0"/>
  </r>
  <r>
    <s v="Test Definition UFH has been modified."/>
    <x v="14"/>
    <x v="0"/>
    <d v="2016-11-02T00:00:00"/>
    <d v="1899-12-30T08:55:39"/>
    <s v="Setup"/>
    <x v="0"/>
    <x v="2"/>
    <x v="5"/>
    <x v="0"/>
  </r>
  <r>
    <s v="Test Definition UFH has been modified."/>
    <x v="14"/>
    <x v="0"/>
    <d v="2016-11-02T00:00:00"/>
    <d v="1899-12-30T08:55:56"/>
    <s v="Setup"/>
    <x v="0"/>
    <x v="2"/>
    <x v="5"/>
    <x v="0"/>
  </r>
  <r>
    <s v="Test Definition LMWH has been modified."/>
    <x v="14"/>
    <x v="0"/>
    <d v="2016-11-02T00:00:00"/>
    <d v="1899-12-30T08:55:58"/>
    <s v="Setup"/>
    <x v="0"/>
    <x v="2"/>
    <x v="5"/>
    <x v="0"/>
  </r>
  <r>
    <s v="Test Definition Anti-Xa has been modified."/>
    <x v="14"/>
    <x v="0"/>
    <d v="2016-11-02T00:00:00"/>
    <d v="1899-12-30T08:56:00"/>
    <s v="Setup"/>
    <x v="0"/>
    <x v="2"/>
    <x v="5"/>
    <x v="0"/>
  </r>
  <r>
    <s v="Test Definition LMWH has been modified."/>
    <x v="14"/>
    <x v="0"/>
    <d v="2016-11-02T00:00:00"/>
    <d v="1899-12-30T08:56:01"/>
    <s v="Setup"/>
    <x v="0"/>
    <x v="2"/>
    <x v="5"/>
    <x v="0"/>
  </r>
  <r>
    <s v="Analyzer Status changed from Ready to Busy."/>
    <x v="0"/>
    <x v="0"/>
    <d v="2016-11-02T00:00:00"/>
    <d v="1899-12-30T09:02:33"/>
    <s v="Analyzer"/>
    <x v="0"/>
    <x v="0"/>
    <x v="0"/>
    <x v="0"/>
  </r>
  <r>
    <s v="Auto-Validation Rules have been modified."/>
    <x v="8"/>
    <x v="0"/>
    <d v="2016-11-02T00:00:00"/>
    <d v="1899-12-30T09:04:09"/>
    <s v="Setup"/>
    <x v="0"/>
    <x v="2"/>
    <x v="5"/>
    <x v="0"/>
  </r>
  <r>
    <s v="Analyzer Status changed from Busy to Ready."/>
    <x v="0"/>
    <x v="0"/>
    <d v="2016-11-02T00:00:00"/>
    <d v="1899-12-30T09:05:29"/>
    <s v="Analyzer"/>
    <x v="0"/>
    <x v="0"/>
    <x v="0"/>
    <x v="0"/>
  </r>
  <r>
    <s v="Analyzer Status changed from Ready to Maintenance."/>
    <x v="0"/>
    <x v="0"/>
    <d v="2016-11-02T00:00:00"/>
    <d v="1899-12-30T09:05:29"/>
    <s v="Analyzer"/>
    <x v="0"/>
    <x v="0"/>
    <x v="0"/>
    <x v="0"/>
  </r>
  <r>
    <s v="Analyzer Status changed from Maintenance to Ready."/>
    <x v="0"/>
    <x v="0"/>
    <d v="2016-11-02T00:00:00"/>
    <d v="1899-12-30T09:07:09"/>
    <s v="Analyzer"/>
    <x v="0"/>
    <x v="0"/>
    <x v="0"/>
    <x v="0"/>
  </r>
  <r>
    <s v="Automatic maintenance activity Automatic Routine Clean for all Probes has been executed."/>
    <x v="2"/>
    <x v="0"/>
    <d v="2016-11-02T00:00:00"/>
    <d v="1899-12-30T09:07:09"/>
    <s v="Maintenance"/>
    <x v="0"/>
    <x v="2"/>
    <x v="2"/>
    <x v="0"/>
  </r>
  <r>
    <s v="System Definitions: LIS parameters modified."/>
    <x v="10"/>
    <x v="0"/>
    <d v="2016-11-02T00:00:00"/>
    <d v="1899-12-30T09:10:22"/>
    <s v="Setup"/>
    <x v="0"/>
    <x v="2"/>
    <x v="6"/>
    <x v="0"/>
  </r>
  <r>
    <s v="System Definitions: LIS parameters modified."/>
    <x v="10"/>
    <x v="0"/>
    <d v="2016-11-02T00:00:00"/>
    <d v="1899-12-30T09:10:32"/>
    <s v="Setup"/>
    <x v="0"/>
    <x v="2"/>
    <x v="6"/>
    <x v="0"/>
  </r>
  <r>
    <s v="System Definitions: LIS parameters modified."/>
    <x v="10"/>
    <x v="0"/>
    <d v="2016-11-02T00:00:00"/>
    <d v="1899-12-30T09:15:45"/>
    <s v="Setup"/>
    <x v="0"/>
    <x v="2"/>
    <x v="6"/>
    <x v="0"/>
  </r>
  <r>
    <s v="Analyzer Status changed from Ready to Busy."/>
    <x v="0"/>
    <x v="0"/>
    <d v="2016-11-02T00:00:00"/>
    <d v="1899-12-30T09:20:22"/>
    <s v="Analyzer"/>
    <x v="0"/>
    <x v="0"/>
    <x v="0"/>
    <x v="0"/>
  </r>
  <r>
    <s v="Software access permissions have been modified."/>
    <x v="76"/>
    <x v="0"/>
    <d v="2016-11-02T00:00:00"/>
    <d v="1899-12-30T09:20:35"/>
    <s v="Setup"/>
    <x v="0"/>
    <x v="2"/>
    <x v="5"/>
    <x v="0"/>
  </r>
  <r>
    <s v="Analyzer Status changed from Busy to Ready."/>
    <x v="0"/>
    <x v="0"/>
    <d v="2016-11-02T00:00:00"/>
    <d v="1899-12-30T09:26:44"/>
    <s v="Analyzer"/>
    <x v="0"/>
    <x v="0"/>
    <x v="0"/>
    <x v="0"/>
  </r>
  <r>
    <s v="Analyzer Status changed from Ready to Maintenance."/>
    <x v="0"/>
    <x v="0"/>
    <d v="2016-11-02T00:00:00"/>
    <d v="1899-12-30T09:26:44"/>
    <s v="Analyzer"/>
    <x v="0"/>
    <x v="0"/>
    <x v="0"/>
    <x v="0"/>
  </r>
  <r>
    <s v="Analyzer Status changed from Maintenance to Ready."/>
    <x v="0"/>
    <x v="0"/>
    <d v="2016-11-02T00:00:00"/>
    <d v="1899-12-30T09:27:09"/>
    <s v="Analyzer"/>
    <x v="0"/>
    <x v="0"/>
    <x v="0"/>
    <x v="0"/>
  </r>
  <r>
    <s v="Automatic maintenance activity Automatic Routine Clean for all Probes has been executed."/>
    <x v="2"/>
    <x v="0"/>
    <d v="2016-11-02T00:00:00"/>
    <d v="1899-12-30T09:27:09"/>
    <s v="Maintenance"/>
    <x v="0"/>
    <x v="2"/>
    <x v="2"/>
    <x v="0"/>
  </r>
  <r>
    <s v="Communications between the instrument and the LIS have been lost."/>
    <x v="13"/>
    <x v="2"/>
    <d v="2016-11-02T00:00:00"/>
    <d v="1899-12-30T09:38:06"/>
    <s v="LIS"/>
    <x v="0"/>
    <x v="2"/>
    <x v="6"/>
    <x v="0"/>
  </r>
  <r>
    <s v="Analyzer Status changed from Ready to Initializing."/>
    <x v="0"/>
    <x v="0"/>
    <d v="2016-11-02T00:00:00"/>
    <d v="1899-12-30T09:46:48"/>
    <s v="Analyzer"/>
    <x v="0"/>
    <x v="0"/>
    <x v="0"/>
    <x v="0"/>
  </r>
  <r>
    <s v="Logout by user: LHO."/>
    <x v="16"/>
    <x v="0"/>
    <d v="2016-11-02T00:00:00"/>
    <d v="1899-12-30T09:47:42"/>
    <s v="Other"/>
    <x v="0"/>
    <x v="2"/>
    <x v="5"/>
    <x v="0"/>
  </r>
  <r>
    <s v="LAS Interface Manager (IM) communications error."/>
    <x v="17"/>
    <x v="2"/>
    <d v="2016-11-02T00:00:00"/>
    <d v="1899-12-30T09:50:06"/>
    <s v="LIS"/>
    <x v="1"/>
    <x v="2"/>
    <x v="9"/>
    <x v="0"/>
  </r>
  <r>
    <s v="Successful log in by user: LHO."/>
    <x v="18"/>
    <x v="0"/>
    <d v="2016-11-02T00:00:00"/>
    <d v="1899-12-30T09:50:18"/>
    <s v="Other"/>
    <x v="0"/>
    <x v="2"/>
    <x v="5"/>
    <x v="0"/>
  </r>
  <r>
    <s v="Analyzer Status changed from Not connected to Power up."/>
    <x v="0"/>
    <x v="0"/>
    <d v="2016-11-02T00:00:00"/>
    <d v="1899-12-30T09:50:24"/>
    <s v="Analyzer"/>
    <x v="0"/>
    <x v="0"/>
    <x v="0"/>
    <x v="0"/>
  </r>
  <r>
    <s v="Analyzer Status changed from Power up to Initializing."/>
    <x v="0"/>
    <x v="0"/>
    <d v="2016-11-02T00:00:00"/>
    <d v="1899-12-30T09:50:34"/>
    <s v="Analyzer"/>
    <x v="0"/>
    <x v="0"/>
    <x v="0"/>
    <x v="0"/>
  </r>
  <r>
    <s v="Analyzer Status changed from Initializing to Adjusting thermal."/>
    <x v="0"/>
    <x v="0"/>
    <d v="2016-11-02T00:00:00"/>
    <d v="1899-12-30T09:52:22"/>
    <s v="Analyzer"/>
    <x v="0"/>
    <x v="0"/>
    <x v="0"/>
    <x v="0"/>
  </r>
  <r>
    <s v="Analyzer Status changed from Adjusting thermal to Ready."/>
    <x v="0"/>
    <x v="0"/>
    <d v="2016-11-02T00:00:00"/>
    <d v="1899-12-30T09:54:30"/>
    <s v="Analyzer"/>
    <x v="0"/>
    <x v="0"/>
    <x v="0"/>
    <x v="0"/>
  </r>
  <r>
    <s v="Analyzer Status changed from Ready to Maintenance."/>
    <x v="0"/>
    <x v="0"/>
    <d v="2016-11-02T00:00:00"/>
    <d v="1899-12-30T09:54:30"/>
    <s v="Analyzer"/>
    <x v="0"/>
    <x v="0"/>
    <x v="0"/>
    <x v="0"/>
  </r>
  <r>
    <s v="Analyzer Status changed from Maintenance to Ready."/>
    <x v="0"/>
    <x v="0"/>
    <d v="2016-11-02T00:00:00"/>
    <d v="1899-12-30T09:55:44"/>
    <s v="Analyzer"/>
    <x v="0"/>
    <x v="0"/>
    <x v="0"/>
    <x v="0"/>
  </r>
  <r>
    <s v="Analyzer Status changed from Ready to Maintenance."/>
    <x v="0"/>
    <x v="0"/>
    <d v="2016-11-02T00:00:00"/>
    <d v="1899-12-30T10:02:27"/>
    <s v="Analyzer"/>
    <x v="0"/>
    <x v="0"/>
    <x v="0"/>
    <x v="0"/>
  </r>
  <r>
    <s v="Frequency status for manual maintenance activity Enhanced Clean for all Probes has changed to OK."/>
    <x v="3"/>
    <x v="0"/>
    <d v="2016-11-02T00:00:00"/>
    <d v="1899-12-30T10:05:40"/>
    <s v="Maintenance"/>
    <x v="0"/>
    <x v="2"/>
    <x v="2"/>
    <x v="0"/>
  </r>
  <r>
    <s v="Frequency status for manual maintenance activity Enhanced Clean for Sample and Reagent Probes has changed to OK."/>
    <x v="3"/>
    <x v="0"/>
    <d v="2016-11-02T00:00:00"/>
    <d v="1899-12-30T10:05:40"/>
    <s v="Maintenance"/>
    <x v="0"/>
    <x v="2"/>
    <x v="2"/>
    <x v="0"/>
  </r>
  <r>
    <s v="Semiautomatic maintenance activity Enhanced Clean for all Probes has been executed."/>
    <x v="4"/>
    <x v="0"/>
    <d v="2016-11-02T00:00:00"/>
    <d v="1899-12-30T10:05:40"/>
    <s v="Maintenance"/>
    <x v="0"/>
    <x v="2"/>
    <x v="2"/>
    <x v="0"/>
  </r>
  <r>
    <s v="Analyzer Status changed from Maintenance to Ready."/>
    <x v="0"/>
    <x v="0"/>
    <d v="2016-11-02T00:00:00"/>
    <d v="1899-12-30T10:05:41"/>
    <s v="Analyzer"/>
    <x v="0"/>
    <x v="0"/>
    <x v="0"/>
    <x v="0"/>
  </r>
  <r>
    <s v="System Definitions: LIS parameters modified."/>
    <x v="10"/>
    <x v="0"/>
    <d v="2016-11-02T00:00:00"/>
    <d v="1899-12-30T10:09:33"/>
    <s v="Setup"/>
    <x v="0"/>
    <x v="2"/>
    <x v="6"/>
    <x v="0"/>
  </r>
  <r>
    <s v="Analyzer Status changed from Ready to Maintenance."/>
    <x v="0"/>
    <x v="0"/>
    <d v="2016-11-02T00:00:00"/>
    <d v="1899-12-30T10:10:00"/>
    <s v="Analyzer"/>
    <x v="0"/>
    <x v="0"/>
    <x v="0"/>
    <x v="0"/>
  </r>
  <r>
    <s v="Analyzer Status changed from Maintenance to Ready."/>
    <x v="0"/>
    <x v="0"/>
    <d v="2016-11-02T00:00:00"/>
    <d v="1899-12-30T10:10:04"/>
    <s v="Analyzer"/>
    <x v="0"/>
    <x v="0"/>
    <x v="0"/>
    <x v="0"/>
  </r>
  <r>
    <s v="Frequency status for manual maintenance activity make new diluted clean B has changed to OK."/>
    <x v="3"/>
    <x v="0"/>
    <d v="2016-11-02T00:00:00"/>
    <d v="1899-12-30T10:10:04"/>
    <s v="Maintenance"/>
    <x v="0"/>
    <x v="2"/>
    <x v="2"/>
    <x v="0"/>
  </r>
  <r>
    <s v="Manual maintenance activity make new diluted clean B has been executed."/>
    <x v="5"/>
    <x v="0"/>
    <d v="2016-11-02T00:00:00"/>
    <d v="1899-12-30T10:10:04"/>
    <s v="Maintenance"/>
    <x v="0"/>
    <x v="2"/>
    <x v="2"/>
    <x v="0"/>
  </r>
  <r>
    <s v="Analyzer Status changed from Ready to Maintenance."/>
    <x v="0"/>
    <x v="0"/>
    <d v="2016-11-02T00:00:00"/>
    <d v="1899-12-30T10:10:08"/>
    <s v="Analyzer"/>
    <x v="0"/>
    <x v="0"/>
    <x v="0"/>
    <x v="0"/>
  </r>
  <r>
    <s v="Manual maintenance activity replace factor diluent has been executed."/>
    <x v="5"/>
    <x v="0"/>
    <d v="2016-11-02T00:00:00"/>
    <d v="1899-12-30T10:10:11"/>
    <s v="Maintenance"/>
    <x v="0"/>
    <x v="2"/>
    <x v="2"/>
    <x v="0"/>
  </r>
  <r>
    <s v="Analyzer Status changed from Maintenance to Ready."/>
    <x v="0"/>
    <x v="0"/>
    <d v="2016-11-02T00:00:00"/>
    <d v="1899-12-30T10:10:12"/>
    <s v="Analyzer"/>
    <x v="0"/>
    <x v="0"/>
    <x v="0"/>
    <x v="0"/>
  </r>
  <r>
    <s v="Frequency status for manual maintenance activity replace factor diluent has changed to OK."/>
    <x v="3"/>
    <x v="0"/>
    <d v="2016-11-02T00:00:00"/>
    <d v="1899-12-30T10:10:12"/>
    <s v="Maintenance"/>
    <x v="0"/>
    <x v="2"/>
    <x v="2"/>
    <x v="0"/>
  </r>
  <r>
    <s v="Cuvettes waste drawer missing."/>
    <x v="29"/>
    <x v="2"/>
    <d v="2016-11-02T00:00:00"/>
    <d v="1899-12-30T10:10:27"/>
    <s v="Materials"/>
    <x v="0"/>
    <x v="5"/>
    <x v="11"/>
    <x v="0"/>
  </r>
  <r>
    <s v="Analyzer Status changed from Ready to Error."/>
    <x v="0"/>
    <x v="0"/>
    <d v="2016-11-02T00:00:00"/>
    <d v="1899-12-30T10:10:27"/>
    <s v="Analyzer"/>
    <x v="0"/>
    <x v="0"/>
    <x v="0"/>
    <x v="0"/>
  </r>
  <r>
    <s v="Analyzer Status changed from Error to Ready."/>
    <x v="0"/>
    <x v="0"/>
    <d v="2016-11-02T00:00:00"/>
    <d v="1899-12-30T10:11:02"/>
    <s v="Analyzer"/>
    <x v="0"/>
    <x v="0"/>
    <x v="0"/>
    <x v="0"/>
  </r>
  <r>
    <s v="Analyzer Status changed from Ready to Maintenance."/>
    <x v="0"/>
    <x v="0"/>
    <d v="2016-11-02T00:00:00"/>
    <d v="1899-12-30T10:11:07"/>
    <s v="Analyzer"/>
    <x v="0"/>
    <x v="0"/>
    <x v="0"/>
    <x v="0"/>
  </r>
  <r>
    <s v="Analyzer Status changed from Maintenance to Ready."/>
    <x v="0"/>
    <x v="0"/>
    <d v="2016-11-02T00:00:00"/>
    <d v="1899-12-30T10:11:11"/>
    <s v="Analyzer"/>
    <x v="0"/>
    <x v="0"/>
    <x v="0"/>
    <x v="0"/>
  </r>
  <r>
    <s v="Frequency status for manual maintenance activity Clean Cuvette Waste Drawer has changed to OK."/>
    <x v="3"/>
    <x v="0"/>
    <d v="2016-11-02T00:00:00"/>
    <d v="1899-12-30T10:11:11"/>
    <s v="Maintenance"/>
    <x v="0"/>
    <x v="2"/>
    <x v="2"/>
    <x v="0"/>
  </r>
  <r>
    <s v="Manual maintenance activity Clean Cuvette Waste Drawer has been executed."/>
    <x v="5"/>
    <x v="0"/>
    <d v="2016-11-02T00:00:00"/>
    <d v="1899-12-30T10:11:11"/>
    <s v="Maintenance"/>
    <x v="0"/>
    <x v="2"/>
    <x v="2"/>
    <x v="0"/>
  </r>
  <r>
    <s v="Analyzer Status changed from Ready to Maintenance."/>
    <x v="0"/>
    <x v="0"/>
    <d v="2016-11-02T00:00:00"/>
    <d v="1899-12-30T10:11:23"/>
    <s v="Analyzer"/>
    <x v="0"/>
    <x v="0"/>
    <x v="0"/>
    <x v="0"/>
  </r>
  <r>
    <s v="Analyzer Status changed from Maintenance to Emergency stop."/>
    <x v="0"/>
    <x v="0"/>
    <d v="2016-11-02T00:00:00"/>
    <d v="1899-12-30T10:12:58"/>
    <s v="Analyzer"/>
    <x v="0"/>
    <x v="0"/>
    <x v="0"/>
    <x v="0"/>
  </r>
  <r>
    <s v="Analyzer Status changed from Emergency stop to Not connected."/>
    <x v="0"/>
    <x v="0"/>
    <d v="2016-11-02T00:00:00"/>
    <d v="1899-12-30T10:12:58"/>
    <s v="Analyzer"/>
    <x v="0"/>
    <x v="0"/>
    <x v="0"/>
    <x v="0"/>
  </r>
  <r>
    <s v="Frequency status for manual maintenance activity Wipe-down all Probes has changed to OK."/>
    <x v="3"/>
    <x v="0"/>
    <d v="2016-11-02T00:00:00"/>
    <d v="1899-12-30T10:13:05"/>
    <s v="Maintenance"/>
    <x v="0"/>
    <x v="2"/>
    <x v="2"/>
    <x v="0"/>
  </r>
  <r>
    <s v="Frequency status for manual maintenance activity Wipe-down Sample Probe has changed to OK."/>
    <x v="3"/>
    <x v="0"/>
    <d v="2016-11-02T00:00:00"/>
    <d v="1899-12-30T10:13:05"/>
    <s v="Maintenance"/>
    <x v="0"/>
    <x v="2"/>
    <x v="2"/>
    <x v="0"/>
  </r>
  <r>
    <s v="Frequency status for manual maintenance activity Wipe-down LAS Probe has changed to OK."/>
    <x v="3"/>
    <x v="0"/>
    <d v="2016-11-02T00:00:00"/>
    <d v="1899-12-30T10:13:05"/>
    <s v="Maintenance"/>
    <x v="0"/>
    <x v="2"/>
    <x v="2"/>
    <x v="0"/>
  </r>
  <r>
    <s v="Manual maintenance activity Wipe-down all Probes has been executed."/>
    <x v="5"/>
    <x v="0"/>
    <d v="2016-11-02T00:00:00"/>
    <d v="1899-12-30T10:13:05"/>
    <s v="Maintenance"/>
    <x v="0"/>
    <x v="2"/>
    <x v="2"/>
    <x v="0"/>
  </r>
  <r>
    <s v="Analyzer Status changed from Not connected to Power up."/>
    <x v="0"/>
    <x v="0"/>
    <d v="2016-11-02T00:00:00"/>
    <d v="1899-12-30T10:13:46"/>
    <s v="Analyzer"/>
    <x v="0"/>
    <x v="0"/>
    <x v="0"/>
    <x v="0"/>
  </r>
  <r>
    <s v="Analyzer Status changed from Power up to Initializing."/>
    <x v="0"/>
    <x v="0"/>
    <d v="2016-11-02T00:00:00"/>
    <d v="1899-12-30T10:13:56"/>
    <s v="Analyzer"/>
    <x v="0"/>
    <x v="0"/>
    <x v="0"/>
    <x v="0"/>
  </r>
  <r>
    <s v="D-Dimer HS Latex volume low."/>
    <x v="7"/>
    <x v="1"/>
    <d v="2016-11-02T00:00:00"/>
    <d v="1899-12-30T10:14:38"/>
    <s v="Materials"/>
    <x v="0"/>
    <x v="3"/>
    <x v="4"/>
    <x v="0"/>
  </r>
  <r>
    <s v="Analyzer Status changed from Initializing to Adjusting thermal."/>
    <x v="0"/>
    <x v="0"/>
    <d v="2016-11-02T00:00:00"/>
    <d v="1899-12-30T10:15:44"/>
    <s v="Analyzer"/>
    <x v="0"/>
    <x v="0"/>
    <x v="0"/>
    <x v="0"/>
  </r>
  <r>
    <s v="D-Dimer HS Latex volume low."/>
    <x v="7"/>
    <x v="1"/>
    <d v="2016-11-02T00:00:00"/>
    <d v="1899-12-30T10:16:09"/>
    <s v="Materials"/>
    <x v="0"/>
    <x v="3"/>
    <x v="4"/>
    <x v="0"/>
  </r>
  <r>
    <s v="Auto-Validation Rules have been modified."/>
    <x v="8"/>
    <x v="0"/>
    <d v="2016-11-02T00:00:00"/>
    <d v="1899-12-30T10:17:57"/>
    <s v="Setup"/>
    <x v="0"/>
    <x v="2"/>
    <x v="5"/>
    <x v="0"/>
  </r>
  <r>
    <s v="Analyzer Status changed from Adjusting thermal to Ready."/>
    <x v="0"/>
    <x v="0"/>
    <d v="2016-11-02T00:00:00"/>
    <d v="1899-12-30T10:18:03"/>
    <s v="Analyzer"/>
    <x v="0"/>
    <x v="0"/>
    <x v="0"/>
    <x v="0"/>
  </r>
  <r>
    <s v="Analyzer Status changed from Ready to Maintenance."/>
    <x v="0"/>
    <x v="0"/>
    <d v="2016-11-02T00:00:00"/>
    <d v="1899-12-30T10:18:03"/>
    <s v="Analyzer"/>
    <x v="0"/>
    <x v="0"/>
    <x v="0"/>
    <x v="0"/>
  </r>
  <r>
    <s v="Analyzer Status changed from Maintenance to Ready."/>
    <x v="0"/>
    <x v="0"/>
    <d v="2016-11-02T00:00:00"/>
    <d v="1899-12-30T10:19:17"/>
    <s v="Analyzer"/>
    <x v="0"/>
    <x v="0"/>
    <x v="0"/>
    <x v="0"/>
  </r>
  <r>
    <s v="Analyzer Status changed from Ready to Busy."/>
    <x v="0"/>
    <x v="0"/>
    <d v="2016-11-02T00:00:00"/>
    <d v="1899-12-30T10:23:11"/>
    <s v="Analyzer"/>
    <x v="0"/>
    <x v="0"/>
    <x v="0"/>
    <x v="0"/>
  </r>
  <r>
    <s v="Analyzer Status changed from Busy to Ready."/>
    <x v="0"/>
    <x v="0"/>
    <d v="2016-11-02T00:00:00"/>
    <d v="1899-12-30T10:29:24"/>
    <s v="Analyzer"/>
    <x v="0"/>
    <x v="0"/>
    <x v="0"/>
    <x v="0"/>
  </r>
  <r>
    <s v="Analyzer Status changed from Ready to Maintenance."/>
    <x v="0"/>
    <x v="0"/>
    <d v="2016-11-02T00:00:00"/>
    <d v="1899-12-30T10:29:25"/>
    <s v="Analyzer"/>
    <x v="0"/>
    <x v="0"/>
    <x v="0"/>
    <x v="0"/>
  </r>
  <r>
    <s v="Automatic maintenance activity Automatic Routine Clean for all Probes has been executed."/>
    <x v="2"/>
    <x v="0"/>
    <d v="2016-11-02T00:00:00"/>
    <d v="1899-12-30T10:29:51"/>
    <s v="Maintenance"/>
    <x v="0"/>
    <x v="2"/>
    <x v="2"/>
    <x v="0"/>
  </r>
  <r>
    <s v="Analyzer Status changed from Maintenance to Ready."/>
    <x v="0"/>
    <x v="0"/>
    <d v="2016-11-02T00:00:00"/>
    <d v="1899-12-30T10:29:52"/>
    <s v="Analyzer"/>
    <x v="0"/>
    <x v="0"/>
    <x v="0"/>
    <x v="0"/>
  </r>
  <r>
    <s v="Analyzer Status changed from Ready to Busy."/>
    <x v="0"/>
    <x v="0"/>
    <d v="2016-11-02T00:00:00"/>
    <d v="1899-12-30T10:34:43"/>
    <s v="Analyzer"/>
    <x v="0"/>
    <x v="0"/>
    <x v="0"/>
    <x v="0"/>
  </r>
  <r>
    <s v="Analyzer Status changed from Busy to Ready."/>
    <x v="0"/>
    <x v="0"/>
    <d v="2016-11-02T00:00:00"/>
    <d v="1899-12-30T10:44:04"/>
    <s v="Analyzer"/>
    <x v="0"/>
    <x v="0"/>
    <x v="0"/>
    <x v="0"/>
  </r>
  <r>
    <s v="Analyzer Status changed from Ready to Maintenance."/>
    <x v="0"/>
    <x v="0"/>
    <d v="2016-11-02T00:00:00"/>
    <d v="1899-12-30T10:44:05"/>
    <s v="Analyzer"/>
    <x v="0"/>
    <x v="0"/>
    <x v="0"/>
    <x v="0"/>
  </r>
  <r>
    <s v="Analyzer Status changed from Maintenance to Ready."/>
    <x v="0"/>
    <x v="0"/>
    <d v="2016-11-02T00:00:00"/>
    <d v="1899-12-30T10:44:30"/>
    <s v="Analyzer"/>
    <x v="0"/>
    <x v="0"/>
    <x v="0"/>
    <x v="0"/>
  </r>
  <r>
    <s v="Automatic maintenance activity Automatic Routine Clean for all Probes has been executed."/>
    <x v="2"/>
    <x v="0"/>
    <d v="2016-11-02T00:00:00"/>
    <d v="1899-12-30T10:44:30"/>
    <s v="Maintenance"/>
    <x v="0"/>
    <x v="2"/>
    <x v="2"/>
    <x v="0"/>
  </r>
  <r>
    <s v="Analyzer Status changed from Ready to Busy."/>
    <x v="0"/>
    <x v="0"/>
    <d v="2016-11-02T00:00:00"/>
    <d v="1899-12-30T10:49:08"/>
    <s v="Analyzer"/>
    <x v="0"/>
    <x v="0"/>
    <x v="0"/>
    <x v="0"/>
  </r>
  <r>
    <s v="Analyzer Status changed from Busy to Ready."/>
    <x v="0"/>
    <x v="0"/>
    <d v="2016-11-02T00:00:00"/>
    <d v="1899-12-30T10:54:48"/>
    <s v="Analyzer"/>
    <x v="0"/>
    <x v="0"/>
    <x v="0"/>
    <x v="0"/>
  </r>
  <r>
    <s v="Analyzer Status changed from Ready to Maintenance."/>
    <x v="0"/>
    <x v="0"/>
    <d v="2016-11-02T00:00:00"/>
    <d v="1899-12-30T10:54:49"/>
    <s v="Analyzer"/>
    <x v="0"/>
    <x v="0"/>
    <x v="0"/>
    <x v="0"/>
  </r>
  <r>
    <s v="Analyzer Status changed from Maintenance to Ready."/>
    <x v="0"/>
    <x v="0"/>
    <d v="2016-11-02T00:00:00"/>
    <d v="1899-12-30T10:55:18"/>
    <s v="Analyzer"/>
    <x v="0"/>
    <x v="0"/>
    <x v="0"/>
    <x v="0"/>
  </r>
  <r>
    <s v="Automatic maintenance activity Automatic Routine Clean for all Probes has been executed."/>
    <x v="2"/>
    <x v="0"/>
    <d v="2016-11-02T00:00:00"/>
    <d v="1899-12-30T10:55:18"/>
    <s v="Maintenance"/>
    <x v="0"/>
    <x v="2"/>
    <x v="2"/>
    <x v="0"/>
  </r>
  <r>
    <s v="Analyzer Status changed from Ready to Busy."/>
    <x v="0"/>
    <x v="0"/>
    <d v="2016-11-02T00:00:00"/>
    <d v="1899-12-30T11:05:51"/>
    <s v="Analyzer"/>
    <x v="0"/>
    <x v="0"/>
    <x v="0"/>
    <x v="0"/>
  </r>
  <r>
    <s v="Analyzer Status changed from Busy to Ready."/>
    <x v="0"/>
    <x v="0"/>
    <d v="2016-11-02T00:00:00"/>
    <d v="1899-12-30T11:09:09"/>
    <s v="Analyzer"/>
    <x v="0"/>
    <x v="0"/>
    <x v="0"/>
    <x v="0"/>
  </r>
  <r>
    <s v="Analyzer Status changed from Ready to Maintenance."/>
    <x v="0"/>
    <x v="0"/>
    <d v="2016-11-02T00:00:00"/>
    <d v="1899-12-30T11:09:09"/>
    <s v="Analyzer"/>
    <x v="0"/>
    <x v="0"/>
    <x v="0"/>
    <x v="0"/>
  </r>
  <r>
    <s v="Analyzer Status changed from Maintenance to Ready."/>
    <x v="0"/>
    <x v="0"/>
    <d v="2016-11-02T00:00:00"/>
    <d v="1899-12-30T11:09:36"/>
    <s v="Analyzer"/>
    <x v="0"/>
    <x v="0"/>
    <x v="0"/>
    <x v="0"/>
  </r>
  <r>
    <s v="Automatic maintenance activity Automatic Routine Clean for all Probes has been executed."/>
    <x v="2"/>
    <x v="0"/>
    <d v="2016-11-02T00:00:00"/>
    <d v="1899-12-30T11:09:36"/>
    <s v="Maintenance"/>
    <x v="0"/>
    <x v="2"/>
    <x v="2"/>
    <x v="0"/>
  </r>
  <r>
    <s v="Analyzer Status changed from Ready to Busy."/>
    <x v="0"/>
    <x v="0"/>
    <d v="2016-11-02T00:00:00"/>
    <d v="1899-12-30T11:10:40"/>
    <s v="Analyzer"/>
    <x v="0"/>
    <x v="0"/>
    <x v="0"/>
    <x v="0"/>
  </r>
  <r>
    <s v="Analyzer Status changed from Busy to Ready."/>
    <x v="0"/>
    <x v="0"/>
    <d v="2016-11-02T00:00:00"/>
    <d v="1899-12-30T11:18:06"/>
    <s v="Analyzer"/>
    <x v="0"/>
    <x v="0"/>
    <x v="0"/>
    <x v="0"/>
  </r>
  <r>
    <s v="Analyzer Status changed from Ready to Maintenance."/>
    <x v="0"/>
    <x v="0"/>
    <d v="2016-11-02T00:00:00"/>
    <d v="1899-12-30T11:18:07"/>
    <s v="Analyzer"/>
    <x v="0"/>
    <x v="0"/>
    <x v="0"/>
    <x v="0"/>
  </r>
  <r>
    <s v="Analyzer Status changed from Maintenance to Ready."/>
    <x v="0"/>
    <x v="0"/>
    <d v="2016-11-02T00:00:00"/>
    <d v="1899-12-30T11:18:33"/>
    <s v="Analyzer"/>
    <x v="0"/>
    <x v="0"/>
    <x v="0"/>
    <x v="0"/>
  </r>
  <r>
    <s v="Automatic maintenance activity Automatic Routine Clean for all Probes has been executed."/>
    <x v="2"/>
    <x v="0"/>
    <d v="2016-11-02T00:00:00"/>
    <d v="1899-12-30T11:18:33"/>
    <s v="Maintenance"/>
    <x v="0"/>
    <x v="2"/>
    <x v="2"/>
    <x v="0"/>
  </r>
  <r>
    <s v="Communications between the instrument and the LIS have been lost."/>
    <x v="13"/>
    <x v="2"/>
    <d v="2016-11-02T00:00:00"/>
    <d v="1899-12-30T11:28:28"/>
    <s v="LIS"/>
    <x v="0"/>
    <x v="2"/>
    <x v="6"/>
    <x v="0"/>
  </r>
  <r>
    <s v="Communications between the instrument and the LIS have been lost."/>
    <x v="13"/>
    <x v="2"/>
    <d v="2016-11-02T00:00:00"/>
    <d v="1899-12-30T11:35:22"/>
    <s v="LIS"/>
    <x v="0"/>
    <x v="2"/>
    <x v="6"/>
    <x v="0"/>
  </r>
  <r>
    <s v="Analyzer Status changed from Ready to Busy."/>
    <x v="0"/>
    <x v="0"/>
    <d v="2016-11-02T00:00:00"/>
    <d v="1899-12-30T11:46:05"/>
    <s v="Analyzer"/>
    <x v="0"/>
    <x v="0"/>
    <x v="0"/>
    <x v="0"/>
  </r>
  <r>
    <s v="Analyzer Status changed from Busy to Ready."/>
    <x v="0"/>
    <x v="0"/>
    <d v="2016-11-02T00:00:00"/>
    <d v="1899-12-30T11:49:24"/>
    <s v="Analyzer"/>
    <x v="0"/>
    <x v="0"/>
    <x v="0"/>
    <x v="0"/>
  </r>
  <r>
    <s v="Analyzer Status changed from Ready to Maintenance."/>
    <x v="0"/>
    <x v="0"/>
    <d v="2016-11-02T00:00:00"/>
    <d v="1899-12-30T11:49:24"/>
    <s v="Analyzer"/>
    <x v="0"/>
    <x v="0"/>
    <x v="0"/>
    <x v="0"/>
  </r>
  <r>
    <s v="Analyzer Status changed from Maintenance to Ready."/>
    <x v="0"/>
    <x v="0"/>
    <d v="2016-11-02T00:00:00"/>
    <d v="1899-12-30T11:49:49"/>
    <s v="Analyzer"/>
    <x v="0"/>
    <x v="0"/>
    <x v="0"/>
    <x v="0"/>
  </r>
  <r>
    <s v="Automatic maintenance activity Automatic Routine Clean for all Probes has been executed."/>
    <x v="2"/>
    <x v="0"/>
    <d v="2016-11-02T00:00:00"/>
    <d v="1899-12-30T11:49:49"/>
    <s v="Maintenance"/>
    <x v="0"/>
    <x v="2"/>
    <x v="2"/>
    <x v="0"/>
  </r>
  <r>
    <s v="Analyzer Status changed from Ready to Busy."/>
    <x v="0"/>
    <x v="0"/>
    <d v="2016-11-02T00:00:00"/>
    <d v="1899-12-30T11:57:16"/>
    <s v="Analyzer"/>
    <x v="0"/>
    <x v="0"/>
    <x v="0"/>
    <x v="0"/>
  </r>
  <r>
    <s v="PT RecombiPlasTin volume low."/>
    <x v="7"/>
    <x v="1"/>
    <d v="2016-11-02T00:00:00"/>
    <d v="1899-12-30T11:58:55"/>
    <s v="Materials"/>
    <x v="0"/>
    <x v="3"/>
    <x v="4"/>
    <x v="0"/>
  </r>
  <r>
    <s v="System Definitions: LIS parameters modified."/>
    <x v="10"/>
    <x v="0"/>
    <d v="2016-11-02T00:00:00"/>
    <d v="1899-12-30T12:00:13"/>
    <s v="Setup"/>
    <x v="0"/>
    <x v="2"/>
    <x v="6"/>
    <x v="0"/>
  </r>
  <r>
    <s v="Duplicated Test Order for 30601478A received from host (LIS # 921)."/>
    <x v="74"/>
    <x v="1"/>
    <d v="2016-11-02T00:00:00"/>
    <d v="1899-12-30T12:01:30"/>
    <s v="LIS"/>
    <x v="0"/>
    <x v="2"/>
    <x v="6"/>
    <x v="0"/>
  </r>
  <r>
    <s v="Duplicated Test Order for 30601496A received from host (LIS # 131)."/>
    <x v="74"/>
    <x v="1"/>
    <d v="2016-11-02T00:00:00"/>
    <d v="1899-12-30T12:01:32"/>
    <s v="LIS"/>
    <x v="0"/>
    <x v="2"/>
    <x v="6"/>
    <x v="0"/>
  </r>
  <r>
    <s v="Duplicated Test Order for 30701223C received from host (LIS # 921)."/>
    <x v="74"/>
    <x v="1"/>
    <d v="2016-11-02T00:00:00"/>
    <d v="1899-12-30T12:02:13"/>
    <s v="LIS"/>
    <x v="0"/>
    <x v="2"/>
    <x v="6"/>
    <x v="0"/>
  </r>
  <r>
    <s v="Duplicated Test Order for 30601355A received from host (LIS # 2101)."/>
    <x v="74"/>
    <x v="1"/>
    <d v="2016-11-02T00:00:00"/>
    <d v="1899-12-30T12:02:38"/>
    <s v="LIS"/>
    <x v="0"/>
    <x v="2"/>
    <x v="6"/>
    <x v="0"/>
  </r>
  <r>
    <s v="Duplicated Test Order for 30601478A received from host (LIS # 921)."/>
    <x v="74"/>
    <x v="1"/>
    <d v="2016-11-02T00:00:00"/>
    <d v="1899-12-30T12:02:38"/>
    <s v="LIS"/>
    <x v="0"/>
    <x v="2"/>
    <x v="6"/>
    <x v="0"/>
  </r>
  <r>
    <s v="Duplicated Test Order for 30601493D received from host (LIS # 131)."/>
    <x v="74"/>
    <x v="1"/>
    <d v="2016-11-02T00:00:00"/>
    <d v="1899-12-30T12:02:38"/>
    <s v="LIS"/>
    <x v="0"/>
    <x v="2"/>
    <x v="6"/>
    <x v="0"/>
  </r>
  <r>
    <s v="Duplicated Test Order for 30601493D received from host (LIS # 921)."/>
    <x v="74"/>
    <x v="1"/>
    <d v="2016-11-02T00:00:00"/>
    <d v="1899-12-30T12:02:39"/>
    <s v="LIS"/>
    <x v="0"/>
    <x v="2"/>
    <x v="6"/>
    <x v="0"/>
  </r>
  <r>
    <s v="Duplicated Test Order for 30601493D received from host (LIS # 2101)."/>
    <x v="74"/>
    <x v="1"/>
    <d v="2016-11-02T00:00:00"/>
    <d v="1899-12-30T12:02:39"/>
    <s v="LIS"/>
    <x v="0"/>
    <x v="2"/>
    <x v="6"/>
    <x v="0"/>
  </r>
  <r>
    <s v="Duplicated Test Order for 30601496A received from host (LIS # 131)."/>
    <x v="74"/>
    <x v="1"/>
    <d v="2016-11-02T00:00:00"/>
    <d v="1899-12-30T12:02:39"/>
    <s v="LIS"/>
    <x v="0"/>
    <x v="2"/>
    <x v="6"/>
    <x v="0"/>
  </r>
  <r>
    <s v="Duplicated Test Order for 30601510A received from host (LIS # 131)."/>
    <x v="74"/>
    <x v="1"/>
    <d v="2016-11-02T00:00:00"/>
    <d v="1899-12-30T12:02:39"/>
    <s v="LIS"/>
    <x v="0"/>
    <x v="2"/>
    <x v="6"/>
    <x v="0"/>
  </r>
  <r>
    <s v="Duplicated Test Order for 30601528A received from host (LIS # 131)."/>
    <x v="74"/>
    <x v="1"/>
    <d v="2016-11-02T00:00:00"/>
    <d v="1899-12-30T12:02:39"/>
    <s v="LIS"/>
    <x v="0"/>
    <x v="2"/>
    <x v="6"/>
    <x v="0"/>
  </r>
  <r>
    <s v="Duplicated Test Order for 30601551A received from host (LIS # 131)."/>
    <x v="74"/>
    <x v="1"/>
    <d v="2016-11-02T00:00:00"/>
    <d v="1899-12-30T12:02:40"/>
    <s v="LIS"/>
    <x v="0"/>
    <x v="2"/>
    <x v="6"/>
    <x v="0"/>
  </r>
  <r>
    <s v="Duplicated Test Order for 30601551A received from host (LIS # 921)."/>
    <x v="74"/>
    <x v="1"/>
    <d v="2016-11-02T00:00:00"/>
    <d v="1899-12-30T12:02:40"/>
    <s v="LIS"/>
    <x v="0"/>
    <x v="2"/>
    <x v="6"/>
    <x v="0"/>
  </r>
  <r>
    <s v="Duplicated Test Order for 30601551A received from host (LIS # 2011)."/>
    <x v="74"/>
    <x v="1"/>
    <d v="2016-11-02T00:00:00"/>
    <d v="1899-12-30T12:02:41"/>
    <s v="LIS"/>
    <x v="0"/>
    <x v="2"/>
    <x v="6"/>
    <x v="0"/>
  </r>
  <r>
    <s v="Duplicated Test Order for 30601553B received from host (LIS # 131)."/>
    <x v="74"/>
    <x v="1"/>
    <d v="2016-11-02T00:00:00"/>
    <d v="1899-12-30T12:02:41"/>
    <s v="LIS"/>
    <x v="0"/>
    <x v="2"/>
    <x v="6"/>
    <x v="0"/>
  </r>
  <r>
    <s v="Duplicated Test Order for 30601559A received from host (LIS # 2241)."/>
    <x v="74"/>
    <x v="1"/>
    <d v="2016-11-02T00:00:00"/>
    <d v="1899-12-30T12:02:41"/>
    <s v="LIS"/>
    <x v="0"/>
    <x v="2"/>
    <x v="6"/>
    <x v="0"/>
  </r>
  <r>
    <s v="Duplicated Test Order for 30601564D received from host (LIS # 131)."/>
    <x v="74"/>
    <x v="1"/>
    <d v="2016-11-02T00:00:00"/>
    <d v="1899-12-30T12:02:41"/>
    <s v="LIS"/>
    <x v="0"/>
    <x v="2"/>
    <x v="6"/>
    <x v="0"/>
  </r>
  <r>
    <s v="Duplicated Test Order for 30601588A received from host (LIS # 131)."/>
    <x v="74"/>
    <x v="1"/>
    <d v="2016-11-02T00:00:00"/>
    <d v="1899-12-30T12:02:41"/>
    <s v="LIS"/>
    <x v="0"/>
    <x v="2"/>
    <x v="6"/>
    <x v="0"/>
  </r>
  <r>
    <s v="Duplicated Test Order for 30601600C received from host (LIS # 131)."/>
    <x v="74"/>
    <x v="1"/>
    <d v="2016-11-02T00:00:00"/>
    <d v="1899-12-30T12:02:41"/>
    <s v="LIS"/>
    <x v="0"/>
    <x v="2"/>
    <x v="6"/>
    <x v="0"/>
  </r>
  <r>
    <s v="Duplicated Test Order for 30601600C received from host (LIS # 921)."/>
    <x v="74"/>
    <x v="1"/>
    <d v="2016-11-02T00:00:00"/>
    <d v="1899-12-30T12:02:42"/>
    <s v="LIS"/>
    <x v="0"/>
    <x v="2"/>
    <x v="6"/>
    <x v="0"/>
  </r>
  <r>
    <s v="Duplicated Test Order for 30601602A received from host (LIS # 921)."/>
    <x v="74"/>
    <x v="1"/>
    <d v="2016-11-02T00:00:00"/>
    <d v="1899-12-30T12:02:42"/>
    <s v="LIS"/>
    <x v="0"/>
    <x v="2"/>
    <x v="6"/>
    <x v="0"/>
  </r>
  <r>
    <s v="Duplicated Test Order for 30601604A received from host (LIS # 2101)."/>
    <x v="74"/>
    <x v="1"/>
    <d v="2016-11-02T00:00:00"/>
    <d v="1899-12-30T12:02:42"/>
    <s v="LIS"/>
    <x v="0"/>
    <x v="2"/>
    <x v="6"/>
    <x v="0"/>
  </r>
  <r>
    <s v="Duplicated Test Order for 30601606A received from host (LIS # 2101)."/>
    <x v="74"/>
    <x v="1"/>
    <d v="2016-11-02T00:00:00"/>
    <d v="1899-12-30T12:02:42"/>
    <s v="LIS"/>
    <x v="0"/>
    <x v="2"/>
    <x v="6"/>
    <x v="0"/>
  </r>
  <r>
    <s v="Duplicated Test Order for 30601626A received from host (LIS # 131)."/>
    <x v="74"/>
    <x v="1"/>
    <d v="2016-11-02T00:00:00"/>
    <d v="1899-12-30T12:02:42"/>
    <s v="LIS"/>
    <x v="0"/>
    <x v="2"/>
    <x v="6"/>
    <x v="0"/>
  </r>
  <r>
    <s v="Duplicated Test Order for 30601666A received from host (LIS # 131)."/>
    <x v="74"/>
    <x v="1"/>
    <d v="2016-11-02T00:00:00"/>
    <d v="1899-12-30T12:02:42"/>
    <s v="LIS"/>
    <x v="0"/>
    <x v="2"/>
    <x v="6"/>
    <x v="0"/>
  </r>
  <r>
    <s v="Duplicated Test Order for 30601676A received from host (LIS # 2101)."/>
    <x v="74"/>
    <x v="1"/>
    <d v="2016-11-02T00:00:00"/>
    <d v="1899-12-30T12:02:42"/>
    <s v="LIS"/>
    <x v="0"/>
    <x v="2"/>
    <x v="6"/>
    <x v="0"/>
  </r>
  <r>
    <s v="Duplicated Test Order for 30601773A received from host (LIS # 131)."/>
    <x v="74"/>
    <x v="1"/>
    <d v="2016-11-02T00:00:00"/>
    <d v="1899-12-30T12:02:43"/>
    <s v="LIS"/>
    <x v="0"/>
    <x v="2"/>
    <x v="6"/>
    <x v="0"/>
  </r>
  <r>
    <s v="Duplicated Test Order for 30601773A received from host (LIS # 921)."/>
    <x v="74"/>
    <x v="1"/>
    <d v="2016-11-02T00:00:00"/>
    <d v="1899-12-30T12:02:43"/>
    <s v="LIS"/>
    <x v="0"/>
    <x v="2"/>
    <x v="6"/>
    <x v="0"/>
  </r>
  <r>
    <s v="Duplicated Test Order for 30601773A received from host (LIS # 2011)."/>
    <x v="74"/>
    <x v="1"/>
    <d v="2016-11-02T00:00:00"/>
    <d v="1899-12-30T12:02:44"/>
    <s v="LIS"/>
    <x v="0"/>
    <x v="2"/>
    <x v="6"/>
    <x v="0"/>
  </r>
  <r>
    <s v="Duplicated Test Order for 30601803A received from host (LIS # 131)."/>
    <x v="74"/>
    <x v="1"/>
    <d v="2016-11-02T00:00:00"/>
    <d v="1899-12-30T12:02:44"/>
    <s v="LIS"/>
    <x v="0"/>
    <x v="2"/>
    <x v="6"/>
    <x v="0"/>
  </r>
  <r>
    <s v="Duplicated Test Order for 30601818A received from host (LIS # 2241)."/>
    <x v="74"/>
    <x v="1"/>
    <d v="2016-11-02T00:00:00"/>
    <d v="1899-12-30T12:02:44"/>
    <s v="LIS"/>
    <x v="0"/>
    <x v="2"/>
    <x v="6"/>
    <x v="0"/>
  </r>
  <r>
    <s v="Duplicated Test Order for 30601845A received from host (LIS # 921)."/>
    <x v="74"/>
    <x v="1"/>
    <d v="2016-11-02T00:00:00"/>
    <d v="1899-12-30T12:02:44"/>
    <s v="LIS"/>
    <x v="0"/>
    <x v="2"/>
    <x v="6"/>
    <x v="0"/>
  </r>
  <r>
    <s v="Duplicated Test Order for 30601874A received from host (LIS # 131)."/>
    <x v="74"/>
    <x v="1"/>
    <d v="2016-11-02T00:00:00"/>
    <d v="1899-12-30T12:02:44"/>
    <s v="LIS"/>
    <x v="0"/>
    <x v="2"/>
    <x v="6"/>
    <x v="0"/>
  </r>
  <r>
    <s v="Duplicated Test Order for 30601874A received from host (LIS # 921)."/>
    <x v="74"/>
    <x v="1"/>
    <d v="2016-11-02T00:00:00"/>
    <d v="1899-12-30T12:02:44"/>
    <s v="LIS"/>
    <x v="0"/>
    <x v="2"/>
    <x v="6"/>
    <x v="0"/>
  </r>
  <r>
    <s v="Duplicated Test Order for 30601882A received from host (LIS # 131)."/>
    <x v="74"/>
    <x v="1"/>
    <d v="2016-11-02T00:00:00"/>
    <d v="1899-12-30T12:02:45"/>
    <s v="LIS"/>
    <x v="0"/>
    <x v="2"/>
    <x v="6"/>
    <x v="0"/>
  </r>
  <r>
    <s v="Duplicated Test Order for 30601907A received from host (LIS # 131)."/>
    <x v="74"/>
    <x v="1"/>
    <d v="2016-11-02T00:00:00"/>
    <d v="1899-12-30T12:02:45"/>
    <s v="LIS"/>
    <x v="0"/>
    <x v="2"/>
    <x v="6"/>
    <x v="0"/>
  </r>
  <r>
    <s v="Duplicated Test Order for 30601913B received from host (LIS # 2241)."/>
    <x v="74"/>
    <x v="1"/>
    <d v="2016-11-02T00:00:00"/>
    <d v="1899-12-30T12:02:45"/>
    <s v="LIS"/>
    <x v="0"/>
    <x v="2"/>
    <x v="6"/>
    <x v="0"/>
  </r>
  <r>
    <s v="Duplicated Test Order for 30601919C received from host (LIS # 131)."/>
    <x v="74"/>
    <x v="1"/>
    <d v="2016-11-02T00:00:00"/>
    <d v="1899-12-30T12:02:45"/>
    <s v="LIS"/>
    <x v="0"/>
    <x v="2"/>
    <x v="6"/>
    <x v="0"/>
  </r>
  <r>
    <s v="Duplicated Test Order for 30601919C received from host (LIS # 921)."/>
    <x v="74"/>
    <x v="1"/>
    <d v="2016-11-02T00:00:00"/>
    <d v="1899-12-30T12:02:45"/>
    <s v="LIS"/>
    <x v="0"/>
    <x v="2"/>
    <x v="6"/>
    <x v="0"/>
  </r>
  <r>
    <s v="Duplicated Test Order for 30601960A received from host (LIS # 131)."/>
    <x v="74"/>
    <x v="1"/>
    <d v="2016-11-02T00:00:00"/>
    <d v="1899-12-30T12:02:46"/>
    <s v="LIS"/>
    <x v="0"/>
    <x v="2"/>
    <x v="6"/>
    <x v="0"/>
  </r>
  <r>
    <s v="Duplicated Test Order for 30601960A received from host (LIS # 921)."/>
    <x v="74"/>
    <x v="1"/>
    <d v="2016-11-02T00:00:00"/>
    <d v="1899-12-30T12:02:46"/>
    <s v="LIS"/>
    <x v="0"/>
    <x v="2"/>
    <x v="6"/>
    <x v="0"/>
  </r>
  <r>
    <s v="Duplicated Test Order for 30602082B received from host (LIS # 131)."/>
    <x v="74"/>
    <x v="1"/>
    <d v="2016-11-02T00:00:00"/>
    <d v="1899-12-30T12:02:46"/>
    <s v="LIS"/>
    <x v="0"/>
    <x v="2"/>
    <x v="6"/>
    <x v="0"/>
  </r>
  <r>
    <s v="Duplicated Test Order for 30602138A received from host (LIS # 131)."/>
    <x v="74"/>
    <x v="1"/>
    <d v="2016-11-02T00:00:00"/>
    <d v="1899-12-30T12:02:46"/>
    <s v="LIS"/>
    <x v="0"/>
    <x v="2"/>
    <x v="6"/>
    <x v="0"/>
  </r>
  <r>
    <s v="Duplicated Test Order for 30602138A received from host (LIS # 921)."/>
    <x v="74"/>
    <x v="1"/>
    <d v="2016-11-02T00:00:00"/>
    <d v="1899-12-30T12:02:47"/>
    <s v="LIS"/>
    <x v="0"/>
    <x v="2"/>
    <x v="6"/>
    <x v="0"/>
  </r>
  <r>
    <s v="Duplicated Test Order for 30602174C received from host (LIS # 131)."/>
    <x v="74"/>
    <x v="1"/>
    <d v="2016-11-02T00:00:00"/>
    <d v="1899-12-30T12:02:47"/>
    <s v="LIS"/>
    <x v="0"/>
    <x v="2"/>
    <x v="6"/>
    <x v="0"/>
  </r>
  <r>
    <s v="Duplicated Test Order for 30602174C received from host (LIS # 921)."/>
    <x v="74"/>
    <x v="1"/>
    <d v="2016-11-02T00:00:00"/>
    <d v="1899-12-30T12:02:47"/>
    <s v="LIS"/>
    <x v="0"/>
    <x v="2"/>
    <x v="6"/>
    <x v="0"/>
  </r>
  <r>
    <s v="Duplicated Test Order for 30602222C received from host (LIS # 131)."/>
    <x v="74"/>
    <x v="1"/>
    <d v="2016-11-02T00:00:00"/>
    <d v="1899-12-30T12:02:47"/>
    <s v="LIS"/>
    <x v="0"/>
    <x v="2"/>
    <x v="6"/>
    <x v="0"/>
  </r>
  <r>
    <s v="Duplicated Test Order for 30602225C received from host (LIS # 131)."/>
    <x v="74"/>
    <x v="1"/>
    <d v="2016-11-02T00:00:00"/>
    <d v="1899-12-30T12:02:48"/>
    <s v="LIS"/>
    <x v="0"/>
    <x v="2"/>
    <x v="6"/>
    <x v="0"/>
  </r>
  <r>
    <s v="Duplicated Test Order for 30602225C received from host (LIS # 921)."/>
    <x v="74"/>
    <x v="1"/>
    <d v="2016-11-02T00:00:00"/>
    <d v="1899-12-30T12:02:48"/>
    <s v="LIS"/>
    <x v="0"/>
    <x v="2"/>
    <x v="6"/>
    <x v="0"/>
  </r>
  <r>
    <s v="Duplicated Test Order for 30602233A received from host (LIS # 2101)."/>
    <x v="74"/>
    <x v="1"/>
    <d v="2016-11-02T00:00:00"/>
    <d v="1899-12-30T12:02:48"/>
    <s v="LIS"/>
    <x v="0"/>
    <x v="2"/>
    <x v="6"/>
    <x v="0"/>
  </r>
  <r>
    <s v="Duplicated Test Order for 30602249C received from host (LIS # 131)."/>
    <x v="74"/>
    <x v="1"/>
    <d v="2016-11-02T00:00:00"/>
    <d v="1899-12-30T12:02:48"/>
    <s v="LIS"/>
    <x v="0"/>
    <x v="2"/>
    <x v="6"/>
    <x v="0"/>
  </r>
  <r>
    <s v="Duplicated Test Order for 30602249C received from host (LIS # 921)."/>
    <x v="74"/>
    <x v="1"/>
    <d v="2016-11-02T00:00:00"/>
    <d v="1899-12-30T12:02:49"/>
    <s v="LIS"/>
    <x v="0"/>
    <x v="2"/>
    <x v="6"/>
    <x v="0"/>
  </r>
  <r>
    <s v="Duplicated Test Order for 30602251A received from host (LIS # 131)."/>
    <x v="74"/>
    <x v="1"/>
    <d v="2016-11-02T00:00:00"/>
    <d v="1899-12-30T12:02:49"/>
    <s v="LIS"/>
    <x v="0"/>
    <x v="2"/>
    <x v="6"/>
    <x v="0"/>
  </r>
  <r>
    <s v="Duplicated Test Order for 30602251A received from host (LIS # 921)."/>
    <x v="74"/>
    <x v="1"/>
    <d v="2016-11-02T00:00:00"/>
    <d v="1899-12-30T12:02:49"/>
    <s v="LIS"/>
    <x v="0"/>
    <x v="2"/>
    <x v="6"/>
    <x v="0"/>
  </r>
  <r>
    <s v="Duplicated Test Order for 30602286A received from host (LIS # 2011)."/>
    <x v="74"/>
    <x v="1"/>
    <d v="2016-11-02T00:00:00"/>
    <d v="1899-12-30T12:02:49"/>
    <s v="LIS"/>
    <x v="0"/>
    <x v="2"/>
    <x v="6"/>
    <x v="0"/>
  </r>
  <r>
    <s v="Duplicated Test Order for 30602312B received from host (LIS # 131)."/>
    <x v="74"/>
    <x v="1"/>
    <d v="2016-11-02T00:00:00"/>
    <d v="1899-12-30T12:02:49"/>
    <s v="LIS"/>
    <x v="0"/>
    <x v="2"/>
    <x v="6"/>
    <x v="0"/>
  </r>
  <r>
    <s v="Duplicated Test Order for 30602325B received from host (LIS # 131)."/>
    <x v="74"/>
    <x v="1"/>
    <d v="2016-11-02T00:00:00"/>
    <d v="1899-12-30T12:02:49"/>
    <s v="LIS"/>
    <x v="0"/>
    <x v="2"/>
    <x v="6"/>
    <x v="0"/>
  </r>
  <r>
    <s v="Duplicated Test Order for 30602325B received from host (LIS # 921)."/>
    <x v="74"/>
    <x v="1"/>
    <d v="2016-11-02T00:00:00"/>
    <d v="1899-12-30T12:02:50"/>
    <s v="LIS"/>
    <x v="0"/>
    <x v="2"/>
    <x v="6"/>
    <x v="0"/>
  </r>
  <r>
    <s v="Duplicated Test Order for 30602325B received from host (LIS # 2011)."/>
    <x v="74"/>
    <x v="1"/>
    <d v="2016-11-02T00:00:00"/>
    <d v="1899-12-30T12:02:50"/>
    <s v="LIS"/>
    <x v="0"/>
    <x v="2"/>
    <x v="6"/>
    <x v="0"/>
  </r>
  <r>
    <s v="Duplicated Test Order for 30602332A received from host (LIS # 921)."/>
    <x v="74"/>
    <x v="1"/>
    <d v="2016-11-02T00:00:00"/>
    <d v="1899-12-30T12:02:50"/>
    <s v="LIS"/>
    <x v="0"/>
    <x v="2"/>
    <x v="6"/>
    <x v="0"/>
  </r>
  <r>
    <s v="Duplicated Test Order for 30602345B received from host (LIS # 131)."/>
    <x v="74"/>
    <x v="1"/>
    <d v="2016-11-02T00:00:00"/>
    <d v="1899-12-30T12:02:50"/>
    <s v="LIS"/>
    <x v="0"/>
    <x v="2"/>
    <x v="6"/>
    <x v="0"/>
  </r>
  <r>
    <s v="Duplicated Test Order for 30602345B received from host (LIS # 921)."/>
    <x v="74"/>
    <x v="1"/>
    <d v="2016-11-02T00:00:00"/>
    <d v="1899-12-30T12:02:51"/>
    <s v="LIS"/>
    <x v="0"/>
    <x v="2"/>
    <x v="6"/>
    <x v="0"/>
  </r>
  <r>
    <s v="Duplicated Test Order for 30602363A received from host (LIS # 131)."/>
    <x v="74"/>
    <x v="1"/>
    <d v="2016-11-02T00:00:00"/>
    <d v="1899-12-30T12:02:51"/>
    <s v="LIS"/>
    <x v="0"/>
    <x v="2"/>
    <x v="6"/>
    <x v="0"/>
  </r>
  <r>
    <s v="Duplicated Test Order for 30602382A received from host (LIS # 921)."/>
    <x v="74"/>
    <x v="1"/>
    <d v="2016-11-02T00:00:00"/>
    <d v="1899-12-30T12:02:51"/>
    <s v="LIS"/>
    <x v="0"/>
    <x v="2"/>
    <x v="6"/>
    <x v="0"/>
  </r>
  <r>
    <s v="Duplicated Test Order for 30602414B received from host (LIS # 131)."/>
    <x v="74"/>
    <x v="1"/>
    <d v="2016-11-02T00:00:00"/>
    <d v="1899-12-30T12:02:51"/>
    <s v="LIS"/>
    <x v="0"/>
    <x v="2"/>
    <x v="6"/>
    <x v="0"/>
  </r>
  <r>
    <s v="Duplicated Test Order for 30602476A received from host (LIS # 2101)."/>
    <x v="74"/>
    <x v="1"/>
    <d v="2016-11-02T00:00:00"/>
    <d v="1899-12-30T12:02:51"/>
    <s v="LIS"/>
    <x v="0"/>
    <x v="2"/>
    <x v="6"/>
    <x v="0"/>
  </r>
  <r>
    <s v="Duplicated Test Order for 30602498A received from host (LIS # 131)."/>
    <x v="74"/>
    <x v="1"/>
    <d v="2016-11-02T00:00:00"/>
    <d v="1899-12-30T12:02:51"/>
    <s v="LIS"/>
    <x v="0"/>
    <x v="2"/>
    <x v="6"/>
    <x v="0"/>
  </r>
  <r>
    <s v="Duplicated Test Order for 30602518A received from host (LIS # 131)."/>
    <x v="74"/>
    <x v="1"/>
    <d v="2016-11-02T00:00:00"/>
    <d v="1899-12-30T12:02:51"/>
    <s v="LIS"/>
    <x v="0"/>
    <x v="2"/>
    <x v="6"/>
    <x v="0"/>
  </r>
  <r>
    <s v="Duplicated Test Order for 30602520B received from host (LIS # 131)."/>
    <x v="74"/>
    <x v="1"/>
    <d v="2016-11-02T00:00:00"/>
    <d v="1899-12-30T12:02:52"/>
    <s v="LIS"/>
    <x v="0"/>
    <x v="2"/>
    <x v="6"/>
    <x v="0"/>
  </r>
  <r>
    <s v="Duplicated Test Order for 30602538B received from host (LIS # 131)."/>
    <x v="74"/>
    <x v="1"/>
    <d v="2016-11-02T00:00:00"/>
    <d v="1899-12-30T12:02:52"/>
    <s v="LIS"/>
    <x v="0"/>
    <x v="2"/>
    <x v="6"/>
    <x v="0"/>
  </r>
  <r>
    <s v="Duplicated Test Order for 30602555C received from host (LIS # 131)."/>
    <x v="74"/>
    <x v="1"/>
    <d v="2016-11-02T00:00:00"/>
    <d v="1899-12-30T12:02:52"/>
    <s v="LIS"/>
    <x v="0"/>
    <x v="2"/>
    <x v="6"/>
    <x v="0"/>
  </r>
  <r>
    <s v="Duplicated Test Order for 30602555C received from host (LIS # 2011)."/>
    <x v="74"/>
    <x v="1"/>
    <d v="2016-11-02T00:00:00"/>
    <d v="1899-12-30T12:02:52"/>
    <s v="LIS"/>
    <x v="0"/>
    <x v="2"/>
    <x v="6"/>
    <x v="0"/>
  </r>
  <r>
    <s v="Duplicated Test Order for 30602558A received from host (LIS # 2101)."/>
    <x v="74"/>
    <x v="1"/>
    <d v="2016-11-02T00:00:00"/>
    <d v="1899-12-30T12:02:52"/>
    <s v="LIS"/>
    <x v="0"/>
    <x v="2"/>
    <x v="6"/>
    <x v="0"/>
  </r>
  <r>
    <s v="Duplicated Test Order for 30602577A received from host (LIS # 131)."/>
    <x v="74"/>
    <x v="1"/>
    <d v="2016-11-02T00:00:00"/>
    <d v="1899-12-30T12:02:53"/>
    <s v="LIS"/>
    <x v="0"/>
    <x v="2"/>
    <x v="6"/>
    <x v="0"/>
  </r>
  <r>
    <s v="Duplicated Test Order for 30602589A received from host (LIS # 131)."/>
    <x v="74"/>
    <x v="1"/>
    <d v="2016-11-02T00:00:00"/>
    <d v="1899-12-30T12:02:53"/>
    <s v="LIS"/>
    <x v="0"/>
    <x v="2"/>
    <x v="6"/>
    <x v="0"/>
  </r>
  <r>
    <s v="Duplicated Test Order for 30602590A received from host (LIS # 131)."/>
    <x v="74"/>
    <x v="1"/>
    <d v="2016-11-02T00:00:00"/>
    <d v="1899-12-30T12:02:53"/>
    <s v="LIS"/>
    <x v="0"/>
    <x v="2"/>
    <x v="6"/>
    <x v="0"/>
  </r>
  <r>
    <s v="Duplicated Test Order for 30602591B received from host (LIS # 131)."/>
    <x v="74"/>
    <x v="1"/>
    <d v="2016-11-02T00:00:00"/>
    <d v="1899-12-30T12:02:53"/>
    <s v="LIS"/>
    <x v="0"/>
    <x v="2"/>
    <x v="6"/>
    <x v="0"/>
  </r>
  <r>
    <s v="Duplicated Test Order for 30602650C received from host (LIS # 131)."/>
    <x v="74"/>
    <x v="1"/>
    <d v="2016-11-02T00:00:00"/>
    <d v="1899-12-30T12:02:53"/>
    <s v="LIS"/>
    <x v="0"/>
    <x v="2"/>
    <x v="6"/>
    <x v="0"/>
  </r>
  <r>
    <s v="Duplicated Test Order for 30602650C received from host (LIS # 921)."/>
    <x v="74"/>
    <x v="1"/>
    <d v="2016-11-02T00:00:00"/>
    <d v="1899-12-30T12:02:54"/>
    <s v="LIS"/>
    <x v="0"/>
    <x v="2"/>
    <x v="6"/>
    <x v="0"/>
  </r>
  <r>
    <s v="Duplicated Test Order for 30602685A received from host (LIS # 2101)."/>
    <x v="74"/>
    <x v="1"/>
    <d v="2016-11-02T00:00:00"/>
    <d v="1899-12-30T12:02:54"/>
    <s v="LIS"/>
    <x v="0"/>
    <x v="2"/>
    <x v="6"/>
    <x v="0"/>
  </r>
  <r>
    <s v="Duplicated Test Order for 30602690A received from host (LIS # 131)."/>
    <x v="74"/>
    <x v="1"/>
    <d v="2016-11-02T00:00:00"/>
    <d v="1899-12-30T12:02:54"/>
    <s v="LIS"/>
    <x v="0"/>
    <x v="2"/>
    <x v="6"/>
    <x v="0"/>
  </r>
  <r>
    <s v="Duplicated Test Order for 30602694C received from host (LIS # 131)."/>
    <x v="74"/>
    <x v="1"/>
    <d v="2016-11-02T00:00:00"/>
    <d v="1899-12-30T12:02:54"/>
    <s v="LIS"/>
    <x v="0"/>
    <x v="2"/>
    <x v="6"/>
    <x v="0"/>
  </r>
  <r>
    <s v="Duplicated Test Order for 30602694C received from host (LIS # 921)."/>
    <x v="74"/>
    <x v="1"/>
    <d v="2016-11-02T00:00:00"/>
    <d v="1899-12-30T12:02:54"/>
    <s v="LIS"/>
    <x v="0"/>
    <x v="2"/>
    <x v="6"/>
    <x v="0"/>
  </r>
  <r>
    <s v="Duplicated Test Order for 30602750A received from host (LIS # 131)."/>
    <x v="74"/>
    <x v="1"/>
    <d v="2016-11-02T00:00:00"/>
    <d v="1899-12-30T12:02:55"/>
    <s v="LIS"/>
    <x v="0"/>
    <x v="2"/>
    <x v="6"/>
    <x v="0"/>
  </r>
  <r>
    <s v="Duplicated Test Order for 30602750A received from host (LIS # 921)."/>
    <x v="74"/>
    <x v="1"/>
    <d v="2016-11-02T00:00:00"/>
    <d v="1899-12-30T12:02:56"/>
    <s v="LIS"/>
    <x v="0"/>
    <x v="2"/>
    <x v="6"/>
    <x v="0"/>
  </r>
  <r>
    <s v="Duplicated Test Order for 30602750A received from host (LIS # 2011)."/>
    <x v="74"/>
    <x v="1"/>
    <d v="2016-11-02T00:00:00"/>
    <d v="1899-12-30T12:02:56"/>
    <s v="LIS"/>
    <x v="0"/>
    <x v="2"/>
    <x v="6"/>
    <x v="0"/>
  </r>
  <r>
    <s v="Duplicated Test Order for 30602778B received from host (LIS # 131)."/>
    <x v="74"/>
    <x v="1"/>
    <d v="2016-11-02T00:00:00"/>
    <d v="1899-12-30T12:02:56"/>
    <s v="LIS"/>
    <x v="0"/>
    <x v="2"/>
    <x v="6"/>
    <x v="0"/>
  </r>
  <r>
    <s v="Duplicated Test Order for 30602820C received from host (LIS # 131)."/>
    <x v="74"/>
    <x v="1"/>
    <d v="2016-11-02T00:00:00"/>
    <d v="1899-12-30T12:02:56"/>
    <s v="LIS"/>
    <x v="0"/>
    <x v="2"/>
    <x v="6"/>
    <x v="0"/>
  </r>
  <r>
    <s v="Duplicated Test Order for 30602820C received from host (LIS # 921)."/>
    <x v="74"/>
    <x v="1"/>
    <d v="2016-11-02T00:00:00"/>
    <d v="1899-12-30T12:02:57"/>
    <s v="LIS"/>
    <x v="0"/>
    <x v="2"/>
    <x v="6"/>
    <x v="0"/>
  </r>
  <r>
    <s v="Duplicated Test Order for 30602822C received from host (LIS # 131)."/>
    <x v="74"/>
    <x v="1"/>
    <d v="2016-11-02T00:00:00"/>
    <d v="1899-12-30T12:02:57"/>
    <s v="LIS"/>
    <x v="0"/>
    <x v="2"/>
    <x v="6"/>
    <x v="0"/>
  </r>
  <r>
    <s v="Duplicated Test Order for 30602822C received from host (LIS # 921)."/>
    <x v="74"/>
    <x v="1"/>
    <d v="2016-11-02T00:00:00"/>
    <d v="1899-12-30T12:02:57"/>
    <s v="LIS"/>
    <x v="0"/>
    <x v="2"/>
    <x v="6"/>
    <x v="0"/>
  </r>
  <r>
    <s v="Duplicated Test Order for 30602850D received from host (LIS # 131)."/>
    <x v="74"/>
    <x v="1"/>
    <d v="2016-11-02T00:00:00"/>
    <d v="1899-12-30T12:02:57"/>
    <s v="LIS"/>
    <x v="0"/>
    <x v="2"/>
    <x v="6"/>
    <x v="0"/>
  </r>
  <r>
    <s v="Duplicated Test Order for 30602850D received from host (LIS # 921)."/>
    <x v="74"/>
    <x v="1"/>
    <d v="2016-11-02T00:00:00"/>
    <d v="1899-12-30T12:02:58"/>
    <s v="LIS"/>
    <x v="0"/>
    <x v="2"/>
    <x v="6"/>
    <x v="0"/>
  </r>
  <r>
    <s v="Duplicated Test Order for 30602853B received from host (LIS # 131)."/>
    <x v="74"/>
    <x v="1"/>
    <d v="2016-11-02T00:00:00"/>
    <d v="1899-12-30T12:02:58"/>
    <s v="LIS"/>
    <x v="0"/>
    <x v="2"/>
    <x v="6"/>
    <x v="0"/>
  </r>
  <r>
    <s v="Duplicated Test Order for 30602865A received from host (LIS # 131)."/>
    <x v="74"/>
    <x v="1"/>
    <d v="2016-11-02T00:00:00"/>
    <d v="1899-12-30T12:02:58"/>
    <s v="LIS"/>
    <x v="0"/>
    <x v="2"/>
    <x v="6"/>
    <x v="0"/>
  </r>
  <r>
    <s v="Duplicated Test Order for 30602890C received from host (LIS # 131)."/>
    <x v="74"/>
    <x v="1"/>
    <d v="2016-11-02T00:00:00"/>
    <d v="1899-12-30T12:02:58"/>
    <s v="LIS"/>
    <x v="0"/>
    <x v="2"/>
    <x v="6"/>
    <x v="0"/>
  </r>
  <r>
    <s v="Duplicated Test Order for 30602931A received from host (LIS # 2101)."/>
    <x v="74"/>
    <x v="1"/>
    <d v="2016-11-02T00:00:00"/>
    <d v="1899-12-30T12:02:58"/>
    <s v="LIS"/>
    <x v="0"/>
    <x v="2"/>
    <x v="6"/>
    <x v="0"/>
  </r>
  <r>
    <s v="Duplicated Test Order for 30602941C received from host (LIS # 2241)."/>
    <x v="74"/>
    <x v="1"/>
    <d v="2016-11-02T00:00:00"/>
    <d v="1899-12-30T12:02:58"/>
    <s v="LIS"/>
    <x v="0"/>
    <x v="2"/>
    <x v="6"/>
    <x v="0"/>
  </r>
  <r>
    <s v="Duplicated Test Order for 30602962A received from host (LIS # 2241)."/>
    <x v="74"/>
    <x v="1"/>
    <d v="2016-11-02T00:00:00"/>
    <d v="1899-12-30T12:02:58"/>
    <s v="LIS"/>
    <x v="0"/>
    <x v="2"/>
    <x v="6"/>
    <x v="0"/>
  </r>
  <r>
    <s v="Duplicated Test Order for 30602964A received from host (LIS # 2241)."/>
    <x v="74"/>
    <x v="1"/>
    <d v="2016-11-02T00:00:00"/>
    <d v="1899-12-30T12:02:58"/>
    <s v="LIS"/>
    <x v="0"/>
    <x v="2"/>
    <x v="6"/>
    <x v="0"/>
  </r>
  <r>
    <s v="Duplicated Test Order for 30602977C received from host (LIS # 131)."/>
    <x v="74"/>
    <x v="1"/>
    <d v="2016-11-02T00:00:00"/>
    <d v="1899-12-30T12:02:59"/>
    <s v="LIS"/>
    <x v="0"/>
    <x v="2"/>
    <x v="6"/>
    <x v="0"/>
  </r>
  <r>
    <s v="Duplicated Test Order for 30602977C received from host (LIS # 921)."/>
    <x v="74"/>
    <x v="1"/>
    <d v="2016-11-02T00:00:00"/>
    <d v="1899-12-30T12:02:59"/>
    <s v="LIS"/>
    <x v="0"/>
    <x v="2"/>
    <x v="6"/>
    <x v="0"/>
  </r>
  <r>
    <s v="Duplicated Test Order for 30602977C received from host (LIS # 2011)."/>
    <x v="74"/>
    <x v="1"/>
    <d v="2016-11-02T00:00:00"/>
    <d v="1899-12-30T12:03:00"/>
    <s v="LIS"/>
    <x v="0"/>
    <x v="2"/>
    <x v="6"/>
    <x v="0"/>
  </r>
  <r>
    <s v="Duplicated Test Order for 30602990A received from host (LIS # 131)."/>
    <x v="74"/>
    <x v="1"/>
    <d v="2016-11-02T00:00:00"/>
    <d v="1899-12-30T12:03:00"/>
    <s v="LIS"/>
    <x v="0"/>
    <x v="2"/>
    <x v="6"/>
    <x v="0"/>
  </r>
  <r>
    <s v="Duplicated Test Order for 30603019A received from host (LIS # 131)."/>
    <x v="74"/>
    <x v="1"/>
    <d v="2016-11-02T00:00:00"/>
    <d v="1899-12-30T12:03:00"/>
    <s v="LIS"/>
    <x v="0"/>
    <x v="2"/>
    <x v="6"/>
    <x v="0"/>
  </r>
  <r>
    <s v="Duplicated Test Order for 30603022A received from host (LIS # 131)."/>
    <x v="74"/>
    <x v="1"/>
    <d v="2016-11-02T00:00:00"/>
    <d v="1899-12-30T12:03:01"/>
    <s v="LIS"/>
    <x v="0"/>
    <x v="2"/>
    <x v="6"/>
    <x v="0"/>
  </r>
  <r>
    <s v="Duplicated Test Order for 30603022A received from host (LIS # 921)."/>
    <x v="74"/>
    <x v="1"/>
    <d v="2016-11-02T00:00:00"/>
    <d v="1899-12-30T12:03:01"/>
    <s v="LIS"/>
    <x v="0"/>
    <x v="2"/>
    <x v="6"/>
    <x v="0"/>
  </r>
  <r>
    <s v="Duplicated Test Order for 30603022A received from host (LIS # 2011)."/>
    <x v="74"/>
    <x v="1"/>
    <d v="2016-11-02T00:00:00"/>
    <d v="1899-12-30T12:03:01"/>
    <s v="LIS"/>
    <x v="0"/>
    <x v="2"/>
    <x v="6"/>
    <x v="0"/>
  </r>
  <r>
    <s v="Duplicated Test Order for 30603032A received from host (LIS # 2011)."/>
    <x v="74"/>
    <x v="1"/>
    <d v="2016-11-02T00:00:00"/>
    <d v="1899-12-30T12:03:02"/>
    <s v="LIS"/>
    <x v="0"/>
    <x v="2"/>
    <x v="6"/>
    <x v="0"/>
  </r>
  <r>
    <s v="Duplicated Test Order for 30603032A received from host (LIS # 2241)."/>
    <x v="74"/>
    <x v="1"/>
    <d v="2016-11-02T00:00:00"/>
    <d v="1899-12-30T12:03:02"/>
    <s v="LIS"/>
    <x v="0"/>
    <x v="2"/>
    <x v="6"/>
    <x v="0"/>
  </r>
  <r>
    <s v="Duplicated Test Order for 30700006A received from host (LIS # 131)."/>
    <x v="74"/>
    <x v="1"/>
    <d v="2016-11-02T00:00:00"/>
    <d v="1899-12-30T12:03:02"/>
    <s v="LIS"/>
    <x v="0"/>
    <x v="2"/>
    <x v="6"/>
    <x v="0"/>
  </r>
  <r>
    <s v="Duplicated Test Order for 30700021A received from host (LIS # 921)."/>
    <x v="74"/>
    <x v="1"/>
    <d v="2016-11-02T00:00:00"/>
    <d v="1899-12-30T12:03:02"/>
    <s v="LIS"/>
    <x v="0"/>
    <x v="2"/>
    <x v="6"/>
    <x v="0"/>
  </r>
  <r>
    <s v="Duplicated Test Order for 30700038B received from host (LIS # 131)."/>
    <x v="74"/>
    <x v="1"/>
    <d v="2016-11-02T00:00:00"/>
    <d v="1899-12-30T12:03:02"/>
    <s v="LIS"/>
    <x v="0"/>
    <x v="2"/>
    <x v="6"/>
    <x v="0"/>
  </r>
  <r>
    <s v="Duplicated Test Order for 30700065A received from host (LIS # 131)."/>
    <x v="74"/>
    <x v="1"/>
    <d v="2016-11-02T00:00:00"/>
    <d v="1899-12-30T12:03:02"/>
    <s v="LIS"/>
    <x v="0"/>
    <x v="2"/>
    <x v="6"/>
    <x v="0"/>
  </r>
  <r>
    <s v="Duplicated Test Order for 30700073A received from host (LIS # 2101)."/>
    <x v="74"/>
    <x v="1"/>
    <d v="2016-11-02T00:00:00"/>
    <d v="1899-12-30T12:03:02"/>
    <s v="LIS"/>
    <x v="0"/>
    <x v="2"/>
    <x v="6"/>
    <x v="0"/>
  </r>
  <r>
    <s v="Duplicated Test Order for 30700083A received from host (LIS # 131)."/>
    <x v="74"/>
    <x v="1"/>
    <d v="2016-11-02T00:00:00"/>
    <d v="1899-12-30T12:03:03"/>
    <s v="LIS"/>
    <x v="0"/>
    <x v="2"/>
    <x v="6"/>
    <x v="0"/>
  </r>
  <r>
    <s v="Duplicated Test Order for 30700083A received from host (LIS # 921)."/>
    <x v="74"/>
    <x v="1"/>
    <d v="2016-11-02T00:00:00"/>
    <d v="1899-12-30T12:03:03"/>
    <s v="LIS"/>
    <x v="0"/>
    <x v="2"/>
    <x v="6"/>
    <x v="0"/>
  </r>
  <r>
    <s v="Duplicated Test Order for 30700083A received from host (LIS # 2011)."/>
    <x v="74"/>
    <x v="1"/>
    <d v="2016-11-02T00:00:00"/>
    <d v="1899-12-30T12:03:04"/>
    <s v="LIS"/>
    <x v="0"/>
    <x v="2"/>
    <x v="6"/>
    <x v="0"/>
  </r>
  <r>
    <s v="Duplicated Test Order for 30700094A received from host (LIS # 131)."/>
    <x v="74"/>
    <x v="1"/>
    <d v="2016-11-02T00:00:00"/>
    <d v="1899-12-30T12:03:04"/>
    <s v="LIS"/>
    <x v="0"/>
    <x v="2"/>
    <x v="6"/>
    <x v="0"/>
  </r>
  <r>
    <s v="Duplicated Test Order for 30700094A received from host (LIS # 921)."/>
    <x v="74"/>
    <x v="1"/>
    <d v="2016-11-02T00:00:00"/>
    <d v="1899-12-30T12:03:04"/>
    <s v="LIS"/>
    <x v="0"/>
    <x v="2"/>
    <x v="6"/>
    <x v="0"/>
  </r>
  <r>
    <s v="Duplicated Test Order for 30700094A received from host (LIS # 2011)."/>
    <x v="74"/>
    <x v="1"/>
    <d v="2016-11-02T00:00:00"/>
    <d v="1899-12-30T12:03:05"/>
    <s v="LIS"/>
    <x v="0"/>
    <x v="2"/>
    <x v="6"/>
    <x v="0"/>
  </r>
  <r>
    <s v="Duplicated Test Order for 30700122A received from host (LIS # 131)."/>
    <x v="74"/>
    <x v="1"/>
    <d v="2016-11-02T00:00:00"/>
    <d v="1899-12-30T12:03:05"/>
    <s v="LIS"/>
    <x v="0"/>
    <x v="2"/>
    <x v="6"/>
    <x v="0"/>
  </r>
  <r>
    <s v="Duplicated Test Order for 30700134A received from host (LIS # 131)."/>
    <x v="74"/>
    <x v="1"/>
    <d v="2016-11-02T00:00:00"/>
    <d v="1899-12-30T12:03:05"/>
    <s v="LIS"/>
    <x v="0"/>
    <x v="2"/>
    <x v="6"/>
    <x v="0"/>
  </r>
  <r>
    <s v="Duplicated Test Order for 30700134A received from host (LIS # 2011)."/>
    <x v="74"/>
    <x v="1"/>
    <d v="2016-11-02T00:00:00"/>
    <d v="1899-12-30T12:03:05"/>
    <s v="LIS"/>
    <x v="0"/>
    <x v="2"/>
    <x v="6"/>
    <x v="0"/>
  </r>
  <r>
    <s v="Duplicated Test Order for 30700142A received from host (LIS # 2241)."/>
    <x v="74"/>
    <x v="1"/>
    <d v="2016-11-02T00:00:00"/>
    <d v="1899-12-30T12:03:06"/>
    <s v="LIS"/>
    <x v="0"/>
    <x v="2"/>
    <x v="6"/>
    <x v="0"/>
  </r>
  <r>
    <s v="Duplicated Test Order for 30700145C received from host (LIS # 131)."/>
    <x v="74"/>
    <x v="1"/>
    <d v="2016-11-02T00:00:00"/>
    <d v="1899-12-30T12:03:06"/>
    <s v="LIS"/>
    <x v="0"/>
    <x v="2"/>
    <x v="6"/>
    <x v="0"/>
  </r>
  <r>
    <s v="Duplicated Test Order for 30700145C received from host (LIS # 2011)."/>
    <x v="74"/>
    <x v="1"/>
    <d v="2016-11-02T00:00:00"/>
    <d v="1899-12-30T12:03:06"/>
    <s v="LIS"/>
    <x v="0"/>
    <x v="2"/>
    <x v="6"/>
    <x v="0"/>
  </r>
  <r>
    <s v="Duplicated Test Order for 30700149B received from host (LIS # 131)."/>
    <x v="74"/>
    <x v="1"/>
    <d v="2016-11-02T00:00:00"/>
    <d v="1899-12-30T12:03:06"/>
    <s v="LIS"/>
    <x v="0"/>
    <x v="2"/>
    <x v="6"/>
    <x v="0"/>
  </r>
  <r>
    <s v="Duplicated Test Order for 30700149B received from host (LIS # 2011)."/>
    <x v="74"/>
    <x v="1"/>
    <d v="2016-11-02T00:00:00"/>
    <d v="1899-12-30T12:03:07"/>
    <s v="LIS"/>
    <x v="0"/>
    <x v="2"/>
    <x v="6"/>
    <x v="0"/>
  </r>
  <r>
    <s v="Duplicated Test Order for 30700161B received from host (LIS # 131)."/>
    <x v="74"/>
    <x v="1"/>
    <d v="2016-11-02T00:00:00"/>
    <d v="1899-12-30T12:03:07"/>
    <s v="LIS"/>
    <x v="0"/>
    <x v="2"/>
    <x v="6"/>
    <x v="0"/>
  </r>
  <r>
    <s v="Duplicated Test Order for 30700161B received from host (LIS # 2011)."/>
    <x v="74"/>
    <x v="1"/>
    <d v="2016-11-02T00:00:00"/>
    <d v="1899-12-30T12:03:07"/>
    <s v="LIS"/>
    <x v="0"/>
    <x v="2"/>
    <x v="6"/>
    <x v="0"/>
  </r>
  <r>
    <s v="Duplicated Test Order for 30700172C received from host (LIS # 131)."/>
    <x v="74"/>
    <x v="1"/>
    <d v="2016-11-02T00:00:00"/>
    <d v="1899-12-30T12:03:08"/>
    <s v="LIS"/>
    <x v="0"/>
    <x v="2"/>
    <x v="6"/>
    <x v="0"/>
  </r>
  <r>
    <s v="Duplicated Test Order for 30700172C received from host (LIS # 2011)."/>
    <x v="74"/>
    <x v="1"/>
    <d v="2016-11-02T00:00:00"/>
    <d v="1899-12-30T12:03:08"/>
    <s v="LIS"/>
    <x v="0"/>
    <x v="2"/>
    <x v="6"/>
    <x v="0"/>
  </r>
  <r>
    <s v="Duplicated Test Order for 30700191B received from host (LIS # 131)."/>
    <x v="74"/>
    <x v="1"/>
    <d v="2016-11-02T00:00:00"/>
    <d v="1899-12-30T12:03:08"/>
    <s v="LIS"/>
    <x v="0"/>
    <x v="2"/>
    <x v="6"/>
    <x v="0"/>
  </r>
  <r>
    <s v="Duplicated Test Order for 30700198A received from host (LIS # 131)."/>
    <x v="74"/>
    <x v="1"/>
    <d v="2016-11-02T00:00:00"/>
    <d v="1899-12-30T12:03:09"/>
    <s v="LIS"/>
    <x v="0"/>
    <x v="2"/>
    <x v="6"/>
    <x v="0"/>
  </r>
  <r>
    <s v="Duplicated Test Order for 30700198A received from host (LIS # 2101)."/>
    <x v="74"/>
    <x v="1"/>
    <d v="2016-11-02T00:00:00"/>
    <d v="1899-12-30T12:03:09"/>
    <s v="LIS"/>
    <x v="0"/>
    <x v="2"/>
    <x v="6"/>
    <x v="0"/>
  </r>
  <r>
    <s v="Duplicated Test Order for 30700200A received from host (LIS # 131)."/>
    <x v="74"/>
    <x v="1"/>
    <d v="2016-11-02T00:00:00"/>
    <d v="1899-12-30T12:03:09"/>
    <s v="LIS"/>
    <x v="0"/>
    <x v="2"/>
    <x v="6"/>
    <x v="0"/>
  </r>
  <r>
    <s v="Duplicated Test Order for 30700201C received from host (LIS # 131)."/>
    <x v="74"/>
    <x v="1"/>
    <d v="2016-11-02T00:00:00"/>
    <d v="1899-12-30T12:03:09"/>
    <s v="LIS"/>
    <x v="0"/>
    <x v="2"/>
    <x v="6"/>
    <x v="0"/>
  </r>
  <r>
    <s v="Duplicated Test Order for 30700202C received from host (LIS # 131)."/>
    <x v="74"/>
    <x v="1"/>
    <d v="2016-11-02T00:00:00"/>
    <d v="1899-12-30T12:03:09"/>
    <s v="LIS"/>
    <x v="0"/>
    <x v="2"/>
    <x v="6"/>
    <x v="0"/>
  </r>
  <r>
    <s v="Duplicated Test Order for 30700214A received from host (LIS # 131)."/>
    <x v="74"/>
    <x v="1"/>
    <d v="2016-11-02T00:00:00"/>
    <d v="1899-12-30T12:03:10"/>
    <s v="LIS"/>
    <x v="0"/>
    <x v="2"/>
    <x v="6"/>
    <x v="0"/>
  </r>
  <r>
    <s v="Duplicated Test Order for 30700216C received from host (LIS # 131)."/>
    <x v="74"/>
    <x v="1"/>
    <d v="2016-11-02T00:00:00"/>
    <d v="1899-12-30T12:03:10"/>
    <s v="LIS"/>
    <x v="0"/>
    <x v="2"/>
    <x v="6"/>
    <x v="0"/>
  </r>
  <r>
    <s v="Duplicated Test Order for 30700218B received from host (LIS # 131)."/>
    <x v="74"/>
    <x v="1"/>
    <d v="2016-11-02T00:00:00"/>
    <d v="1899-12-30T12:03:10"/>
    <s v="LIS"/>
    <x v="0"/>
    <x v="2"/>
    <x v="6"/>
    <x v="0"/>
  </r>
  <r>
    <s v="Duplicated Test Order for 30700223A received from host (LIS # 131)."/>
    <x v="74"/>
    <x v="1"/>
    <d v="2016-11-02T00:00:00"/>
    <d v="1899-12-30T12:03:10"/>
    <s v="LIS"/>
    <x v="0"/>
    <x v="2"/>
    <x v="6"/>
    <x v="0"/>
  </r>
  <r>
    <s v="Duplicated Test Order for 30700226A received from host (LIS # 131)."/>
    <x v="74"/>
    <x v="1"/>
    <d v="2016-11-02T00:00:00"/>
    <d v="1899-12-30T12:03:10"/>
    <s v="LIS"/>
    <x v="0"/>
    <x v="2"/>
    <x v="6"/>
    <x v="0"/>
  </r>
  <r>
    <s v="Duplicated Test Order for 30700227C received from host (LIS # 131)."/>
    <x v="74"/>
    <x v="1"/>
    <d v="2016-11-02T00:00:00"/>
    <d v="1899-12-30T12:03:10"/>
    <s v="LIS"/>
    <x v="0"/>
    <x v="2"/>
    <x v="6"/>
    <x v="0"/>
  </r>
  <r>
    <s v="Duplicated Test Order for 30700229C received from host (LIS # 131)."/>
    <x v="74"/>
    <x v="1"/>
    <d v="2016-11-02T00:00:00"/>
    <d v="1899-12-30T12:03:10"/>
    <s v="LIS"/>
    <x v="0"/>
    <x v="2"/>
    <x v="6"/>
    <x v="0"/>
  </r>
  <r>
    <s v="Duplicated Test Order for 30700235C received from host (LIS # 131)."/>
    <x v="74"/>
    <x v="1"/>
    <d v="2016-11-02T00:00:00"/>
    <d v="1899-12-30T12:03:11"/>
    <s v="LIS"/>
    <x v="0"/>
    <x v="2"/>
    <x v="6"/>
    <x v="0"/>
  </r>
  <r>
    <s v="Duplicated Test Order for 30700236C received from host (LIS # 131)."/>
    <x v="74"/>
    <x v="1"/>
    <d v="2016-11-02T00:00:00"/>
    <d v="1899-12-30T12:03:11"/>
    <s v="LIS"/>
    <x v="0"/>
    <x v="2"/>
    <x v="6"/>
    <x v="0"/>
  </r>
  <r>
    <s v="Duplicated Test Order for 30700240A received from host (LIS # 131)."/>
    <x v="74"/>
    <x v="1"/>
    <d v="2016-11-02T00:00:00"/>
    <d v="1899-12-30T12:03:11"/>
    <s v="LIS"/>
    <x v="0"/>
    <x v="2"/>
    <x v="6"/>
    <x v="0"/>
  </r>
  <r>
    <s v="Duplicated Test Order for 30700242A received from host (LIS # 131)."/>
    <x v="74"/>
    <x v="1"/>
    <d v="2016-11-02T00:00:00"/>
    <d v="1899-12-30T12:03:11"/>
    <s v="LIS"/>
    <x v="0"/>
    <x v="2"/>
    <x v="6"/>
    <x v="0"/>
  </r>
  <r>
    <s v="Duplicated Test Order for 30700245B received from host (LIS # 131)."/>
    <x v="74"/>
    <x v="1"/>
    <d v="2016-11-02T00:00:00"/>
    <d v="1899-12-30T12:03:11"/>
    <s v="LIS"/>
    <x v="0"/>
    <x v="2"/>
    <x v="6"/>
    <x v="0"/>
  </r>
  <r>
    <s v="Duplicated Test Order for 30700254B received from host (LIS # 2101)."/>
    <x v="74"/>
    <x v="1"/>
    <d v="2016-11-02T00:00:00"/>
    <d v="1899-12-30T12:03:11"/>
    <s v="LIS"/>
    <x v="0"/>
    <x v="2"/>
    <x v="6"/>
    <x v="0"/>
  </r>
  <r>
    <s v="Duplicated Test Order for 30700260B received from host (LIS # 131)."/>
    <x v="74"/>
    <x v="1"/>
    <d v="2016-11-02T00:00:00"/>
    <d v="1899-12-30T12:03:12"/>
    <s v="LIS"/>
    <x v="0"/>
    <x v="2"/>
    <x v="6"/>
    <x v="0"/>
  </r>
  <r>
    <s v="Duplicated Test Order for 30700260B received from host (LIS # 2011)."/>
    <x v="74"/>
    <x v="1"/>
    <d v="2016-11-02T00:00:00"/>
    <d v="1899-12-30T12:03:12"/>
    <s v="LIS"/>
    <x v="0"/>
    <x v="2"/>
    <x v="6"/>
    <x v="0"/>
  </r>
  <r>
    <s v="Duplicated Test Order for 30700260B received from host (LIS # 2241)."/>
    <x v="74"/>
    <x v="1"/>
    <d v="2016-11-02T00:00:00"/>
    <d v="1899-12-30T12:03:12"/>
    <s v="LIS"/>
    <x v="0"/>
    <x v="2"/>
    <x v="6"/>
    <x v="0"/>
  </r>
  <r>
    <s v="Duplicated Test Order for 30700271C received from host (LIS # 131)."/>
    <x v="74"/>
    <x v="1"/>
    <d v="2016-11-02T00:00:00"/>
    <d v="1899-12-30T12:03:12"/>
    <s v="LIS"/>
    <x v="0"/>
    <x v="2"/>
    <x v="6"/>
    <x v="0"/>
  </r>
  <r>
    <s v="Duplicated Test Order for 30700274A received from host (LIS # 131)."/>
    <x v="74"/>
    <x v="1"/>
    <d v="2016-11-02T00:00:00"/>
    <d v="1899-12-30T12:03:13"/>
    <s v="LIS"/>
    <x v="0"/>
    <x v="2"/>
    <x v="6"/>
    <x v="0"/>
  </r>
  <r>
    <s v="Duplicated Test Order for 30700277C received from host (LIS # 131)."/>
    <x v="74"/>
    <x v="1"/>
    <d v="2016-11-02T00:00:00"/>
    <d v="1899-12-30T12:03:13"/>
    <s v="LIS"/>
    <x v="0"/>
    <x v="2"/>
    <x v="6"/>
    <x v="0"/>
  </r>
  <r>
    <s v="Duplicated Test Order for 30700289C received from host (LIS # 2101)."/>
    <x v="74"/>
    <x v="1"/>
    <d v="2016-11-02T00:00:00"/>
    <d v="1899-12-30T12:03:13"/>
    <s v="LIS"/>
    <x v="0"/>
    <x v="2"/>
    <x v="6"/>
    <x v="0"/>
  </r>
  <r>
    <s v="Duplicated Test Order for 30700290A received from host (LIS # 131)."/>
    <x v="74"/>
    <x v="1"/>
    <d v="2016-11-02T00:00:00"/>
    <d v="1899-12-30T12:03:13"/>
    <s v="LIS"/>
    <x v="0"/>
    <x v="2"/>
    <x v="6"/>
    <x v="0"/>
  </r>
  <r>
    <s v="Duplicated Test Order for 30700318A received from host (LIS # 131)."/>
    <x v="74"/>
    <x v="1"/>
    <d v="2016-11-02T00:00:00"/>
    <d v="1899-12-30T12:03:13"/>
    <s v="LIS"/>
    <x v="0"/>
    <x v="2"/>
    <x v="6"/>
    <x v="0"/>
  </r>
  <r>
    <s v="Duplicated Test Order for 30700344A received from host (LIS # 131)."/>
    <x v="74"/>
    <x v="1"/>
    <d v="2016-11-02T00:00:00"/>
    <d v="1899-12-30T12:03:13"/>
    <s v="LIS"/>
    <x v="0"/>
    <x v="2"/>
    <x v="6"/>
    <x v="0"/>
  </r>
  <r>
    <s v="Duplicated Test Order for 30700355A received from host (LIS # 131)."/>
    <x v="74"/>
    <x v="1"/>
    <d v="2016-11-02T00:00:00"/>
    <d v="1899-12-30T12:03:14"/>
    <s v="LIS"/>
    <x v="0"/>
    <x v="2"/>
    <x v="6"/>
    <x v="0"/>
  </r>
  <r>
    <s v="Duplicated Test Order for 30700355A received from host (LIS # 921)."/>
    <x v="74"/>
    <x v="1"/>
    <d v="2016-11-02T00:00:00"/>
    <d v="1899-12-30T12:03:14"/>
    <s v="LIS"/>
    <x v="0"/>
    <x v="2"/>
    <x v="6"/>
    <x v="0"/>
  </r>
  <r>
    <s v="Duplicated Test Order for 30700355A received from host (LIS # 2101)."/>
    <x v="74"/>
    <x v="1"/>
    <d v="2016-11-02T00:00:00"/>
    <d v="1899-12-30T12:03:15"/>
    <s v="LIS"/>
    <x v="0"/>
    <x v="2"/>
    <x v="6"/>
    <x v="0"/>
  </r>
  <r>
    <s v="Duplicated Test Order for 30700370C received from host (LIS # 131)."/>
    <x v="74"/>
    <x v="1"/>
    <d v="2016-11-02T00:00:00"/>
    <d v="1899-12-30T12:03:15"/>
    <s v="LIS"/>
    <x v="0"/>
    <x v="2"/>
    <x v="6"/>
    <x v="0"/>
  </r>
  <r>
    <s v="Duplicated Test Order for 30700375C received from host (LIS # 2101)."/>
    <x v="74"/>
    <x v="1"/>
    <d v="2016-11-02T00:00:00"/>
    <d v="1899-12-30T12:03:15"/>
    <s v="LIS"/>
    <x v="0"/>
    <x v="2"/>
    <x v="6"/>
    <x v="0"/>
  </r>
  <r>
    <s v="Duplicated Test Order for 30700379B received from host (LIS # 131)."/>
    <x v="74"/>
    <x v="1"/>
    <d v="2016-11-02T00:00:00"/>
    <d v="1899-12-30T12:03:15"/>
    <s v="LIS"/>
    <x v="0"/>
    <x v="2"/>
    <x v="6"/>
    <x v="0"/>
  </r>
  <r>
    <s v="Duplicated Test Order for 30700380C received from host (LIS # 131)."/>
    <x v="74"/>
    <x v="1"/>
    <d v="2016-11-02T00:00:00"/>
    <d v="1899-12-30T12:03:15"/>
    <s v="LIS"/>
    <x v="0"/>
    <x v="2"/>
    <x v="6"/>
    <x v="0"/>
  </r>
  <r>
    <s v="Duplicated Test Order for 30700401C received from host (LIS # 131)."/>
    <x v="74"/>
    <x v="1"/>
    <d v="2016-11-02T00:00:00"/>
    <d v="1899-12-30T12:03:15"/>
    <s v="LIS"/>
    <x v="0"/>
    <x v="2"/>
    <x v="6"/>
    <x v="0"/>
  </r>
  <r>
    <s v="Duplicated Test Order for 30700406A received from host (LIS # 2241)."/>
    <x v="74"/>
    <x v="1"/>
    <d v="2016-11-02T00:00:00"/>
    <d v="1899-12-30T12:03:16"/>
    <s v="LIS"/>
    <x v="0"/>
    <x v="2"/>
    <x v="6"/>
    <x v="0"/>
  </r>
  <r>
    <s v="Duplicated Test Order for 30700412C received from host (LIS # 131)."/>
    <x v="74"/>
    <x v="1"/>
    <d v="2016-11-02T00:00:00"/>
    <d v="1899-12-30T12:03:16"/>
    <s v="LIS"/>
    <x v="0"/>
    <x v="2"/>
    <x v="6"/>
    <x v="0"/>
  </r>
  <r>
    <s v="Duplicated Test Order for 30700412C received from host (LIS # 921)."/>
    <x v="74"/>
    <x v="1"/>
    <d v="2016-11-02T00:00:00"/>
    <d v="1899-12-30T12:03:16"/>
    <s v="LIS"/>
    <x v="0"/>
    <x v="2"/>
    <x v="6"/>
    <x v="0"/>
  </r>
  <r>
    <s v="Duplicated Test Order for 30700417A received from host (LIS # 131)."/>
    <x v="74"/>
    <x v="1"/>
    <d v="2016-11-02T00:00:00"/>
    <d v="1899-12-30T12:03:16"/>
    <s v="LIS"/>
    <x v="0"/>
    <x v="2"/>
    <x v="6"/>
    <x v="0"/>
  </r>
  <r>
    <s v="Anti Chromogenic Sub volume low."/>
    <x v="7"/>
    <x v="1"/>
    <d v="2016-11-02T00:00:00"/>
    <d v="1899-12-30T12:03:17"/>
    <s v="Materials"/>
    <x v="0"/>
    <x v="3"/>
    <x v="4"/>
    <x v="0"/>
  </r>
  <r>
    <s v="Duplicated Test Order for 30700417A received from host (LIS # 921)."/>
    <x v="74"/>
    <x v="1"/>
    <d v="2016-11-02T00:00:00"/>
    <d v="1899-12-30T12:03:17"/>
    <s v="LIS"/>
    <x v="0"/>
    <x v="2"/>
    <x v="6"/>
    <x v="0"/>
  </r>
  <r>
    <s v="Duplicated Test Order for 30700419D received from host (LIS # 131)."/>
    <x v="74"/>
    <x v="1"/>
    <d v="2016-11-02T00:00:00"/>
    <d v="1899-12-30T12:03:17"/>
    <s v="LIS"/>
    <x v="0"/>
    <x v="2"/>
    <x v="6"/>
    <x v="0"/>
  </r>
  <r>
    <s v="Duplicated Test Order for 30700426A received from host (LIS # 131)."/>
    <x v="74"/>
    <x v="1"/>
    <d v="2016-11-02T00:00:00"/>
    <d v="1899-12-30T12:03:17"/>
    <s v="LIS"/>
    <x v="0"/>
    <x v="2"/>
    <x v="6"/>
    <x v="0"/>
  </r>
  <r>
    <s v="Duplicated Test Order for 30700426A received from host (LIS # 921)."/>
    <x v="74"/>
    <x v="1"/>
    <d v="2016-11-02T00:00:00"/>
    <d v="1899-12-30T12:03:17"/>
    <s v="LIS"/>
    <x v="0"/>
    <x v="2"/>
    <x v="6"/>
    <x v="0"/>
  </r>
  <r>
    <s v="Duplicated Test Order for 30700438A received from host (LIS # 2011)."/>
    <x v="74"/>
    <x v="1"/>
    <d v="2016-11-02T00:00:00"/>
    <d v="1899-12-30T12:03:17"/>
    <s v="LIS"/>
    <x v="0"/>
    <x v="2"/>
    <x v="6"/>
    <x v="0"/>
  </r>
  <r>
    <s v="Duplicated Test Order for 30700438A received from host (LIS # 2241)."/>
    <x v="74"/>
    <x v="1"/>
    <d v="2016-11-02T00:00:00"/>
    <d v="1899-12-30T12:03:18"/>
    <s v="LIS"/>
    <x v="0"/>
    <x v="2"/>
    <x v="6"/>
    <x v="0"/>
  </r>
  <r>
    <s v="Duplicated Test Order for 30700444A received from host (LIS # 2241)."/>
    <x v="74"/>
    <x v="1"/>
    <d v="2016-11-02T00:00:00"/>
    <d v="1899-12-30T12:03:18"/>
    <s v="LIS"/>
    <x v="0"/>
    <x v="2"/>
    <x v="6"/>
    <x v="0"/>
  </r>
  <r>
    <s v="Duplicated Test Order for 30700445A received from host (LIS # 2101)."/>
    <x v="74"/>
    <x v="1"/>
    <d v="2016-11-02T00:00:00"/>
    <d v="1899-12-30T12:03:19"/>
    <s v="LIS"/>
    <x v="0"/>
    <x v="2"/>
    <x v="6"/>
    <x v="0"/>
  </r>
  <r>
    <s v="Duplicated Test Order for 30700446B received from host (LIS # 2241)."/>
    <x v="74"/>
    <x v="1"/>
    <d v="2016-11-02T00:00:00"/>
    <d v="1899-12-30T12:03:19"/>
    <s v="LIS"/>
    <x v="0"/>
    <x v="2"/>
    <x v="6"/>
    <x v="0"/>
  </r>
  <r>
    <s v="Duplicated Test Order for 30700452A received from host (LIS # 131)."/>
    <x v="74"/>
    <x v="1"/>
    <d v="2016-11-02T00:00:00"/>
    <d v="1899-12-30T12:03:20"/>
    <s v="LIS"/>
    <x v="0"/>
    <x v="2"/>
    <x v="6"/>
    <x v="0"/>
  </r>
  <r>
    <s v="Duplicated Test Order for 30700469A received from host (LIS # 131)."/>
    <x v="74"/>
    <x v="1"/>
    <d v="2016-11-02T00:00:00"/>
    <d v="1899-12-30T12:03:20"/>
    <s v="LIS"/>
    <x v="0"/>
    <x v="2"/>
    <x v="6"/>
    <x v="0"/>
  </r>
  <r>
    <s v="Duplicated Test Order for 30700469A received from host (LIS # 2011)."/>
    <x v="74"/>
    <x v="1"/>
    <d v="2016-11-02T00:00:00"/>
    <d v="1899-12-30T12:03:20"/>
    <s v="LIS"/>
    <x v="0"/>
    <x v="2"/>
    <x v="6"/>
    <x v="0"/>
  </r>
  <r>
    <s v="Duplicated Test Order for 30700470B received from host (LIS # 131)."/>
    <x v="74"/>
    <x v="1"/>
    <d v="2016-11-02T00:00:00"/>
    <d v="1899-12-30T12:03:20"/>
    <s v="LIS"/>
    <x v="0"/>
    <x v="2"/>
    <x v="6"/>
    <x v="0"/>
  </r>
  <r>
    <s v="Duplicated Test Order for 30700470B received from host (LIS # 921)."/>
    <x v="74"/>
    <x v="1"/>
    <d v="2016-11-02T00:00:00"/>
    <d v="1899-12-30T12:03:20"/>
    <s v="LIS"/>
    <x v="0"/>
    <x v="2"/>
    <x v="6"/>
    <x v="0"/>
  </r>
  <r>
    <s v="Duplicated Test Order for 30700471A received from host (LIS # 131)."/>
    <x v="74"/>
    <x v="1"/>
    <d v="2016-11-02T00:00:00"/>
    <d v="1899-12-30T12:03:21"/>
    <s v="LIS"/>
    <x v="0"/>
    <x v="2"/>
    <x v="6"/>
    <x v="0"/>
  </r>
  <r>
    <s v="Duplicated Test Order for 30700471A received from host (LIS # 2011)."/>
    <x v="74"/>
    <x v="1"/>
    <d v="2016-11-02T00:00:00"/>
    <d v="1899-12-30T12:03:21"/>
    <s v="LIS"/>
    <x v="0"/>
    <x v="2"/>
    <x v="6"/>
    <x v="0"/>
  </r>
  <r>
    <s v="Duplicated Test Order for 30700491A received from host (LIS # 131)."/>
    <x v="74"/>
    <x v="1"/>
    <d v="2016-11-02T00:00:00"/>
    <d v="1899-12-30T12:03:21"/>
    <s v="LIS"/>
    <x v="0"/>
    <x v="2"/>
    <x v="6"/>
    <x v="0"/>
  </r>
  <r>
    <s v="Duplicated Test Order for 30700498A received from host (LIS # 2101)."/>
    <x v="74"/>
    <x v="1"/>
    <d v="2016-11-02T00:00:00"/>
    <d v="1899-12-30T12:03:21"/>
    <s v="LIS"/>
    <x v="0"/>
    <x v="2"/>
    <x v="6"/>
    <x v="0"/>
  </r>
  <r>
    <s v="Duplicated Test Order for 30700503A received from host (LIS # 131)."/>
    <x v="74"/>
    <x v="1"/>
    <d v="2016-11-02T00:00:00"/>
    <d v="1899-12-30T12:03:21"/>
    <s v="LIS"/>
    <x v="0"/>
    <x v="2"/>
    <x v="6"/>
    <x v="0"/>
  </r>
  <r>
    <s v="Duplicated Test Order for 30700503A received from host (LIS # 2101)."/>
    <x v="74"/>
    <x v="1"/>
    <d v="2016-11-02T00:00:00"/>
    <d v="1899-12-30T12:03:21"/>
    <s v="LIS"/>
    <x v="0"/>
    <x v="2"/>
    <x v="6"/>
    <x v="0"/>
  </r>
  <r>
    <s v="Duplicated Test Order for 30700511A received from host (LIS # 2241)."/>
    <x v="74"/>
    <x v="1"/>
    <d v="2016-11-02T00:00:00"/>
    <d v="1899-12-30T12:03:22"/>
    <s v="LIS"/>
    <x v="0"/>
    <x v="2"/>
    <x v="6"/>
    <x v="0"/>
  </r>
  <r>
    <s v="Duplicated Test Order for 30700553B received from host (LIS # 131)."/>
    <x v="74"/>
    <x v="1"/>
    <d v="2016-11-02T00:00:00"/>
    <d v="1899-12-30T12:03:22"/>
    <s v="LIS"/>
    <x v="0"/>
    <x v="2"/>
    <x v="6"/>
    <x v="0"/>
  </r>
  <r>
    <s v="Duplicated Test Order for 30700566C received from host (LIS # 131)."/>
    <x v="74"/>
    <x v="1"/>
    <d v="2016-11-02T00:00:00"/>
    <d v="1899-12-30T12:03:22"/>
    <s v="LIS"/>
    <x v="0"/>
    <x v="2"/>
    <x v="6"/>
    <x v="0"/>
  </r>
  <r>
    <s v="Duplicated Test Order for 30700569A received from host (LIS # 131)."/>
    <x v="74"/>
    <x v="1"/>
    <d v="2016-11-02T00:00:00"/>
    <d v="1899-12-30T12:03:22"/>
    <s v="LIS"/>
    <x v="0"/>
    <x v="2"/>
    <x v="6"/>
    <x v="0"/>
  </r>
  <r>
    <s v="Duplicated Test Order for 30700584C received from host (LIS # 131)."/>
    <x v="74"/>
    <x v="1"/>
    <d v="2016-11-02T00:00:00"/>
    <d v="1899-12-30T12:03:22"/>
    <s v="LIS"/>
    <x v="0"/>
    <x v="2"/>
    <x v="6"/>
    <x v="0"/>
  </r>
  <r>
    <s v="Duplicated Test Order for 30700584C received from host (LIS # 921)."/>
    <x v="74"/>
    <x v="1"/>
    <d v="2016-11-02T00:00:00"/>
    <d v="1899-12-30T12:03:22"/>
    <s v="LIS"/>
    <x v="0"/>
    <x v="2"/>
    <x v="6"/>
    <x v="0"/>
  </r>
  <r>
    <s v="Duplicated Test Order for 30700595A received from host (LIS # 131)."/>
    <x v="74"/>
    <x v="1"/>
    <d v="2016-11-02T00:00:00"/>
    <d v="1899-12-30T12:03:23"/>
    <s v="LIS"/>
    <x v="0"/>
    <x v="2"/>
    <x v="6"/>
    <x v="0"/>
  </r>
  <r>
    <s v="Duplicated Test Order for 30700595A received from host (LIS # 2011)."/>
    <x v="74"/>
    <x v="1"/>
    <d v="2016-11-02T00:00:00"/>
    <d v="1899-12-30T12:03:23"/>
    <s v="LIS"/>
    <x v="0"/>
    <x v="2"/>
    <x v="6"/>
    <x v="0"/>
  </r>
  <r>
    <s v="Duplicated Test Order for 30700608A received from host (LIS # 2101)."/>
    <x v="74"/>
    <x v="1"/>
    <d v="2016-11-02T00:00:00"/>
    <d v="1899-12-30T12:03:23"/>
    <s v="LIS"/>
    <x v="0"/>
    <x v="2"/>
    <x v="6"/>
    <x v="0"/>
  </r>
  <r>
    <s v="Duplicated Test Order for 30700650A received from host (LIS # 131)."/>
    <x v="74"/>
    <x v="1"/>
    <d v="2016-11-02T00:00:00"/>
    <d v="1899-12-30T12:03:23"/>
    <s v="LIS"/>
    <x v="0"/>
    <x v="2"/>
    <x v="6"/>
    <x v="0"/>
  </r>
  <r>
    <s v="Duplicated Test Order for 30700650A received from host (LIS # 2101)."/>
    <x v="74"/>
    <x v="1"/>
    <d v="2016-11-02T00:00:00"/>
    <d v="1899-12-30T12:03:23"/>
    <s v="LIS"/>
    <x v="0"/>
    <x v="2"/>
    <x v="6"/>
    <x v="0"/>
  </r>
  <r>
    <s v="Duplicated Test Order for 30700673B received from host (LIS # 131)."/>
    <x v="74"/>
    <x v="1"/>
    <d v="2016-11-02T00:00:00"/>
    <d v="1899-12-30T12:03:24"/>
    <s v="LIS"/>
    <x v="0"/>
    <x v="2"/>
    <x v="6"/>
    <x v="0"/>
  </r>
  <r>
    <s v="Duplicated Test Order for 30700679D received from host (LIS # 131)."/>
    <x v="74"/>
    <x v="1"/>
    <d v="2016-11-02T00:00:00"/>
    <d v="1899-12-30T12:03:24"/>
    <s v="LIS"/>
    <x v="0"/>
    <x v="2"/>
    <x v="6"/>
    <x v="0"/>
  </r>
  <r>
    <s v="Duplicated Test Order for 30700729B received from host (LIS # 131)."/>
    <x v="74"/>
    <x v="1"/>
    <d v="2016-11-02T00:00:00"/>
    <d v="1899-12-30T12:03:25"/>
    <s v="LIS"/>
    <x v="0"/>
    <x v="2"/>
    <x v="6"/>
    <x v="0"/>
  </r>
  <r>
    <s v="Duplicated Test Order for 30700729B received from host (LIS # 921)."/>
    <x v="74"/>
    <x v="1"/>
    <d v="2016-11-02T00:00:00"/>
    <d v="1899-12-30T12:03:25"/>
    <s v="LIS"/>
    <x v="0"/>
    <x v="2"/>
    <x v="6"/>
    <x v="0"/>
  </r>
  <r>
    <s v="Duplicated Test Order for 30700730A received from host (LIS # 131)."/>
    <x v="74"/>
    <x v="1"/>
    <d v="2016-11-02T00:00:00"/>
    <d v="1899-12-30T12:03:26"/>
    <s v="LIS"/>
    <x v="0"/>
    <x v="2"/>
    <x v="6"/>
    <x v="0"/>
  </r>
  <r>
    <s v="Duplicated Test Order for 30700843A received from host (LIS # 131)."/>
    <x v="74"/>
    <x v="1"/>
    <d v="2016-11-02T00:00:00"/>
    <d v="1899-12-30T12:03:26"/>
    <s v="LIS"/>
    <x v="0"/>
    <x v="2"/>
    <x v="6"/>
    <x v="0"/>
  </r>
  <r>
    <s v="Duplicated Test Order for 30700869A received from host (LIS # 131)."/>
    <x v="74"/>
    <x v="1"/>
    <d v="2016-11-02T00:00:00"/>
    <d v="1899-12-30T12:03:26"/>
    <s v="LIS"/>
    <x v="0"/>
    <x v="2"/>
    <x v="6"/>
    <x v="0"/>
  </r>
  <r>
    <s v="Duplicated Test Order for 30700885A received from host (LIS # 131)."/>
    <x v="74"/>
    <x v="1"/>
    <d v="2016-11-02T00:00:00"/>
    <d v="1899-12-30T12:03:26"/>
    <s v="LIS"/>
    <x v="0"/>
    <x v="2"/>
    <x v="6"/>
    <x v="0"/>
  </r>
  <r>
    <s v="Duplicated Test Order for 30700886C received from host (LIS # 131)."/>
    <x v="74"/>
    <x v="1"/>
    <d v="2016-11-02T00:00:00"/>
    <d v="1899-12-30T12:03:26"/>
    <s v="LIS"/>
    <x v="0"/>
    <x v="2"/>
    <x v="6"/>
    <x v="0"/>
  </r>
  <r>
    <s v="Duplicated Test Order for 30700894A received from host (LIS # 131)."/>
    <x v="74"/>
    <x v="1"/>
    <d v="2016-11-02T00:00:00"/>
    <d v="1899-12-30T12:03:26"/>
    <s v="LIS"/>
    <x v="0"/>
    <x v="2"/>
    <x v="6"/>
    <x v="0"/>
  </r>
  <r>
    <s v="Duplicated Test Order for 30700903A received from host (LIS # 131)."/>
    <x v="74"/>
    <x v="1"/>
    <d v="2016-11-02T00:00:00"/>
    <d v="1899-12-30T12:03:26"/>
    <s v="LIS"/>
    <x v="0"/>
    <x v="2"/>
    <x v="6"/>
    <x v="0"/>
  </r>
  <r>
    <s v="Duplicated Test Order for 30700905A received from host (LIS # 131)."/>
    <x v="74"/>
    <x v="1"/>
    <d v="2016-11-02T00:00:00"/>
    <d v="1899-12-30T12:03:27"/>
    <s v="LIS"/>
    <x v="0"/>
    <x v="2"/>
    <x v="6"/>
    <x v="0"/>
  </r>
  <r>
    <s v="Duplicated Test Order for 30700924B received from host (LIS # 131)."/>
    <x v="74"/>
    <x v="1"/>
    <d v="2016-11-02T00:00:00"/>
    <d v="1899-12-30T12:03:27"/>
    <s v="LIS"/>
    <x v="0"/>
    <x v="2"/>
    <x v="6"/>
    <x v="0"/>
  </r>
  <r>
    <s v="Duplicated Test Order for 30700988A received from host (LIS # 2241)."/>
    <x v="74"/>
    <x v="1"/>
    <d v="2016-11-02T00:00:00"/>
    <d v="1899-12-30T12:03:27"/>
    <s v="LIS"/>
    <x v="0"/>
    <x v="2"/>
    <x v="6"/>
    <x v="0"/>
  </r>
  <r>
    <s v="Duplicated Test Order for 30701007A received from host (LIS # 131)."/>
    <x v="74"/>
    <x v="1"/>
    <d v="2016-11-02T00:00:00"/>
    <d v="1899-12-30T12:03:27"/>
    <s v="LIS"/>
    <x v="0"/>
    <x v="2"/>
    <x v="6"/>
    <x v="0"/>
  </r>
  <r>
    <s v="Duplicated Test Order for 30701009D received from host (LIS # 131)."/>
    <x v="74"/>
    <x v="1"/>
    <d v="2016-11-02T00:00:00"/>
    <d v="1899-12-30T12:03:27"/>
    <s v="LIS"/>
    <x v="0"/>
    <x v="2"/>
    <x v="6"/>
    <x v="0"/>
  </r>
  <r>
    <s v="Duplicated Test Order for 30701009D received from host (LIS # 921)."/>
    <x v="74"/>
    <x v="1"/>
    <d v="2016-11-02T00:00:00"/>
    <d v="1899-12-30T12:03:27"/>
    <s v="LIS"/>
    <x v="0"/>
    <x v="2"/>
    <x v="6"/>
    <x v="0"/>
  </r>
  <r>
    <s v="Duplicated Test Order for 30701009D received from host (LIS # 2101)."/>
    <x v="74"/>
    <x v="1"/>
    <d v="2016-11-02T00:00:00"/>
    <d v="1899-12-30T12:03:27"/>
    <s v="LIS"/>
    <x v="0"/>
    <x v="2"/>
    <x v="6"/>
    <x v="0"/>
  </r>
  <r>
    <s v="Duplicated Test Order for 30701041A received from host (LIS # 921)."/>
    <x v="74"/>
    <x v="1"/>
    <d v="2016-11-02T00:00:00"/>
    <d v="1899-12-30T12:03:27"/>
    <s v="LIS"/>
    <x v="0"/>
    <x v="2"/>
    <x v="6"/>
    <x v="0"/>
  </r>
  <r>
    <s v="Duplicated Test Order for 30701041A received from host (LIS # 2101)."/>
    <x v="74"/>
    <x v="1"/>
    <d v="2016-11-02T00:00:00"/>
    <d v="1899-12-30T12:03:27"/>
    <s v="LIS"/>
    <x v="0"/>
    <x v="2"/>
    <x v="6"/>
    <x v="0"/>
  </r>
  <r>
    <s v="Duplicated Test Order for 30701050A received from host (LIS # 131)."/>
    <x v="74"/>
    <x v="1"/>
    <d v="2016-11-02T00:00:00"/>
    <d v="1899-12-30T12:03:27"/>
    <s v="LIS"/>
    <x v="0"/>
    <x v="2"/>
    <x v="6"/>
    <x v="0"/>
  </r>
  <r>
    <s v="Duplicated Test Order for 30701050A received from host (LIS # 921)."/>
    <x v="74"/>
    <x v="1"/>
    <d v="2016-11-02T00:00:00"/>
    <d v="1899-12-30T12:03:27"/>
    <s v="LIS"/>
    <x v="0"/>
    <x v="2"/>
    <x v="6"/>
    <x v="0"/>
  </r>
  <r>
    <s v="Duplicated Test Order for 30701082B received from host (LIS # 131)."/>
    <x v="74"/>
    <x v="1"/>
    <d v="2016-11-02T00:00:00"/>
    <d v="1899-12-30T12:03:27"/>
    <s v="LIS"/>
    <x v="0"/>
    <x v="2"/>
    <x v="6"/>
    <x v="0"/>
  </r>
  <r>
    <s v="Duplicated Test Order for 30701083A received from host (LIS # 131)."/>
    <x v="74"/>
    <x v="1"/>
    <d v="2016-11-02T00:00:00"/>
    <d v="1899-12-30T12:03:27"/>
    <s v="LIS"/>
    <x v="0"/>
    <x v="2"/>
    <x v="6"/>
    <x v="0"/>
  </r>
  <r>
    <s v="Duplicated Test Order for 30701094A received from host (LIS # 131)."/>
    <x v="74"/>
    <x v="1"/>
    <d v="2016-11-02T00:00:00"/>
    <d v="1899-12-30T12:03:28"/>
    <s v="LIS"/>
    <x v="0"/>
    <x v="2"/>
    <x v="6"/>
    <x v="0"/>
  </r>
  <r>
    <s v="Duplicated Test Order for 30701123C received from host (LIS # 131)."/>
    <x v="74"/>
    <x v="1"/>
    <d v="2016-11-02T00:00:00"/>
    <d v="1899-12-30T12:03:28"/>
    <s v="LIS"/>
    <x v="0"/>
    <x v="2"/>
    <x v="6"/>
    <x v="0"/>
  </r>
  <r>
    <s v="Duplicated Test Order for 30701168A received from host (LIS # 131)."/>
    <x v="74"/>
    <x v="1"/>
    <d v="2016-11-02T00:00:00"/>
    <d v="1899-12-30T12:03:28"/>
    <s v="LIS"/>
    <x v="0"/>
    <x v="2"/>
    <x v="6"/>
    <x v="0"/>
  </r>
  <r>
    <s v="Duplicated Test Order for 30701179A received from host (LIS # 131)."/>
    <x v="74"/>
    <x v="1"/>
    <d v="2016-11-02T00:00:00"/>
    <d v="1899-12-30T12:03:28"/>
    <s v="LIS"/>
    <x v="0"/>
    <x v="2"/>
    <x v="6"/>
    <x v="0"/>
  </r>
  <r>
    <s v="Duplicated Test Order for 30701223C received from host (LIS # 131)."/>
    <x v="74"/>
    <x v="1"/>
    <d v="2016-11-02T00:00:00"/>
    <d v="1899-12-30T12:03:28"/>
    <s v="LIS"/>
    <x v="0"/>
    <x v="2"/>
    <x v="6"/>
    <x v="0"/>
  </r>
  <r>
    <s v="Duplicated Test Order for 30701249A received from host (LIS # 2101)."/>
    <x v="74"/>
    <x v="1"/>
    <d v="2016-11-02T00:00:00"/>
    <d v="1899-12-30T12:03:28"/>
    <s v="LIS"/>
    <x v="0"/>
    <x v="2"/>
    <x v="6"/>
    <x v="0"/>
  </r>
  <r>
    <s v="Duplicated Test Order for 30701250A received from host (LIS # 131)."/>
    <x v="74"/>
    <x v="1"/>
    <d v="2016-11-02T00:00:00"/>
    <d v="1899-12-30T12:03:28"/>
    <s v="LIS"/>
    <x v="0"/>
    <x v="2"/>
    <x v="6"/>
    <x v="0"/>
  </r>
  <r>
    <s v="Duplicated Test Order for 30701305A received from host (LIS # 131)."/>
    <x v="74"/>
    <x v="1"/>
    <d v="2016-11-02T00:00:00"/>
    <d v="1899-12-30T12:03:28"/>
    <s v="LIS"/>
    <x v="0"/>
    <x v="2"/>
    <x v="6"/>
    <x v="0"/>
  </r>
  <r>
    <s v="Duplicated Test Order for 30701307A received from host (LIS # 131)."/>
    <x v="74"/>
    <x v="1"/>
    <d v="2016-11-02T00:00:00"/>
    <d v="1899-12-30T12:03:28"/>
    <s v="LIS"/>
    <x v="0"/>
    <x v="2"/>
    <x v="6"/>
    <x v="0"/>
  </r>
  <r>
    <s v="Duplicated Test Order for 30701343C received from host (LIS # 131)."/>
    <x v="74"/>
    <x v="1"/>
    <d v="2016-11-02T00:00:00"/>
    <d v="1899-12-30T12:03:28"/>
    <s v="LIS"/>
    <x v="0"/>
    <x v="2"/>
    <x v="6"/>
    <x v="0"/>
  </r>
  <r>
    <s v="Duplicated Test Order for 30701375B received from host (LIS # 131)."/>
    <x v="74"/>
    <x v="1"/>
    <d v="2016-11-02T00:00:00"/>
    <d v="1899-12-30T12:03:28"/>
    <s v="LIS"/>
    <x v="0"/>
    <x v="2"/>
    <x v="6"/>
    <x v="0"/>
  </r>
  <r>
    <s v="Duplicated Test Order for 30701375B received from host (LIS # 921)."/>
    <x v="74"/>
    <x v="1"/>
    <d v="2016-11-02T00:00:00"/>
    <d v="1899-12-30T12:03:28"/>
    <s v="LIS"/>
    <x v="0"/>
    <x v="2"/>
    <x v="6"/>
    <x v="0"/>
  </r>
  <r>
    <s v="Duplicated Test Order for 30701375B received from host (LIS # 2011)."/>
    <x v="74"/>
    <x v="1"/>
    <d v="2016-11-02T00:00:00"/>
    <d v="1899-12-30T12:03:28"/>
    <s v="LIS"/>
    <x v="0"/>
    <x v="2"/>
    <x v="6"/>
    <x v="0"/>
  </r>
  <r>
    <s v="Duplicated Test Order for 30601355A received from host (LIS # 2101)."/>
    <x v="74"/>
    <x v="1"/>
    <d v="2016-11-02T00:00:00"/>
    <d v="1899-12-30T12:03:53"/>
    <s v="LIS"/>
    <x v="0"/>
    <x v="2"/>
    <x v="6"/>
    <x v="0"/>
  </r>
  <r>
    <s v="Duplicated Test Order for 30601478A received from host (LIS # 921)."/>
    <x v="74"/>
    <x v="1"/>
    <d v="2016-11-02T00:00:00"/>
    <d v="1899-12-30T12:03:53"/>
    <s v="LIS"/>
    <x v="0"/>
    <x v="2"/>
    <x v="6"/>
    <x v="0"/>
  </r>
  <r>
    <s v="Duplicated Test Order for 30601493D received from host (LIS # 131)."/>
    <x v="74"/>
    <x v="1"/>
    <d v="2016-11-02T00:00:00"/>
    <d v="1899-12-30T12:03:53"/>
    <s v="LIS"/>
    <x v="0"/>
    <x v="2"/>
    <x v="6"/>
    <x v="0"/>
  </r>
  <r>
    <s v="Duplicated Test Order for 30601493D received from host (LIS # 921)."/>
    <x v="74"/>
    <x v="1"/>
    <d v="2016-11-02T00:00:00"/>
    <d v="1899-12-30T12:03:53"/>
    <s v="LIS"/>
    <x v="0"/>
    <x v="2"/>
    <x v="6"/>
    <x v="0"/>
  </r>
  <r>
    <s v="Duplicated Test Order for 30601493D received from host (LIS # 2101)."/>
    <x v="74"/>
    <x v="1"/>
    <d v="2016-11-02T00:00:00"/>
    <d v="1899-12-30T12:03:54"/>
    <s v="LIS"/>
    <x v="0"/>
    <x v="2"/>
    <x v="6"/>
    <x v="0"/>
  </r>
  <r>
    <s v="Duplicated Test Order for 30601496A received from host (LIS # 131)."/>
    <x v="74"/>
    <x v="1"/>
    <d v="2016-11-02T00:00:00"/>
    <d v="1899-12-30T12:03:54"/>
    <s v="LIS"/>
    <x v="0"/>
    <x v="2"/>
    <x v="6"/>
    <x v="0"/>
  </r>
  <r>
    <s v="Duplicated Test Order for 30601510A received from host (LIS # 131)."/>
    <x v="74"/>
    <x v="1"/>
    <d v="2016-11-02T00:00:00"/>
    <d v="1899-12-30T12:03:54"/>
    <s v="LIS"/>
    <x v="0"/>
    <x v="2"/>
    <x v="6"/>
    <x v="0"/>
  </r>
  <r>
    <s v="Duplicated Test Order for 30601528A received from host (LIS # 131)."/>
    <x v="74"/>
    <x v="1"/>
    <d v="2016-11-02T00:00:00"/>
    <d v="1899-12-30T12:03:54"/>
    <s v="LIS"/>
    <x v="0"/>
    <x v="2"/>
    <x v="6"/>
    <x v="0"/>
  </r>
  <r>
    <s v="Duplicated Test Order for 30601551A received from host (LIS # 131)."/>
    <x v="74"/>
    <x v="1"/>
    <d v="2016-11-02T00:00:00"/>
    <d v="1899-12-30T12:03:54"/>
    <s v="LIS"/>
    <x v="0"/>
    <x v="2"/>
    <x v="6"/>
    <x v="0"/>
  </r>
  <r>
    <s v="Duplicated Test Order for 30601551A received from host (LIS # 921)."/>
    <x v="74"/>
    <x v="1"/>
    <d v="2016-11-02T00:00:00"/>
    <d v="1899-12-30T12:03:55"/>
    <s v="LIS"/>
    <x v="0"/>
    <x v="2"/>
    <x v="6"/>
    <x v="0"/>
  </r>
  <r>
    <s v="Duplicated Test Order for 30601551A received from host (LIS # 2011)."/>
    <x v="74"/>
    <x v="1"/>
    <d v="2016-11-02T00:00:00"/>
    <d v="1899-12-30T12:03:55"/>
    <s v="LIS"/>
    <x v="0"/>
    <x v="2"/>
    <x v="6"/>
    <x v="0"/>
  </r>
  <r>
    <s v="Duplicated Test Order for 30601553B received from host (LIS # 131)."/>
    <x v="74"/>
    <x v="1"/>
    <d v="2016-11-02T00:00:00"/>
    <d v="1899-12-30T12:03:55"/>
    <s v="LIS"/>
    <x v="0"/>
    <x v="2"/>
    <x v="6"/>
    <x v="0"/>
  </r>
  <r>
    <s v="Duplicated Test Order for 30601559A received from host (LIS # 2241)."/>
    <x v="74"/>
    <x v="1"/>
    <d v="2016-11-02T00:00:00"/>
    <d v="1899-12-30T12:03:55"/>
    <s v="LIS"/>
    <x v="0"/>
    <x v="2"/>
    <x v="6"/>
    <x v="0"/>
  </r>
  <r>
    <s v="Duplicated Test Order for 30601564D received from host (LIS # 131)."/>
    <x v="74"/>
    <x v="1"/>
    <d v="2016-11-02T00:00:00"/>
    <d v="1899-12-30T12:03:56"/>
    <s v="LIS"/>
    <x v="0"/>
    <x v="2"/>
    <x v="6"/>
    <x v="0"/>
  </r>
  <r>
    <s v="Duplicated Test Order for 30601588A received from host (LIS # 131)."/>
    <x v="74"/>
    <x v="1"/>
    <d v="2016-11-02T00:00:00"/>
    <d v="1899-12-30T12:03:56"/>
    <s v="LIS"/>
    <x v="0"/>
    <x v="2"/>
    <x v="6"/>
    <x v="0"/>
  </r>
  <r>
    <s v="Duplicated Test Order for 30601600C received from host (LIS # 131)."/>
    <x v="74"/>
    <x v="1"/>
    <d v="2016-11-02T00:00:00"/>
    <d v="1899-12-30T12:03:56"/>
    <s v="LIS"/>
    <x v="0"/>
    <x v="2"/>
    <x v="6"/>
    <x v="0"/>
  </r>
  <r>
    <s v="Duplicated Test Order for 30601600C received from host (LIS # 921)."/>
    <x v="74"/>
    <x v="1"/>
    <d v="2016-11-02T00:00:00"/>
    <d v="1899-12-30T12:03:56"/>
    <s v="LIS"/>
    <x v="0"/>
    <x v="2"/>
    <x v="6"/>
    <x v="0"/>
  </r>
  <r>
    <s v="Duplicated Test Order for 30601602A received from host (LIS # 921)."/>
    <x v="74"/>
    <x v="1"/>
    <d v="2016-11-02T00:00:00"/>
    <d v="1899-12-30T12:03:56"/>
    <s v="LIS"/>
    <x v="0"/>
    <x v="2"/>
    <x v="6"/>
    <x v="0"/>
  </r>
  <r>
    <s v="Duplicated Test Order for 30601604A received from host (LIS # 2101)."/>
    <x v="74"/>
    <x v="1"/>
    <d v="2016-11-02T00:00:00"/>
    <d v="1899-12-30T12:03:56"/>
    <s v="LIS"/>
    <x v="0"/>
    <x v="2"/>
    <x v="6"/>
    <x v="0"/>
  </r>
  <r>
    <s v="Duplicated Test Order for 30601606A received from host (LIS # 2101)."/>
    <x v="74"/>
    <x v="1"/>
    <d v="2016-11-02T00:00:00"/>
    <d v="1899-12-30T12:03:56"/>
    <s v="LIS"/>
    <x v="0"/>
    <x v="2"/>
    <x v="6"/>
    <x v="0"/>
  </r>
  <r>
    <s v="Duplicated Test Order for 30601626A received from host (LIS # 131)."/>
    <x v="74"/>
    <x v="1"/>
    <d v="2016-11-02T00:00:00"/>
    <d v="1899-12-30T12:03:57"/>
    <s v="LIS"/>
    <x v="0"/>
    <x v="2"/>
    <x v="6"/>
    <x v="0"/>
  </r>
  <r>
    <s v="Duplicated Test Order for 30601666A received from host (LIS # 131)."/>
    <x v="74"/>
    <x v="1"/>
    <d v="2016-11-02T00:00:00"/>
    <d v="1899-12-30T12:03:57"/>
    <s v="LIS"/>
    <x v="0"/>
    <x v="2"/>
    <x v="6"/>
    <x v="0"/>
  </r>
  <r>
    <s v="Duplicated Test Order for 30601676A received from host (LIS # 2101)."/>
    <x v="74"/>
    <x v="1"/>
    <d v="2016-11-02T00:00:00"/>
    <d v="1899-12-30T12:03:57"/>
    <s v="LIS"/>
    <x v="0"/>
    <x v="2"/>
    <x v="6"/>
    <x v="0"/>
  </r>
  <r>
    <s v="Duplicated Test Order for 30601773A received from host (LIS # 131)."/>
    <x v="74"/>
    <x v="1"/>
    <d v="2016-11-02T00:00:00"/>
    <d v="1899-12-30T12:03:57"/>
    <s v="LIS"/>
    <x v="0"/>
    <x v="2"/>
    <x v="6"/>
    <x v="0"/>
  </r>
  <r>
    <s v="Duplicated Test Order for 30601773A received from host (LIS # 921)."/>
    <x v="74"/>
    <x v="1"/>
    <d v="2016-11-02T00:00:00"/>
    <d v="1899-12-30T12:03:58"/>
    <s v="LIS"/>
    <x v="0"/>
    <x v="2"/>
    <x v="6"/>
    <x v="0"/>
  </r>
  <r>
    <s v="Duplicated Test Order for 30601773A received from host (LIS # 2011)."/>
    <x v="74"/>
    <x v="1"/>
    <d v="2016-11-02T00:00:00"/>
    <d v="1899-12-30T12:03:58"/>
    <s v="LIS"/>
    <x v="0"/>
    <x v="2"/>
    <x v="6"/>
    <x v="0"/>
  </r>
  <r>
    <s v="Duplicated Test Order for 30601803A received from host (LIS # 131)."/>
    <x v="74"/>
    <x v="1"/>
    <d v="2016-11-02T00:00:00"/>
    <d v="1899-12-30T12:03:58"/>
    <s v="LIS"/>
    <x v="0"/>
    <x v="2"/>
    <x v="6"/>
    <x v="0"/>
  </r>
  <r>
    <s v="Duplicated Test Order for 30601818A received from host (LIS # 2241)."/>
    <x v="74"/>
    <x v="1"/>
    <d v="2016-11-02T00:00:00"/>
    <d v="1899-12-30T12:03:58"/>
    <s v="LIS"/>
    <x v="0"/>
    <x v="2"/>
    <x v="6"/>
    <x v="0"/>
  </r>
  <r>
    <s v="Duplicated Test Order for 30601845A received from host (LIS # 921)."/>
    <x v="74"/>
    <x v="1"/>
    <d v="2016-11-02T00:00:00"/>
    <d v="1899-12-30T12:03:58"/>
    <s v="LIS"/>
    <x v="0"/>
    <x v="2"/>
    <x v="6"/>
    <x v="0"/>
  </r>
  <r>
    <s v="Duplicated Test Order for 30601874A received from host (LIS # 131)."/>
    <x v="74"/>
    <x v="1"/>
    <d v="2016-11-02T00:00:00"/>
    <d v="1899-12-30T12:03:59"/>
    <s v="LIS"/>
    <x v="0"/>
    <x v="2"/>
    <x v="6"/>
    <x v="0"/>
  </r>
  <r>
    <s v="Duplicated Test Order for 30601874A received from host (LIS # 921)."/>
    <x v="74"/>
    <x v="1"/>
    <d v="2016-11-02T00:00:00"/>
    <d v="1899-12-30T12:03:59"/>
    <s v="LIS"/>
    <x v="0"/>
    <x v="2"/>
    <x v="6"/>
    <x v="0"/>
  </r>
  <r>
    <s v="Duplicated Test Order for 30601882A received from host (LIS # 131)."/>
    <x v="74"/>
    <x v="1"/>
    <d v="2016-11-02T00:00:00"/>
    <d v="1899-12-30T12:03:59"/>
    <s v="LIS"/>
    <x v="0"/>
    <x v="2"/>
    <x v="6"/>
    <x v="0"/>
  </r>
  <r>
    <s v="Duplicated Test Order for 30601907A received from host (LIS # 131)."/>
    <x v="74"/>
    <x v="1"/>
    <d v="2016-11-02T00:00:00"/>
    <d v="1899-12-30T12:03:59"/>
    <s v="LIS"/>
    <x v="0"/>
    <x v="2"/>
    <x v="6"/>
    <x v="0"/>
  </r>
  <r>
    <s v="Duplicated Test Order for 30601913B received from host (LIS # 2241)."/>
    <x v="74"/>
    <x v="1"/>
    <d v="2016-11-02T00:00:00"/>
    <d v="1899-12-30T12:03:59"/>
    <s v="LIS"/>
    <x v="0"/>
    <x v="2"/>
    <x v="6"/>
    <x v="0"/>
  </r>
  <r>
    <s v="Duplicated Test Order for 30601919C received from host (LIS # 131)."/>
    <x v="74"/>
    <x v="1"/>
    <d v="2016-11-02T00:00:00"/>
    <d v="1899-12-30T12:03:59"/>
    <s v="LIS"/>
    <x v="0"/>
    <x v="2"/>
    <x v="6"/>
    <x v="0"/>
  </r>
  <r>
    <s v="Duplicated Test Order for 30601919C received from host (LIS # 921)."/>
    <x v="74"/>
    <x v="1"/>
    <d v="2016-11-02T00:00:00"/>
    <d v="1899-12-30T12:04:00"/>
    <s v="LIS"/>
    <x v="0"/>
    <x v="2"/>
    <x v="6"/>
    <x v="0"/>
  </r>
  <r>
    <s v="Duplicated Test Order for 30601960A received from host (LIS # 131)."/>
    <x v="74"/>
    <x v="1"/>
    <d v="2016-11-02T00:00:00"/>
    <d v="1899-12-30T12:04:00"/>
    <s v="LIS"/>
    <x v="0"/>
    <x v="2"/>
    <x v="6"/>
    <x v="0"/>
  </r>
  <r>
    <s v="Duplicated Test Order for 30601960A received from host (LIS # 921)."/>
    <x v="74"/>
    <x v="1"/>
    <d v="2016-11-02T00:00:00"/>
    <d v="1899-12-30T12:04:00"/>
    <s v="LIS"/>
    <x v="0"/>
    <x v="2"/>
    <x v="6"/>
    <x v="0"/>
  </r>
  <r>
    <s v="Duplicated Test Order for 30602082B received from host (LIS # 131)."/>
    <x v="74"/>
    <x v="1"/>
    <d v="2016-11-02T00:00:00"/>
    <d v="1899-12-30T12:04:00"/>
    <s v="LIS"/>
    <x v="0"/>
    <x v="2"/>
    <x v="6"/>
    <x v="0"/>
  </r>
  <r>
    <s v="Duplicated Test Order for 30602138A received from host (LIS # 131)."/>
    <x v="74"/>
    <x v="1"/>
    <d v="2016-11-02T00:00:00"/>
    <d v="1899-12-30T12:04:01"/>
    <s v="LIS"/>
    <x v="0"/>
    <x v="2"/>
    <x v="6"/>
    <x v="0"/>
  </r>
  <r>
    <s v="Duplicated Test Order for 30602138A received from host (LIS # 921)."/>
    <x v="74"/>
    <x v="1"/>
    <d v="2016-11-02T00:00:00"/>
    <d v="1899-12-30T12:04:01"/>
    <s v="LIS"/>
    <x v="0"/>
    <x v="2"/>
    <x v="6"/>
    <x v="0"/>
  </r>
  <r>
    <s v="Duplicated Test Order for 30602174C received from host (LIS # 131)."/>
    <x v="74"/>
    <x v="1"/>
    <d v="2016-11-02T00:00:00"/>
    <d v="1899-12-30T12:04:01"/>
    <s v="LIS"/>
    <x v="0"/>
    <x v="2"/>
    <x v="6"/>
    <x v="0"/>
  </r>
  <r>
    <s v="Duplicated Test Order for 30602174C received from host (LIS # 921)."/>
    <x v="74"/>
    <x v="1"/>
    <d v="2016-11-02T00:00:00"/>
    <d v="1899-12-30T12:04:01"/>
    <s v="LIS"/>
    <x v="0"/>
    <x v="2"/>
    <x v="6"/>
    <x v="0"/>
  </r>
  <r>
    <s v="Duplicated Test Order for 30602222C received from host (LIS # 131)."/>
    <x v="74"/>
    <x v="1"/>
    <d v="2016-11-02T00:00:00"/>
    <d v="1899-12-30T12:04:02"/>
    <s v="LIS"/>
    <x v="0"/>
    <x v="2"/>
    <x v="6"/>
    <x v="0"/>
  </r>
  <r>
    <s v="Duplicated Test Order for 30602225C received from host (LIS # 131)."/>
    <x v="74"/>
    <x v="1"/>
    <d v="2016-11-02T00:00:00"/>
    <d v="1899-12-30T12:04:02"/>
    <s v="LIS"/>
    <x v="0"/>
    <x v="2"/>
    <x v="6"/>
    <x v="0"/>
  </r>
  <r>
    <s v="Duplicated Test Order for 30602225C received from host (LIS # 921)."/>
    <x v="74"/>
    <x v="1"/>
    <d v="2016-11-02T00:00:00"/>
    <d v="1899-12-30T12:04:02"/>
    <s v="LIS"/>
    <x v="0"/>
    <x v="2"/>
    <x v="6"/>
    <x v="0"/>
  </r>
  <r>
    <s v="Duplicated Test Order for 30602233A received from host (LIS # 2101)."/>
    <x v="74"/>
    <x v="1"/>
    <d v="2016-11-02T00:00:00"/>
    <d v="1899-12-30T12:04:02"/>
    <s v="LIS"/>
    <x v="0"/>
    <x v="2"/>
    <x v="6"/>
    <x v="0"/>
  </r>
  <r>
    <s v="Duplicated Test Order for 30602249C received from host (LIS # 131)."/>
    <x v="74"/>
    <x v="1"/>
    <d v="2016-11-02T00:00:00"/>
    <d v="1899-12-30T12:04:02"/>
    <s v="LIS"/>
    <x v="0"/>
    <x v="2"/>
    <x v="6"/>
    <x v="0"/>
  </r>
  <r>
    <s v="Duplicated Test Order for 30602249C received from host (LIS # 921)."/>
    <x v="74"/>
    <x v="1"/>
    <d v="2016-11-02T00:00:00"/>
    <d v="1899-12-30T12:04:03"/>
    <s v="LIS"/>
    <x v="0"/>
    <x v="2"/>
    <x v="6"/>
    <x v="0"/>
  </r>
  <r>
    <s v="Duplicated Test Order for 30602251A received from host (LIS # 131)."/>
    <x v="74"/>
    <x v="1"/>
    <d v="2016-11-02T00:00:00"/>
    <d v="1899-12-30T12:04:03"/>
    <s v="LIS"/>
    <x v="0"/>
    <x v="2"/>
    <x v="6"/>
    <x v="0"/>
  </r>
  <r>
    <s v="Duplicated Test Order for 30602251A received from host (LIS # 921)."/>
    <x v="74"/>
    <x v="1"/>
    <d v="2016-11-02T00:00:00"/>
    <d v="1899-12-30T12:04:03"/>
    <s v="LIS"/>
    <x v="0"/>
    <x v="2"/>
    <x v="6"/>
    <x v="0"/>
  </r>
  <r>
    <s v="Duplicated Test Order for 30602286A received from host (LIS # 2011)."/>
    <x v="74"/>
    <x v="1"/>
    <d v="2016-11-02T00:00:00"/>
    <d v="1899-12-30T12:04:03"/>
    <s v="LIS"/>
    <x v="0"/>
    <x v="2"/>
    <x v="6"/>
    <x v="0"/>
  </r>
  <r>
    <s v="Duplicated Test Order for 30602312B received from host (LIS # 131)."/>
    <x v="74"/>
    <x v="1"/>
    <d v="2016-11-02T00:00:00"/>
    <d v="1899-12-30T12:04:03"/>
    <s v="LIS"/>
    <x v="0"/>
    <x v="2"/>
    <x v="6"/>
    <x v="0"/>
  </r>
  <r>
    <s v="Duplicated Test Order for 30602325B received from host (LIS # 131)."/>
    <x v="74"/>
    <x v="1"/>
    <d v="2016-11-02T00:00:00"/>
    <d v="1899-12-30T12:04:03"/>
    <s v="LIS"/>
    <x v="0"/>
    <x v="2"/>
    <x v="6"/>
    <x v="0"/>
  </r>
  <r>
    <s v="Duplicated Test Order for 30602325B received from host (LIS # 921)."/>
    <x v="74"/>
    <x v="1"/>
    <d v="2016-11-02T00:00:00"/>
    <d v="1899-12-30T12:04:04"/>
    <s v="LIS"/>
    <x v="0"/>
    <x v="2"/>
    <x v="6"/>
    <x v="0"/>
  </r>
  <r>
    <s v="Duplicated Test Order for 30602325B received from host (LIS # 2011)."/>
    <x v="74"/>
    <x v="1"/>
    <d v="2016-11-02T00:00:00"/>
    <d v="1899-12-30T12:04:05"/>
    <s v="LIS"/>
    <x v="0"/>
    <x v="2"/>
    <x v="6"/>
    <x v="0"/>
  </r>
  <r>
    <s v="Duplicated Test Order for 30602332A received from host (LIS # 921)."/>
    <x v="74"/>
    <x v="1"/>
    <d v="2016-11-02T00:00:00"/>
    <d v="1899-12-30T12:04:06"/>
    <s v="LIS"/>
    <x v="0"/>
    <x v="2"/>
    <x v="6"/>
    <x v="0"/>
  </r>
  <r>
    <s v="Duplicated Test Order for 30602345B received from host (LIS # 131)."/>
    <x v="74"/>
    <x v="1"/>
    <d v="2016-11-02T00:00:00"/>
    <d v="1899-12-30T12:04:06"/>
    <s v="LIS"/>
    <x v="0"/>
    <x v="2"/>
    <x v="6"/>
    <x v="0"/>
  </r>
  <r>
    <s v="Duplicated Test Order for 30602345B received from host (LIS # 921)."/>
    <x v="74"/>
    <x v="1"/>
    <d v="2016-11-02T00:00:00"/>
    <d v="1899-12-30T12:04:06"/>
    <s v="LIS"/>
    <x v="0"/>
    <x v="2"/>
    <x v="6"/>
    <x v="0"/>
  </r>
  <r>
    <s v="Duplicated Test Order for 30602363A received from host (LIS # 131)."/>
    <x v="74"/>
    <x v="1"/>
    <d v="2016-11-02T00:00:00"/>
    <d v="1899-12-30T12:04:07"/>
    <s v="LIS"/>
    <x v="0"/>
    <x v="2"/>
    <x v="6"/>
    <x v="0"/>
  </r>
  <r>
    <s v="Duplicated Test Order for 30602382A received from host (LIS # 921)."/>
    <x v="74"/>
    <x v="1"/>
    <d v="2016-11-02T00:00:00"/>
    <d v="1899-12-30T12:04:07"/>
    <s v="LIS"/>
    <x v="0"/>
    <x v="2"/>
    <x v="6"/>
    <x v="0"/>
  </r>
  <r>
    <s v="Duplicated Test Order for 30602414B received from host (LIS # 131)."/>
    <x v="74"/>
    <x v="1"/>
    <d v="2016-11-02T00:00:00"/>
    <d v="1899-12-30T12:04:07"/>
    <s v="LIS"/>
    <x v="0"/>
    <x v="2"/>
    <x v="6"/>
    <x v="0"/>
  </r>
  <r>
    <s v="Duplicated Test Order for 30602476A received from host (LIS # 2101)."/>
    <x v="74"/>
    <x v="1"/>
    <d v="2016-11-02T00:00:00"/>
    <d v="1899-12-30T12:04:07"/>
    <s v="LIS"/>
    <x v="0"/>
    <x v="2"/>
    <x v="6"/>
    <x v="0"/>
  </r>
  <r>
    <s v="Duplicated Test Order for 30602498A received from host (LIS # 131)."/>
    <x v="74"/>
    <x v="1"/>
    <d v="2016-11-02T00:00:00"/>
    <d v="1899-12-30T12:04:07"/>
    <s v="LIS"/>
    <x v="0"/>
    <x v="2"/>
    <x v="6"/>
    <x v="0"/>
  </r>
  <r>
    <s v="Duplicated Test Order for 30602518A received from host (LIS # 131)."/>
    <x v="74"/>
    <x v="1"/>
    <d v="2016-11-02T00:00:00"/>
    <d v="1899-12-30T12:04:07"/>
    <s v="LIS"/>
    <x v="0"/>
    <x v="2"/>
    <x v="6"/>
    <x v="0"/>
  </r>
  <r>
    <s v="Duplicated Test Order for 30602520B received from host (LIS # 131)."/>
    <x v="74"/>
    <x v="1"/>
    <d v="2016-11-02T00:00:00"/>
    <d v="1899-12-30T12:04:08"/>
    <s v="LIS"/>
    <x v="0"/>
    <x v="2"/>
    <x v="6"/>
    <x v="0"/>
  </r>
  <r>
    <s v="Duplicated Test Order for 30602538B received from host (LIS # 131)."/>
    <x v="74"/>
    <x v="1"/>
    <d v="2016-11-02T00:00:00"/>
    <d v="1899-12-30T12:04:08"/>
    <s v="LIS"/>
    <x v="0"/>
    <x v="2"/>
    <x v="6"/>
    <x v="0"/>
  </r>
  <r>
    <s v="Duplicated Test Order for 30602555C received from host (LIS # 131)."/>
    <x v="74"/>
    <x v="1"/>
    <d v="2016-11-02T00:00:00"/>
    <d v="1899-12-30T12:04:08"/>
    <s v="LIS"/>
    <x v="0"/>
    <x v="2"/>
    <x v="6"/>
    <x v="0"/>
  </r>
  <r>
    <s v="Duplicated Test Order for 30602555C received from host (LIS # 2011)."/>
    <x v="74"/>
    <x v="1"/>
    <d v="2016-11-02T00:00:00"/>
    <d v="1899-12-30T12:04:08"/>
    <s v="LIS"/>
    <x v="0"/>
    <x v="2"/>
    <x v="6"/>
    <x v="0"/>
  </r>
  <r>
    <s v="Duplicated Test Order for 30602558A received from host (LIS # 2101)."/>
    <x v="74"/>
    <x v="1"/>
    <d v="2016-11-02T00:00:00"/>
    <d v="1899-12-30T12:04:08"/>
    <s v="LIS"/>
    <x v="0"/>
    <x v="2"/>
    <x v="6"/>
    <x v="0"/>
  </r>
  <r>
    <s v="Duplicated Test Order for 30602577A received from host (LIS # 131)."/>
    <x v="74"/>
    <x v="1"/>
    <d v="2016-11-02T00:00:00"/>
    <d v="1899-12-30T12:04:08"/>
    <s v="LIS"/>
    <x v="0"/>
    <x v="2"/>
    <x v="6"/>
    <x v="0"/>
  </r>
  <r>
    <s v="Duplicated Test Order for 30602589A received from host (LIS # 131)."/>
    <x v="74"/>
    <x v="1"/>
    <d v="2016-11-02T00:00:00"/>
    <d v="1899-12-30T12:04:09"/>
    <s v="LIS"/>
    <x v="0"/>
    <x v="2"/>
    <x v="6"/>
    <x v="0"/>
  </r>
  <r>
    <s v="Duplicated Test Order for 30602590A received from host (LIS # 131)."/>
    <x v="74"/>
    <x v="1"/>
    <d v="2016-11-02T00:00:00"/>
    <d v="1899-12-30T12:04:09"/>
    <s v="LIS"/>
    <x v="0"/>
    <x v="2"/>
    <x v="6"/>
    <x v="0"/>
  </r>
  <r>
    <s v="Duplicated Test Order for 30602591B received from host (LIS # 131)."/>
    <x v="74"/>
    <x v="1"/>
    <d v="2016-11-02T00:00:00"/>
    <d v="1899-12-30T12:04:09"/>
    <s v="LIS"/>
    <x v="0"/>
    <x v="2"/>
    <x v="6"/>
    <x v="0"/>
  </r>
  <r>
    <s v="Duplicated Test Order for 30602650C received from host (LIS # 131)."/>
    <x v="74"/>
    <x v="1"/>
    <d v="2016-11-02T00:00:00"/>
    <d v="1899-12-30T12:04:09"/>
    <s v="LIS"/>
    <x v="0"/>
    <x v="2"/>
    <x v="6"/>
    <x v="0"/>
  </r>
  <r>
    <s v="Duplicated Test Order for 30602650C received from host (LIS # 921)."/>
    <x v="74"/>
    <x v="1"/>
    <d v="2016-11-02T00:00:00"/>
    <d v="1899-12-30T12:04:09"/>
    <s v="LIS"/>
    <x v="0"/>
    <x v="2"/>
    <x v="6"/>
    <x v="0"/>
  </r>
  <r>
    <s v="Duplicated Test Order for 30602685A received from host (LIS # 2101)."/>
    <x v="74"/>
    <x v="1"/>
    <d v="2016-11-02T00:00:00"/>
    <d v="1899-12-30T12:04:10"/>
    <s v="LIS"/>
    <x v="0"/>
    <x v="2"/>
    <x v="6"/>
    <x v="0"/>
  </r>
  <r>
    <s v="Duplicated Test Order for 30602690A received from host (LIS # 131)."/>
    <x v="74"/>
    <x v="1"/>
    <d v="2016-11-02T00:00:00"/>
    <d v="1899-12-30T12:04:10"/>
    <s v="LIS"/>
    <x v="0"/>
    <x v="2"/>
    <x v="6"/>
    <x v="0"/>
  </r>
  <r>
    <s v="Duplicated Test Order for 30602694C received from host (LIS # 131)."/>
    <x v="74"/>
    <x v="1"/>
    <d v="2016-11-02T00:00:00"/>
    <d v="1899-12-30T12:04:10"/>
    <s v="LIS"/>
    <x v="0"/>
    <x v="2"/>
    <x v="6"/>
    <x v="0"/>
  </r>
  <r>
    <s v="Duplicated Test Order for 30602694C received from host (LIS # 921)."/>
    <x v="74"/>
    <x v="1"/>
    <d v="2016-11-02T00:00:00"/>
    <d v="1899-12-30T12:04:10"/>
    <s v="LIS"/>
    <x v="0"/>
    <x v="2"/>
    <x v="6"/>
    <x v="0"/>
  </r>
  <r>
    <s v="Duplicated Test Order for 30602750A received from host (LIS # 131)."/>
    <x v="74"/>
    <x v="1"/>
    <d v="2016-11-02T00:00:00"/>
    <d v="1899-12-30T12:04:11"/>
    <s v="LIS"/>
    <x v="0"/>
    <x v="2"/>
    <x v="6"/>
    <x v="0"/>
  </r>
  <r>
    <s v="Duplicated Test Order for 30602750A received from host (LIS # 921)."/>
    <x v="74"/>
    <x v="1"/>
    <d v="2016-11-02T00:00:00"/>
    <d v="1899-12-30T12:04:11"/>
    <s v="LIS"/>
    <x v="0"/>
    <x v="2"/>
    <x v="6"/>
    <x v="0"/>
  </r>
  <r>
    <s v="Duplicated Test Order for 30602750A received from host (LIS # 2011)."/>
    <x v="74"/>
    <x v="1"/>
    <d v="2016-11-02T00:00:00"/>
    <d v="1899-12-30T12:04:12"/>
    <s v="LIS"/>
    <x v="0"/>
    <x v="2"/>
    <x v="6"/>
    <x v="0"/>
  </r>
  <r>
    <s v="Duplicated Test Order for 30602778B received from host (LIS # 131)."/>
    <x v="74"/>
    <x v="1"/>
    <d v="2016-11-02T00:00:00"/>
    <d v="1899-12-30T12:04:12"/>
    <s v="LIS"/>
    <x v="0"/>
    <x v="2"/>
    <x v="6"/>
    <x v="0"/>
  </r>
  <r>
    <s v="Duplicated Test Order for 30602820C received from host (LIS # 131)."/>
    <x v="74"/>
    <x v="1"/>
    <d v="2016-11-02T00:00:00"/>
    <d v="1899-12-30T12:04:12"/>
    <s v="LIS"/>
    <x v="0"/>
    <x v="2"/>
    <x v="6"/>
    <x v="0"/>
  </r>
  <r>
    <s v="Duplicated Test Order for 30602820C received from host (LIS # 921)."/>
    <x v="74"/>
    <x v="1"/>
    <d v="2016-11-02T00:00:00"/>
    <d v="1899-12-30T12:04:13"/>
    <s v="LIS"/>
    <x v="0"/>
    <x v="2"/>
    <x v="6"/>
    <x v="0"/>
  </r>
  <r>
    <s v="Duplicated Test Order for 30602822C received from host (LIS # 131)."/>
    <x v="74"/>
    <x v="1"/>
    <d v="2016-11-02T00:00:00"/>
    <d v="1899-12-30T12:04:13"/>
    <s v="LIS"/>
    <x v="0"/>
    <x v="2"/>
    <x v="6"/>
    <x v="0"/>
  </r>
  <r>
    <s v="Duplicated Test Order for 30602822C received from host (LIS # 921)."/>
    <x v="74"/>
    <x v="1"/>
    <d v="2016-11-02T00:00:00"/>
    <d v="1899-12-30T12:04:13"/>
    <s v="LIS"/>
    <x v="0"/>
    <x v="2"/>
    <x v="6"/>
    <x v="0"/>
  </r>
  <r>
    <s v="Duplicated Test Order for 30602850D received from host (LIS # 131)."/>
    <x v="74"/>
    <x v="1"/>
    <d v="2016-11-02T00:00:00"/>
    <d v="1899-12-30T12:04:13"/>
    <s v="LIS"/>
    <x v="0"/>
    <x v="2"/>
    <x v="6"/>
    <x v="0"/>
  </r>
  <r>
    <s v="Duplicated Test Order for 30602850D received from host (LIS # 921)."/>
    <x v="74"/>
    <x v="1"/>
    <d v="2016-11-02T00:00:00"/>
    <d v="1899-12-30T12:04:13"/>
    <s v="LIS"/>
    <x v="0"/>
    <x v="2"/>
    <x v="6"/>
    <x v="0"/>
  </r>
  <r>
    <s v="Duplicated Test Order for 30602853B received from host (LIS # 131)."/>
    <x v="74"/>
    <x v="1"/>
    <d v="2016-11-02T00:00:00"/>
    <d v="1899-12-30T12:04:13"/>
    <s v="LIS"/>
    <x v="0"/>
    <x v="2"/>
    <x v="6"/>
    <x v="0"/>
  </r>
  <r>
    <s v="Duplicated Test Order for 30602865A received from host (LIS # 131)."/>
    <x v="74"/>
    <x v="1"/>
    <d v="2016-11-02T00:00:00"/>
    <d v="1899-12-30T12:04:14"/>
    <s v="LIS"/>
    <x v="0"/>
    <x v="2"/>
    <x v="6"/>
    <x v="0"/>
  </r>
  <r>
    <s v="Duplicated Test Order for 30602890C received from host (LIS # 131)."/>
    <x v="74"/>
    <x v="1"/>
    <d v="2016-11-02T00:00:00"/>
    <d v="1899-12-30T12:04:14"/>
    <s v="LIS"/>
    <x v="0"/>
    <x v="2"/>
    <x v="6"/>
    <x v="0"/>
  </r>
  <r>
    <s v="Duplicated Test Order for 30602931A received from host (LIS # 2101)."/>
    <x v="74"/>
    <x v="1"/>
    <d v="2016-11-02T00:00:00"/>
    <d v="1899-12-30T12:04:14"/>
    <s v="LIS"/>
    <x v="0"/>
    <x v="2"/>
    <x v="6"/>
    <x v="0"/>
  </r>
  <r>
    <s v="Duplicated Test Order for 30602941C received from host (LIS # 2241)."/>
    <x v="74"/>
    <x v="1"/>
    <d v="2016-11-02T00:00:00"/>
    <d v="1899-12-30T12:04:14"/>
    <s v="LIS"/>
    <x v="0"/>
    <x v="2"/>
    <x v="6"/>
    <x v="0"/>
  </r>
  <r>
    <s v="Duplicated Test Order for 30602962A received from host (LIS # 2241)."/>
    <x v="74"/>
    <x v="1"/>
    <d v="2016-11-02T00:00:00"/>
    <d v="1899-12-30T12:04:14"/>
    <s v="LIS"/>
    <x v="0"/>
    <x v="2"/>
    <x v="6"/>
    <x v="0"/>
  </r>
  <r>
    <s v="Duplicated Test Order for 30602964A received from host (LIS # 2241)."/>
    <x v="74"/>
    <x v="1"/>
    <d v="2016-11-02T00:00:00"/>
    <d v="1899-12-30T12:04:14"/>
    <s v="LIS"/>
    <x v="0"/>
    <x v="2"/>
    <x v="6"/>
    <x v="0"/>
  </r>
  <r>
    <s v="Duplicated Test Order for 30602977C received from host (LIS # 131)."/>
    <x v="74"/>
    <x v="1"/>
    <d v="2016-11-02T00:00:00"/>
    <d v="1899-12-30T12:04:15"/>
    <s v="LIS"/>
    <x v="0"/>
    <x v="2"/>
    <x v="6"/>
    <x v="0"/>
  </r>
  <r>
    <s v="Duplicated Test Order for 30602977C received from host (LIS # 921)."/>
    <x v="74"/>
    <x v="1"/>
    <d v="2016-11-02T00:00:00"/>
    <d v="1899-12-30T12:04:15"/>
    <s v="LIS"/>
    <x v="0"/>
    <x v="2"/>
    <x v="6"/>
    <x v="0"/>
  </r>
  <r>
    <s v="Duplicated Test Order for 30602977C received from host (LIS # 2011)."/>
    <x v="74"/>
    <x v="1"/>
    <d v="2016-11-02T00:00:00"/>
    <d v="1899-12-30T12:04:16"/>
    <s v="LIS"/>
    <x v="0"/>
    <x v="2"/>
    <x v="6"/>
    <x v="0"/>
  </r>
  <r>
    <s v="Duplicated Test Order for 30602990A received from host (LIS # 131)."/>
    <x v="74"/>
    <x v="1"/>
    <d v="2016-11-02T00:00:00"/>
    <d v="1899-12-30T12:04:16"/>
    <s v="LIS"/>
    <x v="0"/>
    <x v="2"/>
    <x v="6"/>
    <x v="0"/>
  </r>
  <r>
    <s v="Duplicated Test Order for 30603019A received from host (LIS # 131)."/>
    <x v="74"/>
    <x v="1"/>
    <d v="2016-11-02T00:00:00"/>
    <d v="1899-12-30T12:04:16"/>
    <s v="LIS"/>
    <x v="0"/>
    <x v="2"/>
    <x v="6"/>
    <x v="0"/>
  </r>
  <r>
    <s v="Duplicated Test Order for 30603022A received from host (LIS # 131)."/>
    <x v="74"/>
    <x v="1"/>
    <d v="2016-11-02T00:00:00"/>
    <d v="1899-12-30T12:04:16"/>
    <s v="LIS"/>
    <x v="0"/>
    <x v="2"/>
    <x v="6"/>
    <x v="0"/>
  </r>
  <r>
    <s v="Duplicated Test Order for 30603022A received from host (LIS # 921)."/>
    <x v="74"/>
    <x v="1"/>
    <d v="2016-11-02T00:00:00"/>
    <d v="1899-12-30T12:04:17"/>
    <s v="LIS"/>
    <x v="0"/>
    <x v="2"/>
    <x v="6"/>
    <x v="0"/>
  </r>
  <r>
    <s v="Duplicated Test Order for 30603022A received from host (LIS # 2011)."/>
    <x v="74"/>
    <x v="1"/>
    <d v="2016-11-02T00:00:00"/>
    <d v="1899-12-30T12:04:17"/>
    <s v="LIS"/>
    <x v="0"/>
    <x v="2"/>
    <x v="6"/>
    <x v="0"/>
  </r>
  <r>
    <s v="Duplicated Test Order for 30603032A received from host (LIS # 2011)."/>
    <x v="74"/>
    <x v="1"/>
    <d v="2016-11-02T00:00:00"/>
    <d v="1899-12-30T12:04:17"/>
    <s v="LIS"/>
    <x v="0"/>
    <x v="2"/>
    <x v="6"/>
    <x v="0"/>
  </r>
  <r>
    <s v="Duplicated Test Order for 30603032A received from host (LIS # 2241)."/>
    <x v="74"/>
    <x v="1"/>
    <d v="2016-11-02T00:00:00"/>
    <d v="1899-12-30T12:04:18"/>
    <s v="LIS"/>
    <x v="0"/>
    <x v="2"/>
    <x v="6"/>
    <x v="0"/>
  </r>
  <r>
    <s v="Duplicated Test Order for 30700006A received from host (LIS # 131)."/>
    <x v="74"/>
    <x v="1"/>
    <d v="2016-11-02T00:00:00"/>
    <d v="1899-12-30T12:04:18"/>
    <s v="LIS"/>
    <x v="0"/>
    <x v="2"/>
    <x v="6"/>
    <x v="0"/>
  </r>
  <r>
    <s v="Duplicated Test Order for 30700021A received from host (LIS # 921)."/>
    <x v="74"/>
    <x v="1"/>
    <d v="2016-11-02T00:00:00"/>
    <d v="1899-12-30T12:04:19"/>
    <s v="LIS"/>
    <x v="0"/>
    <x v="2"/>
    <x v="6"/>
    <x v="0"/>
  </r>
  <r>
    <s v="Duplicated Test Order for 30700038B received from host (LIS # 131)."/>
    <x v="74"/>
    <x v="1"/>
    <d v="2016-11-02T00:00:00"/>
    <d v="1899-12-30T12:04:19"/>
    <s v="LIS"/>
    <x v="0"/>
    <x v="2"/>
    <x v="6"/>
    <x v="0"/>
  </r>
  <r>
    <s v="Duplicated Test Order for 30700065A received from host (LIS # 131)."/>
    <x v="74"/>
    <x v="1"/>
    <d v="2016-11-02T00:00:00"/>
    <d v="1899-12-30T12:04:19"/>
    <s v="LIS"/>
    <x v="0"/>
    <x v="2"/>
    <x v="6"/>
    <x v="0"/>
  </r>
  <r>
    <s v="Duplicated Test Order for 30700073A received from host (LIS # 2101)."/>
    <x v="74"/>
    <x v="1"/>
    <d v="2016-11-02T00:00:00"/>
    <d v="1899-12-30T12:04:19"/>
    <s v="LIS"/>
    <x v="0"/>
    <x v="2"/>
    <x v="6"/>
    <x v="0"/>
  </r>
  <r>
    <s v="Duplicated Test Order for 30700083A received from host (LIS # 131)."/>
    <x v="74"/>
    <x v="1"/>
    <d v="2016-11-02T00:00:00"/>
    <d v="1899-12-30T12:04:20"/>
    <s v="LIS"/>
    <x v="0"/>
    <x v="2"/>
    <x v="6"/>
    <x v="0"/>
  </r>
  <r>
    <s v="Duplicated Test Order for 30700083A received from host (LIS # 921)."/>
    <x v="74"/>
    <x v="1"/>
    <d v="2016-11-02T00:00:00"/>
    <d v="1899-12-30T12:04:20"/>
    <s v="LIS"/>
    <x v="0"/>
    <x v="2"/>
    <x v="6"/>
    <x v="0"/>
  </r>
  <r>
    <s v="Duplicated Test Order for 30700083A received from host (LIS # 2011)."/>
    <x v="74"/>
    <x v="1"/>
    <d v="2016-11-02T00:00:00"/>
    <d v="1899-12-30T12:04:21"/>
    <s v="LIS"/>
    <x v="0"/>
    <x v="2"/>
    <x v="6"/>
    <x v="0"/>
  </r>
  <r>
    <s v="Duplicated Test Order for 30700094A received from host (LIS # 131)."/>
    <x v="74"/>
    <x v="1"/>
    <d v="2016-11-02T00:00:00"/>
    <d v="1899-12-30T12:04:21"/>
    <s v="LIS"/>
    <x v="0"/>
    <x v="2"/>
    <x v="6"/>
    <x v="0"/>
  </r>
  <r>
    <s v="Duplicated Test Order for 30700094A received from host (LIS # 921)."/>
    <x v="74"/>
    <x v="1"/>
    <d v="2016-11-02T00:00:00"/>
    <d v="1899-12-30T12:04:21"/>
    <s v="LIS"/>
    <x v="0"/>
    <x v="2"/>
    <x v="6"/>
    <x v="0"/>
  </r>
  <r>
    <s v="Duplicated Test Order for 30700094A received from host (LIS # 2011)."/>
    <x v="74"/>
    <x v="1"/>
    <d v="2016-11-02T00:00:00"/>
    <d v="1899-12-30T12:04:22"/>
    <s v="LIS"/>
    <x v="0"/>
    <x v="2"/>
    <x v="6"/>
    <x v="0"/>
  </r>
  <r>
    <s v="Duplicated Test Order for 30700122A received from host (LIS # 131)."/>
    <x v="74"/>
    <x v="1"/>
    <d v="2016-11-02T00:00:00"/>
    <d v="1899-12-30T12:04:22"/>
    <s v="LIS"/>
    <x v="0"/>
    <x v="2"/>
    <x v="6"/>
    <x v="0"/>
  </r>
  <r>
    <s v="Duplicated Test Order for 30700134A received from host (LIS # 131)."/>
    <x v="74"/>
    <x v="1"/>
    <d v="2016-11-02T00:00:00"/>
    <d v="1899-12-30T12:04:22"/>
    <s v="LIS"/>
    <x v="0"/>
    <x v="2"/>
    <x v="6"/>
    <x v="0"/>
  </r>
  <r>
    <s v="Duplicated Test Order for 30700134A received from host (LIS # 2011)."/>
    <x v="74"/>
    <x v="1"/>
    <d v="2016-11-02T00:00:00"/>
    <d v="1899-12-30T12:04:23"/>
    <s v="LIS"/>
    <x v="0"/>
    <x v="2"/>
    <x v="6"/>
    <x v="0"/>
  </r>
  <r>
    <s v="Duplicated Test Order for 30700142A received from host (LIS # 2241)."/>
    <x v="74"/>
    <x v="1"/>
    <d v="2016-11-02T00:00:00"/>
    <d v="1899-12-30T12:04:23"/>
    <s v="LIS"/>
    <x v="0"/>
    <x v="2"/>
    <x v="6"/>
    <x v="0"/>
  </r>
  <r>
    <s v="Duplicated Test Order for 30700145C received from host (LIS # 131)."/>
    <x v="74"/>
    <x v="1"/>
    <d v="2016-11-02T00:00:00"/>
    <d v="1899-12-30T12:04:23"/>
    <s v="LIS"/>
    <x v="0"/>
    <x v="2"/>
    <x v="6"/>
    <x v="0"/>
  </r>
  <r>
    <s v="Duplicated Test Order for 30700145C received from host (LIS # 2011)."/>
    <x v="74"/>
    <x v="1"/>
    <d v="2016-11-02T00:00:00"/>
    <d v="1899-12-30T12:04:23"/>
    <s v="LIS"/>
    <x v="0"/>
    <x v="2"/>
    <x v="6"/>
    <x v="0"/>
  </r>
  <r>
    <s v="Duplicated Test Order for 30700149B received from host (LIS # 131)."/>
    <x v="74"/>
    <x v="1"/>
    <d v="2016-11-02T00:00:00"/>
    <d v="1899-12-30T12:04:24"/>
    <s v="LIS"/>
    <x v="0"/>
    <x v="2"/>
    <x v="6"/>
    <x v="0"/>
  </r>
  <r>
    <s v="Duplicated Test Order for 30700149B received from host (LIS # 2011)."/>
    <x v="74"/>
    <x v="1"/>
    <d v="2016-11-02T00:00:00"/>
    <d v="1899-12-30T12:04:24"/>
    <s v="LIS"/>
    <x v="0"/>
    <x v="2"/>
    <x v="6"/>
    <x v="0"/>
  </r>
  <r>
    <s v="Duplicated Test Order for 30700161B received from host (LIS # 131)."/>
    <x v="74"/>
    <x v="1"/>
    <d v="2016-11-02T00:00:00"/>
    <d v="1899-12-30T12:04:24"/>
    <s v="LIS"/>
    <x v="0"/>
    <x v="2"/>
    <x v="6"/>
    <x v="0"/>
  </r>
  <r>
    <s v="Duplicated Test Order for 30700161B received from host (LIS # 2011)."/>
    <x v="74"/>
    <x v="1"/>
    <d v="2016-11-02T00:00:00"/>
    <d v="1899-12-30T12:04:24"/>
    <s v="LIS"/>
    <x v="0"/>
    <x v="2"/>
    <x v="6"/>
    <x v="0"/>
  </r>
  <r>
    <s v="Duplicated Test Order for 30700172C received from host (LIS # 131)."/>
    <x v="74"/>
    <x v="1"/>
    <d v="2016-11-02T00:00:00"/>
    <d v="1899-12-30T12:04:25"/>
    <s v="LIS"/>
    <x v="0"/>
    <x v="2"/>
    <x v="6"/>
    <x v="0"/>
  </r>
  <r>
    <s v="Duplicated Test Order for 30700172C received from host (LIS # 2011)."/>
    <x v="74"/>
    <x v="1"/>
    <d v="2016-11-02T00:00:00"/>
    <d v="1899-12-30T12:04:25"/>
    <s v="LIS"/>
    <x v="0"/>
    <x v="2"/>
    <x v="6"/>
    <x v="0"/>
  </r>
  <r>
    <s v="Duplicated Test Order for 30700191B received from host (LIS # 131)."/>
    <x v="74"/>
    <x v="1"/>
    <d v="2016-11-02T00:00:00"/>
    <d v="1899-12-30T12:04:25"/>
    <s v="LIS"/>
    <x v="0"/>
    <x v="2"/>
    <x v="6"/>
    <x v="0"/>
  </r>
  <r>
    <s v="Duplicated Test Order for 30700198A received from host (LIS # 131)."/>
    <x v="74"/>
    <x v="1"/>
    <d v="2016-11-02T00:00:00"/>
    <d v="1899-12-30T12:04:26"/>
    <s v="LIS"/>
    <x v="0"/>
    <x v="2"/>
    <x v="6"/>
    <x v="0"/>
  </r>
  <r>
    <s v="Duplicated Test Order for 30700198A received from host (LIS # 2101)."/>
    <x v="74"/>
    <x v="1"/>
    <d v="2016-11-02T00:00:00"/>
    <d v="1899-12-30T12:04:26"/>
    <s v="LIS"/>
    <x v="0"/>
    <x v="2"/>
    <x v="6"/>
    <x v="0"/>
  </r>
  <r>
    <s v="Duplicated Test Order for 30700200A received from host (LIS # 131)."/>
    <x v="74"/>
    <x v="1"/>
    <d v="2016-11-02T00:00:00"/>
    <d v="1899-12-30T12:04:26"/>
    <s v="LIS"/>
    <x v="0"/>
    <x v="2"/>
    <x v="6"/>
    <x v="0"/>
  </r>
  <r>
    <s v="Duplicated Test Order for 30700201C received from host (LIS # 131)."/>
    <x v="74"/>
    <x v="1"/>
    <d v="2016-11-02T00:00:00"/>
    <d v="1899-12-30T12:04:26"/>
    <s v="LIS"/>
    <x v="0"/>
    <x v="2"/>
    <x v="6"/>
    <x v="0"/>
  </r>
  <r>
    <s v="Duplicated Test Order for 30700202C received from host (LIS # 131)."/>
    <x v="74"/>
    <x v="1"/>
    <d v="2016-11-02T00:00:00"/>
    <d v="1899-12-30T12:04:26"/>
    <s v="LIS"/>
    <x v="0"/>
    <x v="2"/>
    <x v="6"/>
    <x v="0"/>
  </r>
  <r>
    <s v="Duplicated Test Order for 30700214A received from host (LIS # 131)."/>
    <x v="74"/>
    <x v="1"/>
    <d v="2016-11-02T00:00:00"/>
    <d v="1899-12-30T12:04:27"/>
    <s v="LIS"/>
    <x v="0"/>
    <x v="2"/>
    <x v="6"/>
    <x v="0"/>
  </r>
  <r>
    <s v="Duplicated Test Order for 30700216C received from host (LIS # 131)."/>
    <x v="74"/>
    <x v="1"/>
    <d v="2016-11-02T00:00:00"/>
    <d v="1899-12-30T12:04:27"/>
    <s v="LIS"/>
    <x v="0"/>
    <x v="2"/>
    <x v="6"/>
    <x v="0"/>
  </r>
  <r>
    <s v="Duplicated Test Order for 30700218B received from host (LIS # 131)."/>
    <x v="74"/>
    <x v="1"/>
    <d v="2016-11-02T00:00:00"/>
    <d v="1899-12-30T12:04:27"/>
    <s v="LIS"/>
    <x v="0"/>
    <x v="2"/>
    <x v="6"/>
    <x v="0"/>
  </r>
  <r>
    <s v="Duplicated Test Order for 30700223A received from host (LIS # 131)."/>
    <x v="74"/>
    <x v="1"/>
    <d v="2016-11-02T00:00:00"/>
    <d v="1899-12-30T12:04:27"/>
    <s v="LIS"/>
    <x v="0"/>
    <x v="2"/>
    <x v="6"/>
    <x v="0"/>
  </r>
  <r>
    <s v="Duplicated Test Order for 30700226A received from host (LIS # 131)."/>
    <x v="74"/>
    <x v="1"/>
    <d v="2016-11-02T00:00:00"/>
    <d v="1899-12-30T12:04:27"/>
    <s v="LIS"/>
    <x v="0"/>
    <x v="2"/>
    <x v="6"/>
    <x v="0"/>
  </r>
  <r>
    <s v="Duplicated Test Order for 30700227C received from host (LIS # 131)."/>
    <x v="74"/>
    <x v="1"/>
    <d v="2016-11-02T00:00:00"/>
    <d v="1899-12-30T12:04:27"/>
    <s v="LIS"/>
    <x v="0"/>
    <x v="2"/>
    <x v="6"/>
    <x v="0"/>
  </r>
  <r>
    <s v="Duplicated Test Order for 30700229C received from host (LIS # 131)."/>
    <x v="74"/>
    <x v="1"/>
    <d v="2016-11-02T00:00:00"/>
    <d v="1899-12-30T12:04:28"/>
    <s v="LIS"/>
    <x v="0"/>
    <x v="2"/>
    <x v="6"/>
    <x v="0"/>
  </r>
  <r>
    <s v="Duplicated Test Order for 30700235C received from host (LIS # 131)."/>
    <x v="74"/>
    <x v="1"/>
    <d v="2016-11-02T00:00:00"/>
    <d v="1899-12-30T12:04:28"/>
    <s v="LIS"/>
    <x v="0"/>
    <x v="2"/>
    <x v="6"/>
    <x v="0"/>
  </r>
  <r>
    <s v="Duplicated Test Order for 30700236C received from host (LIS # 131)."/>
    <x v="74"/>
    <x v="1"/>
    <d v="2016-11-02T00:00:00"/>
    <d v="1899-12-30T12:04:28"/>
    <s v="LIS"/>
    <x v="0"/>
    <x v="2"/>
    <x v="6"/>
    <x v="0"/>
  </r>
  <r>
    <s v="Duplicated Test Order for 30700240A received from host (LIS # 131)."/>
    <x v="74"/>
    <x v="1"/>
    <d v="2016-11-02T00:00:00"/>
    <d v="1899-12-30T12:04:29"/>
    <s v="LIS"/>
    <x v="0"/>
    <x v="2"/>
    <x v="6"/>
    <x v="0"/>
  </r>
  <r>
    <s v="Duplicated Test Order for 30700242A received from host (LIS # 131)."/>
    <x v="74"/>
    <x v="1"/>
    <d v="2016-11-02T00:00:00"/>
    <d v="1899-12-30T12:04:29"/>
    <s v="LIS"/>
    <x v="0"/>
    <x v="2"/>
    <x v="6"/>
    <x v="0"/>
  </r>
  <r>
    <s v="Duplicated Test Order for 30700245B received from host (LIS # 131)."/>
    <x v="74"/>
    <x v="1"/>
    <d v="2016-11-02T00:00:00"/>
    <d v="1899-12-30T12:04:30"/>
    <s v="LIS"/>
    <x v="0"/>
    <x v="2"/>
    <x v="6"/>
    <x v="0"/>
  </r>
  <r>
    <s v="Duplicated Test Order for 30700254B received from host (LIS # 2101)."/>
    <x v="74"/>
    <x v="1"/>
    <d v="2016-11-02T00:00:00"/>
    <d v="1899-12-30T12:04:30"/>
    <s v="LIS"/>
    <x v="0"/>
    <x v="2"/>
    <x v="6"/>
    <x v="0"/>
  </r>
  <r>
    <s v="Duplicated Test Order for 30700260B received from host (LIS # 131)."/>
    <x v="74"/>
    <x v="1"/>
    <d v="2016-11-02T00:00:00"/>
    <d v="1899-12-30T12:04:31"/>
    <s v="LIS"/>
    <x v="0"/>
    <x v="2"/>
    <x v="6"/>
    <x v="0"/>
  </r>
  <r>
    <s v="Duplicated Test Order for 30700260B received from host (LIS # 2011)."/>
    <x v="74"/>
    <x v="1"/>
    <d v="2016-11-02T00:00:00"/>
    <d v="1899-12-30T12:04:31"/>
    <s v="LIS"/>
    <x v="0"/>
    <x v="2"/>
    <x v="6"/>
    <x v="0"/>
  </r>
  <r>
    <s v="Duplicated Test Order for 30700260B received from host (LIS # 2241)."/>
    <x v="74"/>
    <x v="1"/>
    <d v="2016-11-02T00:00:00"/>
    <d v="1899-12-30T12:04:32"/>
    <s v="LIS"/>
    <x v="0"/>
    <x v="2"/>
    <x v="6"/>
    <x v="0"/>
  </r>
  <r>
    <s v="Duplicated Test Order for 30700271C received from host (LIS # 131)."/>
    <x v="74"/>
    <x v="1"/>
    <d v="2016-11-02T00:00:00"/>
    <d v="1899-12-30T12:04:32"/>
    <s v="LIS"/>
    <x v="0"/>
    <x v="2"/>
    <x v="6"/>
    <x v="0"/>
  </r>
  <r>
    <s v="Duplicated Test Order for 30700274A received from host (LIS # 131)."/>
    <x v="74"/>
    <x v="1"/>
    <d v="2016-11-02T00:00:00"/>
    <d v="1899-12-30T12:04:32"/>
    <s v="LIS"/>
    <x v="0"/>
    <x v="2"/>
    <x v="6"/>
    <x v="0"/>
  </r>
  <r>
    <s v="Duplicated Test Order for 30700277C received from host (LIS # 131)."/>
    <x v="74"/>
    <x v="1"/>
    <d v="2016-11-02T00:00:00"/>
    <d v="1899-12-30T12:04:32"/>
    <s v="LIS"/>
    <x v="0"/>
    <x v="2"/>
    <x v="6"/>
    <x v="0"/>
  </r>
  <r>
    <s v="Duplicated Test Order for 30700289C received from host (LIS # 2101)."/>
    <x v="74"/>
    <x v="1"/>
    <d v="2016-11-02T00:00:00"/>
    <d v="1899-12-30T12:04:32"/>
    <s v="LIS"/>
    <x v="0"/>
    <x v="2"/>
    <x v="6"/>
    <x v="0"/>
  </r>
  <r>
    <s v="Duplicated Test Order for 30700290A received from host (LIS # 131)."/>
    <x v="74"/>
    <x v="1"/>
    <d v="2016-11-02T00:00:00"/>
    <d v="1899-12-30T12:04:32"/>
    <s v="LIS"/>
    <x v="0"/>
    <x v="2"/>
    <x v="6"/>
    <x v="0"/>
  </r>
  <r>
    <s v="Duplicated Test Order for 30700318A received from host (LIS # 131)."/>
    <x v="74"/>
    <x v="1"/>
    <d v="2016-11-02T00:00:00"/>
    <d v="1899-12-30T12:04:32"/>
    <s v="LIS"/>
    <x v="0"/>
    <x v="2"/>
    <x v="6"/>
    <x v="0"/>
  </r>
  <r>
    <s v="Duplicated Test Order for 30700344A received from host (LIS # 131)."/>
    <x v="74"/>
    <x v="1"/>
    <d v="2016-11-02T00:00:00"/>
    <d v="1899-12-30T12:04:33"/>
    <s v="LIS"/>
    <x v="0"/>
    <x v="2"/>
    <x v="6"/>
    <x v="0"/>
  </r>
  <r>
    <s v="Duplicated Test Order for 30700355A received from host (LIS # 131)."/>
    <x v="74"/>
    <x v="1"/>
    <d v="2016-11-02T00:00:00"/>
    <d v="1899-12-30T12:04:33"/>
    <s v="LIS"/>
    <x v="0"/>
    <x v="2"/>
    <x v="6"/>
    <x v="0"/>
  </r>
  <r>
    <s v="Duplicated Test Order for 30700355A received from host (LIS # 921)."/>
    <x v="74"/>
    <x v="1"/>
    <d v="2016-11-02T00:00:00"/>
    <d v="1899-12-30T12:04:33"/>
    <s v="LIS"/>
    <x v="0"/>
    <x v="2"/>
    <x v="6"/>
    <x v="0"/>
  </r>
  <r>
    <s v="Duplicated Test Order for 30700355A received from host (LIS # 2101)."/>
    <x v="74"/>
    <x v="1"/>
    <d v="2016-11-02T00:00:00"/>
    <d v="1899-12-30T12:04:34"/>
    <s v="LIS"/>
    <x v="0"/>
    <x v="2"/>
    <x v="6"/>
    <x v="0"/>
  </r>
  <r>
    <s v="Duplicated Test Order for 30700370C received from host (LIS # 131)."/>
    <x v="74"/>
    <x v="1"/>
    <d v="2016-11-02T00:00:00"/>
    <d v="1899-12-30T12:04:34"/>
    <s v="LIS"/>
    <x v="0"/>
    <x v="2"/>
    <x v="6"/>
    <x v="0"/>
  </r>
  <r>
    <s v="Duplicated Test Order for 30700375C received from host (LIS # 2101)."/>
    <x v="74"/>
    <x v="1"/>
    <d v="2016-11-02T00:00:00"/>
    <d v="1899-12-30T12:04:34"/>
    <s v="LIS"/>
    <x v="0"/>
    <x v="2"/>
    <x v="6"/>
    <x v="0"/>
  </r>
  <r>
    <s v="Duplicated Test Order for 30700379B received from host (LIS # 131)."/>
    <x v="74"/>
    <x v="1"/>
    <d v="2016-11-02T00:00:00"/>
    <d v="1899-12-30T12:04:34"/>
    <s v="LIS"/>
    <x v="0"/>
    <x v="2"/>
    <x v="6"/>
    <x v="0"/>
  </r>
  <r>
    <s v="Duplicated Test Order for 30700380C received from host (LIS # 131)."/>
    <x v="74"/>
    <x v="1"/>
    <d v="2016-11-02T00:00:00"/>
    <d v="1899-12-30T12:04:34"/>
    <s v="LIS"/>
    <x v="0"/>
    <x v="2"/>
    <x v="6"/>
    <x v="0"/>
  </r>
  <r>
    <s v="Duplicated Test Order for 30700401C received from host (LIS # 131)."/>
    <x v="74"/>
    <x v="1"/>
    <d v="2016-11-02T00:00:00"/>
    <d v="1899-12-30T12:04:35"/>
    <s v="LIS"/>
    <x v="0"/>
    <x v="2"/>
    <x v="6"/>
    <x v="0"/>
  </r>
  <r>
    <s v="Duplicated Test Order for 30700406A received from host (LIS # 2241)."/>
    <x v="74"/>
    <x v="1"/>
    <d v="2016-11-02T00:00:00"/>
    <d v="1899-12-30T12:04:35"/>
    <s v="LIS"/>
    <x v="0"/>
    <x v="2"/>
    <x v="6"/>
    <x v="0"/>
  </r>
  <r>
    <s v="Duplicated Test Order for 30700412C received from host (LIS # 131)."/>
    <x v="74"/>
    <x v="1"/>
    <d v="2016-11-02T00:00:00"/>
    <d v="1899-12-30T12:04:35"/>
    <s v="LIS"/>
    <x v="0"/>
    <x v="2"/>
    <x v="6"/>
    <x v="0"/>
  </r>
  <r>
    <s v="Duplicated Test Order for 30700412C received from host (LIS # 921)."/>
    <x v="74"/>
    <x v="1"/>
    <d v="2016-11-02T00:00:00"/>
    <d v="1899-12-30T12:04:35"/>
    <s v="LIS"/>
    <x v="0"/>
    <x v="2"/>
    <x v="6"/>
    <x v="0"/>
  </r>
  <r>
    <s v="Duplicated Test Order for 30700417A received from host (LIS # 131)."/>
    <x v="74"/>
    <x v="1"/>
    <d v="2016-11-02T00:00:00"/>
    <d v="1899-12-30T12:04:35"/>
    <s v="LIS"/>
    <x v="0"/>
    <x v="2"/>
    <x v="6"/>
    <x v="0"/>
  </r>
  <r>
    <s v="Duplicated Test Order for 30700417A received from host (LIS # 921)."/>
    <x v="74"/>
    <x v="1"/>
    <d v="2016-11-02T00:00:00"/>
    <d v="1899-12-30T12:04:36"/>
    <s v="LIS"/>
    <x v="0"/>
    <x v="2"/>
    <x v="6"/>
    <x v="0"/>
  </r>
  <r>
    <s v="Duplicated Test Order for 30700419D received from host (LIS # 131)."/>
    <x v="74"/>
    <x v="1"/>
    <d v="2016-11-02T00:00:00"/>
    <d v="1899-12-30T12:04:36"/>
    <s v="LIS"/>
    <x v="0"/>
    <x v="2"/>
    <x v="6"/>
    <x v="0"/>
  </r>
  <r>
    <s v="Duplicated Test Order for 30700426A received from host (LIS # 131)."/>
    <x v="74"/>
    <x v="1"/>
    <d v="2016-11-02T00:00:00"/>
    <d v="1899-12-30T12:04:36"/>
    <s v="LIS"/>
    <x v="0"/>
    <x v="2"/>
    <x v="6"/>
    <x v="0"/>
  </r>
  <r>
    <s v="Duplicated Test Order for 30700426A received from host (LIS # 921)."/>
    <x v="74"/>
    <x v="1"/>
    <d v="2016-11-02T00:00:00"/>
    <d v="1899-12-30T12:04:36"/>
    <s v="LIS"/>
    <x v="0"/>
    <x v="2"/>
    <x v="6"/>
    <x v="0"/>
  </r>
  <r>
    <s v="Duplicated Test Order for 30700438A received from host (LIS # 2011)."/>
    <x v="74"/>
    <x v="1"/>
    <d v="2016-11-02T00:00:00"/>
    <d v="1899-12-30T12:04:36"/>
    <s v="LIS"/>
    <x v="0"/>
    <x v="2"/>
    <x v="6"/>
    <x v="0"/>
  </r>
  <r>
    <s v="Duplicated Test Order for 30700438A received from host (LIS # 2241)."/>
    <x v="74"/>
    <x v="1"/>
    <d v="2016-11-02T00:00:00"/>
    <d v="1899-12-30T12:04:36"/>
    <s v="LIS"/>
    <x v="0"/>
    <x v="2"/>
    <x v="6"/>
    <x v="0"/>
  </r>
  <r>
    <s v="Duplicated Test Order for 30700444A received from host (LIS # 2241)."/>
    <x v="74"/>
    <x v="1"/>
    <d v="2016-11-02T00:00:00"/>
    <d v="1899-12-30T12:04:37"/>
    <s v="LIS"/>
    <x v="0"/>
    <x v="2"/>
    <x v="6"/>
    <x v="0"/>
  </r>
  <r>
    <s v="Duplicated Test Order for 30700445A received from host (LIS # 2101)."/>
    <x v="74"/>
    <x v="1"/>
    <d v="2016-11-02T00:00:00"/>
    <d v="1899-12-30T12:04:37"/>
    <s v="LIS"/>
    <x v="0"/>
    <x v="2"/>
    <x v="6"/>
    <x v="0"/>
  </r>
  <r>
    <s v="Duplicated Test Order for 30700446B received from host (LIS # 2241)."/>
    <x v="74"/>
    <x v="1"/>
    <d v="2016-11-02T00:00:00"/>
    <d v="1899-12-30T12:04:37"/>
    <s v="LIS"/>
    <x v="0"/>
    <x v="2"/>
    <x v="6"/>
    <x v="0"/>
  </r>
  <r>
    <s v="Duplicated Test Order for 30700452A received from host (LIS # 131)."/>
    <x v="74"/>
    <x v="1"/>
    <d v="2016-11-02T00:00:00"/>
    <d v="1899-12-30T12:04:37"/>
    <s v="LIS"/>
    <x v="0"/>
    <x v="2"/>
    <x v="6"/>
    <x v="0"/>
  </r>
  <r>
    <s v="Duplicated Test Order for 30700469A received from host (LIS # 131)."/>
    <x v="74"/>
    <x v="1"/>
    <d v="2016-11-02T00:00:00"/>
    <d v="1899-12-30T12:04:37"/>
    <s v="LIS"/>
    <x v="0"/>
    <x v="2"/>
    <x v="6"/>
    <x v="0"/>
  </r>
  <r>
    <s v="Duplicated Test Order for 30700469A received from host (LIS # 2011)."/>
    <x v="74"/>
    <x v="1"/>
    <d v="2016-11-02T00:00:00"/>
    <d v="1899-12-30T12:04:37"/>
    <s v="LIS"/>
    <x v="0"/>
    <x v="2"/>
    <x v="6"/>
    <x v="0"/>
  </r>
  <r>
    <s v="Duplicated Test Order for 30700470B received from host (LIS # 131)."/>
    <x v="74"/>
    <x v="1"/>
    <d v="2016-11-02T00:00:00"/>
    <d v="1899-12-30T12:04:37"/>
    <s v="LIS"/>
    <x v="0"/>
    <x v="2"/>
    <x v="6"/>
    <x v="0"/>
  </r>
  <r>
    <s v="Duplicated Test Order for 30700470B received from host (LIS # 921)."/>
    <x v="74"/>
    <x v="1"/>
    <d v="2016-11-02T00:00:00"/>
    <d v="1899-12-30T12:04:38"/>
    <s v="LIS"/>
    <x v="0"/>
    <x v="2"/>
    <x v="6"/>
    <x v="0"/>
  </r>
  <r>
    <s v="Duplicated Test Order for 30700471A received from host (LIS # 131)."/>
    <x v="74"/>
    <x v="1"/>
    <d v="2016-11-02T00:00:00"/>
    <d v="1899-12-30T12:04:38"/>
    <s v="LIS"/>
    <x v="0"/>
    <x v="2"/>
    <x v="6"/>
    <x v="0"/>
  </r>
  <r>
    <s v="Duplicated Test Order for 30700471A received from host (LIS # 2011)."/>
    <x v="74"/>
    <x v="1"/>
    <d v="2016-11-02T00:00:00"/>
    <d v="1899-12-30T12:04:38"/>
    <s v="LIS"/>
    <x v="0"/>
    <x v="2"/>
    <x v="6"/>
    <x v="0"/>
  </r>
  <r>
    <s v="Duplicated Test Order for 30700491A received from host (LIS # 131)."/>
    <x v="74"/>
    <x v="1"/>
    <d v="2016-11-02T00:00:00"/>
    <d v="1899-12-30T12:04:38"/>
    <s v="LIS"/>
    <x v="0"/>
    <x v="2"/>
    <x v="6"/>
    <x v="0"/>
  </r>
  <r>
    <s v="Duplicated Test Order for 30700498A received from host (LIS # 2101)."/>
    <x v="74"/>
    <x v="1"/>
    <d v="2016-11-02T00:00:00"/>
    <d v="1899-12-30T12:04:38"/>
    <s v="LIS"/>
    <x v="0"/>
    <x v="2"/>
    <x v="6"/>
    <x v="0"/>
  </r>
  <r>
    <s v="Duplicated Test Order for 30700503A received from host (LIS # 131)."/>
    <x v="74"/>
    <x v="1"/>
    <d v="2016-11-02T00:00:00"/>
    <d v="1899-12-30T12:04:38"/>
    <s v="LIS"/>
    <x v="0"/>
    <x v="2"/>
    <x v="6"/>
    <x v="0"/>
  </r>
  <r>
    <s v="Anti Factor Xa Rgt. volume low."/>
    <x v="7"/>
    <x v="1"/>
    <d v="2016-11-02T00:00:00"/>
    <d v="1899-12-30T12:04:39"/>
    <s v="Materials"/>
    <x v="0"/>
    <x v="3"/>
    <x v="4"/>
    <x v="0"/>
  </r>
  <r>
    <s v="Duplicated Test Order for 30700503A received from host (LIS # 2101)."/>
    <x v="74"/>
    <x v="1"/>
    <d v="2016-11-02T00:00:00"/>
    <d v="1899-12-30T12:04:39"/>
    <s v="LIS"/>
    <x v="0"/>
    <x v="2"/>
    <x v="6"/>
    <x v="0"/>
  </r>
  <r>
    <s v="Duplicated Test Order for 30700511A received from host (LIS # 2241)."/>
    <x v="74"/>
    <x v="1"/>
    <d v="2016-11-02T00:00:00"/>
    <d v="1899-12-30T12:04:39"/>
    <s v="LIS"/>
    <x v="0"/>
    <x v="2"/>
    <x v="6"/>
    <x v="0"/>
  </r>
  <r>
    <s v="Duplicated Test Order for 30700553B received from host (LIS # 131)."/>
    <x v="74"/>
    <x v="1"/>
    <d v="2016-11-02T00:00:00"/>
    <d v="1899-12-30T12:04:39"/>
    <s v="LIS"/>
    <x v="0"/>
    <x v="2"/>
    <x v="6"/>
    <x v="0"/>
  </r>
  <r>
    <s v="Duplicated Test Order for 30700566C received from host (LIS # 131)."/>
    <x v="74"/>
    <x v="1"/>
    <d v="2016-11-02T00:00:00"/>
    <d v="1899-12-30T12:04:39"/>
    <s v="LIS"/>
    <x v="0"/>
    <x v="2"/>
    <x v="6"/>
    <x v="0"/>
  </r>
  <r>
    <s v="Duplicated Test Order for 30700569A received from host (LIS # 131)."/>
    <x v="74"/>
    <x v="1"/>
    <d v="2016-11-02T00:00:00"/>
    <d v="1899-12-30T12:04:39"/>
    <s v="LIS"/>
    <x v="0"/>
    <x v="2"/>
    <x v="6"/>
    <x v="0"/>
  </r>
  <r>
    <s v="Duplicated Test Order for 30700584C received from host (LIS # 131)."/>
    <x v="74"/>
    <x v="1"/>
    <d v="2016-11-02T00:00:00"/>
    <d v="1899-12-30T12:04:39"/>
    <s v="LIS"/>
    <x v="0"/>
    <x v="2"/>
    <x v="6"/>
    <x v="0"/>
  </r>
  <r>
    <s v="Duplicated Test Order for 30700584C received from host (LIS # 921)."/>
    <x v="74"/>
    <x v="1"/>
    <d v="2016-11-02T00:00:00"/>
    <d v="1899-12-30T12:04:40"/>
    <s v="LIS"/>
    <x v="0"/>
    <x v="2"/>
    <x v="6"/>
    <x v="0"/>
  </r>
  <r>
    <s v="Duplicated Test Order for 30700595A received from host (LIS # 131)."/>
    <x v="74"/>
    <x v="1"/>
    <d v="2016-11-02T00:00:00"/>
    <d v="1899-12-30T12:04:41"/>
    <s v="LIS"/>
    <x v="0"/>
    <x v="2"/>
    <x v="6"/>
    <x v="0"/>
  </r>
  <r>
    <s v="Duplicated Test Order for 30700595A received from host (LIS # 2011)."/>
    <x v="74"/>
    <x v="1"/>
    <d v="2016-11-02T00:00:00"/>
    <d v="1899-12-30T12:04:41"/>
    <s v="LIS"/>
    <x v="0"/>
    <x v="2"/>
    <x v="6"/>
    <x v="0"/>
  </r>
  <r>
    <s v="Duplicated Test Order for 30700608A received from host (LIS # 2101)."/>
    <x v="74"/>
    <x v="1"/>
    <d v="2016-11-02T00:00:00"/>
    <d v="1899-12-30T12:04:41"/>
    <s v="LIS"/>
    <x v="0"/>
    <x v="2"/>
    <x v="6"/>
    <x v="0"/>
  </r>
  <r>
    <s v="Duplicated Test Order for 30700650A received from host (LIS # 131)."/>
    <x v="74"/>
    <x v="1"/>
    <d v="2016-11-02T00:00:00"/>
    <d v="1899-12-30T12:04:42"/>
    <s v="LIS"/>
    <x v="0"/>
    <x v="2"/>
    <x v="6"/>
    <x v="0"/>
  </r>
  <r>
    <s v="Duplicated Test Order for 30700650A received from host (LIS # 2101)."/>
    <x v="74"/>
    <x v="1"/>
    <d v="2016-11-02T00:00:00"/>
    <d v="1899-12-30T12:04:42"/>
    <s v="LIS"/>
    <x v="0"/>
    <x v="2"/>
    <x v="6"/>
    <x v="0"/>
  </r>
  <r>
    <s v="Duplicated Test Order for 30700673B received from host (LIS # 131)."/>
    <x v="74"/>
    <x v="1"/>
    <d v="2016-11-02T00:00:00"/>
    <d v="1899-12-30T12:04:42"/>
    <s v="LIS"/>
    <x v="0"/>
    <x v="2"/>
    <x v="6"/>
    <x v="0"/>
  </r>
  <r>
    <s v="Duplicated Test Order for 30700679D received from host (LIS # 131)."/>
    <x v="74"/>
    <x v="1"/>
    <d v="2016-11-02T00:00:00"/>
    <d v="1899-12-30T12:04:42"/>
    <s v="LIS"/>
    <x v="0"/>
    <x v="2"/>
    <x v="6"/>
    <x v="0"/>
  </r>
  <r>
    <s v="Duplicated Test Order for 30700729B received from host (LIS # 131)."/>
    <x v="74"/>
    <x v="1"/>
    <d v="2016-11-02T00:00:00"/>
    <d v="1899-12-30T12:04:43"/>
    <s v="LIS"/>
    <x v="0"/>
    <x v="2"/>
    <x v="6"/>
    <x v="0"/>
  </r>
  <r>
    <s v="Duplicated Test Order for 30700729B received from host (LIS # 921)."/>
    <x v="74"/>
    <x v="1"/>
    <d v="2016-11-02T00:00:00"/>
    <d v="1899-12-30T12:04:43"/>
    <s v="LIS"/>
    <x v="0"/>
    <x v="2"/>
    <x v="6"/>
    <x v="0"/>
  </r>
  <r>
    <s v="Duplicated Test Order for 30700730A received from host (LIS # 131)."/>
    <x v="74"/>
    <x v="1"/>
    <d v="2016-11-02T00:00:00"/>
    <d v="1899-12-30T12:04:43"/>
    <s v="LIS"/>
    <x v="0"/>
    <x v="2"/>
    <x v="6"/>
    <x v="0"/>
  </r>
  <r>
    <s v="Duplicated Test Order for 30700843A received from host (LIS # 131)."/>
    <x v="74"/>
    <x v="1"/>
    <d v="2016-11-02T00:00:00"/>
    <d v="1899-12-30T12:04:43"/>
    <s v="LIS"/>
    <x v="0"/>
    <x v="2"/>
    <x v="6"/>
    <x v="0"/>
  </r>
  <r>
    <s v="Duplicated Test Order for 30700869A received from host (LIS # 131)."/>
    <x v="74"/>
    <x v="1"/>
    <d v="2016-11-02T00:00:00"/>
    <d v="1899-12-30T12:04:43"/>
    <s v="LIS"/>
    <x v="0"/>
    <x v="2"/>
    <x v="6"/>
    <x v="0"/>
  </r>
  <r>
    <s v="Duplicated Test Order for 30700885A received from host (LIS # 131)."/>
    <x v="74"/>
    <x v="1"/>
    <d v="2016-11-02T00:00:00"/>
    <d v="1899-12-30T12:04:43"/>
    <s v="LIS"/>
    <x v="0"/>
    <x v="2"/>
    <x v="6"/>
    <x v="0"/>
  </r>
  <r>
    <s v="Duplicated Test Order for 30700886C received from host (LIS # 131)."/>
    <x v="74"/>
    <x v="1"/>
    <d v="2016-11-02T00:00:00"/>
    <d v="1899-12-30T12:04:43"/>
    <s v="LIS"/>
    <x v="0"/>
    <x v="2"/>
    <x v="6"/>
    <x v="0"/>
  </r>
  <r>
    <s v="Duplicated Test Order for 30700894A received from host (LIS # 131)."/>
    <x v="74"/>
    <x v="1"/>
    <d v="2016-11-02T00:00:00"/>
    <d v="1899-12-30T12:04:43"/>
    <s v="LIS"/>
    <x v="0"/>
    <x v="2"/>
    <x v="6"/>
    <x v="0"/>
  </r>
  <r>
    <s v="Duplicated Test Order for 30700903A received from host (LIS # 131)."/>
    <x v="74"/>
    <x v="1"/>
    <d v="2016-11-02T00:00:00"/>
    <d v="1899-12-30T12:04:43"/>
    <s v="LIS"/>
    <x v="0"/>
    <x v="2"/>
    <x v="6"/>
    <x v="0"/>
  </r>
  <r>
    <s v="Duplicated Test Order for 30700905A received from host (LIS # 131)."/>
    <x v="74"/>
    <x v="1"/>
    <d v="2016-11-02T00:00:00"/>
    <d v="1899-12-30T12:04:44"/>
    <s v="LIS"/>
    <x v="0"/>
    <x v="2"/>
    <x v="6"/>
    <x v="0"/>
  </r>
  <r>
    <s v="Duplicated Test Order for 30700924B received from host (LIS # 131)."/>
    <x v="74"/>
    <x v="1"/>
    <d v="2016-11-02T00:00:00"/>
    <d v="1899-12-30T12:04:44"/>
    <s v="LIS"/>
    <x v="0"/>
    <x v="2"/>
    <x v="6"/>
    <x v="0"/>
  </r>
  <r>
    <s v="Duplicated Test Order for 30700988A received from host (LIS # 2241)."/>
    <x v="74"/>
    <x v="1"/>
    <d v="2016-11-02T00:00:00"/>
    <d v="1899-12-30T12:04:44"/>
    <s v="LIS"/>
    <x v="0"/>
    <x v="2"/>
    <x v="6"/>
    <x v="0"/>
  </r>
  <r>
    <s v="Duplicated Test Order for 30701007A received from host (LIS # 131)."/>
    <x v="74"/>
    <x v="1"/>
    <d v="2016-11-02T00:00:00"/>
    <d v="1899-12-30T12:04:44"/>
    <s v="LIS"/>
    <x v="0"/>
    <x v="2"/>
    <x v="6"/>
    <x v="0"/>
  </r>
  <r>
    <s v="Duplicated Test Order for 30701009D received from host (LIS # 131)."/>
    <x v="74"/>
    <x v="1"/>
    <d v="2016-11-02T00:00:00"/>
    <d v="1899-12-30T12:04:44"/>
    <s v="LIS"/>
    <x v="0"/>
    <x v="2"/>
    <x v="6"/>
    <x v="0"/>
  </r>
  <r>
    <s v="Duplicated Test Order for 30701009D received from host (LIS # 921)."/>
    <x v="74"/>
    <x v="1"/>
    <d v="2016-11-02T00:00:00"/>
    <d v="1899-12-30T12:04:44"/>
    <s v="LIS"/>
    <x v="0"/>
    <x v="2"/>
    <x v="6"/>
    <x v="0"/>
  </r>
  <r>
    <s v="Duplicated Test Order for 30701009D received from host (LIS # 2101)."/>
    <x v="74"/>
    <x v="1"/>
    <d v="2016-11-02T00:00:00"/>
    <d v="1899-12-30T12:04:44"/>
    <s v="LIS"/>
    <x v="0"/>
    <x v="2"/>
    <x v="6"/>
    <x v="0"/>
  </r>
  <r>
    <s v="Duplicated Test Order for 30701041A received from host (LIS # 921)."/>
    <x v="74"/>
    <x v="1"/>
    <d v="2016-11-02T00:00:00"/>
    <d v="1899-12-30T12:04:44"/>
    <s v="LIS"/>
    <x v="0"/>
    <x v="2"/>
    <x v="6"/>
    <x v="0"/>
  </r>
  <r>
    <s v="Duplicated Test Order for 30701041A received from host (LIS # 2101)."/>
    <x v="74"/>
    <x v="1"/>
    <d v="2016-11-02T00:00:00"/>
    <d v="1899-12-30T12:04:44"/>
    <s v="LIS"/>
    <x v="0"/>
    <x v="2"/>
    <x v="6"/>
    <x v="0"/>
  </r>
  <r>
    <s v="Duplicated Test Order for 30701050A received from host (LIS # 131)."/>
    <x v="74"/>
    <x v="1"/>
    <d v="2016-11-02T00:00:00"/>
    <d v="1899-12-30T12:04:44"/>
    <s v="LIS"/>
    <x v="0"/>
    <x v="2"/>
    <x v="6"/>
    <x v="0"/>
  </r>
  <r>
    <s v="Duplicated Test Order for 30701050A received from host (LIS # 921)."/>
    <x v="74"/>
    <x v="1"/>
    <d v="2016-11-02T00:00:00"/>
    <d v="1899-12-30T12:04:44"/>
    <s v="LIS"/>
    <x v="0"/>
    <x v="2"/>
    <x v="6"/>
    <x v="0"/>
  </r>
  <r>
    <s v="Duplicated Test Order for 30701082B received from host (LIS # 131)."/>
    <x v="74"/>
    <x v="1"/>
    <d v="2016-11-02T00:00:00"/>
    <d v="1899-12-30T12:04:44"/>
    <s v="LIS"/>
    <x v="0"/>
    <x v="2"/>
    <x v="6"/>
    <x v="0"/>
  </r>
  <r>
    <s v="Duplicated Test Order for 30701083A received from host (LIS # 131)."/>
    <x v="74"/>
    <x v="1"/>
    <d v="2016-11-02T00:00:00"/>
    <d v="1899-12-30T12:04:44"/>
    <s v="LIS"/>
    <x v="0"/>
    <x v="2"/>
    <x v="6"/>
    <x v="0"/>
  </r>
  <r>
    <s v="Duplicated Test Order for 30701094A received from host (LIS # 131)."/>
    <x v="74"/>
    <x v="1"/>
    <d v="2016-11-02T00:00:00"/>
    <d v="1899-12-30T12:04:44"/>
    <s v="LIS"/>
    <x v="0"/>
    <x v="2"/>
    <x v="6"/>
    <x v="0"/>
  </r>
  <r>
    <s v="Duplicated Test Order for 30701123C received from host (LIS # 131)."/>
    <x v="74"/>
    <x v="1"/>
    <d v="2016-11-02T00:00:00"/>
    <d v="1899-12-30T12:04:44"/>
    <s v="LIS"/>
    <x v="0"/>
    <x v="2"/>
    <x v="6"/>
    <x v="0"/>
  </r>
  <r>
    <s v="Duplicated Test Order for 30701168A received from host (LIS # 131)."/>
    <x v="74"/>
    <x v="1"/>
    <d v="2016-11-02T00:00:00"/>
    <d v="1899-12-30T12:04:45"/>
    <s v="LIS"/>
    <x v="0"/>
    <x v="2"/>
    <x v="6"/>
    <x v="0"/>
  </r>
  <r>
    <s v="Duplicated Test Order for 30701179A received from host (LIS # 131)."/>
    <x v="74"/>
    <x v="1"/>
    <d v="2016-11-02T00:00:00"/>
    <d v="1899-12-30T12:04:45"/>
    <s v="LIS"/>
    <x v="0"/>
    <x v="2"/>
    <x v="6"/>
    <x v="0"/>
  </r>
  <r>
    <s v="Duplicated Test Order for 30701223C received from host (LIS # 131)."/>
    <x v="74"/>
    <x v="1"/>
    <d v="2016-11-02T00:00:00"/>
    <d v="1899-12-30T12:04:45"/>
    <s v="LIS"/>
    <x v="0"/>
    <x v="2"/>
    <x v="6"/>
    <x v="0"/>
  </r>
  <r>
    <s v="Duplicated Test Order for 30701223C received from host (LIS # 921)."/>
    <x v="74"/>
    <x v="1"/>
    <d v="2016-11-02T00:00:00"/>
    <d v="1899-12-30T12:04:45"/>
    <s v="LIS"/>
    <x v="0"/>
    <x v="2"/>
    <x v="6"/>
    <x v="0"/>
  </r>
  <r>
    <s v="Duplicated Test Order for 30701249A received from host (LIS # 2101)."/>
    <x v="74"/>
    <x v="1"/>
    <d v="2016-11-02T00:00:00"/>
    <d v="1899-12-30T12:04:45"/>
    <s v="LIS"/>
    <x v="0"/>
    <x v="2"/>
    <x v="6"/>
    <x v="0"/>
  </r>
  <r>
    <s v="Duplicated Test Order for 30701250A received from host (LIS # 131)."/>
    <x v="74"/>
    <x v="1"/>
    <d v="2016-11-02T00:00:00"/>
    <d v="1899-12-30T12:04:45"/>
    <s v="LIS"/>
    <x v="0"/>
    <x v="2"/>
    <x v="6"/>
    <x v="0"/>
  </r>
  <r>
    <s v="Duplicated Test Order for 30701305A received from host (LIS # 131)."/>
    <x v="74"/>
    <x v="1"/>
    <d v="2016-11-02T00:00:00"/>
    <d v="1899-12-30T12:04:45"/>
    <s v="LIS"/>
    <x v="0"/>
    <x v="2"/>
    <x v="6"/>
    <x v="0"/>
  </r>
  <r>
    <s v="Duplicated Test Order for 30701307A received from host (LIS # 131)."/>
    <x v="74"/>
    <x v="1"/>
    <d v="2016-11-02T00:00:00"/>
    <d v="1899-12-30T12:04:45"/>
    <s v="LIS"/>
    <x v="0"/>
    <x v="2"/>
    <x v="6"/>
    <x v="0"/>
  </r>
  <r>
    <s v="Duplicated Test Order for 30701343C received from host (LIS # 131)."/>
    <x v="74"/>
    <x v="1"/>
    <d v="2016-11-02T00:00:00"/>
    <d v="1899-12-30T12:04:45"/>
    <s v="LIS"/>
    <x v="0"/>
    <x v="2"/>
    <x v="6"/>
    <x v="0"/>
  </r>
  <r>
    <s v="Duplicated Test Order for 30701375B received from host (LIS # 131)."/>
    <x v="74"/>
    <x v="1"/>
    <d v="2016-11-02T00:00:00"/>
    <d v="1899-12-30T12:04:45"/>
    <s v="LIS"/>
    <x v="0"/>
    <x v="2"/>
    <x v="6"/>
    <x v="0"/>
  </r>
  <r>
    <s v="Duplicated Test Order for 30701375B received from host (LIS # 921)."/>
    <x v="74"/>
    <x v="1"/>
    <d v="2016-11-02T00:00:00"/>
    <d v="1899-12-30T12:04:45"/>
    <s v="LIS"/>
    <x v="0"/>
    <x v="2"/>
    <x v="6"/>
    <x v="0"/>
  </r>
  <r>
    <s v="Duplicated Test Order for 30701375B received from host (LIS # 2011)."/>
    <x v="74"/>
    <x v="1"/>
    <d v="2016-11-02T00:00:00"/>
    <d v="1899-12-30T12:04:45"/>
    <s v="LIS"/>
    <x v="0"/>
    <x v="2"/>
    <x v="6"/>
    <x v="0"/>
  </r>
  <r>
    <s v="Duplicated Test Order for 30601355A received from host (LIS # 2101)."/>
    <x v="74"/>
    <x v="1"/>
    <d v="2016-11-02T00:00:00"/>
    <d v="1899-12-30T12:05:10"/>
    <s v="LIS"/>
    <x v="0"/>
    <x v="2"/>
    <x v="6"/>
    <x v="0"/>
  </r>
  <r>
    <s v="Duplicated Test Order for 30601478A received from host (LIS # 921)."/>
    <x v="74"/>
    <x v="1"/>
    <d v="2016-11-02T00:00:00"/>
    <d v="1899-12-30T12:05:10"/>
    <s v="LIS"/>
    <x v="0"/>
    <x v="2"/>
    <x v="6"/>
    <x v="0"/>
  </r>
  <r>
    <s v="Duplicated Test Order for 30601493D received from host (LIS # 131)."/>
    <x v="74"/>
    <x v="1"/>
    <d v="2016-11-02T00:00:00"/>
    <d v="1899-12-30T12:05:10"/>
    <s v="LIS"/>
    <x v="0"/>
    <x v="2"/>
    <x v="6"/>
    <x v="0"/>
  </r>
  <r>
    <s v="Duplicated Test Order for 30601493D received from host (LIS # 921)."/>
    <x v="74"/>
    <x v="1"/>
    <d v="2016-11-02T00:00:00"/>
    <d v="1899-12-30T12:05:10"/>
    <s v="LIS"/>
    <x v="0"/>
    <x v="2"/>
    <x v="6"/>
    <x v="0"/>
  </r>
  <r>
    <s v="Duplicated Test Order for 30601493D received from host (LIS # 2101)."/>
    <x v="74"/>
    <x v="1"/>
    <d v="2016-11-02T00:00:00"/>
    <d v="1899-12-30T12:05:11"/>
    <s v="LIS"/>
    <x v="0"/>
    <x v="2"/>
    <x v="6"/>
    <x v="0"/>
  </r>
  <r>
    <s v="Duplicated Test Order for 30601496A received from host (LIS # 131)."/>
    <x v="74"/>
    <x v="1"/>
    <d v="2016-11-02T00:00:00"/>
    <d v="1899-12-30T12:05:11"/>
    <s v="LIS"/>
    <x v="0"/>
    <x v="2"/>
    <x v="6"/>
    <x v="0"/>
  </r>
  <r>
    <s v="Duplicated Test Order for 30601510A received from host (LIS # 131)."/>
    <x v="74"/>
    <x v="1"/>
    <d v="2016-11-02T00:00:00"/>
    <d v="1899-12-30T12:05:11"/>
    <s v="LIS"/>
    <x v="0"/>
    <x v="2"/>
    <x v="6"/>
    <x v="0"/>
  </r>
  <r>
    <s v="Duplicated Test Order for 30601528A received from host (LIS # 131)."/>
    <x v="74"/>
    <x v="1"/>
    <d v="2016-11-02T00:00:00"/>
    <d v="1899-12-30T12:05:11"/>
    <s v="LIS"/>
    <x v="0"/>
    <x v="2"/>
    <x v="6"/>
    <x v="0"/>
  </r>
  <r>
    <s v="Duplicated Test Order for 30601551A received from host (LIS # 131)."/>
    <x v="74"/>
    <x v="1"/>
    <d v="2016-11-02T00:00:00"/>
    <d v="1899-12-30T12:05:11"/>
    <s v="LIS"/>
    <x v="0"/>
    <x v="2"/>
    <x v="6"/>
    <x v="0"/>
  </r>
  <r>
    <s v="Duplicated Test Order for 30601551A received from host (LIS # 921)."/>
    <x v="74"/>
    <x v="1"/>
    <d v="2016-11-02T00:00:00"/>
    <d v="1899-12-30T12:05:12"/>
    <s v="LIS"/>
    <x v="0"/>
    <x v="2"/>
    <x v="6"/>
    <x v="0"/>
  </r>
  <r>
    <s v="Duplicated Test Order for 30601551A received from host (LIS # 2011)."/>
    <x v="74"/>
    <x v="1"/>
    <d v="2016-11-02T00:00:00"/>
    <d v="1899-12-30T12:05:12"/>
    <s v="LIS"/>
    <x v="0"/>
    <x v="2"/>
    <x v="6"/>
    <x v="0"/>
  </r>
  <r>
    <s v="Duplicated Test Order for 30601553B received from host (LIS # 131)."/>
    <x v="74"/>
    <x v="1"/>
    <d v="2016-11-02T00:00:00"/>
    <d v="1899-12-30T12:05:12"/>
    <s v="LIS"/>
    <x v="0"/>
    <x v="2"/>
    <x v="6"/>
    <x v="0"/>
  </r>
  <r>
    <s v="Duplicated Test Order for 30601559A received from host (LIS # 2241)."/>
    <x v="74"/>
    <x v="1"/>
    <d v="2016-11-02T00:00:00"/>
    <d v="1899-12-30T12:05:12"/>
    <s v="LIS"/>
    <x v="0"/>
    <x v="2"/>
    <x v="6"/>
    <x v="0"/>
  </r>
  <r>
    <s v="Duplicated Test Order for 30601564D received from host (LIS # 131)."/>
    <x v="74"/>
    <x v="1"/>
    <d v="2016-11-02T00:00:00"/>
    <d v="1899-12-30T12:05:13"/>
    <s v="LIS"/>
    <x v="0"/>
    <x v="2"/>
    <x v="6"/>
    <x v="0"/>
  </r>
  <r>
    <s v="Duplicated Test Order for 30601588A received from host (LIS # 131)."/>
    <x v="74"/>
    <x v="1"/>
    <d v="2016-11-02T00:00:00"/>
    <d v="1899-12-30T12:05:13"/>
    <s v="LIS"/>
    <x v="0"/>
    <x v="2"/>
    <x v="6"/>
    <x v="0"/>
  </r>
  <r>
    <s v="Duplicated Test Order for 30601600C received from host (LIS # 131)."/>
    <x v="74"/>
    <x v="1"/>
    <d v="2016-11-02T00:00:00"/>
    <d v="1899-12-30T12:05:13"/>
    <s v="LIS"/>
    <x v="0"/>
    <x v="2"/>
    <x v="6"/>
    <x v="0"/>
  </r>
  <r>
    <s v="Duplicated Test Order for 30601600C received from host (LIS # 921)."/>
    <x v="74"/>
    <x v="1"/>
    <d v="2016-11-02T00:00:00"/>
    <d v="1899-12-30T12:05:13"/>
    <s v="LIS"/>
    <x v="0"/>
    <x v="2"/>
    <x v="6"/>
    <x v="0"/>
  </r>
  <r>
    <s v="Duplicated Test Order for 30601602A received from host (LIS # 921)."/>
    <x v="74"/>
    <x v="1"/>
    <d v="2016-11-02T00:00:00"/>
    <d v="1899-12-30T12:05:13"/>
    <s v="LIS"/>
    <x v="0"/>
    <x v="2"/>
    <x v="6"/>
    <x v="0"/>
  </r>
  <r>
    <s v="Duplicated Test Order for 30601604A received from host (LIS # 2101)."/>
    <x v="74"/>
    <x v="1"/>
    <d v="2016-11-02T00:00:00"/>
    <d v="1899-12-30T12:05:13"/>
    <s v="LIS"/>
    <x v="0"/>
    <x v="2"/>
    <x v="6"/>
    <x v="0"/>
  </r>
  <r>
    <s v="Duplicated Test Order for 30601606A received from host (LIS # 2101)."/>
    <x v="74"/>
    <x v="1"/>
    <d v="2016-11-02T00:00:00"/>
    <d v="1899-12-30T12:05:14"/>
    <s v="LIS"/>
    <x v="0"/>
    <x v="2"/>
    <x v="6"/>
    <x v="0"/>
  </r>
  <r>
    <s v="Duplicated Test Order for 30601626A received from host (LIS # 131)."/>
    <x v="74"/>
    <x v="1"/>
    <d v="2016-11-02T00:00:00"/>
    <d v="1899-12-30T12:05:14"/>
    <s v="LIS"/>
    <x v="0"/>
    <x v="2"/>
    <x v="6"/>
    <x v="0"/>
  </r>
  <r>
    <s v="Duplicated Test Order for 30601666A received from host (LIS # 131)."/>
    <x v="74"/>
    <x v="1"/>
    <d v="2016-11-02T00:00:00"/>
    <d v="1899-12-30T12:05:14"/>
    <s v="LIS"/>
    <x v="0"/>
    <x v="2"/>
    <x v="6"/>
    <x v="0"/>
  </r>
  <r>
    <s v="Duplicated Test Order for 30601676A received from host (LIS # 2101)."/>
    <x v="74"/>
    <x v="1"/>
    <d v="2016-11-02T00:00:00"/>
    <d v="1899-12-30T12:05:14"/>
    <s v="LIS"/>
    <x v="0"/>
    <x v="2"/>
    <x v="6"/>
    <x v="0"/>
  </r>
  <r>
    <s v="Duplicated Test Order for 30601773A received from host (LIS # 131)."/>
    <x v="74"/>
    <x v="1"/>
    <d v="2016-11-02T00:00:00"/>
    <d v="1899-12-30T12:05:14"/>
    <s v="LIS"/>
    <x v="0"/>
    <x v="2"/>
    <x v="6"/>
    <x v="0"/>
  </r>
  <r>
    <s v="Duplicated Test Order for 30601773A received from host (LIS # 921)."/>
    <x v="74"/>
    <x v="1"/>
    <d v="2016-11-02T00:00:00"/>
    <d v="1899-12-30T12:05:15"/>
    <s v="LIS"/>
    <x v="0"/>
    <x v="2"/>
    <x v="6"/>
    <x v="0"/>
  </r>
  <r>
    <s v="Duplicated Test Order for 30601773A received from host (LIS # 2011)."/>
    <x v="74"/>
    <x v="1"/>
    <d v="2016-11-02T00:00:00"/>
    <d v="1899-12-30T12:05:15"/>
    <s v="LIS"/>
    <x v="0"/>
    <x v="2"/>
    <x v="6"/>
    <x v="0"/>
  </r>
  <r>
    <s v="Duplicated Test Order for 30601803A received from host (LIS # 131)."/>
    <x v="74"/>
    <x v="1"/>
    <d v="2016-11-02T00:00:00"/>
    <d v="1899-12-30T12:05:15"/>
    <s v="LIS"/>
    <x v="0"/>
    <x v="2"/>
    <x v="6"/>
    <x v="0"/>
  </r>
  <r>
    <s v="Duplicated Test Order for 30601818A received from host (LIS # 2241)."/>
    <x v="74"/>
    <x v="1"/>
    <d v="2016-11-02T00:00:00"/>
    <d v="1899-12-30T12:05:15"/>
    <s v="LIS"/>
    <x v="0"/>
    <x v="2"/>
    <x v="6"/>
    <x v="0"/>
  </r>
  <r>
    <s v="Duplicated Test Order for 30601845A received from host (LIS # 921)."/>
    <x v="74"/>
    <x v="1"/>
    <d v="2016-11-02T00:00:00"/>
    <d v="1899-12-30T12:05:15"/>
    <s v="LIS"/>
    <x v="0"/>
    <x v="2"/>
    <x v="6"/>
    <x v="0"/>
  </r>
  <r>
    <s v="Duplicated Test Order for 30601874A received from host (LIS # 131)."/>
    <x v="74"/>
    <x v="1"/>
    <d v="2016-11-02T00:00:00"/>
    <d v="1899-12-30T12:05:15"/>
    <s v="LIS"/>
    <x v="0"/>
    <x v="2"/>
    <x v="6"/>
    <x v="0"/>
  </r>
  <r>
    <s v="Duplicated Test Order for 30601874A received from host (LIS # 921)."/>
    <x v="74"/>
    <x v="1"/>
    <d v="2016-11-02T00:00:00"/>
    <d v="1899-12-30T12:05:16"/>
    <s v="LIS"/>
    <x v="0"/>
    <x v="2"/>
    <x v="6"/>
    <x v="0"/>
  </r>
  <r>
    <s v="Duplicated Test Order for 30601882A received from host (LIS # 131)."/>
    <x v="74"/>
    <x v="1"/>
    <d v="2016-11-02T00:00:00"/>
    <d v="1899-12-30T12:05:16"/>
    <s v="LIS"/>
    <x v="0"/>
    <x v="2"/>
    <x v="6"/>
    <x v="0"/>
  </r>
  <r>
    <s v="Duplicated Test Order for 30601907A received from host (LIS # 131)."/>
    <x v="74"/>
    <x v="1"/>
    <d v="2016-11-02T00:00:00"/>
    <d v="1899-12-30T12:05:16"/>
    <s v="LIS"/>
    <x v="0"/>
    <x v="2"/>
    <x v="6"/>
    <x v="0"/>
  </r>
  <r>
    <s v="Duplicated Test Order for 30601913B received from host (LIS # 2241)."/>
    <x v="74"/>
    <x v="1"/>
    <d v="2016-11-02T00:00:00"/>
    <d v="1899-12-30T12:05:16"/>
    <s v="LIS"/>
    <x v="0"/>
    <x v="2"/>
    <x v="6"/>
    <x v="0"/>
  </r>
  <r>
    <s v="Duplicated Test Order for 30601919C received from host (LIS # 131)."/>
    <x v="74"/>
    <x v="1"/>
    <d v="2016-11-02T00:00:00"/>
    <d v="1899-12-30T12:05:16"/>
    <s v="LIS"/>
    <x v="0"/>
    <x v="2"/>
    <x v="6"/>
    <x v="0"/>
  </r>
  <r>
    <s v="Duplicated Test Order for 30601919C received from host (LIS # 921)."/>
    <x v="74"/>
    <x v="1"/>
    <d v="2016-11-02T00:00:00"/>
    <d v="1899-12-30T12:05:17"/>
    <s v="LIS"/>
    <x v="0"/>
    <x v="2"/>
    <x v="6"/>
    <x v="0"/>
  </r>
  <r>
    <s v="Duplicated Test Order for 30601960A received from host (LIS # 131)."/>
    <x v="74"/>
    <x v="1"/>
    <d v="2016-11-02T00:00:00"/>
    <d v="1899-12-30T12:05:17"/>
    <s v="LIS"/>
    <x v="0"/>
    <x v="2"/>
    <x v="6"/>
    <x v="0"/>
  </r>
  <r>
    <s v="Duplicated Test Order for 30601960A received from host (LIS # 921)."/>
    <x v="74"/>
    <x v="1"/>
    <d v="2016-11-02T00:00:00"/>
    <d v="1899-12-30T12:05:17"/>
    <s v="LIS"/>
    <x v="0"/>
    <x v="2"/>
    <x v="6"/>
    <x v="0"/>
  </r>
  <r>
    <s v="Duplicated Test Order for 30602082B received from host (LIS # 131)."/>
    <x v="74"/>
    <x v="1"/>
    <d v="2016-11-02T00:00:00"/>
    <d v="1899-12-30T12:05:17"/>
    <s v="LIS"/>
    <x v="0"/>
    <x v="2"/>
    <x v="6"/>
    <x v="0"/>
  </r>
  <r>
    <s v="Duplicated Test Order for 30602138A received from host (LIS # 131)."/>
    <x v="74"/>
    <x v="1"/>
    <d v="2016-11-02T00:00:00"/>
    <d v="1899-12-30T12:05:17"/>
    <s v="LIS"/>
    <x v="0"/>
    <x v="2"/>
    <x v="6"/>
    <x v="0"/>
  </r>
  <r>
    <s v="Duplicated Test Order for 30602138A received from host (LIS # 921)."/>
    <x v="74"/>
    <x v="1"/>
    <d v="2016-11-02T00:00:00"/>
    <d v="1899-12-30T12:05:18"/>
    <s v="LIS"/>
    <x v="0"/>
    <x v="2"/>
    <x v="6"/>
    <x v="0"/>
  </r>
  <r>
    <s v="Duplicated Test Order for 30602174C received from host (LIS # 131)."/>
    <x v="74"/>
    <x v="1"/>
    <d v="2016-11-02T00:00:00"/>
    <d v="1899-12-30T12:05:18"/>
    <s v="LIS"/>
    <x v="0"/>
    <x v="2"/>
    <x v="6"/>
    <x v="0"/>
  </r>
  <r>
    <s v="Duplicated Test Order for 30602174C received from host (LIS # 921)."/>
    <x v="74"/>
    <x v="1"/>
    <d v="2016-11-02T00:00:00"/>
    <d v="1899-12-30T12:05:18"/>
    <s v="LIS"/>
    <x v="0"/>
    <x v="2"/>
    <x v="6"/>
    <x v="0"/>
  </r>
  <r>
    <s v="Duplicated Test Order for 30602222C received from host (LIS # 131)."/>
    <x v="74"/>
    <x v="1"/>
    <d v="2016-11-02T00:00:00"/>
    <d v="1899-12-30T12:05:18"/>
    <s v="LIS"/>
    <x v="0"/>
    <x v="2"/>
    <x v="6"/>
    <x v="0"/>
  </r>
  <r>
    <s v="Duplicated Test Order for 30602225C received from host (LIS # 131)."/>
    <x v="74"/>
    <x v="1"/>
    <d v="2016-11-02T00:00:00"/>
    <d v="1899-12-30T12:05:19"/>
    <s v="LIS"/>
    <x v="0"/>
    <x v="2"/>
    <x v="6"/>
    <x v="0"/>
  </r>
  <r>
    <s v="Duplicated Test Order for 30602225C received from host (LIS # 921)."/>
    <x v="74"/>
    <x v="1"/>
    <d v="2016-11-02T00:00:00"/>
    <d v="1899-12-30T12:05:19"/>
    <s v="LIS"/>
    <x v="0"/>
    <x v="2"/>
    <x v="6"/>
    <x v="0"/>
  </r>
  <r>
    <s v="Duplicated Test Order for 30602233A received from host (LIS # 2101)."/>
    <x v="74"/>
    <x v="1"/>
    <d v="2016-11-02T00:00:00"/>
    <d v="1899-12-30T12:05:19"/>
    <s v="LIS"/>
    <x v="0"/>
    <x v="2"/>
    <x v="6"/>
    <x v="0"/>
  </r>
  <r>
    <s v="Duplicated Test Order for 30602249C received from host (LIS # 131)."/>
    <x v="74"/>
    <x v="1"/>
    <d v="2016-11-02T00:00:00"/>
    <d v="1899-12-30T12:05:19"/>
    <s v="LIS"/>
    <x v="0"/>
    <x v="2"/>
    <x v="6"/>
    <x v="0"/>
  </r>
  <r>
    <s v="Duplicated Test Order for 30602249C received from host (LIS # 921)."/>
    <x v="74"/>
    <x v="1"/>
    <d v="2016-11-02T00:00:00"/>
    <d v="1899-12-30T12:05:19"/>
    <s v="LIS"/>
    <x v="0"/>
    <x v="2"/>
    <x v="6"/>
    <x v="0"/>
  </r>
  <r>
    <s v="Duplicated Test Order for 30602251A received from host (LIS # 131)."/>
    <x v="74"/>
    <x v="1"/>
    <d v="2016-11-02T00:00:00"/>
    <d v="1899-12-30T12:05:20"/>
    <s v="LIS"/>
    <x v="0"/>
    <x v="2"/>
    <x v="6"/>
    <x v="0"/>
  </r>
  <r>
    <s v="Duplicated Test Order for 30602251A received from host (LIS # 921)."/>
    <x v="74"/>
    <x v="1"/>
    <d v="2016-11-02T00:00:00"/>
    <d v="1899-12-30T12:05:20"/>
    <s v="LIS"/>
    <x v="0"/>
    <x v="2"/>
    <x v="6"/>
    <x v="0"/>
  </r>
  <r>
    <s v="Duplicated Test Order for 30602286A received from host (LIS # 2011)."/>
    <x v="74"/>
    <x v="1"/>
    <d v="2016-11-02T00:00:00"/>
    <d v="1899-12-30T12:05:20"/>
    <s v="LIS"/>
    <x v="0"/>
    <x v="2"/>
    <x v="6"/>
    <x v="0"/>
  </r>
  <r>
    <s v="Duplicated Test Order for 30602312B received from host (LIS # 131)."/>
    <x v="74"/>
    <x v="1"/>
    <d v="2016-11-02T00:00:00"/>
    <d v="1899-12-30T12:05:20"/>
    <s v="LIS"/>
    <x v="0"/>
    <x v="2"/>
    <x v="6"/>
    <x v="0"/>
  </r>
  <r>
    <s v="Duplicated Test Order for 30602325B received from host (LIS # 131)."/>
    <x v="74"/>
    <x v="1"/>
    <d v="2016-11-02T00:00:00"/>
    <d v="1899-12-30T12:05:20"/>
    <s v="LIS"/>
    <x v="0"/>
    <x v="2"/>
    <x v="6"/>
    <x v="0"/>
  </r>
  <r>
    <s v="Duplicated Test Order for 30602325B received from host (LIS # 921)."/>
    <x v="74"/>
    <x v="1"/>
    <d v="2016-11-02T00:00:00"/>
    <d v="1899-12-30T12:05:21"/>
    <s v="LIS"/>
    <x v="0"/>
    <x v="2"/>
    <x v="6"/>
    <x v="0"/>
  </r>
  <r>
    <s v="Duplicated Test Order for 30602325B received from host (LIS # 2011)."/>
    <x v="74"/>
    <x v="1"/>
    <d v="2016-11-02T00:00:00"/>
    <d v="1899-12-30T12:05:21"/>
    <s v="LIS"/>
    <x v="0"/>
    <x v="2"/>
    <x v="6"/>
    <x v="0"/>
  </r>
  <r>
    <s v="Duplicated Test Order for 30602332A received from host (LIS # 921)."/>
    <x v="74"/>
    <x v="1"/>
    <d v="2016-11-02T00:00:00"/>
    <d v="1899-12-30T12:05:21"/>
    <s v="LIS"/>
    <x v="0"/>
    <x v="2"/>
    <x v="6"/>
    <x v="0"/>
  </r>
  <r>
    <s v="Duplicated Test Order for 30602345B received from host (LIS # 131)."/>
    <x v="74"/>
    <x v="1"/>
    <d v="2016-11-02T00:00:00"/>
    <d v="1899-12-30T12:05:21"/>
    <s v="LIS"/>
    <x v="0"/>
    <x v="2"/>
    <x v="6"/>
    <x v="0"/>
  </r>
  <r>
    <s v="Duplicated Test Order for 30602345B received from host (LIS # 921)."/>
    <x v="74"/>
    <x v="1"/>
    <d v="2016-11-02T00:00:00"/>
    <d v="1899-12-30T12:05:21"/>
    <s v="LIS"/>
    <x v="0"/>
    <x v="2"/>
    <x v="6"/>
    <x v="0"/>
  </r>
  <r>
    <s v="Duplicated Test Order for 30602363A received from host (LIS # 131)."/>
    <x v="74"/>
    <x v="1"/>
    <d v="2016-11-02T00:00:00"/>
    <d v="1899-12-30T12:05:22"/>
    <s v="LIS"/>
    <x v="0"/>
    <x v="2"/>
    <x v="6"/>
    <x v="0"/>
  </r>
  <r>
    <s v="Duplicated Test Order for 30602382A received from host (LIS # 921)."/>
    <x v="74"/>
    <x v="1"/>
    <d v="2016-11-02T00:00:00"/>
    <d v="1899-12-30T12:05:22"/>
    <s v="LIS"/>
    <x v="0"/>
    <x v="2"/>
    <x v="6"/>
    <x v="0"/>
  </r>
  <r>
    <s v="Duplicated Test Order for 30602414B received from host (LIS # 131)."/>
    <x v="74"/>
    <x v="1"/>
    <d v="2016-11-02T00:00:00"/>
    <d v="1899-12-30T12:05:22"/>
    <s v="LIS"/>
    <x v="0"/>
    <x v="2"/>
    <x v="6"/>
    <x v="0"/>
  </r>
  <r>
    <s v="Duplicated Test Order for 30602476A received from host (LIS # 2101)."/>
    <x v="74"/>
    <x v="1"/>
    <d v="2016-11-02T00:00:00"/>
    <d v="1899-12-30T12:05:22"/>
    <s v="LIS"/>
    <x v="0"/>
    <x v="2"/>
    <x v="6"/>
    <x v="0"/>
  </r>
  <r>
    <s v="Duplicated Test Order for 30602498A received from host (LIS # 131)."/>
    <x v="74"/>
    <x v="1"/>
    <d v="2016-11-02T00:00:00"/>
    <d v="1899-12-30T12:05:22"/>
    <s v="LIS"/>
    <x v="0"/>
    <x v="2"/>
    <x v="6"/>
    <x v="0"/>
  </r>
  <r>
    <s v="Duplicated Test Order for 30602518A received from host (LIS # 131)."/>
    <x v="74"/>
    <x v="1"/>
    <d v="2016-11-02T00:00:00"/>
    <d v="1899-12-30T12:05:22"/>
    <s v="LIS"/>
    <x v="0"/>
    <x v="2"/>
    <x v="6"/>
    <x v="0"/>
  </r>
  <r>
    <s v="Duplicated Test Order for 30602520B received from host (LIS # 131)."/>
    <x v="74"/>
    <x v="1"/>
    <d v="2016-11-02T00:00:00"/>
    <d v="1899-12-30T12:05:22"/>
    <s v="LIS"/>
    <x v="0"/>
    <x v="2"/>
    <x v="6"/>
    <x v="0"/>
  </r>
  <r>
    <s v="Duplicated Test Order for 30602538B received from host (LIS # 131)."/>
    <x v="74"/>
    <x v="1"/>
    <d v="2016-11-02T00:00:00"/>
    <d v="1899-12-30T12:05:23"/>
    <s v="LIS"/>
    <x v="0"/>
    <x v="2"/>
    <x v="6"/>
    <x v="0"/>
  </r>
  <r>
    <s v="Duplicated Test Order for 30602555C received from host (LIS # 131)."/>
    <x v="74"/>
    <x v="1"/>
    <d v="2016-11-02T00:00:00"/>
    <d v="1899-12-30T12:05:23"/>
    <s v="LIS"/>
    <x v="0"/>
    <x v="2"/>
    <x v="6"/>
    <x v="0"/>
  </r>
  <r>
    <s v="Duplicated Test Order for 30602555C received from host (LIS # 2011)."/>
    <x v="74"/>
    <x v="1"/>
    <d v="2016-11-02T00:00:00"/>
    <d v="1899-12-30T12:05:23"/>
    <s v="LIS"/>
    <x v="0"/>
    <x v="2"/>
    <x v="6"/>
    <x v="0"/>
  </r>
  <r>
    <s v="Duplicated Test Order for 30602558A received from host (LIS # 2101)."/>
    <x v="74"/>
    <x v="1"/>
    <d v="2016-11-02T00:00:00"/>
    <d v="1899-12-30T12:05:23"/>
    <s v="LIS"/>
    <x v="0"/>
    <x v="2"/>
    <x v="6"/>
    <x v="0"/>
  </r>
  <r>
    <s v="Duplicated Test Order for 30602577A received from host (LIS # 131)."/>
    <x v="74"/>
    <x v="1"/>
    <d v="2016-11-02T00:00:00"/>
    <d v="1899-12-30T12:05:24"/>
    <s v="LIS"/>
    <x v="0"/>
    <x v="2"/>
    <x v="6"/>
    <x v="0"/>
  </r>
  <r>
    <s v="Duplicated Test Order for 30602589A received from host (LIS # 131)."/>
    <x v="74"/>
    <x v="1"/>
    <d v="2016-11-02T00:00:00"/>
    <d v="1899-12-30T12:05:24"/>
    <s v="LIS"/>
    <x v="0"/>
    <x v="2"/>
    <x v="6"/>
    <x v="0"/>
  </r>
  <r>
    <s v="Duplicated Test Order for 30602590A received from host (LIS # 131)."/>
    <x v="74"/>
    <x v="1"/>
    <d v="2016-11-02T00:00:00"/>
    <d v="1899-12-30T12:05:24"/>
    <s v="LIS"/>
    <x v="0"/>
    <x v="2"/>
    <x v="6"/>
    <x v="0"/>
  </r>
  <r>
    <s v="Duplicated Test Order for 30602591B received from host (LIS # 131)."/>
    <x v="74"/>
    <x v="1"/>
    <d v="2016-11-02T00:00:00"/>
    <d v="1899-12-30T12:05:24"/>
    <s v="LIS"/>
    <x v="0"/>
    <x v="2"/>
    <x v="6"/>
    <x v="0"/>
  </r>
  <r>
    <s v="Duplicated Test Order for 30602650C received from host (LIS # 131)."/>
    <x v="74"/>
    <x v="1"/>
    <d v="2016-11-02T00:00:00"/>
    <d v="1899-12-30T12:05:24"/>
    <s v="LIS"/>
    <x v="0"/>
    <x v="2"/>
    <x v="6"/>
    <x v="0"/>
  </r>
  <r>
    <s v="Duplicated Test Order for 30602650C received from host (LIS # 921)."/>
    <x v="74"/>
    <x v="1"/>
    <d v="2016-11-02T00:00:00"/>
    <d v="1899-12-30T12:05:25"/>
    <s v="LIS"/>
    <x v="0"/>
    <x v="2"/>
    <x v="6"/>
    <x v="0"/>
  </r>
  <r>
    <s v="Duplicated Test Order for 30602685A received from host (LIS # 2101)."/>
    <x v="74"/>
    <x v="1"/>
    <d v="2016-11-02T00:00:00"/>
    <d v="1899-12-30T12:05:25"/>
    <s v="LIS"/>
    <x v="0"/>
    <x v="2"/>
    <x v="6"/>
    <x v="0"/>
  </r>
  <r>
    <s v="Duplicated Test Order for 30602690A received from host (LIS # 131)."/>
    <x v="74"/>
    <x v="1"/>
    <d v="2016-11-02T00:00:00"/>
    <d v="1899-12-30T12:05:25"/>
    <s v="LIS"/>
    <x v="0"/>
    <x v="2"/>
    <x v="6"/>
    <x v="0"/>
  </r>
  <r>
    <s v="Duplicated Test Order for 30602694C received from host (LIS # 131)."/>
    <x v="74"/>
    <x v="1"/>
    <d v="2016-11-02T00:00:00"/>
    <d v="1899-12-30T12:05:25"/>
    <s v="LIS"/>
    <x v="0"/>
    <x v="2"/>
    <x v="6"/>
    <x v="0"/>
  </r>
  <r>
    <s v="Duplicated Test Order for 30602694C received from host (LIS # 921)."/>
    <x v="74"/>
    <x v="1"/>
    <d v="2016-11-02T00:00:00"/>
    <d v="1899-12-30T12:05:25"/>
    <s v="LIS"/>
    <x v="0"/>
    <x v="2"/>
    <x v="6"/>
    <x v="0"/>
  </r>
  <r>
    <s v="Duplicated Test Order for 30602750A received from host (LIS # 131)."/>
    <x v="74"/>
    <x v="1"/>
    <d v="2016-11-02T00:00:00"/>
    <d v="1899-12-30T12:05:26"/>
    <s v="LIS"/>
    <x v="0"/>
    <x v="2"/>
    <x v="6"/>
    <x v="0"/>
  </r>
  <r>
    <s v="Duplicated Test Order for 30602750A received from host (LIS # 921)."/>
    <x v="74"/>
    <x v="1"/>
    <d v="2016-11-02T00:00:00"/>
    <d v="1899-12-30T12:05:26"/>
    <s v="LIS"/>
    <x v="0"/>
    <x v="2"/>
    <x v="6"/>
    <x v="0"/>
  </r>
  <r>
    <s v="Duplicated Test Order for 30602750A received from host (LIS # 2011)."/>
    <x v="74"/>
    <x v="1"/>
    <d v="2016-11-02T00:00:00"/>
    <d v="1899-12-30T12:05:27"/>
    <s v="LIS"/>
    <x v="0"/>
    <x v="2"/>
    <x v="6"/>
    <x v="0"/>
  </r>
  <r>
    <s v="Duplicated Test Order for 30602778B received from host (LIS # 131)."/>
    <x v="74"/>
    <x v="1"/>
    <d v="2016-11-02T00:00:00"/>
    <d v="1899-12-30T12:05:27"/>
    <s v="LIS"/>
    <x v="0"/>
    <x v="2"/>
    <x v="6"/>
    <x v="0"/>
  </r>
  <r>
    <s v="Duplicated Test Order for 30602820C received from host (LIS # 131)."/>
    <x v="74"/>
    <x v="1"/>
    <d v="2016-11-02T00:00:00"/>
    <d v="1899-12-30T12:05:27"/>
    <s v="LIS"/>
    <x v="0"/>
    <x v="2"/>
    <x v="6"/>
    <x v="0"/>
  </r>
  <r>
    <s v="Duplicated Test Order for 30602820C received from host (LIS # 921)."/>
    <x v="74"/>
    <x v="1"/>
    <d v="2016-11-02T00:00:00"/>
    <d v="1899-12-30T12:05:28"/>
    <s v="LIS"/>
    <x v="0"/>
    <x v="2"/>
    <x v="6"/>
    <x v="0"/>
  </r>
  <r>
    <s v="Duplicated Test Order for 30602822C received from host (LIS # 131)."/>
    <x v="74"/>
    <x v="1"/>
    <d v="2016-11-02T00:00:00"/>
    <d v="1899-12-30T12:05:28"/>
    <s v="LIS"/>
    <x v="0"/>
    <x v="2"/>
    <x v="6"/>
    <x v="0"/>
  </r>
  <r>
    <s v="Duplicated Test Order for 30602822C received from host (LIS # 921)."/>
    <x v="74"/>
    <x v="1"/>
    <d v="2016-11-02T00:00:00"/>
    <d v="1899-12-30T12:05:28"/>
    <s v="LIS"/>
    <x v="0"/>
    <x v="2"/>
    <x v="6"/>
    <x v="0"/>
  </r>
  <r>
    <s v="Duplicated Test Order for 30602850D received from host (LIS # 131)."/>
    <x v="74"/>
    <x v="1"/>
    <d v="2016-11-02T00:00:00"/>
    <d v="1899-12-30T12:05:28"/>
    <s v="LIS"/>
    <x v="0"/>
    <x v="2"/>
    <x v="6"/>
    <x v="0"/>
  </r>
  <r>
    <s v="Duplicated Test Order for 30602850D received from host (LIS # 921)."/>
    <x v="74"/>
    <x v="1"/>
    <d v="2016-11-02T00:00:00"/>
    <d v="1899-12-30T12:05:28"/>
    <s v="LIS"/>
    <x v="0"/>
    <x v="2"/>
    <x v="6"/>
    <x v="0"/>
  </r>
  <r>
    <s v="Duplicated Test Order for 30602853B received from host (LIS # 131)."/>
    <x v="74"/>
    <x v="1"/>
    <d v="2016-11-02T00:00:00"/>
    <d v="1899-12-30T12:05:28"/>
    <s v="LIS"/>
    <x v="0"/>
    <x v="2"/>
    <x v="6"/>
    <x v="0"/>
  </r>
  <r>
    <s v="Duplicated Test Order for 30602865A received from host (LIS # 131)."/>
    <x v="74"/>
    <x v="1"/>
    <d v="2016-11-02T00:00:00"/>
    <d v="1899-12-30T12:05:28"/>
    <s v="LIS"/>
    <x v="0"/>
    <x v="2"/>
    <x v="6"/>
    <x v="0"/>
  </r>
  <r>
    <s v="Duplicated Test Order for 30602890C received from host (LIS # 131)."/>
    <x v="74"/>
    <x v="1"/>
    <d v="2016-11-02T00:00:00"/>
    <d v="1899-12-30T12:05:28"/>
    <s v="LIS"/>
    <x v="0"/>
    <x v="2"/>
    <x v="6"/>
    <x v="0"/>
  </r>
  <r>
    <s v="Duplicated Test Order for 30602931A received from host (LIS # 2101)."/>
    <x v="74"/>
    <x v="1"/>
    <d v="2016-11-02T00:00:00"/>
    <d v="1899-12-30T12:05:29"/>
    <s v="LIS"/>
    <x v="0"/>
    <x v="2"/>
    <x v="6"/>
    <x v="0"/>
  </r>
  <r>
    <s v="Duplicated Test Order for 30602941C received from host (LIS # 2241)."/>
    <x v="74"/>
    <x v="1"/>
    <d v="2016-11-02T00:00:00"/>
    <d v="1899-12-30T12:05:29"/>
    <s v="LIS"/>
    <x v="0"/>
    <x v="2"/>
    <x v="6"/>
    <x v="0"/>
  </r>
  <r>
    <s v="Duplicated Test Order for 30602962A received from host (LIS # 2241)."/>
    <x v="74"/>
    <x v="1"/>
    <d v="2016-11-02T00:00:00"/>
    <d v="1899-12-30T12:05:29"/>
    <s v="LIS"/>
    <x v="0"/>
    <x v="2"/>
    <x v="6"/>
    <x v="0"/>
  </r>
  <r>
    <s v="Duplicated Test Order for 30602964A received from host (LIS # 2241)."/>
    <x v="74"/>
    <x v="1"/>
    <d v="2016-11-02T00:00:00"/>
    <d v="1899-12-30T12:05:29"/>
    <s v="LIS"/>
    <x v="0"/>
    <x v="2"/>
    <x v="6"/>
    <x v="0"/>
  </r>
  <r>
    <s v="Duplicated Test Order for 30602977C received from host (LIS # 131)."/>
    <x v="74"/>
    <x v="1"/>
    <d v="2016-11-02T00:00:00"/>
    <d v="1899-12-30T12:05:29"/>
    <s v="LIS"/>
    <x v="0"/>
    <x v="2"/>
    <x v="6"/>
    <x v="0"/>
  </r>
  <r>
    <s v="Duplicated Test Order for 30602977C received from host (LIS # 921)."/>
    <x v="74"/>
    <x v="1"/>
    <d v="2016-11-02T00:00:00"/>
    <d v="1899-12-30T12:05:30"/>
    <s v="LIS"/>
    <x v="0"/>
    <x v="2"/>
    <x v="6"/>
    <x v="0"/>
  </r>
  <r>
    <s v="Duplicated Test Order for 30602977C received from host (LIS # 2011)."/>
    <x v="74"/>
    <x v="1"/>
    <d v="2016-11-02T00:00:00"/>
    <d v="1899-12-30T12:05:31"/>
    <s v="LIS"/>
    <x v="0"/>
    <x v="2"/>
    <x v="6"/>
    <x v="0"/>
  </r>
  <r>
    <s v="Duplicated Test Order for 30602990A received from host (LIS # 131)."/>
    <x v="74"/>
    <x v="1"/>
    <d v="2016-11-02T00:00:00"/>
    <d v="1899-12-30T12:05:31"/>
    <s v="LIS"/>
    <x v="0"/>
    <x v="2"/>
    <x v="6"/>
    <x v="0"/>
  </r>
  <r>
    <s v="Duplicated Test Order for 30603019A received from host (LIS # 131)."/>
    <x v="74"/>
    <x v="1"/>
    <d v="2016-11-02T00:00:00"/>
    <d v="1899-12-30T12:05:31"/>
    <s v="LIS"/>
    <x v="0"/>
    <x v="2"/>
    <x v="6"/>
    <x v="0"/>
  </r>
  <r>
    <s v="Duplicated Test Order for 30603022A received from host (LIS # 131)."/>
    <x v="74"/>
    <x v="1"/>
    <d v="2016-11-02T00:00:00"/>
    <d v="1899-12-30T12:05:31"/>
    <s v="LIS"/>
    <x v="0"/>
    <x v="2"/>
    <x v="6"/>
    <x v="0"/>
  </r>
  <r>
    <s v="Duplicated Test Order for 30603022A received from host (LIS # 921)."/>
    <x v="74"/>
    <x v="1"/>
    <d v="2016-11-02T00:00:00"/>
    <d v="1899-12-30T12:05:32"/>
    <s v="LIS"/>
    <x v="0"/>
    <x v="2"/>
    <x v="6"/>
    <x v="0"/>
  </r>
  <r>
    <s v="Duplicated Test Order for 30603022A received from host (LIS # 2011)."/>
    <x v="74"/>
    <x v="1"/>
    <d v="2016-11-02T00:00:00"/>
    <d v="1899-12-30T12:05:32"/>
    <s v="LIS"/>
    <x v="0"/>
    <x v="2"/>
    <x v="6"/>
    <x v="0"/>
  </r>
  <r>
    <s v="Duplicated Test Order for 30603032A received from host (LIS # 2011)."/>
    <x v="74"/>
    <x v="1"/>
    <d v="2016-11-02T00:00:00"/>
    <d v="1899-12-30T12:05:32"/>
    <s v="LIS"/>
    <x v="0"/>
    <x v="2"/>
    <x v="6"/>
    <x v="0"/>
  </r>
  <r>
    <s v="Duplicated Test Order for 30603032A received from host (LIS # 2241)."/>
    <x v="74"/>
    <x v="1"/>
    <d v="2016-11-02T00:00:00"/>
    <d v="1899-12-30T12:05:33"/>
    <s v="LIS"/>
    <x v="0"/>
    <x v="2"/>
    <x v="6"/>
    <x v="0"/>
  </r>
  <r>
    <s v="Duplicated Test Order for 30700006A received from host (LIS # 131)."/>
    <x v="74"/>
    <x v="1"/>
    <d v="2016-11-02T00:00:00"/>
    <d v="1899-12-30T12:05:34"/>
    <s v="LIS"/>
    <x v="0"/>
    <x v="2"/>
    <x v="6"/>
    <x v="0"/>
  </r>
  <r>
    <s v="Duplicated Test Order for 30700021A received from host (LIS # 921)."/>
    <x v="74"/>
    <x v="1"/>
    <d v="2016-11-02T00:00:00"/>
    <d v="1899-12-30T12:05:34"/>
    <s v="LIS"/>
    <x v="0"/>
    <x v="2"/>
    <x v="6"/>
    <x v="0"/>
  </r>
  <r>
    <s v="Duplicated Test Order for 30700038B received from host (LIS # 131)."/>
    <x v="74"/>
    <x v="1"/>
    <d v="2016-11-02T00:00:00"/>
    <d v="1899-12-30T12:05:34"/>
    <s v="LIS"/>
    <x v="0"/>
    <x v="2"/>
    <x v="6"/>
    <x v="0"/>
  </r>
  <r>
    <s v="Duplicated Test Order for 30700065A received from host (LIS # 131)."/>
    <x v="74"/>
    <x v="1"/>
    <d v="2016-11-02T00:00:00"/>
    <d v="1899-12-30T12:05:35"/>
    <s v="LIS"/>
    <x v="0"/>
    <x v="2"/>
    <x v="6"/>
    <x v="0"/>
  </r>
  <r>
    <s v="Duplicated Test Order for 30700073A received from host (LIS # 2101)."/>
    <x v="74"/>
    <x v="1"/>
    <d v="2016-11-02T00:00:00"/>
    <d v="1899-12-30T12:05:35"/>
    <s v="LIS"/>
    <x v="0"/>
    <x v="2"/>
    <x v="6"/>
    <x v="0"/>
  </r>
  <r>
    <s v="Duplicated Test Order for 30700083A received from host (LIS # 131)."/>
    <x v="74"/>
    <x v="1"/>
    <d v="2016-11-02T00:00:00"/>
    <d v="1899-12-30T12:05:35"/>
    <s v="LIS"/>
    <x v="0"/>
    <x v="2"/>
    <x v="6"/>
    <x v="0"/>
  </r>
  <r>
    <s v="Duplicated Test Order for 30700083A received from host (LIS # 921)."/>
    <x v="74"/>
    <x v="1"/>
    <d v="2016-11-02T00:00:00"/>
    <d v="1899-12-30T12:05:36"/>
    <s v="LIS"/>
    <x v="0"/>
    <x v="2"/>
    <x v="6"/>
    <x v="0"/>
  </r>
  <r>
    <s v="Duplicated Test Order for 30700083A received from host (LIS # 2011)."/>
    <x v="74"/>
    <x v="1"/>
    <d v="2016-11-02T00:00:00"/>
    <d v="1899-12-30T12:05:36"/>
    <s v="LIS"/>
    <x v="0"/>
    <x v="2"/>
    <x v="6"/>
    <x v="0"/>
  </r>
  <r>
    <s v="Duplicated Test Order for 30700094A received from host (LIS # 131)."/>
    <x v="74"/>
    <x v="1"/>
    <d v="2016-11-02T00:00:00"/>
    <d v="1899-12-30T12:05:37"/>
    <s v="LIS"/>
    <x v="0"/>
    <x v="2"/>
    <x v="6"/>
    <x v="0"/>
  </r>
  <r>
    <s v="Duplicated Test Order for 30700094A received from host (LIS # 921)."/>
    <x v="74"/>
    <x v="1"/>
    <d v="2016-11-02T00:00:00"/>
    <d v="1899-12-30T12:05:37"/>
    <s v="LIS"/>
    <x v="0"/>
    <x v="2"/>
    <x v="6"/>
    <x v="0"/>
  </r>
  <r>
    <s v="Duplicated Test Order for 30700094A received from host (LIS # 2011)."/>
    <x v="74"/>
    <x v="1"/>
    <d v="2016-11-02T00:00:00"/>
    <d v="1899-12-30T12:05:37"/>
    <s v="LIS"/>
    <x v="0"/>
    <x v="2"/>
    <x v="6"/>
    <x v="0"/>
  </r>
  <r>
    <s v="Duplicated Test Order for 30700122A received from host (LIS # 131)."/>
    <x v="74"/>
    <x v="1"/>
    <d v="2016-11-02T00:00:00"/>
    <d v="1899-12-30T12:05:38"/>
    <s v="LIS"/>
    <x v="0"/>
    <x v="2"/>
    <x v="6"/>
    <x v="0"/>
  </r>
  <r>
    <s v="Duplicated Test Order for 30700134A received from host (LIS # 131)."/>
    <x v="74"/>
    <x v="1"/>
    <d v="2016-11-02T00:00:00"/>
    <d v="1899-12-30T12:05:38"/>
    <s v="LIS"/>
    <x v="0"/>
    <x v="2"/>
    <x v="6"/>
    <x v="0"/>
  </r>
  <r>
    <s v="Duplicated Test Order for 30700134A received from host (LIS # 2011)."/>
    <x v="74"/>
    <x v="1"/>
    <d v="2016-11-02T00:00:00"/>
    <d v="1899-12-30T12:05:38"/>
    <s v="LIS"/>
    <x v="0"/>
    <x v="2"/>
    <x v="6"/>
    <x v="0"/>
  </r>
  <r>
    <s v="Duplicated Test Order for 30700142A received from host (LIS # 2241)."/>
    <x v="74"/>
    <x v="1"/>
    <d v="2016-11-02T00:00:00"/>
    <d v="1899-12-30T12:05:38"/>
    <s v="LIS"/>
    <x v="0"/>
    <x v="2"/>
    <x v="6"/>
    <x v="0"/>
  </r>
  <r>
    <s v="Duplicated Test Order for 30700145C received from host (LIS # 131)."/>
    <x v="74"/>
    <x v="1"/>
    <d v="2016-11-02T00:00:00"/>
    <d v="1899-12-30T12:05:38"/>
    <s v="LIS"/>
    <x v="0"/>
    <x v="2"/>
    <x v="6"/>
    <x v="0"/>
  </r>
  <r>
    <s v="Duplicated Test Order for 30700145C received from host (LIS # 2011)."/>
    <x v="74"/>
    <x v="1"/>
    <d v="2016-11-02T00:00:00"/>
    <d v="1899-12-30T12:05:39"/>
    <s v="LIS"/>
    <x v="0"/>
    <x v="2"/>
    <x v="6"/>
    <x v="0"/>
  </r>
  <r>
    <s v="Duplicated Test Order for 30700149B received from host (LIS # 131)."/>
    <x v="74"/>
    <x v="1"/>
    <d v="2016-11-02T00:00:00"/>
    <d v="1899-12-30T12:05:39"/>
    <s v="LIS"/>
    <x v="0"/>
    <x v="2"/>
    <x v="6"/>
    <x v="0"/>
  </r>
  <r>
    <s v="Duplicated Test Order for 30700149B received from host (LIS # 2011)."/>
    <x v="74"/>
    <x v="1"/>
    <d v="2016-11-02T00:00:00"/>
    <d v="1899-12-30T12:05:39"/>
    <s v="LIS"/>
    <x v="0"/>
    <x v="2"/>
    <x v="6"/>
    <x v="0"/>
  </r>
  <r>
    <s v="Duplicated Test Order for 30700161B received from host (LIS # 131)."/>
    <x v="74"/>
    <x v="1"/>
    <d v="2016-11-02T00:00:00"/>
    <d v="1899-12-30T12:05:39"/>
    <s v="LIS"/>
    <x v="0"/>
    <x v="2"/>
    <x v="6"/>
    <x v="0"/>
  </r>
  <r>
    <s v="Duplicated Test Order for 30700161B received from host (LIS # 2011)."/>
    <x v="74"/>
    <x v="1"/>
    <d v="2016-11-02T00:00:00"/>
    <d v="1899-12-30T12:05:40"/>
    <s v="LIS"/>
    <x v="0"/>
    <x v="2"/>
    <x v="6"/>
    <x v="0"/>
  </r>
  <r>
    <s v="Duplicated Test Order for 30700172C received from host (LIS # 131)."/>
    <x v="74"/>
    <x v="1"/>
    <d v="2016-11-02T00:00:00"/>
    <d v="1899-12-30T12:05:40"/>
    <s v="LIS"/>
    <x v="0"/>
    <x v="2"/>
    <x v="6"/>
    <x v="0"/>
  </r>
  <r>
    <s v="Duplicated Test Order for 30700172C received from host (LIS # 2011)."/>
    <x v="74"/>
    <x v="1"/>
    <d v="2016-11-02T00:00:00"/>
    <d v="1899-12-30T12:05:41"/>
    <s v="LIS"/>
    <x v="0"/>
    <x v="2"/>
    <x v="6"/>
    <x v="0"/>
  </r>
  <r>
    <s v="Duplicated Test Order for 30700191B received from host (LIS # 131)."/>
    <x v="74"/>
    <x v="1"/>
    <d v="2016-11-02T00:00:00"/>
    <d v="1899-12-30T12:05:41"/>
    <s v="LIS"/>
    <x v="0"/>
    <x v="2"/>
    <x v="6"/>
    <x v="0"/>
  </r>
  <r>
    <s v="Duplicated Test Order for 30700198A received from host (LIS # 131)."/>
    <x v="74"/>
    <x v="1"/>
    <d v="2016-11-02T00:00:00"/>
    <d v="1899-12-30T12:05:41"/>
    <s v="LIS"/>
    <x v="0"/>
    <x v="2"/>
    <x v="6"/>
    <x v="0"/>
  </r>
  <r>
    <s v="Duplicated Test Order for 30700198A received from host (LIS # 2101)."/>
    <x v="74"/>
    <x v="1"/>
    <d v="2016-11-02T00:00:00"/>
    <d v="1899-12-30T12:05:41"/>
    <s v="LIS"/>
    <x v="0"/>
    <x v="2"/>
    <x v="6"/>
    <x v="0"/>
  </r>
  <r>
    <s v="Duplicated Test Order for 30700200A received from host (LIS # 131)."/>
    <x v="74"/>
    <x v="1"/>
    <d v="2016-11-02T00:00:00"/>
    <d v="1899-12-30T12:05:42"/>
    <s v="LIS"/>
    <x v="0"/>
    <x v="2"/>
    <x v="6"/>
    <x v="0"/>
  </r>
  <r>
    <s v="Duplicated Test Order for 30700201C received from host (LIS # 131)."/>
    <x v="74"/>
    <x v="1"/>
    <d v="2016-11-02T00:00:00"/>
    <d v="1899-12-30T12:05:42"/>
    <s v="LIS"/>
    <x v="0"/>
    <x v="2"/>
    <x v="6"/>
    <x v="0"/>
  </r>
  <r>
    <s v="Duplicated Test Order for 30700202C received from host (LIS # 131)."/>
    <x v="74"/>
    <x v="1"/>
    <d v="2016-11-02T00:00:00"/>
    <d v="1899-12-30T12:05:42"/>
    <s v="LIS"/>
    <x v="0"/>
    <x v="2"/>
    <x v="6"/>
    <x v="0"/>
  </r>
  <r>
    <s v="Duplicated Test Order for 30700214A received from host (LIS # 131)."/>
    <x v="74"/>
    <x v="1"/>
    <d v="2016-11-02T00:00:00"/>
    <d v="1899-12-30T12:05:42"/>
    <s v="LIS"/>
    <x v="0"/>
    <x v="2"/>
    <x v="6"/>
    <x v="0"/>
  </r>
  <r>
    <s v="Duplicated Test Order for 30700216C received from host (LIS # 131)."/>
    <x v="74"/>
    <x v="1"/>
    <d v="2016-11-02T00:00:00"/>
    <d v="1899-12-30T12:05:42"/>
    <s v="LIS"/>
    <x v="0"/>
    <x v="2"/>
    <x v="6"/>
    <x v="0"/>
  </r>
  <r>
    <s v="Duplicated Test Order for 30700218B received from host (LIS # 131)."/>
    <x v="74"/>
    <x v="1"/>
    <d v="2016-11-02T00:00:00"/>
    <d v="1899-12-30T12:05:42"/>
    <s v="LIS"/>
    <x v="0"/>
    <x v="2"/>
    <x v="6"/>
    <x v="0"/>
  </r>
  <r>
    <s v="Duplicated Test Order for 30700223A received from host (LIS # 131)."/>
    <x v="74"/>
    <x v="1"/>
    <d v="2016-11-02T00:00:00"/>
    <d v="1899-12-30T12:05:43"/>
    <s v="LIS"/>
    <x v="0"/>
    <x v="2"/>
    <x v="6"/>
    <x v="0"/>
  </r>
  <r>
    <s v="Duplicated Test Order for 30700226A received from host (LIS # 131)."/>
    <x v="74"/>
    <x v="1"/>
    <d v="2016-11-02T00:00:00"/>
    <d v="1899-12-30T12:05:43"/>
    <s v="LIS"/>
    <x v="0"/>
    <x v="2"/>
    <x v="6"/>
    <x v="0"/>
  </r>
  <r>
    <s v="Duplicated Test Order for 30700227C received from host (LIS # 131)."/>
    <x v="74"/>
    <x v="1"/>
    <d v="2016-11-02T00:00:00"/>
    <d v="1899-12-30T12:05:43"/>
    <s v="LIS"/>
    <x v="0"/>
    <x v="2"/>
    <x v="6"/>
    <x v="0"/>
  </r>
  <r>
    <s v="Duplicated Test Order for 30700229C received from host (LIS # 131)."/>
    <x v="74"/>
    <x v="1"/>
    <d v="2016-11-02T00:00:00"/>
    <d v="1899-12-30T12:05:43"/>
    <s v="LIS"/>
    <x v="0"/>
    <x v="2"/>
    <x v="6"/>
    <x v="0"/>
  </r>
  <r>
    <s v="Duplicated Test Order for 30700235C received from host (LIS # 131)."/>
    <x v="74"/>
    <x v="1"/>
    <d v="2016-11-02T00:00:00"/>
    <d v="1899-12-30T12:05:43"/>
    <s v="LIS"/>
    <x v="0"/>
    <x v="2"/>
    <x v="6"/>
    <x v="0"/>
  </r>
  <r>
    <s v="Duplicated Test Order for 30700236C received from host (LIS # 131)."/>
    <x v="74"/>
    <x v="1"/>
    <d v="2016-11-02T00:00:00"/>
    <d v="1899-12-30T12:05:43"/>
    <s v="LIS"/>
    <x v="0"/>
    <x v="2"/>
    <x v="6"/>
    <x v="0"/>
  </r>
  <r>
    <s v="Duplicated Test Order for 30700240A received from host (LIS # 131)."/>
    <x v="74"/>
    <x v="1"/>
    <d v="2016-11-02T00:00:00"/>
    <d v="1899-12-30T12:05:43"/>
    <s v="LIS"/>
    <x v="0"/>
    <x v="2"/>
    <x v="6"/>
    <x v="0"/>
  </r>
  <r>
    <s v="Duplicated Test Order for 30700242A received from host (LIS # 131)."/>
    <x v="74"/>
    <x v="1"/>
    <d v="2016-11-02T00:00:00"/>
    <d v="1899-12-30T12:05:44"/>
    <s v="LIS"/>
    <x v="0"/>
    <x v="2"/>
    <x v="6"/>
    <x v="0"/>
  </r>
  <r>
    <s v="Duplicated Test Order for 30700245B received from host (LIS # 131)."/>
    <x v="74"/>
    <x v="1"/>
    <d v="2016-11-02T00:00:00"/>
    <d v="1899-12-30T12:05:44"/>
    <s v="LIS"/>
    <x v="0"/>
    <x v="2"/>
    <x v="6"/>
    <x v="0"/>
  </r>
  <r>
    <s v="Duplicated Test Order for 30700254B received from host (LIS # 2101)."/>
    <x v="74"/>
    <x v="1"/>
    <d v="2016-11-02T00:00:00"/>
    <d v="1899-12-30T12:05:44"/>
    <s v="LIS"/>
    <x v="0"/>
    <x v="2"/>
    <x v="6"/>
    <x v="0"/>
  </r>
  <r>
    <s v="Duplicated Test Order for 30700260B received from host (LIS # 131)."/>
    <x v="74"/>
    <x v="1"/>
    <d v="2016-11-02T00:00:00"/>
    <d v="1899-12-30T12:05:44"/>
    <s v="LIS"/>
    <x v="0"/>
    <x v="2"/>
    <x v="6"/>
    <x v="0"/>
  </r>
  <r>
    <s v="Duplicated Test Order for 30700260B received from host (LIS # 2011)."/>
    <x v="74"/>
    <x v="1"/>
    <d v="2016-11-02T00:00:00"/>
    <d v="1899-12-30T12:05:44"/>
    <s v="LIS"/>
    <x v="0"/>
    <x v="2"/>
    <x v="6"/>
    <x v="0"/>
  </r>
  <r>
    <s v="Duplicated Test Order for 30700260B received from host (LIS # 2241)."/>
    <x v="74"/>
    <x v="1"/>
    <d v="2016-11-02T00:00:00"/>
    <d v="1899-12-30T12:05:45"/>
    <s v="LIS"/>
    <x v="0"/>
    <x v="2"/>
    <x v="6"/>
    <x v="0"/>
  </r>
  <r>
    <s v="Duplicated Test Order for 30700271C received from host (LIS # 131)."/>
    <x v="74"/>
    <x v="1"/>
    <d v="2016-11-02T00:00:00"/>
    <d v="1899-12-30T12:05:45"/>
    <s v="LIS"/>
    <x v="0"/>
    <x v="2"/>
    <x v="6"/>
    <x v="0"/>
  </r>
  <r>
    <s v="Duplicated Test Order for 30700274A received from host (LIS # 131)."/>
    <x v="74"/>
    <x v="1"/>
    <d v="2016-11-02T00:00:00"/>
    <d v="1899-12-30T12:05:45"/>
    <s v="LIS"/>
    <x v="0"/>
    <x v="2"/>
    <x v="6"/>
    <x v="0"/>
  </r>
  <r>
    <s v="Duplicated Test Order for 30700277C received from host (LIS # 131)."/>
    <x v="74"/>
    <x v="1"/>
    <d v="2016-11-02T00:00:00"/>
    <d v="1899-12-30T12:05:45"/>
    <s v="LIS"/>
    <x v="0"/>
    <x v="2"/>
    <x v="6"/>
    <x v="0"/>
  </r>
  <r>
    <s v="Duplicated Test Order for 30700289C received from host (LIS # 2101)."/>
    <x v="74"/>
    <x v="1"/>
    <d v="2016-11-02T00:00:00"/>
    <d v="1899-12-30T12:05:45"/>
    <s v="LIS"/>
    <x v="0"/>
    <x v="2"/>
    <x v="6"/>
    <x v="0"/>
  </r>
  <r>
    <s v="Duplicated Test Order for 30700290A received from host (LIS # 131)."/>
    <x v="74"/>
    <x v="1"/>
    <d v="2016-11-02T00:00:00"/>
    <d v="1899-12-30T12:05:45"/>
    <s v="LIS"/>
    <x v="0"/>
    <x v="2"/>
    <x v="6"/>
    <x v="0"/>
  </r>
  <r>
    <s v="Duplicated Test Order for 30700318A received from host (LIS # 131)."/>
    <x v="74"/>
    <x v="1"/>
    <d v="2016-11-02T00:00:00"/>
    <d v="1899-12-30T12:05:46"/>
    <s v="LIS"/>
    <x v="0"/>
    <x v="2"/>
    <x v="6"/>
    <x v="0"/>
  </r>
  <r>
    <s v="Duplicated Test Order for 30700344A received from host (LIS # 131)."/>
    <x v="74"/>
    <x v="1"/>
    <d v="2016-11-02T00:00:00"/>
    <d v="1899-12-30T12:05:46"/>
    <s v="LIS"/>
    <x v="0"/>
    <x v="2"/>
    <x v="6"/>
    <x v="0"/>
  </r>
  <r>
    <s v="Duplicated Test Order for 30700355A received from host (LIS # 131)."/>
    <x v="74"/>
    <x v="1"/>
    <d v="2016-11-02T00:00:00"/>
    <d v="1899-12-30T12:05:46"/>
    <s v="LIS"/>
    <x v="0"/>
    <x v="2"/>
    <x v="6"/>
    <x v="0"/>
  </r>
  <r>
    <s v="Duplicated Test Order for 30700355A received from host (LIS # 921)."/>
    <x v="74"/>
    <x v="1"/>
    <d v="2016-11-02T00:00:00"/>
    <d v="1899-12-30T12:05:46"/>
    <s v="LIS"/>
    <x v="0"/>
    <x v="2"/>
    <x v="6"/>
    <x v="0"/>
  </r>
  <r>
    <s v="Duplicated Test Order for 30700355A received from host (LIS # 2101)."/>
    <x v="74"/>
    <x v="1"/>
    <d v="2016-11-02T00:00:00"/>
    <d v="1899-12-30T12:05:47"/>
    <s v="LIS"/>
    <x v="0"/>
    <x v="2"/>
    <x v="6"/>
    <x v="0"/>
  </r>
  <r>
    <s v="Duplicated Test Order for 30700370C received from host (LIS # 131)."/>
    <x v="74"/>
    <x v="1"/>
    <d v="2016-11-02T00:00:00"/>
    <d v="1899-12-30T12:05:47"/>
    <s v="LIS"/>
    <x v="0"/>
    <x v="2"/>
    <x v="6"/>
    <x v="0"/>
  </r>
  <r>
    <s v="Duplicated Test Order for 30700375C received from host (LIS # 2101)."/>
    <x v="74"/>
    <x v="1"/>
    <d v="2016-11-02T00:00:00"/>
    <d v="1899-12-30T12:05:47"/>
    <s v="LIS"/>
    <x v="0"/>
    <x v="2"/>
    <x v="6"/>
    <x v="0"/>
  </r>
  <r>
    <s v="Duplicated Test Order for 30700379B received from host (LIS # 131)."/>
    <x v="74"/>
    <x v="1"/>
    <d v="2016-11-02T00:00:00"/>
    <d v="1899-12-30T12:05:47"/>
    <s v="LIS"/>
    <x v="0"/>
    <x v="2"/>
    <x v="6"/>
    <x v="0"/>
  </r>
  <r>
    <s v="Duplicated Test Order for 30700380C received from host (LIS # 131)."/>
    <x v="74"/>
    <x v="1"/>
    <d v="2016-11-02T00:00:00"/>
    <d v="1899-12-30T12:05:47"/>
    <s v="LIS"/>
    <x v="0"/>
    <x v="2"/>
    <x v="6"/>
    <x v="0"/>
  </r>
  <r>
    <s v="Duplicated Test Order for 30700401C received from host (LIS # 131)."/>
    <x v="74"/>
    <x v="1"/>
    <d v="2016-11-02T00:00:00"/>
    <d v="1899-12-30T12:05:48"/>
    <s v="LIS"/>
    <x v="0"/>
    <x v="2"/>
    <x v="6"/>
    <x v="0"/>
  </r>
  <r>
    <s v="Duplicated Test Order for 30700406A received from host (LIS # 2241)."/>
    <x v="74"/>
    <x v="1"/>
    <d v="2016-11-02T00:00:00"/>
    <d v="1899-12-30T12:05:48"/>
    <s v="LIS"/>
    <x v="0"/>
    <x v="2"/>
    <x v="6"/>
    <x v="0"/>
  </r>
  <r>
    <s v="Duplicated Test Order for 30700412C received from host (LIS # 131)."/>
    <x v="74"/>
    <x v="1"/>
    <d v="2016-11-02T00:00:00"/>
    <d v="1899-12-30T12:05:48"/>
    <s v="LIS"/>
    <x v="0"/>
    <x v="2"/>
    <x v="6"/>
    <x v="0"/>
  </r>
  <r>
    <s v="Duplicated Test Order for 30700412C received from host (LIS # 921)."/>
    <x v="74"/>
    <x v="1"/>
    <d v="2016-11-02T00:00:00"/>
    <d v="1899-12-30T12:05:48"/>
    <s v="LIS"/>
    <x v="0"/>
    <x v="2"/>
    <x v="6"/>
    <x v="0"/>
  </r>
  <r>
    <s v="Duplicated Test Order for 30700417A received from host (LIS # 131)."/>
    <x v="74"/>
    <x v="1"/>
    <d v="2016-11-02T00:00:00"/>
    <d v="1899-12-30T12:05:49"/>
    <s v="LIS"/>
    <x v="0"/>
    <x v="2"/>
    <x v="6"/>
    <x v="0"/>
  </r>
  <r>
    <s v="Duplicated Test Order for 30700417A received from host (LIS # 921)."/>
    <x v="74"/>
    <x v="1"/>
    <d v="2016-11-02T00:00:00"/>
    <d v="1899-12-30T12:05:49"/>
    <s v="LIS"/>
    <x v="0"/>
    <x v="2"/>
    <x v="6"/>
    <x v="0"/>
  </r>
  <r>
    <s v="Duplicated Test Order for 30700419D received from host (LIS # 131)."/>
    <x v="74"/>
    <x v="1"/>
    <d v="2016-11-02T00:00:00"/>
    <d v="1899-12-30T12:05:49"/>
    <s v="LIS"/>
    <x v="0"/>
    <x v="2"/>
    <x v="6"/>
    <x v="0"/>
  </r>
  <r>
    <s v="Duplicated Test Order for 30700426A received from host (LIS # 131)."/>
    <x v="74"/>
    <x v="1"/>
    <d v="2016-11-02T00:00:00"/>
    <d v="1899-12-30T12:05:49"/>
    <s v="LIS"/>
    <x v="0"/>
    <x v="2"/>
    <x v="6"/>
    <x v="0"/>
  </r>
  <r>
    <s v="Duplicated Test Order for 30700426A received from host (LIS # 921)."/>
    <x v="74"/>
    <x v="1"/>
    <d v="2016-11-02T00:00:00"/>
    <d v="1899-12-30T12:05:49"/>
    <s v="LIS"/>
    <x v="0"/>
    <x v="2"/>
    <x v="6"/>
    <x v="0"/>
  </r>
  <r>
    <s v="Duplicated Test Order for 30700438A received from host (LIS # 2011)."/>
    <x v="74"/>
    <x v="1"/>
    <d v="2016-11-02T00:00:00"/>
    <d v="1899-12-30T12:05:49"/>
    <s v="LIS"/>
    <x v="0"/>
    <x v="2"/>
    <x v="6"/>
    <x v="0"/>
  </r>
  <r>
    <s v="Duplicated Test Order for 30700438A received from host (LIS # 2241)."/>
    <x v="74"/>
    <x v="1"/>
    <d v="2016-11-02T00:00:00"/>
    <d v="1899-12-30T12:05:50"/>
    <s v="LIS"/>
    <x v="0"/>
    <x v="2"/>
    <x v="6"/>
    <x v="0"/>
  </r>
  <r>
    <s v="Duplicated Test Order for 30700444A received from host (LIS # 2241)."/>
    <x v="74"/>
    <x v="1"/>
    <d v="2016-11-02T00:00:00"/>
    <d v="1899-12-30T12:05:50"/>
    <s v="LIS"/>
    <x v="0"/>
    <x v="2"/>
    <x v="6"/>
    <x v="0"/>
  </r>
  <r>
    <s v="Duplicated Test Order for 30700445A received from host (LIS # 2101)."/>
    <x v="74"/>
    <x v="1"/>
    <d v="2016-11-02T00:00:00"/>
    <d v="1899-12-30T12:05:50"/>
    <s v="LIS"/>
    <x v="0"/>
    <x v="2"/>
    <x v="6"/>
    <x v="0"/>
  </r>
  <r>
    <s v="Duplicated Test Order for 30700446B received from host (LIS # 2241)."/>
    <x v="74"/>
    <x v="1"/>
    <d v="2016-11-02T00:00:00"/>
    <d v="1899-12-30T12:05:50"/>
    <s v="LIS"/>
    <x v="0"/>
    <x v="2"/>
    <x v="6"/>
    <x v="0"/>
  </r>
  <r>
    <s v="Duplicated Test Order for 30700452A received from host (LIS # 131)."/>
    <x v="74"/>
    <x v="1"/>
    <d v="2016-11-02T00:00:00"/>
    <d v="1899-12-30T12:05:50"/>
    <s v="LIS"/>
    <x v="0"/>
    <x v="2"/>
    <x v="6"/>
    <x v="0"/>
  </r>
  <r>
    <s v="Duplicated Test Order for 30700469A received from host (LIS # 131)."/>
    <x v="74"/>
    <x v="1"/>
    <d v="2016-11-02T00:00:00"/>
    <d v="1899-12-30T12:05:50"/>
    <s v="LIS"/>
    <x v="0"/>
    <x v="2"/>
    <x v="6"/>
    <x v="0"/>
  </r>
  <r>
    <s v="Duplicated Test Order for 30700469A received from host (LIS # 2011)."/>
    <x v="74"/>
    <x v="1"/>
    <d v="2016-11-02T00:00:00"/>
    <d v="1899-12-30T12:05:50"/>
    <s v="LIS"/>
    <x v="0"/>
    <x v="2"/>
    <x v="6"/>
    <x v="0"/>
  </r>
  <r>
    <s v="Duplicated Test Order for 30700470B received from host (LIS # 131)."/>
    <x v="74"/>
    <x v="1"/>
    <d v="2016-11-02T00:00:00"/>
    <d v="1899-12-30T12:05:51"/>
    <s v="LIS"/>
    <x v="0"/>
    <x v="2"/>
    <x v="6"/>
    <x v="0"/>
  </r>
  <r>
    <s v="Duplicated Test Order for 30700470B received from host (LIS # 921)."/>
    <x v="74"/>
    <x v="1"/>
    <d v="2016-11-02T00:00:00"/>
    <d v="1899-12-30T12:05:51"/>
    <s v="LIS"/>
    <x v="0"/>
    <x v="2"/>
    <x v="6"/>
    <x v="0"/>
  </r>
  <r>
    <s v="Duplicated Test Order for 30700471A received from host (LIS # 131)."/>
    <x v="74"/>
    <x v="1"/>
    <d v="2016-11-02T00:00:00"/>
    <d v="1899-12-30T12:05:51"/>
    <s v="LIS"/>
    <x v="0"/>
    <x v="2"/>
    <x v="6"/>
    <x v="0"/>
  </r>
  <r>
    <s v="Duplicated Test Order for 30700471A received from host (LIS # 2011)."/>
    <x v="74"/>
    <x v="1"/>
    <d v="2016-11-02T00:00:00"/>
    <d v="1899-12-30T12:05:51"/>
    <s v="LIS"/>
    <x v="0"/>
    <x v="2"/>
    <x v="6"/>
    <x v="0"/>
  </r>
  <r>
    <s v="Duplicated Test Order for 30700491A received from host (LIS # 131)."/>
    <x v="74"/>
    <x v="1"/>
    <d v="2016-11-02T00:00:00"/>
    <d v="1899-12-30T12:05:51"/>
    <s v="LIS"/>
    <x v="0"/>
    <x v="2"/>
    <x v="6"/>
    <x v="0"/>
  </r>
  <r>
    <s v="Duplicated Test Order for 30700498A received from host (LIS # 2101)."/>
    <x v="74"/>
    <x v="1"/>
    <d v="2016-11-02T00:00:00"/>
    <d v="1899-12-30T12:05:51"/>
    <s v="LIS"/>
    <x v="0"/>
    <x v="2"/>
    <x v="6"/>
    <x v="0"/>
  </r>
  <r>
    <s v="Duplicated Test Order for 30700503A received from host (LIS # 131)."/>
    <x v="74"/>
    <x v="1"/>
    <d v="2016-11-02T00:00:00"/>
    <d v="1899-12-30T12:05:52"/>
    <s v="LIS"/>
    <x v="0"/>
    <x v="2"/>
    <x v="6"/>
    <x v="0"/>
  </r>
  <r>
    <s v="Duplicated Test Order for 30700503A received from host (LIS # 2101)."/>
    <x v="74"/>
    <x v="1"/>
    <d v="2016-11-02T00:00:00"/>
    <d v="1899-12-30T12:05:52"/>
    <s v="LIS"/>
    <x v="0"/>
    <x v="2"/>
    <x v="6"/>
    <x v="0"/>
  </r>
  <r>
    <s v="Duplicated Test Order for 30700511A received from host (LIS # 2241)."/>
    <x v="74"/>
    <x v="1"/>
    <d v="2016-11-02T00:00:00"/>
    <d v="1899-12-30T12:05:52"/>
    <s v="LIS"/>
    <x v="0"/>
    <x v="2"/>
    <x v="6"/>
    <x v="0"/>
  </r>
  <r>
    <s v="Duplicated Test Order for 30700553B received from host (LIS # 131)."/>
    <x v="74"/>
    <x v="1"/>
    <d v="2016-11-02T00:00:00"/>
    <d v="1899-12-30T12:05:52"/>
    <s v="LIS"/>
    <x v="0"/>
    <x v="2"/>
    <x v="6"/>
    <x v="0"/>
  </r>
  <r>
    <s v="Duplicated Test Order for 30700566C received from host (LIS # 131)."/>
    <x v="74"/>
    <x v="1"/>
    <d v="2016-11-02T00:00:00"/>
    <d v="1899-12-30T12:05:52"/>
    <s v="LIS"/>
    <x v="0"/>
    <x v="2"/>
    <x v="6"/>
    <x v="0"/>
  </r>
  <r>
    <s v="Duplicated Test Order for 30700569A received from host (LIS # 131)."/>
    <x v="74"/>
    <x v="1"/>
    <d v="2016-11-02T00:00:00"/>
    <d v="1899-12-30T12:05:52"/>
    <s v="LIS"/>
    <x v="0"/>
    <x v="2"/>
    <x v="6"/>
    <x v="0"/>
  </r>
  <r>
    <s v="Duplicated Test Order for 30700584C received from host (LIS # 131)."/>
    <x v="74"/>
    <x v="1"/>
    <d v="2016-11-02T00:00:00"/>
    <d v="1899-12-30T12:05:52"/>
    <s v="LIS"/>
    <x v="0"/>
    <x v="2"/>
    <x v="6"/>
    <x v="0"/>
  </r>
  <r>
    <s v="Duplicated Test Order for 30700584C received from host (LIS # 921)."/>
    <x v="74"/>
    <x v="1"/>
    <d v="2016-11-02T00:00:00"/>
    <d v="1899-12-30T12:05:53"/>
    <s v="LIS"/>
    <x v="0"/>
    <x v="2"/>
    <x v="6"/>
    <x v="0"/>
  </r>
  <r>
    <s v="Duplicated Test Order for 30700595A received from host (LIS # 131)."/>
    <x v="74"/>
    <x v="1"/>
    <d v="2016-11-02T00:00:00"/>
    <d v="1899-12-30T12:05:53"/>
    <s v="LIS"/>
    <x v="0"/>
    <x v="2"/>
    <x v="6"/>
    <x v="0"/>
  </r>
  <r>
    <s v="Duplicated Test Order for 30700595A received from host (LIS # 2011)."/>
    <x v="74"/>
    <x v="1"/>
    <d v="2016-11-02T00:00:00"/>
    <d v="1899-12-30T12:05:53"/>
    <s v="LIS"/>
    <x v="0"/>
    <x v="2"/>
    <x v="6"/>
    <x v="0"/>
  </r>
  <r>
    <s v="Duplicated Test Order for 30700608A received from host (LIS # 2101)."/>
    <x v="74"/>
    <x v="1"/>
    <d v="2016-11-02T00:00:00"/>
    <d v="1899-12-30T12:05:53"/>
    <s v="LIS"/>
    <x v="0"/>
    <x v="2"/>
    <x v="6"/>
    <x v="0"/>
  </r>
  <r>
    <s v="Duplicated Test Order for 30700650A received from host (LIS # 131)."/>
    <x v="74"/>
    <x v="1"/>
    <d v="2016-11-02T00:00:00"/>
    <d v="1899-12-30T12:05:53"/>
    <s v="LIS"/>
    <x v="0"/>
    <x v="2"/>
    <x v="6"/>
    <x v="0"/>
  </r>
  <r>
    <s v="Duplicated Test Order for 30700650A received from host (LIS # 2101)."/>
    <x v="74"/>
    <x v="1"/>
    <d v="2016-11-02T00:00:00"/>
    <d v="1899-12-30T12:05:54"/>
    <s v="LIS"/>
    <x v="0"/>
    <x v="2"/>
    <x v="6"/>
    <x v="0"/>
  </r>
  <r>
    <s v="Duplicated Test Order for 30700673B received from host (LIS # 131)."/>
    <x v="74"/>
    <x v="1"/>
    <d v="2016-11-02T00:00:00"/>
    <d v="1899-12-30T12:05:54"/>
    <s v="LIS"/>
    <x v="0"/>
    <x v="2"/>
    <x v="6"/>
    <x v="0"/>
  </r>
  <r>
    <s v="Duplicated Test Order for 30700679D received from host (LIS # 131)."/>
    <x v="74"/>
    <x v="1"/>
    <d v="2016-11-02T00:00:00"/>
    <d v="1899-12-30T12:05:54"/>
    <s v="LIS"/>
    <x v="0"/>
    <x v="2"/>
    <x v="6"/>
    <x v="0"/>
  </r>
  <r>
    <s v="Duplicated Test Order for 30700729B received from host (LIS # 131)."/>
    <x v="74"/>
    <x v="1"/>
    <d v="2016-11-02T00:00:00"/>
    <d v="1899-12-30T12:05:54"/>
    <s v="LIS"/>
    <x v="0"/>
    <x v="2"/>
    <x v="6"/>
    <x v="0"/>
  </r>
  <r>
    <s v="Duplicated Test Order for 30700729B received from host (LIS # 921)."/>
    <x v="74"/>
    <x v="1"/>
    <d v="2016-11-02T00:00:00"/>
    <d v="1899-12-30T12:05:55"/>
    <s v="LIS"/>
    <x v="0"/>
    <x v="2"/>
    <x v="6"/>
    <x v="0"/>
  </r>
  <r>
    <s v="Duplicated Test Order for 30700730A received from host (LIS # 131)."/>
    <x v="74"/>
    <x v="1"/>
    <d v="2016-11-02T00:00:00"/>
    <d v="1899-12-30T12:05:55"/>
    <s v="LIS"/>
    <x v="0"/>
    <x v="2"/>
    <x v="6"/>
    <x v="0"/>
  </r>
  <r>
    <s v="Duplicated Test Order for 30700843A received from host (LIS # 131)."/>
    <x v="74"/>
    <x v="1"/>
    <d v="2016-11-02T00:00:00"/>
    <d v="1899-12-30T12:05:55"/>
    <s v="LIS"/>
    <x v="0"/>
    <x v="2"/>
    <x v="6"/>
    <x v="0"/>
  </r>
  <r>
    <s v="Duplicated Test Order for 30700869A received from host (LIS # 131)."/>
    <x v="74"/>
    <x v="1"/>
    <d v="2016-11-02T00:00:00"/>
    <d v="1899-12-30T12:05:55"/>
    <s v="LIS"/>
    <x v="0"/>
    <x v="2"/>
    <x v="6"/>
    <x v="0"/>
  </r>
  <r>
    <s v="Duplicated Test Order for 30700885A received from host (LIS # 131)."/>
    <x v="74"/>
    <x v="1"/>
    <d v="2016-11-02T00:00:00"/>
    <d v="1899-12-30T12:05:55"/>
    <s v="LIS"/>
    <x v="0"/>
    <x v="2"/>
    <x v="6"/>
    <x v="0"/>
  </r>
  <r>
    <s v="Duplicated Test Order for 30700886C received from host (LIS # 131)."/>
    <x v="74"/>
    <x v="1"/>
    <d v="2016-11-02T00:00:00"/>
    <d v="1899-12-30T12:05:55"/>
    <s v="LIS"/>
    <x v="0"/>
    <x v="2"/>
    <x v="6"/>
    <x v="0"/>
  </r>
  <r>
    <s v="Duplicated Test Order for 30700894A received from host (LIS # 131)."/>
    <x v="74"/>
    <x v="1"/>
    <d v="2016-11-02T00:00:00"/>
    <d v="1899-12-30T12:05:55"/>
    <s v="LIS"/>
    <x v="0"/>
    <x v="2"/>
    <x v="6"/>
    <x v="0"/>
  </r>
  <r>
    <s v="Duplicated Test Order for 30700903A received from host (LIS # 131)."/>
    <x v="74"/>
    <x v="1"/>
    <d v="2016-11-02T00:00:00"/>
    <d v="1899-12-30T12:05:55"/>
    <s v="LIS"/>
    <x v="0"/>
    <x v="2"/>
    <x v="6"/>
    <x v="0"/>
  </r>
  <r>
    <s v="Duplicated Test Order for 30700905A received from host (LIS # 131)."/>
    <x v="74"/>
    <x v="1"/>
    <d v="2016-11-02T00:00:00"/>
    <d v="1899-12-30T12:05:55"/>
    <s v="LIS"/>
    <x v="0"/>
    <x v="2"/>
    <x v="6"/>
    <x v="0"/>
  </r>
  <r>
    <s v="Duplicated Test Order for 30700924B received from host (LIS # 131)."/>
    <x v="74"/>
    <x v="1"/>
    <d v="2016-11-02T00:00:00"/>
    <d v="1899-12-30T12:05:55"/>
    <s v="LIS"/>
    <x v="0"/>
    <x v="2"/>
    <x v="6"/>
    <x v="0"/>
  </r>
  <r>
    <s v="Duplicated Test Order for 30700988A received from host (LIS # 2241)."/>
    <x v="74"/>
    <x v="1"/>
    <d v="2016-11-02T00:00:00"/>
    <d v="1899-12-30T12:05:55"/>
    <s v="LIS"/>
    <x v="0"/>
    <x v="2"/>
    <x v="6"/>
    <x v="0"/>
  </r>
  <r>
    <s v="Duplicated Test Order for 30701007A received from host (LIS # 131)."/>
    <x v="74"/>
    <x v="1"/>
    <d v="2016-11-02T00:00:00"/>
    <d v="1899-12-30T12:05:55"/>
    <s v="LIS"/>
    <x v="0"/>
    <x v="2"/>
    <x v="6"/>
    <x v="0"/>
  </r>
  <r>
    <s v="Duplicated Test Order for 30701009D received from host (LIS # 131)."/>
    <x v="74"/>
    <x v="1"/>
    <d v="2016-11-02T00:00:00"/>
    <d v="1899-12-30T12:05:55"/>
    <s v="LIS"/>
    <x v="0"/>
    <x v="2"/>
    <x v="6"/>
    <x v="0"/>
  </r>
  <r>
    <s v="Duplicated Test Order for 30701009D received from host (LIS # 921)."/>
    <x v="74"/>
    <x v="1"/>
    <d v="2016-11-02T00:00:00"/>
    <d v="1899-12-30T12:05:55"/>
    <s v="LIS"/>
    <x v="0"/>
    <x v="2"/>
    <x v="6"/>
    <x v="0"/>
  </r>
  <r>
    <s v="Duplicated Test Order for 30701041A received from host (LIS # 921)."/>
    <x v="74"/>
    <x v="1"/>
    <d v="2016-11-02T00:00:00"/>
    <d v="1899-12-30T12:05:56"/>
    <s v="LIS"/>
    <x v="0"/>
    <x v="2"/>
    <x v="6"/>
    <x v="0"/>
  </r>
  <r>
    <s v="Duplicated Test Order for 30701041A received from host (LIS # 2101)."/>
    <x v="74"/>
    <x v="1"/>
    <d v="2016-11-02T00:00:00"/>
    <d v="1899-12-30T12:05:56"/>
    <s v="LIS"/>
    <x v="0"/>
    <x v="2"/>
    <x v="6"/>
    <x v="0"/>
  </r>
  <r>
    <s v="Duplicated Test Order for 30701050A received from host (LIS # 131)."/>
    <x v="74"/>
    <x v="1"/>
    <d v="2016-11-02T00:00:00"/>
    <d v="1899-12-30T12:05:56"/>
    <s v="LIS"/>
    <x v="0"/>
    <x v="2"/>
    <x v="6"/>
    <x v="0"/>
  </r>
  <r>
    <s v="Duplicated Test Order for 30701050A received from host (LIS # 921)."/>
    <x v="74"/>
    <x v="1"/>
    <d v="2016-11-02T00:00:00"/>
    <d v="1899-12-30T12:05:56"/>
    <s v="LIS"/>
    <x v="0"/>
    <x v="2"/>
    <x v="6"/>
    <x v="0"/>
  </r>
  <r>
    <s v="Duplicated Test Order for 30701082B received from host (LIS # 131)."/>
    <x v="74"/>
    <x v="1"/>
    <d v="2016-11-02T00:00:00"/>
    <d v="1899-12-30T12:05:56"/>
    <s v="LIS"/>
    <x v="0"/>
    <x v="2"/>
    <x v="6"/>
    <x v="0"/>
  </r>
  <r>
    <s v="Duplicated Test Order for 30701083A received from host (LIS # 131)."/>
    <x v="74"/>
    <x v="1"/>
    <d v="2016-11-02T00:00:00"/>
    <d v="1899-12-30T12:05:56"/>
    <s v="LIS"/>
    <x v="0"/>
    <x v="2"/>
    <x v="6"/>
    <x v="0"/>
  </r>
  <r>
    <s v="Duplicated Test Order for 30701094A received from host (LIS # 131)."/>
    <x v="74"/>
    <x v="1"/>
    <d v="2016-11-02T00:00:00"/>
    <d v="1899-12-30T12:05:56"/>
    <s v="LIS"/>
    <x v="0"/>
    <x v="2"/>
    <x v="6"/>
    <x v="0"/>
  </r>
  <r>
    <s v="Duplicated Test Order for 30701123C received from host (LIS # 131)."/>
    <x v="74"/>
    <x v="1"/>
    <d v="2016-11-02T00:00:00"/>
    <d v="1899-12-30T12:05:56"/>
    <s v="LIS"/>
    <x v="0"/>
    <x v="2"/>
    <x v="6"/>
    <x v="0"/>
  </r>
  <r>
    <s v="Duplicated Test Order for 30701168A received from host (LIS # 131)."/>
    <x v="74"/>
    <x v="1"/>
    <d v="2016-11-02T00:00:00"/>
    <d v="1899-12-30T12:05:56"/>
    <s v="LIS"/>
    <x v="0"/>
    <x v="2"/>
    <x v="6"/>
    <x v="0"/>
  </r>
  <r>
    <s v="Duplicated Test Order for 30701179A received from host (LIS # 131)."/>
    <x v="74"/>
    <x v="1"/>
    <d v="2016-11-02T00:00:00"/>
    <d v="1899-12-30T12:05:56"/>
    <s v="LIS"/>
    <x v="0"/>
    <x v="2"/>
    <x v="6"/>
    <x v="0"/>
  </r>
  <r>
    <s v="Duplicated Test Order for 30701223C received from host (LIS # 131)."/>
    <x v="74"/>
    <x v="1"/>
    <d v="2016-11-02T00:00:00"/>
    <d v="1899-12-30T12:05:56"/>
    <s v="LIS"/>
    <x v="0"/>
    <x v="2"/>
    <x v="6"/>
    <x v="0"/>
  </r>
  <r>
    <s v="Duplicated Test Order for 30701223C received from host (LIS # 921)."/>
    <x v="74"/>
    <x v="1"/>
    <d v="2016-11-02T00:00:00"/>
    <d v="1899-12-30T12:05:56"/>
    <s v="LIS"/>
    <x v="0"/>
    <x v="2"/>
    <x v="6"/>
    <x v="0"/>
  </r>
  <r>
    <s v="Duplicated Test Order for 30701249A received from host (LIS # 2101)."/>
    <x v="74"/>
    <x v="1"/>
    <d v="2016-11-02T00:00:00"/>
    <d v="1899-12-30T12:05:56"/>
    <s v="LIS"/>
    <x v="0"/>
    <x v="2"/>
    <x v="6"/>
    <x v="0"/>
  </r>
  <r>
    <s v="Duplicated Test Order for 30701250A received from host (LIS # 131)."/>
    <x v="74"/>
    <x v="1"/>
    <d v="2016-11-02T00:00:00"/>
    <d v="1899-12-30T12:05:56"/>
    <s v="LIS"/>
    <x v="0"/>
    <x v="2"/>
    <x v="6"/>
    <x v="0"/>
  </r>
  <r>
    <s v="Duplicated Test Order for 30701305A received from host (LIS # 131)."/>
    <x v="74"/>
    <x v="1"/>
    <d v="2016-11-02T00:00:00"/>
    <d v="1899-12-30T12:05:57"/>
    <s v="LIS"/>
    <x v="0"/>
    <x v="2"/>
    <x v="6"/>
    <x v="0"/>
  </r>
  <r>
    <s v="Duplicated Test Order for 30701343C received from host (LIS # 131)."/>
    <x v="74"/>
    <x v="1"/>
    <d v="2016-11-02T00:00:00"/>
    <d v="1899-12-30T12:05:57"/>
    <s v="LIS"/>
    <x v="0"/>
    <x v="2"/>
    <x v="6"/>
    <x v="0"/>
  </r>
  <r>
    <s v="Duplicated Test Order for 30701375B received from host (LIS # 131)."/>
    <x v="74"/>
    <x v="1"/>
    <d v="2016-11-02T00:00:00"/>
    <d v="1899-12-30T12:05:57"/>
    <s v="LIS"/>
    <x v="0"/>
    <x v="2"/>
    <x v="6"/>
    <x v="0"/>
  </r>
  <r>
    <s v="Duplicated Test Order for 30701375B received from host (LIS # 921)."/>
    <x v="74"/>
    <x v="1"/>
    <d v="2016-11-02T00:00:00"/>
    <d v="1899-12-30T12:05:57"/>
    <s v="LIS"/>
    <x v="0"/>
    <x v="2"/>
    <x v="6"/>
    <x v="0"/>
  </r>
  <r>
    <s v="Duplicated Test Order for 30701375B received from host (LIS # 2011)."/>
    <x v="74"/>
    <x v="1"/>
    <d v="2016-11-02T00:00:00"/>
    <d v="1899-12-30T12:05:57"/>
    <s v="LIS"/>
    <x v="0"/>
    <x v="2"/>
    <x v="6"/>
    <x v="0"/>
  </r>
  <r>
    <s v="Duplicated Test Order for 30601355A received from host (LIS # 2101)."/>
    <x v="74"/>
    <x v="1"/>
    <d v="2016-11-02T00:00:00"/>
    <d v="1899-12-30T12:05:57"/>
    <s v="LIS"/>
    <x v="0"/>
    <x v="2"/>
    <x v="6"/>
    <x v="0"/>
  </r>
  <r>
    <s v="Duplicated Test Order for 30601478A received from host (LIS # 921)."/>
    <x v="74"/>
    <x v="1"/>
    <d v="2016-11-02T00:00:00"/>
    <d v="1899-12-30T12:05:57"/>
    <s v="LIS"/>
    <x v="0"/>
    <x v="2"/>
    <x v="6"/>
    <x v="0"/>
  </r>
  <r>
    <s v="Duplicated Test Order for 30601493D received from host (LIS # 131)."/>
    <x v="74"/>
    <x v="1"/>
    <d v="2016-11-02T00:00:00"/>
    <d v="1899-12-30T12:05:58"/>
    <s v="LIS"/>
    <x v="0"/>
    <x v="2"/>
    <x v="6"/>
    <x v="0"/>
  </r>
  <r>
    <s v="Duplicated Test Order for 30601493D received from host (LIS # 921)."/>
    <x v="74"/>
    <x v="1"/>
    <d v="2016-11-02T00:00:00"/>
    <d v="1899-12-30T12:05:58"/>
    <s v="LIS"/>
    <x v="0"/>
    <x v="2"/>
    <x v="6"/>
    <x v="0"/>
  </r>
  <r>
    <s v="Duplicated Test Order for 30601493D received from host (LIS # 2101)."/>
    <x v="74"/>
    <x v="1"/>
    <d v="2016-11-02T00:00:00"/>
    <d v="1899-12-30T12:05:58"/>
    <s v="LIS"/>
    <x v="0"/>
    <x v="2"/>
    <x v="6"/>
    <x v="0"/>
  </r>
  <r>
    <s v="Duplicated Test Order for 30601496A received from host (LIS # 131)."/>
    <x v="74"/>
    <x v="1"/>
    <d v="2016-11-02T00:00:00"/>
    <d v="1899-12-30T12:05:58"/>
    <s v="LIS"/>
    <x v="0"/>
    <x v="2"/>
    <x v="6"/>
    <x v="0"/>
  </r>
  <r>
    <s v="Duplicated Test Order for 30601510A received from host (LIS # 131)."/>
    <x v="74"/>
    <x v="1"/>
    <d v="2016-11-02T00:00:00"/>
    <d v="1899-12-30T12:05:59"/>
    <s v="LIS"/>
    <x v="0"/>
    <x v="2"/>
    <x v="6"/>
    <x v="0"/>
  </r>
  <r>
    <s v="Duplicated Test Order for 30601528A received from host (LIS # 131)."/>
    <x v="74"/>
    <x v="1"/>
    <d v="2016-11-02T00:00:00"/>
    <d v="1899-12-30T12:05:59"/>
    <s v="LIS"/>
    <x v="0"/>
    <x v="2"/>
    <x v="6"/>
    <x v="0"/>
  </r>
  <r>
    <s v="Duplicated Test Order for 30601551A received from host (LIS # 131)."/>
    <x v="74"/>
    <x v="1"/>
    <d v="2016-11-02T00:00:00"/>
    <d v="1899-12-30T12:05:59"/>
    <s v="LIS"/>
    <x v="0"/>
    <x v="2"/>
    <x v="6"/>
    <x v="0"/>
  </r>
  <r>
    <s v="Duplicated Test Order for 30601551A received from host (LIS # 921)."/>
    <x v="74"/>
    <x v="1"/>
    <d v="2016-11-02T00:00:00"/>
    <d v="1899-12-30T12:05:59"/>
    <s v="LIS"/>
    <x v="0"/>
    <x v="2"/>
    <x v="6"/>
    <x v="0"/>
  </r>
  <r>
    <s v="Duplicated Test Order for 30601551A received from host (LIS # 2011)."/>
    <x v="74"/>
    <x v="1"/>
    <d v="2016-11-02T00:00:00"/>
    <d v="1899-12-30T12:06:00"/>
    <s v="LIS"/>
    <x v="0"/>
    <x v="2"/>
    <x v="6"/>
    <x v="0"/>
  </r>
  <r>
    <s v="Duplicated Test Order for 30601553B received from host (LIS # 131)."/>
    <x v="74"/>
    <x v="1"/>
    <d v="2016-11-02T00:00:00"/>
    <d v="1899-12-30T12:06:00"/>
    <s v="LIS"/>
    <x v="0"/>
    <x v="2"/>
    <x v="6"/>
    <x v="0"/>
  </r>
  <r>
    <s v="Duplicated Test Order for 30601559A received from host (LIS # 2241)."/>
    <x v="74"/>
    <x v="1"/>
    <d v="2016-11-02T00:00:00"/>
    <d v="1899-12-30T12:06:00"/>
    <s v="LIS"/>
    <x v="0"/>
    <x v="2"/>
    <x v="6"/>
    <x v="0"/>
  </r>
  <r>
    <s v="Duplicated Test Order for 30601564D received from host (LIS # 131)."/>
    <x v="74"/>
    <x v="1"/>
    <d v="2016-11-02T00:00:00"/>
    <d v="1899-12-30T12:06:00"/>
    <s v="LIS"/>
    <x v="0"/>
    <x v="2"/>
    <x v="6"/>
    <x v="0"/>
  </r>
  <r>
    <s v="Duplicated Test Order for 30601588A received from host (LIS # 131)."/>
    <x v="74"/>
    <x v="1"/>
    <d v="2016-11-02T00:00:00"/>
    <d v="1899-12-30T12:06:00"/>
    <s v="LIS"/>
    <x v="0"/>
    <x v="2"/>
    <x v="6"/>
    <x v="0"/>
  </r>
  <r>
    <s v="Duplicated Test Order for 30601600C received from host (LIS # 131)."/>
    <x v="74"/>
    <x v="1"/>
    <d v="2016-11-02T00:00:00"/>
    <d v="1899-12-30T12:06:00"/>
    <s v="LIS"/>
    <x v="0"/>
    <x v="2"/>
    <x v="6"/>
    <x v="0"/>
  </r>
  <r>
    <s v="Duplicated Test Order for 30601600C received from host (LIS # 921)."/>
    <x v="74"/>
    <x v="1"/>
    <d v="2016-11-02T00:00:00"/>
    <d v="1899-12-30T12:06:01"/>
    <s v="LIS"/>
    <x v="0"/>
    <x v="2"/>
    <x v="6"/>
    <x v="0"/>
  </r>
  <r>
    <s v="Duplicated Test Order for 30601602A received from host (LIS # 921)."/>
    <x v="74"/>
    <x v="1"/>
    <d v="2016-11-02T00:00:00"/>
    <d v="1899-12-30T12:06:01"/>
    <s v="LIS"/>
    <x v="0"/>
    <x v="2"/>
    <x v="6"/>
    <x v="0"/>
  </r>
  <r>
    <s v="Duplicated Test Order for 30601604A received from host (LIS # 2101)."/>
    <x v="74"/>
    <x v="1"/>
    <d v="2016-11-02T00:00:00"/>
    <d v="1899-12-30T12:06:01"/>
    <s v="LIS"/>
    <x v="0"/>
    <x v="2"/>
    <x v="6"/>
    <x v="0"/>
  </r>
  <r>
    <s v="Duplicated Test Order for 30601606A received from host (LIS # 2101)."/>
    <x v="74"/>
    <x v="1"/>
    <d v="2016-11-02T00:00:00"/>
    <d v="1899-12-30T12:06:01"/>
    <s v="LIS"/>
    <x v="0"/>
    <x v="2"/>
    <x v="6"/>
    <x v="0"/>
  </r>
  <r>
    <s v="Duplicated Test Order for 30601626A received from host (LIS # 131)."/>
    <x v="74"/>
    <x v="1"/>
    <d v="2016-11-02T00:00:00"/>
    <d v="1899-12-30T12:06:01"/>
    <s v="LIS"/>
    <x v="0"/>
    <x v="2"/>
    <x v="6"/>
    <x v="0"/>
  </r>
  <r>
    <s v="Duplicated Test Order for 30601666A received from host (LIS # 131)."/>
    <x v="74"/>
    <x v="1"/>
    <d v="2016-11-02T00:00:00"/>
    <d v="1899-12-30T12:06:01"/>
    <s v="LIS"/>
    <x v="0"/>
    <x v="2"/>
    <x v="6"/>
    <x v="0"/>
  </r>
  <r>
    <s v="Duplicated Test Order for 30601676A received from host (LIS # 2101)."/>
    <x v="74"/>
    <x v="1"/>
    <d v="2016-11-02T00:00:00"/>
    <d v="1899-12-30T12:06:01"/>
    <s v="LIS"/>
    <x v="0"/>
    <x v="2"/>
    <x v="6"/>
    <x v="0"/>
  </r>
  <r>
    <s v="Duplicated Test Order for 30601773A received from host (LIS # 131)."/>
    <x v="74"/>
    <x v="1"/>
    <d v="2016-11-02T00:00:00"/>
    <d v="1899-12-30T12:06:02"/>
    <s v="LIS"/>
    <x v="0"/>
    <x v="2"/>
    <x v="6"/>
    <x v="0"/>
  </r>
  <r>
    <s v="Duplicated Test Order for 30601773A received from host (LIS # 921)."/>
    <x v="74"/>
    <x v="1"/>
    <d v="2016-11-02T00:00:00"/>
    <d v="1899-12-30T12:06:02"/>
    <s v="LIS"/>
    <x v="0"/>
    <x v="2"/>
    <x v="6"/>
    <x v="0"/>
  </r>
  <r>
    <s v="Duplicated Test Order for 30601773A received from host (LIS # 2011)."/>
    <x v="74"/>
    <x v="1"/>
    <d v="2016-11-02T00:00:00"/>
    <d v="1899-12-30T12:06:02"/>
    <s v="LIS"/>
    <x v="0"/>
    <x v="2"/>
    <x v="6"/>
    <x v="0"/>
  </r>
  <r>
    <s v="Duplicated Test Order for 30601803A received from host (LIS # 131)."/>
    <x v="74"/>
    <x v="1"/>
    <d v="2016-11-02T00:00:00"/>
    <d v="1899-12-30T12:06:03"/>
    <s v="LIS"/>
    <x v="0"/>
    <x v="2"/>
    <x v="6"/>
    <x v="0"/>
  </r>
  <r>
    <s v="Duplicated Test Order for 30601818A received from host (LIS # 2241)."/>
    <x v="74"/>
    <x v="1"/>
    <d v="2016-11-02T00:00:00"/>
    <d v="1899-12-30T12:06:03"/>
    <s v="LIS"/>
    <x v="0"/>
    <x v="2"/>
    <x v="6"/>
    <x v="0"/>
  </r>
  <r>
    <s v="Duplicated Test Order for 30601845A received from host (LIS # 921)."/>
    <x v="74"/>
    <x v="1"/>
    <d v="2016-11-02T00:00:00"/>
    <d v="1899-12-30T12:06:03"/>
    <s v="LIS"/>
    <x v="0"/>
    <x v="2"/>
    <x v="6"/>
    <x v="0"/>
  </r>
  <r>
    <s v="Duplicated Test Order for 30601874A received from host (LIS # 131)."/>
    <x v="74"/>
    <x v="1"/>
    <d v="2016-11-02T00:00:00"/>
    <d v="1899-12-30T12:06:03"/>
    <s v="LIS"/>
    <x v="0"/>
    <x v="2"/>
    <x v="6"/>
    <x v="0"/>
  </r>
  <r>
    <s v="Duplicated Test Order for 30601874A received from host (LIS # 921)."/>
    <x v="74"/>
    <x v="1"/>
    <d v="2016-11-02T00:00:00"/>
    <d v="1899-12-30T12:06:03"/>
    <s v="LIS"/>
    <x v="0"/>
    <x v="2"/>
    <x v="6"/>
    <x v="0"/>
  </r>
  <r>
    <s v="Duplicated Test Order for 30601882A received from host (LIS # 131)."/>
    <x v="74"/>
    <x v="1"/>
    <d v="2016-11-02T00:00:00"/>
    <d v="1899-12-30T12:06:03"/>
    <s v="LIS"/>
    <x v="0"/>
    <x v="2"/>
    <x v="6"/>
    <x v="0"/>
  </r>
  <r>
    <s v="Duplicated Test Order for 30601907A received from host (LIS # 131)."/>
    <x v="74"/>
    <x v="1"/>
    <d v="2016-11-02T00:00:00"/>
    <d v="1899-12-30T12:06:03"/>
    <s v="LIS"/>
    <x v="0"/>
    <x v="2"/>
    <x v="6"/>
    <x v="0"/>
  </r>
  <r>
    <s v="Duplicated Test Order for 30601913B received from host (LIS # 2241)."/>
    <x v="74"/>
    <x v="1"/>
    <d v="2016-11-02T00:00:00"/>
    <d v="1899-12-30T12:06:04"/>
    <s v="LIS"/>
    <x v="0"/>
    <x v="2"/>
    <x v="6"/>
    <x v="0"/>
  </r>
  <r>
    <s v="Duplicated Test Order for 30601919C received from host (LIS # 131)."/>
    <x v="74"/>
    <x v="1"/>
    <d v="2016-11-02T00:00:00"/>
    <d v="1899-12-30T12:06:04"/>
    <s v="LIS"/>
    <x v="0"/>
    <x v="2"/>
    <x v="6"/>
    <x v="0"/>
  </r>
  <r>
    <s v="Duplicated Test Order for 30601919C received from host (LIS # 921)."/>
    <x v="74"/>
    <x v="1"/>
    <d v="2016-11-02T00:00:00"/>
    <d v="1899-12-30T12:06:04"/>
    <s v="LIS"/>
    <x v="0"/>
    <x v="2"/>
    <x v="6"/>
    <x v="0"/>
  </r>
  <r>
    <s v="Duplicated Test Order for 30601960A received from host (LIS # 131)."/>
    <x v="74"/>
    <x v="1"/>
    <d v="2016-11-02T00:00:00"/>
    <d v="1899-12-30T12:06:04"/>
    <s v="LIS"/>
    <x v="0"/>
    <x v="2"/>
    <x v="6"/>
    <x v="0"/>
  </r>
  <r>
    <s v="Duplicated Test Order for 30601960A received from host (LIS # 921)."/>
    <x v="74"/>
    <x v="1"/>
    <d v="2016-11-02T00:00:00"/>
    <d v="1899-12-30T12:06:05"/>
    <s v="LIS"/>
    <x v="0"/>
    <x v="2"/>
    <x v="6"/>
    <x v="0"/>
  </r>
  <r>
    <s v="Duplicated Test Order for 30602082B received from host (LIS # 131)."/>
    <x v="74"/>
    <x v="1"/>
    <d v="2016-11-02T00:00:00"/>
    <d v="1899-12-30T12:06:05"/>
    <s v="LIS"/>
    <x v="0"/>
    <x v="2"/>
    <x v="6"/>
    <x v="0"/>
  </r>
  <r>
    <s v="Duplicated Test Order for 30602138A received from host (LIS # 131)."/>
    <x v="74"/>
    <x v="1"/>
    <d v="2016-11-02T00:00:00"/>
    <d v="1899-12-30T12:06:05"/>
    <s v="LIS"/>
    <x v="0"/>
    <x v="2"/>
    <x v="6"/>
    <x v="0"/>
  </r>
  <r>
    <s v="Duplicated Test Order for 30602138A received from host (LIS # 921)."/>
    <x v="74"/>
    <x v="1"/>
    <d v="2016-11-02T00:00:00"/>
    <d v="1899-12-30T12:06:05"/>
    <s v="LIS"/>
    <x v="0"/>
    <x v="2"/>
    <x v="6"/>
    <x v="0"/>
  </r>
  <r>
    <s v="Duplicated Test Order for 30602174C received from host (LIS # 131)."/>
    <x v="74"/>
    <x v="1"/>
    <d v="2016-11-02T00:00:00"/>
    <d v="1899-12-30T12:06:05"/>
    <s v="LIS"/>
    <x v="0"/>
    <x v="2"/>
    <x v="6"/>
    <x v="0"/>
  </r>
  <r>
    <s v="Duplicated Test Order for 30602174C received from host (LIS # 921)."/>
    <x v="74"/>
    <x v="1"/>
    <d v="2016-11-02T00:00:00"/>
    <d v="1899-12-30T12:06:06"/>
    <s v="LIS"/>
    <x v="0"/>
    <x v="2"/>
    <x v="6"/>
    <x v="0"/>
  </r>
  <r>
    <s v="Duplicated Test Order for 30602222C received from host (LIS # 131)."/>
    <x v="74"/>
    <x v="1"/>
    <d v="2016-11-02T00:00:00"/>
    <d v="1899-12-30T12:06:06"/>
    <s v="LIS"/>
    <x v="0"/>
    <x v="2"/>
    <x v="6"/>
    <x v="0"/>
  </r>
  <r>
    <s v="Duplicated Test Order for 30602225C received from host (LIS # 131)."/>
    <x v="74"/>
    <x v="1"/>
    <d v="2016-11-02T00:00:00"/>
    <d v="1899-12-30T12:06:06"/>
    <s v="LIS"/>
    <x v="0"/>
    <x v="2"/>
    <x v="6"/>
    <x v="0"/>
  </r>
  <r>
    <s v="Duplicated Test Order for 30602225C received from host (LIS # 921)."/>
    <x v="74"/>
    <x v="1"/>
    <d v="2016-11-02T00:00:00"/>
    <d v="1899-12-30T12:06:06"/>
    <s v="LIS"/>
    <x v="0"/>
    <x v="2"/>
    <x v="6"/>
    <x v="0"/>
  </r>
  <r>
    <s v="Duplicated Test Order for 30602233A received from host (LIS # 2101)."/>
    <x v="74"/>
    <x v="1"/>
    <d v="2016-11-02T00:00:00"/>
    <d v="1899-12-30T12:06:07"/>
    <s v="LIS"/>
    <x v="0"/>
    <x v="2"/>
    <x v="6"/>
    <x v="0"/>
  </r>
  <r>
    <s v="Duplicated Test Order for 30602249C received from host (LIS # 131)."/>
    <x v="74"/>
    <x v="1"/>
    <d v="2016-11-02T00:00:00"/>
    <d v="1899-12-30T12:06:07"/>
    <s v="LIS"/>
    <x v="0"/>
    <x v="2"/>
    <x v="6"/>
    <x v="0"/>
  </r>
  <r>
    <s v="Duplicated Test Order for 30602249C received from host (LIS # 921)."/>
    <x v="74"/>
    <x v="1"/>
    <d v="2016-11-02T00:00:00"/>
    <d v="1899-12-30T12:06:07"/>
    <s v="LIS"/>
    <x v="0"/>
    <x v="2"/>
    <x v="6"/>
    <x v="0"/>
  </r>
  <r>
    <s v="Duplicated Test Order for 30602251A received from host (LIS # 131)."/>
    <x v="74"/>
    <x v="1"/>
    <d v="2016-11-02T00:00:00"/>
    <d v="1899-12-30T12:06:07"/>
    <s v="LIS"/>
    <x v="0"/>
    <x v="2"/>
    <x v="6"/>
    <x v="0"/>
  </r>
  <r>
    <s v="Duplicated Test Order for 30602251A received from host (LIS # 921)."/>
    <x v="74"/>
    <x v="1"/>
    <d v="2016-11-02T00:00:00"/>
    <d v="1899-12-30T12:06:07"/>
    <s v="LIS"/>
    <x v="0"/>
    <x v="2"/>
    <x v="6"/>
    <x v="0"/>
  </r>
  <r>
    <s v="Duplicated Test Order for 30602286A received from host (LIS # 2011)."/>
    <x v="74"/>
    <x v="1"/>
    <d v="2016-11-02T00:00:00"/>
    <d v="1899-12-30T12:06:07"/>
    <s v="LIS"/>
    <x v="0"/>
    <x v="2"/>
    <x v="6"/>
    <x v="0"/>
  </r>
  <r>
    <s v="Duplicated Test Order for 30602312B received from host (LIS # 131)."/>
    <x v="74"/>
    <x v="1"/>
    <d v="2016-11-02T00:00:00"/>
    <d v="1899-12-30T12:06:07"/>
    <s v="LIS"/>
    <x v="0"/>
    <x v="2"/>
    <x v="6"/>
    <x v="0"/>
  </r>
  <r>
    <s v="Duplicated Test Order for 30602325B received from host (LIS # 131)."/>
    <x v="74"/>
    <x v="1"/>
    <d v="2016-11-02T00:00:00"/>
    <d v="1899-12-30T12:06:08"/>
    <s v="LIS"/>
    <x v="0"/>
    <x v="2"/>
    <x v="6"/>
    <x v="0"/>
  </r>
  <r>
    <s v="Duplicated Test Order for 30602325B received from host (LIS # 921)."/>
    <x v="74"/>
    <x v="1"/>
    <d v="2016-11-02T00:00:00"/>
    <d v="1899-12-30T12:06:08"/>
    <s v="LIS"/>
    <x v="0"/>
    <x v="2"/>
    <x v="6"/>
    <x v="0"/>
  </r>
  <r>
    <s v="Duplicated Test Order for 30602325B received from host (LIS # 2011)."/>
    <x v="74"/>
    <x v="1"/>
    <d v="2016-11-02T00:00:00"/>
    <d v="1899-12-30T12:06:08"/>
    <s v="LIS"/>
    <x v="0"/>
    <x v="2"/>
    <x v="6"/>
    <x v="0"/>
  </r>
  <r>
    <s v="Duplicated Test Order for 30602332A received from host (LIS # 921)."/>
    <x v="74"/>
    <x v="1"/>
    <d v="2016-11-02T00:00:00"/>
    <d v="1899-12-30T12:06:08"/>
    <s v="LIS"/>
    <x v="0"/>
    <x v="2"/>
    <x v="6"/>
    <x v="0"/>
  </r>
  <r>
    <s v="Duplicated Test Order for 30602345B received from host (LIS # 131)."/>
    <x v="74"/>
    <x v="1"/>
    <d v="2016-11-02T00:00:00"/>
    <d v="1899-12-30T12:06:09"/>
    <s v="LIS"/>
    <x v="0"/>
    <x v="2"/>
    <x v="6"/>
    <x v="0"/>
  </r>
  <r>
    <s v="Duplicated Test Order for 30602345B received from host (LIS # 921)."/>
    <x v="74"/>
    <x v="1"/>
    <d v="2016-11-02T00:00:00"/>
    <d v="1899-12-30T12:06:09"/>
    <s v="LIS"/>
    <x v="0"/>
    <x v="2"/>
    <x v="6"/>
    <x v="0"/>
  </r>
  <r>
    <s v="Duplicated Test Order for 30602363A received from host (LIS # 131)."/>
    <x v="74"/>
    <x v="1"/>
    <d v="2016-11-02T00:00:00"/>
    <d v="1899-12-30T12:06:09"/>
    <s v="LIS"/>
    <x v="0"/>
    <x v="2"/>
    <x v="6"/>
    <x v="0"/>
  </r>
  <r>
    <s v="Duplicated Test Order for 30602382A received from host (LIS # 921)."/>
    <x v="74"/>
    <x v="1"/>
    <d v="2016-11-02T00:00:00"/>
    <d v="1899-12-30T12:06:09"/>
    <s v="LIS"/>
    <x v="0"/>
    <x v="2"/>
    <x v="6"/>
    <x v="0"/>
  </r>
  <r>
    <s v="Duplicated Test Order for 30602414B received from host (LIS # 131)."/>
    <x v="74"/>
    <x v="1"/>
    <d v="2016-11-02T00:00:00"/>
    <d v="1899-12-30T12:06:09"/>
    <s v="LIS"/>
    <x v="0"/>
    <x v="2"/>
    <x v="6"/>
    <x v="0"/>
  </r>
  <r>
    <s v="Duplicated Test Order for 30602476A received from host (LIS # 2101)."/>
    <x v="74"/>
    <x v="1"/>
    <d v="2016-11-02T00:00:00"/>
    <d v="1899-12-30T12:06:10"/>
    <s v="LIS"/>
    <x v="0"/>
    <x v="2"/>
    <x v="6"/>
    <x v="0"/>
  </r>
  <r>
    <s v="Duplicated Test Order for 30602498A received from host (LIS # 131)."/>
    <x v="74"/>
    <x v="1"/>
    <d v="2016-11-02T00:00:00"/>
    <d v="1899-12-30T12:06:10"/>
    <s v="LIS"/>
    <x v="0"/>
    <x v="2"/>
    <x v="6"/>
    <x v="0"/>
  </r>
  <r>
    <s v="Duplicated Test Order for 30602518A received from host (LIS # 131)."/>
    <x v="74"/>
    <x v="1"/>
    <d v="2016-11-02T00:00:00"/>
    <d v="1899-12-30T12:06:10"/>
    <s v="LIS"/>
    <x v="0"/>
    <x v="2"/>
    <x v="6"/>
    <x v="0"/>
  </r>
  <r>
    <s v="Duplicated Test Order for 30602520B received from host (LIS # 131)."/>
    <x v="74"/>
    <x v="1"/>
    <d v="2016-11-02T00:00:00"/>
    <d v="1899-12-30T12:06:10"/>
    <s v="LIS"/>
    <x v="0"/>
    <x v="2"/>
    <x v="6"/>
    <x v="0"/>
  </r>
  <r>
    <s v="Duplicated Test Order for 30602538B received from host (LIS # 131)."/>
    <x v="74"/>
    <x v="1"/>
    <d v="2016-11-02T00:00:00"/>
    <d v="1899-12-30T12:06:10"/>
    <s v="LIS"/>
    <x v="0"/>
    <x v="2"/>
    <x v="6"/>
    <x v="0"/>
  </r>
  <r>
    <s v="Duplicated Test Order for 30602555C received from host (LIS # 131)."/>
    <x v="74"/>
    <x v="1"/>
    <d v="2016-11-02T00:00:00"/>
    <d v="1899-12-30T12:06:10"/>
    <s v="LIS"/>
    <x v="0"/>
    <x v="2"/>
    <x v="6"/>
    <x v="0"/>
  </r>
  <r>
    <s v="Duplicated Test Order for 30602555C received from host (LIS # 2011)."/>
    <x v="74"/>
    <x v="1"/>
    <d v="2016-11-02T00:00:00"/>
    <d v="1899-12-30T12:06:11"/>
    <s v="LIS"/>
    <x v="0"/>
    <x v="2"/>
    <x v="6"/>
    <x v="0"/>
  </r>
  <r>
    <s v="Duplicated Test Order for 30602558A received from host (LIS # 2101)."/>
    <x v="74"/>
    <x v="1"/>
    <d v="2016-11-02T00:00:00"/>
    <d v="1899-12-30T12:06:11"/>
    <s v="LIS"/>
    <x v="0"/>
    <x v="2"/>
    <x v="6"/>
    <x v="0"/>
  </r>
  <r>
    <s v="Duplicated Test Order for 30602577A received from host (LIS # 131)."/>
    <x v="74"/>
    <x v="1"/>
    <d v="2016-11-02T00:00:00"/>
    <d v="1899-12-30T12:06:11"/>
    <s v="LIS"/>
    <x v="0"/>
    <x v="2"/>
    <x v="6"/>
    <x v="0"/>
  </r>
  <r>
    <s v="Duplicated Test Order for 30602589A received from host (LIS # 131)."/>
    <x v="74"/>
    <x v="1"/>
    <d v="2016-11-02T00:00:00"/>
    <d v="1899-12-30T12:06:11"/>
    <s v="LIS"/>
    <x v="0"/>
    <x v="2"/>
    <x v="6"/>
    <x v="0"/>
  </r>
  <r>
    <s v="Duplicated Test Order for 30602590A received from host (LIS # 131)."/>
    <x v="74"/>
    <x v="1"/>
    <d v="2016-11-02T00:00:00"/>
    <d v="1899-12-30T12:06:11"/>
    <s v="LIS"/>
    <x v="0"/>
    <x v="2"/>
    <x v="6"/>
    <x v="0"/>
  </r>
  <r>
    <s v="Duplicated Test Order for 30602591B received from host (LIS # 131)."/>
    <x v="74"/>
    <x v="1"/>
    <d v="2016-11-02T00:00:00"/>
    <d v="1899-12-30T12:06:11"/>
    <s v="LIS"/>
    <x v="0"/>
    <x v="2"/>
    <x v="6"/>
    <x v="0"/>
  </r>
  <r>
    <s v="Duplicated Test Order for 30602650C received from host (LIS # 131)."/>
    <x v="74"/>
    <x v="1"/>
    <d v="2016-11-02T00:00:00"/>
    <d v="1899-12-30T12:06:12"/>
    <s v="LIS"/>
    <x v="0"/>
    <x v="2"/>
    <x v="6"/>
    <x v="0"/>
  </r>
  <r>
    <s v="Duplicated Test Order for 30602650C received from host (LIS # 921)."/>
    <x v="74"/>
    <x v="1"/>
    <d v="2016-11-02T00:00:00"/>
    <d v="1899-12-30T12:06:12"/>
    <s v="LIS"/>
    <x v="0"/>
    <x v="2"/>
    <x v="6"/>
    <x v="0"/>
  </r>
  <r>
    <s v="Duplicated Test Order for 30602685A received from host (LIS # 2101)."/>
    <x v="74"/>
    <x v="1"/>
    <d v="2016-11-02T00:00:00"/>
    <d v="1899-12-30T12:06:12"/>
    <s v="LIS"/>
    <x v="0"/>
    <x v="2"/>
    <x v="6"/>
    <x v="0"/>
  </r>
  <r>
    <s v="Duplicated Test Order for 30602690A received from host (LIS # 131)."/>
    <x v="74"/>
    <x v="1"/>
    <d v="2016-11-02T00:00:00"/>
    <d v="1899-12-30T12:06:12"/>
    <s v="LIS"/>
    <x v="0"/>
    <x v="2"/>
    <x v="6"/>
    <x v="0"/>
  </r>
  <r>
    <s v="Duplicated Test Order for 30602694C received from host (LIS # 131)."/>
    <x v="74"/>
    <x v="1"/>
    <d v="2016-11-02T00:00:00"/>
    <d v="1899-12-30T12:06:12"/>
    <s v="LIS"/>
    <x v="0"/>
    <x v="2"/>
    <x v="6"/>
    <x v="0"/>
  </r>
  <r>
    <s v="Duplicated Test Order for 30602694C received from host (LIS # 921)."/>
    <x v="74"/>
    <x v="1"/>
    <d v="2016-11-02T00:00:00"/>
    <d v="1899-12-30T12:06:13"/>
    <s v="LIS"/>
    <x v="0"/>
    <x v="2"/>
    <x v="6"/>
    <x v="0"/>
  </r>
  <r>
    <s v="Duplicated Test Order for 30602750A received from host (LIS # 131)."/>
    <x v="74"/>
    <x v="1"/>
    <d v="2016-11-02T00:00:00"/>
    <d v="1899-12-30T12:06:13"/>
    <s v="LIS"/>
    <x v="0"/>
    <x v="2"/>
    <x v="6"/>
    <x v="0"/>
  </r>
  <r>
    <s v="Duplicated Test Order for 30602750A received from host (LIS # 921)."/>
    <x v="74"/>
    <x v="1"/>
    <d v="2016-11-02T00:00:00"/>
    <d v="1899-12-30T12:06:14"/>
    <s v="LIS"/>
    <x v="0"/>
    <x v="2"/>
    <x v="6"/>
    <x v="0"/>
  </r>
  <r>
    <s v="Duplicated Test Order for 30602750A received from host (LIS # 2011)."/>
    <x v="74"/>
    <x v="1"/>
    <d v="2016-11-02T00:00:00"/>
    <d v="1899-12-30T12:06:14"/>
    <s v="LIS"/>
    <x v="0"/>
    <x v="2"/>
    <x v="6"/>
    <x v="0"/>
  </r>
  <r>
    <s v="Duplicated Test Order for 30602778B received from host (LIS # 131)."/>
    <x v="74"/>
    <x v="1"/>
    <d v="2016-11-02T00:00:00"/>
    <d v="1899-12-30T12:06:14"/>
    <s v="LIS"/>
    <x v="0"/>
    <x v="2"/>
    <x v="6"/>
    <x v="0"/>
  </r>
  <r>
    <s v="Duplicated Test Order for 30602820C received from host (LIS # 131)."/>
    <x v="74"/>
    <x v="1"/>
    <d v="2016-11-02T00:00:00"/>
    <d v="1899-12-30T12:06:15"/>
    <s v="LIS"/>
    <x v="0"/>
    <x v="2"/>
    <x v="6"/>
    <x v="0"/>
  </r>
  <r>
    <s v="Duplicated Test Order for 30602820C received from host (LIS # 921)."/>
    <x v="74"/>
    <x v="1"/>
    <d v="2016-11-02T00:00:00"/>
    <d v="1899-12-30T12:06:15"/>
    <s v="LIS"/>
    <x v="0"/>
    <x v="2"/>
    <x v="6"/>
    <x v="0"/>
  </r>
  <r>
    <s v="Duplicated Test Order for 30602822C received from host (LIS # 131)."/>
    <x v="74"/>
    <x v="1"/>
    <d v="2016-11-02T00:00:00"/>
    <d v="1899-12-30T12:06:15"/>
    <s v="LIS"/>
    <x v="0"/>
    <x v="2"/>
    <x v="6"/>
    <x v="0"/>
  </r>
  <r>
    <s v="Duplicated Test Order for 30602822C received from host (LIS # 921)."/>
    <x v="74"/>
    <x v="1"/>
    <d v="2016-11-02T00:00:00"/>
    <d v="1899-12-30T12:06:15"/>
    <s v="LIS"/>
    <x v="0"/>
    <x v="2"/>
    <x v="6"/>
    <x v="0"/>
  </r>
  <r>
    <s v="Duplicated Test Order for 30602850D received from host (LIS # 131)."/>
    <x v="74"/>
    <x v="1"/>
    <d v="2016-11-02T00:00:00"/>
    <d v="1899-12-30T12:06:15"/>
    <s v="LIS"/>
    <x v="0"/>
    <x v="2"/>
    <x v="6"/>
    <x v="0"/>
  </r>
  <r>
    <s v="Duplicated Test Order for 30602850D received from host (LIS # 921)."/>
    <x v="74"/>
    <x v="1"/>
    <d v="2016-11-02T00:00:00"/>
    <d v="1899-12-30T12:06:15"/>
    <s v="LIS"/>
    <x v="0"/>
    <x v="2"/>
    <x v="6"/>
    <x v="0"/>
  </r>
  <r>
    <s v="Duplicated Test Order for 30602853B received from host (LIS # 131)."/>
    <x v="74"/>
    <x v="1"/>
    <d v="2016-11-02T00:00:00"/>
    <d v="1899-12-30T12:06:16"/>
    <s v="LIS"/>
    <x v="0"/>
    <x v="2"/>
    <x v="6"/>
    <x v="0"/>
  </r>
  <r>
    <s v="Duplicated Test Order for 30602865A received from host (LIS # 131)."/>
    <x v="74"/>
    <x v="1"/>
    <d v="2016-11-02T00:00:00"/>
    <d v="1899-12-30T12:06:16"/>
    <s v="LIS"/>
    <x v="0"/>
    <x v="2"/>
    <x v="6"/>
    <x v="0"/>
  </r>
  <r>
    <s v="Duplicated Test Order for 30602890C received from host (LIS # 131)."/>
    <x v="74"/>
    <x v="1"/>
    <d v="2016-11-02T00:00:00"/>
    <d v="1899-12-30T12:06:16"/>
    <s v="LIS"/>
    <x v="0"/>
    <x v="2"/>
    <x v="6"/>
    <x v="0"/>
  </r>
  <r>
    <s v="Duplicated Test Order for 30602931A received from host (LIS # 2101)."/>
    <x v="74"/>
    <x v="1"/>
    <d v="2016-11-02T00:00:00"/>
    <d v="1899-12-30T12:06:16"/>
    <s v="LIS"/>
    <x v="0"/>
    <x v="2"/>
    <x v="6"/>
    <x v="0"/>
  </r>
  <r>
    <s v="Duplicated Test Order for 30602941C received from host (LIS # 2241)."/>
    <x v="74"/>
    <x v="1"/>
    <d v="2016-11-02T00:00:00"/>
    <d v="1899-12-30T12:06:16"/>
    <s v="LIS"/>
    <x v="0"/>
    <x v="2"/>
    <x v="6"/>
    <x v="0"/>
  </r>
  <r>
    <s v="Duplicated Test Order for 30602962A received from host (LIS # 2241)."/>
    <x v="74"/>
    <x v="1"/>
    <d v="2016-11-02T00:00:00"/>
    <d v="1899-12-30T12:06:16"/>
    <s v="LIS"/>
    <x v="0"/>
    <x v="2"/>
    <x v="6"/>
    <x v="0"/>
  </r>
  <r>
    <s v="Duplicated Test Order for 30602964A received from host (LIS # 2241)."/>
    <x v="74"/>
    <x v="1"/>
    <d v="2016-11-02T00:00:00"/>
    <d v="1899-12-30T12:06:16"/>
    <s v="LIS"/>
    <x v="0"/>
    <x v="2"/>
    <x v="6"/>
    <x v="0"/>
  </r>
  <r>
    <s v="Duplicated Test Order for 30602977C received from host (LIS # 131)."/>
    <x v="74"/>
    <x v="1"/>
    <d v="2016-11-02T00:00:00"/>
    <d v="1899-12-30T12:06:17"/>
    <s v="LIS"/>
    <x v="0"/>
    <x v="2"/>
    <x v="6"/>
    <x v="0"/>
  </r>
  <r>
    <s v="Duplicated Test Order for 30602977C received from host (LIS # 921)."/>
    <x v="74"/>
    <x v="1"/>
    <d v="2016-11-02T00:00:00"/>
    <d v="1899-12-30T12:06:17"/>
    <s v="LIS"/>
    <x v="0"/>
    <x v="2"/>
    <x v="6"/>
    <x v="0"/>
  </r>
  <r>
    <s v="Duplicated Test Order for 30602977C received from host (LIS # 2011)."/>
    <x v="74"/>
    <x v="1"/>
    <d v="2016-11-02T00:00:00"/>
    <d v="1899-12-30T12:06:18"/>
    <s v="LIS"/>
    <x v="0"/>
    <x v="2"/>
    <x v="6"/>
    <x v="0"/>
  </r>
  <r>
    <s v="Duplicated Test Order for 30602990A received from host (LIS # 131)."/>
    <x v="74"/>
    <x v="1"/>
    <d v="2016-11-02T00:00:00"/>
    <d v="1899-12-30T12:06:18"/>
    <s v="LIS"/>
    <x v="0"/>
    <x v="2"/>
    <x v="6"/>
    <x v="0"/>
  </r>
  <r>
    <s v="Duplicated Test Order for 30603019A received from host (LIS # 131)."/>
    <x v="74"/>
    <x v="1"/>
    <d v="2016-11-02T00:00:00"/>
    <d v="1899-12-30T12:06:18"/>
    <s v="LIS"/>
    <x v="0"/>
    <x v="2"/>
    <x v="6"/>
    <x v="0"/>
  </r>
  <r>
    <s v="Duplicated Test Order for 30603022A received from host (LIS # 131)."/>
    <x v="74"/>
    <x v="1"/>
    <d v="2016-11-02T00:00:00"/>
    <d v="1899-12-30T12:06:18"/>
    <s v="LIS"/>
    <x v="0"/>
    <x v="2"/>
    <x v="6"/>
    <x v="0"/>
  </r>
  <r>
    <s v="Duplicated Test Order for 30603022A received from host (LIS # 921)."/>
    <x v="74"/>
    <x v="1"/>
    <d v="2016-11-02T00:00:00"/>
    <d v="1899-12-30T12:06:19"/>
    <s v="LIS"/>
    <x v="0"/>
    <x v="2"/>
    <x v="6"/>
    <x v="0"/>
  </r>
  <r>
    <s v="Duplicated Test Order for 30603022A received from host (LIS # 2011)."/>
    <x v="74"/>
    <x v="1"/>
    <d v="2016-11-02T00:00:00"/>
    <d v="1899-12-30T12:06:19"/>
    <s v="LIS"/>
    <x v="0"/>
    <x v="2"/>
    <x v="6"/>
    <x v="0"/>
  </r>
  <r>
    <s v="Duplicated Test Order for 30603032A received from host (LIS # 2011)."/>
    <x v="74"/>
    <x v="1"/>
    <d v="2016-11-02T00:00:00"/>
    <d v="1899-12-30T12:06:19"/>
    <s v="LIS"/>
    <x v="0"/>
    <x v="2"/>
    <x v="6"/>
    <x v="0"/>
  </r>
  <r>
    <s v="Duplicated Test Order for 30603032A received from host (LIS # 2241)."/>
    <x v="74"/>
    <x v="1"/>
    <d v="2016-11-02T00:00:00"/>
    <d v="1899-12-30T12:06:19"/>
    <s v="LIS"/>
    <x v="0"/>
    <x v="2"/>
    <x v="6"/>
    <x v="0"/>
  </r>
  <r>
    <s v="Duplicated Test Order for 30700006A received from host (LIS # 131)."/>
    <x v="74"/>
    <x v="1"/>
    <d v="2016-11-02T00:00:00"/>
    <d v="1899-12-30T12:06:19"/>
    <s v="LIS"/>
    <x v="0"/>
    <x v="2"/>
    <x v="6"/>
    <x v="0"/>
  </r>
  <r>
    <s v="Duplicated Test Order for 30700021A received from host (LIS # 921)."/>
    <x v="74"/>
    <x v="1"/>
    <d v="2016-11-02T00:00:00"/>
    <d v="1899-12-30T12:06:20"/>
    <s v="LIS"/>
    <x v="0"/>
    <x v="2"/>
    <x v="6"/>
    <x v="0"/>
  </r>
  <r>
    <s v="Duplicated Test Order for 30700038B received from host (LIS # 131)."/>
    <x v="74"/>
    <x v="1"/>
    <d v="2016-11-02T00:00:00"/>
    <d v="1899-12-30T12:06:20"/>
    <s v="LIS"/>
    <x v="0"/>
    <x v="2"/>
    <x v="6"/>
    <x v="0"/>
  </r>
  <r>
    <s v="Duplicated Test Order for 30700065A received from host (LIS # 131)."/>
    <x v="74"/>
    <x v="1"/>
    <d v="2016-11-02T00:00:00"/>
    <d v="1899-12-30T12:06:20"/>
    <s v="LIS"/>
    <x v="0"/>
    <x v="2"/>
    <x v="6"/>
    <x v="0"/>
  </r>
  <r>
    <s v="Duplicated Test Order for 30700073A received from host (LIS # 2101)."/>
    <x v="74"/>
    <x v="1"/>
    <d v="2016-11-02T00:00:00"/>
    <d v="1899-12-30T12:06:20"/>
    <s v="LIS"/>
    <x v="0"/>
    <x v="2"/>
    <x v="6"/>
    <x v="0"/>
  </r>
  <r>
    <s v="Duplicated Test Order for 30700083A received from host (LIS # 131)."/>
    <x v="74"/>
    <x v="1"/>
    <d v="2016-11-02T00:00:00"/>
    <d v="1899-12-30T12:06:20"/>
    <s v="LIS"/>
    <x v="0"/>
    <x v="2"/>
    <x v="6"/>
    <x v="0"/>
  </r>
  <r>
    <s v="Duplicated Test Order for 30700083A received from host (LIS # 921)."/>
    <x v="74"/>
    <x v="1"/>
    <d v="2016-11-02T00:00:00"/>
    <d v="1899-12-30T12:06:21"/>
    <s v="LIS"/>
    <x v="0"/>
    <x v="2"/>
    <x v="6"/>
    <x v="0"/>
  </r>
  <r>
    <s v="Duplicated Test Order for 30700083A received from host (LIS # 2011)."/>
    <x v="74"/>
    <x v="1"/>
    <d v="2016-11-02T00:00:00"/>
    <d v="1899-12-30T12:06:21"/>
    <s v="LIS"/>
    <x v="0"/>
    <x v="2"/>
    <x v="6"/>
    <x v="0"/>
  </r>
  <r>
    <s v="Duplicated Test Order for 30700094A received from host (LIS # 131)."/>
    <x v="74"/>
    <x v="1"/>
    <d v="2016-11-02T00:00:00"/>
    <d v="1899-12-30T12:06:22"/>
    <s v="LIS"/>
    <x v="0"/>
    <x v="2"/>
    <x v="6"/>
    <x v="0"/>
  </r>
  <r>
    <s v="Duplicated Test Order for 30700094A received from host (LIS # 921)."/>
    <x v="74"/>
    <x v="1"/>
    <d v="2016-11-02T00:00:00"/>
    <d v="1899-12-30T12:06:22"/>
    <s v="LIS"/>
    <x v="0"/>
    <x v="2"/>
    <x v="6"/>
    <x v="0"/>
  </r>
  <r>
    <s v="Duplicated Test Order for 30700094A received from host (LIS # 2011)."/>
    <x v="74"/>
    <x v="1"/>
    <d v="2016-11-02T00:00:00"/>
    <d v="1899-12-30T12:06:22"/>
    <s v="LIS"/>
    <x v="0"/>
    <x v="2"/>
    <x v="6"/>
    <x v="0"/>
  </r>
  <r>
    <s v="Duplicated Test Order for 30700122A received from host (LIS # 131)."/>
    <x v="74"/>
    <x v="1"/>
    <d v="2016-11-02T00:00:00"/>
    <d v="1899-12-30T12:06:22"/>
    <s v="LIS"/>
    <x v="0"/>
    <x v="2"/>
    <x v="6"/>
    <x v="0"/>
  </r>
  <r>
    <s v="Duplicated Test Order for 30700134A received from host (LIS # 131)."/>
    <x v="74"/>
    <x v="1"/>
    <d v="2016-11-02T00:00:00"/>
    <d v="1899-12-30T12:06:23"/>
    <s v="LIS"/>
    <x v="0"/>
    <x v="2"/>
    <x v="6"/>
    <x v="0"/>
  </r>
  <r>
    <s v="Duplicated Test Order for 30700134A received from host (LIS # 2011)."/>
    <x v="74"/>
    <x v="1"/>
    <d v="2016-11-02T00:00:00"/>
    <d v="1899-12-30T12:06:23"/>
    <s v="LIS"/>
    <x v="0"/>
    <x v="2"/>
    <x v="6"/>
    <x v="0"/>
  </r>
  <r>
    <s v="Duplicated Test Order for 30700142A received from host (LIS # 2241)."/>
    <x v="74"/>
    <x v="1"/>
    <d v="2016-11-02T00:00:00"/>
    <d v="1899-12-30T12:06:23"/>
    <s v="LIS"/>
    <x v="0"/>
    <x v="2"/>
    <x v="6"/>
    <x v="0"/>
  </r>
  <r>
    <s v="Duplicated Test Order for 30700145C received from host (LIS # 131)."/>
    <x v="74"/>
    <x v="1"/>
    <d v="2016-11-02T00:00:00"/>
    <d v="1899-12-30T12:06:23"/>
    <s v="LIS"/>
    <x v="0"/>
    <x v="2"/>
    <x v="6"/>
    <x v="0"/>
  </r>
  <r>
    <s v="Duplicated Test Order for 30700145C received from host (LIS # 2011)."/>
    <x v="74"/>
    <x v="1"/>
    <d v="2016-11-02T00:00:00"/>
    <d v="1899-12-30T12:06:24"/>
    <s v="LIS"/>
    <x v="0"/>
    <x v="2"/>
    <x v="6"/>
    <x v="0"/>
  </r>
  <r>
    <s v="Duplicated Test Order for 30700149B received from host (LIS # 131)."/>
    <x v="74"/>
    <x v="1"/>
    <d v="2016-11-02T00:00:00"/>
    <d v="1899-12-30T12:06:24"/>
    <s v="LIS"/>
    <x v="0"/>
    <x v="2"/>
    <x v="6"/>
    <x v="0"/>
  </r>
  <r>
    <s v="Duplicated Test Order for 30700149B received from host (LIS # 2011)."/>
    <x v="74"/>
    <x v="1"/>
    <d v="2016-11-02T00:00:00"/>
    <d v="1899-12-30T12:06:24"/>
    <s v="LIS"/>
    <x v="0"/>
    <x v="2"/>
    <x v="6"/>
    <x v="0"/>
  </r>
  <r>
    <s v="Duplicated Test Order for 30700161B received from host (LIS # 131)."/>
    <x v="74"/>
    <x v="1"/>
    <d v="2016-11-02T00:00:00"/>
    <d v="1899-12-30T12:06:24"/>
    <s v="LIS"/>
    <x v="0"/>
    <x v="2"/>
    <x v="6"/>
    <x v="0"/>
  </r>
  <r>
    <s v="Duplicated Test Order for 30700161B received from host (LIS # 2011)."/>
    <x v="74"/>
    <x v="1"/>
    <d v="2016-11-02T00:00:00"/>
    <d v="1899-12-30T12:06:25"/>
    <s v="LIS"/>
    <x v="0"/>
    <x v="2"/>
    <x v="6"/>
    <x v="0"/>
  </r>
  <r>
    <s v="Duplicated Test Order for 30700172C received from host (LIS # 131)."/>
    <x v="74"/>
    <x v="1"/>
    <d v="2016-11-02T00:00:00"/>
    <d v="1899-12-30T12:06:25"/>
    <s v="LIS"/>
    <x v="0"/>
    <x v="2"/>
    <x v="6"/>
    <x v="0"/>
  </r>
  <r>
    <s v="Duplicated Test Order for 30700172C received from host (LIS # 2011)."/>
    <x v="74"/>
    <x v="1"/>
    <d v="2016-11-02T00:00:00"/>
    <d v="1899-12-30T12:06:25"/>
    <s v="LIS"/>
    <x v="0"/>
    <x v="2"/>
    <x v="6"/>
    <x v="0"/>
  </r>
  <r>
    <s v="Duplicated Test Order for 30700191B received from host (LIS # 131)."/>
    <x v="74"/>
    <x v="1"/>
    <d v="2016-11-02T00:00:00"/>
    <d v="1899-12-30T12:06:26"/>
    <s v="LIS"/>
    <x v="0"/>
    <x v="2"/>
    <x v="6"/>
    <x v="0"/>
  </r>
  <r>
    <s v="Duplicated Test Order for 30700198A received from host (LIS # 131)."/>
    <x v="74"/>
    <x v="1"/>
    <d v="2016-11-02T00:00:00"/>
    <d v="1899-12-30T12:06:26"/>
    <s v="LIS"/>
    <x v="0"/>
    <x v="2"/>
    <x v="6"/>
    <x v="0"/>
  </r>
  <r>
    <s v="Duplicated Test Order for 30700198A received from host (LIS # 2101)."/>
    <x v="74"/>
    <x v="1"/>
    <d v="2016-11-02T00:00:00"/>
    <d v="1899-12-30T12:06:26"/>
    <s v="LIS"/>
    <x v="0"/>
    <x v="2"/>
    <x v="6"/>
    <x v="0"/>
  </r>
  <r>
    <s v="Duplicated Test Order for 30700200A received from host (LIS # 131)."/>
    <x v="74"/>
    <x v="1"/>
    <d v="2016-11-02T00:00:00"/>
    <d v="1899-12-30T12:06:26"/>
    <s v="LIS"/>
    <x v="0"/>
    <x v="2"/>
    <x v="6"/>
    <x v="0"/>
  </r>
  <r>
    <s v="Duplicated Test Order for 30700201C received from host (LIS # 131)."/>
    <x v="74"/>
    <x v="1"/>
    <d v="2016-11-02T00:00:00"/>
    <d v="1899-12-30T12:06:26"/>
    <s v="LIS"/>
    <x v="0"/>
    <x v="2"/>
    <x v="6"/>
    <x v="0"/>
  </r>
  <r>
    <s v="Duplicated Test Order for 30700202C received from host (LIS # 131)."/>
    <x v="74"/>
    <x v="1"/>
    <d v="2016-11-02T00:00:00"/>
    <d v="1899-12-30T12:06:27"/>
    <s v="LIS"/>
    <x v="0"/>
    <x v="2"/>
    <x v="6"/>
    <x v="0"/>
  </r>
  <r>
    <s v="Duplicated Test Order for 30700214A received from host (LIS # 131)."/>
    <x v="74"/>
    <x v="1"/>
    <d v="2016-11-02T00:00:00"/>
    <d v="1899-12-30T12:06:27"/>
    <s v="LIS"/>
    <x v="0"/>
    <x v="2"/>
    <x v="6"/>
    <x v="0"/>
  </r>
  <r>
    <s v="Duplicated Test Order for 30700216C received from host (LIS # 131)."/>
    <x v="74"/>
    <x v="1"/>
    <d v="2016-11-02T00:00:00"/>
    <d v="1899-12-30T12:06:27"/>
    <s v="LIS"/>
    <x v="0"/>
    <x v="2"/>
    <x v="6"/>
    <x v="0"/>
  </r>
  <r>
    <s v="Duplicated Test Order for 30700218B received from host (LIS # 131)."/>
    <x v="74"/>
    <x v="1"/>
    <d v="2016-11-02T00:00:00"/>
    <d v="1899-12-30T12:06:27"/>
    <s v="LIS"/>
    <x v="0"/>
    <x v="2"/>
    <x v="6"/>
    <x v="0"/>
  </r>
  <r>
    <s v="Duplicated Test Order for 30700223A received from host (LIS # 131)."/>
    <x v="74"/>
    <x v="1"/>
    <d v="2016-11-02T00:00:00"/>
    <d v="1899-12-30T12:06:27"/>
    <s v="LIS"/>
    <x v="0"/>
    <x v="2"/>
    <x v="6"/>
    <x v="0"/>
  </r>
  <r>
    <s v="Duplicated Test Order for 30700226A received from host (LIS # 131)."/>
    <x v="74"/>
    <x v="1"/>
    <d v="2016-11-02T00:00:00"/>
    <d v="1899-12-30T12:06:27"/>
    <s v="LIS"/>
    <x v="0"/>
    <x v="2"/>
    <x v="6"/>
    <x v="0"/>
  </r>
  <r>
    <s v="Duplicated Test Order for 30700227C received from host (LIS # 131)."/>
    <x v="74"/>
    <x v="1"/>
    <d v="2016-11-02T00:00:00"/>
    <d v="1899-12-30T12:06:28"/>
    <s v="LIS"/>
    <x v="0"/>
    <x v="2"/>
    <x v="6"/>
    <x v="0"/>
  </r>
  <r>
    <s v="Duplicated Test Order for 30700229C received from host (LIS # 131)."/>
    <x v="74"/>
    <x v="1"/>
    <d v="2016-11-02T00:00:00"/>
    <d v="1899-12-30T12:06:28"/>
    <s v="LIS"/>
    <x v="0"/>
    <x v="2"/>
    <x v="6"/>
    <x v="0"/>
  </r>
  <r>
    <s v="Duplicated Test Order for 30700235C received from host (LIS # 131)."/>
    <x v="74"/>
    <x v="1"/>
    <d v="2016-11-02T00:00:00"/>
    <d v="1899-12-30T12:06:28"/>
    <s v="LIS"/>
    <x v="0"/>
    <x v="2"/>
    <x v="6"/>
    <x v="0"/>
  </r>
  <r>
    <s v="Duplicated Test Order for 30700236C received from host (LIS # 131)."/>
    <x v="74"/>
    <x v="1"/>
    <d v="2016-11-02T00:00:00"/>
    <d v="1899-12-30T12:06:28"/>
    <s v="LIS"/>
    <x v="0"/>
    <x v="2"/>
    <x v="6"/>
    <x v="0"/>
  </r>
  <r>
    <s v="Duplicated Test Order for 30700240A received from host (LIS # 131)."/>
    <x v="74"/>
    <x v="1"/>
    <d v="2016-11-02T00:00:00"/>
    <d v="1899-12-30T12:06:28"/>
    <s v="LIS"/>
    <x v="0"/>
    <x v="2"/>
    <x v="6"/>
    <x v="0"/>
  </r>
  <r>
    <s v="Duplicated Test Order for 30700242A received from host (LIS # 131)."/>
    <x v="74"/>
    <x v="1"/>
    <d v="2016-11-02T00:00:00"/>
    <d v="1899-12-30T12:06:28"/>
    <s v="LIS"/>
    <x v="0"/>
    <x v="2"/>
    <x v="6"/>
    <x v="0"/>
  </r>
  <r>
    <s v="Duplicated Test Order for 30700245B received from host (LIS # 131)."/>
    <x v="74"/>
    <x v="1"/>
    <d v="2016-11-02T00:00:00"/>
    <d v="1899-12-30T12:06:28"/>
    <s v="LIS"/>
    <x v="0"/>
    <x v="2"/>
    <x v="6"/>
    <x v="0"/>
  </r>
  <r>
    <s v="Duplicated Test Order for 30700260B received from host (LIS # 131)."/>
    <x v="74"/>
    <x v="1"/>
    <d v="2016-11-02T00:00:00"/>
    <d v="1899-12-30T12:06:29"/>
    <s v="LIS"/>
    <x v="0"/>
    <x v="2"/>
    <x v="6"/>
    <x v="0"/>
  </r>
  <r>
    <s v="Duplicated Test Order for 30700260B received from host (LIS # 2011)."/>
    <x v="74"/>
    <x v="1"/>
    <d v="2016-11-02T00:00:00"/>
    <d v="1899-12-30T12:06:29"/>
    <s v="LIS"/>
    <x v="0"/>
    <x v="2"/>
    <x v="6"/>
    <x v="0"/>
  </r>
  <r>
    <s v="Duplicated Test Order for 30700260B received from host (LIS # 2241)."/>
    <x v="74"/>
    <x v="1"/>
    <d v="2016-11-02T00:00:00"/>
    <d v="1899-12-30T12:06:29"/>
    <s v="LIS"/>
    <x v="0"/>
    <x v="2"/>
    <x v="6"/>
    <x v="0"/>
  </r>
  <r>
    <s v="Duplicated Test Order for 30700271C received from host (LIS # 131)."/>
    <x v="74"/>
    <x v="1"/>
    <d v="2016-11-02T00:00:00"/>
    <d v="1899-12-30T12:06:29"/>
    <s v="LIS"/>
    <x v="0"/>
    <x v="2"/>
    <x v="6"/>
    <x v="0"/>
  </r>
  <r>
    <s v="Duplicated Test Order for 30700274A received from host (LIS # 131)."/>
    <x v="74"/>
    <x v="1"/>
    <d v="2016-11-02T00:00:00"/>
    <d v="1899-12-30T12:06:30"/>
    <s v="LIS"/>
    <x v="0"/>
    <x v="2"/>
    <x v="6"/>
    <x v="0"/>
  </r>
  <r>
    <s v="Duplicated Test Order for 30700277C received from host (LIS # 131)."/>
    <x v="74"/>
    <x v="1"/>
    <d v="2016-11-02T00:00:00"/>
    <d v="1899-12-30T12:06:30"/>
    <s v="LIS"/>
    <x v="0"/>
    <x v="2"/>
    <x v="6"/>
    <x v="0"/>
  </r>
  <r>
    <s v="Duplicated Test Order for 30700289C received from host (LIS # 2101)."/>
    <x v="74"/>
    <x v="1"/>
    <d v="2016-11-02T00:00:00"/>
    <d v="1899-12-30T12:06:30"/>
    <s v="LIS"/>
    <x v="0"/>
    <x v="2"/>
    <x v="6"/>
    <x v="0"/>
  </r>
  <r>
    <s v="Duplicated Test Order for 30700290A received from host (LIS # 131)."/>
    <x v="74"/>
    <x v="1"/>
    <d v="2016-11-02T00:00:00"/>
    <d v="1899-12-30T12:06:30"/>
    <s v="LIS"/>
    <x v="0"/>
    <x v="2"/>
    <x v="6"/>
    <x v="0"/>
  </r>
  <r>
    <s v="Duplicated Test Order for 30700318A received from host (LIS # 131)."/>
    <x v="74"/>
    <x v="1"/>
    <d v="2016-11-02T00:00:00"/>
    <d v="1899-12-30T12:06:30"/>
    <s v="LIS"/>
    <x v="0"/>
    <x v="2"/>
    <x v="6"/>
    <x v="0"/>
  </r>
  <r>
    <s v="Duplicated Test Order for 30700344A received from host (LIS # 131)."/>
    <x v="74"/>
    <x v="1"/>
    <d v="2016-11-02T00:00:00"/>
    <d v="1899-12-30T12:06:30"/>
    <s v="LIS"/>
    <x v="0"/>
    <x v="2"/>
    <x v="6"/>
    <x v="0"/>
  </r>
  <r>
    <s v="Duplicated Test Order for 30700355A received from host (LIS # 131)."/>
    <x v="74"/>
    <x v="1"/>
    <d v="2016-11-02T00:00:00"/>
    <d v="1899-12-30T12:06:31"/>
    <s v="LIS"/>
    <x v="0"/>
    <x v="2"/>
    <x v="6"/>
    <x v="0"/>
  </r>
  <r>
    <s v="Duplicated Test Order for 30700355A received from host (LIS # 921)."/>
    <x v="74"/>
    <x v="1"/>
    <d v="2016-11-02T00:00:00"/>
    <d v="1899-12-30T12:06:31"/>
    <s v="LIS"/>
    <x v="0"/>
    <x v="2"/>
    <x v="6"/>
    <x v="0"/>
  </r>
  <r>
    <s v="Duplicated Test Order for 30700355A received from host (LIS # 2101)."/>
    <x v="74"/>
    <x v="1"/>
    <d v="2016-11-02T00:00:00"/>
    <d v="1899-12-30T12:06:31"/>
    <s v="LIS"/>
    <x v="0"/>
    <x v="2"/>
    <x v="6"/>
    <x v="0"/>
  </r>
  <r>
    <s v="Duplicated Test Order for 30700370C received from host (LIS # 131)."/>
    <x v="74"/>
    <x v="1"/>
    <d v="2016-11-02T00:00:00"/>
    <d v="1899-12-30T12:06:32"/>
    <s v="LIS"/>
    <x v="0"/>
    <x v="2"/>
    <x v="6"/>
    <x v="0"/>
  </r>
  <r>
    <s v="Duplicated Test Order for 30700375C received from host (LIS # 2101)."/>
    <x v="74"/>
    <x v="1"/>
    <d v="2016-11-02T00:00:00"/>
    <d v="1899-12-30T12:06:32"/>
    <s v="LIS"/>
    <x v="0"/>
    <x v="2"/>
    <x v="6"/>
    <x v="0"/>
  </r>
  <r>
    <s v="Duplicated Test Order for 30700379B received from host (LIS # 131)."/>
    <x v="74"/>
    <x v="1"/>
    <d v="2016-11-02T00:00:00"/>
    <d v="1899-12-30T12:06:32"/>
    <s v="LIS"/>
    <x v="0"/>
    <x v="2"/>
    <x v="6"/>
    <x v="0"/>
  </r>
  <r>
    <s v="Duplicated Test Order for 30700380C received from host (LIS # 131)."/>
    <x v="74"/>
    <x v="1"/>
    <d v="2016-11-02T00:00:00"/>
    <d v="1899-12-30T12:06:32"/>
    <s v="LIS"/>
    <x v="0"/>
    <x v="2"/>
    <x v="6"/>
    <x v="0"/>
  </r>
  <r>
    <s v="Duplicated Test Order for 30700401C received from host (LIS # 131)."/>
    <x v="74"/>
    <x v="1"/>
    <d v="2016-11-02T00:00:00"/>
    <d v="1899-12-30T12:06:32"/>
    <s v="LIS"/>
    <x v="0"/>
    <x v="2"/>
    <x v="6"/>
    <x v="0"/>
  </r>
  <r>
    <s v="Duplicated Test Order for 30700406A received from host (LIS # 2241)."/>
    <x v="74"/>
    <x v="1"/>
    <d v="2016-11-02T00:00:00"/>
    <d v="1899-12-30T12:06:32"/>
    <s v="LIS"/>
    <x v="0"/>
    <x v="2"/>
    <x v="6"/>
    <x v="0"/>
  </r>
  <r>
    <s v="Duplicated Test Order for 30700412C received from host (LIS # 131)."/>
    <x v="74"/>
    <x v="1"/>
    <d v="2016-11-02T00:00:00"/>
    <d v="1899-12-30T12:06:33"/>
    <s v="LIS"/>
    <x v="0"/>
    <x v="2"/>
    <x v="6"/>
    <x v="0"/>
  </r>
  <r>
    <s v="Duplicated Test Order for 30700412C received from host (LIS # 921)."/>
    <x v="74"/>
    <x v="1"/>
    <d v="2016-11-02T00:00:00"/>
    <d v="1899-12-30T12:06:33"/>
    <s v="LIS"/>
    <x v="0"/>
    <x v="2"/>
    <x v="6"/>
    <x v="0"/>
  </r>
  <r>
    <s v="Duplicated Test Order for 30700417A received from host (LIS # 131)."/>
    <x v="74"/>
    <x v="1"/>
    <d v="2016-11-02T00:00:00"/>
    <d v="1899-12-30T12:06:33"/>
    <s v="LIS"/>
    <x v="0"/>
    <x v="2"/>
    <x v="6"/>
    <x v="0"/>
  </r>
  <r>
    <s v="Duplicated Test Order for 30700417A received from host (LIS # 921)."/>
    <x v="74"/>
    <x v="1"/>
    <d v="2016-11-02T00:00:00"/>
    <d v="1899-12-30T12:06:33"/>
    <s v="LIS"/>
    <x v="0"/>
    <x v="2"/>
    <x v="6"/>
    <x v="0"/>
  </r>
  <r>
    <s v="Duplicated Test Order for 30700419D received from host (LIS # 131)."/>
    <x v="74"/>
    <x v="1"/>
    <d v="2016-11-02T00:00:00"/>
    <d v="1899-12-30T12:06:34"/>
    <s v="LIS"/>
    <x v="0"/>
    <x v="2"/>
    <x v="6"/>
    <x v="0"/>
  </r>
  <r>
    <s v="Duplicated Test Order for 30700426A received from host (LIS # 131)."/>
    <x v="74"/>
    <x v="1"/>
    <d v="2016-11-02T00:00:00"/>
    <d v="1899-12-30T12:06:34"/>
    <s v="LIS"/>
    <x v="0"/>
    <x v="2"/>
    <x v="6"/>
    <x v="0"/>
  </r>
  <r>
    <s v="Duplicated Test Order for 30700426A received from host (LIS # 921)."/>
    <x v="74"/>
    <x v="1"/>
    <d v="2016-11-02T00:00:00"/>
    <d v="1899-12-30T12:06:34"/>
    <s v="LIS"/>
    <x v="0"/>
    <x v="2"/>
    <x v="6"/>
    <x v="0"/>
  </r>
  <r>
    <s v="Duplicated Test Order for 30700438A received from host (LIS # 2011)."/>
    <x v="74"/>
    <x v="1"/>
    <d v="2016-11-02T00:00:00"/>
    <d v="1899-12-30T12:06:34"/>
    <s v="LIS"/>
    <x v="0"/>
    <x v="2"/>
    <x v="6"/>
    <x v="0"/>
  </r>
  <r>
    <s v="Duplicated Test Order for 30700438A received from host (LIS # 2241)."/>
    <x v="74"/>
    <x v="1"/>
    <d v="2016-11-02T00:00:00"/>
    <d v="1899-12-30T12:06:34"/>
    <s v="LIS"/>
    <x v="0"/>
    <x v="2"/>
    <x v="6"/>
    <x v="0"/>
  </r>
  <r>
    <s v="Duplicated Test Order for 30700444A received from host (LIS # 2241)."/>
    <x v="74"/>
    <x v="1"/>
    <d v="2016-11-02T00:00:00"/>
    <d v="1899-12-30T12:06:34"/>
    <s v="LIS"/>
    <x v="0"/>
    <x v="2"/>
    <x v="6"/>
    <x v="0"/>
  </r>
  <r>
    <s v="Duplicated Test Order for 30700445A received from host (LIS # 2101)."/>
    <x v="74"/>
    <x v="1"/>
    <d v="2016-11-02T00:00:00"/>
    <d v="1899-12-30T12:06:34"/>
    <s v="LIS"/>
    <x v="0"/>
    <x v="2"/>
    <x v="6"/>
    <x v="0"/>
  </r>
  <r>
    <s v="Duplicated Test Order for 30700446B received from host (LIS # 2241)."/>
    <x v="74"/>
    <x v="1"/>
    <d v="2016-11-02T00:00:00"/>
    <d v="1899-12-30T12:06:35"/>
    <s v="LIS"/>
    <x v="0"/>
    <x v="2"/>
    <x v="6"/>
    <x v="0"/>
  </r>
  <r>
    <s v="Duplicated Test Order for 30700452A received from host (LIS # 131)."/>
    <x v="74"/>
    <x v="1"/>
    <d v="2016-11-02T00:00:00"/>
    <d v="1899-12-30T12:06:35"/>
    <s v="LIS"/>
    <x v="0"/>
    <x v="2"/>
    <x v="6"/>
    <x v="0"/>
  </r>
  <r>
    <s v="Duplicated Test Order for 30700469A received from host (LIS # 131)."/>
    <x v="74"/>
    <x v="1"/>
    <d v="2016-11-02T00:00:00"/>
    <d v="1899-12-30T12:06:35"/>
    <s v="LIS"/>
    <x v="0"/>
    <x v="2"/>
    <x v="6"/>
    <x v="0"/>
  </r>
  <r>
    <s v="Duplicated Test Order for 30700469A received from host (LIS # 2011)."/>
    <x v="74"/>
    <x v="1"/>
    <d v="2016-11-02T00:00:00"/>
    <d v="1899-12-30T12:06:35"/>
    <s v="LIS"/>
    <x v="0"/>
    <x v="2"/>
    <x v="6"/>
    <x v="0"/>
  </r>
  <r>
    <s v="Duplicated Test Order for 30700470B received from host (LIS # 131)."/>
    <x v="74"/>
    <x v="1"/>
    <d v="2016-11-02T00:00:00"/>
    <d v="1899-12-30T12:06:35"/>
    <s v="LIS"/>
    <x v="0"/>
    <x v="2"/>
    <x v="6"/>
    <x v="0"/>
  </r>
  <r>
    <s v="Duplicated Test Order for 30700470B received from host (LIS # 921)."/>
    <x v="74"/>
    <x v="1"/>
    <d v="2016-11-02T00:00:00"/>
    <d v="1899-12-30T12:06:35"/>
    <s v="LIS"/>
    <x v="0"/>
    <x v="2"/>
    <x v="6"/>
    <x v="0"/>
  </r>
  <r>
    <s v="Duplicated Test Order for 30700471A received from host (LIS # 131)."/>
    <x v="74"/>
    <x v="1"/>
    <d v="2016-11-02T00:00:00"/>
    <d v="1899-12-30T12:06:36"/>
    <s v="LIS"/>
    <x v="0"/>
    <x v="2"/>
    <x v="6"/>
    <x v="0"/>
  </r>
  <r>
    <s v="Duplicated Test Order for 30700471A received from host (LIS # 2011)."/>
    <x v="74"/>
    <x v="1"/>
    <d v="2016-11-02T00:00:00"/>
    <d v="1899-12-30T12:06:36"/>
    <s v="LIS"/>
    <x v="0"/>
    <x v="2"/>
    <x v="6"/>
    <x v="0"/>
  </r>
  <r>
    <s v="Duplicated Test Order for 30700491A received from host (LIS # 131)."/>
    <x v="74"/>
    <x v="1"/>
    <d v="2016-11-02T00:00:00"/>
    <d v="1899-12-30T12:06:36"/>
    <s v="LIS"/>
    <x v="0"/>
    <x v="2"/>
    <x v="6"/>
    <x v="0"/>
  </r>
  <r>
    <s v="Duplicated Test Order for 30700498A received from host (LIS # 2101)."/>
    <x v="74"/>
    <x v="1"/>
    <d v="2016-11-02T00:00:00"/>
    <d v="1899-12-30T12:06:36"/>
    <s v="LIS"/>
    <x v="0"/>
    <x v="2"/>
    <x v="6"/>
    <x v="0"/>
  </r>
  <r>
    <s v="Duplicated Test Order for 30700503A received from host (LIS # 131)."/>
    <x v="74"/>
    <x v="1"/>
    <d v="2016-11-02T00:00:00"/>
    <d v="1899-12-30T12:06:36"/>
    <s v="LIS"/>
    <x v="0"/>
    <x v="2"/>
    <x v="6"/>
    <x v="0"/>
  </r>
  <r>
    <s v="Duplicated Test Order for 30700503A received from host (LIS # 2101)."/>
    <x v="74"/>
    <x v="1"/>
    <d v="2016-11-02T00:00:00"/>
    <d v="1899-12-30T12:06:36"/>
    <s v="LIS"/>
    <x v="0"/>
    <x v="2"/>
    <x v="6"/>
    <x v="0"/>
  </r>
  <r>
    <s v="Duplicated Test Order for 30700511A received from host (LIS # 2241)."/>
    <x v="74"/>
    <x v="1"/>
    <d v="2016-11-02T00:00:00"/>
    <d v="1899-12-30T12:06:37"/>
    <s v="LIS"/>
    <x v="0"/>
    <x v="2"/>
    <x v="6"/>
    <x v="0"/>
  </r>
  <r>
    <s v="Duplicated Test Order for 30700553B received from host (LIS # 131)."/>
    <x v="74"/>
    <x v="1"/>
    <d v="2016-11-02T00:00:00"/>
    <d v="1899-12-30T12:06:37"/>
    <s v="LIS"/>
    <x v="0"/>
    <x v="2"/>
    <x v="6"/>
    <x v="0"/>
  </r>
  <r>
    <s v="Duplicated Test Order for 30700566C received from host (LIS # 131)."/>
    <x v="74"/>
    <x v="1"/>
    <d v="2016-11-02T00:00:00"/>
    <d v="1899-12-30T12:06:37"/>
    <s v="LIS"/>
    <x v="0"/>
    <x v="2"/>
    <x v="6"/>
    <x v="0"/>
  </r>
  <r>
    <s v="Duplicated Test Order for 30700569A received from host (LIS # 131)."/>
    <x v="74"/>
    <x v="1"/>
    <d v="2016-11-02T00:00:00"/>
    <d v="1899-12-30T12:06:37"/>
    <s v="LIS"/>
    <x v="0"/>
    <x v="2"/>
    <x v="6"/>
    <x v="0"/>
  </r>
  <r>
    <s v="Duplicated Test Order for 30700584C received from host (LIS # 131)."/>
    <x v="74"/>
    <x v="1"/>
    <d v="2016-11-02T00:00:00"/>
    <d v="1899-12-30T12:06:37"/>
    <s v="LIS"/>
    <x v="0"/>
    <x v="2"/>
    <x v="6"/>
    <x v="0"/>
  </r>
  <r>
    <s v="Duplicated Test Order for 30700584C received from host (LIS # 921)."/>
    <x v="74"/>
    <x v="1"/>
    <d v="2016-11-02T00:00:00"/>
    <d v="1899-12-30T12:06:37"/>
    <s v="LIS"/>
    <x v="0"/>
    <x v="2"/>
    <x v="6"/>
    <x v="0"/>
  </r>
  <r>
    <s v="Duplicated Test Order for 30700595A received from host (LIS # 131)."/>
    <x v="74"/>
    <x v="1"/>
    <d v="2016-11-02T00:00:00"/>
    <d v="1899-12-30T12:06:37"/>
    <s v="LIS"/>
    <x v="0"/>
    <x v="2"/>
    <x v="6"/>
    <x v="0"/>
  </r>
  <r>
    <s v="Duplicated Test Order for 30700595A received from host (LIS # 2011)."/>
    <x v="74"/>
    <x v="1"/>
    <d v="2016-11-02T00:00:00"/>
    <d v="1899-12-30T12:06:37"/>
    <s v="LIS"/>
    <x v="0"/>
    <x v="2"/>
    <x v="6"/>
    <x v="0"/>
  </r>
  <r>
    <s v="Duplicated Test Order for 30700608A received from host (LIS # 2101)."/>
    <x v="74"/>
    <x v="1"/>
    <d v="2016-11-02T00:00:00"/>
    <d v="1899-12-30T12:06:38"/>
    <s v="LIS"/>
    <x v="0"/>
    <x v="2"/>
    <x v="6"/>
    <x v="0"/>
  </r>
  <r>
    <s v="Duplicated Test Order for 30700650A received from host (LIS # 131)."/>
    <x v="74"/>
    <x v="1"/>
    <d v="2016-11-02T00:00:00"/>
    <d v="1899-12-30T12:06:38"/>
    <s v="LIS"/>
    <x v="0"/>
    <x v="2"/>
    <x v="6"/>
    <x v="0"/>
  </r>
  <r>
    <s v="Duplicated Test Order for 30700650A received from host (LIS # 2101)."/>
    <x v="74"/>
    <x v="1"/>
    <d v="2016-11-02T00:00:00"/>
    <d v="1899-12-30T12:06:38"/>
    <s v="LIS"/>
    <x v="0"/>
    <x v="2"/>
    <x v="6"/>
    <x v="0"/>
  </r>
  <r>
    <s v="Duplicated Test Order for 30700673B received from host (LIS # 131)."/>
    <x v="74"/>
    <x v="1"/>
    <d v="2016-11-02T00:00:00"/>
    <d v="1899-12-30T12:06:38"/>
    <s v="LIS"/>
    <x v="0"/>
    <x v="2"/>
    <x v="6"/>
    <x v="0"/>
  </r>
  <r>
    <s v="Duplicated Test Order for 30700679D received from host (LIS # 131)."/>
    <x v="74"/>
    <x v="1"/>
    <d v="2016-11-02T00:00:00"/>
    <d v="1899-12-30T12:06:39"/>
    <s v="LIS"/>
    <x v="0"/>
    <x v="2"/>
    <x v="6"/>
    <x v="0"/>
  </r>
  <r>
    <s v="Duplicated Test Order for 30700729B received from host (LIS # 131)."/>
    <x v="74"/>
    <x v="1"/>
    <d v="2016-11-02T00:00:00"/>
    <d v="1899-12-30T12:06:39"/>
    <s v="LIS"/>
    <x v="0"/>
    <x v="2"/>
    <x v="6"/>
    <x v="0"/>
  </r>
  <r>
    <s v="Duplicated Test Order for 30700729B received from host (LIS # 921)."/>
    <x v="74"/>
    <x v="1"/>
    <d v="2016-11-02T00:00:00"/>
    <d v="1899-12-30T12:06:39"/>
    <s v="LIS"/>
    <x v="0"/>
    <x v="2"/>
    <x v="6"/>
    <x v="0"/>
  </r>
  <r>
    <s v="Duplicated Test Order for 30700730A received from host (LIS # 131)."/>
    <x v="74"/>
    <x v="1"/>
    <d v="2016-11-02T00:00:00"/>
    <d v="1899-12-30T12:06:39"/>
    <s v="LIS"/>
    <x v="0"/>
    <x v="2"/>
    <x v="6"/>
    <x v="0"/>
  </r>
  <r>
    <s v="Duplicated Test Order for 30700843A received from host (LIS # 131)."/>
    <x v="74"/>
    <x v="1"/>
    <d v="2016-11-02T00:00:00"/>
    <d v="1899-12-30T12:06:39"/>
    <s v="LIS"/>
    <x v="0"/>
    <x v="2"/>
    <x v="6"/>
    <x v="0"/>
  </r>
  <r>
    <s v="Duplicated Test Order for 30700869A received from host (LIS # 131)."/>
    <x v="74"/>
    <x v="1"/>
    <d v="2016-11-02T00:00:00"/>
    <d v="1899-12-30T12:06:39"/>
    <s v="LIS"/>
    <x v="0"/>
    <x v="2"/>
    <x v="6"/>
    <x v="0"/>
  </r>
  <r>
    <s v="Duplicated Test Order for 30700885A received from host (LIS # 131)."/>
    <x v="74"/>
    <x v="1"/>
    <d v="2016-11-02T00:00:00"/>
    <d v="1899-12-30T12:06:39"/>
    <s v="LIS"/>
    <x v="0"/>
    <x v="2"/>
    <x v="6"/>
    <x v="0"/>
  </r>
  <r>
    <s v="Duplicated Test Order for 30700886C received from host (LIS # 131)."/>
    <x v="74"/>
    <x v="1"/>
    <d v="2016-11-02T00:00:00"/>
    <d v="1899-12-30T12:06:40"/>
    <s v="LIS"/>
    <x v="0"/>
    <x v="2"/>
    <x v="6"/>
    <x v="0"/>
  </r>
  <r>
    <s v="Duplicated Test Order for 30700894A received from host (LIS # 131)."/>
    <x v="74"/>
    <x v="1"/>
    <d v="2016-11-02T00:00:00"/>
    <d v="1899-12-30T12:06:40"/>
    <s v="LIS"/>
    <x v="0"/>
    <x v="2"/>
    <x v="6"/>
    <x v="0"/>
  </r>
  <r>
    <s v="Duplicated Test Order for 30700903A received from host (LIS # 131)."/>
    <x v="74"/>
    <x v="1"/>
    <d v="2016-11-02T00:00:00"/>
    <d v="1899-12-30T12:06:40"/>
    <s v="LIS"/>
    <x v="0"/>
    <x v="2"/>
    <x v="6"/>
    <x v="0"/>
  </r>
  <r>
    <s v="Duplicated Test Order for 30700905A received from host (LIS # 131)."/>
    <x v="74"/>
    <x v="1"/>
    <d v="2016-11-02T00:00:00"/>
    <d v="1899-12-30T12:06:40"/>
    <s v="LIS"/>
    <x v="0"/>
    <x v="2"/>
    <x v="6"/>
    <x v="0"/>
  </r>
  <r>
    <s v="Duplicated Test Order for 30700924B received from host (LIS # 131)."/>
    <x v="74"/>
    <x v="1"/>
    <d v="2016-11-02T00:00:00"/>
    <d v="1899-12-30T12:06:40"/>
    <s v="LIS"/>
    <x v="0"/>
    <x v="2"/>
    <x v="6"/>
    <x v="0"/>
  </r>
  <r>
    <s v="Duplicated Test Order for 30700988A received from host (LIS # 2241)."/>
    <x v="74"/>
    <x v="1"/>
    <d v="2016-11-02T00:00:00"/>
    <d v="1899-12-30T12:06:40"/>
    <s v="LIS"/>
    <x v="0"/>
    <x v="2"/>
    <x v="6"/>
    <x v="0"/>
  </r>
  <r>
    <s v="Duplicated Test Order for 30701007A received from host (LIS # 131)."/>
    <x v="74"/>
    <x v="1"/>
    <d v="2016-11-02T00:00:00"/>
    <d v="1899-12-30T12:06:40"/>
    <s v="LIS"/>
    <x v="0"/>
    <x v="2"/>
    <x v="6"/>
    <x v="0"/>
  </r>
  <r>
    <s v="Duplicated Test Order for 30701009D received from host (LIS # 131)."/>
    <x v="74"/>
    <x v="1"/>
    <d v="2016-11-02T00:00:00"/>
    <d v="1899-12-30T12:06:40"/>
    <s v="LIS"/>
    <x v="0"/>
    <x v="2"/>
    <x v="6"/>
    <x v="0"/>
  </r>
  <r>
    <s v="Duplicated Test Order for 30701009D received from host (LIS # 921)."/>
    <x v="74"/>
    <x v="1"/>
    <d v="2016-11-02T00:00:00"/>
    <d v="1899-12-30T12:06:40"/>
    <s v="LIS"/>
    <x v="0"/>
    <x v="2"/>
    <x v="6"/>
    <x v="0"/>
  </r>
  <r>
    <s v="Duplicated Test Order for 30701009D received from host (LIS # 2101)."/>
    <x v="74"/>
    <x v="1"/>
    <d v="2016-11-02T00:00:00"/>
    <d v="1899-12-30T12:06:40"/>
    <s v="LIS"/>
    <x v="0"/>
    <x v="2"/>
    <x v="6"/>
    <x v="0"/>
  </r>
  <r>
    <s v="Duplicated Test Order for 30701041A received from host (LIS # 921)."/>
    <x v="74"/>
    <x v="1"/>
    <d v="2016-11-02T00:00:00"/>
    <d v="1899-12-30T12:06:40"/>
    <s v="LIS"/>
    <x v="0"/>
    <x v="2"/>
    <x v="6"/>
    <x v="0"/>
  </r>
  <r>
    <s v="Duplicated Test Order for 30701041A received from host (LIS # 2101)."/>
    <x v="74"/>
    <x v="1"/>
    <d v="2016-11-02T00:00:00"/>
    <d v="1899-12-30T12:06:40"/>
    <s v="LIS"/>
    <x v="0"/>
    <x v="2"/>
    <x v="6"/>
    <x v="0"/>
  </r>
  <r>
    <s v="Duplicated Test Order for 30701050A received from host (LIS # 131)."/>
    <x v="74"/>
    <x v="1"/>
    <d v="2016-11-02T00:00:00"/>
    <d v="1899-12-30T12:06:40"/>
    <s v="LIS"/>
    <x v="0"/>
    <x v="2"/>
    <x v="6"/>
    <x v="0"/>
  </r>
  <r>
    <s v="Duplicated Test Order for 30701050A received from host (LIS # 921)."/>
    <x v="74"/>
    <x v="1"/>
    <d v="2016-11-02T00:00:00"/>
    <d v="1899-12-30T12:06:40"/>
    <s v="LIS"/>
    <x v="0"/>
    <x v="2"/>
    <x v="6"/>
    <x v="0"/>
  </r>
  <r>
    <s v="Duplicated Test Order for 30701082B received from host (LIS # 131)."/>
    <x v="74"/>
    <x v="1"/>
    <d v="2016-11-02T00:00:00"/>
    <d v="1899-12-30T12:06:40"/>
    <s v="LIS"/>
    <x v="0"/>
    <x v="2"/>
    <x v="6"/>
    <x v="0"/>
  </r>
  <r>
    <s v="Duplicated Test Order for 30701083A received from host (LIS # 131)."/>
    <x v="74"/>
    <x v="1"/>
    <d v="2016-11-02T00:00:00"/>
    <d v="1899-12-30T12:06:41"/>
    <s v="LIS"/>
    <x v="0"/>
    <x v="2"/>
    <x v="6"/>
    <x v="0"/>
  </r>
  <r>
    <s v="Duplicated Test Order for 30701094A received from host (LIS # 131)."/>
    <x v="74"/>
    <x v="1"/>
    <d v="2016-11-02T00:00:00"/>
    <d v="1899-12-30T12:06:41"/>
    <s v="LIS"/>
    <x v="0"/>
    <x v="2"/>
    <x v="6"/>
    <x v="0"/>
  </r>
  <r>
    <s v="Duplicated Test Order for 30701123C received from host (LIS # 131)."/>
    <x v="74"/>
    <x v="1"/>
    <d v="2016-11-02T00:00:00"/>
    <d v="1899-12-30T12:06:41"/>
    <s v="LIS"/>
    <x v="0"/>
    <x v="2"/>
    <x v="6"/>
    <x v="0"/>
  </r>
  <r>
    <s v="Duplicated Test Order for 30701168A received from host (LIS # 131)."/>
    <x v="74"/>
    <x v="1"/>
    <d v="2016-11-02T00:00:00"/>
    <d v="1899-12-30T12:06:41"/>
    <s v="LIS"/>
    <x v="0"/>
    <x v="2"/>
    <x v="6"/>
    <x v="0"/>
  </r>
  <r>
    <s v="Duplicated Test Order for 30701179A received from host (LIS # 131)."/>
    <x v="74"/>
    <x v="1"/>
    <d v="2016-11-02T00:00:00"/>
    <d v="1899-12-30T12:06:41"/>
    <s v="LIS"/>
    <x v="0"/>
    <x v="2"/>
    <x v="6"/>
    <x v="0"/>
  </r>
  <r>
    <s v="Duplicated Test Order for 30701223C received from host (LIS # 131)."/>
    <x v="74"/>
    <x v="1"/>
    <d v="2016-11-02T00:00:00"/>
    <d v="1899-12-30T12:06:41"/>
    <s v="LIS"/>
    <x v="0"/>
    <x v="2"/>
    <x v="6"/>
    <x v="0"/>
  </r>
  <r>
    <s v="Duplicated Test Order for 30701223C received from host (LIS # 921)."/>
    <x v="74"/>
    <x v="1"/>
    <d v="2016-11-02T00:00:00"/>
    <d v="1899-12-30T12:06:41"/>
    <s v="LIS"/>
    <x v="0"/>
    <x v="2"/>
    <x v="6"/>
    <x v="0"/>
  </r>
  <r>
    <s v="Duplicated Test Order for 30701249A received from host (LIS # 2101)."/>
    <x v="74"/>
    <x v="1"/>
    <d v="2016-11-02T00:00:00"/>
    <d v="1899-12-30T12:06:41"/>
    <s v="LIS"/>
    <x v="0"/>
    <x v="2"/>
    <x v="6"/>
    <x v="0"/>
  </r>
  <r>
    <s v="Duplicated Test Order for 30701250A received from host (LIS # 131)."/>
    <x v="74"/>
    <x v="1"/>
    <d v="2016-11-02T00:00:00"/>
    <d v="1899-12-30T12:06:41"/>
    <s v="LIS"/>
    <x v="0"/>
    <x v="2"/>
    <x v="6"/>
    <x v="0"/>
  </r>
  <r>
    <s v="Duplicated Test Order for 30701305A received from host (LIS # 131)."/>
    <x v="74"/>
    <x v="1"/>
    <d v="2016-11-02T00:00:00"/>
    <d v="1899-12-30T12:06:41"/>
    <s v="LIS"/>
    <x v="0"/>
    <x v="2"/>
    <x v="6"/>
    <x v="0"/>
  </r>
  <r>
    <s v="Duplicated Test Order for 30701307A received from host (LIS # 131)."/>
    <x v="74"/>
    <x v="1"/>
    <d v="2016-11-02T00:00:00"/>
    <d v="1899-12-30T12:06:41"/>
    <s v="LIS"/>
    <x v="0"/>
    <x v="2"/>
    <x v="6"/>
    <x v="0"/>
  </r>
  <r>
    <s v="Duplicated Test Order for 30701343C received from host (LIS # 131)."/>
    <x v="74"/>
    <x v="1"/>
    <d v="2016-11-02T00:00:00"/>
    <d v="1899-12-30T12:06:41"/>
    <s v="LIS"/>
    <x v="0"/>
    <x v="2"/>
    <x v="6"/>
    <x v="0"/>
  </r>
  <r>
    <s v="Duplicated Test Order for 30701375B received from host (LIS # 131)."/>
    <x v="74"/>
    <x v="1"/>
    <d v="2016-11-02T00:00:00"/>
    <d v="1899-12-30T12:06:41"/>
    <s v="LIS"/>
    <x v="0"/>
    <x v="2"/>
    <x v="6"/>
    <x v="0"/>
  </r>
  <r>
    <s v="Duplicated Test Order for 30701375B received from host (LIS # 921)."/>
    <x v="74"/>
    <x v="1"/>
    <d v="2016-11-02T00:00:00"/>
    <d v="1899-12-30T12:06:41"/>
    <s v="LIS"/>
    <x v="0"/>
    <x v="2"/>
    <x v="6"/>
    <x v="0"/>
  </r>
  <r>
    <s v="Duplicated Test Order for 30701375B received from host (LIS # 2011)."/>
    <x v="74"/>
    <x v="1"/>
    <d v="2016-11-02T00:00:00"/>
    <d v="1899-12-30T12:06:41"/>
    <s v="LIS"/>
    <x v="0"/>
    <x v="2"/>
    <x v="6"/>
    <x v="0"/>
  </r>
  <r>
    <s v="Duplicated Test Order for 30701418A received from host (LIS # 131)."/>
    <x v="74"/>
    <x v="1"/>
    <d v="2016-11-02T00:00:00"/>
    <d v="1899-12-30T12:06:42"/>
    <s v="LIS"/>
    <x v="0"/>
    <x v="2"/>
    <x v="6"/>
    <x v="0"/>
  </r>
  <r>
    <s v="Duplicated Test Order for 30601355A received from host (LIS # 2101)."/>
    <x v="74"/>
    <x v="1"/>
    <d v="2016-11-02T00:00:00"/>
    <d v="1899-12-30T12:07:06"/>
    <s v="LIS"/>
    <x v="0"/>
    <x v="2"/>
    <x v="6"/>
    <x v="0"/>
  </r>
  <r>
    <s v="Duplicated Test Order for 30601478A received from host (LIS # 921)."/>
    <x v="74"/>
    <x v="1"/>
    <d v="2016-11-02T00:00:00"/>
    <d v="1899-12-30T12:07:06"/>
    <s v="LIS"/>
    <x v="0"/>
    <x v="2"/>
    <x v="6"/>
    <x v="0"/>
  </r>
  <r>
    <s v="Duplicated Test Order for 30601493D received from host (LIS # 131)."/>
    <x v="74"/>
    <x v="1"/>
    <d v="2016-11-02T00:00:00"/>
    <d v="1899-12-30T12:07:06"/>
    <s v="LIS"/>
    <x v="0"/>
    <x v="2"/>
    <x v="6"/>
    <x v="0"/>
  </r>
  <r>
    <s v="Duplicated Test Order for 30601493D received from host (LIS # 921)."/>
    <x v="74"/>
    <x v="1"/>
    <d v="2016-11-02T00:00:00"/>
    <d v="1899-12-30T12:07:07"/>
    <s v="LIS"/>
    <x v="0"/>
    <x v="2"/>
    <x v="6"/>
    <x v="0"/>
  </r>
  <r>
    <s v="Duplicated Test Order for 30601493D received from host (LIS # 2101)."/>
    <x v="74"/>
    <x v="1"/>
    <d v="2016-11-02T00:00:00"/>
    <d v="1899-12-30T12:07:07"/>
    <s v="LIS"/>
    <x v="0"/>
    <x v="2"/>
    <x v="6"/>
    <x v="0"/>
  </r>
  <r>
    <s v="Duplicated Test Order for 30601496A received from host (LIS # 131)."/>
    <x v="74"/>
    <x v="1"/>
    <d v="2016-11-02T00:00:00"/>
    <d v="1899-12-30T12:07:07"/>
    <s v="LIS"/>
    <x v="0"/>
    <x v="2"/>
    <x v="6"/>
    <x v="0"/>
  </r>
  <r>
    <s v="Duplicated Test Order for 30601510A received from host (LIS # 131)."/>
    <x v="74"/>
    <x v="1"/>
    <d v="2016-11-02T00:00:00"/>
    <d v="1899-12-30T12:07:07"/>
    <s v="LIS"/>
    <x v="0"/>
    <x v="2"/>
    <x v="6"/>
    <x v="0"/>
  </r>
  <r>
    <s v="Duplicated Test Order for 30601528A received from host (LIS # 131)."/>
    <x v="74"/>
    <x v="1"/>
    <d v="2016-11-02T00:00:00"/>
    <d v="1899-12-30T12:07:07"/>
    <s v="LIS"/>
    <x v="0"/>
    <x v="2"/>
    <x v="6"/>
    <x v="0"/>
  </r>
  <r>
    <s v="Duplicated Test Order for 30601551A received from host (LIS # 131)."/>
    <x v="74"/>
    <x v="1"/>
    <d v="2016-11-02T00:00:00"/>
    <d v="1899-12-30T12:07:08"/>
    <s v="LIS"/>
    <x v="0"/>
    <x v="2"/>
    <x v="6"/>
    <x v="0"/>
  </r>
  <r>
    <s v="Duplicated Test Order for 30601551A received from host (LIS # 921)."/>
    <x v="74"/>
    <x v="1"/>
    <d v="2016-11-02T00:00:00"/>
    <d v="1899-12-30T12:07:08"/>
    <s v="LIS"/>
    <x v="0"/>
    <x v="2"/>
    <x v="6"/>
    <x v="0"/>
  </r>
  <r>
    <s v="Duplicated Test Order for 30601551A received from host (LIS # 2011)."/>
    <x v="74"/>
    <x v="1"/>
    <d v="2016-11-02T00:00:00"/>
    <d v="1899-12-30T12:07:08"/>
    <s v="LIS"/>
    <x v="0"/>
    <x v="2"/>
    <x v="6"/>
    <x v="0"/>
  </r>
  <r>
    <s v="Duplicated Test Order for 30601553B received from host (LIS # 131)."/>
    <x v="74"/>
    <x v="1"/>
    <d v="2016-11-02T00:00:00"/>
    <d v="1899-12-30T12:07:08"/>
    <s v="LIS"/>
    <x v="0"/>
    <x v="2"/>
    <x v="6"/>
    <x v="0"/>
  </r>
  <r>
    <s v="Duplicated Test Order for 30601559A received from host (LIS # 2241)."/>
    <x v="74"/>
    <x v="1"/>
    <d v="2016-11-02T00:00:00"/>
    <d v="1899-12-30T12:07:08"/>
    <s v="LIS"/>
    <x v="0"/>
    <x v="2"/>
    <x v="6"/>
    <x v="0"/>
  </r>
  <r>
    <s v="Duplicated Test Order for 30601564D received from host (LIS # 131)."/>
    <x v="74"/>
    <x v="1"/>
    <d v="2016-11-02T00:00:00"/>
    <d v="1899-12-30T12:07:09"/>
    <s v="LIS"/>
    <x v="0"/>
    <x v="2"/>
    <x v="6"/>
    <x v="0"/>
  </r>
  <r>
    <s v="Duplicated Test Order for 30601588A received from host (LIS # 131)."/>
    <x v="74"/>
    <x v="1"/>
    <d v="2016-11-02T00:00:00"/>
    <d v="1899-12-30T12:07:09"/>
    <s v="LIS"/>
    <x v="0"/>
    <x v="2"/>
    <x v="6"/>
    <x v="0"/>
  </r>
  <r>
    <s v="Duplicated Test Order for 30601600C received from host (LIS # 131)."/>
    <x v="74"/>
    <x v="1"/>
    <d v="2016-11-02T00:00:00"/>
    <d v="1899-12-30T12:07:09"/>
    <s v="LIS"/>
    <x v="0"/>
    <x v="2"/>
    <x v="6"/>
    <x v="0"/>
  </r>
  <r>
    <s v="Duplicated Test Order for 30601600C received from host (LIS # 921)."/>
    <x v="74"/>
    <x v="1"/>
    <d v="2016-11-02T00:00:00"/>
    <d v="1899-12-30T12:07:09"/>
    <s v="LIS"/>
    <x v="0"/>
    <x v="2"/>
    <x v="6"/>
    <x v="0"/>
  </r>
  <r>
    <s v="Duplicated Test Order for 30601602A received from host (LIS # 921)."/>
    <x v="74"/>
    <x v="1"/>
    <d v="2016-11-02T00:00:00"/>
    <d v="1899-12-30T12:07:09"/>
    <s v="LIS"/>
    <x v="0"/>
    <x v="2"/>
    <x v="6"/>
    <x v="0"/>
  </r>
  <r>
    <s v="Duplicated Test Order for 30601604A received from host (LIS # 2101)."/>
    <x v="74"/>
    <x v="1"/>
    <d v="2016-11-02T00:00:00"/>
    <d v="1899-12-30T12:07:09"/>
    <s v="LIS"/>
    <x v="0"/>
    <x v="2"/>
    <x v="6"/>
    <x v="0"/>
  </r>
  <r>
    <s v="Duplicated Test Order for 30601606A received from host (LIS # 2101)."/>
    <x v="74"/>
    <x v="1"/>
    <d v="2016-11-02T00:00:00"/>
    <d v="1899-12-30T12:07:10"/>
    <s v="LIS"/>
    <x v="0"/>
    <x v="2"/>
    <x v="6"/>
    <x v="0"/>
  </r>
  <r>
    <s v="Duplicated Test Order for 30601626A received from host (LIS # 131)."/>
    <x v="74"/>
    <x v="1"/>
    <d v="2016-11-02T00:00:00"/>
    <d v="1899-12-30T12:07:10"/>
    <s v="LIS"/>
    <x v="0"/>
    <x v="2"/>
    <x v="6"/>
    <x v="0"/>
  </r>
  <r>
    <s v="Duplicated Test Order for 30601666A received from host (LIS # 131)."/>
    <x v="74"/>
    <x v="1"/>
    <d v="2016-11-02T00:00:00"/>
    <d v="1899-12-30T12:07:10"/>
    <s v="LIS"/>
    <x v="0"/>
    <x v="2"/>
    <x v="6"/>
    <x v="0"/>
  </r>
  <r>
    <s v="Duplicated Test Order for 30601676A received from host (LIS # 2101)."/>
    <x v="74"/>
    <x v="1"/>
    <d v="2016-11-02T00:00:00"/>
    <d v="1899-12-30T12:07:10"/>
    <s v="LIS"/>
    <x v="0"/>
    <x v="2"/>
    <x v="6"/>
    <x v="0"/>
  </r>
  <r>
    <s v="Duplicated Test Order for 30601773A received from host (LIS # 131)."/>
    <x v="74"/>
    <x v="1"/>
    <d v="2016-11-02T00:00:00"/>
    <d v="1899-12-30T12:07:10"/>
    <s v="LIS"/>
    <x v="0"/>
    <x v="2"/>
    <x v="6"/>
    <x v="0"/>
  </r>
  <r>
    <s v="Duplicated Test Order for 30601773A received from host (LIS # 921)."/>
    <x v="74"/>
    <x v="1"/>
    <d v="2016-11-02T00:00:00"/>
    <d v="1899-12-30T12:07:11"/>
    <s v="LIS"/>
    <x v="0"/>
    <x v="2"/>
    <x v="6"/>
    <x v="0"/>
  </r>
  <r>
    <s v="Duplicated Test Order for 30601773A received from host (LIS # 2011)."/>
    <x v="74"/>
    <x v="1"/>
    <d v="2016-11-02T00:00:00"/>
    <d v="1899-12-30T12:07:11"/>
    <s v="LIS"/>
    <x v="0"/>
    <x v="2"/>
    <x v="6"/>
    <x v="0"/>
  </r>
  <r>
    <s v="Duplicated Test Order for 30601803A received from host (LIS # 131)."/>
    <x v="74"/>
    <x v="1"/>
    <d v="2016-11-02T00:00:00"/>
    <d v="1899-12-30T12:07:11"/>
    <s v="LIS"/>
    <x v="0"/>
    <x v="2"/>
    <x v="6"/>
    <x v="0"/>
  </r>
  <r>
    <s v="Duplicated Test Order for 30601818A received from host (LIS # 2241)."/>
    <x v="74"/>
    <x v="1"/>
    <d v="2016-11-02T00:00:00"/>
    <d v="1899-12-30T12:07:11"/>
    <s v="LIS"/>
    <x v="0"/>
    <x v="2"/>
    <x v="6"/>
    <x v="0"/>
  </r>
  <r>
    <s v="Duplicated Test Order for 30601845A received from host (LIS # 921)."/>
    <x v="74"/>
    <x v="1"/>
    <d v="2016-11-02T00:00:00"/>
    <d v="1899-12-30T12:07:11"/>
    <s v="LIS"/>
    <x v="0"/>
    <x v="2"/>
    <x v="6"/>
    <x v="0"/>
  </r>
  <r>
    <s v="Duplicated Test Order for 30601874A received from host (LIS # 131)."/>
    <x v="74"/>
    <x v="1"/>
    <d v="2016-11-02T00:00:00"/>
    <d v="1899-12-30T12:07:11"/>
    <s v="LIS"/>
    <x v="0"/>
    <x v="2"/>
    <x v="6"/>
    <x v="0"/>
  </r>
  <r>
    <s v="Duplicated Test Order for 30601874A received from host (LIS # 921)."/>
    <x v="74"/>
    <x v="1"/>
    <d v="2016-11-02T00:00:00"/>
    <d v="1899-12-30T12:07:12"/>
    <s v="LIS"/>
    <x v="0"/>
    <x v="2"/>
    <x v="6"/>
    <x v="0"/>
  </r>
  <r>
    <s v="Duplicated Test Order for 30601882A received from host (LIS # 131)."/>
    <x v="74"/>
    <x v="1"/>
    <d v="2016-11-02T00:00:00"/>
    <d v="1899-12-30T12:07:12"/>
    <s v="LIS"/>
    <x v="0"/>
    <x v="2"/>
    <x v="6"/>
    <x v="0"/>
  </r>
  <r>
    <s v="Duplicated Test Order for 30601907A received from host (LIS # 131)."/>
    <x v="74"/>
    <x v="1"/>
    <d v="2016-11-02T00:00:00"/>
    <d v="1899-12-30T12:07:12"/>
    <s v="LIS"/>
    <x v="0"/>
    <x v="2"/>
    <x v="6"/>
    <x v="0"/>
  </r>
  <r>
    <s v="Duplicated Test Order for 30601913B received from host (LIS # 2241)."/>
    <x v="74"/>
    <x v="1"/>
    <d v="2016-11-02T00:00:00"/>
    <d v="1899-12-30T12:07:12"/>
    <s v="LIS"/>
    <x v="0"/>
    <x v="2"/>
    <x v="6"/>
    <x v="0"/>
  </r>
  <r>
    <s v="Duplicated Test Order for 30601919C received from host (LIS # 131)."/>
    <x v="74"/>
    <x v="1"/>
    <d v="2016-11-02T00:00:00"/>
    <d v="1899-12-30T12:07:12"/>
    <s v="LIS"/>
    <x v="0"/>
    <x v="2"/>
    <x v="6"/>
    <x v="0"/>
  </r>
  <r>
    <s v="Duplicated Test Order for 30601919C received from host (LIS # 921)."/>
    <x v="74"/>
    <x v="1"/>
    <d v="2016-11-02T00:00:00"/>
    <d v="1899-12-30T12:07:13"/>
    <s v="LIS"/>
    <x v="0"/>
    <x v="2"/>
    <x v="6"/>
    <x v="0"/>
  </r>
  <r>
    <s v="Duplicated Test Order for 30601960A received from host (LIS # 131)."/>
    <x v="74"/>
    <x v="1"/>
    <d v="2016-11-02T00:00:00"/>
    <d v="1899-12-30T12:07:13"/>
    <s v="LIS"/>
    <x v="0"/>
    <x v="2"/>
    <x v="6"/>
    <x v="0"/>
  </r>
  <r>
    <s v="Duplicated Test Order for 30601960A received from host (LIS # 921)."/>
    <x v="74"/>
    <x v="1"/>
    <d v="2016-11-02T00:00:00"/>
    <d v="1899-12-30T12:07:13"/>
    <s v="LIS"/>
    <x v="0"/>
    <x v="2"/>
    <x v="6"/>
    <x v="0"/>
  </r>
  <r>
    <s v="Duplicated Test Order for 30602082B received from host (LIS # 131)."/>
    <x v="74"/>
    <x v="1"/>
    <d v="2016-11-02T00:00:00"/>
    <d v="1899-12-30T12:07:13"/>
    <s v="LIS"/>
    <x v="0"/>
    <x v="2"/>
    <x v="6"/>
    <x v="0"/>
  </r>
  <r>
    <s v="Duplicated Test Order for 30602138A received from host (LIS # 131)."/>
    <x v="74"/>
    <x v="1"/>
    <d v="2016-11-02T00:00:00"/>
    <d v="1899-12-30T12:07:13"/>
    <s v="LIS"/>
    <x v="0"/>
    <x v="2"/>
    <x v="6"/>
    <x v="0"/>
  </r>
  <r>
    <s v="Duplicated Test Order for 30602138A received from host (LIS # 921)."/>
    <x v="74"/>
    <x v="1"/>
    <d v="2016-11-02T00:00:00"/>
    <d v="1899-12-30T12:07:14"/>
    <s v="LIS"/>
    <x v="0"/>
    <x v="2"/>
    <x v="6"/>
    <x v="0"/>
  </r>
  <r>
    <s v="Duplicated Test Order for 30602174C received from host (LIS # 131)."/>
    <x v="74"/>
    <x v="1"/>
    <d v="2016-11-02T00:00:00"/>
    <d v="1899-12-30T12:07:14"/>
    <s v="LIS"/>
    <x v="0"/>
    <x v="2"/>
    <x v="6"/>
    <x v="0"/>
  </r>
  <r>
    <s v="Duplicated Test Order for 30602174C received from host (LIS # 921)."/>
    <x v="74"/>
    <x v="1"/>
    <d v="2016-11-02T00:00:00"/>
    <d v="1899-12-30T12:07:14"/>
    <s v="LIS"/>
    <x v="0"/>
    <x v="2"/>
    <x v="6"/>
    <x v="0"/>
  </r>
  <r>
    <s v="Duplicated Test Order for 30602222C received from host (LIS # 131)."/>
    <x v="74"/>
    <x v="1"/>
    <d v="2016-11-02T00:00:00"/>
    <d v="1899-12-30T12:07:14"/>
    <s v="LIS"/>
    <x v="0"/>
    <x v="2"/>
    <x v="6"/>
    <x v="0"/>
  </r>
  <r>
    <s v="Duplicated Test Order for 30602225C received from host (LIS # 131)."/>
    <x v="74"/>
    <x v="1"/>
    <d v="2016-11-02T00:00:00"/>
    <d v="1899-12-30T12:07:15"/>
    <s v="LIS"/>
    <x v="0"/>
    <x v="2"/>
    <x v="6"/>
    <x v="0"/>
  </r>
  <r>
    <s v="Duplicated Test Order for 30602225C received from host (LIS # 921)."/>
    <x v="74"/>
    <x v="1"/>
    <d v="2016-11-02T00:00:00"/>
    <d v="1899-12-30T12:07:15"/>
    <s v="LIS"/>
    <x v="0"/>
    <x v="2"/>
    <x v="6"/>
    <x v="0"/>
  </r>
  <r>
    <s v="Duplicated Test Order for 30602233A received from host (LIS # 2101)."/>
    <x v="74"/>
    <x v="1"/>
    <d v="2016-11-02T00:00:00"/>
    <d v="1899-12-30T12:07:15"/>
    <s v="LIS"/>
    <x v="0"/>
    <x v="2"/>
    <x v="6"/>
    <x v="0"/>
  </r>
  <r>
    <s v="Duplicated Test Order for 30602249C received from host (LIS # 131)."/>
    <x v="74"/>
    <x v="1"/>
    <d v="2016-11-02T00:00:00"/>
    <d v="1899-12-30T12:07:15"/>
    <s v="LIS"/>
    <x v="0"/>
    <x v="2"/>
    <x v="6"/>
    <x v="0"/>
  </r>
  <r>
    <s v="Duplicated Test Order for 30602249C received from host (LIS # 921)."/>
    <x v="74"/>
    <x v="1"/>
    <d v="2016-11-02T00:00:00"/>
    <d v="1899-12-30T12:07:15"/>
    <s v="LIS"/>
    <x v="0"/>
    <x v="2"/>
    <x v="6"/>
    <x v="0"/>
  </r>
  <r>
    <s v="Duplicated Test Order for 30602251A received from host (LIS # 131)."/>
    <x v="74"/>
    <x v="1"/>
    <d v="2016-11-02T00:00:00"/>
    <d v="1899-12-30T12:07:16"/>
    <s v="LIS"/>
    <x v="0"/>
    <x v="2"/>
    <x v="6"/>
    <x v="0"/>
  </r>
  <r>
    <s v="Duplicated Test Order for 30602251A received from host (LIS # 921)."/>
    <x v="74"/>
    <x v="1"/>
    <d v="2016-11-02T00:00:00"/>
    <d v="1899-12-30T12:07:16"/>
    <s v="LIS"/>
    <x v="0"/>
    <x v="2"/>
    <x v="6"/>
    <x v="0"/>
  </r>
  <r>
    <s v="Duplicated Test Order for 30602286A received from host (LIS # 2011)."/>
    <x v="74"/>
    <x v="1"/>
    <d v="2016-11-02T00:00:00"/>
    <d v="1899-12-30T12:07:16"/>
    <s v="LIS"/>
    <x v="0"/>
    <x v="2"/>
    <x v="6"/>
    <x v="0"/>
  </r>
  <r>
    <s v="Duplicated Test Order for 30602312B received from host (LIS # 131)."/>
    <x v="74"/>
    <x v="1"/>
    <d v="2016-11-02T00:00:00"/>
    <d v="1899-12-30T12:07:16"/>
    <s v="LIS"/>
    <x v="0"/>
    <x v="2"/>
    <x v="6"/>
    <x v="0"/>
  </r>
  <r>
    <s v="Duplicated Test Order for 30602325B received from host (LIS # 131)."/>
    <x v="74"/>
    <x v="1"/>
    <d v="2016-11-02T00:00:00"/>
    <d v="1899-12-30T12:07:16"/>
    <s v="LIS"/>
    <x v="0"/>
    <x v="2"/>
    <x v="6"/>
    <x v="0"/>
  </r>
  <r>
    <s v="Duplicated Test Order for 30602325B received from host (LIS # 921)."/>
    <x v="74"/>
    <x v="1"/>
    <d v="2016-11-02T00:00:00"/>
    <d v="1899-12-30T12:07:17"/>
    <s v="LIS"/>
    <x v="0"/>
    <x v="2"/>
    <x v="6"/>
    <x v="0"/>
  </r>
  <r>
    <s v="Duplicated Test Order for 30602325B received from host (LIS # 2011)."/>
    <x v="74"/>
    <x v="1"/>
    <d v="2016-11-02T00:00:00"/>
    <d v="1899-12-30T12:07:17"/>
    <s v="LIS"/>
    <x v="0"/>
    <x v="2"/>
    <x v="6"/>
    <x v="0"/>
  </r>
  <r>
    <s v="Duplicated Test Order for 30602332A received from host (LIS # 921)."/>
    <x v="74"/>
    <x v="1"/>
    <d v="2016-11-02T00:00:00"/>
    <d v="1899-12-30T12:07:17"/>
    <s v="LIS"/>
    <x v="0"/>
    <x v="2"/>
    <x v="6"/>
    <x v="0"/>
  </r>
  <r>
    <s v="Duplicated Test Order for 30602345B received from host (LIS # 131)."/>
    <x v="74"/>
    <x v="1"/>
    <d v="2016-11-02T00:00:00"/>
    <d v="1899-12-30T12:07:17"/>
    <s v="LIS"/>
    <x v="0"/>
    <x v="2"/>
    <x v="6"/>
    <x v="0"/>
  </r>
  <r>
    <s v="Duplicated Test Order for 30602345B received from host (LIS # 921)."/>
    <x v="74"/>
    <x v="1"/>
    <d v="2016-11-02T00:00:00"/>
    <d v="1899-12-30T12:07:17"/>
    <s v="LIS"/>
    <x v="0"/>
    <x v="2"/>
    <x v="6"/>
    <x v="0"/>
  </r>
  <r>
    <s v="Duplicated Test Order for 30602363A received from host (LIS # 131)."/>
    <x v="74"/>
    <x v="1"/>
    <d v="2016-11-02T00:00:00"/>
    <d v="1899-12-30T12:07:18"/>
    <s v="LIS"/>
    <x v="0"/>
    <x v="2"/>
    <x v="6"/>
    <x v="0"/>
  </r>
  <r>
    <s v="Duplicated Test Order for 30602382A received from host (LIS # 921)."/>
    <x v="74"/>
    <x v="1"/>
    <d v="2016-11-02T00:00:00"/>
    <d v="1899-12-30T12:07:18"/>
    <s v="LIS"/>
    <x v="0"/>
    <x v="2"/>
    <x v="6"/>
    <x v="0"/>
  </r>
  <r>
    <s v="Duplicated Test Order for 30602414B received from host (LIS # 131)."/>
    <x v="74"/>
    <x v="1"/>
    <d v="2016-11-02T00:00:00"/>
    <d v="1899-12-30T12:07:18"/>
    <s v="LIS"/>
    <x v="0"/>
    <x v="2"/>
    <x v="6"/>
    <x v="0"/>
  </r>
  <r>
    <s v="Duplicated Test Order for 30602476A received from host (LIS # 2101)."/>
    <x v="74"/>
    <x v="1"/>
    <d v="2016-11-02T00:00:00"/>
    <d v="1899-12-30T12:07:18"/>
    <s v="LIS"/>
    <x v="0"/>
    <x v="2"/>
    <x v="6"/>
    <x v="0"/>
  </r>
  <r>
    <s v="Duplicated Test Order for 30602498A received from host (LIS # 131)."/>
    <x v="74"/>
    <x v="1"/>
    <d v="2016-11-02T00:00:00"/>
    <d v="1899-12-30T12:07:18"/>
    <s v="LIS"/>
    <x v="0"/>
    <x v="2"/>
    <x v="6"/>
    <x v="0"/>
  </r>
  <r>
    <s v="Duplicated Test Order for 30602518A received from host (LIS # 131)."/>
    <x v="74"/>
    <x v="1"/>
    <d v="2016-11-02T00:00:00"/>
    <d v="1899-12-30T12:07:18"/>
    <s v="LIS"/>
    <x v="0"/>
    <x v="2"/>
    <x v="6"/>
    <x v="0"/>
  </r>
  <r>
    <s v="Duplicated Test Order for 30602520B received from host (LIS # 131)."/>
    <x v="74"/>
    <x v="1"/>
    <d v="2016-11-02T00:00:00"/>
    <d v="1899-12-30T12:07:18"/>
    <s v="LIS"/>
    <x v="0"/>
    <x v="2"/>
    <x v="6"/>
    <x v="0"/>
  </r>
  <r>
    <s v="Duplicated Test Order for 30602538B received from host (LIS # 131)."/>
    <x v="74"/>
    <x v="1"/>
    <d v="2016-11-02T00:00:00"/>
    <d v="1899-12-30T12:07:19"/>
    <s v="LIS"/>
    <x v="0"/>
    <x v="2"/>
    <x v="6"/>
    <x v="0"/>
  </r>
  <r>
    <s v="Duplicated Test Order for 30602555C received from host (LIS # 131)."/>
    <x v="74"/>
    <x v="1"/>
    <d v="2016-11-02T00:00:00"/>
    <d v="1899-12-30T12:07:19"/>
    <s v="LIS"/>
    <x v="0"/>
    <x v="2"/>
    <x v="6"/>
    <x v="0"/>
  </r>
  <r>
    <s v="Duplicated Test Order for 30602555C received from host (LIS # 2011)."/>
    <x v="74"/>
    <x v="1"/>
    <d v="2016-11-02T00:00:00"/>
    <d v="1899-12-30T12:07:19"/>
    <s v="LIS"/>
    <x v="0"/>
    <x v="2"/>
    <x v="6"/>
    <x v="0"/>
  </r>
  <r>
    <s v="Duplicated Test Order for 30602558A received from host (LIS # 2101)."/>
    <x v="74"/>
    <x v="1"/>
    <d v="2016-11-02T00:00:00"/>
    <d v="1899-12-30T12:07:19"/>
    <s v="LIS"/>
    <x v="0"/>
    <x v="2"/>
    <x v="6"/>
    <x v="0"/>
  </r>
  <r>
    <s v="Duplicated Test Order for 30602577A received from host (LIS # 131)."/>
    <x v="74"/>
    <x v="1"/>
    <d v="2016-11-02T00:00:00"/>
    <d v="1899-12-30T12:07:19"/>
    <s v="LIS"/>
    <x v="0"/>
    <x v="2"/>
    <x v="6"/>
    <x v="0"/>
  </r>
  <r>
    <s v="Duplicated Test Order for 30602589A received from host (LIS # 131)."/>
    <x v="74"/>
    <x v="1"/>
    <d v="2016-11-02T00:00:00"/>
    <d v="1899-12-30T12:07:19"/>
    <s v="LIS"/>
    <x v="0"/>
    <x v="2"/>
    <x v="6"/>
    <x v="0"/>
  </r>
  <r>
    <s v="Duplicated Test Order for 30602590A received from host (LIS # 131)."/>
    <x v="74"/>
    <x v="1"/>
    <d v="2016-11-02T00:00:00"/>
    <d v="1899-12-30T12:07:20"/>
    <s v="LIS"/>
    <x v="0"/>
    <x v="2"/>
    <x v="6"/>
    <x v="0"/>
  </r>
  <r>
    <s v="Duplicated Test Order for 30602591B received from host (LIS # 131)."/>
    <x v="74"/>
    <x v="1"/>
    <d v="2016-11-02T00:00:00"/>
    <d v="1899-12-30T12:07:20"/>
    <s v="LIS"/>
    <x v="0"/>
    <x v="2"/>
    <x v="6"/>
    <x v="0"/>
  </r>
  <r>
    <s v="Duplicated Test Order for 30602650C received from host (LIS # 131)."/>
    <x v="74"/>
    <x v="1"/>
    <d v="2016-11-02T00:00:00"/>
    <d v="1899-12-30T12:07:20"/>
    <s v="LIS"/>
    <x v="0"/>
    <x v="2"/>
    <x v="6"/>
    <x v="0"/>
  </r>
  <r>
    <s v="Duplicated Test Order for 30602650C received from host (LIS # 921)."/>
    <x v="74"/>
    <x v="1"/>
    <d v="2016-11-02T00:00:00"/>
    <d v="1899-12-30T12:07:20"/>
    <s v="LIS"/>
    <x v="0"/>
    <x v="2"/>
    <x v="6"/>
    <x v="0"/>
  </r>
  <r>
    <s v="Duplicated Test Order for 30602685A received from host (LIS # 2101)."/>
    <x v="74"/>
    <x v="1"/>
    <d v="2016-11-02T00:00:00"/>
    <d v="1899-12-30T12:07:20"/>
    <s v="LIS"/>
    <x v="0"/>
    <x v="2"/>
    <x v="6"/>
    <x v="0"/>
  </r>
  <r>
    <s v="Duplicated Test Order for 30602690A received from host (LIS # 131)."/>
    <x v="74"/>
    <x v="1"/>
    <d v="2016-11-02T00:00:00"/>
    <d v="1899-12-30T12:07:21"/>
    <s v="LIS"/>
    <x v="0"/>
    <x v="2"/>
    <x v="6"/>
    <x v="0"/>
  </r>
  <r>
    <s v="Duplicated Test Order for 30602694C received from host (LIS # 131)."/>
    <x v="74"/>
    <x v="1"/>
    <d v="2016-11-02T00:00:00"/>
    <d v="1899-12-30T12:07:21"/>
    <s v="LIS"/>
    <x v="0"/>
    <x v="2"/>
    <x v="6"/>
    <x v="0"/>
  </r>
  <r>
    <s v="Duplicated Test Order for 30602694C received from host (LIS # 921)."/>
    <x v="74"/>
    <x v="1"/>
    <d v="2016-11-02T00:00:00"/>
    <d v="1899-12-30T12:07:21"/>
    <s v="LIS"/>
    <x v="0"/>
    <x v="2"/>
    <x v="6"/>
    <x v="0"/>
  </r>
  <r>
    <s v="Duplicated Test Order for 30602750A received from host (LIS # 131)."/>
    <x v="74"/>
    <x v="1"/>
    <d v="2016-11-02T00:00:00"/>
    <d v="1899-12-30T12:07:21"/>
    <s v="LIS"/>
    <x v="0"/>
    <x v="2"/>
    <x v="6"/>
    <x v="0"/>
  </r>
  <r>
    <s v="Duplicated Test Order for 30602750A received from host (LIS # 921)."/>
    <x v="74"/>
    <x v="1"/>
    <d v="2016-11-02T00:00:00"/>
    <d v="1899-12-30T12:07:22"/>
    <s v="LIS"/>
    <x v="0"/>
    <x v="2"/>
    <x v="6"/>
    <x v="0"/>
  </r>
  <r>
    <s v="Duplicated Test Order for 30602750A received from host (LIS # 2011)."/>
    <x v="74"/>
    <x v="1"/>
    <d v="2016-11-02T00:00:00"/>
    <d v="1899-12-30T12:07:22"/>
    <s v="LIS"/>
    <x v="0"/>
    <x v="2"/>
    <x v="6"/>
    <x v="0"/>
  </r>
  <r>
    <s v="Duplicated Test Order for 30602778B received from host (LIS # 131)."/>
    <x v="74"/>
    <x v="1"/>
    <d v="2016-11-02T00:00:00"/>
    <d v="1899-12-30T12:07:23"/>
    <s v="LIS"/>
    <x v="0"/>
    <x v="2"/>
    <x v="6"/>
    <x v="0"/>
  </r>
  <r>
    <s v="Duplicated Test Order for 30602820C received from host (LIS # 131)."/>
    <x v="74"/>
    <x v="1"/>
    <d v="2016-11-02T00:00:00"/>
    <d v="1899-12-30T12:07:23"/>
    <s v="LIS"/>
    <x v="0"/>
    <x v="2"/>
    <x v="6"/>
    <x v="0"/>
  </r>
  <r>
    <s v="Duplicated Test Order for 30602820C received from host (LIS # 921)."/>
    <x v="74"/>
    <x v="1"/>
    <d v="2016-11-02T00:00:00"/>
    <d v="1899-12-30T12:07:23"/>
    <s v="LIS"/>
    <x v="0"/>
    <x v="2"/>
    <x v="6"/>
    <x v="0"/>
  </r>
  <r>
    <s v="Duplicated Test Order for 30602822C received from host (LIS # 131)."/>
    <x v="74"/>
    <x v="1"/>
    <d v="2016-11-02T00:00:00"/>
    <d v="1899-12-30T12:07:23"/>
    <s v="LIS"/>
    <x v="0"/>
    <x v="2"/>
    <x v="6"/>
    <x v="0"/>
  </r>
  <r>
    <s v="Duplicated Test Order for 30602822C received from host (LIS # 921)."/>
    <x v="74"/>
    <x v="1"/>
    <d v="2016-11-02T00:00:00"/>
    <d v="1899-12-30T12:07:24"/>
    <s v="LIS"/>
    <x v="0"/>
    <x v="2"/>
    <x v="6"/>
    <x v="0"/>
  </r>
  <r>
    <s v="Duplicated Test Order for 30602850D received from host (LIS # 131)."/>
    <x v="74"/>
    <x v="1"/>
    <d v="2016-11-02T00:00:00"/>
    <d v="1899-12-30T12:07:24"/>
    <s v="LIS"/>
    <x v="0"/>
    <x v="2"/>
    <x v="6"/>
    <x v="0"/>
  </r>
  <r>
    <s v="Duplicated Test Order for 30602850D received from host (LIS # 921)."/>
    <x v="74"/>
    <x v="1"/>
    <d v="2016-11-02T00:00:00"/>
    <d v="1899-12-30T12:07:24"/>
    <s v="LIS"/>
    <x v="0"/>
    <x v="2"/>
    <x v="6"/>
    <x v="0"/>
  </r>
  <r>
    <s v="Duplicated Test Order for 30602853B received from host (LIS # 131)."/>
    <x v="74"/>
    <x v="1"/>
    <d v="2016-11-02T00:00:00"/>
    <d v="1899-12-30T12:07:24"/>
    <s v="LIS"/>
    <x v="0"/>
    <x v="2"/>
    <x v="6"/>
    <x v="0"/>
  </r>
  <r>
    <s v="Duplicated Test Order for 30602865A received from host (LIS # 131)."/>
    <x v="74"/>
    <x v="1"/>
    <d v="2016-11-02T00:00:00"/>
    <d v="1899-12-30T12:07:24"/>
    <s v="LIS"/>
    <x v="0"/>
    <x v="2"/>
    <x v="6"/>
    <x v="0"/>
  </r>
  <r>
    <s v="Duplicated Test Order for 30602890C received from host (LIS # 131)."/>
    <x v="74"/>
    <x v="1"/>
    <d v="2016-11-02T00:00:00"/>
    <d v="1899-12-30T12:07:24"/>
    <s v="LIS"/>
    <x v="0"/>
    <x v="2"/>
    <x v="6"/>
    <x v="0"/>
  </r>
  <r>
    <s v="Duplicated Test Order for 30602931A received from host (LIS # 2101)."/>
    <x v="74"/>
    <x v="1"/>
    <d v="2016-11-02T00:00:00"/>
    <d v="1899-12-30T12:07:24"/>
    <s v="LIS"/>
    <x v="0"/>
    <x v="2"/>
    <x v="6"/>
    <x v="0"/>
  </r>
  <r>
    <s v="Duplicated Test Order for 30602941C received from host (LIS # 2241)."/>
    <x v="74"/>
    <x v="1"/>
    <d v="2016-11-02T00:00:00"/>
    <d v="1899-12-30T12:07:24"/>
    <s v="LIS"/>
    <x v="0"/>
    <x v="2"/>
    <x v="6"/>
    <x v="0"/>
  </r>
  <r>
    <s v="Duplicated Test Order for 30602962A received from host (LIS # 2241)."/>
    <x v="74"/>
    <x v="1"/>
    <d v="2016-11-02T00:00:00"/>
    <d v="1899-12-30T12:07:24"/>
    <s v="LIS"/>
    <x v="0"/>
    <x v="2"/>
    <x v="6"/>
    <x v="0"/>
  </r>
  <r>
    <s v="Duplicated Test Order for 30602964A received from host (LIS # 2241)."/>
    <x v="74"/>
    <x v="1"/>
    <d v="2016-11-02T00:00:00"/>
    <d v="1899-12-30T12:07:25"/>
    <s v="LIS"/>
    <x v="0"/>
    <x v="2"/>
    <x v="6"/>
    <x v="0"/>
  </r>
  <r>
    <s v="Duplicated Test Order for 30602977C received from host (LIS # 131)."/>
    <x v="74"/>
    <x v="1"/>
    <d v="2016-11-02T00:00:00"/>
    <d v="1899-12-30T12:07:25"/>
    <s v="LIS"/>
    <x v="0"/>
    <x v="2"/>
    <x v="6"/>
    <x v="0"/>
  </r>
  <r>
    <s v="Duplicated Test Order for 30602977C received from host (LIS # 921)."/>
    <x v="74"/>
    <x v="1"/>
    <d v="2016-11-02T00:00:00"/>
    <d v="1899-12-30T12:07:26"/>
    <s v="LIS"/>
    <x v="0"/>
    <x v="2"/>
    <x v="6"/>
    <x v="0"/>
  </r>
  <r>
    <s v="Duplicated Test Order for 30602977C received from host (LIS # 2011)."/>
    <x v="74"/>
    <x v="1"/>
    <d v="2016-11-02T00:00:00"/>
    <d v="1899-12-30T12:07:26"/>
    <s v="LIS"/>
    <x v="0"/>
    <x v="2"/>
    <x v="6"/>
    <x v="0"/>
  </r>
  <r>
    <s v="Duplicated Test Order for 30602990A received from host (LIS # 131)."/>
    <x v="74"/>
    <x v="1"/>
    <d v="2016-11-02T00:00:00"/>
    <d v="1899-12-30T12:07:26"/>
    <s v="LIS"/>
    <x v="0"/>
    <x v="2"/>
    <x v="6"/>
    <x v="0"/>
  </r>
  <r>
    <s v="Duplicated Test Order for 30603019A received from host (LIS # 131)."/>
    <x v="74"/>
    <x v="1"/>
    <d v="2016-11-02T00:00:00"/>
    <d v="1899-12-30T12:07:26"/>
    <s v="LIS"/>
    <x v="0"/>
    <x v="2"/>
    <x v="6"/>
    <x v="0"/>
  </r>
  <r>
    <s v="Duplicated Test Order for 30603022A received from host (LIS # 131)."/>
    <x v="74"/>
    <x v="1"/>
    <d v="2016-11-02T00:00:00"/>
    <d v="1899-12-30T12:07:27"/>
    <s v="LIS"/>
    <x v="0"/>
    <x v="2"/>
    <x v="6"/>
    <x v="0"/>
  </r>
  <r>
    <s v="Duplicated Test Order for 30603022A received from host (LIS # 921)."/>
    <x v="74"/>
    <x v="1"/>
    <d v="2016-11-02T00:00:00"/>
    <d v="1899-12-30T12:07:27"/>
    <s v="LIS"/>
    <x v="0"/>
    <x v="2"/>
    <x v="6"/>
    <x v="0"/>
  </r>
  <r>
    <s v="Duplicated Test Order for 30603022A received from host (LIS # 2011)."/>
    <x v="74"/>
    <x v="1"/>
    <d v="2016-11-02T00:00:00"/>
    <d v="1899-12-30T12:07:27"/>
    <s v="LIS"/>
    <x v="0"/>
    <x v="2"/>
    <x v="6"/>
    <x v="0"/>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r>
    <m/>
    <x v="77"/>
    <x v="3"/>
    <m/>
    <m/>
    <m/>
    <x v="1"/>
    <x v="4"/>
    <x v="7"/>
    <x v="1"/>
  </r>
</pivotCacheRecords>
</file>

<file path=xl/pivotCache/pivotCacheRecords2.xml><?xml version="1.0" encoding="utf-8"?>
<pivotCacheRecords xmlns="http://schemas.openxmlformats.org/spreadsheetml/2006/main" xmlns:r="http://schemas.openxmlformats.org/officeDocument/2006/relationships" count="10594">
  <r>
    <s v="Analyzer Status changed from Error to Ready."/>
    <x v="0"/>
    <x v="0"/>
    <x v="0"/>
    <d v="1899-12-30T08:30:26"/>
    <s v="Analyzer"/>
    <x v="0"/>
    <x v="0"/>
    <x v="0"/>
    <x v="0"/>
  </r>
  <r>
    <s v="Rinse solution level low."/>
    <x v="1"/>
    <x v="1"/>
    <x v="0"/>
    <d v="1899-12-30T08:30:26"/>
    <s v="Materials"/>
    <x v="0"/>
    <x v="1"/>
    <x v="1"/>
    <x v="0"/>
  </r>
  <r>
    <s v="Analyzer Status changed from Ready to Maintenance."/>
    <x v="0"/>
    <x v="0"/>
    <x v="0"/>
    <d v="1899-12-30T09:30:26"/>
    <s v="Analyzer"/>
    <x v="0"/>
    <x v="0"/>
    <x v="0"/>
    <x v="0"/>
  </r>
  <r>
    <s v="Analyzer Status changed from Maintenance to Ready."/>
    <x v="0"/>
    <x v="0"/>
    <x v="0"/>
    <d v="1899-12-30T09:32:00"/>
    <s v="Analyzer"/>
    <x v="0"/>
    <x v="0"/>
    <x v="0"/>
    <x v="0"/>
  </r>
  <r>
    <s v="Automatic maintenance activity Automatic Fluidic Line Priming Cycle has been executed."/>
    <x v="2"/>
    <x v="0"/>
    <x v="0"/>
    <d v="1899-12-30T09:32:00"/>
    <s v="Maintenance"/>
    <x v="0"/>
    <x v="2"/>
    <x v="2"/>
    <x v="0"/>
  </r>
  <r>
    <s v="Analyzer Status changed from Ready to Maintenance."/>
    <x v="0"/>
    <x v="0"/>
    <x v="0"/>
    <d v="1899-12-30T10:32:01"/>
    <s v="Analyzer"/>
    <x v="0"/>
    <x v="0"/>
    <x v="0"/>
    <x v="0"/>
  </r>
  <r>
    <s v="Analyzer Status changed from Maintenance to Ready."/>
    <x v="0"/>
    <x v="0"/>
    <x v="0"/>
    <d v="1899-12-30T10:32:22"/>
    <s v="Analyzer"/>
    <x v="0"/>
    <x v="0"/>
    <x v="0"/>
    <x v="0"/>
  </r>
  <r>
    <s v="Automatic maintenance activity Automatic Fluidic Line Priming Cycle has been executed."/>
    <x v="2"/>
    <x v="0"/>
    <x v="0"/>
    <d v="1899-12-30T10:32:22"/>
    <s v="Maintenance"/>
    <x v="0"/>
    <x v="2"/>
    <x v="2"/>
    <x v="0"/>
  </r>
  <r>
    <s v="Analyzer Status changed from Ready to Maintenance."/>
    <x v="0"/>
    <x v="0"/>
    <x v="0"/>
    <d v="1899-12-30T11:32:23"/>
    <s v="Analyzer"/>
    <x v="0"/>
    <x v="0"/>
    <x v="0"/>
    <x v="0"/>
  </r>
  <r>
    <s v="Analyzer Status changed from Maintenance to Ready."/>
    <x v="0"/>
    <x v="0"/>
    <x v="0"/>
    <d v="1899-12-30T11:32:44"/>
    <s v="Analyzer"/>
    <x v="0"/>
    <x v="0"/>
    <x v="0"/>
    <x v="0"/>
  </r>
  <r>
    <s v="Automatic maintenance activity Automatic Fluidic Line Priming Cycle has been executed."/>
    <x v="2"/>
    <x v="0"/>
    <x v="0"/>
    <d v="1899-12-30T11:32:44"/>
    <s v="Maintenance"/>
    <x v="0"/>
    <x v="2"/>
    <x v="2"/>
    <x v="0"/>
  </r>
  <r>
    <s v="Analyzer Status changed from Ready to Maintenance."/>
    <x v="0"/>
    <x v="0"/>
    <x v="0"/>
    <d v="1899-12-30T12:32:44"/>
    <s v="Analyzer"/>
    <x v="0"/>
    <x v="0"/>
    <x v="0"/>
    <x v="0"/>
  </r>
  <r>
    <s v="Analyzer Status changed from Maintenance to Ready."/>
    <x v="0"/>
    <x v="0"/>
    <x v="0"/>
    <d v="1899-12-30T12:33:06"/>
    <s v="Analyzer"/>
    <x v="0"/>
    <x v="0"/>
    <x v="0"/>
    <x v="0"/>
  </r>
  <r>
    <s v="Automatic maintenance activity Automatic Fluidic Line Priming Cycle has been executed."/>
    <x v="2"/>
    <x v="0"/>
    <x v="0"/>
    <d v="1899-12-30T12:33:06"/>
    <s v="Maintenance"/>
    <x v="0"/>
    <x v="2"/>
    <x v="2"/>
    <x v="0"/>
  </r>
  <r>
    <s v="Analyzer Status changed from Ready to Maintenance."/>
    <x v="0"/>
    <x v="0"/>
    <x v="0"/>
    <d v="1899-12-30T13:33:06"/>
    <s v="Analyzer"/>
    <x v="0"/>
    <x v="0"/>
    <x v="0"/>
    <x v="0"/>
  </r>
  <r>
    <s v="Analyzer Status changed from Maintenance to Ready."/>
    <x v="0"/>
    <x v="0"/>
    <x v="0"/>
    <d v="1899-12-30T13:33:28"/>
    <s v="Analyzer"/>
    <x v="0"/>
    <x v="0"/>
    <x v="0"/>
    <x v="0"/>
  </r>
  <r>
    <s v="Automatic maintenance activity Automatic Fluidic Line Priming Cycle has been executed."/>
    <x v="2"/>
    <x v="0"/>
    <x v="0"/>
    <d v="1899-12-30T13:33:28"/>
    <s v="Maintenance"/>
    <x v="0"/>
    <x v="2"/>
    <x v="2"/>
    <x v="0"/>
  </r>
  <r>
    <s v="Analyzer Status changed from Ready to Maintenance."/>
    <x v="0"/>
    <x v="0"/>
    <x v="0"/>
    <d v="1899-12-30T14:33:28"/>
    <s v="Analyzer"/>
    <x v="0"/>
    <x v="0"/>
    <x v="0"/>
    <x v="0"/>
  </r>
  <r>
    <s v="Analyzer Status changed from Maintenance to Ready."/>
    <x v="0"/>
    <x v="0"/>
    <x v="0"/>
    <d v="1899-12-30T14:33:50"/>
    <s v="Analyzer"/>
    <x v="0"/>
    <x v="0"/>
    <x v="0"/>
    <x v="0"/>
  </r>
  <r>
    <s v="Automatic maintenance activity Automatic Fluidic Line Priming Cycle has been executed."/>
    <x v="2"/>
    <x v="0"/>
    <x v="0"/>
    <d v="1899-12-30T14:33:50"/>
    <s v="Maintenance"/>
    <x v="0"/>
    <x v="2"/>
    <x v="2"/>
    <x v="0"/>
  </r>
  <r>
    <s v="Analyzer Status changed from Ready to Maintenance."/>
    <x v="0"/>
    <x v="0"/>
    <x v="0"/>
    <d v="1899-12-30T15:33:50"/>
    <s v="Analyzer"/>
    <x v="0"/>
    <x v="0"/>
    <x v="0"/>
    <x v="0"/>
  </r>
  <r>
    <s v="Automatic maintenance activity Automatic Fluidic Line Priming Cycle has been executed."/>
    <x v="2"/>
    <x v="0"/>
    <x v="0"/>
    <d v="1899-12-30T15:34:11"/>
    <s v="Maintenance"/>
    <x v="0"/>
    <x v="2"/>
    <x v="2"/>
    <x v="0"/>
  </r>
  <r>
    <s v="Analyzer Status changed from Maintenance to Ready."/>
    <x v="0"/>
    <x v="0"/>
    <x v="0"/>
    <d v="1899-12-30T15:34:12"/>
    <s v="Analyzer"/>
    <x v="0"/>
    <x v="0"/>
    <x v="0"/>
    <x v="0"/>
  </r>
  <r>
    <s v="Analyzer Status changed from Ready to Maintenance."/>
    <x v="0"/>
    <x v="0"/>
    <x v="0"/>
    <d v="1899-12-30T16:34:12"/>
    <s v="Analyzer"/>
    <x v="0"/>
    <x v="0"/>
    <x v="0"/>
    <x v="0"/>
  </r>
  <r>
    <s v="Analyzer Status changed from Maintenance to Ready."/>
    <x v="0"/>
    <x v="0"/>
    <x v="0"/>
    <d v="1899-12-30T16:34:34"/>
    <s v="Analyzer"/>
    <x v="0"/>
    <x v="0"/>
    <x v="0"/>
    <x v="0"/>
  </r>
  <r>
    <s v="Automatic maintenance activity Automatic Fluidic Line Priming Cycle has been executed."/>
    <x v="2"/>
    <x v="0"/>
    <x v="0"/>
    <d v="1899-12-30T16:34:34"/>
    <s v="Maintenance"/>
    <x v="0"/>
    <x v="2"/>
    <x v="2"/>
    <x v="0"/>
  </r>
  <r>
    <s v="Analyzer Status changed from Ready to Maintenance."/>
    <x v="0"/>
    <x v="0"/>
    <x v="0"/>
    <d v="1899-12-30T17:34:34"/>
    <s v="Analyzer"/>
    <x v="0"/>
    <x v="0"/>
    <x v="0"/>
    <x v="0"/>
  </r>
  <r>
    <s v="Automatic maintenance activity Automatic Fluidic Line Priming Cycle has been executed."/>
    <x v="2"/>
    <x v="0"/>
    <x v="0"/>
    <d v="1899-12-30T17:34:55"/>
    <s v="Maintenance"/>
    <x v="0"/>
    <x v="2"/>
    <x v="2"/>
    <x v="0"/>
  </r>
  <r>
    <s v="Analyzer Status changed from Maintenance to Ready."/>
    <x v="0"/>
    <x v="0"/>
    <x v="0"/>
    <d v="1899-12-30T17:34:56"/>
    <s v="Analyzer"/>
    <x v="0"/>
    <x v="0"/>
    <x v="0"/>
    <x v="0"/>
  </r>
  <r>
    <s v="Analyzer Status changed from Ready to Maintenance."/>
    <x v="0"/>
    <x v="0"/>
    <x v="0"/>
    <d v="1899-12-30T18:34:56"/>
    <s v="Analyzer"/>
    <x v="0"/>
    <x v="0"/>
    <x v="0"/>
    <x v="0"/>
  </r>
  <r>
    <s v="Automatic maintenance activity Automatic Fluidic Line Priming Cycle has been executed."/>
    <x v="2"/>
    <x v="0"/>
    <x v="0"/>
    <d v="1899-12-30T18:35:17"/>
    <s v="Maintenance"/>
    <x v="0"/>
    <x v="2"/>
    <x v="2"/>
    <x v="0"/>
  </r>
  <r>
    <s v="Analyzer Status changed from Maintenance to Ready."/>
    <x v="0"/>
    <x v="0"/>
    <x v="0"/>
    <d v="1899-12-30T18:35:18"/>
    <s v="Analyzer"/>
    <x v="0"/>
    <x v="0"/>
    <x v="0"/>
    <x v="0"/>
  </r>
  <r>
    <s v="Analyzer Status changed from Ready to Maintenance."/>
    <x v="0"/>
    <x v="0"/>
    <x v="0"/>
    <d v="1899-12-30T19:35:18"/>
    <s v="Analyzer"/>
    <x v="0"/>
    <x v="0"/>
    <x v="0"/>
    <x v="0"/>
  </r>
  <r>
    <s v="Automatic maintenance activity Automatic Fluidic Line Priming Cycle has been executed."/>
    <x v="2"/>
    <x v="0"/>
    <x v="0"/>
    <d v="1899-12-30T19:35:39"/>
    <s v="Maintenance"/>
    <x v="0"/>
    <x v="2"/>
    <x v="2"/>
    <x v="0"/>
  </r>
  <r>
    <s v="Analyzer Status changed from Maintenance to Ready."/>
    <x v="0"/>
    <x v="0"/>
    <x v="0"/>
    <d v="1899-12-30T19:35:40"/>
    <s v="Analyzer"/>
    <x v="0"/>
    <x v="0"/>
    <x v="0"/>
    <x v="0"/>
  </r>
  <r>
    <s v="Analyzer Status changed from Ready to Maintenance."/>
    <x v="0"/>
    <x v="0"/>
    <x v="0"/>
    <d v="1899-12-30T20:35:40"/>
    <s v="Analyzer"/>
    <x v="0"/>
    <x v="0"/>
    <x v="0"/>
    <x v="0"/>
  </r>
  <r>
    <s v="Automatic maintenance activity Automatic Fluidic Line Priming Cycle has been executed."/>
    <x v="2"/>
    <x v="0"/>
    <x v="0"/>
    <d v="1899-12-30T20:36:01"/>
    <s v="Maintenance"/>
    <x v="0"/>
    <x v="2"/>
    <x v="2"/>
    <x v="0"/>
  </r>
  <r>
    <s v="Analyzer Status changed from Maintenance to Ready."/>
    <x v="0"/>
    <x v="0"/>
    <x v="0"/>
    <d v="1899-12-30T20:36:02"/>
    <s v="Analyzer"/>
    <x v="0"/>
    <x v="0"/>
    <x v="0"/>
    <x v="0"/>
  </r>
  <r>
    <s v="Analyzer Status changed from Ready to Maintenance."/>
    <x v="0"/>
    <x v="0"/>
    <x v="0"/>
    <d v="1899-12-30T21:36:02"/>
    <s v="Analyzer"/>
    <x v="0"/>
    <x v="0"/>
    <x v="0"/>
    <x v="0"/>
  </r>
  <r>
    <s v="Analyzer Status changed from Maintenance to Ready."/>
    <x v="0"/>
    <x v="0"/>
    <x v="0"/>
    <d v="1899-12-30T21:36:23"/>
    <s v="Analyzer"/>
    <x v="0"/>
    <x v="0"/>
    <x v="0"/>
    <x v="0"/>
  </r>
  <r>
    <s v="Automatic maintenance activity Automatic Fluidic Line Priming Cycle has been executed."/>
    <x v="2"/>
    <x v="0"/>
    <x v="0"/>
    <d v="1899-12-30T21:36:23"/>
    <s v="Maintenance"/>
    <x v="0"/>
    <x v="2"/>
    <x v="2"/>
    <x v="0"/>
  </r>
  <r>
    <s v="Analyzer Status changed from Ready to Maintenance."/>
    <x v="0"/>
    <x v="0"/>
    <x v="0"/>
    <d v="1899-12-30T22:36:24"/>
    <s v="Analyzer"/>
    <x v="0"/>
    <x v="0"/>
    <x v="0"/>
    <x v="0"/>
  </r>
  <r>
    <s v="Automatic maintenance activity Automatic Fluidic Line Priming Cycle has been executed."/>
    <x v="2"/>
    <x v="0"/>
    <x v="0"/>
    <d v="1899-12-30T22:36:45"/>
    <s v="Maintenance"/>
    <x v="0"/>
    <x v="2"/>
    <x v="2"/>
    <x v="0"/>
  </r>
  <r>
    <s v="Analyzer Status changed from Maintenance to Ready."/>
    <x v="0"/>
    <x v="0"/>
    <x v="0"/>
    <d v="1899-12-30T22:36:46"/>
    <s v="Analyzer"/>
    <x v="0"/>
    <x v="0"/>
    <x v="0"/>
    <x v="0"/>
  </r>
  <r>
    <s v="Analyzer Status changed from Ready to Maintenance."/>
    <x v="0"/>
    <x v="0"/>
    <x v="0"/>
    <d v="1899-12-30T23:36:46"/>
    <s v="Analyzer"/>
    <x v="0"/>
    <x v="0"/>
    <x v="0"/>
    <x v="0"/>
  </r>
  <r>
    <s v="Automatic maintenance activity Automatic Fluidic Line Priming Cycle has been executed."/>
    <x v="2"/>
    <x v="0"/>
    <x v="0"/>
    <d v="1899-12-30T23:37:07"/>
    <s v="Maintenance"/>
    <x v="0"/>
    <x v="2"/>
    <x v="2"/>
    <x v="0"/>
  </r>
  <r>
    <s v="Analyzer Status changed from Maintenance to Ready."/>
    <x v="0"/>
    <x v="0"/>
    <x v="0"/>
    <d v="1899-12-30T23:37:08"/>
    <s v="Analyzer"/>
    <x v="0"/>
    <x v="0"/>
    <x v="0"/>
    <x v="0"/>
  </r>
  <r>
    <s v="Analyzer Status changed from Ready to Maintenance."/>
    <x v="0"/>
    <x v="0"/>
    <x v="1"/>
    <d v="1899-12-30T00:37:08"/>
    <s v="Analyzer"/>
    <x v="0"/>
    <x v="0"/>
    <x v="0"/>
    <x v="0"/>
  </r>
  <r>
    <s v="Automatic maintenance activity Automatic Fluidic Line Priming Cycle has been executed."/>
    <x v="2"/>
    <x v="0"/>
    <x v="1"/>
    <d v="1899-12-30T00:37:29"/>
    <s v="Maintenance"/>
    <x v="0"/>
    <x v="2"/>
    <x v="2"/>
    <x v="0"/>
  </r>
  <r>
    <s v="Analyzer Status changed from Maintenance to Ready."/>
    <x v="0"/>
    <x v="0"/>
    <x v="1"/>
    <d v="1899-12-30T00:37:30"/>
    <s v="Analyzer"/>
    <x v="0"/>
    <x v="0"/>
    <x v="0"/>
    <x v="0"/>
  </r>
  <r>
    <s v="Analyzer Status changed from Ready to Maintenance."/>
    <x v="0"/>
    <x v="0"/>
    <x v="1"/>
    <d v="1899-12-30T01:37:30"/>
    <s v="Analyzer"/>
    <x v="0"/>
    <x v="0"/>
    <x v="0"/>
    <x v="0"/>
  </r>
  <r>
    <s v="Automatic maintenance activity Automatic Fluidic Line Priming Cycle has been executed."/>
    <x v="2"/>
    <x v="0"/>
    <x v="1"/>
    <d v="1899-12-30T01:37:51"/>
    <s v="Maintenance"/>
    <x v="0"/>
    <x v="2"/>
    <x v="2"/>
    <x v="0"/>
  </r>
  <r>
    <s v="Analyzer Status changed from Maintenance to Ready."/>
    <x v="0"/>
    <x v="0"/>
    <x v="1"/>
    <d v="1899-12-30T01:37:52"/>
    <s v="Analyzer"/>
    <x v="0"/>
    <x v="0"/>
    <x v="0"/>
    <x v="0"/>
  </r>
  <r>
    <s v="Analyzer Status changed from Ready to Maintenance."/>
    <x v="0"/>
    <x v="0"/>
    <x v="1"/>
    <d v="1899-12-30T02:37:52"/>
    <s v="Analyzer"/>
    <x v="0"/>
    <x v="0"/>
    <x v="0"/>
    <x v="0"/>
  </r>
  <r>
    <s v="Automatic maintenance activity Automatic Fluidic Line Priming Cycle has been executed."/>
    <x v="2"/>
    <x v="0"/>
    <x v="1"/>
    <d v="1899-12-30T02:38:13"/>
    <s v="Maintenance"/>
    <x v="0"/>
    <x v="2"/>
    <x v="2"/>
    <x v="0"/>
  </r>
  <r>
    <s v="Analyzer Status changed from Maintenance to Ready."/>
    <x v="0"/>
    <x v="0"/>
    <x v="1"/>
    <d v="1899-12-30T02:38:14"/>
    <s v="Analyzer"/>
    <x v="0"/>
    <x v="0"/>
    <x v="0"/>
    <x v="0"/>
  </r>
  <r>
    <s v="Analyzer Status changed from Ready to Maintenance."/>
    <x v="0"/>
    <x v="0"/>
    <x v="1"/>
    <d v="1899-12-30T03:38:14"/>
    <s v="Analyzer"/>
    <x v="0"/>
    <x v="0"/>
    <x v="0"/>
    <x v="0"/>
  </r>
  <r>
    <s v="Analyzer Status changed from Maintenance to Ready."/>
    <x v="0"/>
    <x v="0"/>
    <x v="1"/>
    <d v="1899-12-30T03:38:35"/>
    <s v="Analyzer"/>
    <x v="0"/>
    <x v="0"/>
    <x v="0"/>
    <x v="0"/>
  </r>
  <r>
    <s v="Automatic maintenance activity Automatic Fluidic Line Priming Cycle has been executed."/>
    <x v="2"/>
    <x v="0"/>
    <x v="1"/>
    <d v="1899-12-30T03:38:35"/>
    <s v="Maintenance"/>
    <x v="0"/>
    <x v="2"/>
    <x v="2"/>
    <x v="0"/>
  </r>
  <r>
    <s v="Analyzer Status changed from Ready to Maintenance."/>
    <x v="0"/>
    <x v="0"/>
    <x v="1"/>
    <d v="1899-12-30T04:38:36"/>
    <s v="Analyzer"/>
    <x v="0"/>
    <x v="0"/>
    <x v="0"/>
    <x v="0"/>
  </r>
  <r>
    <s v="Analyzer Status changed from Maintenance to Ready."/>
    <x v="0"/>
    <x v="0"/>
    <x v="1"/>
    <d v="1899-12-30T04:38:57"/>
    <s v="Analyzer"/>
    <x v="0"/>
    <x v="0"/>
    <x v="0"/>
    <x v="0"/>
  </r>
  <r>
    <s v="Automatic maintenance activity Automatic Fluidic Line Priming Cycle has been executed."/>
    <x v="2"/>
    <x v="0"/>
    <x v="1"/>
    <d v="1899-12-30T04:38:57"/>
    <s v="Maintenance"/>
    <x v="0"/>
    <x v="2"/>
    <x v="2"/>
    <x v="0"/>
  </r>
  <r>
    <s v="Analyzer Status changed from Ready to Maintenance."/>
    <x v="0"/>
    <x v="0"/>
    <x v="1"/>
    <d v="1899-12-30T05:38:57"/>
    <s v="Analyzer"/>
    <x v="0"/>
    <x v="0"/>
    <x v="0"/>
    <x v="0"/>
  </r>
  <r>
    <s v="Analyzer Status changed from Maintenance to Ready."/>
    <x v="0"/>
    <x v="0"/>
    <x v="1"/>
    <d v="1899-12-30T05:39:19"/>
    <s v="Analyzer"/>
    <x v="0"/>
    <x v="0"/>
    <x v="0"/>
    <x v="0"/>
  </r>
  <r>
    <s v="Automatic maintenance activity Automatic Fluidic Line Priming Cycle has been executed."/>
    <x v="2"/>
    <x v="0"/>
    <x v="1"/>
    <d v="1899-12-30T05:39:19"/>
    <s v="Maintenance"/>
    <x v="0"/>
    <x v="2"/>
    <x v="2"/>
    <x v="0"/>
  </r>
  <r>
    <s v="Analyzer Status changed from Ready to Maintenance."/>
    <x v="0"/>
    <x v="0"/>
    <x v="1"/>
    <d v="1899-12-30T06:39:19"/>
    <s v="Analyzer"/>
    <x v="0"/>
    <x v="0"/>
    <x v="0"/>
    <x v="0"/>
  </r>
  <r>
    <s v="Analyzer Status changed from Maintenance to Ready."/>
    <x v="0"/>
    <x v="0"/>
    <x v="1"/>
    <d v="1899-12-30T06:39:41"/>
    <s v="Analyzer"/>
    <x v="0"/>
    <x v="0"/>
    <x v="0"/>
    <x v="0"/>
  </r>
  <r>
    <s v="Automatic maintenance activity Automatic Fluidic Line Priming Cycle has been executed."/>
    <x v="2"/>
    <x v="0"/>
    <x v="1"/>
    <d v="1899-12-30T06:39:41"/>
    <s v="Maintenance"/>
    <x v="0"/>
    <x v="2"/>
    <x v="2"/>
    <x v="0"/>
  </r>
  <r>
    <s v="Analyzer Status changed from Ready to Maintenance."/>
    <x v="0"/>
    <x v="0"/>
    <x v="1"/>
    <d v="1899-12-30T07:32:14"/>
    <s v="Analyzer"/>
    <x v="0"/>
    <x v="0"/>
    <x v="0"/>
    <x v="0"/>
  </r>
  <r>
    <s v="Analyzer Status changed from Maintenance to Ready."/>
    <x v="0"/>
    <x v="0"/>
    <x v="1"/>
    <d v="1899-12-30T07:36:11"/>
    <s v="Analyzer"/>
    <x v="0"/>
    <x v="0"/>
    <x v="0"/>
    <x v="0"/>
  </r>
  <r>
    <s v="Frequency status for manual maintenance activity Enhanced Clean for all Probes has changed to OK."/>
    <x v="3"/>
    <x v="0"/>
    <x v="1"/>
    <d v="1899-12-30T07:36:11"/>
    <s v="Maintenance"/>
    <x v="0"/>
    <x v="2"/>
    <x v="2"/>
    <x v="0"/>
  </r>
  <r>
    <s v="Frequency status for manual maintenance activity Enhanced Clean for Sample and Reagent Probes has changed to OK."/>
    <x v="3"/>
    <x v="0"/>
    <x v="1"/>
    <d v="1899-12-30T07:36:11"/>
    <s v="Maintenance"/>
    <x v="0"/>
    <x v="2"/>
    <x v="2"/>
    <x v="0"/>
  </r>
  <r>
    <s v="Semiautomatic maintenance activity Enhanced Clean for all Probes has been executed."/>
    <x v="4"/>
    <x v="0"/>
    <x v="1"/>
    <d v="1899-12-30T07:36:11"/>
    <s v="Maintenance"/>
    <x v="0"/>
    <x v="2"/>
    <x v="2"/>
    <x v="0"/>
  </r>
  <r>
    <s v="Analyzer Status changed from Ready to Maintenance."/>
    <x v="0"/>
    <x v="0"/>
    <x v="1"/>
    <d v="1899-12-30T07:38:21"/>
    <s v="Analyzer"/>
    <x v="0"/>
    <x v="0"/>
    <x v="0"/>
    <x v="0"/>
  </r>
  <r>
    <s v="Frequency status for manual maintenance activity make new diluted clean B has changed to OK."/>
    <x v="3"/>
    <x v="0"/>
    <x v="1"/>
    <d v="1899-12-30T07:38:23"/>
    <s v="Maintenance"/>
    <x v="0"/>
    <x v="2"/>
    <x v="2"/>
    <x v="0"/>
  </r>
  <r>
    <s v="Manual maintenance activity make new diluted clean B has been executed."/>
    <x v="5"/>
    <x v="0"/>
    <x v="1"/>
    <d v="1899-12-30T07:38:23"/>
    <s v="Maintenance"/>
    <x v="0"/>
    <x v="2"/>
    <x v="2"/>
    <x v="0"/>
  </r>
  <r>
    <s v="Analyzer Status changed from Maintenance to Ready."/>
    <x v="0"/>
    <x v="0"/>
    <x v="1"/>
    <d v="1899-12-30T07:38:27"/>
    <s v="Analyzer"/>
    <x v="0"/>
    <x v="0"/>
    <x v="0"/>
    <x v="0"/>
  </r>
  <r>
    <s v="Analyzer Status changed from Ready to Maintenance."/>
    <x v="0"/>
    <x v="0"/>
    <x v="1"/>
    <d v="1899-12-30T07:38:30"/>
    <s v="Analyzer"/>
    <x v="0"/>
    <x v="0"/>
    <x v="0"/>
    <x v="0"/>
  </r>
  <r>
    <s v="Frequency status for manual maintenance activity replace factor diluent has changed to OK."/>
    <x v="3"/>
    <x v="0"/>
    <x v="1"/>
    <d v="1899-12-30T07:38:32"/>
    <s v="Maintenance"/>
    <x v="0"/>
    <x v="2"/>
    <x v="2"/>
    <x v="0"/>
  </r>
  <r>
    <s v="Manual maintenance activity replace factor diluent has been executed."/>
    <x v="5"/>
    <x v="0"/>
    <x v="1"/>
    <d v="1899-12-30T07:38:32"/>
    <s v="Maintenance"/>
    <x v="0"/>
    <x v="2"/>
    <x v="2"/>
    <x v="0"/>
  </r>
  <r>
    <s v="Analyzer Status changed from Maintenance to Ready."/>
    <x v="0"/>
    <x v="0"/>
    <x v="1"/>
    <d v="1899-12-30T07:38:33"/>
    <s v="Analyzer"/>
    <x v="0"/>
    <x v="0"/>
    <x v="0"/>
    <x v="0"/>
  </r>
  <r>
    <s v="SCT Confirm on-board stability low."/>
    <x v="6"/>
    <x v="1"/>
    <x v="1"/>
    <d v="1899-12-30T07:39:46"/>
    <s v="Materials"/>
    <x v="0"/>
    <x v="2"/>
    <x v="3"/>
    <x v="0"/>
  </r>
  <r>
    <s v="APTT-SS volume low."/>
    <x v="7"/>
    <x v="1"/>
    <x v="1"/>
    <d v="1899-12-30T07:51:28"/>
    <s v="Materials"/>
    <x v="0"/>
    <x v="3"/>
    <x v="4"/>
    <x v="0"/>
  </r>
  <r>
    <s v="PT RecombiPlasTin volume low."/>
    <x v="7"/>
    <x v="1"/>
    <x v="1"/>
    <d v="1899-12-30T07:51:47"/>
    <s v="Materials"/>
    <x v="0"/>
    <x v="3"/>
    <x v="4"/>
    <x v="0"/>
  </r>
  <r>
    <s v="Analyzer Status changed from Ready to Busy."/>
    <x v="0"/>
    <x v="0"/>
    <x v="1"/>
    <d v="1899-12-30T08:01:57"/>
    <s v="Analyzer"/>
    <x v="0"/>
    <x v="0"/>
    <x v="0"/>
    <x v="0"/>
  </r>
  <r>
    <s v="Analyzer Status changed from Busy to Ready."/>
    <x v="0"/>
    <x v="0"/>
    <x v="1"/>
    <d v="1899-12-30T08:07:57"/>
    <s v="Analyzer"/>
    <x v="0"/>
    <x v="0"/>
    <x v="0"/>
    <x v="0"/>
  </r>
  <r>
    <s v="Analyzer Status changed from Ready to Maintenance."/>
    <x v="0"/>
    <x v="0"/>
    <x v="1"/>
    <d v="1899-12-30T08:07:57"/>
    <s v="Analyzer"/>
    <x v="0"/>
    <x v="0"/>
    <x v="0"/>
    <x v="0"/>
  </r>
  <r>
    <s v="Analyzer Status changed from Maintenance to Ready."/>
    <x v="0"/>
    <x v="0"/>
    <x v="1"/>
    <d v="1899-12-30T08:08:59"/>
    <s v="Analyzer"/>
    <x v="0"/>
    <x v="0"/>
    <x v="0"/>
    <x v="0"/>
  </r>
  <r>
    <s v="Automatic maintenance activity Automatic Routine Clean for all Probes has been executed."/>
    <x v="2"/>
    <x v="0"/>
    <x v="1"/>
    <d v="1899-12-30T08:08:59"/>
    <s v="Maintenance"/>
    <x v="0"/>
    <x v="2"/>
    <x v="2"/>
    <x v="0"/>
  </r>
  <r>
    <s v="Auto-Validation Rules have been modified."/>
    <x v="8"/>
    <x v="0"/>
    <x v="1"/>
    <d v="1899-12-30T08:11:53"/>
    <s v="Setup"/>
    <x v="0"/>
    <x v="2"/>
    <x v="5"/>
    <x v="0"/>
  </r>
  <r>
    <s v="Maintenance activity due: Wipe-down all Probes."/>
    <x v="9"/>
    <x v="1"/>
    <x v="1"/>
    <d v="1899-12-30T08:25:52"/>
    <s v="Maintenance"/>
    <x v="0"/>
    <x v="2"/>
    <x v="2"/>
    <x v="0"/>
  </r>
  <r>
    <s v="Maintenance activity due: Wipe-down LAS Probe."/>
    <x v="9"/>
    <x v="1"/>
    <x v="1"/>
    <d v="1899-12-30T08:25:52"/>
    <s v="Maintenance"/>
    <x v="0"/>
    <x v="2"/>
    <x v="2"/>
    <x v="0"/>
  </r>
  <r>
    <s v="Maintenance activity due: Wipe-down Sample Probe."/>
    <x v="9"/>
    <x v="1"/>
    <x v="1"/>
    <d v="1899-12-30T08:25:52"/>
    <s v="Maintenance"/>
    <x v="0"/>
    <x v="2"/>
    <x v="2"/>
    <x v="0"/>
  </r>
  <r>
    <s v="Maintenance activity due: Clean Cuvette Waste Drawer."/>
    <x v="9"/>
    <x v="1"/>
    <x v="1"/>
    <d v="1899-12-30T08:33:05"/>
    <s v="Maintenance"/>
    <x v="0"/>
    <x v="2"/>
    <x v="2"/>
    <x v="0"/>
  </r>
  <r>
    <s v="System Definitions: LIS parameters modified."/>
    <x v="10"/>
    <x v="0"/>
    <x v="1"/>
    <d v="1899-12-30T08:49:24"/>
    <s v="Setup"/>
    <x v="0"/>
    <x v="2"/>
    <x v="6"/>
    <x v="0"/>
  </r>
  <r>
    <s v="Analyzer Status changed from Ready to Busy."/>
    <x v="0"/>
    <x v="0"/>
    <x v="1"/>
    <d v="1899-12-30T08:50:12"/>
    <s v="Analyzer"/>
    <x v="0"/>
    <x v="0"/>
    <x v="0"/>
    <x v="0"/>
  </r>
  <r>
    <s v="Analyzer Status changed from Busy to Ready."/>
    <x v="0"/>
    <x v="0"/>
    <x v="1"/>
    <d v="1899-12-30T08:55:48"/>
    <s v="Analyzer"/>
    <x v="0"/>
    <x v="0"/>
    <x v="0"/>
    <x v="0"/>
  </r>
  <r>
    <s v="Analyzer Status changed from Ready to Maintenance."/>
    <x v="0"/>
    <x v="0"/>
    <x v="1"/>
    <d v="1899-12-30T08:55:48"/>
    <s v="Analyzer"/>
    <x v="0"/>
    <x v="0"/>
    <x v="0"/>
    <x v="0"/>
  </r>
  <r>
    <s v="Analyzer Status changed from Maintenance to Ready."/>
    <x v="0"/>
    <x v="0"/>
    <x v="1"/>
    <d v="1899-12-30T08:56:13"/>
    <s v="Analyzer"/>
    <x v="0"/>
    <x v="0"/>
    <x v="0"/>
    <x v="0"/>
  </r>
  <r>
    <s v="Automatic maintenance activity Automatic Routine Clean for all Probes has been executed."/>
    <x v="2"/>
    <x v="0"/>
    <x v="1"/>
    <d v="1899-12-30T08:56:13"/>
    <s v="Maintenance"/>
    <x v="0"/>
    <x v="2"/>
    <x v="2"/>
    <x v="0"/>
  </r>
  <r>
    <s v="D-Dimer HS Latex volume low."/>
    <x v="7"/>
    <x v="1"/>
    <x v="1"/>
    <d v="1899-12-30T08:57:51"/>
    <s v="Materials"/>
    <x v="0"/>
    <x v="3"/>
    <x v="4"/>
    <x v="0"/>
  </r>
  <r>
    <s v="Analyzer Status changed from Ready to Busy."/>
    <x v="0"/>
    <x v="0"/>
    <x v="1"/>
    <d v="1899-12-30T08:58:40"/>
    <s v="Analyzer"/>
    <x v="0"/>
    <x v="0"/>
    <x v="0"/>
    <x v="0"/>
  </r>
  <r>
    <s v="QFA Patient Required Clean Material shortage has been estimated. Monitor Clean B Diluted availability."/>
    <x v="11"/>
    <x v="1"/>
    <x v="1"/>
    <d v="1899-12-30T08:59:11"/>
    <s v="Materials"/>
    <x v="0"/>
    <x v="2"/>
    <x v="3"/>
    <x v="0"/>
  </r>
  <r>
    <s v="UFH Patient Required Clean Material shortage has been estimated. Monitor Clean B Diluted availability."/>
    <x v="11"/>
    <x v="1"/>
    <x v="1"/>
    <d v="1899-12-30T08:59:11"/>
    <s v="Materials"/>
    <x v="0"/>
    <x v="2"/>
    <x v="3"/>
    <x v="0"/>
  </r>
  <r>
    <s v="Analyzer Status changed from Busy to Ready."/>
    <x v="0"/>
    <x v="0"/>
    <x v="1"/>
    <d v="1899-12-30T09:05:49"/>
    <s v="Analyzer"/>
    <x v="0"/>
    <x v="0"/>
    <x v="0"/>
    <x v="0"/>
  </r>
  <r>
    <s v="Analyzer Status changed from Ready to Maintenance."/>
    <x v="0"/>
    <x v="0"/>
    <x v="1"/>
    <d v="1899-12-30T09:05:49"/>
    <s v="Analyzer"/>
    <x v="0"/>
    <x v="0"/>
    <x v="0"/>
    <x v="0"/>
  </r>
  <r>
    <s v="Analyzer Status changed from Maintenance to Ready."/>
    <x v="0"/>
    <x v="0"/>
    <x v="1"/>
    <d v="1899-12-30T09:06:16"/>
    <s v="Analyzer"/>
    <x v="0"/>
    <x v="0"/>
    <x v="0"/>
    <x v="0"/>
  </r>
  <r>
    <s v="Automatic maintenance activity Automatic Routine Clean for all Probes has been executed."/>
    <x v="2"/>
    <x v="0"/>
    <x v="1"/>
    <d v="1899-12-30T09:06:16"/>
    <s v="Maintenance"/>
    <x v="0"/>
    <x v="2"/>
    <x v="2"/>
    <x v="0"/>
  </r>
  <r>
    <s v="Analyzer Status changed from Ready to Busy."/>
    <x v="0"/>
    <x v="0"/>
    <x v="1"/>
    <d v="1899-12-30T09:08:22"/>
    <s v="Analyzer"/>
    <x v="0"/>
    <x v="0"/>
    <x v="0"/>
    <x v="0"/>
  </r>
  <r>
    <s v="Non-identified Sample in rack 01 position 1, track 9."/>
    <x v="12"/>
    <x v="2"/>
    <x v="1"/>
    <d v="1899-12-30T09:15:00"/>
    <s v="Materials"/>
    <x v="0"/>
    <x v="4"/>
    <x v="7"/>
    <x v="1"/>
  </r>
  <r>
    <s v="Analyzer Status changed from Busy to Ready."/>
    <x v="0"/>
    <x v="0"/>
    <x v="1"/>
    <d v="1899-12-30T09:25:10"/>
    <s v="Analyzer"/>
    <x v="0"/>
    <x v="0"/>
    <x v="0"/>
    <x v="0"/>
  </r>
  <r>
    <s v="Analyzer Status changed from Ready to Maintenance."/>
    <x v="0"/>
    <x v="0"/>
    <x v="1"/>
    <d v="1899-12-30T09:25:10"/>
    <s v="Analyzer"/>
    <x v="0"/>
    <x v="0"/>
    <x v="0"/>
    <x v="0"/>
  </r>
  <r>
    <s v="Analyzer Status changed from Maintenance to Ready."/>
    <x v="0"/>
    <x v="0"/>
    <x v="1"/>
    <d v="1899-12-30T09:25:38"/>
    <s v="Analyzer"/>
    <x v="0"/>
    <x v="0"/>
    <x v="0"/>
    <x v="0"/>
  </r>
  <r>
    <s v="Automatic maintenance activity Automatic Routine Clean for all Probes has been executed."/>
    <x v="2"/>
    <x v="0"/>
    <x v="1"/>
    <d v="1899-12-30T09:25:38"/>
    <s v="Maintenance"/>
    <x v="0"/>
    <x v="2"/>
    <x v="2"/>
    <x v="0"/>
  </r>
  <r>
    <s v="Auto-Validation Rules have been modified."/>
    <x v="8"/>
    <x v="0"/>
    <x v="1"/>
    <d v="1899-12-30T09:28:33"/>
    <s v="Setup"/>
    <x v="0"/>
    <x v="2"/>
    <x v="5"/>
    <x v="0"/>
  </r>
  <r>
    <s v="Communications between the instrument and the LIS have been lost."/>
    <x v="13"/>
    <x v="2"/>
    <x v="1"/>
    <d v="1899-12-30T09:38:18"/>
    <s v="LIS"/>
    <x v="0"/>
    <x v="2"/>
    <x v="6"/>
    <x v="0"/>
  </r>
  <r>
    <s v="Communications between the instrument and the LIS have been lost."/>
    <x v="13"/>
    <x v="2"/>
    <x v="1"/>
    <d v="1899-12-30T10:17:18"/>
    <s v="LIS"/>
    <x v="0"/>
    <x v="2"/>
    <x v="6"/>
    <x v="0"/>
  </r>
  <r>
    <s v="Analyzer Status changed from Ready to Maintenance."/>
    <x v="0"/>
    <x v="0"/>
    <x v="1"/>
    <d v="1899-12-30T10:25:38"/>
    <s v="Analyzer"/>
    <x v="0"/>
    <x v="0"/>
    <x v="0"/>
    <x v="0"/>
  </r>
  <r>
    <s v="Analyzer Status changed from Maintenance to Ready."/>
    <x v="0"/>
    <x v="0"/>
    <x v="1"/>
    <d v="1899-12-30T10:27:12"/>
    <s v="Analyzer"/>
    <x v="0"/>
    <x v="0"/>
    <x v="0"/>
    <x v="0"/>
  </r>
  <r>
    <s v="Automatic maintenance activity Automatic Fluidic Line Priming Cycle has been executed."/>
    <x v="2"/>
    <x v="0"/>
    <x v="1"/>
    <d v="1899-12-30T10:27:12"/>
    <s v="Maintenance"/>
    <x v="0"/>
    <x v="2"/>
    <x v="2"/>
    <x v="0"/>
  </r>
  <r>
    <s v="Non-identified Sample in rack 07 position 1, track 10."/>
    <x v="12"/>
    <x v="2"/>
    <x v="1"/>
    <d v="1899-12-30T11:08:22"/>
    <s v="Materials"/>
    <x v="0"/>
    <x v="4"/>
    <x v="7"/>
    <x v="1"/>
  </r>
  <r>
    <s v="Non-identified Sample in rack 07 position 1, track 10."/>
    <x v="12"/>
    <x v="2"/>
    <x v="1"/>
    <d v="1899-12-30T11:09:46"/>
    <s v="Materials"/>
    <x v="0"/>
    <x v="4"/>
    <x v="7"/>
    <x v="1"/>
  </r>
  <r>
    <s v="Analyzer Status changed from Ready to Busy."/>
    <x v="0"/>
    <x v="0"/>
    <x v="1"/>
    <d v="1899-12-30T11:09:53"/>
    <s v="Analyzer"/>
    <x v="0"/>
    <x v="0"/>
    <x v="0"/>
    <x v="0"/>
  </r>
  <r>
    <s v="Analyzer Status changed from Busy to Ready."/>
    <x v="0"/>
    <x v="0"/>
    <x v="1"/>
    <d v="1899-12-30T11:18:31"/>
    <s v="Analyzer"/>
    <x v="0"/>
    <x v="0"/>
    <x v="0"/>
    <x v="0"/>
  </r>
  <r>
    <s v="Analyzer Status changed from Ready to Maintenance."/>
    <x v="0"/>
    <x v="0"/>
    <x v="1"/>
    <d v="1899-12-30T11:18:31"/>
    <s v="Analyzer"/>
    <x v="0"/>
    <x v="0"/>
    <x v="0"/>
    <x v="0"/>
  </r>
  <r>
    <s v="Automatic maintenance activity Automatic Routine Clean for all Probes has been executed."/>
    <x v="2"/>
    <x v="0"/>
    <x v="1"/>
    <d v="1899-12-30T11:18:55"/>
    <s v="Maintenance"/>
    <x v="0"/>
    <x v="2"/>
    <x v="2"/>
    <x v="0"/>
  </r>
  <r>
    <s v="Analyzer Status changed from Maintenance to Ready."/>
    <x v="0"/>
    <x v="0"/>
    <x v="1"/>
    <d v="1899-12-30T11:18:56"/>
    <s v="Analyzer"/>
    <x v="0"/>
    <x v="0"/>
    <x v="0"/>
    <x v="0"/>
  </r>
  <r>
    <s v="Test Definition Hepz Fib has been modified."/>
    <x v="14"/>
    <x v="0"/>
    <x v="1"/>
    <d v="1899-12-30T11:51:28"/>
    <s v="Setup"/>
    <x v="0"/>
    <x v="2"/>
    <x v="5"/>
    <x v="0"/>
  </r>
  <r>
    <s v="Analyzer Status changed from Ready to Busy."/>
    <x v="0"/>
    <x v="0"/>
    <x v="1"/>
    <d v="1899-12-30T11:52:12"/>
    <s v="Analyzer"/>
    <x v="0"/>
    <x v="0"/>
    <x v="0"/>
    <x v="0"/>
  </r>
  <r>
    <s v="Analyzer Status changed from Busy to Ready."/>
    <x v="0"/>
    <x v="0"/>
    <x v="1"/>
    <d v="1899-12-30T11:58:20"/>
    <s v="Analyzer"/>
    <x v="0"/>
    <x v="0"/>
    <x v="0"/>
    <x v="0"/>
  </r>
  <r>
    <s v="Analyzer Status changed from Ready to Maintenance."/>
    <x v="0"/>
    <x v="0"/>
    <x v="1"/>
    <d v="1899-12-30T11:58:21"/>
    <s v="Analyzer"/>
    <x v="0"/>
    <x v="0"/>
    <x v="0"/>
    <x v="0"/>
  </r>
  <r>
    <s v="Analyzer Status changed from Maintenance to Ready."/>
    <x v="0"/>
    <x v="0"/>
    <x v="1"/>
    <d v="1899-12-30T11:58:45"/>
    <s v="Analyzer"/>
    <x v="0"/>
    <x v="0"/>
    <x v="0"/>
    <x v="0"/>
  </r>
  <r>
    <s v="Automatic maintenance activity Automatic Routine Clean for all Probes has been executed."/>
    <x v="2"/>
    <x v="0"/>
    <x v="1"/>
    <d v="1899-12-30T11:58:45"/>
    <s v="Maintenance"/>
    <x v="0"/>
    <x v="2"/>
    <x v="2"/>
    <x v="0"/>
  </r>
  <r>
    <s v="Analyzer Status changed from Ready to Busy."/>
    <x v="0"/>
    <x v="0"/>
    <x v="1"/>
    <d v="1899-12-30T12:07:12"/>
    <s v="Analyzer"/>
    <x v="0"/>
    <x v="0"/>
    <x v="0"/>
    <x v="0"/>
  </r>
  <r>
    <s v="Cuvettes low in the load area."/>
    <x v="15"/>
    <x v="1"/>
    <x v="1"/>
    <d v="1899-12-30T12:07:25"/>
    <s v="Materials"/>
    <x v="0"/>
    <x v="5"/>
    <x v="8"/>
    <x v="0"/>
  </r>
  <r>
    <s v="Analyzer Status changed from Busy to Ready."/>
    <x v="0"/>
    <x v="0"/>
    <x v="1"/>
    <d v="1899-12-30T12:14:32"/>
    <s v="Analyzer"/>
    <x v="0"/>
    <x v="0"/>
    <x v="0"/>
    <x v="0"/>
  </r>
  <r>
    <s v="Analyzer Status changed from Ready to Maintenance."/>
    <x v="0"/>
    <x v="0"/>
    <x v="1"/>
    <d v="1899-12-30T12:14:32"/>
    <s v="Analyzer"/>
    <x v="0"/>
    <x v="0"/>
    <x v="0"/>
    <x v="0"/>
  </r>
  <r>
    <s v="Automatic maintenance activity Automatic Routine Clean for all Probes has been executed."/>
    <x v="2"/>
    <x v="0"/>
    <x v="1"/>
    <d v="1899-12-30T12:14:58"/>
    <s v="Maintenance"/>
    <x v="0"/>
    <x v="2"/>
    <x v="2"/>
    <x v="0"/>
  </r>
  <r>
    <s v="Analyzer Status changed from Maintenance to Ready."/>
    <x v="0"/>
    <x v="0"/>
    <x v="1"/>
    <d v="1899-12-30T12:14:59"/>
    <s v="Analyzer"/>
    <x v="0"/>
    <x v="0"/>
    <x v="0"/>
    <x v="0"/>
  </r>
  <r>
    <s v="Communications between the instrument and the LIS have been lost."/>
    <x v="13"/>
    <x v="2"/>
    <x v="1"/>
    <d v="1899-12-30T12:28:18"/>
    <s v="LIS"/>
    <x v="0"/>
    <x v="2"/>
    <x v="6"/>
    <x v="0"/>
  </r>
  <r>
    <s v="Analyzer Status changed from Ready to Initializing."/>
    <x v="0"/>
    <x v="0"/>
    <x v="1"/>
    <d v="1899-12-30T12:33:34"/>
    <s v="Analyzer"/>
    <x v="0"/>
    <x v="0"/>
    <x v="0"/>
    <x v="0"/>
  </r>
  <r>
    <s v="Logout by user: LHO."/>
    <x v="16"/>
    <x v="0"/>
    <x v="1"/>
    <d v="1899-12-30T12:34:28"/>
    <s v="Other"/>
    <x v="0"/>
    <x v="2"/>
    <x v="5"/>
    <x v="0"/>
  </r>
  <r>
    <s v="LAS Interface Manager (IM) communications error."/>
    <x v="17"/>
    <x v="2"/>
    <x v="1"/>
    <d v="1899-12-30T12:44:46"/>
    <s v="LIS"/>
    <x v="1"/>
    <x v="2"/>
    <x v="9"/>
    <x v="0"/>
  </r>
  <r>
    <s v="Successful log in by user: LHO."/>
    <x v="18"/>
    <x v="0"/>
    <x v="1"/>
    <d v="1899-12-30T12:45:03"/>
    <s v="Other"/>
    <x v="0"/>
    <x v="2"/>
    <x v="5"/>
    <x v="0"/>
  </r>
  <r>
    <s v="Cuvettes low in the load area."/>
    <x v="15"/>
    <x v="1"/>
    <x v="1"/>
    <d v="1899-12-30T12:45:25"/>
    <s v="Materials"/>
    <x v="0"/>
    <x v="5"/>
    <x v="8"/>
    <x v="0"/>
  </r>
  <r>
    <s v="Analyzer Status changed from Not connected to Power up."/>
    <x v="0"/>
    <x v="0"/>
    <x v="1"/>
    <d v="1899-12-30T12:45:26"/>
    <s v="Analyzer"/>
    <x v="0"/>
    <x v="0"/>
    <x v="0"/>
    <x v="0"/>
  </r>
  <r>
    <s v="Analyzer Status changed from Power up to Initializing."/>
    <x v="0"/>
    <x v="0"/>
    <x v="1"/>
    <d v="1899-12-30T12:45:31"/>
    <s v="Analyzer"/>
    <x v="0"/>
    <x v="0"/>
    <x v="0"/>
    <x v="0"/>
  </r>
  <r>
    <s v="Analyzer Status changed from Initializing to Adjusting thermal."/>
    <x v="0"/>
    <x v="0"/>
    <x v="1"/>
    <d v="1899-12-30T12:47:22"/>
    <s v="Analyzer"/>
    <x v="0"/>
    <x v="0"/>
    <x v="0"/>
    <x v="0"/>
  </r>
  <r>
    <s v="Analyzer Status changed from Adjusting thermal to Ready."/>
    <x v="0"/>
    <x v="0"/>
    <x v="1"/>
    <d v="1899-12-30T12:49:27"/>
    <s v="Analyzer"/>
    <x v="0"/>
    <x v="0"/>
    <x v="0"/>
    <x v="0"/>
  </r>
  <r>
    <s v="Analyzer Status changed from Ready to Maintenance."/>
    <x v="0"/>
    <x v="0"/>
    <x v="1"/>
    <d v="1899-12-30T12:49:27"/>
    <s v="Analyzer"/>
    <x v="0"/>
    <x v="0"/>
    <x v="0"/>
    <x v="0"/>
  </r>
  <r>
    <s v="Analyzer Status changed from Maintenance to Ready."/>
    <x v="0"/>
    <x v="0"/>
    <x v="1"/>
    <d v="1899-12-30T12:50:41"/>
    <s v="Analyzer"/>
    <x v="0"/>
    <x v="0"/>
    <x v="0"/>
    <x v="0"/>
  </r>
  <r>
    <s v="Analyzer Status changed from Ready to Maintenance."/>
    <x v="0"/>
    <x v="0"/>
    <x v="1"/>
    <d v="1899-12-30T13:50:41"/>
    <s v="Analyzer"/>
    <x v="0"/>
    <x v="0"/>
    <x v="0"/>
    <x v="0"/>
  </r>
  <r>
    <s v="Analyzer Status changed from Maintenance to Ready."/>
    <x v="0"/>
    <x v="0"/>
    <x v="1"/>
    <d v="1899-12-30T13:51:02"/>
    <s v="Analyzer"/>
    <x v="0"/>
    <x v="0"/>
    <x v="0"/>
    <x v="0"/>
  </r>
  <r>
    <s v="Automatic maintenance activity Automatic Fluidic Line Priming Cycle has been executed."/>
    <x v="2"/>
    <x v="0"/>
    <x v="1"/>
    <d v="1899-12-30T13:51:02"/>
    <s v="Maintenance"/>
    <x v="0"/>
    <x v="2"/>
    <x v="2"/>
    <x v="0"/>
  </r>
  <r>
    <s v="Auto-Validation Rules have been modified."/>
    <x v="8"/>
    <x v="0"/>
    <x v="1"/>
    <d v="1899-12-30T14:21:33"/>
    <s v="Setup"/>
    <x v="0"/>
    <x v="2"/>
    <x v="5"/>
    <x v="0"/>
  </r>
  <r>
    <s v="Analyzer Status changed from Ready to Maintenance."/>
    <x v="0"/>
    <x v="0"/>
    <x v="1"/>
    <d v="1899-12-30T14:51:03"/>
    <s v="Analyzer"/>
    <x v="0"/>
    <x v="0"/>
    <x v="0"/>
    <x v="0"/>
  </r>
  <r>
    <s v="Analyzer Status changed from Maintenance to Ready."/>
    <x v="0"/>
    <x v="0"/>
    <x v="1"/>
    <d v="1899-12-30T14:51:24"/>
    <s v="Analyzer"/>
    <x v="0"/>
    <x v="0"/>
    <x v="0"/>
    <x v="0"/>
  </r>
  <r>
    <s v="Automatic maintenance activity Automatic Fluidic Line Priming Cycle has been executed."/>
    <x v="2"/>
    <x v="0"/>
    <x v="1"/>
    <d v="1899-12-30T14:51:24"/>
    <s v="Maintenance"/>
    <x v="0"/>
    <x v="2"/>
    <x v="2"/>
    <x v="0"/>
  </r>
  <r>
    <s v="Analyzer Status changed from Ready to Maintenance."/>
    <x v="0"/>
    <x v="0"/>
    <x v="1"/>
    <d v="1899-12-30T15:51:24"/>
    <s v="Analyzer"/>
    <x v="0"/>
    <x v="0"/>
    <x v="0"/>
    <x v="0"/>
  </r>
  <r>
    <s v="Analyzer Status changed from Maintenance to Ready."/>
    <x v="0"/>
    <x v="0"/>
    <x v="1"/>
    <d v="1899-12-30T15:51:46"/>
    <s v="Analyzer"/>
    <x v="0"/>
    <x v="0"/>
    <x v="0"/>
    <x v="0"/>
  </r>
  <r>
    <s v="Automatic maintenance activity Automatic Fluidic Line Priming Cycle has been executed."/>
    <x v="2"/>
    <x v="0"/>
    <x v="1"/>
    <d v="1899-12-30T15:51:46"/>
    <s v="Maintenance"/>
    <x v="0"/>
    <x v="2"/>
    <x v="2"/>
    <x v="0"/>
  </r>
  <r>
    <s v="Analyzer Status changed from Ready to Maintenance."/>
    <x v="0"/>
    <x v="0"/>
    <x v="1"/>
    <d v="1899-12-30T16:51:46"/>
    <s v="Analyzer"/>
    <x v="0"/>
    <x v="0"/>
    <x v="0"/>
    <x v="0"/>
  </r>
  <r>
    <s v="Analyzer Status changed from Maintenance to Ready."/>
    <x v="0"/>
    <x v="0"/>
    <x v="1"/>
    <d v="1899-12-30T16:52:08"/>
    <s v="Analyzer"/>
    <x v="0"/>
    <x v="0"/>
    <x v="0"/>
    <x v="0"/>
  </r>
  <r>
    <s v="Automatic maintenance activity Automatic Fluidic Line Priming Cycle has been executed."/>
    <x v="2"/>
    <x v="0"/>
    <x v="1"/>
    <d v="1899-12-30T16:52:08"/>
    <s v="Maintenance"/>
    <x v="0"/>
    <x v="2"/>
    <x v="2"/>
    <x v="0"/>
  </r>
  <r>
    <s v="Analyzer Status changed from Ready to Maintenance."/>
    <x v="0"/>
    <x v="0"/>
    <x v="1"/>
    <d v="1899-12-30T17:52:08"/>
    <s v="Analyzer"/>
    <x v="0"/>
    <x v="0"/>
    <x v="0"/>
    <x v="0"/>
  </r>
  <r>
    <s v="Analyzer Status changed from Maintenance to Ready."/>
    <x v="0"/>
    <x v="0"/>
    <x v="1"/>
    <d v="1899-12-30T17:52:30"/>
    <s v="Analyzer"/>
    <x v="0"/>
    <x v="0"/>
    <x v="0"/>
    <x v="0"/>
  </r>
  <r>
    <s v="Automatic maintenance activity Automatic Fluidic Line Priming Cycle has been executed."/>
    <x v="2"/>
    <x v="0"/>
    <x v="1"/>
    <d v="1899-12-30T17:52:30"/>
    <s v="Maintenance"/>
    <x v="0"/>
    <x v="2"/>
    <x v="2"/>
    <x v="0"/>
  </r>
  <r>
    <s v="Analyzer Status changed from Ready to Maintenance."/>
    <x v="0"/>
    <x v="0"/>
    <x v="1"/>
    <d v="1899-12-30T18:52:30"/>
    <s v="Analyzer"/>
    <x v="0"/>
    <x v="0"/>
    <x v="0"/>
    <x v="0"/>
  </r>
  <r>
    <s v="Analyzer Status changed from Maintenance to Ready."/>
    <x v="0"/>
    <x v="0"/>
    <x v="1"/>
    <d v="1899-12-30T18:52:52"/>
    <s v="Analyzer"/>
    <x v="0"/>
    <x v="0"/>
    <x v="0"/>
    <x v="0"/>
  </r>
  <r>
    <s v="Automatic maintenance activity Automatic Fluidic Line Priming Cycle has been executed."/>
    <x v="2"/>
    <x v="0"/>
    <x v="1"/>
    <d v="1899-12-30T18:52:52"/>
    <s v="Maintenance"/>
    <x v="0"/>
    <x v="2"/>
    <x v="2"/>
    <x v="0"/>
  </r>
  <r>
    <s v="Analyzer Status changed from Ready to Maintenance."/>
    <x v="0"/>
    <x v="0"/>
    <x v="1"/>
    <d v="1899-12-30T19:52:52"/>
    <s v="Analyzer"/>
    <x v="0"/>
    <x v="0"/>
    <x v="0"/>
    <x v="0"/>
  </r>
  <r>
    <s v="Analyzer Status changed from Maintenance to Ready."/>
    <x v="0"/>
    <x v="0"/>
    <x v="1"/>
    <d v="1899-12-30T19:53:14"/>
    <s v="Analyzer"/>
    <x v="0"/>
    <x v="0"/>
    <x v="0"/>
    <x v="0"/>
  </r>
  <r>
    <s v="Automatic maintenance activity Automatic Fluidic Line Priming Cycle has been executed."/>
    <x v="2"/>
    <x v="0"/>
    <x v="1"/>
    <d v="1899-12-30T19:53:14"/>
    <s v="Maintenance"/>
    <x v="0"/>
    <x v="2"/>
    <x v="2"/>
    <x v="0"/>
  </r>
  <r>
    <s v="Analyzer Status changed from Ready to Maintenance."/>
    <x v="0"/>
    <x v="0"/>
    <x v="1"/>
    <d v="1899-12-30T20:53:14"/>
    <s v="Analyzer"/>
    <x v="0"/>
    <x v="0"/>
    <x v="0"/>
    <x v="0"/>
  </r>
  <r>
    <s v="Clean solution level low."/>
    <x v="19"/>
    <x v="1"/>
    <x v="1"/>
    <d v="1899-12-30T20:53:21"/>
    <s v="Materials"/>
    <x v="0"/>
    <x v="1"/>
    <x v="10"/>
    <x v="0"/>
  </r>
  <r>
    <s v="Analyzer Status changed from Maintenance to Ready."/>
    <x v="0"/>
    <x v="0"/>
    <x v="1"/>
    <d v="1899-12-30T20:53:36"/>
    <s v="Analyzer"/>
    <x v="0"/>
    <x v="0"/>
    <x v="0"/>
    <x v="0"/>
  </r>
  <r>
    <s v="Automatic maintenance activity Automatic Fluidic Line Priming Cycle has been executed."/>
    <x v="2"/>
    <x v="0"/>
    <x v="1"/>
    <d v="1899-12-30T20:53:36"/>
    <s v="Maintenance"/>
    <x v="0"/>
    <x v="2"/>
    <x v="2"/>
    <x v="0"/>
  </r>
  <r>
    <s v="Analyzer Status changed from Ready to Maintenance."/>
    <x v="0"/>
    <x v="0"/>
    <x v="1"/>
    <d v="1899-12-30T21:53:36"/>
    <s v="Analyzer"/>
    <x v="0"/>
    <x v="0"/>
    <x v="0"/>
    <x v="0"/>
  </r>
  <r>
    <s v="Analyzer Status changed from Maintenance to Ready."/>
    <x v="0"/>
    <x v="0"/>
    <x v="1"/>
    <d v="1899-12-30T21:53:58"/>
    <s v="Analyzer"/>
    <x v="0"/>
    <x v="0"/>
    <x v="0"/>
    <x v="0"/>
  </r>
  <r>
    <s v="Automatic maintenance activity Automatic Fluidic Line Priming Cycle has been executed."/>
    <x v="2"/>
    <x v="0"/>
    <x v="1"/>
    <d v="1899-12-30T21:53:58"/>
    <s v="Maintenance"/>
    <x v="0"/>
    <x v="2"/>
    <x v="2"/>
    <x v="0"/>
  </r>
  <r>
    <s v="Analyzer Status changed from Ready to Maintenance."/>
    <x v="0"/>
    <x v="0"/>
    <x v="1"/>
    <d v="1899-12-30T22:53:58"/>
    <s v="Analyzer"/>
    <x v="0"/>
    <x v="0"/>
    <x v="0"/>
    <x v="0"/>
  </r>
  <r>
    <s v="Automatic maintenance activity Automatic Fluidic Line Priming Cycle has been executed."/>
    <x v="2"/>
    <x v="0"/>
    <x v="1"/>
    <d v="1899-12-30T22:54:19"/>
    <s v="Maintenance"/>
    <x v="0"/>
    <x v="2"/>
    <x v="2"/>
    <x v="0"/>
  </r>
  <r>
    <s v="Analyzer Status changed from Maintenance to Ready."/>
    <x v="0"/>
    <x v="0"/>
    <x v="1"/>
    <d v="1899-12-30T22:54:20"/>
    <s v="Analyzer"/>
    <x v="0"/>
    <x v="0"/>
    <x v="0"/>
    <x v="0"/>
  </r>
  <r>
    <s v="Analyzer Status changed from Ready to Maintenance."/>
    <x v="0"/>
    <x v="0"/>
    <x v="1"/>
    <d v="1899-12-30T23:54:20"/>
    <s v="Analyzer"/>
    <x v="0"/>
    <x v="0"/>
    <x v="0"/>
    <x v="0"/>
  </r>
  <r>
    <s v="Analyzer Status changed from Maintenance to Ready."/>
    <x v="0"/>
    <x v="0"/>
    <x v="1"/>
    <d v="1899-12-30T23:54:42"/>
    <s v="Analyzer"/>
    <x v="0"/>
    <x v="0"/>
    <x v="0"/>
    <x v="0"/>
  </r>
  <r>
    <s v="Automatic maintenance activity Automatic Fluidic Line Priming Cycle has been executed."/>
    <x v="2"/>
    <x v="0"/>
    <x v="1"/>
    <d v="1899-12-30T23:54:42"/>
    <s v="Maintenance"/>
    <x v="0"/>
    <x v="2"/>
    <x v="2"/>
    <x v="0"/>
  </r>
  <r>
    <s v="Analyzer Status changed from Ready to Maintenance."/>
    <x v="0"/>
    <x v="0"/>
    <x v="2"/>
    <d v="1899-12-30T00:54:42"/>
    <s v="Analyzer"/>
    <x v="0"/>
    <x v="0"/>
    <x v="0"/>
    <x v="0"/>
  </r>
  <r>
    <s v="Analyzer Status changed from Maintenance to Ready."/>
    <x v="0"/>
    <x v="0"/>
    <x v="2"/>
    <d v="1899-12-30T00:55:04"/>
    <s v="Analyzer"/>
    <x v="0"/>
    <x v="0"/>
    <x v="0"/>
    <x v="0"/>
  </r>
  <r>
    <s v="Automatic maintenance activity Automatic Fluidic Line Priming Cycle has been executed."/>
    <x v="2"/>
    <x v="0"/>
    <x v="2"/>
    <d v="1899-12-30T00:55:04"/>
    <s v="Maintenance"/>
    <x v="0"/>
    <x v="2"/>
    <x v="2"/>
    <x v="0"/>
  </r>
  <r>
    <s v="Analyzer Status changed from Ready to Maintenance."/>
    <x v="0"/>
    <x v="0"/>
    <x v="2"/>
    <d v="1899-12-30T01:55:04"/>
    <s v="Analyzer"/>
    <x v="0"/>
    <x v="0"/>
    <x v="0"/>
    <x v="0"/>
  </r>
  <r>
    <s v="Analyzer Status changed from Maintenance to Ready."/>
    <x v="0"/>
    <x v="0"/>
    <x v="2"/>
    <d v="1899-12-30T01:55:26"/>
    <s v="Analyzer"/>
    <x v="0"/>
    <x v="0"/>
    <x v="0"/>
    <x v="0"/>
  </r>
  <r>
    <s v="Automatic maintenance activity Automatic Fluidic Line Priming Cycle has been executed."/>
    <x v="2"/>
    <x v="0"/>
    <x v="2"/>
    <d v="1899-12-30T01:55:26"/>
    <s v="Maintenance"/>
    <x v="0"/>
    <x v="2"/>
    <x v="2"/>
    <x v="0"/>
  </r>
  <r>
    <s v="Analyzer Status changed from Ready to Maintenance."/>
    <x v="0"/>
    <x v="0"/>
    <x v="2"/>
    <d v="1899-12-30T02:55:26"/>
    <s v="Analyzer"/>
    <x v="0"/>
    <x v="0"/>
    <x v="0"/>
    <x v="0"/>
  </r>
  <r>
    <s v="Analyzer Status changed from Maintenance to Ready."/>
    <x v="0"/>
    <x v="0"/>
    <x v="2"/>
    <d v="1899-12-30T02:55:48"/>
    <s v="Analyzer"/>
    <x v="0"/>
    <x v="0"/>
    <x v="0"/>
    <x v="0"/>
  </r>
  <r>
    <s v="Automatic maintenance activity Automatic Fluidic Line Priming Cycle has been executed."/>
    <x v="2"/>
    <x v="0"/>
    <x v="2"/>
    <d v="1899-12-30T02:55:48"/>
    <s v="Maintenance"/>
    <x v="0"/>
    <x v="2"/>
    <x v="2"/>
    <x v="0"/>
  </r>
  <r>
    <s v="Analyzer Status changed from Ready to Maintenance."/>
    <x v="0"/>
    <x v="0"/>
    <x v="2"/>
    <d v="1899-12-30T03:55:48"/>
    <s v="Analyzer"/>
    <x v="0"/>
    <x v="0"/>
    <x v="0"/>
    <x v="0"/>
  </r>
  <r>
    <s v="Analyzer Status changed from Maintenance to Ready."/>
    <x v="0"/>
    <x v="0"/>
    <x v="2"/>
    <d v="1899-12-30T03:56:10"/>
    <s v="Analyzer"/>
    <x v="0"/>
    <x v="0"/>
    <x v="0"/>
    <x v="0"/>
  </r>
  <r>
    <s v="Automatic maintenance activity Automatic Fluidic Line Priming Cycle has been executed."/>
    <x v="2"/>
    <x v="0"/>
    <x v="2"/>
    <d v="1899-12-30T03:56:10"/>
    <s v="Maintenance"/>
    <x v="0"/>
    <x v="2"/>
    <x v="2"/>
    <x v="0"/>
  </r>
  <r>
    <s v="Analyzer Status changed from Ready to Maintenance."/>
    <x v="0"/>
    <x v="0"/>
    <x v="2"/>
    <d v="1899-12-30T04:56:10"/>
    <s v="Analyzer"/>
    <x v="0"/>
    <x v="0"/>
    <x v="0"/>
    <x v="0"/>
  </r>
  <r>
    <s v="Analyzer Status changed from Maintenance to Ready."/>
    <x v="0"/>
    <x v="0"/>
    <x v="2"/>
    <d v="1899-12-30T04:56:31"/>
    <s v="Analyzer"/>
    <x v="0"/>
    <x v="0"/>
    <x v="0"/>
    <x v="0"/>
  </r>
  <r>
    <s v="Automatic maintenance activity Automatic Fluidic Line Priming Cycle has been executed."/>
    <x v="2"/>
    <x v="0"/>
    <x v="2"/>
    <d v="1899-12-30T04:56:31"/>
    <s v="Maintenance"/>
    <x v="0"/>
    <x v="2"/>
    <x v="2"/>
    <x v="0"/>
  </r>
  <r>
    <s v="Analyzer Status changed from Ready to Maintenance."/>
    <x v="0"/>
    <x v="0"/>
    <x v="2"/>
    <d v="1899-12-30T05:56:32"/>
    <s v="Analyzer"/>
    <x v="0"/>
    <x v="0"/>
    <x v="0"/>
    <x v="0"/>
  </r>
  <r>
    <s v="Automatic maintenance activity Automatic Fluidic Line Priming Cycle has been executed."/>
    <x v="2"/>
    <x v="0"/>
    <x v="2"/>
    <d v="1899-12-30T05:56:53"/>
    <s v="Maintenance"/>
    <x v="0"/>
    <x v="2"/>
    <x v="2"/>
    <x v="0"/>
  </r>
  <r>
    <s v="Analyzer Status changed from Maintenance to Ready."/>
    <x v="0"/>
    <x v="0"/>
    <x v="2"/>
    <d v="1899-12-30T05:56:54"/>
    <s v="Analyzer"/>
    <x v="0"/>
    <x v="0"/>
    <x v="0"/>
    <x v="0"/>
  </r>
  <r>
    <s v="Maintenance activity due: Enhanced Clean for Sample and Reagent Probes."/>
    <x v="9"/>
    <x v="1"/>
    <x v="2"/>
    <d v="1899-12-30T06:36:44"/>
    <s v="Maintenance"/>
    <x v="0"/>
    <x v="2"/>
    <x v="2"/>
    <x v="0"/>
  </r>
  <r>
    <s v="Maintenance activity due: Enhanced Clean for all Probes."/>
    <x v="9"/>
    <x v="1"/>
    <x v="2"/>
    <d v="1899-12-30T06:36:45"/>
    <s v="Maintenance"/>
    <x v="0"/>
    <x v="2"/>
    <x v="2"/>
    <x v="0"/>
  </r>
  <r>
    <s v="Maintenance activity due: make new diluted clean B."/>
    <x v="9"/>
    <x v="1"/>
    <x v="2"/>
    <d v="1899-12-30T06:38:45"/>
    <s v="Maintenance"/>
    <x v="0"/>
    <x v="2"/>
    <x v="2"/>
    <x v="0"/>
  </r>
  <r>
    <s v="Maintenance activity due: replace factor diluent."/>
    <x v="9"/>
    <x v="1"/>
    <x v="2"/>
    <d v="1899-12-30T06:38:45"/>
    <s v="Maintenance"/>
    <x v="0"/>
    <x v="2"/>
    <x v="2"/>
    <x v="0"/>
  </r>
  <r>
    <s v="Analyzer Status changed from Ready to Maintenance."/>
    <x v="0"/>
    <x v="0"/>
    <x v="2"/>
    <d v="1899-12-30T06:56:54"/>
    <s v="Analyzer"/>
    <x v="0"/>
    <x v="0"/>
    <x v="0"/>
    <x v="0"/>
  </r>
  <r>
    <s v="Analyzer Status changed from Maintenance to Ready."/>
    <x v="0"/>
    <x v="0"/>
    <x v="2"/>
    <d v="1899-12-30T06:57:15"/>
    <s v="Analyzer"/>
    <x v="0"/>
    <x v="0"/>
    <x v="0"/>
    <x v="0"/>
  </r>
  <r>
    <s v="Automatic maintenance activity Automatic Fluidic Line Priming Cycle has been executed."/>
    <x v="2"/>
    <x v="0"/>
    <x v="2"/>
    <d v="1899-12-30T06:57:15"/>
    <s v="Maintenance"/>
    <x v="0"/>
    <x v="2"/>
    <x v="2"/>
    <x v="0"/>
  </r>
  <r>
    <s v="Maintenance activity overdue: Enhanced Clean for Sample and Reagent Probes."/>
    <x v="20"/>
    <x v="1"/>
    <x v="2"/>
    <d v="1899-12-30T07:36:44"/>
    <s v="Maintenance"/>
    <x v="0"/>
    <x v="2"/>
    <x v="2"/>
    <x v="0"/>
  </r>
  <r>
    <s v="Maintenance activity overdue: make new diluted clean B."/>
    <x v="20"/>
    <x v="1"/>
    <x v="2"/>
    <d v="1899-12-30T07:38:45"/>
    <s v="Maintenance"/>
    <x v="0"/>
    <x v="2"/>
    <x v="2"/>
    <x v="0"/>
  </r>
  <r>
    <s v="Maintenance activity overdue: replace factor diluent."/>
    <x v="20"/>
    <x v="1"/>
    <x v="2"/>
    <d v="1899-12-30T07:38:45"/>
    <s v="Maintenance"/>
    <x v="0"/>
    <x v="2"/>
    <x v="2"/>
    <x v="0"/>
  </r>
  <r>
    <s v="Analyzer Status changed from Ready to Maintenance."/>
    <x v="0"/>
    <x v="0"/>
    <x v="2"/>
    <d v="1899-12-30T07:57:16"/>
    <s v="Analyzer"/>
    <x v="0"/>
    <x v="0"/>
    <x v="0"/>
    <x v="0"/>
  </r>
  <r>
    <s v="Analyzer Status changed from Maintenance to Ready."/>
    <x v="0"/>
    <x v="0"/>
    <x v="2"/>
    <d v="1899-12-30T07:57:37"/>
    <s v="Analyzer"/>
    <x v="0"/>
    <x v="0"/>
    <x v="0"/>
    <x v="0"/>
  </r>
  <r>
    <s v="Automatic maintenance activity Automatic Fluidic Line Priming Cycle has been executed."/>
    <x v="2"/>
    <x v="0"/>
    <x v="2"/>
    <d v="1899-12-30T07:57:37"/>
    <s v="Maintenance"/>
    <x v="0"/>
    <x v="2"/>
    <x v="2"/>
    <x v="0"/>
  </r>
  <r>
    <s v="Test Definition FXI-SS has been modified."/>
    <x v="14"/>
    <x v="0"/>
    <x v="2"/>
    <d v="1899-12-30T07:58:12"/>
    <s v="Setup"/>
    <x v="0"/>
    <x v="2"/>
    <x v="5"/>
    <x v="0"/>
  </r>
  <r>
    <s v="Test Definition FXI XDIL has been modified."/>
    <x v="14"/>
    <x v="0"/>
    <x v="2"/>
    <d v="1899-12-30T07:58:15"/>
    <s v="Setup"/>
    <x v="0"/>
    <x v="2"/>
    <x v="5"/>
    <x v="0"/>
  </r>
  <r>
    <s v="Test Definition FX-RP has been modified."/>
    <x v="14"/>
    <x v="0"/>
    <x v="2"/>
    <d v="1899-12-30T07:58:35"/>
    <s v="Setup"/>
    <x v="0"/>
    <x v="2"/>
    <x v="5"/>
    <x v="0"/>
  </r>
  <r>
    <s v="Test Definition FX XDIL has been modified."/>
    <x v="14"/>
    <x v="0"/>
    <x v="2"/>
    <d v="1899-12-30T07:58:36"/>
    <s v="Setup"/>
    <x v="0"/>
    <x v="2"/>
    <x v="5"/>
    <x v="0"/>
  </r>
  <r>
    <s v="Test Definition FXII-SS has been modified."/>
    <x v="14"/>
    <x v="0"/>
    <x v="2"/>
    <d v="1899-12-30T07:59:00"/>
    <s v="Setup"/>
    <x v="0"/>
    <x v="2"/>
    <x v="5"/>
    <x v="0"/>
  </r>
  <r>
    <s v="Test Definition FXII XDL has been modified."/>
    <x v="14"/>
    <x v="0"/>
    <x v="2"/>
    <d v="1899-12-30T07:59:02"/>
    <s v="Setup"/>
    <x v="0"/>
    <x v="2"/>
    <x v="5"/>
    <x v="0"/>
  </r>
  <r>
    <s v="Test Definition FXII XDL has been modified."/>
    <x v="14"/>
    <x v="0"/>
    <x v="2"/>
    <d v="1899-12-30T08:00:23"/>
    <s v="Setup"/>
    <x v="0"/>
    <x v="2"/>
    <x v="5"/>
    <x v="0"/>
  </r>
  <r>
    <s v="Test Definition FXI XDIL has been modified."/>
    <x v="14"/>
    <x v="0"/>
    <x v="2"/>
    <d v="1899-12-30T08:01:03"/>
    <s v="Setup"/>
    <x v="0"/>
    <x v="2"/>
    <x v="5"/>
    <x v="0"/>
  </r>
  <r>
    <s v="Test Definition FX XDIL has been modified."/>
    <x v="14"/>
    <x v="0"/>
    <x v="2"/>
    <d v="1899-12-30T08:01:23"/>
    <s v="Setup"/>
    <x v="0"/>
    <x v="2"/>
    <x v="5"/>
    <x v="0"/>
  </r>
  <r>
    <s v="Test Definition FV-RP has been modified."/>
    <x v="14"/>
    <x v="0"/>
    <x v="2"/>
    <d v="1899-12-30T08:01:49"/>
    <s v="Setup"/>
    <x v="0"/>
    <x v="2"/>
    <x v="5"/>
    <x v="0"/>
  </r>
  <r>
    <s v="Test Definition FV XDIL has been modified."/>
    <x v="14"/>
    <x v="0"/>
    <x v="2"/>
    <d v="1899-12-30T08:01:51"/>
    <s v="Setup"/>
    <x v="0"/>
    <x v="2"/>
    <x v="5"/>
    <x v="0"/>
  </r>
  <r>
    <s v="Test Definition FVII-RP has been modified."/>
    <x v="14"/>
    <x v="0"/>
    <x v="2"/>
    <d v="1899-12-30T08:02:10"/>
    <s v="Setup"/>
    <x v="0"/>
    <x v="2"/>
    <x v="5"/>
    <x v="0"/>
  </r>
  <r>
    <s v="Test Definition FVII XDL has been modified."/>
    <x v="14"/>
    <x v="0"/>
    <x v="2"/>
    <d v="1899-12-30T08:02:12"/>
    <s v="Setup"/>
    <x v="0"/>
    <x v="2"/>
    <x v="5"/>
    <x v="0"/>
  </r>
  <r>
    <s v="Test Definition FVIII XD has been modified."/>
    <x v="14"/>
    <x v="0"/>
    <x v="2"/>
    <d v="1899-12-30T08:04:08"/>
    <s v="Setup"/>
    <x v="0"/>
    <x v="2"/>
    <x v="5"/>
    <x v="0"/>
  </r>
  <r>
    <s v="Test Definition FVIII XD has been modified."/>
    <x v="14"/>
    <x v="0"/>
    <x v="2"/>
    <d v="1899-12-30T08:04:52"/>
    <s v="Setup"/>
    <x v="0"/>
    <x v="2"/>
    <x v="5"/>
    <x v="0"/>
  </r>
  <r>
    <s v="Test Definition FVII XDL has been modified."/>
    <x v="14"/>
    <x v="0"/>
    <x v="2"/>
    <d v="1899-12-30T08:05:48"/>
    <s v="Setup"/>
    <x v="0"/>
    <x v="2"/>
    <x v="5"/>
    <x v="0"/>
  </r>
  <r>
    <s v="Test Definition FV XDIL has been modified."/>
    <x v="14"/>
    <x v="0"/>
    <x v="2"/>
    <d v="1899-12-30T08:06:12"/>
    <s v="Setup"/>
    <x v="0"/>
    <x v="2"/>
    <x v="5"/>
    <x v="0"/>
  </r>
  <r>
    <s v="Test Definition FIX-SS has been modified."/>
    <x v="14"/>
    <x v="0"/>
    <x v="2"/>
    <d v="1899-12-30T08:06:41"/>
    <s v="Setup"/>
    <x v="0"/>
    <x v="2"/>
    <x v="5"/>
    <x v="0"/>
  </r>
  <r>
    <s v="Test Definition FIX XDIL has been modified."/>
    <x v="14"/>
    <x v="0"/>
    <x v="2"/>
    <d v="1899-12-30T08:06:43"/>
    <s v="Setup"/>
    <x v="0"/>
    <x v="2"/>
    <x v="5"/>
    <x v="0"/>
  </r>
  <r>
    <s v="Test Definition FIX XDIL has been modified."/>
    <x v="14"/>
    <x v="0"/>
    <x v="2"/>
    <d v="1899-12-30T08:07:04"/>
    <s v="Setup"/>
    <x v="0"/>
    <x v="2"/>
    <x v="5"/>
    <x v="0"/>
  </r>
  <r>
    <s v="Test Definition FII-RP has been modified."/>
    <x v="14"/>
    <x v="0"/>
    <x v="2"/>
    <d v="1899-12-30T08:07:56"/>
    <s v="Setup"/>
    <x v="0"/>
    <x v="2"/>
    <x v="5"/>
    <x v="0"/>
  </r>
  <r>
    <s v="Test Definition FII XDIL has been modified."/>
    <x v="14"/>
    <x v="0"/>
    <x v="2"/>
    <d v="1899-12-30T08:07:58"/>
    <s v="Setup"/>
    <x v="0"/>
    <x v="2"/>
    <x v="5"/>
    <x v="0"/>
  </r>
  <r>
    <s v="Maintenance activity overdue: Wipe-down all Probes."/>
    <x v="20"/>
    <x v="1"/>
    <x v="2"/>
    <d v="1899-12-30T08:25:44"/>
    <s v="Maintenance"/>
    <x v="0"/>
    <x v="2"/>
    <x v="2"/>
    <x v="0"/>
  </r>
  <r>
    <s v="Maintenance activity overdue: Wipe-down Sample Probe."/>
    <x v="20"/>
    <x v="1"/>
    <x v="2"/>
    <d v="1899-12-30T08:25:44"/>
    <s v="Maintenance"/>
    <x v="0"/>
    <x v="2"/>
    <x v="2"/>
    <x v="0"/>
  </r>
  <r>
    <s v="Maintenance activity overdue: Clean Cuvette Waste Drawer."/>
    <x v="20"/>
    <x v="1"/>
    <x v="2"/>
    <d v="1899-12-30T08:32:44"/>
    <s v="Maintenance"/>
    <x v="0"/>
    <x v="2"/>
    <x v="2"/>
    <x v="0"/>
  </r>
  <r>
    <s v="Analyzer Status changed from Ready to Maintenance."/>
    <x v="0"/>
    <x v="0"/>
    <x v="2"/>
    <d v="1899-12-30T08:57:37"/>
    <s v="Analyzer"/>
    <x v="0"/>
    <x v="0"/>
    <x v="0"/>
    <x v="0"/>
  </r>
  <r>
    <s v="Analyzer Status changed from Maintenance to Ready."/>
    <x v="0"/>
    <x v="0"/>
    <x v="2"/>
    <d v="1899-12-30T08:57:59"/>
    <s v="Analyzer"/>
    <x v="0"/>
    <x v="0"/>
    <x v="0"/>
    <x v="0"/>
  </r>
  <r>
    <s v="Automatic maintenance activity Automatic Fluidic Line Priming Cycle has been executed."/>
    <x v="2"/>
    <x v="0"/>
    <x v="2"/>
    <d v="1899-12-30T08:57:59"/>
    <s v="Maintenance"/>
    <x v="0"/>
    <x v="2"/>
    <x v="2"/>
    <x v="0"/>
  </r>
  <r>
    <s v="Reflex Rule FII-dil has been deleted."/>
    <x v="21"/>
    <x v="0"/>
    <x v="2"/>
    <d v="1899-12-30T09:34:19"/>
    <s v="Setup"/>
    <x v="0"/>
    <x v="2"/>
    <x v="5"/>
    <x v="0"/>
  </r>
  <r>
    <s v="Reflex Rule FIX-dil has been deleted."/>
    <x v="21"/>
    <x v="0"/>
    <x v="2"/>
    <d v="1899-12-30T09:34:30"/>
    <s v="Setup"/>
    <x v="0"/>
    <x v="2"/>
    <x v="5"/>
    <x v="0"/>
  </r>
  <r>
    <s v="Reflex Rule FV-dil has been deleted."/>
    <x v="21"/>
    <x v="0"/>
    <x v="2"/>
    <d v="1899-12-30T09:34:36"/>
    <s v="Setup"/>
    <x v="0"/>
    <x v="2"/>
    <x v="5"/>
    <x v="0"/>
  </r>
  <r>
    <s v="Reflex Rule FVII-dil has been deleted."/>
    <x v="21"/>
    <x v="0"/>
    <x v="2"/>
    <d v="1899-12-30T09:34:41"/>
    <s v="Setup"/>
    <x v="0"/>
    <x v="2"/>
    <x v="5"/>
    <x v="0"/>
  </r>
  <r>
    <s v="Reflex Rule FVIII-dil has been deleted."/>
    <x v="21"/>
    <x v="0"/>
    <x v="2"/>
    <d v="1899-12-30T09:34:48"/>
    <s v="Setup"/>
    <x v="0"/>
    <x v="2"/>
    <x v="5"/>
    <x v="0"/>
  </r>
  <r>
    <s v="Reflex Rule FX-dil has been deleted."/>
    <x v="21"/>
    <x v="0"/>
    <x v="2"/>
    <d v="1899-12-30T09:34:51"/>
    <s v="Setup"/>
    <x v="0"/>
    <x v="2"/>
    <x v="5"/>
    <x v="0"/>
  </r>
  <r>
    <s v="Reflex Rule FXI-dil has been deleted."/>
    <x v="21"/>
    <x v="0"/>
    <x v="2"/>
    <d v="1899-12-30T09:34:53"/>
    <s v="Setup"/>
    <x v="0"/>
    <x v="2"/>
    <x v="5"/>
    <x v="0"/>
  </r>
  <r>
    <s v="Reflex Rule FXII-dil has been deleted."/>
    <x v="21"/>
    <x v="0"/>
    <x v="2"/>
    <d v="1899-12-30T09:34:56"/>
    <s v="Setup"/>
    <x v="0"/>
    <x v="2"/>
    <x v="5"/>
    <x v="0"/>
  </r>
  <r>
    <s v="Test Definition FX-RP has been modified."/>
    <x v="14"/>
    <x v="0"/>
    <x v="2"/>
    <d v="1899-12-30T09:35:15"/>
    <s v="Setup"/>
    <x v="0"/>
    <x v="2"/>
    <x v="5"/>
    <x v="0"/>
  </r>
  <r>
    <s v="Test Definition FX XDIL has been modified."/>
    <x v="14"/>
    <x v="0"/>
    <x v="2"/>
    <d v="1899-12-30T09:35:17"/>
    <s v="Setup"/>
    <x v="0"/>
    <x v="2"/>
    <x v="5"/>
    <x v="0"/>
  </r>
  <r>
    <s v="Test Definition FXI-SS has been modified."/>
    <x v="14"/>
    <x v="0"/>
    <x v="2"/>
    <d v="1899-12-30T09:35:40"/>
    <s v="Setup"/>
    <x v="0"/>
    <x v="2"/>
    <x v="5"/>
    <x v="0"/>
  </r>
  <r>
    <s v="Test Definition FXI XDIL has been modified."/>
    <x v="14"/>
    <x v="0"/>
    <x v="2"/>
    <d v="1899-12-30T09:35:43"/>
    <s v="Setup"/>
    <x v="0"/>
    <x v="2"/>
    <x v="5"/>
    <x v="0"/>
  </r>
  <r>
    <s v="Test Definition FXII-SS has been modified."/>
    <x v="14"/>
    <x v="0"/>
    <x v="2"/>
    <d v="1899-12-30T09:36:01"/>
    <s v="Setup"/>
    <x v="0"/>
    <x v="2"/>
    <x v="5"/>
    <x v="0"/>
  </r>
  <r>
    <s v="Test Definition FXII XDL has been modified."/>
    <x v="14"/>
    <x v="0"/>
    <x v="2"/>
    <d v="1899-12-30T09:36:04"/>
    <s v="Setup"/>
    <x v="0"/>
    <x v="2"/>
    <x v="5"/>
    <x v="0"/>
  </r>
  <r>
    <s v="Test Definition FXII XDL has been modified."/>
    <x v="14"/>
    <x v="0"/>
    <x v="2"/>
    <d v="1899-12-30T09:36:26"/>
    <s v="Setup"/>
    <x v="0"/>
    <x v="2"/>
    <x v="5"/>
    <x v="0"/>
  </r>
  <r>
    <s v="Test Definition FXII XDL has been modified."/>
    <x v="14"/>
    <x v="0"/>
    <x v="2"/>
    <d v="1899-12-30T09:36:53"/>
    <s v="Setup"/>
    <x v="0"/>
    <x v="2"/>
    <x v="5"/>
    <x v="0"/>
  </r>
  <r>
    <s v="Test Definition FV-RP has been modified."/>
    <x v="14"/>
    <x v="0"/>
    <x v="2"/>
    <d v="1899-12-30T09:37:12"/>
    <s v="Setup"/>
    <x v="0"/>
    <x v="2"/>
    <x v="5"/>
    <x v="0"/>
  </r>
  <r>
    <s v="Test Definition FV XDIL has been modified."/>
    <x v="14"/>
    <x v="0"/>
    <x v="2"/>
    <d v="1899-12-30T09:37:14"/>
    <s v="Setup"/>
    <x v="0"/>
    <x v="2"/>
    <x v="5"/>
    <x v="0"/>
  </r>
  <r>
    <s v="Test Definition FVII-RP has been modified."/>
    <x v="14"/>
    <x v="0"/>
    <x v="2"/>
    <d v="1899-12-30T09:37:47"/>
    <s v="Setup"/>
    <x v="0"/>
    <x v="2"/>
    <x v="5"/>
    <x v="0"/>
  </r>
  <r>
    <s v="Test Definition FVII XDL has been modified."/>
    <x v="14"/>
    <x v="0"/>
    <x v="2"/>
    <d v="1899-12-30T09:37:51"/>
    <s v="Setup"/>
    <x v="0"/>
    <x v="2"/>
    <x v="5"/>
    <x v="0"/>
  </r>
  <r>
    <s v="Test Definition FIX-SS has been modified."/>
    <x v="14"/>
    <x v="0"/>
    <x v="2"/>
    <d v="1899-12-30T09:38:30"/>
    <s v="Setup"/>
    <x v="0"/>
    <x v="2"/>
    <x v="5"/>
    <x v="0"/>
  </r>
  <r>
    <s v="Test Definition FIX XDIL has been modified."/>
    <x v="14"/>
    <x v="0"/>
    <x v="2"/>
    <d v="1899-12-30T09:38:32"/>
    <s v="Setup"/>
    <x v="0"/>
    <x v="2"/>
    <x v="5"/>
    <x v="0"/>
  </r>
  <r>
    <s v="Test Definition FII-RP has been modified."/>
    <x v="14"/>
    <x v="0"/>
    <x v="2"/>
    <d v="1899-12-30T09:38:54"/>
    <s v="Setup"/>
    <x v="0"/>
    <x v="2"/>
    <x v="5"/>
    <x v="0"/>
  </r>
  <r>
    <s v="Test Definition FII XDIL has been modified."/>
    <x v="14"/>
    <x v="0"/>
    <x v="2"/>
    <d v="1899-12-30T09:38:56"/>
    <s v="Setup"/>
    <x v="0"/>
    <x v="2"/>
    <x v="5"/>
    <x v="0"/>
  </r>
  <r>
    <s v="Test Definition FXI XDIL has been modified."/>
    <x v="14"/>
    <x v="0"/>
    <x v="2"/>
    <d v="1899-12-30T09:39:56"/>
    <s v="Setup"/>
    <x v="0"/>
    <x v="2"/>
    <x v="5"/>
    <x v="0"/>
  </r>
  <r>
    <s v="Test Definition FX XDIL has been modified."/>
    <x v="14"/>
    <x v="0"/>
    <x v="2"/>
    <d v="1899-12-30T09:40:23"/>
    <s v="Setup"/>
    <x v="0"/>
    <x v="2"/>
    <x v="5"/>
    <x v="0"/>
  </r>
  <r>
    <s v="Test Definition FVII XDL has been modified."/>
    <x v="14"/>
    <x v="0"/>
    <x v="2"/>
    <d v="1899-12-30T09:40:47"/>
    <s v="Setup"/>
    <x v="0"/>
    <x v="2"/>
    <x v="5"/>
    <x v="0"/>
  </r>
  <r>
    <s v="Test Definition FV XDIL has been modified."/>
    <x v="14"/>
    <x v="0"/>
    <x v="2"/>
    <d v="1899-12-30T09:41:07"/>
    <s v="Setup"/>
    <x v="0"/>
    <x v="2"/>
    <x v="5"/>
    <x v="0"/>
  </r>
  <r>
    <s v="Test Definition FIX XDIL has been modified."/>
    <x v="14"/>
    <x v="0"/>
    <x v="2"/>
    <d v="1899-12-30T09:41:25"/>
    <s v="Setup"/>
    <x v="0"/>
    <x v="2"/>
    <x v="5"/>
    <x v="0"/>
  </r>
  <r>
    <s v="Test Definition FII XDIL has been modified."/>
    <x v="14"/>
    <x v="0"/>
    <x v="2"/>
    <d v="1899-12-30T09:41:49"/>
    <s v="Setup"/>
    <x v="0"/>
    <x v="2"/>
    <x v="5"/>
    <x v="0"/>
  </r>
  <r>
    <s v="Analyzer Status changed from Ready to Maintenance."/>
    <x v="0"/>
    <x v="0"/>
    <x v="2"/>
    <d v="1899-12-30T09:57:59"/>
    <s v="Analyzer"/>
    <x v="0"/>
    <x v="0"/>
    <x v="0"/>
    <x v="0"/>
  </r>
  <r>
    <s v="Analyzer Status changed from Maintenance to Ready."/>
    <x v="0"/>
    <x v="0"/>
    <x v="2"/>
    <d v="1899-12-30T09:58:21"/>
    <s v="Analyzer"/>
    <x v="0"/>
    <x v="0"/>
    <x v="0"/>
    <x v="0"/>
  </r>
  <r>
    <s v="Automatic maintenance activity Automatic Fluidic Line Priming Cycle has been executed."/>
    <x v="2"/>
    <x v="0"/>
    <x v="2"/>
    <d v="1899-12-30T09:58:21"/>
    <s v="Maintenance"/>
    <x v="0"/>
    <x v="2"/>
    <x v="2"/>
    <x v="0"/>
  </r>
  <r>
    <s v="Test Definition FVIII-SS has been modified."/>
    <x v="14"/>
    <x v="0"/>
    <x v="2"/>
    <d v="1899-12-30T10:28:52"/>
    <s v="Setup"/>
    <x v="0"/>
    <x v="2"/>
    <x v="5"/>
    <x v="0"/>
  </r>
  <r>
    <s v="Test Definition FVIII XD has been modified."/>
    <x v="14"/>
    <x v="0"/>
    <x v="2"/>
    <d v="1899-12-30T10:28:54"/>
    <s v="Setup"/>
    <x v="0"/>
    <x v="2"/>
    <x v="5"/>
    <x v="0"/>
  </r>
  <r>
    <s v="Test Definition F8-SS L has been modified."/>
    <x v="14"/>
    <x v="0"/>
    <x v="2"/>
    <d v="1899-12-30T10:28:54"/>
    <s v="Setup"/>
    <x v="0"/>
    <x v="2"/>
    <x v="5"/>
    <x v="0"/>
  </r>
  <r>
    <s v="Test Definition FVIII-SS has been modified."/>
    <x v="14"/>
    <x v="0"/>
    <x v="2"/>
    <d v="1899-12-30T10:29:03"/>
    <s v="Setup"/>
    <x v="0"/>
    <x v="2"/>
    <x v="5"/>
    <x v="0"/>
  </r>
  <r>
    <s v="Test Definition FVIII XD has been modified."/>
    <x v="14"/>
    <x v="0"/>
    <x v="2"/>
    <d v="1899-12-30T10:29:06"/>
    <s v="Setup"/>
    <x v="0"/>
    <x v="2"/>
    <x v="5"/>
    <x v="0"/>
  </r>
  <r>
    <s v="Test Definition F8-SS L has been modified."/>
    <x v="14"/>
    <x v="0"/>
    <x v="2"/>
    <d v="1899-12-30T10:29:06"/>
    <s v="Setup"/>
    <x v="0"/>
    <x v="2"/>
    <x v="5"/>
    <x v="0"/>
  </r>
  <r>
    <s v="Logout by user: LHO."/>
    <x v="16"/>
    <x v="0"/>
    <x v="2"/>
    <d v="1899-12-30T10:30:38"/>
    <s v="Other"/>
    <x v="0"/>
    <x v="2"/>
    <x v="5"/>
    <x v="0"/>
  </r>
  <r>
    <s v="Successful log in by user: ILService."/>
    <x v="18"/>
    <x v="0"/>
    <x v="2"/>
    <d v="1899-12-30T10:30:54"/>
    <s v="Other"/>
    <x v="2"/>
    <x v="2"/>
    <x v="5"/>
    <x v="0"/>
  </r>
  <r>
    <s v="Logout by user: ILService."/>
    <x v="16"/>
    <x v="0"/>
    <x v="2"/>
    <d v="1899-12-30T10:31:16"/>
    <s v="Other"/>
    <x v="2"/>
    <x v="2"/>
    <x v="5"/>
    <x v="0"/>
  </r>
  <r>
    <s v="Successful log in by user: LHO."/>
    <x v="18"/>
    <x v="0"/>
    <x v="2"/>
    <d v="1899-12-30T10:39:50"/>
    <s v="Other"/>
    <x v="0"/>
    <x v="2"/>
    <x v="5"/>
    <x v="0"/>
  </r>
  <r>
    <s v="Reflex Rule FII XD has been added."/>
    <x v="22"/>
    <x v="0"/>
    <x v="2"/>
    <d v="1899-12-30T10:40:46"/>
    <s v="Setup"/>
    <x v="0"/>
    <x v="2"/>
    <x v="5"/>
    <x v="0"/>
  </r>
  <r>
    <s v="Test Definition FX-RP has been modified."/>
    <x v="14"/>
    <x v="0"/>
    <x v="2"/>
    <d v="1899-12-30T10:47:04"/>
    <s v="Setup"/>
    <x v="0"/>
    <x v="2"/>
    <x v="5"/>
    <x v="0"/>
  </r>
  <r>
    <s v="Test Definition FX XDIL has been modified."/>
    <x v="14"/>
    <x v="0"/>
    <x v="2"/>
    <d v="1899-12-30T10:47:06"/>
    <s v="Setup"/>
    <x v="0"/>
    <x v="2"/>
    <x v="5"/>
    <x v="0"/>
  </r>
  <r>
    <s v="Test Definition FXI-SS has been modified."/>
    <x v="14"/>
    <x v="0"/>
    <x v="2"/>
    <d v="1899-12-30T10:47:20"/>
    <s v="Setup"/>
    <x v="0"/>
    <x v="2"/>
    <x v="5"/>
    <x v="0"/>
  </r>
  <r>
    <s v="Test Definition FXI XDIL has been modified."/>
    <x v="14"/>
    <x v="0"/>
    <x v="2"/>
    <d v="1899-12-30T10:47:23"/>
    <s v="Setup"/>
    <x v="0"/>
    <x v="2"/>
    <x v="5"/>
    <x v="0"/>
  </r>
  <r>
    <s v="Test Definition FXII-SS has been modified."/>
    <x v="14"/>
    <x v="0"/>
    <x v="2"/>
    <d v="1899-12-30T10:47:39"/>
    <s v="Setup"/>
    <x v="0"/>
    <x v="2"/>
    <x v="5"/>
    <x v="0"/>
  </r>
  <r>
    <s v="Test Definition FXII XDL has been modified."/>
    <x v="14"/>
    <x v="0"/>
    <x v="2"/>
    <d v="1899-12-30T10:47:43"/>
    <s v="Setup"/>
    <x v="0"/>
    <x v="2"/>
    <x v="5"/>
    <x v="0"/>
  </r>
  <r>
    <s v="Test Definition FXII XDL has been modified."/>
    <x v="14"/>
    <x v="0"/>
    <x v="2"/>
    <d v="1899-12-30T10:48:03"/>
    <s v="Setup"/>
    <x v="0"/>
    <x v="2"/>
    <x v="5"/>
    <x v="0"/>
  </r>
  <r>
    <s v="Test Definition FXI XDIL has been modified."/>
    <x v="14"/>
    <x v="0"/>
    <x v="2"/>
    <d v="1899-12-30T10:48:38"/>
    <s v="Setup"/>
    <x v="0"/>
    <x v="2"/>
    <x v="5"/>
    <x v="0"/>
  </r>
  <r>
    <s v="Test Definition FX XDIL has been modified."/>
    <x v="14"/>
    <x v="0"/>
    <x v="2"/>
    <d v="1899-12-30T10:48:55"/>
    <s v="Setup"/>
    <x v="0"/>
    <x v="2"/>
    <x v="5"/>
    <x v="0"/>
  </r>
  <r>
    <s v="Test Definition FV-RP has been modified."/>
    <x v="14"/>
    <x v="0"/>
    <x v="2"/>
    <d v="1899-12-30T10:49:09"/>
    <s v="Setup"/>
    <x v="0"/>
    <x v="2"/>
    <x v="5"/>
    <x v="0"/>
  </r>
  <r>
    <s v="Test Definition FV XDIL has been modified."/>
    <x v="14"/>
    <x v="0"/>
    <x v="2"/>
    <d v="1899-12-30T10:49:12"/>
    <s v="Setup"/>
    <x v="0"/>
    <x v="2"/>
    <x v="5"/>
    <x v="0"/>
  </r>
  <r>
    <s v="Test Definition FVII-RP has been modified."/>
    <x v="14"/>
    <x v="0"/>
    <x v="2"/>
    <d v="1899-12-30T10:49:27"/>
    <s v="Setup"/>
    <x v="0"/>
    <x v="2"/>
    <x v="5"/>
    <x v="0"/>
  </r>
  <r>
    <s v="Test Definition FVII XDL has been modified."/>
    <x v="14"/>
    <x v="0"/>
    <x v="2"/>
    <d v="1899-12-30T10:49:30"/>
    <s v="Setup"/>
    <x v="0"/>
    <x v="2"/>
    <x v="5"/>
    <x v="0"/>
  </r>
  <r>
    <s v="Test Definition FVII XDL has been modified."/>
    <x v="14"/>
    <x v="0"/>
    <x v="2"/>
    <d v="1899-12-30T10:50:04"/>
    <s v="Setup"/>
    <x v="0"/>
    <x v="2"/>
    <x v="5"/>
    <x v="0"/>
  </r>
  <r>
    <s v="Test Definition FV XDIL has been modified."/>
    <x v="14"/>
    <x v="0"/>
    <x v="2"/>
    <d v="1899-12-30T10:50:25"/>
    <s v="Setup"/>
    <x v="0"/>
    <x v="2"/>
    <x v="5"/>
    <x v="0"/>
  </r>
  <r>
    <s v="Test Definition FIX-SS has been modified."/>
    <x v="14"/>
    <x v="0"/>
    <x v="2"/>
    <d v="1899-12-30T10:50:40"/>
    <s v="Setup"/>
    <x v="0"/>
    <x v="2"/>
    <x v="5"/>
    <x v="0"/>
  </r>
  <r>
    <s v="Test Definition FIX XDIL has been modified."/>
    <x v="14"/>
    <x v="0"/>
    <x v="2"/>
    <d v="1899-12-30T10:50:42"/>
    <s v="Setup"/>
    <x v="0"/>
    <x v="2"/>
    <x v="5"/>
    <x v="0"/>
  </r>
  <r>
    <s v="Test Definition FIX XDIL has been modified."/>
    <x v="14"/>
    <x v="0"/>
    <x v="2"/>
    <d v="1899-12-30T10:50:59"/>
    <s v="Setup"/>
    <x v="0"/>
    <x v="2"/>
    <x v="5"/>
    <x v="0"/>
  </r>
  <r>
    <s v="Test Definition FII-RP has been modified."/>
    <x v="14"/>
    <x v="0"/>
    <x v="2"/>
    <d v="1899-12-30T10:51:13"/>
    <s v="Setup"/>
    <x v="0"/>
    <x v="2"/>
    <x v="5"/>
    <x v="0"/>
  </r>
  <r>
    <s v="Test Definition FII XDIL has been modified."/>
    <x v="14"/>
    <x v="0"/>
    <x v="2"/>
    <d v="1899-12-30T10:51:15"/>
    <s v="Setup"/>
    <x v="0"/>
    <x v="2"/>
    <x v="5"/>
    <x v="0"/>
  </r>
  <r>
    <s v="Test Definition FII XDIL has been modified."/>
    <x v="14"/>
    <x v="0"/>
    <x v="2"/>
    <d v="1899-12-30T10:51:29"/>
    <s v="Setup"/>
    <x v="0"/>
    <x v="2"/>
    <x v="5"/>
    <x v="0"/>
  </r>
  <r>
    <s v="Reflex Rule FII XD has been modified."/>
    <x v="23"/>
    <x v="0"/>
    <x v="2"/>
    <d v="1899-12-30T10:54:20"/>
    <s v="Setup"/>
    <x v="0"/>
    <x v="2"/>
    <x v="5"/>
    <x v="0"/>
  </r>
  <r>
    <s v="Reflex Rule FV XD has been added."/>
    <x v="22"/>
    <x v="0"/>
    <x v="2"/>
    <d v="1899-12-30T10:54:56"/>
    <s v="Setup"/>
    <x v="0"/>
    <x v="2"/>
    <x v="5"/>
    <x v="0"/>
  </r>
  <r>
    <s v="Reflex Rule FV XD has been modified."/>
    <x v="23"/>
    <x v="0"/>
    <x v="2"/>
    <d v="1899-12-30T10:55:05"/>
    <s v="Setup"/>
    <x v="0"/>
    <x v="2"/>
    <x v="5"/>
    <x v="0"/>
  </r>
  <r>
    <s v="Reflex Rule FVII XD has been added."/>
    <x v="22"/>
    <x v="0"/>
    <x v="2"/>
    <d v="1899-12-30T10:55:45"/>
    <s v="Setup"/>
    <x v="0"/>
    <x v="2"/>
    <x v="5"/>
    <x v="0"/>
  </r>
  <r>
    <s v="Reflex Rule FIX XD has been added."/>
    <x v="22"/>
    <x v="0"/>
    <x v="2"/>
    <d v="1899-12-30T10:57:18"/>
    <s v="Setup"/>
    <x v="0"/>
    <x v="2"/>
    <x v="5"/>
    <x v="0"/>
  </r>
  <r>
    <s v="Reflex Rule FX XD has been added."/>
    <x v="22"/>
    <x v="0"/>
    <x v="2"/>
    <d v="1899-12-30T10:57:59"/>
    <s v="Setup"/>
    <x v="0"/>
    <x v="2"/>
    <x v="5"/>
    <x v="0"/>
  </r>
  <r>
    <s v="Analyzer Status changed from Ready to Maintenance."/>
    <x v="0"/>
    <x v="0"/>
    <x v="2"/>
    <d v="1899-12-30T10:58:21"/>
    <s v="Analyzer"/>
    <x v="0"/>
    <x v="0"/>
    <x v="0"/>
    <x v="0"/>
  </r>
  <r>
    <s v="Analyzer Status changed from Maintenance to Ready."/>
    <x v="0"/>
    <x v="0"/>
    <x v="2"/>
    <d v="1899-12-30T10:58:43"/>
    <s v="Analyzer"/>
    <x v="0"/>
    <x v="0"/>
    <x v="0"/>
    <x v="0"/>
  </r>
  <r>
    <s v="Automatic maintenance activity Automatic Fluidic Line Priming Cycle has been executed."/>
    <x v="2"/>
    <x v="0"/>
    <x v="2"/>
    <d v="1899-12-30T10:58:43"/>
    <s v="Maintenance"/>
    <x v="0"/>
    <x v="2"/>
    <x v="2"/>
    <x v="0"/>
  </r>
  <r>
    <s v="Reflex Rule FXI XD has been added."/>
    <x v="22"/>
    <x v="0"/>
    <x v="2"/>
    <d v="1899-12-30T10:58:57"/>
    <s v="Setup"/>
    <x v="0"/>
    <x v="2"/>
    <x v="5"/>
    <x v="0"/>
  </r>
  <r>
    <s v="Reflex Rule FXII XD has been added."/>
    <x v="22"/>
    <x v="0"/>
    <x v="2"/>
    <d v="1899-12-30T10:59:34"/>
    <s v="Setup"/>
    <x v="0"/>
    <x v="2"/>
    <x v="5"/>
    <x v="0"/>
  </r>
  <r>
    <s v="Test Definition FVIII-SS has been modified."/>
    <x v="14"/>
    <x v="0"/>
    <x v="2"/>
    <d v="1899-12-30T11:01:03"/>
    <s v="Setup"/>
    <x v="0"/>
    <x v="2"/>
    <x v="5"/>
    <x v="0"/>
  </r>
  <r>
    <s v="Test Definition FVIII XD has been modified."/>
    <x v="14"/>
    <x v="0"/>
    <x v="2"/>
    <d v="1899-12-30T11:01:06"/>
    <s v="Setup"/>
    <x v="0"/>
    <x v="2"/>
    <x v="5"/>
    <x v="0"/>
  </r>
  <r>
    <s v="Test Definition F8-SS L has been modified."/>
    <x v="14"/>
    <x v="0"/>
    <x v="2"/>
    <d v="1899-12-30T11:01:06"/>
    <s v="Setup"/>
    <x v="0"/>
    <x v="2"/>
    <x v="5"/>
    <x v="0"/>
  </r>
  <r>
    <s v="Reflex Rule FVIII XD has been added."/>
    <x v="22"/>
    <x v="0"/>
    <x v="2"/>
    <d v="1899-12-30T11:03:09"/>
    <s v="Setup"/>
    <x v="0"/>
    <x v="2"/>
    <x v="5"/>
    <x v="0"/>
  </r>
  <r>
    <s v="Non-identified Sample in rack 07 position 1, track 12."/>
    <x v="12"/>
    <x v="2"/>
    <x v="2"/>
    <d v="1899-12-30T11:07:52"/>
    <s v="Materials"/>
    <x v="0"/>
    <x v="4"/>
    <x v="7"/>
    <x v="1"/>
  </r>
  <r>
    <s v="Non-identified Sample in rack 07 position 2, track 12."/>
    <x v="12"/>
    <x v="2"/>
    <x v="2"/>
    <d v="1899-12-30T11:07:52"/>
    <s v="Materials"/>
    <x v="0"/>
    <x v="4"/>
    <x v="7"/>
    <x v="1"/>
  </r>
  <r>
    <s v="Non-identified Sample in rack 07 position 3, track 12."/>
    <x v="12"/>
    <x v="2"/>
    <x v="2"/>
    <d v="1899-12-30T11:07:52"/>
    <s v="Materials"/>
    <x v="0"/>
    <x v="4"/>
    <x v="7"/>
    <x v="1"/>
  </r>
  <r>
    <s v="Non-identified Sample in rack 07 position 4, track 12."/>
    <x v="12"/>
    <x v="2"/>
    <x v="2"/>
    <d v="1899-12-30T11:07:52"/>
    <s v="Materials"/>
    <x v="0"/>
    <x v="4"/>
    <x v="7"/>
    <x v="1"/>
  </r>
  <r>
    <s v="Non-identified Sample in rack 07 position 5, track 12."/>
    <x v="12"/>
    <x v="2"/>
    <x v="2"/>
    <d v="1899-12-30T11:07:52"/>
    <s v="Materials"/>
    <x v="0"/>
    <x v="4"/>
    <x v="7"/>
    <x v="1"/>
  </r>
  <r>
    <s v="Non-identified Sample in rack 07 position 6, track 12."/>
    <x v="12"/>
    <x v="2"/>
    <x v="2"/>
    <d v="1899-12-30T11:07:52"/>
    <s v="Materials"/>
    <x v="0"/>
    <x v="4"/>
    <x v="7"/>
    <x v="1"/>
  </r>
  <r>
    <s v="Non-identified Sample in rack 07 position 7, track 12."/>
    <x v="12"/>
    <x v="2"/>
    <x v="2"/>
    <d v="1899-12-30T11:07:52"/>
    <s v="Materials"/>
    <x v="0"/>
    <x v="4"/>
    <x v="7"/>
    <x v="1"/>
  </r>
  <r>
    <s v="Non-identified Sample in rack 07 position 8, track 12."/>
    <x v="12"/>
    <x v="2"/>
    <x v="2"/>
    <d v="1899-12-30T11:07:52"/>
    <s v="Materials"/>
    <x v="0"/>
    <x v="4"/>
    <x v="7"/>
    <x v="1"/>
  </r>
  <r>
    <s v="Non-identified Sample in rack 07 position 9, track 12."/>
    <x v="12"/>
    <x v="2"/>
    <x v="2"/>
    <d v="1899-12-30T11:07:52"/>
    <s v="Materials"/>
    <x v="0"/>
    <x v="4"/>
    <x v="7"/>
    <x v="1"/>
  </r>
  <r>
    <s v="Non-identified Sample in rack 07 position 10, track 12."/>
    <x v="12"/>
    <x v="2"/>
    <x v="2"/>
    <d v="1899-12-30T11:07:52"/>
    <s v="Materials"/>
    <x v="0"/>
    <x v="4"/>
    <x v="7"/>
    <x v="1"/>
  </r>
  <r>
    <s v="Communications between the instrument and the LIS have been lost."/>
    <x v="13"/>
    <x v="2"/>
    <x v="2"/>
    <d v="1899-12-30T11:09:00"/>
    <s v="LIS"/>
    <x v="0"/>
    <x v="2"/>
    <x v="6"/>
    <x v="0"/>
  </r>
  <r>
    <s v="Analyzer Status changed from Ready to Busy."/>
    <x v="0"/>
    <x v="0"/>
    <x v="2"/>
    <d v="1899-12-30T11:09:25"/>
    <s v="Analyzer"/>
    <x v="0"/>
    <x v="0"/>
    <x v="0"/>
    <x v="0"/>
  </r>
  <r>
    <s v="Analyzer Status changed from Busy to Ready."/>
    <x v="0"/>
    <x v="0"/>
    <x v="2"/>
    <d v="1899-12-30T11:19:44"/>
    <s v="Analyzer"/>
    <x v="0"/>
    <x v="0"/>
    <x v="0"/>
    <x v="0"/>
  </r>
  <r>
    <s v="Analyzer Status changed from Ready to Maintenance."/>
    <x v="0"/>
    <x v="0"/>
    <x v="2"/>
    <d v="1899-12-30T11:19:44"/>
    <s v="Analyzer"/>
    <x v="0"/>
    <x v="0"/>
    <x v="0"/>
    <x v="0"/>
  </r>
  <r>
    <s v="Analyzer Status changed from Maintenance to Ready."/>
    <x v="0"/>
    <x v="0"/>
    <x v="2"/>
    <d v="1899-12-30T11:20:48"/>
    <s v="Analyzer"/>
    <x v="0"/>
    <x v="0"/>
    <x v="0"/>
    <x v="0"/>
  </r>
  <r>
    <s v="Automatic maintenance activity Automatic Routine Clean for all Probes has been executed."/>
    <x v="2"/>
    <x v="0"/>
    <x v="2"/>
    <d v="1899-12-30T11:20:48"/>
    <s v="Maintenance"/>
    <x v="0"/>
    <x v="2"/>
    <x v="2"/>
    <x v="0"/>
  </r>
  <r>
    <s v="Non-identified Sample in rack 10 position 1, track 12."/>
    <x v="12"/>
    <x v="2"/>
    <x v="2"/>
    <d v="1899-12-30T11:31:07"/>
    <s v="Materials"/>
    <x v="0"/>
    <x v="4"/>
    <x v="7"/>
    <x v="1"/>
  </r>
  <r>
    <s v="Non-identified Sample in rack 10 position 2, track 12."/>
    <x v="12"/>
    <x v="2"/>
    <x v="2"/>
    <d v="1899-12-30T11:31:07"/>
    <s v="Materials"/>
    <x v="0"/>
    <x v="4"/>
    <x v="7"/>
    <x v="1"/>
  </r>
  <r>
    <s v="Non-identified Sample in rack 10 position 3, track 12."/>
    <x v="12"/>
    <x v="2"/>
    <x v="2"/>
    <d v="1899-12-30T11:31:07"/>
    <s v="Materials"/>
    <x v="0"/>
    <x v="4"/>
    <x v="7"/>
    <x v="1"/>
  </r>
  <r>
    <s v="Analyzer Status changed from Ready to Busy."/>
    <x v="0"/>
    <x v="0"/>
    <x v="2"/>
    <d v="1899-12-30T11:31:39"/>
    <s v="Analyzer"/>
    <x v="0"/>
    <x v="0"/>
    <x v="0"/>
    <x v="0"/>
  </r>
  <r>
    <s v="Analyzer Status changed from Busy to Ready."/>
    <x v="0"/>
    <x v="0"/>
    <x v="2"/>
    <d v="1899-12-30T11:47:17"/>
    <s v="Analyzer"/>
    <x v="0"/>
    <x v="0"/>
    <x v="0"/>
    <x v="0"/>
  </r>
  <r>
    <s v="Analyzer Status changed from Ready to Maintenance."/>
    <x v="0"/>
    <x v="0"/>
    <x v="2"/>
    <d v="1899-12-30T11:47:17"/>
    <s v="Analyzer"/>
    <x v="0"/>
    <x v="0"/>
    <x v="0"/>
    <x v="0"/>
  </r>
  <r>
    <s v="Analyzer Status changed from Maintenance to Ready."/>
    <x v="0"/>
    <x v="0"/>
    <x v="2"/>
    <d v="1899-12-30T11:47:43"/>
    <s v="Analyzer"/>
    <x v="0"/>
    <x v="0"/>
    <x v="0"/>
    <x v="0"/>
  </r>
  <r>
    <s v="Automatic maintenance activity Automatic Routine Clean for all Probes has been executed."/>
    <x v="2"/>
    <x v="0"/>
    <x v="2"/>
    <d v="1899-12-30T11:47:43"/>
    <s v="Maintenance"/>
    <x v="0"/>
    <x v="2"/>
    <x v="2"/>
    <x v="0"/>
  </r>
  <r>
    <s v="Non-identified Sample in rack 10 position 1, track 12."/>
    <x v="12"/>
    <x v="2"/>
    <x v="2"/>
    <d v="1899-12-30T12:01:58"/>
    <s v="Materials"/>
    <x v="0"/>
    <x v="4"/>
    <x v="7"/>
    <x v="1"/>
  </r>
  <r>
    <s v="Non-identified Sample in rack 10 position 2, track 12."/>
    <x v="12"/>
    <x v="2"/>
    <x v="2"/>
    <d v="1899-12-30T12:01:58"/>
    <s v="Materials"/>
    <x v="0"/>
    <x v="4"/>
    <x v="7"/>
    <x v="1"/>
  </r>
  <r>
    <s v="Non-identified Sample in rack 10 position 3, track 12."/>
    <x v="12"/>
    <x v="2"/>
    <x v="2"/>
    <d v="1899-12-30T12:01:58"/>
    <s v="Materials"/>
    <x v="0"/>
    <x v="4"/>
    <x v="7"/>
    <x v="1"/>
  </r>
  <r>
    <s v="Analyzer Status changed from Ready to Busy."/>
    <x v="0"/>
    <x v="0"/>
    <x v="2"/>
    <d v="1899-12-30T12:02:13"/>
    <s v="Analyzer"/>
    <x v="0"/>
    <x v="0"/>
    <x v="0"/>
    <x v="0"/>
  </r>
  <r>
    <s v="Non-identified Sample in rack 09 position 1, track 10."/>
    <x v="12"/>
    <x v="2"/>
    <x v="2"/>
    <d v="1899-12-30T12:05:06"/>
    <s v="Materials"/>
    <x v="0"/>
    <x v="4"/>
    <x v="7"/>
    <x v="1"/>
  </r>
  <r>
    <s v="Non-identified Sample in rack 09 position 2, track 10."/>
    <x v="12"/>
    <x v="2"/>
    <x v="2"/>
    <d v="1899-12-30T12:05:06"/>
    <s v="Materials"/>
    <x v="0"/>
    <x v="4"/>
    <x v="7"/>
    <x v="1"/>
  </r>
  <r>
    <s v="Placement error (Normal C. Assayed in rack DB, position 3, track 3)."/>
    <x v="24"/>
    <x v="2"/>
    <x v="2"/>
    <d v="1899-12-30T12:15:57"/>
    <s v="Materials"/>
    <x v="0"/>
    <x v="2"/>
    <x v="3"/>
    <x v="0"/>
  </r>
  <r>
    <s v="Placement error (High Abn C. Assayed in rack DB, position 4, track 3)."/>
    <x v="24"/>
    <x v="2"/>
    <x v="2"/>
    <d v="1899-12-30T12:15:57"/>
    <s v="Materials"/>
    <x v="0"/>
    <x v="2"/>
    <x v="3"/>
    <x v="0"/>
  </r>
  <r>
    <s v="Analyzer Status changed from Busy to Ready."/>
    <x v="0"/>
    <x v="0"/>
    <x v="2"/>
    <d v="1899-12-30T12:21:23"/>
    <s v="Analyzer"/>
    <x v="0"/>
    <x v="0"/>
    <x v="0"/>
    <x v="0"/>
  </r>
  <r>
    <s v="Analyzer Status changed from Ready to Maintenance."/>
    <x v="0"/>
    <x v="0"/>
    <x v="2"/>
    <d v="1899-12-30T12:21:24"/>
    <s v="Analyzer"/>
    <x v="0"/>
    <x v="0"/>
    <x v="0"/>
    <x v="0"/>
  </r>
  <r>
    <s v="Analyzer Status changed from Maintenance to Ready."/>
    <x v="0"/>
    <x v="0"/>
    <x v="2"/>
    <d v="1899-12-30T12:21:51"/>
    <s v="Analyzer"/>
    <x v="0"/>
    <x v="0"/>
    <x v="0"/>
    <x v="0"/>
  </r>
  <r>
    <s v="Automatic maintenance activity Automatic Routine Clean for all Probes has been executed."/>
    <x v="2"/>
    <x v="0"/>
    <x v="2"/>
    <d v="1899-12-30T12:21:51"/>
    <s v="Maintenance"/>
    <x v="0"/>
    <x v="2"/>
    <x v="2"/>
    <x v="0"/>
  </r>
  <r>
    <s v="Non-identified Sample in rack 01 position 1, track 12."/>
    <x v="12"/>
    <x v="2"/>
    <x v="2"/>
    <d v="1899-12-30T12:49:17"/>
    <s v="Materials"/>
    <x v="0"/>
    <x v="4"/>
    <x v="7"/>
    <x v="1"/>
  </r>
  <r>
    <s v="Non-identified Sample in rack 01 position 2, track 12."/>
    <x v="12"/>
    <x v="2"/>
    <x v="2"/>
    <d v="1899-12-30T12:49:17"/>
    <s v="Materials"/>
    <x v="0"/>
    <x v="4"/>
    <x v="7"/>
    <x v="1"/>
  </r>
  <r>
    <s v="Non-identified Sample in rack 01 position 3, track 12."/>
    <x v="12"/>
    <x v="2"/>
    <x v="2"/>
    <d v="1899-12-30T12:49:17"/>
    <s v="Materials"/>
    <x v="0"/>
    <x v="4"/>
    <x v="7"/>
    <x v="1"/>
  </r>
  <r>
    <s v="Non-identified Sample in rack 01 position 3, track 12."/>
    <x v="12"/>
    <x v="2"/>
    <x v="2"/>
    <d v="1899-12-30T12:49:37"/>
    <s v="Materials"/>
    <x v="0"/>
    <x v="4"/>
    <x v="7"/>
    <x v="1"/>
  </r>
  <r>
    <s v="Sample TT CORR 9 placed in another rack position."/>
    <x v="25"/>
    <x v="2"/>
    <x v="2"/>
    <d v="1899-12-30T12:49:37"/>
    <s v="Analyzer"/>
    <x v="0"/>
    <x v="4"/>
    <x v="7"/>
    <x v="1"/>
  </r>
  <r>
    <s v="Analyzer Status changed from Ready to Busy."/>
    <x v="0"/>
    <x v="0"/>
    <x v="2"/>
    <d v="1899-12-30T12:49:45"/>
    <s v="Analyzer"/>
    <x v="0"/>
    <x v="0"/>
    <x v="0"/>
    <x v="0"/>
  </r>
  <r>
    <s v="Non-identified Sample in rack 01 position 3, track 12."/>
    <x v="12"/>
    <x v="2"/>
    <x v="2"/>
    <d v="1899-12-30T12:49:50"/>
    <s v="Materials"/>
    <x v="0"/>
    <x v="4"/>
    <x v="7"/>
    <x v="1"/>
  </r>
  <r>
    <s v="Sample TT CORR 9 placed in another rack position."/>
    <x v="25"/>
    <x v="2"/>
    <x v="2"/>
    <d v="1899-12-30T12:49:50"/>
    <s v="Analyzer"/>
    <x v="0"/>
    <x v="4"/>
    <x v="7"/>
    <x v="1"/>
  </r>
  <r>
    <s v="TT5 Patient job not feasible. Waiting for Thrombin."/>
    <x v="26"/>
    <x v="1"/>
    <x v="2"/>
    <d v="1899-12-30T12:49:54"/>
    <s v="Materials"/>
    <x v="0"/>
    <x v="2"/>
    <x v="3"/>
    <x v="0"/>
  </r>
  <r>
    <s v="Analyzer Status changed from Busy to Ready."/>
    <x v="0"/>
    <x v="0"/>
    <x v="2"/>
    <d v="1899-12-30T12:49:54"/>
    <s v="Analyzer"/>
    <x v="0"/>
    <x v="0"/>
    <x v="0"/>
    <x v="0"/>
  </r>
  <r>
    <s v="Analyzer Status changed from Ready to Busy."/>
    <x v="0"/>
    <x v="0"/>
    <x v="2"/>
    <d v="1899-12-30T12:52:25"/>
    <s v="Analyzer"/>
    <x v="0"/>
    <x v="0"/>
    <x v="0"/>
    <x v="0"/>
  </r>
  <r>
    <s v="Analyzer Status changed from Busy to Ready."/>
    <x v="0"/>
    <x v="0"/>
    <x v="2"/>
    <d v="1899-12-30T12:52:26"/>
    <s v="Analyzer"/>
    <x v="0"/>
    <x v="0"/>
    <x v="0"/>
    <x v="0"/>
  </r>
  <r>
    <s v="Analyzer Status changed from Ready to Busy."/>
    <x v="0"/>
    <x v="0"/>
    <x v="2"/>
    <d v="1899-12-30T12:52:59"/>
    <s v="Analyzer"/>
    <x v="0"/>
    <x v="0"/>
    <x v="0"/>
    <x v="0"/>
  </r>
  <r>
    <s v="Analyzer Status changed from Busy to Ready."/>
    <x v="0"/>
    <x v="0"/>
    <x v="2"/>
    <d v="1899-12-30T13:08:53"/>
    <s v="Analyzer"/>
    <x v="0"/>
    <x v="0"/>
    <x v="0"/>
    <x v="0"/>
  </r>
  <r>
    <s v="Analyzer Status changed from Ready to Maintenance."/>
    <x v="0"/>
    <x v="0"/>
    <x v="2"/>
    <d v="1899-12-30T13:08:53"/>
    <s v="Analyzer"/>
    <x v="0"/>
    <x v="0"/>
    <x v="0"/>
    <x v="0"/>
  </r>
  <r>
    <s v="Automatic maintenance activity Automatic Routine Clean for all Probes has been executed."/>
    <x v="2"/>
    <x v="0"/>
    <x v="2"/>
    <d v="1899-12-30T13:10:30"/>
    <s v="Maintenance"/>
    <x v="0"/>
    <x v="2"/>
    <x v="2"/>
    <x v="0"/>
  </r>
  <r>
    <s v="Analyzer Status changed from Maintenance to Ready."/>
    <x v="0"/>
    <x v="0"/>
    <x v="2"/>
    <d v="1899-12-30T13:10:31"/>
    <s v="Analyzer"/>
    <x v="0"/>
    <x v="0"/>
    <x v="0"/>
    <x v="0"/>
  </r>
  <r>
    <s v="PT RecombiPlasTin volume low."/>
    <x v="7"/>
    <x v="1"/>
    <x v="2"/>
    <d v="1899-12-30T13:13:22"/>
    <s v="Materials"/>
    <x v="0"/>
    <x v="3"/>
    <x v="4"/>
    <x v="0"/>
  </r>
  <r>
    <s v="Non-identified Material in rack DA position 5, track 2."/>
    <x v="27"/>
    <x v="2"/>
    <x v="2"/>
    <d v="1899-12-30T13:13:22"/>
    <s v="Materials"/>
    <x v="0"/>
    <x v="2"/>
    <x v="3"/>
    <x v="0"/>
  </r>
  <r>
    <s v="Non-identified Sample in rack 07 position 1, track 12."/>
    <x v="12"/>
    <x v="2"/>
    <x v="2"/>
    <d v="1899-12-30T13:13:40"/>
    <s v="Materials"/>
    <x v="0"/>
    <x v="4"/>
    <x v="7"/>
    <x v="1"/>
  </r>
  <r>
    <s v="Non-identified Sample in rack 07 position 2, track 12."/>
    <x v="12"/>
    <x v="2"/>
    <x v="2"/>
    <d v="1899-12-30T13:13:40"/>
    <s v="Materials"/>
    <x v="0"/>
    <x v="4"/>
    <x v="7"/>
    <x v="1"/>
  </r>
  <r>
    <s v="Non-identified Sample in rack 07 position 3, track 12."/>
    <x v="12"/>
    <x v="2"/>
    <x v="2"/>
    <d v="1899-12-30T13:13:40"/>
    <s v="Materials"/>
    <x v="0"/>
    <x v="4"/>
    <x v="7"/>
    <x v="1"/>
  </r>
  <r>
    <s v="Non-identified Sample in rack 07 position 4, track 12."/>
    <x v="12"/>
    <x v="2"/>
    <x v="2"/>
    <d v="1899-12-30T13:13:40"/>
    <s v="Materials"/>
    <x v="0"/>
    <x v="4"/>
    <x v="7"/>
    <x v="1"/>
  </r>
  <r>
    <s v="Non-identified Sample in rack 07 position 5, track 12."/>
    <x v="12"/>
    <x v="2"/>
    <x v="2"/>
    <d v="1899-12-30T13:13:40"/>
    <s v="Materials"/>
    <x v="0"/>
    <x v="4"/>
    <x v="7"/>
    <x v="1"/>
  </r>
  <r>
    <s v="Non-identified Sample in rack 07 position 6, track 12."/>
    <x v="12"/>
    <x v="2"/>
    <x v="2"/>
    <d v="1899-12-30T13:13:40"/>
    <s v="Materials"/>
    <x v="0"/>
    <x v="4"/>
    <x v="7"/>
    <x v="1"/>
  </r>
  <r>
    <s v="D-Dimer HS Latex volume low."/>
    <x v="7"/>
    <x v="1"/>
    <x v="2"/>
    <d v="1899-12-30T13:14:11"/>
    <s v="Materials"/>
    <x v="0"/>
    <x v="3"/>
    <x v="4"/>
    <x v="0"/>
  </r>
  <r>
    <s v="Analyzer Status changed from Ready to Busy."/>
    <x v="0"/>
    <x v="0"/>
    <x v="2"/>
    <d v="1899-12-30T13:14:24"/>
    <s v="Analyzer"/>
    <x v="0"/>
    <x v="0"/>
    <x v="0"/>
    <x v="0"/>
  </r>
  <r>
    <s v="PTTMX Patient job not feasible. Waiting for Normal Pooled Plasma."/>
    <x v="26"/>
    <x v="1"/>
    <x v="2"/>
    <d v="1899-12-30T13:14:25"/>
    <s v="Materials"/>
    <x v="0"/>
    <x v="2"/>
    <x v="3"/>
    <x v="0"/>
  </r>
  <r>
    <s v="Analyzer Status changed from Busy to Ready."/>
    <x v="0"/>
    <x v="0"/>
    <x v="2"/>
    <d v="1899-12-30T13:14:29"/>
    <s v="Analyzer"/>
    <x v="0"/>
    <x v="0"/>
    <x v="0"/>
    <x v="0"/>
  </r>
  <r>
    <s v="Analyzer Status changed from Ready to Busy."/>
    <x v="0"/>
    <x v="0"/>
    <x v="2"/>
    <d v="1899-12-30T13:18:12"/>
    <s v="Analyzer"/>
    <x v="0"/>
    <x v="0"/>
    <x v="0"/>
    <x v="0"/>
  </r>
  <r>
    <s v="Non-identified Material in rack DA position 5, track 2."/>
    <x v="27"/>
    <x v="2"/>
    <x v="2"/>
    <d v="1899-12-30T13:23:59"/>
    <s v="Materials"/>
    <x v="0"/>
    <x v="2"/>
    <x v="3"/>
    <x v="0"/>
  </r>
  <r>
    <s v="Analyzer Status changed from Busy to Ready."/>
    <x v="0"/>
    <x v="0"/>
    <x v="2"/>
    <d v="1899-12-30T13:36:46"/>
    <s v="Analyzer"/>
    <x v="0"/>
    <x v="0"/>
    <x v="0"/>
    <x v="0"/>
  </r>
  <r>
    <s v="Analyzer Status changed from Ready to Maintenance."/>
    <x v="0"/>
    <x v="0"/>
    <x v="2"/>
    <d v="1899-12-30T13:36:46"/>
    <s v="Analyzer"/>
    <x v="0"/>
    <x v="0"/>
    <x v="0"/>
    <x v="0"/>
  </r>
  <r>
    <s v="Analyzer Status changed from Maintenance to Ready."/>
    <x v="0"/>
    <x v="0"/>
    <x v="2"/>
    <d v="1899-12-30T13:37:12"/>
    <s v="Analyzer"/>
    <x v="0"/>
    <x v="0"/>
    <x v="0"/>
    <x v="0"/>
  </r>
  <r>
    <s v="Automatic maintenance activity Automatic Routine Clean for all Probes has been executed."/>
    <x v="2"/>
    <x v="0"/>
    <x v="2"/>
    <d v="1899-12-30T13:37:12"/>
    <s v="Maintenance"/>
    <x v="0"/>
    <x v="2"/>
    <x v="2"/>
    <x v="0"/>
  </r>
  <r>
    <s v="Non-identified Sample in rack 04 position 1, track 12."/>
    <x v="12"/>
    <x v="2"/>
    <x v="2"/>
    <d v="1899-12-30T13:39:55"/>
    <s v="Materials"/>
    <x v="0"/>
    <x v="4"/>
    <x v="7"/>
    <x v="1"/>
  </r>
  <r>
    <s v="Analyzer Status changed from Ready to Busy."/>
    <x v="0"/>
    <x v="0"/>
    <x v="2"/>
    <d v="1899-12-30T13:40:10"/>
    <s v="Analyzer"/>
    <x v="0"/>
    <x v="0"/>
    <x v="0"/>
    <x v="0"/>
  </r>
  <r>
    <s v="TT5 Patient job not feasible. Waiting for Thrombin."/>
    <x v="26"/>
    <x v="1"/>
    <x v="2"/>
    <d v="1899-12-30T13:40:32"/>
    <s v="Materials"/>
    <x v="0"/>
    <x v="2"/>
    <x v="3"/>
    <x v="0"/>
  </r>
  <r>
    <s v="Analyzer Status changed from Busy to Ready."/>
    <x v="0"/>
    <x v="0"/>
    <x v="2"/>
    <d v="1899-12-30T13:40:32"/>
    <s v="Analyzer"/>
    <x v="0"/>
    <x v="0"/>
    <x v="0"/>
    <x v="0"/>
  </r>
  <r>
    <s v="Analyzer Status changed from Ready to Busy."/>
    <x v="0"/>
    <x v="0"/>
    <x v="2"/>
    <d v="1899-12-30T13:41:50"/>
    <s v="Analyzer"/>
    <x v="0"/>
    <x v="0"/>
    <x v="0"/>
    <x v="0"/>
  </r>
  <r>
    <s v="QC Failed: PT-RP-Normal C. Assayed"/>
    <x v="28"/>
    <x v="2"/>
    <x v="2"/>
    <d v="1899-12-30T13:44:49"/>
    <s v="QC"/>
    <x v="0"/>
    <x v="2"/>
    <x v="3"/>
    <x v="0"/>
  </r>
  <r>
    <s v="Analyzer Status changed from Busy to Ready."/>
    <x v="0"/>
    <x v="0"/>
    <x v="2"/>
    <d v="1899-12-30T13:44:50"/>
    <s v="Analyzer"/>
    <x v="0"/>
    <x v="0"/>
    <x v="0"/>
    <x v="0"/>
  </r>
  <r>
    <s v="Analyzer Status changed from Ready to Maintenance."/>
    <x v="0"/>
    <x v="0"/>
    <x v="2"/>
    <d v="1899-12-30T13:44:50"/>
    <s v="Analyzer"/>
    <x v="0"/>
    <x v="0"/>
    <x v="0"/>
    <x v="0"/>
  </r>
  <r>
    <s v="Automatic maintenance activity Automatic Routine Clean for all Probes has been executed."/>
    <x v="2"/>
    <x v="0"/>
    <x v="2"/>
    <d v="1899-12-30T13:45:15"/>
    <s v="Maintenance"/>
    <x v="0"/>
    <x v="2"/>
    <x v="2"/>
    <x v="0"/>
  </r>
  <r>
    <s v="Analyzer Status changed from Maintenance to Ready."/>
    <x v="0"/>
    <x v="0"/>
    <x v="2"/>
    <d v="1899-12-30T13:45:16"/>
    <s v="Analyzer"/>
    <x v="0"/>
    <x v="0"/>
    <x v="0"/>
    <x v="0"/>
  </r>
  <r>
    <s v="Analyzer Status changed from Ready to Busy."/>
    <x v="0"/>
    <x v="0"/>
    <x v="2"/>
    <d v="1899-12-30T13:46:59"/>
    <s v="Analyzer"/>
    <x v="0"/>
    <x v="0"/>
    <x v="0"/>
    <x v="0"/>
  </r>
  <r>
    <s v="Thrombin volume low."/>
    <x v="7"/>
    <x v="1"/>
    <x v="2"/>
    <d v="1899-12-30T13:48:32"/>
    <s v="Materials"/>
    <x v="0"/>
    <x v="3"/>
    <x v="4"/>
    <x v="0"/>
  </r>
  <r>
    <s v="Analyzer Status changed from Busy to Ready."/>
    <x v="0"/>
    <x v="0"/>
    <x v="2"/>
    <d v="1899-12-30T13:54:20"/>
    <s v="Analyzer"/>
    <x v="0"/>
    <x v="0"/>
    <x v="0"/>
    <x v="0"/>
  </r>
  <r>
    <s v="Analyzer Status changed from Ready to Maintenance."/>
    <x v="0"/>
    <x v="0"/>
    <x v="2"/>
    <d v="1899-12-30T13:54:20"/>
    <s v="Analyzer"/>
    <x v="0"/>
    <x v="0"/>
    <x v="0"/>
    <x v="0"/>
  </r>
  <r>
    <s v="Analyzer Status changed from Maintenance to Ready."/>
    <x v="0"/>
    <x v="0"/>
    <x v="2"/>
    <d v="1899-12-30T13:54:46"/>
    <s v="Analyzer"/>
    <x v="0"/>
    <x v="0"/>
    <x v="0"/>
    <x v="0"/>
  </r>
  <r>
    <s v="Automatic maintenance activity Automatic Routine Clean for all Probes has been executed."/>
    <x v="2"/>
    <x v="0"/>
    <x v="2"/>
    <d v="1899-12-30T13:54:46"/>
    <s v="Maintenance"/>
    <x v="0"/>
    <x v="2"/>
    <x v="2"/>
    <x v="0"/>
  </r>
  <r>
    <s v="Non-identified Sample in rack 02 position 1, track 12."/>
    <x v="12"/>
    <x v="2"/>
    <x v="2"/>
    <d v="1899-12-30T14:16:23"/>
    <s v="Materials"/>
    <x v="0"/>
    <x v="4"/>
    <x v="7"/>
    <x v="1"/>
  </r>
  <r>
    <s v="Non-identified Sample in rack 02 position 2, track 12."/>
    <x v="12"/>
    <x v="2"/>
    <x v="2"/>
    <d v="1899-12-30T14:16:23"/>
    <s v="Materials"/>
    <x v="0"/>
    <x v="4"/>
    <x v="7"/>
    <x v="1"/>
  </r>
  <r>
    <s v="Non-identified Sample in rack 02 position 3, track 12."/>
    <x v="12"/>
    <x v="2"/>
    <x v="2"/>
    <d v="1899-12-30T14:16:23"/>
    <s v="Materials"/>
    <x v="0"/>
    <x v="4"/>
    <x v="7"/>
    <x v="1"/>
  </r>
  <r>
    <s v="Non-identified Sample in rack 02 position 4, track 12."/>
    <x v="12"/>
    <x v="2"/>
    <x v="2"/>
    <d v="1899-12-30T14:16:23"/>
    <s v="Materials"/>
    <x v="0"/>
    <x v="4"/>
    <x v="7"/>
    <x v="1"/>
  </r>
  <r>
    <s v="Non-identified Sample in rack 02 position 5, track 12."/>
    <x v="12"/>
    <x v="2"/>
    <x v="2"/>
    <d v="1899-12-30T14:16:23"/>
    <s v="Materials"/>
    <x v="0"/>
    <x v="4"/>
    <x v="7"/>
    <x v="1"/>
  </r>
  <r>
    <s v="Non-identified Sample in rack 07 position 1, track 10."/>
    <x v="12"/>
    <x v="2"/>
    <x v="2"/>
    <d v="1899-12-30T14:17:53"/>
    <s v="Materials"/>
    <x v="0"/>
    <x v="4"/>
    <x v="7"/>
    <x v="1"/>
  </r>
  <r>
    <s v="Non-identified Sample in rack 07 position 2, track 10."/>
    <x v="12"/>
    <x v="2"/>
    <x v="2"/>
    <d v="1899-12-30T14:17:53"/>
    <s v="Materials"/>
    <x v="0"/>
    <x v="4"/>
    <x v="7"/>
    <x v="1"/>
  </r>
  <r>
    <s v="Non-identified Sample in rack 07 position 3, track 10."/>
    <x v="12"/>
    <x v="2"/>
    <x v="2"/>
    <d v="1899-12-30T14:17:53"/>
    <s v="Materials"/>
    <x v="0"/>
    <x v="4"/>
    <x v="7"/>
    <x v="1"/>
  </r>
  <r>
    <s v="Non-identified Sample in rack 07 position 4, track 10."/>
    <x v="12"/>
    <x v="2"/>
    <x v="2"/>
    <d v="1899-12-30T14:17:53"/>
    <s v="Materials"/>
    <x v="0"/>
    <x v="4"/>
    <x v="7"/>
    <x v="1"/>
  </r>
  <r>
    <s v="Non-identified Sample in rack 07 position 5, track 10."/>
    <x v="12"/>
    <x v="2"/>
    <x v="2"/>
    <d v="1899-12-30T14:17:53"/>
    <s v="Materials"/>
    <x v="0"/>
    <x v="4"/>
    <x v="7"/>
    <x v="1"/>
  </r>
  <r>
    <s v="Non-identified Sample in rack 07 position 6, track 10."/>
    <x v="12"/>
    <x v="2"/>
    <x v="2"/>
    <d v="1899-12-30T14:17:53"/>
    <s v="Materials"/>
    <x v="0"/>
    <x v="4"/>
    <x v="7"/>
    <x v="1"/>
  </r>
  <r>
    <s v="Non-identified Material in rack DB position 5, track 1."/>
    <x v="27"/>
    <x v="2"/>
    <x v="2"/>
    <d v="1899-12-30T14:17:59"/>
    <s v="Materials"/>
    <x v="0"/>
    <x v="2"/>
    <x v="3"/>
    <x v="0"/>
  </r>
  <r>
    <s v="Analyzer Status changed from Ready to Busy."/>
    <x v="0"/>
    <x v="0"/>
    <x v="2"/>
    <d v="1899-12-30T14:18:44"/>
    <s v="Analyzer"/>
    <x v="0"/>
    <x v="0"/>
    <x v="0"/>
    <x v="0"/>
  </r>
  <r>
    <s v="APTT-SS CaCl2 volume low."/>
    <x v="7"/>
    <x v="1"/>
    <x v="2"/>
    <d v="1899-12-30T14:30:07"/>
    <s v="Materials"/>
    <x v="0"/>
    <x v="3"/>
    <x v="4"/>
    <x v="0"/>
  </r>
  <r>
    <s v="Analyzer Status changed from Busy to Ready."/>
    <x v="0"/>
    <x v="0"/>
    <x v="2"/>
    <d v="1899-12-30T14:32:40"/>
    <s v="Analyzer"/>
    <x v="0"/>
    <x v="0"/>
    <x v="0"/>
    <x v="0"/>
  </r>
  <r>
    <s v="Analyzer Status changed from Ready to Maintenance."/>
    <x v="0"/>
    <x v="0"/>
    <x v="2"/>
    <d v="1899-12-30T14:32:40"/>
    <s v="Analyzer"/>
    <x v="0"/>
    <x v="0"/>
    <x v="0"/>
    <x v="0"/>
  </r>
  <r>
    <s v="Analyzer Status changed from Maintenance to Ready."/>
    <x v="0"/>
    <x v="0"/>
    <x v="2"/>
    <d v="1899-12-30T14:33:00"/>
    <s v="Analyzer"/>
    <x v="0"/>
    <x v="0"/>
    <x v="0"/>
    <x v="0"/>
  </r>
  <r>
    <s v="Automatic maintenance activity Automatic Routine Clean for all Probes has been executed."/>
    <x v="2"/>
    <x v="0"/>
    <x v="2"/>
    <d v="1899-12-30T14:33:00"/>
    <s v="Maintenance"/>
    <x v="0"/>
    <x v="2"/>
    <x v="2"/>
    <x v="0"/>
  </r>
  <r>
    <s v="Reflex Rule PTMX1:3 has been modified."/>
    <x v="23"/>
    <x v="0"/>
    <x v="2"/>
    <d v="1899-12-30T14:41:56"/>
    <s v="Setup"/>
    <x v="0"/>
    <x v="2"/>
    <x v="5"/>
    <x v="0"/>
  </r>
  <r>
    <s v="Analyzer Status changed from Ready to Maintenance."/>
    <x v="0"/>
    <x v="0"/>
    <x v="2"/>
    <d v="1899-12-30T15:33:00"/>
    <s v="Analyzer"/>
    <x v="0"/>
    <x v="0"/>
    <x v="0"/>
    <x v="0"/>
  </r>
  <r>
    <s v="Analyzer Status changed from Maintenance to Ready."/>
    <x v="0"/>
    <x v="0"/>
    <x v="2"/>
    <d v="1899-12-30T15:33:22"/>
    <s v="Analyzer"/>
    <x v="0"/>
    <x v="0"/>
    <x v="0"/>
    <x v="0"/>
  </r>
  <r>
    <s v="Automatic maintenance activity Automatic Fluidic Line Priming Cycle has been executed."/>
    <x v="2"/>
    <x v="0"/>
    <x v="2"/>
    <d v="1899-12-30T15:33:22"/>
    <s v="Maintenance"/>
    <x v="0"/>
    <x v="2"/>
    <x v="2"/>
    <x v="0"/>
  </r>
  <r>
    <s v="Analyzer Status changed from Ready to Maintenance."/>
    <x v="0"/>
    <x v="0"/>
    <x v="2"/>
    <d v="1899-12-30T16:33:22"/>
    <s v="Analyzer"/>
    <x v="0"/>
    <x v="0"/>
    <x v="0"/>
    <x v="0"/>
  </r>
  <r>
    <s v="Analyzer Status changed from Maintenance to Ready."/>
    <x v="0"/>
    <x v="0"/>
    <x v="2"/>
    <d v="1899-12-30T16:33:44"/>
    <s v="Analyzer"/>
    <x v="0"/>
    <x v="0"/>
    <x v="0"/>
    <x v="0"/>
  </r>
  <r>
    <s v="Automatic maintenance activity Automatic Fluidic Line Priming Cycle has been executed."/>
    <x v="2"/>
    <x v="0"/>
    <x v="2"/>
    <d v="1899-12-30T16:33:44"/>
    <s v="Maintenance"/>
    <x v="0"/>
    <x v="2"/>
    <x v="2"/>
    <x v="0"/>
  </r>
  <r>
    <s v="Analyzer Status changed from Ready to Maintenance."/>
    <x v="0"/>
    <x v="0"/>
    <x v="2"/>
    <d v="1899-12-30T17:33:44"/>
    <s v="Analyzer"/>
    <x v="0"/>
    <x v="0"/>
    <x v="0"/>
    <x v="0"/>
  </r>
  <r>
    <s v="Automatic maintenance activity Automatic Fluidic Line Priming Cycle has been executed."/>
    <x v="2"/>
    <x v="0"/>
    <x v="2"/>
    <d v="1899-12-30T17:34:05"/>
    <s v="Maintenance"/>
    <x v="0"/>
    <x v="2"/>
    <x v="2"/>
    <x v="0"/>
  </r>
  <r>
    <s v="Analyzer Status changed from Maintenance to Ready."/>
    <x v="0"/>
    <x v="0"/>
    <x v="2"/>
    <d v="1899-12-30T17:34:06"/>
    <s v="Analyzer"/>
    <x v="0"/>
    <x v="0"/>
    <x v="0"/>
    <x v="0"/>
  </r>
  <r>
    <s v="Analyzer Status changed from Ready to Maintenance."/>
    <x v="0"/>
    <x v="0"/>
    <x v="2"/>
    <d v="1899-12-30T18:34:06"/>
    <s v="Analyzer"/>
    <x v="0"/>
    <x v="0"/>
    <x v="0"/>
    <x v="0"/>
  </r>
  <r>
    <s v="Analyzer Status changed from Maintenance to Ready."/>
    <x v="0"/>
    <x v="0"/>
    <x v="2"/>
    <d v="1899-12-30T18:34:27"/>
    <s v="Analyzer"/>
    <x v="0"/>
    <x v="0"/>
    <x v="0"/>
    <x v="0"/>
  </r>
  <r>
    <s v="Automatic maintenance activity Automatic Fluidic Line Priming Cycle has been executed."/>
    <x v="2"/>
    <x v="0"/>
    <x v="2"/>
    <d v="1899-12-30T18:34:27"/>
    <s v="Maintenance"/>
    <x v="0"/>
    <x v="2"/>
    <x v="2"/>
    <x v="0"/>
  </r>
  <r>
    <s v="Analyzer Status changed from Ready to Maintenance."/>
    <x v="0"/>
    <x v="0"/>
    <x v="2"/>
    <d v="1899-12-30T19:34:27"/>
    <s v="Analyzer"/>
    <x v="0"/>
    <x v="0"/>
    <x v="0"/>
    <x v="0"/>
  </r>
  <r>
    <s v="Analyzer Status changed from Maintenance to Ready."/>
    <x v="0"/>
    <x v="0"/>
    <x v="2"/>
    <d v="1899-12-30T19:34:49"/>
    <s v="Analyzer"/>
    <x v="0"/>
    <x v="0"/>
    <x v="0"/>
    <x v="0"/>
  </r>
  <r>
    <s v="Automatic maintenance activity Automatic Fluidic Line Priming Cycle has been executed."/>
    <x v="2"/>
    <x v="0"/>
    <x v="2"/>
    <d v="1899-12-30T19:34:49"/>
    <s v="Maintenance"/>
    <x v="0"/>
    <x v="2"/>
    <x v="2"/>
    <x v="0"/>
  </r>
  <r>
    <s v="Analyzer Status changed from Ready to Maintenance."/>
    <x v="0"/>
    <x v="0"/>
    <x v="2"/>
    <d v="1899-12-30T20:34:49"/>
    <s v="Analyzer"/>
    <x v="0"/>
    <x v="0"/>
    <x v="0"/>
    <x v="0"/>
  </r>
  <r>
    <s v="Analyzer Status changed from Maintenance to Ready."/>
    <x v="0"/>
    <x v="0"/>
    <x v="2"/>
    <d v="1899-12-30T20:35:11"/>
    <s v="Analyzer"/>
    <x v="0"/>
    <x v="0"/>
    <x v="0"/>
    <x v="0"/>
  </r>
  <r>
    <s v="Automatic maintenance activity Automatic Fluidic Line Priming Cycle has been executed."/>
    <x v="2"/>
    <x v="0"/>
    <x v="2"/>
    <d v="1899-12-30T20:35:11"/>
    <s v="Maintenance"/>
    <x v="0"/>
    <x v="2"/>
    <x v="2"/>
    <x v="0"/>
  </r>
  <r>
    <s v="Analyzer Status changed from Ready to Maintenance."/>
    <x v="0"/>
    <x v="0"/>
    <x v="2"/>
    <d v="1899-12-30T21:35:11"/>
    <s v="Analyzer"/>
    <x v="0"/>
    <x v="0"/>
    <x v="0"/>
    <x v="0"/>
  </r>
  <r>
    <s v="Analyzer Status changed from Maintenance to Ready."/>
    <x v="0"/>
    <x v="0"/>
    <x v="2"/>
    <d v="1899-12-30T21:35:33"/>
    <s v="Analyzer"/>
    <x v="0"/>
    <x v="0"/>
    <x v="0"/>
    <x v="0"/>
  </r>
  <r>
    <s v="Automatic maintenance activity Automatic Fluidic Line Priming Cycle has been executed."/>
    <x v="2"/>
    <x v="0"/>
    <x v="2"/>
    <d v="1899-12-30T21:35:33"/>
    <s v="Maintenance"/>
    <x v="0"/>
    <x v="2"/>
    <x v="2"/>
    <x v="0"/>
  </r>
  <r>
    <s v="Analyzer Status changed from Ready to Maintenance."/>
    <x v="0"/>
    <x v="0"/>
    <x v="2"/>
    <d v="1899-12-30T22:35:33"/>
    <s v="Analyzer"/>
    <x v="0"/>
    <x v="0"/>
    <x v="0"/>
    <x v="0"/>
  </r>
  <r>
    <s v="Analyzer Status changed from Maintenance to Ready."/>
    <x v="0"/>
    <x v="0"/>
    <x v="2"/>
    <d v="1899-12-30T22:35:55"/>
    <s v="Analyzer"/>
    <x v="0"/>
    <x v="0"/>
    <x v="0"/>
    <x v="0"/>
  </r>
  <r>
    <s v="Automatic maintenance activity Automatic Fluidic Line Priming Cycle has been executed."/>
    <x v="2"/>
    <x v="0"/>
    <x v="2"/>
    <d v="1899-12-30T22:35:55"/>
    <s v="Maintenance"/>
    <x v="0"/>
    <x v="2"/>
    <x v="2"/>
    <x v="0"/>
  </r>
  <r>
    <s v="Analyzer Status changed from Ready to Maintenance."/>
    <x v="0"/>
    <x v="0"/>
    <x v="2"/>
    <d v="1899-12-30T23:35:55"/>
    <s v="Analyzer"/>
    <x v="0"/>
    <x v="0"/>
    <x v="0"/>
    <x v="0"/>
  </r>
  <r>
    <s v="Automatic maintenance activity Automatic Fluidic Line Priming Cycle has been executed."/>
    <x v="2"/>
    <x v="0"/>
    <x v="2"/>
    <d v="1899-12-30T23:36:16"/>
    <s v="Maintenance"/>
    <x v="0"/>
    <x v="2"/>
    <x v="2"/>
    <x v="0"/>
  </r>
  <r>
    <s v="Analyzer Status changed from Maintenance to Ready."/>
    <x v="0"/>
    <x v="0"/>
    <x v="2"/>
    <d v="1899-12-30T23:36:17"/>
    <s v="Analyzer"/>
    <x v="0"/>
    <x v="0"/>
    <x v="0"/>
    <x v="0"/>
  </r>
  <r>
    <s v="Analyzer Status changed from Ready to Maintenance."/>
    <x v="0"/>
    <x v="0"/>
    <x v="3"/>
    <d v="1899-12-30T00:36:17"/>
    <s v="Analyzer"/>
    <x v="0"/>
    <x v="0"/>
    <x v="0"/>
    <x v="0"/>
  </r>
  <r>
    <s v="Automatic maintenance activity Automatic Fluidic Line Priming Cycle has been executed."/>
    <x v="2"/>
    <x v="0"/>
    <x v="3"/>
    <d v="1899-12-30T00:36:38"/>
    <s v="Maintenance"/>
    <x v="0"/>
    <x v="2"/>
    <x v="2"/>
    <x v="0"/>
  </r>
  <r>
    <s v="Analyzer Status changed from Maintenance to Ready."/>
    <x v="0"/>
    <x v="0"/>
    <x v="3"/>
    <d v="1899-12-30T00:36:39"/>
    <s v="Analyzer"/>
    <x v="0"/>
    <x v="0"/>
    <x v="0"/>
    <x v="0"/>
  </r>
  <r>
    <s v="Analyzer Status changed from Ready to Maintenance."/>
    <x v="0"/>
    <x v="0"/>
    <x v="3"/>
    <d v="1899-12-30T01:36:39"/>
    <s v="Analyzer"/>
    <x v="0"/>
    <x v="0"/>
    <x v="0"/>
    <x v="0"/>
  </r>
  <r>
    <s v="Automatic maintenance activity Automatic Fluidic Line Priming Cycle has been executed."/>
    <x v="2"/>
    <x v="0"/>
    <x v="3"/>
    <d v="1899-12-30T01:37:00"/>
    <s v="Maintenance"/>
    <x v="0"/>
    <x v="2"/>
    <x v="2"/>
    <x v="0"/>
  </r>
  <r>
    <s v="Analyzer Status changed from Maintenance to Ready."/>
    <x v="0"/>
    <x v="0"/>
    <x v="3"/>
    <d v="1899-12-30T01:37:01"/>
    <s v="Analyzer"/>
    <x v="0"/>
    <x v="0"/>
    <x v="0"/>
    <x v="0"/>
  </r>
  <r>
    <s v="Analyzer Status changed from Ready to Maintenance."/>
    <x v="0"/>
    <x v="0"/>
    <x v="3"/>
    <d v="1899-12-30T02:37:01"/>
    <s v="Analyzer"/>
    <x v="0"/>
    <x v="0"/>
    <x v="0"/>
    <x v="0"/>
  </r>
  <r>
    <s v="Analyzer Status changed from Maintenance to Ready."/>
    <x v="0"/>
    <x v="0"/>
    <x v="3"/>
    <d v="1899-12-30T02:37:22"/>
    <s v="Analyzer"/>
    <x v="0"/>
    <x v="0"/>
    <x v="0"/>
    <x v="0"/>
  </r>
  <r>
    <s v="Automatic maintenance activity Automatic Fluidic Line Priming Cycle has been executed."/>
    <x v="2"/>
    <x v="0"/>
    <x v="3"/>
    <d v="1899-12-30T02:37:22"/>
    <s v="Maintenance"/>
    <x v="0"/>
    <x v="2"/>
    <x v="2"/>
    <x v="0"/>
  </r>
  <r>
    <s v="Analyzer Status changed from Ready to Maintenance."/>
    <x v="0"/>
    <x v="0"/>
    <x v="3"/>
    <d v="1899-12-30T03:37:23"/>
    <s v="Analyzer"/>
    <x v="0"/>
    <x v="0"/>
    <x v="0"/>
    <x v="0"/>
  </r>
  <r>
    <s v="Analyzer Status changed from Maintenance to Ready."/>
    <x v="0"/>
    <x v="0"/>
    <x v="3"/>
    <d v="1899-12-30T03:37:44"/>
    <s v="Analyzer"/>
    <x v="0"/>
    <x v="0"/>
    <x v="0"/>
    <x v="0"/>
  </r>
  <r>
    <s v="Automatic maintenance activity Automatic Fluidic Line Priming Cycle has been executed."/>
    <x v="2"/>
    <x v="0"/>
    <x v="3"/>
    <d v="1899-12-30T03:37:44"/>
    <s v="Maintenance"/>
    <x v="0"/>
    <x v="2"/>
    <x v="2"/>
    <x v="0"/>
  </r>
  <r>
    <s v="Analyzer Status changed from Ready to Maintenance."/>
    <x v="0"/>
    <x v="0"/>
    <x v="3"/>
    <d v="1899-12-30T04:37:45"/>
    <s v="Analyzer"/>
    <x v="0"/>
    <x v="0"/>
    <x v="0"/>
    <x v="0"/>
  </r>
  <r>
    <s v="Analyzer Status changed from Maintenance to Ready."/>
    <x v="0"/>
    <x v="0"/>
    <x v="3"/>
    <d v="1899-12-30T04:38:06"/>
    <s v="Analyzer"/>
    <x v="0"/>
    <x v="0"/>
    <x v="0"/>
    <x v="0"/>
  </r>
  <r>
    <s v="Automatic maintenance activity Automatic Fluidic Line Priming Cycle has been executed."/>
    <x v="2"/>
    <x v="0"/>
    <x v="3"/>
    <d v="1899-12-30T04:38:06"/>
    <s v="Maintenance"/>
    <x v="0"/>
    <x v="2"/>
    <x v="2"/>
    <x v="0"/>
  </r>
  <r>
    <s v="Analyzer Status changed from Ready to Maintenance."/>
    <x v="0"/>
    <x v="0"/>
    <x v="3"/>
    <d v="1899-12-30T05:38:06"/>
    <s v="Analyzer"/>
    <x v="0"/>
    <x v="0"/>
    <x v="0"/>
    <x v="0"/>
  </r>
  <r>
    <s v="Analyzer Status changed from Maintenance to Ready."/>
    <x v="0"/>
    <x v="0"/>
    <x v="3"/>
    <d v="1899-12-30T05:38:28"/>
    <s v="Analyzer"/>
    <x v="0"/>
    <x v="0"/>
    <x v="0"/>
    <x v="0"/>
  </r>
  <r>
    <s v="Automatic maintenance activity Automatic Fluidic Line Priming Cycle has been executed."/>
    <x v="2"/>
    <x v="0"/>
    <x v="3"/>
    <d v="1899-12-30T05:38:28"/>
    <s v="Maintenance"/>
    <x v="0"/>
    <x v="2"/>
    <x v="2"/>
    <x v="0"/>
  </r>
  <r>
    <s v="Analyzer Status changed from Ready to Maintenance."/>
    <x v="0"/>
    <x v="0"/>
    <x v="3"/>
    <d v="1899-12-30T06:38:28"/>
    <s v="Analyzer"/>
    <x v="0"/>
    <x v="0"/>
    <x v="0"/>
    <x v="0"/>
  </r>
  <r>
    <s v="Analyzer Status changed from Maintenance to Ready."/>
    <x v="0"/>
    <x v="0"/>
    <x v="3"/>
    <d v="1899-12-30T06:38:50"/>
    <s v="Analyzer"/>
    <x v="0"/>
    <x v="0"/>
    <x v="0"/>
    <x v="0"/>
  </r>
  <r>
    <s v="Automatic maintenance activity Automatic Fluidic Line Priming Cycle has been executed."/>
    <x v="2"/>
    <x v="0"/>
    <x v="3"/>
    <d v="1899-12-30T06:38:50"/>
    <s v="Maintenance"/>
    <x v="0"/>
    <x v="2"/>
    <x v="2"/>
    <x v="0"/>
  </r>
  <r>
    <s v="Analyzer Status changed from Ready to Maintenance."/>
    <x v="0"/>
    <x v="0"/>
    <x v="3"/>
    <d v="1899-12-30T07:20:29"/>
    <s v="Analyzer"/>
    <x v="0"/>
    <x v="0"/>
    <x v="0"/>
    <x v="0"/>
  </r>
  <r>
    <s v="Analyzer Status changed from Maintenance to Ready."/>
    <x v="0"/>
    <x v="0"/>
    <x v="3"/>
    <d v="1899-12-30T07:23:58"/>
    <s v="Analyzer"/>
    <x v="0"/>
    <x v="0"/>
    <x v="0"/>
    <x v="0"/>
  </r>
  <r>
    <s v="Frequency status for manual maintenance activity Enhanced Clean for all Probes has changed to OK."/>
    <x v="3"/>
    <x v="0"/>
    <x v="3"/>
    <d v="1899-12-30T07:23:58"/>
    <s v="Maintenance"/>
    <x v="0"/>
    <x v="2"/>
    <x v="2"/>
    <x v="0"/>
  </r>
  <r>
    <s v="Frequency status for manual maintenance activity Enhanced Clean for Sample and Reagent Probes has changed to OK."/>
    <x v="3"/>
    <x v="0"/>
    <x v="3"/>
    <d v="1899-12-30T07:23:58"/>
    <s v="Maintenance"/>
    <x v="0"/>
    <x v="2"/>
    <x v="2"/>
    <x v="0"/>
  </r>
  <r>
    <s v="Semiautomatic maintenance activity Enhanced Clean for all Probes has been executed."/>
    <x v="4"/>
    <x v="0"/>
    <x v="3"/>
    <d v="1899-12-30T07:23:58"/>
    <s v="Maintenance"/>
    <x v="0"/>
    <x v="2"/>
    <x v="2"/>
    <x v="0"/>
  </r>
  <r>
    <s v="Analyzer Status changed from Ready to Maintenance."/>
    <x v="0"/>
    <x v="0"/>
    <x v="3"/>
    <d v="1899-12-30T07:26:13"/>
    <s v="Analyzer"/>
    <x v="0"/>
    <x v="0"/>
    <x v="0"/>
    <x v="0"/>
  </r>
  <r>
    <s v="Analyzer Status changed from Maintenance to Emergency stop."/>
    <x v="0"/>
    <x v="0"/>
    <x v="3"/>
    <d v="1899-12-30T07:26:43"/>
    <s v="Analyzer"/>
    <x v="0"/>
    <x v="0"/>
    <x v="0"/>
    <x v="0"/>
  </r>
  <r>
    <s v="Analyzer Status changed from Emergency stop to Not connected."/>
    <x v="0"/>
    <x v="0"/>
    <x v="3"/>
    <d v="1899-12-30T07:26:43"/>
    <s v="Analyzer"/>
    <x v="0"/>
    <x v="0"/>
    <x v="0"/>
    <x v="0"/>
  </r>
  <r>
    <s v="Frequency status for manual maintenance activity Wipe-down all Probes has changed to OK."/>
    <x v="3"/>
    <x v="0"/>
    <x v="3"/>
    <d v="1899-12-30T07:26:44"/>
    <s v="Maintenance"/>
    <x v="0"/>
    <x v="2"/>
    <x v="2"/>
    <x v="0"/>
  </r>
  <r>
    <s v="Frequency status for manual maintenance activity Wipe-down Sample Probe has changed to OK."/>
    <x v="3"/>
    <x v="0"/>
    <x v="3"/>
    <d v="1899-12-30T07:26:44"/>
    <s v="Maintenance"/>
    <x v="0"/>
    <x v="2"/>
    <x v="2"/>
    <x v="0"/>
  </r>
  <r>
    <s v="Frequency status for manual maintenance activity Wipe-down LAS Probe has changed to OK."/>
    <x v="3"/>
    <x v="0"/>
    <x v="3"/>
    <d v="1899-12-30T07:26:44"/>
    <s v="Maintenance"/>
    <x v="0"/>
    <x v="2"/>
    <x v="2"/>
    <x v="0"/>
  </r>
  <r>
    <s v="Manual maintenance activity Wipe-down all Probes has been executed."/>
    <x v="5"/>
    <x v="0"/>
    <x v="3"/>
    <d v="1899-12-30T07:26:44"/>
    <s v="Maintenance"/>
    <x v="0"/>
    <x v="2"/>
    <x v="2"/>
    <x v="0"/>
  </r>
  <r>
    <s v="Analyzer Status changed from Not connected to Power up."/>
    <x v="0"/>
    <x v="0"/>
    <x v="3"/>
    <d v="1899-12-30T07:27:24"/>
    <s v="Analyzer"/>
    <x v="0"/>
    <x v="0"/>
    <x v="0"/>
    <x v="0"/>
  </r>
  <r>
    <s v="Analyzer Status changed from Power up to Initializing."/>
    <x v="0"/>
    <x v="0"/>
    <x v="3"/>
    <d v="1899-12-30T07:27:34"/>
    <s v="Analyzer"/>
    <x v="0"/>
    <x v="0"/>
    <x v="0"/>
    <x v="0"/>
  </r>
  <r>
    <s v="Cuvettes waste drawer missing."/>
    <x v="29"/>
    <x v="2"/>
    <x v="3"/>
    <d v="1899-12-30T07:28:28"/>
    <s v="Materials"/>
    <x v="0"/>
    <x v="5"/>
    <x v="11"/>
    <x v="0"/>
  </r>
  <r>
    <s v="Analyzer Status changed from Initializing to Error."/>
    <x v="0"/>
    <x v="0"/>
    <x v="3"/>
    <d v="1899-12-30T07:28:28"/>
    <s v="Analyzer"/>
    <x v="0"/>
    <x v="0"/>
    <x v="0"/>
    <x v="0"/>
  </r>
  <r>
    <s v="Analyzer Status changed from Error to Initializing."/>
    <x v="0"/>
    <x v="0"/>
    <x v="3"/>
    <d v="1899-12-30T07:28:41"/>
    <s v="Analyzer"/>
    <x v="0"/>
    <x v="0"/>
    <x v="0"/>
    <x v="0"/>
  </r>
  <r>
    <s v="Analyzer Status changed from Initializing to Adjusting thermal."/>
    <x v="0"/>
    <x v="0"/>
    <x v="3"/>
    <d v="1899-12-30T07:29:24"/>
    <s v="Analyzer"/>
    <x v="0"/>
    <x v="0"/>
    <x v="0"/>
    <x v="0"/>
  </r>
  <r>
    <s v="Analyzer Status changed from Adjusting thermal to Ready."/>
    <x v="0"/>
    <x v="0"/>
    <x v="3"/>
    <d v="1899-12-30T07:31:48"/>
    <s v="Analyzer"/>
    <x v="0"/>
    <x v="0"/>
    <x v="0"/>
    <x v="0"/>
  </r>
  <r>
    <s v="Analyzer Status changed from Ready to Maintenance."/>
    <x v="0"/>
    <x v="0"/>
    <x v="3"/>
    <d v="1899-12-30T07:31:48"/>
    <s v="Analyzer"/>
    <x v="0"/>
    <x v="0"/>
    <x v="0"/>
    <x v="0"/>
  </r>
  <r>
    <s v="Analyzer Status changed from Maintenance to Ready."/>
    <x v="0"/>
    <x v="0"/>
    <x v="3"/>
    <d v="1899-12-30T07:33:01"/>
    <s v="Analyzer"/>
    <x v="0"/>
    <x v="0"/>
    <x v="0"/>
    <x v="0"/>
  </r>
  <r>
    <s v="Analyzer Status changed from Ready to Maintenance."/>
    <x v="0"/>
    <x v="0"/>
    <x v="3"/>
    <d v="1899-12-30T07:33:50"/>
    <s v="Analyzer"/>
    <x v="0"/>
    <x v="0"/>
    <x v="0"/>
    <x v="0"/>
  </r>
  <r>
    <s v="Analyzer Status changed from Maintenance to Ready."/>
    <x v="0"/>
    <x v="0"/>
    <x v="3"/>
    <d v="1899-12-30T07:33:53"/>
    <s v="Analyzer"/>
    <x v="0"/>
    <x v="0"/>
    <x v="0"/>
    <x v="0"/>
  </r>
  <r>
    <s v="Frequency status for manual maintenance activity Clean Cuvette Waste Drawer has changed to OK."/>
    <x v="3"/>
    <x v="0"/>
    <x v="3"/>
    <d v="1899-12-30T07:33:53"/>
    <s v="Maintenance"/>
    <x v="0"/>
    <x v="2"/>
    <x v="2"/>
    <x v="0"/>
  </r>
  <r>
    <s v="Manual maintenance activity Clean Cuvette Waste Drawer has been executed."/>
    <x v="5"/>
    <x v="0"/>
    <x v="3"/>
    <d v="1899-12-30T07:33:53"/>
    <s v="Maintenance"/>
    <x v="0"/>
    <x v="2"/>
    <x v="2"/>
    <x v="0"/>
  </r>
  <r>
    <s v="Analyzer Status changed from Ready to Maintenance."/>
    <x v="0"/>
    <x v="0"/>
    <x v="3"/>
    <d v="1899-12-30T07:56:02"/>
    <s v="Analyzer"/>
    <x v="0"/>
    <x v="0"/>
    <x v="0"/>
    <x v="0"/>
  </r>
  <r>
    <s v="Analyzer Status changed from Maintenance to Ready."/>
    <x v="0"/>
    <x v="0"/>
    <x v="3"/>
    <d v="1899-12-30T07:56:04"/>
    <s v="Analyzer"/>
    <x v="0"/>
    <x v="0"/>
    <x v="0"/>
    <x v="0"/>
  </r>
  <r>
    <s v="Frequency status for manual maintenance activity make new diluted clean B has changed to OK."/>
    <x v="3"/>
    <x v="0"/>
    <x v="3"/>
    <d v="1899-12-30T07:56:04"/>
    <s v="Maintenance"/>
    <x v="0"/>
    <x v="2"/>
    <x v="2"/>
    <x v="0"/>
  </r>
  <r>
    <s v="Manual maintenance activity make new diluted clean B has been executed."/>
    <x v="5"/>
    <x v="0"/>
    <x v="3"/>
    <d v="1899-12-30T07:56:04"/>
    <s v="Maintenance"/>
    <x v="0"/>
    <x v="2"/>
    <x v="2"/>
    <x v="0"/>
  </r>
  <r>
    <s v="Non-identified Material in rack DA position 3, track 2."/>
    <x v="27"/>
    <x v="2"/>
    <x v="3"/>
    <d v="1899-12-30T08:26:49"/>
    <s v="Materials"/>
    <x v="0"/>
    <x v="2"/>
    <x v="3"/>
    <x v="0"/>
  </r>
  <r>
    <s v="Analyzer Status changed from Ready to Maintenance."/>
    <x v="0"/>
    <x v="0"/>
    <x v="3"/>
    <d v="1899-12-30T08:26:55"/>
    <s v="Analyzer"/>
    <x v="0"/>
    <x v="0"/>
    <x v="0"/>
    <x v="0"/>
  </r>
  <r>
    <s v="Analyzer Status changed from Maintenance to Ready."/>
    <x v="0"/>
    <x v="0"/>
    <x v="3"/>
    <d v="1899-12-30T08:27:00"/>
    <s v="Analyzer"/>
    <x v="0"/>
    <x v="0"/>
    <x v="0"/>
    <x v="0"/>
  </r>
  <r>
    <s v="Frequency status for manual maintenance activity replace factor diluent has changed to OK."/>
    <x v="3"/>
    <x v="0"/>
    <x v="3"/>
    <d v="1899-12-30T08:27:00"/>
    <s v="Maintenance"/>
    <x v="0"/>
    <x v="2"/>
    <x v="2"/>
    <x v="0"/>
  </r>
  <r>
    <s v="Manual maintenance activity replace factor diluent has been executed."/>
    <x v="5"/>
    <x v="0"/>
    <x v="3"/>
    <d v="1899-12-30T08:27:00"/>
    <s v="Maintenance"/>
    <x v="0"/>
    <x v="2"/>
    <x v="2"/>
    <x v="0"/>
  </r>
  <r>
    <s v="Maintenance activity due: Wipe-down exterior of ACL TOP &amp; Vacuum Filters."/>
    <x v="9"/>
    <x v="1"/>
    <x v="3"/>
    <d v="1899-12-30T08:39:45"/>
    <s v="Maintenance"/>
    <x v="0"/>
    <x v="2"/>
    <x v="2"/>
    <x v="0"/>
  </r>
  <r>
    <s v="Maintenance activity due: Replace factor diluent bottle."/>
    <x v="9"/>
    <x v="1"/>
    <x v="3"/>
    <d v="1899-12-30T08:40:45"/>
    <s v="Maintenance"/>
    <x v="0"/>
    <x v="2"/>
    <x v="2"/>
    <x v="0"/>
  </r>
  <r>
    <s v="Normal C. Assayed volume low."/>
    <x v="7"/>
    <x v="1"/>
    <x v="3"/>
    <d v="1899-12-30T09:02:17"/>
    <s v="Materials"/>
    <x v="0"/>
    <x v="3"/>
    <x v="4"/>
    <x v="0"/>
  </r>
  <r>
    <s v="High Abn C. Assayed volume low."/>
    <x v="7"/>
    <x v="1"/>
    <x v="3"/>
    <d v="1899-12-30T09:02:23"/>
    <s v="Materials"/>
    <x v="0"/>
    <x v="3"/>
    <x v="4"/>
    <x v="0"/>
  </r>
  <r>
    <s v="Analyzer Status changed from Ready to Busy."/>
    <x v="0"/>
    <x v="0"/>
    <x v="3"/>
    <d v="1899-12-30T09:02:47"/>
    <s v="Analyzer"/>
    <x v="0"/>
    <x v="0"/>
    <x v="0"/>
    <x v="0"/>
  </r>
  <r>
    <s v="Analyzer Status changed from Busy to Ready."/>
    <x v="0"/>
    <x v="0"/>
    <x v="3"/>
    <d v="1899-12-30T09:16:43"/>
    <s v="Analyzer"/>
    <x v="0"/>
    <x v="0"/>
    <x v="0"/>
    <x v="0"/>
  </r>
  <r>
    <s v="Analyzer Status changed from Ready to Maintenance."/>
    <x v="0"/>
    <x v="0"/>
    <x v="3"/>
    <d v="1899-12-30T09:16:43"/>
    <s v="Analyzer"/>
    <x v="0"/>
    <x v="0"/>
    <x v="0"/>
    <x v="0"/>
  </r>
  <r>
    <s v="Analyzer Status changed from Maintenance to Ready."/>
    <x v="0"/>
    <x v="0"/>
    <x v="3"/>
    <d v="1899-12-30T09:17:19"/>
    <s v="Analyzer"/>
    <x v="0"/>
    <x v="0"/>
    <x v="0"/>
    <x v="0"/>
  </r>
  <r>
    <s v="Automatic maintenance activity Automatic Routine Clean for all Probes has been executed."/>
    <x v="2"/>
    <x v="0"/>
    <x v="3"/>
    <d v="1899-12-30T09:17:19"/>
    <s v="Maintenance"/>
    <x v="0"/>
    <x v="2"/>
    <x v="2"/>
    <x v="0"/>
  </r>
  <r>
    <s v="Non-identified Material in rack DA position 2, track 2."/>
    <x v="27"/>
    <x v="2"/>
    <x v="3"/>
    <d v="1899-12-30T09:58:24"/>
    <s v="Materials"/>
    <x v="0"/>
    <x v="2"/>
    <x v="3"/>
    <x v="0"/>
  </r>
  <r>
    <s v="Non-identified Material in rack RE position 3, track 3."/>
    <x v="27"/>
    <x v="2"/>
    <x v="3"/>
    <d v="1899-12-30T09:59:08"/>
    <s v="Materials"/>
    <x v="0"/>
    <x v="2"/>
    <x v="3"/>
    <x v="0"/>
  </r>
  <r>
    <s v="Non-identified Material in rack RC position 4, track 5."/>
    <x v="27"/>
    <x v="2"/>
    <x v="3"/>
    <d v="1899-12-30T10:04:14"/>
    <s v="Materials"/>
    <x v="0"/>
    <x v="2"/>
    <x v="3"/>
    <x v="0"/>
  </r>
  <r>
    <s v="Non-identified Material in rack DA position 2, track 2."/>
    <x v="27"/>
    <x v="2"/>
    <x v="3"/>
    <d v="1899-12-30T10:05:33"/>
    <s v="Materials"/>
    <x v="0"/>
    <x v="2"/>
    <x v="3"/>
    <x v="0"/>
  </r>
  <r>
    <s v="Non-identified Material in rack DA position 4, track 2."/>
    <x v="27"/>
    <x v="2"/>
    <x v="3"/>
    <d v="1899-12-30T10:05:33"/>
    <s v="Materials"/>
    <x v="0"/>
    <x v="2"/>
    <x v="3"/>
    <x v="0"/>
  </r>
  <r>
    <s v="Analyzer Status changed from Ready to Maintenance."/>
    <x v="0"/>
    <x v="0"/>
    <x v="3"/>
    <d v="1899-12-30T10:17:19"/>
    <s v="Analyzer"/>
    <x v="0"/>
    <x v="0"/>
    <x v="0"/>
    <x v="0"/>
  </r>
  <r>
    <s v="Automatic maintenance activity Automatic Fluidic Line Priming Cycle has been executed."/>
    <x v="2"/>
    <x v="0"/>
    <x v="3"/>
    <d v="1899-12-30T10:17:40"/>
    <s v="Maintenance"/>
    <x v="0"/>
    <x v="2"/>
    <x v="2"/>
    <x v="0"/>
  </r>
  <r>
    <s v="Analyzer Status changed from Maintenance to Ready."/>
    <x v="0"/>
    <x v="0"/>
    <x v="3"/>
    <d v="1899-12-30T10:17:41"/>
    <s v="Analyzer"/>
    <x v="0"/>
    <x v="0"/>
    <x v="0"/>
    <x v="0"/>
  </r>
  <r>
    <s v="Non-identified Sample in rack 01 position 1, track 12."/>
    <x v="12"/>
    <x v="2"/>
    <x v="3"/>
    <d v="1899-12-30T10:33:48"/>
    <s v="Materials"/>
    <x v="0"/>
    <x v="4"/>
    <x v="7"/>
    <x v="1"/>
  </r>
  <r>
    <s v="Non-identified Sample in rack 01 position 2, track 12."/>
    <x v="12"/>
    <x v="2"/>
    <x v="3"/>
    <d v="1899-12-30T10:33:48"/>
    <s v="Materials"/>
    <x v="0"/>
    <x v="4"/>
    <x v="7"/>
    <x v="1"/>
  </r>
  <r>
    <s v="Non-identified Sample in rack 01 position 3, track 12."/>
    <x v="12"/>
    <x v="2"/>
    <x v="3"/>
    <d v="1899-12-30T10:33:48"/>
    <s v="Materials"/>
    <x v="0"/>
    <x v="4"/>
    <x v="7"/>
    <x v="1"/>
  </r>
  <r>
    <s v="Non-identified Sample in rack 01 position 4, track 12."/>
    <x v="12"/>
    <x v="2"/>
    <x v="3"/>
    <d v="1899-12-30T10:33:48"/>
    <s v="Materials"/>
    <x v="0"/>
    <x v="4"/>
    <x v="7"/>
    <x v="1"/>
  </r>
  <r>
    <s v="Non-identified Sample in rack 01 position 5, track 12."/>
    <x v="12"/>
    <x v="2"/>
    <x v="3"/>
    <d v="1899-12-30T10:33:48"/>
    <s v="Materials"/>
    <x v="0"/>
    <x v="4"/>
    <x v="7"/>
    <x v="1"/>
  </r>
  <r>
    <s v="Non-identified Sample in rack 01 position 6, track 12."/>
    <x v="12"/>
    <x v="2"/>
    <x v="3"/>
    <d v="1899-12-30T10:33:48"/>
    <s v="Materials"/>
    <x v="0"/>
    <x v="4"/>
    <x v="7"/>
    <x v="1"/>
  </r>
  <r>
    <s v="Non-identified Sample in rack 01 position 7, track 12."/>
    <x v="12"/>
    <x v="2"/>
    <x v="3"/>
    <d v="1899-12-30T10:33:48"/>
    <s v="Materials"/>
    <x v="0"/>
    <x v="4"/>
    <x v="7"/>
    <x v="1"/>
  </r>
  <r>
    <s v="Analyzer Status changed from Ready to Busy."/>
    <x v="0"/>
    <x v="0"/>
    <x v="3"/>
    <d v="1899-12-30T10:35:24"/>
    <s v="Analyzer"/>
    <x v="0"/>
    <x v="0"/>
    <x v="0"/>
    <x v="0"/>
  </r>
  <r>
    <s v="Analyzer Status changed from Busy to Ready."/>
    <x v="0"/>
    <x v="0"/>
    <x v="3"/>
    <d v="1899-12-30T10:47:16"/>
    <s v="Analyzer"/>
    <x v="0"/>
    <x v="0"/>
    <x v="0"/>
    <x v="0"/>
  </r>
  <r>
    <s v="Analyzer Status changed from Ready to Maintenance."/>
    <x v="0"/>
    <x v="0"/>
    <x v="3"/>
    <d v="1899-12-30T10:47:16"/>
    <s v="Analyzer"/>
    <x v="0"/>
    <x v="0"/>
    <x v="0"/>
    <x v="0"/>
  </r>
  <r>
    <s v="Analyzer Status changed from Maintenance to Ready."/>
    <x v="0"/>
    <x v="0"/>
    <x v="3"/>
    <d v="1899-12-30T10:47:44"/>
    <s v="Analyzer"/>
    <x v="0"/>
    <x v="0"/>
    <x v="0"/>
    <x v="0"/>
  </r>
  <r>
    <s v="Automatic maintenance activity Automatic Routine Clean for all Probes has been executed."/>
    <x v="2"/>
    <x v="0"/>
    <x v="3"/>
    <d v="1899-12-30T10:47:44"/>
    <s v="Maintenance"/>
    <x v="0"/>
    <x v="2"/>
    <x v="2"/>
    <x v="0"/>
  </r>
  <r>
    <s v="Non-identified Sample in rack 11 position 1, track 10."/>
    <x v="12"/>
    <x v="2"/>
    <x v="3"/>
    <d v="1899-12-30T10:49:46"/>
    <s v="Materials"/>
    <x v="0"/>
    <x v="4"/>
    <x v="7"/>
    <x v="1"/>
  </r>
  <r>
    <s v="Non-identified Sample in rack 11 position 2, track 10."/>
    <x v="12"/>
    <x v="2"/>
    <x v="3"/>
    <d v="1899-12-30T10:49:46"/>
    <s v="Materials"/>
    <x v="0"/>
    <x v="4"/>
    <x v="7"/>
    <x v="1"/>
  </r>
  <r>
    <s v="Non-identified Sample in rack 11 position 3, track 10."/>
    <x v="12"/>
    <x v="2"/>
    <x v="3"/>
    <d v="1899-12-30T10:49:46"/>
    <s v="Materials"/>
    <x v="0"/>
    <x v="4"/>
    <x v="7"/>
    <x v="1"/>
  </r>
  <r>
    <s v="Non-identified Sample in rack 11 position 4, track 10."/>
    <x v="12"/>
    <x v="2"/>
    <x v="3"/>
    <d v="1899-12-30T10:49:46"/>
    <s v="Materials"/>
    <x v="0"/>
    <x v="4"/>
    <x v="7"/>
    <x v="1"/>
  </r>
  <r>
    <s v="Analyzer Status changed from Ready to Busy."/>
    <x v="0"/>
    <x v="0"/>
    <x v="3"/>
    <d v="1899-12-30T10:50:38"/>
    <s v="Analyzer"/>
    <x v="0"/>
    <x v="0"/>
    <x v="0"/>
    <x v="0"/>
  </r>
  <r>
    <s v="Analyzer Status changed from Busy to Ready."/>
    <x v="0"/>
    <x v="0"/>
    <x v="3"/>
    <d v="1899-12-30T10:59:11"/>
    <s v="Analyzer"/>
    <x v="0"/>
    <x v="0"/>
    <x v="0"/>
    <x v="0"/>
  </r>
  <r>
    <s v="Analyzer Status changed from Ready to Maintenance."/>
    <x v="0"/>
    <x v="0"/>
    <x v="3"/>
    <d v="1899-12-30T10:59:11"/>
    <s v="Analyzer"/>
    <x v="0"/>
    <x v="0"/>
    <x v="0"/>
    <x v="0"/>
  </r>
  <r>
    <s v="Analyzer Status changed from Maintenance to Ready."/>
    <x v="0"/>
    <x v="0"/>
    <x v="3"/>
    <d v="1899-12-30T10:59:38"/>
    <s v="Analyzer"/>
    <x v="0"/>
    <x v="0"/>
    <x v="0"/>
    <x v="0"/>
  </r>
  <r>
    <s v="Automatic maintenance activity Automatic Routine Clean for all Probes has been executed."/>
    <x v="2"/>
    <x v="0"/>
    <x v="3"/>
    <d v="1899-12-30T10:59:38"/>
    <s v="Maintenance"/>
    <x v="0"/>
    <x v="2"/>
    <x v="2"/>
    <x v="0"/>
  </r>
  <r>
    <s v="Non-identified Material in rack RC position 4, track 5."/>
    <x v="27"/>
    <x v="2"/>
    <x v="3"/>
    <d v="1899-12-30T11:03:02"/>
    <s v="Materials"/>
    <x v="0"/>
    <x v="2"/>
    <x v="3"/>
    <x v="0"/>
  </r>
  <r>
    <s v="Non-identified Material in rack DA position 2, track 2."/>
    <x v="27"/>
    <x v="2"/>
    <x v="3"/>
    <d v="1899-12-30T11:03:28"/>
    <s v="Materials"/>
    <x v="0"/>
    <x v="2"/>
    <x v="3"/>
    <x v="0"/>
  </r>
  <r>
    <s v="Non-identified Material in rack DA position 4, track 2."/>
    <x v="27"/>
    <x v="2"/>
    <x v="3"/>
    <d v="1899-12-30T11:03:28"/>
    <s v="Materials"/>
    <x v="0"/>
    <x v="2"/>
    <x v="3"/>
    <x v="0"/>
  </r>
  <r>
    <s v="Non-identified Material in rack RC position 4, track 5."/>
    <x v="27"/>
    <x v="2"/>
    <x v="3"/>
    <d v="1899-12-30T11:04:19"/>
    <s v="Materials"/>
    <x v="0"/>
    <x v="2"/>
    <x v="3"/>
    <x v="0"/>
  </r>
  <r>
    <s v="Analyzer Status changed from Ready to Busy."/>
    <x v="0"/>
    <x v="0"/>
    <x v="3"/>
    <d v="1899-12-30T11:05:15"/>
    <s v="Analyzer"/>
    <x v="0"/>
    <x v="0"/>
    <x v="0"/>
    <x v="0"/>
  </r>
  <r>
    <s v="Analyzer Status changed from Busy to Ready."/>
    <x v="0"/>
    <x v="0"/>
    <x v="3"/>
    <d v="1899-12-30T11:08:30"/>
    <s v="Analyzer"/>
    <x v="0"/>
    <x v="0"/>
    <x v="0"/>
    <x v="0"/>
  </r>
  <r>
    <s v="Analyzer Status changed from Ready to Maintenance."/>
    <x v="0"/>
    <x v="0"/>
    <x v="3"/>
    <d v="1899-12-30T11:08:30"/>
    <s v="Analyzer"/>
    <x v="0"/>
    <x v="0"/>
    <x v="0"/>
    <x v="0"/>
  </r>
  <r>
    <s v="Analyzer Status changed from Maintenance to Ready."/>
    <x v="0"/>
    <x v="0"/>
    <x v="3"/>
    <d v="1899-12-30T11:08:56"/>
    <s v="Analyzer"/>
    <x v="0"/>
    <x v="0"/>
    <x v="0"/>
    <x v="0"/>
  </r>
  <r>
    <s v="Automatic maintenance activity Automatic Routine Clean for all Probes has been executed."/>
    <x v="2"/>
    <x v="0"/>
    <x v="3"/>
    <d v="1899-12-30T11:08:56"/>
    <s v="Maintenance"/>
    <x v="0"/>
    <x v="2"/>
    <x v="2"/>
    <x v="0"/>
  </r>
  <r>
    <s v="Non-identified Sample in rack 01 position 1, track 12."/>
    <x v="12"/>
    <x v="2"/>
    <x v="3"/>
    <d v="1899-12-30T11:15:17"/>
    <s v="Materials"/>
    <x v="0"/>
    <x v="4"/>
    <x v="7"/>
    <x v="1"/>
  </r>
  <r>
    <s v="Non-identified Sample in rack 01 position 2, track 12."/>
    <x v="12"/>
    <x v="2"/>
    <x v="3"/>
    <d v="1899-12-30T11:15:17"/>
    <s v="Materials"/>
    <x v="0"/>
    <x v="4"/>
    <x v="7"/>
    <x v="1"/>
  </r>
  <r>
    <s v="Non-identified Sample in rack 01 position 3, track 12."/>
    <x v="12"/>
    <x v="2"/>
    <x v="3"/>
    <d v="1899-12-30T11:15:17"/>
    <s v="Materials"/>
    <x v="0"/>
    <x v="4"/>
    <x v="7"/>
    <x v="1"/>
  </r>
  <r>
    <s v="Non-identified Sample in rack 01 position 4, track 12."/>
    <x v="12"/>
    <x v="2"/>
    <x v="3"/>
    <d v="1899-12-30T11:15:17"/>
    <s v="Materials"/>
    <x v="0"/>
    <x v="4"/>
    <x v="7"/>
    <x v="1"/>
  </r>
  <r>
    <s v="Non-identified Sample in rack 01 position 5, track 12."/>
    <x v="12"/>
    <x v="2"/>
    <x v="3"/>
    <d v="1899-12-30T11:15:17"/>
    <s v="Materials"/>
    <x v="0"/>
    <x v="4"/>
    <x v="7"/>
    <x v="1"/>
  </r>
  <r>
    <s v="Non-identified Sample in rack 01 position 6, track 12."/>
    <x v="12"/>
    <x v="2"/>
    <x v="3"/>
    <d v="1899-12-30T11:15:17"/>
    <s v="Materials"/>
    <x v="0"/>
    <x v="4"/>
    <x v="7"/>
    <x v="1"/>
  </r>
  <r>
    <s v="Non-identified Sample in rack 01 position 7, track 12."/>
    <x v="12"/>
    <x v="2"/>
    <x v="3"/>
    <d v="1899-12-30T11:15:17"/>
    <s v="Materials"/>
    <x v="0"/>
    <x v="4"/>
    <x v="7"/>
    <x v="1"/>
  </r>
  <r>
    <s v="SCTSMX Patient job not feasible. Waiting for Normal Pooled Plasma."/>
    <x v="26"/>
    <x v="1"/>
    <x v="3"/>
    <d v="1899-12-30T11:16:04"/>
    <s v="Materials"/>
    <x v="0"/>
    <x v="2"/>
    <x v="3"/>
    <x v="0"/>
  </r>
  <r>
    <s v="SCTCMX Patient job not feasible. Waiting for Normal Pooled Plasma."/>
    <x v="26"/>
    <x v="1"/>
    <x v="3"/>
    <d v="1899-12-30T11:16:04"/>
    <s v="Materials"/>
    <x v="0"/>
    <x v="2"/>
    <x v="3"/>
    <x v="0"/>
  </r>
  <r>
    <s v="Analyzer Status changed from Ready to Busy."/>
    <x v="0"/>
    <x v="0"/>
    <x v="3"/>
    <d v="1899-12-30T11:16:04"/>
    <s v="Analyzer"/>
    <x v="0"/>
    <x v="0"/>
    <x v="0"/>
    <x v="0"/>
  </r>
  <r>
    <s v="Non-identified Sample in rack 02 position 1, track 11."/>
    <x v="12"/>
    <x v="2"/>
    <x v="3"/>
    <d v="1899-12-30T11:20:20"/>
    <s v="Materials"/>
    <x v="0"/>
    <x v="4"/>
    <x v="7"/>
    <x v="1"/>
  </r>
  <r>
    <s v="Non-identified Sample in rack 02 position 2, track 11."/>
    <x v="12"/>
    <x v="2"/>
    <x v="3"/>
    <d v="1899-12-30T11:20:20"/>
    <s v="Materials"/>
    <x v="0"/>
    <x v="4"/>
    <x v="7"/>
    <x v="1"/>
  </r>
  <r>
    <s v="Non-identified Sample in rack 02 position 3, track 11."/>
    <x v="12"/>
    <x v="2"/>
    <x v="3"/>
    <d v="1899-12-30T11:20:20"/>
    <s v="Materials"/>
    <x v="0"/>
    <x v="4"/>
    <x v="7"/>
    <x v="1"/>
  </r>
  <r>
    <s v="Non-identified Sample in rack 02 position 4, track 11."/>
    <x v="12"/>
    <x v="2"/>
    <x v="3"/>
    <d v="1899-12-30T11:20:20"/>
    <s v="Materials"/>
    <x v="0"/>
    <x v="4"/>
    <x v="7"/>
    <x v="1"/>
  </r>
  <r>
    <s v="Non-identified Sample in rack 02 position 5, track 11."/>
    <x v="12"/>
    <x v="2"/>
    <x v="3"/>
    <d v="1899-12-30T11:20:20"/>
    <s v="Materials"/>
    <x v="0"/>
    <x v="4"/>
    <x v="7"/>
    <x v="1"/>
  </r>
  <r>
    <s v="FX CHROM Patient job not feasible. Waiting for FX Buffer Chrome."/>
    <x v="26"/>
    <x v="1"/>
    <x v="3"/>
    <d v="1899-12-30T11:21:15"/>
    <s v="Materials"/>
    <x v="0"/>
    <x v="2"/>
    <x v="3"/>
    <x v="0"/>
  </r>
  <r>
    <s v="Non-identified Sample in rack 08 position 1, track 9."/>
    <x v="12"/>
    <x v="2"/>
    <x v="3"/>
    <d v="1899-12-30T11:23:26"/>
    <s v="Materials"/>
    <x v="0"/>
    <x v="4"/>
    <x v="7"/>
    <x v="1"/>
  </r>
  <r>
    <s v="Non-identified Material in rack DA position 2, track 2."/>
    <x v="27"/>
    <x v="2"/>
    <x v="3"/>
    <d v="1899-12-30T11:29:41"/>
    <s v="Materials"/>
    <x v="0"/>
    <x v="2"/>
    <x v="3"/>
    <x v="0"/>
  </r>
  <r>
    <s v="Non-identified Material in rack DA position 4, track 2."/>
    <x v="27"/>
    <x v="2"/>
    <x v="3"/>
    <d v="1899-12-30T11:29:42"/>
    <s v="Materials"/>
    <x v="0"/>
    <x v="2"/>
    <x v="3"/>
    <x v="0"/>
  </r>
  <r>
    <s v="Insufficient volume in position 5, track S12."/>
    <x v="30"/>
    <x v="2"/>
    <x v="3"/>
    <d v="1899-12-30T11:36:02"/>
    <s v="Materials"/>
    <x v="0"/>
    <x v="3"/>
    <x v="4"/>
    <x v="0"/>
  </r>
  <r>
    <s v="Insufficient volume in position 1, track S12."/>
    <x v="30"/>
    <x v="2"/>
    <x v="3"/>
    <d v="1899-12-30T11:37:17"/>
    <s v="Materials"/>
    <x v="0"/>
    <x v="3"/>
    <x v="4"/>
    <x v="0"/>
  </r>
  <r>
    <s v="Analyzer Status changed from Busy to Ready."/>
    <x v="0"/>
    <x v="0"/>
    <x v="3"/>
    <d v="1899-12-30T11:49:11"/>
    <s v="Analyzer"/>
    <x v="0"/>
    <x v="0"/>
    <x v="0"/>
    <x v="0"/>
  </r>
  <r>
    <s v="Analyzer Status changed from Ready to Maintenance."/>
    <x v="0"/>
    <x v="0"/>
    <x v="3"/>
    <d v="1899-12-30T11:49:11"/>
    <s v="Analyzer"/>
    <x v="0"/>
    <x v="0"/>
    <x v="0"/>
    <x v="0"/>
  </r>
  <r>
    <s v="Analyzer Status changed from Maintenance to Ready."/>
    <x v="0"/>
    <x v="0"/>
    <x v="3"/>
    <d v="1899-12-30T11:49:37"/>
    <s v="Analyzer"/>
    <x v="0"/>
    <x v="0"/>
    <x v="0"/>
    <x v="0"/>
  </r>
  <r>
    <s v="Automatic maintenance activity Automatic Routine Clean for all Probes has been executed."/>
    <x v="2"/>
    <x v="0"/>
    <x v="3"/>
    <d v="1899-12-30T11:49:37"/>
    <s v="Maintenance"/>
    <x v="0"/>
    <x v="2"/>
    <x v="2"/>
    <x v="0"/>
  </r>
  <r>
    <s v="Non-identified Material in rack DA position 2, track 2."/>
    <x v="27"/>
    <x v="2"/>
    <x v="3"/>
    <d v="1899-12-30T12:06:11"/>
    <s v="Materials"/>
    <x v="0"/>
    <x v="2"/>
    <x v="3"/>
    <x v="0"/>
  </r>
  <r>
    <s v="Non-identified Sample in rack 05 position 1, track 12."/>
    <x v="12"/>
    <x v="2"/>
    <x v="3"/>
    <d v="1899-12-30T12:22:00"/>
    <s v="Materials"/>
    <x v="0"/>
    <x v="4"/>
    <x v="7"/>
    <x v="1"/>
  </r>
  <r>
    <s v="Non-identified Sample in rack 05 position 2, track 12."/>
    <x v="12"/>
    <x v="2"/>
    <x v="3"/>
    <d v="1899-12-30T12:22:00"/>
    <s v="Materials"/>
    <x v="0"/>
    <x v="4"/>
    <x v="7"/>
    <x v="1"/>
  </r>
  <r>
    <s v="Analyzer Status changed from Ready to Busy."/>
    <x v="0"/>
    <x v="0"/>
    <x v="3"/>
    <d v="1899-12-30T12:22:26"/>
    <s v="Analyzer"/>
    <x v="0"/>
    <x v="0"/>
    <x v="0"/>
    <x v="0"/>
  </r>
  <r>
    <s v="Analyzer Status changed from Busy to Ready."/>
    <x v="0"/>
    <x v="0"/>
    <x v="3"/>
    <d v="1899-12-30T12:26:27"/>
    <s v="Analyzer"/>
    <x v="0"/>
    <x v="0"/>
    <x v="0"/>
    <x v="0"/>
  </r>
  <r>
    <s v="Analyzer Status changed from Ready to Maintenance."/>
    <x v="0"/>
    <x v="0"/>
    <x v="3"/>
    <d v="1899-12-30T12:26:27"/>
    <s v="Analyzer"/>
    <x v="0"/>
    <x v="0"/>
    <x v="0"/>
    <x v="0"/>
  </r>
  <r>
    <s v="Automatic maintenance activity Automatic Routine Clean for all Probes has been executed."/>
    <x v="2"/>
    <x v="0"/>
    <x v="3"/>
    <d v="1899-12-30T12:26:52"/>
    <s v="Maintenance"/>
    <x v="0"/>
    <x v="2"/>
    <x v="2"/>
    <x v="0"/>
  </r>
  <r>
    <s v="Analyzer Status changed from Maintenance to Ready."/>
    <x v="0"/>
    <x v="0"/>
    <x v="3"/>
    <d v="1899-12-30T12:26:53"/>
    <s v="Analyzer"/>
    <x v="0"/>
    <x v="0"/>
    <x v="0"/>
    <x v="0"/>
  </r>
  <r>
    <s v="Non-identified Sample in rack 10 position 1, track 11."/>
    <x v="12"/>
    <x v="2"/>
    <x v="3"/>
    <d v="1899-12-30T12:44:16"/>
    <s v="Materials"/>
    <x v="0"/>
    <x v="4"/>
    <x v="7"/>
    <x v="1"/>
  </r>
  <r>
    <s v="Non-identified Sample in rack 10 position 2, track 11."/>
    <x v="12"/>
    <x v="2"/>
    <x v="3"/>
    <d v="1899-12-30T12:44:16"/>
    <s v="Materials"/>
    <x v="0"/>
    <x v="4"/>
    <x v="7"/>
    <x v="1"/>
  </r>
  <r>
    <s v="Non-identified Sample in rack 10 position 3, track 11."/>
    <x v="12"/>
    <x v="2"/>
    <x v="3"/>
    <d v="1899-12-30T12:44:16"/>
    <s v="Materials"/>
    <x v="0"/>
    <x v="4"/>
    <x v="7"/>
    <x v="1"/>
  </r>
  <r>
    <s v="Non-identified Sample in rack 10 position 4, track 11."/>
    <x v="12"/>
    <x v="2"/>
    <x v="3"/>
    <d v="1899-12-30T12:44:16"/>
    <s v="Materials"/>
    <x v="0"/>
    <x v="4"/>
    <x v="7"/>
    <x v="1"/>
  </r>
  <r>
    <s v="Non-identified Sample in rack 10 position 5, track 11."/>
    <x v="12"/>
    <x v="2"/>
    <x v="3"/>
    <d v="1899-12-30T12:44:16"/>
    <s v="Materials"/>
    <x v="0"/>
    <x v="4"/>
    <x v="7"/>
    <x v="1"/>
  </r>
  <r>
    <s v="Non-identified Sample in rack 10 position 6, track 11."/>
    <x v="12"/>
    <x v="2"/>
    <x v="3"/>
    <d v="1899-12-30T12:44:16"/>
    <s v="Materials"/>
    <x v="0"/>
    <x v="4"/>
    <x v="7"/>
    <x v="1"/>
  </r>
  <r>
    <s v="Non-identified Sample in rack 10 position 7, track 11."/>
    <x v="12"/>
    <x v="2"/>
    <x v="3"/>
    <d v="1899-12-30T12:44:16"/>
    <s v="Materials"/>
    <x v="0"/>
    <x v="4"/>
    <x v="7"/>
    <x v="1"/>
  </r>
  <r>
    <s v="Non-identified Sample in rack 10 position 8, track 11."/>
    <x v="12"/>
    <x v="2"/>
    <x v="3"/>
    <d v="1899-12-30T12:44:16"/>
    <s v="Materials"/>
    <x v="0"/>
    <x v="4"/>
    <x v="7"/>
    <x v="1"/>
  </r>
  <r>
    <s v="Analyzer Status changed from Ready to Busy."/>
    <x v="0"/>
    <x v="0"/>
    <x v="3"/>
    <d v="1899-12-30T12:44:41"/>
    <s v="Analyzer"/>
    <x v="0"/>
    <x v="0"/>
    <x v="0"/>
    <x v="0"/>
  </r>
  <r>
    <s v="FV Def. Plasma volume low."/>
    <x v="7"/>
    <x v="1"/>
    <x v="3"/>
    <d v="1899-12-30T12:47:34"/>
    <s v="Materials"/>
    <x v="0"/>
    <x v="3"/>
    <x v="4"/>
    <x v="0"/>
  </r>
  <r>
    <s v="Rinse solution level low."/>
    <x v="1"/>
    <x v="1"/>
    <x v="3"/>
    <d v="1899-12-30T12:48:39"/>
    <s v="Materials"/>
    <x v="0"/>
    <x v="1"/>
    <x v="1"/>
    <x v="0"/>
  </r>
  <r>
    <s v="Analyzer Status changed from Busy to Ready."/>
    <x v="0"/>
    <x v="0"/>
    <x v="3"/>
    <d v="1899-12-30T12:49:47"/>
    <s v="Analyzer"/>
    <x v="0"/>
    <x v="0"/>
    <x v="0"/>
    <x v="0"/>
  </r>
  <r>
    <s v="Analyzer Status changed from Ready to Maintenance."/>
    <x v="0"/>
    <x v="0"/>
    <x v="3"/>
    <d v="1899-12-30T12:49:48"/>
    <s v="Analyzer"/>
    <x v="0"/>
    <x v="0"/>
    <x v="0"/>
    <x v="0"/>
  </r>
  <r>
    <s v="Automatic maintenance activity Automatic Routine Clean for all Probes has been executed."/>
    <x v="2"/>
    <x v="0"/>
    <x v="3"/>
    <d v="1899-12-30T12:50:13"/>
    <s v="Maintenance"/>
    <x v="0"/>
    <x v="2"/>
    <x v="2"/>
    <x v="0"/>
  </r>
  <r>
    <s v="Analyzer Status changed from Maintenance to Ready."/>
    <x v="0"/>
    <x v="0"/>
    <x v="3"/>
    <d v="1899-12-30T12:50:14"/>
    <s v="Analyzer"/>
    <x v="0"/>
    <x v="0"/>
    <x v="0"/>
    <x v="0"/>
  </r>
  <r>
    <s v="Non-identified Material in rack DA position 2, track 2."/>
    <x v="27"/>
    <x v="2"/>
    <x v="3"/>
    <d v="1899-12-30T13:44:56"/>
    <s v="Materials"/>
    <x v="0"/>
    <x v="2"/>
    <x v="3"/>
    <x v="0"/>
  </r>
  <r>
    <s v="Non-identified Material in rack RE position 4, track 3."/>
    <x v="27"/>
    <x v="2"/>
    <x v="3"/>
    <d v="1899-12-30T13:45:39"/>
    <s v="Materials"/>
    <x v="0"/>
    <x v="2"/>
    <x v="3"/>
    <x v="0"/>
  </r>
  <r>
    <s v="Analyzer Status changed from Ready to Maintenance."/>
    <x v="0"/>
    <x v="0"/>
    <x v="3"/>
    <d v="1899-12-30T13:50:14"/>
    <s v="Analyzer"/>
    <x v="0"/>
    <x v="0"/>
    <x v="0"/>
    <x v="0"/>
  </r>
  <r>
    <s v="Analyzer Status changed from Maintenance to Ready."/>
    <x v="0"/>
    <x v="0"/>
    <x v="3"/>
    <d v="1899-12-30T13:50:35"/>
    <s v="Analyzer"/>
    <x v="0"/>
    <x v="0"/>
    <x v="0"/>
    <x v="0"/>
  </r>
  <r>
    <s v="Automatic maintenance activity Automatic Fluidic Line Priming Cycle has been executed."/>
    <x v="2"/>
    <x v="0"/>
    <x v="3"/>
    <d v="1899-12-30T13:50:35"/>
    <s v="Maintenance"/>
    <x v="0"/>
    <x v="2"/>
    <x v="2"/>
    <x v="0"/>
  </r>
  <r>
    <s v="Non-identified Material in rack RC position 5, track 5."/>
    <x v="27"/>
    <x v="2"/>
    <x v="3"/>
    <d v="1899-12-30T13:55:15"/>
    <s v="Materials"/>
    <x v="0"/>
    <x v="2"/>
    <x v="3"/>
    <x v="0"/>
  </r>
  <r>
    <s v="Non-identified Sample in rack 04 position 1, track 12."/>
    <x v="12"/>
    <x v="2"/>
    <x v="3"/>
    <d v="1899-12-30T13:55:45"/>
    <s v="Materials"/>
    <x v="0"/>
    <x v="4"/>
    <x v="7"/>
    <x v="1"/>
  </r>
  <r>
    <s v="Analyzer Status changed from Ready to Busy."/>
    <x v="0"/>
    <x v="0"/>
    <x v="3"/>
    <d v="1899-12-30T13:56:03"/>
    <s v="Analyzer"/>
    <x v="0"/>
    <x v="0"/>
    <x v="0"/>
    <x v="0"/>
  </r>
  <r>
    <s v="Analyzer Status changed from Busy to Ready."/>
    <x v="0"/>
    <x v="0"/>
    <x v="3"/>
    <d v="1899-12-30T14:01:26"/>
    <s v="Analyzer"/>
    <x v="0"/>
    <x v="0"/>
    <x v="0"/>
    <x v="0"/>
  </r>
  <r>
    <s v="Analyzer Status changed from Ready to Maintenance."/>
    <x v="0"/>
    <x v="0"/>
    <x v="3"/>
    <d v="1899-12-30T14:01:26"/>
    <s v="Analyzer"/>
    <x v="0"/>
    <x v="0"/>
    <x v="0"/>
    <x v="0"/>
  </r>
  <r>
    <s v="Analyzer Status changed from Maintenance to Ready."/>
    <x v="0"/>
    <x v="0"/>
    <x v="3"/>
    <d v="1899-12-30T14:01:51"/>
    <s v="Analyzer"/>
    <x v="0"/>
    <x v="0"/>
    <x v="0"/>
    <x v="0"/>
  </r>
  <r>
    <s v="Automatic maintenance activity Automatic Routine Clean for all Probes has been executed."/>
    <x v="2"/>
    <x v="0"/>
    <x v="3"/>
    <d v="1899-12-30T14:01:51"/>
    <s v="Maintenance"/>
    <x v="0"/>
    <x v="2"/>
    <x v="2"/>
    <x v="0"/>
  </r>
  <r>
    <s v="Analyzer Status changed from Ready to Maintenance."/>
    <x v="0"/>
    <x v="0"/>
    <x v="3"/>
    <d v="1899-12-30T15:01:51"/>
    <s v="Analyzer"/>
    <x v="0"/>
    <x v="0"/>
    <x v="0"/>
    <x v="0"/>
  </r>
  <r>
    <s v="Automatic maintenance activity Automatic Fluidic Line Priming Cycle has been executed."/>
    <x v="2"/>
    <x v="0"/>
    <x v="3"/>
    <d v="1899-12-30T15:02:12"/>
    <s v="Maintenance"/>
    <x v="0"/>
    <x v="2"/>
    <x v="2"/>
    <x v="0"/>
  </r>
  <r>
    <s v="Analyzer Status changed from Maintenance to Ready."/>
    <x v="0"/>
    <x v="0"/>
    <x v="3"/>
    <d v="1899-12-30T15:02:13"/>
    <s v="Analyzer"/>
    <x v="0"/>
    <x v="0"/>
    <x v="0"/>
    <x v="0"/>
  </r>
  <r>
    <s v="Analyzer Status changed from Ready to Maintenance."/>
    <x v="0"/>
    <x v="0"/>
    <x v="3"/>
    <d v="1899-12-30T16:02:13"/>
    <s v="Analyzer"/>
    <x v="0"/>
    <x v="0"/>
    <x v="0"/>
    <x v="0"/>
  </r>
  <r>
    <s v="Automatic maintenance activity Automatic Fluidic Line Priming Cycle has been executed."/>
    <x v="2"/>
    <x v="0"/>
    <x v="3"/>
    <d v="1899-12-30T16:02:34"/>
    <s v="Maintenance"/>
    <x v="0"/>
    <x v="2"/>
    <x v="2"/>
    <x v="0"/>
  </r>
  <r>
    <s v="Analyzer Status changed from Maintenance to Ready."/>
    <x v="0"/>
    <x v="0"/>
    <x v="3"/>
    <d v="1899-12-30T16:02:35"/>
    <s v="Analyzer"/>
    <x v="0"/>
    <x v="0"/>
    <x v="0"/>
    <x v="0"/>
  </r>
  <r>
    <s v="Analyzer Status changed from Ready to Maintenance."/>
    <x v="0"/>
    <x v="0"/>
    <x v="3"/>
    <d v="1899-12-30T17:02:35"/>
    <s v="Analyzer"/>
    <x v="0"/>
    <x v="0"/>
    <x v="0"/>
    <x v="0"/>
  </r>
  <r>
    <s v="Automatic maintenance activity Automatic Fluidic Line Priming Cycle has been executed."/>
    <x v="2"/>
    <x v="0"/>
    <x v="3"/>
    <d v="1899-12-30T17:02:56"/>
    <s v="Maintenance"/>
    <x v="0"/>
    <x v="2"/>
    <x v="2"/>
    <x v="0"/>
  </r>
  <r>
    <s v="Analyzer Status changed from Maintenance to Ready."/>
    <x v="0"/>
    <x v="0"/>
    <x v="3"/>
    <d v="1899-12-30T17:02:57"/>
    <s v="Analyzer"/>
    <x v="0"/>
    <x v="0"/>
    <x v="0"/>
    <x v="0"/>
  </r>
  <r>
    <s v="Analyzer Status changed from Ready to Maintenance."/>
    <x v="0"/>
    <x v="0"/>
    <x v="3"/>
    <d v="1899-12-30T18:02:57"/>
    <s v="Analyzer"/>
    <x v="0"/>
    <x v="0"/>
    <x v="0"/>
    <x v="0"/>
  </r>
  <r>
    <s v="Automatic maintenance activity Automatic Fluidic Line Priming Cycle has been executed."/>
    <x v="2"/>
    <x v="0"/>
    <x v="3"/>
    <d v="1899-12-30T18:03:18"/>
    <s v="Maintenance"/>
    <x v="0"/>
    <x v="2"/>
    <x v="2"/>
    <x v="0"/>
  </r>
  <r>
    <s v="Analyzer Status changed from Maintenance to Ready."/>
    <x v="0"/>
    <x v="0"/>
    <x v="3"/>
    <d v="1899-12-30T18:03:19"/>
    <s v="Analyzer"/>
    <x v="0"/>
    <x v="0"/>
    <x v="0"/>
    <x v="0"/>
  </r>
  <r>
    <s v="Analyzer Status changed from Ready to Maintenance."/>
    <x v="0"/>
    <x v="0"/>
    <x v="3"/>
    <d v="1899-12-30T19:03:19"/>
    <s v="Analyzer"/>
    <x v="0"/>
    <x v="0"/>
    <x v="0"/>
    <x v="0"/>
  </r>
  <r>
    <s v="Analyzer Status changed from Maintenance to Ready."/>
    <x v="0"/>
    <x v="0"/>
    <x v="3"/>
    <d v="1899-12-30T19:03:40"/>
    <s v="Analyzer"/>
    <x v="0"/>
    <x v="0"/>
    <x v="0"/>
    <x v="0"/>
  </r>
  <r>
    <s v="Automatic maintenance activity Automatic Fluidic Line Priming Cycle has been executed."/>
    <x v="2"/>
    <x v="0"/>
    <x v="3"/>
    <d v="1899-12-30T19:03:40"/>
    <s v="Maintenance"/>
    <x v="0"/>
    <x v="2"/>
    <x v="2"/>
    <x v="0"/>
  </r>
  <r>
    <s v="Analyzer Status changed from Ready to Maintenance."/>
    <x v="0"/>
    <x v="0"/>
    <x v="3"/>
    <d v="1899-12-30T20:03:41"/>
    <s v="Analyzer"/>
    <x v="0"/>
    <x v="0"/>
    <x v="0"/>
    <x v="0"/>
  </r>
  <r>
    <s v="Analyzer Status changed from Maintenance to Ready."/>
    <x v="0"/>
    <x v="0"/>
    <x v="3"/>
    <d v="1899-12-30T20:04:02"/>
    <s v="Analyzer"/>
    <x v="0"/>
    <x v="0"/>
    <x v="0"/>
    <x v="0"/>
  </r>
  <r>
    <s v="Automatic maintenance activity Automatic Fluidic Line Priming Cycle has been executed."/>
    <x v="2"/>
    <x v="0"/>
    <x v="3"/>
    <d v="1899-12-30T20:04:02"/>
    <s v="Maintenance"/>
    <x v="0"/>
    <x v="2"/>
    <x v="2"/>
    <x v="0"/>
  </r>
  <r>
    <s v="Analyzer Status changed from Ready to Maintenance."/>
    <x v="0"/>
    <x v="0"/>
    <x v="3"/>
    <d v="1899-12-30T21:04:02"/>
    <s v="Analyzer"/>
    <x v="0"/>
    <x v="0"/>
    <x v="0"/>
    <x v="0"/>
  </r>
  <r>
    <s v="Analyzer Status changed from Maintenance to Ready."/>
    <x v="0"/>
    <x v="0"/>
    <x v="3"/>
    <d v="1899-12-30T21:04:24"/>
    <s v="Analyzer"/>
    <x v="0"/>
    <x v="0"/>
    <x v="0"/>
    <x v="0"/>
  </r>
  <r>
    <s v="Automatic maintenance activity Automatic Fluidic Line Priming Cycle has been executed."/>
    <x v="2"/>
    <x v="0"/>
    <x v="3"/>
    <d v="1899-12-30T21:04:24"/>
    <s v="Maintenance"/>
    <x v="0"/>
    <x v="2"/>
    <x v="2"/>
    <x v="0"/>
  </r>
  <r>
    <s v="Analyzer Status changed from Ready to Maintenance."/>
    <x v="0"/>
    <x v="0"/>
    <x v="3"/>
    <d v="1899-12-30T22:04:24"/>
    <s v="Analyzer"/>
    <x v="0"/>
    <x v="0"/>
    <x v="0"/>
    <x v="0"/>
  </r>
  <r>
    <s v="Analyzer Status changed from Maintenance to Ready."/>
    <x v="0"/>
    <x v="0"/>
    <x v="3"/>
    <d v="1899-12-30T22:04:46"/>
    <s v="Analyzer"/>
    <x v="0"/>
    <x v="0"/>
    <x v="0"/>
    <x v="0"/>
  </r>
  <r>
    <s v="Automatic maintenance activity Automatic Fluidic Line Priming Cycle has been executed."/>
    <x v="2"/>
    <x v="0"/>
    <x v="3"/>
    <d v="1899-12-30T22:04:46"/>
    <s v="Maintenance"/>
    <x v="0"/>
    <x v="2"/>
    <x v="2"/>
    <x v="0"/>
  </r>
  <r>
    <s v="Analyzer Status changed from Ready to Maintenance."/>
    <x v="0"/>
    <x v="0"/>
    <x v="3"/>
    <d v="1899-12-30T23:04:46"/>
    <s v="Analyzer"/>
    <x v="0"/>
    <x v="0"/>
    <x v="0"/>
    <x v="0"/>
  </r>
  <r>
    <s v="Analyzer Status changed from Maintenance to Ready."/>
    <x v="0"/>
    <x v="0"/>
    <x v="3"/>
    <d v="1899-12-30T23:05:08"/>
    <s v="Analyzer"/>
    <x v="0"/>
    <x v="0"/>
    <x v="0"/>
    <x v="0"/>
  </r>
  <r>
    <s v="Automatic maintenance activity Automatic Fluidic Line Priming Cycle has been executed."/>
    <x v="2"/>
    <x v="0"/>
    <x v="3"/>
    <d v="1899-12-30T23:05:08"/>
    <s v="Maintenance"/>
    <x v="0"/>
    <x v="2"/>
    <x v="2"/>
    <x v="0"/>
  </r>
  <r>
    <s v="Analyzer Status changed from Ready to Maintenance."/>
    <x v="0"/>
    <x v="0"/>
    <x v="4"/>
    <d v="1899-12-30T00:05:08"/>
    <s v="Analyzer"/>
    <x v="0"/>
    <x v="0"/>
    <x v="0"/>
    <x v="0"/>
  </r>
  <r>
    <s v="Automatic maintenance activity Automatic Fluidic Line Priming Cycle has been executed."/>
    <x v="2"/>
    <x v="0"/>
    <x v="4"/>
    <d v="1899-12-30T00:05:29"/>
    <s v="Maintenance"/>
    <x v="0"/>
    <x v="2"/>
    <x v="2"/>
    <x v="0"/>
  </r>
  <r>
    <s v="Analyzer Status changed from Maintenance to Ready."/>
    <x v="0"/>
    <x v="0"/>
    <x v="4"/>
    <d v="1899-12-30T00:05:30"/>
    <s v="Analyzer"/>
    <x v="0"/>
    <x v="0"/>
    <x v="0"/>
    <x v="0"/>
  </r>
  <r>
    <s v="Analyzer Status changed from Ready to Maintenance."/>
    <x v="0"/>
    <x v="0"/>
    <x v="4"/>
    <d v="1899-12-30T01:05:30"/>
    <s v="Analyzer"/>
    <x v="0"/>
    <x v="0"/>
    <x v="0"/>
    <x v="0"/>
  </r>
  <r>
    <s v="Automatic maintenance activity Automatic Fluidic Line Priming Cycle has been executed."/>
    <x v="2"/>
    <x v="0"/>
    <x v="4"/>
    <d v="1899-12-30T01:05:51"/>
    <s v="Maintenance"/>
    <x v="0"/>
    <x v="2"/>
    <x v="2"/>
    <x v="0"/>
  </r>
  <r>
    <s v="Analyzer Status changed from Maintenance to Ready."/>
    <x v="0"/>
    <x v="0"/>
    <x v="4"/>
    <d v="1899-12-30T01:05:52"/>
    <s v="Analyzer"/>
    <x v="0"/>
    <x v="0"/>
    <x v="0"/>
    <x v="0"/>
  </r>
  <r>
    <s v="Analyzer Status changed from Ready to Maintenance."/>
    <x v="0"/>
    <x v="0"/>
    <x v="4"/>
    <d v="1899-12-30T02:05:52"/>
    <s v="Analyzer"/>
    <x v="0"/>
    <x v="0"/>
    <x v="0"/>
    <x v="0"/>
  </r>
  <r>
    <s v="Analyzer Status changed from Maintenance to Ready."/>
    <x v="0"/>
    <x v="0"/>
    <x v="4"/>
    <d v="1899-12-30T02:06:13"/>
    <s v="Analyzer"/>
    <x v="0"/>
    <x v="0"/>
    <x v="0"/>
    <x v="0"/>
  </r>
  <r>
    <s v="Automatic maintenance activity Automatic Fluidic Line Priming Cycle has been executed."/>
    <x v="2"/>
    <x v="0"/>
    <x v="4"/>
    <d v="1899-12-30T02:06:13"/>
    <s v="Maintenance"/>
    <x v="0"/>
    <x v="2"/>
    <x v="2"/>
    <x v="0"/>
  </r>
  <r>
    <s v="Analyzer Status changed from Ready to Maintenance."/>
    <x v="0"/>
    <x v="0"/>
    <x v="4"/>
    <d v="1899-12-30T03:06:14"/>
    <s v="Analyzer"/>
    <x v="0"/>
    <x v="0"/>
    <x v="0"/>
    <x v="0"/>
  </r>
  <r>
    <s v="Analyzer Status changed from Maintenance to Ready."/>
    <x v="0"/>
    <x v="0"/>
    <x v="4"/>
    <d v="1899-12-30T03:06:35"/>
    <s v="Analyzer"/>
    <x v="0"/>
    <x v="0"/>
    <x v="0"/>
    <x v="0"/>
  </r>
  <r>
    <s v="Automatic maintenance activity Automatic Fluidic Line Priming Cycle has been executed."/>
    <x v="2"/>
    <x v="0"/>
    <x v="4"/>
    <d v="1899-12-30T03:06:35"/>
    <s v="Maintenance"/>
    <x v="0"/>
    <x v="2"/>
    <x v="2"/>
    <x v="0"/>
  </r>
  <r>
    <s v="Analyzer Status changed from Ready to Maintenance."/>
    <x v="0"/>
    <x v="0"/>
    <x v="4"/>
    <d v="1899-12-30T04:06:36"/>
    <s v="Analyzer"/>
    <x v="0"/>
    <x v="0"/>
    <x v="0"/>
    <x v="0"/>
  </r>
  <r>
    <s v="Analyzer Status changed from Maintenance to Ready."/>
    <x v="0"/>
    <x v="0"/>
    <x v="4"/>
    <d v="1899-12-30T04:06:57"/>
    <s v="Analyzer"/>
    <x v="0"/>
    <x v="0"/>
    <x v="0"/>
    <x v="0"/>
  </r>
  <r>
    <s v="Automatic maintenance activity Automatic Fluidic Line Priming Cycle has been executed."/>
    <x v="2"/>
    <x v="0"/>
    <x v="4"/>
    <d v="1899-12-30T04:06:57"/>
    <s v="Maintenance"/>
    <x v="0"/>
    <x v="2"/>
    <x v="2"/>
    <x v="0"/>
  </r>
  <r>
    <s v="Analyzer Status changed from Ready to Maintenance."/>
    <x v="0"/>
    <x v="0"/>
    <x v="4"/>
    <d v="1899-12-30T05:06:58"/>
    <s v="Analyzer"/>
    <x v="0"/>
    <x v="0"/>
    <x v="0"/>
    <x v="0"/>
  </r>
  <r>
    <s v="Analyzer Status changed from Maintenance to Ready."/>
    <x v="0"/>
    <x v="0"/>
    <x v="4"/>
    <d v="1899-12-30T05:07:19"/>
    <s v="Analyzer"/>
    <x v="0"/>
    <x v="0"/>
    <x v="0"/>
    <x v="0"/>
  </r>
  <r>
    <s v="Automatic maintenance activity Automatic Fluidic Line Priming Cycle has been executed."/>
    <x v="2"/>
    <x v="0"/>
    <x v="4"/>
    <d v="1899-12-30T05:07:19"/>
    <s v="Maintenance"/>
    <x v="0"/>
    <x v="2"/>
    <x v="2"/>
    <x v="0"/>
  </r>
  <r>
    <s v="Analyzer Status changed from Ready to Maintenance."/>
    <x v="0"/>
    <x v="0"/>
    <x v="4"/>
    <d v="1899-12-30T06:07:19"/>
    <s v="Analyzer"/>
    <x v="0"/>
    <x v="0"/>
    <x v="0"/>
    <x v="0"/>
  </r>
  <r>
    <s v="Analyzer Status changed from Maintenance to Ready."/>
    <x v="0"/>
    <x v="0"/>
    <x v="4"/>
    <d v="1899-12-30T06:07:41"/>
    <s v="Analyzer"/>
    <x v="0"/>
    <x v="0"/>
    <x v="0"/>
    <x v="0"/>
  </r>
  <r>
    <s v="Automatic maintenance activity Automatic Fluidic Line Priming Cycle has been executed."/>
    <x v="2"/>
    <x v="0"/>
    <x v="4"/>
    <d v="1899-12-30T06:07:41"/>
    <s v="Maintenance"/>
    <x v="0"/>
    <x v="2"/>
    <x v="2"/>
    <x v="0"/>
  </r>
  <r>
    <s v="Maintenance activity due: Enhanced Clean for all Probes."/>
    <x v="9"/>
    <x v="1"/>
    <x v="4"/>
    <d v="1899-12-30T06:23:58"/>
    <s v="Maintenance"/>
    <x v="0"/>
    <x v="2"/>
    <x v="2"/>
    <x v="0"/>
  </r>
  <r>
    <s v="Maintenance activity due: Enhanced Clean for Sample and Reagent Probes."/>
    <x v="9"/>
    <x v="1"/>
    <x v="4"/>
    <d v="1899-12-30T06:23:58"/>
    <s v="Maintenance"/>
    <x v="0"/>
    <x v="2"/>
    <x v="2"/>
    <x v="0"/>
  </r>
  <r>
    <s v="Maintenance activity due: make new diluted clean B."/>
    <x v="9"/>
    <x v="1"/>
    <x v="4"/>
    <d v="1899-12-30T06:56:04"/>
    <s v="Maintenance"/>
    <x v="0"/>
    <x v="2"/>
    <x v="2"/>
    <x v="0"/>
  </r>
  <r>
    <s v="Analyzer Status changed from Ready to Maintenance."/>
    <x v="0"/>
    <x v="0"/>
    <x v="4"/>
    <d v="1899-12-30T07:06:12"/>
    <s v="Analyzer"/>
    <x v="0"/>
    <x v="0"/>
    <x v="0"/>
    <x v="0"/>
  </r>
  <r>
    <s v="Frequency status for manual maintenance activity Replace factor diluent bottle has changed to OK."/>
    <x v="3"/>
    <x v="0"/>
    <x v="4"/>
    <d v="1899-12-30T07:06:16"/>
    <s v="Maintenance"/>
    <x v="0"/>
    <x v="2"/>
    <x v="2"/>
    <x v="0"/>
  </r>
  <r>
    <s v="Manual maintenance activity Replace factor diluent bottle has been executed."/>
    <x v="5"/>
    <x v="0"/>
    <x v="4"/>
    <d v="1899-12-30T07:06:16"/>
    <s v="Maintenance"/>
    <x v="0"/>
    <x v="2"/>
    <x v="2"/>
    <x v="0"/>
  </r>
  <r>
    <s v="Analyzer Status changed from Maintenance to Ready."/>
    <x v="0"/>
    <x v="0"/>
    <x v="4"/>
    <d v="1899-12-30T07:06:20"/>
    <s v="Analyzer"/>
    <x v="0"/>
    <x v="0"/>
    <x v="0"/>
    <x v="0"/>
  </r>
  <r>
    <s v="Analyzer Status changed from Ready to Maintenance."/>
    <x v="0"/>
    <x v="0"/>
    <x v="4"/>
    <d v="1899-12-30T07:07:22"/>
    <s v="Analyzer"/>
    <x v="0"/>
    <x v="0"/>
    <x v="0"/>
    <x v="0"/>
  </r>
  <r>
    <s v="Frequency status for manual maintenance activity Wipe-down exterior of ACL TOP &amp; Vacuum Filters has changed to OK."/>
    <x v="3"/>
    <x v="0"/>
    <x v="4"/>
    <d v="1899-12-30T07:07:24"/>
    <s v="Maintenance"/>
    <x v="0"/>
    <x v="2"/>
    <x v="2"/>
    <x v="0"/>
  </r>
  <r>
    <s v="Manual maintenance activity Wipe-down exterior of ACL TOP &amp; Vacuum Filters has been executed."/>
    <x v="5"/>
    <x v="0"/>
    <x v="4"/>
    <d v="1899-12-30T07:07:24"/>
    <s v="Maintenance"/>
    <x v="0"/>
    <x v="2"/>
    <x v="2"/>
    <x v="0"/>
  </r>
  <r>
    <s v="Analyzer Status changed from Maintenance to Ready."/>
    <x v="0"/>
    <x v="0"/>
    <x v="4"/>
    <d v="1899-12-30T07:07:25"/>
    <s v="Analyzer"/>
    <x v="0"/>
    <x v="0"/>
    <x v="0"/>
    <x v="0"/>
  </r>
  <r>
    <s v="Analyzer Status changed from Ready to Maintenance."/>
    <x v="0"/>
    <x v="0"/>
    <x v="4"/>
    <d v="1899-12-30T07:07:29"/>
    <s v="Analyzer"/>
    <x v="0"/>
    <x v="0"/>
    <x v="0"/>
    <x v="0"/>
  </r>
  <r>
    <s v="Analyzer Status changed from Maintenance to Ready."/>
    <x v="0"/>
    <x v="0"/>
    <x v="4"/>
    <d v="1899-12-30T07:12:21"/>
    <s v="Analyzer"/>
    <x v="0"/>
    <x v="0"/>
    <x v="0"/>
    <x v="0"/>
  </r>
  <r>
    <s v="Frequency status for manual maintenance activity Enhanced Clean for Sample and Reagent Probes has changed to OK."/>
    <x v="3"/>
    <x v="0"/>
    <x v="4"/>
    <d v="1899-12-30T07:12:21"/>
    <s v="Maintenance"/>
    <x v="0"/>
    <x v="2"/>
    <x v="2"/>
    <x v="0"/>
  </r>
  <r>
    <s v="Semiautomatic maintenance activity Enhanced Clean for Sample and Reagent Probes has been executed."/>
    <x v="4"/>
    <x v="0"/>
    <x v="4"/>
    <d v="1899-12-30T07:12:21"/>
    <s v="Maintenance"/>
    <x v="0"/>
    <x v="2"/>
    <x v="2"/>
    <x v="0"/>
  </r>
  <r>
    <s v="Analyzer Status changed from Ready to Maintenance."/>
    <x v="0"/>
    <x v="0"/>
    <x v="4"/>
    <d v="1899-12-30T07:13:54"/>
    <s v="Analyzer"/>
    <x v="0"/>
    <x v="0"/>
    <x v="0"/>
    <x v="0"/>
  </r>
  <r>
    <s v="Frequency status for manual maintenance activity make new diluted clean B has changed to OK."/>
    <x v="3"/>
    <x v="0"/>
    <x v="4"/>
    <d v="1899-12-30T07:13:56"/>
    <s v="Maintenance"/>
    <x v="0"/>
    <x v="2"/>
    <x v="2"/>
    <x v="0"/>
  </r>
  <r>
    <s v="Manual maintenance activity make new diluted clean B has been executed."/>
    <x v="5"/>
    <x v="0"/>
    <x v="4"/>
    <d v="1899-12-30T07:13:56"/>
    <s v="Maintenance"/>
    <x v="0"/>
    <x v="2"/>
    <x v="2"/>
    <x v="0"/>
  </r>
  <r>
    <s v="Analyzer Status changed from Maintenance to Ready."/>
    <x v="0"/>
    <x v="0"/>
    <x v="4"/>
    <d v="1899-12-30T07:14:13"/>
    <s v="Analyzer"/>
    <x v="0"/>
    <x v="0"/>
    <x v="0"/>
    <x v="0"/>
  </r>
  <r>
    <s v="Placement error (Clean B in rack RE, position 1, track 3)."/>
    <x v="31"/>
    <x v="2"/>
    <x v="4"/>
    <d v="1899-12-30T07:14:40"/>
    <s v="Materials"/>
    <x v="0"/>
    <x v="2"/>
    <x v="3"/>
    <x v="0"/>
  </r>
  <r>
    <s v="Analyzer Status changed from Ready to Maintenance."/>
    <x v="0"/>
    <x v="0"/>
    <x v="4"/>
    <d v="1899-12-30T07:15:31"/>
    <s v="Analyzer"/>
    <x v="0"/>
    <x v="0"/>
    <x v="0"/>
    <x v="0"/>
  </r>
  <r>
    <s v="Clean B volume low."/>
    <x v="7"/>
    <x v="1"/>
    <x v="4"/>
    <d v="1899-12-30T07:16:30"/>
    <s v="Materials"/>
    <x v="0"/>
    <x v="3"/>
    <x v="4"/>
    <x v="0"/>
  </r>
  <r>
    <s v="Clean B insufficient material to run additional calibration / test."/>
    <x v="32"/>
    <x v="2"/>
    <x v="4"/>
    <d v="1899-12-30T07:17:32"/>
    <s v="Materials"/>
    <x v="0"/>
    <x v="3"/>
    <x v="4"/>
    <x v="0"/>
  </r>
  <r>
    <s v="Frequency status for manual maintenance activity Enhanced Clean for all Probes has changed to OK."/>
    <x v="3"/>
    <x v="0"/>
    <x v="4"/>
    <d v="1899-12-30T07:19:33"/>
    <s v="Maintenance"/>
    <x v="0"/>
    <x v="2"/>
    <x v="2"/>
    <x v="0"/>
  </r>
  <r>
    <s v="Semiautomatic maintenance activity Enhanced Clean for all Probes has been executed."/>
    <x v="4"/>
    <x v="0"/>
    <x v="4"/>
    <d v="1899-12-30T07:19:33"/>
    <s v="Maintenance"/>
    <x v="0"/>
    <x v="2"/>
    <x v="2"/>
    <x v="0"/>
  </r>
  <r>
    <s v="Analyzer Status changed from Maintenance to Ready."/>
    <x v="0"/>
    <x v="0"/>
    <x v="4"/>
    <d v="1899-12-30T07:19:34"/>
    <s v="Analyzer"/>
    <x v="0"/>
    <x v="0"/>
    <x v="0"/>
    <x v="0"/>
  </r>
  <r>
    <s v="Maintenance activity due: replace factor diluent."/>
    <x v="9"/>
    <x v="1"/>
    <x v="4"/>
    <d v="1899-12-30T07:27:00"/>
    <s v="Maintenance"/>
    <x v="0"/>
    <x v="2"/>
    <x v="2"/>
    <x v="0"/>
  </r>
  <r>
    <s v="Analyzer Status changed from Ready to Maintenance."/>
    <x v="0"/>
    <x v="0"/>
    <x v="4"/>
    <d v="1899-12-30T07:29:40"/>
    <s v="Analyzer"/>
    <x v="0"/>
    <x v="0"/>
    <x v="0"/>
    <x v="0"/>
  </r>
  <r>
    <s v="Frequency status for manual maintenance activity replace factor diluent has changed to OK."/>
    <x v="3"/>
    <x v="0"/>
    <x v="4"/>
    <d v="1899-12-30T07:29:42"/>
    <s v="Maintenance"/>
    <x v="0"/>
    <x v="2"/>
    <x v="2"/>
    <x v="0"/>
  </r>
  <r>
    <s v="Manual maintenance activity replace factor diluent has been executed."/>
    <x v="5"/>
    <x v="0"/>
    <x v="4"/>
    <d v="1899-12-30T07:29:42"/>
    <s v="Maintenance"/>
    <x v="0"/>
    <x v="2"/>
    <x v="2"/>
    <x v="0"/>
  </r>
  <r>
    <s v="Analyzer Status changed from Maintenance to Ready."/>
    <x v="0"/>
    <x v="0"/>
    <x v="4"/>
    <d v="1899-12-30T07:29:43"/>
    <s v="Analyzer"/>
    <x v="0"/>
    <x v="0"/>
    <x v="0"/>
    <x v="0"/>
  </r>
  <r>
    <s v="Normal C. Assayed volume low."/>
    <x v="7"/>
    <x v="1"/>
    <x v="4"/>
    <d v="1899-12-30T07:45:19"/>
    <s v="Materials"/>
    <x v="0"/>
    <x v="3"/>
    <x v="4"/>
    <x v="0"/>
  </r>
  <r>
    <s v="Analyzer Status changed from Ready to Busy."/>
    <x v="0"/>
    <x v="0"/>
    <x v="4"/>
    <d v="1899-12-30T07:45:48"/>
    <s v="Analyzer"/>
    <x v="0"/>
    <x v="0"/>
    <x v="0"/>
    <x v="0"/>
  </r>
  <r>
    <s v="QC Failed: PT-RP-High Abn C. Assayed"/>
    <x v="28"/>
    <x v="2"/>
    <x v="4"/>
    <d v="1899-12-30T07:49:05"/>
    <s v="QC"/>
    <x v="0"/>
    <x v="2"/>
    <x v="3"/>
    <x v="0"/>
  </r>
  <r>
    <s v="Analyzer Status changed from Busy to Ready."/>
    <x v="0"/>
    <x v="0"/>
    <x v="4"/>
    <d v="1899-12-30T07:49:06"/>
    <s v="Analyzer"/>
    <x v="0"/>
    <x v="0"/>
    <x v="0"/>
    <x v="0"/>
  </r>
  <r>
    <s v="Analyzer Status changed from Ready to Maintenance."/>
    <x v="0"/>
    <x v="0"/>
    <x v="4"/>
    <d v="1899-12-30T07:49:06"/>
    <s v="Analyzer"/>
    <x v="0"/>
    <x v="0"/>
    <x v="0"/>
    <x v="0"/>
  </r>
  <r>
    <s v="Normal C. Assayed volume low."/>
    <x v="7"/>
    <x v="1"/>
    <x v="4"/>
    <d v="1899-12-30T07:50:14"/>
    <s v="Materials"/>
    <x v="0"/>
    <x v="3"/>
    <x v="4"/>
    <x v="0"/>
  </r>
  <r>
    <s v="Analyzer Status changed from Maintenance to Ready."/>
    <x v="0"/>
    <x v="0"/>
    <x v="4"/>
    <d v="1899-12-30T07:51:21"/>
    <s v="Analyzer"/>
    <x v="0"/>
    <x v="0"/>
    <x v="0"/>
    <x v="0"/>
  </r>
  <r>
    <s v="Automatic maintenance activity Automatic Routine Clean for all Probes has been executed."/>
    <x v="2"/>
    <x v="0"/>
    <x v="4"/>
    <d v="1899-12-30T07:51:21"/>
    <s v="Maintenance"/>
    <x v="0"/>
    <x v="2"/>
    <x v="2"/>
    <x v="0"/>
  </r>
  <r>
    <s v="Analyzer Status changed from Ready to Busy."/>
    <x v="0"/>
    <x v="0"/>
    <x v="4"/>
    <d v="1899-12-30T07:54:35"/>
    <s v="Analyzer"/>
    <x v="0"/>
    <x v="0"/>
    <x v="0"/>
    <x v="0"/>
  </r>
  <r>
    <s v="QC Failed: PT-RP-High Abn C. Assayed"/>
    <x v="28"/>
    <x v="2"/>
    <x v="4"/>
    <d v="1899-12-30T07:57:25"/>
    <s v="QC"/>
    <x v="0"/>
    <x v="2"/>
    <x v="3"/>
    <x v="0"/>
  </r>
  <r>
    <s v="Analyzer Status changed from Busy to Ready."/>
    <x v="0"/>
    <x v="0"/>
    <x v="4"/>
    <d v="1899-12-30T07:57:26"/>
    <s v="Analyzer"/>
    <x v="0"/>
    <x v="0"/>
    <x v="0"/>
    <x v="0"/>
  </r>
  <r>
    <s v="Analyzer Status changed from Ready to Maintenance."/>
    <x v="0"/>
    <x v="0"/>
    <x v="4"/>
    <d v="1899-12-30T07:57:26"/>
    <s v="Analyzer"/>
    <x v="0"/>
    <x v="0"/>
    <x v="0"/>
    <x v="0"/>
  </r>
  <r>
    <s v="Analyzer Status changed from Maintenance to Ready."/>
    <x v="0"/>
    <x v="0"/>
    <x v="4"/>
    <d v="1899-12-30T07:57:52"/>
    <s v="Analyzer"/>
    <x v="0"/>
    <x v="0"/>
    <x v="0"/>
    <x v="0"/>
  </r>
  <r>
    <s v="Automatic maintenance activity Automatic Routine Clean for all Probes has been executed."/>
    <x v="2"/>
    <x v="0"/>
    <x v="4"/>
    <d v="1899-12-30T07:57:52"/>
    <s v="Maintenance"/>
    <x v="0"/>
    <x v="2"/>
    <x v="2"/>
    <x v="0"/>
  </r>
  <r>
    <s v="QC Definition PT-RP - High Abn C. Assayed modified: Target Mean."/>
    <x v="33"/>
    <x v="0"/>
    <x v="4"/>
    <d v="1899-12-30T07:58:56"/>
    <s v="Setup"/>
    <x v="0"/>
    <x v="2"/>
    <x v="12"/>
    <x v="0"/>
  </r>
  <r>
    <s v="Normal C. Assayed volume low."/>
    <x v="7"/>
    <x v="1"/>
    <x v="4"/>
    <d v="1899-12-30T07:59:02"/>
    <s v="Materials"/>
    <x v="0"/>
    <x v="3"/>
    <x v="4"/>
    <x v="0"/>
  </r>
  <r>
    <s v="Analyzer Status changed from Ready to Busy."/>
    <x v="0"/>
    <x v="0"/>
    <x v="4"/>
    <d v="1899-12-30T07:59:23"/>
    <s v="Analyzer"/>
    <x v="0"/>
    <x v="0"/>
    <x v="0"/>
    <x v="0"/>
  </r>
  <r>
    <s v="Non-identified Sample in rack 10 position 1, track 12."/>
    <x v="12"/>
    <x v="2"/>
    <x v="4"/>
    <d v="1899-12-30T08:01:10"/>
    <s v="Materials"/>
    <x v="0"/>
    <x v="4"/>
    <x v="7"/>
    <x v="1"/>
  </r>
  <r>
    <s v="Non-identified Sample in rack 10 position 2, track 12."/>
    <x v="12"/>
    <x v="2"/>
    <x v="4"/>
    <d v="1899-12-30T08:01:10"/>
    <s v="Materials"/>
    <x v="0"/>
    <x v="4"/>
    <x v="7"/>
    <x v="1"/>
  </r>
  <r>
    <s v="Non-identified Sample in rack 10 position 3, track 12."/>
    <x v="12"/>
    <x v="2"/>
    <x v="4"/>
    <d v="1899-12-30T08:01:10"/>
    <s v="Materials"/>
    <x v="0"/>
    <x v="4"/>
    <x v="7"/>
    <x v="1"/>
  </r>
  <r>
    <s v="Non-identified Sample in rack 10 position 4, track 12."/>
    <x v="12"/>
    <x v="2"/>
    <x v="4"/>
    <d v="1899-12-30T08:01:10"/>
    <s v="Materials"/>
    <x v="0"/>
    <x v="4"/>
    <x v="7"/>
    <x v="1"/>
  </r>
  <r>
    <s v="Non-identified Material in rack DA position 3, track 2."/>
    <x v="27"/>
    <x v="2"/>
    <x v="4"/>
    <d v="1899-12-30T08:01:17"/>
    <s v="Materials"/>
    <x v="0"/>
    <x v="2"/>
    <x v="3"/>
    <x v="0"/>
  </r>
  <r>
    <s v="Analyzer Status changed from Busy to Ready."/>
    <x v="0"/>
    <x v="0"/>
    <x v="4"/>
    <d v="1899-12-30T08:02:32"/>
    <s v="Analyzer"/>
    <x v="0"/>
    <x v="0"/>
    <x v="0"/>
    <x v="0"/>
  </r>
  <r>
    <s v="Analyzer Status changed from Ready to Maintenance."/>
    <x v="0"/>
    <x v="0"/>
    <x v="4"/>
    <d v="1899-12-30T08:02:32"/>
    <s v="Analyzer"/>
    <x v="0"/>
    <x v="0"/>
    <x v="0"/>
    <x v="0"/>
  </r>
  <r>
    <s v="QC Definition PTMX - High Abn C. Assayed has been added."/>
    <x v="34"/>
    <x v="0"/>
    <x v="4"/>
    <d v="1899-12-30T08:02:36"/>
    <s v="Setup"/>
    <x v="0"/>
    <x v="2"/>
    <x v="12"/>
    <x v="0"/>
  </r>
  <r>
    <s v="Analyzer Status changed from Maintenance to Ready."/>
    <x v="0"/>
    <x v="0"/>
    <x v="4"/>
    <d v="1899-12-30T08:02:57"/>
    <s v="Analyzer"/>
    <x v="0"/>
    <x v="0"/>
    <x v="0"/>
    <x v="0"/>
  </r>
  <r>
    <s v="Automatic maintenance activity Automatic Routine Clean for all Probes has been executed."/>
    <x v="2"/>
    <x v="0"/>
    <x v="4"/>
    <d v="1899-12-30T08:02:57"/>
    <s v="Maintenance"/>
    <x v="0"/>
    <x v="2"/>
    <x v="2"/>
    <x v="0"/>
  </r>
  <r>
    <s v="QC Definition PTMX - Normal C. Assayed has been added."/>
    <x v="34"/>
    <x v="0"/>
    <x v="4"/>
    <d v="1899-12-30T08:03:12"/>
    <s v="Setup"/>
    <x v="0"/>
    <x v="2"/>
    <x v="12"/>
    <x v="0"/>
  </r>
  <r>
    <s v="QC Definition PT1:3MX - High Abn C. Assayed has been added."/>
    <x v="34"/>
    <x v="0"/>
    <x v="4"/>
    <d v="1899-12-30T08:03:41"/>
    <s v="Setup"/>
    <x v="0"/>
    <x v="2"/>
    <x v="12"/>
    <x v="0"/>
  </r>
  <r>
    <s v="QC Definition PTTMX - Normal C. Assayed has been added."/>
    <x v="34"/>
    <x v="0"/>
    <x v="4"/>
    <d v="1899-12-30T08:04:02"/>
    <s v="Setup"/>
    <x v="0"/>
    <x v="2"/>
    <x v="12"/>
    <x v="0"/>
  </r>
  <r>
    <s v="QC Definition PTTMX - Normal C. Assayed modified: Patient Flags."/>
    <x v="35"/>
    <x v="0"/>
    <x v="4"/>
    <d v="1899-12-30T08:04:08"/>
    <s v="Setup"/>
    <x v="0"/>
    <x v="2"/>
    <x v="12"/>
    <x v="0"/>
  </r>
  <r>
    <s v="QC Definition PTTMX - Normal C. Assayed modified: Rules cfg."/>
    <x v="36"/>
    <x v="0"/>
    <x v="4"/>
    <d v="1899-12-30T08:04:08"/>
    <s v="Setup"/>
    <x v="0"/>
    <x v="2"/>
    <x v="12"/>
    <x v="0"/>
  </r>
  <r>
    <s v="QC Definition PTTMX - High Abn C. Assayed has been added."/>
    <x v="34"/>
    <x v="0"/>
    <x v="4"/>
    <d v="1899-12-30T08:04:37"/>
    <s v="Setup"/>
    <x v="0"/>
    <x v="2"/>
    <x v="12"/>
    <x v="0"/>
  </r>
  <r>
    <s v="QC Definition PTT4:1MX - Normal C. Assayed has been added."/>
    <x v="34"/>
    <x v="0"/>
    <x v="4"/>
    <d v="1899-12-30T08:05:21"/>
    <s v="Setup"/>
    <x v="0"/>
    <x v="2"/>
    <x v="12"/>
    <x v="0"/>
  </r>
  <r>
    <s v="Analyzer Status changed from Ready to Busy."/>
    <x v="0"/>
    <x v="0"/>
    <x v="4"/>
    <d v="1899-12-30T08:05:53"/>
    <s v="Analyzer"/>
    <x v="0"/>
    <x v="0"/>
    <x v="0"/>
    <x v="0"/>
  </r>
  <r>
    <s v="Analyzer Status changed from Busy to Ready."/>
    <x v="0"/>
    <x v="0"/>
    <x v="4"/>
    <d v="1899-12-30T08:14:17"/>
    <s v="Analyzer"/>
    <x v="0"/>
    <x v="0"/>
    <x v="0"/>
    <x v="0"/>
  </r>
  <r>
    <s v="Analyzer Status changed from Ready to Maintenance."/>
    <x v="0"/>
    <x v="0"/>
    <x v="4"/>
    <d v="1899-12-30T08:14:17"/>
    <s v="Analyzer"/>
    <x v="0"/>
    <x v="0"/>
    <x v="0"/>
    <x v="0"/>
  </r>
  <r>
    <s v="Analyzer Status changed from Maintenance to Ready."/>
    <x v="0"/>
    <x v="0"/>
    <x v="4"/>
    <d v="1899-12-30T08:14:44"/>
    <s v="Analyzer"/>
    <x v="0"/>
    <x v="0"/>
    <x v="0"/>
    <x v="0"/>
  </r>
  <r>
    <s v="Automatic maintenance activity Automatic Routine Clean for all Probes has been executed."/>
    <x v="2"/>
    <x v="0"/>
    <x v="4"/>
    <d v="1899-12-30T08:14:44"/>
    <s v="Maintenance"/>
    <x v="0"/>
    <x v="2"/>
    <x v="2"/>
    <x v="0"/>
  </r>
  <r>
    <s v="Analyzer Status changed from Ready to Maintenance."/>
    <x v="0"/>
    <x v="0"/>
    <x v="4"/>
    <d v="1899-12-30T09:14:45"/>
    <s v="Analyzer"/>
    <x v="0"/>
    <x v="0"/>
    <x v="0"/>
    <x v="0"/>
  </r>
  <r>
    <s v="Analyzer Status changed from Maintenance to Ready."/>
    <x v="0"/>
    <x v="0"/>
    <x v="4"/>
    <d v="1899-12-30T09:15:06"/>
    <s v="Analyzer"/>
    <x v="0"/>
    <x v="0"/>
    <x v="0"/>
    <x v="0"/>
  </r>
  <r>
    <s v="Automatic maintenance activity Automatic Fluidic Line Priming Cycle has been executed."/>
    <x v="2"/>
    <x v="0"/>
    <x v="4"/>
    <d v="1899-12-30T09:15:06"/>
    <s v="Maintenance"/>
    <x v="0"/>
    <x v="2"/>
    <x v="2"/>
    <x v="0"/>
  </r>
  <r>
    <s v="Non-identified Material in rack DA position 3, track 2."/>
    <x v="27"/>
    <x v="2"/>
    <x v="4"/>
    <d v="1899-12-30T09:40:43"/>
    <s v="Materials"/>
    <x v="0"/>
    <x v="2"/>
    <x v="3"/>
    <x v="0"/>
  </r>
  <r>
    <s v="Normal C. Assayed insufficient material to run additional calibration / test."/>
    <x v="32"/>
    <x v="2"/>
    <x v="4"/>
    <d v="1899-12-30T09:41:53"/>
    <s v="Materials"/>
    <x v="0"/>
    <x v="3"/>
    <x v="4"/>
    <x v="0"/>
  </r>
  <r>
    <s v="Analyzer Status changed from Ready to Busy."/>
    <x v="0"/>
    <x v="0"/>
    <x v="4"/>
    <d v="1899-12-30T09:42:46"/>
    <s v="Analyzer"/>
    <x v="0"/>
    <x v="0"/>
    <x v="0"/>
    <x v="0"/>
  </r>
  <r>
    <s v="Non-identified Sample in rack 09 position 1, track 12."/>
    <x v="12"/>
    <x v="2"/>
    <x v="4"/>
    <d v="1899-12-30T09:43:12"/>
    <s v="Materials"/>
    <x v="0"/>
    <x v="4"/>
    <x v="7"/>
    <x v="1"/>
  </r>
  <r>
    <s v="Non-identified Sample in rack 09 position 2, track 12."/>
    <x v="12"/>
    <x v="2"/>
    <x v="4"/>
    <d v="1899-12-30T09:43:12"/>
    <s v="Materials"/>
    <x v="0"/>
    <x v="4"/>
    <x v="7"/>
    <x v="1"/>
  </r>
  <r>
    <s v="Non-identified Sample in rack 09 position 3, track 12."/>
    <x v="12"/>
    <x v="2"/>
    <x v="4"/>
    <d v="1899-12-30T09:43:12"/>
    <s v="Materials"/>
    <x v="0"/>
    <x v="4"/>
    <x v="7"/>
    <x v="1"/>
  </r>
  <r>
    <s v="Non-identified Sample in rack 09 position 4, track 12."/>
    <x v="12"/>
    <x v="2"/>
    <x v="4"/>
    <d v="1899-12-30T09:43:12"/>
    <s v="Materials"/>
    <x v="0"/>
    <x v="4"/>
    <x v="7"/>
    <x v="1"/>
  </r>
  <r>
    <s v="Non-identified Sample in rack 09 position 5, track 12."/>
    <x v="12"/>
    <x v="2"/>
    <x v="4"/>
    <d v="1899-12-30T09:43:12"/>
    <s v="Materials"/>
    <x v="0"/>
    <x v="4"/>
    <x v="7"/>
    <x v="1"/>
  </r>
  <r>
    <s v="Non-identified Sample in rack 09 position 6, track 12."/>
    <x v="12"/>
    <x v="2"/>
    <x v="4"/>
    <d v="1899-12-30T09:43:12"/>
    <s v="Materials"/>
    <x v="0"/>
    <x v="4"/>
    <x v="7"/>
    <x v="1"/>
  </r>
  <r>
    <s v="Analyzer Status changed from Busy to Ready."/>
    <x v="0"/>
    <x v="0"/>
    <x v="4"/>
    <d v="1899-12-30T09:54:54"/>
    <s v="Analyzer"/>
    <x v="0"/>
    <x v="0"/>
    <x v="0"/>
    <x v="0"/>
  </r>
  <r>
    <s v="Analyzer Status changed from Ready to Maintenance."/>
    <x v="0"/>
    <x v="0"/>
    <x v="4"/>
    <d v="1899-12-30T09:54:54"/>
    <s v="Analyzer"/>
    <x v="0"/>
    <x v="0"/>
    <x v="0"/>
    <x v="0"/>
  </r>
  <r>
    <s v="Analyzer Status changed from Maintenance to Ready."/>
    <x v="0"/>
    <x v="0"/>
    <x v="4"/>
    <d v="1899-12-30T09:55:21"/>
    <s v="Analyzer"/>
    <x v="0"/>
    <x v="0"/>
    <x v="0"/>
    <x v="0"/>
  </r>
  <r>
    <s v="Automatic maintenance activity Automatic Routine Clean for all Probes has been executed."/>
    <x v="2"/>
    <x v="0"/>
    <x v="4"/>
    <d v="1899-12-30T09:55:21"/>
    <s v="Maintenance"/>
    <x v="0"/>
    <x v="2"/>
    <x v="2"/>
    <x v="0"/>
  </r>
  <r>
    <s v="Analyzer Status changed from Ready to Maintenance."/>
    <x v="0"/>
    <x v="0"/>
    <x v="4"/>
    <d v="1899-12-30T10:55:21"/>
    <s v="Analyzer"/>
    <x v="0"/>
    <x v="0"/>
    <x v="0"/>
    <x v="0"/>
  </r>
  <r>
    <s v="Analyzer Status changed from Maintenance to Ready."/>
    <x v="0"/>
    <x v="0"/>
    <x v="4"/>
    <d v="1899-12-30T10:55:43"/>
    <s v="Analyzer"/>
    <x v="0"/>
    <x v="0"/>
    <x v="0"/>
    <x v="0"/>
  </r>
  <r>
    <s v="Automatic maintenance activity Automatic Fluidic Line Priming Cycle has been executed."/>
    <x v="2"/>
    <x v="0"/>
    <x v="4"/>
    <d v="1899-12-30T10:55:43"/>
    <s v="Maintenance"/>
    <x v="0"/>
    <x v="2"/>
    <x v="2"/>
    <x v="0"/>
  </r>
  <r>
    <s v="Analyzer Status changed from Ready to Busy."/>
    <x v="0"/>
    <x v="0"/>
    <x v="4"/>
    <d v="1899-12-30T11:25:00"/>
    <s v="Analyzer"/>
    <x v="0"/>
    <x v="0"/>
    <x v="0"/>
    <x v="0"/>
  </r>
  <r>
    <s v="Analyzer Status changed from Busy to Ready."/>
    <x v="0"/>
    <x v="0"/>
    <x v="4"/>
    <d v="1899-12-30T11:37:54"/>
    <s v="Analyzer"/>
    <x v="0"/>
    <x v="0"/>
    <x v="0"/>
    <x v="0"/>
  </r>
  <r>
    <s v="Analyzer Status changed from Ready to Maintenance."/>
    <x v="0"/>
    <x v="0"/>
    <x v="4"/>
    <d v="1899-12-30T11:37:54"/>
    <s v="Analyzer"/>
    <x v="0"/>
    <x v="0"/>
    <x v="0"/>
    <x v="0"/>
  </r>
  <r>
    <s v="Analyzer Status changed from Maintenance to Ready."/>
    <x v="0"/>
    <x v="0"/>
    <x v="4"/>
    <d v="1899-12-30T11:38:19"/>
    <s v="Analyzer"/>
    <x v="0"/>
    <x v="0"/>
    <x v="0"/>
    <x v="0"/>
  </r>
  <r>
    <s v="Automatic maintenance activity Automatic Routine Clean for all Probes has been executed."/>
    <x v="2"/>
    <x v="0"/>
    <x v="4"/>
    <d v="1899-12-30T11:38:19"/>
    <s v="Maintenance"/>
    <x v="0"/>
    <x v="2"/>
    <x v="2"/>
    <x v="0"/>
  </r>
  <r>
    <s v="Non-identified Material in rack DA position 5, track 2."/>
    <x v="27"/>
    <x v="2"/>
    <x v="4"/>
    <d v="1899-12-30T12:03:22"/>
    <s v="Materials"/>
    <x v="0"/>
    <x v="2"/>
    <x v="3"/>
    <x v="0"/>
  </r>
  <r>
    <s v="Analyzer Status changed from Ready to Maintenance."/>
    <x v="0"/>
    <x v="0"/>
    <x v="4"/>
    <d v="1899-12-30T12:38:19"/>
    <s v="Analyzer"/>
    <x v="0"/>
    <x v="0"/>
    <x v="0"/>
    <x v="0"/>
  </r>
  <r>
    <s v="Analyzer Status changed from Maintenance to Ready."/>
    <x v="0"/>
    <x v="0"/>
    <x v="4"/>
    <d v="1899-12-30T12:38:41"/>
    <s v="Analyzer"/>
    <x v="0"/>
    <x v="0"/>
    <x v="0"/>
    <x v="0"/>
  </r>
  <r>
    <s v="Automatic maintenance activity Automatic Fluidic Line Priming Cycle has been executed."/>
    <x v="2"/>
    <x v="0"/>
    <x v="4"/>
    <d v="1899-12-30T12:38:41"/>
    <s v="Maintenance"/>
    <x v="0"/>
    <x v="2"/>
    <x v="2"/>
    <x v="0"/>
  </r>
  <r>
    <s v="Duplicated Rack ID, Rack ID DA."/>
    <x v="37"/>
    <x v="1"/>
    <x v="4"/>
    <d v="1899-12-30T13:34:11"/>
    <s v="Analyzer"/>
    <x v="0"/>
    <x v="6"/>
    <x v="13"/>
    <x v="0"/>
  </r>
  <r>
    <s v="Non-identified Material in rack DA position 8, track 2."/>
    <x v="27"/>
    <x v="2"/>
    <x v="4"/>
    <d v="1899-12-30T13:34:33"/>
    <s v="Materials"/>
    <x v="0"/>
    <x v="2"/>
    <x v="3"/>
    <x v="0"/>
  </r>
  <r>
    <s v="Low Fib Control volume low."/>
    <x v="7"/>
    <x v="1"/>
    <x v="4"/>
    <d v="1899-12-30T13:35:11"/>
    <s v="Materials"/>
    <x v="0"/>
    <x v="3"/>
    <x v="4"/>
    <x v="0"/>
  </r>
  <r>
    <s v="Normal C. Assayed volume low."/>
    <x v="7"/>
    <x v="1"/>
    <x v="4"/>
    <d v="1899-12-30T13:35:17"/>
    <s v="Materials"/>
    <x v="0"/>
    <x v="3"/>
    <x v="4"/>
    <x v="0"/>
  </r>
  <r>
    <s v="LA POS CONTROL volume low."/>
    <x v="7"/>
    <x v="1"/>
    <x v="4"/>
    <d v="1899-12-30T13:35:31"/>
    <s v="Materials"/>
    <x v="0"/>
    <x v="3"/>
    <x v="4"/>
    <x v="0"/>
  </r>
  <r>
    <s v="LA NEG CONTROL volume low."/>
    <x v="7"/>
    <x v="1"/>
    <x v="4"/>
    <d v="1899-12-30T13:35:37"/>
    <s v="Materials"/>
    <x v="0"/>
    <x v="3"/>
    <x v="4"/>
    <x v="0"/>
  </r>
  <r>
    <s v="Non-identified Sample in rack 04 position 1, track 12."/>
    <x v="12"/>
    <x v="2"/>
    <x v="4"/>
    <d v="1899-12-30T13:35:39"/>
    <s v="Materials"/>
    <x v="0"/>
    <x v="4"/>
    <x v="7"/>
    <x v="1"/>
  </r>
  <r>
    <s v="Non-identified Sample in rack 04 position 2, track 12."/>
    <x v="12"/>
    <x v="2"/>
    <x v="4"/>
    <d v="1899-12-30T13:35:39"/>
    <s v="Materials"/>
    <x v="0"/>
    <x v="4"/>
    <x v="7"/>
    <x v="1"/>
  </r>
  <r>
    <s v="Non-identified Sample in rack 04 position 3, track 12."/>
    <x v="12"/>
    <x v="2"/>
    <x v="4"/>
    <d v="1899-12-30T13:35:39"/>
    <s v="Materials"/>
    <x v="0"/>
    <x v="4"/>
    <x v="7"/>
    <x v="1"/>
  </r>
  <r>
    <s v="Non-identified Sample in rack 04 position 4, track 12."/>
    <x v="12"/>
    <x v="2"/>
    <x v="4"/>
    <d v="1899-12-30T13:35:39"/>
    <s v="Materials"/>
    <x v="0"/>
    <x v="4"/>
    <x v="7"/>
    <x v="1"/>
  </r>
  <r>
    <s v="Non-identified Sample in rack 04 position 5, track 12."/>
    <x v="12"/>
    <x v="2"/>
    <x v="4"/>
    <d v="1899-12-30T13:35:39"/>
    <s v="Materials"/>
    <x v="0"/>
    <x v="4"/>
    <x v="7"/>
    <x v="1"/>
  </r>
  <r>
    <s v="Non-identified Sample in rack 04 position 6, track 12."/>
    <x v="12"/>
    <x v="2"/>
    <x v="4"/>
    <d v="1899-12-30T13:35:39"/>
    <s v="Materials"/>
    <x v="0"/>
    <x v="4"/>
    <x v="7"/>
    <x v="1"/>
  </r>
  <r>
    <s v="Non-identified Sample in rack 04 position 7, track 12."/>
    <x v="12"/>
    <x v="2"/>
    <x v="4"/>
    <d v="1899-12-30T13:35:39"/>
    <s v="Materials"/>
    <x v="0"/>
    <x v="4"/>
    <x v="7"/>
    <x v="1"/>
  </r>
  <r>
    <s v="Non-identified Sample in rack 04 position 8, track 12."/>
    <x v="12"/>
    <x v="2"/>
    <x v="4"/>
    <d v="1899-12-30T13:35:39"/>
    <s v="Materials"/>
    <x v="0"/>
    <x v="4"/>
    <x v="7"/>
    <x v="1"/>
  </r>
  <r>
    <s v="dRVVTSMX Patient job not feasible. Waiting for dRVVT SCREEN."/>
    <x v="26"/>
    <x v="1"/>
    <x v="4"/>
    <d v="1899-12-30T13:36:44"/>
    <s v="Materials"/>
    <x v="0"/>
    <x v="2"/>
    <x v="3"/>
    <x v="0"/>
  </r>
  <r>
    <s v="dRVVT S QC job not feasible. Waiting for LA POS CONTROL."/>
    <x v="26"/>
    <x v="1"/>
    <x v="4"/>
    <d v="1899-12-30T13:36:44"/>
    <s v="Materials"/>
    <x v="0"/>
    <x v="2"/>
    <x v="3"/>
    <x v="0"/>
  </r>
  <r>
    <s v="dRVVTSMX QC job not feasible. Waiting for LA POS CONTROL."/>
    <x v="26"/>
    <x v="1"/>
    <x v="4"/>
    <d v="1899-12-30T13:36:44"/>
    <s v="Materials"/>
    <x v="0"/>
    <x v="2"/>
    <x v="3"/>
    <x v="0"/>
  </r>
  <r>
    <s v="dRVVTCMX QC job not feasible. Waiting for LA POS CONTROL."/>
    <x v="26"/>
    <x v="1"/>
    <x v="4"/>
    <d v="1899-12-30T13:36:44"/>
    <s v="Materials"/>
    <x v="0"/>
    <x v="2"/>
    <x v="3"/>
    <x v="0"/>
  </r>
  <r>
    <s v="dRVVT S QC job not feasible. Waiting for LA NEG CONTROL."/>
    <x v="26"/>
    <x v="1"/>
    <x v="4"/>
    <d v="1899-12-30T13:36:44"/>
    <s v="Materials"/>
    <x v="0"/>
    <x v="2"/>
    <x v="3"/>
    <x v="0"/>
  </r>
  <r>
    <s v="dRVVTSMX QC job not feasible. Waiting for LA NEG CONTROL."/>
    <x v="26"/>
    <x v="1"/>
    <x v="4"/>
    <d v="1899-12-30T13:36:44"/>
    <s v="Materials"/>
    <x v="0"/>
    <x v="2"/>
    <x v="3"/>
    <x v="0"/>
  </r>
  <r>
    <s v="dRVVTCMX QC job not feasible. Waiting for LA NEG CONTROL."/>
    <x v="26"/>
    <x v="1"/>
    <x v="4"/>
    <d v="1899-12-30T13:36:44"/>
    <s v="Materials"/>
    <x v="0"/>
    <x v="2"/>
    <x v="3"/>
    <x v="0"/>
  </r>
  <r>
    <s v="SCTCMX QC job not feasible. Waiting for LA NEG CONTROL."/>
    <x v="26"/>
    <x v="1"/>
    <x v="4"/>
    <d v="1899-12-30T13:36:44"/>
    <s v="Materials"/>
    <x v="0"/>
    <x v="2"/>
    <x v="3"/>
    <x v="0"/>
  </r>
  <r>
    <s v="Analyzer Status changed from Ready to Busy."/>
    <x v="0"/>
    <x v="0"/>
    <x v="4"/>
    <d v="1899-12-30T13:36:44"/>
    <s v="Analyzer"/>
    <x v="0"/>
    <x v="0"/>
    <x v="0"/>
    <x v="0"/>
  </r>
  <r>
    <s v="SCTCMX QC job not feasible. Waiting for LA POS CONTROL."/>
    <x v="26"/>
    <x v="1"/>
    <x v="4"/>
    <d v="1899-12-30T13:36:45"/>
    <s v="Materials"/>
    <x v="0"/>
    <x v="2"/>
    <x v="3"/>
    <x v="0"/>
  </r>
  <r>
    <s v="Cuvettes low in the load area."/>
    <x v="15"/>
    <x v="1"/>
    <x v="4"/>
    <d v="1899-12-30T13:37:13"/>
    <s v="Materials"/>
    <x v="0"/>
    <x v="5"/>
    <x v="8"/>
    <x v="0"/>
  </r>
  <r>
    <s v="LA POS CONTROL volume low."/>
    <x v="7"/>
    <x v="1"/>
    <x v="4"/>
    <d v="1899-12-30T13:50:22"/>
    <s v="Materials"/>
    <x v="0"/>
    <x v="3"/>
    <x v="4"/>
    <x v="0"/>
  </r>
  <r>
    <s v="LA NEG CONTROL volume low."/>
    <x v="7"/>
    <x v="1"/>
    <x v="4"/>
    <d v="1899-12-30T13:50:31"/>
    <s v="Materials"/>
    <x v="0"/>
    <x v="3"/>
    <x v="4"/>
    <x v="0"/>
  </r>
  <r>
    <s v="Insufficient volume in position 2, track S12."/>
    <x v="30"/>
    <x v="2"/>
    <x v="4"/>
    <d v="1899-12-30T13:54:30"/>
    <s v="Materials"/>
    <x v="0"/>
    <x v="3"/>
    <x v="4"/>
    <x v="0"/>
  </r>
  <r>
    <s v="QC Failed: SCTCMX-LA POS CONTROL"/>
    <x v="28"/>
    <x v="2"/>
    <x v="4"/>
    <d v="1899-12-30T14:00:04"/>
    <s v="QC"/>
    <x v="0"/>
    <x v="2"/>
    <x v="3"/>
    <x v="0"/>
  </r>
  <r>
    <s v="QC Failed: SCTCMX-LA NEG CONTROL"/>
    <x v="28"/>
    <x v="2"/>
    <x v="4"/>
    <d v="1899-12-30T14:00:12"/>
    <s v="QC"/>
    <x v="0"/>
    <x v="2"/>
    <x v="3"/>
    <x v="0"/>
  </r>
  <r>
    <s v="dRVVT SCREEN volume low."/>
    <x v="7"/>
    <x v="1"/>
    <x v="4"/>
    <d v="1899-12-30T14:00:29"/>
    <s v="Materials"/>
    <x v="0"/>
    <x v="3"/>
    <x v="4"/>
    <x v="0"/>
  </r>
  <r>
    <s v="dRVVT SCREEN insufficient material to run additional calibration / test."/>
    <x v="32"/>
    <x v="2"/>
    <x v="4"/>
    <d v="1899-12-30T14:00:50"/>
    <s v="Materials"/>
    <x v="0"/>
    <x v="3"/>
    <x v="4"/>
    <x v="0"/>
  </r>
  <r>
    <s v="Analyzer Status changed from Busy to Ready."/>
    <x v="0"/>
    <x v="0"/>
    <x v="4"/>
    <d v="1899-12-30T14:10:58"/>
    <s v="Analyzer"/>
    <x v="0"/>
    <x v="0"/>
    <x v="0"/>
    <x v="0"/>
  </r>
  <r>
    <s v="Analyzer Status changed from Ready to Maintenance."/>
    <x v="0"/>
    <x v="0"/>
    <x v="4"/>
    <d v="1899-12-30T14:10:58"/>
    <s v="Analyzer"/>
    <x v="0"/>
    <x v="0"/>
    <x v="0"/>
    <x v="0"/>
  </r>
  <r>
    <s v="Analyzer Status changed from Maintenance to Ready."/>
    <x v="0"/>
    <x v="0"/>
    <x v="4"/>
    <d v="1899-12-30T14:11:26"/>
    <s v="Analyzer"/>
    <x v="0"/>
    <x v="0"/>
    <x v="0"/>
    <x v="0"/>
  </r>
  <r>
    <s v="Automatic maintenance activity Automatic Routine Clean for all Probes has been executed."/>
    <x v="2"/>
    <x v="0"/>
    <x v="4"/>
    <d v="1899-12-30T14:11:26"/>
    <s v="Maintenance"/>
    <x v="0"/>
    <x v="2"/>
    <x v="2"/>
    <x v="0"/>
  </r>
  <r>
    <s v="dRVVT SCREEN insufficient material to run additional calibration / test."/>
    <x v="32"/>
    <x v="2"/>
    <x v="4"/>
    <d v="1899-12-30T14:12:48"/>
    <s v="Materials"/>
    <x v="0"/>
    <x v="3"/>
    <x v="4"/>
    <x v="0"/>
  </r>
  <r>
    <s v="Analyzer Status changed from Ready to Busy."/>
    <x v="0"/>
    <x v="0"/>
    <x v="4"/>
    <d v="1899-12-30T14:13:40"/>
    <s v="Analyzer"/>
    <x v="0"/>
    <x v="0"/>
    <x v="0"/>
    <x v="0"/>
  </r>
  <r>
    <s v="dRVVTSMX Patient Required Clean Material shortage has been estimated. Monitor Clean B Diluted availability."/>
    <x v="11"/>
    <x v="1"/>
    <x v="4"/>
    <d v="1899-12-30T14:13:41"/>
    <s v="Materials"/>
    <x v="0"/>
    <x v="2"/>
    <x v="3"/>
    <x v="0"/>
  </r>
  <r>
    <s v="Analyzer Status changed from Busy to Ready."/>
    <x v="0"/>
    <x v="0"/>
    <x v="4"/>
    <d v="1899-12-30T14:13:48"/>
    <s v="Analyzer"/>
    <x v="0"/>
    <x v="0"/>
    <x v="0"/>
    <x v="0"/>
  </r>
  <r>
    <s v="Analyzer Status changed from Ready to Busy."/>
    <x v="0"/>
    <x v="0"/>
    <x v="4"/>
    <d v="1899-12-30T14:14:50"/>
    <s v="Analyzer"/>
    <x v="0"/>
    <x v="0"/>
    <x v="0"/>
    <x v="0"/>
  </r>
  <r>
    <s v="Analyzer Status changed from Busy to Ready."/>
    <x v="0"/>
    <x v="0"/>
    <x v="4"/>
    <d v="1899-12-30T14:22:08"/>
    <s v="Analyzer"/>
    <x v="0"/>
    <x v="0"/>
    <x v="0"/>
    <x v="0"/>
  </r>
  <r>
    <s v="Analyzer Status changed from Ready to Maintenance."/>
    <x v="0"/>
    <x v="0"/>
    <x v="4"/>
    <d v="1899-12-30T14:22:08"/>
    <s v="Analyzer"/>
    <x v="0"/>
    <x v="0"/>
    <x v="0"/>
    <x v="0"/>
  </r>
  <r>
    <s v="Analyzer Status changed from Maintenance to Ready."/>
    <x v="0"/>
    <x v="0"/>
    <x v="4"/>
    <d v="1899-12-30T14:22:33"/>
    <s v="Analyzer"/>
    <x v="0"/>
    <x v="0"/>
    <x v="0"/>
    <x v="0"/>
  </r>
  <r>
    <s v="Automatic maintenance activity Automatic Routine Clean for all Probes has been executed."/>
    <x v="2"/>
    <x v="0"/>
    <x v="4"/>
    <d v="1899-12-30T14:22:33"/>
    <s v="Maintenance"/>
    <x v="0"/>
    <x v="2"/>
    <x v="2"/>
    <x v="0"/>
  </r>
  <r>
    <s v="Analyzer Status changed from Ready to Initializing."/>
    <x v="0"/>
    <x v="0"/>
    <x v="4"/>
    <d v="1899-12-30T14:46:59"/>
    <s v="Analyzer"/>
    <x v="0"/>
    <x v="0"/>
    <x v="0"/>
    <x v="0"/>
  </r>
  <r>
    <s v="Logout by user: LHO."/>
    <x v="16"/>
    <x v="0"/>
    <x v="4"/>
    <d v="1899-12-30T14:47:53"/>
    <s v="Other"/>
    <x v="0"/>
    <x v="2"/>
    <x v="5"/>
    <x v="0"/>
  </r>
  <r>
    <s v="Analyzer Status changed from Not connected to Emergency stop."/>
    <x v="0"/>
    <x v="0"/>
    <x v="4"/>
    <d v="1899-12-30T14:53:41"/>
    <s v="Analyzer"/>
    <x v="1"/>
    <x v="0"/>
    <x v="0"/>
    <x v="0"/>
  </r>
  <r>
    <s v="LAS Interface Manager (IM) communications error."/>
    <x v="17"/>
    <x v="2"/>
    <x v="4"/>
    <d v="1899-12-30T14:53:41"/>
    <s v="LIS"/>
    <x v="1"/>
    <x v="2"/>
    <x v="9"/>
    <x v="0"/>
  </r>
  <r>
    <s v="Successful log in by user: LHO."/>
    <x v="18"/>
    <x v="0"/>
    <x v="4"/>
    <d v="1899-12-30T14:53:52"/>
    <s v="Other"/>
    <x v="0"/>
    <x v="2"/>
    <x v="5"/>
    <x v="0"/>
  </r>
  <r>
    <s v="Analyzer Status changed from Emergency stop to Not connected."/>
    <x v="0"/>
    <x v="0"/>
    <x v="4"/>
    <d v="1899-12-30T14:53:58"/>
    <s v="Analyzer"/>
    <x v="0"/>
    <x v="0"/>
    <x v="0"/>
    <x v="0"/>
  </r>
  <r>
    <s v="Analyzer Status changed from Not connected to Power up."/>
    <x v="0"/>
    <x v="0"/>
    <x v="4"/>
    <d v="1899-12-30T14:54:45"/>
    <s v="Analyzer"/>
    <x v="0"/>
    <x v="0"/>
    <x v="0"/>
    <x v="0"/>
  </r>
  <r>
    <s v="LA NEG CONTROL volume low."/>
    <x v="7"/>
    <x v="1"/>
    <x v="4"/>
    <d v="1899-12-30T14:54:47"/>
    <s v="Materials"/>
    <x v="0"/>
    <x v="3"/>
    <x v="4"/>
    <x v="0"/>
  </r>
  <r>
    <s v="High Abn C. Assayed volume low."/>
    <x v="7"/>
    <x v="1"/>
    <x v="4"/>
    <d v="1899-12-30T14:54:47"/>
    <s v="Materials"/>
    <x v="0"/>
    <x v="3"/>
    <x v="4"/>
    <x v="0"/>
  </r>
  <r>
    <s v="LA POS CONTROL volume low."/>
    <x v="7"/>
    <x v="1"/>
    <x v="4"/>
    <d v="1899-12-30T14:54:47"/>
    <s v="Materials"/>
    <x v="0"/>
    <x v="3"/>
    <x v="4"/>
    <x v="0"/>
  </r>
  <r>
    <s v="Analyzer Status changed from Power up to Initializing."/>
    <x v="0"/>
    <x v="0"/>
    <x v="4"/>
    <d v="1899-12-30T14:54:55"/>
    <s v="Analyzer"/>
    <x v="0"/>
    <x v="0"/>
    <x v="0"/>
    <x v="0"/>
  </r>
  <r>
    <s v="Analyzer Status changed from Initializing to Adjusting thermal."/>
    <x v="0"/>
    <x v="0"/>
    <x v="4"/>
    <d v="1899-12-30T14:56:44"/>
    <s v="Analyzer"/>
    <x v="0"/>
    <x v="0"/>
    <x v="0"/>
    <x v="0"/>
  </r>
  <r>
    <s v="Analyzer Status changed from Adjusting thermal to Ready."/>
    <x v="0"/>
    <x v="0"/>
    <x v="4"/>
    <d v="1899-12-30T15:00:14"/>
    <s v="Analyzer"/>
    <x v="0"/>
    <x v="0"/>
    <x v="0"/>
    <x v="0"/>
  </r>
  <r>
    <s v="Analyzer Status changed from Ready to Maintenance."/>
    <x v="0"/>
    <x v="0"/>
    <x v="4"/>
    <d v="1899-12-30T15:00:14"/>
    <s v="Analyzer"/>
    <x v="0"/>
    <x v="0"/>
    <x v="0"/>
    <x v="0"/>
  </r>
  <r>
    <s v="Analyzer Status changed from Maintenance to Ready."/>
    <x v="0"/>
    <x v="0"/>
    <x v="4"/>
    <d v="1899-12-30T15:01:27"/>
    <s v="Analyzer"/>
    <x v="0"/>
    <x v="0"/>
    <x v="0"/>
    <x v="0"/>
  </r>
  <r>
    <s v="Analyzer Status changed from Ready to Maintenance."/>
    <x v="0"/>
    <x v="0"/>
    <x v="4"/>
    <d v="1899-12-30T16:01:28"/>
    <s v="Analyzer"/>
    <x v="0"/>
    <x v="0"/>
    <x v="0"/>
    <x v="0"/>
  </r>
  <r>
    <s v="Analyzer Status changed from Maintenance to Ready."/>
    <x v="0"/>
    <x v="0"/>
    <x v="4"/>
    <d v="1899-12-30T16:01:49"/>
    <s v="Analyzer"/>
    <x v="0"/>
    <x v="0"/>
    <x v="0"/>
    <x v="0"/>
  </r>
  <r>
    <s v="Automatic maintenance activity Automatic Fluidic Line Priming Cycle has been executed."/>
    <x v="2"/>
    <x v="0"/>
    <x v="4"/>
    <d v="1899-12-30T16:01:49"/>
    <s v="Maintenance"/>
    <x v="0"/>
    <x v="2"/>
    <x v="2"/>
    <x v="0"/>
  </r>
  <r>
    <s v="Analyzer Status changed from Ready to Maintenance."/>
    <x v="0"/>
    <x v="0"/>
    <x v="4"/>
    <d v="1899-12-30T17:01:50"/>
    <s v="Analyzer"/>
    <x v="0"/>
    <x v="0"/>
    <x v="0"/>
    <x v="0"/>
  </r>
  <r>
    <s v="Analyzer Status changed from Maintenance to Ready."/>
    <x v="0"/>
    <x v="0"/>
    <x v="4"/>
    <d v="1899-12-30T17:02:11"/>
    <s v="Analyzer"/>
    <x v="0"/>
    <x v="0"/>
    <x v="0"/>
    <x v="0"/>
  </r>
  <r>
    <s v="Automatic maintenance activity Automatic Fluidic Line Priming Cycle has been executed."/>
    <x v="2"/>
    <x v="0"/>
    <x v="4"/>
    <d v="1899-12-30T17:02:11"/>
    <s v="Maintenance"/>
    <x v="0"/>
    <x v="2"/>
    <x v="2"/>
    <x v="0"/>
  </r>
  <r>
    <s v="Analyzer Status changed from Ready to Maintenance."/>
    <x v="0"/>
    <x v="0"/>
    <x v="4"/>
    <d v="1899-12-30T18:02:12"/>
    <s v="Analyzer"/>
    <x v="0"/>
    <x v="0"/>
    <x v="0"/>
    <x v="0"/>
  </r>
  <r>
    <s v="Analyzer Status changed from Maintenance to Ready."/>
    <x v="0"/>
    <x v="0"/>
    <x v="4"/>
    <d v="1899-12-30T18:02:33"/>
    <s v="Analyzer"/>
    <x v="0"/>
    <x v="0"/>
    <x v="0"/>
    <x v="0"/>
  </r>
  <r>
    <s v="Automatic maintenance activity Automatic Fluidic Line Priming Cycle has been executed."/>
    <x v="2"/>
    <x v="0"/>
    <x v="4"/>
    <d v="1899-12-30T18:02:33"/>
    <s v="Maintenance"/>
    <x v="0"/>
    <x v="2"/>
    <x v="2"/>
    <x v="0"/>
  </r>
  <r>
    <s v="Analyzer Status changed from Ready to Maintenance."/>
    <x v="0"/>
    <x v="0"/>
    <x v="4"/>
    <d v="1899-12-30T19:02:34"/>
    <s v="Analyzer"/>
    <x v="0"/>
    <x v="0"/>
    <x v="0"/>
    <x v="0"/>
  </r>
  <r>
    <s v="Automatic maintenance activity Automatic Fluidic Line Priming Cycle has been executed."/>
    <x v="2"/>
    <x v="0"/>
    <x v="4"/>
    <d v="1899-12-30T19:02:55"/>
    <s v="Maintenance"/>
    <x v="0"/>
    <x v="2"/>
    <x v="2"/>
    <x v="0"/>
  </r>
  <r>
    <s v="Analyzer Status changed from Maintenance to Ready."/>
    <x v="0"/>
    <x v="0"/>
    <x v="4"/>
    <d v="1899-12-30T19:02:56"/>
    <s v="Analyzer"/>
    <x v="0"/>
    <x v="0"/>
    <x v="0"/>
    <x v="0"/>
  </r>
  <r>
    <s v="Analyzer Status changed from Ready to Maintenance."/>
    <x v="0"/>
    <x v="0"/>
    <x v="4"/>
    <d v="1899-12-30T20:02:56"/>
    <s v="Analyzer"/>
    <x v="0"/>
    <x v="0"/>
    <x v="0"/>
    <x v="0"/>
  </r>
  <r>
    <s v="Analyzer Status changed from Maintenance to Ready."/>
    <x v="0"/>
    <x v="0"/>
    <x v="4"/>
    <d v="1899-12-30T20:03:17"/>
    <s v="Analyzer"/>
    <x v="0"/>
    <x v="0"/>
    <x v="0"/>
    <x v="0"/>
  </r>
  <r>
    <s v="Automatic maintenance activity Automatic Fluidic Line Priming Cycle has been executed."/>
    <x v="2"/>
    <x v="0"/>
    <x v="4"/>
    <d v="1899-12-30T20:03:17"/>
    <s v="Maintenance"/>
    <x v="0"/>
    <x v="2"/>
    <x v="2"/>
    <x v="0"/>
  </r>
  <r>
    <s v="Analyzer Status changed from Ready to Maintenance."/>
    <x v="0"/>
    <x v="0"/>
    <x v="4"/>
    <d v="1899-12-30T21:03:18"/>
    <s v="Analyzer"/>
    <x v="0"/>
    <x v="0"/>
    <x v="0"/>
    <x v="0"/>
  </r>
  <r>
    <s v="Analyzer Status changed from Maintenance to Ready."/>
    <x v="0"/>
    <x v="0"/>
    <x v="4"/>
    <d v="1899-12-30T21:03:39"/>
    <s v="Analyzer"/>
    <x v="0"/>
    <x v="0"/>
    <x v="0"/>
    <x v="0"/>
  </r>
  <r>
    <s v="Automatic maintenance activity Automatic Fluidic Line Priming Cycle has been executed."/>
    <x v="2"/>
    <x v="0"/>
    <x v="4"/>
    <d v="1899-12-30T21:03:39"/>
    <s v="Maintenance"/>
    <x v="0"/>
    <x v="2"/>
    <x v="2"/>
    <x v="0"/>
  </r>
  <r>
    <s v="Analyzer Status changed from Ready to Maintenance."/>
    <x v="0"/>
    <x v="0"/>
    <x v="4"/>
    <d v="1899-12-30T22:03:39"/>
    <s v="Analyzer"/>
    <x v="0"/>
    <x v="0"/>
    <x v="0"/>
    <x v="0"/>
  </r>
  <r>
    <s v="Analyzer Status changed from Maintenance to Ready."/>
    <x v="0"/>
    <x v="0"/>
    <x v="4"/>
    <d v="1899-12-30T22:04:01"/>
    <s v="Analyzer"/>
    <x v="0"/>
    <x v="0"/>
    <x v="0"/>
    <x v="0"/>
  </r>
  <r>
    <s v="Automatic maintenance activity Automatic Fluidic Line Priming Cycle has been executed."/>
    <x v="2"/>
    <x v="0"/>
    <x v="4"/>
    <d v="1899-12-30T22:04:01"/>
    <s v="Maintenance"/>
    <x v="0"/>
    <x v="2"/>
    <x v="2"/>
    <x v="0"/>
  </r>
  <r>
    <s v="Analyzer Status changed from Ready to Maintenance."/>
    <x v="0"/>
    <x v="0"/>
    <x v="4"/>
    <d v="1899-12-30T23:04:01"/>
    <s v="Analyzer"/>
    <x v="0"/>
    <x v="0"/>
    <x v="0"/>
    <x v="0"/>
  </r>
  <r>
    <s v="Analyzer Status changed from Maintenance to Ready."/>
    <x v="0"/>
    <x v="0"/>
    <x v="4"/>
    <d v="1899-12-30T23:04:23"/>
    <s v="Analyzer"/>
    <x v="0"/>
    <x v="0"/>
    <x v="0"/>
    <x v="0"/>
  </r>
  <r>
    <s v="Automatic maintenance activity Automatic Fluidic Line Priming Cycle has been executed."/>
    <x v="2"/>
    <x v="0"/>
    <x v="4"/>
    <d v="1899-12-30T23:04:23"/>
    <s v="Maintenance"/>
    <x v="0"/>
    <x v="2"/>
    <x v="2"/>
    <x v="0"/>
  </r>
  <r>
    <s v="Analyzer Status changed from Ready to Maintenance."/>
    <x v="0"/>
    <x v="0"/>
    <x v="5"/>
    <d v="1899-12-30T00:04:23"/>
    <s v="Analyzer"/>
    <x v="0"/>
    <x v="0"/>
    <x v="0"/>
    <x v="0"/>
  </r>
  <r>
    <s v="Analyzer Status changed from Maintenance to Ready."/>
    <x v="0"/>
    <x v="0"/>
    <x v="5"/>
    <d v="1899-12-30T00:04:45"/>
    <s v="Analyzer"/>
    <x v="0"/>
    <x v="0"/>
    <x v="0"/>
    <x v="0"/>
  </r>
  <r>
    <s v="Automatic maintenance activity Automatic Fluidic Line Priming Cycle has been executed."/>
    <x v="2"/>
    <x v="0"/>
    <x v="5"/>
    <d v="1899-12-30T00:04:45"/>
    <s v="Maintenance"/>
    <x v="0"/>
    <x v="2"/>
    <x v="2"/>
    <x v="0"/>
  </r>
  <r>
    <s v="Analyzer Status changed from Ready to Maintenance."/>
    <x v="0"/>
    <x v="0"/>
    <x v="5"/>
    <d v="1899-12-30T01:04:45"/>
    <s v="Analyzer"/>
    <x v="0"/>
    <x v="0"/>
    <x v="0"/>
    <x v="0"/>
  </r>
  <r>
    <s v="Analyzer Status changed from Maintenance to Ready."/>
    <x v="0"/>
    <x v="0"/>
    <x v="5"/>
    <d v="1899-12-30T01:05:07"/>
    <s v="Analyzer"/>
    <x v="0"/>
    <x v="0"/>
    <x v="0"/>
    <x v="0"/>
  </r>
  <r>
    <s v="Automatic maintenance activity Automatic Fluidic Line Priming Cycle has been executed."/>
    <x v="2"/>
    <x v="0"/>
    <x v="5"/>
    <d v="1899-12-30T01:05:07"/>
    <s v="Maintenance"/>
    <x v="0"/>
    <x v="2"/>
    <x v="2"/>
    <x v="0"/>
  </r>
  <r>
    <s v="Analyzer Status changed from Ready to Maintenance."/>
    <x v="0"/>
    <x v="0"/>
    <x v="5"/>
    <d v="1899-12-30T02:05:07"/>
    <s v="Analyzer"/>
    <x v="0"/>
    <x v="0"/>
    <x v="0"/>
    <x v="0"/>
  </r>
  <r>
    <s v="Analyzer Status changed from Maintenance to Ready."/>
    <x v="0"/>
    <x v="0"/>
    <x v="5"/>
    <d v="1899-12-30T02:05:29"/>
    <s v="Analyzer"/>
    <x v="0"/>
    <x v="0"/>
    <x v="0"/>
    <x v="0"/>
  </r>
  <r>
    <s v="Automatic maintenance activity Automatic Fluidic Line Priming Cycle has been executed."/>
    <x v="2"/>
    <x v="0"/>
    <x v="5"/>
    <d v="1899-12-30T02:05:29"/>
    <s v="Maintenance"/>
    <x v="0"/>
    <x v="2"/>
    <x v="2"/>
    <x v="0"/>
  </r>
  <r>
    <s v="Analyzer Status changed from Ready to Maintenance."/>
    <x v="0"/>
    <x v="0"/>
    <x v="5"/>
    <d v="1899-12-30T03:05:29"/>
    <s v="Analyzer"/>
    <x v="0"/>
    <x v="0"/>
    <x v="0"/>
    <x v="0"/>
  </r>
  <r>
    <s v="Analyzer Status changed from Maintenance to Ready."/>
    <x v="0"/>
    <x v="0"/>
    <x v="5"/>
    <d v="1899-12-30T03:05:51"/>
    <s v="Analyzer"/>
    <x v="0"/>
    <x v="0"/>
    <x v="0"/>
    <x v="0"/>
  </r>
  <r>
    <s v="Automatic maintenance activity Automatic Fluidic Line Priming Cycle has been executed."/>
    <x v="2"/>
    <x v="0"/>
    <x v="5"/>
    <d v="1899-12-30T03:05:51"/>
    <s v="Maintenance"/>
    <x v="0"/>
    <x v="2"/>
    <x v="2"/>
    <x v="0"/>
  </r>
  <r>
    <s v="Analyzer Status changed from Ready to Maintenance."/>
    <x v="0"/>
    <x v="0"/>
    <x v="5"/>
    <d v="1899-12-30T04:05:51"/>
    <s v="Analyzer"/>
    <x v="0"/>
    <x v="0"/>
    <x v="0"/>
    <x v="0"/>
  </r>
  <r>
    <s v="Analyzer Status changed from Maintenance to Ready."/>
    <x v="0"/>
    <x v="0"/>
    <x v="5"/>
    <d v="1899-12-30T04:06:13"/>
    <s v="Analyzer"/>
    <x v="0"/>
    <x v="0"/>
    <x v="0"/>
    <x v="0"/>
  </r>
  <r>
    <s v="Automatic maintenance activity Automatic Fluidic Line Priming Cycle has been executed."/>
    <x v="2"/>
    <x v="0"/>
    <x v="5"/>
    <d v="1899-12-30T04:06:13"/>
    <s v="Maintenance"/>
    <x v="0"/>
    <x v="2"/>
    <x v="2"/>
    <x v="0"/>
  </r>
  <r>
    <s v="Analyzer Status changed from Ready to Maintenance."/>
    <x v="0"/>
    <x v="0"/>
    <x v="5"/>
    <d v="1899-12-30T05:06:13"/>
    <s v="Analyzer"/>
    <x v="0"/>
    <x v="0"/>
    <x v="0"/>
    <x v="0"/>
  </r>
  <r>
    <s v="Automatic maintenance activity Automatic Fluidic Line Priming Cycle has been executed."/>
    <x v="2"/>
    <x v="0"/>
    <x v="5"/>
    <d v="1899-12-30T05:06:34"/>
    <s v="Maintenance"/>
    <x v="0"/>
    <x v="2"/>
    <x v="2"/>
    <x v="0"/>
  </r>
  <r>
    <s v="Analyzer Status changed from Maintenance to Ready."/>
    <x v="0"/>
    <x v="0"/>
    <x v="5"/>
    <d v="1899-12-30T05:06:35"/>
    <s v="Analyzer"/>
    <x v="0"/>
    <x v="0"/>
    <x v="0"/>
    <x v="0"/>
  </r>
  <r>
    <s v="Analyzer Status changed from Ready to Maintenance."/>
    <x v="0"/>
    <x v="0"/>
    <x v="5"/>
    <d v="1899-12-30T06:06:35"/>
    <s v="Analyzer"/>
    <x v="0"/>
    <x v="0"/>
    <x v="0"/>
    <x v="0"/>
  </r>
  <r>
    <s v="Analyzer Status changed from Maintenance to Ready."/>
    <x v="0"/>
    <x v="0"/>
    <x v="5"/>
    <d v="1899-12-30T06:06:56"/>
    <s v="Analyzer"/>
    <x v="0"/>
    <x v="0"/>
    <x v="0"/>
    <x v="0"/>
  </r>
  <r>
    <s v="Automatic maintenance activity Automatic Fluidic Line Priming Cycle has been executed."/>
    <x v="2"/>
    <x v="0"/>
    <x v="5"/>
    <d v="1899-12-30T06:06:56"/>
    <s v="Maintenance"/>
    <x v="0"/>
    <x v="2"/>
    <x v="2"/>
    <x v="0"/>
  </r>
  <r>
    <s v="Maintenance activity due: make new diluted clean B."/>
    <x v="9"/>
    <x v="1"/>
    <x v="5"/>
    <d v="1899-12-30T06:14:40"/>
    <s v="Maintenance"/>
    <x v="0"/>
    <x v="2"/>
    <x v="2"/>
    <x v="0"/>
  </r>
  <r>
    <s v="Maintenance activity due: Enhanced Clean for Sample and Reagent Probes."/>
    <x v="9"/>
    <x v="1"/>
    <x v="5"/>
    <d v="1899-12-30T06:19:40"/>
    <s v="Maintenance"/>
    <x v="0"/>
    <x v="2"/>
    <x v="2"/>
    <x v="0"/>
  </r>
  <r>
    <s v="Maintenance activity due: Enhanced Clean for all Probes."/>
    <x v="9"/>
    <x v="1"/>
    <x v="5"/>
    <d v="1899-12-30T06:19:40"/>
    <s v="Maintenance"/>
    <x v="0"/>
    <x v="2"/>
    <x v="2"/>
    <x v="0"/>
  </r>
  <r>
    <s v="Maintenance activity due: replace factor diluent."/>
    <x v="9"/>
    <x v="1"/>
    <x v="5"/>
    <d v="1899-12-30T06:30:40"/>
    <s v="Maintenance"/>
    <x v="0"/>
    <x v="2"/>
    <x v="2"/>
    <x v="0"/>
  </r>
  <r>
    <s v="Analyzer Status changed from Ready to Maintenance."/>
    <x v="0"/>
    <x v="0"/>
    <x v="5"/>
    <d v="1899-12-30T07:06:57"/>
    <s v="Analyzer"/>
    <x v="0"/>
    <x v="0"/>
    <x v="0"/>
    <x v="0"/>
  </r>
  <r>
    <s v="Analyzer Status changed from Maintenance to Ready."/>
    <x v="0"/>
    <x v="0"/>
    <x v="5"/>
    <d v="1899-12-30T07:07:18"/>
    <s v="Analyzer"/>
    <x v="0"/>
    <x v="0"/>
    <x v="0"/>
    <x v="0"/>
  </r>
  <r>
    <s v="Automatic maintenance activity Automatic Fluidic Line Priming Cycle has been executed."/>
    <x v="2"/>
    <x v="0"/>
    <x v="5"/>
    <d v="1899-12-30T07:07:18"/>
    <s v="Maintenance"/>
    <x v="0"/>
    <x v="2"/>
    <x v="2"/>
    <x v="0"/>
  </r>
  <r>
    <s v="Maintenance activity overdue: make new diluted clean B."/>
    <x v="20"/>
    <x v="1"/>
    <x v="5"/>
    <d v="1899-12-30T07:14:40"/>
    <s v="Maintenance"/>
    <x v="0"/>
    <x v="2"/>
    <x v="2"/>
    <x v="0"/>
  </r>
  <r>
    <s v="Maintenance activity overdue: Enhanced Clean for Sample and Reagent Probes."/>
    <x v="20"/>
    <x v="1"/>
    <x v="5"/>
    <d v="1899-12-30T07:19:40"/>
    <s v="Maintenance"/>
    <x v="0"/>
    <x v="2"/>
    <x v="2"/>
    <x v="0"/>
  </r>
  <r>
    <s v="Maintenance activity overdue: Enhanced Clean for all Probes."/>
    <x v="20"/>
    <x v="1"/>
    <x v="5"/>
    <d v="1899-12-30T07:19:40"/>
    <s v="Maintenance"/>
    <x v="0"/>
    <x v="2"/>
    <x v="2"/>
    <x v="0"/>
  </r>
  <r>
    <s v="Maintenance activity overdue: replace factor diluent."/>
    <x v="20"/>
    <x v="1"/>
    <x v="5"/>
    <d v="1899-12-30T07:30:40"/>
    <s v="Maintenance"/>
    <x v="0"/>
    <x v="2"/>
    <x v="2"/>
    <x v="0"/>
  </r>
  <r>
    <s v="Analyzer Status changed from Ready to Maintenance."/>
    <x v="0"/>
    <x v="0"/>
    <x v="5"/>
    <d v="1899-12-30T08:07:19"/>
    <s v="Analyzer"/>
    <x v="0"/>
    <x v="0"/>
    <x v="0"/>
    <x v="0"/>
  </r>
  <r>
    <s v="Analyzer Status changed from Maintenance to Ready."/>
    <x v="0"/>
    <x v="0"/>
    <x v="5"/>
    <d v="1899-12-30T08:07:40"/>
    <s v="Analyzer"/>
    <x v="0"/>
    <x v="0"/>
    <x v="0"/>
    <x v="0"/>
  </r>
  <r>
    <s v="Automatic maintenance activity Automatic Fluidic Line Priming Cycle has been executed."/>
    <x v="2"/>
    <x v="0"/>
    <x v="5"/>
    <d v="1899-12-30T08:07:40"/>
    <s v="Maintenance"/>
    <x v="0"/>
    <x v="2"/>
    <x v="2"/>
    <x v="0"/>
  </r>
  <r>
    <s v="Normal C. Assayed on-board stability low."/>
    <x v="6"/>
    <x v="1"/>
    <x v="5"/>
    <d v="1899-12-30T08:42:55"/>
    <s v="Materials"/>
    <x v="0"/>
    <x v="2"/>
    <x v="3"/>
    <x v="0"/>
  </r>
  <r>
    <s v="Analyzer Status changed from Ready to Maintenance."/>
    <x v="0"/>
    <x v="0"/>
    <x v="5"/>
    <d v="1899-12-30T09:07:41"/>
    <s v="Analyzer"/>
    <x v="0"/>
    <x v="0"/>
    <x v="0"/>
    <x v="0"/>
  </r>
  <r>
    <s v="Analyzer Status changed from Maintenance to Ready."/>
    <x v="0"/>
    <x v="0"/>
    <x v="5"/>
    <d v="1899-12-30T09:08:02"/>
    <s v="Analyzer"/>
    <x v="0"/>
    <x v="0"/>
    <x v="0"/>
    <x v="0"/>
  </r>
  <r>
    <s v="Automatic maintenance activity Automatic Fluidic Line Priming Cycle has been executed."/>
    <x v="2"/>
    <x v="0"/>
    <x v="5"/>
    <d v="1899-12-30T09:08:02"/>
    <s v="Maintenance"/>
    <x v="0"/>
    <x v="2"/>
    <x v="2"/>
    <x v="0"/>
  </r>
  <r>
    <s v="High Abn C. Assayed on-board stability expired for last available vial."/>
    <x v="38"/>
    <x v="2"/>
    <x v="5"/>
    <d v="1899-12-30T09:40:55"/>
    <s v="Materials"/>
    <x v="0"/>
    <x v="2"/>
    <x v="3"/>
    <x v="0"/>
  </r>
  <r>
    <s v="Normal C. Assayed on-board stability expired for last available vial."/>
    <x v="38"/>
    <x v="2"/>
    <x v="5"/>
    <d v="1899-12-30T09:41:55"/>
    <s v="Materials"/>
    <x v="0"/>
    <x v="2"/>
    <x v="3"/>
    <x v="0"/>
  </r>
  <r>
    <s v="Analyzer Status changed from Ready to Maintenance."/>
    <x v="0"/>
    <x v="0"/>
    <x v="5"/>
    <d v="1899-12-30T10:08:02"/>
    <s v="Analyzer"/>
    <x v="0"/>
    <x v="0"/>
    <x v="0"/>
    <x v="0"/>
  </r>
  <r>
    <s v="Analyzer Status changed from Maintenance to Ready."/>
    <x v="0"/>
    <x v="0"/>
    <x v="5"/>
    <d v="1899-12-30T10:08:24"/>
    <s v="Analyzer"/>
    <x v="0"/>
    <x v="0"/>
    <x v="0"/>
    <x v="0"/>
  </r>
  <r>
    <s v="Automatic maintenance activity Automatic Fluidic Line Priming Cycle has been executed."/>
    <x v="2"/>
    <x v="0"/>
    <x v="5"/>
    <d v="1899-12-30T10:08:24"/>
    <s v="Maintenance"/>
    <x v="0"/>
    <x v="2"/>
    <x v="2"/>
    <x v="0"/>
  </r>
  <r>
    <s v="Analyzer Status changed from Ready to Maintenance."/>
    <x v="0"/>
    <x v="0"/>
    <x v="5"/>
    <d v="1899-12-30T11:08:25"/>
    <s v="Analyzer"/>
    <x v="0"/>
    <x v="0"/>
    <x v="0"/>
    <x v="0"/>
  </r>
  <r>
    <s v="Analyzer Status changed from Maintenance to Ready."/>
    <x v="0"/>
    <x v="0"/>
    <x v="5"/>
    <d v="1899-12-30T11:08:46"/>
    <s v="Analyzer"/>
    <x v="0"/>
    <x v="0"/>
    <x v="0"/>
    <x v="0"/>
  </r>
  <r>
    <s v="Automatic maintenance activity Automatic Fluidic Line Priming Cycle has been executed."/>
    <x v="2"/>
    <x v="0"/>
    <x v="5"/>
    <d v="1899-12-30T11:08:46"/>
    <s v="Maintenance"/>
    <x v="0"/>
    <x v="2"/>
    <x v="2"/>
    <x v="0"/>
  </r>
  <r>
    <s v="Analyzer Status changed from Ready to Maintenance."/>
    <x v="0"/>
    <x v="0"/>
    <x v="5"/>
    <d v="1899-12-30T12:08:46"/>
    <s v="Analyzer"/>
    <x v="0"/>
    <x v="0"/>
    <x v="0"/>
    <x v="0"/>
  </r>
  <r>
    <s v="Analyzer Status changed from Maintenance to Ready."/>
    <x v="0"/>
    <x v="0"/>
    <x v="5"/>
    <d v="1899-12-30T12:09:08"/>
    <s v="Analyzer"/>
    <x v="0"/>
    <x v="0"/>
    <x v="0"/>
    <x v="0"/>
  </r>
  <r>
    <s v="Automatic maintenance activity Automatic Fluidic Line Priming Cycle has been executed."/>
    <x v="2"/>
    <x v="0"/>
    <x v="5"/>
    <d v="1899-12-30T12:09:08"/>
    <s v="Maintenance"/>
    <x v="0"/>
    <x v="2"/>
    <x v="2"/>
    <x v="0"/>
  </r>
  <r>
    <s v="Analyzer Status changed from Ready to Maintenance."/>
    <x v="0"/>
    <x v="0"/>
    <x v="5"/>
    <d v="1899-12-30T13:09:09"/>
    <s v="Analyzer"/>
    <x v="0"/>
    <x v="0"/>
    <x v="0"/>
    <x v="0"/>
  </r>
  <r>
    <s v="Analyzer Status changed from Maintenance to Ready."/>
    <x v="0"/>
    <x v="0"/>
    <x v="5"/>
    <d v="1899-12-30T13:09:30"/>
    <s v="Analyzer"/>
    <x v="0"/>
    <x v="0"/>
    <x v="0"/>
    <x v="0"/>
  </r>
  <r>
    <s v="Automatic maintenance activity Automatic Fluidic Line Priming Cycle has been executed."/>
    <x v="2"/>
    <x v="0"/>
    <x v="5"/>
    <d v="1899-12-30T13:09:30"/>
    <s v="Maintenance"/>
    <x v="0"/>
    <x v="2"/>
    <x v="2"/>
    <x v="0"/>
  </r>
  <r>
    <s v="LA NEG CONTROL on-board stability expired for last available vial."/>
    <x v="38"/>
    <x v="2"/>
    <x v="5"/>
    <d v="1899-12-30T13:36:59"/>
    <s v="Materials"/>
    <x v="0"/>
    <x v="2"/>
    <x v="3"/>
    <x v="0"/>
  </r>
  <r>
    <s v="LA POS CONTROL on-board stability expired for last available vial."/>
    <x v="38"/>
    <x v="2"/>
    <x v="5"/>
    <d v="1899-12-30T13:36:59"/>
    <s v="Materials"/>
    <x v="0"/>
    <x v="2"/>
    <x v="3"/>
    <x v="0"/>
  </r>
  <r>
    <s v="Analyzer Status changed from Ready to Maintenance."/>
    <x v="0"/>
    <x v="0"/>
    <x v="5"/>
    <d v="1899-12-30T14:09:30"/>
    <s v="Analyzer"/>
    <x v="0"/>
    <x v="0"/>
    <x v="0"/>
    <x v="0"/>
  </r>
  <r>
    <s v="Analyzer Status changed from Maintenance to Ready."/>
    <x v="0"/>
    <x v="0"/>
    <x v="5"/>
    <d v="1899-12-30T14:09:52"/>
    <s v="Analyzer"/>
    <x v="0"/>
    <x v="0"/>
    <x v="0"/>
    <x v="0"/>
  </r>
  <r>
    <s v="Automatic maintenance activity Automatic Fluidic Line Priming Cycle has been executed."/>
    <x v="2"/>
    <x v="0"/>
    <x v="5"/>
    <d v="1899-12-30T14:09:52"/>
    <s v="Maintenance"/>
    <x v="0"/>
    <x v="2"/>
    <x v="2"/>
    <x v="0"/>
  </r>
  <r>
    <s v="Waste tank almost full."/>
    <x v="39"/>
    <x v="1"/>
    <x v="5"/>
    <d v="1899-12-30T14:15:17"/>
    <s v="Materials"/>
    <x v="0"/>
    <x v="1"/>
    <x v="14"/>
    <x v="0"/>
  </r>
  <r>
    <s v="Analyzer Status changed from Ready to Maintenance."/>
    <x v="0"/>
    <x v="0"/>
    <x v="5"/>
    <d v="1899-12-30T15:09:52"/>
    <s v="Analyzer"/>
    <x v="0"/>
    <x v="0"/>
    <x v="0"/>
    <x v="0"/>
  </r>
  <r>
    <s v="Analyzer Status changed from Maintenance to Ready."/>
    <x v="0"/>
    <x v="0"/>
    <x v="5"/>
    <d v="1899-12-30T15:11:27"/>
    <s v="Analyzer"/>
    <x v="0"/>
    <x v="0"/>
    <x v="0"/>
    <x v="0"/>
  </r>
  <r>
    <s v="Automatic maintenance activity Automatic Fluidic Line Priming Cycle has been executed."/>
    <x v="2"/>
    <x v="0"/>
    <x v="5"/>
    <d v="1899-12-30T15:11:27"/>
    <s v="Maintenance"/>
    <x v="0"/>
    <x v="2"/>
    <x v="2"/>
    <x v="0"/>
  </r>
  <r>
    <s v="Waste tank almost full."/>
    <x v="39"/>
    <x v="1"/>
    <x v="5"/>
    <d v="1899-12-30T15:13:03"/>
    <s v="Materials"/>
    <x v="0"/>
    <x v="1"/>
    <x v="14"/>
    <x v="0"/>
  </r>
  <r>
    <s v="Waste tank almost full."/>
    <x v="39"/>
    <x v="1"/>
    <x v="5"/>
    <d v="1899-12-30T15:15:06"/>
    <s v="Materials"/>
    <x v="0"/>
    <x v="1"/>
    <x v="14"/>
    <x v="0"/>
  </r>
  <r>
    <s v="Analyzer Status changed from Ready to Maintenance."/>
    <x v="0"/>
    <x v="0"/>
    <x v="5"/>
    <d v="1899-12-30T16:11:27"/>
    <s v="Analyzer"/>
    <x v="0"/>
    <x v="0"/>
    <x v="0"/>
    <x v="0"/>
  </r>
  <r>
    <s v="Automatic maintenance activity Automatic Fluidic Line Priming Cycle has been executed."/>
    <x v="2"/>
    <x v="0"/>
    <x v="5"/>
    <d v="1899-12-30T16:11:48"/>
    <s v="Maintenance"/>
    <x v="0"/>
    <x v="2"/>
    <x v="2"/>
    <x v="0"/>
  </r>
  <r>
    <s v="Analyzer Status changed from Maintenance to Ready."/>
    <x v="0"/>
    <x v="0"/>
    <x v="5"/>
    <d v="1899-12-30T16:11:49"/>
    <s v="Analyzer"/>
    <x v="0"/>
    <x v="0"/>
    <x v="0"/>
    <x v="0"/>
  </r>
  <r>
    <s v="Waste tank almost full."/>
    <x v="39"/>
    <x v="1"/>
    <x v="5"/>
    <d v="1899-12-30T16:13:11"/>
    <s v="Materials"/>
    <x v="0"/>
    <x v="1"/>
    <x v="14"/>
    <x v="0"/>
  </r>
  <r>
    <s v="Waste tank almost full."/>
    <x v="39"/>
    <x v="1"/>
    <x v="5"/>
    <d v="1899-12-30T16:19:24"/>
    <s v="Materials"/>
    <x v="0"/>
    <x v="1"/>
    <x v="14"/>
    <x v="0"/>
  </r>
  <r>
    <s v="Analyzer Status changed from Ready to Maintenance."/>
    <x v="0"/>
    <x v="0"/>
    <x v="5"/>
    <d v="1899-12-30T17:11:49"/>
    <s v="Analyzer"/>
    <x v="0"/>
    <x v="0"/>
    <x v="0"/>
    <x v="0"/>
  </r>
  <r>
    <s v="Analyzer Status changed from Maintenance to Ready."/>
    <x v="0"/>
    <x v="0"/>
    <x v="5"/>
    <d v="1899-12-30T17:12:10"/>
    <s v="Analyzer"/>
    <x v="0"/>
    <x v="0"/>
    <x v="0"/>
    <x v="0"/>
  </r>
  <r>
    <s v="Automatic maintenance activity Automatic Fluidic Line Priming Cycle has been executed."/>
    <x v="2"/>
    <x v="0"/>
    <x v="5"/>
    <d v="1899-12-30T17:12:10"/>
    <s v="Maintenance"/>
    <x v="0"/>
    <x v="2"/>
    <x v="2"/>
    <x v="0"/>
  </r>
  <r>
    <s v="Waste tank almost full."/>
    <x v="39"/>
    <x v="1"/>
    <x v="5"/>
    <d v="1899-12-30T17:13:20"/>
    <s v="Materials"/>
    <x v="0"/>
    <x v="1"/>
    <x v="14"/>
    <x v="0"/>
  </r>
  <r>
    <s v="Analyzer Status changed from Ready to Maintenance."/>
    <x v="0"/>
    <x v="0"/>
    <x v="5"/>
    <d v="1899-12-30T18:12:11"/>
    <s v="Analyzer"/>
    <x v="0"/>
    <x v="0"/>
    <x v="0"/>
    <x v="0"/>
  </r>
  <r>
    <s v="Analyzer Status changed from Maintenance to Ready."/>
    <x v="0"/>
    <x v="0"/>
    <x v="5"/>
    <d v="1899-12-30T18:12:32"/>
    <s v="Analyzer"/>
    <x v="0"/>
    <x v="0"/>
    <x v="0"/>
    <x v="0"/>
  </r>
  <r>
    <s v="Automatic maintenance activity Automatic Fluidic Line Priming Cycle has been executed."/>
    <x v="2"/>
    <x v="0"/>
    <x v="5"/>
    <d v="1899-12-30T18:12:32"/>
    <s v="Maintenance"/>
    <x v="0"/>
    <x v="2"/>
    <x v="2"/>
    <x v="0"/>
  </r>
  <r>
    <s v="Waste tank almost full."/>
    <x v="39"/>
    <x v="1"/>
    <x v="5"/>
    <d v="1899-12-30T18:13:42"/>
    <s v="Materials"/>
    <x v="0"/>
    <x v="1"/>
    <x v="14"/>
    <x v="0"/>
  </r>
  <r>
    <s v="Analyzer Status changed from Ready to Maintenance."/>
    <x v="0"/>
    <x v="0"/>
    <x v="5"/>
    <d v="1899-12-30T19:12:33"/>
    <s v="Analyzer"/>
    <x v="0"/>
    <x v="0"/>
    <x v="0"/>
    <x v="0"/>
  </r>
  <r>
    <s v="Analyzer Status changed from Maintenance to Ready."/>
    <x v="0"/>
    <x v="0"/>
    <x v="5"/>
    <d v="1899-12-30T19:12:54"/>
    <s v="Analyzer"/>
    <x v="0"/>
    <x v="0"/>
    <x v="0"/>
    <x v="0"/>
  </r>
  <r>
    <s v="Automatic maintenance activity Automatic Fluidic Line Priming Cycle has been executed."/>
    <x v="2"/>
    <x v="0"/>
    <x v="5"/>
    <d v="1899-12-30T19:12:54"/>
    <s v="Maintenance"/>
    <x v="0"/>
    <x v="2"/>
    <x v="2"/>
    <x v="0"/>
  </r>
  <r>
    <s v="Waste tank almost full."/>
    <x v="39"/>
    <x v="1"/>
    <x v="5"/>
    <d v="1899-12-30T19:14:04"/>
    <s v="Materials"/>
    <x v="0"/>
    <x v="1"/>
    <x v="14"/>
    <x v="0"/>
  </r>
  <r>
    <s v="Analyzer Status changed from Ready to Maintenance."/>
    <x v="0"/>
    <x v="0"/>
    <x v="5"/>
    <d v="1899-12-30T20:12:55"/>
    <s v="Analyzer"/>
    <x v="0"/>
    <x v="0"/>
    <x v="0"/>
    <x v="0"/>
  </r>
  <r>
    <s v="Automatic maintenance activity Automatic Fluidic Line Priming Cycle has been executed."/>
    <x v="2"/>
    <x v="0"/>
    <x v="5"/>
    <d v="1899-12-30T20:13:16"/>
    <s v="Maintenance"/>
    <x v="0"/>
    <x v="2"/>
    <x v="2"/>
    <x v="0"/>
  </r>
  <r>
    <s v="Analyzer Status changed from Maintenance to Ready."/>
    <x v="0"/>
    <x v="0"/>
    <x v="5"/>
    <d v="1899-12-30T20:13:17"/>
    <s v="Analyzer"/>
    <x v="0"/>
    <x v="0"/>
    <x v="0"/>
    <x v="0"/>
  </r>
  <r>
    <s v="Waste tank almost full."/>
    <x v="39"/>
    <x v="1"/>
    <x v="5"/>
    <d v="1899-12-30T20:14:26"/>
    <s v="Materials"/>
    <x v="0"/>
    <x v="1"/>
    <x v="14"/>
    <x v="0"/>
  </r>
  <r>
    <s v="Analyzer Status changed from Ready to Maintenance."/>
    <x v="0"/>
    <x v="0"/>
    <x v="5"/>
    <d v="1899-12-30T21:13:17"/>
    <s v="Analyzer"/>
    <x v="0"/>
    <x v="0"/>
    <x v="0"/>
    <x v="0"/>
  </r>
  <r>
    <s v="Analyzer Status changed from Maintenance to Ready."/>
    <x v="0"/>
    <x v="0"/>
    <x v="5"/>
    <d v="1899-12-30T21:13:38"/>
    <s v="Analyzer"/>
    <x v="0"/>
    <x v="0"/>
    <x v="0"/>
    <x v="0"/>
  </r>
  <r>
    <s v="Automatic maintenance activity Automatic Fluidic Line Priming Cycle has been executed."/>
    <x v="2"/>
    <x v="0"/>
    <x v="5"/>
    <d v="1899-12-30T21:13:38"/>
    <s v="Maintenance"/>
    <x v="0"/>
    <x v="2"/>
    <x v="2"/>
    <x v="0"/>
  </r>
  <r>
    <s v="Analyzer Status changed from Ready to Maintenance."/>
    <x v="0"/>
    <x v="0"/>
    <x v="5"/>
    <d v="1899-12-30T22:13:39"/>
    <s v="Analyzer"/>
    <x v="0"/>
    <x v="0"/>
    <x v="0"/>
    <x v="0"/>
  </r>
  <r>
    <s v="Analyzer Status changed from Maintenance to Ready."/>
    <x v="0"/>
    <x v="0"/>
    <x v="5"/>
    <d v="1899-12-30T22:14:00"/>
    <s v="Analyzer"/>
    <x v="0"/>
    <x v="0"/>
    <x v="0"/>
    <x v="0"/>
  </r>
  <r>
    <s v="Automatic maintenance activity Automatic Fluidic Line Priming Cycle has been executed."/>
    <x v="2"/>
    <x v="0"/>
    <x v="5"/>
    <d v="1899-12-30T22:14:00"/>
    <s v="Maintenance"/>
    <x v="0"/>
    <x v="2"/>
    <x v="2"/>
    <x v="0"/>
  </r>
  <r>
    <s v="Waste tank full."/>
    <x v="40"/>
    <x v="2"/>
    <x v="5"/>
    <d v="1899-12-30T22:15:40"/>
    <s v="Materials"/>
    <x v="0"/>
    <x v="1"/>
    <x v="14"/>
    <x v="0"/>
  </r>
  <r>
    <s v="Analyzer Status changed from Ready to Error."/>
    <x v="0"/>
    <x v="0"/>
    <x v="5"/>
    <d v="1899-12-30T22:15:40"/>
    <s v="Analyzer"/>
    <x v="0"/>
    <x v="0"/>
    <x v="0"/>
    <x v="0"/>
  </r>
  <r>
    <s v="dRVVT CONFIRM on-board stability low."/>
    <x v="6"/>
    <x v="1"/>
    <x v="6"/>
    <d v="1899-12-30T12:35:37"/>
    <s v="Materials"/>
    <x v="0"/>
    <x v="2"/>
    <x v="3"/>
    <x v="0"/>
  </r>
  <r>
    <s v="dRVVT CONFIRM on-board stability expired for last available vial."/>
    <x v="38"/>
    <x v="2"/>
    <x v="6"/>
    <d v="1899-12-30T13:34:38"/>
    <s v="Materials"/>
    <x v="0"/>
    <x v="2"/>
    <x v="3"/>
    <x v="0"/>
  </r>
  <r>
    <s v="Waste tank not present."/>
    <x v="41"/>
    <x v="2"/>
    <x v="7"/>
    <d v="1899-12-30T06:55:22"/>
    <s v="Materials"/>
    <x v="0"/>
    <x v="1"/>
    <x v="14"/>
    <x v="0"/>
  </r>
  <r>
    <s v="Analyzer Status changed from Error to Ready."/>
    <x v="0"/>
    <x v="0"/>
    <x v="7"/>
    <d v="1899-12-30T06:57:30"/>
    <s v="Analyzer"/>
    <x v="0"/>
    <x v="0"/>
    <x v="0"/>
    <x v="0"/>
  </r>
  <r>
    <s v="Probe REAGENT 2 Liquid Level Detection error in well position clean cup."/>
    <x v="42"/>
    <x v="2"/>
    <x v="7"/>
    <d v="1899-12-30T07:13:59"/>
    <s v="Materials"/>
    <x v="0"/>
    <x v="3"/>
    <x v="4"/>
    <x v="2"/>
  </r>
  <r>
    <s v="Probe REAGENT 2: Insufficient volume in clean cup."/>
    <x v="43"/>
    <x v="2"/>
    <x v="7"/>
    <d v="1899-12-30T07:14:00"/>
    <s v="Materials"/>
    <x v="0"/>
    <x v="1"/>
    <x v="10"/>
    <x v="3"/>
  </r>
  <r>
    <s v="Analyzer Status changed from Ready to Maintenance."/>
    <x v="0"/>
    <x v="0"/>
    <x v="7"/>
    <d v="1899-12-30T07:14:28"/>
    <s v="Analyzer"/>
    <x v="0"/>
    <x v="0"/>
    <x v="0"/>
    <x v="0"/>
  </r>
  <r>
    <s v="Analyzer Status changed from Maintenance to Ready."/>
    <x v="0"/>
    <x v="0"/>
    <x v="7"/>
    <d v="1899-12-30T07:22:21"/>
    <s v="Analyzer"/>
    <x v="0"/>
    <x v="0"/>
    <x v="0"/>
    <x v="0"/>
  </r>
  <r>
    <s v="Frequency status for manual maintenance activity Enhanced Clean for all Probes has changed to OK."/>
    <x v="3"/>
    <x v="0"/>
    <x v="7"/>
    <d v="1899-12-30T07:22:21"/>
    <s v="Maintenance"/>
    <x v="0"/>
    <x v="2"/>
    <x v="2"/>
    <x v="0"/>
  </r>
  <r>
    <s v="Frequency status for manual maintenance activity Enhanced Clean for Sample and Reagent Probes has changed to OK."/>
    <x v="3"/>
    <x v="0"/>
    <x v="7"/>
    <d v="1899-12-30T07:22:21"/>
    <s v="Maintenance"/>
    <x v="0"/>
    <x v="2"/>
    <x v="2"/>
    <x v="0"/>
  </r>
  <r>
    <s v="Semiautomatic maintenance activity Enhanced Clean for all Probes has been executed."/>
    <x v="4"/>
    <x v="0"/>
    <x v="7"/>
    <d v="1899-12-30T07:22:21"/>
    <s v="Maintenance"/>
    <x v="0"/>
    <x v="2"/>
    <x v="2"/>
    <x v="0"/>
  </r>
  <r>
    <s v="Analyzer Status changed from Ready to Maintenance."/>
    <x v="0"/>
    <x v="0"/>
    <x v="7"/>
    <d v="1899-12-30T07:23:36"/>
    <s v="Analyzer"/>
    <x v="0"/>
    <x v="0"/>
    <x v="0"/>
    <x v="0"/>
  </r>
  <r>
    <s v="Frequency status for manual maintenance activity replace factor diluent has changed to OK."/>
    <x v="3"/>
    <x v="0"/>
    <x v="7"/>
    <d v="1899-12-30T07:23:38"/>
    <s v="Maintenance"/>
    <x v="0"/>
    <x v="2"/>
    <x v="2"/>
    <x v="0"/>
  </r>
  <r>
    <s v="Manual maintenance activity replace factor diluent has been executed."/>
    <x v="5"/>
    <x v="0"/>
    <x v="7"/>
    <d v="1899-12-30T07:23:38"/>
    <s v="Maintenance"/>
    <x v="0"/>
    <x v="2"/>
    <x v="2"/>
    <x v="0"/>
  </r>
  <r>
    <s v="Analyzer Status changed from Maintenance to Ready."/>
    <x v="0"/>
    <x v="0"/>
    <x v="7"/>
    <d v="1899-12-30T07:23:39"/>
    <s v="Analyzer"/>
    <x v="0"/>
    <x v="0"/>
    <x v="0"/>
    <x v="0"/>
  </r>
  <r>
    <s v="Analyzer Status changed from Ready to Maintenance."/>
    <x v="0"/>
    <x v="0"/>
    <x v="7"/>
    <d v="1899-12-30T07:24:00"/>
    <s v="Analyzer"/>
    <x v="0"/>
    <x v="0"/>
    <x v="0"/>
    <x v="0"/>
  </r>
  <r>
    <s v="Frequency status for manual maintenance activity make new diluted clean B has changed to OK."/>
    <x v="3"/>
    <x v="0"/>
    <x v="7"/>
    <d v="1899-12-30T07:24:02"/>
    <s v="Maintenance"/>
    <x v="0"/>
    <x v="2"/>
    <x v="2"/>
    <x v="0"/>
  </r>
  <r>
    <s v="Manual maintenance activity make new diluted clean B has been executed."/>
    <x v="5"/>
    <x v="0"/>
    <x v="7"/>
    <d v="1899-12-30T07:24:02"/>
    <s v="Maintenance"/>
    <x v="0"/>
    <x v="2"/>
    <x v="2"/>
    <x v="0"/>
  </r>
  <r>
    <s v="Analyzer Status changed from Maintenance to Ready."/>
    <x v="0"/>
    <x v="0"/>
    <x v="7"/>
    <d v="1899-12-30T07:24:19"/>
    <s v="Analyzer"/>
    <x v="0"/>
    <x v="0"/>
    <x v="0"/>
    <x v="0"/>
  </r>
  <r>
    <s v="Placement error (Normal C. Assayed in rack DB, position 3, track 3)."/>
    <x v="24"/>
    <x v="2"/>
    <x v="7"/>
    <d v="1899-12-30T07:44:30"/>
    <s v="Materials"/>
    <x v="0"/>
    <x v="2"/>
    <x v="3"/>
    <x v="0"/>
  </r>
  <r>
    <s v="Placement error (High Abn C. Assayed in rack DB, position 4, track 3)."/>
    <x v="24"/>
    <x v="2"/>
    <x v="7"/>
    <d v="1899-12-30T07:44:30"/>
    <s v="Materials"/>
    <x v="0"/>
    <x v="2"/>
    <x v="3"/>
    <x v="0"/>
  </r>
  <r>
    <s v="Analyzer Status changed from Ready to Busy."/>
    <x v="0"/>
    <x v="0"/>
    <x v="7"/>
    <d v="1899-12-30T07:45:09"/>
    <s v="Analyzer"/>
    <x v="0"/>
    <x v="0"/>
    <x v="0"/>
    <x v="0"/>
  </r>
  <r>
    <s v="Analyzer Status changed from Busy to Ready."/>
    <x v="0"/>
    <x v="0"/>
    <x v="7"/>
    <d v="1899-12-30T07:51:13"/>
    <s v="Analyzer"/>
    <x v="0"/>
    <x v="0"/>
    <x v="0"/>
    <x v="0"/>
  </r>
  <r>
    <s v="Analyzer Status changed from Ready to Maintenance."/>
    <x v="0"/>
    <x v="0"/>
    <x v="7"/>
    <d v="1899-12-30T07:51:13"/>
    <s v="Analyzer"/>
    <x v="0"/>
    <x v="0"/>
    <x v="0"/>
    <x v="0"/>
  </r>
  <r>
    <s v="Probe REAGENT 1 Liquid Level Detection error in well position clean cup."/>
    <x v="42"/>
    <x v="2"/>
    <x v="7"/>
    <d v="1899-12-30T07:52:06"/>
    <s v="Materials"/>
    <x v="0"/>
    <x v="3"/>
    <x v="4"/>
    <x v="2"/>
  </r>
  <r>
    <s v="Probe SAMPLE Liquid Level Detection error in well position clean cup."/>
    <x v="42"/>
    <x v="2"/>
    <x v="7"/>
    <d v="1899-12-30T07:52:06"/>
    <s v="Materials"/>
    <x v="0"/>
    <x v="3"/>
    <x v="4"/>
    <x v="2"/>
  </r>
  <r>
    <s v="Probe REAGENT 1: Insufficient volume in clean cup."/>
    <x v="43"/>
    <x v="2"/>
    <x v="7"/>
    <d v="1899-12-30T07:52:07"/>
    <s v="Materials"/>
    <x v="0"/>
    <x v="1"/>
    <x v="10"/>
    <x v="3"/>
  </r>
  <r>
    <s v="Probe SAMPLE: Insufficient volume in clean cup."/>
    <x v="43"/>
    <x v="2"/>
    <x v="7"/>
    <d v="1899-12-30T07:52:07"/>
    <s v="Materials"/>
    <x v="0"/>
    <x v="1"/>
    <x v="10"/>
    <x v="3"/>
  </r>
  <r>
    <s v="Automatic maintenance activity Automatic Routine Clean for all Probes has been executed."/>
    <x v="2"/>
    <x v="0"/>
    <x v="7"/>
    <d v="1899-12-30T07:53:26"/>
    <s v="Maintenance"/>
    <x v="0"/>
    <x v="2"/>
    <x v="2"/>
    <x v="0"/>
  </r>
  <r>
    <s v="Analyzer Status changed from Maintenance to Ready."/>
    <x v="0"/>
    <x v="0"/>
    <x v="7"/>
    <d v="1899-12-30T07:53:27"/>
    <s v="Analyzer"/>
    <x v="0"/>
    <x v="0"/>
    <x v="0"/>
    <x v="0"/>
  </r>
  <r>
    <s v="Analyzer Status changed from Ready to Maintenance."/>
    <x v="0"/>
    <x v="0"/>
    <x v="7"/>
    <d v="1899-12-30T07:56:14"/>
    <s v="Analyzer"/>
    <x v="0"/>
    <x v="0"/>
    <x v="0"/>
    <x v="0"/>
  </r>
  <r>
    <s v="Analyzer Status changed from Maintenance to Ready."/>
    <x v="0"/>
    <x v="0"/>
    <x v="7"/>
    <d v="1899-12-30T07:56:56"/>
    <s v="Analyzer"/>
    <x v="0"/>
    <x v="0"/>
    <x v="0"/>
    <x v="0"/>
  </r>
  <r>
    <s v="Semiautomatic maintenance activity Rinse/Clean Priming Cycle for Sample Probe has been executed."/>
    <x v="4"/>
    <x v="0"/>
    <x v="7"/>
    <d v="1899-12-30T07:56:56"/>
    <s v="Maintenance"/>
    <x v="0"/>
    <x v="2"/>
    <x v="2"/>
    <x v="0"/>
  </r>
  <r>
    <s v="Test Definition Fib-RP has been modified."/>
    <x v="14"/>
    <x v="0"/>
    <x v="7"/>
    <d v="1899-12-30T08:02:47"/>
    <s v="Setup"/>
    <x v="0"/>
    <x v="2"/>
    <x v="5"/>
    <x v="0"/>
  </r>
  <r>
    <s v="Test Definition Hepz PT has been modified."/>
    <x v="14"/>
    <x v="0"/>
    <x v="7"/>
    <d v="1899-12-30T08:02:48"/>
    <s v="Setup"/>
    <x v="0"/>
    <x v="2"/>
    <x v="5"/>
    <x v="0"/>
  </r>
  <r>
    <s v="Test Definition PT-RP has been modified."/>
    <x v="14"/>
    <x v="0"/>
    <x v="7"/>
    <d v="1899-12-30T08:02:49"/>
    <s v="Setup"/>
    <x v="0"/>
    <x v="2"/>
    <x v="5"/>
    <x v="0"/>
  </r>
  <r>
    <s v="Test Definition Fib-RP has been modified."/>
    <x v="14"/>
    <x v="0"/>
    <x v="7"/>
    <d v="1899-12-30T08:02:49"/>
    <s v="Setup"/>
    <x v="0"/>
    <x v="2"/>
    <x v="5"/>
    <x v="0"/>
  </r>
  <r>
    <s v="Test Definition Free PS has been modified."/>
    <x v="14"/>
    <x v="0"/>
    <x v="7"/>
    <d v="1899-12-30T08:03:27"/>
    <s v="Setup"/>
    <x v="0"/>
    <x v="2"/>
    <x v="5"/>
    <x v="0"/>
  </r>
  <r>
    <s v="Reflex Rule aPTT-Crit has been deleted."/>
    <x v="21"/>
    <x v="0"/>
    <x v="7"/>
    <d v="1899-12-30T08:05:24"/>
    <s v="Setup"/>
    <x v="0"/>
    <x v="2"/>
    <x v="5"/>
    <x v="0"/>
  </r>
  <r>
    <s v="Reflex Rule PT-Crit has been deleted."/>
    <x v="21"/>
    <x v="0"/>
    <x v="7"/>
    <d v="1899-12-30T08:05:30"/>
    <s v="Setup"/>
    <x v="0"/>
    <x v="2"/>
    <x v="5"/>
    <x v="0"/>
  </r>
  <r>
    <s v="Non-identified Material in rack DA position 3, track 2."/>
    <x v="27"/>
    <x v="2"/>
    <x v="7"/>
    <d v="1899-12-30T08:27:42"/>
    <s v="Materials"/>
    <x v="0"/>
    <x v="2"/>
    <x v="3"/>
    <x v="0"/>
  </r>
  <r>
    <s v="Analyzer Status changed from Ready to Busy."/>
    <x v="0"/>
    <x v="0"/>
    <x v="7"/>
    <d v="1899-12-30T08:28:11"/>
    <s v="Analyzer"/>
    <x v="0"/>
    <x v="0"/>
    <x v="0"/>
    <x v="0"/>
  </r>
  <r>
    <s v="Normal C. Assayed volume low."/>
    <x v="7"/>
    <x v="1"/>
    <x v="7"/>
    <d v="1899-12-30T08:34:32"/>
    <s v="Materials"/>
    <x v="0"/>
    <x v="3"/>
    <x v="4"/>
    <x v="0"/>
  </r>
  <r>
    <s v="High Abn C. Assayed volume low."/>
    <x v="7"/>
    <x v="1"/>
    <x v="7"/>
    <d v="1899-12-30T08:35:12"/>
    <s v="Materials"/>
    <x v="0"/>
    <x v="3"/>
    <x v="4"/>
    <x v="0"/>
  </r>
  <r>
    <s v="Normal Pooled Plasma insufficient material to run additional calibration / test."/>
    <x v="32"/>
    <x v="2"/>
    <x v="7"/>
    <d v="1899-12-30T08:36:54"/>
    <s v="Materials"/>
    <x v="0"/>
    <x v="3"/>
    <x v="4"/>
    <x v="0"/>
  </r>
  <r>
    <s v="Analyzer Status changed from Busy to Ready."/>
    <x v="0"/>
    <x v="0"/>
    <x v="7"/>
    <d v="1899-12-30T08:42:06"/>
    <s v="Analyzer"/>
    <x v="0"/>
    <x v="0"/>
    <x v="0"/>
    <x v="0"/>
  </r>
  <r>
    <s v="Analyzer Status changed from Ready to Maintenance."/>
    <x v="0"/>
    <x v="0"/>
    <x v="7"/>
    <d v="1899-12-30T08:42:06"/>
    <s v="Analyzer"/>
    <x v="0"/>
    <x v="0"/>
    <x v="0"/>
    <x v="0"/>
  </r>
  <r>
    <s v="Analyzer Status changed from Maintenance to Ready."/>
    <x v="0"/>
    <x v="0"/>
    <x v="7"/>
    <d v="1899-12-30T08:42:32"/>
    <s v="Analyzer"/>
    <x v="0"/>
    <x v="0"/>
    <x v="0"/>
    <x v="0"/>
  </r>
  <r>
    <s v="Automatic maintenance activity Automatic Routine Clean for all Probes has been executed."/>
    <x v="2"/>
    <x v="0"/>
    <x v="7"/>
    <d v="1899-12-30T08:42:32"/>
    <s v="Maintenance"/>
    <x v="0"/>
    <x v="2"/>
    <x v="2"/>
    <x v="0"/>
  </r>
  <r>
    <s v="Non-identified Material in rack DA position 3, track 2."/>
    <x v="27"/>
    <x v="2"/>
    <x v="7"/>
    <d v="1899-12-30T09:30:27"/>
    <s v="Materials"/>
    <x v="0"/>
    <x v="2"/>
    <x v="3"/>
    <x v="0"/>
  </r>
  <r>
    <s v="Analyzer Status changed from Ready to Busy."/>
    <x v="0"/>
    <x v="0"/>
    <x v="7"/>
    <d v="1899-12-30T09:30:53"/>
    <s v="Analyzer"/>
    <x v="0"/>
    <x v="0"/>
    <x v="0"/>
    <x v="0"/>
  </r>
  <r>
    <s v="Analyzer Status changed from Busy to Ready."/>
    <x v="0"/>
    <x v="0"/>
    <x v="7"/>
    <d v="1899-12-30T09:36:45"/>
    <s v="Analyzer"/>
    <x v="0"/>
    <x v="0"/>
    <x v="0"/>
    <x v="0"/>
  </r>
  <r>
    <s v="Analyzer Status changed from Ready to Maintenance."/>
    <x v="0"/>
    <x v="0"/>
    <x v="7"/>
    <d v="1899-12-30T09:36:45"/>
    <s v="Analyzer"/>
    <x v="0"/>
    <x v="0"/>
    <x v="0"/>
    <x v="0"/>
  </r>
  <r>
    <s v="Automatic maintenance activity Automatic Routine Clean for all Probes has been executed."/>
    <x v="2"/>
    <x v="0"/>
    <x v="7"/>
    <d v="1899-12-30T09:37:11"/>
    <s v="Maintenance"/>
    <x v="0"/>
    <x v="2"/>
    <x v="2"/>
    <x v="0"/>
  </r>
  <r>
    <s v="Analyzer Status changed from Maintenance to Ready."/>
    <x v="0"/>
    <x v="0"/>
    <x v="7"/>
    <d v="1899-12-30T09:37:12"/>
    <s v="Analyzer"/>
    <x v="0"/>
    <x v="0"/>
    <x v="0"/>
    <x v="0"/>
  </r>
  <r>
    <s v="Analyzer Status changed from Ready to Maintenance."/>
    <x v="0"/>
    <x v="0"/>
    <x v="7"/>
    <d v="1899-12-30T10:37:12"/>
    <s v="Analyzer"/>
    <x v="0"/>
    <x v="0"/>
    <x v="0"/>
    <x v="0"/>
  </r>
  <r>
    <s v="Automatic maintenance activity Automatic Fluidic Line Priming Cycle has been executed."/>
    <x v="2"/>
    <x v="0"/>
    <x v="7"/>
    <d v="1899-12-30T10:37:33"/>
    <s v="Maintenance"/>
    <x v="0"/>
    <x v="2"/>
    <x v="2"/>
    <x v="0"/>
  </r>
  <r>
    <s v="Analyzer Status changed from Maintenance to Ready."/>
    <x v="0"/>
    <x v="0"/>
    <x v="7"/>
    <d v="1899-12-30T10:37:34"/>
    <s v="Analyzer"/>
    <x v="0"/>
    <x v="0"/>
    <x v="0"/>
    <x v="0"/>
  </r>
  <r>
    <s v="Non-identified Material in rack DA position 3, track 2."/>
    <x v="27"/>
    <x v="2"/>
    <x v="7"/>
    <d v="1899-12-30T11:13:35"/>
    <s v="Materials"/>
    <x v="0"/>
    <x v="2"/>
    <x v="3"/>
    <x v="0"/>
  </r>
  <r>
    <s v="Non-identified Sample in rack 07 position 1, track 12."/>
    <x v="12"/>
    <x v="2"/>
    <x v="7"/>
    <d v="1899-12-30T11:14:29"/>
    <s v="Materials"/>
    <x v="0"/>
    <x v="4"/>
    <x v="7"/>
    <x v="1"/>
  </r>
  <r>
    <s v="Non-identified Sample in rack 07 position 2, track 12."/>
    <x v="12"/>
    <x v="2"/>
    <x v="7"/>
    <d v="1899-12-30T11:14:29"/>
    <s v="Materials"/>
    <x v="0"/>
    <x v="4"/>
    <x v="7"/>
    <x v="1"/>
  </r>
  <r>
    <s v="Analyzer Status changed from Ready to Busy."/>
    <x v="0"/>
    <x v="0"/>
    <x v="7"/>
    <d v="1899-12-30T11:14:35"/>
    <s v="Analyzer"/>
    <x v="0"/>
    <x v="0"/>
    <x v="0"/>
    <x v="0"/>
  </r>
  <r>
    <s v="PT1:3MX Patient job not feasible. Waiting for Normal Pooled Plasma."/>
    <x v="26"/>
    <x v="1"/>
    <x v="7"/>
    <d v="1899-12-30T11:15:06"/>
    <s v="Materials"/>
    <x v="0"/>
    <x v="2"/>
    <x v="3"/>
    <x v="0"/>
  </r>
  <r>
    <s v="Normal Pooled Plasma insufficient material to run additional calibration / test."/>
    <x v="32"/>
    <x v="2"/>
    <x v="7"/>
    <d v="1899-12-30T11:15:31"/>
    <s v="Materials"/>
    <x v="0"/>
    <x v="3"/>
    <x v="4"/>
    <x v="0"/>
  </r>
  <r>
    <s v="Non-identified Material in rack DA position 3, track 2."/>
    <x v="27"/>
    <x v="2"/>
    <x v="7"/>
    <d v="1899-12-30T11:17:01"/>
    <s v="Materials"/>
    <x v="0"/>
    <x v="2"/>
    <x v="3"/>
    <x v="0"/>
  </r>
  <r>
    <s v="Non-identified Material in rack DA position 4, track 2."/>
    <x v="27"/>
    <x v="2"/>
    <x v="7"/>
    <d v="1899-12-30T11:17:01"/>
    <s v="Materials"/>
    <x v="0"/>
    <x v="2"/>
    <x v="3"/>
    <x v="0"/>
  </r>
  <r>
    <s v="Normal Pooled Plasma insufficient material to run additional calibration / test."/>
    <x v="32"/>
    <x v="2"/>
    <x v="7"/>
    <d v="1899-12-30T11:17:07"/>
    <s v="Materials"/>
    <x v="0"/>
    <x v="3"/>
    <x v="4"/>
    <x v="0"/>
  </r>
  <r>
    <s v="Analyzer Status changed from Busy to Ready."/>
    <x v="0"/>
    <x v="0"/>
    <x v="7"/>
    <d v="1899-12-30T11:21:36"/>
    <s v="Analyzer"/>
    <x v="0"/>
    <x v="0"/>
    <x v="0"/>
    <x v="0"/>
  </r>
  <r>
    <s v="Analyzer Status changed from Ready to Maintenance."/>
    <x v="0"/>
    <x v="0"/>
    <x v="7"/>
    <d v="1899-12-30T11:21:36"/>
    <s v="Analyzer"/>
    <x v="0"/>
    <x v="0"/>
    <x v="0"/>
    <x v="0"/>
  </r>
  <r>
    <s v="Analyzer Status changed from Maintenance to Ready."/>
    <x v="0"/>
    <x v="0"/>
    <x v="7"/>
    <d v="1899-12-30T11:22:01"/>
    <s v="Analyzer"/>
    <x v="0"/>
    <x v="0"/>
    <x v="0"/>
    <x v="0"/>
  </r>
  <r>
    <s v="Automatic maintenance activity Automatic Routine Clean for all Probes has been executed."/>
    <x v="2"/>
    <x v="0"/>
    <x v="7"/>
    <d v="1899-12-30T11:22:01"/>
    <s v="Maintenance"/>
    <x v="0"/>
    <x v="2"/>
    <x v="2"/>
    <x v="0"/>
  </r>
  <r>
    <s v="Non-identified Sample in rack 10 position 1, track 10."/>
    <x v="12"/>
    <x v="2"/>
    <x v="7"/>
    <d v="1899-12-30T11:52:40"/>
    <s v="Materials"/>
    <x v="0"/>
    <x v="4"/>
    <x v="7"/>
    <x v="1"/>
  </r>
  <r>
    <s v="Non-identified Sample in rack 10 position 2, track 10."/>
    <x v="12"/>
    <x v="2"/>
    <x v="7"/>
    <d v="1899-12-30T11:52:40"/>
    <s v="Materials"/>
    <x v="0"/>
    <x v="4"/>
    <x v="7"/>
    <x v="1"/>
  </r>
  <r>
    <s v="Non-identified Sample in rack 10 position 3, track 10."/>
    <x v="12"/>
    <x v="2"/>
    <x v="7"/>
    <d v="1899-12-30T11:52:40"/>
    <s v="Materials"/>
    <x v="0"/>
    <x v="4"/>
    <x v="7"/>
    <x v="1"/>
  </r>
  <r>
    <s v="Non-identified Sample in rack 10 position 4, track 10."/>
    <x v="12"/>
    <x v="2"/>
    <x v="7"/>
    <d v="1899-12-30T11:52:40"/>
    <s v="Materials"/>
    <x v="0"/>
    <x v="4"/>
    <x v="7"/>
    <x v="1"/>
  </r>
  <r>
    <s v="Non-identified Sample in rack 10 position 5, track 10."/>
    <x v="12"/>
    <x v="2"/>
    <x v="7"/>
    <d v="1899-12-30T11:52:40"/>
    <s v="Materials"/>
    <x v="0"/>
    <x v="4"/>
    <x v="7"/>
    <x v="1"/>
  </r>
  <r>
    <s v="Non-identified Sample in rack 10 position 6, track 10."/>
    <x v="12"/>
    <x v="2"/>
    <x v="7"/>
    <d v="1899-12-30T11:52:40"/>
    <s v="Materials"/>
    <x v="0"/>
    <x v="4"/>
    <x v="7"/>
    <x v="1"/>
  </r>
  <r>
    <s v="Non-identified Sample in rack 10 position 7, track 10."/>
    <x v="12"/>
    <x v="2"/>
    <x v="7"/>
    <d v="1899-12-30T11:52:40"/>
    <s v="Materials"/>
    <x v="0"/>
    <x v="4"/>
    <x v="7"/>
    <x v="1"/>
  </r>
  <r>
    <s v="Non-identified Sample in rack 10 position 8, track 10."/>
    <x v="12"/>
    <x v="2"/>
    <x v="7"/>
    <d v="1899-12-30T11:52:40"/>
    <s v="Materials"/>
    <x v="0"/>
    <x v="4"/>
    <x v="7"/>
    <x v="1"/>
  </r>
  <r>
    <s v="Non-identified Sample in rack 10 position 9, track 10."/>
    <x v="12"/>
    <x v="2"/>
    <x v="7"/>
    <d v="1899-12-30T11:52:40"/>
    <s v="Materials"/>
    <x v="0"/>
    <x v="4"/>
    <x v="7"/>
    <x v="1"/>
  </r>
  <r>
    <s v="Non-identified Sample in rack 10 position 10, track 10."/>
    <x v="12"/>
    <x v="2"/>
    <x v="7"/>
    <d v="1899-12-30T11:52:40"/>
    <s v="Materials"/>
    <x v="0"/>
    <x v="4"/>
    <x v="7"/>
    <x v="1"/>
  </r>
  <r>
    <s v="Analyzer Status changed from Ready to Busy."/>
    <x v="0"/>
    <x v="0"/>
    <x v="7"/>
    <d v="1899-12-30T11:54:20"/>
    <s v="Analyzer"/>
    <x v="0"/>
    <x v="0"/>
    <x v="0"/>
    <x v="0"/>
  </r>
  <r>
    <s v="Analyzer Status changed from Busy to Ready."/>
    <x v="0"/>
    <x v="0"/>
    <x v="7"/>
    <d v="1899-12-30T12:18:11"/>
    <s v="Analyzer"/>
    <x v="0"/>
    <x v="0"/>
    <x v="0"/>
    <x v="0"/>
  </r>
  <r>
    <s v="Analyzer Status changed from Ready to Maintenance."/>
    <x v="0"/>
    <x v="0"/>
    <x v="7"/>
    <d v="1899-12-30T12:18:11"/>
    <s v="Analyzer"/>
    <x v="0"/>
    <x v="0"/>
    <x v="0"/>
    <x v="0"/>
  </r>
  <r>
    <s v="Analyzer Status changed from Maintenance to Ready."/>
    <x v="0"/>
    <x v="0"/>
    <x v="7"/>
    <d v="1899-12-30T12:18:37"/>
    <s v="Analyzer"/>
    <x v="0"/>
    <x v="0"/>
    <x v="0"/>
    <x v="0"/>
  </r>
  <r>
    <s v="Automatic maintenance activity Automatic Routine Clean for all Probes has been executed."/>
    <x v="2"/>
    <x v="0"/>
    <x v="7"/>
    <d v="1899-12-30T12:18:37"/>
    <s v="Maintenance"/>
    <x v="0"/>
    <x v="2"/>
    <x v="2"/>
    <x v="0"/>
  </r>
  <r>
    <s v="Analyzer Status changed from Ready to Maintenance."/>
    <x v="0"/>
    <x v="0"/>
    <x v="7"/>
    <d v="1899-12-30T13:18:37"/>
    <s v="Analyzer"/>
    <x v="0"/>
    <x v="0"/>
    <x v="0"/>
    <x v="0"/>
  </r>
  <r>
    <s v="Automatic maintenance activity Automatic Fluidic Line Priming Cycle has been executed."/>
    <x v="2"/>
    <x v="0"/>
    <x v="7"/>
    <d v="1899-12-30T13:18:58"/>
    <s v="Maintenance"/>
    <x v="0"/>
    <x v="2"/>
    <x v="2"/>
    <x v="0"/>
  </r>
  <r>
    <s v="Analyzer Status changed from Maintenance to Ready."/>
    <x v="0"/>
    <x v="0"/>
    <x v="7"/>
    <d v="1899-12-30T13:18:59"/>
    <s v="Analyzer"/>
    <x v="0"/>
    <x v="0"/>
    <x v="0"/>
    <x v="0"/>
  </r>
  <r>
    <s v="Non-identified Sample in rack 07 position 1, track 12."/>
    <x v="12"/>
    <x v="2"/>
    <x v="7"/>
    <d v="1899-12-30T13:45:43"/>
    <s v="Materials"/>
    <x v="0"/>
    <x v="4"/>
    <x v="7"/>
    <x v="1"/>
  </r>
  <r>
    <s v="Analyzer Status changed from Ready to Busy."/>
    <x v="0"/>
    <x v="0"/>
    <x v="7"/>
    <d v="1899-12-30T13:45:49"/>
    <s v="Analyzer"/>
    <x v="0"/>
    <x v="0"/>
    <x v="0"/>
    <x v="0"/>
  </r>
  <r>
    <s v="Non-identified Material in rack DA position 5, track 2."/>
    <x v="27"/>
    <x v="2"/>
    <x v="7"/>
    <d v="1899-12-30T13:45:53"/>
    <s v="Materials"/>
    <x v="0"/>
    <x v="2"/>
    <x v="3"/>
    <x v="0"/>
  </r>
  <r>
    <s v="Analyzer Status changed from Busy to Ready."/>
    <x v="0"/>
    <x v="0"/>
    <x v="7"/>
    <d v="1899-12-30T13:53:03"/>
    <s v="Analyzer"/>
    <x v="0"/>
    <x v="0"/>
    <x v="0"/>
    <x v="0"/>
  </r>
  <r>
    <s v="Analyzer Status changed from Ready to Maintenance."/>
    <x v="0"/>
    <x v="0"/>
    <x v="7"/>
    <d v="1899-12-30T13:53:03"/>
    <s v="Analyzer"/>
    <x v="0"/>
    <x v="0"/>
    <x v="0"/>
    <x v="0"/>
  </r>
  <r>
    <s v="Analyzer Status changed from Maintenance to Ready."/>
    <x v="0"/>
    <x v="0"/>
    <x v="7"/>
    <d v="1899-12-30T13:53:27"/>
    <s v="Analyzer"/>
    <x v="0"/>
    <x v="0"/>
    <x v="0"/>
    <x v="0"/>
  </r>
  <r>
    <s v="Automatic maintenance activity Automatic Routine Clean for all Probes has been executed."/>
    <x v="2"/>
    <x v="0"/>
    <x v="7"/>
    <d v="1899-12-30T13:53:27"/>
    <s v="Maintenance"/>
    <x v="0"/>
    <x v="2"/>
    <x v="2"/>
    <x v="0"/>
  </r>
  <r>
    <s v="Communications between the instrument and the LIS have been lost."/>
    <x v="13"/>
    <x v="2"/>
    <x v="7"/>
    <d v="1899-12-30T14:50:56"/>
    <s v="LIS"/>
    <x v="0"/>
    <x v="2"/>
    <x v="6"/>
    <x v="0"/>
  </r>
  <r>
    <s v="Analyzer Status changed from Ready to Maintenance."/>
    <x v="0"/>
    <x v="0"/>
    <x v="7"/>
    <d v="1899-12-30T14:53:28"/>
    <s v="Analyzer"/>
    <x v="0"/>
    <x v="0"/>
    <x v="0"/>
    <x v="0"/>
  </r>
  <r>
    <s v="Analyzer Status changed from Maintenance to Ready."/>
    <x v="0"/>
    <x v="0"/>
    <x v="7"/>
    <d v="1899-12-30T14:53:49"/>
    <s v="Analyzer"/>
    <x v="0"/>
    <x v="0"/>
    <x v="0"/>
    <x v="0"/>
  </r>
  <r>
    <s v="Automatic maintenance activity Automatic Fluidic Line Priming Cycle has been executed."/>
    <x v="2"/>
    <x v="0"/>
    <x v="7"/>
    <d v="1899-12-30T14:53:49"/>
    <s v="Maintenance"/>
    <x v="0"/>
    <x v="2"/>
    <x v="2"/>
    <x v="0"/>
  </r>
  <r>
    <s v="Analyzer Status changed from Ready to Maintenance."/>
    <x v="0"/>
    <x v="0"/>
    <x v="7"/>
    <d v="1899-12-30T15:53:50"/>
    <s v="Analyzer"/>
    <x v="0"/>
    <x v="0"/>
    <x v="0"/>
    <x v="0"/>
  </r>
  <r>
    <s v="Analyzer Status changed from Maintenance to Ready."/>
    <x v="0"/>
    <x v="0"/>
    <x v="7"/>
    <d v="1899-12-30T15:54:11"/>
    <s v="Analyzer"/>
    <x v="0"/>
    <x v="0"/>
    <x v="0"/>
    <x v="0"/>
  </r>
  <r>
    <s v="Automatic maintenance activity Automatic Fluidic Line Priming Cycle has been executed."/>
    <x v="2"/>
    <x v="0"/>
    <x v="7"/>
    <d v="1899-12-30T15:54:11"/>
    <s v="Maintenance"/>
    <x v="0"/>
    <x v="2"/>
    <x v="2"/>
    <x v="0"/>
  </r>
  <r>
    <s v="Analyzer Status changed from Ready to Maintenance."/>
    <x v="0"/>
    <x v="0"/>
    <x v="7"/>
    <d v="1899-12-30T16:54:11"/>
    <s v="Analyzer"/>
    <x v="0"/>
    <x v="0"/>
    <x v="0"/>
    <x v="0"/>
  </r>
  <r>
    <s v="Analyzer Status changed from Maintenance to Ready."/>
    <x v="0"/>
    <x v="0"/>
    <x v="7"/>
    <d v="1899-12-30T16:54:33"/>
    <s v="Analyzer"/>
    <x v="0"/>
    <x v="0"/>
    <x v="0"/>
    <x v="0"/>
  </r>
  <r>
    <s v="Automatic maintenance activity Automatic Fluidic Line Priming Cycle has been executed."/>
    <x v="2"/>
    <x v="0"/>
    <x v="7"/>
    <d v="1899-12-30T16:54:33"/>
    <s v="Maintenance"/>
    <x v="0"/>
    <x v="2"/>
    <x v="2"/>
    <x v="0"/>
  </r>
  <r>
    <s v="Analyzer Status changed from Ready to Maintenance."/>
    <x v="0"/>
    <x v="0"/>
    <x v="7"/>
    <d v="1899-12-30T17:54:33"/>
    <s v="Analyzer"/>
    <x v="0"/>
    <x v="0"/>
    <x v="0"/>
    <x v="0"/>
  </r>
  <r>
    <s v="Analyzer Status changed from Maintenance to Ready."/>
    <x v="0"/>
    <x v="0"/>
    <x v="7"/>
    <d v="1899-12-30T17:54:55"/>
    <s v="Analyzer"/>
    <x v="0"/>
    <x v="0"/>
    <x v="0"/>
    <x v="0"/>
  </r>
  <r>
    <s v="Automatic maintenance activity Automatic Fluidic Line Priming Cycle has been executed."/>
    <x v="2"/>
    <x v="0"/>
    <x v="7"/>
    <d v="1899-12-30T17:54:55"/>
    <s v="Maintenance"/>
    <x v="0"/>
    <x v="2"/>
    <x v="2"/>
    <x v="0"/>
  </r>
  <r>
    <s v="Analyzer Status changed from Ready to Maintenance."/>
    <x v="0"/>
    <x v="0"/>
    <x v="7"/>
    <d v="1899-12-30T18:54:55"/>
    <s v="Analyzer"/>
    <x v="0"/>
    <x v="0"/>
    <x v="0"/>
    <x v="0"/>
  </r>
  <r>
    <s v="Analyzer Status changed from Maintenance to Ready."/>
    <x v="0"/>
    <x v="0"/>
    <x v="7"/>
    <d v="1899-12-30T18:55:17"/>
    <s v="Analyzer"/>
    <x v="0"/>
    <x v="0"/>
    <x v="0"/>
    <x v="0"/>
  </r>
  <r>
    <s v="Automatic maintenance activity Automatic Fluidic Line Priming Cycle has been executed."/>
    <x v="2"/>
    <x v="0"/>
    <x v="7"/>
    <d v="1899-12-30T18:55:17"/>
    <s v="Maintenance"/>
    <x v="0"/>
    <x v="2"/>
    <x v="2"/>
    <x v="0"/>
  </r>
  <r>
    <s v="Analyzer Status changed from Ready to Maintenance."/>
    <x v="0"/>
    <x v="0"/>
    <x v="7"/>
    <d v="1899-12-30T19:55:17"/>
    <s v="Analyzer"/>
    <x v="0"/>
    <x v="0"/>
    <x v="0"/>
    <x v="0"/>
  </r>
  <r>
    <s v="Automatic maintenance activity Automatic Fluidic Line Priming Cycle has been executed."/>
    <x v="2"/>
    <x v="0"/>
    <x v="7"/>
    <d v="1899-12-30T19:55:38"/>
    <s v="Maintenance"/>
    <x v="0"/>
    <x v="2"/>
    <x v="2"/>
    <x v="0"/>
  </r>
  <r>
    <s v="Analyzer Status changed from Maintenance to Ready."/>
    <x v="0"/>
    <x v="0"/>
    <x v="7"/>
    <d v="1899-12-30T19:55:39"/>
    <s v="Analyzer"/>
    <x v="0"/>
    <x v="0"/>
    <x v="0"/>
    <x v="0"/>
  </r>
  <r>
    <s v="Analyzer Status changed from Ready to Maintenance."/>
    <x v="0"/>
    <x v="0"/>
    <x v="7"/>
    <d v="1899-12-30T20:55:39"/>
    <s v="Analyzer"/>
    <x v="0"/>
    <x v="0"/>
    <x v="0"/>
    <x v="0"/>
  </r>
  <r>
    <s v="Automatic maintenance activity Automatic Fluidic Line Priming Cycle has been executed."/>
    <x v="2"/>
    <x v="0"/>
    <x v="7"/>
    <d v="1899-12-30T20:56:00"/>
    <s v="Maintenance"/>
    <x v="0"/>
    <x v="2"/>
    <x v="2"/>
    <x v="0"/>
  </r>
  <r>
    <s v="Analyzer Status changed from Maintenance to Ready."/>
    <x v="0"/>
    <x v="0"/>
    <x v="7"/>
    <d v="1899-12-30T20:56:01"/>
    <s v="Analyzer"/>
    <x v="0"/>
    <x v="0"/>
    <x v="0"/>
    <x v="0"/>
  </r>
  <r>
    <s v="Analyzer Status changed from Ready to Maintenance."/>
    <x v="0"/>
    <x v="0"/>
    <x v="7"/>
    <d v="1899-12-30T21:56:01"/>
    <s v="Analyzer"/>
    <x v="0"/>
    <x v="0"/>
    <x v="0"/>
    <x v="0"/>
  </r>
  <r>
    <s v="Analyzer Status changed from Maintenance to Ready."/>
    <x v="0"/>
    <x v="0"/>
    <x v="7"/>
    <d v="1899-12-30T21:56:22"/>
    <s v="Analyzer"/>
    <x v="0"/>
    <x v="0"/>
    <x v="0"/>
    <x v="0"/>
  </r>
  <r>
    <s v="Automatic maintenance activity Automatic Fluidic Line Priming Cycle has been executed."/>
    <x v="2"/>
    <x v="0"/>
    <x v="7"/>
    <d v="1899-12-30T21:56:22"/>
    <s v="Maintenance"/>
    <x v="0"/>
    <x v="2"/>
    <x v="2"/>
    <x v="0"/>
  </r>
  <r>
    <s v="Analyzer Status changed from Ready to Maintenance."/>
    <x v="0"/>
    <x v="0"/>
    <x v="7"/>
    <d v="1899-12-30T22:56:23"/>
    <s v="Analyzer"/>
    <x v="0"/>
    <x v="0"/>
    <x v="0"/>
    <x v="0"/>
  </r>
  <r>
    <s v="Analyzer Status changed from Maintenance to Ready."/>
    <x v="0"/>
    <x v="0"/>
    <x v="7"/>
    <d v="1899-12-30T22:56:44"/>
    <s v="Analyzer"/>
    <x v="0"/>
    <x v="0"/>
    <x v="0"/>
    <x v="0"/>
  </r>
  <r>
    <s v="Automatic maintenance activity Automatic Fluidic Line Priming Cycle has been executed."/>
    <x v="2"/>
    <x v="0"/>
    <x v="7"/>
    <d v="1899-12-30T22:56:44"/>
    <s v="Maintenance"/>
    <x v="0"/>
    <x v="2"/>
    <x v="2"/>
    <x v="0"/>
  </r>
  <r>
    <s v="Analyzer Status changed from Ready to Maintenance."/>
    <x v="0"/>
    <x v="0"/>
    <x v="7"/>
    <d v="1899-12-30T23:56:45"/>
    <s v="Analyzer"/>
    <x v="0"/>
    <x v="0"/>
    <x v="0"/>
    <x v="0"/>
  </r>
  <r>
    <s v="Analyzer Status changed from Maintenance to Ready."/>
    <x v="0"/>
    <x v="0"/>
    <x v="7"/>
    <d v="1899-12-30T23:57:06"/>
    <s v="Analyzer"/>
    <x v="0"/>
    <x v="0"/>
    <x v="0"/>
    <x v="0"/>
  </r>
  <r>
    <s v="Automatic maintenance activity Automatic Fluidic Line Priming Cycle has been executed."/>
    <x v="2"/>
    <x v="0"/>
    <x v="7"/>
    <d v="1899-12-30T23:57:06"/>
    <s v="Maintenance"/>
    <x v="0"/>
    <x v="2"/>
    <x v="2"/>
    <x v="0"/>
  </r>
  <r>
    <s v="Rinse solution level low."/>
    <x v="1"/>
    <x v="1"/>
    <x v="7"/>
    <d v="1899-12-30T23:57:11"/>
    <s v="Materials"/>
    <x v="0"/>
    <x v="1"/>
    <x v="1"/>
    <x v="0"/>
  </r>
  <r>
    <s v="Analyzer Status changed from Ready to Maintenance."/>
    <x v="0"/>
    <x v="0"/>
    <x v="8"/>
    <d v="1899-12-30T00:57:06"/>
    <s v="Analyzer"/>
    <x v="0"/>
    <x v="0"/>
    <x v="0"/>
    <x v="0"/>
  </r>
  <r>
    <s v="Analyzer Status changed from Maintenance to Ready."/>
    <x v="0"/>
    <x v="0"/>
    <x v="8"/>
    <d v="1899-12-30T00:57:28"/>
    <s v="Analyzer"/>
    <x v="0"/>
    <x v="0"/>
    <x v="0"/>
    <x v="0"/>
  </r>
  <r>
    <s v="Automatic maintenance activity Automatic Fluidic Line Priming Cycle has been executed."/>
    <x v="2"/>
    <x v="0"/>
    <x v="8"/>
    <d v="1899-12-30T00:57:28"/>
    <s v="Maintenance"/>
    <x v="0"/>
    <x v="2"/>
    <x v="2"/>
    <x v="0"/>
  </r>
  <r>
    <s v="Analyzer Status changed from Ready to Maintenance."/>
    <x v="0"/>
    <x v="0"/>
    <x v="8"/>
    <d v="1899-12-30T01:57:28"/>
    <s v="Analyzer"/>
    <x v="0"/>
    <x v="0"/>
    <x v="0"/>
    <x v="0"/>
  </r>
  <r>
    <s v="Analyzer Status changed from Maintenance to Ready."/>
    <x v="0"/>
    <x v="0"/>
    <x v="8"/>
    <d v="1899-12-30T01:57:50"/>
    <s v="Analyzer"/>
    <x v="0"/>
    <x v="0"/>
    <x v="0"/>
    <x v="0"/>
  </r>
  <r>
    <s v="Automatic maintenance activity Automatic Fluidic Line Priming Cycle has been executed."/>
    <x v="2"/>
    <x v="0"/>
    <x v="8"/>
    <d v="1899-12-30T01:57:50"/>
    <s v="Maintenance"/>
    <x v="0"/>
    <x v="2"/>
    <x v="2"/>
    <x v="0"/>
  </r>
  <r>
    <s v="Analyzer Status changed from Ready to Maintenance."/>
    <x v="0"/>
    <x v="0"/>
    <x v="8"/>
    <d v="1899-12-30T02:57:50"/>
    <s v="Analyzer"/>
    <x v="0"/>
    <x v="0"/>
    <x v="0"/>
    <x v="0"/>
  </r>
  <r>
    <s v="Analyzer Status changed from Maintenance to Ready."/>
    <x v="0"/>
    <x v="0"/>
    <x v="8"/>
    <d v="1899-12-30T02:58:12"/>
    <s v="Analyzer"/>
    <x v="0"/>
    <x v="0"/>
    <x v="0"/>
    <x v="0"/>
  </r>
  <r>
    <s v="Automatic maintenance activity Automatic Fluidic Line Priming Cycle has been executed."/>
    <x v="2"/>
    <x v="0"/>
    <x v="8"/>
    <d v="1899-12-30T02:58:12"/>
    <s v="Maintenance"/>
    <x v="0"/>
    <x v="2"/>
    <x v="2"/>
    <x v="0"/>
  </r>
  <r>
    <s v="Analyzer Status changed from Ready to Maintenance."/>
    <x v="0"/>
    <x v="0"/>
    <x v="8"/>
    <d v="1899-12-30T03:58:12"/>
    <s v="Analyzer"/>
    <x v="0"/>
    <x v="0"/>
    <x v="0"/>
    <x v="0"/>
  </r>
  <r>
    <s v="Automatic maintenance activity Automatic Fluidic Line Priming Cycle has been executed."/>
    <x v="2"/>
    <x v="0"/>
    <x v="8"/>
    <d v="1899-12-30T03:58:33"/>
    <s v="Maintenance"/>
    <x v="0"/>
    <x v="2"/>
    <x v="2"/>
    <x v="0"/>
  </r>
  <r>
    <s v="Analyzer Status changed from Maintenance to Ready."/>
    <x v="0"/>
    <x v="0"/>
    <x v="8"/>
    <d v="1899-12-30T03:58:34"/>
    <s v="Analyzer"/>
    <x v="0"/>
    <x v="0"/>
    <x v="0"/>
    <x v="0"/>
  </r>
  <r>
    <s v="Analyzer Status changed from Ready to Maintenance."/>
    <x v="0"/>
    <x v="0"/>
    <x v="8"/>
    <d v="1899-12-30T04:58:34"/>
    <s v="Analyzer"/>
    <x v="0"/>
    <x v="0"/>
    <x v="0"/>
    <x v="0"/>
  </r>
  <r>
    <s v="Automatic maintenance activity Automatic Fluidic Line Priming Cycle has been executed."/>
    <x v="2"/>
    <x v="0"/>
    <x v="8"/>
    <d v="1899-12-30T04:58:55"/>
    <s v="Maintenance"/>
    <x v="0"/>
    <x v="2"/>
    <x v="2"/>
    <x v="0"/>
  </r>
  <r>
    <s v="Analyzer Status changed from Maintenance to Ready."/>
    <x v="0"/>
    <x v="0"/>
    <x v="8"/>
    <d v="1899-12-30T04:58:56"/>
    <s v="Analyzer"/>
    <x v="0"/>
    <x v="0"/>
    <x v="0"/>
    <x v="0"/>
  </r>
  <r>
    <s v="Analyzer Status changed from Ready to Maintenance."/>
    <x v="0"/>
    <x v="0"/>
    <x v="8"/>
    <d v="1899-12-30T05:58:56"/>
    <s v="Analyzer"/>
    <x v="0"/>
    <x v="0"/>
    <x v="0"/>
    <x v="0"/>
  </r>
  <r>
    <s v="Analyzer Status changed from Maintenance to Ready."/>
    <x v="0"/>
    <x v="0"/>
    <x v="8"/>
    <d v="1899-12-30T05:59:17"/>
    <s v="Analyzer"/>
    <x v="0"/>
    <x v="0"/>
    <x v="0"/>
    <x v="0"/>
  </r>
  <r>
    <s v="Automatic maintenance activity Automatic Fluidic Line Priming Cycle has been executed."/>
    <x v="2"/>
    <x v="0"/>
    <x v="8"/>
    <d v="1899-12-30T05:59:17"/>
    <s v="Maintenance"/>
    <x v="0"/>
    <x v="2"/>
    <x v="2"/>
    <x v="0"/>
  </r>
  <r>
    <s v="Maintenance activity due: Enhanced Clean for all Probes."/>
    <x v="9"/>
    <x v="1"/>
    <x v="8"/>
    <d v="1899-12-30T06:22:21"/>
    <s v="Maintenance"/>
    <x v="0"/>
    <x v="2"/>
    <x v="2"/>
    <x v="0"/>
  </r>
  <r>
    <s v="Maintenance activity due: Enhanced Clean for Sample and Reagent Probes."/>
    <x v="9"/>
    <x v="1"/>
    <x v="8"/>
    <d v="1899-12-30T06:22:21"/>
    <s v="Maintenance"/>
    <x v="0"/>
    <x v="2"/>
    <x v="2"/>
    <x v="0"/>
  </r>
  <r>
    <s v="Maintenance activity due: replace factor diluent."/>
    <x v="9"/>
    <x v="1"/>
    <x v="8"/>
    <d v="1899-12-30T06:23:38"/>
    <s v="Maintenance"/>
    <x v="0"/>
    <x v="2"/>
    <x v="2"/>
    <x v="0"/>
  </r>
  <r>
    <s v="Maintenance activity due: make new diluted clean B."/>
    <x v="9"/>
    <x v="1"/>
    <x v="8"/>
    <d v="1899-12-30T06:24:02"/>
    <s v="Maintenance"/>
    <x v="0"/>
    <x v="2"/>
    <x v="2"/>
    <x v="0"/>
  </r>
  <r>
    <s v="Analyzer Status changed from Ready to Maintenance."/>
    <x v="0"/>
    <x v="0"/>
    <x v="8"/>
    <d v="1899-12-30T06:59:18"/>
    <s v="Analyzer"/>
    <x v="0"/>
    <x v="0"/>
    <x v="0"/>
    <x v="0"/>
  </r>
  <r>
    <s v="Analyzer Status changed from Maintenance to Ready."/>
    <x v="0"/>
    <x v="0"/>
    <x v="8"/>
    <d v="1899-12-30T06:59:39"/>
    <s v="Analyzer"/>
    <x v="0"/>
    <x v="0"/>
    <x v="0"/>
    <x v="0"/>
  </r>
  <r>
    <s v="Automatic maintenance activity Automatic Fluidic Line Priming Cycle has been executed."/>
    <x v="2"/>
    <x v="0"/>
    <x v="8"/>
    <d v="1899-12-30T06:59:39"/>
    <s v="Maintenance"/>
    <x v="0"/>
    <x v="2"/>
    <x v="2"/>
    <x v="0"/>
  </r>
  <r>
    <s v="Maintenance activity overdue: Enhanced Clean for all Probes."/>
    <x v="20"/>
    <x v="1"/>
    <x v="8"/>
    <d v="1899-12-30T07:22:21"/>
    <s v="Maintenance"/>
    <x v="0"/>
    <x v="2"/>
    <x v="2"/>
    <x v="0"/>
  </r>
  <r>
    <s v="Maintenance activity overdue: Enhanced Clean for Sample and Reagent Probes."/>
    <x v="20"/>
    <x v="1"/>
    <x v="8"/>
    <d v="1899-12-30T07:22:21"/>
    <s v="Maintenance"/>
    <x v="0"/>
    <x v="2"/>
    <x v="2"/>
    <x v="0"/>
  </r>
  <r>
    <s v="Maintenance activity overdue: replace factor diluent."/>
    <x v="20"/>
    <x v="1"/>
    <x v="8"/>
    <d v="1899-12-30T07:23:38"/>
    <s v="Maintenance"/>
    <x v="0"/>
    <x v="2"/>
    <x v="2"/>
    <x v="0"/>
  </r>
  <r>
    <s v="Maintenance activity overdue: make new diluted clean B."/>
    <x v="20"/>
    <x v="1"/>
    <x v="8"/>
    <d v="1899-12-30T07:24:02"/>
    <s v="Maintenance"/>
    <x v="0"/>
    <x v="2"/>
    <x v="2"/>
    <x v="0"/>
  </r>
  <r>
    <s v="Maintenance activity due: Wipe-down all Probes."/>
    <x v="9"/>
    <x v="1"/>
    <x v="8"/>
    <d v="1899-12-30T07:27:40"/>
    <s v="Maintenance"/>
    <x v="0"/>
    <x v="2"/>
    <x v="2"/>
    <x v="0"/>
  </r>
  <r>
    <s v="Maintenance activity due: Wipe-down Sample Probe."/>
    <x v="9"/>
    <x v="1"/>
    <x v="8"/>
    <d v="1899-12-30T07:27:40"/>
    <s v="Maintenance"/>
    <x v="0"/>
    <x v="2"/>
    <x v="2"/>
    <x v="0"/>
  </r>
  <r>
    <s v="Maintenance activity due: Wipe-down LAS Probe."/>
    <x v="9"/>
    <x v="1"/>
    <x v="8"/>
    <d v="1899-12-30T07:27:40"/>
    <s v="Maintenance"/>
    <x v="0"/>
    <x v="2"/>
    <x v="2"/>
    <x v="0"/>
  </r>
  <r>
    <s v="Maintenance activity due: Clean Cuvette Waste Drawer."/>
    <x v="9"/>
    <x v="1"/>
    <x v="8"/>
    <d v="1899-12-30T07:34:40"/>
    <s v="Maintenance"/>
    <x v="0"/>
    <x v="2"/>
    <x v="2"/>
    <x v="0"/>
  </r>
  <r>
    <s v="Analyzer Status changed from Ready to Maintenance."/>
    <x v="0"/>
    <x v="0"/>
    <x v="8"/>
    <d v="1899-12-30T07:59:39"/>
    <s v="Analyzer"/>
    <x v="0"/>
    <x v="0"/>
    <x v="0"/>
    <x v="0"/>
  </r>
  <r>
    <s v="Analyzer Status changed from Maintenance to Ready."/>
    <x v="0"/>
    <x v="0"/>
    <x v="8"/>
    <d v="1899-12-30T08:00:44"/>
    <s v="Analyzer"/>
    <x v="0"/>
    <x v="0"/>
    <x v="0"/>
    <x v="0"/>
  </r>
  <r>
    <s v="Automatic maintenance activity Automatic Fluidic Line Priming Cycle has been executed."/>
    <x v="2"/>
    <x v="0"/>
    <x v="8"/>
    <d v="1899-12-30T08:00:44"/>
    <s v="Maintenance"/>
    <x v="0"/>
    <x v="2"/>
    <x v="2"/>
    <x v="0"/>
  </r>
  <r>
    <s v="Analyzer Status changed from Ready to Maintenance."/>
    <x v="0"/>
    <x v="0"/>
    <x v="8"/>
    <d v="1899-12-30T09:00:44"/>
    <s v="Analyzer"/>
    <x v="0"/>
    <x v="0"/>
    <x v="0"/>
    <x v="0"/>
  </r>
  <r>
    <s v="Analyzer Status changed from Maintenance to Ready."/>
    <x v="0"/>
    <x v="0"/>
    <x v="8"/>
    <d v="1899-12-30T09:01:46"/>
    <s v="Analyzer"/>
    <x v="0"/>
    <x v="0"/>
    <x v="0"/>
    <x v="0"/>
  </r>
  <r>
    <s v="Automatic maintenance activity Automatic Fluidic Line Priming Cycle has been executed."/>
    <x v="2"/>
    <x v="0"/>
    <x v="8"/>
    <d v="1899-12-30T09:01:46"/>
    <s v="Maintenance"/>
    <x v="0"/>
    <x v="2"/>
    <x v="2"/>
    <x v="0"/>
  </r>
  <r>
    <s v="Non-identified Sample in rack 12 position 1, track 12."/>
    <x v="12"/>
    <x v="2"/>
    <x v="8"/>
    <d v="1899-12-30T09:51:10"/>
    <s v="Materials"/>
    <x v="0"/>
    <x v="4"/>
    <x v="7"/>
    <x v="1"/>
  </r>
  <r>
    <s v="Non-identified Sample in rack 12 position 2, track 12."/>
    <x v="12"/>
    <x v="2"/>
    <x v="8"/>
    <d v="1899-12-30T09:51:10"/>
    <s v="Materials"/>
    <x v="0"/>
    <x v="4"/>
    <x v="7"/>
    <x v="1"/>
  </r>
  <r>
    <s v="Non-identified Sample in rack 12 position 3, track 12."/>
    <x v="12"/>
    <x v="2"/>
    <x v="8"/>
    <d v="1899-12-30T09:51:10"/>
    <s v="Materials"/>
    <x v="0"/>
    <x v="4"/>
    <x v="7"/>
    <x v="1"/>
  </r>
  <r>
    <s v="Non-identified Sample in rack 12 position 4, track 12."/>
    <x v="12"/>
    <x v="2"/>
    <x v="8"/>
    <d v="1899-12-30T09:51:10"/>
    <s v="Materials"/>
    <x v="0"/>
    <x v="4"/>
    <x v="7"/>
    <x v="1"/>
  </r>
  <r>
    <s v="Non-identified Sample in rack 12 position 5, track 12."/>
    <x v="12"/>
    <x v="2"/>
    <x v="8"/>
    <d v="1899-12-30T09:51:10"/>
    <s v="Materials"/>
    <x v="0"/>
    <x v="4"/>
    <x v="7"/>
    <x v="1"/>
  </r>
  <r>
    <s v="Analyzer Status changed from Ready to Maintenance."/>
    <x v="0"/>
    <x v="0"/>
    <x v="8"/>
    <d v="1899-12-30T09:53:18"/>
    <s v="Analyzer"/>
    <x v="0"/>
    <x v="0"/>
    <x v="0"/>
    <x v="0"/>
  </r>
  <r>
    <s v="Analyzer Status changed from Maintenance to Ready."/>
    <x v="0"/>
    <x v="0"/>
    <x v="8"/>
    <d v="1899-12-30T09:53:20"/>
    <s v="Analyzer"/>
    <x v="0"/>
    <x v="0"/>
    <x v="0"/>
    <x v="0"/>
  </r>
  <r>
    <s v="Frequency status for manual maintenance activity replace factor diluent has changed to OK."/>
    <x v="3"/>
    <x v="0"/>
    <x v="8"/>
    <d v="1899-12-30T09:53:20"/>
    <s v="Maintenance"/>
    <x v="0"/>
    <x v="2"/>
    <x v="2"/>
    <x v="0"/>
  </r>
  <r>
    <s v="Manual maintenance activity replace factor diluent has been executed."/>
    <x v="5"/>
    <x v="0"/>
    <x v="8"/>
    <d v="1899-12-30T09:53:20"/>
    <s v="Maintenance"/>
    <x v="0"/>
    <x v="2"/>
    <x v="2"/>
    <x v="0"/>
  </r>
  <r>
    <s v="Analyzer Status changed from Ready to Maintenance."/>
    <x v="0"/>
    <x v="0"/>
    <x v="8"/>
    <d v="1899-12-30T09:53:26"/>
    <s v="Analyzer"/>
    <x v="0"/>
    <x v="0"/>
    <x v="0"/>
    <x v="0"/>
  </r>
  <r>
    <s v="Frequency status for manual maintenance activity Clean Cuvette Waste Drawer has changed to OK."/>
    <x v="3"/>
    <x v="0"/>
    <x v="8"/>
    <d v="1899-12-30T09:53:28"/>
    <s v="Maintenance"/>
    <x v="0"/>
    <x v="2"/>
    <x v="2"/>
    <x v="0"/>
  </r>
  <r>
    <s v="Manual maintenance activity Clean Cuvette Waste Drawer has been executed."/>
    <x v="5"/>
    <x v="0"/>
    <x v="8"/>
    <d v="1899-12-30T09:53:28"/>
    <s v="Maintenance"/>
    <x v="0"/>
    <x v="2"/>
    <x v="2"/>
    <x v="0"/>
  </r>
  <r>
    <s v="Analyzer Status changed from Maintenance to Ready."/>
    <x v="0"/>
    <x v="0"/>
    <x v="8"/>
    <d v="1899-12-30T09:53:29"/>
    <s v="Analyzer"/>
    <x v="0"/>
    <x v="0"/>
    <x v="0"/>
    <x v="0"/>
  </r>
  <r>
    <s v="Analyzer Status changed from Ready to Maintenance."/>
    <x v="0"/>
    <x v="0"/>
    <x v="8"/>
    <d v="1899-12-30T09:55:38"/>
    <s v="Analyzer"/>
    <x v="0"/>
    <x v="0"/>
    <x v="0"/>
    <x v="0"/>
  </r>
  <r>
    <s v="Analyzer Status changed from Maintenance to Emergency stop."/>
    <x v="0"/>
    <x v="0"/>
    <x v="8"/>
    <d v="1899-12-30T09:55:57"/>
    <s v="Analyzer"/>
    <x v="0"/>
    <x v="0"/>
    <x v="0"/>
    <x v="0"/>
  </r>
  <r>
    <s v="Analyzer Status changed from Emergency stop to Not connected."/>
    <x v="0"/>
    <x v="0"/>
    <x v="8"/>
    <d v="1899-12-30T09:55:57"/>
    <s v="Analyzer"/>
    <x v="0"/>
    <x v="0"/>
    <x v="0"/>
    <x v="0"/>
  </r>
  <r>
    <s v="Frequency status for manual maintenance activity Wipe-down all Probes has changed to OK."/>
    <x v="3"/>
    <x v="0"/>
    <x v="8"/>
    <d v="1899-12-30T09:56:01"/>
    <s v="Maintenance"/>
    <x v="0"/>
    <x v="2"/>
    <x v="2"/>
    <x v="0"/>
  </r>
  <r>
    <s v="Frequency status for manual maintenance activity Wipe-down Sample Probe has changed to OK."/>
    <x v="3"/>
    <x v="0"/>
    <x v="8"/>
    <d v="1899-12-30T09:56:01"/>
    <s v="Maintenance"/>
    <x v="0"/>
    <x v="2"/>
    <x v="2"/>
    <x v="0"/>
  </r>
  <r>
    <s v="Frequency status for manual maintenance activity Wipe-down LAS Probe has changed to OK."/>
    <x v="3"/>
    <x v="0"/>
    <x v="8"/>
    <d v="1899-12-30T09:56:01"/>
    <s v="Maintenance"/>
    <x v="0"/>
    <x v="2"/>
    <x v="2"/>
    <x v="0"/>
  </r>
  <r>
    <s v="Manual maintenance activity Wipe-down all Probes has been executed."/>
    <x v="5"/>
    <x v="0"/>
    <x v="8"/>
    <d v="1899-12-30T09:56:01"/>
    <s v="Maintenance"/>
    <x v="0"/>
    <x v="2"/>
    <x v="2"/>
    <x v="0"/>
  </r>
  <r>
    <s v="Analyzer Status changed from Not connected to Power up."/>
    <x v="0"/>
    <x v="0"/>
    <x v="8"/>
    <d v="1899-12-30T09:56:39"/>
    <s v="Analyzer"/>
    <x v="0"/>
    <x v="0"/>
    <x v="0"/>
    <x v="0"/>
  </r>
  <r>
    <s v="Rinse solution level low."/>
    <x v="1"/>
    <x v="1"/>
    <x v="8"/>
    <d v="1899-12-30T09:56:43"/>
    <s v="Materials"/>
    <x v="0"/>
    <x v="1"/>
    <x v="1"/>
    <x v="0"/>
  </r>
  <r>
    <s v="Analyzer Status changed from Power up to Initializing."/>
    <x v="0"/>
    <x v="0"/>
    <x v="8"/>
    <d v="1899-12-30T09:56:49"/>
    <s v="Analyzer"/>
    <x v="0"/>
    <x v="0"/>
    <x v="0"/>
    <x v="0"/>
  </r>
  <r>
    <s v="Analyzer Status changed from Initializing to Adjusting thermal."/>
    <x v="0"/>
    <x v="0"/>
    <x v="8"/>
    <d v="1899-12-30T09:58:38"/>
    <s v="Analyzer"/>
    <x v="0"/>
    <x v="0"/>
    <x v="0"/>
    <x v="0"/>
  </r>
  <r>
    <s v="Analyzer Status changed from Adjusting thermal to Ready."/>
    <x v="0"/>
    <x v="0"/>
    <x v="8"/>
    <d v="1899-12-30T10:01:02"/>
    <s v="Analyzer"/>
    <x v="0"/>
    <x v="0"/>
    <x v="0"/>
    <x v="0"/>
  </r>
  <r>
    <s v="Analyzer Status changed from Ready to Maintenance."/>
    <x v="0"/>
    <x v="0"/>
    <x v="8"/>
    <d v="1899-12-30T10:01:02"/>
    <s v="Analyzer"/>
    <x v="0"/>
    <x v="0"/>
    <x v="0"/>
    <x v="0"/>
  </r>
  <r>
    <s v="Analyzer Status changed from Maintenance to Ready."/>
    <x v="0"/>
    <x v="0"/>
    <x v="8"/>
    <d v="1899-12-30T10:02:16"/>
    <s v="Analyzer"/>
    <x v="0"/>
    <x v="0"/>
    <x v="0"/>
    <x v="0"/>
  </r>
  <r>
    <s v="Analyzer Status changed from Ready to Maintenance."/>
    <x v="0"/>
    <x v="0"/>
    <x v="8"/>
    <d v="1899-12-30T10:02:44"/>
    <s v="Analyzer"/>
    <x v="0"/>
    <x v="0"/>
    <x v="0"/>
    <x v="0"/>
  </r>
  <r>
    <s v="Frequency status for manual maintenance activity Enhanced Clean for all Probes has changed to OK."/>
    <x v="3"/>
    <x v="0"/>
    <x v="8"/>
    <d v="1899-12-30T10:06:12"/>
    <s v="Maintenance"/>
    <x v="0"/>
    <x v="2"/>
    <x v="2"/>
    <x v="0"/>
  </r>
  <r>
    <s v="Frequency status for manual maintenance activity Enhanced Clean for Sample and Reagent Probes has changed to OK."/>
    <x v="3"/>
    <x v="0"/>
    <x v="8"/>
    <d v="1899-12-30T10:06:12"/>
    <s v="Maintenance"/>
    <x v="0"/>
    <x v="2"/>
    <x v="2"/>
    <x v="0"/>
  </r>
  <r>
    <s v="Semiautomatic maintenance activity Enhanced Clean for all Probes has been executed."/>
    <x v="4"/>
    <x v="0"/>
    <x v="8"/>
    <d v="1899-12-30T10:06:12"/>
    <s v="Maintenance"/>
    <x v="0"/>
    <x v="2"/>
    <x v="2"/>
    <x v="0"/>
  </r>
  <r>
    <s v="Analyzer Status changed from Maintenance to Ready."/>
    <x v="0"/>
    <x v="0"/>
    <x v="8"/>
    <d v="1899-12-30T10:06:13"/>
    <s v="Analyzer"/>
    <x v="0"/>
    <x v="0"/>
    <x v="0"/>
    <x v="0"/>
  </r>
  <r>
    <s v="Analyzer Status changed from Ready to Maintenance."/>
    <x v="0"/>
    <x v="0"/>
    <x v="8"/>
    <d v="1899-12-30T10:06:26"/>
    <s v="Analyzer"/>
    <x v="0"/>
    <x v="0"/>
    <x v="0"/>
    <x v="0"/>
  </r>
  <r>
    <s v="Analyzer Status changed from Maintenance to Ready."/>
    <x v="0"/>
    <x v="0"/>
    <x v="8"/>
    <d v="1899-12-30T10:06:28"/>
    <s v="Analyzer"/>
    <x v="0"/>
    <x v="0"/>
    <x v="0"/>
    <x v="0"/>
  </r>
  <r>
    <s v="Frequency status for manual maintenance activity make new diluted clean B has changed to OK."/>
    <x v="3"/>
    <x v="0"/>
    <x v="8"/>
    <d v="1899-12-30T10:06:28"/>
    <s v="Maintenance"/>
    <x v="0"/>
    <x v="2"/>
    <x v="2"/>
    <x v="0"/>
  </r>
  <r>
    <s v="Manual maintenance activity make new diluted clean B has been executed."/>
    <x v="5"/>
    <x v="0"/>
    <x v="8"/>
    <d v="1899-12-30T10:06:28"/>
    <s v="Maintenance"/>
    <x v="0"/>
    <x v="2"/>
    <x v="2"/>
    <x v="0"/>
  </r>
  <r>
    <s v="Analyzer Status changed from Ready to Busy."/>
    <x v="0"/>
    <x v="0"/>
    <x v="8"/>
    <d v="1899-12-30T10:07:39"/>
    <s v="Analyzer"/>
    <x v="0"/>
    <x v="0"/>
    <x v="0"/>
    <x v="0"/>
  </r>
  <r>
    <s v="Non-identified Sample in rack 12 position 1, track 12."/>
    <x v="12"/>
    <x v="2"/>
    <x v="8"/>
    <d v="1899-12-30T10:07:52"/>
    <s v="Materials"/>
    <x v="0"/>
    <x v="4"/>
    <x v="7"/>
    <x v="1"/>
  </r>
  <r>
    <s v="Non-identified Sample in rack 12 position 2, track 12."/>
    <x v="12"/>
    <x v="2"/>
    <x v="8"/>
    <d v="1899-12-30T10:07:52"/>
    <s v="Materials"/>
    <x v="0"/>
    <x v="4"/>
    <x v="7"/>
    <x v="1"/>
  </r>
  <r>
    <s v="Non-identified Sample in rack 12 position 3, track 12."/>
    <x v="12"/>
    <x v="2"/>
    <x v="8"/>
    <d v="1899-12-30T10:07:52"/>
    <s v="Materials"/>
    <x v="0"/>
    <x v="4"/>
    <x v="7"/>
    <x v="1"/>
  </r>
  <r>
    <s v="Non-identified Sample in rack 12 position 4, track 12."/>
    <x v="12"/>
    <x v="2"/>
    <x v="8"/>
    <d v="1899-12-30T10:07:52"/>
    <s v="Materials"/>
    <x v="0"/>
    <x v="4"/>
    <x v="7"/>
    <x v="1"/>
  </r>
  <r>
    <s v="Non-identified Sample in rack 12 position 5, track 12."/>
    <x v="12"/>
    <x v="2"/>
    <x v="8"/>
    <d v="1899-12-30T10:07:52"/>
    <s v="Materials"/>
    <x v="0"/>
    <x v="4"/>
    <x v="7"/>
    <x v="1"/>
  </r>
  <r>
    <s v="QC Failed: FVIII-SS-Special Test 2"/>
    <x v="28"/>
    <x v="2"/>
    <x v="8"/>
    <d v="1899-12-30T10:18:01"/>
    <s v="QC"/>
    <x v="0"/>
    <x v="2"/>
    <x v="3"/>
    <x v="0"/>
  </r>
  <r>
    <s v="Normal C. Assayed volume low."/>
    <x v="7"/>
    <x v="1"/>
    <x v="8"/>
    <d v="1899-12-30T10:21:06"/>
    <s v="Materials"/>
    <x v="0"/>
    <x v="3"/>
    <x v="4"/>
    <x v="0"/>
  </r>
  <r>
    <s v="Analyzer Status changed from Busy to Ready."/>
    <x v="0"/>
    <x v="0"/>
    <x v="8"/>
    <d v="1899-12-30T10:27:46"/>
    <s v="Analyzer"/>
    <x v="0"/>
    <x v="0"/>
    <x v="0"/>
    <x v="0"/>
  </r>
  <r>
    <s v="Analyzer Status changed from Ready to Maintenance."/>
    <x v="0"/>
    <x v="0"/>
    <x v="8"/>
    <d v="1899-12-30T10:27:46"/>
    <s v="Analyzer"/>
    <x v="0"/>
    <x v="0"/>
    <x v="0"/>
    <x v="0"/>
  </r>
  <r>
    <s v="Analyzer Status changed from Maintenance to Ready."/>
    <x v="0"/>
    <x v="0"/>
    <x v="8"/>
    <d v="1899-12-30T10:28:12"/>
    <s v="Analyzer"/>
    <x v="0"/>
    <x v="0"/>
    <x v="0"/>
    <x v="0"/>
  </r>
  <r>
    <s v="Automatic maintenance activity Automatic Routine Clean for all Probes has been executed."/>
    <x v="2"/>
    <x v="0"/>
    <x v="8"/>
    <d v="1899-12-30T10:28:12"/>
    <s v="Maintenance"/>
    <x v="0"/>
    <x v="2"/>
    <x v="2"/>
    <x v="0"/>
  </r>
  <r>
    <s v="D-Dimer Low Control on-board stability low."/>
    <x v="6"/>
    <x v="1"/>
    <x v="8"/>
    <d v="1899-12-30T10:30:12"/>
    <s v="Materials"/>
    <x v="0"/>
    <x v="2"/>
    <x v="3"/>
    <x v="0"/>
  </r>
  <r>
    <s v="D-Dimer High Control on-board stability low."/>
    <x v="6"/>
    <x v="1"/>
    <x v="8"/>
    <d v="1899-12-30T10:30:12"/>
    <s v="Materials"/>
    <x v="0"/>
    <x v="2"/>
    <x v="3"/>
    <x v="0"/>
  </r>
  <r>
    <s v="Non-identified Material in rack RC position 4, track 5."/>
    <x v="27"/>
    <x v="2"/>
    <x v="8"/>
    <d v="1899-12-30T10:46:26"/>
    <s v="Materials"/>
    <x v="0"/>
    <x v="2"/>
    <x v="3"/>
    <x v="0"/>
  </r>
  <r>
    <s v="Non-identified Sample in rack 12 position 1, track 12."/>
    <x v="12"/>
    <x v="2"/>
    <x v="8"/>
    <d v="1899-12-30T10:46:33"/>
    <s v="Materials"/>
    <x v="0"/>
    <x v="4"/>
    <x v="7"/>
    <x v="1"/>
  </r>
  <r>
    <s v="Non-identified Sample in rack 12 position 2, track 12."/>
    <x v="12"/>
    <x v="2"/>
    <x v="8"/>
    <d v="1899-12-30T10:46:33"/>
    <s v="Materials"/>
    <x v="0"/>
    <x v="4"/>
    <x v="7"/>
    <x v="1"/>
  </r>
  <r>
    <s v="Non-identified Sample in rack 12 position 3, track 12."/>
    <x v="12"/>
    <x v="2"/>
    <x v="8"/>
    <d v="1899-12-30T10:46:33"/>
    <s v="Materials"/>
    <x v="0"/>
    <x v="4"/>
    <x v="7"/>
    <x v="1"/>
  </r>
  <r>
    <s v="Non-identified Sample in rack 12 position 4, track 12."/>
    <x v="12"/>
    <x v="2"/>
    <x v="8"/>
    <d v="1899-12-30T10:46:33"/>
    <s v="Materials"/>
    <x v="0"/>
    <x v="4"/>
    <x v="7"/>
    <x v="1"/>
  </r>
  <r>
    <s v="Non-identified Sample in rack 12 position 5, track 12."/>
    <x v="12"/>
    <x v="2"/>
    <x v="8"/>
    <d v="1899-12-30T10:46:33"/>
    <s v="Materials"/>
    <x v="0"/>
    <x v="4"/>
    <x v="7"/>
    <x v="1"/>
  </r>
  <r>
    <s v="Non-identified Sample in rack 12 position 1, track 12."/>
    <x v="12"/>
    <x v="2"/>
    <x v="8"/>
    <d v="1899-12-30T11:27:07"/>
    <s v="Materials"/>
    <x v="0"/>
    <x v="4"/>
    <x v="7"/>
    <x v="1"/>
  </r>
  <r>
    <s v="Non-identified Sample in rack 12 position 2, track 12."/>
    <x v="12"/>
    <x v="2"/>
    <x v="8"/>
    <d v="1899-12-30T11:27:07"/>
    <s v="Materials"/>
    <x v="0"/>
    <x v="4"/>
    <x v="7"/>
    <x v="1"/>
  </r>
  <r>
    <s v="Non-identified Sample in rack 12 position 3, track 12."/>
    <x v="12"/>
    <x v="2"/>
    <x v="8"/>
    <d v="1899-12-30T11:27:07"/>
    <s v="Materials"/>
    <x v="0"/>
    <x v="4"/>
    <x v="7"/>
    <x v="1"/>
  </r>
  <r>
    <s v="Non-identified Sample in rack 12 position 4, track 12."/>
    <x v="12"/>
    <x v="2"/>
    <x v="8"/>
    <d v="1899-12-30T11:27:07"/>
    <s v="Materials"/>
    <x v="0"/>
    <x v="4"/>
    <x v="7"/>
    <x v="1"/>
  </r>
  <r>
    <s v="Non-identified Sample in rack 12 position 5, track 12."/>
    <x v="12"/>
    <x v="2"/>
    <x v="8"/>
    <d v="1899-12-30T11:27:07"/>
    <s v="Materials"/>
    <x v="0"/>
    <x v="4"/>
    <x v="7"/>
    <x v="1"/>
  </r>
  <r>
    <s v="Non-identified Sample in rack 12 position 6, track 12."/>
    <x v="12"/>
    <x v="2"/>
    <x v="8"/>
    <d v="1899-12-30T11:27:07"/>
    <s v="Materials"/>
    <x v="0"/>
    <x v="4"/>
    <x v="7"/>
    <x v="1"/>
  </r>
  <r>
    <s v="Analyzer Status changed from Ready to Busy."/>
    <x v="0"/>
    <x v="0"/>
    <x v="8"/>
    <d v="1899-12-30T11:27:13"/>
    <s v="Analyzer"/>
    <x v="0"/>
    <x v="0"/>
    <x v="0"/>
    <x v="0"/>
  </r>
  <r>
    <s v="Analyzer Status changed from Busy to Ready."/>
    <x v="0"/>
    <x v="0"/>
    <x v="8"/>
    <d v="1899-12-30T11:35:44"/>
    <s v="Analyzer"/>
    <x v="0"/>
    <x v="0"/>
    <x v="0"/>
    <x v="0"/>
  </r>
  <r>
    <s v="Analyzer Status changed from Ready to Maintenance."/>
    <x v="0"/>
    <x v="0"/>
    <x v="8"/>
    <d v="1899-12-30T11:35:45"/>
    <s v="Analyzer"/>
    <x v="0"/>
    <x v="0"/>
    <x v="0"/>
    <x v="0"/>
  </r>
  <r>
    <s v="Analyzer Status changed from Maintenance to Ready."/>
    <x v="0"/>
    <x v="0"/>
    <x v="8"/>
    <d v="1899-12-30T11:36:12"/>
    <s v="Analyzer"/>
    <x v="0"/>
    <x v="0"/>
    <x v="0"/>
    <x v="0"/>
  </r>
  <r>
    <s v="Automatic maintenance activity Automatic Routine Clean for all Probes has been executed."/>
    <x v="2"/>
    <x v="0"/>
    <x v="8"/>
    <d v="1899-12-30T11:36:12"/>
    <s v="Maintenance"/>
    <x v="0"/>
    <x v="2"/>
    <x v="2"/>
    <x v="0"/>
  </r>
  <r>
    <s v="Non-identified Sample in rack 12 position 1, track 12."/>
    <x v="12"/>
    <x v="2"/>
    <x v="8"/>
    <d v="1899-12-30T11:58:13"/>
    <s v="Materials"/>
    <x v="0"/>
    <x v="4"/>
    <x v="7"/>
    <x v="1"/>
  </r>
  <r>
    <s v="Non-identified Sample in rack 12 position 2, track 12."/>
    <x v="12"/>
    <x v="2"/>
    <x v="8"/>
    <d v="1899-12-30T11:58:13"/>
    <s v="Materials"/>
    <x v="0"/>
    <x v="4"/>
    <x v="7"/>
    <x v="1"/>
  </r>
  <r>
    <s v="Non-identified Sample in rack 12 position 3, track 12."/>
    <x v="12"/>
    <x v="2"/>
    <x v="8"/>
    <d v="1899-12-30T11:58:13"/>
    <s v="Materials"/>
    <x v="0"/>
    <x v="4"/>
    <x v="7"/>
    <x v="1"/>
  </r>
  <r>
    <s v="Non-identified Sample in rack 12 position 4, track 12."/>
    <x v="12"/>
    <x v="2"/>
    <x v="8"/>
    <d v="1899-12-30T11:58:13"/>
    <s v="Materials"/>
    <x v="0"/>
    <x v="4"/>
    <x v="7"/>
    <x v="1"/>
  </r>
  <r>
    <s v="Non-identified Sample in rack 12 position 5, track 12."/>
    <x v="12"/>
    <x v="2"/>
    <x v="8"/>
    <d v="1899-12-30T11:58:13"/>
    <s v="Materials"/>
    <x v="0"/>
    <x v="4"/>
    <x v="7"/>
    <x v="1"/>
  </r>
  <r>
    <s v="Non-identified Sample in rack 12 position 6, track 12."/>
    <x v="12"/>
    <x v="2"/>
    <x v="8"/>
    <d v="1899-12-30T11:58:13"/>
    <s v="Materials"/>
    <x v="0"/>
    <x v="4"/>
    <x v="7"/>
    <x v="1"/>
  </r>
  <r>
    <s v="Analyzer Status changed from Ready to Busy."/>
    <x v="0"/>
    <x v="0"/>
    <x v="8"/>
    <d v="1899-12-30T11:58:26"/>
    <s v="Analyzer"/>
    <x v="0"/>
    <x v="0"/>
    <x v="0"/>
    <x v="0"/>
  </r>
  <r>
    <s v="Analyzer Status changed from Busy to Ready."/>
    <x v="0"/>
    <x v="0"/>
    <x v="8"/>
    <d v="1899-12-30T12:05:22"/>
    <s v="Analyzer"/>
    <x v="0"/>
    <x v="0"/>
    <x v="0"/>
    <x v="0"/>
  </r>
  <r>
    <s v="Analyzer Status changed from Ready to Maintenance."/>
    <x v="0"/>
    <x v="0"/>
    <x v="8"/>
    <d v="1899-12-30T12:05:22"/>
    <s v="Analyzer"/>
    <x v="0"/>
    <x v="0"/>
    <x v="0"/>
    <x v="0"/>
  </r>
  <r>
    <s v="Automatic maintenance activity Automatic Routine Clean for all Probes has been executed."/>
    <x v="2"/>
    <x v="0"/>
    <x v="8"/>
    <d v="1899-12-30T12:05:53"/>
    <s v="Maintenance"/>
    <x v="0"/>
    <x v="2"/>
    <x v="2"/>
    <x v="0"/>
  </r>
  <r>
    <s v="Analyzer Status changed from Maintenance to Ready."/>
    <x v="0"/>
    <x v="0"/>
    <x v="8"/>
    <d v="1899-12-30T12:05:54"/>
    <s v="Analyzer"/>
    <x v="0"/>
    <x v="0"/>
    <x v="0"/>
    <x v="0"/>
  </r>
  <r>
    <s v="Analyzer Status changed from Ready to Maintenance."/>
    <x v="0"/>
    <x v="0"/>
    <x v="8"/>
    <d v="1899-12-30T13:05:54"/>
    <s v="Analyzer"/>
    <x v="0"/>
    <x v="0"/>
    <x v="0"/>
    <x v="0"/>
  </r>
  <r>
    <s v="Automatic maintenance activity Automatic Fluidic Line Priming Cycle has been executed."/>
    <x v="2"/>
    <x v="0"/>
    <x v="8"/>
    <d v="1899-12-30T13:06:15"/>
    <s v="Maintenance"/>
    <x v="0"/>
    <x v="2"/>
    <x v="2"/>
    <x v="0"/>
  </r>
  <r>
    <s v="Analyzer Status changed from Maintenance to Ready."/>
    <x v="0"/>
    <x v="0"/>
    <x v="8"/>
    <d v="1899-12-30T13:06:16"/>
    <s v="Analyzer"/>
    <x v="0"/>
    <x v="0"/>
    <x v="0"/>
    <x v="0"/>
  </r>
  <r>
    <s v="Analyzer Status changed from Ready to Maintenance."/>
    <x v="0"/>
    <x v="0"/>
    <x v="8"/>
    <d v="1899-12-30T14:06:16"/>
    <s v="Analyzer"/>
    <x v="0"/>
    <x v="0"/>
    <x v="0"/>
    <x v="0"/>
  </r>
  <r>
    <s v="Analyzer Status changed from Maintenance to Ready."/>
    <x v="0"/>
    <x v="0"/>
    <x v="8"/>
    <d v="1899-12-30T14:06:37"/>
    <s v="Analyzer"/>
    <x v="0"/>
    <x v="0"/>
    <x v="0"/>
    <x v="0"/>
  </r>
  <r>
    <s v="Automatic maintenance activity Automatic Fluidic Line Priming Cycle has been executed."/>
    <x v="2"/>
    <x v="0"/>
    <x v="8"/>
    <d v="1899-12-30T14:06:37"/>
    <s v="Maintenance"/>
    <x v="0"/>
    <x v="2"/>
    <x v="2"/>
    <x v="0"/>
  </r>
  <r>
    <s v="Analyzer Status changed from Ready to Maintenance."/>
    <x v="0"/>
    <x v="0"/>
    <x v="8"/>
    <d v="1899-12-30T15:06:38"/>
    <s v="Analyzer"/>
    <x v="0"/>
    <x v="0"/>
    <x v="0"/>
    <x v="0"/>
  </r>
  <r>
    <s v="Analyzer Status changed from Maintenance to Ready."/>
    <x v="0"/>
    <x v="0"/>
    <x v="8"/>
    <d v="1899-12-30T15:06:59"/>
    <s v="Analyzer"/>
    <x v="0"/>
    <x v="0"/>
    <x v="0"/>
    <x v="0"/>
  </r>
  <r>
    <s v="Automatic maintenance activity Automatic Fluidic Line Priming Cycle has been executed."/>
    <x v="2"/>
    <x v="0"/>
    <x v="8"/>
    <d v="1899-12-30T15:06:59"/>
    <s v="Maintenance"/>
    <x v="0"/>
    <x v="2"/>
    <x v="2"/>
    <x v="0"/>
  </r>
  <r>
    <s v="Analyzer Status changed from Ready to Maintenance."/>
    <x v="0"/>
    <x v="0"/>
    <x v="8"/>
    <d v="1899-12-30T16:07:00"/>
    <s v="Analyzer"/>
    <x v="0"/>
    <x v="0"/>
    <x v="0"/>
    <x v="0"/>
  </r>
  <r>
    <s v="Analyzer Status changed from Maintenance to Ready."/>
    <x v="0"/>
    <x v="0"/>
    <x v="8"/>
    <d v="1899-12-30T16:07:21"/>
    <s v="Analyzer"/>
    <x v="0"/>
    <x v="0"/>
    <x v="0"/>
    <x v="0"/>
  </r>
  <r>
    <s v="Automatic maintenance activity Automatic Fluidic Line Priming Cycle has been executed."/>
    <x v="2"/>
    <x v="0"/>
    <x v="8"/>
    <d v="1899-12-30T16:07:21"/>
    <s v="Maintenance"/>
    <x v="0"/>
    <x v="2"/>
    <x v="2"/>
    <x v="0"/>
  </r>
  <r>
    <s v="Analyzer Status changed from Ready to Maintenance."/>
    <x v="0"/>
    <x v="0"/>
    <x v="8"/>
    <d v="1899-12-30T17:07:21"/>
    <s v="Analyzer"/>
    <x v="0"/>
    <x v="0"/>
    <x v="0"/>
    <x v="0"/>
  </r>
  <r>
    <s v="Analyzer Status changed from Maintenance to Ready."/>
    <x v="0"/>
    <x v="0"/>
    <x v="8"/>
    <d v="1899-12-30T17:07:43"/>
    <s v="Analyzer"/>
    <x v="0"/>
    <x v="0"/>
    <x v="0"/>
    <x v="0"/>
  </r>
  <r>
    <s v="Automatic maintenance activity Automatic Fluidic Line Priming Cycle has been executed."/>
    <x v="2"/>
    <x v="0"/>
    <x v="8"/>
    <d v="1899-12-30T17:07:43"/>
    <s v="Maintenance"/>
    <x v="0"/>
    <x v="2"/>
    <x v="2"/>
    <x v="0"/>
  </r>
  <r>
    <s v="Analyzer Status changed from Ready to Maintenance."/>
    <x v="0"/>
    <x v="0"/>
    <x v="8"/>
    <d v="1899-12-30T18:07:43"/>
    <s v="Analyzer"/>
    <x v="0"/>
    <x v="0"/>
    <x v="0"/>
    <x v="0"/>
  </r>
  <r>
    <s v="Analyzer Status changed from Maintenance to Ready."/>
    <x v="0"/>
    <x v="0"/>
    <x v="8"/>
    <d v="1899-12-30T18:08:05"/>
    <s v="Analyzer"/>
    <x v="0"/>
    <x v="0"/>
    <x v="0"/>
    <x v="0"/>
  </r>
  <r>
    <s v="Automatic maintenance activity Automatic Fluidic Line Priming Cycle has been executed."/>
    <x v="2"/>
    <x v="0"/>
    <x v="8"/>
    <d v="1899-12-30T18:08:05"/>
    <s v="Maintenance"/>
    <x v="0"/>
    <x v="2"/>
    <x v="2"/>
    <x v="0"/>
  </r>
  <r>
    <s v="Analyzer Status changed from Ready to Maintenance."/>
    <x v="0"/>
    <x v="0"/>
    <x v="8"/>
    <d v="1899-12-30T19:08:05"/>
    <s v="Analyzer"/>
    <x v="0"/>
    <x v="0"/>
    <x v="0"/>
    <x v="0"/>
  </r>
  <r>
    <s v="Analyzer Status changed from Maintenance to Ready."/>
    <x v="0"/>
    <x v="0"/>
    <x v="8"/>
    <d v="1899-12-30T19:08:27"/>
    <s v="Analyzer"/>
    <x v="0"/>
    <x v="0"/>
    <x v="0"/>
    <x v="0"/>
  </r>
  <r>
    <s v="Automatic maintenance activity Automatic Fluidic Line Priming Cycle has been executed."/>
    <x v="2"/>
    <x v="0"/>
    <x v="8"/>
    <d v="1899-12-30T19:08:27"/>
    <s v="Maintenance"/>
    <x v="0"/>
    <x v="2"/>
    <x v="2"/>
    <x v="0"/>
  </r>
  <r>
    <s v="Analyzer Status changed from Ready to Maintenance."/>
    <x v="0"/>
    <x v="0"/>
    <x v="8"/>
    <d v="1899-12-30T20:08:27"/>
    <s v="Analyzer"/>
    <x v="0"/>
    <x v="0"/>
    <x v="0"/>
    <x v="0"/>
  </r>
  <r>
    <s v="Analyzer Status changed from Maintenance to Ready."/>
    <x v="0"/>
    <x v="0"/>
    <x v="8"/>
    <d v="1899-12-30T20:08:49"/>
    <s v="Analyzer"/>
    <x v="0"/>
    <x v="0"/>
    <x v="0"/>
    <x v="0"/>
  </r>
  <r>
    <s v="Automatic maintenance activity Automatic Fluidic Line Priming Cycle has been executed."/>
    <x v="2"/>
    <x v="0"/>
    <x v="8"/>
    <d v="1899-12-30T20:08:49"/>
    <s v="Maintenance"/>
    <x v="0"/>
    <x v="2"/>
    <x v="2"/>
    <x v="0"/>
  </r>
  <r>
    <s v="Analyzer Status changed from Ready to Maintenance."/>
    <x v="0"/>
    <x v="0"/>
    <x v="8"/>
    <d v="1899-12-30T21:08:49"/>
    <s v="Analyzer"/>
    <x v="0"/>
    <x v="0"/>
    <x v="0"/>
    <x v="0"/>
  </r>
  <r>
    <s v="Analyzer Status changed from Maintenance to Ready."/>
    <x v="0"/>
    <x v="0"/>
    <x v="8"/>
    <d v="1899-12-30T21:09:11"/>
    <s v="Analyzer"/>
    <x v="0"/>
    <x v="0"/>
    <x v="0"/>
    <x v="0"/>
  </r>
  <r>
    <s v="Automatic maintenance activity Automatic Fluidic Line Priming Cycle has been executed."/>
    <x v="2"/>
    <x v="0"/>
    <x v="8"/>
    <d v="1899-12-30T21:09:11"/>
    <s v="Maintenance"/>
    <x v="0"/>
    <x v="2"/>
    <x v="2"/>
    <x v="0"/>
  </r>
  <r>
    <s v="Analyzer Status changed from Ready to Maintenance."/>
    <x v="0"/>
    <x v="0"/>
    <x v="8"/>
    <d v="1899-12-30T22:09:11"/>
    <s v="Analyzer"/>
    <x v="0"/>
    <x v="0"/>
    <x v="0"/>
    <x v="0"/>
  </r>
  <r>
    <s v="Analyzer Status changed from Maintenance to Ready."/>
    <x v="0"/>
    <x v="0"/>
    <x v="8"/>
    <d v="1899-12-30T22:09:33"/>
    <s v="Analyzer"/>
    <x v="0"/>
    <x v="0"/>
    <x v="0"/>
    <x v="0"/>
  </r>
  <r>
    <s v="Automatic maintenance activity Automatic Fluidic Line Priming Cycle has been executed."/>
    <x v="2"/>
    <x v="0"/>
    <x v="8"/>
    <d v="1899-12-30T22:09:33"/>
    <s v="Maintenance"/>
    <x v="0"/>
    <x v="2"/>
    <x v="2"/>
    <x v="0"/>
  </r>
  <r>
    <s v="Analyzer Status changed from Ready to Maintenance."/>
    <x v="0"/>
    <x v="0"/>
    <x v="8"/>
    <d v="1899-12-30T23:09:33"/>
    <s v="Analyzer"/>
    <x v="0"/>
    <x v="0"/>
    <x v="0"/>
    <x v="0"/>
  </r>
  <r>
    <s v="Analyzer Status changed from Maintenance to Ready."/>
    <x v="0"/>
    <x v="0"/>
    <x v="8"/>
    <d v="1899-12-30T23:09:55"/>
    <s v="Analyzer"/>
    <x v="0"/>
    <x v="0"/>
    <x v="0"/>
    <x v="0"/>
  </r>
  <r>
    <s v="Automatic maintenance activity Automatic Fluidic Line Priming Cycle has been executed."/>
    <x v="2"/>
    <x v="0"/>
    <x v="8"/>
    <d v="1899-12-30T23:09:55"/>
    <s v="Maintenance"/>
    <x v="0"/>
    <x v="2"/>
    <x v="2"/>
    <x v="0"/>
  </r>
  <r>
    <s v="Analyzer Status changed from Ready to Maintenance."/>
    <x v="0"/>
    <x v="0"/>
    <x v="9"/>
    <d v="1899-12-30T00:09:55"/>
    <s v="Analyzer"/>
    <x v="0"/>
    <x v="0"/>
    <x v="0"/>
    <x v="0"/>
  </r>
  <r>
    <s v="Automatic maintenance activity Automatic Fluidic Line Priming Cycle has been executed."/>
    <x v="2"/>
    <x v="0"/>
    <x v="9"/>
    <d v="1899-12-30T00:10:16"/>
    <s v="Maintenance"/>
    <x v="0"/>
    <x v="2"/>
    <x v="2"/>
    <x v="0"/>
  </r>
  <r>
    <s v="Analyzer Status changed from Maintenance to Ready."/>
    <x v="0"/>
    <x v="0"/>
    <x v="9"/>
    <d v="1899-12-30T00:10:17"/>
    <s v="Analyzer"/>
    <x v="0"/>
    <x v="0"/>
    <x v="0"/>
    <x v="0"/>
  </r>
  <r>
    <s v="Analyzer Status changed from Ready to Maintenance."/>
    <x v="0"/>
    <x v="0"/>
    <x v="9"/>
    <d v="1899-12-30T01:10:17"/>
    <s v="Analyzer"/>
    <x v="0"/>
    <x v="0"/>
    <x v="0"/>
    <x v="0"/>
  </r>
  <r>
    <s v="Automatic maintenance activity Automatic Fluidic Line Priming Cycle has been executed."/>
    <x v="2"/>
    <x v="0"/>
    <x v="9"/>
    <d v="1899-12-30T01:10:38"/>
    <s v="Maintenance"/>
    <x v="0"/>
    <x v="2"/>
    <x v="2"/>
    <x v="0"/>
  </r>
  <r>
    <s v="Analyzer Status changed from Maintenance to Ready."/>
    <x v="0"/>
    <x v="0"/>
    <x v="9"/>
    <d v="1899-12-30T01:10:39"/>
    <s v="Analyzer"/>
    <x v="0"/>
    <x v="0"/>
    <x v="0"/>
    <x v="0"/>
  </r>
  <r>
    <s v="Analyzer Status changed from Ready to Maintenance."/>
    <x v="0"/>
    <x v="0"/>
    <x v="9"/>
    <d v="1899-12-30T02:10:39"/>
    <s v="Analyzer"/>
    <x v="0"/>
    <x v="0"/>
    <x v="0"/>
    <x v="0"/>
  </r>
  <r>
    <s v="Analyzer Status changed from Maintenance to Ready."/>
    <x v="0"/>
    <x v="0"/>
    <x v="9"/>
    <d v="1899-12-30T02:11:00"/>
    <s v="Analyzer"/>
    <x v="0"/>
    <x v="0"/>
    <x v="0"/>
    <x v="0"/>
  </r>
  <r>
    <s v="Automatic maintenance activity Automatic Fluidic Line Priming Cycle has been executed."/>
    <x v="2"/>
    <x v="0"/>
    <x v="9"/>
    <d v="1899-12-30T02:11:00"/>
    <s v="Maintenance"/>
    <x v="0"/>
    <x v="2"/>
    <x v="2"/>
    <x v="0"/>
  </r>
  <r>
    <s v="Analyzer Status changed from Ready to Maintenance."/>
    <x v="0"/>
    <x v="0"/>
    <x v="9"/>
    <d v="1899-12-30T03:11:01"/>
    <s v="Analyzer"/>
    <x v="0"/>
    <x v="0"/>
    <x v="0"/>
    <x v="0"/>
  </r>
  <r>
    <s v="Analyzer Status changed from Maintenance to Ready."/>
    <x v="0"/>
    <x v="0"/>
    <x v="9"/>
    <d v="1899-12-30T03:11:22"/>
    <s v="Analyzer"/>
    <x v="0"/>
    <x v="0"/>
    <x v="0"/>
    <x v="0"/>
  </r>
  <r>
    <s v="Automatic maintenance activity Automatic Fluidic Line Priming Cycle has been executed."/>
    <x v="2"/>
    <x v="0"/>
    <x v="9"/>
    <d v="1899-12-30T03:11:22"/>
    <s v="Maintenance"/>
    <x v="0"/>
    <x v="2"/>
    <x v="2"/>
    <x v="0"/>
  </r>
  <r>
    <s v="Analyzer Status changed from Ready to Maintenance."/>
    <x v="0"/>
    <x v="0"/>
    <x v="9"/>
    <d v="1899-12-30T04:11:22"/>
    <s v="Analyzer"/>
    <x v="0"/>
    <x v="0"/>
    <x v="0"/>
    <x v="0"/>
  </r>
  <r>
    <s v="Analyzer Status changed from Maintenance to Ready."/>
    <x v="0"/>
    <x v="0"/>
    <x v="9"/>
    <d v="1899-12-30T04:11:44"/>
    <s v="Analyzer"/>
    <x v="0"/>
    <x v="0"/>
    <x v="0"/>
    <x v="0"/>
  </r>
  <r>
    <s v="Automatic maintenance activity Automatic Fluidic Line Priming Cycle has been executed."/>
    <x v="2"/>
    <x v="0"/>
    <x v="9"/>
    <d v="1899-12-30T04:11:44"/>
    <s v="Maintenance"/>
    <x v="0"/>
    <x v="2"/>
    <x v="2"/>
    <x v="0"/>
  </r>
  <r>
    <s v="Analyzer Status changed from Ready to Maintenance."/>
    <x v="0"/>
    <x v="0"/>
    <x v="9"/>
    <d v="1899-12-30T05:11:45"/>
    <s v="Analyzer"/>
    <x v="0"/>
    <x v="0"/>
    <x v="0"/>
    <x v="0"/>
  </r>
  <r>
    <s v="Analyzer Status changed from Maintenance to Ready."/>
    <x v="0"/>
    <x v="0"/>
    <x v="9"/>
    <d v="1899-12-30T05:12:06"/>
    <s v="Analyzer"/>
    <x v="0"/>
    <x v="0"/>
    <x v="0"/>
    <x v="0"/>
  </r>
  <r>
    <s v="Automatic maintenance activity Automatic Fluidic Line Priming Cycle has been executed."/>
    <x v="2"/>
    <x v="0"/>
    <x v="9"/>
    <d v="1899-12-30T05:12:06"/>
    <s v="Maintenance"/>
    <x v="0"/>
    <x v="2"/>
    <x v="2"/>
    <x v="0"/>
  </r>
  <r>
    <s v="Analyzer Status changed from Ready to Maintenance."/>
    <x v="0"/>
    <x v="0"/>
    <x v="9"/>
    <d v="1899-12-30T06:12:07"/>
    <s v="Analyzer"/>
    <x v="0"/>
    <x v="0"/>
    <x v="0"/>
    <x v="0"/>
  </r>
  <r>
    <s v="Analyzer Status changed from Maintenance to Ready."/>
    <x v="0"/>
    <x v="0"/>
    <x v="9"/>
    <d v="1899-12-30T06:12:28"/>
    <s v="Analyzer"/>
    <x v="0"/>
    <x v="0"/>
    <x v="0"/>
    <x v="0"/>
  </r>
  <r>
    <s v="Automatic maintenance activity Automatic Fluidic Line Priming Cycle has been executed."/>
    <x v="2"/>
    <x v="0"/>
    <x v="9"/>
    <d v="1899-12-30T06:12:28"/>
    <s v="Maintenance"/>
    <x v="0"/>
    <x v="2"/>
    <x v="2"/>
    <x v="0"/>
  </r>
  <r>
    <s v="Analyzer Status changed from Ready to Maintenance."/>
    <x v="0"/>
    <x v="0"/>
    <x v="9"/>
    <d v="1899-12-30T07:12:28"/>
    <s v="Analyzer"/>
    <x v="0"/>
    <x v="0"/>
    <x v="0"/>
    <x v="0"/>
  </r>
  <r>
    <s v="Analyzer Status changed from Maintenance to Ready."/>
    <x v="0"/>
    <x v="0"/>
    <x v="9"/>
    <d v="1899-12-30T07:12:50"/>
    <s v="Analyzer"/>
    <x v="0"/>
    <x v="0"/>
    <x v="0"/>
    <x v="0"/>
  </r>
  <r>
    <s v="Automatic maintenance activity Automatic Fluidic Line Priming Cycle has been executed."/>
    <x v="2"/>
    <x v="0"/>
    <x v="9"/>
    <d v="1899-12-30T07:12:50"/>
    <s v="Maintenance"/>
    <x v="0"/>
    <x v="2"/>
    <x v="2"/>
    <x v="0"/>
  </r>
  <r>
    <s v="Analyzer Status changed from Ready to Maintenance."/>
    <x v="0"/>
    <x v="0"/>
    <x v="9"/>
    <d v="1899-12-30T08:03:23"/>
    <s v="Analyzer"/>
    <x v="0"/>
    <x v="0"/>
    <x v="0"/>
    <x v="0"/>
  </r>
  <r>
    <s v="Analyzer Status changed from Maintenance to Ready."/>
    <x v="0"/>
    <x v="0"/>
    <x v="9"/>
    <d v="1899-12-30T08:15:29"/>
    <s v="Analyzer"/>
    <x v="0"/>
    <x v="0"/>
    <x v="0"/>
    <x v="0"/>
  </r>
  <r>
    <s v="Semiautomatic maintenance activity Enhanced Clean for all Probes has been executed."/>
    <x v="4"/>
    <x v="0"/>
    <x v="9"/>
    <d v="1899-12-30T08:15:29"/>
    <s v="Maintenance"/>
    <x v="0"/>
    <x v="2"/>
    <x v="2"/>
    <x v="0"/>
  </r>
  <r>
    <s v="Analyzer Status changed from Ready to Maintenance."/>
    <x v="0"/>
    <x v="0"/>
    <x v="9"/>
    <d v="1899-12-30T08:16:06"/>
    <s v="Analyzer"/>
    <x v="0"/>
    <x v="0"/>
    <x v="0"/>
    <x v="0"/>
  </r>
  <r>
    <s v="Manual maintenance activity replace factor diluent has been executed."/>
    <x v="5"/>
    <x v="0"/>
    <x v="9"/>
    <d v="1899-12-30T08:16:08"/>
    <s v="Maintenance"/>
    <x v="0"/>
    <x v="2"/>
    <x v="2"/>
    <x v="0"/>
  </r>
  <r>
    <s v="Analyzer Status changed from Maintenance to Ready."/>
    <x v="0"/>
    <x v="0"/>
    <x v="9"/>
    <d v="1899-12-30T08:16:09"/>
    <s v="Analyzer"/>
    <x v="0"/>
    <x v="0"/>
    <x v="0"/>
    <x v="0"/>
  </r>
  <r>
    <s v="Analyzer Status changed from Ready to Maintenance."/>
    <x v="0"/>
    <x v="0"/>
    <x v="9"/>
    <d v="1899-12-30T08:16:13"/>
    <s v="Analyzer"/>
    <x v="0"/>
    <x v="0"/>
    <x v="0"/>
    <x v="0"/>
  </r>
  <r>
    <s v="Analyzer Status changed from Maintenance to Ready."/>
    <x v="0"/>
    <x v="0"/>
    <x v="9"/>
    <d v="1899-12-30T08:16:16"/>
    <s v="Analyzer"/>
    <x v="0"/>
    <x v="0"/>
    <x v="0"/>
    <x v="0"/>
  </r>
  <r>
    <s v="Manual maintenance activity make new diluted clean B has been executed."/>
    <x v="5"/>
    <x v="0"/>
    <x v="9"/>
    <d v="1899-12-30T08:16:16"/>
    <s v="Maintenance"/>
    <x v="0"/>
    <x v="2"/>
    <x v="2"/>
    <x v="0"/>
  </r>
  <r>
    <s v="Non-identified Sample in rack 07 position 1, track 12."/>
    <x v="12"/>
    <x v="2"/>
    <x v="9"/>
    <d v="1899-12-30T08:18:16"/>
    <s v="Materials"/>
    <x v="0"/>
    <x v="4"/>
    <x v="7"/>
    <x v="1"/>
  </r>
  <r>
    <s v="Non-identified Sample in rack 07 position 2, track 12."/>
    <x v="12"/>
    <x v="2"/>
    <x v="9"/>
    <d v="1899-12-30T08:18:16"/>
    <s v="Materials"/>
    <x v="0"/>
    <x v="4"/>
    <x v="7"/>
    <x v="1"/>
  </r>
  <r>
    <s v="Non-identified Sample in rack 07 position 3, track 12."/>
    <x v="12"/>
    <x v="2"/>
    <x v="9"/>
    <d v="1899-12-30T08:18:16"/>
    <s v="Materials"/>
    <x v="0"/>
    <x v="4"/>
    <x v="7"/>
    <x v="1"/>
  </r>
  <r>
    <s v="Non-identified Sample in rack 07 position 4, track 12."/>
    <x v="12"/>
    <x v="2"/>
    <x v="9"/>
    <d v="1899-12-30T08:18:16"/>
    <s v="Materials"/>
    <x v="0"/>
    <x v="4"/>
    <x v="7"/>
    <x v="1"/>
  </r>
  <r>
    <s v="Non-identified Sample in rack 07 position 5, track 12."/>
    <x v="12"/>
    <x v="2"/>
    <x v="9"/>
    <d v="1899-12-30T08:18:16"/>
    <s v="Materials"/>
    <x v="0"/>
    <x v="4"/>
    <x v="7"/>
    <x v="1"/>
  </r>
  <r>
    <s v="Analyzer Status changed from Ready to Busy."/>
    <x v="0"/>
    <x v="0"/>
    <x v="9"/>
    <d v="1899-12-30T08:18:44"/>
    <s v="Analyzer"/>
    <x v="0"/>
    <x v="0"/>
    <x v="0"/>
    <x v="0"/>
  </r>
  <r>
    <s v="Analyzer Status changed from Busy to Ready."/>
    <x v="0"/>
    <x v="0"/>
    <x v="9"/>
    <d v="1899-12-30T08:32:28"/>
    <s v="Analyzer"/>
    <x v="0"/>
    <x v="0"/>
    <x v="0"/>
    <x v="0"/>
  </r>
  <r>
    <s v="Analyzer Status changed from Ready to Maintenance."/>
    <x v="0"/>
    <x v="0"/>
    <x v="9"/>
    <d v="1899-12-30T08:32:29"/>
    <s v="Analyzer"/>
    <x v="0"/>
    <x v="0"/>
    <x v="0"/>
    <x v="0"/>
  </r>
  <r>
    <s v="Automatic maintenance activity Automatic Routine Clean for all Probes has been executed."/>
    <x v="2"/>
    <x v="0"/>
    <x v="9"/>
    <d v="1899-12-30T08:33:33"/>
    <s v="Maintenance"/>
    <x v="0"/>
    <x v="2"/>
    <x v="2"/>
    <x v="0"/>
  </r>
  <r>
    <s v="Analyzer Status changed from Maintenance to Ready."/>
    <x v="0"/>
    <x v="0"/>
    <x v="9"/>
    <d v="1899-12-30T08:33:34"/>
    <s v="Analyzer"/>
    <x v="0"/>
    <x v="0"/>
    <x v="0"/>
    <x v="0"/>
  </r>
  <r>
    <s v="Analyzer Status changed from Ready to Diagnostics."/>
    <x v="0"/>
    <x v="0"/>
    <x v="9"/>
    <d v="1899-12-30T09:29:24"/>
    <s v="Analyzer"/>
    <x v="0"/>
    <x v="0"/>
    <x v="0"/>
    <x v="0"/>
  </r>
  <r>
    <s v="Analyzer Status changed from Diagnostics to Emergency stop."/>
    <x v="0"/>
    <x v="0"/>
    <x v="9"/>
    <d v="1899-12-30T09:37:11"/>
    <s v="Analyzer"/>
    <x v="0"/>
    <x v="0"/>
    <x v="0"/>
    <x v="0"/>
  </r>
  <r>
    <s v="Analyzer Status changed from Emergency stop to Not connected."/>
    <x v="0"/>
    <x v="0"/>
    <x v="9"/>
    <d v="1899-12-30T09:37:11"/>
    <s v="Analyzer"/>
    <x v="0"/>
    <x v="0"/>
    <x v="0"/>
    <x v="0"/>
  </r>
  <r>
    <s v="Analyzer Status changed from Not connected to Power up."/>
    <x v="0"/>
    <x v="0"/>
    <x v="9"/>
    <d v="1899-12-30T09:37:53"/>
    <s v="Analyzer"/>
    <x v="0"/>
    <x v="0"/>
    <x v="0"/>
    <x v="0"/>
  </r>
  <r>
    <s v="Analyzer Status changed from Power up to Initializing."/>
    <x v="0"/>
    <x v="0"/>
    <x v="9"/>
    <d v="1899-12-30T09:38:03"/>
    <s v="Analyzer"/>
    <x v="0"/>
    <x v="0"/>
    <x v="0"/>
    <x v="0"/>
  </r>
  <r>
    <s v="Analyzer Status changed from Initializing to Adjusting thermal."/>
    <x v="0"/>
    <x v="0"/>
    <x v="9"/>
    <d v="1899-12-30T09:39:49"/>
    <s v="Analyzer"/>
    <x v="0"/>
    <x v="0"/>
    <x v="0"/>
    <x v="0"/>
  </r>
  <r>
    <s v="Analyzer Status changed from Adjusting thermal to Ready."/>
    <x v="0"/>
    <x v="0"/>
    <x v="9"/>
    <d v="1899-12-30T09:42:16"/>
    <s v="Analyzer"/>
    <x v="0"/>
    <x v="0"/>
    <x v="0"/>
    <x v="0"/>
  </r>
  <r>
    <s v="Analyzer Status changed from Ready to Maintenance."/>
    <x v="0"/>
    <x v="0"/>
    <x v="9"/>
    <d v="1899-12-30T09:42:16"/>
    <s v="Analyzer"/>
    <x v="0"/>
    <x v="0"/>
    <x v="0"/>
    <x v="0"/>
  </r>
  <r>
    <s v="Analyzer Status changed from Maintenance to Ready."/>
    <x v="0"/>
    <x v="0"/>
    <x v="9"/>
    <d v="1899-12-30T09:43:29"/>
    <s v="Analyzer"/>
    <x v="0"/>
    <x v="0"/>
    <x v="0"/>
    <x v="0"/>
  </r>
  <r>
    <s v="Analyzer Status changed from Ready to Diagnostics."/>
    <x v="0"/>
    <x v="0"/>
    <x v="9"/>
    <d v="1899-12-30T09:56:13"/>
    <s v="Analyzer"/>
    <x v="0"/>
    <x v="0"/>
    <x v="0"/>
    <x v="0"/>
  </r>
  <r>
    <s v="Analyzer Status changed from Diagnostics to Emergency stop."/>
    <x v="0"/>
    <x v="0"/>
    <x v="9"/>
    <d v="1899-12-30T10:00:57"/>
    <s v="Analyzer"/>
    <x v="0"/>
    <x v="0"/>
    <x v="0"/>
    <x v="0"/>
  </r>
  <r>
    <s v="Analyzer Status changed from Emergency stop to Not connected."/>
    <x v="0"/>
    <x v="0"/>
    <x v="9"/>
    <d v="1899-12-30T10:00:57"/>
    <s v="Analyzer"/>
    <x v="0"/>
    <x v="0"/>
    <x v="0"/>
    <x v="0"/>
  </r>
  <r>
    <s v="Analyzer Status changed from Not connected to Power up."/>
    <x v="0"/>
    <x v="0"/>
    <x v="9"/>
    <d v="1899-12-30T10:01:44"/>
    <s v="Analyzer"/>
    <x v="0"/>
    <x v="0"/>
    <x v="0"/>
    <x v="0"/>
  </r>
  <r>
    <s v="Analyzer Status changed from Power up to Initializing."/>
    <x v="0"/>
    <x v="0"/>
    <x v="9"/>
    <d v="1899-12-30T10:01:54"/>
    <s v="Analyzer"/>
    <x v="0"/>
    <x v="0"/>
    <x v="0"/>
    <x v="0"/>
  </r>
  <r>
    <s v="Analyzer Status changed from Initializing to Adjusting thermal."/>
    <x v="0"/>
    <x v="0"/>
    <x v="9"/>
    <d v="1899-12-30T10:03:41"/>
    <s v="Analyzer"/>
    <x v="0"/>
    <x v="0"/>
    <x v="0"/>
    <x v="0"/>
  </r>
  <r>
    <s v="Analyzer Status changed from Adjusting thermal to Ready."/>
    <x v="0"/>
    <x v="0"/>
    <x v="9"/>
    <d v="1899-12-30T10:06:02"/>
    <s v="Analyzer"/>
    <x v="0"/>
    <x v="0"/>
    <x v="0"/>
    <x v="0"/>
  </r>
  <r>
    <s v="Analyzer Status changed from Ready to Maintenance."/>
    <x v="0"/>
    <x v="0"/>
    <x v="9"/>
    <d v="1899-12-30T10:06:02"/>
    <s v="Analyzer"/>
    <x v="0"/>
    <x v="0"/>
    <x v="0"/>
    <x v="0"/>
  </r>
  <r>
    <s v="Analyzer Status changed from Maintenance to Ready."/>
    <x v="0"/>
    <x v="0"/>
    <x v="9"/>
    <d v="1899-12-30T10:07:15"/>
    <s v="Analyzer"/>
    <x v="0"/>
    <x v="0"/>
    <x v="0"/>
    <x v="0"/>
  </r>
  <r>
    <s v="Non-identified Sample in rack 12 position 1, track 12."/>
    <x v="12"/>
    <x v="2"/>
    <x v="9"/>
    <d v="1899-12-30T10:07:59"/>
    <s v="Materials"/>
    <x v="0"/>
    <x v="4"/>
    <x v="7"/>
    <x v="1"/>
  </r>
  <r>
    <s v="Analyzer Status changed from Ready to Busy."/>
    <x v="0"/>
    <x v="0"/>
    <x v="9"/>
    <d v="1899-12-30T10:08:04"/>
    <s v="Analyzer"/>
    <x v="0"/>
    <x v="0"/>
    <x v="0"/>
    <x v="0"/>
  </r>
  <r>
    <s v="FII-RP Patient job not feasible. Waiting for Factor Diluent."/>
    <x v="26"/>
    <x v="1"/>
    <x v="9"/>
    <d v="1899-12-30T10:08:36"/>
    <s v="Materials"/>
    <x v="0"/>
    <x v="2"/>
    <x v="3"/>
    <x v="0"/>
  </r>
  <r>
    <s v="FII-RP Patient job not feasible. Waiting for FII Def. Plasma."/>
    <x v="26"/>
    <x v="1"/>
    <x v="9"/>
    <d v="1899-12-30T10:08:36"/>
    <s v="Materials"/>
    <x v="0"/>
    <x v="2"/>
    <x v="3"/>
    <x v="0"/>
  </r>
  <r>
    <s v="FII-RP Patient job not feasible. Waiting for PT RecombiPlasTin."/>
    <x v="26"/>
    <x v="1"/>
    <x v="9"/>
    <d v="1899-12-30T10:08:36"/>
    <s v="Materials"/>
    <x v="0"/>
    <x v="2"/>
    <x v="3"/>
    <x v="0"/>
  </r>
  <r>
    <s v="Analyzer Status changed from Busy to Ready."/>
    <x v="0"/>
    <x v="0"/>
    <x v="9"/>
    <d v="1899-12-30T10:08:36"/>
    <s v="Analyzer"/>
    <x v="0"/>
    <x v="0"/>
    <x v="0"/>
    <x v="0"/>
  </r>
  <r>
    <s v="FII-RP Patient Required Clean Material shortage has been estimated. Monitor Clean B Diluted availability."/>
    <x v="11"/>
    <x v="1"/>
    <x v="9"/>
    <d v="1899-12-30T10:08:36"/>
    <s v="Materials"/>
    <x v="0"/>
    <x v="2"/>
    <x v="3"/>
    <x v="0"/>
  </r>
  <r>
    <s v="Analyzer Status changed from Ready to Maintenance."/>
    <x v="0"/>
    <x v="0"/>
    <x v="9"/>
    <d v="1899-12-30T11:08:37"/>
    <s v="Analyzer"/>
    <x v="0"/>
    <x v="0"/>
    <x v="0"/>
    <x v="0"/>
  </r>
  <r>
    <s v="Analyzer Status changed from Maintenance to Ready."/>
    <x v="0"/>
    <x v="0"/>
    <x v="9"/>
    <d v="1899-12-30T11:08:58"/>
    <s v="Analyzer"/>
    <x v="0"/>
    <x v="0"/>
    <x v="0"/>
    <x v="0"/>
  </r>
  <r>
    <s v="Automatic maintenance activity Automatic Fluidic Line Priming Cycle has been executed."/>
    <x v="2"/>
    <x v="0"/>
    <x v="9"/>
    <d v="1899-12-30T11:08:58"/>
    <s v="Maintenance"/>
    <x v="0"/>
    <x v="2"/>
    <x v="2"/>
    <x v="0"/>
  </r>
  <r>
    <s v="Analyzer Status changed from Ready to Maintenance."/>
    <x v="0"/>
    <x v="0"/>
    <x v="9"/>
    <d v="1899-12-30T12:08:59"/>
    <s v="Analyzer"/>
    <x v="0"/>
    <x v="0"/>
    <x v="0"/>
    <x v="0"/>
  </r>
  <r>
    <s v="Analyzer Status changed from Maintenance to Ready."/>
    <x v="0"/>
    <x v="0"/>
    <x v="9"/>
    <d v="1899-12-30T12:09:20"/>
    <s v="Analyzer"/>
    <x v="0"/>
    <x v="0"/>
    <x v="0"/>
    <x v="0"/>
  </r>
  <r>
    <s v="Automatic maintenance activity Automatic Fluidic Line Priming Cycle has been executed."/>
    <x v="2"/>
    <x v="0"/>
    <x v="9"/>
    <d v="1899-12-30T12:09:20"/>
    <s v="Maintenance"/>
    <x v="0"/>
    <x v="2"/>
    <x v="2"/>
    <x v="0"/>
  </r>
  <r>
    <s v="Analyzer Status changed from Ready to Maintenance."/>
    <x v="0"/>
    <x v="0"/>
    <x v="9"/>
    <d v="1899-12-30T13:09:21"/>
    <s v="Analyzer"/>
    <x v="0"/>
    <x v="0"/>
    <x v="0"/>
    <x v="0"/>
  </r>
  <r>
    <s v="Analyzer Status changed from Maintenance to Ready."/>
    <x v="0"/>
    <x v="0"/>
    <x v="9"/>
    <d v="1899-12-30T13:09:42"/>
    <s v="Analyzer"/>
    <x v="0"/>
    <x v="0"/>
    <x v="0"/>
    <x v="0"/>
  </r>
  <r>
    <s v="Automatic maintenance activity Automatic Fluidic Line Priming Cycle has been executed."/>
    <x v="2"/>
    <x v="0"/>
    <x v="9"/>
    <d v="1899-12-30T13:09:42"/>
    <s v="Maintenance"/>
    <x v="0"/>
    <x v="2"/>
    <x v="2"/>
    <x v="0"/>
  </r>
  <r>
    <s v="Analyzer Status changed from Ready to Maintenance."/>
    <x v="0"/>
    <x v="0"/>
    <x v="9"/>
    <d v="1899-12-30T14:09:43"/>
    <s v="Analyzer"/>
    <x v="0"/>
    <x v="0"/>
    <x v="0"/>
    <x v="0"/>
  </r>
  <r>
    <s v="Analyzer Status changed from Maintenance to Ready."/>
    <x v="0"/>
    <x v="0"/>
    <x v="9"/>
    <d v="1899-12-30T14:10:04"/>
    <s v="Analyzer"/>
    <x v="0"/>
    <x v="0"/>
    <x v="0"/>
    <x v="0"/>
  </r>
  <r>
    <s v="Automatic maintenance activity Automatic Fluidic Line Priming Cycle has been executed."/>
    <x v="2"/>
    <x v="0"/>
    <x v="9"/>
    <d v="1899-12-30T14:10:04"/>
    <s v="Maintenance"/>
    <x v="0"/>
    <x v="2"/>
    <x v="2"/>
    <x v="0"/>
  </r>
  <r>
    <s v="Analyzer Status changed from Ready to Maintenance."/>
    <x v="0"/>
    <x v="0"/>
    <x v="9"/>
    <d v="1899-12-30T15:10:04"/>
    <s v="Analyzer"/>
    <x v="0"/>
    <x v="0"/>
    <x v="0"/>
    <x v="0"/>
  </r>
  <r>
    <s v="Analyzer Status changed from Maintenance to Ready."/>
    <x v="0"/>
    <x v="0"/>
    <x v="9"/>
    <d v="1899-12-30T15:10:26"/>
    <s v="Analyzer"/>
    <x v="0"/>
    <x v="0"/>
    <x v="0"/>
    <x v="0"/>
  </r>
  <r>
    <s v="Automatic maintenance activity Automatic Fluidic Line Priming Cycle has been executed."/>
    <x v="2"/>
    <x v="0"/>
    <x v="9"/>
    <d v="1899-12-30T15:10:26"/>
    <s v="Maintenance"/>
    <x v="0"/>
    <x v="2"/>
    <x v="2"/>
    <x v="0"/>
  </r>
  <r>
    <s v="Analyzer Status changed from Ready to Maintenance."/>
    <x v="0"/>
    <x v="0"/>
    <x v="9"/>
    <d v="1899-12-30T16:10:26"/>
    <s v="Analyzer"/>
    <x v="0"/>
    <x v="0"/>
    <x v="0"/>
    <x v="0"/>
  </r>
  <r>
    <s v="Analyzer Status changed from Maintenance to Ready."/>
    <x v="0"/>
    <x v="0"/>
    <x v="9"/>
    <d v="1899-12-30T16:10:48"/>
    <s v="Analyzer"/>
    <x v="0"/>
    <x v="0"/>
    <x v="0"/>
    <x v="0"/>
  </r>
  <r>
    <s v="Automatic maintenance activity Automatic Fluidic Line Priming Cycle has been executed."/>
    <x v="2"/>
    <x v="0"/>
    <x v="9"/>
    <d v="1899-12-30T16:10:48"/>
    <s v="Maintenance"/>
    <x v="0"/>
    <x v="2"/>
    <x v="2"/>
    <x v="0"/>
  </r>
  <r>
    <s v="Analyzer Status changed from Ready to Maintenance."/>
    <x v="0"/>
    <x v="0"/>
    <x v="9"/>
    <d v="1899-12-30T17:10:48"/>
    <s v="Analyzer"/>
    <x v="0"/>
    <x v="0"/>
    <x v="0"/>
    <x v="0"/>
  </r>
  <r>
    <s v="Analyzer Status changed from Maintenance to Ready."/>
    <x v="0"/>
    <x v="0"/>
    <x v="9"/>
    <d v="1899-12-30T17:11:10"/>
    <s v="Analyzer"/>
    <x v="0"/>
    <x v="0"/>
    <x v="0"/>
    <x v="0"/>
  </r>
  <r>
    <s v="Automatic maintenance activity Automatic Fluidic Line Priming Cycle has been executed."/>
    <x v="2"/>
    <x v="0"/>
    <x v="9"/>
    <d v="1899-12-30T17:11:10"/>
    <s v="Maintenance"/>
    <x v="0"/>
    <x v="2"/>
    <x v="2"/>
    <x v="0"/>
  </r>
  <r>
    <s v="Analyzer Status changed from Ready to Maintenance."/>
    <x v="0"/>
    <x v="0"/>
    <x v="9"/>
    <d v="1899-12-30T18:11:10"/>
    <s v="Analyzer"/>
    <x v="0"/>
    <x v="0"/>
    <x v="0"/>
    <x v="0"/>
  </r>
  <r>
    <s v="Analyzer Status changed from Maintenance to Ready."/>
    <x v="0"/>
    <x v="0"/>
    <x v="9"/>
    <d v="1899-12-30T18:11:32"/>
    <s v="Analyzer"/>
    <x v="0"/>
    <x v="0"/>
    <x v="0"/>
    <x v="0"/>
  </r>
  <r>
    <s v="Automatic maintenance activity Automatic Fluidic Line Priming Cycle has been executed."/>
    <x v="2"/>
    <x v="0"/>
    <x v="9"/>
    <d v="1899-12-30T18:11:32"/>
    <s v="Maintenance"/>
    <x v="0"/>
    <x v="2"/>
    <x v="2"/>
    <x v="0"/>
  </r>
  <r>
    <s v="Analyzer Status changed from Ready to Maintenance."/>
    <x v="0"/>
    <x v="0"/>
    <x v="9"/>
    <d v="1899-12-30T19:11:32"/>
    <s v="Analyzer"/>
    <x v="0"/>
    <x v="0"/>
    <x v="0"/>
    <x v="0"/>
  </r>
  <r>
    <s v="Analyzer Status changed from Maintenance to Ready."/>
    <x v="0"/>
    <x v="0"/>
    <x v="9"/>
    <d v="1899-12-30T19:11:54"/>
    <s v="Analyzer"/>
    <x v="0"/>
    <x v="0"/>
    <x v="0"/>
    <x v="0"/>
  </r>
  <r>
    <s v="Automatic maintenance activity Automatic Fluidic Line Priming Cycle has been executed."/>
    <x v="2"/>
    <x v="0"/>
    <x v="9"/>
    <d v="1899-12-30T19:11:54"/>
    <s v="Maintenance"/>
    <x v="0"/>
    <x v="2"/>
    <x v="2"/>
    <x v="0"/>
  </r>
  <r>
    <s v="Analyzer Status changed from Ready to Maintenance."/>
    <x v="0"/>
    <x v="0"/>
    <x v="9"/>
    <d v="1899-12-30T20:11:54"/>
    <s v="Analyzer"/>
    <x v="0"/>
    <x v="0"/>
    <x v="0"/>
    <x v="0"/>
  </r>
  <r>
    <s v="Automatic maintenance activity Automatic Fluidic Line Priming Cycle has been executed."/>
    <x v="2"/>
    <x v="0"/>
    <x v="9"/>
    <d v="1899-12-30T20:12:15"/>
    <s v="Maintenance"/>
    <x v="0"/>
    <x v="2"/>
    <x v="2"/>
    <x v="0"/>
  </r>
  <r>
    <s v="Analyzer Status changed from Maintenance to Ready."/>
    <x v="0"/>
    <x v="0"/>
    <x v="9"/>
    <d v="1899-12-30T20:12:16"/>
    <s v="Analyzer"/>
    <x v="0"/>
    <x v="0"/>
    <x v="0"/>
    <x v="0"/>
  </r>
  <r>
    <s v="Analyzer Status changed from Ready to Maintenance."/>
    <x v="0"/>
    <x v="0"/>
    <x v="9"/>
    <d v="1899-12-30T21:12:16"/>
    <s v="Analyzer"/>
    <x v="0"/>
    <x v="0"/>
    <x v="0"/>
    <x v="0"/>
  </r>
  <r>
    <s v="Analyzer Status changed from Maintenance to Ready."/>
    <x v="0"/>
    <x v="0"/>
    <x v="9"/>
    <d v="1899-12-30T21:12:37"/>
    <s v="Analyzer"/>
    <x v="0"/>
    <x v="0"/>
    <x v="0"/>
    <x v="0"/>
  </r>
  <r>
    <s v="Automatic maintenance activity Automatic Fluidic Line Priming Cycle has been executed."/>
    <x v="2"/>
    <x v="0"/>
    <x v="9"/>
    <d v="1899-12-30T21:12:37"/>
    <s v="Maintenance"/>
    <x v="0"/>
    <x v="2"/>
    <x v="2"/>
    <x v="0"/>
  </r>
  <r>
    <s v="Analyzer Status changed from Ready to Maintenance."/>
    <x v="0"/>
    <x v="0"/>
    <x v="9"/>
    <d v="1899-12-30T22:12:38"/>
    <s v="Analyzer"/>
    <x v="0"/>
    <x v="0"/>
    <x v="0"/>
    <x v="0"/>
  </r>
  <r>
    <s v="Analyzer Status changed from Maintenance to Ready."/>
    <x v="0"/>
    <x v="0"/>
    <x v="9"/>
    <d v="1899-12-30T22:12:59"/>
    <s v="Analyzer"/>
    <x v="0"/>
    <x v="0"/>
    <x v="0"/>
    <x v="0"/>
  </r>
  <r>
    <s v="Automatic maintenance activity Automatic Fluidic Line Priming Cycle has been executed."/>
    <x v="2"/>
    <x v="0"/>
    <x v="9"/>
    <d v="1899-12-30T22:12:59"/>
    <s v="Maintenance"/>
    <x v="0"/>
    <x v="2"/>
    <x v="2"/>
    <x v="0"/>
  </r>
  <r>
    <s v="Analyzer Status changed from Ready to Maintenance."/>
    <x v="0"/>
    <x v="0"/>
    <x v="9"/>
    <d v="1899-12-30T23:13:00"/>
    <s v="Analyzer"/>
    <x v="0"/>
    <x v="0"/>
    <x v="0"/>
    <x v="0"/>
  </r>
  <r>
    <s v="Automatic maintenance activity Automatic Fluidic Line Priming Cycle has been executed."/>
    <x v="2"/>
    <x v="0"/>
    <x v="9"/>
    <d v="1899-12-30T23:13:21"/>
    <s v="Maintenance"/>
    <x v="0"/>
    <x v="2"/>
    <x v="2"/>
    <x v="0"/>
  </r>
  <r>
    <s v="Analyzer Status changed from Maintenance to Ready."/>
    <x v="0"/>
    <x v="0"/>
    <x v="9"/>
    <d v="1899-12-30T23:13:22"/>
    <s v="Analyzer"/>
    <x v="0"/>
    <x v="0"/>
    <x v="0"/>
    <x v="0"/>
  </r>
  <r>
    <s v="Analyzer Status changed from Ready to Maintenance."/>
    <x v="0"/>
    <x v="0"/>
    <x v="10"/>
    <d v="1899-12-30T00:13:22"/>
    <s v="Analyzer"/>
    <x v="0"/>
    <x v="0"/>
    <x v="0"/>
    <x v="0"/>
  </r>
  <r>
    <s v="Analyzer Status changed from Maintenance to Ready."/>
    <x v="0"/>
    <x v="0"/>
    <x v="10"/>
    <d v="1899-12-30T00:13:43"/>
    <s v="Analyzer"/>
    <x v="0"/>
    <x v="0"/>
    <x v="0"/>
    <x v="0"/>
  </r>
  <r>
    <s v="Automatic maintenance activity Automatic Fluidic Line Priming Cycle has been executed."/>
    <x v="2"/>
    <x v="0"/>
    <x v="10"/>
    <d v="1899-12-30T00:13:43"/>
    <s v="Maintenance"/>
    <x v="0"/>
    <x v="2"/>
    <x v="2"/>
    <x v="0"/>
  </r>
  <r>
    <s v="Analyzer Status changed from Ready to Maintenance."/>
    <x v="0"/>
    <x v="0"/>
    <x v="10"/>
    <d v="1899-12-30T01:13:44"/>
    <s v="Analyzer"/>
    <x v="0"/>
    <x v="0"/>
    <x v="0"/>
    <x v="0"/>
  </r>
  <r>
    <s v="Analyzer Status changed from Maintenance to Ready."/>
    <x v="0"/>
    <x v="0"/>
    <x v="10"/>
    <d v="1899-12-30T01:14:05"/>
    <s v="Analyzer"/>
    <x v="0"/>
    <x v="0"/>
    <x v="0"/>
    <x v="0"/>
  </r>
  <r>
    <s v="Automatic maintenance activity Automatic Fluidic Line Priming Cycle has been executed."/>
    <x v="2"/>
    <x v="0"/>
    <x v="10"/>
    <d v="1899-12-30T01:14:05"/>
    <s v="Maintenance"/>
    <x v="0"/>
    <x v="2"/>
    <x v="2"/>
    <x v="0"/>
  </r>
  <r>
    <s v="Analyzer Status changed from Ready to Maintenance."/>
    <x v="0"/>
    <x v="0"/>
    <x v="10"/>
    <d v="1899-12-30T02:14:06"/>
    <s v="Analyzer"/>
    <x v="0"/>
    <x v="0"/>
    <x v="0"/>
    <x v="0"/>
  </r>
  <r>
    <s v="Analyzer Status changed from Maintenance to Ready."/>
    <x v="0"/>
    <x v="0"/>
    <x v="10"/>
    <d v="1899-12-30T02:14:27"/>
    <s v="Analyzer"/>
    <x v="0"/>
    <x v="0"/>
    <x v="0"/>
    <x v="0"/>
  </r>
  <r>
    <s v="Automatic maintenance activity Automatic Fluidic Line Priming Cycle has been executed."/>
    <x v="2"/>
    <x v="0"/>
    <x v="10"/>
    <d v="1899-12-30T02:14:27"/>
    <s v="Maintenance"/>
    <x v="0"/>
    <x v="2"/>
    <x v="2"/>
    <x v="0"/>
  </r>
  <r>
    <s v="Analyzer Status changed from Ready to Maintenance."/>
    <x v="0"/>
    <x v="0"/>
    <x v="10"/>
    <d v="1899-12-30T03:14:27"/>
    <s v="Analyzer"/>
    <x v="0"/>
    <x v="0"/>
    <x v="0"/>
    <x v="0"/>
  </r>
  <r>
    <s v="Analyzer Status changed from Maintenance to Ready."/>
    <x v="0"/>
    <x v="0"/>
    <x v="10"/>
    <d v="1899-12-30T03:14:49"/>
    <s v="Analyzer"/>
    <x v="0"/>
    <x v="0"/>
    <x v="0"/>
    <x v="0"/>
  </r>
  <r>
    <s v="Automatic maintenance activity Automatic Fluidic Line Priming Cycle has been executed."/>
    <x v="2"/>
    <x v="0"/>
    <x v="10"/>
    <d v="1899-12-30T03:14:49"/>
    <s v="Maintenance"/>
    <x v="0"/>
    <x v="2"/>
    <x v="2"/>
    <x v="0"/>
  </r>
  <r>
    <s v="Analyzer Status changed from Ready to Maintenance."/>
    <x v="0"/>
    <x v="0"/>
    <x v="10"/>
    <d v="1899-12-30T04:14:49"/>
    <s v="Analyzer"/>
    <x v="0"/>
    <x v="0"/>
    <x v="0"/>
    <x v="0"/>
  </r>
  <r>
    <s v="Analyzer Status changed from Maintenance to Ready."/>
    <x v="0"/>
    <x v="0"/>
    <x v="10"/>
    <d v="1899-12-30T04:15:11"/>
    <s v="Analyzer"/>
    <x v="0"/>
    <x v="0"/>
    <x v="0"/>
    <x v="0"/>
  </r>
  <r>
    <s v="Automatic maintenance activity Automatic Fluidic Line Priming Cycle has been executed."/>
    <x v="2"/>
    <x v="0"/>
    <x v="10"/>
    <d v="1899-12-30T04:15:11"/>
    <s v="Maintenance"/>
    <x v="0"/>
    <x v="2"/>
    <x v="2"/>
    <x v="0"/>
  </r>
  <r>
    <s v="Analyzer Status changed from Ready to Maintenance."/>
    <x v="0"/>
    <x v="0"/>
    <x v="10"/>
    <d v="1899-12-30T05:15:11"/>
    <s v="Analyzer"/>
    <x v="0"/>
    <x v="0"/>
    <x v="0"/>
    <x v="0"/>
  </r>
  <r>
    <s v="Analyzer Status changed from Maintenance to Ready."/>
    <x v="0"/>
    <x v="0"/>
    <x v="10"/>
    <d v="1899-12-30T05:15:33"/>
    <s v="Analyzer"/>
    <x v="0"/>
    <x v="0"/>
    <x v="0"/>
    <x v="0"/>
  </r>
  <r>
    <s v="Automatic maintenance activity Automatic Fluidic Line Priming Cycle has been executed."/>
    <x v="2"/>
    <x v="0"/>
    <x v="10"/>
    <d v="1899-12-30T05:15:33"/>
    <s v="Maintenance"/>
    <x v="0"/>
    <x v="2"/>
    <x v="2"/>
    <x v="0"/>
  </r>
  <r>
    <s v="Analyzer Status changed from Ready to Maintenance."/>
    <x v="0"/>
    <x v="0"/>
    <x v="10"/>
    <d v="1899-12-30T06:15:33"/>
    <s v="Analyzer"/>
    <x v="0"/>
    <x v="0"/>
    <x v="0"/>
    <x v="0"/>
  </r>
  <r>
    <s v="Analyzer Status changed from Maintenance to Ready."/>
    <x v="0"/>
    <x v="0"/>
    <x v="10"/>
    <d v="1899-12-30T06:15:55"/>
    <s v="Analyzer"/>
    <x v="0"/>
    <x v="0"/>
    <x v="0"/>
    <x v="0"/>
  </r>
  <r>
    <s v="Automatic maintenance activity Automatic Fluidic Line Priming Cycle has been executed."/>
    <x v="2"/>
    <x v="0"/>
    <x v="10"/>
    <d v="1899-12-30T06:15:55"/>
    <s v="Maintenance"/>
    <x v="0"/>
    <x v="2"/>
    <x v="2"/>
    <x v="0"/>
  </r>
  <r>
    <s v="Maintenance activity due: Enhanced Clean for all Probes."/>
    <x v="9"/>
    <x v="1"/>
    <x v="10"/>
    <d v="1899-12-30T07:15:29"/>
    <s v="Maintenance"/>
    <x v="0"/>
    <x v="2"/>
    <x v="2"/>
    <x v="0"/>
  </r>
  <r>
    <s v="Maintenance activity due: Enhanced Clean for Sample and Reagent Probes."/>
    <x v="9"/>
    <x v="1"/>
    <x v="10"/>
    <d v="1899-12-30T07:15:29"/>
    <s v="Maintenance"/>
    <x v="0"/>
    <x v="2"/>
    <x v="2"/>
    <x v="0"/>
  </r>
  <r>
    <s v="Analyzer Status changed from Ready to Maintenance."/>
    <x v="0"/>
    <x v="0"/>
    <x v="10"/>
    <d v="1899-12-30T07:15:55"/>
    <s v="Analyzer"/>
    <x v="0"/>
    <x v="0"/>
    <x v="0"/>
    <x v="0"/>
  </r>
  <r>
    <s v="Maintenance activity due: replace factor diluent."/>
    <x v="9"/>
    <x v="1"/>
    <x v="10"/>
    <d v="1899-12-30T07:16:08"/>
    <s v="Maintenance"/>
    <x v="0"/>
    <x v="2"/>
    <x v="2"/>
    <x v="0"/>
  </r>
  <r>
    <s v="Maintenance activity due: make new diluted clean B."/>
    <x v="9"/>
    <x v="1"/>
    <x v="10"/>
    <d v="1899-12-30T07:16:16"/>
    <s v="Maintenance"/>
    <x v="0"/>
    <x v="2"/>
    <x v="2"/>
    <x v="0"/>
  </r>
  <r>
    <s v="Analyzer Status changed from Maintenance to Ready."/>
    <x v="0"/>
    <x v="0"/>
    <x v="10"/>
    <d v="1899-12-30T07:16:17"/>
    <s v="Analyzer"/>
    <x v="0"/>
    <x v="0"/>
    <x v="0"/>
    <x v="0"/>
  </r>
  <r>
    <s v="Automatic maintenance activity Automatic Fluidic Line Priming Cycle has been executed."/>
    <x v="2"/>
    <x v="0"/>
    <x v="10"/>
    <d v="1899-12-30T07:16:17"/>
    <s v="Maintenance"/>
    <x v="0"/>
    <x v="2"/>
    <x v="2"/>
    <x v="0"/>
  </r>
  <r>
    <s v="Maintenance activity overdue: Enhanced Clean for all Probes."/>
    <x v="20"/>
    <x v="1"/>
    <x v="10"/>
    <d v="1899-12-30T08:15:29"/>
    <s v="Maintenance"/>
    <x v="0"/>
    <x v="2"/>
    <x v="2"/>
    <x v="0"/>
  </r>
  <r>
    <s v="Maintenance activity overdue: Enhanced Clean for Sample and Reagent Probes."/>
    <x v="20"/>
    <x v="1"/>
    <x v="10"/>
    <d v="1899-12-30T08:15:29"/>
    <s v="Maintenance"/>
    <x v="0"/>
    <x v="2"/>
    <x v="2"/>
    <x v="0"/>
  </r>
  <r>
    <s v="Maintenance activity overdue: replace factor diluent."/>
    <x v="20"/>
    <x v="1"/>
    <x v="10"/>
    <d v="1899-12-30T08:16:08"/>
    <s v="Maintenance"/>
    <x v="0"/>
    <x v="2"/>
    <x v="2"/>
    <x v="0"/>
  </r>
  <r>
    <s v="Maintenance activity overdue: make new diluted clean B."/>
    <x v="20"/>
    <x v="1"/>
    <x v="10"/>
    <d v="1899-12-30T08:16:16"/>
    <s v="Maintenance"/>
    <x v="0"/>
    <x v="2"/>
    <x v="2"/>
    <x v="0"/>
  </r>
  <r>
    <s v="Analyzer Status changed from Ready to Maintenance."/>
    <x v="0"/>
    <x v="0"/>
    <x v="10"/>
    <d v="1899-12-30T08:16:17"/>
    <s v="Analyzer"/>
    <x v="0"/>
    <x v="0"/>
    <x v="0"/>
    <x v="0"/>
  </r>
  <r>
    <s v="Analyzer Status changed from Maintenance to Ready."/>
    <x v="0"/>
    <x v="0"/>
    <x v="10"/>
    <d v="1899-12-30T08:16:39"/>
    <s v="Analyzer"/>
    <x v="0"/>
    <x v="0"/>
    <x v="0"/>
    <x v="0"/>
  </r>
  <r>
    <s v="Automatic maintenance activity Automatic Fluidic Line Priming Cycle has been executed."/>
    <x v="2"/>
    <x v="0"/>
    <x v="10"/>
    <d v="1899-12-30T08:16:39"/>
    <s v="Maintenance"/>
    <x v="0"/>
    <x v="2"/>
    <x v="2"/>
    <x v="0"/>
  </r>
  <r>
    <s v="Analyzer Status changed from Ready to Maintenance."/>
    <x v="0"/>
    <x v="0"/>
    <x v="10"/>
    <d v="1899-12-30T09:16:39"/>
    <s v="Analyzer"/>
    <x v="0"/>
    <x v="0"/>
    <x v="0"/>
    <x v="0"/>
  </r>
  <r>
    <s v="Analyzer Status changed from Maintenance to Ready."/>
    <x v="0"/>
    <x v="0"/>
    <x v="10"/>
    <d v="1899-12-30T09:17:01"/>
    <s v="Analyzer"/>
    <x v="0"/>
    <x v="0"/>
    <x v="0"/>
    <x v="0"/>
  </r>
  <r>
    <s v="Automatic maintenance activity Automatic Fluidic Line Priming Cycle has been executed."/>
    <x v="2"/>
    <x v="0"/>
    <x v="10"/>
    <d v="1899-12-30T09:17:01"/>
    <s v="Maintenance"/>
    <x v="0"/>
    <x v="2"/>
    <x v="2"/>
    <x v="0"/>
  </r>
  <r>
    <s v="Analyzer Status changed from Ready to Maintenance."/>
    <x v="0"/>
    <x v="0"/>
    <x v="10"/>
    <d v="1899-12-30T10:17:01"/>
    <s v="Analyzer"/>
    <x v="0"/>
    <x v="0"/>
    <x v="0"/>
    <x v="0"/>
  </r>
  <r>
    <s v="Analyzer Status changed from Maintenance to Ready."/>
    <x v="0"/>
    <x v="0"/>
    <x v="10"/>
    <d v="1899-12-30T10:18:36"/>
    <s v="Analyzer"/>
    <x v="0"/>
    <x v="0"/>
    <x v="0"/>
    <x v="0"/>
  </r>
  <r>
    <s v="Automatic maintenance activity Automatic Fluidic Line Priming Cycle has been executed."/>
    <x v="2"/>
    <x v="0"/>
    <x v="10"/>
    <d v="1899-12-30T10:18:36"/>
    <s v="Maintenance"/>
    <x v="0"/>
    <x v="2"/>
    <x v="2"/>
    <x v="0"/>
  </r>
  <r>
    <s v="Analyzer Status changed from Ready to Maintenance."/>
    <x v="0"/>
    <x v="0"/>
    <x v="10"/>
    <d v="1899-12-30T11:18:36"/>
    <s v="Analyzer"/>
    <x v="0"/>
    <x v="0"/>
    <x v="0"/>
    <x v="0"/>
  </r>
  <r>
    <s v="Automatic maintenance activity Automatic Fluidic Line Priming Cycle has been executed."/>
    <x v="2"/>
    <x v="0"/>
    <x v="10"/>
    <d v="1899-12-30T11:18:57"/>
    <s v="Maintenance"/>
    <x v="0"/>
    <x v="2"/>
    <x v="2"/>
    <x v="0"/>
  </r>
  <r>
    <s v="Analyzer Status changed from Maintenance to Ready."/>
    <x v="0"/>
    <x v="0"/>
    <x v="10"/>
    <d v="1899-12-30T11:18:58"/>
    <s v="Analyzer"/>
    <x v="0"/>
    <x v="0"/>
    <x v="0"/>
    <x v="0"/>
  </r>
  <r>
    <s v="Analyzer Status changed from Ready to Maintenance."/>
    <x v="0"/>
    <x v="0"/>
    <x v="10"/>
    <d v="1899-12-30T12:18:58"/>
    <s v="Analyzer"/>
    <x v="0"/>
    <x v="0"/>
    <x v="0"/>
    <x v="0"/>
  </r>
  <r>
    <s v="Automatic maintenance activity Automatic Fluidic Line Priming Cycle has been executed."/>
    <x v="2"/>
    <x v="0"/>
    <x v="10"/>
    <d v="1899-12-30T12:19:19"/>
    <s v="Maintenance"/>
    <x v="0"/>
    <x v="2"/>
    <x v="2"/>
    <x v="0"/>
  </r>
  <r>
    <s v="Analyzer Status changed from Maintenance to Ready."/>
    <x v="0"/>
    <x v="0"/>
    <x v="10"/>
    <d v="1899-12-30T12:19:20"/>
    <s v="Analyzer"/>
    <x v="0"/>
    <x v="0"/>
    <x v="0"/>
    <x v="0"/>
  </r>
  <r>
    <s v="Analyzer Status changed from Ready to Maintenance."/>
    <x v="0"/>
    <x v="0"/>
    <x v="10"/>
    <d v="1899-12-30T13:19:20"/>
    <s v="Analyzer"/>
    <x v="0"/>
    <x v="0"/>
    <x v="0"/>
    <x v="0"/>
  </r>
  <r>
    <s v="Automatic maintenance activity Automatic Fluidic Line Priming Cycle has been executed."/>
    <x v="2"/>
    <x v="0"/>
    <x v="10"/>
    <d v="1899-12-30T13:19:41"/>
    <s v="Maintenance"/>
    <x v="0"/>
    <x v="2"/>
    <x v="2"/>
    <x v="0"/>
  </r>
  <r>
    <s v="Analyzer Status changed from Maintenance to Ready."/>
    <x v="0"/>
    <x v="0"/>
    <x v="10"/>
    <d v="1899-12-30T13:19:42"/>
    <s v="Analyzer"/>
    <x v="0"/>
    <x v="0"/>
    <x v="0"/>
    <x v="0"/>
  </r>
  <r>
    <s v="Analyzer Status changed from Ready to Maintenance."/>
    <x v="0"/>
    <x v="0"/>
    <x v="10"/>
    <d v="1899-12-30T14:19:42"/>
    <s v="Analyzer"/>
    <x v="0"/>
    <x v="0"/>
    <x v="0"/>
    <x v="0"/>
  </r>
  <r>
    <s v="Analyzer Status changed from Maintenance to Ready."/>
    <x v="0"/>
    <x v="0"/>
    <x v="10"/>
    <d v="1899-12-30T14:20:03"/>
    <s v="Analyzer"/>
    <x v="0"/>
    <x v="0"/>
    <x v="0"/>
    <x v="0"/>
  </r>
  <r>
    <s v="Automatic maintenance activity Automatic Fluidic Line Priming Cycle has been executed."/>
    <x v="2"/>
    <x v="0"/>
    <x v="10"/>
    <d v="1899-12-30T14:20:03"/>
    <s v="Maintenance"/>
    <x v="0"/>
    <x v="2"/>
    <x v="2"/>
    <x v="0"/>
  </r>
  <r>
    <s v="Analyzer Status changed from Ready to Maintenance."/>
    <x v="0"/>
    <x v="0"/>
    <x v="10"/>
    <d v="1899-12-30T15:20:04"/>
    <s v="Analyzer"/>
    <x v="0"/>
    <x v="0"/>
    <x v="0"/>
    <x v="0"/>
  </r>
  <r>
    <s v="Analyzer Status changed from Maintenance to Ready."/>
    <x v="0"/>
    <x v="0"/>
    <x v="10"/>
    <d v="1899-12-30T15:20:25"/>
    <s v="Analyzer"/>
    <x v="0"/>
    <x v="0"/>
    <x v="0"/>
    <x v="0"/>
  </r>
  <r>
    <s v="Automatic maintenance activity Automatic Fluidic Line Priming Cycle has been executed."/>
    <x v="2"/>
    <x v="0"/>
    <x v="10"/>
    <d v="1899-12-30T15:20:25"/>
    <s v="Maintenance"/>
    <x v="0"/>
    <x v="2"/>
    <x v="2"/>
    <x v="0"/>
  </r>
  <r>
    <s v="Analyzer Status changed from Ready to Maintenance."/>
    <x v="0"/>
    <x v="0"/>
    <x v="10"/>
    <d v="1899-12-30T16:20:25"/>
    <s v="Analyzer"/>
    <x v="0"/>
    <x v="0"/>
    <x v="0"/>
    <x v="0"/>
  </r>
  <r>
    <s v="Analyzer Status changed from Maintenance to Ready."/>
    <x v="0"/>
    <x v="0"/>
    <x v="10"/>
    <d v="1899-12-30T16:20:47"/>
    <s v="Analyzer"/>
    <x v="0"/>
    <x v="0"/>
    <x v="0"/>
    <x v="0"/>
  </r>
  <r>
    <s v="Automatic maintenance activity Automatic Fluidic Line Priming Cycle has been executed."/>
    <x v="2"/>
    <x v="0"/>
    <x v="10"/>
    <d v="1899-12-30T16:20:47"/>
    <s v="Maintenance"/>
    <x v="0"/>
    <x v="2"/>
    <x v="2"/>
    <x v="0"/>
  </r>
  <r>
    <s v="Analyzer Status changed from Ready to Maintenance."/>
    <x v="0"/>
    <x v="0"/>
    <x v="10"/>
    <d v="1899-12-30T17:20:47"/>
    <s v="Analyzer"/>
    <x v="0"/>
    <x v="0"/>
    <x v="0"/>
    <x v="0"/>
  </r>
  <r>
    <s v="Analyzer Status changed from Maintenance to Ready."/>
    <x v="0"/>
    <x v="0"/>
    <x v="10"/>
    <d v="1899-12-30T17:21:09"/>
    <s v="Analyzer"/>
    <x v="0"/>
    <x v="0"/>
    <x v="0"/>
    <x v="0"/>
  </r>
  <r>
    <s v="Automatic maintenance activity Automatic Fluidic Line Priming Cycle has been executed."/>
    <x v="2"/>
    <x v="0"/>
    <x v="10"/>
    <d v="1899-12-30T17:21:09"/>
    <s v="Maintenance"/>
    <x v="0"/>
    <x v="2"/>
    <x v="2"/>
    <x v="0"/>
  </r>
  <r>
    <s v="Analyzer Status changed from Ready to Maintenance."/>
    <x v="0"/>
    <x v="0"/>
    <x v="10"/>
    <d v="1899-12-30T18:21:09"/>
    <s v="Analyzer"/>
    <x v="0"/>
    <x v="0"/>
    <x v="0"/>
    <x v="0"/>
  </r>
  <r>
    <s v="Analyzer Status changed from Maintenance to Ready."/>
    <x v="0"/>
    <x v="0"/>
    <x v="10"/>
    <d v="1899-12-30T18:21:31"/>
    <s v="Analyzer"/>
    <x v="0"/>
    <x v="0"/>
    <x v="0"/>
    <x v="0"/>
  </r>
  <r>
    <s v="Automatic maintenance activity Automatic Fluidic Line Priming Cycle has been executed."/>
    <x v="2"/>
    <x v="0"/>
    <x v="10"/>
    <d v="1899-12-30T18:21:31"/>
    <s v="Maintenance"/>
    <x v="0"/>
    <x v="2"/>
    <x v="2"/>
    <x v="0"/>
  </r>
  <r>
    <s v="Analyzer Status changed from Ready to Maintenance."/>
    <x v="0"/>
    <x v="0"/>
    <x v="10"/>
    <d v="1899-12-30T19:21:31"/>
    <s v="Analyzer"/>
    <x v="0"/>
    <x v="0"/>
    <x v="0"/>
    <x v="0"/>
  </r>
  <r>
    <s v="Analyzer Status changed from Maintenance to Ready."/>
    <x v="0"/>
    <x v="0"/>
    <x v="10"/>
    <d v="1899-12-30T19:21:53"/>
    <s v="Analyzer"/>
    <x v="0"/>
    <x v="0"/>
    <x v="0"/>
    <x v="0"/>
  </r>
  <r>
    <s v="Automatic maintenance activity Automatic Fluidic Line Priming Cycle has been executed."/>
    <x v="2"/>
    <x v="0"/>
    <x v="10"/>
    <d v="1899-12-30T19:21:53"/>
    <s v="Maintenance"/>
    <x v="0"/>
    <x v="2"/>
    <x v="2"/>
    <x v="0"/>
  </r>
  <r>
    <s v="Analyzer Status changed from Ready to Maintenance."/>
    <x v="0"/>
    <x v="0"/>
    <x v="10"/>
    <d v="1899-12-30T20:21:53"/>
    <s v="Analyzer"/>
    <x v="0"/>
    <x v="0"/>
    <x v="0"/>
    <x v="0"/>
  </r>
  <r>
    <s v="Analyzer Status changed from Maintenance to Ready."/>
    <x v="0"/>
    <x v="0"/>
    <x v="10"/>
    <d v="1899-12-30T20:22:15"/>
    <s v="Analyzer"/>
    <x v="0"/>
    <x v="0"/>
    <x v="0"/>
    <x v="0"/>
  </r>
  <r>
    <s v="Automatic maintenance activity Automatic Fluidic Line Priming Cycle has been executed."/>
    <x v="2"/>
    <x v="0"/>
    <x v="10"/>
    <d v="1899-12-30T20:22:15"/>
    <s v="Maintenance"/>
    <x v="0"/>
    <x v="2"/>
    <x v="2"/>
    <x v="0"/>
  </r>
  <r>
    <s v="Analyzer Status changed from Ready to Maintenance."/>
    <x v="0"/>
    <x v="0"/>
    <x v="10"/>
    <d v="1899-12-30T21:22:15"/>
    <s v="Analyzer"/>
    <x v="0"/>
    <x v="0"/>
    <x v="0"/>
    <x v="0"/>
  </r>
  <r>
    <s v="Analyzer Status changed from Maintenance to Ready."/>
    <x v="0"/>
    <x v="0"/>
    <x v="10"/>
    <d v="1899-12-30T21:22:37"/>
    <s v="Analyzer"/>
    <x v="0"/>
    <x v="0"/>
    <x v="0"/>
    <x v="0"/>
  </r>
  <r>
    <s v="Automatic maintenance activity Automatic Fluidic Line Priming Cycle has been executed."/>
    <x v="2"/>
    <x v="0"/>
    <x v="10"/>
    <d v="1899-12-30T21:22:37"/>
    <s v="Maintenance"/>
    <x v="0"/>
    <x v="2"/>
    <x v="2"/>
    <x v="0"/>
  </r>
  <r>
    <s v="Analyzer Status changed from Ready to Maintenance."/>
    <x v="0"/>
    <x v="0"/>
    <x v="10"/>
    <d v="1899-12-30T22:22:38"/>
    <s v="Analyzer"/>
    <x v="0"/>
    <x v="0"/>
    <x v="0"/>
    <x v="0"/>
  </r>
  <r>
    <s v="Analyzer Status changed from Maintenance to Ready."/>
    <x v="0"/>
    <x v="0"/>
    <x v="10"/>
    <d v="1899-12-30T22:22:59"/>
    <s v="Analyzer"/>
    <x v="0"/>
    <x v="0"/>
    <x v="0"/>
    <x v="0"/>
  </r>
  <r>
    <s v="Automatic maintenance activity Automatic Fluidic Line Priming Cycle has been executed."/>
    <x v="2"/>
    <x v="0"/>
    <x v="10"/>
    <d v="1899-12-30T22:22:59"/>
    <s v="Maintenance"/>
    <x v="0"/>
    <x v="2"/>
    <x v="2"/>
    <x v="0"/>
  </r>
  <r>
    <s v="Clean solution level low."/>
    <x v="19"/>
    <x v="1"/>
    <x v="10"/>
    <d v="1899-12-30T22:23:05"/>
    <s v="Materials"/>
    <x v="0"/>
    <x v="1"/>
    <x v="10"/>
    <x v="0"/>
  </r>
  <r>
    <s v="Analyzer Status changed from Ready to Maintenance."/>
    <x v="0"/>
    <x v="0"/>
    <x v="10"/>
    <d v="1899-12-30T23:23:00"/>
    <s v="Analyzer"/>
    <x v="0"/>
    <x v="0"/>
    <x v="0"/>
    <x v="0"/>
  </r>
  <r>
    <s v="Analyzer Status changed from Maintenance to Ready."/>
    <x v="0"/>
    <x v="0"/>
    <x v="10"/>
    <d v="1899-12-30T23:23:21"/>
    <s v="Analyzer"/>
    <x v="0"/>
    <x v="0"/>
    <x v="0"/>
    <x v="0"/>
  </r>
  <r>
    <s v="Automatic maintenance activity Automatic Fluidic Line Priming Cycle has been executed."/>
    <x v="2"/>
    <x v="0"/>
    <x v="10"/>
    <d v="1899-12-30T23:23:21"/>
    <s v="Maintenance"/>
    <x v="0"/>
    <x v="2"/>
    <x v="2"/>
    <x v="0"/>
  </r>
  <r>
    <s v="Analyzer Status changed from Ready to Maintenance."/>
    <x v="0"/>
    <x v="0"/>
    <x v="11"/>
    <d v="1899-12-30T00:23:21"/>
    <s v="Analyzer"/>
    <x v="0"/>
    <x v="0"/>
    <x v="0"/>
    <x v="0"/>
  </r>
  <r>
    <s v="Analyzer Status changed from Maintenance to Ready."/>
    <x v="0"/>
    <x v="0"/>
    <x v="11"/>
    <d v="1899-12-30T00:23:43"/>
    <s v="Analyzer"/>
    <x v="0"/>
    <x v="0"/>
    <x v="0"/>
    <x v="0"/>
  </r>
  <r>
    <s v="Automatic maintenance activity Automatic Fluidic Line Priming Cycle has been executed."/>
    <x v="2"/>
    <x v="0"/>
    <x v="11"/>
    <d v="1899-12-30T00:23:43"/>
    <s v="Maintenance"/>
    <x v="0"/>
    <x v="2"/>
    <x v="2"/>
    <x v="0"/>
  </r>
  <r>
    <s v="Analyzer Status changed from Ready to Maintenance."/>
    <x v="0"/>
    <x v="0"/>
    <x v="11"/>
    <d v="1899-12-30T01:23:43"/>
    <s v="Analyzer"/>
    <x v="0"/>
    <x v="0"/>
    <x v="0"/>
    <x v="0"/>
  </r>
  <r>
    <s v="Automatic maintenance activity Automatic Fluidic Line Priming Cycle has been executed."/>
    <x v="2"/>
    <x v="0"/>
    <x v="11"/>
    <d v="1899-12-30T01:24:04"/>
    <s v="Maintenance"/>
    <x v="0"/>
    <x v="2"/>
    <x v="2"/>
    <x v="0"/>
  </r>
  <r>
    <s v="Analyzer Status changed from Maintenance to Ready."/>
    <x v="0"/>
    <x v="0"/>
    <x v="11"/>
    <d v="1899-12-30T01:24:05"/>
    <s v="Analyzer"/>
    <x v="0"/>
    <x v="0"/>
    <x v="0"/>
    <x v="0"/>
  </r>
  <r>
    <s v="Analyzer Status changed from Ready to Maintenance."/>
    <x v="0"/>
    <x v="0"/>
    <x v="11"/>
    <d v="1899-12-30T02:24:05"/>
    <s v="Analyzer"/>
    <x v="0"/>
    <x v="0"/>
    <x v="0"/>
    <x v="0"/>
  </r>
  <r>
    <s v="Analyzer Status changed from Maintenance to Ready."/>
    <x v="0"/>
    <x v="0"/>
    <x v="11"/>
    <d v="1899-12-30T02:24:26"/>
    <s v="Analyzer"/>
    <x v="0"/>
    <x v="0"/>
    <x v="0"/>
    <x v="0"/>
  </r>
  <r>
    <s v="Automatic maintenance activity Automatic Fluidic Line Priming Cycle has been executed."/>
    <x v="2"/>
    <x v="0"/>
    <x v="11"/>
    <d v="1899-12-30T02:24:26"/>
    <s v="Maintenance"/>
    <x v="0"/>
    <x v="2"/>
    <x v="2"/>
    <x v="0"/>
  </r>
  <r>
    <s v="Analyzer Status changed from Ready to Maintenance."/>
    <x v="0"/>
    <x v="0"/>
    <x v="11"/>
    <d v="1899-12-30T03:24:27"/>
    <s v="Analyzer"/>
    <x v="0"/>
    <x v="0"/>
    <x v="0"/>
    <x v="0"/>
  </r>
  <r>
    <s v="Analyzer Status changed from Maintenance to Ready."/>
    <x v="0"/>
    <x v="0"/>
    <x v="11"/>
    <d v="1899-12-30T03:24:48"/>
    <s v="Analyzer"/>
    <x v="0"/>
    <x v="0"/>
    <x v="0"/>
    <x v="0"/>
  </r>
  <r>
    <s v="Automatic maintenance activity Automatic Fluidic Line Priming Cycle has been executed."/>
    <x v="2"/>
    <x v="0"/>
    <x v="11"/>
    <d v="1899-12-30T03:24:48"/>
    <s v="Maintenance"/>
    <x v="0"/>
    <x v="2"/>
    <x v="2"/>
    <x v="0"/>
  </r>
  <r>
    <s v="Analyzer Status changed from Ready to Maintenance."/>
    <x v="0"/>
    <x v="0"/>
    <x v="11"/>
    <d v="1899-12-30T04:24:48"/>
    <s v="Analyzer"/>
    <x v="0"/>
    <x v="0"/>
    <x v="0"/>
    <x v="0"/>
  </r>
  <r>
    <s v="Analyzer Status changed from Maintenance to Ready."/>
    <x v="0"/>
    <x v="0"/>
    <x v="11"/>
    <d v="1899-12-30T04:25:10"/>
    <s v="Analyzer"/>
    <x v="0"/>
    <x v="0"/>
    <x v="0"/>
    <x v="0"/>
  </r>
  <r>
    <s v="Automatic maintenance activity Automatic Fluidic Line Priming Cycle has been executed."/>
    <x v="2"/>
    <x v="0"/>
    <x v="11"/>
    <d v="1899-12-30T04:25:10"/>
    <s v="Maintenance"/>
    <x v="0"/>
    <x v="2"/>
    <x v="2"/>
    <x v="0"/>
  </r>
  <r>
    <s v="Analyzer Status changed from Ready to Maintenance."/>
    <x v="0"/>
    <x v="0"/>
    <x v="11"/>
    <d v="1899-12-30T05:25:11"/>
    <s v="Analyzer"/>
    <x v="0"/>
    <x v="0"/>
    <x v="0"/>
    <x v="0"/>
  </r>
  <r>
    <s v="Analyzer Status changed from Maintenance to Ready."/>
    <x v="0"/>
    <x v="0"/>
    <x v="11"/>
    <d v="1899-12-30T05:25:32"/>
    <s v="Analyzer"/>
    <x v="0"/>
    <x v="0"/>
    <x v="0"/>
    <x v="0"/>
  </r>
  <r>
    <s v="Automatic maintenance activity Automatic Fluidic Line Priming Cycle has been executed."/>
    <x v="2"/>
    <x v="0"/>
    <x v="11"/>
    <d v="1899-12-30T05:25:32"/>
    <s v="Maintenance"/>
    <x v="0"/>
    <x v="2"/>
    <x v="2"/>
    <x v="0"/>
  </r>
  <r>
    <s v="Analyzer Status changed from Ready to Maintenance."/>
    <x v="0"/>
    <x v="0"/>
    <x v="11"/>
    <d v="1899-12-30T06:25:33"/>
    <s v="Analyzer"/>
    <x v="0"/>
    <x v="0"/>
    <x v="0"/>
    <x v="0"/>
  </r>
  <r>
    <s v="Analyzer Status changed from Maintenance to Ready."/>
    <x v="0"/>
    <x v="0"/>
    <x v="11"/>
    <d v="1899-12-30T06:25:54"/>
    <s v="Analyzer"/>
    <x v="0"/>
    <x v="0"/>
    <x v="0"/>
    <x v="0"/>
  </r>
  <r>
    <s v="Automatic maintenance activity Automatic Fluidic Line Priming Cycle has been executed."/>
    <x v="2"/>
    <x v="0"/>
    <x v="11"/>
    <d v="1899-12-30T06:25:54"/>
    <s v="Maintenance"/>
    <x v="0"/>
    <x v="2"/>
    <x v="2"/>
    <x v="0"/>
  </r>
  <r>
    <s v="Analyzer Status changed from Ready to Maintenance."/>
    <x v="0"/>
    <x v="0"/>
    <x v="11"/>
    <d v="1899-12-30T07:25:55"/>
    <s v="Analyzer"/>
    <x v="0"/>
    <x v="0"/>
    <x v="0"/>
    <x v="0"/>
  </r>
  <r>
    <s v="Analyzer Status changed from Maintenance to Ready."/>
    <x v="0"/>
    <x v="0"/>
    <x v="11"/>
    <d v="1899-12-30T07:26:16"/>
    <s v="Analyzer"/>
    <x v="0"/>
    <x v="0"/>
    <x v="0"/>
    <x v="0"/>
  </r>
  <r>
    <s v="Automatic maintenance activity Automatic Fluidic Line Priming Cycle has been executed."/>
    <x v="2"/>
    <x v="0"/>
    <x v="11"/>
    <d v="1899-12-30T07:26:16"/>
    <s v="Maintenance"/>
    <x v="0"/>
    <x v="2"/>
    <x v="2"/>
    <x v="0"/>
  </r>
  <r>
    <s v="Analyzer Status changed from Ready to Maintenance."/>
    <x v="0"/>
    <x v="0"/>
    <x v="11"/>
    <d v="1899-12-30T08:26:16"/>
    <s v="Analyzer"/>
    <x v="0"/>
    <x v="0"/>
    <x v="0"/>
    <x v="0"/>
  </r>
  <r>
    <s v="Analyzer Status changed from Maintenance to Ready."/>
    <x v="0"/>
    <x v="0"/>
    <x v="11"/>
    <d v="1899-12-30T08:26:38"/>
    <s v="Analyzer"/>
    <x v="0"/>
    <x v="0"/>
    <x v="0"/>
    <x v="0"/>
  </r>
  <r>
    <s v="Automatic maintenance activity Automatic Fluidic Line Priming Cycle has been executed."/>
    <x v="2"/>
    <x v="0"/>
    <x v="11"/>
    <d v="1899-12-30T08:26:38"/>
    <s v="Maintenance"/>
    <x v="0"/>
    <x v="2"/>
    <x v="2"/>
    <x v="0"/>
  </r>
  <r>
    <s v="Analyzer Status changed from Ready to Maintenance."/>
    <x v="0"/>
    <x v="0"/>
    <x v="11"/>
    <d v="1899-12-30T09:26:38"/>
    <s v="Analyzer"/>
    <x v="0"/>
    <x v="0"/>
    <x v="0"/>
    <x v="0"/>
  </r>
  <r>
    <s v="Analyzer Status changed from Maintenance to Ready."/>
    <x v="0"/>
    <x v="0"/>
    <x v="11"/>
    <d v="1899-12-30T09:27:00"/>
    <s v="Analyzer"/>
    <x v="0"/>
    <x v="0"/>
    <x v="0"/>
    <x v="0"/>
  </r>
  <r>
    <s v="Automatic maintenance activity Automatic Fluidic Line Priming Cycle has been executed."/>
    <x v="2"/>
    <x v="0"/>
    <x v="11"/>
    <d v="1899-12-30T09:27:00"/>
    <s v="Maintenance"/>
    <x v="0"/>
    <x v="2"/>
    <x v="2"/>
    <x v="0"/>
  </r>
  <r>
    <s v="Analyzer Status changed from Ready to Maintenance."/>
    <x v="0"/>
    <x v="0"/>
    <x v="11"/>
    <d v="1899-12-30T10:27:00"/>
    <s v="Analyzer"/>
    <x v="0"/>
    <x v="0"/>
    <x v="0"/>
    <x v="0"/>
  </r>
  <r>
    <s v="Analyzer Status changed from Maintenance to Ready."/>
    <x v="0"/>
    <x v="0"/>
    <x v="11"/>
    <d v="1899-12-30T10:28:35"/>
    <s v="Analyzer"/>
    <x v="0"/>
    <x v="0"/>
    <x v="0"/>
    <x v="0"/>
  </r>
  <r>
    <s v="Automatic maintenance activity Automatic Fluidic Line Priming Cycle has been executed."/>
    <x v="2"/>
    <x v="0"/>
    <x v="11"/>
    <d v="1899-12-30T10:28:35"/>
    <s v="Maintenance"/>
    <x v="0"/>
    <x v="2"/>
    <x v="2"/>
    <x v="0"/>
  </r>
  <r>
    <s v="Analyzer Status changed from Ready to Maintenance."/>
    <x v="0"/>
    <x v="0"/>
    <x v="11"/>
    <d v="1899-12-30T11:28:35"/>
    <s v="Analyzer"/>
    <x v="0"/>
    <x v="0"/>
    <x v="0"/>
    <x v="0"/>
  </r>
  <r>
    <s v="Analyzer Status changed from Maintenance to Ready."/>
    <x v="0"/>
    <x v="0"/>
    <x v="11"/>
    <d v="1899-12-30T11:28:57"/>
    <s v="Analyzer"/>
    <x v="0"/>
    <x v="0"/>
    <x v="0"/>
    <x v="0"/>
  </r>
  <r>
    <s v="Automatic maintenance activity Automatic Fluidic Line Priming Cycle has been executed."/>
    <x v="2"/>
    <x v="0"/>
    <x v="11"/>
    <d v="1899-12-30T11:28:57"/>
    <s v="Maintenance"/>
    <x v="0"/>
    <x v="2"/>
    <x v="2"/>
    <x v="0"/>
  </r>
  <r>
    <s v="Analyzer Status changed from Ready to Maintenance."/>
    <x v="0"/>
    <x v="0"/>
    <x v="11"/>
    <d v="1899-12-30T12:28:57"/>
    <s v="Analyzer"/>
    <x v="0"/>
    <x v="0"/>
    <x v="0"/>
    <x v="0"/>
  </r>
  <r>
    <s v="Analyzer Status changed from Maintenance to Ready."/>
    <x v="0"/>
    <x v="0"/>
    <x v="11"/>
    <d v="1899-12-30T12:29:19"/>
    <s v="Analyzer"/>
    <x v="0"/>
    <x v="0"/>
    <x v="0"/>
    <x v="0"/>
  </r>
  <r>
    <s v="Automatic maintenance activity Automatic Fluidic Line Priming Cycle has been executed."/>
    <x v="2"/>
    <x v="0"/>
    <x v="11"/>
    <d v="1899-12-30T12:29:19"/>
    <s v="Maintenance"/>
    <x v="0"/>
    <x v="2"/>
    <x v="2"/>
    <x v="0"/>
  </r>
  <r>
    <s v="Analyzer Status changed from Ready to Maintenance."/>
    <x v="0"/>
    <x v="0"/>
    <x v="11"/>
    <d v="1899-12-30T13:29:19"/>
    <s v="Analyzer"/>
    <x v="0"/>
    <x v="0"/>
    <x v="0"/>
    <x v="0"/>
  </r>
  <r>
    <s v="Analyzer Status changed from Maintenance to Ready."/>
    <x v="0"/>
    <x v="0"/>
    <x v="11"/>
    <d v="1899-12-30T13:29:41"/>
    <s v="Analyzer"/>
    <x v="0"/>
    <x v="0"/>
    <x v="0"/>
    <x v="0"/>
  </r>
  <r>
    <s v="Automatic maintenance activity Automatic Fluidic Line Priming Cycle has been executed."/>
    <x v="2"/>
    <x v="0"/>
    <x v="11"/>
    <d v="1899-12-30T13:29:41"/>
    <s v="Maintenance"/>
    <x v="0"/>
    <x v="2"/>
    <x v="2"/>
    <x v="0"/>
  </r>
  <r>
    <s v="Analyzer Status changed from Ready to Maintenance."/>
    <x v="0"/>
    <x v="0"/>
    <x v="11"/>
    <d v="1899-12-30T14:29:41"/>
    <s v="Analyzer"/>
    <x v="0"/>
    <x v="0"/>
    <x v="0"/>
    <x v="0"/>
  </r>
  <r>
    <s v="Automatic maintenance activity Automatic Fluidic Line Priming Cycle has been executed."/>
    <x v="2"/>
    <x v="0"/>
    <x v="11"/>
    <d v="1899-12-30T14:30:02"/>
    <s v="Maintenance"/>
    <x v="0"/>
    <x v="2"/>
    <x v="2"/>
    <x v="0"/>
  </r>
  <r>
    <s v="Analyzer Status changed from Maintenance to Ready."/>
    <x v="0"/>
    <x v="0"/>
    <x v="11"/>
    <d v="1899-12-30T14:30:03"/>
    <s v="Analyzer"/>
    <x v="0"/>
    <x v="0"/>
    <x v="0"/>
    <x v="0"/>
  </r>
  <r>
    <s v="Analyzer Status changed from Ready to Maintenance."/>
    <x v="0"/>
    <x v="0"/>
    <x v="11"/>
    <d v="1899-12-30T15:30:03"/>
    <s v="Analyzer"/>
    <x v="0"/>
    <x v="0"/>
    <x v="0"/>
    <x v="0"/>
  </r>
  <r>
    <s v="Automatic maintenance activity Automatic Fluidic Line Priming Cycle has been executed."/>
    <x v="2"/>
    <x v="0"/>
    <x v="11"/>
    <d v="1899-12-30T15:30:24"/>
    <s v="Maintenance"/>
    <x v="0"/>
    <x v="2"/>
    <x v="2"/>
    <x v="0"/>
  </r>
  <r>
    <s v="Analyzer Status changed from Maintenance to Ready."/>
    <x v="0"/>
    <x v="0"/>
    <x v="11"/>
    <d v="1899-12-30T15:30:25"/>
    <s v="Analyzer"/>
    <x v="0"/>
    <x v="0"/>
    <x v="0"/>
    <x v="0"/>
  </r>
  <r>
    <s v="Analyzer Status changed from Ready to Maintenance."/>
    <x v="0"/>
    <x v="0"/>
    <x v="11"/>
    <d v="1899-12-30T16:30:25"/>
    <s v="Analyzer"/>
    <x v="0"/>
    <x v="0"/>
    <x v="0"/>
    <x v="0"/>
  </r>
  <r>
    <s v="Analyzer Status changed from Maintenance to Ready."/>
    <x v="0"/>
    <x v="0"/>
    <x v="11"/>
    <d v="1899-12-30T16:30:46"/>
    <s v="Analyzer"/>
    <x v="0"/>
    <x v="0"/>
    <x v="0"/>
    <x v="0"/>
  </r>
  <r>
    <s v="Automatic maintenance activity Automatic Fluidic Line Priming Cycle has been executed."/>
    <x v="2"/>
    <x v="0"/>
    <x v="11"/>
    <d v="1899-12-30T16:30:46"/>
    <s v="Maintenance"/>
    <x v="0"/>
    <x v="2"/>
    <x v="2"/>
    <x v="0"/>
  </r>
  <r>
    <s v="Analyzer Status changed from Ready to Maintenance."/>
    <x v="0"/>
    <x v="0"/>
    <x v="11"/>
    <d v="1899-12-30T17:30:46"/>
    <s v="Analyzer"/>
    <x v="0"/>
    <x v="0"/>
    <x v="0"/>
    <x v="0"/>
  </r>
  <r>
    <s v="Analyzer Status changed from Maintenance to Ready."/>
    <x v="0"/>
    <x v="0"/>
    <x v="11"/>
    <d v="1899-12-30T17:31:08"/>
    <s v="Analyzer"/>
    <x v="0"/>
    <x v="0"/>
    <x v="0"/>
    <x v="0"/>
  </r>
  <r>
    <s v="Automatic maintenance activity Automatic Fluidic Line Priming Cycle has been executed."/>
    <x v="2"/>
    <x v="0"/>
    <x v="11"/>
    <d v="1899-12-30T17:31:08"/>
    <s v="Maintenance"/>
    <x v="0"/>
    <x v="2"/>
    <x v="2"/>
    <x v="0"/>
  </r>
  <r>
    <s v="Analyzer Status changed from Ready to Maintenance."/>
    <x v="0"/>
    <x v="0"/>
    <x v="11"/>
    <d v="1899-12-30T18:31:09"/>
    <s v="Analyzer"/>
    <x v="0"/>
    <x v="0"/>
    <x v="0"/>
    <x v="0"/>
  </r>
  <r>
    <s v="Analyzer Status changed from Maintenance to Ready."/>
    <x v="0"/>
    <x v="0"/>
    <x v="11"/>
    <d v="1899-12-30T18:31:30"/>
    <s v="Analyzer"/>
    <x v="0"/>
    <x v="0"/>
    <x v="0"/>
    <x v="0"/>
  </r>
  <r>
    <s v="Automatic maintenance activity Automatic Fluidic Line Priming Cycle has been executed."/>
    <x v="2"/>
    <x v="0"/>
    <x v="11"/>
    <d v="1899-12-30T18:31:30"/>
    <s v="Maintenance"/>
    <x v="0"/>
    <x v="2"/>
    <x v="2"/>
    <x v="0"/>
  </r>
  <r>
    <s v="Analyzer Status changed from Ready to Maintenance."/>
    <x v="0"/>
    <x v="0"/>
    <x v="11"/>
    <d v="1899-12-30T19:31:30"/>
    <s v="Analyzer"/>
    <x v="0"/>
    <x v="0"/>
    <x v="0"/>
    <x v="0"/>
  </r>
  <r>
    <s v="Analyzer Status changed from Maintenance to Ready."/>
    <x v="0"/>
    <x v="0"/>
    <x v="11"/>
    <d v="1899-12-30T19:31:52"/>
    <s v="Analyzer"/>
    <x v="0"/>
    <x v="0"/>
    <x v="0"/>
    <x v="0"/>
  </r>
  <r>
    <s v="Automatic maintenance activity Automatic Fluidic Line Priming Cycle has been executed."/>
    <x v="2"/>
    <x v="0"/>
    <x v="11"/>
    <d v="1899-12-30T19:31:52"/>
    <s v="Maintenance"/>
    <x v="0"/>
    <x v="2"/>
    <x v="2"/>
    <x v="0"/>
  </r>
  <r>
    <s v="Analyzer Status changed from Ready to Maintenance."/>
    <x v="0"/>
    <x v="0"/>
    <x v="11"/>
    <d v="1899-12-30T20:31:52"/>
    <s v="Analyzer"/>
    <x v="0"/>
    <x v="0"/>
    <x v="0"/>
    <x v="0"/>
  </r>
  <r>
    <s v="Analyzer Status changed from Maintenance to Ready."/>
    <x v="0"/>
    <x v="0"/>
    <x v="11"/>
    <d v="1899-12-30T20:32:14"/>
    <s v="Analyzer"/>
    <x v="0"/>
    <x v="0"/>
    <x v="0"/>
    <x v="0"/>
  </r>
  <r>
    <s v="Automatic maintenance activity Automatic Fluidic Line Priming Cycle has been executed."/>
    <x v="2"/>
    <x v="0"/>
    <x v="11"/>
    <d v="1899-12-30T20:32:14"/>
    <s v="Maintenance"/>
    <x v="0"/>
    <x v="2"/>
    <x v="2"/>
    <x v="0"/>
  </r>
  <r>
    <s v="Analyzer Status changed from Ready to Maintenance."/>
    <x v="0"/>
    <x v="0"/>
    <x v="11"/>
    <d v="1899-12-30T21:32:14"/>
    <s v="Analyzer"/>
    <x v="0"/>
    <x v="0"/>
    <x v="0"/>
    <x v="0"/>
  </r>
  <r>
    <s v="Analyzer Status changed from Maintenance to Ready."/>
    <x v="0"/>
    <x v="0"/>
    <x v="11"/>
    <d v="1899-12-30T21:32:36"/>
    <s v="Analyzer"/>
    <x v="0"/>
    <x v="0"/>
    <x v="0"/>
    <x v="0"/>
  </r>
  <r>
    <s v="Automatic maintenance activity Automatic Fluidic Line Priming Cycle has been executed."/>
    <x v="2"/>
    <x v="0"/>
    <x v="11"/>
    <d v="1899-12-30T21:32:36"/>
    <s v="Maintenance"/>
    <x v="0"/>
    <x v="2"/>
    <x v="2"/>
    <x v="0"/>
  </r>
  <r>
    <s v="Analyzer Status changed from Ready to Maintenance."/>
    <x v="0"/>
    <x v="0"/>
    <x v="11"/>
    <d v="1899-12-30T22:32:36"/>
    <s v="Analyzer"/>
    <x v="0"/>
    <x v="0"/>
    <x v="0"/>
    <x v="0"/>
  </r>
  <r>
    <s v="Analyzer Status changed from Maintenance to Ready."/>
    <x v="0"/>
    <x v="0"/>
    <x v="11"/>
    <d v="1899-12-30T22:32:58"/>
    <s v="Analyzer"/>
    <x v="0"/>
    <x v="0"/>
    <x v="0"/>
    <x v="0"/>
  </r>
  <r>
    <s v="Automatic maintenance activity Automatic Fluidic Line Priming Cycle has been executed."/>
    <x v="2"/>
    <x v="0"/>
    <x v="11"/>
    <d v="1899-12-30T22:32:58"/>
    <s v="Maintenance"/>
    <x v="0"/>
    <x v="2"/>
    <x v="2"/>
    <x v="0"/>
  </r>
  <r>
    <s v="Analyzer Status changed from Ready to Maintenance."/>
    <x v="0"/>
    <x v="0"/>
    <x v="11"/>
    <d v="1899-12-30T23:32:58"/>
    <s v="Analyzer"/>
    <x v="0"/>
    <x v="0"/>
    <x v="0"/>
    <x v="0"/>
  </r>
  <r>
    <s v="Analyzer Status changed from Maintenance to Ready."/>
    <x v="0"/>
    <x v="0"/>
    <x v="11"/>
    <d v="1899-12-30T23:33:20"/>
    <s v="Analyzer"/>
    <x v="0"/>
    <x v="0"/>
    <x v="0"/>
    <x v="0"/>
  </r>
  <r>
    <s v="Automatic maintenance activity Automatic Fluidic Line Priming Cycle has been executed."/>
    <x v="2"/>
    <x v="0"/>
    <x v="11"/>
    <d v="1899-12-30T23:33:20"/>
    <s v="Maintenance"/>
    <x v="0"/>
    <x v="2"/>
    <x v="2"/>
    <x v="0"/>
  </r>
  <r>
    <s v="Analyzer Status changed from Ready to Maintenance."/>
    <x v="0"/>
    <x v="0"/>
    <x v="12"/>
    <d v="1899-12-30T00:33:20"/>
    <s v="Analyzer"/>
    <x v="0"/>
    <x v="0"/>
    <x v="0"/>
    <x v="0"/>
  </r>
  <r>
    <s v="Analyzer Status changed from Maintenance to Ready."/>
    <x v="0"/>
    <x v="0"/>
    <x v="12"/>
    <d v="1899-12-30T00:33:42"/>
    <s v="Analyzer"/>
    <x v="0"/>
    <x v="0"/>
    <x v="0"/>
    <x v="0"/>
  </r>
  <r>
    <s v="Automatic maintenance activity Automatic Fluidic Line Priming Cycle has been executed."/>
    <x v="2"/>
    <x v="0"/>
    <x v="12"/>
    <d v="1899-12-30T00:33:42"/>
    <s v="Maintenance"/>
    <x v="0"/>
    <x v="2"/>
    <x v="2"/>
    <x v="0"/>
  </r>
  <r>
    <s v="Analyzer Status changed from Ready to Maintenance."/>
    <x v="0"/>
    <x v="0"/>
    <x v="12"/>
    <d v="1899-12-30T01:33:42"/>
    <s v="Analyzer"/>
    <x v="0"/>
    <x v="0"/>
    <x v="0"/>
    <x v="0"/>
  </r>
  <r>
    <s v="Analyzer Status changed from Maintenance to Ready."/>
    <x v="0"/>
    <x v="0"/>
    <x v="12"/>
    <d v="1899-12-30T01:34:04"/>
    <s v="Analyzer"/>
    <x v="0"/>
    <x v="0"/>
    <x v="0"/>
    <x v="0"/>
  </r>
  <r>
    <s v="Automatic maintenance activity Automatic Fluidic Line Priming Cycle has been executed."/>
    <x v="2"/>
    <x v="0"/>
    <x v="12"/>
    <d v="1899-12-30T01:34:04"/>
    <s v="Maintenance"/>
    <x v="0"/>
    <x v="2"/>
    <x v="2"/>
    <x v="0"/>
  </r>
  <r>
    <s v="Analyzer Status changed from Ready to Maintenance."/>
    <x v="0"/>
    <x v="0"/>
    <x v="12"/>
    <d v="1899-12-30T02:34:04"/>
    <s v="Analyzer"/>
    <x v="0"/>
    <x v="0"/>
    <x v="0"/>
    <x v="0"/>
  </r>
  <r>
    <s v="Analyzer Status changed from Maintenance to Ready."/>
    <x v="0"/>
    <x v="0"/>
    <x v="12"/>
    <d v="1899-12-30T02:34:26"/>
    <s v="Analyzer"/>
    <x v="0"/>
    <x v="0"/>
    <x v="0"/>
    <x v="0"/>
  </r>
  <r>
    <s v="Automatic maintenance activity Automatic Fluidic Line Priming Cycle has been executed."/>
    <x v="2"/>
    <x v="0"/>
    <x v="12"/>
    <d v="1899-12-30T02:34:26"/>
    <s v="Maintenance"/>
    <x v="0"/>
    <x v="2"/>
    <x v="2"/>
    <x v="0"/>
  </r>
  <r>
    <s v="Rinse solution level low."/>
    <x v="1"/>
    <x v="1"/>
    <x v="12"/>
    <d v="1899-12-30T02:42:52"/>
    <s v="Materials"/>
    <x v="0"/>
    <x v="1"/>
    <x v="1"/>
    <x v="0"/>
  </r>
  <r>
    <s v="Analyzer Status changed from Ready to Maintenance."/>
    <x v="0"/>
    <x v="0"/>
    <x v="12"/>
    <d v="1899-12-30T03:34:26"/>
    <s v="Analyzer"/>
    <x v="0"/>
    <x v="0"/>
    <x v="0"/>
    <x v="0"/>
  </r>
  <r>
    <s v="Analyzer Status changed from Maintenance to Ready."/>
    <x v="0"/>
    <x v="0"/>
    <x v="12"/>
    <d v="1899-12-30T03:34:48"/>
    <s v="Analyzer"/>
    <x v="0"/>
    <x v="0"/>
    <x v="0"/>
    <x v="0"/>
  </r>
  <r>
    <s v="Automatic maintenance activity Automatic Fluidic Line Priming Cycle has been executed."/>
    <x v="2"/>
    <x v="0"/>
    <x v="12"/>
    <d v="1899-12-30T03:34:48"/>
    <s v="Maintenance"/>
    <x v="0"/>
    <x v="2"/>
    <x v="2"/>
    <x v="0"/>
  </r>
  <r>
    <s v="Analyzer Status changed from Ready to Maintenance."/>
    <x v="0"/>
    <x v="0"/>
    <x v="12"/>
    <d v="1899-12-30T04:34:48"/>
    <s v="Analyzer"/>
    <x v="0"/>
    <x v="0"/>
    <x v="0"/>
    <x v="0"/>
  </r>
  <r>
    <s v="Analyzer Status changed from Maintenance to Ready."/>
    <x v="0"/>
    <x v="0"/>
    <x v="12"/>
    <d v="1899-12-30T04:35:10"/>
    <s v="Analyzer"/>
    <x v="0"/>
    <x v="0"/>
    <x v="0"/>
    <x v="0"/>
  </r>
  <r>
    <s v="Automatic maintenance activity Automatic Fluidic Line Priming Cycle has been executed."/>
    <x v="2"/>
    <x v="0"/>
    <x v="12"/>
    <d v="1899-12-30T04:35:10"/>
    <s v="Maintenance"/>
    <x v="0"/>
    <x v="2"/>
    <x v="2"/>
    <x v="0"/>
  </r>
  <r>
    <s v="Analyzer Status changed from Ready to Maintenance."/>
    <x v="0"/>
    <x v="0"/>
    <x v="12"/>
    <d v="1899-12-30T05:35:10"/>
    <s v="Analyzer"/>
    <x v="0"/>
    <x v="0"/>
    <x v="0"/>
    <x v="0"/>
  </r>
  <r>
    <s v="Clean solution bottle empty."/>
    <x v="44"/>
    <x v="2"/>
    <x v="12"/>
    <d v="1899-12-30T05:35:24"/>
    <s v="Materials"/>
    <x v="0"/>
    <x v="1"/>
    <x v="10"/>
    <x v="0"/>
  </r>
  <r>
    <s v="Analyzer Status changed from Maintenance to Error."/>
    <x v="0"/>
    <x v="0"/>
    <x v="12"/>
    <d v="1899-12-30T05:35:24"/>
    <s v="Analyzer"/>
    <x v="0"/>
    <x v="0"/>
    <x v="0"/>
    <x v="0"/>
  </r>
  <r>
    <s v="Maintenance activity interrupted: Automatic Fluidic Line Priming Cycle"/>
    <x v="45"/>
    <x v="2"/>
    <x v="12"/>
    <d v="1899-12-30T05:35:32"/>
    <s v="Maintenance"/>
    <x v="0"/>
    <x v="2"/>
    <x v="2"/>
    <x v="0"/>
  </r>
  <r>
    <s v="LAS ARM COVER open."/>
    <x v="46"/>
    <x v="2"/>
    <x v="13"/>
    <d v="1899-12-30T10:27:47"/>
    <s v="Analyzer"/>
    <x v="0"/>
    <x v="6"/>
    <x v="13"/>
    <x v="0"/>
  </r>
  <r>
    <s v="Analyzer Status changed from Error to Emergency stop."/>
    <x v="0"/>
    <x v="0"/>
    <x v="13"/>
    <d v="1899-12-30T10:27:47"/>
    <s v="Analyzer"/>
    <x v="0"/>
    <x v="0"/>
    <x v="0"/>
    <x v="0"/>
  </r>
  <r>
    <s v="Analyzer Status changed from Emergency stop to Not connected."/>
    <x v="0"/>
    <x v="0"/>
    <x v="13"/>
    <d v="1899-12-30T14:23:09"/>
    <s v="Analyzer"/>
    <x v="0"/>
    <x v="0"/>
    <x v="0"/>
    <x v="0"/>
  </r>
  <r>
    <s v="Analyzer Status changed from Not connected to Power up."/>
    <x v="0"/>
    <x v="0"/>
    <x v="13"/>
    <d v="1899-12-30T14:23:57"/>
    <s v="Analyzer"/>
    <x v="0"/>
    <x v="0"/>
    <x v="0"/>
    <x v="0"/>
  </r>
  <r>
    <s v="Analyzer Status changed from Power up to Initializing."/>
    <x v="0"/>
    <x v="0"/>
    <x v="13"/>
    <d v="1899-12-30T14:24:07"/>
    <s v="Analyzer"/>
    <x v="0"/>
    <x v="0"/>
    <x v="0"/>
    <x v="0"/>
  </r>
  <r>
    <s v="Analyzer Status changed from Initializing to Adjusting thermal."/>
    <x v="0"/>
    <x v="0"/>
    <x v="13"/>
    <d v="1899-12-30T14:25:55"/>
    <s v="Analyzer"/>
    <x v="0"/>
    <x v="0"/>
    <x v="0"/>
    <x v="0"/>
  </r>
  <r>
    <s v="Analyzer Status changed from Adjusting thermal to Ready."/>
    <x v="0"/>
    <x v="0"/>
    <x v="13"/>
    <d v="1899-12-30T14:38:32"/>
    <s v="Analyzer"/>
    <x v="0"/>
    <x v="0"/>
    <x v="0"/>
    <x v="0"/>
  </r>
  <r>
    <s v="Analyzer Status changed from Ready to Maintenance."/>
    <x v="0"/>
    <x v="0"/>
    <x v="13"/>
    <d v="1899-12-30T14:38:32"/>
    <s v="Analyzer"/>
    <x v="0"/>
    <x v="0"/>
    <x v="0"/>
    <x v="0"/>
  </r>
  <r>
    <s v="Automatic maintenance activity Automatic Fluidic Line Priming Cycle has been executed."/>
    <x v="2"/>
    <x v="0"/>
    <x v="13"/>
    <d v="1899-12-30T14:40:06"/>
    <s v="Maintenance"/>
    <x v="0"/>
    <x v="2"/>
    <x v="2"/>
    <x v="0"/>
  </r>
  <r>
    <s v="Analyzer Status changed from Maintenance to Ready."/>
    <x v="0"/>
    <x v="0"/>
    <x v="13"/>
    <d v="1899-12-30T14:40:07"/>
    <s v="Analyzer"/>
    <x v="0"/>
    <x v="0"/>
    <x v="0"/>
    <x v="0"/>
  </r>
  <r>
    <s v="Analyzer Status changed from Ready to Maintenance."/>
    <x v="0"/>
    <x v="0"/>
    <x v="13"/>
    <d v="1899-12-30T15:40:07"/>
    <s v="Analyzer"/>
    <x v="0"/>
    <x v="0"/>
    <x v="0"/>
    <x v="0"/>
  </r>
  <r>
    <s v="Analyzer Status changed from Maintenance to Ready."/>
    <x v="0"/>
    <x v="0"/>
    <x v="13"/>
    <d v="1899-12-30T15:40:28"/>
    <s v="Analyzer"/>
    <x v="0"/>
    <x v="0"/>
    <x v="0"/>
    <x v="0"/>
  </r>
  <r>
    <s v="Automatic maintenance activity Automatic Fluidic Line Priming Cycle has been executed."/>
    <x v="2"/>
    <x v="0"/>
    <x v="13"/>
    <d v="1899-12-30T15:40:28"/>
    <s v="Maintenance"/>
    <x v="0"/>
    <x v="2"/>
    <x v="2"/>
    <x v="0"/>
  </r>
  <r>
    <s v="Analyzer Status changed from Ready to Maintenance."/>
    <x v="0"/>
    <x v="0"/>
    <x v="13"/>
    <d v="1899-12-30T16:40:29"/>
    <s v="Analyzer"/>
    <x v="0"/>
    <x v="0"/>
    <x v="0"/>
    <x v="0"/>
  </r>
  <r>
    <s v="Analyzer Status changed from Maintenance to Ready."/>
    <x v="0"/>
    <x v="0"/>
    <x v="13"/>
    <d v="1899-12-30T16:40:50"/>
    <s v="Analyzer"/>
    <x v="0"/>
    <x v="0"/>
    <x v="0"/>
    <x v="0"/>
  </r>
  <r>
    <s v="Automatic maintenance activity Automatic Fluidic Line Priming Cycle has been executed."/>
    <x v="2"/>
    <x v="0"/>
    <x v="13"/>
    <d v="1899-12-30T16:40:50"/>
    <s v="Maintenance"/>
    <x v="0"/>
    <x v="2"/>
    <x v="2"/>
    <x v="0"/>
  </r>
  <r>
    <s v="Analyzer Status changed from Ready to Maintenance."/>
    <x v="0"/>
    <x v="0"/>
    <x v="13"/>
    <d v="1899-12-30T17:40:51"/>
    <s v="Analyzer"/>
    <x v="0"/>
    <x v="0"/>
    <x v="0"/>
    <x v="0"/>
  </r>
  <r>
    <s v="Analyzer Status changed from Maintenance to Ready."/>
    <x v="0"/>
    <x v="0"/>
    <x v="13"/>
    <d v="1899-12-30T17:41:12"/>
    <s v="Analyzer"/>
    <x v="0"/>
    <x v="0"/>
    <x v="0"/>
    <x v="0"/>
  </r>
  <r>
    <s v="Automatic maintenance activity Automatic Fluidic Line Priming Cycle has been executed."/>
    <x v="2"/>
    <x v="0"/>
    <x v="13"/>
    <d v="1899-12-30T17:41:12"/>
    <s v="Maintenance"/>
    <x v="0"/>
    <x v="2"/>
    <x v="2"/>
    <x v="0"/>
  </r>
  <r>
    <s v="Analyzer Status changed from Ready to Maintenance."/>
    <x v="0"/>
    <x v="0"/>
    <x v="13"/>
    <d v="1899-12-30T18:41:13"/>
    <s v="Analyzer"/>
    <x v="0"/>
    <x v="0"/>
    <x v="0"/>
    <x v="0"/>
  </r>
  <r>
    <s v="Analyzer Status changed from Maintenance to Ready."/>
    <x v="0"/>
    <x v="0"/>
    <x v="13"/>
    <d v="1899-12-30T18:41:34"/>
    <s v="Analyzer"/>
    <x v="0"/>
    <x v="0"/>
    <x v="0"/>
    <x v="0"/>
  </r>
  <r>
    <s v="Automatic maintenance activity Automatic Fluidic Line Priming Cycle has been executed."/>
    <x v="2"/>
    <x v="0"/>
    <x v="13"/>
    <d v="1899-12-30T18:41:34"/>
    <s v="Maintenance"/>
    <x v="0"/>
    <x v="2"/>
    <x v="2"/>
    <x v="0"/>
  </r>
  <r>
    <s v="Analyzer Status changed from Ready to Maintenance."/>
    <x v="0"/>
    <x v="0"/>
    <x v="13"/>
    <d v="1899-12-30T19:41:35"/>
    <s v="Analyzer"/>
    <x v="0"/>
    <x v="0"/>
    <x v="0"/>
    <x v="0"/>
  </r>
  <r>
    <s v="Analyzer Status changed from Maintenance to Ready."/>
    <x v="0"/>
    <x v="0"/>
    <x v="13"/>
    <d v="1899-12-30T19:41:56"/>
    <s v="Analyzer"/>
    <x v="0"/>
    <x v="0"/>
    <x v="0"/>
    <x v="0"/>
  </r>
  <r>
    <s v="Automatic maintenance activity Automatic Fluidic Line Priming Cycle has been executed."/>
    <x v="2"/>
    <x v="0"/>
    <x v="13"/>
    <d v="1899-12-30T19:41:56"/>
    <s v="Maintenance"/>
    <x v="0"/>
    <x v="2"/>
    <x v="2"/>
    <x v="0"/>
  </r>
  <r>
    <s v="Analyzer Status changed from Ready to Maintenance."/>
    <x v="0"/>
    <x v="0"/>
    <x v="13"/>
    <d v="1899-12-30T20:41:57"/>
    <s v="Analyzer"/>
    <x v="0"/>
    <x v="0"/>
    <x v="0"/>
    <x v="0"/>
  </r>
  <r>
    <s v="Analyzer Status changed from Maintenance to Ready."/>
    <x v="0"/>
    <x v="0"/>
    <x v="13"/>
    <d v="1899-12-30T20:42:18"/>
    <s v="Analyzer"/>
    <x v="0"/>
    <x v="0"/>
    <x v="0"/>
    <x v="0"/>
  </r>
  <r>
    <s v="Automatic maintenance activity Automatic Fluidic Line Priming Cycle has been executed."/>
    <x v="2"/>
    <x v="0"/>
    <x v="13"/>
    <d v="1899-12-30T20:42:18"/>
    <s v="Maintenance"/>
    <x v="0"/>
    <x v="2"/>
    <x v="2"/>
    <x v="0"/>
  </r>
  <r>
    <s v="Analyzer Status changed from Ready to Maintenance."/>
    <x v="0"/>
    <x v="0"/>
    <x v="13"/>
    <d v="1899-12-30T21:42:19"/>
    <s v="Analyzer"/>
    <x v="0"/>
    <x v="0"/>
    <x v="0"/>
    <x v="0"/>
  </r>
  <r>
    <s v="Analyzer Status changed from Maintenance to Ready."/>
    <x v="0"/>
    <x v="0"/>
    <x v="13"/>
    <d v="1899-12-30T21:42:40"/>
    <s v="Analyzer"/>
    <x v="0"/>
    <x v="0"/>
    <x v="0"/>
    <x v="0"/>
  </r>
  <r>
    <s v="Automatic maintenance activity Automatic Fluidic Line Priming Cycle has been executed."/>
    <x v="2"/>
    <x v="0"/>
    <x v="13"/>
    <d v="1899-12-30T21:42:40"/>
    <s v="Maintenance"/>
    <x v="0"/>
    <x v="2"/>
    <x v="2"/>
    <x v="0"/>
  </r>
  <r>
    <s v="Analyzer Status changed from Ready to Maintenance."/>
    <x v="0"/>
    <x v="0"/>
    <x v="13"/>
    <d v="1899-12-30T22:42:40"/>
    <s v="Analyzer"/>
    <x v="0"/>
    <x v="0"/>
    <x v="0"/>
    <x v="0"/>
  </r>
  <r>
    <s v="Analyzer Status changed from Maintenance to Ready."/>
    <x v="0"/>
    <x v="0"/>
    <x v="13"/>
    <d v="1899-12-30T22:43:02"/>
    <s v="Analyzer"/>
    <x v="0"/>
    <x v="0"/>
    <x v="0"/>
    <x v="0"/>
  </r>
  <r>
    <s v="Automatic maintenance activity Automatic Fluidic Line Priming Cycle has been executed."/>
    <x v="2"/>
    <x v="0"/>
    <x v="13"/>
    <d v="1899-12-30T22:43:02"/>
    <s v="Maintenance"/>
    <x v="0"/>
    <x v="2"/>
    <x v="2"/>
    <x v="0"/>
  </r>
  <r>
    <s v="Analyzer Status changed from Ready to Maintenance."/>
    <x v="0"/>
    <x v="0"/>
    <x v="13"/>
    <d v="1899-12-30T23:43:02"/>
    <s v="Analyzer"/>
    <x v="0"/>
    <x v="0"/>
    <x v="0"/>
    <x v="0"/>
  </r>
  <r>
    <s v="Analyzer Status changed from Maintenance to Ready."/>
    <x v="0"/>
    <x v="0"/>
    <x v="13"/>
    <d v="1899-12-30T23:43:24"/>
    <s v="Analyzer"/>
    <x v="0"/>
    <x v="0"/>
    <x v="0"/>
    <x v="0"/>
  </r>
  <r>
    <s v="Automatic maintenance activity Automatic Fluidic Line Priming Cycle has been executed."/>
    <x v="2"/>
    <x v="0"/>
    <x v="13"/>
    <d v="1899-12-30T23:43:24"/>
    <s v="Maintenance"/>
    <x v="0"/>
    <x v="2"/>
    <x v="2"/>
    <x v="0"/>
  </r>
  <r>
    <s v="Analyzer Status changed from Ready to Maintenance."/>
    <x v="0"/>
    <x v="0"/>
    <x v="14"/>
    <d v="1899-12-30T00:43:24"/>
    <s v="Analyzer"/>
    <x v="0"/>
    <x v="0"/>
    <x v="0"/>
    <x v="0"/>
  </r>
  <r>
    <s v="Analyzer Status changed from Maintenance to Ready."/>
    <x v="0"/>
    <x v="0"/>
    <x v="14"/>
    <d v="1899-12-30T00:43:46"/>
    <s v="Analyzer"/>
    <x v="0"/>
    <x v="0"/>
    <x v="0"/>
    <x v="0"/>
  </r>
  <r>
    <s v="Automatic maintenance activity Automatic Fluidic Line Priming Cycle has been executed."/>
    <x v="2"/>
    <x v="0"/>
    <x v="14"/>
    <d v="1899-12-30T00:43:46"/>
    <s v="Maintenance"/>
    <x v="0"/>
    <x v="2"/>
    <x v="2"/>
    <x v="0"/>
  </r>
  <r>
    <s v="Analyzer Status changed from Ready to Maintenance."/>
    <x v="0"/>
    <x v="0"/>
    <x v="14"/>
    <d v="1899-12-30T01:43:46"/>
    <s v="Analyzer"/>
    <x v="0"/>
    <x v="0"/>
    <x v="0"/>
    <x v="0"/>
  </r>
  <r>
    <s v="Analyzer Status changed from Maintenance to Ready."/>
    <x v="0"/>
    <x v="0"/>
    <x v="14"/>
    <d v="1899-12-30T01:44:08"/>
    <s v="Analyzer"/>
    <x v="0"/>
    <x v="0"/>
    <x v="0"/>
    <x v="0"/>
  </r>
  <r>
    <s v="Automatic maintenance activity Automatic Fluidic Line Priming Cycle has been executed."/>
    <x v="2"/>
    <x v="0"/>
    <x v="14"/>
    <d v="1899-12-30T01:44:08"/>
    <s v="Maintenance"/>
    <x v="0"/>
    <x v="2"/>
    <x v="2"/>
    <x v="0"/>
  </r>
  <r>
    <s v="Analyzer Status changed from Ready to Maintenance."/>
    <x v="0"/>
    <x v="0"/>
    <x v="14"/>
    <d v="1899-12-30T02:44:09"/>
    <s v="Analyzer"/>
    <x v="0"/>
    <x v="0"/>
    <x v="0"/>
    <x v="0"/>
  </r>
  <r>
    <s v="Analyzer Status changed from Maintenance to Ready."/>
    <x v="0"/>
    <x v="0"/>
    <x v="14"/>
    <d v="1899-12-30T02:44:30"/>
    <s v="Analyzer"/>
    <x v="0"/>
    <x v="0"/>
    <x v="0"/>
    <x v="0"/>
  </r>
  <r>
    <s v="Automatic maintenance activity Automatic Fluidic Line Priming Cycle has been executed."/>
    <x v="2"/>
    <x v="0"/>
    <x v="14"/>
    <d v="1899-12-30T02:44:30"/>
    <s v="Maintenance"/>
    <x v="0"/>
    <x v="2"/>
    <x v="2"/>
    <x v="0"/>
  </r>
  <r>
    <s v="Analyzer Status changed from Ready to Maintenance."/>
    <x v="0"/>
    <x v="0"/>
    <x v="14"/>
    <d v="1899-12-30T03:44:31"/>
    <s v="Analyzer"/>
    <x v="0"/>
    <x v="0"/>
    <x v="0"/>
    <x v="0"/>
  </r>
  <r>
    <s v="Analyzer Status changed from Maintenance to Ready."/>
    <x v="0"/>
    <x v="0"/>
    <x v="14"/>
    <d v="1899-12-30T03:44:52"/>
    <s v="Analyzer"/>
    <x v="0"/>
    <x v="0"/>
    <x v="0"/>
    <x v="0"/>
  </r>
  <r>
    <s v="Automatic maintenance activity Automatic Fluidic Line Priming Cycle has been executed."/>
    <x v="2"/>
    <x v="0"/>
    <x v="14"/>
    <d v="1899-12-30T03:44:52"/>
    <s v="Maintenance"/>
    <x v="0"/>
    <x v="2"/>
    <x v="2"/>
    <x v="0"/>
  </r>
  <r>
    <s v="Analyzer Status changed from Ready to Maintenance."/>
    <x v="0"/>
    <x v="0"/>
    <x v="14"/>
    <d v="1899-12-30T04:44:53"/>
    <s v="Analyzer"/>
    <x v="0"/>
    <x v="0"/>
    <x v="0"/>
    <x v="0"/>
  </r>
  <r>
    <s v="Analyzer Status changed from Maintenance to Ready."/>
    <x v="0"/>
    <x v="0"/>
    <x v="14"/>
    <d v="1899-12-30T04:45:14"/>
    <s v="Analyzer"/>
    <x v="0"/>
    <x v="0"/>
    <x v="0"/>
    <x v="0"/>
  </r>
  <r>
    <s v="Automatic maintenance activity Automatic Fluidic Line Priming Cycle has been executed."/>
    <x v="2"/>
    <x v="0"/>
    <x v="14"/>
    <d v="1899-12-30T04:45:14"/>
    <s v="Maintenance"/>
    <x v="0"/>
    <x v="2"/>
    <x v="2"/>
    <x v="0"/>
  </r>
  <r>
    <s v="Analyzer Status changed from Ready to Maintenance."/>
    <x v="0"/>
    <x v="0"/>
    <x v="14"/>
    <d v="1899-12-30T05:45:14"/>
    <s v="Analyzer"/>
    <x v="0"/>
    <x v="0"/>
    <x v="0"/>
    <x v="0"/>
  </r>
  <r>
    <s v="Analyzer Status changed from Maintenance to Ready."/>
    <x v="0"/>
    <x v="0"/>
    <x v="14"/>
    <d v="1899-12-30T05:45:36"/>
    <s v="Analyzer"/>
    <x v="0"/>
    <x v="0"/>
    <x v="0"/>
    <x v="0"/>
  </r>
  <r>
    <s v="Automatic maintenance activity Automatic Fluidic Line Priming Cycle has been executed."/>
    <x v="2"/>
    <x v="0"/>
    <x v="14"/>
    <d v="1899-12-30T05:45:36"/>
    <s v="Maintenance"/>
    <x v="0"/>
    <x v="2"/>
    <x v="2"/>
    <x v="0"/>
  </r>
  <r>
    <s v="Analyzer Status changed from Ready to Maintenance."/>
    <x v="0"/>
    <x v="0"/>
    <x v="14"/>
    <d v="1899-12-30T06:45:36"/>
    <s v="Analyzer"/>
    <x v="0"/>
    <x v="0"/>
    <x v="0"/>
    <x v="0"/>
  </r>
  <r>
    <s v="Analyzer Status changed from Maintenance to Ready."/>
    <x v="0"/>
    <x v="0"/>
    <x v="14"/>
    <d v="1899-12-30T06:45:58"/>
    <s v="Analyzer"/>
    <x v="0"/>
    <x v="0"/>
    <x v="0"/>
    <x v="0"/>
  </r>
  <r>
    <s v="Automatic maintenance activity Automatic Fluidic Line Priming Cycle has been executed."/>
    <x v="2"/>
    <x v="0"/>
    <x v="14"/>
    <d v="1899-12-30T06:45:58"/>
    <s v="Maintenance"/>
    <x v="0"/>
    <x v="2"/>
    <x v="2"/>
    <x v="0"/>
  </r>
  <r>
    <s v="Non-identified Sample in rack 02 position 1, track 12."/>
    <x v="12"/>
    <x v="2"/>
    <x v="14"/>
    <d v="1899-12-30T07:18:34"/>
    <s v="Materials"/>
    <x v="0"/>
    <x v="4"/>
    <x v="7"/>
    <x v="1"/>
  </r>
  <r>
    <s v="Analyzer Status changed from Ready to Maintenance."/>
    <x v="0"/>
    <x v="0"/>
    <x v="14"/>
    <d v="1899-12-30T07:45:58"/>
    <s v="Analyzer"/>
    <x v="0"/>
    <x v="0"/>
    <x v="0"/>
    <x v="0"/>
  </r>
  <r>
    <s v="Analyzer Status changed from Maintenance to Ready."/>
    <x v="0"/>
    <x v="0"/>
    <x v="14"/>
    <d v="1899-12-30T07:46:20"/>
    <s v="Analyzer"/>
    <x v="0"/>
    <x v="0"/>
    <x v="0"/>
    <x v="0"/>
  </r>
  <r>
    <s v="Automatic maintenance activity Automatic Fluidic Line Priming Cycle has been executed."/>
    <x v="2"/>
    <x v="0"/>
    <x v="14"/>
    <d v="1899-12-30T07:46:20"/>
    <s v="Maintenance"/>
    <x v="0"/>
    <x v="2"/>
    <x v="2"/>
    <x v="0"/>
  </r>
  <r>
    <s v="Analyzer Status changed from Ready to Maintenance."/>
    <x v="0"/>
    <x v="0"/>
    <x v="14"/>
    <d v="1899-12-30T08:46:20"/>
    <s v="Analyzer"/>
    <x v="0"/>
    <x v="0"/>
    <x v="0"/>
    <x v="0"/>
  </r>
  <r>
    <s v="Analyzer Status changed from Maintenance to Ready."/>
    <x v="0"/>
    <x v="0"/>
    <x v="14"/>
    <d v="1899-12-30T08:46:42"/>
    <s v="Analyzer"/>
    <x v="0"/>
    <x v="0"/>
    <x v="0"/>
    <x v="0"/>
  </r>
  <r>
    <s v="Automatic maintenance activity Automatic Fluidic Line Priming Cycle has been executed."/>
    <x v="2"/>
    <x v="0"/>
    <x v="14"/>
    <d v="1899-12-30T08:46:42"/>
    <s v="Maintenance"/>
    <x v="0"/>
    <x v="2"/>
    <x v="2"/>
    <x v="0"/>
  </r>
  <r>
    <s v="Analyzer Status changed from Ready to Maintenance."/>
    <x v="0"/>
    <x v="0"/>
    <x v="14"/>
    <d v="1899-12-30T09:46:42"/>
    <s v="Analyzer"/>
    <x v="0"/>
    <x v="0"/>
    <x v="0"/>
    <x v="0"/>
  </r>
  <r>
    <s v="Analyzer Status changed from Maintenance to Ready."/>
    <x v="0"/>
    <x v="0"/>
    <x v="14"/>
    <d v="1899-12-30T09:47:04"/>
    <s v="Analyzer"/>
    <x v="0"/>
    <x v="0"/>
    <x v="0"/>
    <x v="0"/>
  </r>
  <r>
    <s v="Automatic maintenance activity Automatic Fluidic Line Priming Cycle has been executed."/>
    <x v="2"/>
    <x v="0"/>
    <x v="14"/>
    <d v="1899-12-30T09:47:04"/>
    <s v="Maintenance"/>
    <x v="0"/>
    <x v="2"/>
    <x v="2"/>
    <x v="0"/>
  </r>
  <r>
    <s v="Maintenance activity due: Clean Cuvette Waste Drawer."/>
    <x v="9"/>
    <x v="1"/>
    <x v="14"/>
    <d v="1899-12-30T09:53:28"/>
    <s v="Maintenance"/>
    <x v="0"/>
    <x v="2"/>
    <x v="2"/>
    <x v="0"/>
  </r>
  <r>
    <s v="Maintenance activity due: Wipe-down Sample Probe."/>
    <x v="9"/>
    <x v="1"/>
    <x v="14"/>
    <d v="1899-12-30T09:56:01"/>
    <s v="Maintenance"/>
    <x v="0"/>
    <x v="2"/>
    <x v="2"/>
    <x v="0"/>
  </r>
  <r>
    <s v="Maintenance activity due: Wipe-down all Probes."/>
    <x v="9"/>
    <x v="1"/>
    <x v="14"/>
    <d v="1899-12-30T09:56:01"/>
    <s v="Maintenance"/>
    <x v="0"/>
    <x v="2"/>
    <x v="2"/>
    <x v="0"/>
  </r>
  <r>
    <s v="Maintenance activity due: Wipe-down LAS Probe."/>
    <x v="9"/>
    <x v="1"/>
    <x v="14"/>
    <d v="1899-12-30T09:56:01"/>
    <s v="Maintenance"/>
    <x v="0"/>
    <x v="2"/>
    <x v="2"/>
    <x v="0"/>
  </r>
  <r>
    <s v="Analyzer Status changed from Ready to Diagnostics."/>
    <x v="0"/>
    <x v="0"/>
    <x v="14"/>
    <d v="1899-12-30T10:29:47"/>
    <s v="Analyzer"/>
    <x v="0"/>
    <x v="0"/>
    <x v="0"/>
    <x v="0"/>
  </r>
  <r>
    <s v="Analyzer Status changed from Diagnostics to Emergency stop."/>
    <x v="0"/>
    <x v="0"/>
    <x v="14"/>
    <d v="1899-12-30T11:14:39"/>
    <s v="Analyzer"/>
    <x v="0"/>
    <x v="0"/>
    <x v="0"/>
    <x v="0"/>
  </r>
  <r>
    <s v="Analyzer Status changed from Emergency stop to Not connected."/>
    <x v="0"/>
    <x v="0"/>
    <x v="14"/>
    <d v="1899-12-30T11:14:39"/>
    <s v="Analyzer"/>
    <x v="0"/>
    <x v="0"/>
    <x v="0"/>
    <x v="0"/>
  </r>
  <r>
    <s v="Analyzer Status changed from Not connected to Power up."/>
    <x v="0"/>
    <x v="0"/>
    <x v="14"/>
    <d v="1899-12-30T11:15:26"/>
    <s v="Analyzer"/>
    <x v="0"/>
    <x v="0"/>
    <x v="0"/>
    <x v="0"/>
  </r>
  <r>
    <s v="Analyzer Status changed from Power up to Initializing."/>
    <x v="0"/>
    <x v="0"/>
    <x v="14"/>
    <d v="1899-12-30T11:15:37"/>
    <s v="Analyzer"/>
    <x v="0"/>
    <x v="0"/>
    <x v="0"/>
    <x v="0"/>
  </r>
  <r>
    <s v="Probe SAMPLE coordinates error."/>
    <x v="47"/>
    <x v="2"/>
    <x v="14"/>
    <d v="1899-12-30T11:17:14"/>
    <s v="Analyzer"/>
    <x v="0"/>
    <x v="7"/>
    <x v="15"/>
    <x v="2"/>
  </r>
  <r>
    <s v="Analyzer Status changed from Initializing to Error."/>
    <x v="0"/>
    <x v="0"/>
    <x v="14"/>
    <d v="1899-12-30T11:17:14"/>
    <s v="Analyzer"/>
    <x v="0"/>
    <x v="0"/>
    <x v="0"/>
    <x v="0"/>
  </r>
  <r>
    <s v="Analyzer Status changed from Error to Diagnostics."/>
    <x v="0"/>
    <x v="0"/>
    <x v="14"/>
    <d v="1899-12-30T15:02:53"/>
    <s v="Analyzer"/>
    <x v="0"/>
    <x v="0"/>
    <x v="0"/>
    <x v="0"/>
  </r>
  <r>
    <s v="Analyzer Status changed from Diagnostics to Emergency stop."/>
    <x v="0"/>
    <x v="0"/>
    <x v="14"/>
    <d v="1899-12-30T15:04:33"/>
    <s v="Analyzer"/>
    <x v="0"/>
    <x v="0"/>
    <x v="0"/>
    <x v="0"/>
  </r>
  <r>
    <s v="Analyzer Status changed from Emergency stop to Not connected."/>
    <x v="0"/>
    <x v="0"/>
    <x v="14"/>
    <d v="1899-12-30T15:04:33"/>
    <s v="Analyzer"/>
    <x v="0"/>
    <x v="0"/>
    <x v="0"/>
    <x v="0"/>
  </r>
  <r>
    <s v="Analyzer Status changed from Not connected to Power up."/>
    <x v="0"/>
    <x v="0"/>
    <x v="14"/>
    <d v="1899-12-30T15:05:20"/>
    <s v="Analyzer"/>
    <x v="0"/>
    <x v="0"/>
    <x v="0"/>
    <x v="0"/>
  </r>
  <r>
    <s v="Analyzer Status changed from Power up to Initializing."/>
    <x v="0"/>
    <x v="0"/>
    <x v="14"/>
    <d v="1899-12-30T15:05:30"/>
    <s v="Analyzer"/>
    <x v="0"/>
    <x v="0"/>
    <x v="0"/>
    <x v="0"/>
  </r>
  <r>
    <s v="Analyzer Status changed from Initializing to Adjusting thermal."/>
    <x v="0"/>
    <x v="0"/>
    <x v="14"/>
    <d v="1899-12-30T15:07:19"/>
    <s v="Analyzer"/>
    <x v="0"/>
    <x v="0"/>
    <x v="0"/>
    <x v="0"/>
  </r>
  <r>
    <s v="Analyzer Status changed from Adjusting thermal to Ready."/>
    <x v="0"/>
    <x v="0"/>
    <x v="14"/>
    <d v="1899-12-30T15:09:38"/>
    <s v="Analyzer"/>
    <x v="0"/>
    <x v="0"/>
    <x v="0"/>
    <x v="0"/>
  </r>
  <r>
    <s v="Analyzer Status changed from Ready to Maintenance."/>
    <x v="0"/>
    <x v="0"/>
    <x v="14"/>
    <d v="1899-12-30T15:09:38"/>
    <s v="Analyzer"/>
    <x v="0"/>
    <x v="0"/>
    <x v="0"/>
    <x v="0"/>
  </r>
  <r>
    <s v="Logout by user: LHO."/>
    <x v="16"/>
    <x v="0"/>
    <x v="14"/>
    <d v="1899-12-30T15:10:40"/>
    <s v="Other"/>
    <x v="0"/>
    <x v="2"/>
    <x v="5"/>
    <x v="0"/>
  </r>
  <r>
    <s v="Unsuccessful log in by user: bah."/>
    <x v="48"/>
    <x v="0"/>
    <x v="14"/>
    <d v="1899-12-30T15:10:48"/>
    <s v="Other"/>
    <x v="1"/>
    <x v="2"/>
    <x v="5"/>
    <x v="0"/>
  </r>
  <r>
    <s v="Analyzer Status changed from Maintenance to Ready."/>
    <x v="0"/>
    <x v="0"/>
    <x v="14"/>
    <d v="1899-12-30T15:10:51"/>
    <s v="Analyzer"/>
    <x v="1"/>
    <x v="0"/>
    <x v="0"/>
    <x v="0"/>
  </r>
  <r>
    <s v="Successful log in by user: BAH."/>
    <x v="18"/>
    <x v="0"/>
    <x v="14"/>
    <d v="1899-12-30T15:11:11"/>
    <s v="Other"/>
    <x v="3"/>
    <x v="2"/>
    <x v="5"/>
    <x v="0"/>
  </r>
  <r>
    <s v="Analyzer Status changed from Ready to Maintenance."/>
    <x v="0"/>
    <x v="0"/>
    <x v="14"/>
    <d v="1899-12-30T16:10:51"/>
    <s v="Analyzer"/>
    <x v="3"/>
    <x v="0"/>
    <x v="0"/>
    <x v="0"/>
  </r>
  <r>
    <s v="Analyzer Status changed from Maintenance to Ready."/>
    <x v="0"/>
    <x v="0"/>
    <x v="14"/>
    <d v="1899-12-30T16:11:13"/>
    <s v="Analyzer"/>
    <x v="3"/>
    <x v="0"/>
    <x v="0"/>
    <x v="0"/>
  </r>
  <r>
    <s v="Automatic maintenance activity Automatic Fluidic Line Priming Cycle has been executed."/>
    <x v="2"/>
    <x v="0"/>
    <x v="14"/>
    <d v="1899-12-30T16:11:13"/>
    <s v="Maintenance"/>
    <x v="3"/>
    <x v="2"/>
    <x v="2"/>
    <x v="0"/>
  </r>
  <r>
    <s v="Analyzer Status changed from Ready to Maintenance."/>
    <x v="0"/>
    <x v="0"/>
    <x v="14"/>
    <d v="1899-12-30T17:11:13"/>
    <s v="Analyzer"/>
    <x v="3"/>
    <x v="0"/>
    <x v="0"/>
    <x v="0"/>
  </r>
  <r>
    <s v="Analyzer Status changed from Maintenance to Ready."/>
    <x v="0"/>
    <x v="0"/>
    <x v="14"/>
    <d v="1899-12-30T17:11:35"/>
    <s v="Analyzer"/>
    <x v="3"/>
    <x v="0"/>
    <x v="0"/>
    <x v="0"/>
  </r>
  <r>
    <s v="Automatic maintenance activity Automatic Fluidic Line Priming Cycle has been executed."/>
    <x v="2"/>
    <x v="0"/>
    <x v="14"/>
    <d v="1899-12-30T17:11:35"/>
    <s v="Maintenance"/>
    <x v="3"/>
    <x v="2"/>
    <x v="2"/>
    <x v="0"/>
  </r>
  <r>
    <s v="Analyzer Status changed from Ready to Maintenance."/>
    <x v="0"/>
    <x v="0"/>
    <x v="14"/>
    <d v="1899-12-30T18:11:35"/>
    <s v="Analyzer"/>
    <x v="3"/>
    <x v="0"/>
    <x v="0"/>
    <x v="0"/>
  </r>
  <r>
    <s v="Analyzer Status changed from Maintenance to Ready."/>
    <x v="0"/>
    <x v="0"/>
    <x v="14"/>
    <d v="1899-12-30T18:11:57"/>
    <s v="Analyzer"/>
    <x v="3"/>
    <x v="0"/>
    <x v="0"/>
    <x v="0"/>
  </r>
  <r>
    <s v="Automatic maintenance activity Automatic Fluidic Line Priming Cycle has been executed."/>
    <x v="2"/>
    <x v="0"/>
    <x v="14"/>
    <d v="1899-12-30T18:11:57"/>
    <s v="Maintenance"/>
    <x v="3"/>
    <x v="2"/>
    <x v="2"/>
    <x v="0"/>
  </r>
  <r>
    <s v="Analyzer Status changed from Ready to Maintenance."/>
    <x v="0"/>
    <x v="0"/>
    <x v="14"/>
    <d v="1899-12-30T19:11:57"/>
    <s v="Analyzer"/>
    <x v="3"/>
    <x v="0"/>
    <x v="0"/>
    <x v="0"/>
  </r>
  <r>
    <s v="Analyzer Status changed from Maintenance to Ready."/>
    <x v="0"/>
    <x v="0"/>
    <x v="14"/>
    <d v="1899-12-30T19:12:19"/>
    <s v="Analyzer"/>
    <x v="3"/>
    <x v="0"/>
    <x v="0"/>
    <x v="0"/>
  </r>
  <r>
    <s v="Automatic maintenance activity Automatic Fluidic Line Priming Cycle has been executed."/>
    <x v="2"/>
    <x v="0"/>
    <x v="14"/>
    <d v="1899-12-30T19:12:19"/>
    <s v="Maintenance"/>
    <x v="3"/>
    <x v="2"/>
    <x v="2"/>
    <x v="0"/>
  </r>
  <r>
    <s v="Analyzer Status changed from Ready to Maintenance."/>
    <x v="0"/>
    <x v="0"/>
    <x v="14"/>
    <d v="1899-12-30T20:12:19"/>
    <s v="Analyzer"/>
    <x v="3"/>
    <x v="0"/>
    <x v="0"/>
    <x v="0"/>
  </r>
  <r>
    <s v="Analyzer Status changed from Maintenance to Ready."/>
    <x v="0"/>
    <x v="0"/>
    <x v="14"/>
    <d v="1899-12-30T20:12:41"/>
    <s v="Analyzer"/>
    <x v="3"/>
    <x v="0"/>
    <x v="0"/>
    <x v="0"/>
  </r>
  <r>
    <s v="Automatic maintenance activity Automatic Fluidic Line Priming Cycle has been executed."/>
    <x v="2"/>
    <x v="0"/>
    <x v="14"/>
    <d v="1899-12-30T20:12:41"/>
    <s v="Maintenance"/>
    <x v="3"/>
    <x v="2"/>
    <x v="2"/>
    <x v="0"/>
  </r>
  <r>
    <s v="Analyzer Status changed from Ready to Maintenance."/>
    <x v="0"/>
    <x v="0"/>
    <x v="14"/>
    <d v="1899-12-30T21:12:41"/>
    <s v="Analyzer"/>
    <x v="3"/>
    <x v="0"/>
    <x v="0"/>
    <x v="0"/>
  </r>
  <r>
    <s v="Analyzer Status changed from Maintenance to Ready."/>
    <x v="0"/>
    <x v="0"/>
    <x v="14"/>
    <d v="1899-12-30T21:13:03"/>
    <s v="Analyzer"/>
    <x v="3"/>
    <x v="0"/>
    <x v="0"/>
    <x v="0"/>
  </r>
  <r>
    <s v="Automatic maintenance activity Automatic Fluidic Line Priming Cycle has been executed."/>
    <x v="2"/>
    <x v="0"/>
    <x v="14"/>
    <d v="1899-12-30T21:13:03"/>
    <s v="Maintenance"/>
    <x v="3"/>
    <x v="2"/>
    <x v="2"/>
    <x v="0"/>
  </r>
  <r>
    <s v="Analyzer Status changed from Ready to Maintenance."/>
    <x v="0"/>
    <x v="0"/>
    <x v="14"/>
    <d v="1899-12-30T22:13:03"/>
    <s v="Analyzer"/>
    <x v="3"/>
    <x v="0"/>
    <x v="0"/>
    <x v="0"/>
  </r>
  <r>
    <s v="Analyzer Status changed from Maintenance to Ready."/>
    <x v="0"/>
    <x v="0"/>
    <x v="14"/>
    <d v="1899-12-30T22:13:25"/>
    <s v="Analyzer"/>
    <x v="3"/>
    <x v="0"/>
    <x v="0"/>
    <x v="0"/>
  </r>
  <r>
    <s v="Automatic maintenance activity Automatic Fluidic Line Priming Cycle has been executed."/>
    <x v="2"/>
    <x v="0"/>
    <x v="14"/>
    <d v="1899-12-30T22:13:25"/>
    <s v="Maintenance"/>
    <x v="3"/>
    <x v="2"/>
    <x v="2"/>
    <x v="0"/>
  </r>
  <r>
    <s v="Analyzer Status changed from Ready to Maintenance."/>
    <x v="0"/>
    <x v="0"/>
    <x v="14"/>
    <d v="1899-12-30T23:13:25"/>
    <s v="Analyzer"/>
    <x v="3"/>
    <x v="0"/>
    <x v="0"/>
    <x v="0"/>
  </r>
  <r>
    <s v="Analyzer Status changed from Maintenance to Ready."/>
    <x v="0"/>
    <x v="0"/>
    <x v="14"/>
    <d v="1899-12-30T23:13:47"/>
    <s v="Analyzer"/>
    <x v="3"/>
    <x v="0"/>
    <x v="0"/>
    <x v="0"/>
  </r>
  <r>
    <s v="Automatic maintenance activity Automatic Fluidic Line Priming Cycle has been executed."/>
    <x v="2"/>
    <x v="0"/>
    <x v="14"/>
    <d v="1899-12-30T23:13:47"/>
    <s v="Maintenance"/>
    <x v="3"/>
    <x v="2"/>
    <x v="2"/>
    <x v="0"/>
  </r>
  <r>
    <s v="Analyzer Status changed from Ready to Diagnostics."/>
    <x v="0"/>
    <x v="0"/>
    <x v="14"/>
    <d v="1899-12-30T23:22:21"/>
    <s v="Analyzer"/>
    <x v="3"/>
    <x v="0"/>
    <x v="0"/>
    <x v="0"/>
  </r>
  <r>
    <s v="Analyzer Status changed from Diagnostics to Emergency stop."/>
    <x v="0"/>
    <x v="0"/>
    <x v="14"/>
    <d v="1899-12-30T23:23:52"/>
    <s v="Analyzer"/>
    <x v="3"/>
    <x v="0"/>
    <x v="0"/>
    <x v="0"/>
  </r>
  <r>
    <s v="Analyzer Status changed from Emergency stop to Not connected."/>
    <x v="0"/>
    <x v="0"/>
    <x v="14"/>
    <d v="1899-12-30T23:23:52"/>
    <s v="Analyzer"/>
    <x v="3"/>
    <x v="0"/>
    <x v="0"/>
    <x v="0"/>
  </r>
  <r>
    <s v="Analyzer Status changed from Not connected to Power up."/>
    <x v="0"/>
    <x v="0"/>
    <x v="14"/>
    <d v="1899-12-30T23:24:39"/>
    <s v="Analyzer"/>
    <x v="3"/>
    <x v="0"/>
    <x v="0"/>
    <x v="0"/>
  </r>
  <r>
    <s v="Analyzer Status changed from Power up to Initializing."/>
    <x v="0"/>
    <x v="0"/>
    <x v="14"/>
    <d v="1899-12-30T23:24:49"/>
    <s v="Analyzer"/>
    <x v="3"/>
    <x v="0"/>
    <x v="0"/>
    <x v="0"/>
  </r>
  <r>
    <s v="Analyzer Status changed from Initializing to Adjusting thermal."/>
    <x v="0"/>
    <x v="0"/>
    <x v="14"/>
    <d v="1899-12-30T23:26:39"/>
    <s v="Analyzer"/>
    <x v="3"/>
    <x v="0"/>
    <x v="0"/>
    <x v="0"/>
  </r>
  <r>
    <s v="Non-identified Sample in rack 10 position 1, track 11."/>
    <x v="12"/>
    <x v="2"/>
    <x v="14"/>
    <d v="1899-12-30T23:28:09"/>
    <s v="Materials"/>
    <x v="3"/>
    <x v="4"/>
    <x v="7"/>
    <x v="1"/>
  </r>
  <r>
    <s v="Analyzer Status changed from Adjusting thermal to Ready."/>
    <x v="0"/>
    <x v="0"/>
    <x v="14"/>
    <d v="1899-12-30T23:28:57"/>
    <s v="Analyzer"/>
    <x v="3"/>
    <x v="0"/>
    <x v="0"/>
    <x v="0"/>
  </r>
  <r>
    <s v="Analyzer Status changed from Ready to Maintenance."/>
    <x v="0"/>
    <x v="0"/>
    <x v="14"/>
    <d v="1899-12-30T23:28:57"/>
    <s v="Analyzer"/>
    <x v="3"/>
    <x v="0"/>
    <x v="0"/>
    <x v="0"/>
  </r>
  <r>
    <s v="Cuvettes low in the load area."/>
    <x v="15"/>
    <x v="1"/>
    <x v="14"/>
    <d v="1899-12-30T23:29:06"/>
    <s v="Materials"/>
    <x v="3"/>
    <x v="5"/>
    <x v="8"/>
    <x v="0"/>
  </r>
  <r>
    <s v="Logout by user: BAH."/>
    <x v="16"/>
    <x v="0"/>
    <x v="14"/>
    <d v="1899-12-30T23:29:25"/>
    <s v="Other"/>
    <x v="3"/>
    <x v="2"/>
    <x v="5"/>
    <x v="0"/>
  </r>
  <r>
    <s v="Successful log in by user: KSW."/>
    <x v="18"/>
    <x v="0"/>
    <x v="14"/>
    <d v="1899-12-30T23:29:59"/>
    <s v="Other"/>
    <x v="4"/>
    <x v="2"/>
    <x v="5"/>
    <x v="0"/>
  </r>
  <r>
    <s v="Analyzer Status changed from Maintenance to Ready."/>
    <x v="0"/>
    <x v="0"/>
    <x v="14"/>
    <d v="1899-12-30T23:30:10"/>
    <s v="Analyzer"/>
    <x v="4"/>
    <x v="0"/>
    <x v="0"/>
    <x v="0"/>
  </r>
  <r>
    <s v="Analyzer Status changed from Ready to Maintenance."/>
    <x v="0"/>
    <x v="0"/>
    <x v="15"/>
    <d v="1899-12-30T00:30:10"/>
    <s v="Analyzer"/>
    <x v="4"/>
    <x v="0"/>
    <x v="0"/>
    <x v="0"/>
  </r>
  <r>
    <s v="Analyzer Status changed from Maintenance to Ready."/>
    <x v="0"/>
    <x v="0"/>
    <x v="15"/>
    <d v="1899-12-30T00:30:32"/>
    <s v="Analyzer"/>
    <x v="4"/>
    <x v="0"/>
    <x v="0"/>
    <x v="0"/>
  </r>
  <r>
    <s v="Automatic maintenance activity Automatic Fluidic Line Priming Cycle has been executed."/>
    <x v="2"/>
    <x v="0"/>
    <x v="15"/>
    <d v="1899-12-30T00:30:32"/>
    <s v="Maintenance"/>
    <x v="4"/>
    <x v="2"/>
    <x v="2"/>
    <x v="0"/>
  </r>
  <r>
    <s v="Analyzer Status changed from Ready to Maintenance."/>
    <x v="0"/>
    <x v="0"/>
    <x v="15"/>
    <d v="1899-12-30T01:30:32"/>
    <s v="Analyzer"/>
    <x v="4"/>
    <x v="0"/>
    <x v="0"/>
    <x v="0"/>
  </r>
  <r>
    <s v="Analyzer Status changed from Maintenance to Ready."/>
    <x v="0"/>
    <x v="0"/>
    <x v="15"/>
    <d v="1899-12-30T01:30:54"/>
    <s v="Analyzer"/>
    <x v="4"/>
    <x v="0"/>
    <x v="0"/>
    <x v="0"/>
  </r>
  <r>
    <s v="Automatic maintenance activity Automatic Fluidic Line Priming Cycle has been executed."/>
    <x v="2"/>
    <x v="0"/>
    <x v="15"/>
    <d v="1899-12-30T01:30:54"/>
    <s v="Maintenance"/>
    <x v="4"/>
    <x v="2"/>
    <x v="2"/>
    <x v="0"/>
  </r>
  <r>
    <s v="Analyzer Status changed from Ready to Maintenance."/>
    <x v="0"/>
    <x v="0"/>
    <x v="15"/>
    <d v="1899-12-30T02:30:54"/>
    <s v="Analyzer"/>
    <x v="4"/>
    <x v="0"/>
    <x v="0"/>
    <x v="0"/>
  </r>
  <r>
    <s v="Analyzer Status changed from Maintenance to Ready."/>
    <x v="0"/>
    <x v="0"/>
    <x v="15"/>
    <d v="1899-12-30T02:31:16"/>
    <s v="Analyzer"/>
    <x v="4"/>
    <x v="0"/>
    <x v="0"/>
    <x v="0"/>
  </r>
  <r>
    <s v="Automatic maintenance activity Automatic Fluidic Line Priming Cycle has been executed."/>
    <x v="2"/>
    <x v="0"/>
    <x v="15"/>
    <d v="1899-12-30T02:31:16"/>
    <s v="Maintenance"/>
    <x v="4"/>
    <x v="2"/>
    <x v="2"/>
    <x v="0"/>
  </r>
  <r>
    <s v="Analyzer Status changed from Ready to Maintenance."/>
    <x v="0"/>
    <x v="0"/>
    <x v="15"/>
    <d v="1899-12-30T03:31:16"/>
    <s v="Analyzer"/>
    <x v="4"/>
    <x v="0"/>
    <x v="0"/>
    <x v="0"/>
  </r>
  <r>
    <s v="Analyzer Status changed from Maintenance to Ready."/>
    <x v="0"/>
    <x v="0"/>
    <x v="15"/>
    <d v="1899-12-30T03:31:37"/>
    <s v="Analyzer"/>
    <x v="4"/>
    <x v="0"/>
    <x v="0"/>
    <x v="0"/>
  </r>
  <r>
    <s v="Automatic maintenance activity Automatic Fluidic Line Priming Cycle has been executed."/>
    <x v="2"/>
    <x v="0"/>
    <x v="15"/>
    <d v="1899-12-30T03:31:37"/>
    <s v="Maintenance"/>
    <x v="4"/>
    <x v="2"/>
    <x v="2"/>
    <x v="0"/>
  </r>
  <r>
    <s v="Analyzer Status changed from Ready to Maintenance."/>
    <x v="0"/>
    <x v="0"/>
    <x v="15"/>
    <d v="1899-12-30T04:31:38"/>
    <s v="Analyzer"/>
    <x v="4"/>
    <x v="0"/>
    <x v="0"/>
    <x v="0"/>
  </r>
  <r>
    <s v="Analyzer Status changed from Maintenance to Ready."/>
    <x v="0"/>
    <x v="0"/>
    <x v="15"/>
    <d v="1899-12-30T04:31:59"/>
    <s v="Analyzer"/>
    <x v="4"/>
    <x v="0"/>
    <x v="0"/>
    <x v="0"/>
  </r>
  <r>
    <s v="Automatic maintenance activity Automatic Fluidic Line Priming Cycle has been executed."/>
    <x v="2"/>
    <x v="0"/>
    <x v="15"/>
    <d v="1899-12-30T04:31:59"/>
    <s v="Maintenance"/>
    <x v="4"/>
    <x v="2"/>
    <x v="2"/>
    <x v="0"/>
  </r>
  <r>
    <s v="Analyzer Status changed from Ready to Maintenance."/>
    <x v="0"/>
    <x v="0"/>
    <x v="15"/>
    <d v="1899-12-30T05:32:00"/>
    <s v="Analyzer"/>
    <x v="4"/>
    <x v="0"/>
    <x v="0"/>
    <x v="0"/>
  </r>
  <r>
    <s v="Analyzer Status changed from Maintenance to Ready."/>
    <x v="0"/>
    <x v="0"/>
    <x v="15"/>
    <d v="1899-12-30T05:32:21"/>
    <s v="Analyzer"/>
    <x v="4"/>
    <x v="0"/>
    <x v="0"/>
    <x v="0"/>
  </r>
  <r>
    <s v="Automatic maintenance activity Automatic Fluidic Line Priming Cycle has been executed."/>
    <x v="2"/>
    <x v="0"/>
    <x v="15"/>
    <d v="1899-12-30T05:32:21"/>
    <s v="Maintenance"/>
    <x v="4"/>
    <x v="2"/>
    <x v="2"/>
    <x v="0"/>
  </r>
  <r>
    <s v="Analyzer Status changed from Ready to Maintenance."/>
    <x v="0"/>
    <x v="0"/>
    <x v="15"/>
    <d v="1899-12-30T06:32:22"/>
    <s v="Analyzer"/>
    <x v="4"/>
    <x v="0"/>
    <x v="0"/>
    <x v="0"/>
  </r>
  <r>
    <s v="Analyzer Status changed from Maintenance to Ready."/>
    <x v="0"/>
    <x v="0"/>
    <x v="15"/>
    <d v="1899-12-30T06:32:43"/>
    <s v="Analyzer"/>
    <x v="4"/>
    <x v="0"/>
    <x v="0"/>
    <x v="0"/>
  </r>
  <r>
    <s v="Automatic maintenance activity Automatic Fluidic Line Priming Cycle has been executed."/>
    <x v="2"/>
    <x v="0"/>
    <x v="15"/>
    <d v="1899-12-30T06:32:43"/>
    <s v="Maintenance"/>
    <x v="4"/>
    <x v="2"/>
    <x v="2"/>
    <x v="0"/>
  </r>
  <r>
    <s v="Analyzer Status changed from Ready to Maintenance."/>
    <x v="0"/>
    <x v="0"/>
    <x v="15"/>
    <d v="1899-12-30T07:32:44"/>
    <s v="Analyzer"/>
    <x v="4"/>
    <x v="0"/>
    <x v="0"/>
    <x v="0"/>
  </r>
  <r>
    <s v="Analyzer Status changed from Maintenance to Ready."/>
    <x v="0"/>
    <x v="0"/>
    <x v="15"/>
    <d v="1899-12-30T07:33:05"/>
    <s v="Analyzer"/>
    <x v="4"/>
    <x v="0"/>
    <x v="0"/>
    <x v="0"/>
  </r>
  <r>
    <s v="Automatic maintenance activity Automatic Fluidic Line Priming Cycle has been executed."/>
    <x v="2"/>
    <x v="0"/>
    <x v="15"/>
    <d v="1899-12-30T07:33:05"/>
    <s v="Maintenance"/>
    <x v="4"/>
    <x v="2"/>
    <x v="2"/>
    <x v="0"/>
  </r>
  <r>
    <s v="Analyzer Status changed from Ready to Maintenance."/>
    <x v="0"/>
    <x v="0"/>
    <x v="15"/>
    <d v="1899-12-30T08:33:06"/>
    <s v="Analyzer"/>
    <x v="4"/>
    <x v="0"/>
    <x v="0"/>
    <x v="0"/>
  </r>
  <r>
    <s v="Analyzer Status changed from Maintenance to Ready."/>
    <x v="0"/>
    <x v="0"/>
    <x v="15"/>
    <d v="1899-12-30T08:33:27"/>
    <s v="Analyzer"/>
    <x v="4"/>
    <x v="0"/>
    <x v="0"/>
    <x v="0"/>
  </r>
  <r>
    <s v="Automatic maintenance activity Automatic Fluidic Line Priming Cycle has been executed."/>
    <x v="2"/>
    <x v="0"/>
    <x v="15"/>
    <d v="1899-12-30T08:33:27"/>
    <s v="Maintenance"/>
    <x v="4"/>
    <x v="2"/>
    <x v="2"/>
    <x v="0"/>
  </r>
  <r>
    <s v="Analyzer Status changed from Ready to Maintenance."/>
    <x v="0"/>
    <x v="0"/>
    <x v="15"/>
    <d v="1899-12-30T09:33:28"/>
    <s v="Analyzer"/>
    <x v="4"/>
    <x v="0"/>
    <x v="0"/>
    <x v="0"/>
  </r>
  <r>
    <s v="Analyzer Status changed from Maintenance to Ready."/>
    <x v="0"/>
    <x v="0"/>
    <x v="15"/>
    <d v="1899-12-30T09:33:49"/>
    <s v="Analyzer"/>
    <x v="4"/>
    <x v="0"/>
    <x v="0"/>
    <x v="0"/>
  </r>
  <r>
    <s v="Automatic maintenance activity Automatic Fluidic Line Priming Cycle has been executed."/>
    <x v="2"/>
    <x v="0"/>
    <x v="15"/>
    <d v="1899-12-30T09:33:49"/>
    <s v="Maintenance"/>
    <x v="4"/>
    <x v="2"/>
    <x v="2"/>
    <x v="0"/>
  </r>
  <r>
    <s v="Maintenance activity overdue: Clean Cuvette Waste Drawer."/>
    <x v="20"/>
    <x v="1"/>
    <x v="15"/>
    <d v="1899-12-30T09:53:28"/>
    <s v="Maintenance"/>
    <x v="4"/>
    <x v="2"/>
    <x v="2"/>
    <x v="0"/>
  </r>
  <r>
    <s v="Maintenance activity overdue: Wipe-down all Probes."/>
    <x v="20"/>
    <x v="1"/>
    <x v="15"/>
    <d v="1899-12-30T09:56:01"/>
    <s v="Maintenance"/>
    <x v="4"/>
    <x v="2"/>
    <x v="2"/>
    <x v="0"/>
  </r>
  <r>
    <s v="Maintenance activity overdue: Wipe-down Sample Probe."/>
    <x v="20"/>
    <x v="1"/>
    <x v="15"/>
    <d v="1899-12-30T09:56:01"/>
    <s v="Maintenance"/>
    <x v="4"/>
    <x v="2"/>
    <x v="2"/>
    <x v="0"/>
  </r>
  <r>
    <s v="Maintenance activity overdue: Wipe-down LAS Probe."/>
    <x v="20"/>
    <x v="1"/>
    <x v="15"/>
    <d v="1899-12-30T09:56:01"/>
    <s v="Maintenance"/>
    <x v="4"/>
    <x v="2"/>
    <x v="2"/>
    <x v="0"/>
  </r>
  <r>
    <s v="Analyzer Status changed from Ready to Maintenance."/>
    <x v="0"/>
    <x v="0"/>
    <x v="15"/>
    <d v="1899-12-30T10:33:49"/>
    <s v="Analyzer"/>
    <x v="4"/>
    <x v="0"/>
    <x v="0"/>
    <x v="0"/>
  </r>
  <r>
    <s v="Analyzer Status changed from Maintenance to Ready."/>
    <x v="0"/>
    <x v="0"/>
    <x v="15"/>
    <d v="1899-12-30T10:34:11"/>
    <s v="Analyzer"/>
    <x v="4"/>
    <x v="0"/>
    <x v="0"/>
    <x v="0"/>
  </r>
  <r>
    <s v="Automatic maintenance activity Automatic Fluidic Line Priming Cycle has been executed."/>
    <x v="2"/>
    <x v="0"/>
    <x v="15"/>
    <d v="1899-12-30T10:34:11"/>
    <s v="Maintenance"/>
    <x v="4"/>
    <x v="2"/>
    <x v="2"/>
    <x v="0"/>
  </r>
  <r>
    <s v="Logout by user: KSW."/>
    <x v="16"/>
    <x v="0"/>
    <x v="15"/>
    <d v="1899-12-30T10:48:45"/>
    <s v="Other"/>
    <x v="4"/>
    <x v="2"/>
    <x v="5"/>
    <x v="0"/>
  </r>
  <r>
    <s v="Successful log in by user: LHO."/>
    <x v="18"/>
    <x v="0"/>
    <x v="15"/>
    <d v="1899-12-30T10:48:52"/>
    <s v="Other"/>
    <x v="0"/>
    <x v="2"/>
    <x v="5"/>
    <x v="0"/>
  </r>
  <r>
    <s v="Reflex Rule Q.F.A. Low has been modified."/>
    <x v="23"/>
    <x v="0"/>
    <x v="15"/>
    <d v="1899-12-30T10:59:44"/>
    <s v="Setup"/>
    <x v="0"/>
    <x v="2"/>
    <x v="5"/>
    <x v="0"/>
  </r>
  <r>
    <s v="Non-identified Material in rack DA position 2, track 2."/>
    <x v="27"/>
    <x v="2"/>
    <x v="15"/>
    <d v="1899-12-30T11:08:26"/>
    <s v="Materials"/>
    <x v="0"/>
    <x v="2"/>
    <x v="3"/>
    <x v="0"/>
  </r>
  <r>
    <s v="Non-identified Material in rack RB position 4, track 1."/>
    <x v="27"/>
    <x v="2"/>
    <x v="15"/>
    <d v="1899-12-30T11:08:58"/>
    <s v="Materials"/>
    <x v="0"/>
    <x v="2"/>
    <x v="3"/>
    <x v="0"/>
  </r>
  <r>
    <s v="Non-identified Material in rack RF position 5, track 6."/>
    <x v="27"/>
    <x v="2"/>
    <x v="15"/>
    <d v="1899-12-30T11:09:19"/>
    <s v="Materials"/>
    <x v="0"/>
    <x v="2"/>
    <x v="3"/>
    <x v="0"/>
  </r>
  <r>
    <s v="APTT-SS volume low."/>
    <x v="7"/>
    <x v="1"/>
    <x v="15"/>
    <d v="1899-12-30T11:09:24"/>
    <s v="Materials"/>
    <x v="0"/>
    <x v="3"/>
    <x v="4"/>
    <x v="0"/>
  </r>
  <r>
    <s v="Anti Chromogenic Sub volume low."/>
    <x v="7"/>
    <x v="1"/>
    <x v="15"/>
    <d v="1899-12-30T11:09:38"/>
    <s v="Materials"/>
    <x v="0"/>
    <x v="3"/>
    <x v="4"/>
    <x v="0"/>
  </r>
  <r>
    <s v="Chrome X Substrate volume low."/>
    <x v="7"/>
    <x v="1"/>
    <x v="15"/>
    <d v="1899-12-30T11:09:45"/>
    <s v="Materials"/>
    <x v="0"/>
    <x v="3"/>
    <x v="4"/>
    <x v="0"/>
  </r>
  <r>
    <s v="PT RecombiPlasTin volume low."/>
    <x v="7"/>
    <x v="1"/>
    <x v="15"/>
    <d v="1899-12-30T11:10:08"/>
    <s v="Materials"/>
    <x v="0"/>
    <x v="3"/>
    <x v="4"/>
    <x v="0"/>
  </r>
  <r>
    <s v="APTT-SS CaCl2 volume low."/>
    <x v="7"/>
    <x v="1"/>
    <x v="15"/>
    <d v="1899-12-30T11:10:22"/>
    <s v="Materials"/>
    <x v="0"/>
    <x v="3"/>
    <x v="4"/>
    <x v="0"/>
  </r>
  <r>
    <s v="Anti Factor Xa Rgt. volume low."/>
    <x v="7"/>
    <x v="1"/>
    <x v="15"/>
    <d v="1899-12-30T11:10:29"/>
    <s v="Materials"/>
    <x v="0"/>
    <x v="3"/>
    <x v="4"/>
    <x v="0"/>
  </r>
  <r>
    <s v="D-Dimer HS Latex volume low."/>
    <x v="7"/>
    <x v="1"/>
    <x v="15"/>
    <d v="1899-12-30T11:10:57"/>
    <s v="Materials"/>
    <x v="0"/>
    <x v="3"/>
    <x v="4"/>
    <x v="0"/>
  </r>
  <r>
    <s v="AT Liq FXa volume low."/>
    <x v="7"/>
    <x v="1"/>
    <x v="15"/>
    <d v="1899-12-30T11:12:06"/>
    <s v="Materials"/>
    <x v="0"/>
    <x v="3"/>
    <x v="4"/>
    <x v="0"/>
  </r>
  <r>
    <s v="Protein C Substrate volume low."/>
    <x v="7"/>
    <x v="1"/>
    <x v="15"/>
    <d v="1899-12-30T11:12:13"/>
    <s v="Materials"/>
    <x v="0"/>
    <x v="3"/>
    <x v="4"/>
    <x v="0"/>
  </r>
  <r>
    <s v="Protein C Activator volume low."/>
    <x v="7"/>
    <x v="1"/>
    <x v="15"/>
    <d v="1899-12-30T11:12:20"/>
    <s v="Materials"/>
    <x v="0"/>
    <x v="3"/>
    <x v="4"/>
    <x v="0"/>
  </r>
  <r>
    <s v="AT Liq Substrate volume low."/>
    <x v="7"/>
    <x v="1"/>
    <x v="15"/>
    <d v="1899-12-30T11:12:20"/>
    <s v="Materials"/>
    <x v="0"/>
    <x v="3"/>
    <x v="4"/>
    <x v="0"/>
  </r>
  <r>
    <s v="Analyzer Status changed from Ready to Busy."/>
    <x v="0"/>
    <x v="0"/>
    <x v="15"/>
    <d v="1899-12-30T11:13:54"/>
    <s v="Analyzer"/>
    <x v="0"/>
    <x v="0"/>
    <x v="0"/>
    <x v="0"/>
  </r>
  <r>
    <s v="Anti Chromogenic Sub insufficient material to run additional calibration / test."/>
    <x v="32"/>
    <x v="2"/>
    <x v="15"/>
    <d v="1899-12-30T11:15:24"/>
    <s v="Materials"/>
    <x v="0"/>
    <x v="3"/>
    <x v="4"/>
    <x v="0"/>
  </r>
  <r>
    <s v="Analyzer Status changed from Busy to Ready."/>
    <x v="0"/>
    <x v="0"/>
    <x v="15"/>
    <d v="1899-12-30T11:23:17"/>
    <s v="Analyzer"/>
    <x v="0"/>
    <x v="0"/>
    <x v="0"/>
    <x v="0"/>
  </r>
  <r>
    <s v="Analyzer Status changed from Ready to Maintenance."/>
    <x v="0"/>
    <x v="0"/>
    <x v="15"/>
    <d v="1899-12-30T11:23:17"/>
    <s v="Analyzer"/>
    <x v="0"/>
    <x v="0"/>
    <x v="0"/>
    <x v="0"/>
  </r>
  <r>
    <s v="Analyzer Status changed from Maintenance to Ready."/>
    <x v="0"/>
    <x v="0"/>
    <x v="15"/>
    <d v="1899-12-30T11:23:44"/>
    <s v="Analyzer"/>
    <x v="0"/>
    <x v="0"/>
    <x v="0"/>
    <x v="0"/>
  </r>
  <r>
    <s v="Automatic maintenance activity Automatic Routine Clean for all Probes has been executed."/>
    <x v="2"/>
    <x v="0"/>
    <x v="15"/>
    <d v="1899-12-30T11:23:44"/>
    <s v="Maintenance"/>
    <x v="0"/>
    <x v="2"/>
    <x v="2"/>
    <x v="0"/>
  </r>
  <r>
    <s v="Communications between the instrument and the LIS have been lost."/>
    <x v="13"/>
    <x v="2"/>
    <x v="15"/>
    <d v="1899-12-30T11:41:56"/>
    <s v="LIS"/>
    <x v="0"/>
    <x v="2"/>
    <x v="6"/>
    <x v="0"/>
  </r>
  <r>
    <s v="Analyzer Status changed from Ready to Maintenance."/>
    <x v="0"/>
    <x v="0"/>
    <x v="15"/>
    <d v="1899-12-30T12:23:44"/>
    <s v="Analyzer"/>
    <x v="0"/>
    <x v="0"/>
    <x v="0"/>
    <x v="0"/>
  </r>
  <r>
    <s v="Analyzer Status changed from Maintenance to Ready."/>
    <x v="0"/>
    <x v="0"/>
    <x v="15"/>
    <d v="1899-12-30T12:24:06"/>
    <s v="Analyzer"/>
    <x v="0"/>
    <x v="0"/>
    <x v="0"/>
    <x v="0"/>
  </r>
  <r>
    <s v="Automatic maintenance activity Automatic Fluidic Line Priming Cycle has been executed."/>
    <x v="2"/>
    <x v="0"/>
    <x v="15"/>
    <d v="1899-12-30T12:24:06"/>
    <s v="Maintenance"/>
    <x v="0"/>
    <x v="2"/>
    <x v="2"/>
    <x v="0"/>
  </r>
  <r>
    <s v="Communications between the instrument and the LIS have been lost."/>
    <x v="13"/>
    <x v="2"/>
    <x v="15"/>
    <d v="1899-12-30T12:31:56"/>
    <s v="LIS"/>
    <x v="0"/>
    <x v="2"/>
    <x v="6"/>
    <x v="0"/>
  </r>
  <r>
    <s v="Non-identified Material in rack DA position 2, track 2."/>
    <x v="27"/>
    <x v="2"/>
    <x v="15"/>
    <d v="1899-12-30T12:33:36"/>
    <s v="Materials"/>
    <x v="0"/>
    <x v="2"/>
    <x v="3"/>
    <x v="0"/>
  </r>
  <r>
    <s v="Protein C Substrate volume low."/>
    <x v="7"/>
    <x v="1"/>
    <x v="15"/>
    <d v="1899-12-30T12:33:50"/>
    <s v="Materials"/>
    <x v="0"/>
    <x v="3"/>
    <x v="4"/>
    <x v="0"/>
  </r>
  <r>
    <s v="AT Liq Substrate volume low."/>
    <x v="7"/>
    <x v="1"/>
    <x v="15"/>
    <d v="1899-12-30T12:33:50"/>
    <s v="Materials"/>
    <x v="0"/>
    <x v="3"/>
    <x v="4"/>
    <x v="0"/>
  </r>
  <r>
    <s v="PT RecombiPlasTin volume low."/>
    <x v="7"/>
    <x v="1"/>
    <x v="15"/>
    <d v="1899-12-30T12:34:00"/>
    <s v="Materials"/>
    <x v="0"/>
    <x v="3"/>
    <x v="4"/>
    <x v="0"/>
  </r>
  <r>
    <s v="APTT-SS CaCl2 volume low."/>
    <x v="7"/>
    <x v="1"/>
    <x v="15"/>
    <d v="1899-12-30T12:34:00"/>
    <s v="Materials"/>
    <x v="0"/>
    <x v="3"/>
    <x v="4"/>
    <x v="0"/>
  </r>
  <r>
    <s v="Anti Factor Xa Rgt. volume low."/>
    <x v="7"/>
    <x v="1"/>
    <x v="15"/>
    <d v="1899-12-30T12:34:00"/>
    <s v="Materials"/>
    <x v="0"/>
    <x v="3"/>
    <x v="4"/>
    <x v="0"/>
  </r>
  <r>
    <s v="D-Dimer HS Latex volume low."/>
    <x v="7"/>
    <x v="1"/>
    <x v="15"/>
    <d v="1899-12-30T12:34:00"/>
    <s v="Materials"/>
    <x v="0"/>
    <x v="3"/>
    <x v="4"/>
    <x v="0"/>
  </r>
  <r>
    <s v="Non-identified Material in rack RF position 5, track 6."/>
    <x v="27"/>
    <x v="2"/>
    <x v="15"/>
    <d v="1899-12-30T12:34:00"/>
    <s v="Materials"/>
    <x v="0"/>
    <x v="2"/>
    <x v="3"/>
    <x v="0"/>
  </r>
  <r>
    <s v="Non-identified Sample in rack 11 position 1, track 9."/>
    <x v="12"/>
    <x v="2"/>
    <x v="15"/>
    <d v="1899-12-30T12:34:55"/>
    <s v="Materials"/>
    <x v="0"/>
    <x v="4"/>
    <x v="7"/>
    <x v="1"/>
  </r>
  <r>
    <s v="Analyzer Status changed from Ready to Busy."/>
    <x v="0"/>
    <x v="0"/>
    <x v="15"/>
    <d v="1899-12-30T12:35:02"/>
    <s v="Analyzer"/>
    <x v="0"/>
    <x v="0"/>
    <x v="0"/>
    <x v="0"/>
  </r>
  <r>
    <s v="LMWH Patient job not feasible. Waiting for Anti Chromogenic Sub."/>
    <x v="26"/>
    <x v="1"/>
    <x v="15"/>
    <d v="1899-12-30T12:35:35"/>
    <s v="Materials"/>
    <x v="0"/>
    <x v="2"/>
    <x v="3"/>
    <x v="0"/>
  </r>
  <r>
    <s v="Analyzer Status changed from Busy to Ready."/>
    <x v="0"/>
    <x v="0"/>
    <x v="15"/>
    <d v="1899-12-30T12:35:39"/>
    <s v="Analyzer"/>
    <x v="0"/>
    <x v="0"/>
    <x v="0"/>
    <x v="0"/>
  </r>
  <r>
    <s v="Protein C Substrate volume low."/>
    <x v="7"/>
    <x v="1"/>
    <x v="15"/>
    <d v="1899-12-30T12:36:45"/>
    <s v="Materials"/>
    <x v="0"/>
    <x v="3"/>
    <x v="4"/>
    <x v="0"/>
  </r>
  <r>
    <s v="AT Liq Substrate volume low."/>
    <x v="7"/>
    <x v="1"/>
    <x v="15"/>
    <d v="1899-12-30T12:36:45"/>
    <s v="Materials"/>
    <x v="0"/>
    <x v="3"/>
    <x v="4"/>
    <x v="0"/>
  </r>
  <r>
    <s v="Placement error (Anti Chromogenic Sub in rack RC, position 6, track 5)."/>
    <x v="49"/>
    <x v="2"/>
    <x v="15"/>
    <d v="1899-12-30T12:36:45"/>
    <s v="Materials"/>
    <x v="0"/>
    <x v="2"/>
    <x v="3"/>
    <x v="0"/>
  </r>
  <r>
    <s v="AT Liq Substrate volume low."/>
    <x v="7"/>
    <x v="1"/>
    <x v="15"/>
    <d v="1899-12-30T12:37:43"/>
    <s v="Materials"/>
    <x v="0"/>
    <x v="3"/>
    <x v="4"/>
    <x v="0"/>
  </r>
  <r>
    <s v="Non-identified Material in rack RC position 4, track 5."/>
    <x v="27"/>
    <x v="2"/>
    <x v="15"/>
    <d v="1899-12-30T12:37:43"/>
    <s v="Materials"/>
    <x v="0"/>
    <x v="2"/>
    <x v="3"/>
    <x v="0"/>
  </r>
  <r>
    <s v="AT Liq FXa volume low."/>
    <x v="7"/>
    <x v="1"/>
    <x v="15"/>
    <d v="1899-12-30T12:37:51"/>
    <s v="Materials"/>
    <x v="0"/>
    <x v="3"/>
    <x v="4"/>
    <x v="0"/>
  </r>
  <r>
    <s v="Protein C Activator volume low."/>
    <x v="7"/>
    <x v="1"/>
    <x v="15"/>
    <d v="1899-12-30T12:37:51"/>
    <s v="Materials"/>
    <x v="0"/>
    <x v="3"/>
    <x v="4"/>
    <x v="0"/>
  </r>
  <r>
    <s v="Non-identified Material in rack DA position 2, track 2."/>
    <x v="27"/>
    <x v="2"/>
    <x v="15"/>
    <d v="1899-12-30T12:38:29"/>
    <s v="Materials"/>
    <x v="0"/>
    <x v="2"/>
    <x v="3"/>
    <x v="0"/>
  </r>
  <r>
    <s v="Non-identified Material in rack DA position 5, track 2."/>
    <x v="27"/>
    <x v="2"/>
    <x v="15"/>
    <d v="1899-12-30T12:38:29"/>
    <s v="Materials"/>
    <x v="0"/>
    <x v="2"/>
    <x v="3"/>
    <x v="0"/>
  </r>
  <r>
    <s v="Analyzer Status changed from Ready to Busy."/>
    <x v="0"/>
    <x v="0"/>
    <x v="15"/>
    <d v="1899-12-30T12:38:40"/>
    <s v="Analyzer"/>
    <x v="0"/>
    <x v="0"/>
    <x v="0"/>
    <x v="0"/>
  </r>
  <r>
    <s v="Analyzer Status changed from Busy to Ready."/>
    <x v="0"/>
    <x v="0"/>
    <x v="15"/>
    <d v="1899-12-30T12:46:06"/>
    <s v="Analyzer"/>
    <x v="0"/>
    <x v="0"/>
    <x v="0"/>
    <x v="0"/>
  </r>
  <r>
    <s v="Analyzer Status changed from Ready to Maintenance."/>
    <x v="0"/>
    <x v="0"/>
    <x v="15"/>
    <d v="1899-12-30T12:46:06"/>
    <s v="Analyzer"/>
    <x v="0"/>
    <x v="0"/>
    <x v="0"/>
    <x v="0"/>
  </r>
  <r>
    <s v="Analyzer Status changed from Maintenance to Ready."/>
    <x v="0"/>
    <x v="0"/>
    <x v="15"/>
    <d v="1899-12-30T12:47:07"/>
    <s v="Analyzer"/>
    <x v="0"/>
    <x v="0"/>
    <x v="0"/>
    <x v="0"/>
  </r>
  <r>
    <s v="Automatic maintenance activity Automatic Routine Clean for all Probes has been executed."/>
    <x v="2"/>
    <x v="0"/>
    <x v="15"/>
    <d v="1899-12-30T12:47:07"/>
    <s v="Maintenance"/>
    <x v="0"/>
    <x v="2"/>
    <x v="2"/>
    <x v="0"/>
  </r>
  <r>
    <s v="Non-identified Material in rack DA position 2, track 2."/>
    <x v="27"/>
    <x v="2"/>
    <x v="15"/>
    <d v="1899-12-30T13:09:10"/>
    <s v="Materials"/>
    <x v="0"/>
    <x v="2"/>
    <x v="3"/>
    <x v="0"/>
  </r>
  <r>
    <s v="Non-identified Material in rack DA position 5, track 2."/>
    <x v="27"/>
    <x v="2"/>
    <x v="15"/>
    <d v="1899-12-30T13:09:10"/>
    <s v="Materials"/>
    <x v="0"/>
    <x v="2"/>
    <x v="3"/>
    <x v="0"/>
  </r>
  <r>
    <s v="Anti Chromogenic Sub insufficient material to run additional calibration / test."/>
    <x v="32"/>
    <x v="2"/>
    <x v="15"/>
    <d v="1899-12-30T13:09:23"/>
    <s v="Materials"/>
    <x v="0"/>
    <x v="3"/>
    <x v="4"/>
    <x v="0"/>
  </r>
  <r>
    <s v="APTT-SS volume low."/>
    <x v="7"/>
    <x v="1"/>
    <x v="15"/>
    <d v="1899-12-30T13:09:23"/>
    <s v="Materials"/>
    <x v="0"/>
    <x v="3"/>
    <x v="4"/>
    <x v="0"/>
  </r>
  <r>
    <s v="Non-identified Material in rack RB position 4, track 1."/>
    <x v="27"/>
    <x v="2"/>
    <x v="15"/>
    <d v="1899-12-30T13:09:23"/>
    <s v="Materials"/>
    <x v="0"/>
    <x v="2"/>
    <x v="3"/>
    <x v="0"/>
  </r>
  <r>
    <s v="AT Liq FXa volume low."/>
    <x v="7"/>
    <x v="1"/>
    <x v="15"/>
    <d v="1899-12-30T13:09:32"/>
    <s v="Materials"/>
    <x v="0"/>
    <x v="3"/>
    <x v="4"/>
    <x v="0"/>
  </r>
  <r>
    <s v="Protein C Activator volume low."/>
    <x v="7"/>
    <x v="1"/>
    <x v="15"/>
    <d v="1899-12-30T13:09:32"/>
    <s v="Materials"/>
    <x v="0"/>
    <x v="3"/>
    <x v="4"/>
    <x v="0"/>
  </r>
  <r>
    <s v="Protein C Substrate volume low."/>
    <x v="7"/>
    <x v="1"/>
    <x v="15"/>
    <d v="1899-12-30T13:09:45"/>
    <s v="Materials"/>
    <x v="0"/>
    <x v="3"/>
    <x v="4"/>
    <x v="0"/>
  </r>
  <r>
    <s v="AT Liq Substrate volume low."/>
    <x v="7"/>
    <x v="1"/>
    <x v="15"/>
    <d v="1899-12-30T13:09:45"/>
    <s v="Materials"/>
    <x v="0"/>
    <x v="3"/>
    <x v="4"/>
    <x v="0"/>
  </r>
  <r>
    <s v="PT RecombiPlasTin volume low."/>
    <x v="7"/>
    <x v="1"/>
    <x v="15"/>
    <d v="1899-12-30T13:09:56"/>
    <s v="Materials"/>
    <x v="0"/>
    <x v="3"/>
    <x v="4"/>
    <x v="0"/>
  </r>
  <r>
    <s v="APTT-SS CaCl2 volume low."/>
    <x v="7"/>
    <x v="1"/>
    <x v="15"/>
    <d v="1899-12-30T13:09:56"/>
    <s v="Materials"/>
    <x v="0"/>
    <x v="3"/>
    <x v="4"/>
    <x v="0"/>
  </r>
  <r>
    <s v="Anti Factor Xa Rgt. volume low."/>
    <x v="7"/>
    <x v="1"/>
    <x v="15"/>
    <d v="1899-12-30T13:09:56"/>
    <s v="Materials"/>
    <x v="0"/>
    <x v="3"/>
    <x v="4"/>
    <x v="0"/>
  </r>
  <r>
    <s v="D-Dimer HS Latex volume low."/>
    <x v="7"/>
    <x v="1"/>
    <x v="15"/>
    <d v="1899-12-30T13:09:56"/>
    <s v="Materials"/>
    <x v="0"/>
    <x v="3"/>
    <x v="4"/>
    <x v="0"/>
  </r>
  <r>
    <s v="Non-identified Material in rack RF position 5, track 6."/>
    <x v="27"/>
    <x v="2"/>
    <x v="15"/>
    <d v="1899-12-30T13:09:56"/>
    <s v="Materials"/>
    <x v="0"/>
    <x v="2"/>
    <x v="3"/>
    <x v="0"/>
  </r>
  <r>
    <s v="Q.F.A. Thrombin volume low."/>
    <x v="7"/>
    <x v="1"/>
    <x v="15"/>
    <d v="1899-12-30T13:09:58"/>
    <s v="Materials"/>
    <x v="0"/>
    <x v="3"/>
    <x v="4"/>
    <x v="0"/>
  </r>
  <r>
    <s v="Analyzer Status changed from Ready to Busy."/>
    <x v="0"/>
    <x v="0"/>
    <x v="15"/>
    <d v="1899-12-30T13:10:17"/>
    <s v="Analyzer"/>
    <x v="0"/>
    <x v="0"/>
    <x v="0"/>
    <x v="0"/>
  </r>
  <r>
    <s v="Analyzer Status changed from Busy to Ready."/>
    <x v="0"/>
    <x v="0"/>
    <x v="15"/>
    <d v="1899-12-30T13:17:18"/>
    <s v="Analyzer"/>
    <x v="0"/>
    <x v="0"/>
    <x v="0"/>
    <x v="0"/>
  </r>
  <r>
    <s v="Analyzer Status changed from Ready to Maintenance."/>
    <x v="0"/>
    <x v="0"/>
    <x v="15"/>
    <d v="1899-12-30T13:17:19"/>
    <s v="Analyzer"/>
    <x v="0"/>
    <x v="0"/>
    <x v="0"/>
    <x v="0"/>
  </r>
  <r>
    <s v="Analyzer Status changed from Maintenance to Ready."/>
    <x v="0"/>
    <x v="0"/>
    <x v="15"/>
    <d v="1899-12-30T13:17:43"/>
    <s v="Analyzer"/>
    <x v="0"/>
    <x v="0"/>
    <x v="0"/>
    <x v="0"/>
  </r>
  <r>
    <s v="Automatic maintenance activity Automatic Routine Clean for all Probes has been executed."/>
    <x v="2"/>
    <x v="0"/>
    <x v="15"/>
    <d v="1899-12-30T13:17:43"/>
    <s v="Maintenance"/>
    <x v="0"/>
    <x v="2"/>
    <x v="2"/>
    <x v="0"/>
  </r>
  <r>
    <s v="Analyzer Status changed from Ready to Maintenance."/>
    <x v="0"/>
    <x v="0"/>
    <x v="15"/>
    <d v="1899-12-30T13:38:51"/>
    <s v="Analyzer"/>
    <x v="0"/>
    <x v="0"/>
    <x v="0"/>
    <x v="0"/>
  </r>
  <r>
    <s v="Analyzer Status changed from Maintenance to Emergency stop."/>
    <x v="0"/>
    <x v="0"/>
    <x v="15"/>
    <d v="1899-12-30T13:43:28"/>
    <s v="Analyzer"/>
    <x v="0"/>
    <x v="0"/>
    <x v="0"/>
    <x v="0"/>
  </r>
  <r>
    <s v="Analyzer Status changed from Emergency stop to Not connected."/>
    <x v="0"/>
    <x v="0"/>
    <x v="15"/>
    <d v="1899-12-30T13:43:28"/>
    <s v="Analyzer"/>
    <x v="0"/>
    <x v="0"/>
    <x v="0"/>
    <x v="0"/>
  </r>
  <r>
    <s v="Analyzer Status changed from Not connected to Power up."/>
    <x v="0"/>
    <x v="0"/>
    <x v="15"/>
    <d v="1899-12-30T13:44:16"/>
    <s v="Analyzer"/>
    <x v="0"/>
    <x v="0"/>
    <x v="0"/>
    <x v="0"/>
  </r>
  <r>
    <s v="Analyzer Status changed from Power up to Initializing."/>
    <x v="0"/>
    <x v="0"/>
    <x v="15"/>
    <d v="1899-12-30T13:44:26"/>
    <s v="Analyzer"/>
    <x v="0"/>
    <x v="0"/>
    <x v="0"/>
    <x v="0"/>
  </r>
  <r>
    <s v="Cuvette waste almost full."/>
    <x v="50"/>
    <x v="1"/>
    <x v="15"/>
    <d v="1899-12-30T13:44:46"/>
    <s v="Materials"/>
    <x v="0"/>
    <x v="5"/>
    <x v="11"/>
    <x v="0"/>
  </r>
  <r>
    <s v="Frequency status for manual maintenance activity Wipe-down all Probes has changed to OK."/>
    <x v="3"/>
    <x v="0"/>
    <x v="15"/>
    <d v="1899-12-30T13:45:24"/>
    <s v="Maintenance"/>
    <x v="0"/>
    <x v="2"/>
    <x v="2"/>
    <x v="0"/>
  </r>
  <r>
    <s v="Frequency status for manual maintenance activity Wipe-down Sample Probe has changed to OK."/>
    <x v="3"/>
    <x v="0"/>
    <x v="15"/>
    <d v="1899-12-30T13:45:24"/>
    <s v="Maintenance"/>
    <x v="0"/>
    <x v="2"/>
    <x v="2"/>
    <x v="0"/>
  </r>
  <r>
    <s v="Frequency status for manual maintenance activity Wipe-down LAS Probe has changed to OK."/>
    <x v="3"/>
    <x v="0"/>
    <x v="15"/>
    <d v="1899-12-30T13:45:24"/>
    <s v="Maintenance"/>
    <x v="0"/>
    <x v="2"/>
    <x v="2"/>
    <x v="0"/>
  </r>
  <r>
    <s v="Manual maintenance activity Wipe-down all Probes has been executed."/>
    <x v="5"/>
    <x v="0"/>
    <x v="15"/>
    <d v="1899-12-30T13:45:24"/>
    <s v="Maintenance"/>
    <x v="0"/>
    <x v="2"/>
    <x v="2"/>
    <x v="0"/>
  </r>
  <r>
    <s v="Analyzer Status changed from Initializing to Adjusting thermal."/>
    <x v="0"/>
    <x v="0"/>
    <x v="15"/>
    <d v="1899-12-30T13:46:15"/>
    <s v="Analyzer"/>
    <x v="0"/>
    <x v="0"/>
    <x v="0"/>
    <x v="0"/>
  </r>
  <r>
    <s v="Analyzer Status changed from Adjusting thermal to Ready."/>
    <x v="0"/>
    <x v="0"/>
    <x v="15"/>
    <d v="1899-12-30T13:48:33"/>
    <s v="Analyzer"/>
    <x v="0"/>
    <x v="0"/>
    <x v="0"/>
    <x v="0"/>
  </r>
  <r>
    <s v="Analyzer Status changed from Ready to Maintenance."/>
    <x v="0"/>
    <x v="0"/>
    <x v="15"/>
    <d v="1899-12-30T13:48:33"/>
    <s v="Analyzer"/>
    <x v="0"/>
    <x v="0"/>
    <x v="0"/>
    <x v="0"/>
  </r>
  <r>
    <s v="Analyzer Status changed from Maintenance to Ready."/>
    <x v="0"/>
    <x v="0"/>
    <x v="15"/>
    <d v="1899-12-30T13:49:47"/>
    <s v="Analyzer"/>
    <x v="0"/>
    <x v="0"/>
    <x v="0"/>
    <x v="0"/>
  </r>
  <r>
    <s v="Analyzer Status changed from Ready to Maintenance."/>
    <x v="0"/>
    <x v="0"/>
    <x v="15"/>
    <d v="1899-12-30T14:49:47"/>
    <s v="Analyzer"/>
    <x v="0"/>
    <x v="0"/>
    <x v="0"/>
    <x v="0"/>
  </r>
  <r>
    <s v="Analyzer Status changed from Maintenance to Ready."/>
    <x v="0"/>
    <x v="0"/>
    <x v="15"/>
    <d v="1899-12-30T14:50:08"/>
    <s v="Analyzer"/>
    <x v="0"/>
    <x v="0"/>
    <x v="0"/>
    <x v="0"/>
  </r>
  <r>
    <s v="Automatic maintenance activity Automatic Fluidic Line Priming Cycle has been executed."/>
    <x v="2"/>
    <x v="0"/>
    <x v="15"/>
    <d v="1899-12-30T14:50:08"/>
    <s v="Maintenance"/>
    <x v="0"/>
    <x v="2"/>
    <x v="2"/>
    <x v="0"/>
  </r>
  <r>
    <s v="Communications between the instrument and the LIS have been lost."/>
    <x v="13"/>
    <x v="2"/>
    <x v="15"/>
    <d v="1899-12-30T15:20:56"/>
    <s v="LIS"/>
    <x v="0"/>
    <x v="2"/>
    <x v="6"/>
    <x v="0"/>
  </r>
  <r>
    <s v="Analyzer Status changed from Ready to Maintenance."/>
    <x v="0"/>
    <x v="0"/>
    <x v="15"/>
    <d v="1899-12-30T15:50:09"/>
    <s v="Analyzer"/>
    <x v="0"/>
    <x v="0"/>
    <x v="0"/>
    <x v="0"/>
  </r>
  <r>
    <s v="Analyzer Status changed from Maintenance to Ready."/>
    <x v="0"/>
    <x v="0"/>
    <x v="15"/>
    <d v="1899-12-30T15:50:30"/>
    <s v="Analyzer"/>
    <x v="0"/>
    <x v="0"/>
    <x v="0"/>
    <x v="0"/>
  </r>
  <r>
    <s v="Automatic maintenance activity Automatic Fluidic Line Priming Cycle has been executed."/>
    <x v="2"/>
    <x v="0"/>
    <x v="15"/>
    <d v="1899-12-30T15:50:30"/>
    <s v="Maintenance"/>
    <x v="0"/>
    <x v="2"/>
    <x v="2"/>
    <x v="0"/>
  </r>
  <r>
    <s v="Analyzer Status changed from Ready to Maintenance."/>
    <x v="0"/>
    <x v="0"/>
    <x v="15"/>
    <d v="1899-12-30T16:50:30"/>
    <s v="Analyzer"/>
    <x v="0"/>
    <x v="0"/>
    <x v="0"/>
    <x v="0"/>
  </r>
  <r>
    <s v="Analyzer Status changed from Maintenance to Ready."/>
    <x v="0"/>
    <x v="0"/>
    <x v="15"/>
    <d v="1899-12-30T16:50:52"/>
    <s v="Analyzer"/>
    <x v="0"/>
    <x v="0"/>
    <x v="0"/>
    <x v="0"/>
  </r>
  <r>
    <s v="Automatic maintenance activity Automatic Fluidic Line Priming Cycle has been executed."/>
    <x v="2"/>
    <x v="0"/>
    <x v="15"/>
    <d v="1899-12-30T16:50:52"/>
    <s v="Maintenance"/>
    <x v="0"/>
    <x v="2"/>
    <x v="2"/>
    <x v="0"/>
  </r>
  <r>
    <s v="Analyzer Status changed from Ready to Maintenance."/>
    <x v="0"/>
    <x v="0"/>
    <x v="15"/>
    <d v="1899-12-30T17:50:52"/>
    <s v="Analyzer"/>
    <x v="0"/>
    <x v="0"/>
    <x v="0"/>
    <x v="0"/>
  </r>
  <r>
    <s v="Analyzer Status changed from Maintenance to Ready."/>
    <x v="0"/>
    <x v="0"/>
    <x v="15"/>
    <d v="1899-12-30T17:51:14"/>
    <s v="Analyzer"/>
    <x v="0"/>
    <x v="0"/>
    <x v="0"/>
    <x v="0"/>
  </r>
  <r>
    <s v="Automatic maintenance activity Automatic Fluidic Line Priming Cycle has been executed."/>
    <x v="2"/>
    <x v="0"/>
    <x v="15"/>
    <d v="1899-12-30T17:51:14"/>
    <s v="Maintenance"/>
    <x v="0"/>
    <x v="2"/>
    <x v="2"/>
    <x v="0"/>
  </r>
  <r>
    <s v="Analyzer Status changed from Ready to Maintenance."/>
    <x v="0"/>
    <x v="0"/>
    <x v="15"/>
    <d v="1899-12-30T18:51:14"/>
    <s v="Analyzer"/>
    <x v="0"/>
    <x v="0"/>
    <x v="0"/>
    <x v="0"/>
  </r>
  <r>
    <s v="Analyzer Status changed from Maintenance to Ready."/>
    <x v="0"/>
    <x v="0"/>
    <x v="15"/>
    <d v="1899-12-30T18:51:36"/>
    <s v="Analyzer"/>
    <x v="0"/>
    <x v="0"/>
    <x v="0"/>
    <x v="0"/>
  </r>
  <r>
    <s v="Automatic maintenance activity Automatic Fluidic Line Priming Cycle has been executed."/>
    <x v="2"/>
    <x v="0"/>
    <x v="15"/>
    <d v="1899-12-30T18:51:36"/>
    <s v="Maintenance"/>
    <x v="0"/>
    <x v="2"/>
    <x v="2"/>
    <x v="0"/>
  </r>
  <r>
    <s v="Analyzer Status changed from Ready to Maintenance."/>
    <x v="0"/>
    <x v="0"/>
    <x v="15"/>
    <d v="1899-12-30T19:51:36"/>
    <s v="Analyzer"/>
    <x v="0"/>
    <x v="0"/>
    <x v="0"/>
    <x v="0"/>
  </r>
  <r>
    <s v="Analyzer Status changed from Maintenance to Ready."/>
    <x v="0"/>
    <x v="0"/>
    <x v="15"/>
    <d v="1899-12-30T19:51:58"/>
    <s v="Analyzer"/>
    <x v="0"/>
    <x v="0"/>
    <x v="0"/>
    <x v="0"/>
  </r>
  <r>
    <s v="Automatic maintenance activity Automatic Fluidic Line Priming Cycle has been executed."/>
    <x v="2"/>
    <x v="0"/>
    <x v="15"/>
    <d v="1899-12-30T19:51:58"/>
    <s v="Maintenance"/>
    <x v="0"/>
    <x v="2"/>
    <x v="2"/>
    <x v="0"/>
  </r>
  <r>
    <s v="LAS ARM COVER open."/>
    <x v="46"/>
    <x v="2"/>
    <x v="15"/>
    <d v="1899-12-30T20:50:21"/>
    <s v="Analyzer"/>
    <x v="0"/>
    <x v="6"/>
    <x v="13"/>
    <x v="0"/>
  </r>
  <r>
    <s v="Analyzer Status changed from Ready to Emergency stop."/>
    <x v="0"/>
    <x v="0"/>
    <x v="15"/>
    <d v="1899-12-30T20:50:21"/>
    <s v="Analyzer"/>
    <x v="0"/>
    <x v="0"/>
    <x v="0"/>
    <x v="0"/>
  </r>
  <r>
    <s v="Analyzer Status changed from Emergency stop to Not connected."/>
    <x v="0"/>
    <x v="0"/>
    <x v="15"/>
    <d v="1899-12-30T20:51:21"/>
    <s v="Analyzer"/>
    <x v="0"/>
    <x v="0"/>
    <x v="0"/>
    <x v="0"/>
  </r>
  <r>
    <s v="Cuvette waste almost full."/>
    <x v="50"/>
    <x v="1"/>
    <x v="15"/>
    <d v="1899-12-30T20:52:00"/>
    <s v="Materials"/>
    <x v="0"/>
    <x v="5"/>
    <x v="11"/>
    <x v="0"/>
  </r>
  <r>
    <s v="Analyzer Status changed from Not connected to Power up."/>
    <x v="0"/>
    <x v="0"/>
    <x v="15"/>
    <d v="1899-12-30T20:52:02"/>
    <s v="Analyzer"/>
    <x v="0"/>
    <x v="0"/>
    <x v="0"/>
    <x v="0"/>
  </r>
  <r>
    <s v="Analyzer Status changed from Power up to Initializing."/>
    <x v="0"/>
    <x v="0"/>
    <x v="15"/>
    <d v="1899-12-30T20:52:12"/>
    <s v="Analyzer"/>
    <x v="0"/>
    <x v="0"/>
    <x v="0"/>
    <x v="0"/>
  </r>
  <r>
    <s v="Cuvette waste full."/>
    <x v="51"/>
    <x v="2"/>
    <x v="15"/>
    <d v="1899-12-30T20:52:32"/>
    <s v="Materials"/>
    <x v="0"/>
    <x v="5"/>
    <x v="11"/>
    <x v="0"/>
  </r>
  <r>
    <s v="Analyzer Status changed from Initializing to Error."/>
    <x v="0"/>
    <x v="0"/>
    <x v="15"/>
    <d v="1899-12-30T20:52:32"/>
    <s v="Analyzer"/>
    <x v="0"/>
    <x v="0"/>
    <x v="0"/>
    <x v="0"/>
  </r>
  <r>
    <s v="CTS rack rejected."/>
    <x v="52"/>
    <x v="1"/>
    <x v="15"/>
    <d v="1899-12-30T21:01:00"/>
    <s v="Analyzer"/>
    <x v="0"/>
    <x v="6"/>
    <x v="13"/>
    <x v="0"/>
  </r>
  <r>
    <s v="Analyzer Status changed from Error to Initializing."/>
    <x v="0"/>
    <x v="0"/>
    <x v="16"/>
    <d v="1899-12-30T06:56:51"/>
    <s v="Analyzer"/>
    <x v="0"/>
    <x v="0"/>
    <x v="0"/>
    <x v="0"/>
  </r>
  <r>
    <s v="Cuvette waste almost full."/>
    <x v="50"/>
    <x v="1"/>
    <x v="16"/>
    <d v="1899-12-30T06:56:51"/>
    <s v="Materials"/>
    <x v="0"/>
    <x v="5"/>
    <x v="11"/>
    <x v="0"/>
  </r>
  <r>
    <s v="Cuvettes waste drawer missing."/>
    <x v="29"/>
    <x v="2"/>
    <x v="16"/>
    <d v="1899-12-30T06:56:52"/>
    <s v="Materials"/>
    <x v="0"/>
    <x v="5"/>
    <x v="11"/>
    <x v="0"/>
  </r>
  <r>
    <s v="Analyzer Status changed from Initializing to Error."/>
    <x v="0"/>
    <x v="0"/>
    <x v="16"/>
    <d v="1899-12-30T06:56:52"/>
    <s v="Analyzer"/>
    <x v="0"/>
    <x v="0"/>
    <x v="0"/>
    <x v="0"/>
  </r>
  <r>
    <s v="Analyzer Status changed from Error to Ready."/>
    <x v="0"/>
    <x v="0"/>
    <x v="16"/>
    <d v="1899-12-30T06:57:07"/>
    <s v="Analyzer"/>
    <x v="0"/>
    <x v="0"/>
    <x v="0"/>
    <x v="0"/>
  </r>
  <r>
    <s v="Analyzer Status changed from Ready to Maintenance."/>
    <x v="0"/>
    <x v="0"/>
    <x v="16"/>
    <d v="1899-12-30T06:57:07"/>
    <s v="Analyzer"/>
    <x v="0"/>
    <x v="0"/>
    <x v="0"/>
    <x v="0"/>
  </r>
  <r>
    <s v="Analyzer Status changed from Maintenance to Ready."/>
    <x v="0"/>
    <x v="0"/>
    <x v="16"/>
    <d v="1899-12-30T06:58:21"/>
    <s v="Analyzer"/>
    <x v="0"/>
    <x v="0"/>
    <x v="0"/>
    <x v="0"/>
  </r>
  <r>
    <s v="Analyzer Status changed from Ready to Maintenance."/>
    <x v="0"/>
    <x v="0"/>
    <x v="16"/>
    <d v="1899-12-30T06:58:23"/>
    <s v="Analyzer"/>
    <x v="0"/>
    <x v="0"/>
    <x v="0"/>
    <x v="0"/>
  </r>
  <r>
    <s v="Analyzer Status changed from Maintenance to Emergency stop."/>
    <x v="0"/>
    <x v="0"/>
    <x v="16"/>
    <d v="1899-12-30T06:59:05"/>
    <s v="Analyzer"/>
    <x v="0"/>
    <x v="0"/>
    <x v="0"/>
    <x v="0"/>
  </r>
  <r>
    <s v="Analyzer Status changed from Emergency stop to Not connected."/>
    <x v="0"/>
    <x v="0"/>
    <x v="16"/>
    <d v="1899-12-30T06:59:05"/>
    <s v="Analyzer"/>
    <x v="0"/>
    <x v="0"/>
    <x v="0"/>
    <x v="0"/>
  </r>
  <r>
    <s v="Manual maintenance activity Wipe-down all Probes has been executed."/>
    <x v="5"/>
    <x v="0"/>
    <x v="16"/>
    <d v="1899-12-30T06:59:09"/>
    <s v="Maintenance"/>
    <x v="0"/>
    <x v="2"/>
    <x v="2"/>
    <x v="0"/>
  </r>
  <r>
    <s v="Analyzer Status changed from Not connected to Power up."/>
    <x v="0"/>
    <x v="0"/>
    <x v="16"/>
    <d v="1899-12-30T06:59:46"/>
    <s v="Analyzer"/>
    <x v="0"/>
    <x v="0"/>
    <x v="0"/>
    <x v="0"/>
  </r>
  <r>
    <s v="Analyzer Status changed from Power up to Initializing."/>
    <x v="0"/>
    <x v="0"/>
    <x v="16"/>
    <d v="1899-12-30T06:59:57"/>
    <s v="Analyzer"/>
    <x v="0"/>
    <x v="0"/>
    <x v="0"/>
    <x v="0"/>
  </r>
  <r>
    <s v="Analyzer Status changed from Initializing to Adjusting thermal."/>
    <x v="0"/>
    <x v="0"/>
    <x v="16"/>
    <d v="1899-12-30T07:01:48"/>
    <s v="Analyzer"/>
    <x v="0"/>
    <x v="0"/>
    <x v="0"/>
    <x v="0"/>
  </r>
  <r>
    <s v="Analyzer Status changed from Adjusting thermal to Ready."/>
    <x v="0"/>
    <x v="0"/>
    <x v="16"/>
    <d v="1899-12-30T07:04:10"/>
    <s v="Analyzer"/>
    <x v="0"/>
    <x v="0"/>
    <x v="0"/>
    <x v="0"/>
  </r>
  <r>
    <s v="Analyzer Status changed from Ready to Maintenance."/>
    <x v="0"/>
    <x v="0"/>
    <x v="16"/>
    <d v="1899-12-30T07:04:10"/>
    <s v="Analyzer"/>
    <x v="0"/>
    <x v="0"/>
    <x v="0"/>
    <x v="0"/>
  </r>
  <r>
    <s v="Analyzer Status changed from Maintenance to Ready."/>
    <x v="0"/>
    <x v="0"/>
    <x v="16"/>
    <d v="1899-12-30T07:05:23"/>
    <s v="Analyzer"/>
    <x v="0"/>
    <x v="0"/>
    <x v="0"/>
    <x v="0"/>
  </r>
  <r>
    <s v="Analyzer Status changed from Ready to Maintenance."/>
    <x v="0"/>
    <x v="0"/>
    <x v="16"/>
    <d v="1899-12-30T07:11:34"/>
    <s v="Analyzer"/>
    <x v="0"/>
    <x v="0"/>
    <x v="0"/>
    <x v="0"/>
  </r>
  <r>
    <s v="Analyzer Status changed from Maintenance to Ready."/>
    <x v="0"/>
    <x v="0"/>
    <x v="16"/>
    <d v="1899-12-30T07:11:39"/>
    <s v="Analyzer"/>
    <x v="0"/>
    <x v="0"/>
    <x v="0"/>
    <x v="0"/>
  </r>
  <r>
    <s v="Frequency status for manual maintenance activity Clean Cuvette Waste Drawer has changed to OK."/>
    <x v="3"/>
    <x v="0"/>
    <x v="16"/>
    <d v="1899-12-30T07:11:39"/>
    <s v="Maintenance"/>
    <x v="0"/>
    <x v="2"/>
    <x v="2"/>
    <x v="0"/>
  </r>
  <r>
    <s v="Manual maintenance activity Clean Cuvette Waste Drawer has been executed."/>
    <x v="5"/>
    <x v="0"/>
    <x v="16"/>
    <d v="1899-12-30T07:11:39"/>
    <s v="Maintenance"/>
    <x v="0"/>
    <x v="2"/>
    <x v="2"/>
    <x v="0"/>
  </r>
  <r>
    <s v="Analyzer Status changed from Ready to Maintenance."/>
    <x v="0"/>
    <x v="0"/>
    <x v="16"/>
    <d v="1899-12-30T07:11:44"/>
    <s v="Analyzer"/>
    <x v="0"/>
    <x v="0"/>
    <x v="0"/>
    <x v="0"/>
  </r>
  <r>
    <s v="Clean B on-board stability low."/>
    <x v="6"/>
    <x v="1"/>
    <x v="16"/>
    <d v="1899-12-30T07:17:04"/>
    <s v="Materials"/>
    <x v="0"/>
    <x v="2"/>
    <x v="3"/>
    <x v="0"/>
  </r>
  <r>
    <s v="Clean B on-board stability low."/>
    <x v="6"/>
    <x v="1"/>
    <x v="16"/>
    <d v="1899-12-30T07:18:04"/>
    <s v="Materials"/>
    <x v="0"/>
    <x v="2"/>
    <x v="3"/>
    <x v="0"/>
  </r>
  <r>
    <s v="Analyzer Status changed from Maintenance to Ready."/>
    <x v="0"/>
    <x v="0"/>
    <x v="16"/>
    <d v="1899-12-30T07:30:51"/>
    <s v="Analyzer"/>
    <x v="0"/>
    <x v="0"/>
    <x v="0"/>
    <x v="0"/>
  </r>
  <r>
    <s v="Frequency status for manual maintenance activity Enhanced Clean for all Probes has changed to OK."/>
    <x v="3"/>
    <x v="0"/>
    <x v="16"/>
    <d v="1899-12-30T07:30:51"/>
    <s v="Maintenance"/>
    <x v="0"/>
    <x v="2"/>
    <x v="2"/>
    <x v="0"/>
  </r>
  <r>
    <s v="Frequency status for manual maintenance activity Enhanced Clean for Sample and Reagent Probes has changed to OK."/>
    <x v="3"/>
    <x v="0"/>
    <x v="16"/>
    <d v="1899-12-30T07:30:51"/>
    <s v="Maintenance"/>
    <x v="0"/>
    <x v="2"/>
    <x v="2"/>
    <x v="0"/>
  </r>
  <r>
    <s v="Semiautomatic maintenance activity Enhanced Clean for all Probes has been executed."/>
    <x v="4"/>
    <x v="0"/>
    <x v="16"/>
    <d v="1899-12-30T07:30:51"/>
    <s v="Maintenance"/>
    <x v="0"/>
    <x v="2"/>
    <x v="2"/>
    <x v="0"/>
  </r>
  <r>
    <s v="Analyzer Status changed from Ready to Maintenance."/>
    <x v="0"/>
    <x v="0"/>
    <x v="16"/>
    <d v="1899-12-30T07:30:55"/>
    <s v="Analyzer"/>
    <x v="0"/>
    <x v="0"/>
    <x v="0"/>
    <x v="0"/>
  </r>
  <r>
    <s v="Frequency status for manual maintenance activity make new diluted clean B has changed to OK."/>
    <x v="3"/>
    <x v="0"/>
    <x v="16"/>
    <d v="1899-12-30T07:30:57"/>
    <s v="Maintenance"/>
    <x v="0"/>
    <x v="2"/>
    <x v="2"/>
    <x v="0"/>
  </r>
  <r>
    <s v="Manual maintenance activity make new diluted clean B has been executed."/>
    <x v="5"/>
    <x v="0"/>
    <x v="16"/>
    <d v="1899-12-30T07:30:57"/>
    <s v="Maintenance"/>
    <x v="0"/>
    <x v="2"/>
    <x v="2"/>
    <x v="0"/>
  </r>
  <r>
    <s v="Analyzer Status changed from Maintenance to Ready."/>
    <x v="0"/>
    <x v="0"/>
    <x v="16"/>
    <d v="1899-12-30T07:30:58"/>
    <s v="Analyzer"/>
    <x v="0"/>
    <x v="0"/>
    <x v="0"/>
    <x v="0"/>
  </r>
  <r>
    <s v="Analyzer Status changed from Ready to Maintenance."/>
    <x v="0"/>
    <x v="0"/>
    <x v="16"/>
    <d v="1899-12-30T07:31:00"/>
    <s v="Analyzer"/>
    <x v="0"/>
    <x v="0"/>
    <x v="0"/>
    <x v="0"/>
  </r>
  <r>
    <s v="Frequency status for manual maintenance activity replace factor diluent has changed to OK."/>
    <x v="3"/>
    <x v="0"/>
    <x v="16"/>
    <d v="1899-12-30T07:31:02"/>
    <s v="Maintenance"/>
    <x v="0"/>
    <x v="2"/>
    <x v="2"/>
    <x v="0"/>
  </r>
  <r>
    <s v="Manual maintenance activity replace factor diluent has been executed."/>
    <x v="5"/>
    <x v="0"/>
    <x v="16"/>
    <d v="1899-12-30T07:31:02"/>
    <s v="Maintenance"/>
    <x v="0"/>
    <x v="2"/>
    <x v="2"/>
    <x v="0"/>
  </r>
  <r>
    <s v="Analyzer Status changed from Maintenance to Ready."/>
    <x v="0"/>
    <x v="0"/>
    <x v="16"/>
    <d v="1899-12-30T07:31:03"/>
    <s v="Analyzer"/>
    <x v="0"/>
    <x v="0"/>
    <x v="0"/>
    <x v="0"/>
  </r>
  <r>
    <s v="Reflex Rule Q.F.A. Low has been modified."/>
    <x v="23"/>
    <x v="0"/>
    <x v="16"/>
    <d v="1899-12-30T07:33:34"/>
    <s v="Setup"/>
    <x v="0"/>
    <x v="2"/>
    <x v="5"/>
    <x v="0"/>
  </r>
  <r>
    <s v="Test Definition Hepz LQF has been added."/>
    <x v="53"/>
    <x v="0"/>
    <x v="16"/>
    <d v="1899-12-30T07:34:48"/>
    <s v="Setup"/>
    <x v="0"/>
    <x v="2"/>
    <x v="5"/>
    <x v="0"/>
  </r>
  <r>
    <s v="Test Definition Hepz LQF has been modified."/>
    <x v="14"/>
    <x v="0"/>
    <x v="16"/>
    <d v="1899-12-30T07:35:17"/>
    <s v="Setup"/>
    <x v="0"/>
    <x v="2"/>
    <x v="5"/>
    <x v="0"/>
  </r>
  <r>
    <s v="Test Definition Hepz LQF has been modified."/>
    <x v="14"/>
    <x v="0"/>
    <x v="16"/>
    <d v="1899-12-30T07:35:57"/>
    <s v="Setup"/>
    <x v="0"/>
    <x v="2"/>
    <x v="5"/>
    <x v="0"/>
  </r>
  <r>
    <s v="Material Definition HemosIL Cal Plasma modified: assigned value for Test Hepz LQF (active Lot)."/>
    <x v="54"/>
    <x v="0"/>
    <x v="16"/>
    <d v="1899-12-30T07:35:57"/>
    <s v="Setup"/>
    <x v="0"/>
    <x v="2"/>
    <x v="3"/>
    <x v="0"/>
  </r>
  <r>
    <s v="Reflex Rule Hepz LQF has been added."/>
    <x v="22"/>
    <x v="0"/>
    <x v="16"/>
    <d v="1899-12-30T07:37:57"/>
    <s v="Setup"/>
    <x v="0"/>
    <x v="2"/>
    <x v="5"/>
    <x v="0"/>
  </r>
  <r>
    <s v="Analyzer Status changed from Ready to Busy."/>
    <x v="0"/>
    <x v="0"/>
    <x v="16"/>
    <d v="1899-12-30T07:55:41"/>
    <s v="Analyzer"/>
    <x v="0"/>
    <x v="0"/>
    <x v="0"/>
    <x v="0"/>
  </r>
  <r>
    <s v="Analyzer Status changed from Busy to Ready."/>
    <x v="0"/>
    <x v="0"/>
    <x v="16"/>
    <d v="1899-12-30T08:04:46"/>
    <s v="Analyzer"/>
    <x v="0"/>
    <x v="0"/>
    <x v="0"/>
    <x v="0"/>
  </r>
  <r>
    <s v="Analyzer Status changed from Ready to Maintenance."/>
    <x v="0"/>
    <x v="0"/>
    <x v="16"/>
    <d v="1899-12-30T08:04:46"/>
    <s v="Analyzer"/>
    <x v="0"/>
    <x v="0"/>
    <x v="0"/>
    <x v="0"/>
  </r>
  <r>
    <s v="Communications between the instrument and the LIS have been lost."/>
    <x v="13"/>
    <x v="2"/>
    <x v="16"/>
    <d v="1899-12-30T08:04:56"/>
    <s v="LIS"/>
    <x v="0"/>
    <x v="2"/>
    <x v="6"/>
    <x v="0"/>
  </r>
  <r>
    <s v="Analyzer Status changed from Maintenance to Ready."/>
    <x v="0"/>
    <x v="0"/>
    <x v="16"/>
    <d v="1899-12-30T08:05:12"/>
    <s v="Analyzer"/>
    <x v="0"/>
    <x v="0"/>
    <x v="0"/>
    <x v="0"/>
  </r>
  <r>
    <s v="Automatic maintenance activity Automatic Routine Clean for all Probes has been executed."/>
    <x v="2"/>
    <x v="0"/>
    <x v="16"/>
    <d v="1899-12-30T08:05:12"/>
    <s v="Maintenance"/>
    <x v="0"/>
    <x v="2"/>
    <x v="2"/>
    <x v="0"/>
  </r>
  <r>
    <s v="Non-identified Sample in rack 04 position 1, track 12."/>
    <x v="12"/>
    <x v="2"/>
    <x v="16"/>
    <d v="1899-12-30T08:10:19"/>
    <s v="Materials"/>
    <x v="0"/>
    <x v="4"/>
    <x v="7"/>
    <x v="1"/>
  </r>
  <r>
    <s v="Non-identified Sample in rack 04 position 2, track 12."/>
    <x v="12"/>
    <x v="2"/>
    <x v="16"/>
    <d v="1899-12-30T08:10:19"/>
    <s v="Materials"/>
    <x v="0"/>
    <x v="4"/>
    <x v="7"/>
    <x v="1"/>
  </r>
  <r>
    <s v="Non-identified Sample in rack 04 position 3, track 12."/>
    <x v="12"/>
    <x v="2"/>
    <x v="16"/>
    <d v="1899-12-30T08:10:19"/>
    <s v="Materials"/>
    <x v="0"/>
    <x v="4"/>
    <x v="7"/>
    <x v="1"/>
  </r>
  <r>
    <s v="Non-identified Sample in rack 04 position 4, track 12."/>
    <x v="12"/>
    <x v="2"/>
    <x v="16"/>
    <d v="1899-12-30T08:10:19"/>
    <s v="Materials"/>
    <x v="0"/>
    <x v="4"/>
    <x v="7"/>
    <x v="1"/>
  </r>
  <r>
    <s v="Non-identified Sample in rack 04 position 5, track 12."/>
    <x v="12"/>
    <x v="2"/>
    <x v="16"/>
    <d v="1899-12-30T08:10:19"/>
    <s v="Materials"/>
    <x v="0"/>
    <x v="4"/>
    <x v="7"/>
    <x v="1"/>
  </r>
  <r>
    <s v="Analyzer Status changed from Ready to Busy."/>
    <x v="0"/>
    <x v="0"/>
    <x v="16"/>
    <d v="1899-12-30T08:11:18"/>
    <s v="Analyzer"/>
    <x v="0"/>
    <x v="0"/>
    <x v="0"/>
    <x v="0"/>
  </r>
  <r>
    <s v="Analyzer Status changed from Busy to Ready."/>
    <x v="0"/>
    <x v="0"/>
    <x v="16"/>
    <d v="1899-12-30T08:22:38"/>
    <s v="Analyzer"/>
    <x v="0"/>
    <x v="0"/>
    <x v="0"/>
    <x v="0"/>
  </r>
  <r>
    <s v="Analyzer Status changed from Ready to Maintenance."/>
    <x v="0"/>
    <x v="0"/>
    <x v="16"/>
    <d v="1899-12-30T08:22:38"/>
    <s v="Analyzer"/>
    <x v="0"/>
    <x v="0"/>
    <x v="0"/>
    <x v="0"/>
  </r>
  <r>
    <s v="Automatic maintenance activity Automatic Routine Clean for all Probes has been executed."/>
    <x v="2"/>
    <x v="0"/>
    <x v="16"/>
    <d v="1899-12-30T08:23:04"/>
    <s v="Maintenance"/>
    <x v="0"/>
    <x v="2"/>
    <x v="2"/>
    <x v="0"/>
  </r>
  <r>
    <s v="Analyzer Status changed from Maintenance to Ready."/>
    <x v="0"/>
    <x v="0"/>
    <x v="16"/>
    <d v="1899-12-30T08:23:05"/>
    <s v="Analyzer"/>
    <x v="0"/>
    <x v="0"/>
    <x v="0"/>
    <x v="0"/>
  </r>
  <r>
    <s v="Duplicated Rack ID, Rack ID RB."/>
    <x v="37"/>
    <x v="1"/>
    <x v="16"/>
    <d v="1899-12-30T08:49:20"/>
    <s v="Analyzer"/>
    <x v="0"/>
    <x v="6"/>
    <x v="13"/>
    <x v="0"/>
  </r>
  <r>
    <s v="AT Liq FXa volume low."/>
    <x v="7"/>
    <x v="1"/>
    <x v="16"/>
    <d v="1899-12-30T08:49:37"/>
    <s v="Materials"/>
    <x v="0"/>
    <x v="3"/>
    <x v="4"/>
    <x v="0"/>
  </r>
  <r>
    <s v="Non-identified Material in rack RF position 5, track 5."/>
    <x v="27"/>
    <x v="2"/>
    <x v="16"/>
    <d v="1899-12-30T08:49:43"/>
    <s v="Materials"/>
    <x v="0"/>
    <x v="2"/>
    <x v="3"/>
    <x v="0"/>
  </r>
  <r>
    <s v="Non-identified Material in rack RF position 6, track 5."/>
    <x v="27"/>
    <x v="2"/>
    <x v="16"/>
    <d v="1899-12-30T08:49:43"/>
    <s v="Materials"/>
    <x v="0"/>
    <x v="2"/>
    <x v="3"/>
    <x v="0"/>
  </r>
  <r>
    <s v="Protein C Activator volume low."/>
    <x v="7"/>
    <x v="1"/>
    <x v="16"/>
    <d v="1899-12-30T08:49:51"/>
    <s v="Materials"/>
    <x v="0"/>
    <x v="3"/>
    <x v="4"/>
    <x v="0"/>
  </r>
  <r>
    <s v="Protein C Substrate volume low."/>
    <x v="7"/>
    <x v="1"/>
    <x v="16"/>
    <d v="1899-12-30T08:50:21"/>
    <s v="Materials"/>
    <x v="0"/>
    <x v="3"/>
    <x v="4"/>
    <x v="0"/>
  </r>
  <r>
    <s v="AT Liq Substrate volume low."/>
    <x v="7"/>
    <x v="1"/>
    <x v="16"/>
    <d v="1899-12-30T08:50:28"/>
    <s v="Materials"/>
    <x v="0"/>
    <x v="3"/>
    <x v="4"/>
    <x v="0"/>
  </r>
  <r>
    <s v="PT RecombiPlasTin volume low."/>
    <x v="7"/>
    <x v="1"/>
    <x v="16"/>
    <d v="1899-12-30T08:50:42"/>
    <s v="Materials"/>
    <x v="0"/>
    <x v="3"/>
    <x v="4"/>
    <x v="0"/>
  </r>
  <r>
    <s v="APTT-SS CaCl2 volume low."/>
    <x v="7"/>
    <x v="1"/>
    <x v="16"/>
    <d v="1899-12-30T08:50:56"/>
    <s v="Materials"/>
    <x v="0"/>
    <x v="3"/>
    <x v="4"/>
    <x v="0"/>
  </r>
  <r>
    <s v="Anti Factor Xa Rgt. volume low."/>
    <x v="7"/>
    <x v="1"/>
    <x v="16"/>
    <d v="1899-12-30T08:51:03"/>
    <s v="Materials"/>
    <x v="0"/>
    <x v="3"/>
    <x v="4"/>
    <x v="0"/>
  </r>
  <r>
    <s v="Non-identified Material in rack RB position 4, track 1."/>
    <x v="27"/>
    <x v="2"/>
    <x v="16"/>
    <d v="1899-12-30T08:54:04"/>
    <s v="Materials"/>
    <x v="0"/>
    <x v="2"/>
    <x v="3"/>
    <x v="0"/>
  </r>
  <r>
    <s v="HemosIL Cal Plasma volume low."/>
    <x v="7"/>
    <x v="1"/>
    <x v="16"/>
    <d v="1899-12-30T08:54:13"/>
    <s v="Materials"/>
    <x v="0"/>
    <x v="3"/>
    <x v="4"/>
    <x v="0"/>
  </r>
  <r>
    <s v="Analyzer Status changed from Ready to Busy."/>
    <x v="0"/>
    <x v="0"/>
    <x v="16"/>
    <d v="1899-12-30T08:54:25"/>
    <s v="Analyzer"/>
    <x v="0"/>
    <x v="0"/>
    <x v="0"/>
    <x v="0"/>
  </r>
  <r>
    <s v="APTT-SS volume low."/>
    <x v="7"/>
    <x v="1"/>
    <x v="16"/>
    <d v="1899-12-30T08:54:56"/>
    <s v="Materials"/>
    <x v="0"/>
    <x v="3"/>
    <x v="4"/>
    <x v="0"/>
  </r>
  <r>
    <s v="QFA Calibration job not feasible. Waiting for HemosIL Cal Plasma."/>
    <x v="26"/>
    <x v="1"/>
    <x v="16"/>
    <d v="1899-12-30T08:55:16"/>
    <s v="Materials"/>
    <x v="0"/>
    <x v="2"/>
    <x v="3"/>
    <x v="0"/>
  </r>
  <r>
    <s v="Analyzer Status changed from Busy to Ready."/>
    <x v="0"/>
    <x v="0"/>
    <x v="16"/>
    <d v="1899-12-30T08:55:21"/>
    <s v="Analyzer"/>
    <x v="0"/>
    <x v="0"/>
    <x v="0"/>
    <x v="0"/>
  </r>
  <r>
    <s v="Communications between the instrument and the LIS have been lost."/>
    <x v="13"/>
    <x v="2"/>
    <x v="16"/>
    <d v="1899-12-30T09:06:56"/>
    <s v="LIS"/>
    <x v="0"/>
    <x v="2"/>
    <x v="6"/>
    <x v="0"/>
  </r>
  <r>
    <s v="Analyzer Status changed from Ready to Maintenance."/>
    <x v="0"/>
    <x v="0"/>
    <x v="16"/>
    <d v="1899-12-30T09:55:22"/>
    <s v="Analyzer"/>
    <x v="0"/>
    <x v="0"/>
    <x v="0"/>
    <x v="0"/>
  </r>
  <r>
    <s v="Analyzer Status changed from Maintenance to Ready."/>
    <x v="0"/>
    <x v="0"/>
    <x v="16"/>
    <d v="1899-12-30T09:55:43"/>
    <s v="Analyzer"/>
    <x v="0"/>
    <x v="0"/>
    <x v="0"/>
    <x v="0"/>
  </r>
  <r>
    <s v="Automatic maintenance activity Automatic Fluidic Line Priming Cycle has been executed."/>
    <x v="2"/>
    <x v="0"/>
    <x v="16"/>
    <d v="1899-12-30T09:55:43"/>
    <s v="Maintenance"/>
    <x v="0"/>
    <x v="2"/>
    <x v="2"/>
    <x v="0"/>
  </r>
  <r>
    <s v="Analyzer Status changed from Ready to Maintenance."/>
    <x v="0"/>
    <x v="0"/>
    <x v="16"/>
    <d v="1899-12-30T10:55:43"/>
    <s v="Analyzer"/>
    <x v="0"/>
    <x v="0"/>
    <x v="0"/>
    <x v="0"/>
  </r>
  <r>
    <s v="Analyzer Status changed from Maintenance to Ready."/>
    <x v="0"/>
    <x v="0"/>
    <x v="16"/>
    <d v="1899-12-30T10:56:05"/>
    <s v="Analyzer"/>
    <x v="0"/>
    <x v="0"/>
    <x v="0"/>
    <x v="0"/>
  </r>
  <r>
    <s v="Automatic maintenance activity Automatic Fluidic Line Priming Cycle has been executed."/>
    <x v="2"/>
    <x v="0"/>
    <x v="16"/>
    <d v="1899-12-30T10:56:05"/>
    <s v="Maintenance"/>
    <x v="0"/>
    <x v="2"/>
    <x v="2"/>
    <x v="0"/>
  </r>
  <r>
    <s v="Analyzer Status changed from Ready to Maintenance."/>
    <x v="0"/>
    <x v="0"/>
    <x v="16"/>
    <d v="1899-12-30T11:56:05"/>
    <s v="Analyzer"/>
    <x v="0"/>
    <x v="0"/>
    <x v="0"/>
    <x v="0"/>
  </r>
  <r>
    <s v="Analyzer Status changed from Maintenance to Ready."/>
    <x v="0"/>
    <x v="0"/>
    <x v="16"/>
    <d v="1899-12-30T11:56:27"/>
    <s v="Analyzer"/>
    <x v="0"/>
    <x v="0"/>
    <x v="0"/>
    <x v="0"/>
  </r>
  <r>
    <s v="Automatic maintenance activity Automatic Fluidic Line Priming Cycle has been executed."/>
    <x v="2"/>
    <x v="0"/>
    <x v="16"/>
    <d v="1899-12-30T11:56:27"/>
    <s v="Maintenance"/>
    <x v="0"/>
    <x v="2"/>
    <x v="2"/>
    <x v="0"/>
  </r>
  <r>
    <s v="Non-identified Sample in rack 01 position 1, track 12."/>
    <x v="12"/>
    <x v="2"/>
    <x v="16"/>
    <d v="1899-12-30T12:27:11"/>
    <s v="Materials"/>
    <x v="0"/>
    <x v="4"/>
    <x v="7"/>
    <x v="1"/>
  </r>
  <r>
    <s v="Analyzer Status changed from Ready to Busy."/>
    <x v="0"/>
    <x v="0"/>
    <x v="16"/>
    <d v="1899-12-30T12:27:28"/>
    <s v="Analyzer"/>
    <x v="0"/>
    <x v="0"/>
    <x v="0"/>
    <x v="0"/>
  </r>
  <r>
    <s v="User deleted Hepz Fib Patient test order from sample Id 29400001A."/>
    <x v="55"/>
    <x v="0"/>
    <x v="16"/>
    <d v="1899-12-30T12:27:38"/>
    <s v="Other"/>
    <x v="0"/>
    <x v="4"/>
    <x v="7"/>
    <x v="1"/>
  </r>
  <r>
    <s v="Non-identified Sample in rack 01 position 1, track 12."/>
    <x v="12"/>
    <x v="2"/>
    <x v="16"/>
    <d v="1899-12-30T12:28:06"/>
    <s v="Materials"/>
    <x v="0"/>
    <x v="4"/>
    <x v="7"/>
    <x v="1"/>
  </r>
  <r>
    <s v="Analyzer Status changed from Busy to Ready."/>
    <x v="0"/>
    <x v="0"/>
    <x v="16"/>
    <d v="1899-12-30T12:34:50"/>
    <s v="Analyzer"/>
    <x v="0"/>
    <x v="0"/>
    <x v="0"/>
    <x v="0"/>
  </r>
  <r>
    <s v="Analyzer Status changed from Ready to Maintenance."/>
    <x v="0"/>
    <x v="0"/>
    <x v="16"/>
    <d v="1899-12-30T12:34:51"/>
    <s v="Analyzer"/>
    <x v="0"/>
    <x v="0"/>
    <x v="0"/>
    <x v="0"/>
  </r>
  <r>
    <s v="Analyzer Status changed from Maintenance to Ready."/>
    <x v="0"/>
    <x v="0"/>
    <x v="16"/>
    <d v="1899-12-30T12:35:16"/>
    <s v="Analyzer"/>
    <x v="0"/>
    <x v="0"/>
    <x v="0"/>
    <x v="0"/>
  </r>
  <r>
    <s v="Automatic maintenance activity Automatic Routine Clean for all Probes has been executed."/>
    <x v="2"/>
    <x v="0"/>
    <x v="16"/>
    <d v="1899-12-30T12:35:16"/>
    <s v="Maintenance"/>
    <x v="0"/>
    <x v="2"/>
    <x v="2"/>
    <x v="0"/>
  </r>
  <r>
    <s v="Analyzer Status changed from Ready to Maintenance."/>
    <x v="0"/>
    <x v="0"/>
    <x v="16"/>
    <d v="1899-12-30T13:28:53"/>
    <s v="Analyzer"/>
    <x v="0"/>
    <x v="0"/>
    <x v="0"/>
    <x v="0"/>
  </r>
  <r>
    <s v="Analyzer Status changed from Maintenance to Emergency stop."/>
    <x v="0"/>
    <x v="0"/>
    <x v="16"/>
    <d v="1899-12-30T13:30:09"/>
    <s v="Analyzer"/>
    <x v="0"/>
    <x v="0"/>
    <x v="0"/>
    <x v="0"/>
  </r>
  <r>
    <s v="Analyzer Status changed from Emergency stop to Not connected."/>
    <x v="0"/>
    <x v="0"/>
    <x v="16"/>
    <d v="1899-12-30T13:30:09"/>
    <s v="Analyzer"/>
    <x v="0"/>
    <x v="0"/>
    <x v="0"/>
    <x v="0"/>
  </r>
  <r>
    <s v="Manual maintenance activity Wipe-down all Probes has been executed."/>
    <x v="5"/>
    <x v="0"/>
    <x v="16"/>
    <d v="1899-12-30T13:30:22"/>
    <s v="Maintenance"/>
    <x v="0"/>
    <x v="2"/>
    <x v="2"/>
    <x v="0"/>
  </r>
  <r>
    <s v="Analyzer Status changed from Not connected to Power up."/>
    <x v="0"/>
    <x v="0"/>
    <x v="16"/>
    <d v="1899-12-30T13:30:57"/>
    <s v="Analyzer"/>
    <x v="0"/>
    <x v="0"/>
    <x v="0"/>
    <x v="0"/>
  </r>
  <r>
    <s v="Analyzer Status changed from Power up to Initializing."/>
    <x v="0"/>
    <x v="0"/>
    <x v="16"/>
    <d v="1899-12-30T13:31:07"/>
    <s v="Analyzer"/>
    <x v="0"/>
    <x v="0"/>
    <x v="0"/>
    <x v="0"/>
  </r>
  <r>
    <s v="Analyzer Status changed from Initializing to Adjusting thermal."/>
    <x v="0"/>
    <x v="0"/>
    <x v="16"/>
    <d v="1899-12-30T13:32:57"/>
    <s v="Analyzer"/>
    <x v="0"/>
    <x v="0"/>
    <x v="0"/>
    <x v="0"/>
  </r>
  <r>
    <s v="Logout by user: LHO."/>
    <x v="16"/>
    <x v="0"/>
    <x v="16"/>
    <d v="1899-12-30T13:33:04"/>
    <s v="Other"/>
    <x v="0"/>
    <x v="2"/>
    <x v="5"/>
    <x v="0"/>
  </r>
  <r>
    <s v="Communications between the instrument and the LIS have been lost."/>
    <x v="13"/>
    <x v="2"/>
    <x v="16"/>
    <d v="1899-12-30T13:34:56"/>
    <s v="LIS"/>
    <x v="1"/>
    <x v="2"/>
    <x v="6"/>
    <x v="0"/>
  </r>
  <r>
    <s v="Analyzer Status changed from Adjusting thermal to Ready."/>
    <x v="0"/>
    <x v="0"/>
    <x v="16"/>
    <d v="1899-12-30T13:35:14"/>
    <s v="Analyzer"/>
    <x v="1"/>
    <x v="0"/>
    <x v="0"/>
    <x v="0"/>
  </r>
  <r>
    <s v="Analyzer Status changed from Ready to Maintenance."/>
    <x v="0"/>
    <x v="0"/>
    <x v="16"/>
    <d v="1899-12-30T13:35:14"/>
    <s v="Analyzer"/>
    <x v="1"/>
    <x v="0"/>
    <x v="0"/>
    <x v="0"/>
  </r>
  <r>
    <s v="Successful log in by user: LHO."/>
    <x v="18"/>
    <x v="0"/>
    <x v="16"/>
    <d v="1899-12-30T13:35:57"/>
    <s v="Other"/>
    <x v="0"/>
    <x v="2"/>
    <x v="5"/>
    <x v="0"/>
  </r>
  <r>
    <s v="Analyzer Status changed from Maintenance to Ready."/>
    <x v="0"/>
    <x v="0"/>
    <x v="16"/>
    <d v="1899-12-30T13:36:28"/>
    <s v="Analyzer"/>
    <x v="0"/>
    <x v="0"/>
    <x v="0"/>
    <x v="0"/>
  </r>
  <r>
    <s v="Test Definition Hepz QFA has been modified."/>
    <x v="14"/>
    <x v="0"/>
    <x v="16"/>
    <d v="1899-12-30T13:52:48"/>
    <s v="Setup"/>
    <x v="0"/>
    <x v="2"/>
    <x v="5"/>
    <x v="0"/>
  </r>
  <r>
    <s v="Test Definition Hepz QFA has been modified."/>
    <x v="14"/>
    <x v="0"/>
    <x v="16"/>
    <d v="1899-12-30T13:53:12"/>
    <s v="Setup"/>
    <x v="0"/>
    <x v="2"/>
    <x v="5"/>
    <x v="0"/>
  </r>
  <r>
    <s v="Test Definition Hepz LQF has been modified."/>
    <x v="14"/>
    <x v="0"/>
    <x v="16"/>
    <d v="1899-12-30T13:53:20"/>
    <s v="Setup"/>
    <x v="0"/>
    <x v="2"/>
    <x v="5"/>
    <x v="0"/>
  </r>
  <r>
    <s v="Test Definition Hepz Fib has been added."/>
    <x v="53"/>
    <x v="0"/>
    <x v="16"/>
    <d v="1899-12-30T13:54:07"/>
    <s v="Setup"/>
    <x v="0"/>
    <x v="2"/>
    <x v="5"/>
    <x v="0"/>
  </r>
  <r>
    <s v="Test Definition Hepz Fib has been modified."/>
    <x v="14"/>
    <x v="0"/>
    <x v="16"/>
    <d v="1899-12-30T13:54:17"/>
    <s v="Setup"/>
    <x v="0"/>
    <x v="2"/>
    <x v="5"/>
    <x v="0"/>
  </r>
  <r>
    <s v="Material Definition HemosIL Cal Plasma modified: assigned value for Test Hepz Fib (active Lot)."/>
    <x v="54"/>
    <x v="0"/>
    <x v="16"/>
    <d v="1899-12-30T13:54:17"/>
    <s v="Setup"/>
    <x v="0"/>
    <x v="2"/>
    <x v="3"/>
    <x v="0"/>
  </r>
  <r>
    <s v="Calibration Overdue for Hepz Fib."/>
    <x v="56"/>
    <x v="2"/>
    <x v="16"/>
    <d v="1899-12-30T13:54:17"/>
    <s v="JobFrequency"/>
    <x v="0"/>
    <x v="2"/>
    <x v="3"/>
    <x v="0"/>
  </r>
  <r>
    <s v="Test Definition Hepz LF has been added."/>
    <x v="53"/>
    <x v="0"/>
    <x v="16"/>
    <d v="1899-12-30T13:55:28"/>
    <s v="Setup"/>
    <x v="0"/>
    <x v="2"/>
    <x v="5"/>
    <x v="0"/>
  </r>
  <r>
    <s v="Test Definition Hepz HF has been added."/>
    <x v="53"/>
    <x v="0"/>
    <x v="16"/>
    <d v="1899-12-30T13:56:48"/>
    <s v="Setup"/>
    <x v="0"/>
    <x v="2"/>
    <x v="5"/>
    <x v="0"/>
  </r>
  <r>
    <s v="Reflex Rule Hepz LF has been added."/>
    <x v="22"/>
    <x v="0"/>
    <x v="16"/>
    <d v="1899-12-30T13:59:05"/>
    <s v="Setup"/>
    <x v="0"/>
    <x v="2"/>
    <x v="5"/>
    <x v="0"/>
  </r>
  <r>
    <s v="Reflex Rule Hepz HF has been added."/>
    <x v="22"/>
    <x v="0"/>
    <x v="16"/>
    <d v="1899-12-30T14:00:37"/>
    <s v="Setup"/>
    <x v="0"/>
    <x v="2"/>
    <x v="5"/>
    <x v="0"/>
  </r>
  <r>
    <s v="HemosIL Cal Plasma volume low."/>
    <x v="7"/>
    <x v="1"/>
    <x v="16"/>
    <d v="1899-12-30T14:16:56"/>
    <s v="Materials"/>
    <x v="0"/>
    <x v="3"/>
    <x v="4"/>
    <x v="0"/>
  </r>
  <r>
    <s v="Analyzer Status changed from Ready to Busy."/>
    <x v="0"/>
    <x v="0"/>
    <x v="16"/>
    <d v="1899-12-30T14:18:10"/>
    <s v="Analyzer"/>
    <x v="0"/>
    <x v="0"/>
    <x v="0"/>
    <x v="0"/>
  </r>
  <r>
    <s v="Calibration of Hepz LF completed: please review and validate."/>
    <x v="57"/>
    <x v="1"/>
    <x v="16"/>
    <d v="1899-12-30T14:29:09"/>
    <s v="JobFrequency"/>
    <x v="0"/>
    <x v="2"/>
    <x v="3"/>
    <x v="0"/>
  </r>
  <r>
    <s v="Calibration of Hepz HF completed: please review and validate."/>
    <x v="57"/>
    <x v="1"/>
    <x v="16"/>
    <d v="1899-12-30T14:29:09"/>
    <s v="JobFrequency"/>
    <x v="0"/>
    <x v="2"/>
    <x v="3"/>
    <x v="0"/>
  </r>
  <r>
    <s v="Calibration of Fib-C H completed: please review and validate."/>
    <x v="57"/>
    <x v="1"/>
    <x v="16"/>
    <d v="1899-12-30T14:29:10"/>
    <s v="JobFrequency"/>
    <x v="0"/>
    <x v="2"/>
    <x v="3"/>
    <x v="0"/>
  </r>
  <r>
    <s v="Calibration of Fib-C L completed: please review and validate."/>
    <x v="57"/>
    <x v="1"/>
    <x v="16"/>
    <d v="1899-12-30T14:29:11"/>
    <s v="JobFrequency"/>
    <x v="0"/>
    <x v="2"/>
    <x v="3"/>
    <x v="0"/>
  </r>
  <r>
    <s v="Calibration of Fib-C completed: please review and validate."/>
    <x v="57"/>
    <x v="1"/>
    <x v="16"/>
    <d v="1899-12-30T14:29:11"/>
    <s v="JobFrequency"/>
    <x v="0"/>
    <x v="2"/>
    <x v="3"/>
    <x v="0"/>
  </r>
  <r>
    <s v="Analyzer Status changed from Busy to Ready."/>
    <x v="0"/>
    <x v="0"/>
    <x v="16"/>
    <d v="1899-12-30T14:29:12"/>
    <s v="Analyzer"/>
    <x v="0"/>
    <x v="0"/>
    <x v="0"/>
    <x v="0"/>
  </r>
  <r>
    <s v="Analyzer Status changed from Ready to Maintenance."/>
    <x v="0"/>
    <x v="0"/>
    <x v="16"/>
    <d v="1899-12-30T14:29:12"/>
    <s v="Analyzer"/>
    <x v="0"/>
    <x v="0"/>
    <x v="0"/>
    <x v="0"/>
  </r>
  <r>
    <s v="Automatic maintenance activity Automatic Routine Clean for all Probes has been executed."/>
    <x v="2"/>
    <x v="0"/>
    <x v="16"/>
    <d v="1899-12-30T14:29:35"/>
    <s v="Maintenance"/>
    <x v="0"/>
    <x v="2"/>
    <x v="2"/>
    <x v="0"/>
  </r>
  <r>
    <s v="Analyzer Status changed from Maintenance to Ready."/>
    <x v="0"/>
    <x v="0"/>
    <x v="16"/>
    <d v="1899-12-30T14:29:36"/>
    <s v="Analyzer"/>
    <x v="0"/>
    <x v="0"/>
    <x v="0"/>
    <x v="0"/>
  </r>
  <r>
    <s v="Calibration of Fib-C recalculated."/>
    <x v="58"/>
    <x v="0"/>
    <x v="16"/>
    <d v="1899-12-30T14:32:04"/>
    <s v="JobFrequency"/>
    <x v="0"/>
    <x v="2"/>
    <x v="5"/>
    <x v="0"/>
  </r>
  <r>
    <s v="Calibration of Hepz LF recalculated."/>
    <x v="58"/>
    <x v="0"/>
    <x v="16"/>
    <d v="1899-12-30T14:32:04"/>
    <s v="JobFrequency"/>
    <x v="0"/>
    <x v="2"/>
    <x v="5"/>
    <x v="0"/>
  </r>
  <r>
    <s v="Calibration of Hepz HF recalculated."/>
    <x v="58"/>
    <x v="0"/>
    <x v="16"/>
    <d v="1899-12-30T14:32:04"/>
    <s v="JobFrequency"/>
    <x v="0"/>
    <x v="2"/>
    <x v="5"/>
    <x v="0"/>
  </r>
  <r>
    <s v="Calibration of Fib-C H recalculated."/>
    <x v="58"/>
    <x v="0"/>
    <x v="16"/>
    <d v="1899-12-30T14:32:05"/>
    <s v="JobFrequency"/>
    <x v="0"/>
    <x v="2"/>
    <x v="5"/>
    <x v="0"/>
  </r>
  <r>
    <s v="Calibration of Fib-C L recalculated."/>
    <x v="58"/>
    <x v="0"/>
    <x v="16"/>
    <d v="1899-12-30T14:32:06"/>
    <s v="JobFrequency"/>
    <x v="0"/>
    <x v="2"/>
    <x v="5"/>
    <x v="0"/>
  </r>
  <r>
    <s v="Calibration of Fib-C validated."/>
    <x v="59"/>
    <x v="0"/>
    <x v="16"/>
    <d v="1899-12-30T14:32:09"/>
    <s v="JobFrequency"/>
    <x v="0"/>
    <x v="2"/>
    <x v="5"/>
    <x v="0"/>
  </r>
  <r>
    <s v="Analyzer Status changed from Ready to Busy."/>
    <x v="0"/>
    <x v="0"/>
    <x v="16"/>
    <d v="1899-12-30T14:32:58"/>
    <s v="Analyzer"/>
    <x v="0"/>
    <x v="0"/>
    <x v="0"/>
    <x v="0"/>
  </r>
  <r>
    <s v="Hepz Fib Calibration job not feasible. Waiting for HemosIL Cal Plasma."/>
    <x v="26"/>
    <x v="1"/>
    <x v="16"/>
    <d v="1899-12-30T14:32:59"/>
    <s v="Materials"/>
    <x v="0"/>
    <x v="2"/>
    <x v="3"/>
    <x v="0"/>
  </r>
  <r>
    <s v="Analyzer Status changed from Busy to Ready."/>
    <x v="0"/>
    <x v="0"/>
    <x v="16"/>
    <d v="1899-12-30T14:32:59"/>
    <s v="Analyzer"/>
    <x v="0"/>
    <x v="0"/>
    <x v="0"/>
    <x v="0"/>
  </r>
  <r>
    <s v="HemosIL Cal Plasma volume low."/>
    <x v="7"/>
    <x v="1"/>
    <x v="16"/>
    <d v="1899-12-30T14:33:35"/>
    <s v="Materials"/>
    <x v="0"/>
    <x v="3"/>
    <x v="4"/>
    <x v="0"/>
  </r>
  <r>
    <s v="Analyzer Status changed from Ready to Busy."/>
    <x v="0"/>
    <x v="0"/>
    <x v="16"/>
    <d v="1899-12-30T14:33:55"/>
    <s v="Analyzer"/>
    <x v="0"/>
    <x v="0"/>
    <x v="0"/>
    <x v="0"/>
  </r>
  <r>
    <s v="Fib-C volume low."/>
    <x v="7"/>
    <x v="1"/>
    <x v="16"/>
    <d v="1899-12-30T14:40:33"/>
    <s v="Materials"/>
    <x v="0"/>
    <x v="3"/>
    <x v="4"/>
    <x v="0"/>
  </r>
  <r>
    <s v="Communications between the instrument and the LIS have been lost."/>
    <x v="13"/>
    <x v="2"/>
    <x v="16"/>
    <d v="1899-12-30T14:43:56"/>
    <s v="LIS"/>
    <x v="0"/>
    <x v="2"/>
    <x v="6"/>
    <x v="0"/>
  </r>
  <r>
    <s v="Calibration of Hepz Fib completed and autovalidated."/>
    <x v="60"/>
    <x v="0"/>
    <x v="16"/>
    <d v="1899-12-30T14:44:40"/>
    <s v="JobFrequency"/>
    <x v="0"/>
    <x v="2"/>
    <x v="5"/>
    <x v="0"/>
  </r>
  <r>
    <s v="Analyzer Status changed from Busy to Ready."/>
    <x v="0"/>
    <x v="0"/>
    <x v="16"/>
    <d v="1899-12-30T14:44:41"/>
    <s v="Analyzer"/>
    <x v="0"/>
    <x v="0"/>
    <x v="0"/>
    <x v="0"/>
  </r>
  <r>
    <s v="Analyzer Status changed from Ready to Maintenance."/>
    <x v="0"/>
    <x v="0"/>
    <x v="16"/>
    <d v="1899-12-30T14:44:41"/>
    <s v="Analyzer"/>
    <x v="0"/>
    <x v="0"/>
    <x v="0"/>
    <x v="0"/>
  </r>
  <r>
    <s v="Automatic maintenance activity Automatic Routine Clean for all Probes has been executed."/>
    <x v="2"/>
    <x v="0"/>
    <x v="16"/>
    <d v="1899-12-30T14:45:08"/>
    <s v="Maintenance"/>
    <x v="0"/>
    <x v="2"/>
    <x v="2"/>
    <x v="0"/>
  </r>
  <r>
    <s v="Analyzer Status changed from Maintenance to Ready."/>
    <x v="0"/>
    <x v="0"/>
    <x v="16"/>
    <d v="1899-12-30T14:45:09"/>
    <s v="Analyzer"/>
    <x v="0"/>
    <x v="0"/>
    <x v="0"/>
    <x v="0"/>
  </r>
  <r>
    <s v="Non-identified Sample in rack 02 position 1, track 12."/>
    <x v="12"/>
    <x v="2"/>
    <x v="16"/>
    <d v="1899-12-30T14:45:10"/>
    <s v="Materials"/>
    <x v="0"/>
    <x v="4"/>
    <x v="7"/>
    <x v="1"/>
  </r>
  <r>
    <s v="Analyzer Status changed from Ready to Busy."/>
    <x v="0"/>
    <x v="0"/>
    <x v="16"/>
    <d v="1899-12-30T14:45:17"/>
    <s v="Analyzer"/>
    <x v="0"/>
    <x v="0"/>
    <x v="0"/>
    <x v="0"/>
  </r>
  <r>
    <s v="Hepz QFA Patient job not feasible. Waiting for Q.F.A. Thrombin."/>
    <x v="26"/>
    <x v="1"/>
    <x v="16"/>
    <d v="1899-12-30T14:45:49"/>
    <s v="Materials"/>
    <x v="0"/>
    <x v="2"/>
    <x v="3"/>
    <x v="0"/>
  </r>
  <r>
    <s v="Analyzer Status changed from Busy to Ready."/>
    <x v="0"/>
    <x v="0"/>
    <x v="16"/>
    <d v="1899-12-30T14:45:49"/>
    <s v="Analyzer"/>
    <x v="0"/>
    <x v="0"/>
    <x v="0"/>
    <x v="0"/>
  </r>
  <r>
    <s v="Analyzer Status changed from Ready to Busy."/>
    <x v="0"/>
    <x v="0"/>
    <x v="16"/>
    <d v="1899-12-30T14:49:32"/>
    <s v="Analyzer"/>
    <x v="0"/>
    <x v="0"/>
    <x v="0"/>
    <x v="0"/>
  </r>
  <r>
    <s v="Fib-C insufficient material to run additional calibration / test."/>
    <x v="32"/>
    <x v="2"/>
    <x v="16"/>
    <d v="1899-12-30T14:50:41"/>
    <s v="Materials"/>
    <x v="0"/>
    <x v="3"/>
    <x v="4"/>
    <x v="0"/>
  </r>
  <r>
    <s v="Analyzer Status changed from Busy to Ready."/>
    <x v="0"/>
    <x v="0"/>
    <x v="16"/>
    <d v="1899-12-30T14:52:44"/>
    <s v="Analyzer"/>
    <x v="0"/>
    <x v="0"/>
    <x v="0"/>
    <x v="0"/>
  </r>
  <r>
    <s v="Analyzer Status changed from Ready to Maintenance."/>
    <x v="0"/>
    <x v="0"/>
    <x v="16"/>
    <d v="1899-12-30T14:52:44"/>
    <s v="Analyzer"/>
    <x v="0"/>
    <x v="0"/>
    <x v="0"/>
    <x v="0"/>
  </r>
  <r>
    <s v="Analyzer Status changed from Maintenance to Ready."/>
    <x v="0"/>
    <x v="0"/>
    <x v="16"/>
    <d v="1899-12-30T14:53:10"/>
    <s v="Analyzer"/>
    <x v="0"/>
    <x v="0"/>
    <x v="0"/>
    <x v="0"/>
  </r>
  <r>
    <s v="Automatic maintenance activity Automatic Routine Clean for all Probes has been executed."/>
    <x v="2"/>
    <x v="0"/>
    <x v="16"/>
    <d v="1899-12-30T14:53:10"/>
    <s v="Maintenance"/>
    <x v="0"/>
    <x v="2"/>
    <x v="2"/>
    <x v="0"/>
  </r>
  <r>
    <s v="Communications between the instrument and the LIS have been lost."/>
    <x v="13"/>
    <x v="2"/>
    <x v="16"/>
    <d v="1899-12-30T15:21:56"/>
    <s v="LIS"/>
    <x v="0"/>
    <x v="2"/>
    <x v="6"/>
    <x v="0"/>
  </r>
  <r>
    <s v="Analyzer Status changed from Ready to Maintenance."/>
    <x v="0"/>
    <x v="0"/>
    <x v="16"/>
    <d v="1899-12-30T15:53:10"/>
    <s v="Analyzer"/>
    <x v="0"/>
    <x v="0"/>
    <x v="0"/>
    <x v="0"/>
  </r>
  <r>
    <s v="Analyzer Status changed from Maintenance to Ready."/>
    <x v="0"/>
    <x v="0"/>
    <x v="16"/>
    <d v="1899-12-30T15:53:31"/>
    <s v="Analyzer"/>
    <x v="0"/>
    <x v="0"/>
    <x v="0"/>
    <x v="0"/>
  </r>
  <r>
    <s v="Automatic maintenance activity Automatic Fluidic Line Priming Cycle has been executed."/>
    <x v="2"/>
    <x v="0"/>
    <x v="16"/>
    <d v="1899-12-30T15:53:31"/>
    <s v="Maintenance"/>
    <x v="0"/>
    <x v="2"/>
    <x v="2"/>
    <x v="0"/>
  </r>
  <r>
    <s v="Analyzer Status changed from Ready to Maintenance."/>
    <x v="0"/>
    <x v="0"/>
    <x v="16"/>
    <d v="1899-12-30T16:53:32"/>
    <s v="Analyzer"/>
    <x v="0"/>
    <x v="0"/>
    <x v="0"/>
    <x v="0"/>
  </r>
  <r>
    <s v="Analyzer Status changed from Maintenance to Ready."/>
    <x v="0"/>
    <x v="0"/>
    <x v="16"/>
    <d v="1899-12-30T16:53:53"/>
    <s v="Analyzer"/>
    <x v="0"/>
    <x v="0"/>
    <x v="0"/>
    <x v="0"/>
  </r>
  <r>
    <s v="Automatic maintenance activity Automatic Fluidic Line Priming Cycle has been executed."/>
    <x v="2"/>
    <x v="0"/>
    <x v="16"/>
    <d v="1899-12-30T16:53:53"/>
    <s v="Maintenance"/>
    <x v="0"/>
    <x v="2"/>
    <x v="2"/>
    <x v="0"/>
  </r>
  <r>
    <s v="Analyzer Status changed from Ready to Maintenance."/>
    <x v="0"/>
    <x v="0"/>
    <x v="16"/>
    <d v="1899-12-30T17:53:53"/>
    <s v="Analyzer"/>
    <x v="0"/>
    <x v="0"/>
    <x v="0"/>
    <x v="0"/>
  </r>
  <r>
    <s v="Analyzer Status changed from Maintenance to Ready."/>
    <x v="0"/>
    <x v="0"/>
    <x v="16"/>
    <d v="1899-12-30T17:54:15"/>
    <s v="Analyzer"/>
    <x v="0"/>
    <x v="0"/>
    <x v="0"/>
    <x v="0"/>
  </r>
  <r>
    <s v="Automatic maintenance activity Automatic Fluidic Line Priming Cycle has been executed."/>
    <x v="2"/>
    <x v="0"/>
    <x v="16"/>
    <d v="1899-12-30T17:54:15"/>
    <s v="Maintenance"/>
    <x v="0"/>
    <x v="2"/>
    <x v="2"/>
    <x v="0"/>
  </r>
  <r>
    <s v="Analyzer Status changed from Ready to Maintenance."/>
    <x v="0"/>
    <x v="0"/>
    <x v="16"/>
    <d v="1899-12-30T18:54:15"/>
    <s v="Analyzer"/>
    <x v="0"/>
    <x v="0"/>
    <x v="0"/>
    <x v="0"/>
  </r>
  <r>
    <s v="Analyzer Status changed from Maintenance to Ready."/>
    <x v="0"/>
    <x v="0"/>
    <x v="16"/>
    <d v="1899-12-30T18:54:37"/>
    <s v="Analyzer"/>
    <x v="0"/>
    <x v="0"/>
    <x v="0"/>
    <x v="0"/>
  </r>
  <r>
    <s v="Automatic maintenance activity Automatic Fluidic Line Priming Cycle has been executed."/>
    <x v="2"/>
    <x v="0"/>
    <x v="16"/>
    <d v="1899-12-30T18:54:37"/>
    <s v="Maintenance"/>
    <x v="0"/>
    <x v="2"/>
    <x v="2"/>
    <x v="0"/>
  </r>
  <r>
    <s v="Analyzer Status changed from Ready to Maintenance."/>
    <x v="0"/>
    <x v="0"/>
    <x v="16"/>
    <d v="1899-12-30T19:54:37"/>
    <s v="Analyzer"/>
    <x v="0"/>
    <x v="0"/>
    <x v="0"/>
    <x v="0"/>
  </r>
  <r>
    <s v="Automatic maintenance activity Automatic Fluidic Line Priming Cycle has been executed."/>
    <x v="2"/>
    <x v="0"/>
    <x v="16"/>
    <d v="1899-12-30T19:54:58"/>
    <s v="Maintenance"/>
    <x v="0"/>
    <x v="2"/>
    <x v="2"/>
    <x v="0"/>
  </r>
  <r>
    <s v="Analyzer Status changed from Maintenance to Ready."/>
    <x v="0"/>
    <x v="0"/>
    <x v="16"/>
    <d v="1899-12-30T19:54:59"/>
    <s v="Analyzer"/>
    <x v="0"/>
    <x v="0"/>
    <x v="0"/>
    <x v="0"/>
  </r>
  <r>
    <s v="Analyzer Status changed from Ready to Maintenance."/>
    <x v="0"/>
    <x v="0"/>
    <x v="16"/>
    <d v="1899-12-30T20:56:00"/>
    <s v="Analyzer"/>
    <x v="0"/>
    <x v="0"/>
    <x v="0"/>
    <x v="0"/>
  </r>
  <r>
    <s v="Automatic maintenance activity Automatic Fluidic Line Priming Cycle has been executed."/>
    <x v="2"/>
    <x v="0"/>
    <x v="16"/>
    <d v="1899-12-30T20:56:21"/>
    <s v="Maintenance"/>
    <x v="0"/>
    <x v="2"/>
    <x v="2"/>
    <x v="0"/>
  </r>
  <r>
    <s v="Analyzer Status changed from Maintenance to Ready."/>
    <x v="0"/>
    <x v="0"/>
    <x v="16"/>
    <d v="1899-12-30T20:56:22"/>
    <s v="Analyzer"/>
    <x v="0"/>
    <x v="0"/>
    <x v="0"/>
    <x v="0"/>
  </r>
  <r>
    <s v="Analyzer Status changed from Ready to Maintenance."/>
    <x v="0"/>
    <x v="0"/>
    <x v="16"/>
    <d v="1899-12-30T21:56:22"/>
    <s v="Analyzer"/>
    <x v="0"/>
    <x v="0"/>
    <x v="0"/>
    <x v="0"/>
  </r>
  <r>
    <s v="Automatic maintenance activity Automatic Fluidic Line Priming Cycle has been executed."/>
    <x v="2"/>
    <x v="0"/>
    <x v="16"/>
    <d v="1899-12-30T21:56:43"/>
    <s v="Maintenance"/>
    <x v="0"/>
    <x v="2"/>
    <x v="2"/>
    <x v="0"/>
  </r>
  <r>
    <s v="Analyzer Status changed from Maintenance to Ready."/>
    <x v="0"/>
    <x v="0"/>
    <x v="16"/>
    <d v="1899-12-30T21:56:44"/>
    <s v="Analyzer"/>
    <x v="0"/>
    <x v="0"/>
    <x v="0"/>
    <x v="0"/>
  </r>
  <r>
    <s v="Analyzer Status changed from Ready to Maintenance."/>
    <x v="0"/>
    <x v="0"/>
    <x v="16"/>
    <d v="1899-12-30T22:56:44"/>
    <s v="Analyzer"/>
    <x v="0"/>
    <x v="0"/>
    <x v="0"/>
    <x v="0"/>
  </r>
  <r>
    <s v="Automatic maintenance activity Automatic Fluidic Line Priming Cycle has been executed."/>
    <x v="2"/>
    <x v="0"/>
    <x v="16"/>
    <d v="1899-12-30T22:57:05"/>
    <s v="Maintenance"/>
    <x v="0"/>
    <x v="2"/>
    <x v="2"/>
    <x v="0"/>
  </r>
  <r>
    <s v="Analyzer Status changed from Maintenance to Ready."/>
    <x v="0"/>
    <x v="0"/>
    <x v="16"/>
    <d v="1899-12-30T22:57:06"/>
    <s v="Analyzer"/>
    <x v="0"/>
    <x v="0"/>
    <x v="0"/>
    <x v="0"/>
  </r>
  <r>
    <s v="Analyzer Status changed from Ready to Maintenance."/>
    <x v="0"/>
    <x v="0"/>
    <x v="16"/>
    <d v="1899-12-30T23:57:06"/>
    <s v="Analyzer"/>
    <x v="0"/>
    <x v="0"/>
    <x v="0"/>
    <x v="0"/>
  </r>
  <r>
    <s v="Automatic maintenance activity Automatic Fluidic Line Priming Cycle has been executed."/>
    <x v="2"/>
    <x v="0"/>
    <x v="16"/>
    <d v="1899-12-30T23:57:27"/>
    <s v="Maintenance"/>
    <x v="0"/>
    <x v="2"/>
    <x v="2"/>
    <x v="0"/>
  </r>
  <r>
    <s v="Analyzer Status changed from Maintenance to Ready."/>
    <x v="0"/>
    <x v="0"/>
    <x v="16"/>
    <d v="1899-12-30T23:57:28"/>
    <s v="Analyzer"/>
    <x v="0"/>
    <x v="0"/>
    <x v="0"/>
    <x v="0"/>
  </r>
  <r>
    <s v="Analyzer Status changed from Ready to Maintenance."/>
    <x v="0"/>
    <x v="0"/>
    <x v="17"/>
    <d v="1899-12-30T00:57:28"/>
    <s v="Analyzer"/>
    <x v="0"/>
    <x v="0"/>
    <x v="0"/>
    <x v="0"/>
  </r>
  <r>
    <s v="Automatic maintenance activity Automatic Fluidic Line Priming Cycle has been executed."/>
    <x v="2"/>
    <x v="0"/>
    <x v="17"/>
    <d v="1899-12-30T00:57:49"/>
    <s v="Maintenance"/>
    <x v="0"/>
    <x v="2"/>
    <x v="2"/>
    <x v="0"/>
  </r>
  <r>
    <s v="Analyzer Status changed from Maintenance to Ready."/>
    <x v="0"/>
    <x v="0"/>
    <x v="17"/>
    <d v="1899-12-30T00:57:50"/>
    <s v="Analyzer"/>
    <x v="0"/>
    <x v="0"/>
    <x v="0"/>
    <x v="0"/>
  </r>
  <r>
    <s v="Analyzer Status changed from Ready to Maintenance."/>
    <x v="0"/>
    <x v="0"/>
    <x v="17"/>
    <d v="1899-12-30T01:57:50"/>
    <s v="Analyzer"/>
    <x v="0"/>
    <x v="0"/>
    <x v="0"/>
    <x v="0"/>
  </r>
  <r>
    <s v="Automatic maintenance activity Automatic Fluidic Line Priming Cycle has been executed."/>
    <x v="2"/>
    <x v="0"/>
    <x v="17"/>
    <d v="1899-12-30T01:58:11"/>
    <s v="Maintenance"/>
    <x v="0"/>
    <x v="2"/>
    <x v="2"/>
    <x v="0"/>
  </r>
  <r>
    <s v="Analyzer Status changed from Maintenance to Ready."/>
    <x v="0"/>
    <x v="0"/>
    <x v="17"/>
    <d v="1899-12-30T01:58:12"/>
    <s v="Analyzer"/>
    <x v="0"/>
    <x v="0"/>
    <x v="0"/>
    <x v="0"/>
  </r>
  <r>
    <s v="Analyzer Status changed from Ready to Maintenance."/>
    <x v="0"/>
    <x v="0"/>
    <x v="17"/>
    <d v="1899-12-30T02:58:12"/>
    <s v="Analyzer"/>
    <x v="0"/>
    <x v="0"/>
    <x v="0"/>
    <x v="0"/>
  </r>
  <r>
    <s v="Automatic maintenance activity Automatic Fluidic Line Priming Cycle has been executed."/>
    <x v="2"/>
    <x v="0"/>
    <x v="17"/>
    <d v="1899-12-30T02:58:33"/>
    <s v="Maintenance"/>
    <x v="0"/>
    <x v="2"/>
    <x v="2"/>
    <x v="0"/>
  </r>
  <r>
    <s v="Analyzer Status changed from Maintenance to Ready."/>
    <x v="0"/>
    <x v="0"/>
    <x v="17"/>
    <d v="1899-12-30T02:58:34"/>
    <s v="Analyzer"/>
    <x v="0"/>
    <x v="0"/>
    <x v="0"/>
    <x v="0"/>
  </r>
  <r>
    <s v="Analyzer Status changed from Ready to Maintenance."/>
    <x v="0"/>
    <x v="0"/>
    <x v="17"/>
    <d v="1899-12-30T03:58:34"/>
    <s v="Analyzer"/>
    <x v="0"/>
    <x v="0"/>
    <x v="0"/>
    <x v="0"/>
  </r>
  <r>
    <s v="Automatic maintenance activity Automatic Fluidic Line Priming Cycle has been executed."/>
    <x v="2"/>
    <x v="0"/>
    <x v="17"/>
    <d v="1899-12-30T03:58:55"/>
    <s v="Maintenance"/>
    <x v="0"/>
    <x v="2"/>
    <x v="2"/>
    <x v="0"/>
  </r>
  <r>
    <s v="Analyzer Status changed from Maintenance to Ready."/>
    <x v="0"/>
    <x v="0"/>
    <x v="17"/>
    <d v="1899-12-30T03:58:56"/>
    <s v="Analyzer"/>
    <x v="0"/>
    <x v="0"/>
    <x v="0"/>
    <x v="0"/>
  </r>
  <r>
    <s v="Analyzer Status changed from Ready to Maintenance."/>
    <x v="0"/>
    <x v="0"/>
    <x v="17"/>
    <d v="1899-12-30T04:58:56"/>
    <s v="Analyzer"/>
    <x v="0"/>
    <x v="0"/>
    <x v="0"/>
    <x v="0"/>
  </r>
  <r>
    <s v="Automatic maintenance activity Automatic Fluidic Line Priming Cycle has been executed."/>
    <x v="2"/>
    <x v="0"/>
    <x v="17"/>
    <d v="1899-12-30T04:59:17"/>
    <s v="Maintenance"/>
    <x v="0"/>
    <x v="2"/>
    <x v="2"/>
    <x v="0"/>
  </r>
  <r>
    <s v="Analyzer Status changed from Maintenance to Ready."/>
    <x v="0"/>
    <x v="0"/>
    <x v="17"/>
    <d v="1899-12-30T04:59:18"/>
    <s v="Analyzer"/>
    <x v="0"/>
    <x v="0"/>
    <x v="0"/>
    <x v="0"/>
  </r>
  <r>
    <s v="Analyzer Status changed from Ready to Maintenance."/>
    <x v="0"/>
    <x v="0"/>
    <x v="17"/>
    <d v="1899-12-30T05:59:18"/>
    <s v="Analyzer"/>
    <x v="0"/>
    <x v="0"/>
    <x v="0"/>
    <x v="0"/>
  </r>
  <r>
    <s v="Automatic maintenance activity Automatic Fluidic Line Priming Cycle has been executed."/>
    <x v="2"/>
    <x v="0"/>
    <x v="17"/>
    <d v="1899-12-30T05:59:39"/>
    <s v="Maintenance"/>
    <x v="0"/>
    <x v="2"/>
    <x v="2"/>
    <x v="0"/>
  </r>
  <r>
    <s v="Analyzer Status changed from Maintenance to Ready."/>
    <x v="0"/>
    <x v="0"/>
    <x v="17"/>
    <d v="1899-12-30T05:59:40"/>
    <s v="Analyzer"/>
    <x v="0"/>
    <x v="0"/>
    <x v="0"/>
    <x v="0"/>
  </r>
  <r>
    <s v="Maintenance activity due: Enhanced Clean for all Probes."/>
    <x v="9"/>
    <x v="1"/>
    <x v="17"/>
    <d v="1899-12-30T06:31:52"/>
    <s v="Maintenance"/>
    <x v="0"/>
    <x v="2"/>
    <x v="2"/>
    <x v="0"/>
  </r>
  <r>
    <s v="Maintenance activity due: Enhanced Clean for Sample and Reagent Probes."/>
    <x v="9"/>
    <x v="1"/>
    <x v="17"/>
    <d v="1899-12-30T06:31:52"/>
    <s v="Maintenance"/>
    <x v="0"/>
    <x v="2"/>
    <x v="2"/>
    <x v="0"/>
  </r>
  <r>
    <s v="Maintenance activity due: make new diluted clean B."/>
    <x v="9"/>
    <x v="1"/>
    <x v="17"/>
    <d v="1899-12-30T06:31:58"/>
    <s v="Maintenance"/>
    <x v="0"/>
    <x v="2"/>
    <x v="2"/>
    <x v="0"/>
  </r>
  <r>
    <s v="Maintenance activity due: replace factor diluent."/>
    <x v="9"/>
    <x v="1"/>
    <x v="17"/>
    <d v="1899-12-30T06:32:03"/>
    <s v="Maintenance"/>
    <x v="0"/>
    <x v="2"/>
    <x v="2"/>
    <x v="0"/>
  </r>
  <r>
    <s v="Analyzer Status changed from Ready to Maintenance."/>
    <x v="0"/>
    <x v="0"/>
    <x v="17"/>
    <d v="1899-12-30T06:59:40"/>
    <s v="Analyzer"/>
    <x v="0"/>
    <x v="0"/>
    <x v="0"/>
    <x v="0"/>
  </r>
  <r>
    <s v="Automatic maintenance activity Automatic Fluidic Line Priming Cycle has been executed."/>
    <x v="2"/>
    <x v="0"/>
    <x v="17"/>
    <d v="1899-12-30T07:00:01"/>
    <s v="Maintenance"/>
    <x v="0"/>
    <x v="2"/>
    <x v="2"/>
    <x v="0"/>
  </r>
  <r>
    <s v="Analyzer Status changed from Maintenance to Ready."/>
    <x v="0"/>
    <x v="0"/>
    <x v="17"/>
    <d v="1899-12-30T07:00:02"/>
    <s v="Analyzer"/>
    <x v="0"/>
    <x v="0"/>
    <x v="0"/>
    <x v="0"/>
  </r>
  <r>
    <s v="Maintenance activity overdue: Enhanced Clean for all Probes."/>
    <x v="20"/>
    <x v="1"/>
    <x v="17"/>
    <d v="1899-12-30T07:30:52"/>
    <s v="Maintenance"/>
    <x v="0"/>
    <x v="2"/>
    <x v="2"/>
    <x v="0"/>
  </r>
  <r>
    <s v="Maintenance activity overdue: Enhanced Clean for Sample and Reagent Probes."/>
    <x v="20"/>
    <x v="1"/>
    <x v="17"/>
    <d v="1899-12-30T07:30:52"/>
    <s v="Maintenance"/>
    <x v="0"/>
    <x v="2"/>
    <x v="2"/>
    <x v="0"/>
  </r>
  <r>
    <s v="Maintenance activity overdue: make new diluted clean B."/>
    <x v="20"/>
    <x v="1"/>
    <x v="17"/>
    <d v="1899-12-30T07:30:58"/>
    <s v="Maintenance"/>
    <x v="0"/>
    <x v="2"/>
    <x v="2"/>
    <x v="0"/>
  </r>
  <r>
    <s v="Maintenance activity overdue: replace factor diluent."/>
    <x v="20"/>
    <x v="1"/>
    <x v="17"/>
    <d v="1899-12-30T07:31:03"/>
    <s v="Maintenance"/>
    <x v="0"/>
    <x v="2"/>
    <x v="2"/>
    <x v="0"/>
  </r>
  <r>
    <s v="Analyzer Status changed from Ready to Maintenance."/>
    <x v="0"/>
    <x v="0"/>
    <x v="17"/>
    <d v="1899-12-30T08:00:02"/>
    <s v="Analyzer"/>
    <x v="0"/>
    <x v="0"/>
    <x v="0"/>
    <x v="0"/>
  </r>
  <r>
    <s v="Automatic maintenance activity Automatic Fluidic Line Priming Cycle has been executed."/>
    <x v="2"/>
    <x v="0"/>
    <x v="17"/>
    <d v="1899-12-30T08:00:23"/>
    <s v="Maintenance"/>
    <x v="0"/>
    <x v="2"/>
    <x v="2"/>
    <x v="0"/>
  </r>
  <r>
    <s v="Analyzer Status changed from Maintenance to Ready."/>
    <x v="0"/>
    <x v="0"/>
    <x v="17"/>
    <d v="1899-12-30T08:00:24"/>
    <s v="Analyzer"/>
    <x v="0"/>
    <x v="0"/>
    <x v="0"/>
    <x v="0"/>
  </r>
  <r>
    <s v="Analyzer Status changed from Ready to Maintenance."/>
    <x v="0"/>
    <x v="0"/>
    <x v="17"/>
    <d v="1899-12-30T09:00:24"/>
    <s v="Analyzer"/>
    <x v="0"/>
    <x v="0"/>
    <x v="0"/>
    <x v="0"/>
  </r>
  <r>
    <s v="Automatic maintenance activity Automatic Fluidic Line Priming Cycle has been executed."/>
    <x v="2"/>
    <x v="0"/>
    <x v="17"/>
    <d v="1899-12-30T09:00:45"/>
    <s v="Maintenance"/>
    <x v="0"/>
    <x v="2"/>
    <x v="2"/>
    <x v="0"/>
  </r>
  <r>
    <s v="Analyzer Status changed from Maintenance to Ready."/>
    <x v="0"/>
    <x v="0"/>
    <x v="17"/>
    <d v="1899-12-30T09:00:46"/>
    <s v="Analyzer"/>
    <x v="0"/>
    <x v="0"/>
    <x v="0"/>
    <x v="0"/>
  </r>
  <r>
    <s v="Analyzer Status changed from Ready to Maintenance."/>
    <x v="0"/>
    <x v="0"/>
    <x v="17"/>
    <d v="1899-12-30T10:00:46"/>
    <s v="Analyzer"/>
    <x v="0"/>
    <x v="0"/>
    <x v="0"/>
    <x v="0"/>
  </r>
  <r>
    <s v="Automatic maintenance activity Automatic Fluidic Line Priming Cycle has been executed."/>
    <x v="2"/>
    <x v="0"/>
    <x v="17"/>
    <d v="1899-12-30T10:01:07"/>
    <s v="Maintenance"/>
    <x v="0"/>
    <x v="2"/>
    <x v="2"/>
    <x v="0"/>
  </r>
  <r>
    <s v="Analyzer Status changed from Maintenance to Ready."/>
    <x v="0"/>
    <x v="0"/>
    <x v="17"/>
    <d v="1899-12-30T10:01:08"/>
    <s v="Analyzer"/>
    <x v="0"/>
    <x v="0"/>
    <x v="0"/>
    <x v="0"/>
  </r>
  <r>
    <s v="Analyzer Status changed from Ready to Maintenance."/>
    <x v="0"/>
    <x v="0"/>
    <x v="17"/>
    <d v="1899-12-30T11:01:08"/>
    <s v="Analyzer"/>
    <x v="0"/>
    <x v="0"/>
    <x v="0"/>
    <x v="0"/>
  </r>
  <r>
    <s v="Analyzer Status changed from Maintenance to Ready."/>
    <x v="0"/>
    <x v="0"/>
    <x v="17"/>
    <d v="1899-12-30T11:01:29"/>
    <s v="Analyzer"/>
    <x v="0"/>
    <x v="0"/>
    <x v="0"/>
    <x v="0"/>
  </r>
  <r>
    <s v="Automatic maintenance activity Automatic Fluidic Line Priming Cycle has been executed."/>
    <x v="2"/>
    <x v="0"/>
    <x v="17"/>
    <d v="1899-12-30T11:01:29"/>
    <s v="Maintenance"/>
    <x v="0"/>
    <x v="2"/>
    <x v="2"/>
    <x v="0"/>
  </r>
  <r>
    <s v="Rinse solution level low."/>
    <x v="1"/>
    <x v="1"/>
    <x v="17"/>
    <d v="1899-12-30T11:06:20"/>
    <s v="Materials"/>
    <x v="0"/>
    <x v="1"/>
    <x v="1"/>
    <x v="0"/>
  </r>
  <r>
    <s v="Analyzer Status changed from Ready to Maintenance."/>
    <x v="0"/>
    <x v="0"/>
    <x v="17"/>
    <d v="1899-12-30T12:01:30"/>
    <s v="Analyzer"/>
    <x v="0"/>
    <x v="0"/>
    <x v="0"/>
    <x v="0"/>
  </r>
  <r>
    <s v="Analyzer Status changed from Maintenance to Ready."/>
    <x v="0"/>
    <x v="0"/>
    <x v="17"/>
    <d v="1899-12-30T12:01:51"/>
    <s v="Analyzer"/>
    <x v="0"/>
    <x v="0"/>
    <x v="0"/>
    <x v="0"/>
  </r>
  <r>
    <s v="Automatic maintenance activity Automatic Fluidic Line Priming Cycle has been executed."/>
    <x v="2"/>
    <x v="0"/>
    <x v="17"/>
    <d v="1899-12-30T12:01:51"/>
    <s v="Maintenance"/>
    <x v="0"/>
    <x v="2"/>
    <x v="2"/>
    <x v="0"/>
  </r>
  <r>
    <s v="Analyzer Status changed from Ready to Maintenance."/>
    <x v="0"/>
    <x v="0"/>
    <x v="17"/>
    <d v="1899-12-30T13:01:51"/>
    <s v="Analyzer"/>
    <x v="0"/>
    <x v="0"/>
    <x v="0"/>
    <x v="0"/>
  </r>
  <r>
    <s v="Analyzer Status changed from Maintenance to Ready."/>
    <x v="0"/>
    <x v="0"/>
    <x v="17"/>
    <d v="1899-12-30T13:02:13"/>
    <s v="Analyzer"/>
    <x v="0"/>
    <x v="0"/>
    <x v="0"/>
    <x v="0"/>
  </r>
  <r>
    <s v="Automatic maintenance activity Automatic Fluidic Line Priming Cycle has been executed."/>
    <x v="2"/>
    <x v="0"/>
    <x v="17"/>
    <d v="1899-12-30T13:02:13"/>
    <s v="Maintenance"/>
    <x v="0"/>
    <x v="2"/>
    <x v="2"/>
    <x v="0"/>
  </r>
  <r>
    <s v="System Definitions: generic change."/>
    <x v="61"/>
    <x v="0"/>
    <x v="17"/>
    <d v="1899-12-30T13:42:46"/>
    <s v="Setup"/>
    <x v="0"/>
    <x v="2"/>
    <x v="5"/>
    <x v="0"/>
  </r>
  <r>
    <s v="System Definitions: generic change."/>
    <x v="61"/>
    <x v="0"/>
    <x v="17"/>
    <d v="1899-12-30T13:43:08"/>
    <s v="Setup"/>
    <x v="0"/>
    <x v="2"/>
    <x v="5"/>
    <x v="0"/>
  </r>
  <r>
    <s v="QC Definition APTT-SS - Normal C. Assayed modified: Patient Flags."/>
    <x v="35"/>
    <x v="0"/>
    <x v="17"/>
    <d v="1899-12-30T14:00:48"/>
    <s v="Setup"/>
    <x v="0"/>
    <x v="2"/>
    <x v="12"/>
    <x v="0"/>
  </r>
  <r>
    <s v="QC Definition APTT-SS - High Abn C. Assayed modified: Patient Flags."/>
    <x v="35"/>
    <x v="0"/>
    <x v="17"/>
    <d v="1899-12-30T14:00:54"/>
    <s v="Setup"/>
    <x v="0"/>
    <x v="2"/>
    <x v="12"/>
    <x v="0"/>
  </r>
  <r>
    <s v="QC Definition AT LIQ - Normal C. Assayed modified: Patient Flags."/>
    <x v="35"/>
    <x v="0"/>
    <x v="17"/>
    <d v="1899-12-30T14:01:00"/>
    <s v="Setup"/>
    <x v="0"/>
    <x v="2"/>
    <x v="12"/>
    <x v="0"/>
  </r>
  <r>
    <s v="QC Definition AT LIQ - Special Test 2 modified: Patient Flags."/>
    <x v="35"/>
    <x v="0"/>
    <x v="17"/>
    <d v="1899-12-30T14:01:04"/>
    <s v="Setup"/>
    <x v="0"/>
    <x v="2"/>
    <x v="12"/>
    <x v="0"/>
  </r>
  <r>
    <s v="QC Definition DDHS - D-Dimer High Control modified: Patient Flags."/>
    <x v="35"/>
    <x v="0"/>
    <x v="17"/>
    <d v="1899-12-30T14:01:09"/>
    <s v="Setup"/>
    <x v="0"/>
    <x v="2"/>
    <x v="12"/>
    <x v="0"/>
  </r>
  <r>
    <s v="QC Definition DDHS - D-Dimer Low Control modified: Patient Flags."/>
    <x v="35"/>
    <x v="0"/>
    <x v="17"/>
    <d v="1899-12-30T14:01:13"/>
    <s v="Setup"/>
    <x v="0"/>
    <x v="2"/>
    <x v="12"/>
    <x v="0"/>
  </r>
  <r>
    <s v="QC Definition dRVVT S - LA POS CONTROL modified: Patient Flags."/>
    <x v="35"/>
    <x v="0"/>
    <x v="17"/>
    <d v="1899-12-30T14:01:19"/>
    <s v="Setup"/>
    <x v="0"/>
    <x v="2"/>
    <x v="12"/>
    <x v="0"/>
  </r>
  <r>
    <s v="QC Definition dRVVT S - LA POS CONTROL modified: Rules cfg."/>
    <x v="36"/>
    <x v="0"/>
    <x v="17"/>
    <d v="1899-12-30T14:01:19"/>
    <s v="Setup"/>
    <x v="0"/>
    <x v="2"/>
    <x v="12"/>
    <x v="0"/>
  </r>
  <r>
    <s v="QC Definition dRVVT S - LA NEG CONTROL modified: Patient Flags."/>
    <x v="35"/>
    <x v="0"/>
    <x v="17"/>
    <d v="1899-12-30T14:01:24"/>
    <s v="Setup"/>
    <x v="0"/>
    <x v="2"/>
    <x v="12"/>
    <x v="0"/>
  </r>
  <r>
    <s v="QC Definition dRVVT S - LA NEG CONTROL modified: Rules cfg."/>
    <x v="36"/>
    <x v="0"/>
    <x v="17"/>
    <d v="1899-12-30T14:01:24"/>
    <s v="Setup"/>
    <x v="0"/>
    <x v="2"/>
    <x v="12"/>
    <x v="0"/>
  </r>
  <r>
    <s v="QC Definition Fib-C - Normal C. Assayed modified: Patient Flags."/>
    <x v="35"/>
    <x v="0"/>
    <x v="17"/>
    <d v="1899-12-30T14:01:46"/>
    <s v="Setup"/>
    <x v="0"/>
    <x v="2"/>
    <x v="12"/>
    <x v="0"/>
  </r>
  <r>
    <s v="QC Definition FII-RP - Normal C. Assayed modified: Patient Flags."/>
    <x v="35"/>
    <x v="0"/>
    <x v="17"/>
    <d v="1899-12-30T14:01:55"/>
    <s v="Setup"/>
    <x v="0"/>
    <x v="2"/>
    <x v="12"/>
    <x v="0"/>
  </r>
  <r>
    <s v="QC Definition FII-RP - Special Test 2 modified: Patient Flags."/>
    <x v="35"/>
    <x v="0"/>
    <x v="17"/>
    <d v="1899-12-30T14:02:03"/>
    <s v="Setup"/>
    <x v="0"/>
    <x v="2"/>
    <x v="12"/>
    <x v="0"/>
  </r>
  <r>
    <s v="QC Definition FIX-SS - Normal C. Assayed modified: Patient Flags."/>
    <x v="35"/>
    <x v="0"/>
    <x v="17"/>
    <d v="1899-12-30T14:02:08"/>
    <s v="Setup"/>
    <x v="0"/>
    <x v="2"/>
    <x v="12"/>
    <x v="0"/>
  </r>
  <r>
    <s v="Analyzer Status changed from Ready to Maintenance."/>
    <x v="0"/>
    <x v="0"/>
    <x v="17"/>
    <d v="1899-12-30T14:02:13"/>
    <s v="Analyzer"/>
    <x v="0"/>
    <x v="0"/>
    <x v="0"/>
    <x v="0"/>
  </r>
  <r>
    <s v="QC Definition Free PS - Special Test 2 modified: Patient Flags."/>
    <x v="35"/>
    <x v="0"/>
    <x v="17"/>
    <d v="1899-12-30T14:02:21"/>
    <s v="Setup"/>
    <x v="0"/>
    <x v="2"/>
    <x v="12"/>
    <x v="0"/>
  </r>
  <r>
    <s v="QC Definition FVIII-SS - Normal C. Assayed modified: Patient Flags."/>
    <x v="35"/>
    <x v="0"/>
    <x v="17"/>
    <d v="1899-12-30T14:02:26"/>
    <s v="Setup"/>
    <x v="0"/>
    <x v="2"/>
    <x v="12"/>
    <x v="0"/>
  </r>
  <r>
    <s v="QC Definition FVIII-SS - Special Test 2 modified: Patient Flags."/>
    <x v="35"/>
    <x v="0"/>
    <x v="17"/>
    <d v="1899-12-30T14:02:34"/>
    <s v="Setup"/>
    <x v="0"/>
    <x v="2"/>
    <x v="12"/>
    <x v="0"/>
  </r>
  <r>
    <s v="QC Definition FX CHROM - Special Test 2 modified: Patient Flags."/>
    <x v="35"/>
    <x v="0"/>
    <x v="17"/>
    <d v="1899-12-30T14:03:00"/>
    <s v="Setup"/>
    <x v="0"/>
    <x v="2"/>
    <x v="12"/>
    <x v="0"/>
  </r>
  <r>
    <s v="Analyzer Status changed from Maintenance to Ready."/>
    <x v="0"/>
    <x v="0"/>
    <x v="17"/>
    <d v="1899-12-30T14:03:18"/>
    <s v="Analyzer"/>
    <x v="0"/>
    <x v="0"/>
    <x v="0"/>
    <x v="0"/>
  </r>
  <r>
    <s v="Automatic maintenance activity Automatic Fluidic Line Priming Cycle has been executed."/>
    <x v="2"/>
    <x v="0"/>
    <x v="17"/>
    <d v="1899-12-30T14:03:18"/>
    <s v="Maintenance"/>
    <x v="0"/>
    <x v="2"/>
    <x v="2"/>
    <x v="0"/>
  </r>
  <r>
    <s v="QC Definition QFA Low - Low Fib Control modified: Patient Flags."/>
    <x v="35"/>
    <x v="0"/>
    <x v="17"/>
    <d v="1899-12-30T14:04:24"/>
    <s v="Setup"/>
    <x v="0"/>
    <x v="2"/>
    <x v="12"/>
    <x v="0"/>
  </r>
  <r>
    <s v="QC Definition SCT-S - LA POS CONTROL modified: Patient Flags."/>
    <x v="35"/>
    <x v="0"/>
    <x v="17"/>
    <d v="1899-12-30T14:04:48"/>
    <s v="Setup"/>
    <x v="0"/>
    <x v="2"/>
    <x v="12"/>
    <x v="0"/>
  </r>
  <r>
    <s v="QC Definition SCT-S - LA POS CONTROL modified: Rules cfg."/>
    <x v="36"/>
    <x v="0"/>
    <x v="17"/>
    <d v="1899-12-30T14:04:48"/>
    <s v="Setup"/>
    <x v="0"/>
    <x v="2"/>
    <x v="12"/>
    <x v="0"/>
  </r>
  <r>
    <s v="QC Definition SCT-S - LA NEG CONTROL modified: Patient Flags."/>
    <x v="35"/>
    <x v="0"/>
    <x v="17"/>
    <d v="1899-12-30T14:04:54"/>
    <s v="Setup"/>
    <x v="0"/>
    <x v="2"/>
    <x v="12"/>
    <x v="0"/>
  </r>
  <r>
    <s v="QC Definition SCT-S - LA NEG CONTROL modified: Rules cfg."/>
    <x v="36"/>
    <x v="0"/>
    <x v="17"/>
    <d v="1899-12-30T14:04:54"/>
    <s v="Setup"/>
    <x v="0"/>
    <x v="2"/>
    <x v="12"/>
    <x v="0"/>
  </r>
  <r>
    <s v="Analyzer Status changed from Ready to Maintenance."/>
    <x v="0"/>
    <x v="0"/>
    <x v="17"/>
    <d v="1899-12-30T15:03:18"/>
    <s v="Analyzer"/>
    <x v="0"/>
    <x v="0"/>
    <x v="0"/>
    <x v="0"/>
  </r>
  <r>
    <s v="Analyzer Status changed from Maintenance to Ready."/>
    <x v="0"/>
    <x v="0"/>
    <x v="17"/>
    <d v="1899-12-30T15:04:20"/>
    <s v="Analyzer"/>
    <x v="0"/>
    <x v="0"/>
    <x v="0"/>
    <x v="0"/>
  </r>
  <r>
    <s v="Automatic maintenance activity Automatic Fluidic Line Priming Cycle has been executed."/>
    <x v="2"/>
    <x v="0"/>
    <x v="17"/>
    <d v="1899-12-30T15:04:20"/>
    <s v="Maintenance"/>
    <x v="0"/>
    <x v="2"/>
    <x v="2"/>
    <x v="0"/>
  </r>
  <r>
    <s v="Automatic logout."/>
    <x v="62"/>
    <x v="0"/>
    <x v="17"/>
    <d v="1899-12-30T15:45:24"/>
    <s v="Other"/>
    <x v="0"/>
    <x v="4"/>
    <x v="7"/>
    <x v="1"/>
  </r>
  <r>
    <s v="Analyzer Status changed from Ready to Maintenance."/>
    <x v="0"/>
    <x v="0"/>
    <x v="17"/>
    <d v="1899-12-30T16:04:20"/>
    <s v="Analyzer"/>
    <x v="1"/>
    <x v="0"/>
    <x v="0"/>
    <x v="0"/>
  </r>
  <r>
    <s v="Analyzer Status changed from Maintenance to Ready."/>
    <x v="0"/>
    <x v="0"/>
    <x v="17"/>
    <d v="1899-12-30T16:05:22"/>
    <s v="Analyzer"/>
    <x v="1"/>
    <x v="0"/>
    <x v="0"/>
    <x v="0"/>
  </r>
  <r>
    <s v="Automatic maintenance activity Automatic Fluidic Line Priming Cycle has been executed."/>
    <x v="2"/>
    <x v="0"/>
    <x v="17"/>
    <d v="1899-12-30T16:05:22"/>
    <s v="Maintenance"/>
    <x v="1"/>
    <x v="2"/>
    <x v="2"/>
    <x v="0"/>
  </r>
  <r>
    <s v="Analyzer Status changed from Ready to Maintenance."/>
    <x v="0"/>
    <x v="0"/>
    <x v="17"/>
    <d v="1899-12-30T17:05:22"/>
    <s v="Analyzer"/>
    <x v="1"/>
    <x v="0"/>
    <x v="0"/>
    <x v="0"/>
  </r>
  <r>
    <s v="Analyzer Status changed from Maintenance to Ready."/>
    <x v="0"/>
    <x v="0"/>
    <x v="17"/>
    <d v="1899-12-30T17:06:24"/>
    <s v="Analyzer"/>
    <x v="1"/>
    <x v="0"/>
    <x v="0"/>
    <x v="0"/>
  </r>
  <r>
    <s v="Automatic maintenance activity Automatic Fluidic Line Priming Cycle has been executed."/>
    <x v="2"/>
    <x v="0"/>
    <x v="17"/>
    <d v="1899-12-30T17:06:24"/>
    <s v="Maintenance"/>
    <x v="1"/>
    <x v="2"/>
    <x v="2"/>
    <x v="0"/>
  </r>
  <r>
    <s v="Analyzer Status changed from Ready to Maintenance."/>
    <x v="0"/>
    <x v="0"/>
    <x v="17"/>
    <d v="1899-12-30T18:06:24"/>
    <s v="Analyzer"/>
    <x v="1"/>
    <x v="0"/>
    <x v="0"/>
    <x v="0"/>
  </r>
  <r>
    <s v="Analyzer Status changed from Maintenance to Ready."/>
    <x v="0"/>
    <x v="0"/>
    <x v="17"/>
    <d v="1899-12-30T18:07:26"/>
    <s v="Analyzer"/>
    <x v="1"/>
    <x v="0"/>
    <x v="0"/>
    <x v="0"/>
  </r>
  <r>
    <s v="Automatic maintenance activity Automatic Fluidic Line Priming Cycle has been executed."/>
    <x v="2"/>
    <x v="0"/>
    <x v="17"/>
    <d v="1899-12-30T18:07:26"/>
    <s v="Maintenance"/>
    <x v="1"/>
    <x v="2"/>
    <x v="2"/>
    <x v="0"/>
  </r>
  <r>
    <s v="Analyzer Status changed from Ready to Maintenance."/>
    <x v="0"/>
    <x v="0"/>
    <x v="17"/>
    <d v="1899-12-30T19:07:26"/>
    <s v="Analyzer"/>
    <x v="1"/>
    <x v="0"/>
    <x v="0"/>
    <x v="0"/>
  </r>
  <r>
    <s v="Analyzer Status changed from Maintenance to Ready."/>
    <x v="0"/>
    <x v="0"/>
    <x v="17"/>
    <d v="1899-12-30T19:08:28"/>
    <s v="Analyzer"/>
    <x v="1"/>
    <x v="0"/>
    <x v="0"/>
    <x v="0"/>
  </r>
  <r>
    <s v="Automatic maintenance activity Automatic Fluidic Line Priming Cycle has been executed."/>
    <x v="2"/>
    <x v="0"/>
    <x v="17"/>
    <d v="1899-12-30T19:08:28"/>
    <s v="Maintenance"/>
    <x v="1"/>
    <x v="2"/>
    <x v="2"/>
    <x v="0"/>
  </r>
  <r>
    <s v="Analyzer Status changed from Ready to Maintenance."/>
    <x v="0"/>
    <x v="0"/>
    <x v="17"/>
    <d v="1899-12-30T20:08:28"/>
    <s v="Analyzer"/>
    <x v="1"/>
    <x v="0"/>
    <x v="0"/>
    <x v="0"/>
  </r>
  <r>
    <s v="Analyzer Status changed from Maintenance to Ready."/>
    <x v="0"/>
    <x v="0"/>
    <x v="17"/>
    <d v="1899-12-30T20:09:30"/>
    <s v="Analyzer"/>
    <x v="1"/>
    <x v="0"/>
    <x v="0"/>
    <x v="0"/>
  </r>
  <r>
    <s v="Automatic maintenance activity Automatic Fluidic Line Priming Cycle has been executed."/>
    <x v="2"/>
    <x v="0"/>
    <x v="17"/>
    <d v="1899-12-30T20:09:30"/>
    <s v="Maintenance"/>
    <x v="1"/>
    <x v="2"/>
    <x v="2"/>
    <x v="0"/>
  </r>
  <r>
    <s v="Waste tank almost full."/>
    <x v="39"/>
    <x v="1"/>
    <x v="17"/>
    <d v="1899-12-30T20:15:46"/>
    <s v="Materials"/>
    <x v="1"/>
    <x v="1"/>
    <x v="14"/>
    <x v="0"/>
  </r>
  <r>
    <s v="Waste tank almost full."/>
    <x v="39"/>
    <x v="1"/>
    <x v="17"/>
    <d v="1899-12-30T20:17:10"/>
    <s v="Materials"/>
    <x v="1"/>
    <x v="1"/>
    <x v="14"/>
    <x v="0"/>
  </r>
  <r>
    <s v="Waste tank almost full."/>
    <x v="39"/>
    <x v="1"/>
    <x v="17"/>
    <d v="1899-12-30T20:20:58"/>
    <s v="Materials"/>
    <x v="1"/>
    <x v="1"/>
    <x v="14"/>
    <x v="0"/>
  </r>
  <r>
    <s v="Analyzer Status changed from Ready to Maintenance."/>
    <x v="0"/>
    <x v="0"/>
    <x v="17"/>
    <d v="1899-12-30T21:09:30"/>
    <s v="Analyzer"/>
    <x v="1"/>
    <x v="0"/>
    <x v="0"/>
    <x v="0"/>
  </r>
  <r>
    <s v="Analyzer Status changed from Maintenance to Ready."/>
    <x v="0"/>
    <x v="0"/>
    <x v="17"/>
    <d v="1899-12-30T21:10:31"/>
    <s v="Analyzer"/>
    <x v="1"/>
    <x v="0"/>
    <x v="0"/>
    <x v="0"/>
  </r>
  <r>
    <s v="Automatic maintenance activity Automatic Fluidic Line Priming Cycle has been executed."/>
    <x v="2"/>
    <x v="0"/>
    <x v="17"/>
    <d v="1899-12-30T21:10:31"/>
    <s v="Maintenance"/>
    <x v="1"/>
    <x v="2"/>
    <x v="2"/>
    <x v="0"/>
  </r>
  <r>
    <s v="Waste tank almost full."/>
    <x v="39"/>
    <x v="1"/>
    <x v="17"/>
    <d v="1899-12-30T21:15:23"/>
    <s v="Materials"/>
    <x v="1"/>
    <x v="1"/>
    <x v="14"/>
    <x v="0"/>
  </r>
  <r>
    <s v="Analyzer Status changed from Ready to Maintenance."/>
    <x v="0"/>
    <x v="0"/>
    <x v="17"/>
    <d v="1899-12-30T22:10:32"/>
    <s v="Analyzer"/>
    <x v="1"/>
    <x v="0"/>
    <x v="0"/>
    <x v="0"/>
  </r>
  <r>
    <s v="Analyzer Status changed from Maintenance to Ready."/>
    <x v="0"/>
    <x v="0"/>
    <x v="17"/>
    <d v="1899-12-30T22:11:33"/>
    <s v="Analyzer"/>
    <x v="1"/>
    <x v="0"/>
    <x v="0"/>
    <x v="0"/>
  </r>
  <r>
    <s v="Automatic maintenance activity Automatic Fluidic Line Priming Cycle has been executed."/>
    <x v="2"/>
    <x v="0"/>
    <x v="17"/>
    <d v="1899-12-30T22:11:33"/>
    <s v="Maintenance"/>
    <x v="1"/>
    <x v="2"/>
    <x v="2"/>
    <x v="0"/>
  </r>
  <r>
    <s v="Waste tank almost full."/>
    <x v="39"/>
    <x v="1"/>
    <x v="17"/>
    <d v="1899-12-30T22:12:33"/>
    <s v="Materials"/>
    <x v="1"/>
    <x v="1"/>
    <x v="14"/>
    <x v="0"/>
  </r>
  <r>
    <s v="Waste tank almost full."/>
    <x v="39"/>
    <x v="1"/>
    <x v="17"/>
    <d v="1899-12-30T22:15:41"/>
    <s v="Materials"/>
    <x v="1"/>
    <x v="1"/>
    <x v="14"/>
    <x v="0"/>
  </r>
  <r>
    <s v="Successful log in by user: ARS."/>
    <x v="18"/>
    <x v="0"/>
    <x v="17"/>
    <d v="1899-12-30T22:48:18"/>
    <s v="Other"/>
    <x v="5"/>
    <x v="2"/>
    <x v="5"/>
    <x v="0"/>
  </r>
  <r>
    <s v="Logout by user: ARS."/>
    <x v="16"/>
    <x v="0"/>
    <x v="17"/>
    <d v="1899-12-30T23:02:43"/>
    <s v="Other"/>
    <x v="5"/>
    <x v="2"/>
    <x v="5"/>
    <x v="0"/>
  </r>
  <r>
    <s v="Analyzer Status changed from Ready to Maintenance."/>
    <x v="0"/>
    <x v="0"/>
    <x v="17"/>
    <d v="1899-12-30T23:11:33"/>
    <s v="Analyzer"/>
    <x v="1"/>
    <x v="0"/>
    <x v="0"/>
    <x v="0"/>
  </r>
  <r>
    <s v="Rinse solution bottle empty."/>
    <x v="63"/>
    <x v="2"/>
    <x v="17"/>
    <d v="1899-12-30T23:11:57"/>
    <s v="Materials"/>
    <x v="1"/>
    <x v="1"/>
    <x v="1"/>
    <x v="0"/>
  </r>
  <r>
    <s v="Analyzer Status changed from Maintenance to Error."/>
    <x v="0"/>
    <x v="0"/>
    <x v="17"/>
    <d v="1899-12-30T23:11:57"/>
    <s v="Analyzer"/>
    <x v="1"/>
    <x v="0"/>
    <x v="0"/>
    <x v="0"/>
  </r>
  <r>
    <s v="Automatic maintenance activity Automatic Fluidic Line Priming Cycle has been executed."/>
    <x v="2"/>
    <x v="0"/>
    <x v="17"/>
    <d v="1899-12-30T23:12:35"/>
    <s v="Maintenance"/>
    <x v="1"/>
    <x v="2"/>
    <x v="2"/>
    <x v="0"/>
  </r>
  <r>
    <s v="Waste tank almost full."/>
    <x v="39"/>
    <x v="1"/>
    <x v="17"/>
    <d v="1899-12-30T23:14:32"/>
    <s v="Materials"/>
    <x v="1"/>
    <x v="1"/>
    <x v="14"/>
    <x v="0"/>
  </r>
  <r>
    <s v="Successful log in by user: LHO."/>
    <x v="18"/>
    <x v="0"/>
    <x v="18"/>
    <d v="1899-12-30T07:06:22"/>
    <s v="Other"/>
    <x v="0"/>
    <x v="2"/>
    <x v="5"/>
    <x v="0"/>
  </r>
  <r>
    <s v="Analyzer Status changed from Error to Ready."/>
    <x v="0"/>
    <x v="0"/>
    <x v="18"/>
    <d v="1899-12-30T07:07:42"/>
    <s v="Analyzer"/>
    <x v="0"/>
    <x v="0"/>
    <x v="0"/>
    <x v="0"/>
  </r>
  <r>
    <s v="Logout by user: LHO."/>
    <x v="16"/>
    <x v="0"/>
    <x v="18"/>
    <d v="1899-12-30T07:27:08"/>
    <s v="Other"/>
    <x v="0"/>
    <x v="2"/>
    <x v="5"/>
    <x v="0"/>
  </r>
  <r>
    <s v="Successful log in by user: LHO."/>
    <x v="18"/>
    <x v="0"/>
    <x v="18"/>
    <d v="1899-12-30T07:27:27"/>
    <s v="Other"/>
    <x v="0"/>
    <x v="2"/>
    <x v="5"/>
    <x v="0"/>
  </r>
  <r>
    <s v="Non-identified Sample in rack 02 position 1, track 11."/>
    <x v="12"/>
    <x v="2"/>
    <x v="18"/>
    <d v="1899-12-30T07:30:07"/>
    <s v="Materials"/>
    <x v="0"/>
    <x v="4"/>
    <x v="7"/>
    <x v="1"/>
  </r>
  <r>
    <s v="Analyzer Status changed from Ready to Maintenance."/>
    <x v="0"/>
    <x v="0"/>
    <x v="18"/>
    <d v="1899-12-30T08:07:43"/>
    <s v="Analyzer"/>
    <x v="0"/>
    <x v="0"/>
    <x v="0"/>
    <x v="0"/>
  </r>
  <r>
    <s v="Waste tank almost full."/>
    <x v="39"/>
    <x v="1"/>
    <x v="18"/>
    <d v="1899-12-30T08:09:14"/>
    <s v="Materials"/>
    <x v="0"/>
    <x v="1"/>
    <x v="14"/>
    <x v="0"/>
  </r>
  <r>
    <s v="Analyzer Status changed from Maintenance to Ready."/>
    <x v="0"/>
    <x v="0"/>
    <x v="18"/>
    <d v="1899-12-30T08:09:17"/>
    <s v="Analyzer"/>
    <x v="0"/>
    <x v="0"/>
    <x v="0"/>
    <x v="0"/>
  </r>
  <r>
    <s v="Automatic maintenance activity Automatic Fluidic Line Priming Cycle has been executed."/>
    <x v="2"/>
    <x v="0"/>
    <x v="18"/>
    <d v="1899-12-30T08:09:17"/>
    <s v="Maintenance"/>
    <x v="0"/>
    <x v="2"/>
    <x v="2"/>
    <x v="0"/>
  </r>
  <r>
    <s v="Analyzer Status changed from Ready to Maintenance."/>
    <x v="0"/>
    <x v="0"/>
    <x v="18"/>
    <d v="1899-12-30T09:09:18"/>
    <s v="Analyzer"/>
    <x v="0"/>
    <x v="0"/>
    <x v="0"/>
    <x v="0"/>
  </r>
  <r>
    <s v="Analyzer Status changed from Maintenance to Ready."/>
    <x v="0"/>
    <x v="0"/>
    <x v="18"/>
    <d v="1899-12-30T09:09:39"/>
    <s v="Analyzer"/>
    <x v="0"/>
    <x v="0"/>
    <x v="0"/>
    <x v="0"/>
  </r>
  <r>
    <s v="Automatic maintenance activity Automatic Fluidic Line Priming Cycle has been executed."/>
    <x v="2"/>
    <x v="0"/>
    <x v="18"/>
    <d v="1899-12-30T09:09:39"/>
    <s v="Maintenance"/>
    <x v="0"/>
    <x v="2"/>
    <x v="2"/>
    <x v="0"/>
  </r>
  <r>
    <s v="Waste tank almost full."/>
    <x v="39"/>
    <x v="1"/>
    <x v="18"/>
    <d v="1899-12-30T09:10:49"/>
    <s v="Materials"/>
    <x v="0"/>
    <x v="1"/>
    <x v="14"/>
    <x v="0"/>
  </r>
  <r>
    <s v="Waste tank almost full."/>
    <x v="39"/>
    <x v="1"/>
    <x v="18"/>
    <d v="1899-12-30T09:52:07"/>
    <s v="Materials"/>
    <x v="0"/>
    <x v="1"/>
    <x v="14"/>
    <x v="0"/>
  </r>
  <r>
    <s v="Analyzer Status changed from Ready to Maintenance."/>
    <x v="0"/>
    <x v="0"/>
    <x v="18"/>
    <d v="1899-12-30T10:09:39"/>
    <s v="Analyzer"/>
    <x v="0"/>
    <x v="0"/>
    <x v="0"/>
    <x v="0"/>
  </r>
  <r>
    <s v="Analyzer Status changed from Maintenance to Ready."/>
    <x v="0"/>
    <x v="0"/>
    <x v="18"/>
    <d v="1899-12-30T10:10:01"/>
    <s v="Analyzer"/>
    <x v="0"/>
    <x v="0"/>
    <x v="0"/>
    <x v="0"/>
  </r>
  <r>
    <s v="Automatic maintenance activity Automatic Fluidic Line Priming Cycle has been executed."/>
    <x v="2"/>
    <x v="0"/>
    <x v="18"/>
    <d v="1899-12-30T10:10:01"/>
    <s v="Maintenance"/>
    <x v="0"/>
    <x v="2"/>
    <x v="2"/>
    <x v="0"/>
  </r>
  <r>
    <s v="Automatic logout."/>
    <x v="62"/>
    <x v="0"/>
    <x v="18"/>
    <d v="1899-12-30T10:11:47"/>
    <s v="Other"/>
    <x v="0"/>
    <x v="4"/>
    <x v="7"/>
    <x v="1"/>
  </r>
  <r>
    <s v="Analyzer Status changed from Ready to Maintenance."/>
    <x v="0"/>
    <x v="0"/>
    <x v="18"/>
    <d v="1899-12-30T11:10:01"/>
    <s v="Analyzer"/>
    <x v="1"/>
    <x v="0"/>
    <x v="0"/>
    <x v="0"/>
  </r>
  <r>
    <s v="Analyzer Status changed from Maintenance to Ready."/>
    <x v="0"/>
    <x v="0"/>
    <x v="18"/>
    <d v="1899-12-30T11:10:23"/>
    <s v="Analyzer"/>
    <x v="1"/>
    <x v="0"/>
    <x v="0"/>
    <x v="0"/>
  </r>
  <r>
    <s v="Automatic maintenance activity Automatic Fluidic Line Priming Cycle has been executed."/>
    <x v="2"/>
    <x v="0"/>
    <x v="18"/>
    <d v="1899-12-30T11:10:23"/>
    <s v="Maintenance"/>
    <x v="1"/>
    <x v="2"/>
    <x v="2"/>
    <x v="0"/>
  </r>
  <r>
    <s v="Waste tank full."/>
    <x v="40"/>
    <x v="2"/>
    <x v="18"/>
    <d v="1899-12-30T11:12:03"/>
    <s v="Materials"/>
    <x v="1"/>
    <x v="1"/>
    <x v="14"/>
    <x v="0"/>
  </r>
  <r>
    <s v="Analyzer Status changed from Ready to Error."/>
    <x v="0"/>
    <x v="0"/>
    <x v="18"/>
    <d v="1899-12-30T11:12:03"/>
    <s v="Analyzer"/>
    <x v="1"/>
    <x v="0"/>
    <x v="0"/>
    <x v="0"/>
  </r>
  <r>
    <s v="Maintenance activity due: Clean Cuvette Waste Drawer."/>
    <x v="9"/>
    <x v="1"/>
    <x v="19"/>
    <d v="1899-12-30T07:12:40"/>
    <s v="Maintenance"/>
    <x v="1"/>
    <x v="2"/>
    <x v="2"/>
    <x v="0"/>
  </r>
  <r>
    <s v="Communications between the instrument and the LIS have been lost."/>
    <x v="13"/>
    <x v="2"/>
    <x v="19"/>
    <d v="1899-12-30T08:39:56"/>
    <s v="LIS"/>
    <x v="1"/>
    <x v="2"/>
    <x v="6"/>
    <x v="0"/>
  </r>
  <r>
    <s v="Successful log in by user: LHO."/>
    <x v="18"/>
    <x v="0"/>
    <x v="19"/>
    <d v="1899-12-30T12:20:06"/>
    <s v="Other"/>
    <x v="0"/>
    <x v="2"/>
    <x v="5"/>
    <x v="0"/>
  </r>
  <r>
    <s v="Waste tank not present."/>
    <x v="41"/>
    <x v="2"/>
    <x v="19"/>
    <d v="1899-12-30T12:20:27"/>
    <s v="Materials"/>
    <x v="0"/>
    <x v="1"/>
    <x v="14"/>
    <x v="0"/>
  </r>
  <r>
    <s v="Analyzer Status changed from Error to Ready."/>
    <x v="0"/>
    <x v="0"/>
    <x v="19"/>
    <d v="1899-12-30T12:22:25"/>
    <s v="Analyzer"/>
    <x v="0"/>
    <x v="0"/>
    <x v="0"/>
    <x v="0"/>
  </r>
  <r>
    <s v="Duplicated Rack ID, Rack ID RB."/>
    <x v="37"/>
    <x v="1"/>
    <x v="19"/>
    <d v="1899-12-30T12:23:40"/>
    <s v="Analyzer"/>
    <x v="0"/>
    <x v="6"/>
    <x v="13"/>
    <x v="0"/>
  </r>
  <r>
    <s v="Non-identified Material in rack RD position 1, track 2."/>
    <x v="27"/>
    <x v="2"/>
    <x v="19"/>
    <d v="1899-12-30T12:24:02"/>
    <s v="Materials"/>
    <x v="0"/>
    <x v="2"/>
    <x v="3"/>
    <x v="0"/>
  </r>
  <r>
    <s v="Non-identified Material in rack RF position 5, track 5."/>
    <x v="27"/>
    <x v="2"/>
    <x v="19"/>
    <d v="1899-12-30T12:24:22"/>
    <s v="Materials"/>
    <x v="0"/>
    <x v="2"/>
    <x v="3"/>
    <x v="0"/>
  </r>
  <r>
    <s v="AT Liq FXa volume low."/>
    <x v="7"/>
    <x v="1"/>
    <x v="19"/>
    <d v="1899-12-30T12:24:25"/>
    <s v="Materials"/>
    <x v="0"/>
    <x v="3"/>
    <x v="4"/>
    <x v="0"/>
  </r>
  <r>
    <s v="Duplicated Rack ID, Rack ID RB."/>
    <x v="37"/>
    <x v="1"/>
    <x v="19"/>
    <d v="1899-12-30T12:24:28"/>
    <s v="Analyzer"/>
    <x v="0"/>
    <x v="6"/>
    <x v="13"/>
    <x v="0"/>
  </r>
  <r>
    <s v="Probe REAGENT 1 Liquid Level Detection error in well position clean cup."/>
    <x v="42"/>
    <x v="2"/>
    <x v="19"/>
    <d v="1899-12-30T12:24:29"/>
    <s v="Materials"/>
    <x v="0"/>
    <x v="3"/>
    <x v="4"/>
    <x v="2"/>
  </r>
  <r>
    <s v="Probe REAGENT 1: Insufficient volume in clean cup."/>
    <x v="43"/>
    <x v="2"/>
    <x v="19"/>
    <d v="1899-12-30T12:24:30"/>
    <s v="Materials"/>
    <x v="0"/>
    <x v="1"/>
    <x v="10"/>
    <x v="3"/>
  </r>
  <r>
    <s v="PT RecombiPlasTin volume low."/>
    <x v="7"/>
    <x v="1"/>
    <x v="19"/>
    <d v="1899-12-30T12:24:37"/>
    <s v="Materials"/>
    <x v="0"/>
    <x v="3"/>
    <x v="4"/>
    <x v="0"/>
  </r>
  <r>
    <s v="Probe REAGENT 2: Insufficient volume in clean cup."/>
    <x v="43"/>
    <x v="2"/>
    <x v="19"/>
    <d v="1899-12-30T12:24:42"/>
    <s v="Materials"/>
    <x v="0"/>
    <x v="1"/>
    <x v="10"/>
    <x v="3"/>
  </r>
  <r>
    <s v="APTT-SS CaCl2 volume low."/>
    <x v="7"/>
    <x v="1"/>
    <x v="19"/>
    <d v="1899-12-30T12:24:51"/>
    <s v="Materials"/>
    <x v="0"/>
    <x v="3"/>
    <x v="4"/>
    <x v="0"/>
  </r>
  <r>
    <s v="Non-identified Material in rack RB position 3, track 1."/>
    <x v="27"/>
    <x v="2"/>
    <x v="19"/>
    <d v="1899-12-30T12:24:54"/>
    <s v="Materials"/>
    <x v="0"/>
    <x v="2"/>
    <x v="3"/>
    <x v="0"/>
  </r>
  <r>
    <s v="Non-identified Material in rack RB position 4, track 1."/>
    <x v="27"/>
    <x v="2"/>
    <x v="19"/>
    <d v="1899-12-30T12:24:54"/>
    <s v="Materials"/>
    <x v="0"/>
    <x v="2"/>
    <x v="3"/>
    <x v="0"/>
  </r>
  <r>
    <s v="D-Dimer HS Latex insufficient material to run additional calibration / test."/>
    <x v="32"/>
    <x v="2"/>
    <x v="19"/>
    <d v="1899-12-30T12:24:58"/>
    <s v="Materials"/>
    <x v="0"/>
    <x v="3"/>
    <x v="4"/>
    <x v="0"/>
  </r>
  <r>
    <s v="Q.F.A. Thrombin volume low."/>
    <x v="7"/>
    <x v="1"/>
    <x v="19"/>
    <d v="1899-12-30T12:25:05"/>
    <s v="Materials"/>
    <x v="0"/>
    <x v="3"/>
    <x v="4"/>
    <x v="0"/>
  </r>
  <r>
    <s v="APTT-SS volume low."/>
    <x v="7"/>
    <x v="1"/>
    <x v="19"/>
    <d v="1899-12-30T12:25:21"/>
    <s v="Materials"/>
    <x v="0"/>
    <x v="3"/>
    <x v="4"/>
    <x v="0"/>
  </r>
  <r>
    <s v="Protein C Substrate insufficient material to run additional calibration / test."/>
    <x v="32"/>
    <x v="2"/>
    <x v="19"/>
    <d v="1899-12-30T12:25:40"/>
    <s v="Materials"/>
    <x v="0"/>
    <x v="3"/>
    <x v="4"/>
    <x v="0"/>
  </r>
  <r>
    <s v="AT Liq Substrate volume low."/>
    <x v="7"/>
    <x v="1"/>
    <x v="19"/>
    <d v="1899-12-30T12:25:47"/>
    <s v="Materials"/>
    <x v="0"/>
    <x v="3"/>
    <x v="4"/>
    <x v="0"/>
  </r>
  <r>
    <s v="Duplicated Rack ID, Rack ID DA."/>
    <x v="37"/>
    <x v="1"/>
    <x v="19"/>
    <d v="1899-12-30T12:26:37"/>
    <s v="Analyzer"/>
    <x v="0"/>
    <x v="6"/>
    <x v="13"/>
    <x v="0"/>
  </r>
  <r>
    <s v="Non-identified Material in rack DC position 1, track 3."/>
    <x v="27"/>
    <x v="2"/>
    <x v="19"/>
    <d v="1899-12-30T12:27:29"/>
    <s v="Materials"/>
    <x v="0"/>
    <x v="2"/>
    <x v="3"/>
    <x v="0"/>
  </r>
  <r>
    <s v="Analyzer Status changed from Ready to Busy."/>
    <x v="0"/>
    <x v="0"/>
    <x v="19"/>
    <d v="1899-12-30T12:28:12"/>
    <s v="Analyzer"/>
    <x v="0"/>
    <x v="0"/>
    <x v="0"/>
    <x v="0"/>
  </r>
  <r>
    <s v="FXI Def. Plasma volume low."/>
    <x v="7"/>
    <x v="1"/>
    <x v="19"/>
    <d v="1899-12-30T12:28:17"/>
    <s v="Materials"/>
    <x v="0"/>
    <x v="3"/>
    <x v="4"/>
    <x v="0"/>
  </r>
  <r>
    <s v="FX Def. Plasma insufficient material to run additional calibration / test."/>
    <x v="32"/>
    <x v="2"/>
    <x v="19"/>
    <d v="1899-12-30T12:28:24"/>
    <s v="Materials"/>
    <x v="0"/>
    <x v="3"/>
    <x v="4"/>
    <x v="0"/>
  </r>
  <r>
    <s v="FV Def. Plasma insufficient material to run additional calibration / test."/>
    <x v="32"/>
    <x v="2"/>
    <x v="19"/>
    <d v="1899-12-30T12:28:50"/>
    <s v="Materials"/>
    <x v="0"/>
    <x v="3"/>
    <x v="4"/>
    <x v="0"/>
  </r>
  <r>
    <s v="FVIII-SS Parallelism job not feasible. Waiting for APTT-SS CaCl2."/>
    <x v="26"/>
    <x v="1"/>
    <x v="19"/>
    <d v="1899-12-30T12:28:57"/>
    <s v="Materials"/>
    <x v="0"/>
    <x v="2"/>
    <x v="3"/>
    <x v="0"/>
  </r>
  <r>
    <s v="FXI-SS Parallelism job not feasible. Waiting for APTT-SS CaCl2."/>
    <x v="26"/>
    <x v="1"/>
    <x v="19"/>
    <d v="1899-12-30T12:28:57"/>
    <s v="Materials"/>
    <x v="0"/>
    <x v="2"/>
    <x v="3"/>
    <x v="0"/>
  </r>
  <r>
    <s v="FIX-SS Parallelism job not feasible. Waiting for APTT-SS CaCl2."/>
    <x v="26"/>
    <x v="1"/>
    <x v="19"/>
    <d v="1899-12-30T12:28:57"/>
    <s v="Materials"/>
    <x v="0"/>
    <x v="2"/>
    <x v="3"/>
    <x v="0"/>
  </r>
  <r>
    <s v="FX-RP Parallelism job not feasible. Waiting for FX Def. Plasma."/>
    <x v="26"/>
    <x v="1"/>
    <x v="19"/>
    <d v="1899-12-30T12:28:57"/>
    <s v="Materials"/>
    <x v="0"/>
    <x v="2"/>
    <x v="3"/>
    <x v="0"/>
  </r>
  <r>
    <s v="FV-RP Parallelism job not feasible. Waiting for FV Def. Plasma."/>
    <x v="26"/>
    <x v="1"/>
    <x v="19"/>
    <d v="1899-12-30T12:28:57"/>
    <s v="Materials"/>
    <x v="0"/>
    <x v="2"/>
    <x v="3"/>
    <x v="0"/>
  </r>
  <r>
    <s v="Q.F.A. Thrombin volume low."/>
    <x v="7"/>
    <x v="1"/>
    <x v="19"/>
    <d v="1899-12-30T12:37:44"/>
    <s v="Materials"/>
    <x v="0"/>
    <x v="3"/>
    <x v="4"/>
    <x v="0"/>
  </r>
  <r>
    <s v="AT Liq Substrate volume low."/>
    <x v="7"/>
    <x v="1"/>
    <x v="19"/>
    <d v="1899-12-30T12:37:44"/>
    <s v="Materials"/>
    <x v="0"/>
    <x v="3"/>
    <x v="4"/>
    <x v="0"/>
  </r>
  <r>
    <s v="Non-identified Material in rack RC position 4, track 6."/>
    <x v="27"/>
    <x v="2"/>
    <x v="19"/>
    <d v="1899-12-30T12:37:44"/>
    <s v="Materials"/>
    <x v="0"/>
    <x v="2"/>
    <x v="3"/>
    <x v="0"/>
  </r>
  <r>
    <s v="AT Liq FXa volume low."/>
    <x v="7"/>
    <x v="1"/>
    <x v="19"/>
    <d v="1899-12-30T12:38:02"/>
    <s v="Materials"/>
    <x v="0"/>
    <x v="3"/>
    <x v="4"/>
    <x v="0"/>
  </r>
  <r>
    <s v="APTT-SS volume low."/>
    <x v="7"/>
    <x v="1"/>
    <x v="19"/>
    <d v="1899-12-30T12:41:37"/>
    <s v="Materials"/>
    <x v="0"/>
    <x v="3"/>
    <x v="4"/>
    <x v="0"/>
  </r>
  <r>
    <s v="APTT-SS CaCl2 volume low."/>
    <x v="7"/>
    <x v="1"/>
    <x v="19"/>
    <d v="1899-12-30T12:41:37"/>
    <s v="Materials"/>
    <x v="0"/>
    <x v="3"/>
    <x v="4"/>
    <x v="0"/>
  </r>
  <r>
    <s v="FXI-SP is inconsistent/disable/lock manual ordering."/>
    <x v="64"/>
    <x v="1"/>
    <x v="19"/>
    <d v="1899-12-30T12:54:21"/>
    <s v="Materials"/>
    <x v="0"/>
    <x v="2"/>
    <x v="3"/>
    <x v="0"/>
  </r>
  <r>
    <s v="FII Def. Plasma volume low."/>
    <x v="7"/>
    <x v="1"/>
    <x v="19"/>
    <d v="1899-12-30T12:56:25"/>
    <s v="Materials"/>
    <x v="0"/>
    <x v="3"/>
    <x v="4"/>
    <x v="0"/>
  </r>
  <r>
    <s v="Analyzer Status changed from Busy to Ready."/>
    <x v="0"/>
    <x v="0"/>
    <x v="19"/>
    <d v="1899-12-30T13:11:25"/>
    <s v="Analyzer"/>
    <x v="0"/>
    <x v="0"/>
    <x v="0"/>
    <x v="0"/>
  </r>
  <r>
    <s v="Analyzer Status changed from Ready to Maintenance."/>
    <x v="0"/>
    <x v="0"/>
    <x v="19"/>
    <d v="1899-12-30T13:11:25"/>
    <s v="Analyzer"/>
    <x v="0"/>
    <x v="0"/>
    <x v="0"/>
    <x v="0"/>
  </r>
  <r>
    <s v="Probe SAMPLE: Insufficient volume in clean cup."/>
    <x v="43"/>
    <x v="2"/>
    <x v="19"/>
    <d v="1899-12-30T13:12:21"/>
    <s v="Materials"/>
    <x v="0"/>
    <x v="1"/>
    <x v="10"/>
    <x v="3"/>
  </r>
  <r>
    <s v="Analyzer Status changed from Maintenance to Ready."/>
    <x v="0"/>
    <x v="0"/>
    <x v="19"/>
    <d v="1899-12-30T13:13:43"/>
    <s v="Analyzer"/>
    <x v="0"/>
    <x v="0"/>
    <x v="0"/>
    <x v="0"/>
  </r>
  <r>
    <s v="Automatic maintenance activity Automatic Routine Clean for all Probes has been executed."/>
    <x v="2"/>
    <x v="0"/>
    <x v="19"/>
    <d v="1899-12-30T13:13:43"/>
    <s v="Maintenance"/>
    <x v="0"/>
    <x v="2"/>
    <x v="2"/>
    <x v="0"/>
  </r>
  <r>
    <s v="Maintenance activity due: Wipe-down LAS Probe."/>
    <x v="9"/>
    <x v="1"/>
    <x v="19"/>
    <d v="1899-12-30T13:31:23"/>
    <s v="Maintenance"/>
    <x v="0"/>
    <x v="2"/>
    <x v="2"/>
    <x v="0"/>
  </r>
  <r>
    <s v="Maintenance activity due: Wipe-down all Probes."/>
    <x v="9"/>
    <x v="1"/>
    <x v="19"/>
    <d v="1899-12-30T13:31:23"/>
    <s v="Maintenance"/>
    <x v="0"/>
    <x v="2"/>
    <x v="2"/>
    <x v="0"/>
  </r>
  <r>
    <s v="Maintenance activity due: Wipe-down Sample Probe."/>
    <x v="9"/>
    <x v="1"/>
    <x v="19"/>
    <d v="1899-12-30T13:31:23"/>
    <s v="Maintenance"/>
    <x v="0"/>
    <x v="2"/>
    <x v="2"/>
    <x v="0"/>
  </r>
  <r>
    <s v="Automatic logout."/>
    <x v="62"/>
    <x v="0"/>
    <x v="19"/>
    <d v="1899-12-30T13:57:06"/>
    <s v="Other"/>
    <x v="0"/>
    <x v="4"/>
    <x v="7"/>
    <x v="1"/>
  </r>
  <r>
    <s v="Successful log in by user: LHO."/>
    <x v="18"/>
    <x v="0"/>
    <x v="19"/>
    <d v="1899-12-30T14:04:04"/>
    <s v="Other"/>
    <x v="0"/>
    <x v="2"/>
    <x v="5"/>
    <x v="0"/>
  </r>
  <r>
    <s v="Non-identified Material in rack DC position 1, track 3."/>
    <x v="27"/>
    <x v="2"/>
    <x v="19"/>
    <d v="1899-12-30T14:13:16"/>
    <s v="Materials"/>
    <x v="0"/>
    <x v="2"/>
    <x v="3"/>
    <x v="0"/>
  </r>
  <r>
    <s v="FX Def. Plasma insufficient material to run additional calibration / test."/>
    <x v="32"/>
    <x v="2"/>
    <x v="19"/>
    <d v="1899-12-30T14:13:30"/>
    <s v="Materials"/>
    <x v="0"/>
    <x v="3"/>
    <x v="4"/>
    <x v="0"/>
  </r>
  <r>
    <s v="FV Def. Plasma insufficient material to run additional calibration / test."/>
    <x v="32"/>
    <x v="2"/>
    <x v="19"/>
    <d v="1899-12-30T14:13:30"/>
    <s v="Materials"/>
    <x v="0"/>
    <x v="3"/>
    <x v="4"/>
    <x v="0"/>
  </r>
  <r>
    <s v="FXI Def. Plasma insufficient material to run additional calibration / test."/>
    <x v="32"/>
    <x v="2"/>
    <x v="19"/>
    <d v="1899-12-30T14:13:30"/>
    <s v="Materials"/>
    <x v="0"/>
    <x v="3"/>
    <x v="4"/>
    <x v="0"/>
  </r>
  <r>
    <s v="FXI Def. Plasma volume low."/>
    <x v="7"/>
    <x v="1"/>
    <x v="19"/>
    <d v="1899-12-30T14:13:30"/>
    <s v="Materials"/>
    <x v="0"/>
    <x v="3"/>
    <x v="4"/>
    <x v="0"/>
  </r>
  <r>
    <s v="FII Def. Plasma volume low."/>
    <x v="7"/>
    <x v="1"/>
    <x v="19"/>
    <d v="1899-12-30T14:13:30"/>
    <s v="Materials"/>
    <x v="0"/>
    <x v="3"/>
    <x v="4"/>
    <x v="0"/>
  </r>
  <r>
    <s v="Analyzer Status changed from Ready to Maintenance."/>
    <x v="0"/>
    <x v="0"/>
    <x v="19"/>
    <d v="1899-12-30T14:13:45"/>
    <s v="Analyzer"/>
    <x v="0"/>
    <x v="0"/>
    <x v="0"/>
    <x v="0"/>
  </r>
  <r>
    <s v="Analyzer Status changed from Maintenance to Ready."/>
    <x v="0"/>
    <x v="0"/>
    <x v="19"/>
    <d v="1899-12-30T14:14:28"/>
    <s v="Analyzer"/>
    <x v="0"/>
    <x v="0"/>
    <x v="0"/>
    <x v="0"/>
  </r>
  <r>
    <s v="Automatic maintenance activity Automatic Fluidic Line Priming Cycle has been executed."/>
    <x v="2"/>
    <x v="0"/>
    <x v="19"/>
    <d v="1899-12-30T14:14:28"/>
    <s v="Maintenance"/>
    <x v="0"/>
    <x v="2"/>
    <x v="2"/>
    <x v="0"/>
  </r>
  <r>
    <s v="Analyzer Status changed from Ready to Busy."/>
    <x v="0"/>
    <x v="0"/>
    <x v="19"/>
    <d v="1899-12-30T14:15:27"/>
    <s v="Analyzer"/>
    <x v="0"/>
    <x v="0"/>
    <x v="0"/>
    <x v="0"/>
  </r>
  <r>
    <s v="Analyzer Status changed from Busy to Ready."/>
    <x v="0"/>
    <x v="0"/>
    <x v="19"/>
    <d v="1899-12-30T14:21:54"/>
    <s v="Analyzer"/>
    <x v="0"/>
    <x v="0"/>
    <x v="0"/>
    <x v="0"/>
  </r>
  <r>
    <s v="Analyzer Status changed from Ready to Maintenance."/>
    <x v="0"/>
    <x v="0"/>
    <x v="19"/>
    <d v="1899-12-30T14:21:54"/>
    <s v="Analyzer"/>
    <x v="0"/>
    <x v="0"/>
    <x v="0"/>
    <x v="0"/>
  </r>
  <r>
    <s v="FXI-SP is inconsistent/disable/lock manual ordering."/>
    <x v="64"/>
    <x v="1"/>
    <x v="19"/>
    <d v="1899-12-30T14:21:54"/>
    <s v="Materials"/>
    <x v="0"/>
    <x v="2"/>
    <x v="3"/>
    <x v="0"/>
  </r>
  <r>
    <s v="Analyzer Status changed from Maintenance to Ready."/>
    <x v="0"/>
    <x v="0"/>
    <x v="19"/>
    <d v="1899-12-30T14:22:19"/>
    <s v="Analyzer"/>
    <x v="0"/>
    <x v="0"/>
    <x v="0"/>
    <x v="0"/>
  </r>
  <r>
    <s v="Automatic maintenance activity Automatic Routine Clean for all Probes has been executed."/>
    <x v="2"/>
    <x v="0"/>
    <x v="19"/>
    <d v="1899-12-30T14:22:19"/>
    <s v="Maintenance"/>
    <x v="0"/>
    <x v="2"/>
    <x v="2"/>
    <x v="0"/>
  </r>
  <r>
    <s v="Reflex Rule FXI XD has been modified."/>
    <x v="23"/>
    <x v="0"/>
    <x v="19"/>
    <d v="1899-12-30T14:29:06"/>
    <s v="Setup"/>
    <x v="0"/>
    <x v="2"/>
    <x v="5"/>
    <x v="0"/>
  </r>
  <r>
    <s v="Analyzer Status changed from Ready to Busy."/>
    <x v="0"/>
    <x v="0"/>
    <x v="19"/>
    <d v="1899-12-30T14:30:30"/>
    <s v="Analyzer"/>
    <x v="0"/>
    <x v="0"/>
    <x v="0"/>
    <x v="0"/>
  </r>
  <r>
    <s v="Communications between the instrument and the LIS have been lost."/>
    <x v="13"/>
    <x v="2"/>
    <x v="19"/>
    <d v="1899-12-30T14:35:56"/>
    <s v="LIS"/>
    <x v="0"/>
    <x v="2"/>
    <x v="6"/>
    <x v="0"/>
  </r>
  <r>
    <s v="FXI XDIL Parallelism job not feasible. Waiting for FXI Def. Plasma."/>
    <x v="26"/>
    <x v="1"/>
    <x v="19"/>
    <d v="1899-12-30T14:37:03"/>
    <s v="Materials"/>
    <x v="0"/>
    <x v="2"/>
    <x v="3"/>
    <x v="0"/>
  </r>
  <r>
    <s v="FXI XDIL Parallelism job not feasible. Waiting for APTT-SS CaCl2."/>
    <x v="26"/>
    <x v="1"/>
    <x v="19"/>
    <d v="1899-12-30T14:37:03"/>
    <s v="Materials"/>
    <x v="0"/>
    <x v="2"/>
    <x v="3"/>
    <x v="0"/>
  </r>
  <r>
    <s v="Analyzer Status changed from Busy to Ready."/>
    <x v="0"/>
    <x v="0"/>
    <x v="19"/>
    <d v="1899-12-30T14:37:03"/>
    <s v="Analyzer"/>
    <x v="0"/>
    <x v="0"/>
    <x v="0"/>
    <x v="0"/>
  </r>
  <r>
    <s v="Analyzer Status changed from Ready to Maintenance."/>
    <x v="0"/>
    <x v="0"/>
    <x v="19"/>
    <d v="1899-12-30T14:37:03"/>
    <s v="Analyzer"/>
    <x v="0"/>
    <x v="0"/>
    <x v="0"/>
    <x v="0"/>
  </r>
  <r>
    <s v="Analyzer Status changed from Maintenance to Ready."/>
    <x v="0"/>
    <x v="0"/>
    <x v="19"/>
    <d v="1899-12-30T14:37:23"/>
    <s v="Analyzer"/>
    <x v="0"/>
    <x v="0"/>
    <x v="0"/>
    <x v="0"/>
  </r>
  <r>
    <s v="Automatic maintenance activity Automatic Routine Clean for all Probes has been executed."/>
    <x v="2"/>
    <x v="0"/>
    <x v="19"/>
    <d v="1899-12-30T14:37:23"/>
    <s v="Maintenance"/>
    <x v="0"/>
    <x v="2"/>
    <x v="2"/>
    <x v="0"/>
  </r>
  <r>
    <s v="Non-identified Material in rack DC position 1, track 3."/>
    <x v="27"/>
    <x v="2"/>
    <x v="19"/>
    <d v="1899-12-30T14:49:50"/>
    <s v="Materials"/>
    <x v="0"/>
    <x v="2"/>
    <x v="3"/>
    <x v="0"/>
  </r>
  <r>
    <s v="FXI Def. Plasma insufficient material to run additional calibration / test."/>
    <x v="32"/>
    <x v="2"/>
    <x v="19"/>
    <d v="1899-12-30T14:50:01"/>
    <s v="Materials"/>
    <x v="0"/>
    <x v="3"/>
    <x v="4"/>
    <x v="0"/>
  </r>
  <r>
    <s v="FX Def. Plasma insufficient material to run additional calibration / test."/>
    <x v="32"/>
    <x v="2"/>
    <x v="19"/>
    <d v="1899-12-30T14:50:01"/>
    <s v="Materials"/>
    <x v="0"/>
    <x v="3"/>
    <x v="4"/>
    <x v="0"/>
  </r>
  <r>
    <s v="FII Def. Plasma volume low."/>
    <x v="7"/>
    <x v="1"/>
    <x v="19"/>
    <d v="1899-12-30T14:50:01"/>
    <s v="Materials"/>
    <x v="0"/>
    <x v="3"/>
    <x v="4"/>
    <x v="0"/>
  </r>
  <r>
    <s v="Non-identified Material in rack DC position 1, track 3."/>
    <x v="27"/>
    <x v="2"/>
    <x v="19"/>
    <d v="1899-12-30T14:51:25"/>
    <s v="Materials"/>
    <x v="0"/>
    <x v="2"/>
    <x v="3"/>
    <x v="0"/>
  </r>
  <r>
    <s v="Analyzer Status changed from Ready to Busy."/>
    <x v="0"/>
    <x v="0"/>
    <x v="19"/>
    <d v="1899-12-30T14:51:30"/>
    <s v="Analyzer"/>
    <x v="0"/>
    <x v="0"/>
    <x v="0"/>
    <x v="0"/>
  </r>
  <r>
    <s v="Analyzer Status changed from Busy to Ready."/>
    <x v="0"/>
    <x v="0"/>
    <x v="19"/>
    <d v="1899-12-30T15:00:52"/>
    <s v="Analyzer"/>
    <x v="0"/>
    <x v="0"/>
    <x v="0"/>
    <x v="0"/>
  </r>
  <r>
    <s v="Analyzer Status changed from Ready to Maintenance."/>
    <x v="0"/>
    <x v="0"/>
    <x v="19"/>
    <d v="1899-12-30T15:00:52"/>
    <s v="Analyzer"/>
    <x v="0"/>
    <x v="0"/>
    <x v="0"/>
    <x v="0"/>
  </r>
  <r>
    <s v="Analyzer Status changed from Maintenance to Ready."/>
    <x v="0"/>
    <x v="0"/>
    <x v="19"/>
    <d v="1899-12-30T15:01:19"/>
    <s v="Analyzer"/>
    <x v="0"/>
    <x v="0"/>
    <x v="0"/>
    <x v="0"/>
  </r>
  <r>
    <s v="Automatic maintenance activity Automatic Routine Clean for all Probes has been executed."/>
    <x v="2"/>
    <x v="0"/>
    <x v="19"/>
    <d v="1899-12-30T15:01:19"/>
    <s v="Maintenance"/>
    <x v="0"/>
    <x v="2"/>
    <x v="2"/>
    <x v="0"/>
  </r>
  <r>
    <s v="Test Definition FXII-SS has been modified."/>
    <x v="14"/>
    <x v="0"/>
    <x v="19"/>
    <d v="1899-12-30T15:01:21"/>
    <s v="Setup"/>
    <x v="0"/>
    <x v="2"/>
    <x v="5"/>
    <x v="0"/>
  </r>
  <r>
    <s v="Test Definition FXII XDL has been modified."/>
    <x v="14"/>
    <x v="0"/>
    <x v="19"/>
    <d v="1899-12-30T15:01:25"/>
    <s v="Setup"/>
    <x v="0"/>
    <x v="2"/>
    <x v="5"/>
    <x v="0"/>
  </r>
  <r>
    <s v="Test Definition FXII-SS has been modified."/>
    <x v="14"/>
    <x v="0"/>
    <x v="19"/>
    <d v="1899-12-30T15:01:37"/>
    <s v="Setup"/>
    <x v="0"/>
    <x v="2"/>
    <x v="5"/>
    <x v="0"/>
  </r>
  <r>
    <s v="Test Definition FXII XDL has been modified."/>
    <x v="14"/>
    <x v="0"/>
    <x v="19"/>
    <d v="1899-12-30T15:01:40"/>
    <s v="Setup"/>
    <x v="0"/>
    <x v="2"/>
    <x v="5"/>
    <x v="0"/>
  </r>
  <r>
    <s v="Analyzer Status changed from Ready to Busy."/>
    <x v="0"/>
    <x v="0"/>
    <x v="19"/>
    <d v="1899-12-30T15:07:54"/>
    <s v="Analyzer"/>
    <x v="0"/>
    <x v="0"/>
    <x v="0"/>
    <x v="0"/>
  </r>
  <r>
    <s v="FXII-SS Parallelism job not feasible. Waiting for FXII Def. Plasma."/>
    <x v="26"/>
    <x v="1"/>
    <x v="19"/>
    <d v="1899-12-30T15:07:55"/>
    <s v="Materials"/>
    <x v="0"/>
    <x v="2"/>
    <x v="3"/>
    <x v="0"/>
  </r>
  <r>
    <s v="Analyzer Status changed from Busy to Ready."/>
    <x v="0"/>
    <x v="0"/>
    <x v="19"/>
    <d v="1899-12-30T15:07:55"/>
    <s v="Analyzer"/>
    <x v="0"/>
    <x v="0"/>
    <x v="0"/>
    <x v="0"/>
  </r>
  <r>
    <s v="Analyzer Status changed from Ready to Busy."/>
    <x v="0"/>
    <x v="0"/>
    <x v="19"/>
    <d v="1899-12-30T15:08:25"/>
    <s v="Analyzer"/>
    <x v="0"/>
    <x v="0"/>
    <x v="0"/>
    <x v="0"/>
  </r>
  <r>
    <s v="FXII-SS Parallelism job not feasible. Waiting for APTT-SS CaCl2."/>
    <x v="26"/>
    <x v="1"/>
    <x v="19"/>
    <d v="1899-12-30T15:08:26"/>
    <s v="Materials"/>
    <x v="0"/>
    <x v="2"/>
    <x v="3"/>
    <x v="0"/>
  </r>
  <r>
    <s v="Analyzer Status changed from Busy to Ready."/>
    <x v="0"/>
    <x v="0"/>
    <x v="19"/>
    <d v="1899-12-30T15:08:26"/>
    <s v="Analyzer"/>
    <x v="0"/>
    <x v="0"/>
    <x v="0"/>
    <x v="0"/>
  </r>
  <r>
    <s v="PT RecombiPlasTin volume low."/>
    <x v="7"/>
    <x v="1"/>
    <x v="19"/>
    <d v="1899-12-30T15:09:19"/>
    <s v="Materials"/>
    <x v="0"/>
    <x v="3"/>
    <x v="4"/>
    <x v="0"/>
  </r>
  <r>
    <s v="APTT-SS CaCl2 volume low."/>
    <x v="7"/>
    <x v="1"/>
    <x v="19"/>
    <d v="1899-12-30T15:09:19"/>
    <s v="Materials"/>
    <x v="0"/>
    <x v="3"/>
    <x v="4"/>
    <x v="0"/>
  </r>
  <r>
    <s v="Non-identified Material in rack RF position 5, track 5."/>
    <x v="27"/>
    <x v="2"/>
    <x v="19"/>
    <d v="1899-12-30T15:09:19"/>
    <s v="Materials"/>
    <x v="0"/>
    <x v="2"/>
    <x v="3"/>
    <x v="0"/>
  </r>
  <r>
    <s v="APTT-SS CaCl2 volume low."/>
    <x v="7"/>
    <x v="1"/>
    <x v="19"/>
    <d v="1899-12-30T15:09:55"/>
    <s v="Materials"/>
    <x v="0"/>
    <x v="3"/>
    <x v="4"/>
    <x v="0"/>
  </r>
  <r>
    <s v="Analyzer Status changed from Ready to Busy."/>
    <x v="0"/>
    <x v="0"/>
    <x v="19"/>
    <d v="1899-12-30T15:10:11"/>
    <s v="Analyzer"/>
    <x v="0"/>
    <x v="0"/>
    <x v="0"/>
    <x v="0"/>
  </r>
  <r>
    <s v="FXI XDIL Parallelism job not feasible. Waiting for APTT-SS."/>
    <x v="26"/>
    <x v="1"/>
    <x v="19"/>
    <d v="1899-12-30T15:10:12"/>
    <s v="Materials"/>
    <x v="0"/>
    <x v="2"/>
    <x v="3"/>
    <x v="0"/>
  </r>
  <r>
    <s v="Analyzer Status changed from Busy to Ready."/>
    <x v="0"/>
    <x v="0"/>
    <x v="19"/>
    <d v="1899-12-30T15:22:27"/>
    <s v="Analyzer"/>
    <x v="0"/>
    <x v="0"/>
    <x v="0"/>
    <x v="0"/>
  </r>
  <r>
    <s v="Analyzer Status changed from Ready to Maintenance."/>
    <x v="0"/>
    <x v="0"/>
    <x v="19"/>
    <d v="1899-12-30T15:22:27"/>
    <s v="Analyzer"/>
    <x v="0"/>
    <x v="0"/>
    <x v="0"/>
    <x v="0"/>
  </r>
  <r>
    <s v="Automatic maintenance activity Automatic Routine Clean for all Probes has been executed."/>
    <x v="2"/>
    <x v="0"/>
    <x v="19"/>
    <d v="1899-12-30T15:22:52"/>
    <s v="Maintenance"/>
    <x v="0"/>
    <x v="2"/>
    <x v="2"/>
    <x v="0"/>
  </r>
  <r>
    <s v="Analyzer Status changed from Maintenance to Ready."/>
    <x v="0"/>
    <x v="0"/>
    <x v="19"/>
    <d v="1899-12-30T15:22:53"/>
    <s v="Analyzer"/>
    <x v="0"/>
    <x v="0"/>
    <x v="0"/>
    <x v="0"/>
  </r>
  <r>
    <s v="Automatic logout."/>
    <x v="62"/>
    <x v="0"/>
    <x v="19"/>
    <d v="1899-12-30T16:17:59"/>
    <s v="Other"/>
    <x v="0"/>
    <x v="4"/>
    <x v="7"/>
    <x v="1"/>
  </r>
  <r>
    <s v="Analyzer Status changed from Ready to Maintenance."/>
    <x v="0"/>
    <x v="0"/>
    <x v="19"/>
    <d v="1899-12-30T16:22:53"/>
    <s v="Analyzer"/>
    <x v="1"/>
    <x v="0"/>
    <x v="0"/>
    <x v="0"/>
  </r>
  <r>
    <s v="Automatic maintenance activity Automatic Fluidic Line Priming Cycle has been executed."/>
    <x v="2"/>
    <x v="0"/>
    <x v="19"/>
    <d v="1899-12-30T16:23:14"/>
    <s v="Maintenance"/>
    <x v="1"/>
    <x v="2"/>
    <x v="2"/>
    <x v="0"/>
  </r>
  <r>
    <s v="Analyzer Status changed from Maintenance to Ready."/>
    <x v="0"/>
    <x v="0"/>
    <x v="19"/>
    <d v="1899-12-30T16:23:15"/>
    <s v="Analyzer"/>
    <x v="1"/>
    <x v="0"/>
    <x v="0"/>
    <x v="0"/>
  </r>
  <r>
    <s v="Analyzer Status changed from Ready to Maintenance."/>
    <x v="0"/>
    <x v="0"/>
    <x v="19"/>
    <d v="1899-12-30T17:23:15"/>
    <s v="Analyzer"/>
    <x v="1"/>
    <x v="0"/>
    <x v="0"/>
    <x v="0"/>
  </r>
  <r>
    <s v="Analyzer Status changed from Maintenance to Ready."/>
    <x v="0"/>
    <x v="0"/>
    <x v="19"/>
    <d v="1899-12-30T17:23:36"/>
    <s v="Analyzer"/>
    <x v="1"/>
    <x v="0"/>
    <x v="0"/>
    <x v="0"/>
  </r>
  <r>
    <s v="Automatic maintenance activity Automatic Fluidic Line Priming Cycle has been executed."/>
    <x v="2"/>
    <x v="0"/>
    <x v="19"/>
    <d v="1899-12-30T17:23:36"/>
    <s v="Maintenance"/>
    <x v="1"/>
    <x v="2"/>
    <x v="2"/>
    <x v="0"/>
  </r>
  <r>
    <s v="Analyzer Status changed from Ready to Maintenance."/>
    <x v="0"/>
    <x v="0"/>
    <x v="19"/>
    <d v="1899-12-30T18:23:37"/>
    <s v="Analyzer"/>
    <x v="1"/>
    <x v="0"/>
    <x v="0"/>
    <x v="0"/>
  </r>
  <r>
    <s v="Analyzer Status changed from Maintenance to Ready."/>
    <x v="0"/>
    <x v="0"/>
    <x v="19"/>
    <d v="1899-12-30T18:23:58"/>
    <s v="Analyzer"/>
    <x v="1"/>
    <x v="0"/>
    <x v="0"/>
    <x v="0"/>
  </r>
  <r>
    <s v="Automatic maintenance activity Automatic Fluidic Line Priming Cycle has been executed."/>
    <x v="2"/>
    <x v="0"/>
    <x v="19"/>
    <d v="1899-12-30T18:23:58"/>
    <s v="Maintenance"/>
    <x v="1"/>
    <x v="2"/>
    <x v="2"/>
    <x v="0"/>
  </r>
  <r>
    <s v="Analyzer Status changed from Ready to Maintenance."/>
    <x v="0"/>
    <x v="0"/>
    <x v="19"/>
    <d v="1899-12-30T19:23:59"/>
    <s v="Analyzer"/>
    <x v="1"/>
    <x v="0"/>
    <x v="0"/>
    <x v="0"/>
  </r>
  <r>
    <s v="Analyzer Status changed from Maintenance to Ready."/>
    <x v="0"/>
    <x v="0"/>
    <x v="19"/>
    <d v="1899-12-30T19:24:20"/>
    <s v="Analyzer"/>
    <x v="1"/>
    <x v="0"/>
    <x v="0"/>
    <x v="0"/>
  </r>
  <r>
    <s v="Automatic maintenance activity Automatic Fluidic Line Priming Cycle has been executed."/>
    <x v="2"/>
    <x v="0"/>
    <x v="19"/>
    <d v="1899-12-30T19:24:20"/>
    <s v="Maintenance"/>
    <x v="1"/>
    <x v="2"/>
    <x v="2"/>
    <x v="0"/>
  </r>
  <r>
    <s v="Analyzer Status changed from Ready to Maintenance."/>
    <x v="0"/>
    <x v="0"/>
    <x v="19"/>
    <d v="1899-12-30T20:24:21"/>
    <s v="Analyzer"/>
    <x v="1"/>
    <x v="0"/>
    <x v="0"/>
    <x v="0"/>
  </r>
  <r>
    <s v="Analyzer Status changed from Maintenance to Ready."/>
    <x v="0"/>
    <x v="0"/>
    <x v="19"/>
    <d v="1899-12-30T20:24:42"/>
    <s v="Analyzer"/>
    <x v="1"/>
    <x v="0"/>
    <x v="0"/>
    <x v="0"/>
  </r>
  <r>
    <s v="Automatic maintenance activity Automatic Fluidic Line Priming Cycle has been executed."/>
    <x v="2"/>
    <x v="0"/>
    <x v="19"/>
    <d v="1899-12-30T20:24:42"/>
    <s v="Maintenance"/>
    <x v="1"/>
    <x v="2"/>
    <x v="2"/>
    <x v="0"/>
  </r>
  <r>
    <s v="Analyzer Status changed from Ready to Maintenance."/>
    <x v="0"/>
    <x v="0"/>
    <x v="19"/>
    <d v="1899-12-30T21:24:42"/>
    <s v="Analyzer"/>
    <x v="1"/>
    <x v="0"/>
    <x v="0"/>
    <x v="0"/>
  </r>
  <r>
    <s v="Analyzer Status changed from Maintenance to Ready."/>
    <x v="0"/>
    <x v="0"/>
    <x v="19"/>
    <d v="1899-12-30T21:25:04"/>
    <s v="Analyzer"/>
    <x v="1"/>
    <x v="0"/>
    <x v="0"/>
    <x v="0"/>
  </r>
  <r>
    <s v="Automatic maintenance activity Automatic Fluidic Line Priming Cycle has been executed."/>
    <x v="2"/>
    <x v="0"/>
    <x v="19"/>
    <d v="1899-12-30T21:25:04"/>
    <s v="Maintenance"/>
    <x v="1"/>
    <x v="2"/>
    <x v="2"/>
    <x v="0"/>
  </r>
  <r>
    <s v="Analyzer Status changed from Ready to Maintenance."/>
    <x v="0"/>
    <x v="0"/>
    <x v="19"/>
    <d v="1899-12-30T22:25:04"/>
    <s v="Analyzer"/>
    <x v="1"/>
    <x v="0"/>
    <x v="0"/>
    <x v="0"/>
  </r>
  <r>
    <s v="Analyzer Status changed from Maintenance to Ready."/>
    <x v="0"/>
    <x v="0"/>
    <x v="19"/>
    <d v="1899-12-30T22:25:26"/>
    <s v="Analyzer"/>
    <x v="1"/>
    <x v="0"/>
    <x v="0"/>
    <x v="0"/>
  </r>
  <r>
    <s v="Automatic maintenance activity Automatic Fluidic Line Priming Cycle has been executed."/>
    <x v="2"/>
    <x v="0"/>
    <x v="19"/>
    <d v="1899-12-30T22:25:26"/>
    <s v="Maintenance"/>
    <x v="1"/>
    <x v="2"/>
    <x v="2"/>
    <x v="0"/>
  </r>
  <r>
    <s v="Analyzer Status changed from Ready to Maintenance."/>
    <x v="0"/>
    <x v="0"/>
    <x v="19"/>
    <d v="1899-12-30T23:25:26"/>
    <s v="Analyzer"/>
    <x v="1"/>
    <x v="0"/>
    <x v="0"/>
    <x v="0"/>
  </r>
  <r>
    <s v="Analyzer Status changed from Maintenance to Ready."/>
    <x v="0"/>
    <x v="0"/>
    <x v="19"/>
    <d v="1899-12-30T23:25:48"/>
    <s v="Analyzer"/>
    <x v="1"/>
    <x v="0"/>
    <x v="0"/>
    <x v="0"/>
  </r>
  <r>
    <s v="Automatic maintenance activity Automatic Fluidic Line Priming Cycle has been executed."/>
    <x v="2"/>
    <x v="0"/>
    <x v="19"/>
    <d v="1899-12-30T23:25:48"/>
    <s v="Maintenance"/>
    <x v="1"/>
    <x v="2"/>
    <x v="2"/>
    <x v="0"/>
  </r>
  <r>
    <s v="Analyzer Status changed from Ready to Maintenance."/>
    <x v="0"/>
    <x v="0"/>
    <x v="20"/>
    <d v="1899-12-30T00:25:49"/>
    <s v="Analyzer"/>
    <x v="1"/>
    <x v="0"/>
    <x v="0"/>
    <x v="0"/>
  </r>
  <r>
    <s v="Analyzer Status changed from Maintenance to Ready."/>
    <x v="0"/>
    <x v="0"/>
    <x v="20"/>
    <d v="1899-12-30T00:26:10"/>
    <s v="Analyzer"/>
    <x v="1"/>
    <x v="0"/>
    <x v="0"/>
    <x v="0"/>
  </r>
  <r>
    <s v="Automatic maintenance activity Automatic Fluidic Line Priming Cycle has been executed."/>
    <x v="2"/>
    <x v="0"/>
    <x v="20"/>
    <d v="1899-12-30T00:26:10"/>
    <s v="Maintenance"/>
    <x v="1"/>
    <x v="2"/>
    <x v="2"/>
    <x v="0"/>
  </r>
  <r>
    <s v="Analyzer Status changed from Ready to Maintenance."/>
    <x v="0"/>
    <x v="0"/>
    <x v="20"/>
    <d v="1899-12-30T01:26:10"/>
    <s v="Analyzer"/>
    <x v="1"/>
    <x v="0"/>
    <x v="0"/>
    <x v="0"/>
  </r>
  <r>
    <s v="Analyzer Status changed from Maintenance to Ready."/>
    <x v="0"/>
    <x v="0"/>
    <x v="20"/>
    <d v="1899-12-30T01:26:32"/>
    <s v="Analyzer"/>
    <x v="1"/>
    <x v="0"/>
    <x v="0"/>
    <x v="0"/>
  </r>
  <r>
    <s v="Automatic maintenance activity Automatic Fluidic Line Priming Cycle has been executed."/>
    <x v="2"/>
    <x v="0"/>
    <x v="20"/>
    <d v="1899-12-30T01:26:32"/>
    <s v="Maintenance"/>
    <x v="1"/>
    <x v="2"/>
    <x v="2"/>
    <x v="0"/>
  </r>
  <r>
    <s v="Analyzer Status changed from Ready to Maintenance."/>
    <x v="0"/>
    <x v="0"/>
    <x v="20"/>
    <d v="1899-12-30T02:26:32"/>
    <s v="Analyzer"/>
    <x v="1"/>
    <x v="0"/>
    <x v="0"/>
    <x v="0"/>
  </r>
  <r>
    <s v="Analyzer Status changed from Maintenance to Ready."/>
    <x v="0"/>
    <x v="0"/>
    <x v="20"/>
    <d v="1899-12-30T02:26:54"/>
    <s v="Analyzer"/>
    <x v="1"/>
    <x v="0"/>
    <x v="0"/>
    <x v="0"/>
  </r>
  <r>
    <s v="Automatic maintenance activity Automatic Fluidic Line Priming Cycle has been executed."/>
    <x v="2"/>
    <x v="0"/>
    <x v="20"/>
    <d v="1899-12-30T02:26:54"/>
    <s v="Maintenance"/>
    <x v="1"/>
    <x v="2"/>
    <x v="2"/>
    <x v="0"/>
  </r>
  <r>
    <s v="Analyzer Status changed from Ready to Maintenance."/>
    <x v="0"/>
    <x v="0"/>
    <x v="20"/>
    <d v="1899-12-30T03:26:54"/>
    <s v="Analyzer"/>
    <x v="1"/>
    <x v="0"/>
    <x v="0"/>
    <x v="0"/>
  </r>
  <r>
    <s v="Analyzer Status changed from Maintenance to Ready."/>
    <x v="0"/>
    <x v="0"/>
    <x v="20"/>
    <d v="1899-12-30T03:27:16"/>
    <s v="Analyzer"/>
    <x v="1"/>
    <x v="0"/>
    <x v="0"/>
    <x v="0"/>
  </r>
  <r>
    <s v="Automatic maintenance activity Automatic Fluidic Line Priming Cycle has been executed."/>
    <x v="2"/>
    <x v="0"/>
    <x v="20"/>
    <d v="1899-12-30T03:27:16"/>
    <s v="Maintenance"/>
    <x v="1"/>
    <x v="2"/>
    <x v="2"/>
    <x v="0"/>
  </r>
  <r>
    <s v="Analyzer Status changed from Ready to Maintenance."/>
    <x v="0"/>
    <x v="0"/>
    <x v="20"/>
    <d v="1899-12-30T04:27:16"/>
    <s v="Analyzer"/>
    <x v="1"/>
    <x v="0"/>
    <x v="0"/>
    <x v="0"/>
  </r>
  <r>
    <s v="Analyzer Status changed from Maintenance to Ready."/>
    <x v="0"/>
    <x v="0"/>
    <x v="20"/>
    <d v="1899-12-30T04:27:38"/>
    <s v="Analyzer"/>
    <x v="1"/>
    <x v="0"/>
    <x v="0"/>
    <x v="0"/>
  </r>
  <r>
    <s v="Automatic maintenance activity Automatic Fluidic Line Priming Cycle has been executed."/>
    <x v="2"/>
    <x v="0"/>
    <x v="20"/>
    <d v="1899-12-30T04:27:38"/>
    <s v="Maintenance"/>
    <x v="1"/>
    <x v="2"/>
    <x v="2"/>
    <x v="0"/>
  </r>
  <r>
    <s v="Analyzer Status changed from Ready to Maintenance."/>
    <x v="0"/>
    <x v="0"/>
    <x v="20"/>
    <d v="1899-12-30T05:27:38"/>
    <s v="Analyzer"/>
    <x v="1"/>
    <x v="0"/>
    <x v="0"/>
    <x v="0"/>
  </r>
  <r>
    <s v="Analyzer Status changed from Maintenance to Ready."/>
    <x v="0"/>
    <x v="0"/>
    <x v="20"/>
    <d v="1899-12-30T05:28:00"/>
    <s v="Analyzer"/>
    <x v="1"/>
    <x v="0"/>
    <x v="0"/>
    <x v="0"/>
  </r>
  <r>
    <s v="Automatic maintenance activity Automatic Fluidic Line Priming Cycle has been executed."/>
    <x v="2"/>
    <x v="0"/>
    <x v="20"/>
    <d v="1899-12-30T05:28:00"/>
    <s v="Maintenance"/>
    <x v="1"/>
    <x v="2"/>
    <x v="2"/>
    <x v="0"/>
  </r>
  <r>
    <s v="Analyzer Status changed from Ready to Maintenance."/>
    <x v="0"/>
    <x v="0"/>
    <x v="20"/>
    <d v="1899-12-30T06:28:00"/>
    <s v="Analyzer"/>
    <x v="1"/>
    <x v="0"/>
    <x v="0"/>
    <x v="0"/>
  </r>
  <r>
    <s v="Analyzer Status changed from Maintenance to Ready."/>
    <x v="0"/>
    <x v="0"/>
    <x v="20"/>
    <d v="1899-12-30T06:28:22"/>
    <s v="Analyzer"/>
    <x v="1"/>
    <x v="0"/>
    <x v="0"/>
    <x v="0"/>
  </r>
  <r>
    <s v="Automatic maintenance activity Automatic Fluidic Line Priming Cycle has been executed."/>
    <x v="2"/>
    <x v="0"/>
    <x v="20"/>
    <d v="1899-12-30T06:28:22"/>
    <s v="Maintenance"/>
    <x v="1"/>
    <x v="2"/>
    <x v="2"/>
    <x v="0"/>
  </r>
  <r>
    <s v="Successful log in by user: LHO."/>
    <x v="18"/>
    <x v="0"/>
    <x v="20"/>
    <d v="1899-12-30T07:08:57"/>
    <s v="Other"/>
    <x v="0"/>
    <x v="2"/>
    <x v="5"/>
    <x v="0"/>
  </r>
  <r>
    <s v="Analyzer Status changed from Ready to Maintenance."/>
    <x v="0"/>
    <x v="0"/>
    <x v="20"/>
    <d v="1899-12-30T07:09:16"/>
    <s v="Analyzer"/>
    <x v="0"/>
    <x v="0"/>
    <x v="0"/>
    <x v="0"/>
  </r>
  <r>
    <s v="Analyzer Status changed from Maintenance to Emergency stop."/>
    <x v="0"/>
    <x v="0"/>
    <x v="20"/>
    <d v="1899-12-30T07:10:00"/>
    <s v="Analyzer"/>
    <x v="0"/>
    <x v="0"/>
    <x v="0"/>
    <x v="0"/>
  </r>
  <r>
    <s v="Analyzer Status changed from Emergency stop to Not connected."/>
    <x v="0"/>
    <x v="0"/>
    <x v="20"/>
    <d v="1899-12-30T07:10:00"/>
    <s v="Analyzer"/>
    <x v="0"/>
    <x v="0"/>
    <x v="0"/>
    <x v="0"/>
  </r>
  <r>
    <s v="Frequency status for manual maintenance activity Wipe-down all Probes has changed to OK."/>
    <x v="3"/>
    <x v="0"/>
    <x v="20"/>
    <d v="1899-12-30T07:10:02"/>
    <s v="Maintenance"/>
    <x v="0"/>
    <x v="2"/>
    <x v="2"/>
    <x v="0"/>
  </r>
  <r>
    <s v="Frequency status for manual maintenance activity Wipe-down Sample Probe has changed to OK."/>
    <x v="3"/>
    <x v="0"/>
    <x v="20"/>
    <d v="1899-12-30T07:10:02"/>
    <s v="Maintenance"/>
    <x v="0"/>
    <x v="2"/>
    <x v="2"/>
    <x v="0"/>
  </r>
  <r>
    <s v="Frequency status for manual maintenance activity Wipe-down LAS Probe has changed to OK."/>
    <x v="3"/>
    <x v="0"/>
    <x v="20"/>
    <d v="1899-12-30T07:10:02"/>
    <s v="Maintenance"/>
    <x v="0"/>
    <x v="2"/>
    <x v="2"/>
    <x v="0"/>
  </r>
  <r>
    <s v="Manual maintenance activity Wipe-down all Probes has been executed."/>
    <x v="5"/>
    <x v="0"/>
    <x v="20"/>
    <d v="1899-12-30T07:10:02"/>
    <s v="Maintenance"/>
    <x v="0"/>
    <x v="2"/>
    <x v="2"/>
    <x v="0"/>
  </r>
  <r>
    <s v="Analyzer Status changed from Not connected to Power up."/>
    <x v="0"/>
    <x v="0"/>
    <x v="20"/>
    <d v="1899-12-30T07:10:41"/>
    <s v="Analyzer"/>
    <x v="0"/>
    <x v="0"/>
    <x v="0"/>
    <x v="0"/>
  </r>
  <r>
    <s v="Analyzer Status changed from Power up to Initializing."/>
    <x v="0"/>
    <x v="0"/>
    <x v="20"/>
    <d v="1899-12-30T07:10:51"/>
    <s v="Analyzer"/>
    <x v="0"/>
    <x v="0"/>
    <x v="0"/>
    <x v="0"/>
  </r>
  <r>
    <s v="Maintenance activity overdue: Clean Cuvette Waste Drawer."/>
    <x v="20"/>
    <x v="1"/>
    <x v="20"/>
    <d v="1899-12-30T07:11:40"/>
    <s v="Maintenance"/>
    <x v="0"/>
    <x v="2"/>
    <x v="2"/>
    <x v="0"/>
  </r>
  <r>
    <s v="AT Liq FXa volume low."/>
    <x v="7"/>
    <x v="1"/>
    <x v="20"/>
    <d v="1899-12-30T07:12:01"/>
    <s v="Materials"/>
    <x v="0"/>
    <x v="3"/>
    <x v="4"/>
    <x v="0"/>
  </r>
  <r>
    <s v="APTT-SS volume low."/>
    <x v="7"/>
    <x v="1"/>
    <x v="20"/>
    <d v="1899-12-30T07:12:01"/>
    <s v="Materials"/>
    <x v="0"/>
    <x v="3"/>
    <x v="4"/>
    <x v="0"/>
  </r>
  <r>
    <s v="PT RecombiPlasTin volume low."/>
    <x v="7"/>
    <x v="1"/>
    <x v="20"/>
    <d v="1899-12-30T07:12:17"/>
    <s v="Materials"/>
    <x v="0"/>
    <x v="3"/>
    <x v="4"/>
    <x v="0"/>
  </r>
  <r>
    <s v="APTT-SS CaCl2 volume low."/>
    <x v="7"/>
    <x v="1"/>
    <x v="20"/>
    <d v="1899-12-30T07:12:17"/>
    <s v="Materials"/>
    <x v="0"/>
    <x v="3"/>
    <x v="4"/>
    <x v="0"/>
  </r>
  <r>
    <s v="Non-identified Material in rack RF position 5, track 5."/>
    <x v="27"/>
    <x v="2"/>
    <x v="20"/>
    <d v="1899-12-30T07:12:17"/>
    <s v="Materials"/>
    <x v="0"/>
    <x v="2"/>
    <x v="3"/>
    <x v="0"/>
  </r>
  <r>
    <s v="Analyzer Status changed from Initializing to Adjusting thermal."/>
    <x v="0"/>
    <x v="0"/>
    <x v="20"/>
    <d v="1899-12-30T07:12:40"/>
    <s v="Analyzer"/>
    <x v="0"/>
    <x v="0"/>
    <x v="0"/>
    <x v="0"/>
  </r>
  <r>
    <s v="Cuvettes waste drawer missing."/>
    <x v="29"/>
    <x v="2"/>
    <x v="20"/>
    <d v="1899-12-30T07:13:51"/>
    <s v="Materials"/>
    <x v="0"/>
    <x v="5"/>
    <x v="11"/>
    <x v="0"/>
  </r>
  <r>
    <s v="Cuvettes waste drawer missing."/>
    <x v="29"/>
    <x v="2"/>
    <x v="20"/>
    <d v="1899-12-30T07:13:51"/>
    <s v="Materials"/>
    <x v="0"/>
    <x v="5"/>
    <x v="11"/>
    <x v="0"/>
  </r>
  <r>
    <s v="Analyzer Status changed from Adjusting thermal to Error."/>
    <x v="0"/>
    <x v="0"/>
    <x v="20"/>
    <d v="1899-12-30T07:13:51"/>
    <s v="Analyzer"/>
    <x v="0"/>
    <x v="0"/>
    <x v="0"/>
    <x v="0"/>
  </r>
  <r>
    <s v="Analyzer Status changed from Error to Adjusting thermal."/>
    <x v="0"/>
    <x v="0"/>
    <x v="20"/>
    <d v="1899-12-30T07:14:13"/>
    <s v="Analyzer"/>
    <x v="0"/>
    <x v="0"/>
    <x v="0"/>
    <x v="0"/>
  </r>
  <r>
    <s v="Analyzer Status changed from Adjusting thermal to Ready."/>
    <x v="0"/>
    <x v="0"/>
    <x v="20"/>
    <d v="1899-12-30T07:15:04"/>
    <s v="Analyzer"/>
    <x v="0"/>
    <x v="0"/>
    <x v="0"/>
    <x v="0"/>
  </r>
  <r>
    <s v="Analyzer Status changed from Ready to Maintenance."/>
    <x v="0"/>
    <x v="0"/>
    <x v="20"/>
    <d v="1899-12-30T07:15:04"/>
    <s v="Analyzer"/>
    <x v="0"/>
    <x v="0"/>
    <x v="0"/>
    <x v="0"/>
  </r>
  <r>
    <s v="Cuvettes low in the load area."/>
    <x v="15"/>
    <x v="1"/>
    <x v="20"/>
    <d v="1899-12-30T07:15:14"/>
    <s v="Materials"/>
    <x v="0"/>
    <x v="5"/>
    <x v="8"/>
    <x v="0"/>
  </r>
  <r>
    <s v="Analyzer Status changed from Maintenance to Ready."/>
    <x v="0"/>
    <x v="0"/>
    <x v="20"/>
    <d v="1899-12-30T07:16:18"/>
    <s v="Analyzer"/>
    <x v="0"/>
    <x v="0"/>
    <x v="0"/>
    <x v="0"/>
  </r>
  <r>
    <s v="Analyzer Status changed from Ready to Maintenance."/>
    <x v="0"/>
    <x v="0"/>
    <x v="20"/>
    <d v="1899-12-30T07:17:24"/>
    <s v="Analyzer"/>
    <x v="0"/>
    <x v="0"/>
    <x v="0"/>
    <x v="0"/>
  </r>
  <r>
    <s v="Analyzer Status changed from Maintenance to Ready."/>
    <x v="0"/>
    <x v="0"/>
    <x v="20"/>
    <d v="1899-12-30T07:22:15"/>
    <s v="Analyzer"/>
    <x v="0"/>
    <x v="0"/>
    <x v="0"/>
    <x v="0"/>
  </r>
  <r>
    <s v="Frequency status for manual maintenance activity Enhanced Clean for all Probes has changed to OK."/>
    <x v="3"/>
    <x v="0"/>
    <x v="20"/>
    <d v="1899-12-30T07:22:15"/>
    <s v="Maintenance"/>
    <x v="0"/>
    <x v="2"/>
    <x v="2"/>
    <x v="0"/>
  </r>
  <r>
    <s v="Frequency status for manual maintenance activity Enhanced Clean for Sample and Reagent Probes has changed to OK."/>
    <x v="3"/>
    <x v="0"/>
    <x v="20"/>
    <d v="1899-12-30T07:22:15"/>
    <s v="Maintenance"/>
    <x v="0"/>
    <x v="2"/>
    <x v="2"/>
    <x v="0"/>
  </r>
  <r>
    <s v="Semiautomatic maintenance activity Enhanced Clean for all Probes has been executed."/>
    <x v="4"/>
    <x v="0"/>
    <x v="20"/>
    <d v="1899-12-30T07:22:15"/>
    <s v="Maintenance"/>
    <x v="0"/>
    <x v="2"/>
    <x v="2"/>
    <x v="0"/>
  </r>
  <r>
    <s v="Analyzer Status changed from Ready to Maintenance."/>
    <x v="0"/>
    <x v="0"/>
    <x v="20"/>
    <d v="1899-12-30T07:26:49"/>
    <s v="Analyzer"/>
    <x v="0"/>
    <x v="0"/>
    <x v="0"/>
    <x v="0"/>
  </r>
  <r>
    <s v="Analyzer Status changed from Maintenance to Ready."/>
    <x v="0"/>
    <x v="0"/>
    <x v="20"/>
    <d v="1899-12-30T07:26:52"/>
    <s v="Analyzer"/>
    <x v="0"/>
    <x v="0"/>
    <x v="0"/>
    <x v="0"/>
  </r>
  <r>
    <s v="Frequency status for manual maintenance activity make new diluted clean B has changed to OK."/>
    <x v="3"/>
    <x v="0"/>
    <x v="20"/>
    <d v="1899-12-30T07:26:52"/>
    <s v="Maintenance"/>
    <x v="0"/>
    <x v="2"/>
    <x v="2"/>
    <x v="0"/>
  </r>
  <r>
    <s v="Manual maintenance activity make new diluted clean B has been executed."/>
    <x v="5"/>
    <x v="0"/>
    <x v="20"/>
    <d v="1899-12-30T07:26:52"/>
    <s v="Maintenance"/>
    <x v="0"/>
    <x v="2"/>
    <x v="2"/>
    <x v="0"/>
  </r>
  <r>
    <s v="Analyzer Status changed from Ready to Maintenance."/>
    <x v="0"/>
    <x v="0"/>
    <x v="20"/>
    <d v="1899-12-30T07:26:54"/>
    <s v="Analyzer"/>
    <x v="0"/>
    <x v="0"/>
    <x v="0"/>
    <x v="0"/>
  </r>
  <r>
    <s v="Analyzer Status changed from Maintenance to Ready."/>
    <x v="0"/>
    <x v="0"/>
    <x v="20"/>
    <d v="1899-12-30T07:26:56"/>
    <s v="Analyzer"/>
    <x v="0"/>
    <x v="0"/>
    <x v="0"/>
    <x v="0"/>
  </r>
  <r>
    <s v="Frequency status for manual maintenance activity Clean Cuvette Waste Drawer has changed to OK."/>
    <x v="3"/>
    <x v="0"/>
    <x v="20"/>
    <d v="1899-12-30T07:26:56"/>
    <s v="Maintenance"/>
    <x v="0"/>
    <x v="2"/>
    <x v="2"/>
    <x v="0"/>
  </r>
  <r>
    <s v="Manual maintenance activity Clean Cuvette Waste Drawer has been executed."/>
    <x v="5"/>
    <x v="0"/>
    <x v="20"/>
    <d v="1899-12-30T07:26:56"/>
    <s v="Maintenance"/>
    <x v="0"/>
    <x v="2"/>
    <x v="2"/>
    <x v="0"/>
  </r>
  <r>
    <s v="Analyzer Status changed from Ready to Maintenance."/>
    <x v="0"/>
    <x v="0"/>
    <x v="20"/>
    <d v="1899-12-30T07:27:00"/>
    <s v="Analyzer"/>
    <x v="0"/>
    <x v="0"/>
    <x v="0"/>
    <x v="0"/>
  </r>
  <r>
    <s v="Analyzer Status changed from Maintenance to Ready."/>
    <x v="0"/>
    <x v="0"/>
    <x v="20"/>
    <d v="1899-12-30T07:27:02"/>
    <s v="Analyzer"/>
    <x v="0"/>
    <x v="0"/>
    <x v="0"/>
    <x v="0"/>
  </r>
  <r>
    <s v="Frequency status for manual maintenance activity replace factor diluent has changed to OK."/>
    <x v="3"/>
    <x v="0"/>
    <x v="20"/>
    <d v="1899-12-30T07:27:02"/>
    <s v="Maintenance"/>
    <x v="0"/>
    <x v="2"/>
    <x v="2"/>
    <x v="0"/>
  </r>
  <r>
    <s v="Manual maintenance activity replace factor diluent has been executed."/>
    <x v="5"/>
    <x v="0"/>
    <x v="20"/>
    <d v="1899-12-30T07:27:02"/>
    <s v="Maintenance"/>
    <x v="0"/>
    <x v="2"/>
    <x v="2"/>
    <x v="0"/>
  </r>
  <r>
    <s v="Analyzer Status changed from Ready to Maintenance."/>
    <x v="0"/>
    <x v="0"/>
    <x v="20"/>
    <d v="1899-12-30T07:27:09"/>
    <s v="Analyzer"/>
    <x v="0"/>
    <x v="0"/>
    <x v="0"/>
    <x v="0"/>
  </r>
  <r>
    <s v="Analyzer Status changed from Maintenance to Ready."/>
    <x v="0"/>
    <x v="0"/>
    <x v="20"/>
    <d v="1899-12-30T07:27:12"/>
    <s v="Analyzer"/>
    <x v="0"/>
    <x v="0"/>
    <x v="0"/>
    <x v="0"/>
  </r>
  <r>
    <s v="Manual maintenance activity Replace factor diluent bottle has been executed."/>
    <x v="5"/>
    <x v="0"/>
    <x v="20"/>
    <d v="1899-12-30T07:27:12"/>
    <s v="Maintenance"/>
    <x v="0"/>
    <x v="2"/>
    <x v="2"/>
    <x v="0"/>
  </r>
  <r>
    <s v="Analyzer Status changed from Ready to Maintenance."/>
    <x v="0"/>
    <x v="0"/>
    <x v="20"/>
    <d v="1899-12-30T08:27:12"/>
    <s v="Analyzer"/>
    <x v="0"/>
    <x v="0"/>
    <x v="0"/>
    <x v="0"/>
  </r>
  <r>
    <s v="Analyzer Status changed from Maintenance to Ready."/>
    <x v="0"/>
    <x v="0"/>
    <x v="20"/>
    <d v="1899-12-30T08:27:34"/>
    <s v="Analyzer"/>
    <x v="0"/>
    <x v="0"/>
    <x v="0"/>
    <x v="0"/>
  </r>
  <r>
    <s v="Automatic maintenance activity Automatic Fluidic Line Priming Cycle has been executed."/>
    <x v="2"/>
    <x v="0"/>
    <x v="20"/>
    <d v="1899-12-30T08:27:34"/>
    <s v="Maintenance"/>
    <x v="0"/>
    <x v="2"/>
    <x v="2"/>
    <x v="0"/>
  </r>
  <r>
    <s v="Placement error (Anti Chromogenic Sub in rack RC, position 1, track 6)."/>
    <x v="49"/>
    <x v="2"/>
    <x v="20"/>
    <d v="1899-12-30T08:30:33"/>
    <s v="Materials"/>
    <x v="0"/>
    <x v="2"/>
    <x v="3"/>
    <x v="0"/>
  </r>
  <r>
    <s v="Placement error (Anti Chromogenic Sub in rack RC, position 2, track 6)."/>
    <x v="49"/>
    <x v="2"/>
    <x v="20"/>
    <d v="1899-12-30T08:30:33"/>
    <s v="Materials"/>
    <x v="0"/>
    <x v="2"/>
    <x v="3"/>
    <x v="0"/>
  </r>
  <r>
    <s v="Non-identified Sample in rack 11 position 1, track 10."/>
    <x v="12"/>
    <x v="2"/>
    <x v="20"/>
    <d v="1899-12-30T08:40:35"/>
    <s v="Materials"/>
    <x v="0"/>
    <x v="4"/>
    <x v="7"/>
    <x v="1"/>
  </r>
  <r>
    <s v="Non-identified Sample in rack 11 position 2, track 10."/>
    <x v="12"/>
    <x v="2"/>
    <x v="20"/>
    <d v="1899-12-30T08:40:35"/>
    <s v="Materials"/>
    <x v="0"/>
    <x v="4"/>
    <x v="7"/>
    <x v="1"/>
  </r>
  <r>
    <s v="Non-identified Sample in rack 11 position 3, track 10."/>
    <x v="12"/>
    <x v="2"/>
    <x v="20"/>
    <d v="1899-12-30T08:40:35"/>
    <s v="Materials"/>
    <x v="0"/>
    <x v="4"/>
    <x v="7"/>
    <x v="1"/>
  </r>
  <r>
    <s v="Non-identified Sample in rack 11 position 4, track 10."/>
    <x v="12"/>
    <x v="2"/>
    <x v="20"/>
    <d v="1899-12-30T08:40:35"/>
    <s v="Materials"/>
    <x v="0"/>
    <x v="4"/>
    <x v="7"/>
    <x v="1"/>
  </r>
  <r>
    <s v="Non-identified Sample in rack 11 position 5, track 10."/>
    <x v="12"/>
    <x v="2"/>
    <x v="20"/>
    <d v="1899-12-30T08:40:35"/>
    <s v="Materials"/>
    <x v="0"/>
    <x v="4"/>
    <x v="7"/>
    <x v="1"/>
  </r>
  <r>
    <s v="Non-identified Sample in rack 11 position 6, track 10."/>
    <x v="12"/>
    <x v="2"/>
    <x v="20"/>
    <d v="1899-12-30T08:40:35"/>
    <s v="Materials"/>
    <x v="0"/>
    <x v="4"/>
    <x v="7"/>
    <x v="1"/>
  </r>
  <r>
    <s v="Non-identified Sample in rack 11 position 7, track 10."/>
    <x v="12"/>
    <x v="2"/>
    <x v="20"/>
    <d v="1899-12-30T08:40:35"/>
    <s v="Materials"/>
    <x v="0"/>
    <x v="4"/>
    <x v="7"/>
    <x v="1"/>
  </r>
  <r>
    <s v="Non-identified Sample in rack 11 position 8, track 10."/>
    <x v="12"/>
    <x v="2"/>
    <x v="20"/>
    <d v="1899-12-30T08:40:35"/>
    <s v="Materials"/>
    <x v="0"/>
    <x v="4"/>
    <x v="7"/>
    <x v="1"/>
  </r>
  <r>
    <s v="Non-identified Sample in rack 11 position 9, track 10."/>
    <x v="12"/>
    <x v="2"/>
    <x v="20"/>
    <d v="1899-12-30T08:40:35"/>
    <s v="Materials"/>
    <x v="0"/>
    <x v="4"/>
    <x v="7"/>
    <x v="1"/>
  </r>
  <r>
    <s v="Non-identified Sample in rack 11 position 10, track 10."/>
    <x v="12"/>
    <x v="2"/>
    <x v="20"/>
    <d v="1899-12-30T08:40:35"/>
    <s v="Materials"/>
    <x v="0"/>
    <x v="4"/>
    <x v="7"/>
    <x v="1"/>
  </r>
  <r>
    <s v="Analyzer Status changed from Ready to Busy."/>
    <x v="0"/>
    <x v="0"/>
    <x v="20"/>
    <d v="1899-12-30T08:41:54"/>
    <s v="Analyzer"/>
    <x v="0"/>
    <x v="0"/>
    <x v="0"/>
    <x v="0"/>
  </r>
  <r>
    <s v="Analyzer Status changed from Busy to Ready."/>
    <x v="0"/>
    <x v="0"/>
    <x v="20"/>
    <d v="1899-12-30T08:48:26"/>
    <s v="Analyzer"/>
    <x v="0"/>
    <x v="0"/>
    <x v="0"/>
    <x v="0"/>
  </r>
  <r>
    <s v="Analyzer Status changed from Ready to Maintenance."/>
    <x v="0"/>
    <x v="0"/>
    <x v="20"/>
    <d v="1899-12-30T08:48:26"/>
    <s v="Analyzer"/>
    <x v="0"/>
    <x v="0"/>
    <x v="0"/>
    <x v="0"/>
  </r>
  <r>
    <s v="Analyzer Status changed from Maintenance to Ready."/>
    <x v="0"/>
    <x v="0"/>
    <x v="20"/>
    <d v="1899-12-30T08:48:54"/>
    <s v="Analyzer"/>
    <x v="0"/>
    <x v="0"/>
    <x v="0"/>
    <x v="0"/>
  </r>
  <r>
    <s v="Automatic maintenance activity Automatic Routine Clean for all Probes has been executed."/>
    <x v="2"/>
    <x v="0"/>
    <x v="20"/>
    <d v="1899-12-30T08:48:54"/>
    <s v="Maintenance"/>
    <x v="0"/>
    <x v="2"/>
    <x v="2"/>
    <x v="0"/>
  </r>
  <r>
    <s v="Analyzer Status changed from Ready to Busy."/>
    <x v="0"/>
    <x v="0"/>
    <x v="20"/>
    <d v="1899-12-30T08:53:19"/>
    <s v="Analyzer"/>
    <x v="0"/>
    <x v="0"/>
    <x v="0"/>
    <x v="0"/>
  </r>
  <r>
    <s v="Analyzer Status changed from Busy to Ready."/>
    <x v="0"/>
    <x v="0"/>
    <x v="20"/>
    <d v="1899-12-30T08:59:48"/>
    <s v="Analyzer"/>
    <x v="0"/>
    <x v="0"/>
    <x v="0"/>
    <x v="0"/>
  </r>
  <r>
    <s v="Analyzer Status changed from Ready to Maintenance."/>
    <x v="0"/>
    <x v="0"/>
    <x v="20"/>
    <d v="1899-12-30T08:59:48"/>
    <s v="Analyzer"/>
    <x v="0"/>
    <x v="0"/>
    <x v="0"/>
    <x v="0"/>
  </r>
  <r>
    <s v="Analyzer Status changed from Maintenance to Ready."/>
    <x v="0"/>
    <x v="0"/>
    <x v="20"/>
    <d v="1899-12-30T09:00:17"/>
    <s v="Analyzer"/>
    <x v="0"/>
    <x v="0"/>
    <x v="0"/>
    <x v="0"/>
  </r>
  <r>
    <s v="Automatic maintenance activity Automatic Routine Clean for all Probes has been executed."/>
    <x v="2"/>
    <x v="0"/>
    <x v="20"/>
    <d v="1899-12-30T09:00:17"/>
    <s v="Maintenance"/>
    <x v="0"/>
    <x v="2"/>
    <x v="2"/>
    <x v="0"/>
  </r>
  <r>
    <s v="Analyzer Status changed from Ready to Maintenance."/>
    <x v="0"/>
    <x v="0"/>
    <x v="20"/>
    <d v="1899-12-30T10:00:17"/>
    <s v="Analyzer"/>
    <x v="0"/>
    <x v="0"/>
    <x v="0"/>
    <x v="0"/>
  </r>
  <r>
    <s v="Analyzer Status changed from Maintenance to Ready."/>
    <x v="0"/>
    <x v="0"/>
    <x v="20"/>
    <d v="1899-12-30T10:00:39"/>
    <s v="Analyzer"/>
    <x v="0"/>
    <x v="0"/>
    <x v="0"/>
    <x v="0"/>
  </r>
  <r>
    <s v="Automatic maintenance activity Automatic Fluidic Line Priming Cycle has been executed."/>
    <x v="2"/>
    <x v="0"/>
    <x v="20"/>
    <d v="1899-12-30T10:00:39"/>
    <s v="Maintenance"/>
    <x v="0"/>
    <x v="2"/>
    <x v="2"/>
    <x v="0"/>
  </r>
  <r>
    <s v="Automatic logout."/>
    <x v="62"/>
    <x v="0"/>
    <x v="20"/>
    <d v="1899-12-30T10:06:58"/>
    <s v="Other"/>
    <x v="0"/>
    <x v="4"/>
    <x v="7"/>
    <x v="1"/>
  </r>
  <r>
    <s v="Successful log in by user: LHO."/>
    <x v="18"/>
    <x v="0"/>
    <x v="20"/>
    <d v="1899-12-30T10:42:16"/>
    <s v="Other"/>
    <x v="0"/>
    <x v="2"/>
    <x v="5"/>
    <x v="0"/>
  </r>
  <r>
    <s v="Analyzer Status changed from Ready to Maintenance."/>
    <x v="0"/>
    <x v="0"/>
    <x v="20"/>
    <d v="1899-12-30T11:00:39"/>
    <s v="Analyzer"/>
    <x v="0"/>
    <x v="0"/>
    <x v="0"/>
    <x v="0"/>
  </r>
  <r>
    <s v="Analyzer Status changed from Maintenance to Ready."/>
    <x v="0"/>
    <x v="0"/>
    <x v="20"/>
    <d v="1899-12-30T11:01:01"/>
    <s v="Analyzer"/>
    <x v="0"/>
    <x v="0"/>
    <x v="0"/>
    <x v="0"/>
  </r>
  <r>
    <s v="Automatic maintenance activity Automatic Fluidic Line Priming Cycle has been executed."/>
    <x v="2"/>
    <x v="0"/>
    <x v="20"/>
    <d v="1899-12-30T11:01:01"/>
    <s v="Maintenance"/>
    <x v="0"/>
    <x v="2"/>
    <x v="2"/>
    <x v="0"/>
  </r>
  <r>
    <s v="Non-identified Sample in rack 10 position 1, track 10."/>
    <x v="12"/>
    <x v="2"/>
    <x v="20"/>
    <d v="1899-12-30T11:11:05"/>
    <s v="Materials"/>
    <x v="0"/>
    <x v="4"/>
    <x v="7"/>
    <x v="1"/>
  </r>
  <r>
    <s v="Non-identified Sample in rack 10 position 2, track 10."/>
    <x v="12"/>
    <x v="2"/>
    <x v="20"/>
    <d v="1899-12-30T11:11:05"/>
    <s v="Materials"/>
    <x v="0"/>
    <x v="4"/>
    <x v="7"/>
    <x v="1"/>
  </r>
  <r>
    <s v="Non-identified Sample in rack 10 position 3, track 10."/>
    <x v="12"/>
    <x v="2"/>
    <x v="20"/>
    <d v="1899-12-30T11:11:05"/>
    <s v="Materials"/>
    <x v="0"/>
    <x v="4"/>
    <x v="7"/>
    <x v="1"/>
  </r>
  <r>
    <s v="Non-identified Sample in rack 10 position 4, track 10."/>
    <x v="12"/>
    <x v="2"/>
    <x v="20"/>
    <d v="1899-12-30T11:11:05"/>
    <s v="Materials"/>
    <x v="0"/>
    <x v="4"/>
    <x v="7"/>
    <x v="1"/>
  </r>
  <r>
    <s v="Non-identified Sample in rack 10 position 5, track 10."/>
    <x v="12"/>
    <x v="2"/>
    <x v="20"/>
    <d v="1899-12-30T11:11:05"/>
    <s v="Materials"/>
    <x v="0"/>
    <x v="4"/>
    <x v="7"/>
    <x v="1"/>
  </r>
  <r>
    <s v="Analyzer Status changed from Ready to Busy."/>
    <x v="0"/>
    <x v="0"/>
    <x v="20"/>
    <d v="1899-12-30T11:11:39"/>
    <s v="Analyzer"/>
    <x v="0"/>
    <x v="0"/>
    <x v="0"/>
    <x v="0"/>
  </r>
  <r>
    <s v="Analyzer Status changed from Busy to Ready."/>
    <x v="0"/>
    <x v="0"/>
    <x v="20"/>
    <d v="1899-12-30T11:24:34"/>
    <s v="Analyzer"/>
    <x v="0"/>
    <x v="0"/>
    <x v="0"/>
    <x v="0"/>
  </r>
  <r>
    <s v="Analyzer Status changed from Ready to Maintenance."/>
    <x v="0"/>
    <x v="0"/>
    <x v="20"/>
    <d v="1899-12-30T11:24:34"/>
    <s v="Analyzer"/>
    <x v="0"/>
    <x v="0"/>
    <x v="0"/>
    <x v="0"/>
  </r>
  <r>
    <s v="Analyzer Status changed from Maintenance to Ready."/>
    <x v="0"/>
    <x v="0"/>
    <x v="20"/>
    <d v="1899-12-30T11:25:01"/>
    <s v="Analyzer"/>
    <x v="0"/>
    <x v="0"/>
    <x v="0"/>
    <x v="0"/>
  </r>
  <r>
    <s v="Automatic maintenance activity Automatic Routine Clean for all Probes has been executed."/>
    <x v="2"/>
    <x v="0"/>
    <x v="20"/>
    <d v="1899-12-30T11:25:01"/>
    <s v="Maintenance"/>
    <x v="0"/>
    <x v="2"/>
    <x v="2"/>
    <x v="0"/>
  </r>
  <r>
    <s v="Analyzer Status changed from Ready to Busy."/>
    <x v="0"/>
    <x v="0"/>
    <x v="20"/>
    <d v="1899-12-30T11:25:38"/>
    <s v="Analyzer"/>
    <x v="0"/>
    <x v="0"/>
    <x v="0"/>
    <x v="0"/>
  </r>
  <r>
    <s v="Analyzer Status changed from Busy to Ready."/>
    <x v="0"/>
    <x v="0"/>
    <x v="20"/>
    <d v="1899-12-30T11:29:27"/>
    <s v="Analyzer"/>
    <x v="0"/>
    <x v="0"/>
    <x v="0"/>
    <x v="0"/>
  </r>
  <r>
    <s v="Analyzer Status changed from Ready to Maintenance."/>
    <x v="0"/>
    <x v="0"/>
    <x v="20"/>
    <d v="1899-12-30T11:29:27"/>
    <s v="Analyzer"/>
    <x v="0"/>
    <x v="0"/>
    <x v="0"/>
    <x v="0"/>
  </r>
  <r>
    <s v="Analyzer Status changed from Maintenance to Ready."/>
    <x v="0"/>
    <x v="0"/>
    <x v="20"/>
    <d v="1899-12-30T11:29:53"/>
    <s v="Analyzer"/>
    <x v="0"/>
    <x v="0"/>
    <x v="0"/>
    <x v="0"/>
  </r>
  <r>
    <s v="Automatic maintenance activity Automatic Routine Clean for all Probes has been executed."/>
    <x v="2"/>
    <x v="0"/>
    <x v="20"/>
    <d v="1899-12-30T11:29:53"/>
    <s v="Maintenance"/>
    <x v="0"/>
    <x v="2"/>
    <x v="2"/>
    <x v="0"/>
  </r>
  <r>
    <s v="Test Definition UFH has been modified."/>
    <x v="14"/>
    <x v="0"/>
    <x v="20"/>
    <d v="1899-12-30T12:19:21"/>
    <s v="Setup"/>
    <x v="0"/>
    <x v="2"/>
    <x v="5"/>
    <x v="0"/>
  </r>
  <r>
    <s v="Test Definition RIVA has been modified."/>
    <x v="14"/>
    <x v="0"/>
    <x v="20"/>
    <d v="1899-12-30T12:19:37"/>
    <s v="Setup"/>
    <x v="0"/>
    <x v="2"/>
    <x v="5"/>
    <x v="0"/>
  </r>
  <r>
    <s v="Test Definition LMWH has been modified."/>
    <x v="14"/>
    <x v="0"/>
    <x v="20"/>
    <d v="1899-12-30T12:19:57"/>
    <s v="Setup"/>
    <x v="0"/>
    <x v="2"/>
    <x v="5"/>
    <x v="0"/>
  </r>
  <r>
    <s v="Test Definition Hepz Fib has been modified."/>
    <x v="14"/>
    <x v="0"/>
    <x v="20"/>
    <d v="1899-12-30T12:21:31"/>
    <s v="Setup"/>
    <x v="0"/>
    <x v="2"/>
    <x v="5"/>
    <x v="0"/>
  </r>
  <r>
    <s v="Test Definition Hepz HF has been modified."/>
    <x v="14"/>
    <x v="0"/>
    <x v="20"/>
    <d v="1899-12-30T12:21:48"/>
    <s v="Setup"/>
    <x v="0"/>
    <x v="2"/>
    <x v="5"/>
    <x v="0"/>
  </r>
  <r>
    <s v="Test Definition Hepz LF has been modified."/>
    <x v="14"/>
    <x v="0"/>
    <x v="20"/>
    <d v="1899-12-30T12:22:04"/>
    <s v="Setup"/>
    <x v="0"/>
    <x v="2"/>
    <x v="5"/>
    <x v="0"/>
  </r>
  <r>
    <s v="Test Definition Hepz LF has been modified."/>
    <x v="14"/>
    <x v="0"/>
    <x v="20"/>
    <d v="1899-12-30T12:22:12"/>
    <s v="Setup"/>
    <x v="0"/>
    <x v="2"/>
    <x v="5"/>
    <x v="0"/>
  </r>
  <r>
    <s v="Analyzer Status changed from Ready to Maintenance."/>
    <x v="0"/>
    <x v="0"/>
    <x v="20"/>
    <d v="1899-12-30T12:29:53"/>
    <s v="Analyzer"/>
    <x v="0"/>
    <x v="0"/>
    <x v="0"/>
    <x v="0"/>
  </r>
  <r>
    <s v="Automatic maintenance activity Automatic Fluidic Line Priming Cycle has been executed."/>
    <x v="2"/>
    <x v="0"/>
    <x v="20"/>
    <d v="1899-12-30T12:30:14"/>
    <s v="Maintenance"/>
    <x v="0"/>
    <x v="2"/>
    <x v="2"/>
    <x v="0"/>
  </r>
  <r>
    <s v="Analyzer Status changed from Maintenance to Ready."/>
    <x v="0"/>
    <x v="0"/>
    <x v="20"/>
    <d v="1899-12-30T12:30:15"/>
    <s v="Analyzer"/>
    <x v="0"/>
    <x v="0"/>
    <x v="0"/>
    <x v="0"/>
  </r>
  <r>
    <s v="Non-identified Sample in rack 12 position 1, track 8."/>
    <x v="12"/>
    <x v="2"/>
    <x v="20"/>
    <d v="1899-12-30T12:36:39"/>
    <s v="Materials"/>
    <x v="0"/>
    <x v="4"/>
    <x v="7"/>
    <x v="1"/>
  </r>
  <r>
    <s v="Non-identified Sample in rack 12 position 2, track 8."/>
    <x v="12"/>
    <x v="2"/>
    <x v="20"/>
    <d v="1899-12-30T12:36:39"/>
    <s v="Materials"/>
    <x v="0"/>
    <x v="4"/>
    <x v="7"/>
    <x v="1"/>
  </r>
  <r>
    <s v="Non-identified Sample in rack 12 position 3, track 8."/>
    <x v="12"/>
    <x v="2"/>
    <x v="20"/>
    <d v="1899-12-30T12:36:39"/>
    <s v="Materials"/>
    <x v="0"/>
    <x v="4"/>
    <x v="7"/>
    <x v="1"/>
  </r>
  <r>
    <s v="Non-identified Sample in rack 12 position 4, track 8."/>
    <x v="12"/>
    <x v="2"/>
    <x v="20"/>
    <d v="1899-12-30T12:36:39"/>
    <s v="Materials"/>
    <x v="0"/>
    <x v="4"/>
    <x v="7"/>
    <x v="1"/>
  </r>
  <r>
    <s v="Non-identified Sample in rack 12 position 5, track 8."/>
    <x v="12"/>
    <x v="2"/>
    <x v="20"/>
    <d v="1899-12-30T12:36:39"/>
    <s v="Materials"/>
    <x v="0"/>
    <x v="4"/>
    <x v="7"/>
    <x v="1"/>
  </r>
  <r>
    <s v="Anti Chromogenic Sub volume low."/>
    <x v="7"/>
    <x v="1"/>
    <x v="20"/>
    <d v="1899-12-30T12:37:38"/>
    <s v="Materials"/>
    <x v="0"/>
    <x v="3"/>
    <x v="4"/>
    <x v="0"/>
  </r>
  <r>
    <s v="Analyzer Status changed from Ready to Busy."/>
    <x v="0"/>
    <x v="0"/>
    <x v="20"/>
    <d v="1899-12-30T12:38:18"/>
    <s v="Analyzer"/>
    <x v="0"/>
    <x v="0"/>
    <x v="0"/>
    <x v="0"/>
  </r>
  <r>
    <s v="RIVA Patient job not feasible. Waiting for Anti Chromogenic Sub."/>
    <x v="26"/>
    <x v="1"/>
    <x v="20"/>
    <d v="1899-12-30T12:38:40"/>
    <s v="Materials"/>
    <x v="0"/>
    <x v="2"/>
    <x v="3"/>
    <x v="0"/>
  </r>
  <r>
    <s v="Anti Chromogenic Sub insufficient material to run additional calibration / test."/>
    <x v="32"/>
    <x v="2"/>
    <x v="20"/>
    <d v="1899-12-30T12:39:55"/>
    <s v="Materials"/>
    <x v="0"/>
    <x v="3"/>
    <x v="4"/>
    <x v="0"/>
  </r>
  <r>
    <s v="Analyzer Status changed from Busy to Ready."/>
    <x v="0"/>
    <x v="0"/>
    <x v="20"/>
    <d v="1899-12-30T12:42:35"/>
    <s v="Analyzer"/>
    <x v="0"/>
    <x v="0"/>
    <x v="0"/>
    <x v="0"/>
  </r>
  <r>
    <s v="Analyzer Status changed from Ready to Maintenance."/>
    <x v="0"/>
    <x v="0"/>
    <x v="20"/>
    <d v="1899-12-30T12:42:35"/>
    <s v="Analyzer"/>
    <x v="0"/>
    <x v="0"/>
    <x v="0"/>
    <x v="0"/>
  </r>
  <r>
    <s v="Analyzer Status changed from Maintenance to Ready."/>
    <x v="0"/>
    <x v="0"/>
    <x v="20"/>
    <d v="1899-12-30T12:43:04"/>
    <s v="Analyzer"/>
    <x v="0"/>
    <x v="0"/>
    <x v="0"/>
    <x v="0"/>
  </r>
  <r>
    <s v="Automatic maintenance activity Automatic Routine Clean for all Probes has been executed."/>
    <x v="2"/>
    <x v="0"/>
    <x v="20"/>
    <d v="1899-12-30T12:43:04"/>
    <s v="Maintenance"/>
    <x v="0"/>
    <x v="2"/>
    <x v="2"/>
    <x v="0"/>
  </r>
  <r>
    <s v="Analyzer Status changed from Ready to Busy."/>
    <x v="0"/>
    <x v="0"/>
    <x v="20"/>
    <d v="1899-12-30T12:48:05"/>
    <s v="Analyzer"/>
    <x v="0"/>
    <x v="0"/>
    <x v="0"/>
    <x v="0"/>
  </r>
  <r>
    <s v="Analyzer Status changed from Busy to Ready."/>
    <x v="0"/>
    <x v="0"/>
    <x v="20"/>
    <d v="1899-12-30T12:53:16"/>
    <s v="Analyzer"/>
    <x v="0"/>
    <x v="0"/>
    <x v="0"/>
    <x v="0"/>
  </r>
  <r>
    <s v="Analyzer Status changed from Ready to Maintenance."/>
    <x v="0"/>
    <x v="0"/>
    <x v="20"/>
    <d v="1899-12-30T12:53:16"/>
    <s v="Analyzer"/>
    <x v="0"/>
    <x v="0"/>
    <x v="0"/>
    <x v="0"/>
  </r>
  <r>
    <s v="Analyzer Status changed from Maintenance to Ready."/>
    <x v="0"/>
    <x v="0"/>
    <x v="20"/>
    <d v="1899-12-30T12:53:43"/>
    <s v="Analyzer"/>
    <x v="0"/>
    <x v="0"/>
    <x v="0"/>
    <x v="0"/>
  </r>
  <r>
    <s v="Automatic maintenance activity Automatic Routine Clean for all Probes has been executed."/>
    <x v="2"/>
    <x v="0"/>
    <x v="20"/>
    <d v="1899-12-30T12:53:43"/>
    <s v="Maintenance"/>
    <x v="0"/>
    <x v="2"/>
    <x v="2"/>
    <x v="0"/>
  </r>
  <r>
    <s v="Analyzer Status changed from Ready to Busy."/>
    <x v="0"/>
    <x v="0"/>
    <x v="20"/>
    <d v="1899-12-30T13:04:53"/>
    <s v="Analyzer"/>
    <x v="0"/>
    <x v="0"/>
    <x v="0"/>
    <x v="0"/>
  </r>
  <r>
    <s v="Analyzer Status changed from Busy to Ready."/>
    <x v="0"/>
    <x v="0"/>
    <x v="20"/>
    <d v="1899-12-30T13:09:36"/>
    <s v="Analyzer"/>
    <x v="0"/>
    <x v="0"/>
    <x v="0"/>
    <x v="0"/>
  </r>
  <r>
    <s v="Analyzer Status changed from Ready to Maintenance."/>
    <x v="0"/>
    <x v="0"/>
    <x v="20"/>
    <d v="1899-12-30T13:09:36"/>
    <s v="Analyzer"/>
    <x v="0"/>
    <x v="0"/>
    <x v="0"/>
    <x v="0"/>
  </r>
  <r>
    <s v="Analyzer Status changed from Maintenance to Ready."/>
    <x v="0"/>
    <x v="0"/>
    <x v="20"/>
    <d v="1899-12-30T13:10:05"/>
    <s v="Analyzer"/>
    <x v="0"/>
    <x v="0"/>
    <x v="0"/>
    <x v="0"/>
  </r>
  <r>
    <s v="Automatic maintenance activity Automatic Routine Clean for all Probes has been executed."/>
    <x v="2"/>
    <x v="0"/>
    <x v="20"/>
    <d v="1899-12-30T13:10:05"/>
    <s v="Maintenance"/>
    <x v="0"/>
    <x v="2"/>
    <x v="2"/>
    <x v="0"/>
  </r>
  <r>
    <s v="User deleted RIVA Patient test order from sample Id CORR 8."/>
    <x v="55"/>
    <x v="0"/>
    <x v="20"/>
    <d v="1899-12-30T13:14:13"/>
    <s v="Other"/>
    <x v="0"/>
    <x v="4"/>
    <x v="7"/>
    <x v="1"/>
  </r>
  <r>
    <s v="Analyzer Status changed from Ready to Busy."/>
    <x v="0"/>
    <x v="0"/>
    <x v="20"/>
    <d v="1899-12-30T13:14:23"/>
    <s v="Analyzer"/>
    <x v="0"/>
    <x v="0"/>
    <x v="0"/>
    <x v="0"/>
  </r>
  <r>
    <s v="Analyzer Status changed from Busy to Ready."/>
    <x v="0"/>
    <x v="0"/>
    <x v="20"/>
    <d v="1899-12-30T13:18:10"/>
    <s v="Analyzer"/>
    <x v="0"/>
    <x v="0"/>
    <x v="0"/>
    <x v="0"/>
  </r>
  <r>
    <s v="Analyzer Status changed from Ready to Maintenance."/>
    <x v="0"/>
    <x v="0"/>
    <x v="20"/>
    <d v="1899-12-30T13:18:11"/>
    <s v="Analyzer"/>
    <x v="0"/>
    <x v="0"/>
    <x v="0"/>
    <x v="0"/>
  </r>
  <r>
    <s v="Analyzer Status changed from Maintenance to Ready."/>
    <x v="0"/>
    <x v="0"/>
    <x v="20"/>
    <d v="1899-12-30T13:18:37"/>
    <s v="Analyzer"/>
    <x v="0"/>
    <x v="0"/>
    <x v="0"/>
    <x v="0"/>
  </r>
  <r>
    <s v="Automatic maintenance activity Automatic Routine Clean for all Probes has been executed."/>
    <x v="2"/>
    <x v="0"/>
    <x v="20"/>
    <d v="1899-12-30T13:18:37"/>
    <s v="Maintenance"/>
    <x v="0"/>
    <x v="2"/>
    <x v="2"/>
    <x v="0"/>
  </r>
  <r>
    <s v="Analyzer Status changed from Ready to Maintenance."/>
    <x v="0"/>
    <x v="0"/>
    <x v="20"/>
    <d v="1899-12-30T14:18:38"/>
    <s v="Analyzer"/>
    <x v="0"/>
    <x v="0"/>
    <x v="0"/>
    <x v="0"/>
  </r>
  <r>
    <s v="Non-identified Sample in rack 12 position 1, track 10."/>
    <x v="12"/>
    <x v="2"/>
    <x v="20"/>
    <d v="1899-12-30T14:18:57"/>
    <s v="Materials"/>
    <x v="0"/>
    <x v="4"/>
    <x v="7"/>
    <x v="1"/>
  </r>
  <r>
    <s v="Non-identified Sample in rack 12 position 2, track 10."/>
    <x v="12"/>
    <x v="2"/>
    <x v="20"/>
    <d v="1899-12-30T14:18:57"/>
    <s v="Materials"/>
    <x v="0"/>
    <x v="4"/>
    <x v="7"/>
    <x v="1"/>
  </r>
  <r>
    <s v="Non-identified Sample in rack 12 position 3, track 10."/>
    <x v="12"/>
    <x v="2"/>
    <x v="20"/>
    <d v="1899-12-30T14:18:57"/>
    <s v="Materials"/>
    <x v="0"/>
    <x v="4"/>
    <x v="7"/>
    <x v="1"/>
  </r>
  <r>
    <s v="Non-identified Sample in rack 12 position 4, track 10."/>
    <x v="12"/>
    <x v="2"/>
    <x v="20"/>
    <d v="1899-12-30T14:18:57"/>
    <s v="Materials"/>
    <x v="0"/>
    <x v="4"/>
    <x v="7"/>
    <x v="1"/>
  </r>
  <r>
    <s v="Non-identified Sample in rack 12 position 5, track 10."/>
    <x v="12"/>
    <x v="2"/>
    <x v="20"/>
    <d v="1899-12-30T14:18:57"/>
    <s v="Materials"/>
    <x v="0"/>
    <x v="4"/>
    <x v="7"/>
    <x v="1"/>
  </r>
  <r>
    <s v="Analyzer Status changed from Maintenance to Ready."/>
    <x v="0"/>
    <x v="0"/>
    <x v="20"/>
    <d v="1899-12-30T14:18:59"/>
    <s v="Analyzer"/>
    <x v="0"/>
    <x v="0"/>
    <x v="0"/>
    <x v="0"/>
  </r>
  <r>
    <s v="Automatic maintenance activity Automatic Fluidic Line Priming Cycle has been executed."/>
    <x v="2"/>
    <x v="0"/>
    <x v="20"/>
    <d v="1899-12-30T14:18:59"/>
    <s v="Maintenance"/>
    <x v="0"/>
    <x v="2"/>
    <x v="2"/>
    <x v="0"/>
  </r>
  <r>
    <s v="Analyzer Status changed from Ready to Busy."/>
    <x v="0"/>
    <x v="0"/>
    <x v="20"/>
    <d v="1899-12-30T14:19:29"/>
    <s v="Analyzer"/>
    <x v="0"/>
    <x v="0"/>
    <x v="0"/>
    <x v="0"/>
  </r>
  <r>
    <s v="Analyzer Status changed from Busy to Ready."/>
    <x v="0"/>
    <x v="0"/>
    <x v="20"/>
    <d v="1899-12-30T14:24:14"/>
    <s v="Analyzer"/>
    <x v="0"/>
    <x v="0"/>
    <x v="0"/>
    <x v="0"/>
  </r>
  <r>
    <s v="Analyzer Status changed from Ready to Maintenance."/>
    <x v="0"/>
    <x v="0"/>
    <x v="20"/>
    <d v="1899-12-30T14:24:14"/>
    <s v="Analyzer"/>
    <x v="0"/>
    <x v="0"/>
    <x v="0"/>
    <x v="0"/>
  </r>
  <r>
    <s v="Analyzer Status changed from Maintenance to Ready."/>
    <x v="0"/>
    <x v="0"/>
    <x v="20"/>
    <d v="1899-12-30T14:24:43"/>
    <s v="Analyzer"/>
    <x v="0"/>
    <x v="0"/>
    <x v="0"/>
    <x v="0"/>
  </r>
  <r>
    <s v="Automatic maintenance activity Automatic Routine Clean for all Probes has been executed."/>
    <x v="2"/>
    <x v="0"/>
    <x v="20"/>
    <d v="1899-12-30T14:24:43"/>
    <s v="Maintenance"/>
    <x v="0"/>
    <x v="2"/>
    <x v="2"/>
    <x v="0"/>
  </r>
  <r>
    <s v="Analyzer Status changed from Ready to Busy."/>
    <x v="0"/>
    <x v="0"/>
    <x v="20"/>
    <d v="1899-12-30T14:25:06"/>
    <s v="Analyzer"/>
    <x v="0"/>
    <x v="0"/>
    <x v="0"/>
    <x v="0"/>
  </r>
  <r>
    <s v="Anti Chromogenic Sub volume low."/>
    <x v="7"/>
    <x v="1"/>
    <x v="20"/>
    <d v="1899-12-30T14:26:20"/>
    <s v="Materials"/>
    <x v="0"/>
    <x v="3"/>
    <x v="4"/>
    <x v="0"/>
  </r>
  <r>
    <s v="Anti Chromogenic Sub insufficient material to run additional calibration / test."/>
    <x v="32"/>
    <x v="2"/>
    <x v="20"/>
    <d v="1899-12-30T14:33:02"/>
    <s v="Materials"/>
    <x v="0"/>
    <x v="3"/>
    <x v="4"/>
    <x v="0"/>
  </r>
  <r>
    <s v="Analyzer Status changed from Busy to Ready."/>
    <x v="0"/>
    <x v="0"/>
    <x v="20"/>
    <d v="1899-12-30T14:35:38"/>
    <s v="Analyzer"/>
    <x v="0"/>
    <x v="0"/>
    <x v="0"/>
    <x v="0"/>
  </r>
  <r>
    <s v="Analyzer Status changed from Ready to Maintenance."/>
    <x v="0"/>
    <x v="0"/>
    <x v="20"/>
    <d v="1899-12-30T14:35:38"/>
    <s v="Analyzer"/>
    <x v="0"/>
    <x v="0"/>
    <x v="0"/>
    <x v="0"/>
  </r>
  <r>
    <s v="Automatic maintenance activity Automatic Routine Clean for all Probes has been executed."/>
    <x v="2"/>
    <x v="0"/>
    <x v="20"/>
    <d v="1899-12-30T14:36:04"/>
    <s v="Maintenance"/>
    <x v="0"/>
    <x v="2"/>
    <x v="2"/>
    <x v="0"/>
  </r>
  <r>
    <s v="Analyzer Status changed from Maintenance to Ready."/>
    <x v="0"/>
    <x v="0"/>
    <x v="20"/>
    <d v="1899-12-30T14:36:05"/>
    <s v="Analyzer"/>
    <x v="0"/>
    <x v="0"/>
    <x v="0"/>
    <x v="0"/>
  </r>
  <r>
    <s v="Analyzer Status changed from Ready to Maintenance."/>
    <x v="0"/>
    <x v="0"/>
    <x v="20"/>
    <d v="1899-12-30T15:36:05"/>
    <s v="Analyzer"/>
    <x v="0"/>
    <x v="0"/>
    <x v="0"/>
    <x v="0"/>
  </r>
  <r>
    <s v="Analyzer Status changed from Maintenance to Ready."/>
    <x v="0"/>
    <x v="0"/>
    <x v="20"/>
    <d v="1899-12-30T15:36:27"/>
    <s v="Analyzer"/>
    <x v="0"/>
    <x v="0"/>
    <x v="0"/>
    <x v="0"/>
  </r>
  <r>
    <s v="Automatic maintenance activity Automatic Fluidic Line Priming Cycle has been executed."/>
    <x v="2"/>
    <x v="0"/>
    <x v="20"/>
    <d v="1899-12-30T15:36:27"/>
    <s v="Maintenance"/>
    <x v="0"/>
    <x v="2"/>
    <x v="2"/>
    <x v="0"/>
  </r>
  <r>
    <s v="Analyzer Status changed from Ready to Maintenance."/>
    <x v="0"/>
    <x v="0"/>
    <x v="20"/>
    <d v="1899-12-30T16:36:27"/>
    <s v="Analyzer"/>
    <x v="0"/>
    <x v="0"/>
    <x v="0"/>
    <x v="0"/>
  </r>
  <r>
    <s v="Automatic maintenance activity Automatic Fluidic Line Priming Cycle has been executed."/>
    <x v="2"/>
    <x v="0"/>
    <x v="20"/>
    <d v="1899-12-30T16:36:48"/>
    <s v="Maintenance"/>
    <x v="0"/>
    <x v="2"/>
    <x v="2"/>
    <x v="0"/>
  </r>
  <r>
    <s v="Analyzer Status changed from Maintenance to Ready."/>
    <x v="0"/>
    <x v="0"/>
    <x v="20"/>
    <d v="1899-12-30T16:36:49"/>
    <s v="Analyzer"/>
    <x v="0"/>
    <x v="0"/>
    <x v="0"/>
    <x v="0"/>
  </r>
  <r>
    <s v="Automatic logout."/>
    <x v="62"/>
    <x v="0"/>
    <x v="20"/>
    <d v="1899-12-30T16:48:38"/>
    <s v="Other"/>
    <x v="0"/>
    <x v="4"/>
    <x v="7"/>
    <x v="1"/>
  </r>
  <r>
    <s v="Analyzer Status changed from Ready to Maintenance."/>
    <x v="0"/>
    <x v="0"/>
    <x v="20"/>
    <d v="1899-12-30T17:36:49"/>
    <s v="Analyzer"/>
    <x v="1"/>
    <x v="0"/>
    <x v="0"/>
    <x v="0"/>
  </r>
  <r>
    <s v="Automatic maintenance activity Automatic Fluidic Line Priming Cycle has been executed."/>
    <x v="2"/>
    <x v="0"/>
    <x v="20"/>
    <d v="1899-12-30T17:37:10"/>
    <s v="Maintenance"/>
    <x v="1"/>
    <x v="2"/>
    <x v="2"/>
    <x v="0"/>
  </r>
  <r>
    <s v="Analyzer Status changed from Maintenance to Ready."/>
    <x v="0"/>
    <x v="0"/>
    <x v="20"/>
    <d v="1899-12-30T17:37:11"/>
    <s v="Analyzer"/>
    <x v="1"/>
    <x v="0"/>
    <x v="0"/>
    <x v="0"/>
  </r>
  <r>
    <s v="Analyzer Status changed from Ready to Maintenance."/>
    <x v="0"/>
    <x v="0"/>
    <x v="20"/>
    <d v="1899-12-30T18:37:11"/>
    <s v="Analyzer"/>
    <x v="1"/>
    <x v="0"/>
    <x v="0"/>
    <x v="0"/>
  </r>
  <r>
    <s v="Analyzer Status changed from Maintenance to Ready."/>
    <x v="0"/>
    <x v="0"/>
    <x v="20"/>
    <d v="1899-12-30T18:37:32"/>
    <s v="Analyzer"/>
    <x v="1"/>
    <x v="0"/>
    <x v="0"/>
    <x v="0"/>
  </r>
  <r>
    <s v="Automatic maintenance activity Automatic Fluidic Line Priming Cycle has been executed."/>
    <x v="2"/>
    <x v="0"/>
    <x v="20"/>
    <d v="1899-12-30T18:37:32"/>
    <s v="Maintenance"/>
    <x v="1"/>
    <x v="2"/>
    <x v="2"/>
    <x v="0"/>
  </r>
  <r>
    <s v="Analyzer Status changed from Ready to Maintenance."/>
    <x v="0"/>
    <x v="0"/>
    <x v="20"/>
    <d v="1899-12-30T19:37:33"/>
    <s v="Analyzer"/>
    <x v="1"/>
    <x v="0"/>
    <x v="0"/>
    <x v="0"/>
  </r>
  <r>
    <s v="Analyzer Status changed from Maintenance to Ready."/>
    <x v="0"/>
    <x v="0"/>
    <x v="20"/>
    <d v="1899-12-30T19:37:54"/>
    <s v="Analyzer"/>
    <x v="1"/>
    <x v="0"/>
    <x v="0"/>
    <x v="0"/>
  </r>
  <r>
    <s v="Automatic maintenance activity Automatic Fluidic Line Priming Cycle has been executed."/>
    <x v="2"/>
    <x v="0"/>
    <x v="20"/>
    <d v="1899-12-30T19:37:54"/>
    <s v="Maintenance"/>
    <x v="1"/>
    <x v="2"/>
    <x v="2"/>
    <x v="0"/>
  </r>
  <r>
    <s v="Analyzer Status changed from Ready to Maintenance."/>
    <x v="0"/>
    <x v="0"/>
    <x v="20"/>
    <d v="1899-12-30T20:37:54"/>
    <s v="Analyzer"/>
    <x v="1"/>
    <x v="0"/>
    <x v="0"/>
    <x v="0"/>
  </r>
  <r>
    <s v="Analyzer Status changed from Maintenance to Ready."/>
    <x v="0"/>
    <x v="0"/>
    <x v="20"/>
    <d v="1899-12-30T20:38:16"/>
    <s v="Analyzer"/>
    <x v="1"/>
    <x v="0"/>
    <x v="0"/>
    <x v="0"/>
  </r>
  <r>
    <s v="Automatic maintenance activity Automatic Fluidic Line Priming Cycle has been executed."/>
    <x v="2"/>
    <x v="0"/>
    <x v="20"/>
    <d v="1899-12-30T20:38:16"/>
    <s v="Maintenance"/>
    <x v="1"/>
    <x v="2"/>
    <x v="2"/>
    <x v="0"/>
  </r>
  <r>
    <s v="Analyzer Status changed from Ready to Maintenance."/>
    <x v="0"/>
    <x v="0"/>
    <x v="20"/>
    <d v="1899-12-30T21:38:16"/>
    <s v="Analyzer"/>
    <x v="1"/>
    <x v="0"/>
    <x v="0"/>
    <x v="0"/>
  </r>
  <r>
    <s v="Analyzer Status changed from Maintenance to Ready."/>
    <x v="0"/>
    <x v="0"/>
    <x v="20"/>
    <d v="1899-12-30T21:38:38"/>
    <s v="Analyzer"/>
    <x v="1"/>
    <x v="0"/>
    <x v="0"/>
    <x v="0"/>
  </r>
  <r>
    <s v="Automatic maintenance activity Automatic Fluidic Line Priming Cycle has been executed."/>
    <x v="2"/>
    <x v="0"/>
    <x v="20"/>
    <d v="1899-12-30T21:38:38"/>
    <s v="Maintenance"/>
    <x v="1"/>
    <x v="2"/>
    <x v="2"/>
    <x v="0"/>
  </r>
  <r>
    <s v="Analyzer Status changed from Ready to Maintenance."/>
    <x v="0"/>
    <x v="0"/>
    <x v="20"/>
    <d v="1899-12-30T22:38:38"/>
    <s v="Analyzer"/>
    <x v="1"/>
    <x v="0"/>
    <x v="0"/>
    <x v="0"/>
  </r>
  <r>
    <s v="Analyzer Status changed from Maintenance to Ready."/>
    <x v="0"/>
    <x v="0"/>
    <x v="20"/>
    <d v="1899-12-30T22:39:00"/>
    <s v="Analyzer"/>
    <x v="1"/>
    <x v="0"/>
    <x v="0"/>
    <x v="0"/>
  </r>
  <r>
    <s v="Automatic maintenance activity Automatic Fluidic Line Priming Cycle has been executed."/>
    <x v="2"/>
    <x v="0"/>
    <x v="20"/>
    <d v="1899-12-30T22:39:00"/>
    <s v="Maintenance"/>
    <x v="1"/>
    <x v="2"/>
    <x v="2"/>
    <x v="0"/>
  </r>
  <r>
    <s v="Analyzer Status changed from Ready to Maintenance."/>
    <x v="0"/>
    <x v="0"/>
    <x v="20"/>
    <d v="1899-12-30T23:39:00"/>
    <s v="Analyzer"/>
    <x v="1"/>
    <x v="0"/>
    <x v="0"/>
    <x v="0"/>
  </r>
  <r>
    <s v="Analyzer Status changed from Maintenance to Ready."/>
    <x v="0"/>
    <x v="0"/>
    <x v="20"/>
    <d v="1899-12-30T23:39:22"/>
    <s v="Analyzer"/>
    <x v="1"/>
    <x v="0"/>
    <x v="0"/>
    <x v="0"/>
  </r>
  <r>
    <s v="Automatic maintenance activity Automatic Fluidic Line Priming Cycle has been executed."/>
    <x v="2"/>
    <x v="0"/>
    <x v="20"/>
    <d v="1899-12-30T23:39:22"/>
    <s v="Maintenance"/>
    <x v="1"/>
    <x v="2"/>
    <x v="2"/>
    <x v="0"/>
  </r>
  <r>
    <s v="Analyzer Status changed from Ready to Maintenance."/>
    <x v="0"/>
    <x v="0"/>
    <x v="21"/>
    <d v="1899-12-30T00:39:22"/>
    <s v="Analyzer"/>
    <x v="1"/>
    <x v="0"/>
    <x v="0"/>
    <x v="0"/>
  </r>
  <r>
    <s v="Analyzer Status changed from Maintenance to Ready."/>
    <x v="0"/>
    <x v="0"/>
    <x v="21"/>
    <d v="1899-12-30T00:39:44"/>
    <s v="Analyzer"/>
    <x v="1"/>
    <x v="0"/>
    <x v="0"/>
    <x v="0"/>
  </r>
  <r>
    <s v="Automatic maintenance activity Automatic Fluidic Line Priming Cycle has been executed."/>
    <x v="2"/>
    <x v="0"/>
    <x v="21"/>
    <d v="1899-12-30T00:39:44"/>
    <s v="Maintenance"/>
    <x v="1"/>
    <x v="2"/>
    <x v="2"/>
    <x v="0"/>
  </r>
  <r>
    <s v="Analyzer Status changed from Ready to Maintenance."/>
    <x v="0"/>
    <x v="0"/>
    <x v="21"/>
    <d v="1899-12-30T01:39:44"/>
    <s v="Analyzer"/>
    <x v="1"/>
    <x v="0"/>
    <x v="0"/>
    <x v="0"/>
  </r>
  <r>
    <s v="Automatic maintenance activity Automatic Fluidic Line Priming Cycle has been executed."/>
    <x v="2"/>
    <x v="0"/>
    <x v="21"/>
    <d v="1899-12-30T01:40:05"/>
    <s v="Maintenance"/>
    <x v="1"/>
    <x v="2"/>
    <x v="2"/>
    <x v="0"/>
  </r>
  <r>
    <s v="Analyzer Status changed from Maintenance to Ready."/>
    <x v="0"/>
    <x v="0"/>
    <x v="21"/>
    <d v="1899-12-30T01:40:06"/>
    <s v="Analyzer"/>
    <x v="1"/>
    <x v="0"/>
    <x v="0"/>
    <x v="0"/>
  </r>
  <r>
    <s v="Analyzer Status changed from Ready to Maintenance."/>
    <x v="0"/>
    <x v="0"/>
    <x v="21"/>
    <d v="1899-12-30T02:40:06"/>
    <s v="Analyzer"/>
    <x v="1"/>
    <x v="0"/>
    <x v="0"/>
    <x v="0"/>
  </r>
  <r>
    <s v="Automatic maintenance activity Automatic Fluidic Line Priming Cycle has been executed."/>
    <x v="2"/>
    <x v="0"/>
    <x v="21"/>
    <d v="1899-12-30T02:40:27"/>
    <s v="Maintenance"/>
    <x v="1"/>
    <x v="2"/>
    <x v="2"/>
    <x v="0"/>
  </r>
  <r>
    <s v="Analyzer Status changed from Maintenance to Ready."/>
    <x v="0"/>
    <x v="0"/>
    <x v="21"/>
    <d v="1899-12-30T02:40:28"/>
    <s v="Analyzer"/>
    <x v="1"/>
    <x v="0"/>
    <x v="0"/>
    <x v="0"/>
  </r>
  <r>
    <s v="Analyzer Status changed from Ready to Maintenance."/>
    <x v="0"/>
    <x v="0"/>
    <x v="21"/>
    <d v="1899-12-30T03:40:28"/>
    <s v="Analyzer"/>
    <x v="1"/>
    <x v="0"/>
    <x v="0"/>
    <x v="0"/>
  </r>
  <r>
    <s v="Analyzer Status changed from Maintenance to Ready."/>
    <x v="0"/>
    <x v="0"/>
    <x v="21"/>
    <d v="1899-12-30T03:40:49"/>
    <s v="Analyzer"/>
    <x v="1"/>
    <x v="0"/>
    <x v="0"/>
    <x v="0"/>
  </r>
  <r>
    <s v="Automatic maintenance activity Automatic Fluidic Line Priming Cycle has been executed."/>
    <x v="2"/>
    <x v="0"/>
    <x v="21"/>
    <d v="1899-12-30T03:40:49"/>
    <s v="Maintenance"/>
    <x v="1"/>
    <x v="2"/>
    <x v="2"/>
    <x v="0"/>
  </r>
  <r>
    <s v="Analyzer Status changed from Ready to Maintenance."/>
    <x v="0"/>
    <x v="0"/>
    <x v="21"/>
    <d v="1899-12-30T04:40:50"/>
    <s v="Analyzer"/>
    <x v="1"/>
    <x v="0"/>
    <x v="0"/>
    <x v="0"/>
  </r>
  <r>
    <s v="Analyzer Status changed from Maintenance to Ready."/>
    <x v="0"/>
    <x v="0"/>
    <x v="21"/>
    <d v="1899-12-30T04:41:11"/>
    <s v="Analyzer"/>
    <x v="1"/>
    <x v="0"/>
    <x v="0"/>
    <x v="0"/>
  </r>
  <r>
    <s v="Automatic maintenance activity Automatic Fluidic Line Priming Cycle has been executed."/>
    <x v="2"/>
    <x v="0"/>
    <x v="21"/>
    <d v="1899-12-30T04:41:11"/>
    <s v="Maintenance"/>
    <x v="1"/>
    <x v="2"/>
    <x v="2"/>
    <x v="0"/>
  </r>
  <r>
    <s v="Analyzer Status changed from Ready to Maintenance."/>
    <x v="0"/>
    <x v="0"/>
    <x v="21"/>
    <d v="1899-12-30T05:41:11"/>
    <s v="Analyzer"/>
    <x v="1"/>
    <x v="0"/>
    <x v="0"/>
    <x v="0"/>
  </r>
  <r>
    <s v="Analyzer Status changed from Maintenance to Ready."/>
    <x v="0"/>
    <x v="0"/>
    <x v="21"/>
    <d v="1899-12-30T05:41:33"/>
    <s v="Analyzer"/>
    <x v="1"/>
    <x v="0"/>
    <x v="0"/>
    <x v="0"/>
  </r>
  <r>
    <s v="Automatic maintenance activity Automatic Fluidic Line Priming Cycle has been executed."/>
    <x v="2"/>
    <x v="0"/>
    <x v="21"/>
    <d v="1899-12-30T05:41:33"/>
    <s v="Maintenance"/>
    <x v="1"/>
    <x v="2"/>
    <x v="2"/>
    <x v="0"/>
  </r>
  <r>
    <s v="Maintenance activity due: Enhanced Clean for all Probes."/>
    <x v="9"/>
    <x v="1"/>
    <x v="21"/>
    <d v="1899-12-30T06:22:15"/>
    <s v="Maintenance"/>
    <x v="1"/>
    <x v="2"/>
    <x v="2"/>
    <x v="0"/>
  </r>
  <r>
    <s v="Maintenance activity due: Enhanced Clean for Sample and Reagent Probes."/>
    <x v="9"/>
    <x v="1"/>
    <x v="21"/>
    <d v="1899-12-30T06:22:15"/>
    <s v="Maintenance"/>
    <x v="1"/>
    <x v="2"/>
    <x v="2"/>
    <x v="0"/>
  </r>
  <r>
    <s v="Maintenance activity due: make new diluted clean B."/>
    <x v="9"/>
    <x v="1"/>
    <x v="21"/>
    <d v="1899-12-30T06:26:52"/>
    <s v="Maintenance"/>
    <x v="1"/>
    <x v="2"/>
    <x v="2"/>
    <x v="0"/>
  </r>
  <r>
    <s v="Maintenance activity due: replace factor diluent."/>
    <x v="9"/>
    <x v="1"/>
    <x v="21"/>
    <d v="1899-12-30T06:27:02"/>
    <s v="Maintenance"/>
    <x v="1"/>
    <x v="2"/>
    <x v="2"/>
    <x v="0"/>
  </r>
  <r>
    <s v="Analyzer Status changed from Ready to Maintenance."/>
    <x v="0"/>
    <x v="0"/>
    <x v="21"/>
    <d v="1899-12-30T06:41:33"/>
    <s v="Analyzer"/>
    <x v="1"/>
    <x v="0"/>
    <x v="0"/>
    <x v="0"/>
  </r>
  <r>
    <s v="Analyzer Status changed from Maintenance to Ready."/>
    <x v="0"/>
    <x v="0"/>
    <x v="21"/>
    <d v="1899-12-30T06:41:55"/>
    <s v="Analyzer"/>
    <x v="1"/>
    <x v="0"/>
    <x v="0"/>
    <x v="0"/>
  </r>
  <r>
    <s v="Automatic maintenance activity Automatic Fluidic Line Priming Cycle has been executed."/>
    <x v="2"/>
    <x v="0"/>
    <x v="21"/>
    <d v="1899-12-30T06:41:55"/>
    <s v="Maintenance"/>
    <x v="1"/>
    <x v="2"/>
    <x v="2"/>
    <x v="0"/>
  </r>
  <r>
    <s v="Maintenance activity overdue: Enhanced Clean for all Probes."/>
    <x v="20"/>
    <x v="1"/>
    <x v="21"/>
    <d v="1899-12-30T07:22:15"/>
    <s v="Maintenance"/>
    <x v="1"/>
    <x v="2"/>
    <x v="2"/>
    <x v="0"/>
  </r>
  <r>
    <s v="Maintenance activity overdue: Enhanced Clean for Sample and Reagent Probes."/>
    <x v="20"/>
    <x v="1"/>
    <x v="21"/>
    <d v="1899-12-30T07:22:15"/>
    <s v="Maintenance"/>
    <x v="1"/>
    <x v="2"/>
    <x v="2"/>
    <x v="0"/>
  </r>
  <r>
    <s v="Maintenance activity overdue: make new diluted clean B."/>
    <x v="20"/>
    <x v="1"/>
    <x v="21"/>
    <d v="1899-12-30T07:26:52"/>
    <s v="Maintenance"/>
    <x v="1"/>
    <x v="2"/>
    <x v="2"/>
    <x v="0"/>
  </r>
  <r>
    <s v="Maintenance activity overdue: replace factor diluent."/>
    <x v="20"/>
    <x v="1"/>
    <x v="21"/>
    <d v="1899-12-30T07:27:02"/>
    <s v="Maintenance"/>
    <x v="1"/>
    <x v="2"/>
    <x v="2"/>
    <x v="0"/>
  </r>
  <r>
    <s v="Analyzer Status changed from Ready to Maintenance."/>
    <x v="0"/>
    <x v="0"/>
    <x v="21"/>
    <d v="1899-12-30T07:41:56"/>
    <s v="Analyzer"/>
    <x v="1"/>
    <x v="0"/>
    <x v="0"/>
    <x v="0"/>
  </r>
  <r>
    <s v="Analyzer Status changed from Maintenance to Ready."/>
    <x v="0"/>
    <x v="0"/>
    <x v="21"/>
    <d v="1899-12-30T07:43:30"/>
    <s v="Analyzer"/>
    <x v="1"/>
    <x v="0"/>
    <x v="0"/>
    <x v="0"/>
  </r>
  <r>
    <s v="Automatic maintenance activity Automatic Fluidic Line Priming Cycle has been executed."/>
    <x v="2"/>
    <x v="0"/>
    <x v="21"/>
    <d v="1899-12-30T07:43:30"/>
    <s v="Maintenance"/>
    <x v="1"/>
    <x v="2"/>
    <x v="2"/>
    <x v="0"/>
  </r>
  <r>
    <s v="Analyzer Status changed from Ready to Maintenance."/>
    <x v="0"/>
    <x v="0"/>
    <x v="21"/>
    <d v="1899-12-30T08:43:30"/>
    <s v="Analyzer"/>
    <x v="1"/>
    <x v="0"/>
    <x v="0"/>
    <x v="0"/>
  </r>
  <r>
    <s v="Clean solution level low."/>
    <x v="19"/>
    <x v="1"/>
    <x v="21"/>
    <d v="1899-12-30T08:43:44"/>
    <s v="Materials"/>
    <x v="1"/>
    <x v="1"/>
    <x v="10"/>
    <x v="0"/>
  </r>
  <r>
    <s v="Analyzer Status changed from Maintenance to Ready."/>
    <x v="0"/>
    <x v="0"/>
    <x v="21"/>
    <d v="1899-12-30T08:43:52"/>
    <s v="Analyzer"/>
    <x v="1"/>
    <x v="0"/>
    <x v="0"/>
    <x v="0"/>
  </r>
  <r>
    <s v="Automatic maintenance activity Automatic Fluidic Line Priming Cycle has been executed."/>
    <x v="2"/>
    <x v="0"/>
    <x v="21"/>
    <d v="1899-12-30T08:43:52"/>
    <s v="Maintenance"/>
    <x v="1"/>
    <x v="2"/>
    <x v="2"/>
    <x v="0"/>
  </r>
  <r>
    <s v="Analyzer Status changed from Ready to Maintenance."/>
    <x v="0"/>
    <x v="0"/>
    <x v="21"/>
    <d v="1899-12-30T09:43:52"/>
    <s v="Analyzer"/>
    <x v="1"/>
    <x v="0"/>
    <x v="0"/>
    <x v="0"/>
  </r>
  <r>
    <s v="Analyzer Status changed from Maintenance to Ready."/>
    <x v="0"/>
    <x v="0"/>
    <x v="21"/>
    <d v="1899-12-30T09:44:14"/>
    <s v="Analyzer"/>
    <x v="1"/>
    <x v="0"/>
    <x v="0"/>
    <x v="0"/>
  </r>
  <r>
    <s v="Automatic maintenance activity Automatic Fluidic Line Priming Cycle has been executed."/>
    <x v="2"/>
    <x v="0"/>
    <x v="21"/>
    <d v="1899-12-30T09:44:14"/>
    <s v="Maintenance"/>
    <x v="1"/>
    <x v="2"/>
    <x v="2"/>
    <x v="0"/>
  </r>
  <r>
    <s v="Analyzer Status changed from Ready to Maintenance."/>
    <x v="0"/>
    <x v="0"/>
    <x v="21"/>
    <d v="1899-12-30T10:44:14"/>
    <s v="Analyzer"/>
    <x v="1"/>
    <x v="0"/>
    <x v="0"/>
    <x v="0"/>
  </r>
  <r>
    <s v="Automatic maintenance activity Automatic Fluidic Line Priming Cycle has been executed."/>
    <x v="2"/>
    <x v="0"/>
    <x v="21"/>
    <d v="1899-12-30T10:44:35"/>
    <s v="Maintenance"/>
    <x v="1"/>
    <x v="2"/>
    <x v="2"/>
    <x v="0"/>
  </r>
  <r>
    <s v="Analyzer Status changed from Maintenance to Ready."/>
    <x v="0"/>
    <x v="0"/>
    <x v="21"/>
    <d v="1899-12-30T10:44:36"/>
    <s v="Analyzer"/>
    <x v="1"/>
    <x v="0"/>
    <x v="0"/>
    <x v="0"/>
  </r>
  <r>
    <s v="Successful log in by user: LHO."/>
    <x v="18"/>
    <x v="0"/>
    <x v="21"/>
    <d v="1899-12-30T10:52:21"/>
    <s v="Other"/>
    <x v="0"/>
    <x v="2"/>
    <x v="5"/>
    <x v="0"/>
  </r>
  <r>
    <s v="Analyzer Status changed from Ready to Maintenance."/>
    <x v="0"/>
    <x v="0"/>
    <x v="21"/>
    <d v="1899-12-30T10:57:23"/>
    <s v="Analyzer"/>
    <x v="0"/>
    <x v="0"/>
    <x v="0"/>
    <x v="0"/>
  </r>
  <r>
    <s v="Analyzer Status changed from Maintenance to Ready."/>
    <x v="0"/>
    <x v="0"/>
    <x v="21"/>
    <d v="1899-12-30T11:01:50"/>
    <s v="Analyzer"/>
    <x v="0"/>
    <x v="0"/>
    <x v="0"/>
    <x v="0"/>
  </r>
  <r>
    <s v="Frequency status for manual maintenance activity Enhanced Clean for all Probes has changed to OK."/>
    <x v="3"/>
    <x v="0"/>
    <x v="21"/>
    <d v="1899-12-30T11:01:50"/>
    <s v="Maintenance"/>
    <x v="0"/>
    <x v="2"/>
    <x v="2"/>
    <x v="0"/>
  </r>
  <r>
    <s v="Frequency status for manual maintenance activity Enhanced Clean for Sample and Reagent Probes has changed to OK."/>
    <x v="3"/>
    <x v="0"/>
    <x v="21"/>
    <d v="1899-12-30T11:01:50"/>
    <s v="Maintenance"/>
    <x v="0"/>
    <x v="2"/>
    <x v="2"/>
    <x v="0"/>
  </r>
  <r>
    <s v="Semiautomatic maintenance activity Enhanced Clean for all Probes has been executed."/>
    <x v="4"/>
    <x v="0"/>
    <x v="21"/>
    <d v="1899-12-30T11:01:50"/>
    <s v="Maintenance"/>
    <x v="0"/>
    <x v="2"/>
    <x v="2"/>
    <x v="0"/>
  </r>
  <r>
    <s v="Analyzer Status changed from Ready to Maintenance."/>
    <x v="0"/>
    <x v="0"/>
    <x v="21"/>
    <d v="1899-12-30T11:09:24"/>
    <s v="Analyzer"/>
    <x v="0"/>
    <x v="0"/>
    <x v="0"/>
    <x v="0"/>
  </r>
  <r>
    <s v="Frequency status for manual maintenance activity replace factor diluent has changed to OK."/>
    <x v="3"/>
    <x v="0"/>
    <x v="21"/>
    <d v="1899-12-30T11:09:25"/>
    <s v="Maintenance"/>
    <x v="0"/>
    <x v="2"/>
    <x v="2"/>
    <x v="0"/>
  </r>
  <r>
    <s v="Manual maintenance activity replace factor diluent has been executed."/>
    <x v="5"/>
    <x v="0"/>
    <x v="21"/>
    <d v="1899-12-30T11:09:25"/>
    <s v="Maintenance"/>
    <x v="0"/>
    <x v="2"/>
    <x v="2"/>
    <x v="0"/>
  </r>
  <r>
    <s v="Analyzer Status changed from Maintenance to Ready."/>
    <x v="0"/>
    <x v="0"/>
    <x v="21"/>
    <d v="1899-12-30T11:09:28"/>
    <s v="Analyzer"/>
    <x v="0"/>
    <x v="0"/>
    <x v="0"/>
    <x v="0"/>
  </r>
  <r>
    <s v="Analyzer Status changed from Ready to Maintenance."/>
    <x v="0"/>
    <x v="0"/>
    <x v="21"/>
    <d v="1899-12-30T11:09:30"/>
    <s v="Analyzer"/>
    <x v="0"/>
    <x v="0"/>
    <x v="0"/>
    <x v="0"/>
  </r>
  <r>
    <s v="Analyzer Status changed from Maintenance to Ready."/>
    <x v="0"/>
    <x v="0"/>
    <x v="21"/>
    <d v="1899-12-30T11:09:32"/>
    <s v="Analyzer"/>
    <x v="0"/>
    <x v="0"/>
    <x v="0"/>
    <x v="0"/>
  </r>
  <r>
    <s v="Frequency status for manual maintenance activity make new diluted clean B has changed to OK."/>
    <x v="3"/>
    <x v="0"/>
    <x v="21"/>
    <d v="1899-12-30T11:09:32"/>
    <s v="Maintenance"/>
    <x v="0"/>
    <x v="2"/>
    <x v="2"/>
    <x v="0"/>
  </r>
  <r>
    <s v="Manual maintenance activity make new diluted clean B has been executed."/>
    <x v="5"/>
    <x v="0"/>
    <x v="21"/>
    <d v="1899-12-30T11:09:32"/>
    <s v="Maintenance"/>
    <x v="0"/>
    <x v="2"/>
    <x v="2"/>
    <x v="0"/>
  </r>
  <r>
    <s v="Non-identified Sample in rack 01 position 1, track 10."/>
    <x v="12"/>
    <x v="2"/>
    <x v="21"/>
    <d v="1899-12-30T11:13:59"/>
    <s v="Materials"/>
    <x v="0"/>
    <x v="4"/>
    <x v="7"/>
    <x v="1"/>
  </r>
  <r>
    <s v="Non-identified Sample in rack 01 position 2, track 10."/>
    <x v="12"/>
    <x v="2"/>
    <x v="21"/>
    <d v="1899-12-30T11:13:59"/>
    <s v="Materials"/>
    <x v="0"/>
    <x v="4"/>
    <x v="7"/>
    <x v="1"/>
  </r>
  <r>
    <s v="Non-identified Sample in rack 01 position 1, track 10."/>
    <x v="12"/>
    <x v="2"/>
    <x v="21"/>
    <d v="1899-12-30T11:14:04"/>
    <s v="Materials"/>
    <x v="0"/>
    <x v="4"/>
    <x v="7"/>
    <x v="1"/>
  </r>
  <r>
    <s v="Non-identified Sample in rack 01 position 2, track 10."/>
    <x v="12"/>
    <x v="2"/>
    <x v="21"/>
    <d v="1899-12-30T11:14:08"/>
    <s v="Materials"/>
    <x v="0"/>
    <x v="4"/>
    <x v="7"/>
    <x v="1"/>
  </r>
  <r>
    <s v="Analyzer Status changed from Ready to Busy."/>
    <x v="0"/>
    <x v="0"/>
    <x v="21"/>
    <d v="1899-12-30T11:14:18"/>
    <s v="Analyzer"/>
    <x v="0"/>
    <x v="0"/>
    <x v="0"/>
    <x v="0"/>
  </r>
  <r>
    <s v="Rinse solution level low."/>
    <x v="1"/>
    <x v="1"/>
    <x v="21"/>
    <d v="1899-12-30T11:15:44"/>
    <s v="Materials"/>
    <x v="0"/>
    <x v="1"/>
    <x v="1"/>
    <x v="0"/>
  </r>
  <r>
    <s v="QC Failed: RIVA-RIVA HIGH"/>
    <x v="28"/>
    <x v="2"/>
    <x v="21"/>
    <d v="1899-12-30T11:17:53"/>
    <s v="QC"/>
    <x v="0"/>
    <x v="2"/>
    <x v="3"/>
    <x v="0"/>
  </r>
  <r>
    <s v="Analyzer Status changed from Busy to Ready."/>
    <x v="0"/>
    <x v="0"/>
    <x v="21"/>
    <d v="1899-12-30T11:17:54"/>
    <s v="Analyzer"/>
    <x v="0"/>
    <x v="0"/>
    <x v="0"/>
    <x v="0"/>
  </r>
  <r>
    <s v="Analyzer Status changed from Ready to Maintenance."/>
    <x v="0"/>
    <x v="0"/>
    <x v="21"/>
    <d v="1899-12-30T11:17:54"/>
    <s v="Analyzer"/>
    <x v="0"/>
    <x v="0"/>
    <x v="0"/>
    <x v="0"/>
  </r>
  <r>
    <s v="Automatic maintenance activity Automatic Routine Clean for all Probes has been executed."/>
    <x v="2"/>
    <x v="0"/>
    <x v="21"/>
    <d v="1899-12-30T11:18:58"/>
    <s v="Maintenance"/>
    <x v="0"/>
    <x v="2"/>
    <x v="2"/>
    <x v="0"/>
  </r>
  <r>
    <s v="Analyzer Status changed from Maintenance to Ready."/>
    <x v="0"/>
    <x v="0"/>
    <x v="21"/>
    <d v="1899-12-30T11:18:59"/>
    <s v="Analyzer"/>
    <x v="0"/>
    <x v="0"/>
    <x v="0"/>
    <x v="0"/>
  </r>
  <r>
    <s v="Non-identified Sample in rack 01 position 1, track 10."/>
    <x v="12"/>
    <x v="2"/>
    <x v="21"/>
    <d v="1899-12-30T11:30:09"/>
    <s v="Materials"/>
    <x v="0"/>
    <x v="4"/>
    <x v="7"/>
    <x v="1"/>
  </r>
  <r>
    <s v="Non-identified Sample in rack 01 position 2, track 10."/>
    <x v="12"/>
    <x v="2"/>
    <x v="21"/>
    <d v="1899-12-30T11:30:09"/>
    <s v="Materials"/>
    <x v="0"/>
    <x v="4"/>
    <x v="7"/>
    <x v="1"/>
  </r>
  <r>
    <s v="Non-identified Sample in rack 01 position 1, track 10."/>
    <x v="12"/>
    <x v="2"/>
    <x v="21"/>
    <d v="1899-12-30T11:30:14"/>
    <s v="Materials"/>
    <x v="0"/>
    <x v="4"/>
    <x v="7"/>
    <x v="1"/>
  </r>
  <r>
    <s v="Non-identified Sample in rack 01 position 2, track 10."/>
    <x v="12"/>
    <x v="2"/>
    <x v="21"/>
    <d v="1899-12-30T11:30:17"/>
    <s v="Materials"/>
    <x v="0"/>
    <x v="4"/>
    <x v="7"/>
    <x v="1"/>
  </r>
  <r>
    <s v="Analyzer Status changed from Ready to Busy."/>
    <x v="0"/>
    <x v="0"/>
    <x v="21"/>
    <d v="1899-12-30T11:30:26"/>
    <s v="Analyzer"/>
    <x v="0"/>
    <x v="0"/>
    <x v="0"/>
    <x v="0"/>
  </r>
  <r>
    <s v="QC Failed: RIVA-RIVA HIGH"/>
    <x v="28"/>
    <x v="2"/>
    <x v="21"/>
    <d v="1899-12-30T11:34:02"/>
    <s v="QC"/>
    <x v="0"/>
    <x v="2"/>
    <x v="3"/>
    <x v="0"/>
  </r>
  <r>
    <s v="Analyzer Status changed from Busy to Ready."/>
    <x v="0"/>
    <x v="0"/>
    <x v="21"/>
    <d v="1899-12-30T11:34:03"/>
    <s v="Analyzer"/>
    <x v="0"/>
    <x v="0"/>
    <x v="0"/>
    <x v="0"/>
  </r>
  <r>
    <s v="Analyzer Status changed from Ready to Maintenance."/>
    <x v="0"/>
    <x v="0"/>
    <x v="21"/>
    <d v="1899-12-30T11:34:03"/>
    <s v="Analyzer"/>
    <x v="0"/>
    <x v="0"/>
    <x v="0"/>
    <x v="0"/>
  </r>
  <r>
    <s v="Analyzer Status changed from Maintenance to Ready."/>
    <x v="0"/>
    <x v="0"/>
    <x v="21"/>
    <d v="1899-12-30T11:34:29"/>
    <s v="Analyzer"/>
    <x v="0"/>
    <x v="0"/>
    <x v="0"/>
    <x v="0"/>
  </r>
  <r>
    <s v="Automatic maintenance activity Automatic Routine Clean for all Probes has been executed."/>
    <x v="2"/>
    <x v="0"/>
    <x v="21"/>
    <d v="1899-12-30T11:34:29"/>
    <s v="Maintenance"/>
    <x v="0"/>
    <x v="2"/>
    <x v="2"/>
    <x v="0"/>
  </r>
  <r>
    <s v="Analyzer Status changed from Ready to Busy."/>
    <x v="0"/>
    <x v="0"/>
    <x v="21"/>
    <d v="1899-12-30T11:37:12"/>
    <s v="Analyzer"/>
    <x v="0"/>
    <x v="0"/>
    <x v="0"/>
    <x v="0"/>
  </r>
  <r>
    <s v="Analyzer Status changed from Busy to Ready."/>
    <x v="0"/>
    <x v="0"/>
    <x v="21"/>
    <d v="1899-12-30T11:40:08"/>
    <s v="Analyzer"/>
    <x v="0"/>
    <x v="0"/>
    <x v="0"/>
    <x v="0"/>
  </r>
  <r>
    <s v="Analyzer Status changed from Ready to Maintenance."/>
    <x v="0"/>
    <x v="0"/>
    <x v="21"/>
    <d v="1899-12-30T11:40:08"/>
    <s v="Analyzer"/>
    <x v="0"/>
    <x v="0"/>
    <x v="0"/>
    <x v="0"/>
  </r>
  <r>
    <s v="QC Failed: RIVA-RIVA HIGH"/>
    <x v="28"/>
    <x v="2"/>
    <x v="21"/>
    <d v="1899-12-30T11:40:08"/>
    <s v="QC"/>
    <x v="0"/>
    <x v="2"/>
    <x v="3"/>
    <x v="0"/>
  </r>
  <r>
    <s v="Analyzer Status changed from Maintenance to Ready."/>
    <x v="0"/>
    <x v="0"/>
    <x v="21"/>
    <d v="1899-12-30T11:40:35"/>
    <s v="Analyzer"/>
    <x v="0"/>
    <x v="0"/>
    <x v="0"/>
    <x v="0"/>
  </r>
  <r>
    <s v="Automatic maintenance activity Automatic Routine Clean for all Probes has been executed."/>
    <x v="2"/>
    <x v="0"/>
    <x v="21"/>
    <d v="1899-12-30T11:40:35"/>
    <s v="Maintenance"/>
    <x v="0"/>
    <x v="2"/>
    <x v="2"/>
    <x v="0"/>
  </r>
  <r>
    <s v="Test Definition Fib-RP has been modified."/>
    <x v="14"/>
    <x v="0"/>
    <x v="21"/>
    <d v="1899-12-30T12:17:25"/>
    <s v="Setup"/>
    <x v="0"/>
    <x v="2"/>
    <x v="5"/>
    <x v="0"/>
  </r>
  <r>
    <s v="Test Definition Hepz PT has been modified."/>
    <x v="14"/>
    <x v="0"/>
    <x v="21"/>
    <d v="1899-12-30T12:17:26"/>
    <s v="Setup"/>
    <x v="0"/>
    <x v="2"/>
    <x v="5"/>
    <x v="0"/>
  </r>
  <r>
    <s v="Test Definition PT-RP has been modified."/>
    <x v="14"/>
    <x v="0"/>
    <x v="21"/>
    <d v="1899-12-30T12:17:27"/>
    <s v="Setup"/>
    <x v="0"/>
    <x v="2"/>
    <x v="5"/>
    <x v="0"/>
  </r>
  <r>
    <s v="Test Definition Fib-RP has been modified."/>
    <x v="14"/>
    <x v="0"/>
    <x v="21"/>
    <d v="1899-12-30T12:17:27"/>
    <s v="Setup"/>
    <x v="0"/>
    <x v="2"/>
    <x v="5"/>
    <x v="0"/>
  </r>
  <r>
    <s v="Test Definition Hepz PT has been modified."/>
    <x v="14"/>
    <x v="0"/>
    <x v="21"/>
    <d v="1899-12-30T12:17:40"/>
    <s v="Setup"/>
    <x v="0"/>
    <x v="2"/>
    <x v="5"/>
    <x v="0"/>
  </r>
  <r>
    <s v="Test Definition dRVVT S has been modified."/>
    <x v="14"/>
    <x v="0"/>
    <x v="21"/>
    <d v="1899-12-30T12:17:55"/>
    <s v="Setup"/>
    <x v="0"/>
    <x v="2"/>
    <x v="5"/>
    <x v="0"/>
  </r>
  <r>
    <s v="Test Definition dRVVT C has been modified."/>
    <x v="14"/>
    <x v="0"/>
    <x v="21"/>
    <d v="1899-12-30T12:17:55"/>
    <s v="Setup"/>
    <x v="0"/>
    <x v="2"/>
    <x v="5"/>
    <x v="0"/>
  </r>
  <r>
    <s v="Test Definition dRVVTSMX has been modified."/>
    <x v="14"/>
    <x v="0"/>
    <x v="21"/>
    <d v="1899-12-30T12:18:15"/>
    <s v="Setup"/>
    <x v="0"/>
    <x v="2"/>
    <x v="5"/>
    <x v="0"/>
  </r>
  <r>
    <s v="Test Definition dRVVTCMX has been modified."/>
    <x v="14"/>
    <x v="0"/>
    <x v="21"/>
    <d v="1899-12-30T12:18:16"/>
    <s v="Setup"/>
    <x v="0"/>
    <x v="2"/>
    <x v="5"/>
    <x v="0"/>
  </r>
  <r>
    <s v="Test Definition dRVVTCMX has been modified."/>
    <x v="14"/>
    <x v="0"/>
    <x v="21"/>
    <d v="1899-12-30T12:18:30"/>
    <s v="Setup"/>
    <x v="0"/>
    <x v="2"/>
    <x v="5"/>
    <x v="0"/>
  </r>
  <r>
    <s v="Test Definition SCT-S has been modified."/>
    <x v="14"/>
    <x v="0"/>
    <x v="21"/>
    <d v="1899-12-30T12:18:42"/>
    <s v="Setup"/>
    <x v="0"/>
    <x v="2"/>
    <x v="5"/>
    <x v="0"/>
  </r>
  <r>
    <s v="Test Definition SCT-C has been modified."/>
    <x v="14"/>
    <x v="0"/>
    <x v="21"/>
    <d v="1899-12-30T12:18:43"/>
    <s v="Setup"/>
    <x v="0"/>
    <x v="2"/>
    <x v="5"/>
    <x v="0"/>
  </r>
  <r>
    <s v="Test Definition SCTSMX has been modified."/>
    <x v="14"/>
    <x v="0"/>
    <x v="21"/>
    <d v="1899-12-30T12:18:54"/>
    <s v="Setup"/>
    <x v="0"/>
    <x v="2"/>
    <x v="5"/>
    <x v="0"/>
  </r>
  <r>
    <s v="Test Definition SCTCMX has been modified."/>
    <x v="14"/>
    <x v="0"/>
    <x v="21"/>
    <d v="1899-12-30T12:18:54"/>
    <s v="Setup"/>
    <x v="0"/>
    <x v="2"/>
    <x v="5"/>
    <x v="0"/>
  </r>
  <r>
    <s v="Test Definition SCTCMX has been modified."/>
    <x v="14"/>
    <x v="0"/>
    <x v="21"/>
    <d v="1899-12-30T12:19:07"/>
    <s v="Setup"/>
    <x v="0"/>
    <x v="2"/>
    <x v="5"/>
    <x v="0"/>
  </r>
  <r>
    <s v="QC Profile Routine has been modified."/>
    <x v="65"/>
    <x v="0"/>
    <x v="21"/>
    <d v="1899-12-30T12:19:57"/>
    <s v="Setup"/>
    <x v="0"/>
    <x v="2"/>
    <x v="12"/>
    <x v="0"/>
  </r>
  <r>
    <s v="QC Profile Lupus has been added."/>
    <x v="66"/>
    <x v="0"/>
    <x v="21"/>
    <d v="1899-12-30T12:21:53"/>
    <s v="Setup"/>
    <x v="0"/>
    <x v="2"/>
    <x v="12"/>
    <x v="0"/>
  </r>
  <r>
    <s v="Non-identified Sample in rack 11 position 1, track 11."/>
    <x v="12"/>
    <x v="2"/>
    <x v="21"/>
    <d v="1899-12-30T12:28:21"/>
    <s v="Materials"/>
    <x v="0"/>
    <x v="4"/>
    <x v="7"/>
    <x v="1"/>
  </r>
  <r>
    <s v="Non-identified Sample in rack 11 position 2, track 11."/>
    <x v="12"/>
    <x v="2"/>
    <x v="21"/>
    <d v="1899-12-30T12:28:21"/>
    <s v="Materials"/>
    <x v="0"/>
    <x v="4"/>
    <x v="7"/>
    <x v="1"/>
  </r>
  <r>
    <s v="Non-identified Sample in rack 11 position 3, track 11."/>
    <x v="12"/>
    <x v="2"/>
    <x v="21"/>
    <d v="1899-12-30T12:28:21"/>
    <s v="Materials"/>
    <x v="0"/>
    <x v="4"/>
    <x v="7"/>
    <x v="1"/>
  </r>
  <r>
    <s v="Non-identified Sample in rack 11 position 4, track 11."/>
    <x v="12"/>
    <x v="2"/>
    <x v="21"/>
    <d v="1899-12-30T12:28:21"/>
    <s v="Materials"/>
    <x v="0"/>
    <x v="4"/>
    <x v="7"/>
    <x v="1"/>
  </r>
  <r>
    <s v="Non-identified Sample in rack 11 position 5, track 11."/>
    <x v="12"/>
    <x v="2"/>
    <x v="21"/>
    <d v="1899-12-30T12:28:21"/>
    <s v="Materials"/>
    <x v="0"/>
    <x v="4"/>
    <x v="7"/>
    <x v="1"/>
  </r>
  <r>
    <s v="Non-identified Sample in rack 11 position 6, track 11."/>
    <x v="12"/>
    <x v="2"/>
    <x v="21"/>
    <d v="1899-12-30T12:28:21"/>
    <s v="Materials"/>
    <x v="0"/>
    <x v="4"/>
    <x v="7"/>
    <x v="1"/>
  </r>
  <r>
    <s v="Non-identified Sample in rack 11 position 7, track 11."/>
    <x v="12"/>
    <x v="2"/>
    <x v="21"/>
    <d v="1899-12-30T12:28:21"/>
    <s v="Materials"/>
    <x v="0"/>
    <x v="4"/>
    <x v="7"/>
    <x v="1"/>
  </r>
  <r>
    <s v="Non-identified Sample in rack 11 position 8, track 11."/>
    <x v="12"/>
    <x v="2"/>
    <x v="21"/>
    <d v="1899-12-30T12:28:21"/>
    <s v="Materials"/>
    <x v="0"/>
    <x v="4"/>
    <x v="7"/>
    <x v="1"/>
  </r>
  <r>
    <s v="Non-identified Sample in rack 11 position 9, track 11."/>
    <x v="12"/>
    <x v="2"/>
    <x v="21"/>
    <d v="1899-12-30T12:28:21"/>
    <s v="Materials"/>
    <x v="0"/>
    <x v="4"/>
    <x v="7"/>
    <x v="1"/>
  </r>
  <r>
    <s v="Non-identified Sample in rack 11 position 10, track 11."/>
    <x v="12"/>
    <x v="2"/>
    <x v="21"/>
    <d v="1899-12-30T12:28:21"/>
    <s v="Materials"/>
    <x v="0"/>
    <x v="4"/>
    <x v="7"/>
    <x v="1"/>
  </r>
  <r>
    <s v="Analyzer Status changed from Ready to Busy."/>
    <x v="0"/>
    <x v="0"/>
    <x v="21"/>
    <d v="1899-12-30T12:29:15"/>
    <s v="Analyzer"/>
    <x v="0"/>
    <x v="0"/>
    <x v="0"/>
    <x v="0"/>
  </r>
  <r>
    <s v="Analyzer Status changed from Busy to Ready."/>
    <x v="0"/>
    <x v="0"/>
    <x v="21"/>
    <d v="1899-12-30T12:42:03"/>
    <s v="Analyzer"/>
    <x v="0"/>
    <x v="0"/>
    <x v="0"/>
    <x v="0"/>
  </r>
  <r>
    <s v="Analyzer Status changed from Ready to Maintenance."/>
    <x v="0"/>
    <x v="0"/>
    <x v="21"/>
    <d v="1899-12-30T12:42:03"/>
    <s v="Analyzer"/>
    <x v="0"/>
    <x v="0"/>
    <x v="0"/>
    <x v="0"/>
  </r>
  <r>
    <s v="Analyzer Status changed from Maintenance to Ready."/>
    <x v="0"/>
    <x v="0"/>
    <x v="21"/>
    <d v="1899-12-30T12:42:32"/>
    <s v="Analyzer"/>
    <x v="0"/>
    <x v="0"/>
    <x v="0"/>
    <x v="0"/>
  </r>
  <r>
    <s v="Automatic maintenance activity Automatic Routine Clean for all Probes has been executed."/>
    <x v="2"/>
    <x v="0"/>
    <x v="21"/>
    <d v="1899-12-30T12:42:32"/>
    <s v="Maintenance"/>
    <x v="0"/>
    <x v="2"/>
    <x v="2"/>
    <x v="0"/>
  </r>
  <r>
    <s v="Analyzer Status changed from Ready to Busy."/>
    <x v="0"/>
    <x v="0"/>
    <x v="21"/>
    <d v="1899-12-30T12:42:44"/>
    <s v="Analyzer"/>
    <x v="0"/>
    <x v="0"/>
    <x v="0"/>
    <x v="0"/>
  </r>
  <r>
    <s v="Analyzer Status changed from Busy to Ready."/>
    <x v="0"/>
    <x v="0"/>
    <x v="21"/>
    <d v="1899-12-30T12:49:29"/>
    <s v="Analyzer"/>
    <x v="0"/>
    <x v="0"/>
    <x v="0"/>
    <x v="0"/>
  </r>
  <r>
    <s v="Analyzer Status changed from Ready to Maintenance."/>
    <x v="0"/>
    <x v="0"/>
    <x v="21"/>
    <d v="1899-12-30T12:49:30"/>
    <s v="Analyzer"/>
    <x v="0"/>
    <x v="0"/>
    <x v="0"/>
    <x v="0"/>
  </r>
  <r>
    <s v="Automatic maintenance activity Automatic Routine Clean for all Probes has been executed."/>
    <x v="2"/>
    <x v="0"/>
    <x v="21"/>
    <d v="1899-12-30T12:49:56"/>
    <s v="Maintenance"/>
    <x v="0"/>
    <x v="2"/>
    <x v="2"/>
    <x v="0"/>
  </r>
  <r>
    <s v="Analyzer Status changed from Maintenance to Ready."/>
    <x v="0"/>
    <x v="0"/>
    <x v="21"/>
    <d v="1899-12-30T12:49:57"/>
    <s v="Analyzer"/>
    <x v="0"/>
    <x v="0"/>
    <x v="0"/>
    <x v="0"/>
  </r>
  <r>
    <s v="Non-identified Sample in rack 10 position 1, track 12."/>
    <x v="12"/>
    <x v="2"/>
    <x v="21"/>
    <d v="1899-12-30T13:06:01"/>
    <s v="Materials"/>
    <x v="0"/>
    <x v="4"/>
    <x v="7"/>
    <x v="1"/>
  </r>
  <r>
    <s v="Non-identified Sample in rack 10 position 2, track 12."/>
    <x v="12"/>
    <x v="2"/>
    <x v="21"/>
    <d v="1899-12-30T13:06:01"/>
    <s v="Materials"/>
    <x v="0"/>
    <x v="4"/>
    <x v="7"/>
    <x v="1"/>
  </r>
  <r>
    <s v="Non-identified Sample in rack 10 position 3, track 12."/>
    <x v="12"/>
    <x v="2"/>
    <x v="21"/>
    <d v="1899-12-30T13:06:01"/>
    <s v="Materials"/>
    <x v="0"/>
    <x v="4"/>
    <x v="7"/>
    <x v="1"/>
  </r>
  <r>
    <s v="Non-identified Sample in rack 10 position 4, track 12."/>
    <x v="12"/>
    <x v="2"/>
    <x v="21"/>
    <d v="1899-12-30T13:06:01"/>
    <s v="Materials"/>
    <x v="0"/>
    <x v="4"/>
    <x v="7"/>
    <x v="1"/>
  </r>
  <r>
    <s v="Non-identified Sample in rack 10 position 5, track 12."/>
    <x v="12"/>
    <x v="2"/>
    <x v="21"/>
    <d v="1899-12-30T13:06:01"/>
    <s v="Materials"/>
    <x v="0"/>
    <x v="4"/>
    <x v="7"/>
    <x v="1"/>
  </r>
  <r>
    <s v="Non-identified Sample in rack 10 position 6, track 12."/>
    <x v="12"/>
    <x v="2"/>
    <x v="21"/>
    <d v="1899-12-30T13:06:01"/>
    <s v="Materials"/>
    <x v="0"/>
    <x v="4"/>
    <x v="7"/>
    <x v="1"/>
  </r>
  <r>
    <s v="Non-identified Sample in rack 10 position 7, track 12."/>
    <x v="12"/>
    <x v="2"/>
    <x v="21"/>
    <d v="1899-12-30T13:06:01"/>
    <s v="Materials"/>
    <x v="0"/>
    <x v="4"/>
    <x v="7"/>
    <x v="1"/>
  </r>
  <r>
    <s v="Non-identified Sample in rack 10 position 8, track 12."/>
    <x v="12"/>
    <x v="2"/>
    <x v="21"/>
    <d v="1899-12-30T13:06:01"/>
    <s v="Materials"/>
    <x v="0"/>
    <x v="4"/>
    <x v="7"/>
    <x v="1"/>
  </r>
  <r>
    <s v="Non-identified Sample in rack 10 position 9, track 12."/>
    <x v="12"/>
    <x v="2"/>
    <x v="21"/>
    <d v="1899-12-30T13:06:01"/>
    <s v="Materials"/>
    <x v="0"/>
    <x v="4"/>
    <x v="7"/>
    <x v="1"/>
  </r>
  <r>
    <s v="Non-identified Sample in rack 10 position 10, track 12."/>
    <x v="12"/>
    <x v="2"/>
    <x v="21"/>
    <d v="1899-12-30T13:06:01"/>
    <s v="Materials"/>
    <x v="0"/>
    <x v="4"/>
    <x v="7"/>
    <x v="1"/>
  </r>
  <r>
    <s v="Analyzer Status changed from Ready to Busy."/>
    <x v="0"/>
    <x v="0"/>
    <x v="21"/>
    <d v="1899-12-30T13:06:58"/>
    <s v="Analyzer"/>
    <x v="0"/>
    <x v="0"/>
    <x v="0"/>
    <x v="0"/>
  </r>
  <r>
    <s v="Anti Chromogenic Sub volume low."/>
    <x v="7"/>
    <x v="1"/>
    <x v="21"/>
    <d v="1899-12-30T13:09:10"/>
    <s v="Materials"/>
    <x v="0"/>
    <x v="3"/>
    <x v="4"/>
    <x v="0"/>
  </r>
  <r>
    <s v="Anti Chromogenic Sub insufficient material to run additional calibration / test."/>
    <x v="32"/>
    <x v="2"/>
    <x v="21"/>
    <d v="1899-12-30T13:10:56"/>
    <s v="Materials"/>
    <x v="0"/>
    <x v="3"/>
    <x v="4"/>
    <x v="0"/>
  </r>
  <r>
    <s v="Anti Chromogenic Sub volume low."/>
    <x v="7"/>
    <x v="1"/>
    <x v="21"/>
    <d v="1899-12-30T13:10:56"/>
    <s v="Materials"/>
    <x v="0"/>
    <x v="3"/>
    <x v="4"/>
    <x v="0"/>
  </r>
  <r>
    <s v="Anti Factor Xa Rgt. volume low."/>
    <x v="7"/>
    <x v="1"/>
    <x v="21"/>
    <d v="1899-12-30T13:11:45"/>
    <s v="Materials"/>
    <x v="0"/>
    <x v="3"/>
    <x v="4"/>
    <x v="0"/>
  </r>
  <r>
    <s v="RIVA Patient job not feasible. Waiting for Anti Factor Xa Rgt.."/>
    <x v="26"/>
    <x v="1"/>
    <x v="21"/>
    <d v="1899-12-30T13:12:17"/>
    <s v="Materials"/>
    <x v="0"/>
    <x v="2"/>
    <x v="3"/>
    <x v="0"/>
  </r>
  <r>
    <s v="Anti Factor Xa Rgt. insufficient material to run additional calibration / test."/>
    <x v="32"/>
    <x v="2"/>
    <x v="21"/>
    <d v="1899-12-30T13:14:43"/>
    <s v="Materials"/>
    <x v="0"/>
    <x v="3"/>
    <x v="4"/>
    <x v="0"/>
  </r>
  <r>
    <s v="Anti Factor Xa Rgt. insufficient material to run additional calibration / test."/>
    <x v="32"/>
    <x v="2"/>
    <x v="21"/>
    <d v="1899-12-30T13:15:29"/>
    <s v="Materials"/>
    <x v="0"/>
    <x v="3"/>
    <x v="4"/>
    <x v="0"/>
  </r>
  <r>
    <s v="Anti Factor Xa Rgt. insufficient material to run additional calibration / test."/>
    <x v="32"/>
    <x v="2"/>
    <x v="21"/>
    <d v="1899-12-30T13:15:29"/>
    <s v="Materials"/>
    <x v="0"/>
    <x v="3"/>
    <x v="4"/>
    <x v="0"/>
  </r>
  <r>
    <s v="Analyzer Status changed from Busy to Ready."/>
    <x v="0"/>
    <x v="0"/>
    <x v="21"/>
    <d v="1899-12-30T13:26:21"/>
    <s v="Analyzer"/>
    <x v="0"/>
    <x v="0"/>
    <x v="0"/>
    <x v="0"/>
  </r>
  <r>
    <s v="Analyzer Status changed from Ready to Maintenance."/>
    <x v="0"/>
    <x v="0"/>
    <x v="21"/>
    <d v="1899-12-30T13:26:21"/>
    <s v="Analyzer"/>
    <x v="0"/>
    <x v="0"/>
    <x v="0"/>
    <x v="0"/>
  </r>
  <r>
    <s v="Automatic maintenance activity Automatic Routine Clean for all Probes has been executed."/>
    <x v="2"/>
    <x v="0"/>
    <x v="21"/>
    <d v="1899-12-30T13:26:47"/>
    <s v="Maintenance"/>
    <x v="0"/>
    <x v="2"/>
    <x v="2"/>
    <x v="0"/>
  </r>
  <r>
    <s v="Analyzer Status changed from Maintenance to Ready."/>
    <x v="0"/>
    <x v="0"/>
    <x v="21"/>
    <d v="1899-12-30T13:26:48"/>
    <s v="Analyzer"/>
    <x v="0"/>
    <x v="0"/>
    <x v="0"/>
    <x v="0"/>
  </r>
  <r>
    <s v="Non-identified Sample in rack 01 position 1, track 12."/>
    <x v="12"/>
    <x v="2"/>
    <x v="21"/>
    <d v="1899-12-30T13:29:30"/>
    <s v="Materials"/>
    <x v="0"/>
    <x v="4"/>
    <x v="7"/>
    <x v="1"/>
  </r>
  <r>
    <s v="Non-identified Sample in rack 01 position 1, track 12."/>
    <x v="12"/>
    <x v="2"/>
    <x v="21"/>
    <d v="1899-12-30T13:29:38"/>
    <s v="Materials"/>
    <x v="0"/>
    <x v="4"/>
    <x v="7"/>
    <x v="1"/>
  </r>
  <r>
    <s v="Analyzer Status changed from Ready to Busy."/>
    <x v="0"/>
    <x v="0"/>
    <x v="21"/>
    <d v="1899-12-30T13:29:49"/>
    <s v="Analyzer"/>
    <x v="0"/>
    <x v="0"/>
    <x v="0"/>
    <x v="0"/>
  </r>
  <r>
    <s v="QC Failed: RIVA-RIVA HIGH"/>
    <x v="28"/>
    <x v="2"/>
    <x v="21"/>
    <d v="1899-12-30T13:33:01"/>
    <s v="QC"/>
    <x v="0"/>
    <x v="2"/>
    <x v="3"/>
    <x v="0"/>
  </r>
  <r>
    <s v="Analyzer Status changed from Busy to Ready."/>
    <x v="0"/>
    <x v="0"/>
    <x v="21"/>
    <d v="1899-12-30T13:33:02"/>
    <s v="Analyzer"/>
    <x v="0"/>
    <x v="0"/>
    <x v="0"/>
    <x v="0"/>
  </r>
  <r>
    <s v="Analyzer Status changed from Ready to Maintenance."/>
    <x v="0"/>
    <x v="0"/>
    <x v="21"/>
    <d v="1899-12-30T13:33:02"/>
    <s v="Analyzer"/>
    <x v="0"/>
    <x v="0"/>
    <x v="0"/>
    <x v="0"/>
  </r>
  <r>
    <s v="Analyzer Status changed from Maintenance to Ready."/>
    <x v="0"/>
    <x v="0"/>
    <x v="21"/>
    <d v="1899-12-30T13:33:28"/>
    <s v="Analyzer"/>
    <x v="0"/>
    <x v="0"/>
    <x v="0"/>
    <x v="0"/>
  </r>
  <r>
    <s v="Automatic maintenance activity Automatic Routine Clean for all Probes has been executed."/>
    <x v="2"/>
    <x v="0"/>
    <x v="21"/>
    <d v="1899-12-30T13:33:28"/>
    <s v="Maintenance"/>
    <x v="0"/>
    <x v="2"/>
    <x v="2"/>
    <x v="0"/>
  </r>
  <r>
    <s v="Analyzer Status changed from Ready to Maintenance."/>
    <x v="0"/>
    <x v="0"/>
    <x v="21"/>
    <d v="1899-12-30T14:33:28"/>
    <s v="Analyzer"/>
    <x v="0"/>
    <x v="0"/>
    <x v="0"/>
    <x v="0"/>
  </r>
  <r>
    <s v="Analyzer Status changed from Maintenance to Ready."/>
    <x v="0"/>
    <x v="0"/>
    <x v="21"/>
    <d v="1899-12-30T14:33:50"/>
    <s v="Analyzer"/>
    <x v="0"/>
    <x v="0"/>
    <x v="0"/>
    <x v="0"/>
  </r>
  <r>
    <s v="Automatic maintenance activity Automatic Fluidic Line Priming Cycle has been executed."/>
    <x v="2"/>
    <x v="0"/>
    <x v="21"/>
    <d v="1899-12-30T14:33:50"/>
    <s v="Maintenance"/>
    <x v="0"/>
    <x v="2"/>
    <x v="2"/>
    <x v="0"/>
  </r>
  <r>
    <s v="Analyzer Status changed from Ready to Maintenance."/>
    <x v="0"/>
    <x v="0"/>
    <x v="21"/>
    <d v="1899-12-30T15:33:50"/>
    <s v="Analyzer"/>
    <x v="0"/>
    <x v="0"/>
    <x v="0"/>
    <x v="0"/>
  </r>
  <r>
    <s v="Analyzer Status changed from Maintenance to Ready."/>
    <x v="0"/>
    <x v="0"/>
    <x v="21"/>
    <d v="1899-12-30T15:34:12"/>
    <s v="Analyzer"/>
    <x v="0"/>
    <x v="0"/>
    <x v="0"/>
    <x v="0"/>
  </r>
  <r>
    <s v="Automatic maintenance activity Automatic Fluidic Line Priming Cycle has been executed."/>
    <x v="2"/>
    <x v="0"/>
    <x v="21"/>
    <d v="1899-12-30T15:34:12"/>
    <s v="Maintenance"/>
    <x v="0"/>
    <x v="2"/>
    <x v="2"/>
    <x v="0"/>
  </r>
  <r>
    <s v="Automatic logout."/>
    <x v="62"/>
    <x v="0"/>
    <x v="21"/>
    <d v="1899-12-30T16:08:20"/>
    <s v="Other"/>
    <x v="0"/>
    <x v="4"/>
    <x v="7"/>
    <x v="1"/>
  </r>
  <r>
    <s v="Analyzer Status changed from Ready to Maintenance."/>
    <x v="0"/>
    <x v="0"/>
    <x v="21"/>
    <d v="1899-12-30T16:34:12"/>
    <s v="Analyzer"/>
    <x v="1"/>
    <x v="0"/>
    <x v="0"/>
    <x v="0"/>
  </r>
  <r>
    <s v="Automatic maintenance activity Automatic Fluidic Line Priming Cycle has been executed."/>
    <x v="2"/>
    <x v="0"/>
    <x v="21"/>
    <d v="1899-12-30T16:34:33"/>
    <s v="Maintenance"/>
    <x v="1"/>
    <x v="2"/>
    <x v="2"/>
    <x v="0"/>
  </r>
  <r>
    <s v="Analyzer Status changed from Maintenance to Ready."/>
    <x v="0"/>
    <x v="0"/>
    <x v="21"/>
    <d v="1899-12-30T16:34:34"/>
    <s v="Analyzer"/>
    <x v="1"/>
    <x v="0"/>
    <x v="0"/>
    <x v="0"/>
  </r>
  <r>
    <s v="Analyzer Status changed from Ready to Maintenance."/>
    <x v="0"/>
    <x v="0"/>
    <x v="21"/>
    <d v="1899-12-30T17:34:34"/>
    <s v="Analyzer"/>
    <x v="1"/>
    <x v="0"/>
    <x v="0"/>
    <x v="0"/>
  </r>
  <r>
    <s v="Automatic maintenance activity Automatic Fluidic Line Priming Cycle has been executed."/>
    <x v="2"/>
    <x v="0"/>
    <x v="21"/>
    <d v="1899-12-30T17:34:55"/>
    <s v="Maintenance"/>
    <x v="1"/>
    <x v="2"/>
    <x v="2"/>
    <x v="0"/>
  </r>
  <r>
    <s v="Analyzer Status changed from Maintenance to Ready."/>
    <x v="0"/>
    <x v="0"/>
    <x v="21"/>
    <d v="1899-12-30T17:34:56"/>
    <s v="Analyzer"/>
    <x v="1"/>
    <x v="0"/>
    <x v="0"/>
    <x v="0"/>
  </r>
  <r>
    <s v="Analyzer Status changed from Ready to Maintenance."/>
    <x v="0"/>
    <x v="0"/>
    <x v="21"/>
    <d v="1899-12-30T18:34:56"/>
    <s v="Analyzer"/>
    <x v="1"/>
    <x v="0"/>
    <x v="0"/>
    <x v="0"/>
  </r>
  <r>
    <s v="Automatic maintenance activity Automatic Fluidic Line Priming Cycle has been executed."/>
    <x v="2"/>
    <x v="0"/>
    <x v="21"/>
    <d v="1899-12-30T18:35:17"/>
    <s v="Maintenance"/>
    <x v="1"/>
    <x v="2"/>
    <x v="2"/>
    <x v="0"/>
  </r>
  <r>
    <s v="Analyzer Status changed from Maintenance to Ready."/>
    <x v="0"/>
    <x v="0"/>
    <x v="21"/>
    <d v="1899-12-30T18:35:18"/>
    <s v="Analyzer"/>
    <x v="1"/>
    <x v="0"/>
    <x v="0"/>
    <x v="0"/>
  </r>
  <r>
    <s v="Analyzer Status changed from Ready to Maintenance."/>
    <x v="0"/>
    <x v="0"/>
    <x v="21"/>
    <d v="1899-12-30T19:35:18"/>
    <s v="Analyzer"/>
    <x v="1"/>
    <x v="0"/>
    <x v="0"/>
    <x v="0"/>
  </r>
  <r>
    <s v="Analyzer Status changed from Maintenance to Ready."/>
    <x v="0"/>
    <x v="0"/>
    <x v="21"/>
    <d v="1899-12-30T19:35:39"/>
    <s v="Analyzer"/>
    <x v="1"/>
    <x v="0"/>
    <x v="0"/>
    <x v="0"/>
  </r>
  <r>
    <s v="Automatic maintenance activity Automatic Fluidic Line Priming Cycle has been executed."/>
    <x v="2"/>
    <x v="0"/>
    <x v="21"/>
    <d v="1899-12-30T19:35:39"/>
    <s v="Maintenance"/>
    <x v="1"/>
    <x v="2"/>
    <x v="2"/>
    <x v="0"/>
  </r>
  <r>
    <s v="Analyzer Status changed from Ready to Maintenance."/>
    <x v="0"/>
    <x v="0"/>
    <x v="21"/>
    <d v="1899-12-30T20:35:40"/>
    <s v="Analyzer"/>
    <x v="1"/>
    <x v="0"/>
    <x v="0"/>
    <x v="0"/>
  </r>
  <r>
    <s v="Analyzer Status changed from Maintenance to Ready."/>
    <x v="0"/>
    <x v="0"/>
    <x v="21"/>
    <d v="1899-12-30T20:36:01"/>
    <s v="Analyzer"/>
    <x v="1"/>
    <x v="0"/>
    <x v="0"/>
    <x v="0"/>
  </r>
  <r>
    <s v="Automatic maintenance activity Automatic Fluidic Line Priming Cycle has been executed."/>
    <x v="2"/>
    <x v="0"/>
    <x v="21"/>
    <d v="1899-12-30T20:36:01"/>
    <s v="Maintenance"/>
    <x v="1"/>
    <x v="2"/>
    <x v="2"/>
    <x v="0"/>
  </r>
  <r>
    <s v="Analyzer Status changed from Ready to Maintenance."/>
    <x v="0"/>
    <x v="0"/>
    <x v="21"/>
    <d v="1899-12-30T21:36:01"/>
    <s v="Analyzer"/>
    <x v="1"/>
    <x v="0"/>
    <x v="0"/>
    <x v="0"/>
  </r>
  <r>
    <s v="Analyzer Status changed from Maintenance to Ready."/>
    <x v="0"/>
    <x v="0"/>
    <x v="21"/>
    <d v="1899-12-30T21:36:23"/>
    <s v="Analyzer"/>
    <x v="1"/>
    <x v="0"/>
    <x v="0"/>
    <x v="0"/>
  </r>
  <r>
    <s v="Automatic maintenance activity Automatic Fluidic Line Priming Cycle has been executed."/>
    <x v="2"/>
    <x v="0"/>
    <x v="21"/>
    <d v="1899-12-30T21:36:23"/>
    <s v="Maintenance"/>
    <x v="1"/>
    <x v="2"/>
    <x v="2"/>
    <x v="0"/>
  </r>
  <r>
    <s v="Analyzer Status changed from Ready to Maintenance."/>
    <x v="0"/>
    <x v="0"/>
    <x v="21"/>
    <d v="1899-12-30T22:36:23"/>
    <s v="Analyzer"/>
    <x v="1"/>
    <x v="0"/>
    <x v="0"/>
    <x v="0"/>
  </r>
  <r>
    <s v="Analyzer Status changed from Maintenance to Ready."/>
    <x v="0"/>
    <x v="0"/>
    <x v="21"/>
    <d v="1899-12-30T22:36:45"/>
    <s v="Analyzer"/>
    <x v="1"/>
    <x v="0"/>
    <x v="0"/>
    <x v="0"/>
  </r>
  <r>
    <s v="Automatic maintenance activity Automatic Fluidic Line Priming Cycle has been executed."/>
    <x v="2"/>
    <x v="0"/>
    <x v="21"/>
    <d v="1899-12-30T22:36:45"/>
    <s v="Maintenance"/>
    <x v="1"/>
    <x v="2"/>
    <x v="2"/>
    <x v="0"/>
  </r>
  <r>
    <s v="Analyzer Status changed from Ready to Maintenance."/>
    <x v="0"/>
    <x v="0"/>
    <x v="21"/>
    <d v="1899-12-30T23:36:45"/>
    <s v="Analyzer"/>
    <x v="1"/>
    <x v="0"/>
    <x v="0"/>
    <x v="0"/>
  </r>
  <r>
    <s v="Analyzer Status changed from Maintenance to Ready."/>
    <x v="0"/>
    <x v="0"/>
    <x v="21"/>
    <d v="1899-12-30T23:37:07"/>
    <s v="Analyzer"/>
    <x v="1"/>
    <x v="0"/>
    <x v="0"/>
    <x v="0"/>
  </r>
  <r>
    <s v="Automatic maintenance activity Automatic Fluidic Line Priming Cycle has been executed."/>
    <x v="2"/>
    <x v="0"/>
    <x v="21"/>
    <d v="1899-12-30T23:37:07"/>
    <s v="Maintenance"/>
    <x v="1"/>
    <x v="2"/>
    <x v="2"/>
    <x v="0"/>
  </r>
  <r>
    <s v="Analyzer Status changed from Ready to Maintenance."/>
    <x v="0"/>
    <x v="0"/>
    <x v="22"/>
    <d v="1899-12-30T00:37:07"/>
    <s v="Analyzer"/>
    <x v="1"/>
    <x v="0"/>
    <x v="0"/>
    <x v="0"/>
  </r>
  <r>
    <s v="Analyzer Status changed from Maintenance to Ready."/>
    <x v="0"/>
    <x v="0"/>
    <x v="22"/>
    <d v="1899-12-30T00:37:29"/>
    <s v="Analyzer"/>
    <x v="1"/>
    <x v="0"/>
    <x v="0"/>
    <x v="0"/>
  </r>
  <r>
    <s v="Automatic maintenance activity Automatic Fluidic Line Priming Cycle has been executed."/>
    <x v="2"/>
    <x v="0"/>
    <x v="22"/>
    <d v="1899-12-30T00:37:29"/>
    <s v="Maintenance"/>
    <x v="1"/>
    <x v="2"/>
    <x v="2"/>
    <x v="0"/>
  </r>
  <r>
    <s v="Analyzer Status changed from Ready to Maintenance."/>
    <x v="0"/>
    <x v="0"/>
    <x v="22"/>
    <d v="1899-12-30T01:37:29"/>
    <s v="Analyzer"/>
    <x v="1"/>
    <x v="0"/>
    <x v="0"/>
    <x v="0"/>
  </r>
  <r>
    <s v="Analyzer Status changed from Maintenance to Ready."/>
    <x v="0"/>
    <x v="0"/>
    <x v="22"/>
    <d v="1899-12-30T01:37:51"/>
    <s v="Analyzer"/>
    <x v="1"/>
    <x v="0"/>
    <x v="0"/>
    <x v="0"/>
  </r>
  <r>
    <s v="Automatic maintenance activity Automatic Fluidic Line Priming Cycle has been executed."/>
    <x v="2"/>
    <x v="0"/>
    <x v="22"/>
    <d v="1899-12-30T01:37:51"/>
    <s v="Maintenance"/>
    <x v="1"/>
    <x v="2"/>
    <x v="2"/>
    <x v="0"/>
  </r>
  <r>
    <s v="Analyzer Status changed from Ready to Maintenance."/>
    <x v="0"/>
    <x v="0"/>
    <x v="22"/>
    <d v="1899-12-30T02:37:51"/>
    <s v="Analyzer"/>
    <x v="1"/>
    <x v="0"/>
    <x v="0"/>
    <x v="0"/>
  </r>
  <r>
    <s v="Analyzer Status changed from Maintenance to Ready."/>
    <x v="0"/>
    <x v="0"/>
    <x v="22"/>
    <d v="1899-12-30T02:38:13"/>
    <s v="Analyzer"/>
    <x v="1"/>
    <x v="0"/>
    <x v="0"/>
    <x v="0"/>
  </r>
  <r>
    <s v="Automatic maintenance activity Automatic Fluidic Line Priming Cycle has been executed."/>
    <x v="2"/>
    <x v="0"/>
    <x v="22"/>
    <d v="1899-12-30T02:38:13"/>
    <s v="Maintenance"/>
    <x v="1"/>
    <x v="2"/>
    <x v="2"/>
    <x v="0"/>
  </r>
  <r>
    <s v="Analyzer Status changed from Ready to Maintenance."/>
    <x v="0"/>
    <x v="0"/>
    <x v="22"/>
    <d v="1899-12-30T03:38:13"/>
    <s v="Analyzer"/>
    <x v="1"/>
    <x v="0"/>
    <x v="0"/>
    <x v="0"/>
  </r>
  <r>
    <s v="Analyzer Status changed from Maintenance to Ready."/>
    <x v="0"/>
    <x v="0"/>
    <x v="22"/>
    <d v="1899-12-30T03:38:35"/>
    <s v="Analyzer"/>
    <x v="1"/>
    <x v="0"/>
    <x v="0"/>
    <x v="0"/>
  </r>
  <r>
    <s v="Automatic maintenance activity Automatic Fluidic Line Priming Cycle has been executed."/>
    <x v="2"/>
    <x v="0"/>
    <x v="22"/>
    <d v="1899-12-30T03:38:35"/>
    <s v="Maintenance"/>
    <x v="1"/>
    <x v="2"/>
    <x v="2"/>
    <x v="0"/>
  </r>
  <r>
    <s v="Analyzer Status changed from Ready to Maintenance."/>
    <x v="0"/>
    <x v="0"/>
    <x v="22"/>
    <d v="1899-12-30T04:38:35"/>
    <s v="Analyzer"/>
    <x v="1"/>
    <x v="0"/>
    <x v="0"/>
    <x v="0"/>
  </r>
  <r>
    <s v="Analyzer Status changed from Maintenance to Ready."/>
    <x v="0"/>
    <x v="0"/>
    <x v="22"/>
    <d v="1899-12-30T04:38:57"/>
    <s v="Analyzer"/>
    <x v="1"/>
    <x v="0"/>
    <x v="0"/>
    <x v="0"/>
  </r>
  <r>
    <s v="Automatic maintenance activity Automatic Fluidic Line Priming Cycle has been executed."/>
    <x v="2"/>
    <x v="0"/>
    <x v="22"/>
    <d v="1899-12-30T04:38:57"/>
    <s v="Maintenance"/>
    <x v="1"/>
    <x v="2"/>
    <x v="2"/>
    <x v="0"/>
  </r>
  <r>
    <s v="Analyzer Status changed from Ready to Maintenance."/>
    <x v="0"/>
    <x v="0"/>
    <x v="22"/>
    <d v="1899-12-30T05:38:57"/>
    <s v="Analyzer"/>
    <x v="1"/>
    <x v="0"/>
    <x v="0"/>
    <x v="0"/>
  </r>
  <r>
    <s v="Analyzer Status changed from Maintenance to Ready."/>
    <x v="0"/>
    <x v="0"/>
    <x v="22"/>
    <d v="1899-12-30T05:39:19"/>
    <s v="Analyzer"/>
    <x v="1"/>
    <x v="0"/>
    <x v="0"/>
    <x v="0"/>
  </r>
  <r>
    <s v="Automatic maintenance activity Automatic Fluidic Line Priming Cycle has been executed."/>
    <x v="2"/>
    <x v="0"/>
    <x v="22"/>
    <d v="1899-12-30T05:39:19"/>
    <s v="Maintenance"/>
    <x v="1"/>
    <x v="2"/>
    <x v="2"/>
    <x v="0"/>
  </r>
  <r>
    <s v="Analyzer Status changed from Ready to Maintenance."/>
    <x v="0"/>
    <x v="0"/>
    <x v="22"/>
    <d v="1899-12-30T06:39:19"/>
    <s v="Analyzer"/>
    <x v="1"/>
    <x v="0"/>
    <x v="0"/>
    <x v="0"/>
  </r>
  <r>
    <s v="Analyzer Status changed from Maintenance to Ready."/>
    <x v="0"/>
    <x v="0"/>
    <x v="22"/>
    <d v="1899-12-30T06:39:41"/>
    <s v="Analyzer"/>
    <x v="1"/>
    <x v="0"/>
    <x v="0"/>
    <x v="0"/>
  </r>
  <r>
    <s v="Automatic maintenance activity Automatic Fluidic Line Priming Cycle has been executed."/>
    <x v="2"/>
    <x v="0"/>
    <x v="22"/>
    <d v="1899-12-30T06:39:41"/>
    <s v="Maintenance"/>
    <x v="1"/>
    <x v="2"/>
    <x v="2"/>
    <x v="0"/>
  </r>
  <r>
    <s v="Analyzer Status changed from Ready to Maintenance."/>
    <x v="0"/>
    <x v="0"/>
    <x v="22"/>
    <d v="1899-12-30T07:39:41"/>
    <s v="Analyzer"/>
    <x v="1"/>
    <x v="0"/>
    <x v="0"/>
    <x v="0"/>
  </r>
  <r>
    <s v="Analyzer Status changed from Maintenance to Ready."/>
    <x v="0"/>
    <x v="0"/>
    <x v="22"/>
    <d v="1899-12-30T07:40:03"/>
    <s v="Analyzer"/>
    <x v="1"/>
    <x v="0"/>
    <x v="0"/>
    <x v="0"/>
  </r>
  <r>
    <s v="Automatic maintenance activity Automatic Fluidic Line Priming Cycle has been executed."/>
    <x v="2"/>
    <x v="0"/>
    <x v="22"/>
    <d v="1899-12-30T07:40:03"/>
    <s v="Maintenance"/>
    <x v="1"/>
    <x v="2"/>
    <x v="2"/>
    <x v="0"/>
  </r>
  <r>
    <s v="Analyzer Status changed from Ready to Maintenance."/>
    <x v="0"/>
    <x v="0"/>
    <x v="22"/>
    <d v="1899-12-30T08:40:03"/>
    <s v="Analyzer"/>
    <x v="1"/>
    <x v="0"/>
    <x v="0"/>
    <x v="0"/>
  </r>
  <r>
    <s v="Automatic maintenance activity Automatic Fluidic Line Priming Cycle has been executed."/>
    <x v="2"/>
    <x v="0"/>
    <x v="22"/>
    <d v="1899-12-30T08:41:37"/>
    <s v="Maintenance"/>
    <x v="1"/>
    <x v="2"/>
    <x v="2"/>
    <x v="0"/>
  </r>
  <r>
    <s v="Analyzer Status changed from Maintenance to Ready."/>
    <x v="0"/>
    <x v="0"/>
    <x v="22"/>
    <d v="1899-12-30T08:41:38"/>
    <s v="Analyzer"/>
    <x v="1"/>
    <x v="0"/>
    <x v="0"/>
    <x v="0"/>
  </r>
  <r>
    <s v="Analyzer Status changed from Ready to Maintenance."/>
    <x v="0"/>
    <x v="0"/>
    <x v="22"/>
    <d v="1899-12-30T09:41:38"/>
    <s v="Analyzer"/>
    <x v="1"/>
    <x v="0"/>
    <x v="0"/>
    <x v="0"/>
  </r>
  <r>
    <s v="Automatic maintenance activity Automatic Fluidic Line Priming Cycle has been executed."/>
    <x v="2"/>
    <x v="0"/>
    <x v="22"/>
    <d v="1899-12-30T09:41:59"/>
    <s v="Maintenance"/>
    <x v="1"/>
    <x v="2"/>
    <x v="2"/>
    <x v="0"/>
  </r>
  <r>
    <s v="Analyzer Status changed from Maintenance to Ready."/>
    <x v="0"/>
    <x v="0"/>
    <x v="22"/>
    <d v="1899-12-30T09:42:00"/>
    <s v="Analyzer"/>
    <x v="1"/>
    <x v="0"/>
    <x v="0"/>
    <x v="0"/>
  </r>
  <r>
    <s v="Maintenance activity due: Enhanced Clean for Sample and Reagent Probes."/>
    <x v="9"/>
    <x v="1"/>
    <x v="22"/>
    <d v="1899-12-30T10:01:50"/>
    <s v="Maintenance"/>
    <x v="1"/>
    <x v="2"/>
    <x v="2"/>
    <x v="0"/>
  </r>
  <r>
    <s v="Maintenance activity due: Enhanced Clean for all Probes."/>
    <x v="9"/>
    <x v="1"/>
    <x v="22"/>
    <d v="1899-12-30T10:01:50"/>
    <s v="Maintenance"/>
    <x v="1"/>
    <x v="2"/>
    <x v="2"/>
    <x v="0"/>
  </r>
  <r>
    <s v="Maintenance activity due: replace factor diluent."/>
    <x v="9"/>
    <x v="1"/>
    <x v="22"/>
    <d v="1899-12-30T10:09:25"/>
    <s v="Maintenance"/>
    <x v="1"/>
    <x v="2"/>
    <x v="2"/>
    <x v="0"/>
  </r>
  <r>
    <s v="Maintenance activity due: make new diluted clean B."/>
    <x v="9"/>
    <x v="1"/>
    <x v="22"/>
    <d v="1899-12-30T10:09:32"/>
    <s v="Maintenance"/>
    <x v="1"/>
    <x v="2"/>
    <x v="2"/>
    <x v="0"/>
  </r>
  <r>
    <s v="Analyzer Status changed from Ready to Maintenance."/>
    <x v="0"/>
    <x v="0"/>
    <x v="22"/>
    <d v="1899-12-30T10:42:00"/>
    <s v="Analyzer"/>
    <x v="1"/>
    <x v="0"/>
    <x v="0"/>
    <x v="0"/>
  </r>
  <r>
    <s v="Analyzer Status changed from Maintenance to Ready."/>
    <x v="0"/>
    <x v="0"/>
    <x v="22"/>
    <d v="1899-12-30T10:42:21"/>
    <s v="Analyzer"/>
    <x v="1"/>
    <x v="0"/>
    <x v="0"/>
    <x v="0"/>
  </r>
  <r>
    <s v="Automatic maintenance activity Automatic Fluidic Line Priming Cycle has been executed."/>
    <x v="2"/>
    <x v="0"/>
    <x v="22"/>
    <d v="1899-12-30T10:42:21"/>
    <s v="Maintenance"/>
    <x v="1"/>
    <x v="2"/>
    <x v="2"/>
    <x v="0"/>
  </r>
  <r>
    <s v="Maintenance activity overdue: Enhanced Clean for Sample and Reagent Probes."/>
    <x v="20"/>
    <x v="1"/>
    <x v="22"/>
    <d v="1899-12-30T11:01:50"/>
    <s v="Maintenance"/>
    <x v="1"/>
    <x v="2"/>
    <x v="2"/>
    <x v="0"/>
  </r>
  <r>
    <s v="Maintenance activity overdue: Enhanced Clean for all Probes."/>
    <x v="20"/>
    <x v="1"/>
    <x v="22"/>
    <d v="1899-12-30T11:01:50"/>
    <s v="Maintenance"/>
    <x v="1"/>
    <x v="2"/>
    <x v="2"/>
    <x v="0"/>
  </r>
  <r>
    <s v="Maintenance activity overdue: replace factor diluent."/>
    <x v="20"/>
    <x v="1"/>
    <x v="22"/>
    <d v="1899-12-30T11:09:25"/>
    <s v="Maintenance"/>
    <x v="1"/>
    <x v="2"/>
    <x v="2"/>
    <x v="0"/>
  </r>
  <r>
    <s v="Maintenance activity overdue: make new diluted clean B."/>
    <x v="20"/>
    <x v="1"/>
    <x v="22"/>
    <d v="1899-12-30T11:09:32"/>
    <s v="Maintenance"/>
    <x v="1"/>
    <x v="2"/>
    <x v="2"/>
    <x v="0"/>
  </r>
  <r>
    <s v="Analyzer Status changed from Ready to Maintenance."/>
    <x v="0"/>
    <x v="0"/>
    <x v="22"/>
    <d v="1899-12-30T11:42:22"/>
    <s v="Analyzer"/>
    <x v="1"/>
    <x v="0"/>
    <x v="0"/>
    <x v="0"/>
  </r>
  <r>
    <s v="Analyzer Status changed from Maintenance to Ready."/>
    <x v="0"/>
    <x v="0"/>
    <x v="22"/>
    <d v="1899-12-30T11:42:43"/>
    <s v="Analyzer"/>
    <x v="1"/>
    <x v="0"/>
    <x v="0"/>
    <x v="0"/>
  </r>
  <r>
    <s v="Automatic maintenance activity Automatic Fluidic Line Priming Cycle has been executed."/>
    <x v="2"/>
    <x v="0"/>
    <x v="22"/>
    <d v="1899-12-30T11:42:43"/>
    <s v="Maintenance"/>
    <x v="1"/>
    <x v="2"/>
    <x v="2"/>
    <x v="0"/>
  </r>
  <r>
    <s v="Analyzer Status changed from Ready to Maintenance."/>
    <x v="0"/>
    <x v="0"/>
    <x v="22"/>
    <d v="1899-12-30T12:42:43"/>
    <s v="Analyzer"/>
    <x v="1"/>
    <x v="0"/>
    <x v="0"/>
    <x v="0"/>
  </r>
  <r>
    <s v="Analyzer Status changed from Maintenance to Ready."/>
    <x v="0"/>
    <x v="0"/>
    <x v="22"/>
    <d v="1899-12-30T12:43:05"/>
    <s v="Analyzer"/>
    <x v="1"/>
    <x v="0"/>
    <x v="0"/>
    <x v="0"/>
  </r>
  <r>
    <s v="Automatic maintenance activity Automatic Fluidic Line Priming Cycle has been executed."/>
    <x v="2"/>
    <x v="0"/>
    <x v="22"/>
    <d v="1899-12-30T12:43:05"/>
    <s v="Maintenance"/>
    <x v="1"/>
    <x v="2"/>
    <x v="2"/>
    <x v="0"/>
  </r>
  <r>
    <s v="Analyzer Status changed from Ready to Maintenance."/>
    <x v="0"/>
    <x v="0"/>
    <x v="22"/>
    <d v="1899-12-30T13:43:05"/>
    <s v="Analyzer"/>
    <x v="1"/>
    <x v="0"/>
    <x v="0"/>
    <x v="0"/>
  </r>
  <r>
    <s v="Analyzer Status changed from Maintenance to Ready."/>
    <x v="0"/>
    <x v="0"/>
    <x v="22"/>
    <d v="1899-12-30T13:43:27"/>
    <s v="Analyzer"/>
    <x v="1"/>
    <x v="0"/>
    <x v="0"/>
    <x v="0"/>
  </r>
  <r>
    <s v="Automatic maintenance activity Automatic Fluidic Line Priming Cycle has been executed."/>
    <x v="2"/>
    <x v="0"/>
    <x v="22"/>
    <d v="1899-12-30T13:43:27"/>
    <s v="Maintenance"/>
    <x v="1"/>
    <x v="2"/>
    <x v="2"/>
    <x v="0"/>
  </r>
  <r>
    <s v="Analyzer Status changed from Ready to Maintenance."/>
    <x v="0"/>
    <x v="0"/>
    <x v="22"/>
    <d v="1899-12-30T14:43:27"/>
    <s v="Analyzer"/>
    <x v="1"/>
    <x v="0"/>
    <x v="0"/>
    <x v="0"/>
  </r>
  <r>
    <s v="Analyzer Status changed from Maintenance to Ready."/>
    <x v="0"/>
    <x v="0"/>
    <x v="22"/>
    <d v="1899-12-30T14:43:49"/>
    <s v="Analyzer"/>
    <x v="1"/>
    <x v="0"/>
    <x v="0"/>
    <x v="0"/>
  </r>
  <r>
    <s v="Automatic maintenance activity Automatic Fluidic Line Priming Cycle has been executed."/>
    <x v="2"/>
    <x v="0"/>
    <x v="22"/>
    <d v="1899-12-30T14:43:49"/>
    <s v="Maintenance"/>
    <x v="1"/>
    <x v="2"/>
    <x v="2"/>
    <x v="0"/>
  </r>
  <r>
    <s v="Analyzer Status changed from Ready to Maintenance."/>
    <x v="0"/>
    <x v="0"/>
    <x v="22"/>
    <d v="1899-12-30T15:43:49"/>
    <s v="Analyzer"/>
    <x v="1"/>
    <x v="0"/>
    <x v="0"/>
    <x v="0"/>
  </r>
  <r>
    <s v="Analyzer Status changed from Maintenance to Ready."/>
    <x v="0"/>
    <x v="0"/>
    <x v="22"/>
    <d v="1899-12-30T15:44:11"/>
    <s v="Analyzer"/>
    <x v="1"/>
    <x v="0"/>
    <x v="0"/>
    <x v="0"/>
  </r>
  <r>
    <s v="Automatic maintenance activity Automatic Fluidic Line Priming Cycle has been executed."/>
    <x v="2"/>
    <x v="0"/>
    <x v="22"/>
    <d v="1899-12-30T15:44:11"/>
    <s v="Maintenance"/>
    <x v="1"/>
    <x v="2"/>
    <x v="2"/>
    <x v="0"/>
  </r>
  <r>
    <s v="Analyzer Status changed from Ready to Maintenance."/>
    <x v="0"/>
    <x v="0"/>
    <x v="22"/>
    <d v="1899-12-30T16:44:11"/>
    <s v="Analyzer"/>
    <x v="1"/>
    <x v="0"/>
    <x v="0"/>
    <x v="0"/>
  </r>
  <r>
    <s v="Automatic maintenance activity Automatic Fluidic Line Priming Cycle has been executed."/>
    <x v="2"/>
    <x v="0"/>
    <x v="22"/>
    <d v="1899-12-30T16:44:32"/>
    <s v="Maintenance"/>
    <x v="1"/>
    <x v="2"/>
    <x v="2"/>
    <x v="0"/>
  </r>
  <r>
    <s v="Analyzer Status changed from Maintenance to Ready."/>
    <x v="0"/>
    <x v="0"/>
    <x v="22"/>
    <d v="1899-12-30T16:44:33"/>
    <s v="Analyzer"/>
    <x v="1"/>
    <x v="0"/>
    <x v="0"/>
    <x v="0"/>
  </r>
  <r>
    <s v="Analyzer Status changed from Ready to Maintenance."/>
    <x v="0"/>
    <x v="0"/>
    <x v="22"/>
    <d v="1899-12-30T17:44:33"/>
    <s v="Analyzer"/>
    <x v="1"/>
    <x v="0"/>
    <x v="0"/>
    <x v="0"/>
  </r>
  <r>
    <s v="Analyzer Status changed from Maintenance to Ready."/>
    <x v="0"/>
    <x v="0"/>
    <x v="22"/>
    <d v="1899-12-30T17:44:54"/>
    <s v="Analyzer"/>
    <x v="1"/>
    <x v="0"/>
    <x v="0"/>
    <x v="0"/>
  </r>
  <r>
    <s v="Automatic maintenance activity Automatic Fluidic Line Priming Cycle has been executed."/>
    <x v="2"/>
    <x v="0"/>
    <x v="22"/>
    <d v="1899-12-30T17:44:54"/>
    <s v="Maintenance"/>
    <x v="1"/>
    <x v="2"/>
    <x v="2"/>
    <x v="0"/>
  </r>
  <r>
    <s v="Analyzer Status changed from Ready to Maintenance."/>
    <x v="0"/>
    <x v="0"/>
    <x v="22"/>
    <d v="1899-12-30T18:44:55"/>
    <s v="Analyzer"/>
    <x v="1"/>
    <x v="0"/>
    <x v="0"/>
    <x v="0"/>
  </r>
  <r>
    <s v="Analyzer Status changed from Maintenance to Ready."/>
    <x v="0"/>
    <x v="0"/>
    <x v="22"/>
    <d v="1899-12-30T18:45:16"/>
    <s v="Analyzer"/>
    <x v="1"/>
    <x v="0"/>
    <x v="0"/>
    <x v="0"/>
  </r>
  <r>
    <s v="Automatic maintenance activity Automatic Fluidic Line Priming Cycle has been executed."/>
    <x v="2"/>
    <x v="0"/>
    <x v="22"/>
    <d v="1899-12-30T18:45:16"/>
    <s v="Maintenance"/>
    <x v="1"/>
    <x v="2"/>
    <x v="2"/>
    <x v="0"/>
  </r>
  <r>
    <s v="Analyzer Status changed from Ready to Maintenance."/>
    <x v="0"/>
    <x v="0"/>
    <x v="22"/>
    <d v="1899-12-30T19:45:17"/>
    <s v="Analyzer"/>
    <x v="1"/>
    <x v="0"/>
    <x v="0"/>
    <x v="0"/>
  </r>
  <r>
    <s v="Automatic maintenance activity Automatic Fluidic Line Priming Cycle has been executed."/>
    <x v="2"/>
    <x v="0"/>
    <x v="22"/>
    <d v="1899-12-30T19:45:38"/>
    <s v="Maintenance"/>
    <x v="1"/>
    <x v="2"/>
    <x v="2"/>
    <x v="0"/>
  </r>
  <r>
    <s v="Analyzer Status changed from Maintenance to Ready."/>
    <x v="0"/>
    <x v="0"/>
    <x v="22"/>
    <d v="1899-12-30T19:45:39"/>
    <s v="Analyzer"/>
    <x v="1"/>
    <x v="0"/>
    <x v="0"/>
    <x v="0"/>
  </r>
  <r>
    <s v="Analyzer Status changed from Ready to Maintenance."/>
    <x v="0"/>
    <x v="0"/>
    <x v="22"/>
    <d v="1899-12-30T20:45:39"/>
    <s v="Analyzer"/>
    <x v="1"/>
    <x v="0"/>
    <x v="0"/>
    <x v="0"/>
  </r>
  <r>
    <s v="Automatic maintenance activity Automatic Fluidic Line Priming Cycle has been executed."/>
    <x v="2"/>
    <x v="0"/>
    <x v="22"/>
    <d v="1899-12-30T20:46:00"/>
    <s v="Maintenance"/>
    <x v="1"/>
    <x v="2"/>
    <x v="2"/>
    <x v="0"/>
  </r>
  <r>
    <s v="Analyzer Status changed from Maintenance to Ready."/>
    <x v="0"/>
    <x v="0"/>
    <x v="22"/>
    <d v="1899-12-30T20:46:01"/>
    <s v="Analyzer"/>
    <x v="1"/>
    <x v="0"/>
    <x v="0"/>
    <x v="0"/>
  </r>
  <r>
    <s v="Analyzer Status changed from Ready to Maintenance."/>
    <x v="0"/>
    <x v="0"/>
    <x v="22"/>
    <d v="1899-12-30T21:46:01"/>
    <s v="Analyzer"/>
    <x v="1"/>
    <x v="0"/>
    <x v="0"/>
    <x v="0"/>
  </r>
  <r>
    <s v="Automatic maintenance activity Automatic Fluidic Line Priming Cycle has been executed."/>
    <x v="2"/>
    <x v="0"/>
    <x v="22"/>
    <d v="1899-12-30T21:46:22"/>
    <s v="Maintenance"/>
    <x v="1"/>
    <x v="2"/>
    <x v="2"/>
    <x v="0"/>
  </r>
  <r>
    <s v="Analyzer Status changed from Maintenance to Ready."/>
    <x v="0"/>
    <x v="0"/>
    <x v="22"/>
    <d v="1899-12-30T21:46:23"/>
    <s v="Analyzer"/>
    <x v="1"/>
    <x v="0"/>
    <x v="0"/>
    <x v="0"/>
  </r>
  <r>
    <s v="Analyzer Status changed from Ready to Maintenance."/>
    <x v="0"/>
    <x v="0"/>
    <x v="22"/>
    <d v="1899-12-30T22:46:23"/>
    <s v="Analyzer"/>
    <x v="1"/>
    <x v="0"/>
    <x v="0"/>
    <x v="0"/>
  </r>
  <r>
    <s v="Automatic maintenance activity Automatic Fluidic Line Priming Cycle has been executed."/>
    <x v="2"/>
    <x v="0"/>
    <x v="22"/>
    <d v="1899-12-30T22:46:44"/>
    <s v="Maintenance"/>
    <x v="1"/>
    <x v="2"/>
    <x v="2"/>
    <x v="0"/>
  </r>
  <r>
    <s v="Analyzer Status changed from Maintenance to Ready."/>
    <x v="0"/>
    <x v="0"/>
    <x v="22"/>
    <d v="1899-12-30T22:46:45"/>
    <s v="Analyzer"/>
    <x v="1"/>
    <x v="0"/>
    <x v="0"/>
    <x v="0"/>
  </r>
  <r>
    <s v="Analyzer Status changed from Ready to Maintenance."/>
    <x v="0"/>
    <x v="0"/>
    <x v="22"/>
    <d v="1899-12-30T23:46:45"/>
    <s v="Analyzer"/>
    <x v="1"/>
    <x v="0"/>
    <x v="0"/>
    <x v="0"/>
  </r>
  <r>
    <s v="Automatic maintenance activity Automatic Fluidic Line Priming Cycle has been executed."/>
    <x v="2"/>
    <x v="0"/>
    <x v="22"/>
    <d v="1899-12-30T23:47:06"/>
    <s v="Maintenance"/>
    <x v="1"/>
    <x v="2"/>
    <x v="2"/>
    <x v="0"/>
  </r>
  <r>
    <s v="Analyzer Status changed from Maintenance to Ready."/>
    <x v="0"/>
    <x v="0"/>
    <x v="22"/>
    <d v="1899-12-30T23:47:07"/>
    <s v="Analyzer"/>
    <x v="1"/>
    <x v="0"/>
    <x v="0"/>
    <x v="0"/>
  </r>
  <r>
    <s v="Analyzer Status changed from Ready to Maintenance."/>
    <x v="0"/>
    <x v="0"/>
    <x v="23"/>
    <d v="1899-12-30T00:47:07"/>
    <s v="Analyzer"/>
    <x v="1"/>
    <x v="0"/>
    <x v="0"/>
    <x v="0"/>
  </r>
  <r>
    <s v="Automatic maintenance activity Automatic Fluidic Line Priming Cycle has been executed."/>
    <x v="2"/>
    <x v="0"/>
    <x v="23"/>
    <d v="1899-12-30T00:47:28"/>
    <s v="Maintenance"/>
    <x v="1"/>
    <x v="2"/>
    <x v="2"/>
    <x v="0"/>
  </r>
  <r>
    <s v="Analyzer Status changed from Maintenance to Ready."/>
    <x v="0"/>
    <x v="0"/>
    <x v="23"/>
    <d v="1899-12-30T00:47:29"/>
    <s v="Analyzer"/>
    <x v="1"/>
    <x v="0"/>
    <x v="0"/>
    <x v="0"/>
  </r>
  <r>
    <s v="Analyzer Status changed from Ready to Maintenance."/>
    <x v="0"/>
    <x v="0"/>
    <x v="23"/>
    <d v="1899-12-30T01:47:29"/>
    <s v="Analyzer"/>
    <x v="1"/>
    <x v="0"/>
    <x v="0"/>
    <x v="0"/>
  </r>
  <r>
    <s v="Analyzer Status changed from Maintenance to Ready."/>
    <x v="0"/>
    <x v="0"/>
    <x v="23"/>
    <d v="1899-12-30T01:47:50"/>
    <s v="Analyzer"/>
    <x v="1"/>
    <x v="0"/>
    <x v="0"/>
    <x v="0"/>
  </r>
  <r>
    <s v="Automatic maintenance activity Automatic Fluidic Line Priming Cycle has been executed."/>
    <x v="2"/>
    <x v="0"/>
    <x v="23"/>
    <d v="1899-12-30T01:47:50"/>
    <s v="Maintenance"/>
    <x v="1"/>
    <x v="2"/>
    <x v="2"/>
    <x v="0"/>
  </r>
  <r>
    <s v="Analyzer Status changed from Ready to Maintenance."/>
    <x v="0"/>
    <x v="0"/>
    <x v="23"/>
    <d v="1899-12-30T02:47:51"/>
    <s v="Analyzer"/>
    <x v="1"/>
    <x v="0"/>
    <x v="0"/>
    <x v="0"/>
  </r>
  <r>
    <s v="Analyzer Status changed from Maintenance to Ready."/>
    <x v="0"/>
    <x v="0"/>
    <x v="23"/>
    <d v="1899-12-30T02:48:12"/>
    <s v="Analyzer"/>
    <x v="1"/>
    <x v="0"/>
    <x v="0"/>
    <x v="0"/>
  </r>
  <r>
    <s v="Automatic maintenance activity Automatic Fluidic Line Priming Cycle has been executed."/>
    <x v="2"/>
    <x v="0"/>
    <x v="23"/>
    <d v="1899-12-30T02:48:12"/>
    <s v="Maintenance"/>
    <x v="1"/>
    <x v="2"/>
    <x v="2"/>
    <x v="0"/>
  </r>
  <r>
    <s v="Analyzer Status changed from Ready to Maintenance."/>
    <x v="0"/>
    <x v="0"/>
    <x v="23"/>
    <d v="1899-12-30T03:48:12"/>
    <s v="Analyzer"/>
    <x v="1"/>
    <x v="0"/>
    <x v="0"/>
    <x v="0"/>
  </r>
  <r>
    <s v="Analyzer Status changed from Maintenance to Ready."/>
    <x v="0"/>
    <x v="0"/>
    <x v="23"/>
    <d v="1899-12-30T03:48:34"/>
    <s v="Analyzer"/>
    <x v="1"/>
    <x v="0"/>
    <x v="0"/>
    <x v="0"/>
  </r>
  <r>
    <s v="Automatic maintenance activity Automatic Fluidic Line Priming Cycle has been executed."/>
    <x v="2"/>
    <x v="0"/>
    <x v="23"/>
    <d v="1899-12-30T03:48:34"/>
    <s v="Maintenance"/>
    <x v="1"/>
    <x v="2"/>
    <x v="2"/>
    <x v="0"/>
  </r>
  <r>
    <s v="Analyzer Status changed from Ready to Maintenance."/>
    <x v="0"/>
    <x v="0"/>
    <x v="23"/>
    <d v="1899-12-30T04:48:34"/>
    <s v="Analyzer"/>
    <x v="1"/>
    <x v="0"/>
    <x v="0"/>
    <x v="0"/>
  </r>
  <r>
    <s v="Analyzer Status changed from Maintenance to Ready."/>
    <x v="0"/>
    <x v="0"/>
    <x v="23"/>
    <d v="1899-12-30T04:48:56"/>
    <s v="Analyzer"/>
    <x v="1"/>
    <x v="0"/>
    <x v="0"/>
    <x v="0"/>
  </r>
  <r>
    <s v="Automatic maintenance activity Automatic Fluidic Line Priming Cycle has been executed."/>
    <x v="2"/>
    <x v="0"/>
    <x v="23"/>
    <d v="1899-12-30T04:48:56"/>
    <s v="Maintenance"/>
    <x v="1"/>
    <x v="2"/>
    <x v="2"/>
    <x v="0"/>
  </r>
  <r>
    <s v="Analyzer Status changed from Ready to Maintenance."/>
    <x v="0"/>
    <x v="0"/>
    <x v="23"/>
    <d v="1899-12-30T05:48:56"/>
    <s v="Analyzer"/>
    <x v="1"/>
    <x v="0"/>
    <x v="0"/>
    <x v="0"/>
  </r>
  <r>
    <s v="Analyzer Status changed from Maintenance to Ready."/>
    <x v="0"/>
    <x v="0"/>
    <x v="23"/>
    <d v="1899-12-30T05:49:18"/>
    <s v="Analyzer"/>
    <x v="1"/>
    <x v="0"/>
    <x v="0"/>
    <x v="0"/>
  </r>
  <r>
    <s v="Automatic maintenance activity Automatic Fluidic Line Priming Cycle has been executed."/>
    <x v="2"/>
    <x v="0"/>
    <x v="23"/>
    <d v="1899-12-30T05:49:18"/>
    <s v="Maintenance"/>
    <x v="1"/>
    <x v="2"/>
    <x v="2"/>
    <x v="0"/>
  </r>
  <r>
    <s v="Analyzer Status changed from Ready to Maintenance."/>
    <x v="0"/>
    <x v="0"/>
    <x v="23"/>
    <d v="1899-12-30T06:49:18"/>
    <s v="Analyzer"/>
    <x v="1"/>
    <x v="0"/>
    <x v="0"/>
    <x v="0"/>
  </r>
  <r>
    <s v="Automatic maintenance activity Automatic Fluidic Line Priming Cycle has been executed."/>
    <x v="2"/>
    <x v="0"/>
    <x v="23"/>
    <d v="1899-12-30T06:49:39"/>
    <s v="Maintenance"/>
    <x v="1"/>
    <x v="2"/>
    <x v="2"/>
    <x v="0"/>
  </r>
  <r>
    <s v="Analyzer Status changed from Maintenance to Ready."/>
    <x v="0"/>
    <x v="0"/>
    <x v="23"/>
    <d v="1899-12-30T06:49:40"/>
    <s v="Analyzer"/>
    <x v="1"/>
    <x v="0"/>
    <x v="0"/>
    <x v="0"/>
  </r>
  <r>
    <s v="Analyzer Status changed from Ready to Maintenance."/>
    <x v="0"/>
    <x v="0"/>
    <x v="23"/>
    <d v="1899-12-30T07:49:40"/>
    <s v="Analyzer"/>
    <x v="1"/>
    <x v="0"/>
    <x v="0"/>
    <x v="0"/>
  </r>
  <r>
    <s v="Automatic maintenance activity Automatic Fluidic Line Priming Cycle has been executed."/>
    <x v="2"/>
    <x v="0"/>
    <x v="23"/>
    <d v="1899-12-30T07:50:01"/>
    <s v="Maintenance"/>
    <x v="1"/>
    <x v="2"/>
    <x v="2"/>
    <x v="0"/>
  </r>
  <r>
    <s v="Analyzer Status changed from Maintenance to Ready."/>
    <x v="0"/>
    <x v="0"/>
    <x v="23"/>
    <d v="1899-12-30T07:50:02"/>
    <s v="Analyzer"/>
    <x v="1"/>
    <x v="0"/>
    <x v="0"/>
    <x v="0"/>
  </r>
  <r>
    <s v="Analyzer Status changed from Ready to Maintenance."/>
    <x v="0"/>
    <x v="0"/>
    <x v="23"/>
    <d v="1899-12-30T08:50:02"/>
    <s v="Analyzer"/>
    <x v="1"/>
    <x v="0"/>
    <x v="0"/>
    <x v="0"/>
  </r>
  <r>
    <s v="Analyzer Status changed from Maintenance to Ready."/>
    <x v="0"/>
    <x v="0"/>
    <x v="23"/>
    <d v="1899-12-30T08:51:36"/>
    <s v="Analyzer"/>
    <x v="1"/>
    <x v="0"/>
    <x v="0"/>
    <x v="0"/>
  </r>
  <r>
    <s v="Automatic maintenance activity Automatic Fluidic Line Priming Cycle has been executed."/>
    <x v="2"/>
    <x v="0"/>
    <x v="23"/>
    <d v="1899-12-30T08:51:36"/>
    <s v="Maintenance"/>
    <x v="1"/>
    <x v="2"/>
    <x v="2"/>
    <x v="0"/>
  </r>
  <r>
    <s v="Analyzer Status changed from Ready to Maintenance."/>
    <x v="0"/>
    <x v="0"/>
    <x v="23"/>
    <d v="1899-12-30T09:51:36"/>
    <s v="Analyzer"/>
    <x v="1"/>
    <x v="0"/>
    <x v="0"/>
    <x v="0"/>
  </r>
  <r>
    <s v="Analyzer Status changed from Maintenance to Ready."/>
    <x v="0"/>
    <x v="0"/>
    <x v="23"/>
    <d v="1899-12-30T09:51:58"/>
    <s v="Analyzer"/>
    <x v="1"/>
    <x v="0"/>
    <x v="0"/>
    <x v="0"/>
  </r>
  <r>
    <s v="Automatic maintenance activity Automatic Fluidic Line Priming Cycle has been executed."/>
    <x v="2"/>
    <x v="0"/>
    <x v="23"/>
    <d v="1899-12-30T09:51:58"/>
    <s v="Maintenance"/>
    <x v="1"/>
    <x v="2"/>
    <x v="2"/>
    <x v="0"/>
  </r>
  <r>
    <s v="Analyzer Status changed from Ready to Maintenance."/>
    <x v="0"/>
    <x v="0"/>
    <x v="23"/>
    <d v="1899-12-30T10:51:58"/>
    <s v="Analyzer"/>
    <x v="1"/>
    <x v="0"/>
    <x v="0"/>
    <x v="0"/>
  </r>
  <r>
    <s v="Analyzer Status changed from Maintenance to Ready."/>
    <x v="0"/>
    <x v="0"/>
    <x v="23"/>
    <d v="1899-12-30T10:52:20"/>
    <s v="Analyzer"/>
    <x v="1"/>
    <x v="0"/>
    <x v="0"/>
    <x v="0"/>
  </r>
  <r>
    <s v="Automatic maintenance activity Automatic Fluidic Line Priming Cycle has been executed."/>
    <x v="2"/>
    <x v="0"/>
    <x v="23"/>
    <d v="1899-12-30T10:52:20"/>
    <s v="Maintenance"/>
    <x v="1"/>
    <x v="2"/>
    <x v="2"/>
    <x v="0"/>
  </r>
  <r>
    <s v="Analyzer Status changed from Ready to Maintenance."/>
    <x v="0"/>
    <x v="0"/>
    <x v="23"/>
    <d v="1899-12-30T11:52:20"/>
    <s v="Analyzer"/>
    <x v="1"/>
    <x v="0"/>
    <x v="0"/>
    <x v="0"/>
  </r>
  <r>
    <s v="Analyzer Status changed from Maintenance to Ready."/>
    <x v="0"/>
    <x v="0"/>
    <x v="23"/>
    <d v="1899-12-30T11:52:42"/>
    <s v="Analyzer"/>
    <x v="1"/>
    <x v="0"/>
    <x v="0"/>
    <x v="0"/>
  </r>
  <r>
    <s v="Automatic maintenance activity Automatic Fluidic Line Priming Cycle has been executed."/>
    <x v="2"/>
    <x v="0"/>
    <x v="23"/>
    <d v="1899-12-30T11:52:42"/>
    <s v="Maintenance"/>
    <x v="1"/>
    <x v="2"/>
    <x v="2"/>
    <x v="0"/>
  </r>
  <r>
    <s v="Analyzer Status changed from Ready to Maintenance."/>
    <x v="0"/>
    <x v="0"/>
    <x v="23"/>
    <d v="1899-12-30T12:52:42"/>
    <s v="Analyzer"/>
    <x v="1"/>
    <x v="0"/>
    <x v="0"/>
    <x v="0"/>
  </r>
  <r>
    <s v="Automatic maintenance activity Automatic Fluidic Line Priming Cycle has been executed."/>
    <x v="2"/>
    <x v="0"/>
    <x v="23"/>
    <d v="1899-12-30T12:53:03"/>
    <s v="Maintenance"/>
    <x v="1"/>
    <x v="2"/>
    <x v="2"/>
    <x v="0"/>
  </r>
  <r>
    <s v="Analyzer Status changed from Maintenance to Ready."/>
    <x v="0"/>
    <x v="0"/>
    <x v="23"/>
    <d v="1899-12-30T12:53:04"/>
    <s v="Analyzer"/>
    <x v="1"/>
    <x v="0"/>
    <x v="0"/>
    <x v="0"/>
  </r>
  <r>
    <s v="Analyzer Status changed from Ready to Maintenance."/>
    <x v="0"/>
    <x v="0"/>
    <x v="23"/>
    <d v="1899-12-30T13:53:04"/>
    <s v="Analyzer"/>
    <x v="1"/>
    <x v="0"/>
    <x v="0"/>
    <x v="0"/>
  </r>
  <r>
    <s v="Automatic maintenance activity Automatic Fluidic Line Priming Cycle has been executed."/>
    <x v="2"/>
    <x v="0"/>
    <x v="23"/>
    <d v="1899-12-30T13:53:25"/>
    <s v="Maintenance"/>
    <x v="1"/>
    <x v="2"/>
    <x v="2"/>
    <x v="0"/>
  </r>
  <r>
    <s v="Analyzer Status changed from Maintenance to Ready."/>
    <x v="0"/>
    <x v="0"/>
    <x v="23"/>
    <d v="1899-12-30T13:53:26"/>
    <s v="Analyzer"/>
    <x v="1"/>
    <x v="0"/>
    <x v="0"/>
    <x v="0"/>
  </r>
  <r>
    <s v="Analyzer Status changed from Ready to Maintenance."/>
    <x v="0"/>
    <x v="0"/>
    <x v="23"/>
    <d v="1899-12-30T14:53:26"/>
    <s v="Analyzer"/>
    <x v="1"/>
    <x v="0"/>
    <x v="0"/>
    <x v="0"/>
  </r>
  <r>
    <s v="Automatic maintenance activity Automatic Fluidic Line Priming Cycle has been executed."/>
    <x v="2"/>
    <x v="0"/>
    <x v="23"/>
    <d v="1899-12-30T14:53:47"/>
    <s v="Maintenance"/>
    <x v="1"/>
    <x v="2"/>
    <x v="2"/>
    <x v="0"/>
  </r>
  <r>
    <s v="Analyzer Status changed from Maintenance to Ready."/>
    <x v="0"/>
    <x v="0"/>
    <x v="23"/>
    <d v="1899-12-30T14:53:48"/>
    <s v="Analyzer"/>
    <x v="1"/>
    <x v="0"/>
    <x v="0"/>
    <x v="0"/>
  </r>
  <r>
    <s v="Analyzer Status changed from Ready to Maintenance."/>
    <x v="0"/>
    <x v="0"/>
    <x v="23"/>
    <d v="1899-12-30T15:53:48"/>
    <s v="Analyzer"/>
    <x v="1"/>
    <x v="0"/>
    <x v="0"/>
    <x v="0"/>
  </r>
  <r>
    <s v="Analyzer Status changed from Maintenance to Ready."/>
    <x v="0"/>
    <x v="0"/>
    <x v="23"/>
    <d v="1899-12-30T15:54:09"/>
    <s v="Analyzer"/>
    <x v="1"/>
    <x v="0"/>
    <x v="0"/>
    <x v="0"/>
  </r>
  <r>
    <s v="Automatic maintenance activity Automatic Fluidic Line Priming Cycle has been executed."/>
    <x v="2"/>
    <x v="0"/>
    <x v="23"/>
    <d v="1899-12-30T15:54:09"/>
    <s v="Maintenance"/>
    <x v="1"/>
    <x v="2"/>
    <x v="2"/>
    <x v="0"/>
  </r>
  <r>
    <s v="Analyzer Status changed from Ready to Maintenance."/>
    <x v="0"/>
    <x v="0"/>
    <x v="23"/>
    <d v="1899-12-30T16:54:10"/>
    <s v="Analyzer"/>
    <x v="1"/>
    <x v="0"/>
    <x v="0"/>
    <x v="0"/>
  </r>
  <r>
    <s v="Analyzer Status changed from Maintenance to Ready."/>
    <x v="0"/>
    <x v="0"/>
    <x v="23"/>
    <d v="1899-12-30T16:54:31"/>
    <s v="Analyzer"/>
    <x v="1"/>
    <x v="0"/>
    <x v="0"/>
    <x v="0"/>
  </r>
  <r>
    <s v="Automatic maintenance activity Automatic Fluidic Line Priming Cycle has been executed."/>
    <x v="2"/>
    <x v="0"/>
    <x v="23"/>
    <d v="1899-12-30T16:54:31"/>
    <s v="Maintenance"/>
    <x v="1"/>
    <x v="2"/>
    <x v="2"/>
    <x v="0"/>
  </r>
  <r>
    <s v="Analyzer Status changed from Ready to Maintenance."/>
    <x v="0"/>
    <x v="0"/>
    <x v="23"/>
    <d v="1899-12-30T17:54:31"/>
    <s v="Analyzer"/>
    <x v="1"/>
    <x v="0"/>
    <x v="0"/>
    <x v="0"/>
  </r>
  <r>
    <s v="Analyzer Status changed from Maintenance to Ready."/>
    <x v="0"/>
    <x v="0"/>
    <x v="23"/>
    <d v="1899-12-30T17:54:53"/>
    <s v="Analyzer"/>
    <x v="1"/>
    <x v="0"/>
    <x v="0"/>
    <x v="0"/>
  </r>
  <r>
    <s v="Automatic maintenance activity Automatic Fluidic Line Priming Cycle has been executed."/>
    <x v="2"/>
    <x v="0"/>
    <x v="23"/>
    <d v="1899-12-30T17:54:53"/>
    <s v="Maintenance"/>
    <x v="1"/>
    <x v="2"/>
    <x v="2"/>
    <x v="0"/>
  </r>
  <r>
    <s v="Analyzer Status changed from Ready to Maintenance."/>
    <x v="0"/>
    <x v="0"/>
    <x v="23"/>
    <d v="1899-12-30T18:54:53"/>
    <s v="Analyzer"/>
    <x v="1"/>
    <x v="0"/>
    <x v="0"/>
    <x v="0"/>
  </r>
  <r>
    <s v="Analyzer Status changed from Maintenance to Ready."/>
    <x v="0"/>
    <x v="0"/>
    <x v="23"/>
    <d v="1899-12-30T18:55:15"/>
    <s v="Analyzer"/>
    <x v="1"/>
    <x v="0"/>
    <x v="0"/>
    <x v="0"/>
  </r>
  <r>
    <s v="Automatic maintenance activity Automatic Fluidic Line Priming Cycle has been executed."/>
    <x v="2"/>
    <x v="0"/>
    <x v="23"/>
    <d v="1899-12-30T18:55:15"/>
    <s v="Maintenance"/>
    <x v="1"/>
    <x v="2"/>
    <x v="2"/>
    <x v="0"/>
  </r>
  <r>
    <s v="Analyzer Status changed from Ready to Maintenance."/>
    <x v="0"/>
    <x v="0"/>
    <x v="23"/>
    <d v="1899-12-30T19:55:15"/>
    <s v="Analyzer"/>
    <x v="1"/>
    <x v="0"/>
    <x v="0"/>
    <x v="0"/>
  </r>
  <r>
    <s v="Analyzer Status changed from Maintenance to Ready."/>
    <x v="0"/>
    <x v="0"/>
    <x v="23"/>
    <d v="1899-12-30T19:55:37"/>
    <s v="Analyzer"/>
    <x v="1"/>
    <x v="0"/>
    <x v="0"/>
    <x v="0"/>
  </r>
  <r>
    <s v="Automatic maintenance activity Automatic Fluidic Line Priming Cycle has been executed."/>
    <x v="2"/>
    <x v="0"/>
    <x v="23"/>
    <d v="1899-12-30T19:55:37"/>
    <s v="Maintenance"/>
    <x v="1"/>
    <x v="2"/>
    <x v="2"/>
    <x v="0"/>
  </r>
  <r>
    <s v="Analyzer Status changed from Ready to Maintenance."/>
    <x v="0"/>
    <x v="0"/>
    <x v="23"/>
    <d v="1899-12-30T20:55:37"/>
    <s v="Analyzer"/>
    <x v="1"/>
    <x v="0"/>
    <x v="0"/>
    <x v="0"/>
  </r>
  <r>
    <s v="Automatic maintenance activity Automatic Fluidic Line Priming Cycle has been executed."/>
    <x v="2"/>
    <x v="0"/>
    <x v="23"/>
    <d v="1899-12-30T20:55:58"/>
    <s v="Maintenance"/>
    <x v="1"/>
    <x v="2"/>
    <x v="2"/>
    <x v="0"/>
  </r>
  <r>
    <s v="Analyzer Status changed from Maintenance to Ready."/>
    <x v="0"/>
    <x v="0"/>
    <x v="23"/>
    <d v="1899-12-30T20:55:59"/>
    <s v="Analyzer"/>
    <x v="1"/>
    <x v="0"/>
    <x v="0"/>
    <x v="0"/>
  </r>
  <r>
    <s v="Analyzer Status changed from Ready to Maintenance."/>
    <x v="0"/>
    <x v="0"/>
    <x v="23"/>
    <d v="1899-12-30T21:55:59"/>
    <s v="Analyzer"/>
    <x v="1"/>
    <x v="0"/>
    <x v="0"/>
    <x v="0"/>
  </r>
  <r>
    <s v="Automatic maintenance activity Automatic Fluidic Line Priming Cycle has been executed."/>
    <x v="2"/>
    <x v="0"/>
    <x v="23"/>
    <d v="1899-12-30T21:56:20"/>
    <s v="Maintenance"/>
    <x v="1"/>
    <x v="2"/>
    <x v="2"/>
    <x v="0"/>
  </r>
  <r>
    <s v="Analyzer Status changed from Maintenance to Ready."/>
    <x v="0"/>
    <x v="0"/>
    <x v="23"/>
    <d v="1899-12-30T21:56:21"/>
    <s v="Analyzer"/>
    <x v="1"/>
    <x v="0"/>
    <x v="0"/>
    <x v="0"/>
  </r>
  <r>
    <s v="Analyzer Status changed from Ready to Maintenance."/>
    <x v="0"/>
    <x v="0"/>
    <x v="23"/>
    <d v="1899-12-30T22:56:21"/>
    <s v="Analyzer"/>
    <x v="1"/>
    <x v="0"/>
    <x v="0"/>
    <x v="0"/>
  </r>
  <r>
    <s v="Automatic maintenance activity Automatic Fluidic Line Priming Cycle has been executed."/>
    <x v="2"/>
    <x v="0"/>
    <x v="23"/>
    <d v="1899-12-30T22:56:42"/>
    <s v="Maintenance"/>
    <x v="1"/>
    <x v="2"/>
    <x v="2"/>
    <x v="0"/>
  </r>
  <r>
    <s v="Analyzer Status changed from Maintenance to Ready."/>
    <x v="0"/>
    <x v="0"/>
    <x v="23"/>
    <d v="1899-12-30T22:56:43"/>
    <s v="Analyzer"/>
    <x v="1"/>
    <x v="0"/>
    <x v="0"/>
    <x v="0"/>
  </r>
  <r>
    <s v="Analyzer Status changed from Ready to Maintenance."/>
    <x v="0"/>
    <x v="0"/>
    <x v="23"/>
    <d v="1899-12-30T23:56:43"/>
    <s v="Analyzer"/>
    <x v="1"/>
    <x v="0"/>
    <x v="0"/>
    <x v="0"/>
  </r>
  <r>
    <s v="Analyzer Status changed from Maintenance to Ready."/>
    <x v="0"/>
    <x v="0"/>
    <x v="23"/>
    <d v="1899-12-30T23:57:04"/>
    <s v="Analyzer"/>
    <x v="1"/>
    <x v="0"/>
    <x v="0"/>
    <x v="0"/>
  </r>
  <r>
    <s v="Automatic maintenance activity Automatic Fluidic Line Priming Cycle has been executed."/>
    <x v="2"/>
    <x v="0"/>
    <x v="23"/>
    <d v="1899-12-30T23:57:04"/>
    <s v="Maintenance"/>
    <x v="1"/>
    <x v="2"/>
    <x v="2"/>
    <x v="0"/>
  </r>
  <r>
    <s v="Analyzer Status changed from Ready to Maintenance."/>
    <x v="0"/>
    <x v="0"/>
    <x v="24"/>
    <d v="1899-12-30T00:57:05"/>
    <s v="Analyzer"/>
    <x v="1"/>
    <x v="0"/>
    <x v="0"/>
    <x v="0"/>
  </r>
  <r>
    <s v="Analyzer Status changed from Maintenance to Ready."/>
    <x v="0"/>
    <x v="0"/>
    <x v="24"/>
    <d v="1899-12-30T00:57:26"/>
    <s v="Analyzer"/>
    <x v="1"/>
    <x v="0"/>
    <x v="0"/>
    <x v="0"/>
  </r>
  <r>
    <s v="Automatic maintenance activity Automatic Fluidic Line Priming Cycle has been executed."/>
    <x v="2"/>
    <x v="0"/>
    <x v="24"/>
    <d v="1899-12-30T00:57:26"/>
    <s v="Maintenance"/>
    <x v="1"/>
    <x v="2"/>
    <x v="2"/>
    <x v="0"/>
  </r>
  <r>
    <s v="Analyzer Status changed from Ready to Maintenance."/>
    <x v="0"/>
    <x v="0"/>
    <x v="24"/>
    <d v="1899-12-30T01:57:27"/>
    <s v="Analyzer"/>
    <x v="1"/>
    <x v="0"/>
    <x v="0"/>
    <x v="0"/>
  </r>
  <r>
    <s v="Analyzer Status changed from Maintenance to Ready."/>
    <x v="0"/>
    <x v="0"/>
    <x v="24"/>
    <d v="1899-12-30T01:57:48"/>
    <s v="Analyzer"/>
    <x v="1"/>
    <x v="0"/>
    <x v="0"/>
    <x v="0"/>
  </r>
  <r>
    <s v="Automatic maintenance activity Automatic Fluidic Line Priming Cycle has been executed."/>
    <x v="2"/>
    <x v="0"/>
    <x v="24"/>
    <d v="1899-12-30T01:57:48"/>
    <s v="Maintenance"/>
    <x v="1"/>
    <x v="2"/>
    <x v="2"/>
    <x v="0"/>
  </r>
  <r>
    <s v="Analyzer Status changed from Ready to Maintenance."/>
    <x v="0"/>
    <x v="0"/>
    <x v="24"/>
    <d v="1899-12-30T02:57:49"/>
    <s v="Analyzer"/>
    <x v="1"/>
    <x v="0"/>
    <x v="0"/>
    <x v="0"/>
  </r>
  <r>
    <s v="Analyzer Status changed from Maintenance to Ready."/>
    <x v="0"/>
    <x v="0"/>
    <x v="24"/>
    <d v="1899-12-30T02:58:10"/>
    <s v="Analyzer"/>
    <x v="1"/>
    <x v="0"/>
    <x v="0"/>
    <x v="0"/>
  </r>
  <r>
    <s v="Automatic maintenance activity Automatic Fluidic Line Priming Cycle has been executed."/>
    <x v="2"/>
    <x v="0"/>
    <x v="24"/>
    <d v="1899-12-30T02:58:10"/>
    <s v="Maintenance"/>
    <x v="1"/>
    <x v="2"/>
    <x v="2"/>
    <x v="0"/>
  </r>
  <r>
    <s v="Analyzer Status changed from Ready to Maintenance."/>
    <x v="0"/>
    <x v="0"/>
    <x v="24"/>
    <d v="1899-12-30T03:58:11"/>
    <s v="Analyzer"/>
    <x v="1"/>
    <x v="0"/>
    <x v="0"/>
    <x v="0"/>
  </r>
  <r>
    <s v="Analyzer Status changed from Maintenance to Ready."/>
    <x v="0"/>
    <x v="0"/>
    <x v="24"/>
    <d v="1899-12-30T03:58:32"/>
    <s v="Analyzer"/>
    <x v="1"/>
    <x v="0"/>
    <x v="0"/>
    <x v="0"/>
  </r>
  <r>
    <s v="Automatic maintenance activity Automatic Fluidic Line Priming Cycle has been executed."/>
    <x v="2"/>
    <x v="0"/>
    <x v="24"/>
    <d v="1899-12-30T03:58:32"/>
    <s v="Maintenance"/>
    <x v="1"/>
    <x v="2"/>
    <x v="2"/>
    <x v="0"/>
  </r>
  <r>
    <s v="Analyzer Status changed from Ready to Maintenance."/>
    <x v="0"/>
    <x v="0"/>
    <x v="24"/>
    <d v="1899-12-30T04:58:33"/>
    <s v="Analyzer"/>
    <x v="1"/>
    <x v="0"/>
    <x v="0"/>
    <x v="0"/>
  </r>
  <r>
    <s v="Analyzer Status changed from Maintenance to Ready."/>
    <x v="0"/>
    <x v="0"/>
    <x v="24"/>
    <d v="1899-12-30T04:58:54"/>
    <s v="Analyzer"/>
    <x v="1"/>
    <x v="0"/>
    <x v="0"/>
    <x v="0"/>
  </r>
  <r>
    <s v="Automatic maintenance activity Automatic Fluidic Line Priming Cycle has been executed."/>
    <x v="2"/>
    <x v="0"/>
    <x v="24"/>
    <d v="1899-12-30T04:58:54"/>
    <s v="Maintenance"/>
    <x v="1"/>
    <x v="2"/>
    <x v="2"/>
    <x v="0"/>
  </r>
  <r>
    <s v="Analyzer Status changed from Ready to Maintenance."/>
    <x v="0"/>
    <x v="0"/>
    <x v="24"/>
    <d v="1899-12-30T05:58:55"/>
    <s v="Analyzer"/>
    <x v="1"/>
    <x v="0"/>
    <x v="0"/>
    <x v="0"/>
  </r>
  <r>
    <s v="Analyzer Status changed from Maintenance to Ready."/>
    <x v="0"/>
    <x v="0"/>
    <x v="24"/>
    <d v="1899-12-30T05:59:16"/>
    <s v="Analyzer"/>
    <x v="1"/>
    <x v="0"/>
    <x v="0"/>
    <x v="0"/>
  </r>
  <r>
    <s v="Automatic maintenance activity Automatic Fluidic Line Priming Cycle has been executed."/>
    <x v="2"/>
    <x v="0"/>
    <x v="24"/>
    <d v="1899-12-30T05:59:16"/>
    <s v="Maintenance"/>
    <x v="1"/>
    <x v="2"/>
    <x v="2"/>
    <x v="0"/>
  </r>
  <r>
    <s v="Analyzer Status changed from Ready to Maintenance."/>
    <x v="0"/>
    <x v="0"/>
    <x v="24"/>
    <d v="1899-12-30T06:59:17"/>
    <s v="Analyzer"/>
    <x v="1"/>
    <x v="0"/>
    <x v="0"/>
    <x v="0"/>
  </r>
  <r>
    <s v="Analyzer Status changed from Maintenance to Ready."/>
    <x v="0"/>
    <x v="0"/>
    <x v="24"/>
    <d v="1899-12-30T06:59:38"/>
    <s v="Analyzer"/>
    <x v="1"/>
    <x v="0"/>
    <x v="0"/>
    <x v="0"/>
  </r>
  <r>
    <s v="Automatic maintenance activity Automatic Fluidic Line Priming Cycle has been executed."/>
    <x v="2"/>
    <x v="0"/>
    <x v="24"/>
    <d v="1899-12-30T06:59:38"/>
    <s v="Maintenance"/>
    <x v="1"/>
    <x v="2"/>
    <x v="2"/>
    <x v="0"/>
  </r>
  <r>
    <s v="Analyzer Status changed from Ready to Maintenance."/>
    <x v="0"/>
    <x v="0"/>
    <x v="24"/>
    <d v="1899-12-30T07:59:38"/>
    <s v="Analyzer"/>
    <x v="1"/>
    <x v="0"/>
    <x v="0"/>
    <x v="0"/>
  </r>
  <r>
    <s v="Analyzer Status changed from Maintenance to Ready."/>
    <x v="0"/>
    <x v="0"/>
    <x v="24"/>
    <d v="1899-12-30T08:00:00"/>
    <s v="Analyzer"/>
    <x v="1"/>
    <x v="0"/>
    <x v="0"/>
    <x v="0"/>
  </r>
  <r>
    <s v="Automatic maintenance activity Automatic Fluidic Line Priming Cycle has been executed."/>
    <x v="2"/>
    <x v="0"/>
    <x v="24"/>
    <d v="1899-12-30T08:00:00"/>
    <s v="Maintenance"/>
    <x v="1"/>
    <x v="2"/>
    <x v="2"/>
    <x v="0"/>
  </r>
  <r>
    <s v="Analyzer Status changed from Ready to Maintenance."/>
    <x v="0"/>
    <x v="0"/>
    <x v="24"/>
    <d v="1899-12-30T09:00:00"/>
    <s v="Analyzer"/>
    <x v="1"/>
    <x v="0"/>
    <x v="0"/>
    <x v="0"/>
  </r>
  <r>
    <s v="Analyzer Status changed from Maintenance to Ready."/>
    <x v="0"/>
    <x v="0"/>
    <x v="24"/>
    <d v="1899-12-30T09:01:35"/>
    <s v="Analyzer"/>
    <x v="1"/>
    <x v="0"/>
    <x v="0"/>
    <x v="0"/>
  </r>
  <r>
    <s v="Automatic maintenance activity Automatic Fluidic Line Priming Cycle has been executed."/>
    <x v="2"/>
    <x v="0"/>
    <x v="24"/>
    <d v="1899-12-30T09:01:35"/>
    <s v="Maintenance"/>
    <x v="1"/>
    <x v="2"/>
    <x v="2"/>
    <x v="0"/>
  </r>
  <r>
    <s v="Analyzer Status changed from Ready to Maintenance."/>
    <x v="0"/>
    <x v="0"/>
    <x v="24"/>
    <d v="1899-12-30T10:01:35"/>
    <s v="Analyzer"/>
    <x v="1"/>
    <x v="0"/>
    <x v="0"/>
    <x v="0"/>
  </r>
  <r>
    <s v="Automatic maintenance activity Automatic Fluidic Line Priming Cycle has been executed."/>
    <x v="2"/>
    <x v="0"/>
    <x v="24"/>
    <d v="1899-12-30T10:01:56"/>
    <s v="Maintenance"/>
    <x v="1"/>
    <x v="2"/>
    <x v="2"/>
    <x v="0"/>
  </r>
  <r>
    <s v="Analyzer Status changed from Maintenance to Ready."/>
    <x v="0"/>
    <x v="0"/>
    <x v="24"/>
    <d v="1899-12-30T10:01:57"/>
    <s v="Analyzer"/>
    <x v="1"/>
    <x v="0"/>
    <x v="0"/>
    <x v="0"/>
  </r>
  <r>
    <s v="Successful log in by user: LHO."/>
    <x v="18"/>
    <x v="0"/>
    <x v="24"/>
    <d v="1899-12-30T10:57:56"/>
    <s v="Other"/>
    <x v="0"/>
    <x v="2"/>
    <x v="5"/>
    <x v="0"/>
  </r>
  <r>
    <s v="Analyzer Status changed from Ready to Maintenance."/>
    <x v="0"/>
    <x v="0"/>
    <x v="24"/>
    <d v="1899-12-30T11:01:57"/>
    <s v="Analyzer"/>
    <x v="0"/>
    <x v="0"/>
    <x v="0"/>
    <x v="0"/>
  </r>
  <r>
    <s v="Automatic maintenance activity Automatic Fluidic Line Priming Cycle has been executed."/>
    <x v="2"/>
    <x v="0"/>
    <x v="24"/>
    <d v="1899-12-30T11:02:18"/>
    <s v="Maintenance"/>
    <x v="0"/>
    <x v="2"/>
    <x v="2"/>
    <x v="0"/>
  </r>
  <r>
    <s v="Analyzer Status changed from Maintenance to Ready."/>
    <x v="0"/>
    <x v="0"/>
    <x v="24"/>
    <d v="1899-12-30T11:02:19"/>
    <s v="Analyzer"/>
    <x v="0"/>
    <x v="0"/>
    <x v="0"/>
    <x v="0"/>
  </r>
  <r>
    <s v="Analyzer Status changed from Ready to Maintenance."/>
    <x v="0"/>
    <x v="0"/>
    <x v="24"/>
    <d v="1899-12-30T12:02:19"/>
    <s v="Analyzer"/>
    <x v="0"/>
    <x v="0"/>
    <x v="0"/>
    <x v="0"/>
  </r>
  <r>
    <s v="Analyzer Status changed from Maintenance to Ready."/>
    <x v="0"/>
    <x v="0"/>
    <x v="24"/>
    <d v="1899-12-30T12:02:40"/>
    <s v="Analyzer"/>
    <x v="0"/>
    <x v="0"/>
    <x v="0"/>
    <x v="0"/>
  </r>
  <r>
    <s v="Automatic maintenance activity Automatic Fluidic Line Priming Cycle has been executed."/>
    <x v="2"/>
    <x v="0"/>
    <x v="24"/>
    <d v="1899-12-30T12:02:40"/>
    <s v="Maintenance"/>
    <x v="0"/>
    <x v="2"/>
    <x v="2"/>
    <x v="0"/>
  </r>
  <r>
    <s v="Automatic logout."/>
    <x v="62"/>
    <x v="0"/>
    <x v="24"/>
    <d v="1899-12-30T12:30:37"/>
    <s v="Other"/>
    <x v="0"/>
    <x v="4"/>
    <x v="7"/>
    <x v="1"/>
  </r>
  <r>
    <s v="Analyzer Status changed from Ready to Maintenance."/>
    <x v="0"/>
    <x v="0"/>
    <x v="24"/>
    <d v="1899-12-30T13:02:41"/>
    <s v="Analyzer"/>
    <x v="1"/>
    <x v="0"/>
    <x v="0"/>
    <x v="0"/>
  </r>
  <r>
    <s v="Analyzer Status changed from Maintenance to Ready."/>
    <x v="0"/>
    <x v="0"/>
    <x v="24"/>
    <d v="1899-12-30T13:03:02"/>
    <s v="Analyzer"/>
    <x v="1"/>
    <x v="0"/>
    <x v="0"/>
    <x v="0"/>
  </r>
  <r>
    <s v="Automatic maintenance activity Automatic Fluidic Line Priming Cycle has been executed."/>
    <x v="2"/>
    <x v="0"/>
    <x v="24"/>
    <d v="1899-12-30T13:03:02"/>
    <s v="Maintenance"/>
    <x v="1"/>
    <x v="2"/>
    <x v="2"/>
    <x v="0"/>
  </r>
  <r>
    <s v="Unsuccessful log in by user: cbu."/>
    <x v="48"/>
    <x v="0"/>
    <x v="24"/>
    <d v="1899-12-30T13:22:14"/>
    <s v="Other"/>
    <x v="1"/>
    <x v="2"/>
    <x v="5"/>
    <x v="0"/>
  </r>
  <r>
    <s v="Analyzer Status changed from Ready to Maintenance."/>
    <x v="0"/>
    <x v="0"/>
    <x v="24"/>
    <d v="1899-12-30T14:03:02"/>
    <s v="Analyzer"/>
    <x v="1"/>
    <x v="0"/>
    <x v="0"/>
    <x v="0"/>
  </r>
  <r>
    <s v="Analyzer Status changed from Maintenance to Ready."/>
    <x v="0"/>
    <x v="0"/>
    <x v="24"/>
    <d v="1899-12-30T14:03:24"/>
    <s v="Analyzer"/>
    <x v="1"/>
    <x v="0"/>
    <x v="0"/>
    <x v="0"/>
  </r>
  <r>
    <s v="Automatic maintenance activity Automatic Fluidic Line Priming Cycle has been executed."/>
    <x v="2"/>
    <x v="0"/>
    <x v="24"/>
    <d v="1899-12-30T14:03:24"/>
    <s v="Maintenance"/>
    <x v="1"/>
    <x v="2"/>
    <x v="2"/>
    <x v="0"/>
  </r>
  <r>
    <s v="Analyzer Status changed from Ready to Maintenance."/>
    <x v="0"/>
    <x v="0"/>
    <x v="24"/>
    <d v="1899-12-30T15:03:24"/>
    <s v="Analyzer"/>
    <x v="1"/>
    <x v="0"/>
    <x v="0"/>
    <x v="0"/>
  </r>
  <r>
    <s v="Analyzer Status changed from Maintenance to Ready."/>
    <x v="0"/>
    <x v="0"/>
    <x v="24"/>
    <d v="1899-12-30T15:03:46"/>
    <s v="Analyzer"/>
    <x v="1"/>
    <x v="0"/>
    <x v="0"/>
    <x v="0"/>
  </r>
  <r>
    <s v="Automatic maintenance activity Automatic Fluidic Line Priming Cycle has been executed."/>
    <x v="2"/>
    <x v="0"/>
    <x v="24"/>
    <d v="1899-12-30T15:03:46"/>
    <s v="Maintenance"/>
    <x v="1"/>
    <x v="2"/>
    <x v="2"/>
    <x v="0"/>
  </r>
  <r>
    <s v="Analyzer Status changed from Ready to Maintenance."/>
    <x v="0"/>
    <x v="0"/>
    <x v="24"/>
    <d v="1899-12-30T16:03:46"/>
    <s v="Analyzer"/>
    <x v="1"/>
    <x v="0"/>
    <x v="0"/>
    <x v="0"/>
  </r>
  <r>
    <s v="Analyzer Status changed from Maintenance to Ready."/>
    <x v="0"/>
    <x v="0"/>
    <x v="24"/>
    <d v="1899-12-30T16:04:08"/>
    <s v="Analyzer"/>
    <x v="1"/>
    <x v="0"/>
    <x v="0"/>
    <x v="0"/>
  </r>
  <r>
    <s v="Automatic maintenance activity Automatic Fluidic Line Priming Cycle has been executed."/>
    <x v="2"/>
    <x v="0"/>
    <x v="24"/>
    <d v="1899-12-30T16:04:08"/>
    <s v="Maintenance"/>
    <x v="1"/>
    <x v="2"/>
    <x v="2"/>
    <x v="0"/>
  </r>
  <r>
    <s v="Analyzer Status changed from Ready to Maintenance."/>
    <x v="0"/>
    <x v="0"/>
    <x v="24"/>
    <d v="1899-12-30T17:04:08"/>
    <s v="Analyzer"/>
    <x v="1"/>
    <x v="0"/>
    <x v="0"/>
    <x v="0"/>
  </r>
  <r>
    <s v="Automatic maintenance activity Automatic Fluidic Line Priming Cycle has been executed."/>
    <x v="2"/>
    <x v="0"/>
    <x v="24"/>
    <d v="1899-12-30T17:04:29"/>
    <s v="Maintenance"/>
    <x v="1"/>
    <x v="2"/>
    <x v="2"/>
    <x v="0"/>
  </r>
  <r>
    <s v="Analyzer Status changed from Maintenance to Ready."/>
    <x v="0"/>
    <x v="0"/>
    <x v="24"/>
    <d v="1899-12-30T17:04:30"/>
    <s v="Analyzer"/>
    <x v="1"/>
    <x v="0"/>
    <x v="0"/>
    <x v="0"/>
  </r>
  <r>
    <s v="Analyzer Status changed from Ready to Maintenance."/>
    <x v="0"/>
    <x v="0"/>
    <x v="24"/>
    <d v="1899-12-30T18:04:30"/>
    <s v="Analyzer"/>
    <x v="1"/>
    <x v="0"/>
    <x v="0"/>
    <x v="0"/>
  </r>
  <r>
    <s v="Automatic maintenance activity Automatic Fluidic Line Priming Cycle has been executed."/>
    <x v="2"/>
    <x v="0"/>
    <x v="24"/>
    <d v="1899-12-30T18:04:51"/>
    <s v="Maintenance"/>
    <x v="1"/>
    <x v="2"/>
    <x v="2"/>
    <x v="0"/>
  </r>
  <r>
    <s v="Analyzer Status changed from Maintenance to Ready."/>
    <x v="0"/>
    <x v="0"/>
    <x v="24"/>
    <d v="1899-12-30T18:04:52"/>
    <s v="Analyzer"/>
    <x v="1"/>
    <x v="0"/>
    <x v="0"/>
    <x v="0"/>
  </r>
  <r>
    <s v="Analyzer Status changed from Ready to Maintenance."/>
    <x v="0"/>
    <x v="0"/>
    <x v="24"/>
    <d v="1899-12-30T19:04:52"/>
    <s v="Analyzer"/>
    <x v="1"/>
    <x v="0"/>
    <x v="0"/>
    <x v="0"/>
  </r>
  <r>
    <s v="Automatic maintenance activity Automatic Fluidic Line Priming Cycle has been executed."/>
    <x v="2"/>
    <x v="0"/>
    <x v="24"/>
    <d v="1899-12-30T19:05:13"/>
    <s v="Maintenance"/>
    <x v="1"/>
    <x v="2"/>
    <x v="2"/>
    <x v="0"/>
  </r>
  <r>
    <s v="Analyzer Status changed from Maintenance to Ready."/>
    <x v="0"/>
    <x v="0"/>
    <x v="24"/>
    <d v="1899-12-30T19:05:14"/>
    <s v="Analyzer"/>
    <x v="1"/>
    <x v="0"/>
    <x v="0"/>
    <x v="0"/>
  </r>
  <r>
    <s v="Analyzer Status changed from Ready to Maintenance."/>
    <x v="0"/>
    <x v="0"/>
    <x v="24"/>
    <d v="1899-12-30T20:05:14"/>
    <s v="Analyzer"/>
    <x v="1"/>
    <x v="0"/>
    <x v="0"/>
    <x v="0"/>
  </r>
  <r>
    <s v="Automatic maintenance activity Automatic Fluidic Line Priming Cycle has been executed."/>
    <x v="2"/>
    <x v="0"/>
    <x v="24"/>
    <d v="1899-12-30T20:05:35"/>
    <s v="Maintenance"/>
    <x v="1"/>
    <x v="2"/>
    <x v="2"/>
    <x v="0"/>
  </r>
  <r>
    <s v="Analyzer Status changed from Maintenance to Ready."/>
    <x v="0"/>
    <x v="0"/>
    <x v="24"/>
    <d v="1899-12-30T20:05:36"/>
    <s v="Analyzer"/>
    <x v="1"/>
    <x v="0"/>
    <x v="0"/>
    <x v="0"/>
  </r>
  <r>
    <s v="Analyzer Status changed from Ready to Maintenance."/>
    <x v="0"/>
    <x v="0"/>
    <x v="24"/>
    <d v="1899-12-30T21:05:36"/>
    <s v="Analyzer"/>
    <x v="1"/>
    <x v="0"/>
    <x v="0"/>
    <x v="0"/>
  </r>
  <r>
    <s v="Analyzer Status changed from Maintenance to Ready."/>
    <x v="0"/>
    <x v="0"/>
    <x v="24"/>
    <d v="1899-12-30T21:05:57"/>
    <s v="Analyzer"/>
    <x v="1"/>
    <x v="0"/>
    <x v="0"/>
    <x v="0"/>
  </r>
  <r>
    <s v="Automatic maintenance activity Automatic Fluidic Line Priming Cycle has been executed."/>
    <x v="2"/>
    <x v="0"/>
    <x v="24"/>
    <d v="1899-12-30T21:05:57"/>
    <s v="Maintenance"/>
    <x v="1"/>
    <x v="2"/>
    <x v="2"/>
    <x v="0"/>
  </r>
  <r>
    <s v="Analyzer Status changed from Ready to Maintenance."/>
    <x v="0"/>
    <x v="0"/>
    <x v="24"/>
    <d v="1899-12-30T22:05:58"/>
    <s v="Analyzer"/>
    <x v="1"/>
    <x v="0"/>
    <x v="0"/>
    <x v="0"/>
  </r>
  <r>
    <s v="Analyzer Status changed from Maintenance to Ready."/>
    <x v="0"/>
    <x v="0"/>
    <x v="24"/>
    <d v="1899-12-30T22:06:19"/>
    <s v="Analyzer"/>
    <x v="1"/>
    <x v="0"/>
    <x v="0"/>
    <x v="0"/>
  </r>
  <r>
    <s v="Automatic maintenance activity Automatic Fluidic Line Priming Cycle has been executed."/>
    <x v="2"/>
    <x v="0"/>
    <x v="24"/>
    <d v="1899-12-30T22:06:19"/>
    <s v="Maintenance"/>
    <x v="1"/>
    <x v="2"/>
    <x v="2"/>
    <x v="0"/>
  </r>
  <r>
    <s v="Analyzer Status changed from Ready to Maintenance."/>
    <x v="0"/>
    <x v="0"/>
    <x v="24"/>
    <d v="1899-12-30T23:06:20"/>
    <s v="Analyzer"/>
    <x v="1"/>
    <x v="0"/>
    <x v="0"/>
    <x v="0"/>
  </r>
  <r>
    <s v="Analyzer Status changed from Maintenance to Ready."/>
    <x v="0"/>
    <x v="0"/>
    <x v="24"/>
    <d v="1899-12-30T23:06:41"/>
    <s v="Analyzer"/>
    <x v="1"/>
    <x v="0"/>
    <x v="0"/>
    <x v="0"/>
  </r>
  <r>
    <s v="Automatic maintenance activity Automatic Fluidic Line Priming Cycle has been executed."/>
    <x v="2"/>
    <x v="0"/>
    <x v="24"/>
    <d v="1899-12-30T23:06:41"/>
    <s v="Maintenance"/>
    <x v="1"/>
    <x v="2"/>
    <x v="2"/>
    <x v="0"/>
  </r>
  <r>
    <s v="Analyzer Status changed from Ready to Maintenance."/>
    <x v="0"/>
    <x v="0"/>
    <x v="25"/>
    <d v="1899-12-30T00:06:41"/>
    <s v="Analyzer"/>
    <x v="1"/>
    <x v="0"/>
    <x v="0"/>
    <x v="0"/>
  </r>
  <r>
    <s v="Analyzer Status changed from Maintenance to Ready."/>
    <x v="0"/>
    <x v="0"/>
    <x v="25"/>
    <d v="1899-12-30T00:07:03"/>
    <s v="Analyzer"/>
    <x v="1"/>
    <x v="0"/>
    <x v="0"/>
    <x v="0"/>
  </r>
  <r>
    <s v="Automatic maintenance activity Automatic Fluidic Line Priming Cycle has been executed."/>
    <x v="2"/>
    <x v="0"/>
    <x v="25"/>
    <d v="1899-12-30T00:07:03"/>
    <s v="Maintenance"/>
    <x v="1"/>
    <x v="2"/>
    <x v="2"/>
    <x v="0"/>
  </r>
  <r>
    <s v="Analyzer Status changed from Ready to Maintenance."/>
    <x v="0"/>
    <x v="0"/>
    <x v="25"/>
    <d v="1899-12-30T01:07:03"/>
    <s v="Analyzer"/>
    <x v="1"/>
    <x v="0"/>
    <x v="0"/>
    <x v="0"/>
  </r>
  <r>
    <s v="Analyzer Status changed from Maintenance to Ready."/>
    <x v="0"/>
    <x v="0"/>
    <x v="25"/>
    <d v="1899-12-30T01:07:25"/>
    <s v="Analyzer"/>
    <x v="1"/>
    <x v="0"/>
    <x v="0"/>
    <x v="0"/>
  </r>
  <r>
    <s v="Automatic maintenance activity Automatic Fluidic Line Priming Cycle has been executed."/>
    <x v="2"/>
    <x v="0"/>
    <x v="25"/>
    <d v="1899-12-30T01:07:25"/>
    <s v="Maintenance"/>
    <x v="1"/>
    <x v="2"/>
    <x v="2"/>
    <x v="0"/>
  </r>
  <r>
    <s v="Analyzer Status changed from Ready to Maintenance."/>
    <x v="0"/>
    <x v="0"/>
    <x v="25"/>
    <d v="1899-12-30T02:07:25"/>
    <s v="Analyzer"/>
    <x v="1"/>
    <x v="0"/>
    <x v="0"/>
    <x v="0"/>
  </r>
  <r>
    <s v="Analyzer Status changed from Maintenance to Ready."/>
    <x v="0"/>
    <x v="0"/>
    <x v="25"/>
    <d v="1899-12-30T02:07:47"/>
    <s v="Analyzer"/>
    <x v="1"/>
    <x v="0"/>
    <x v="0"/>
    <x v="0"/>
  </r>
  <r>
    <s v="Automatic maintenance activity Automatic Fluidic Line Priming Cycle has been executed."/>
    <x v="2"/>
    <x v="0"/>
    <x v="25"/>
    <d v="1899-12-30T02:07:47"/>
    <s v="Maintenance"/>
    <x v="1"/>
    <x v="2"/>
    <x v="2"/>
    <x v="0"/>
  </r>
  <r>
    <s v="Analyzer Status changed from Ready to Maintenance."/>
    <x v="0"/>
    <x v="0"/>
    <x v="25"/>
    <d v="1899-12-30T03:07:47"/>
    <s v="Analyzer"/>
    <x v="1"/>
    <x v="0"/>
    <x v="0"/>
    <x v="0"/>
  </r>
  <r>
    <s v="Analyzer Status changed from Maintenance to Ready."/>
    <x v="0"/>
    <x v="0"/>
    <x v="25"/>
    <d v="1899-12-30T03:08:09"/>
    <s v="Analyzer"/>
    <x v="1"/>
    <x v="0"/>
    <x v="0"/>
    <x v="0"/>
  </r>
  <r>
    <s v="Automatic maintenance activity Automatic Fluidic Line Priming Cycle has been executed."/>
    <x v="2"/>
    <x v="0"/>
    <x v="25"/>
    <d v="1899-12-30T03:08:09"/>
    <s v="Maintenance"/>
    <x v="1"/>
    <x v="2"/>
    <x v="2"/>
    <x v="0"/>
  </r>
  <r>
    <s v="Analyzer Status changed from Ready to Maintenance."/>
    <x v="0"/>
    <x v="0"/>
    <x v="25"/>
    <d v="1899-12-30T04:08:09"/>
    <s v="Analyzer"/>
    <x v="1"/>
    <x v="0"/>
    <x v="0"/>
    <x v="0"/>
  </r>
  <r>
    <s v="Analyzer Status changed from Maintenance to Ready."/>
    <x v="0"/>
    <x v="0"/>
    <x v="25"/>
    <d v="1899-12-30T04:08:31"/>
    <s v="Analyzer"/>
    <x v="1"/>
    <x v="0"/>
    <x v="0"/>
    <x v="0"/>
  </r>
  <r>
    <s v="Automatic maintenance activity Automatic Fluidic Line Priming Cycle has been executed."/>
    <x v="2"/>
    <x v="0"/>
    <x v="25"/>
    <d v="1899-12-30T04:08:31"/>
    <s v="Maintenance"/>
    <x v="1"/>
    <x v="2"/>
    <x v="2"/>
    <x v="0"/>
  </r>
  <r>
    <s v="Analyzer Status changed from Ready to Maintenance."/>
    <x v="0"/>
    <x v="0"/>
    <x v="25"/>
    <d v="1899-12-30T05:08:31"/>
    <s v="Analyzer"/>
    <x v="1"/>
    <x v="0"/>
    <x v="0"/>
    <x v="0"/>
  </r>
  <r>
    <s v="Analyzer Status changed from Maintenance to Ready."/>
    <x v="0"/>
    <x v="0"/>
    <x v="25"/>
    <d v="1899-12-30T05:08:53"/>
    <s v="Analyzer"/>
    <x v="1"/>
    <x v="0"/>
    <x v="0"/>
    <x v="0"/>
  </r>
  <r>
    <s v="Automatic maintenance activity Automatic Fluidic Line Priming Cycle has been executed."/>
    <x v="2"/>
    <x v="0"/>
    <x v="25"/>
    <d v="1899-12-30T05:08:53"/>
    <s v="Maintenance"/>
    <x v="1"/>
    <x v="2"/>
    <x v="2"/>
    <x v="0"/>
  </r>
  <r>
    <s v="Analyzer Status changed from Ready to Maintenance."/>
    <x v="0"/>
    <x v="0"/>
    <x v="25"/>
    <d v="1899-12-30T06:08:53"/>
    <s v="Analyzer"/>
    <x v="1"/>
    <x v="0"/>
    <x v="0"/>
    <x v="0"/>
  </r>
  <r>
    <s v="Analyzer Status changed from Maintenance to Ready."/>
    <x v="0"/>
    <x v="0"/>
    <x v="25"/>
    <d v="1899-12-30T06:09:15"/>
    <s v="Analyzer"/>
    <x v="1"/>
    <x v="0"/>
    <x v="0"/>
    <x v="0"/>
  </r>
  <r>
    <s v="Automatic maintenance activity Automatic Fluidic Line Priming Cycle has been executed."/>
    <x v="2"/>
    <x v="0"/>
    <x v="25"/>
    <d v="1899-12-30T06:09:15"/>
    <s v="Maintenance"/>
    <x v="1"/>
    <x v="2"/>
    <x v="2"/>
    <x v="0"/>
  </r>
  <r>
    <s v="Analyzer Status changed from Ready to Maintenance."/>
    <x v="0"/>
    <x v="0"/>
    <x v="25"/>
    <d v="1899-12-30T07:09:15"/>
    <s v="Analyzer"/>
    <x v="1"/>
    <x v="0"/>
    <x v="0"/>
    <x v="0"/>
  </r>
  <r>
    <s v="Analyzer Status changed from Maintenance to Ready."/>
    <x v="0"/>
    <x v="0"/>
    <x v="25"/>
    <d v="1899-12-30T07:09:37"/>
    <s v="Analyzer"/>
    <x v="1"/>
    <x v="0"/>
    <x v="0"/>
    <x v="0"/>
  </r>
  <r>
    <s v="Automatic maintenance activity Automatic Fluidic Line Priming Cycle has been executed."/>
    <x v="2"/>
    <x v="0"/>
    <x v="25"/>
    <d v="1899-12-30T07:09:37"/>
    <s v="Maintenance"/>
    <x v="1"/>
    <x v="2"/>
    <x v="2"/>
    <x v="0"/>
  </r>
  <r>
    <s v="Communications between the instrument and the LIS have been lost."/>
    <x v="13"/>
    <x v="2"/>
    <x v="25"/>
    <d v="1899-12-30T07:31:56"/>
    <s v="LIS"/>
    <x v="1"/>
    <x v="2"/>
    <x v="6"/>
    <x v="0"/>
  </r>
  <r>
    <s v="Successful log in by user: LHO."/>
    <x v="18"/>
    <x v="0"/>
    <x v="25"/>
    <d v="1899-12-30T07:32:53"/>
    <s v="Other"/>
    <x v="0"/>
    <x v="2"/>
    <x v="5"/>
    <x v="0"/>
  </r>
  <r>
    <s v="Analyzer Status changed from Ready to Maintenance."/>
    <x v="0"/>
    <x v="0"/>
    <x v="25"/>
    <d v="1899-12-30T08:09:37"/>
    <s v="Analyzer"/>
    <x v="0"/>
    <x v="0"/>
    <x v="0"/>
    <x v="0"/>
  </r>
  <r>
    <s v="Analyzer Status changed from Maintenance to Ready."/>
    <x v="0"/>
    <x v="0"/>
    <x v="25"/>
    <d v="1899-12-30T08:09:59"/>
    <s v="Analyzer"/>
    <x v="0"/>
    <x v="0"/>
    <x v="0"/>
    <x v="0"/>
  </r>
  <r>
    <s v="Automatic maintenance activity Automatic Fluidic Line Priming Cycle has been executed."/>
    <x v="2"/>
    <x v="0"/>
    <x v="25"/>
    <d v="1899-12-30T08:09:59"/>
    <s v="Maintenance"/>
    <x v="0"/>
    <x v="2"/>
    <x v="2"/>
    <x v="0"/>
  </r>
  <r>
    <s v="Analyzer Status changed from Ready to Maintenance."/>
    <x v="0"/>
    <x v="0"/>
    <x v="25"/>
    <d v="1899-12-30T08:31:19"/>
    <s v="Analyzer"/>
    <x v="0"/>
    <x v="0"/>
    <x v="0"/>
    <x v="0"/>
  </r>
  <r>
    <s v="Frequency status for manual maintenance activity Enhanced Clean for all Probes has changed to OK."/>
    <x v="3"/>
    <x v="0"/>
    <x v="25"/>
    <d v="1899-12-30T08:34:37"/>
    <s v="Maintenance"/>
    <x v="0"/>
    <x v="2"/>
    <x v="2"/>
    <x v="0"/>
  </r>
  <r>
    <s v="Frequency status for manual maintenance activity Enhanced Clean for Sample and Reagent Probes has changed to OK."/>
    <x v="3"/>
    <x v="0"/>
    <x v="25"/>
    <d v="1899-12-30T08:34:37"/>
    <s v="Maintenance"/>
    <x v="0"/>
    <x v="2"/>
    <x v="2"/>
    <x v="0"/>
  </r>
  <r>
    <s v="Semiautomatic maintenance activity Enhanced Clean for all Probes has been executed."/>
    <x v="4"/>
    <x v="0"/>
    <x v="25"/>
    <d v="1899-12-30T08:34:37"/>
    <s v="Maintenance"/>
    <x v="0"/>
    <x v="2"/>
    <x v="2"/>
    <x v="0"/>
  </r>
  <r>
    <s v="Analyzer Status changed from Maintenance to Ready."/>
    <x v="0"/>
    <x v="0"/>
    <x v="25"/>
    <d v="1899-12-30T08:34:38"/>
    <s v="Analyzer"/>
    <x v="0"/>
    <x v="0"/>
    <x v="0"/>
    <x v="0"/>
  </r>
  <r>
    <s v="Unknown lot (Normal C. Assayed in rack DC position 6, track 1)."/>
    <x v="67"/>
    <x v="2"/>
    <x v="25"/>
    <d v="1899-12-30T08:35:32"/>
    <s v="Materials"/>
    <x v="0"/>
    <x v="2"/>
    <x v="3"/>
    <x v="0"/>
  </r>
  <r>
    <s v="Analyzer Status changed from Ready to Maintenance."/>
    <x v="0"/>
    <x v="0"/>
    <x v="25"/>
    <d v="1899-12-30T08:35:40"/>
    <s v="Analyzer"/>
    <x v="0"/>
    <x v="0"/>
    <x v="0"/>
    <x v="0"/>
  </r>
  <r>
    <s v="Frequency status for manual maintenance activity make new diluted clean B has changed to OK."/>
    <x v="3"/>
    <x v="0"/>
    <x v="25"/>
    <d v="1899-12-30T08:35:43"/>
    <s v="Maintenance"/>
    <x v="0"/>
    <x v="2"/>
    <x v="2"/>
    <x v="0"/>
  </r>
  <r>
    <s v="Manual maintenance activity make new diluted clean B has been executed."/>
    <x v="5"/>
    <x v="0"/>
    <x v="25"/>
    <d v="1899-12-30T08:35:43"/>
    <s v="Maintenance"/>
    <x v="0"/>
    <x v="2"/>
    <x v="2"/>
    <x v="0"/>
  </r>
  <r>
    <s v="Analyzer Status changed from Maintenance to Ready."/>
    <x v="0"/>
    <x v="0"/>
    <x v="25"/>
    <d v="1899-12-30T08:36:17"/>
    <s v="Analyzer"/>
    <x v="0"/>
    <x v="0"/>
    <x v="0"/>
    <x v="0"/>
  </r>
  <r>
    <s v="Analyzer Status changed from Ready to Maintenance."/>
    <x v="0"/>
    <x v="0"/>
    <x v="25"/>
    <d v="1899-12-30T08:36:21"/>
    <s v="Analyzer"/>
    <x v="0"/>
    <x v="0"/>
    <x v="0"/>
    <x v="0"/>
  </r>
  <r>
    <s v="Frequency status for manual maintenance activity replace factor diluent has changed to OK."/>
    <x v="3"/>
    <x v="0"/>
    <x v="25"/>
    <d v="1899-12-30T08:36:22"/>
    <s v="Maintenance"/>
    <x v="0"/>
    <x v="2"/>
    <x v="2"/>
    <x v="0"/>
  </r>
  <r>
    <s v="Manual maintenance activity replace factor diluent has been executed."/>
    <x v="5"/>
    <x v="0"/>
    <x v="25"/>
    <d v="1899-12-30T08:36:22"/>
    <s v="Maintenance"/>
    <x v="0"/>
    <x v="2"/>
    <x v="2"/>
    <x v="0"/>
  </r>
  <r>
    <s v="Analyzer Status changed from Maintenance to Ready."/>
    <x v="0"/>
    <x v="0"/>
    <x v="25"/>
    <d v="1899-12-30T08:36:23"/>
    <s v="Analyzer"/>
    <x v="0"/>
    <x v="0"/>
    <x v="0"/>
    <x v="0"/>
  </r>
  <r>
    <s v="Communications between the instrument and the LIS have been lost."/>
    <x v="13"/>
    <x v="2"/>
    <x v="25"/>
    <d v="1899-12-30T08:41:56"/>
    <s v="LIS"/>
    <x v="0"/>
    <x v="2"/>
    <x v="6"/>
    <x v="0"/>
  </r>
  <r>
    <s v="Material Definition Normal C. Assayed modified: Alternative Lot cfg."/>
    <x v="68"/>
    <x v="0"/>
    <x v="25"/>
    <d v="1899-12-30T08:42:53"/>
    <s v="Setup"/>
    <x v="0"/>
    <x v="2"/>
    <x v="3"/>
    <x v="0"/>
  </r>
  <r>
    <s v="Material Definition Normal C. Assayed generic change."/>
    <x v="69"/>
    <x v="0"/>
    <x v="25"/>
    <d v="1899-12-30T08:43:17"/>
    <s v="Setup"/>
    <x v="0"/>
    <x v="2"/>
    <x v="3"/>
    <x v="0"/>
  </r>
  <r>
    <s v="QC Definition APTT-SS - Normal C. Assayed modified: Target Mean."/>
    <x v="33"/>
    <x v="0"/>
    <x v="25"/>
    <d v="1899-12-30T08:43:22"/>
    <s v="Setup"/>
    <x v="0"/>
    <x v="2"/>
    <x v="12"/>
    <x v="0"/>
  </r>
  <r>
    <s v="QC Definition APTT-SS - Normal C. Assayed modified: Target SD."/>
    <x v="70"/>
    <x v="0"/>
    <x v="25"/>
    <d v="1899-12-30T08:43:22"/>
    <s v="Setup"/>
    <x v="0"/>
    <x v="2"/>
    <x v="12"/>
    <x v="0"/>
  </r>
  <r>
    <s v="QC Definition Fib-C - Normal C. Assayed modified: Target Mean."/>
    <x v="33"/>
    <x v="0"/>
    <x v="25"/>
    <d v="1899-12-30T08:43:23"/>
    <s v="Setup"/>
    <x v="0"/>
    <x v="2"/>
    <x v="12"/>
    <x v="0"/>
  </r>
  <r>
    <s v="QC Definition PC - Normal C. Assayed modified: Target Mean."/>
    <x v="33"/>
    <x v="0"/>
    <x v="25"/>
    <d v="1899-12-30T08:43:23"/>
    <s v="Setup"/>
    <x v="0"/>
    <x v="2"/>
    <x v="12"/>
    <x v="0"/>
  </r>
  <r>
    <s v="QC Definition Fib-C - Normal C. Assayed modified: Target SD."/>
    <x v="70"/>
    <x v="0"/>
    <x v="25"/>
    <d v="1899-12-30T08:43:23"/>
    <s v="Setup"/>
    <x v="0"/>
    <x v="2"/>
    <x v="12"/>
    <x v="0"/>
  </r>
  <r>
    <s v="QC Definition PC - Normal C. Assayed modified: Target SD."/>
    <x v="70"/>
    <x v="0"/>
    <x v="25"/>
    <d v="1899-12-30T08:43:23"/>
    <s v="Setup"/>
    <x v="0"/>
    <x v="2"/>
    <x v="12"/>
    <x v="0"/>
  </r>
  <r>
    <s v="QC Definition PT-RP - Normal C. Assayed modified: Target Mean."/>
    <x v="33"/>
    <x v="0"/>
    <x v="25"/>
    <d v="1899-12-30T08:43:24"/>
    <s v="Setup"/>
    <x v="0"/>
    <x v="2"/>
    <x v="12"/>
    <x v="0"/>
  </r>
  <r>
    <s v="QC Definition Free PS - Normal C. Assayed modified: Target Mean."/>
    <x v="33"/>
    <x v="0"/>
    <x v="25"/>
    <d v="1899-12-30T08:43:24"/>
    <s v="Setup"/>
    <x v="0"/>
    <x v="2"/>
    <x v="12"/>
    <x v="0"/>
  </r>
  <r>
    <s v="QC Definition PT-RP - Normal C. Assayed modified: Target SD."/>
    <x v="70"/>
    <x v="0"/>
    <x v="25"/>
    <d v="1899-12-30T08:43:24"/>
    <s v="Setup"/>
    <x v="0"/>
    <x v="2"/>
    <x v="12"/>
    <x v="0"/>
  </r>
  <r>
    <s v="QC Definition Free PS - Normal C. Assayed modified: Target SD."/>
    <x v="70"/>
    <x v="0"/>
    <x v="25"/>
    <d v="1899-12-30T08:43:24"/>
    <s v="Setup"/>
    <x v="0"/>
    <x v="2"/>
    <x v="12"/>
    <x v="0"/>
  </r>
  <r>
    <s v="QC Definition TT5 - Normal C. Assayed modified: Target Mean."/>
    <x v="33"/>
    <x v="0"/>
    <x v="25"/>
    <d v="1899-12-30T08:43:25"/>
    <s v="Setup"/>
    <x v="0"/>
    <x v="2"/>
    <x v="12"/>
    <x v="0"/>
  </r>
  <r>
    <s v="QC Definition AT LIQ - Normal C. Assayed modified: Target Mean."/>
    <x v="33"/>
    <x v="0"/>
    <x v="25"/>
    <d v="1899-12-30T08:43:25"/>
    <s v="Setup"/>
    <x v="0"/>
    <x v="2"/>
    <x v="12"/>
    <x v="0"/>
  </r>
  <r>
    <s v="QC Definition TT5 - Normal C. Assayed modified: Target SD."/>
    <x v="70"/>
    <x v="0"/>
    <x v="25"/>
    <d v="1899-12-30T08:43:25"/>
    <s v="Setup"/>
    <x v="0"/>
    <x v="2"/>
    <x v="12"/>
    <x v="0"/>
  </r>
  <r>
    <s v="QC Definition AT LIQ - Normal C. Assayed modified: Target SD."/>
    <x v="70"/>
    <x v="0"/>
    <x v="25"/>
    <d v="1899-12-30T08:43:25"/>
    <s v="Setup"/>
    <x v="0"/>
    <x v="2"/>
    <x v="12"/>
    <x v="0"/>
  </r>
  <r>
    <s v="QC Definition FII-RP - Normal C. Assayed modified: Target Mean."/>
    <x v="33"/>
    <x v="0"/>
    <x v="25"/>
    <d v="1899-12-30T08:43:26"/>
    <s v="Setup"/>
    <x v="0"/>
    <x v="2"/>
    <x v="12"/>
    <x v="0"/>
  </r>
  <r>
    <s v="QC Definition FV-RP - Normal C. Assayed modified: Target Mean."/>
    <x v="33"/>
    <x v="0"/>
    <x v="25"/>
    <d v="1899-12-30T08:43:26"/>
    <s v="Setup"/>
    <x v="0"/>
    <x v="2"/>
    <x v="12"/>
    <x v="0"/>
  </r>
  <r>
    <s v="QC Definition FII-RP - Normal C. Assayed modified: Target SD."/>
    <x v="70"/>
    <x v="0"/>
    <x v="25"/>
    <d v="1899-12-30T08:43:26"/>
    <s v="Setup"/>
    <x v="0"/>
    <x v="2"/>
    <x v="12"/>
    <x v="0"/>
  </r>
  <r>
    <s v="QC Definition FV-RP - Normal C. Assayed modified: Target SD."/>
    <x v="70"/>
    <x v="0"/>
    <x v="25"/>
    <d v="1899-12-30T08:43:26"/>
    <s v="Setup"/>
    <x v="0"/>
    <x v="2"/>
    <x v="12"/>
    <x v="0"/>
  </r>
  <r>
    <s v="QC Definition FVII-RP - Normal C. Assayed modified: Target Mean."/>
    <x v="33"/>
    <x v="0"/>
    <x v="25"/>
    <d v="1899-12-30T08:43:27"/>
    <s v="Setup"/>
    <x v="0"/>
    <x v="2"/>
    <x v="12"/>
    <x v="0"/>
  </r>
  <r>
    <s v="QC Definition FVIII-SS - Normal C. Assayed modified: Target Mean."/>
    <x v="33"/>
    <x v="0"/>
    <x v="25"/>
    <d v="1899-12-30T08:43:27"/>
    <s v="Setup"/>
    <x v="0"/>
    <x v="2"/>
    <x v="12"/>
    <x v="0"/>
  </r>
  <r>
    <s v="QC Definition FVII-RP - Normal C. Assayed modified: Target SD."/>
    <x v="70"/>
    <x v="0"/>
    <x v="25"/>
    <d v="1899-12-30T08:43:27"/>
    <s v="Setup"/>
    <x v="0"/>
    <x v="2"/>
    <x v="12"/>
    <x v="0"/>
  </r>
  <r>
    <s v="QC Definition FVIII-SS - Normal C. Assayed modified: Target SD."/>
    <x v="70"/>
    <x v="0"/>
    <x v="25"/>
    <d v="1899-12-30T08:43:27"/>
    <s v="Setup"/>
    <x v="0"/>
    <x v="2"/>
    <x v="12"/>
    <x v="0"/>
  </r>
  <r>
    <s v="QC Definition FIX-SS - Normal C. Assayed modified: Target Mean."/>
    <x v="33"/>
    <x v="0"/>
    <x v="25"/>
    <d v="1899-12-30T08:43:28"/>
    <s v="Setup"/>
    <x v="0"/>
    <x v="2"/>
    <x v="12"/>
    <x v="0"/>
  </r>
  <r>
    <s v="QC Definition FX-RP - Normal C. Assayed modified: Target Mean."/>
    <x v="33"/>
    <x v="0"/>
    <x v="25"/>
    <d v="1899-12-30T08:43:28"/>
    <s v="Setup"/>
    <x v="0"/>
    <x v="2"/>
    <x v="12"/>
    <x v="0"/>
  </r>
  <r>
    <s v="QC Definition FIX-SS - Normal C. Assayed modified: Target SD."/>
    <x v="70"/>
    <x v="0"/>
    <x v="25"/>
    <d v="1899-12-30T08:43:28"/>
    <s v="Setup"/>
    <x v="0"/>
    <x v="2"/>
    <x v="12"/>
    <x v="0"/>
  </r>
  <r>
    <s v="QC Definition FX-RP - Normal C. Assayed modified: Target SD."/>
    <x v="70"/>
    <x v="0"/>
    <x v="25"/>
    <d v="1899-12-30T08:43:28"/>
    <s v="Setup"/>
    <x v="0"/>
    <x v="2"/>
    <x v="12"/>
    <x v="0"/>
  </r>
  <r>
    <s v="QC Definition FXI-SS - Normal C. Assayed modified: Target Mean."/>
    <x v="33"/>
    <x v="0"/>
    <x v="25"/>
    <d v="1899-12-30T08:43:29"/>
    <s v="Setup"/>
    <x v="0"/>
    <x v="2"/>
    <x v="12"/>
    <x v="0"/>
  </r>
  <r>
    <s v="QC Definition FXII-SS - Normal C. Assayed modified: Target Mean."/>
    <x v="33"/>
    <x v="0"/>
    <x v="25"/>
    <d v="1899-12-30T08:43:29"/>
    <s v="Setup"/>
    <x v="0"/>
    <x v="2"/>
    <x v="12"/>
    <x v="0"/>
  </r>
  <r>
    <s v="QC Definition FXI-SS - Normal C. Assayed modified: Target SD."/>
    <x v="70"/>
    <x v="0"/>
    <x v="25"/>
    <d v="1899-12-30T08:43:29"/>
    <s v="Setup"/>
    <x v="0"/>
    <x v="2"/>
    <x v="12"/>
    <x v="0"/>
  </r>
  <r>
    <s v="QC Definition FXII-SS - Normal C. Assayed modified: Target SD."/>
    <x v="70"/>
    <x v="0"/>
    <x v="25"/>
    <d v="1899-12-30T08:43:29"/>
    <s v="Setup"/>
    <x v="0"/>
    <x v="2"/>
    <x v="12"/>
    <x v="0"/>
  </r>
  <r>
    <s v="Material Definition Normal C. Assayed modified: Alternate lot activated."/>
    <x v="71"/>
    <x v="0"/>
    <x v="25"/>
    <d v="1899-12-30T08:43:33"/>
    <s v="Setup"/>
    <x v="0"/>
    <x v="4"/>
    <x v="7"/>
    <x v="1"/>
  </r>
  <r>
    <s v="Unknown lot (Normal C. Assayed in rack DC position 6, track 1)."/>
    <x v="67"/>
    <x v="2"/>
    <x v="25"/>
    <d v="1899-12-30T08:44:03"/>
    <s v="Materials"/>
    <x v="0"/>
    <x v="2"/>
    <x v="3"/>
    <x v="0"/>
  </r>
  <r>
    <s v="Material Definition Normal C. Assayed modified: expiration date (active Lot)."/>
    <x v="72"/>
    <x v="0"/>
    <x v="25"/>
    <d v="1899-12-30T08:45:28"/>
    <s v="Setup"/>
    <x v="0"/>
    <x v="2"/>
    <x v="3"/>
    <x v="0"/>
  </r>
  <r>
    <s v="Analyzer Status changed from Ready to Busy."/>
    <x v="0"/>
    <x v="0"/>
    <x v="25"/>
    <d v="1899-12-30T08:50:20"/>
    <s v="Analyzer"/>
    <x v="0"/>
    <x v="0"/>
    <x v="0"/>
    <x v="0"/>
  </r>
  <r>
    <s v="QC Failed: DDHS-D-Dimer Low Control"/>
    <x v="28"/>
    <x v="2"/>
    <x v="25"/>
    <d v="1899-12-30T08:56:00"/>
    <s v="QC"/>
    <x v="0"/>
    <x v="2"/>
    <x v="3"/>
    <x v="0"/>
  </r>
  <r>
    <s v="Analyzer Status changed from Busy to Ready."/>
    <x v="0"/>
    <x v="0"/>
    <x v="25"/>
    <d v="1899-12-30T08:56:34"/>
    <s v="Analyzer"/>
    <x v="0"/>
    <x v="0"/>
    <x v="0"/>
    <x v="0"/>
  </r>
  <r>
    <s v="Analyzer Status changed from Ready to Maintenance."/>
    <x v="0"/>
    <x v="0"/>
    <x v="25"/>
    <d v="1899-12-30T08:56:34"/>
    <s v="Analyzer"/>
    <x v="0"/>
    <x v="0"/>
    <x v="0"/>
    <x v="0"/>
  </r>
  <r>
    <s v="Analyzer Status changed from Maintenance to Ready."/>
    <x v="0"/>
    <x v="0"/>
    <x v="25"/>
    <d v="1899-12-30T08:57:38"/>
    <s v="Analyzer"/>
    <x v="0"/>
    <x v="0"/>
    <x v="0"/>
    <x v="0"/>
  </r>
  <r>
    <s v="Automatic maintenance activity Automatic Routine Clean for all Probes has been executed."/>
    <x v="2"/>
    <x v="0"/>
    <x v="25"/>
    <d v="1899-12-30T08:57:38"/>
    <s v="Maintenance"/>
    <x v="0"/>
    <x v="2"/>
    <x v="2"/>
    <x v="0"/>
  </r>
  <r>
    <s v="Analyzer Status changed from Ready to Busy."/>
    <x v="0"/>
    <x v="0"/>
    <x v="25"/>
    <d v="1899-12-30T08:57:53"/>
    <s v="Analyzer"/>
    <x v="0"/>
    <x v="0"/>
    <x v="0"/>
    <x v="0"/>
  </r>
  <r>
    <s v="QC Failed: DDHS-D-Dimer Low Control"/>
    <x v="28"/>
    <x v="2"/>
    <x v="25"/>
    <d v="1899-12-30T09:02:48"/>
    <s v="QC"/>
    <x v="0"/>
    <x v="2"/>
    <x v="3"/>
    <x v="0"/>
  </r>
  <r>
    <s v="Analyzer Status changed from Busy to Ready."/>
    <x v="0"/>
    <x v="0"/>
    <x v="25"/>
    <d v="1899-12-30T09:02:49"/>
    <s v="Analyzer"/>
    <x v="0"/>
    <x v="0"/>
    <x v="0"/>
    <x v="0"/>
  </r>
  <r>
    <s v="Analyzer Status changed from Ready to Maintenance."/>
    <x v="0"/>
    <x v="0"/>
    <x v="25"/>
    <d v="1899-12-30T09:02:49"/>
    <s v="Analyzer"/>
    <x v="0"/>
    <x v="0"/>
    <x v="0"/>
    <x v="0"/>
  </r>
  <r>
    <s v="Analyzer Status changed from Maintenance to Ready."/>
    <x v="0"/>
    <x v="0"/>
    <x v="25"/>
    <d v="1899-12-30T09:04:31"/>
    <s v="Analyzer"/>
    <x v="0"/>
    <x v="0"/>
    <x v="0"/>
    <x v="0"/>
  </r>
  <r>
    <s v="Automatic maintenance activity Automatic Routine Clean for all Probes has been executed."/>
    <x v="2"/>
    <x v="0"/>
    <x v="25"/>
    <d v="1899-12-30T09:04:31"/>
    <s v="Maintenance"/>
    <x v="0"/>
    <x v="2"/>
    <x v="2"/>
    <x v="0"/>
  </r>
  <r>
    <s v="QC Definition DDHS - D-Dimer Low Control modified: Target Mean."/>
    <x v="33"/>
    <x v="0"/>
    <x v="25"/>
    <d v="1899-12-30T09:05:47"/>
    <s v="Setup"/>
    <x v="0"/>
    <x v="2"/>
    <x v="12"/>
    <x v="0"/>
  </r>
  <r>
    <s v="QC Definition DDHS - D-Dimer Low Control modified: Target SD."/>
    <x v="70"/>
    <x v="0"/>
    <x v="25"/>
    <d v="1899-12-30T09:05:47"/>
    <s v="Setup"/>
    <x v="0"/>
    <x v="2"/>
    <x v="12"/>
    <x v="0"/>
  </r>
  <r>
    <s v="D-Dimer Low Control on-board stability low."/>
    <x v="6"/>
    <x v="1"/>
    <x v="25"/>
    <d v="1899-12-30T09:05:56"/>
    <s v="Materials"/>
    <x v="0"/>
    <x v="2"/>
    <x v="3"/>
    <x v="0"/>
  </r>
  <r>
    <s v="D-Dimer High Control on-board stability low."/>
    <x v="6"/>
    <x v="1"/>
    <x v="25"/>
    <d v="1899-12-30T09:05:56"/>
    <s v="Materials"/>
    <x v="0"/>
    <x v="2"/>
    <x v="3"/>
    <x v="0"/>
  </r>
  <r>
    <s v="QC Profile Lupus has been deleted."/>
    <x v="73"/>
    <x v="0"/>
    <x v="25"/>
    <d v="1899-12-30T09:06:20"/>
    <s v="Setup"/>
    <x v="0"/>
    <x v="2"/>
    <x v="12"/>
    <x v="0"/>
  </r>
  <r>
    <s v="Analyzer Status changed from Ready to Busy."/>
    <x v="0"/>
    <x v="0"/>
    <x v="25"/>
    <d v="1899-12-30T09:06:49"/>
    <s v="Analyzer"/>
    <x v="0"/>
    <x v="0"/>
    <x v="0"/>
    <x v="0"/>
  </r>
  <r>
    <s v="Analyzer Status changed from Busy to Ready."/>
    <x v="0"/>
    <x v="0"/>
    <x v="25"/>
    <d v="1899-12-30T09:11:45"/>
    <s v="Analyzer"/>
    <x v="0"/>
    <x v="0"/>
    <x v="0"/>
    <x v="0"/>
  </r>
  <r>
    <s v="Analyzer Status changed from Ready to Maintenance."/>
    <x v="0"/>
    <x v="0"/>
    <x v="25"/>
    <d v="1899-12-30T09:11:46"/>
    <s v="Analyzer"/>
    <x v="0"/>
    <x v="0"/>
    <x v="0"/>
    <x v="0"/>
  </r>
  <r>
    <s v="Analyzer Status changed from Maintenance to Ready."/>
    <x v="0"/>
    <x v="0"/>
    <x v="25"/>
    <d v="1899-12-30T09:12:13"/>
    <s v="Analyzer"/>
    <x v="0"/>
    <x v="0"/>
    <x v="0"/>
    <x v="0"/>
  </r>
  <r>
    <s v="Automatic maintenance activity Automatic Routine Clean for all Probes has been executed."/>
    <x v="2"/>
    <x v="0"/>
    <x v="25"/>
    <d v="1899-12-30T09:12:13"/>
    <s v="Maintenance"/>
    <x v="0"/>
    <x v="2"/>
    <x v="2"/>
    <x v="0"/>
  </r>
  <r>
    <s v="Analyzer Status changed from Ready to Busy."/>
    <x v="0"/>
    <x v="0"/>
    <x v="25"/>
    <d v="1899-12-30T09:57:11"/>
    <s v="Analyzer"/>
    <x v="0"/>
    <x v="0"/>
    <x v="0"/>
    <x v="0"/>
  </r>
  <r>
    <s v="Analyzer Status changed from Busy to Ready."/>
    <x v="0"/>
    <x v="0"/>
    <x v="25"/>
    <d v="1899-12-30T10:00:44"/>
    <s v="Analyzer"/>
    <x v="0"/>
    <x v="0"/>
    <x v="0"/>
    <x v="0"/>
  </r>
  <r>
    <s v="Analyzer Status changed from Ready to Maintenance."/>
    <x v="0"/>
    <x v="0"/>
    <x v="25"/>
    <d v="1899-12-30T10:00:44"/>
    <s v="Analyzer"/>
    <x v="0"/>
    <x v="0"/>
    <x v="0"/>
    <x v="0"/>
  </r>
  <r>
    <s v="Automatic maintenance activity Automatic Routine Clean for all Probes has been executed."/>
    <x v="2"/>
    <x v="0"/>
    <x v="25"/>
    <d v="1899-12-30T10:01:09"/>
    <s v="Maintenance"/>
    <x v="0"/>
    <x v="2"/>
    <x v="2"/>
    <x v="0"/>
  </r>
  <r>
    <s v="Analyzer Status changed from Maintenance to Ready."/>
    <x v="0"/>
    <x v="0"/>
    <x v="25"/>
    <d v="1899-12-30T10:01:10"/>
    <s v="Analyzer"/>
    <x v="0"/>
    <x v="0"/>
    <x v="0"/>
    <x v="0"/>
  </r>
  <r>
    <s v="Analyzer Status changed from Ready to Busy."/>
    <x v="0"/>
    <x v="0"/>
    <x v="25"/>
    <d v="1899-12-30T10:16:59"/>
    <s v="Analyzer"/>
    <x v="0"/>
    <x v="0"/>
    <x v="0"/>
    <x v="0"/>
  </r>
  <r>
    <s v="Analyzer Status changed from Busy to Ready."/>
    <x v="0"/>
    <x v="0"/>
    <x v="25"/>
    <d v="1899-12-30T10:23:06"/>
    <s v="Analyzer"/>
    <x v="0"/>
    <x v="0"/>
    <x v="0"/>
    <x v="0"/>
  </r>
  <r>
    <s v="Analyzer Status changed from Ready to Maintenance."/>
    <x v="0"/>
    <x v="0"/>
    <x v="25"/>
    <d v="1899-12-30T10:23:06"/>
    <s v="Analyzer"/>
    <x v="0"/>
    <x v="0"/>
    <x v="0"/>
    <x v="0"/>
  </r>
  <r>
    <s v="Automatic maintenance activity Automatic Routine Clean for all Probes has been executed."/>
    <x v="2"/>
    <x v="0"/>
    <x v="25"/>
    <d v="1899-12-30T10:23:31"/>
    <s v="Maintenance"/>
    <x v="0"/>
    <x v="2"/>
    <x v="2"/>
    <x v="0"/>
  </r>
  <r>
    <s v="Analyzer Status changed from Maintenance to Ready."/>
    <x v="0"/>
    <x v="0"/>
    <x v="25"/>
    <d v="1899-12-30T10:23:32"/>
    <s v="Analyzer"/>
    <x v="0"/>
    <x v="0"/>
    <x v="0"/>
    <x v="0"/>
  </r>
  <r>
    <s v="Non-identified Sample in rack 05 position 10, track 7."/>
    <x v="12"/>
    <x v="2"/>
    <x v="25"/>
    <d v="1899-12-30T10:28:03"/>
    <s v="Materials"/>
    <x v="0"/>
    <x v="4"/>
    <x v="7"/>
    <x v="1"/>
  </r>
  <r>
    <s v="Analyzer Status changed from Ready to Busy."/>
    <x v="0"/>
    <x v="0"/>
    <x v="25"/>
    <d v="1899-12-30T10:28:09"/>
    <s v="Analyzer"/>
    <x v="0"/>
    <x v="0"/>
    <x v="0"/>
    <x v="0"/>
  </r>
  <r>
    <s v="Analyzer Status changed from Busy to Ready."/>
    <x v="0"/>
    <x v="0"/>
    <x v="25"/>
    <d v="1899-12-30T10:32:00"/>
    <s v="Analyzer"/>
    <x v="0"/>
    <x v="0"/>
    <x v="0"/>
    <x v="0"/>
  </r>
  <r>
    <s v="Analyzer Status changed from Ready to Maintenance."/>
    <x v="0"/>
    <x v="0"/>
    <x v="25"/>
    <d v="1899-12-30T10:32:00"/>
    <s v="Analyzer"/>
    <x v="0"/>
    <x v="0"/>
    <x v="0"/>
    <x v="0"/>
  </r>
  <r>
    <s v="Analyzer Status changed from Maintenance to Ready."/>
    <x v="0"/>
    <x v="0"/>
    <x v="25"/>
    <d v="1899-12-30T10:32:24"/>
    <s v="Analyzer"/>
    <x v="0"/>
    <x v="0"/>
    <x v="0"/>
    <x v="0"/>
  </r>
  <r>
    <s v="Automatic maintenance activity Automatic Routine Clean for all Probes has been executed."/>
    <x v="2"/>
    <x v="0"/>
    <x v="25"/>
    <d v="1899-12-30T10:32:24"/>
    <s v="Maintenance"/>
    <x v="0"/>
    <x v="2"/>
    <x v="2"/>
    <x v="0"/>
  </r>
  <r>
    <s v="Analyzer Status changed from Ready to Busy."/>
    <x v="0"/>
    <x v="0"/>
    <x v="25"/>
    <d v="1899-12-30T10:36:14"/>
    <s v="Analyzer"/>
    <x v="0"/>
    <x v="0"/>
    <x v="0"/>
    <x v="0"/>
  </r>
  <r>
    <s v="Duplicated Test Order for 30601057B received from host (LIS # 921)."/>
    <x v="74"/>
    <x v="1"/>
    <x v="25"/>
    <d v="1899-12-30T10:36:44"/>
    <s v="LIS"/>
    <x v="0"/>
    <x v="2"/>
    <x v="6"/>
    <x v="0"/>
  </r>
  <r>
    <s v="Analyzer Status changed from Busy to Ready."/>
    <x v="0"/>
    <x v="0"/>
    <x v="25"/>
    <d v="1899-12-30T10:41:53"/>
    <s v="Analyzer"/>
    <x v="0"/>
    <x v="0"/>
    <x v="0"/>
    <x v="0"/>
  </r>
  <r>
    <s v="Analyzer Status changed from Ready to Maintenance."/>
    <x v="0"/>
    <x v="0"/>
    <x v="25"/>
    <d v="1899-12-30T10:41:53"/>
    <s v="Analyzer"/>
    <x v="0"/>
    <x v="0"/>
    <x v="0"/>
    <x v="0"/>
  </r>
  <r>
    <s v="Automatic maintenance activity Automatic Routine Clean for all Probes has been executed."/>
    <x v="2"/>
    <x v="0"/>
    <x v="25"/>
    <d v="1899-12-30T10:42:25"/>
    <s v="Maintenance"/>
    <x v="0"/>
    <x v="2"/>
    <x v="2"/>
    <x v="0"/>
  </r>
  <r>
    <s v="Analyzer Status changed from Maintenance to Ready."/>
    <x v="0"/>
    <x v="0"/>
    <x v="25"/>
    <d v="1899-12-30T10:42:26"/>
    <s v="Analyzer"/>
    <x v="0"/>
    <x v="0"/>
    <x v="0"/>
    <x v="0"/>
  </r>
  <r>
    <s v="Auto-Validation Rules have been modified."/>
    <x v="8"/>
    <x v="0"/>
    <x v="25"/>
    <d v="1899-12-30T10:47:29"/>
    <s v="Setup"/>
    <x v="0"/>
    <x v="2"/>
    <x v="5"/>
    <x v="0"/>
  </r>
  <r>
    <s v="Analyzer Status changed from Ready to Busy."/>
    <x v="0"/>
    <x v="0"/>
    <x v="25"/>
    <d v="1899-12-30T11:16:05"/>
    <s v="Analyzer"/>
    <x v="0"/>
    <x v="0"/>
    <x v="0"/>
    <x v="0"/>
  </r>
  <r>
    <s v="Analyzer Status changed from Busy to Ready."/>
    <x v="0"/>
    <x v="0"/>
    <x v="25"/>
    <d v="1899-12-30T11:18:57"/>
    <s v="Analyzer"/>
    <x v="0"/>
    <x v="0"/>
    <x v="0"/>
    <x v="0"/>
  </r>
  <r>
    <s v="Analyzer Status changed from Ready to Maintenance."/>
    <x v="0"/>
    <x v="0"/>
    <x v="25"/>
    <d v="1899-12-30T11:18:57"/>
    <s v="Analyzer"/>
    <x v="0"/>
    <x v="0"/>
    <x v="0"/>
    <x v="0"/>
  </r>
  <r>
    <s v="Analyzer Status changed from Maintenance to Ready."/>
    <x v="0"/>
    <x v="0"/>
    <x v="25"/>
    <d v="1899-12-30T11:19:22"/>
    <s v="Analyzer"/>
    <x v="0"/>
    <x v="0"/>
    <x v="0"/>
    <x v="0"/>
  </r>
  <r>
    <s v="Automatic maintenance activity Automatic Routine Clean for all Probes has been executed."/>
    <x v="2"/>
    <x v="0"/>
    <x v="25"/>
    <d v="1899-12-30T11:19:22"/>
    <s v="Maintenance"/>
    <x v="0"/>
    <x v="2"/>
    <x v="2"/>
    <x v="0"/>
  </r>
  <r>
    <s v="Analyzer Status changed from Ready to Busy."/>
    <x v="0"/>
    <x v="0"/>
    <x v="25"/>
    <d v="1899-12-30T11:19:30"/>
    <s v="Analyzer"/>
    <x v="0"/>
    <x v="0"/>
    <x v="0"/>
    <x v="0"/>
  </r>
  <r>
    <s v="Analyzer Status changed from Busy to Ready."/>
    <x v="0"/>
    <x v="0"/>
    <x v="25"/>
    <d v="1899-12-30T11:24:20"/>
    <s v="Analyzer"/>
    <x v="0"/>
    <x v="0"/>
    <x v="0"/>
    <x v="0"/>
  </r>
  <r>
    <s v="Analyzer Status changed from Ready to Maintenance."/>
    <x v="0"/>
    <x v="0"/>
    <x v="25"/>
    <d v="1899-12-30T11:24:20"/>
    <s v="Analyzer"/>
    <x v="0"/>
    <x v="0"/>
    <x v="0"/>
    <x v="0"/>
  </r>
  <r>
    <s v="Analyzer Status changed from Maintenance to Ready."/>
    <x v="0"/>
    <x v="0"/>
    <x v="25"/>
    <d v="1899-12-30T11:24:48"/>
    <s v="Analyzer"/>
    <x v="0"/>
    <x v="0"/>
    <x v="0"/>
    <x v="0"/>
  </r>
  <r>
    <s v="Automatic maintenance activity Automatic Routine Clean for all Probes has been executed."/>
    <x v="2"/>
    <x v="0"/>
    <x v="25"/>
    <d v="1899-12-30T11:24:48"/>
    <s v="Maintenance"/>
    <x v="0"/>
    <x v="2"/>
    <x v="2"/>
    <x v="0"/>
  </r>
  <r>
    <s v="Analyzer Status changed from Ready to Busy."/>
    <x v="0"/>
    <x v="0"/>
    <x v="25"/>
    <d v="1899-12-30T11:50:36"/>
    <s v="Analyzer"/>
    <x v="0"/>
    <x v="0"/>
    <x v="0"/>
    <x v="0"/>
  </r>
  <r>
    <s v="Analyzer Status changed from Busy to Ready."/>
    <x v="0"/>
    <x v="0"/>
    <x v="25"/>
    <d v="1899-12-30T11:57:56"/>
    <s v="Analyzer"/>
    <x v="0"/>
    <x v="0"/>
    <x v="0"/>
    <x v="0"/>
  </r>
  <r>
    <s v="Analyzer Status changed from Ready to Maintenance."/>
    <x v="0"/>
    <x v="0"/>
    <x v="25"/>
    <d v="1899-12-30T11:57:56"/>
    <s v="Analyzer"/>
    <x v="0"/>
    <x v="0"/>
    <x v="0"/>
    <x v="0"/>
  </r>
  <r>
    <s v="Analyzer Status changed from Maintenance to Ready."/>
    <x v="0"/>
    <x v="0"/>
    <x v="25"/>
    <d v="1899-12-30T11:58:22"/>
    <s v="Analyzer"/>
    <x v="0"/>
    <x v="0"/>
    <x v="0"/>
    <x v="0"/>
  </r>
  <r>
    <s v="Automatic maintenance activity Automatic Routine Clean for all Probes has been executed."/>
    <x v="2"/>
    <x v="0"/>
    <x v="25"/>
    <d v="1899-12-30T11:58:22"/>
    <s v="Maintenance"/>
    <x v="0"/>
    <x v="2"/>
    <x v="2"/>
    <x v="0"/>
  </r>
  <r>
    <s v="Analyzer Status changed from Ready to Busy."/>
    <x v="0"/>
    <x v="0"/>
    <x v="25"/>
    <d v="1899-12-30T12:05:32"/>
    <s v="Analyzer"/>
    <x v="0"/>
    <x v="0"/>
    <x v="0"/>
    <x v="0"/>
  </r>
  <r>
    <s v="Analyzer Status changed from Busy to Ready."/>
    <x v="0"/>
    <x v="0"/>
    <x v="25"/>
    <d v="1899-12-30T12:08:38"/>
    <s v="Analyzer"/>
    <x v="0"/>
    <x v="0"/>
    <x v="0"/>
    <x v="0"/>
  </r>
  <r>
    <s v="Analyzer Status changed from Ready to Maintenance."/>
    <x v="0"/>
    <x v="0"/>
    <x v="25"/>
    <d v="1899-12-30T12:08:38"/>
    <s v="Analyzer"/>
    <x v="0"/>
    <x v="0"/>
    <x v="0"/>
    <x v="0"/>
  </r>
  <r>
    <s v="Analyzer Status changed from Maintenance to Ready."/>
    <x v="0"/>
    <x v="0"/>
    <x v="25"/>
    <d v="1899-12-30T12:09:04"/>
    <s v="Analyzer"/>
    <x v="0"/>
    <x v="0"/>
    <x v="0"/>
    <x v="0"/>
  </r>
  <r>
    <s v="Automatic maintenance activity Automatic Routine Clean for all Probes has been executed."/>
    <x v="2"/>
    <x v="0"/>
    <x v="25"/>
    <d v="1899-12-30T12:09:04"/>
    <s v="Maintenance"/>
    <x v="0"/>
    <x v="2"/>
    <x v="2"/>
    <x v="0"/>
  </r>
  <r>
    <s v="Communications between the instrument and the LIS have been lost."/>
    <x v="13"/>
    <x v="2"/>
    <x v="25"/>
    <d v="1899-12-30T12:15:56"/>
    <s v="LIS"/>
    <x v="0"/>
    <x v="2"/>
    <x v="6"/>
    <x v="0"/>
  </r>
  <r>
    <s v="Duplicated Test Order for 30601478A received from host (LIS # 921)."/>
    <x v="74"/>
    <x v="1"/>
    <x v="25"/>
    <d v="1899-12-30T12:16:44"/>
    <s v="LIS"/>
    <x v="0"/>
    <x v="2"/>
    <x v="6"/>
    <x v="0"/>
  </r>
  <r>
    <s v="Duplicated Test Order for 30601478A received from host (LIS # 921)."/>
    <x v="74"/>
    <x v="1"/>
    <x v="25"/>
    <d v="1899-12-30T12:17:44"/>
    <s v="LIS"/>
    <x v="0"/>
    <x v="2"/>
    <x v="6"/>
    <x v="0"/>
  </r>
  <r>
    <s v="Analyzer Status changed from Ready to Busy."/>
    <x v="0"/>
    <x v="0"/>
    <x v="25"/>
    <d v="1899-12-30T12:17:59"/>
    <s v="Analyzer"/>
    <x v="0"/>
    <x v="0"/>
    <x v="0"/>
    <x v="0"/>
  </r>
  <r>
    <s v="Duplicated Test Order for 30601478A received from host (LIS # 921)."/>
    <x v="74"/>
    <x v="1"/>
    <x v="25"/>
    <d v="1899-12-30T12:18:44"/>
    <s v="LIS"/>
    <x v="0"/>
    <x v="2"/>
    <x v="6"/>
    <x v="0"/>
  </r>
  <r>
    <s v="Duplicated Test Order for 30601478A received from host (LIS # 921)."/>
    <x v="74"/>
    <x v="1"/>
    <x v="25"/>
    <d v="1899-12-30T12:19:44"/>
    <s v="LIS"/>
    <x v="0"/>
    <x v="2"/>
    <x v="6"/>
    <x v="0"/>
  </r>
  <r>
    <s v="Duplicated Test Order for 30601478A received from host (LIS # 921)."/>
    <x v="74"/>
    <x v="1"/>
    <x v="25"/>
    <d v="1899-12-30T12:20:44"/>
    <s v="LIS"/>
    <x v="0"/>
    <x v="2"/>
    <x v="6"/>
    <x v="0"/>
  </r>
  <r>
    <s v="Duplicated Test Order for 30601493D received from host (LIS # 131)."/>
    <x v="74"/>
    <x v="1"/>
    <x v="25"/>
    <d v="1899-12-30T12:20:44"/>
    <s v="LIS"/>
    <x v="0"/>
    <x v="2"/>
    <x v="6"/>
    <x v="0"/>
  </r>
  <r>
    <s v="Duplicated Test Order for 30601493D received from host (LIS # 921)."/>
    <x v="74"/>
    <x v="1"/>
    <x v="25"/>
    <d v="1899-12-30T12:20:45"/>
    <s v="LIS"/>
    <x v="0"/>
    <x v="2"/>
    <x v="6"/>
    <x v="0"/>
  </r>
  <r>
    <s v="Duplicated Test Order for 30601493D received from host (LIS # 2101)."/>
    <x v="74"/>
    <x v="1"/>
    <x v="25"/>
    <d v="1899-12-30T12:20:45"/>
    <s v="LIS"/>
    <x v="0"/>
    <x v="2"/>
    <x v="6"/>
    <x v="0"/>
  </r>
  <r>
    <s v="Duplicated Test Order for 30601496A received from host (LIS # 131)."/>
    <x v="74"/>
    <x v="1"/>
    <x v="25"/>
    <d v="1899-12-30T12:20:45"/>
    <s v="LIS"/>
    <x v="0"/>
    <x v="2"/>
    <x v="6"/>
    <x v="0"/>
  </r>
  <r>
    <s v="Duplicated Test Order for 30601478A received from host (LIS # 921)."/>
    <x v="74"/>
    <x v="1"/>
    <x v="25"/>
    <d v="1899-12-30T12:21:44"/>
    <s v="LIS"/>
    <x v="0"/>
    <x v="2"/>
    <x v="6"/>
    <x v="0"/>
  </r>
  <r>
    <s v="Duplicated Test Order for 30601493D received from host (LIS # 131)."/>
    <x v="74"/>
    <x v="1"/>
    <x v="25"/>
    <d v="1899-12-30T12:21:44"/>
    <s v="LIS"/>
    <x v="0"/>
    <x v="2"/>
    <x v="6"/>
    <x v="0"/>
  </r>
  <r>
    <s v="Duplicated Test Order for 30601493D received from host (LIS # 921)."/>
    <x v="74"/>
    <x v="1"/>
    <x v="25"/>
    <d v="1899-12-30T12:21:45"/>
    <s v="LIS"/>
    <x v="0"/>
    <x v="2"/>
    <x v="6"/>
    <x v="0"/>
  </r>
  <r>
    <s v="Duplicated Test Order for 30601493D received from host (LIS # 2101)."/>
    <x v="74"/>
    <x v="1"/>
    <x v="25"/>
    <d v="1899-12-30T12:21:45"/>
    <s v="LIS"/>
    <x v="0"/>
    <x v="2"/>
    <x v="6"/>
    <x v="0"/>
  </r>
  <r>
    <s v="Duplicated Test Order for 30601496A received from host (LIS # 131)."/>
    <x v="74"/>
    <x v="1"/>
    <x v="25"/>
    <d v="1899-12-30T12:21:45"/>
    <s v="LIS"/>
    <x v="0"/>
    <x v="2"/>
    <x v="6"/>
    <x v="0"/>
  </r>
  <r>
    <s v="Communications between the instrument and the LIS have been lost."/>
    <x v="13"/>
    <x v="2"/>
    <x v="25"/>
    <d v="1899-12-30T12:22:56"/>
    <s v="LIS"/>
    <x v="0"/>
    <x v="2"/>
    <x v="6"/>
    <x v="0"/>
  </r>
  <r>
    <s v="Duplicated Test Order for 30601478A received from host (LIS # 921)."/>
    <x v="74"/>
    <x v="1"/>
    <x v="25"/>
    <d v="1899-12-30T12:23:28"/>
    <s v="LIS"/>
    <x v="0"/>
    <x v="2"/>
    <x v="6"/>
    <x v="0"/>
  </r>
  <r>
    <s v="Duplicated Test Order for 30601493D received from host (LIS # 131)."/>
    <x v="74"/>
    <x v="1"/>
    <x v="25"/>
    <d v="1899-12-30T12:23:28"/>
    <s v="LIS"/>
    <x v="0"/>
    <x v="2"/>
    <x v="6"/>
    <x v="0"/>
  </r>
  <r>
    <s v="Duplicated Test Order for 30601493D received from host (LIS # 921)."/>
    <x v="74"/>
    <x v="1"/>
    <x v="25"/>
    <d v="1899-12-30T12:23:29"/>
    <s v="LIS"/>
    <x v="0"/>
    <x v="2"/>
    <x v="6"/>
    <x v="0"/>
  </r>
  <r>
    <s v="Duplicated Test Order for 30601493D received from host (LIS # 2101)."/>
    <x v="74"/>
    <x v="1"/>
    <x v="25"/>
    <d v="1899-12-30T12:23:29"/>
    <s v="LIS"/>
    <x v="0"/>
    <x v="2"/>
    <x v="6"/>
    <x v="0"/>
  </r>
  <r>
    <s v="Duplicated Test Order for 30601496A received from host (LIS # 131)."/>
    <x v="74"/>
    <x v="1"/>
    <x v="25"/>
    <d v="1899-12-30T12:23:29"/>
    <s v="LIS"/>
    <x v="0"/>
    <x v="2"/>
    <x v="6"/>
    <x v="0"/>
  </r>
  <r>
    <s v="Duplicated Test Order for 30601478A received from host (LIS # 921)."/>
    <x v="74"/>
    <x v="1"/>
    <x v="25"/>
    <d v="1899-12-30T12:23:44"/>
    <s v="LIS"/>
    <x v="0"/>
    <x v="2"/>
    <x v="6"/>
    <x v="0"/>
  </r>
  <r>
    <s v="Duplicated Test Order for 30601493D received from host (LIS # 131)."/>
    <x v="74"/>
    <x v="1"/>
    <x v="25"/>
    <d v="1899-12-30T12:23:44"/>
    <s v="LIS"/>
    <x v="0"/>
    <x v="2"/>
    <x v="6"/>
    <x v="0"/>
  </r>
  <r>
    <s v="Duplicated Test Order for 30601493D received from host (LIS # 921)."/>
    <x v="74"/>
    <x v="1"/>
    <x v="25"/>
    <d v="1899-12-30T12:23:45"/>
    <s v="LIS"/>
    <x v="0"/>
    <x v="2"/>
    <x v="6"/>
    <x v="0"/>
  </r>
  <r>
    <s v="Duplicated Test Order for 30601493D received from host (LIS # 2101)."/>
    <x v="74"/>
    <x v="1"/>
    <x v="25"/>
    <d v="1899-12-30T12:23:45"/>
    <s v="LIS"/>
    <x v="0"/>
    <x v="2"/>
    <x v="6"/>
    <x v="0"/>
  </r>
  <r>
    <s v="Duplicated Test Order for 30601496A received from host (LIS # 131)."/>
    <x v="74"/>
    <x v="1"/>
    <x v="25"/>
    <d v="1899-12-30T12:23:45"/>
    <s v="LIS"/>
    <x v="0"/>
    <x v="2"/>
    <x v="6"/>
    <x v="0"/>
  </r>
  <r>
    <s v="Analyzer Status changed from Busy to Ready."/>
    <x v="0"/>
    <x v="0"/>
    <x v="25"/>
    <d v="1899-12-30T12:24:31"/>
    <s v="Analyzer"/>
    <x v="0"/>
    <x v="0"/>
    <x v="0"/>
    <x v="0"/>
  </r>
  <r>
    <s v="Analyzer Status changed from Ready to Maintenance."/>
    <x v="0"/>
    <x v="0"/>
    <x v="25"/>
    <d v="1899-12-30T12:24:31"/>
    <s v="Analyzer"/>
    <x v="0"/>
    <x v="0"/>
    <x v="0"/>
    <x v="0"/>
  </r>
  <r>
    <s v="Duplicated Test Order for 30601478A received from host (LIS # 921)."/>
    <x v="74"/>
    <x v="1"/>
    <x v="25"/>
    <d v="1899-12-30T12:24:44"/>
    <s v="LIS"/>
    <x v="0"/>
    <x v="2"/>
    <x v="6"/>
    <x v="0"/>
  </r>
  <r>
    <s v="Duplicated Test Order for 30601493D received from host (LIS # 131)."/>
    <x v="74"/>
    <x v="1"/>
    <x v="25"/>
    <d v="1899-12-30T12:24:44"/>
    <s v="LIS"/>
    <x v="0"/>
    <x v="2"/>
    <x v="6"/>
    <x v="0"/>
  </r>
  <r>
    <s v="Duplicated Test Order for 30601493D received from host (LIS # 921)."/>
    <x v="74"/>
    <x v="1"/>
    <x v="25"/>
    <d v="1899-12-30T12:24:45"/>
    <s v="LIS"/>
    <x v="0"/>
    <x v="2"/>
    <x v="6"/>
    <x v="0"/>
  </r>
  <r>
    <s v="Duplicated Test Order for 30601493D received from host (LIS # 2101)."/>
    <x v="74"/>
    <x v="1"/>
    <x v="25"/>
    <d v="1899-12-30T12:24:45"/>
    <s v="LIS"/>
    <x v="0"/>
    <x v="2"/>
    <x v="6"/>
    <x v="0"/>
  </r>
  <r>
    <s v="Duplicated Test Order for 30601496A received from host (LIS # 131)."/>
    <x v="74"/>
    <x v="1"/>
    <x v="25"/>
    <d v="1899-12-30T12:24:45"/>
    <s v="LIS"/>
    <x v="0"/>
    <x v="2"/>
    <x v="6"/>
    <x v="0"/>
  </r>
  <r>
    <s v="Analyzer Status changed from Maintenance to Ready."/>
    <x v="0"/>
    <x v="0"/>
    <x v="25"/>
    <d v="1899-12-30T12:24:56"/>
    <s v="Analyzer"/>
    <x v="0"/>
    <x v="0"/>
    <x v="0"/>
    <x v="0"/>
  </r>
  <r>
    <s v="Automatic maintenance activity Automatic Routine Clean for all Probes has been executed."/>
    <x v="2"/>
    <x v="0"/>
    <x v="25"/>
    <d v="1899-12-30T12:24:56"/>
    <s v="Maintenance"/>
    <x v="0"/>
    <x v="2"/>
    <x v="2"/>
    <x v="0"/>
  </r>
  <r>
    <s v="Duplicated Test Order for 30601478A received from host (LIS # 921)."/>
    <x v="74"/>
    <x v="1"/>
    <x v="25"/>
    <d v="1899-12-30T12:25:44"/>
    <s v="LIS"/>
    <x v="0"/>
    <x v="2"/>
    <x v="6"/>
    <x v="0"/>
  </r>
  <r>
    <s v="Duplicated Test Order for 30601493D received from host (LIS # 131)."/>
    <x v="74"/>
    <x v="1"/>
    <x v="25"/>
    <d v="1899-12-30T12:25:45"/>
    <s v="LIS"/>
    <x v="0"/>
    <x v="2"/>
    <x v="6"/>
    <x v="0"/>
  </r>
  <r>
    <s v="Duplicated Test Order for 30601493D received from host (LIS # 921)."/>
    <x v="74"/>
    <x v="1"/>
    <x v="25"/>
    <d v="1899-12-30T12:25:45"/>
    <s v="LIS"/>
    <x v="0"/>
    <x v="2"/>
    <x v="6"/>
    <x v="0"/>
  </r>
  <r>
    <s v="Duplicated Test Order for 30601493D received from host (LIS # 2101)."/>
    <x v="74"/>
    <x v="1"/>
    <x v="25"/>
    <d v="1899-12-30T12:25:45"/>
    <s v="LIS"/>
    <x v="0"/>
    <x v="2"/>
    <x v="6"/>
    <x v="0"/>
  </r>
  <r>
    <s v="Duplicated Test Order for 30601496A received from host (LIS # 131)."/>
    <x v="74"/>
    <x v="1"/>
    <x v="25"/>
    <d v="1899-12-30T12:25:45"/>
    <s v="LIS"/>
    <x v="0"/>
    <x v="2"/>
    <x v="6"/>
    <x v="0"/>
  </r>
  <r>
    <s v="Analyzer Status changed from Ready to Busy."/>
    <x v="0"/>
    <x v="0"/>
    <x v="25"/>
    <d v="1899-12-30T12:25:49"/>
    <s v="Analyzer"/>
    <x v="0"/>
    <x v="0"/>
    <x v="0"/>
    <x v="0"/>
  </r>
  <r>
    <s v="System Definitions: LIS parameters modified."/>
    <x v="10"/>
    <x v="0"/>
    <x v="25"/>
    <d v="1899-12-30T12:26:02"/>
    <s v="Setup"/>
    <x v="0"/>
    <x v="2"/>
    <x v="6"/>
    <x v="0"/>
  </r>
  <r>
    <s v="Analyzer Status changed from Busy to Ready."/>
    <x v="0"/>
    <x v="0"/>
    <x v="25"/>
    <d v="1899-12-30T12:29:12"/>
    <s v="Analyzer"/>
    <x v="0"/>
    <x v="0"/>
    <x v="0"/>
    <x v="0"/>
  </r>
  <r>
    <s v="Analyzer Status changed from Ready to Maintenance."/>
    <x v="0"/>
    <x v="0"/>
    <x v="25"/>
    <d v="1899-12-30T12:29:12"/>
    <s v="Analyzer"/>
    <x v="0"/>
    <x v="0"/>
    <x v="0"/>
    <x v="0"/>
  </r>
  <r>
    <s v="Analyzer Status changed from Maintenance to Ready."/>
    <x v="0"/>
    <x v="0"/>
    <x v="25"/>
    <d v="1899-12-30T12:29:37"/>
    <s v="Analyzer"/>
    <x v="0"/>
    <x v="0"/>
    <x v="0"/>
    <x v="0"/>
  </r>
  <r>
    <s v="Automatic maintenance activity Automatic Routine Clean for all Probes has been executed."/>
    <x v="2"/>
    <x v="0"/>
    <x v="25"/>
    <d v="1899-12-30T12:29:37"/>
    <s v="Maintenance"/>
    <x v="0"/>
    <x v="2"/>
    <x v="2"/>
    <x v="0"/>
  </r>
  <r>
    <s v="Analyzer Status changed from Ready to Busy."/>
    <x v="0"/>
    <x v="0"/>
    <x v="25"/>
    <d v="1899-12-30T12:29:49"/>
    <s v="Analyzer"/>
    <x v="0"/>
    <x v="0"/>
    <x v="0"/>
    <x v="0"/>
  </r>
  <r>
    <s v="Non-identified Sample in rack 07 position 4, track 9."/>
    <x v="12"/>
    <x v="2"/>
    <x v="25"/>
    <d v="1899-12-30T12:33:05"/>
    <s v="Materials"/>
    <x v="0"/>
    <x v="4"/>
    <x v="7"/>
    <x v="1"/>
  </r>
  <r>
    <s v="Analyzer Status changed from Busy to Ready."/>
    <x v="0"/>
    <x v="0"/>
    <x v="25"/>
    <d v="1899-12-30T12:36:36"/>
    <s v="Analyzer"/>
    <x v="0"/>
    <x v="0"/>
    <x v="0"/>
    <x v="0"/>
  </r>
  <r>
    <s v="Analyzer Status changed from Ready to Maintenance."/>
    <x v="0"/>
    <x v="0"/>
    <x v="25"/>
    <d v="1899-12-30T12:36:37"/>
    <s v="Analyzer"/>
    <x v="0"/>
    <x v="0"/>
    <x v="0"/>
    <x v="0"/>
  </r>
  <r>
    <s v="Analyzer Status changed from Maintenance to Ready."/>
    <x v="0"/>
    <x v="0"/>
    <x v="25"/>
    <d v="1899-12-30T12:37:03"/>
    <s v="Analyzer"/>
    <x v="0"/>
    <x v="0"/>
    <x v="0"/>
    <x v="0"/>
  </r>
  <r>
    <s v="Automatic maintenance activity Automatic Routine Clean for all Probes has been executed."/>
    <x v="2"/>
    <x v="0"/>
    <x v="25"/>
    <d v="1899-12-30T12:37:03"/>
    <s v="Maintenance"/>
    <x v="0"/>
    <x v="2"/>
    <x v="2"/>
    <x v="0"/>
  </r>
  <r>
    <s v="Non-identified Sample in rack 12 position 6, track 11."/>
    <x v="12"/>
    <x v="2"/>
    <x v="25"/>
    <d v="1899-12-30T12:39:54"/>
    <s v="Materials"/>
    <x v="0"/>
    <x v="4"/>
    <x v="7"/>
    <x v="1"/>
  </r>
  <r>
    <s v="Duplicated Test Order for 30601493D received from host (LIS # 131)."/>
    <x v="74"/>
    <x v="1"/>
    <x v="25"/>
    <d v="1899-12-30T12:39:57"/>
    <s v="LIS"/>
    <x v="0"/>
    <x v="2"/>
    <x v="6"/>
    <x v="0"/>
  </r>
  <r>
    <s v="Duplicated Test Order for 30601493D received from host (LIS # 921)."/>
    <x v="74"/>
    <x v="1"/>
    <x v="25"/>
    <d v="1899-12-30T12:39:57"/>
    <s v="LIS"/>
    <x v="0"/>
    <x v="2"/>
    <x v="6"/>
    <x v="0"/>
  </r>
  <r>
    <s v="Duplicated Test Order for 30601493D received from host (LIS # 2101)."/>
    <x v="74"/>
    <x v="1"/>
    <x v="25"/>
    <d v="1899-12-30T12:39:57"/>
    <s v="LIS"/>
    <x v="0"/>
    <x v="2"/>
    <x v="6"/>
    <x v="0"/>
  </r>
  <r>
    <s v="Analyzer Status changed from Ready to Busy."/>
    <x v="0"/>
    <x v="0"/>
    <x v="25"/>
    <d v="1899-12-30T12:40:02"/>
    <s v="Analyzer"/>
    <x v="0"/>
    <x v="0"/>
    <x v="0"/>
    <x v="0"/>
  </r>
  <r>
    <s v="Analyzer Status changed from Busy to Ready."/>
    <x v="0"/>
    <x v="0"/>
    <x v="25"/>
    <d v="1899-12-30T12:46:58"/>
    <s v="Analyzer"/>
    <x v="0"/>
    <x v="0"/>
    <x v="0"/>
    <x v="0"/>
  </r>
  <r>
    <s v="Analyzer Status changed from Ready to Maintenance."/>
    <x v="0"/>
    <x v="0"/>
    <x v="25"/>
    <d v="1899-12-30T12:46:58"/>
    <s v="Analyzer"/>
    <x v="0"/>
    <x v="0"/>
    <x v="0"/>
    <x v="0"/>
  </r>
  <r>
    <s v="Analyzer Status changed from Maintenance to Ready."/>
    <x v="0"/>
    <x v="0"/>
    <x v="25"/>
    <d v="1899-12-30T12:47:23"/>
    <s v="Analyzer"/>
    <x v="0"/>
    <x v="0"/>
    <x v="0"/>
    <x v="0"/>
  </r>
  <r>
    <s v="Automatic maintenance activity Automatic Routine Clean for all Probes has been executed."/>
    <x v="2"/>
    <x v="0"/>
    <x v="25"/>
    <d v="1899-12-30T12:47:23"/>
    <s v="Maintenance"/>
    <x v="0"/>
    <x v="2"/>
    <x v="2"/>
    <x v="0"/>
  </r>
  <r>
    <s v="Analyzer Status changed from Ready to Busy."/>
    <x v="0"/>
    <x v="0"/>
    <x v="25"/>
    <d v="1899-12-30T12:51:44"/>
    <s v="Analyzer"/>
    <x v="0"/>
    <x v="0"/>
    <x v="0"/>
    <x v="0"/>
  </r>
  <r>
    <s v="Analyzer Status changed from Busy to Ready."/>
    <x v="0"/>
    <x v="0"/>
    <x v="25"/>
    <d v="1899-12-30T12:54:35"/>
    <s v="Analyzer"/>
    <x v="0"/>
    <x v="0"/>
    <x v="0"/>
    <x v="0"/>
  </r>
  <r>
    <s v="Analyzer Status changed from Ready to Maintenance."/>
    <x v="0"/>
    <x v="0"/>
    <x v="25"/>
    <d v="1899-12-30T12:54:35"/>
    <s v="Analyzer"/>
    <x v="0"/>
    <x v="0"/>
    <x v="0"/>
    <x v="0"/>
  </r>
  <r>
    <s v="Analyzer Status changed from Maintenance to Ready."/>
    <x v="0"/>
    <x v="0"/>
    <x v="25"/>
    <d v="1899-12-30T12:55:01"/>
    <s v="Analyzer"/>
    <x v="0"/>
    <x v="0"/>
    <x v="0"/>
    <x v="0"/>
  </r>
  <r>
    <s v="Automatic maintenance activity Automatic Routine Clean for all Probes has been executed."/>
    <x v="2"/>
    <x v="0"/>
    <x v="25"/>
    <d v="1899-12-30T12:55:01"/>
    <s v="Maintenance"/>
    <x v="0"/>
    <x v="2"/>
    <x v="2"/>
    <x v="0"/>
  </r>
  <r>
    <s v="Analyzer Status changed from Ready to Busy."/>
    <x v="0"/>
    <x v="0"/>
    <x v="25"/>
    <d v="1899-12-30T12:55:48"/>
    <s v="Analyzer"/>
    <x v="0"/>
    <x v="0"/>
    <x v="0"/>
    <x v="0"/>
  </r>
  <r>
    <s v="Barcode reader movement failure."/>
    <x v="75"/>
    <x v="2"/>
    <x v="25"/>
    <d v="1899-12-30T12:57:39"/>
    <s v="Analyzer"/>
    <x v="0"/>
    <x v="6"/>
    <x v="13"/>
    <x v="2"/>
  </r>
  <r>
    <s v="Analyzer Status changed from Busy to Controlled stop."/>
    <x v="0"/>
    <x v="0"/>
    <x v="25"/>
    <d v="1899-12-30T12:57:39"/>
    <s v="Analyzer"/>
    <x v="0"/>
    <x v="0"/>
    <x v="0"/>
    <x v="0"/>
  </r>
  <r>
    <s v="Analyzer Status changed from Controlled stop to Busy."/>
    <x v="0"/>
    <x v="0"/>
    <x v="25"/>
    <d v="1899-12-30T12:58:16"/>
    <s v="Analyzer"/>
    <x v="0"/>
    <x v="0"/>
    <x v="0"/>
    <x v="0"/>
  </r>
  <r>
    <s v="Duplicated Test Order for 30601510A received from host (LIS # 131)."/>
    <x v="74"/>
    <x v="1"/>
    <x v="25"/>
    <d v="1899-12-30T13:01:13"/>
    <s v="LIS"/>
    <x v="0"/>
    <x v="2"/>
    <x v="6"/>
    <x v="0"/>
  </r>
  <r>
    <s v="Analyzer Status changed from Busy to Ready."/>
    <x v="0"/>
    <x v="0"/>
    <x v="25"/>
    <d v="1899-12-30T13:04:13"/>
    <s v="Analyzer"/>
    <x v="0"/>
    <x v="0"/>
    <x v="0"/>
    <x v="0"/>
  </r>
  <r>
    <s v="Analyzer Status changed from Ready to Maintenance."/>
    <x v="0"/>
    <x v="0"/>
    <x v="25"/>
    <d v="1899-12-30T13:04:13"/>
    <s v="Analyzer"/>
    <x v="0"/>
    <x v="0"/>
    <x v="0"/>
    <x v="0"/>
  </r>
  <r>
    <s v="Analyzer Status changed from Maintenance to Ready."/>
    <x v="0"/>
    <x v="0"/>
    <x v="25"/>
    <d v="1899-12-30T13:04:39"/>
    <s v="Analyzer"/>
    <x v="0"/>
    <x v="0"/>
    <x v="0"/>
    <x v="0"/>
  </r>
  <r>
    <s v="Automatic maintenance activity Automatic Routine Clean for all Probes has been executed."/>
    <x v="2"/>
    <x v="0"/>
    <x v="25"/>
    <d v="1899-12-30T13:04:39"/>
    <s v="Maintenance"/>
    <x v="0"/>
    <x v="2"/>
    <x v="2"/>
    <x v="0"/>
  </r>
  <r>
    <s v="Analyzer Status changed from Ready to Busy."/>
    <x v="0"/>
    <x v="0"/>
    <x v="25"/>
    <d v="1899-12-30T13:06:05"/>
    <s v="Analyzer"/>
    <x v="0"/>
    <x v="0"/>
    <x v="0"/>
    <x v="0"/>
  </r>
  <r>
    <s v="Analyzer Status changed from Busy to Ready."/>
    <x v="0"/>
    <x v="0"/>
    <x v="25"/>
    <d v="1899-12-30T13:09:17"/>
    <s v="Analyzer"/>
    <x v="0"/>
    <x v="0"/>
    <x v="0"/>
    <x v="0"/>
  </r>
  <r>
    <s v="Analyzer Status changed from Ready to Maintenance."/>
    <x v="0"/>
    <x v="0"/>
    <x v="25"/>
    <d v="1899-12-30T13:09:17"/>
    <s v="Analyzer"/>
    <x v="0"/>
    <x v="0"/>
    <x v="0"/>
    <x v="0"/>
  </r>
  <r>
    <s v="Analyzer Status changed from Maintenance to Ready."/>
    <x v="0"/>
    <x v="0"/>
    <x v="25"/>
    <d v="1899-12-30T13:09:44"/>
    <s v="Analyzer"/>
    <x v="0"/>
    <x v="0"/>
    <x v="0"/>
    <x v="0"/>
  </r>
  <r>
    <s v="Automatic maintenance activity Automatic Routine Clean for all Probes has been executed."/>
    <x v="2"/>
    <x v="0"/>
    <x v="25"/>
    <d v="1899-12-30T13:09:44"/>
    <s v="Maintenance"/>
    <x v="0"/>
    <x v="2"/>
    <x v="2"/>
    <x v="0"/>
  </r>
  <r>
    <s v="Non-identified Sample in rack 12 position 1, track 12."/>
    <x v="12"/>
    <x v="2"/>
    <x v="25"/>
    <d v="1899-12-30T13:17:25"/>
    <s v="Materials"/>
    <x v="0"/>
    <x v="4"/>
    <x v="7"/>
    <x v="1"/>
  </r>
  <r>
    <s v="Non-identified Sample in rack 12 position 2, track 12."/>
    <x v="12"/>
    <x v="2"/>
    <x v="25"/>
    <d v="1899-12-30T13:17:25"/>
    <s v="Materials"/>
    <x v="0"/>
    <x v="4"/>
    <x v="7"/>
    <x v="1"/>
  </r>
  <r>
    <s v="Non-identified Sample in rack 12 position 2, track 12."/>
    <x v="12"/>
    <x v="2"/>
    <x v="25"/>
    <d v="1899-12-30T13:17:34"/>
    <s v="Materials"/>
    <x v="0"/>
    <x v="4"/>
    <x v="7"/>
    <x v="1"/>
  </r>
  <r>
    <s v="Analyzer Status changed from Ready to Busy."/>
    <x v="0"/>
    <x v="0"/>
    <x v="25"/>
    <d v="1899-12-30T13:17:42"/>
    <s v="Analyzer"/>
    <x v="0"/>
    <x v="0"/>
    <x v="0"/>
    <x v="0"/>
  </r>
  <r>
    <s v="Analyzer Status changed from Busy to Ready."/>
    <x v="0"/>
    <x v="0"/>
    <x v="25"/>
    <d v="1899-12-30T13:23:49"/>
    <s v="Analyzer"/>
    <x v="0"/>
    <x v="0"/>
    <x v="0"/>
    <x v="0"/>
  </r>
  <r>
    <s v="Analyzer Status changed from Ready to Maintenance."/>
    <x v="0"/>
    <x v="0"/>
    <x v="25"/>
    <d v="1899-12-30T13:23:50"/>
    <s v="Analyzer"/>
    <x v="0"/>
    <x v="0"/>
    <x v="0"/>
    <x v="0"/>
  </r>
  <r>
    <s v="Analyzer Status changed from Maintenance to Ready."/>
    <x v="0"/>
    <x v="0"/>
    <x v="25"/>
    <d v="1899-12-30T13:24:19"/>
    <s v="Analyzer"/>
    <x v="0"/>
    <x v="0"/>
    <x v="0"/>
    <x v="0"/>
  </r>
  <r>
    <s v="Automatic maintenance activity Automatic Routine Clean for all Probes has been executed."/>
    <x v="2"/>
    <x v="0"/>
    <x v="25"/>
    <d v="1899-12-30T13:24:19"/>
    <s v="Maintenance"/>
    <x v="0"/>
    <x v="2"/>
    <x v="2"/>
    <x v="0"/>
  </r>
  <r>
    <s v="Analyzer Status changed from Ready to Busy."/>
    <x v="0"/>
    <x v="0"/>
    <x v="25"/>
    <d v="1899-12-30T13:48:30"/>
    <s v="Analyzer"/>
    <x v="0"/>
    <x v="0"/>
    <x v="0"/>
    <x v="0"/>
  </r>
  <r>
    <s v="Analyzer Status changed from Busy to Ready."/>
    <x v="0"/>
    <x v="0"/>
    <x v="25"/>
    <d v="1899-12-30T13:51:32"/>
    <s v="Analyzer"/>
    <x v="0"/>
    <x v="0"/>
    <x v="0"/>
    <x v="0"/>
  </r>
  <r>
    <s v="Analyzer Status changed from Ready to Maintenance."/>
    <x v="0"/>
    <x v="0"/>
    <x v="25"/>
    <d v="1899-12-30T13:51:33"/>
    <s v="Analyzer"/>
    <x v="0"/>
    <x v="0"/>
    <x v="0"/>
    <x v="0"/>
  </r>
  <r>
    <s v="Analyzer Status changed from Maintenance to Ready."/>
    <x v="0"/>
    <x v="0"/>
    <x v="25"/>
    <d v="1899-12-30T13:51:58"/>
    <s v="Analyzer"/>
    <x v="0"/>
    <x v="0"/>
    <x v="0"/>
    <x v="0"/>
  </r>
  <r>
    <s v="Automatic maintenance activity Automatic Routine Clean for all Probes has been executed."/>
    <x v="2"/>
    <x v="0"/>
    <x v="25"/>
    <d v="1899-12-30T13:51:58"/>
    <s v="Maintenance"/>
    <x v="0"/>
    <x v="2"/>
    <x v="2"/>
    <x v="0"/>
  </r>
  <r>
    <s v="Analyzer Status changed from Ready to Busy."/>
    <x v="0"/>
    <x v="0"/>
    <x v="25"/>
    <d v="1899-12-30T14:01:40"/>
    <s v="Analyzer"/>
    <x v="0"/>
    <x v="0"/>
    <x v="0"/>
    <x v="0"/>
  </r>
  <r>
    <s v="Analyzer Status changed from Busy to Ready."/>
    <x v="0"/>
    <x v="0"/>
    <x v="25"/>
    <d v="1899-12-30T14:04:31"/>
    <s v="Analyzer"/>
    <x v="0"/>
    <x v="0"/>
    <x v="0"/>
    <x v="0"/>
  </r>
  <r>
    <s v="Analyzer Status changed from Ready to Maintenance."/>
    <x v="0"/>
    <x v="0"/>
    <x v="25"/>
    <d v="1899-12-30T14:04:31"/>
    <s v="Analyzer"/>
    <x v="0"/>
    <x v="0"/>
    <x v="0"/>
    <x v="0"/>
  </r>
  <r>
    <s v="Analyzer Status changed from Maintenance to Ready."/>
    <x v="0"/>
    <x v="0"/>
    <x v="25"/>
    <d v="1899-12-30T14:04:57"/>
    <s v="Analyzer"/>
    <x v="0"/>
    <x v="0"/>
    <x v="0"/>
    <x v="0"/>
  </r>
  <r>
    <s v="Automatic maintenance activity Automatic Routine Clean for all Probes has been executed."/>
    <x v="2"/>
    <x v="0"/>
    <x v="25"/>
    <d v="1899-12-30T14:04:57"/>
    <s v="Maintenance"/>
    <x v="0"/>
    <x v="2"/>
    <x v="2"/>
    <x v="0"/>
  </r>
  <r>
    <s v="Analyzer Status changed from Ready to Busy."/>
    <x v="0"/>
    <x v="0"/>
    <x v="25"/>
    <d v="1899-12-30T14:18:04"/>
    <s v="Analyzer"/>
    <x v="0"/>
    <x v="0"/>
    <x v="0"/>
    <x v="0"/>
  </r>
  <r>
    <s v="Analyzer Status changed from Busy to Ready."/>
    <x v="0"/>
    <x v="0"/>
    <x v="25"/>
    <d v="1899-12-30T14:24:02"/>
    <s v="Analyzer"/>
    <x v="0"/>
    <x v="0"/>
    <x v="0"/>
    <x v="0"/>
  </r>
  <r>
    <s v="Analyzer Status changed from Ready to Maintenance."/>
    <x v="0"/>
    <x v="0"/>
    <x v="25"/>
    <d v="1899-12-30T14:24:02"/>
    <s v="Analyzer"/>
    <x v="0"/>
    <x v="0"/>
    <x v="0"/>
    <x v="0"/>
  </r>
  <r>
    <s v="Automatic maintenance activity Automatic Routine Clean for all Probes has been executed."/>
    <x v="2"/>
    <x v="0"/>
    <x v="25"/>
    <d v="1899-12-30T14:24:26"/>
    <s v="Maintenance"/>
    <x v="0"/>
    <x v="2"/>
    <x v="2"/>
    <x v="0"/>
  </r>
  <r>
    <s v="Analyzer Status changed from Maintenance to Ready."/>
    <x v="0"/>
    <x v="0"/>
    <x v="25"/>
    <d v="1899-12-30T14:24:27"/>
    <s v="Analyzer"/>
    <x v="0"/>
    <x v="0"/>
    <x v="0"/>
    <x v="0"/>
  </r>
  <r>
    <s v="Analyzer Status changed from Ready to Busy."/>
    <x v="0"/>
    <x v="0"/>
    <x v="25"/>
    <d v="1899-12-30T14:36:38"/>
    <s v="Analyzer"/>
    <x v="0"/>
    <x v="0"/>
    <x v="0"/>
    <x v="0"/>
  </r>
  <r>
    <s v="Analyzer Status changed from Busy to Ready."/>
    <x v="0"/>
    <x v="0"/>
    <x v="25"/>
    <d v="1899-12-30T14:42:14"/>
    <s v="Analyzer"/>
    <x v="0"/>
    <x v="0"/>
    <x v="0"/>
    <x v="0"/>
  </r>
  <r>
    <s v="Analyzer Status changed from Ready to Maintenance."/>
    <x v="0"/>
    <x v="0"/>
    <x v="25"/>
    <d v="1899-12-30T14:42:14"/>
    <s v="Analyzer"/>
    <x v="0"/>
    <x v="0"/>
    <x v="0"/>
    <x v="0"/>
  </r>
  <r>
    <s v="Analyzer Status changed from Maintenance to Ready."/>
    <x v="0"/>
    <x v="0"/>
    <x v="25"/>
    <d v="1899-12-30T14:42:39"/>
    <s v="Analyzer"/>
    <x v="0"/>
    <x v="0"/>
    <x v="0"/>
    <x v="0"/>
  </r>
  <r>
    <s v="Automatic maintenance activity Automatic Routine Clean for all Probes has been executed."/>
    <x v="2"/>
    <x v="0"/>
    <x v="25"/>
    <d v="1899-12-30T14:42:39"/>
    <s v="Maintenance"/>
    <x v="0"/>
    <x v="2"/>
    <x v="2"/>
    <x v="0"/>
  </r>
  <r>
    <s v="Non-identified Sample in rack 01 position 6, track 7."/>
    <x v="12"/>
    <x v="2"/>
    <x v="25"/>
    <d v="1899-12-30T14:45:26"/>
    <s v="Materials"/>
    <x v="0"/>
    <x v="4"/>
    <x v="7"/>
    <x v="1"/>
  </r>
  <r>
    <s v="Analyzer Status changed from Ready to Busy."/>
    <x v="0"/>
    <x v="0"/>
    <x v="25"/>
    <d v="1899-12-30T14:45:39"/>
    <s v="Analyzer"/>
    <x v="0"/>
    <x v="0"/>
    <x v="0"/>
    <x v="0"/>
  </r>
  <r>
    <s v="Analyzer Status changed from Busy to Ready."/>
    <x v="0"/>
    <x v="0"/>
    <x v="25"/>
    <d v="1899-12-30T14:48:33"/>
    <s v="Analyzer"/>
    <x v="0"/>
    <x v="0"/>
    <x v="0"/>
    <x v="0"/>
  </r>
  <r>
    <s v="Analyzer Status changed from Ready to Maintenance."/>
    <x v="0"/>
    <x v="0"/>
    <x v="25"/>
    <d v="1899-12-30T14:48:33"/>
    <s v="Analyzer"/>
    <x v="0"/>
    <x v="0"/>
    <x v="0"/>
    <x v="0"/>
  </r>
  <r>
    <s v="Analyzer Status changed from Maintenance to Ready."/>
    <x v="0"/>
    <x v="0"/>
    <x v="25"/>
    <d v="1899-12-30T14:48:59"/>
    <s v="Analyzer"/>
    <x v="0"/>
    <x v="0"/>
    <x v="0"/>
    <x v="0"/>
  </r>
  <r>
    <s v="Automatic maintenance activity Automatic Routine Clean for all Probes has been executed."/>
    <x v="2"/>
    <x v="0"/>
    <x v="25"/>
    <d v="1899-12-30T14:48:59"/>
    <s v="Maintenance"/>
    <x v="0"/>
    <x v="2"/>
    <x v="2"/>
    <x v="0"/>
  </r>
  <r>
    <s v="Analyzer Status changed from Ready to Busy."/>
    <x v="0"/>
    <x v="0"/>
    <x v="25"/>
    <d v="1899-12-30T14:56:23"/>
    <s v="Analyzer"/>
    <x v="0"/>
    <x v="0"/>
    <x v="0"/>
    <x v="0"/>
  </r>
  <r>
    <s v="Analyzer Status changed from Busy to Ready."/>
    <x v="0"/>
    <x v="0"/>
    <x v="25"/>
    <d v="1899-12-30T14:59:41"/>
    <s v="Analyzer"/>
    <x v="0"/>
    <x v="0"/>
    <x v="0"/>
    <x v="0"/>
  </r>
  <r>
    <s v="Analyzer Status changed from Ready to Maintenance."/>
    <x v="0"/>
    <x v="0"/>
    <x v="25"/>
    <d v="1899-12-30T14:59:41"/>
    <s v="Analyzer"/>
    <x v="0"/>
    <x v="0"/>
    <x v="0"/>
    <x v="0"/>
  </r>
  <r>
    <s v="Automatic maintenance activity Automatic Routine Clean for all Probes has been executed."/>
    <x v="2"/>
    <x v="0"/>
    <x v="25"/>
    <d v="1899-12-30T15:00:07"/>
    <s v="Maintenance"/>
    <x v="0"/>
    <x v="2"/>
    <x v="2"/>
    <x v="0"/>
  </r>
  <r>
    <s v="Analyzer Status changed from Maintenance to Ready."/>
    <x v="0"/>
    <x v="0"/>
    <x v="25"/>
    <d v="1899-12-30T15:00:08"/>
    <s v="Analyzer"/>
    <x v="0"/>
    <x v="0"/>
    <x v="0"/>
    <x v="0"/>
  </r>
  <r>
    <s v="Analyzer Status changed from Ready to Busy."/>
    <x v="0"/>
    <x v="0"/>
    <x v="25"/>
    <d v="1899-12-30T15:04:16"/>
    <s v="Analyzer"/>
    <x v="0"/>
    <x v="0"/>
    <x v="0"/>
    <x v="0"/>
  </r>
  <r>
    <s v="Cuvettes low in the load area."/>
    <x v="15"/>
    <x v="1"/>
    <x v="25"/>
    <d v="1899-12-30T15:04:54"/>
    <s v="Materials"/>
    <x v="0"/>
    <x v="5"/>
    <x v="8"/>
    <x v="0"/>
  </r>
  <r>
    <s v="Analyzer Status changed from Busy to Ready."/>
    <x v="0"/>
    <x v="0"/>
    <x v="25"/>
    <d v="1899-12-30T15:10:58"/>
    <s v="Analyzer"/>
    <x v="0"/>
    <x v="0"/>
    <x v="0"/>
    <x v="0"/>
  </r>
  <r>
    <s v="Analyzer Status changed from Ready to Maintenance."/>
    <x v="0"/>
    <x v="0"/>
    <x v="25"/>
    <d v="1899-12-30T15:10:59"/>
    <s v="Analyzer"/>
    <x v="0"/>
    <x v="0"/>
    <x v="0"/>
    <x v="0"/>
  </r>
  <r>
    <s v="Analyzer Status changed from Maintenance to Ready."/>
    <x v="0"/>
    <x v="0"/>
    <x v="25"/>
    <d v="1899-12-30T15:11:24"/>
    <s v="Analyzer"/>
    <x v="0"/>
    <x v="0"/>
    <x v="0"/>
    <x v="0"/>
  </r>
  <r>
    <s v="Automatic maintenance activity Automatic Routine Clean for all Probes has been executed."/>
    <x v="2"/>
    <x v="0"/>
    <x v="25"/>
    <d v="1899-12-30T15:11:24"/>
    <s v="Maintenance"/>
    <x v="0"/>
    <x v="2"/>
    <x v="2"/>
    <x v="0"/>
  </r>
  <r>
    <s v="Logout by user: LHO."/>
    <x v="16"/>
    <x v="0"/>
    <x v="25"/>
    <d v="1899-12-30T15:15:13"/>
    <s v="Other"/>
    <x v="0"/>
    <x v="2"/>
    <x v="5"/>
    <x v="0"/>
  </r>
  <r>
    <s v="Successful log in by user: MJO."/>
    <x v="18"/>
    <x v="0"/>
    <x v="25"/>
    <d v="1899-12-30T15:15:27"/>
    <s v="Other"/>
    <x v="6"/>
    <x v="2"/>
    <x v="5"/>
    <x v="0"/>
  </r>
  <r>
    <s v="Analyzer Status changed from Ready to Busy."/>
    <x v="0"/>
    <x v="0"/>
    <x v="25"/>
    <d v="1899-12-30T15:18:35"/>
    <s v="Analyzer"/>
    <x v="6"/>
    <x v="0"/>
    <x v="0"/>
    <x v="0"/>
  </r>
  <r>
    <s v="Analyzer Status changed from Busy to Ready."/>
    <x v="0"/>
    <x v="0"/>
    <x v="25"/>
    <d v="1899-12-30T15:24:54"/>
    <s v="Analyzer"/>
    <x v="6"/>
    <x v="0"/>
    <x v="0"/>
    <x v="0"/>
  </r>
  <r>
    <s v="Analyzer Status changed from Ready to Maintenance."/>
    <x v="0"/>
    <x v="0"/>
    <x v="25"/>
    <d v="1899-12-30T15:24:54"/>
    <s v="Analyzer"/>
    <x v="6"/>
    <x v="0"/>
    <x v="0"/>
    <x v="0"/>
  </r>
  <r>
    <s v="Analyzer Status changed from Maintenance to Ready."/>
    <x v="0"/>
    <x v="0"/>
    <x v="25"/>
    <d v="1899-12-30T15:25:19"/>
    <s v="Analyzer"/>
    <x v="6"/>
    <x v="0"/>
    <x v="0"/>
    <x v="0"/>
  </r>
  <r>
    <s v="Automatic maintenance activity Automatic Routine Clean for all Probes has been executed."/>
    <x v="2"/>
    <x v="0"/>
    <x v="25"/>
    <d v="1899-12-30T15:25:19"/>
    <s v="Maintenance"/>
    <x v="6"/>
    <x v="2"/>
    <x v="2"/>
    <x v="0"/>
  </r>
  <r>
    <s v="Analyzer Status changed from Ready to Busy."/>
    <x v="0"/>
    <x v="0"/>
    <x v="25"/>
    <d v="1899-12-30T16:00:48"/>
    <s v="Analyzer"/>
    <x v="6"/>
    <x v="0"/>
    <x v="0"/>
    <x v="0"/>
  </r>
  <r>
    <s v="Analyzer Status changed from Busy to Ready."/>
    <x v="0"/>
    <x v="0"/>
    <x v="25"/>
    <d v="1899-12-30T16:06:25"/>
    <s v="Analyzer"/>
    <x v="6"/>
    <x v="0"/>
    <x v="0"/>
    <x v="0"/>
  </r>
  <r>
    <s v="Analyzer Status changed from Ready to Maintenance."/>
    <x v="0"/>
    <x v="0"/>
    <x v="25"/>
    <d v="1899-12-30T16:06:26"/>
    <s v="Analyzer"/>
    <x v="6"/>
    <x v="0"/>
    <x v="0"/>
    <x v="0"/>
  </r>
  <r>
    <s v="Analyzer Status changed from Maintenance to Ready."/>
    <x v="0"/>
    <x v="0"/>
    <x v="25"/>
    <d v="1899-12-30T16:06:50"/>
    <s v="Analyzer"/>
    <x v="6"/>
    <x v="0"/>
    <x v="0"/>
    <x v="0"/>
  </r>
  <r>
    <s v="Automatic maintenance activity Automatic Routine Clean for all Probes has been executed."/>
    <x v="2"/>
    <x v="0"/>
    <x v="25"/>
    <d v="1899-12-30T16:06:50"/>
    <s v="Maintenance"/>
    <x v="6"/>
    <x v="2"/>
    <x v="2"/>
    <x v="0"/>
  </r>
  <r>
    <s v="Analyzer Status changed from Ready to Busy."/>
    <x v="0"/>
    <x v="0"/>
    <x v="25"/>
    <d v="1899-12-30T16:07:59"/>
    <s v="Analyzer"/>
    <x v="6"/>
    <x v="0"/>
    <x v="0"/>
    <x v="0"/>
  </r>
  <r>
    <s v="Analyzer Status changed from Busy to Ready."/>
    <x v="0"/>
    <x v="0"/>
    <x v="25"/>
    <d v="1899-12-30T16:18:37"/>
    <s v="Analyzer"/>
    <x v="6"/>
    <x v="0"/>
    <x v="0"/>
    <x v="0"/>
  </r>
  <r>
    <s v="Analyzer Status changed from Ready to Maintenance."/>
    <x v="0"/>
    <x v="0"/>
    <x v="25"/>
    <d v="1899-12-30T16:18:38"/>
    <s v="Analyzer"/>
    <x v="6"/>
    <x v="0"/>
    <x v="0"/>
    <x v="0"/>
  </r>
  <r>
    <s v="Analyzer Status changed from Maintenance to Ready."/>
    <x v="0"/>
    <x v="0"/>
    <x v="25"/>
    <d v="1899-12-30T16:19:02"/>
    <s v="Analyzer"/>
    <x v="6"/>
    <x v="0"/>
    <x v="0"/>
    <x v="0"/>
  </r>
  <r>
    <s v="Automatic maintenance activity Automatic Routine Clean for all Probes has been executed."/>
    <x v="2"/>
    <x v="0"/>
    <x v="25"/>
    <d v="1899-12-30T16:19:02"/>
    <s v="Maintenance"/>
    <x v="6"/>
    <x v="2"/>
    <x v="2"/>
    <x v="0"/>
  </r>
  <r>
    <s v="Analyzer Status changed from Ready to Busy."/>
    <x v="0"/>
    <x v="0"/>
    <x v="25"/>
    <d v="1899-12-30T16:25:51"/>
    <s v="Analyzer"/>
    <x v="6"/>
    <x v="0"/>
    <x v="0"/>
    <x v="0"/>
  </r>
  <r>
    <s v="Analyzer Status changed from Busy to Ready."/>
    <x v="0"/>
    <x v="0"/>
    <x v="25"/>
    <d v="1899-12-30T16:32:07"/>
    <s v="Analyzer"/>
    <x v="6"/>
    <x v="0"/>
    <x v="0"/>
    <x v="0"/>
  </r>
  <r>
    <s v="Analyzer Status changed from Ready to Maintenance."/>
    <x v="0"/>
    <x v="0"/>
    <x v="25"/>
    <d v="1899-12-30T16:32:07"/>
    <s v="Analyzer"/>
    <x v="6"/>
    <x v="0"/>
    <x v="0"/>
    <x v="0"/>
  </r>
  <r>
    <s v="Analyzer Status changed from Maintenance to Ready."/>
    <x v="0"/>
    <x v="0"/>
    <x v="25"/>
    <d v="1899-12-30T16:32:33"/>
    <s v="Analyzer"/>
    <x v="6"/>
    <x v="0"/>
    <x v="0"/>
    <x v="0"/>
  </r>
  <r>
    <s v="Automatic maintenance activity Automatic Routine Clean for all Probes has been executed."/>
    <x v="2"/>
    <x v="0"/>
    <x v="25"/>
    <d v="1899-12-30T16:32:33"/>
    <s v="Maintenance"/>
    <x v="6"/>
    <x v="2"/>
    <x v="2"/>
    <x v="0"/>
  </r>
  <r>
    <s v="Analyzer Status changed from Ready to Busy."/>
    <x v="0"/>
    <x v="0"/>
    <x v="25"/>
    <d v="1899-12-30T16:45:01"/>
    <s v="Analyzer"/>
    <x v="6"/>
    <x v="0"/>
    <x v="0"/>
    <x v="0"/>
  </r>
  <r>
    <s v="Analyzer Status changed from Busy to Ready."/>
    <x v="0"/>
    <x v="0"/>
    <x v="25"/>
    <d v="1899-12-30T16:48:26"/>
    <s v="Analyzer"/>
    <x v="6"/>
    <x v="0"/>
    <x v="0"/>
    <x v="0"/>
  </r>
  <r>
    <s v="Analyzer Status changed from Ready to Maintenance."/>
    <x v="0"/>
    <x v="0"/>
    <x v="25"/>
    <d v="1899-12-30T16:48:27"/>
    <s v="Analyzer"/>
    <x v="6"/>
    <x v="0"/>
    <x v="0"/>
    <x v="0"/>
  </r>
  <r>
    <s v="Analyzer Status changed from Maintenance to Ready."/>
    <x v="0"/>
    <x v="0"/>
    <x v="25"/>
    <d v="1899-12-30T16:48:53"/>
    <s v="Analyzer"/>
    <x v="6"/>
    <x v="0"/>
    <x v="0"/>
    <x v="0"/>
  </r>
  <r>
    <s v="Automatic maintenance activity Automatic Routine Clean for all Probes has been executed."/>
    <x v="2"/>
    <x v="0"/>
    <x v="25"/>
    <d v="1899-12-30T16:48:53"/>
    <s v="Maintenance"/>
    <x v="6"/>
    <x v="2"/>
    <x v="2"/>
    <x v="0"/>
  </r>
  <r>
    <s v="Analyzer Status changed from Ready to Busy."/>
    <x v="0"/>
    <x v="0"/>
    <x v="25"/>
    <d v="1899-12-30T16:49:16"/>
    <s v="Analyzer"/>
    <x v="6"/>
    <x v="0"/>
    <x v="0"/>
    <x v="0"/>
  </r>
  <r>
    <s v="Analyzer Status changed from Busy to Ready."/>
    <x v="0"/>
    <x v="0"/>
    <x v="25"/>
    <d v="1899-12-30T16:56:58"/>
    <s v="Analyzer"/>
    <x v="6"/>
    <x v="0"/>
    <x v="0"/>
    <x v="0"/>
  </r>
  <r>
    <s v="Analyzer Status changed from Ready to Maintenance."/>
    <x v="0"/>
    <x v="0"/>
    <x v="25"/>
    <d v="1899-12-30T16:56:58"/>
    <s v="Analyzer"/>
    <x v="6"/>
    <x v="0"/>
    <x v="0"/>
    <x v="0"/>
  </r>
  <r>
    <s v="Analyzer Status changed from Maintenance to Ready."/>
    <x v="0"/>
    <x v="0"/>
    <x v="25"/>
    <d v="1899-12-30T16:57:24"/>
    <s v="Analyzer"/>
    <x v="6"/>
    <x v="0"/>
    <x v="0"/>
    <x v="0"/>
  </r>
  <r>
    <s v="Automatic maintenance activity Automatic Routine Clean for all Probes has been executed."/>
    <x v="2"/>
    <x v="0"/>
    <x v="25"/>
    <d v="1899-12-30T16:57:24"/>
    <s v="Maintenance"/>
    <x v="6"/>
    <x v="2"/>
    <x v="2"/>
    <x v="0"/>
  </r>
  <r>
    <s v="Analyzer Status changed from Ready to Busy."/>
    <x v="0"/>
    <x v="0"/>
    <x v="25"/>
    <d v="1899-12-30T17:03:07"/>
    <s v="Analyzer"/>
    <x v="6"/>
    <x v="0"/>
    <x v="0"/>
    <x v="0"/>
  </r>
  <r>
    <s v="Analyzer Status changed from Busy to Ready."/>
    <x v="0"/>
    <x v="0"/>
    <x v="25"/>
    <d v="1899-12-30T17:06:09"/>
    <s v="Analyzer"/>
    <x v="6"/>
    <x v="0"/>
    <x v="0"/>
    <x v="0"/>
  </r>
  <r>
    <s v="Analyzer Status changed from Ready to Maintenance."/>
    <x v="0"/>
    <x v="0"/>
    <x v="25"/>
    <d v="1899-12-30T17:06:09"/>
    <s v="Analyzer"/>
    <x v="6"/>
    <x v="0"/>
    <x v="0"/>
    <x v="0"/>
  </r>
  <r>
    <s v="Analyzer Status changed from Maintenance to Ready."/>
    <x v="0"/>
    <x v="0"/>
    <x v="25"/>
    <d v="1899-12-30T17:06:35"/>
    <s v="Analyzer"/>
    <x v="6"/>
    <x v="0"/>
    <x v="0"/>
    <x v="0"/>
  </r>
  <r>
    <s v="Automatic maintenance activity Automatic Routine Clean for all Probes has been executed."/>
    <x v="2"/>
    <x v="0"/>
    <x v="25"/>
    <d v="1899-12-30T17:06:35"/>
    <s v="Maintenance"/>
    <x v="6"/>
    <x v="2"/>
    <x v="2"/>
    <x v="0"/>
  </r>
  <r>
    <s v="Non-identified Sample in rack 06 position 2, track 10."/>
    <x v="12"/>
    <x v="2"/>
    <x v="25"/>
    <d v="1899-12-30T17:12:38"/>
    <s v="Materials"/>
    <x v="6"/>
    <x v="4"/>
    <x v="7"/>
    <x v="1"/>
  </r>
  <r>
    <s v="Analyzer Status changed from Ready to Busy."/>
    <x v="0"/>
    <x v="0"/>
    <x v="25"/>
    <d v="1899-12-30T17:12:55"/>
    <s v="Analyzer"/>
    <x v="6"/>
    <x v="0"/>
    <x v="0"/>
    <x v="0"/>
  </r>
  <r>
    <s v="Normal C. Assayed volume low."/>
    <x v="7"/>
    <x v="1"/>
    <x v="25"/>
    <d v="1899-12-30T17:15:42"/>
    <s v="Materials"/>
    <x v="6"/>
    <x v="3"/>
    <x v="4"/>
    <x v="0"/>
  </r>
  <r>
    <s v="Analyzer Status changed from Busy to Ready."/>
    <x v="0"/>
    <x v="0"/>
    <x v="25"/>
    <d v="1899-12-30T17:18:31"/>
    <s v="Analyzer"/>
    <x v="6"/>
    <x v="0"/>
    <x v="0"/>
    <x v="0"/>
  </r>
  <r>
    <s v="Analyzer Status changed from Ready to Maintenance."/>
    <x v="0"/>
    <x v="0"/>
    <x v="25"/>
    <d v="1899-12-30T17:18:32"/>
    <s v="Analyzer"/>
    <x v="6"/>
    <x v="0"/>
    <x v="0"/>
    <x v="0"/>
  </r>
  <r>
    <s v="Analyzer Status changed from Maintenance to Ready."/>
    <x v="0"/>
    <x v="0"/>
    <x v="25"/>
    <d v="1899-12-30T17:18:56"/>
    <s v="Analyzer"/>
    <x v="6"/>
    <x v="0"/>
    <x v="0"/>
    <x v="0"/>
  </r>
  <r>
    <s v="Automatic maintenance activity Automatic Routine Clean for all Probes has been executed."/>
    <x v="2"/>
    <x v="0"/>
    <x v="25"/>
    <d v="1899-12-30T17:18:56"/>
    <s v="Maintenance"/>
    <x v="6"/>
    <x v="2"/>
    <x v="2"/>
    <x v="0"/>
  </r>
  <r>
    <s v="Normal C. Assayed volume low."/>
    <x v="7"/>
    <x v="1"/>
    <x v="25"/>
    <d v="1899-12-30T17:21:39"/>
    <s v="Materials"/>
    <x v="6"/>
    <x v="3"/>
    <x v="4"/>
    <x v="0"/>
  </r>
  <r>
    <s v="Placement error (UF Hep High Control in rack DC, position 2, track 3)."/>
    <x v="24"/>
    <x v="2"/>
    <x v="25"/>
    <d v="1899-12-30T17:24:21"/>
    <s v="Materials"/>
    <x v="6"/>
    <x v="2"/>
    <x v="3"/>
    <x v="0"/>
  </r>
  <r>
    <s v="Placement error (D-Dimer High Control in rack DC, position 3, track 3)."/>
    <x v="24"/>
    <x v="2"/>
    <x v="25"/>
    <d v="1899-12-30T17:24:21"/>
    <s v="Materials"/>
    <x v="6"/>
    <x v="2"/>
    <x v="3"/>
    <x v="0"/>
  </r>
  <r>
    <s v="Placement error (D-Dimer Low Control in rack DC, position 4, track 3)."/>
    <x v="24"/>
    <x v="2"/>
    <x v="25"/>
    <d v="1899-12-30T17:24:21"/>
    <s v="Materials"/>
    <x v="6"/>
    <x v="2"/>
    <x v="3"/>
    <x v="0"/>
  </r>
  <r>
    <s v="Placement error (UF Hep Low Control in rack DC, position 5, track 3)."/>
    <x v="24"/>
    <x v="2"/>
    <x v="25"/>
    <d v="1899-12-30T17:24:21"/>
    <s v="Materials"/>
    <x v="6"/>
    <x v="2"/>
    <x v="3"/>
    <x v="0"/>
  </r>
  <r>
    <s v="Placement error (Normal C. Assayed in rack DC, position 6, track 3)."/>
    <x v="24"/>
    <x v="2"/>
    <x v="25"/>
    <d v="1899-12-30T17:24:21"/>
    <s v="Materials"/>
    <x v="6"/>
    <x v="2"/>
    <x v="3"/>
    <x v="0"/>
  </r>
  <r>
    <s v="Placement error (Low Fib Control in rack DC, position 7, track 3)."/>
    <x v="24"/>
    <x v="2"/>
    <x v="25"/>
    <d v="1899-12-30T17:24:21"/>
    <s v="Materials"/>
    <x v="6"/>
    <x v="2"/>
    <x v="3"/>
    <x v="0"/>
  </r>
  <r>
    <s v="Placement error (High Abn C. Assayed in rack DC, position 8, track 3)."/>
    <x v="24"/>
    <x v="2"/>
    <x v="25"/>
    <d v="1899-12-30T17:24:21"/>
    <s v="Materials"/>
    <x v="6"/>
    <x v="2"/>
    <x v="3"/>
    <x v="0"/>
  </r>
  <r>
    <s v="Normal C. Assayed volume low."/>
    <x v="7"/>
    <x v="1"/>
    <x v="25"/>
    <d v="1899-12-30T17:24:51"/>
    <s v="Materials"/>
    <x v="6"/>
    <x v="3"/>
    <x v="4"/>
    <x v="0"/>
  </r>
  <r>
    <s v="Non-identified Material in rack DC position 6, track 1."/>
    <x v="27"/>
    <x v="2"/>
    <x v="25"/>
    <d v="1899-12-30T17:28:05"/>
    <s v="Materials"/>
    <x v="6"/>
    <x v="2"/>
    <x v="3"/>
    <x v="0"/>
  </r>
  <r>
    <s v="Non-identified Material in rack DC position 8, track 1."/>
    <x v="27"/>
    <x v="2"/>
    <x v="25"/>
    <d v="1899-12-30T17:28:05"/>
    <s v="Materials"/>
    <x v="6"/>
    <x v="2"/>
    <x v="3"/>
    <x v="0"/>
  </r>
  <r>
    <s v="Non-identified Sample in rack 11 position 1, track 6."/>
    <x v="12"/>
    <x v="2"/>
    <x v="25"/>
    <d v="1899-12-30T17:29:34"/>
    <s v="Materials"/>
    <x v="6"/>
    <x v="4"/>
    <x v="7"/>
    <x v="1"/>
  </r>
  <r>
    <s v="Analyzer Status changed from Ready to Busy."/>
    <x v="0"/>
    <x v="0"/>
    <x v="25"/>
    <d v="1899-12-30T17:30:32"/>
    <s v="Analyzer"/>
    <x v="6"/>
    <x v="0"/>
    <x v="0"/>
    <x v="0"/>
  </r>
  <r>
    <s v="Analyzer Status changed from Busy to Ready."/>
    <x v="0"/>
    <x v="0"/>
    <x v="25"/>
    <d v="1899-12-30T17:33:28"/>
    <s v="Analyzer"/>
    <x v="6"/>
    <x v="0"/>
    <x v="0"/>
    <x v="0"/>
  </r>
  <r>
    <s v="Analyzer Status changed from Ready to Maintenance."/>
    <x v="0"/>
    <x v="0"/>
    <x v="25"/>
    <d v="1899-12-30T17:33:28"/>
    <s v="Analyzer"/>
    <x v="6"/>
    <x v="0"/>
    <x v="0"/>
    <x v="0"/>
  </r>
  <r>
    <s v="Automatic maintenance activity Automatic Routine Clean for all Probes has been executed."/>
    <x v="2"/>
    <x v="0"/>
    <x v="25"/>
    <d v="1899-12-30T17:33:53"/>
    <s v="Maintenance"/>
    <x v="6"/>
    <x v="2"/>
    <x v="2"/>
    <x v="0"/>
  </r>
  <r>
    <s v="Analyzer Status changed from Maintenance to Ready."/>
    <x v="0"/>
    <x v="0"/>
    <x v="25"/>
    <d v="1899-12-30T17:33:54"/>
    <s v="Analyzer"/>
    <x v="6"/>
    <x v="0"/>
    <x v="0"/>
    <x v="0"/>
  </r>
  <r>
    <s v="Non-identified Sample in rack 11 position 1, track 5."/>
    <x v="12"/>
    <x v="2"/>
    <x v="25"/>
    <d v="1899-12-30T17:38:59"/>
    <s v="Materials"/>
    <x v="6"/>
    <x v="4"/>
    <x v="7"/>
    <x v="1"/>
  </r>
  <r>
    <s v="Non-identified Sample in rack 11 position 2, track 5."/>
    <x v="12"/>
    <x v="2"/>
    <x v="25"/>
    <d v="1899-12-30T17:38:59"/>
    <s v="Materials"/>
    <x v="6"/>
    <x v="4"/>
    <x v="7"/>
    <x v="1"/>
  </r>
  <r>
    <s v="Non-identified Sample in rack 11 position 3, track 5."/>
    <x v="12"/>
    <x v="2"/>
    <x v="25"/>
    <d v="1899-12-30T17:38:59"/>
    <s v="Materials"/>
    <x v="6"/>
    <x v="4"/>
    <x v="7"/>
    <x v="1"/>
  </r>
  <r>
    <s v="Non-identified Sample in rack 11 position 4, track 5."/>
    <x v="12"/>
    <x v="2"/>
    <x v="25"/>
    <d v="1899-12-30T17:38:59"/>
    <s v="Materials"/>
    <x v="6"/>
    <x v="4"/>
    <x v="7"/>
    <x v="1"/>
  </r>
  <r>
    <s v="Non-identified Sample in rack 11 position 5, track 5."/>
    <x v="12"/>
    <x v="2"/>
    <x v="25"/>
    <d v="1899-12-30T17:38:59"/>
    <s v="Materials"/>
    <x v="6"/>
    <x v="4"/>
    <x v="7"/>
    <x v="1"/>
  </r>
  <r>
    <s v="Non-identified Sample in rack 11 position 6, track 5."/>
    <x v="12"/>
    <x v="2"/>
    <x v="25"/>
    <d v="1899-12-30T17:38:59"/>
    <s v="Materials"/>
    <x v="6"/>
    <x v="4"/>
    <x v="7"/>
    <x v="1"/>
  </r>
  <r>
    <s v="Non-identified Sample in rack 11 position 1, track 5."/>
    <x v="12"/>
    <x v="2"/>
    <x v="25"/>
    <d v="1899-12-30T17:39:09"/>
    <s v="Materials"/>
    <x v="6"/>
    <x v="4"/>
    <x v="7"/>
    <x v="1"/>
  </r>
  <r>
    <s v="Analyzer Status changed from Ready to Busy."/>
    <x v="0"/>
    <x v="0"/>
    <x v="25"/>
    <d v="1899-12-30T17:39:24"/>
    <s v="Analyzer"/>
    <x v="6"/>
    <x v="0"/>
    <x v="0"/>
    <x v="0"/>
  </r>
  <r>
    <s v="Non-identified Sample in rack 11 position 2, track 5."/>
    <x v="12"/>
    <x v="2"/>
    <x v="25"/>
    <d v="1899-12-30T17:39:33"/>
    <s v="Materials"/>
    <x v="6"/>
    <x v="4"/>
    <x v="7"/>
    <x v="1"/>
  </r>
  <r>
    <s v="Non-identified Sample in rack 11 position 3, track 5."/>
    <x v="12"/>
    <x v="2"/>
    <x v="25"/>
    <d v="1899-12-30T17:40:05"/>
    <s v="Materials"/>
    <x v="6"/>
    <x v="4"/>
    <x v="7"/>
    <x v="1"/>
  </r>
  <r>
    <s v="Non-identified Sample in rack 11 position 4, track 5."/>
    <x v="12"/>
    <x v="2"/>
    <x v="25"/>
    <d v="1899-12-30T17:40:27"/>
    <s v="Materials"/>
    <x v="6"/>
    <x v="4"/>
    <x v="7"/>
    <x v="1"/>
  </r>
  <r>
    <s v="Non-identified Sample in rack 11 position 5, track 5."/>
    <x v="12"/>
    <x v="2"/>
    <x v="25"/>
    <d v="1899-12-30T17:40:41"/>
    <s v="Materials"/>
    <x v="6"/>
    <x v="4"/>
    <x v="7"/>
    <x v="1"/>
  </r>
  <r>
    <s v="Non-identified Sample in rack 11 position 6, track 5."/>
    <x v="12"/>
    <x v="2"/>
    <x v="25"/>
    <d v="1899-12-30T17:41:00"/>
    <s v="Materials"/>
    <x v="6"/>
    <x v="4"/>
    <x v="7"/>
    <x v="1"/>
  </r>
  <r>
    <s v="Analyzer Status changed from Busy to Ready."/>
    <x v="0"/>
    <x v="0"/>
    <x v="25"/>
    <d v="1899-12-30T17:47:57"/>
    <s v="Analyzer"/>
    <x v="6"/>
    <x v="0"/>
    <x v="0"/>
    <x v="0"/>
  </r>
  <r>
    <s v="Analyzer Status changed from Ready to Maintenance."/>
    <x v="0"/>
    <x v="0"/>
    <x v="25"/>
    <d v="1899-12-30T17:47:57"/>
    <s v="Analyzer"/>
    <x v="6"/>
    <x v="0"/>
    <x v="0"/>
    <x v="0"/>
  </r>
  <r>
    <s v="Analyzer Status changed from Maintenance to Ready."/>
    <x v="0"/>
    <x v="0"/>
    <x v="25"/>
    <d v="1899-12-30T17:48:29"/>
    <s v="Analyzer"/>
    <x v="6"/>
    <x v="0"/>
    <x v="0"/>
    <x v="0"/>
  </r>
  <r>
    <s v="Automatic maintenance activity Automatic Routine Clean for all Probes has been executed."/>
    <x v="2"/>
    <x v="0"/>
    <x v="25"/>
    <d v="1899-12-30T17:48:29"/>
    <s v="Maintenance"/>
    <x v="6"/>
    <x v="2"/>
    <x v="2"/>
    <x v="0"/>
  </r>
  <r>
    <s v="Non-identified Sample in rack 05 position 1, track 12."/>
    <x v="12"/>
    <x v="2"/>
    <x v="25"/>
    <d v="1899-12-30T17:56:19"/>
    <s v="Materials"/>
    <x v="6"/>
    <x v="4"/>
    <x v="7"/>
    <x v="1"/>
  </r>
  <r>
    <s v="Analyzer Status changed from Ready to Busy."/>
    <x v="0"/>
    <x v="0"/>
    <x v="25"/>
    <d v="1899-12-30T17:56:26"/>
    <s v="Analyzer"/>
    <x v="6"/>
    <x v="0"/>
    <x v="0"/>
    <x v="0"/>
  </r>
  <r>
    <s v="Analyzer Status changed from Busy to Ready."/>
    <x v="0"/>
    <x v="0"/>
    <x v="25"/>
    <d v="1899-12-30T17:59:27"/>
    <s v="Analyzer"/>
    <x v="6"/>
    <x v="0"/>
    <x v="0"/>
    <x v="0"/>
  </r>
  <r>
    <s v="Analyzer Status changed from Ready to Maintenance."/>
    <x v="0"/>
    <x v="0"/>
    <x v="25"/>
    <d v="1899-12-30T17:59:27"/>
    <s v="Analyzer"/>
    <x v="6"/>
    <x v="0"/>
    <x v="0"/>
    <x v="0"/>
  </r>
  <r>
    <s v="Analyzer Status changed from Maintenance to Ready."/>
    <x v="0"/>
    <x v="0"/>
    <x v="25"/>
    <d v="1899-12-30T17:59:52"/>
    <s v="Analyzer"/>
    <x v="6"/>
    <x v="0"/>
    <x v="0"/>
    <x v="0"/>
  </r>
  <r>
    <s v="Automatic maintenance activity Automatic Routine Clean for all Probes has been executed."/>
    <x v="2"/>
    <x v="0"/>
    <x v="25"/>
    <d v="1899-12-30T17:59:52"/>
    <s v="Maintenance"/>
    <x v="6"/>
    <x v="2"/>
    <x v="2"/>
    <x v="0"/>
  </r>
  <r>
    <s v="Analyzer Status changed from Ready to Busy."/>
    <x v="0"/>
    <x v="0"/>
    <x v="25"/>
    <d v="1899-12-30T18:10:02"/>
    <s v="Analyzer"/>
    <x v="6"/>
    <x v="0"/>
    <x v="0"/>
    <x v="0"/>
  </r>
  <r>
    <s v="Analyzer Status changed from Busy to Ready."/>
    <x v="0"/>
    <x v="0"/>
    <x v="25"/>
    <d v="1899-12-30T18:13:55"/>
    <s v="Analyzer"/>
    <x v="6"/>
    <x v="0"/>
    <x v="0"/>
    <x v="0"/>
  </r>
  <r>
    <s v="Analyzer Status changed from Ready to Maintenance."/>
    <x v="0"/>
    <x v="0"/>
    <x v="25"/>
    <d v="1899-12-30T18:13:56"/>
    <s v="Analyzer"/>
    <x v="6"/>
    <x v="0"/>
    <x v="0"/>
    <x v="0"/>
  </r>
  <r>
    <s v="Analyzer Status changed from Maintenance to Ready."/>
    <x v="0"/>
    <x v="0"/>
    <x v="25"/>
    <d v="1899-12-30T18:14:22"/>
    <s v="Analyzer"/>
    <x v="6"/>
    <x v="0"/>
    <x v="0"/>
    <x v="0"/>
  </r>
  <r>
    <s v="Automatic maintenance activity Automatic Routine Clean for all Probes has been executed."/>
    <x v="2"/>
    <x v="0"/>
    <x v="25"/>
    <d v="1899-12-30T18:14:22"/>
    <s v="Maintenance"/>
    <x v="6"/>
    <x v="2"/>
    <x v="2"/>
    <x v="0"/>
  </r>
  <r>
    <s v="Analyzer Status changed from Ready to Busy."/>
    <x v="0"/>
    <x v="0"/>
    <x v="25"/>
    <d v="1899-12-30T18:15:39"/>
    <s v="Analyzer"/>
    <x v="6"/>
    <x v="0"/>
    <x v="0"/>
    <x v="0"/>
  </r>
  <r>
    <s v="Analyzer Status changed from Busy to Ready."/>
    <x v="0"/>
    <x v="0"/>
    <x v="25"/>
    <d v="1899-12-30T18:24:23"/>
    <s v="Analyzer"/>
    <x v="6"/>
    <x v="0"/>
    <x v="0"/>
    <x v="0"/>
  </r>
  <r>
    <s v="Analyzer Status changed from Ready to Maintenance."/>
    <x v="0"/>
    <x v="0"/>
    <x v="25"/>
    <d v="1899-12-30T18:24:23"/>
    <s v="Analyzer"/>
    <x v="6"/>
    <x v="0"/>
    <x v="0"/>
    <x v="0"/>
  </r>
  <r>
    <s v="Analyzer Status changed from Maintenance to Ready."/>
    <x v="0"/>
    <x v="0"/>
    <x v="25"/>
    <d v="1899-12-30T18:24:48"/>
    <s v="Analyzer"/>
    <x v="6"/>
    <x v="0"/>
    <x v="0"/>
    <x v="0"/>
  </r>
  <r>
    <s v="Automatic maintenance activity Automatic Routine Clean for all Probes has been executed."/>
    <x v="2"/>
    <x v="0"/>
    <x v="25"/>
    <d v="1899-12-30T18:24:48"/>
    <s v="Maintenance"/>
    <x v="6"/>
    <x v="2"/>
    <x v="2"/>
    <x v="0"/>
  </r>
  <r>
    <s v="Analyzer Status changed from Ready to Busy."/>
    <x v="0"/>
    <x v="0"/>
    <x v="25"/>
    <d v="1899-12-30T18:42:02"/>
    <s v="Analyzer"/>
    <x v="6"/>
    <x v="0"/>
    <x v="0"/>
    <x v="0"/>
  </r>
  <r>
    <s v="Analyzer Status changed from Busy to Ready."/>
    <x v="0"/>
    <x v="0"/>
    <x v="25"/>
    <d v="1899-12-30T18:56:31"/>
    <s v="Analyzer"/>
    <x v="6"/>
    <x v="0"/>
    <x v="0"/>
    <x v="0"/>
  </r>
  <r>
    <s v="Analyzer Status changed from Ready to Maintenance."/>
    <x v="0"/>
    <x v="0"/>
    <x v="25"/>
    <d v="1899-12-30T18:56:31"/>
    <s v="Analyzer"/>
    <x v="6"/>
    <x v="0"/>
    <x v="0"/>
    <x v="0"/>
  </r>
  <r>
    <s v="Analyzer Status changed from Maintenance to Ready."/>
    <x v="0"/>
    <x v="0"/>
    <x v="25"/>
    <d v="1899-12-30T18:57:02"/>
    <s v="Analyzer"/>
    <x v="6"/>
    <x v="0"/>
    <x v="0"/>
    <x v="0"/>
  </r>
  <r>
    <s v="Automatic maintenance activity Automatic Routine Clean for all Probes has been executed."/>
    <x v="2"/>
    <x v="0"/>
    <x v="25"/>
    <d v="1899-12-30T18:57:02"/>
    <s v="Maintenance"/>
    <x v="6"/>
    <x v="2"/>
    <x v="2"/>
    <x v="0"/>
  </r>
  <r>
    <s v="Analyzer Status changed from Ready to Busy."/>
    <x v="0"/>
    <x v="0"/>
    <x v="25"/>
    <d v="1899-12-30T19:01:08"/>
    <s v="Analyzer"/>
    <x v="6"/>
    <x v="0"/>
    <x v="0"/>
    <x v="0"/>
  </r>
  <r>
    <s v="Non-identified Sample in rack 02 position 6, track 8."/>
    <x v="12"/>
    <x v="2"/>
    <x v="25"/>
    <d v="1899-12-30T19:02:33"/>
    <s v="Materials"/>
    <x v="6"/>
    <x v="4"/>
    <x v="7"/>
    <x v="1"/>
  </r>
  <r>
    <s v="Non-identified Sample in rack 01 position 2, track 11."/>
    <x v="12"/>
    <x v="2"/>
    <x v="25"/>
    <d v="1899-12-30T19:09:18"/>
    <s v="Materials"/>
    <x v="6"/>
    <x v="4"/>
    <x v="7"/>
    <x v="1"/>
  </r>
  <r>
    <s v="Analyzer Status changed from Busy to Ready."/>
    <x v="0"/>
    <x v="0"/>
    <x v="25"/>
    <d v="1899-12-30T19:15:39"/>
    <s v="Analyzer"/>
    <x v="6"/>
    <x v="0"/>
    <x v="0"/>
    <x v="0"/>
  </r>
  <r>
    <s v="Analyzer Status changed from Ready to Maintenance."/>
    <x v="0"/>
    <x v="0"/>
    <x v="25"/>
    <d v="1899-12-30T19:15:40"/>
    <s v="Analyzer"/>
    <x v="6"/>
    <x v="0"/>
    <x v="0"/>
    <x v="0"/>
  </r>
  <r>
    <s v="Analyzer Status changed from Maintenance to Ready."/>
    <x v="0"/>
    <x v="0"/>
    <x v="25"/>
    <d v="1899-12-30T19:16:04"/>
    <s v="Analyzer"/>
    <x v="6"/>
    <x v="0"/>
    <x v="0"/>
    <x v="0"/>
  </r>
  <r>
    <s v="Automatic maintenance activity Automatic Routine Clean for all Probes has been executed."/>
    <x v="2"/>
    <x v="0"/>
    <x v="25"/>
    <d v="1899-12-30T19:16:04"/>
    <s v="Maintenance"/>
    <x v="6"/>
    <x v="2"/>
    <x v="2"/>
    <x v="0"/>
  </r>
  <r>
    <s v="Calibration of Fib-C H validated."/>
    <x v="59"/>
    <x v="0"/>
    <x v="25"/>
    <d v="1899-12-30T19:16:06"/>
    <s v="JobFrequency"/>
    <x v="6"/>
    <x v="2"/>
    <x v="5"/>
    <x v="0"/>
  </r>
  <r>
    <s v="Calibration of Fib-C H validated."/>
    <x v="59"/>
    <x v="0"/>
    <x v="25"/>
    <d v="1899-12-30T19:16:15"/>
    <s v="JobFrequency"/>
    <x v="6"/>
    <x v="2"/>
    <x v="5"/>
    <x v="0"/>
  </r>
  <r>
    <s v="Calibration of Fib-C H validated."/>
    <x v="59"/>
    <x v="0"/>
    <x v="25"/>
    <d v="1899-12-30T19:16:28"/>
    <s v="JobFrequency"/>
    <x v="6"/>
    <x v="2"/>
    <x v="5"/>
    <x v="0"/>
  </r>
  <r>
    <s v="Analyzer Status changed from Ready to Busy."/>
    <x v="0"/>
    <x v="0"/>
    <x v="25"/>
    <d v="1899-12-30T19:17:18"/>
    <s v="Analyzer"/>
    <x v="6"/>
    <x v="0"/>
    <x v="0"/>
    <x v="0"/>
  </r>
  <r>
    <s v="Non-identified Sample in rack 07 position 2, track 9."/>
    <x v="12"/>
    <x v="2"/>
    <x v="25"/>
    <d v="1899-12-30T19:18:52"/>
    <s v="Materials"/>
    <x v="6"/>
    <x v="4"/>
    <x v="7"/>
    <x v="1"/>
  </r>
  <r>
    <s v="Anti Chromogenic Sub volume low."/>
    <x v="7"/>
    <x v="1"/>
    <x v="25"/>
    <d v="1899-12-30T19:23:54"/>
    <s v="Materials"/>
    <x v="6"/>
    <x v="3"/>
    <x v="4"/>
    <x v="0"/>
  </r>
  <r>
    <s v="Analyzer Status changed from Busy to Ready."/>
    <x v="0"/>
    <x v="0"/>
    <x v="25"/>
    <d v="1899-12-30T19:28:48"/>
    <s v="Analyzer"/>
    <x v="6"/>
    <x v="0"/>
    <x v="0"/>
    <x v="0"/>
  </r>
  <r>
    <s v="Analyzer Status changed from Ready to Maintenance."/>
    <x v="0"/>
    <x v="0"/>
    <x v="25"/>
    <d v="1899-12-30T19:28:49"/>
    <s v="Analyzer"/>
    <x v="6"/>
    <x v="0"/>
    <x v="0"/>
    <x v="0"/>
  </r>
  <r>
    <s v="Analyzer Status changed from Maintenance to Ready."/>
    <x v="0"/>
    <x v="0"/>
    <x v="25"/>
    <d v="1899-12-30T19:29:15"/>
    <s v="Analyzer"/>
    <x v="6"/>
    <x v="0"/>
    <x v="0"/>
    <x v="0"/>
  </r>
  <r>
    <s v="Automatic maintenance activity Automatic Routine Clean for all Probes has been executed."/>
    <x v="2"/>
    <x v="0"/>
    <x v="25"/>
    <d v="1899-12-30T19:29:15"/>
    <s v="Maintenance"/>
    <x v="6"/>
    <x v="2"/>
    <x v="2"/>
    <x v="0"/>
  </r>
  <r>
    <s v="Analyzer Status changed from Ready to Busy."/>
    <x v="0"/>
    <x v="0"/>
    <x v="25"/>
    <d v="1899-12-30T19:36:45"/>
    <s v="Analyzer"/>
    <x v="6"/>
    <x v="0"/>
    <x v="0"/>
    <x v="0"/>
  </r>
  <r>
    <s v="Analyzer Status changed from Busy to Ready."/>
    <x v="0"/>
    <x v="0"/>
    <x v="25"/>
    <d v="1899-12-30T19:39:37"/>
    <s v="Analyzer"/>
    <x v="6"/>
    <x v="0"/>
    <x v="0"/>
    <x v="0"/>
  </r>
  <r>
    <s v="Analyzer Status changed from Ready to Maintenance."/>
    <x v="0"/>
    <x v="0"/>
    <x v="25"/>
    <d v="1899-12-30T19:39:37"/>
    <s v="Analyzer"/>
    <x v="6"/>
    <x v="0"/>
    <x v="0"/>
    <x v="0"/>
  </r>
  <r>
    <s v="Automatic maintenance activity Automatic Routine Clean for all Probes has been executed."/>
    <x v="2"/>
    <x v="0"/>
    <x v="25"/>
    <d v="1899-12-30T19:40:01"/>
    <s v="Maintenance"/>
    <x v="6"/>
    <x v="2"/>
    <x v="2"/>
    <x v="0"/>
  </r>
  <r>
    <s v="Analyzer Status changed from Maintenance to Ready."/>
    <x v="0"/>
    <x v="0"/>
    <x v="25"/>
    <d v="1899-12-30T19:40:02"/>
    <s v="Analyzer"/>
    <x v="6"/>
    <x v="0"/>
    <x v="0"/>
    <x v="0"/>
  </r>
  <r>
    <s v="Analyzer Status changed from Ready to Busy."/>
    <x v="0"/>
    <x v="0"/>
    <x v="25"/>
    <d v="1899-12-30T20:20:10"/>
    <s v="Analyzer"/>
    <x v="6"/>
    <x v="0"/>
    <x v="0"/>
    <x v="0"/>
  </r>
  <r>
    <s v="Analyzer Status changed from Busy to Ready."/>
    <x v="0"/>
    <x v="0"/>
    <x v="25"/>
    <d v="1899-12-30T20:26:07"/>
    <s v="Analyzer"/>
    <x v="6"/>
    <x v="0"/>
    <x v="0"/>
    <x v="0"/>
  </r>
  <r>
    <s v="Analyzer Status changed from Ready to Maintenance."/>
    <x v="0"/>
    <x v="0"/>
    <x v="25"/>
    <d v="1899-12-30T20:26:07"/>
    <s v="Analyzer"/>
    <x v="6"/>
    <x v="0"/>
    <x v="0"/>
    <x v="0"/>
  </r>
  <r>
    <s v="Analyzer Status changed from Maintenance to Ready."/>
    <x v="0"/>
    <x v="0"/>
    <x v="25"/>
    <d v="1899-12-30T20:26:32"/>
    <s v="Analyzer"/>
    <x v="6"/>
    <x v="0"/>
    <x v="0"/>
    <x v="0"/>
  </r>
  <r>
    <s v="Automatic maintenance activity Automatic Routine Clean for all Probes has been executed."/>
    <x v="2"/>
    <x v="0"/>
    <x v="25"/>
    <d v="1899-12-30T20:26:32"/>
    <s v="Maintenance"/>
    <x v="6"/>
    <x v="2"/>
    <x v="2"/>
    <x v="0"/>
  </r>
  <r>
    <s v="Analyzer Status changed from Ready to Busy."/>
    <x v="0"/>
    <x v="0"/>
    <x v="25"/>
    <d v="1899-12-30T20:32:49"/>
    <s v="Analyzer"/>
    <x v="6"/>
    <x v="0"/>
    <x v="0"/>
    <x v="0"/>
  </r>
  <r>
    <s v="Anti Factor Xa Rgt. volume low."/>
    <x v="7"/>
    <x v="1"/>
    <x v="25"/>
    <d v="1899-12-30T20:34:38"/>
    <s v="Materials"/>
    <x v="6"/>
    <x v="3"/>
    <x v="4"/>
    <x v="0"/>
  </r>
  <r>
    <s v="Analyzer Status changed from Busy to Ready."/>
    <x v="0"/>
    <x v="0"/>
    <x v="25"/>
    <d v="1899-12-30T20:36:43"/>
    <s v="Analyzer"/>
    <x v="6"/>
    <x v="0"/>
    <x v="0"/>
    <x v="0"/>
  </r>
  <r>
    <s v="Analyzer Status changed from Ready to Maintenance."/>
    <x v="0"/>
    <x v="0"/>
    <x v="25"/>
    <d v="1899-12-30T20:36:44"/>
    <s v="Analyzer"/>
    <x v="6"/>
    <x v="0"/>
    <x v="0"/>
    <x v="0"/>
  </r>
  <r>
    <s v="Analyzer Status changed from Maintenance to Ready."/>
    <x v="0"/>
    <x v="0"/>
    <x v="25"/>
    <d v="1899-12-30T20:37:10"/>
    <s v="Analyzer"/>
    <x v="6"/>
    <x v="0"/>
    <x v="0"/>
    <x v="0"/>
  </r>
  <r>
    <s v="Automatic maintenance activity Automatic Routine Clean for all Probes has been executed."/>
    <x v="2"/>
    <x v="0"/>
    <x v="25"/>
    <d v="1899-12-30T20:37:10"/>
    <s v="Maintenance"/>
    <x v="6"/>
    <x v="2"/>
    <x v="2"/>
    <x v="0"/>
  </r>
  <r>
    <s v="Analyzer Status changed from Ready to Maintenance."/>
    <x v="0"/>
    <x v="0"/>
    <x v="25"/>
    <d v="1899-12-30T21:37:10"/>
    <s v="Analyzer"/>
    <x v="6"/>
    <x v="0"/>
    <x v="0"/>
    <x v="0"/>
  </r>
  <r>
    <s v="Analyzer Status changed from Maintenance to Ready."/>
    <x v="0"/>
    <x v="0"/>
    <x v="25"/>
    <d v="1899-12-30T21:37:32"/>
    <s v="Analyzer"/>
    <x v="6"/>
    <x v="0"/>
    <x v="0"/>
    <x v="0"/>
  </r>
  <r>
    <s v="Automatic maintenance activity Automatic Fluidic Line Priming Cycle has been executed."/>
    <x v="2"/>
    <x v="0"/>
    <x v="25"/>
    <d v="1899-12-30T21:37:32"/>
    <s v="Maintenance"/>
    <x v="6"/>
    <x v="2"/>
    <x v="2"/>
    <x v="0"/>
  </r>
  <r>
    <s v="Analyzer Status changed from Ready to Maintenance."/>
    <x v="0"/>
    <x v="0"/>
    <x v="25"/>
    <d v="1899-12-30T22:37:33"/>
    <s v="Analyzer"/>
    <x v="6"/>
    <x v="0"/>
    <x v="0"/>
    <x v="0"/>
  </r>
  <r>
    <s v="Analyzer Status changed from Maintenance to Ready."/>
    <x v="0"/>
    <x v="0"/>
    <x v="25"/>
    <d v="1899-12-30T22:37:54"/>
    <s v="Analyzer"/>
    <x v="6"/>
    <x v="0"/>
    <x v="0"/>
    <x v="0"/>
  </r>
  <r>
    <s v="Automatic maintenance activity Automatic Fluidic Line Priming Cycle has been executed."/>
    <x v="2"/>
    <x v="0"/>
    <x v="25"/>
    <d v="1899-12-30T22:37:54"/>
    <s v="Maintenance"/>
    <x v="6"/>
    <x v="2"/>
    <x v="2"/>
    <x v="0"/>
  </r>
  <r>
    <s v="Analyzer Status changed from Ready to Busy."/>
    <x v="0"/>
    <x v="0"/>
    <x v="25"/>
    <d v="1899-12-30T22:38:14"/>
    <s v="Analyzer"/>
    <x v="6"/>
    <x v="0"/>
    <x v="0"/>
    <x v="0"/>
  </r>
  <r>
    <s v="Analyzer Status changed from Busy to Ready."/>
    <x v="0"/>
    <x v="0"/>
    <x v="25"/>
    <d v="1899-12-30T22:43:57"/>
    <s v="Analyzer"/>
    <x v="6"/>
    <x v="0"/>
    <x v="0"/>
    <x v="0"/>
  </r>
  <r>
    <s v="Analyzer Status changed from Ready to Maintenance."/>
    <x v="0"/>
    <x v="0"/>
    <x v="25"/>
    <d v="1899-12-30T22:43:57"/>
    <s v="Analyzer"/>
    <x v="6"/>
    <x v="0"/>
    <x v="0"/>
    <x v="0"/>
  </r>
  <r>
    <s v="Analyzer Status changed from Maintenance to Ready."/>
    <x v="0"/>
    <x v="0"/>
    <x v="25"/>
    <d v="1899-12-30T22:45:03"/>
    <s v="Analyzer"/>
    <x v="6"/>
    <x v="0"/>
    <x v="0"/>
    <x v="0"/>
  </r>
  <r>
    <s v="Automatic maintenance activity Automatic Routine Clean for all Probes has been executed."/>
    <x v="2"/>
    <x v="0"/>
    <x v="25"/>
    <d v="1899-12-30T22:45:03"/>
    <s v="Maintenance"/>
    <x v="6"/>
    <x v="2"/>
    <x v="2"/>
    <x v="0"/>
  </r>
  <r>
    <s v="Non-identified Sample in rack 12 position 2, track 10."/>
    <x v="12"/>
    <x v="2"/>
    <x v="25"/>
    <d v="1899-12-30T22:49:46"/>
    <s v="Materials"/>
    <x v="6"/>
    <x v="4"/>
    <x v="7"/>
    <x v="1"/>
  </r>
  <r>
    <s v="Analyzer Status changed from Ready to Busy."/>
    <x v="0"/>
    <x v="0"/>
    <x v="25"/>
    <d v="1899-12-30T22:50:08"/>
    <s v="Analyzer"/>
    <x v="6"/>
    <x v="0"/>
    <x v="0"/>
    <x v="0"/>
  </r>
  <r>
    <s v="Analyzer Status changed from Busy to Ready."/>
    <x v="0"/>
    <x v="0"/>
    <x v="25"/>
    <d v="1899-12-30T22:56:30"/>
    <s v="Analyzer"/>
    <x v="6"/>
    <x v="0"/>
    <x v="0"/>
    <x v="0"/>
  </r>
  <r>
    <s v="Analyzer Status changed from Ready to Maintenance."/>
    <x v="0"/>
    <x v="0"/>
    <x v="25"/>
    <d v="1899-12-30T22:56:30"/>
    <s v="Analyzer"/>
    <x v="6"/>
    <x v="0"/>
    <x v="0"/>
    <x v="0"/>
  </r>
  <r>
    <s v="Analyzer Status changed from Maintenance to Ready."/>
    <x v="0"/>
    <x v="0"/>
    <x v="25"/>
    <d v="1899-12-30T22:56:57"/>
    <s v="Analyzer"/>
    <x v="6"/>
    <x v="0"/>
    <x v="0"/>
    <x v="0"/>
  </r>
  <r>
    <s v="Automatic maintenance activity Automatic Routine Clean for all Probes has been executed."/>
    <x v="2"/>
    <x v="0"/>
    <x v="25"/>
    <d v="1899-12-30T22:56:57"/>
    <s v="Maintenance"/>
    <x v="6"/>
    <x v="2"/>
    <x v="2"/>
    <x v="0"/>
  </r>
  <r>
    <s v="Analyzer Status changed from Ready to Busy."/>
    <x v="0"/>
    <x v="0"/>
    <x v="25"/>
    <d v="1899-12-30T23:17:10"/>
    <s v="Analyzer"/>
    <x v="6"/>
    <x v="0"/>
    <x v="0"/>
    <x v="0"/>
  </r>
  <r>
    <s v="Logout by user: MJO."/>
    <x v="16"/>
    <x v="0"/>
    <x v="25"/>
    <d v="1899-12-30T23:22:26"/>
    <s v="Other"/>
    <x v="6"/>
    <x v="2"/>
    <x v="5"/>
    <x v="0"/>
  </r>
  <r>
    <s v="Successful log in by user: GAY."/>
    <x v="18"/>
    <x v="0"/>
    <x v="25"/>
    <d v="1899-12-30T23:23:03"/>
    <s v="Other"/>
    <x v="7"/>
    <x v="2"/>
    <x v="5"/>
    <x v="0"/>
  </r>
  <r>
    <s v="Analyzer Status changed from Busy to Ready."/>
    <x v="0"/>
    <x v="0"/>
    <x v="25"/>
    <d v="1899-12-30T23:23:29"/>
    <s v="Analyzer"/>
    <x v="7"/>
    <x v="0"/>
    <x v="0"/>
    <x v="0"/>
  </r>
  <r>
    <s v="Analyzer Status changed from Ready to Maintenance."/>
    <x v="0"/>
    <x v="0"/>
    <x v="25"/>
    <d v="1899-12-30T23:23:29"/>
    <s v="Analyzer"/>
    <x v="7"/>
    <x v="0"/>
    <x v="0"/>
    <x v="0"/>
  </r>
  <r>
    <s v="Analyzer Status changed from Maintenance to Ready."/>
    <x v="0"/>
    <x v="0"/>
    <x v="25"/>
    <d v="1899-12-30T23:23:59"/>
    <s v="Analyzer"/>
    <x v="7"/>
    <x v="0"/>
    <x v="0"/>
    <x v="0"/>
  </r>
  <r>
    <s v="Automatic maintenance activity Automatic Routine Clean for all Probes has been executed."/>
    <x v="2"/>
    <x v="0"/>
    <x v="25"/>
    <d v="1899-12-30T23:23:59"/>
    <s v="Maintenance"/>
    <x v="7"/>
    <x v="2"/>
    <x v="2"/>
    <x v="0"/>
  </r>
  <r>
    <s v="Analyzer Status changed from Ready to Busy."/>
    <x v="0"/>
    <x v="0"/>
    <x v="25"/>
    <d v="1899-12-30T23:31:39"/>
    <s v="Analyzer"/>
    <x v="7"/>
    <x v="0"/>
    <x v="0"/>
    <x v="0"/>
  </r>
  <r>
    <s v="Analyzer Status changed from Busy to Ready."/>
    <x v="0"/>
    <x v="0"/>
    <x v="25"/>
    <d v="1899-12-30T23:34:37"/>
    <s v="Analyzer"/>
    <x v="7"/>
    <x v="0"/>
    <x v="0"/>
    <x v="0"/>
  </r>
  <r>
    <s v="Analyzer Status changed from Ready to Maintenance."/>
    <x v="0"/>
    <x v="0"/>
    <x v="25"/>
    <d v="1899-12-30T23:34:37"/>
    <s v="Analyzer"/>
    <x v="7"/>
    <x v="0"/>
    <x v="0"/>
    <x v="0"/>
  </r>
  <r>
    <s v="Automatic maintenance activity Automatic Routine Clean for all Probes has been executed."/>
    <x v="2"/>
    <x v="0"/>
    <x v="25"/>
    <d v="1899-12-30T23:35:02"/>
    <s v="Maintenance"/>
    <x v="7"/>
    <x v="2"/>
    <x v="2"/>
    <x v="0"/>
  </r>
  <r>
    <s v="Analyzer Status changed from Maintenance to Ready."/>
    <x v="0"/>
    <x v="0"/>
    <x v="25"/>
    <d v="1899-12-30T23:35:03"/>
    <s v="Analyzer"/>
    <x v="7"/>
    <x v="0"/>
    <x v="0"/>
    <x v="0"/>
  </r>
  <r>
    <s v="Analyzer Status changed from Ready to Busy."/>
    <x v="0"/>
    <x v="0"/>
    <x v="25"/>
    <d v="1899-12-30T23:59:27"/>
    <s v="Analyzer"/>
    <x v="7"/>
    <x v="0"/>
    <x v="0"/>
    <x v="0"/>
  </r>
  <r>
    <s v="Analyzer Status changed from Busy to Ready."/>
    <x v="0"/>
    <x v="0"/>
    <x v="26"/>
    <d v="1899-12-30T00:05:55"/>
    <s v="Analyzer"/>
    <x v="7"/>
    <x v="0"/>
    <x v="0"/>
    <x v="0"/>
  </r>
  <r>
    <s v="Analyzer Status changed from Ready to Maintenance."/>
    <x v="0"/>
    <x v="0"/>
    <x v="26"/>
    <d v="1899-12-30T00:05:55"/>
    <s v="Analyzer"/>
    <x v="7"/>
    <x v="0"/>
    <x v="0"/>
    <x v="0"/>
  </r>
  <r>
    <s v="Analyzer Status changed from Maintenance to Ready."/>
    <x v="0"/>
    <x v="0"/>
    <x v="26"/>
    <d v="1899-12-30T00:06:21"/>
    <s v="Analyzer"/>
    <x v="7"/>
    <x v="0"/>
    <x v="0"/>
    <x v="0"/>
  </r>
  <r>
    <s v="Automatic maintenance activity Automatic Routine Clean for all Probes has been executed."/>
    <x v="2"/>
    <x v="0"/>
    <x v="26"/>
    <d v="1899-12-30T00:06:21"/>
    <s v="Maintenance"/>
    <x v="7"/>
    <x v="2"/>
    <x v="2"/>
    <x v="0"/>
  </r>
  <r>
    <s v="Analyzer Status changed from Ready to Busy."/>
    <x v="0"/>
    <x v="0"/>
    <x v="26"/>
    <d v="1899-12-30T00:32:50"/>
    <s v="Analyzer"/>
    <x v="7"/>
    <x v="0"/>
    <x v="0"/>
    <x v="0"/>
  </r>
  <r>
    <s v="Analyzer Status changed from Busy to Ready."/>
    <x v="0"/>
    <x v="0"/>
    <x v="26"/>
    <d v="1899-12-30T00:35:41"/>
    <s v="Analyzer"/>
    <x v="7"/>
    <x v="0"/>
    <x v="0"/>
    <x v="0"/>
  </r>
  <r>
    <s v="Analyzer Status changed from Ready to Maintenance."/>
    <x v="0"/>
    <x v="0"/>
    <x v="26"/>
    <d v="1899-12-30T00:35:41"/>
    <s v="Analyzer"/>
    <x v="7"/>
    <x v="0"/>
    <x v="0"/>
    <x v="0"/>
  </r>
  <r>
    <s v="Automatic maintenance activity Automatic Routine Clean for all Probes has been executed."/>
    <x v="2"/>
    <x v="0"/>
    <x v="26"/>
    <d v="1899-12-30T00:36:05"/>
    <s v="Maintenance"/>
    <x v="7"/>
    <x v="2"/>
    <x v="2"/>
    <x v="0"/>
  </r>
  <r>
    <s v="Analyzer Status changed from Maintenance to Ready."/>
    <x v="0"/>
    <x v="0"/>
    <x v="26"/>
    <d v="1899-12-30T00:36:06"/>
    <s v="Analyzer"/>
    <x v="7"/>
    <x v="0"/>
    <x v="0"/>
    <x v="0"/>
  </r>
  <r>
    <s v="Analyzer Status changed from Ready to Busy."/>
    <x v="0"/>
    <x v="0"/>
    <x v="26"/>
    <d v="1899-12-30T00:47:39"/>
    <s v="Analyzer"/>
    <x v="7"/>
    <x v="0"/>
    <x v="0"/>
    <x v="0"/>
  </r>
  <r>
    <s v="Analyzer Status changed from Busy to Ready."/>
    <x v="0"/>
    <x v="0"/>
    <x v="26"/>
    <d v="1899-12-30T00:53:49"/>
    <s v="Analyzer"/>
    <x v="7"/>
    <x v="0"/>
    <x v="0"/>
    <x v="0"/>
  </r>
  <r>
    <s v="Analyzer Status changed from Ready to Maintenance."/>
    <x v="0"/>
    <x v="0"/>
    <x v="26"/>
    <d v="1899-12-30T00:53:49"/>
    <s v="Analyzer"/>
    <x v="7"/>
    <x v="0"/>
    <x v="0"/>
    <x v="0"/>
  </r>
  <r>
    <s v="Analyzer Status changed from Maintenance to Ready."/>
    <x v="0"/>
    <x v="0"/>
    <x v="26"/>
    <d v="1899-12-30T00:54:16"/>
    <s v="Analyzer"/>
    <x v="7"/>
    <x v="0"/>
    <x v="0"/>
    <x v="0"/>
  </r>
  <r>
    <s v="Automatic maintenance activity Automatic Routine Clean for all Probes has been executed."/>
    <x v="2"/>
    <x v="0"/>
    <x v="26"/>
    <d v="1899-12-30T00:54:16"/>
    <s v="Maintenance"/>
    <x v="7"/>
    <x v="2"/>
    <x v="2"/>
    <x v="0"/>
  </r>
  <r>
    <s v="Analyzer Status changed from Ready to Busy."/>
    <x v="0"/>
    <x v="0"/>
    <x v="26"/>
    <d v="1899-12-30T01:01:31"/>
    <s v="Analyzer"/>
    <x v="7"/>
    <x v="0"/>
    <x v="0"/>
    <x v="0"/>
  </r>
  <r>
    <s v="Analyzer Status changed from Busy to Ready."/>
    <x v="0"/>
    <x v="0"/>
    <x v="26"/>
    <d v="1899-12-30T01:07:51"/>
    <s v="Analyzer"/>
    <x v="7"/>
    <x v="0"/>
    <x v="0"/>
    <x v="0"/>
  </r>
  <r>
    <s v="Analyzer Status changed from Ready to Maintenance."/>
    <x v="0"/>
    <x v="0"/>
    <x v="26"/>
    <d v="1899-12-30T01:07:51"/>
    <s v="Analyzer"/>
    <x v="7"/>
    <x v="0"/>
    <x v="0"/>
    <x v="0"/>
  </r>
  <r>
    <s v="Analyzer Status changed from Maintenance to Ready."/>
    <x v="0"/>
    <x v="0"/>
    <x v="26"/>
    <d v="1899-12-30T01:08:16"/>
    <s v="Analyzer"/>
    <x v="7"/>
    <x v="0"/>
    <x v="0"/>
    <x v="0"/>
  </r>
  <r>
    <s v="Automatic maintenance activity Automatic Routine Clean for all Probes has been executed."/>
    <x v="2"/>
    <x v="0"/>
    <x v="26"/>
    <d v="1899-12-30T01:08:16"/>
    <s v="Maintenance"/>
    <x v="7"/>
    <x v="2"/>
    <x v="2"/>
    <x v="0"/>
  </r>
  <r>
    <s v="Analyzer Status changed from Ready to Busy."/>
    <x v="0"/>
    <x v="0"/>
    <x v="26"/>
    <d v="1899-12-30T01:19:55"/>
    <s v="Analyzer"/>
    <x v="7"/>
    <x v="0"/>
    <x v="0"/>
    <x v="0"/>
  </r>
  <r>
    <s v="Analyzer Status changed from Busy to Ready."/>
    <x v="0"/>
    <x v="0"/>
    <x v="26"/>
    <d v="1899-12-30T01:22:47"/>
    <s v="Analyzer"/>
    <x v="7"/>
    <x v="0"/>
    <x v="0"/>
    <x v="0"/>
  </r>
  <r>
    <s v="Analyzer Status changed from Ready to Maintenance."/>
    <x v="0"/>
    <x v="0"/>
    <x v="26"/>
    <d v="1899-12-30T01:22:47"/>
    <s v="Analyzer"/>
    <x v="7"/>
    <x v="0"/>
    <x v="0"/>
    <x v="0"/>
  </r>
  <r>
    <s v="Analyzer Status changed from Maintenance to Ready."/>
    <x v="0"/>
    <x v="0"/>
    <x v="26"/>
    <d v="1899-12-30T01:23:12"/>
    <s v="Analyzer"/>
    <x v="7"/>
    <x v="0"/>
    <x v="0"/>
    <x v="0"/>
  </r>
  <r>
    <s v="Automatic maintenance activity Automatic Routine Clean for all Probes has been executed."/>
    <x v="2"/>
    <x v="0"/>
    <x v="26"/>
    <d v="1899-12-30T01:23:12"/>
    <s v="Maintenance"/>
    <x v="7"/>
    <x v="2"/>
    <x v="2"/>
    <x v="0"/>
  </r>
  <r>
    <s v="Non-identified Sample in rack 06 position 1, track 8."/>
    <x v="12"/>
    <x v="2"/>
    <x v="26"/>
    <d v="1899-12-30T02:18:15"/>
    <s v="Materials"/>
    <x v="7"/>
    <x v="4"/>
    <x v="7"/>
    <x v="1"/>
  </r>
  <r>
    <s v="Analyzer Status changed from Ready to Busy."/>
    <x v="0"/>
    <x v="0"/>
    <x v="26"/>
    <d v="1899-12-30T02:18:21"/>
    <s v="Analyzer"/>
    <x v="7"/>
    <x v="0"/>
    <x v="0"/>
    <x v="0"/>
  </r>
  <r>
    <s v="Analyzer Status changed from Busy to Ready."/>
    <x v="0"/>
    <x v="0"/>
    <x v="26"/>
    <d v="1899-12-30T02:21:33"/>
    <s v="Analyzer"/>
    <x v="7"/>
    <x v="0"/>
    <x v="0"/>
    <x v="0"/>
  </r>
  <r>
    <s v="Analyzer Status changed from Ready to Maintenance."/>
    <x v="0"/>
    <x v="0"/>
    <x v="26"/>
    <d v="1899-12-30T02:21:33"/>
    <s v="Analyzer"/>
    <x v="7"/>
    <x v="0"/>
    <x v="0"/>
    <x v="0"/>
  </r>
  <r>
    <s v="Automatic maintenance activity Automatic Routine Clean for all Probes has been executed."/>
    <x v="2"/>
    <x v="0"/>
    <x v="26"/>
    <d v="1899-12-30T02:21:59"/>
    <s v="Maintenance"/>
    <x v="7"/>
    <x v="2"/>
    <x v="2"/>
    <x v="0"/>
  </r>
  <r>
    <s v="Analyzer Status changed from Maintenance to Ready."/>
    <x v="0"/>
    <x v="0"/>
    <x v="26"/>
    <d v="1899-12-30T02:22:00"/>
    <s v="Analyzer"/>
    <x v="7"/>
    <x v="0"/>
    <x v="0"/>
    <x v="0"/>
  </r>
  <r>
    <s v="Analyzer Status changed from Ready to Busy."/>
    <x v="0"/>
    <x v="0"/>
    <x v="26"/>
    <d v="1899-12-30T02:34:03"/>
    <s v="Analyzer"/>
    <x v="7"/>
    <x v="0"/>
    <x v="0"/>
    <x v="0"/>
  </r>
  <r>
    <s v="Analyzer Status changed from Busy to Ready."/>
    <x v="0"/>
    <x v="0"/>
    <x v="26"/>
    <d v="1899-12-30T02:45:09"/>
    <s v="Analyzer"/>
    <x v="7"/>
    <x v="0"/>
    <x v="0"/>
    <x v="0"/>
  </r>
  <r>
    <s v="Analyzer Status changed from Ready to Maintenance."/>
    <x v="0"/>
    <x v="0"/>
    <x v="26"/>
    <d v="1899-12-30T02:45:09"/>
    <s v="Analyzer"/>
    <x v="7"/>
    <x v="0"/>
    <x v="0"/>
    <x v="0"/>
  </r>
  <r>
    <s v="Analyzer Status changed from Maintenance to Ready."/>
    <x v="0"/>
    <x v="0"/>
    <x v="26"/>
    <d v="1899-12-30T02:45:34"/>
    <s v="Analyzer"/>
    <x v="7"/>
    <x v="0"/>
    <x v="0"/>
    <x v="0"/>
  </r>
  <r>
    <s v="Automatic maintenance activity Automatic Routine Clean for all Probes has been executed."/>
    <x v="2"/>
    <x v="0"/>
    <x v="26"/>
    <d v="1899-12-30T02:45:34"/>
    <s v="Maintenance"/>
    <x v="7"/>
    <x v="2"/>
    <x v="2"/>
    <x v="0"/>
  </r>
  <r>
    <s v="Non-identified Sample in rack 01 position 1, track 11."/>
    <x v="12"/>
    <x v="2"/>
    <x v="26"/>
    <d v="1899-12-30T02:53:12"/>
    <s v="Materials"/>
    <x v="7"/>
    <x v="4"/>
    <x v="7"/>
    <x v="1"/>
  </r>
  <r>
    <s v="Analyzer Status changed from Ready to Busy."/>
    <x v="0"/>
    <x v="0"/>
    <x v="26"/>
    <d v="1899-12-30T02:53:17"/>
    <s v="Analyzer"/>
    <x v="7"/>
    <x v="0"/>
    <x v="0"/>
    <x v="0"/>
  </r>
  <r>
    <s v="Analyzer Status changed from Busy to Ready."/>
    <x v="0"/>
    <x v="0"/>
    <x v="26"/>
    <d v="1899-12-30T02:56:10"/>
    <s v="Analyzer"/>
    <x v="7"/>
    <x v="0"/>
    <x v="0"/>
    <x v="0"/>
  </r>
  <r>
    <s v="Analyzer Status changed from Ready to Maintenance."/>
    <x v="0"/>
    <x v="0"/>
    <x v="26"/>
    <d v="1899-12-30T02:56:10"/>
    <s v="Analyzer"/>
    <x v="7"/>
    <x v="0"/>
    <x v="0"/>
    <x v="0"/>
  </r>
  <r>
    <s v="Automatic maintenance activity Automatic Routine Clean for all Probes has been executed."/>
    <x v="2"/>
    <x v="0"/>
    <x v="26"/>
    <d v="1899-12-30T02:56:35"/>
    <s v="Maintenance"/>
    <x v="7"/>
    <x v="2"/>
    <x v="2"/>
    <x v="0"/>
  </r>
  <r>
    <s v="Analyzer Status changed from Maintenance to Ready."/>
    <x v="0"/>
    <x v="0"/>
    <x v="26"/>
    <d v="1899-12-30T02:56:36"/>
    <s v="Analyzer"/>
    <x v="7"/>
    <x v="0"/>
    <x v="0"/>
    <x v="0"/>
  </r>
  <r>
    <s v="Analyzer Status changed from Ready to Busy."/>
    <x v="0"/>
    <x v="0"/>
    <x v="26"/>
    <d v="1899-12-30T03:03:19"/>
    <s v="Analyzer"/>
    <x v="7"/>
    <x v="0"/>
    <x v="0"/>
    <x v="0"/>
  </r>
  <r>
    <s v="Analyzer Status changed from Busy to Ready."/>
    <x v="0"/>
    <x v="0"/>
    <x v="26"/>
    <d v="1899-12-30T03:10:43"/>
    <s v="Analyzer"/>
    <x v="7"/>
    <x v="0"/>
    <x v="0"/>
    <x v="0"/>
  </r>
  <r>
    <s v="Analyzer Status changed from Ready to Maintenance."/>
    <x v="0"/>
    <x v="0"/>
    <x v="26"/>
    <d v="1899-12-30T03:10:43"/>
    <s v="Analyzer"/>
    <x v="7"/>
    <x v="0"/>
    <x v="0"/>
    <x v="0"/>
  </r>
  <r>
    <s v="Analyzer Status changed from Maintenance to Ready."/>
    <x v="0"/>
    <x v="0"/>
    <x v="26"/>
    <d v="1899-12-30T03:11:08"/>
    <s v="Analyzer"/>
    <x v="7"/>
    <x v="0"/>
    <x v="0"/>
    <x v="0"/>
  </r>
  <r>
    <s v="Automatic maintenance activity Automatic Routine Clean for all Probes has been executed."/>
    <x v="2"/>
    <x v="0"/>
    <x v="26"/>
    <d v="1899-12-30T03:11:08"/>
    <s v="Maintenance"/>
    <x v="7"/>
    <x v="2"/>
    <x v="2"/>
    <x v="0"/>
  </r>
  <r>
    <s v="Analyzer Status changed from Ready to Busy."/>
    <x v="0"/>
    <x v="0"/>
    <x v="26"/>
    <d v="1899-12-30T03:20:59"/>
    <s v="Analyzer"/>
    <x v="7"/>
    <x v="0"/>
    <x v="0"/>
    <x v="0"/>
  </r>
  <r>
    <s v="Rinse solution level low."/>
    <x v="1"/>
    <x v="1"/>
    <x v="26"/>
    <d v="1899-12-30T03:23:10"/>
    <s v="Materials"/>
    <x v="7"/>
    <x v="1"/>
    <x v="1"/>
    <x v="0"/>
  </r>
  <r>
    <s v="Fib-C volume low."/>
    <x v="7"/>
    <x v="1"/>
    <x v="26"/>
    <d v="1899-12-30T03:26:05"/>
    <s v="Materials"/>
    <x v="7"/>
    <x v="3"/>
    <x v="4"/>
    <x v="0"/>
  </r>
  <r>
    <s v="Cuvette waste almost full."/>
    <x v="50"/>
    <x v="1"/>
    <x v="26"/>
    <d v="1899-12-30T03:28:16"/>
    <s v="Materials"/>
    <x v="7"/>
    <x v="5"/>
    <x v="11"/>
    <x v="0"/>
  </r>
  <r>
    <s v="Analyzer Status changed from Busy to Ready."/>
    <x v="0"/>
    <x v="0"/>
    <x v="26"/>
    <d v="1899-12-30T03:31:53"/>
    <s v="Analyzer"/>
    <x v="7"/>
    <x v="0"/>
    <x v="0"/>
    <x v="0"/>
  </r>
  <r>
    <s v="Analyzer Status changed from Ready to Maintenance."/>
    <x v="0"/>
    <x v="0"/>
    <x v="26"/>
    <d v="1899-12-30T03:31:53"/>
    <s v="Analyzer"/>
    <x v="7"/>
    <x v="0"/>
    <x v="0"/>
    <x v="0"/>
  </r>
  <r>
    <s v="Analyzer Status changed from Maintenance to Ready."/>
    <x v="0"/>
    <x v="0"/>
    <x v="26"/>
    <d v="1899-12-30T03:32:18"/>
    <s v="Analyzer"/>
    <x v="7"/>
    <x v="0"/>
    <x v="0"/>
    <x v="0"/>
  </r>
  <r>
    <s v="Automatic maintenance activity Automatic Routine Clean for all Probes has been executed."/>
    <x v="2"/>
    <x v="0"/>
    <x v="26"/>
    <d v="1899-12-30T03:32:18"/>
    <s v="Maintenance"/>
    <x v="7"/>
    <x v="2"/>
    <x v="2"/>
    <x v="0"/>
  </r>
  <r>
    <s v="Analyzer Status changed from Ready to Busy."/>
    <x v="0"/>
    <x v="0"/>
    <x v="26"/>
    <d v="1899-12-30T03:53:03"/>
    <s v="Analyzer"/>
    <x v="7"/>
    <x v="0"/>
    <x v="0"/>
    <x v="0"/>
  </r>
  <r>
    <s v="Analyzer Status changed from Busy to Ready."/>
    <x v="0"/>
    <x v="0"/>
    <x v="26"/>
    <d v="1899-12-30T03:56:43"/>
    <s v="Analyzer"/>
    <x v="7"/>
    <x v="0"/>
    <x v="0"/>
    <x v="0"/>
  </r>
  <r>
    <s v="Analyzer Status changed from Ready to Maintenance."/>
    <x v="0"/>
    <x v="0"/>
    <x v="26"/>
    <d v="1899-12-30T03:56:43"/>
    <s v="Analyzer"/>
    <x v="7"/>
    <x v="0"/>
    <x v="0"/>
    <x v="0"/>
  </r>
  <r>
    <s v="Analyzer Status changed from Maintenance to Ready."/>
    <x v="0"/>
    <x v="0"/>
    <x v="26"/>
    <d v="1899-12-30T03:57:10"/>
    <s v="Analyzer"/>
    <x v="7"/>
    <x v="0"/>
    <x v="0"/>
    <x v="0"/>
  </r>
  <r>
    <s v="Automatic maintenance activity Automatic Routine Clean for all Probes has been executed."/>
    <x v="2"/>
    <x v="0"/>
    <x v="26"/>
    <d v="1899-12-30T03:57:10"/>
    <s v="Maintenance"/>
    <x v="7"/>
    <x v="2"/>
    <x v="2"/>
    <x v="0"/>
  </r>
  <r>
    <s v="Analyzer Status changed from Ready to Busy."/>
    <x v="0"/>
    <x v="0"/>
    <x v="26"/>
    <d v="1899-12-30T04:05:57"/>
    <s v="Analyzer"/>
    <x v="7"/>
    <x v="0"/>
    <x v="0"/>
    <x v="0"/>
  </r>
  <r>
    <s v="Analyzer Status changed from Busy to Ready."/>
    <x v="0"/>
    <x v="0"/>
    <x v="26"/>
    <d v="1899-12-30T04:13:40"/>
    <s v="Analyzer"/>
    <x v="7"/>
    <x v="0"/>
    <x v="0"/>
    <x v="0"/>
  </r>
  <r>
    <s v="Analyzer Status changed from Ready to Maintenance."/>
    <x v="0"/>
    <x v="0"/>
    <x v="26"/>
    <d v="1899-12-30T04:13:41"/>
    <s v="Analyzer"/>
    <x v="7"/>
    <x v="0"/>
    <x v="0"/>
    <x v="0"/>
  </r>
  <r>
    <s v="Analyzer Status changed from Maintenance to Ready."/>
    <x v="0"/>
    <x v="0"/>
    <x v="26"/>
    <d v="1899-12-30T04:14:11"/>
    <s v="Analyzer"/>
    <x v="7"/>
    <x v="0"/>
    <x v="0"/>
    <x v="0"/>
  </r>
  <r>
    <s v="Automatic maintenance activity Automatic Routine Clean for all Probes has been executed."/>
    <x v="2"/>
    <x v="0"/>
    <x v="26"/>
    <d v="1899-12-30T04:14:11"/>
    <s v="Maintenance"/>
    <x v="7"/>
    <x v="2"/>
    <x v="2"/>
    <x v="0"/>
  </r>
  <r>
    <s v="Cuvettes waste drawer missing."/>
    <x v="29"/>
    <x v="2"/>
    <x v="26"/>
    <d v="1899-12-30T04:21:15"/>
    <s v="Materials"/>
    <x v="7"/>
    <x v="5"/>
    <x v="11"/>
    <x v="0"/>
  </r>
  <r>
    <s v="Analyzer Status changed from Ready to Error."/>
    <x v="0"/>
    <x v="0"/>
    <x v="26"/>
    <d v="1899-12-30T04:21:15"/>
    <s v="Analyzer"/>
    <x v="7"/>
    <x v="0"/>
    <x v="0"/>
    <x v="0"/>
  </r>
  <r>
    <s v="Analyzer Status changed from Error to Ready."/>
    <x v="0"/>
    <x v="0"/>
    <x v="26"/>
    <d v="1899-12-30T04:22:04"/>
    <s v="Analyzer"/>
    <x v="7"/>
    <x v="0"/>
    <x v="0"/>
    <x v="0"/>
  </r>
  <r>
    <s v="Rinse solution bottle empty."/>
    <x v="63"/>
    <x v="2"/>
    <x v="26"/>
    <d v="1899-12-30T04:28:41"/>
    <s v="Materials"/>
    <x v="7"/>
    <x v="1"/>
    <x v="1"/>
    <x v="0"/>
  </r>
  <r>
    <s v="Analyzer Status changed from Ready to Error."/>
    <x v="0"/>
    <x v="0"/>
    <x v="26"/>
    <d v="1899-12-30T04:28:41"/>
    <s v="Analyzer"/>
    <x v="7"/>
    <x v="0"/>
    <x v="0"/>
    <x v="0"/>
  </r>
  <r>
    <s v="Analyzer Status changed from Error to Ready."/>
    <x v="0"/>
    <x v="0"/>
    <x v="26"/>
    <d v="1899-12-30T04:31:06"/>
    <s v="Analyzer"/>
    <x v="7"/>
    <x v="0"/>
    <x v="0"/>
    <x v="0"/>
  </r>
  <r>
    <s v="Duplicated Test Order for 30700412C received from host (LIS # 131)."/>
    <x v="74"/>
    <x v="1"/>
    <x v="26"/>
    <d v="1899-12-30T04:31:33"/>
    <s v="LIS"/>
    <x v="7"/>
    <x v="2"/>
    <x v="6"/>
    <x v="0"/>
  </r>
  <r>
    <s v="Duplicated Test Order for 30700412C received from host (LIS # 921)."/>
    <x v="74"/>
    <x v="1"/>
    <x v="26"/>
    <d v="1899-12-30T04:31:33"/>
    <s v="LIS"/>
    <x v="7"/>
    <x v="2"/>
    <x v="6"/>
    <x v="0"/>
  </r>
  <r>
    <s v="Analyzer Status changed from Ready to Busy."/>
    <x v="0"/>
    <x v="0"/>
    <x v="26"/>
    <d v="1899-12-30T04:31:38"/>
    <s v="Analyzer"/>
    <x v="7"/>
    <x v="0"/>
    <x v="0"/>
    <x v="0"/>
  </r>
  <r>
    <s v="Analyzer Status changed from Busy to Ready."/>
    <x v="0"/>
    <x v="0"/>
    <x v="26"/>
    <d v="1899-12-30T04:37:14"/>
    <s v="Analyzer"/>
    <x v="7"/>
    <x v="0"/>
    <x v="0"/>
    <x v="0"/>
  </r>
  <r>
    <s v="Analyzer Status changed from Ready to Maintenance."/>
    <x v="0"/>
    <x v="0"/>
    <x v="26"/>
    <d v="1899-12-30T04:37:15"/>
    <s v="Analyzer"/>
    <x v="7"/>
    <x v="0"/>
    <x v="0"/>
    <x v="0"/>
  </r>
  <r>
    <s v="Analyzer Status changed from Maintenance to Ready."/>
    <x v="0"/>
    <x v="0"/>
    <x v="26"/>
    <d v="1899-12-30T04:37:39"/>
    <s v="Analyzer"/>
    <x v="7"/>
    <x v="0"/>
    <x v="0"/>
    <x v="0"/>
  </r>
  <r>
    <s v="Automatic maintenance activity Automatic Routine Clean for all Probes has been executed."/>
    <x v="2"/>
    <x v="0"/>
    <x v="26"/>
    <d v="1899-12-30T04:37:39"/>
    <s v="Maintenance"/>
    <x v="7"/>
    <x v="2"/>
    <x v="2"/>
    <x v="0"/>
  </r>
  <r>
    <s v="Analyzer Status changed from Ready to Busy."/>
    <x v="0"/>
    <x v="0"/>
    <x v="26"/>
    <d v="1899-12-30T04:48:02"/>
    <s v="Analyzer"/>
    <x v="7"/>
    <x v="0"/>
    <x v="0"/>
    <x v="0"/>
  </r>
  <r>
    <s v="Waste tank almost full."/>
    <x v="39"/>
    <x v="1"/>
    <x v="26"/>
    <d v="1899-12-30T04:52:43"/>
    <s v="Materials"/>
    <x v="7"/>
    <x v="1"/>
    <x v="14"/>
    <x v="0"/>
  </r>
  <r>
    <s v="Waste tank almost full."/>
    <x v="39"/>
    <x v="1"/>
    <x v="26"/>
    <d v="1899-12-30T04:56:53"/>
    <s v="Materials"/>
    <x v="7"/>
    <x v="1"/>
    <x v="14"/>
    <x v="0"/>
  </r>
  <r>
    <s v="Analyzer Status changed from Busy to Ready."/>
    <x v="0"/>
    <x v="0"/>
    <x v="26"/>
    <d v="1899-12-30T04:57:28"/>
    <s v="Analyzer"/>
    <x v="7"/>
    <x v="0"/>
    <x v="0"/>
    <x v="0"/>
  </r>
  <r>
    <s v="Analyzer Status changed from Ready to Maintenance."/>
    <x v="0"/>
    <x v="0"/>
    <x v="26"/>
    <d v="1899-12-30T04:57:28"/>
    <s v="Analyzer"/>
    <x v="7"/>
    <x v="0"/>
    <x v="0"/>
    <x v="0"/>
  </r>
  <r>
    <s v="Analyzer Status changed from Maintenance to Ready."/>
    <x v="0"/>
    <x v="0"/>
    <x v="26"/>
    <d v="1899-12-30T04:57:54"/>
    <s v="Analyzer"/>
    <x v="7"/>
    <x v="0"/>
    <x v="0"/>
    <x v="0"/>
  </r>
  <r>
    <s v="Automatic maintenance activity Automatic Routine Clean for all Probes has been executed."/>
    <x v="2"/>
    <x v="0"/>
    <x v="26"/>
    <d v="1899-12-30T04:57:54"/>
    <s v="Maintenance"/>
    <x v="7"/>
    <x v="2"/>
    <x v="2"/>
    <x v="0"/>
  </r>
  <r>
    <s v="Anti Chromogenic Sub volume low."/>
    <x v="7"/>
    <x v="1"/>
    <x v="26"/>
    <d v="1899-12-30T05:03:33"/>
    <s v="Materials"/>
    <x v="7"/>
    <x v="3"/>
    <x v="4"/>
    <x v="0"/>
  </r>
  <r>
    <s v="Anti Factor Xa Rgt. volume low."/>
    <x v="7"/>
    <x v="1"/>
    <x v="26"/>
    <d v="1899-12-30T05:04:26"/>
    <s v="Materials"/>
    <x v="7"/>
    <x v="3"/>
    <x v="4"/>
    <x v="0"/>
  </r>
  <r>
    <s v="D-Dimer Low Control volume low."/>
    <x v="7"/>
    <x v="1"/>
    <x v="26"/>
    <d v="1899-12-30T05:08:43"/>
    <s v="Materials"/>
    <x v="7"/>
    <x v="3"/>
    <x v="4"/>
    <x v="0"/>
  </r>
  <r>
    <s v="High Abn C. Assayed volume low."/>
    <x v="7"/>
    <x v="1"/>
    <x v="26"/>
    <d v="1899-12-30T05:09:02"/>
    <s v="Materials"/>
    <x v="7"/>
    <x v="3"/>
    <x v="4"/>
    <x v="0"/>
  </r>
  <r>
    <s v="Normal C. Assayed insufficient material to run additional calibration / test."/>
    <x v="32"/>
    <x v="2"/>
    <x v="26"/>
    <d v="1899-12-30T05:09:09"/>
    <s v="Materials"/>
    <x v="7"/>
    <x v="3"/>
    <x v="4"/>
    <x v="0"/>
  </r>
  <r>
    <s v="Waste tank almost full."/>
    <x v="39"/>
    <x v="1"/>
    <x v="26"/>
    <d v="1899-12-30T05:10:48"/>
    <s v="Materials"/>
    <x v="7"/>
    <x v="1"/>
    <x v="14"/>
    <x v="0"/>
  </r>
  <r>
    <s v="D-Dimer Low Control volume low."/>
    <x v="7"/>
    <x v="1"/>
    <x v="26"/>
    <d v="1899-12-30T05:11:11"/>
    <s v="Materials"/>
    <x v="7"/>
    <x v="3"/>
    <x v="4"/>
    <x v="0"/>
  </r>
  <r>
    <s v="High Abn C. Assayed volume low."/>
    <x v="7"/>
    <x v="1"/>
    <x v="26"/>
    <d v="1899-12-30T05:11:11"/>
    <s v="Materials"/>
    <x v="7"/>
    <x v="3"/>
    <x v="4"/>
    <x v="0"/>
  </r>
  <r>
    <s v="Waste tank almost full."/>
    <x v="39"/>
    <x v="1"/>
    <x v="26"/>
    <d v="1899-12-30T05:12:57"/>
    <s v="Materials"/>
    <x v="7"/>
    <x v="1"/>
    <x v="14"/>
    <x v="0"/>
  </r>
  <r>
    <s v="Non-identified Sample in rack 01 position 1, track 12."/>
    <x v="12"/>
    <x v="2"/>
    <x v="26"/>
    <d v="1899-12-30T05:13:45"/>
    <s v="Materials"/>
    <x v="7"/>
    <x v="4"/>
    <x v="7"/>
    <x v="1"/>
  </r>
  <r>
    <s v="Analyzer Status changed from Ready to Busy."/>
    <x v="0"/>
    <x v="0"/>
    <x v="26"/>
    <d v="1899-12-30T05:13:51"/>
    <s v="Analyzer"/>
    <x v="7"/>
    <x v="0"/>
    <x v="0"/>
    <x v="0"/>
  </r>
  <r>
    <s v="Analyzer Status changed from Busy to Ready."/>
    <x v="0"/>
    <x v="0"/>
    <x v="26"/>
    <d v="1899-12-30T05:19:49"/>
    <s v="Analyzer"/>
    <x v="7"/>
    <x v="0"/>
    <x v="0"/>
    <x v="0"/>
  </r>
  <r>
    <s v="Analyzer Status changed from Ready to Maintenance."/>
    <x v="0"/>
    <x v="0"/>
    <x v="26"/>
    <d v="1899-12-30T05:19:49"/>
    <s v="Analyzer"/>
    <x v="7"/>
    <x v="0"/>
    <x v="0"/>
    <x v="0"/>
  </r>
  <r>
    <s v="Analyzer Status changed from Maintenance to Ready."/>
    <x v="0"/>
    <x v="0"/>
    <x v="26"/>
    <d v="1899-12-30T05:20:13"/>
    <s v="Analyzer"/>
    <x v="7"/>
    <x v="0"/>
    <x v="0"/>
    <x v="0"/>
  </r>
  <r>
    <s v="Automatic maintenance activity Automatic Routine Clean for all Probes has been executed."/>
    <x v="2"/>
    <x v="0"/>
    <x v="26"/>
    <d v="1899-12-30T05:20:13"/>
    <s v="Maintenance"/>
    <x v="7"/>
    <x v="2"/>
    <x v="2"/>
    <x v="0"/>
  </r>
  <r>
    <s v="Non-identified Sample in rack 11 position 1, track 6."/>
    <x v="12"/>
    <x v="2"/>
    <x v="26"/>
    <d v="1899-12-30T05:25:01"/>
    <s v="Materials"/>
    <x v="7"/>
    <x v="4"/>
    <x v="7"/>
    <x v="1"/>
  </r>
  <r>
    <s v="Non-identified Sample in rack 11 position 2, track 6."/>
    <x v="12"/>
    <x v="2"/>
    <x v="26"/>
    <d v="1899-12-30T05:25:01"/>
    <s v="Materials"/>
    <x v="7"/>
    <x v="4"/>
    <x v="7"/>
    <x v="1"/>
  </r>
  <r>
    <s v="Non-identified Sample in rack 11 position 3, track 6."/>
    <x v="12"/>
    <x v="2"/>
    <x v="26"/>
    <d v="1899-12-30T05:25:01"/>
    <s v="Materials"/>
    <x v="7"/>
    <x v="4"/>
    <x v="7"/>
    <x v="1"/>
  </r>
  <r>
    <s v="Non-identified Sample in rack 11 position 4, track 6."/>
    <x v="12"/>
    <x v="2"/>
    <x v="26"/>
    <d v="1899-12-30T05:25:01"/>
    <s v="Materials"/>
    <x v="7"/>
    <x v="4"/>
    <x v="7"/>
    <x v="1"/>
  </r>
  <r>
    <s v="Non-identified Sample in rack 11 position 5, track 6."/>
    <x v="12"/>
    <x v="2"/>
    <x v="26"/>
    <d v="1899-12-30T05:25:01"/>
    <s v="Materials"/>
    <x v="7"/>
    <x v="4"/>
    <x v="7"/>
    <x v="1"/>
  </r>
  <r>
    <s v="Non-identified Sample in rack 11 position 6, track 6."/>
    <x v="12"/>
    <x v="2"/>
    <x v="26"/>
    <d v="1899-12-30T05:25:01"/>
    <s v="Materials"/>
    <x v="7"/>
    <x v="4"/>
    <x v="7"/>
    <x v="1"/>
  </r>
  <r>
    <s v="Analyzer Status changed from Ready to Busy."/>
    <x v="0"/>
    <x v="0"/>
    <x v="26"/>
    <d v="1899-12-30T05:25:20"/>
    <s v="Analyzer"/>
    <x v="7"/>
    <x v="0"/>
    <x v="0"/>
    <x v="0"/>
  </r>
  <r>
    <s v="QC Failed: Fib-C-Low Fib Control"/>
    <x v="28"/>
    <x v="2"/>
    <x v="26"/>
    <d v="1899-12-30T05:30:32"/>
    <s v="QC"/>
    <x v="7"/>
    <x v="2"/>
    <x v="3"/>
    <x v="0"/>
  </r>
  <r>
    <s v="Analyzer Status changed from Busy to Ready."/>
    <x v="0"/>
    <x v="0"/>
    <x v="26"/>
    <d v="1899-12-30T05:31:11"/>
    <s v="Analyzer"/>
    <x v="7"/>
    <x v="0"/>
    <x v="0"/>
    <x v="0"/>
  </r>
  <r>
    <s v="Analyzer Status changed from Ready to Maintenance."/>
    <x v="0"/>
    <x v="0"/>
    <x v="26"/>
    <d v="1899-12-30T05:31:11"/>
    <s v="Analyzer"/>
    <x v="7"/>
    <x v="0"/>
    <x v="0"/>
    <x v="0"/>
  </r>
  <r>
    <s v="Analyzer Status changed from Maintenance to Ready."/>
    <x v="0"/>
    <x v="0"/>
    <x v="26"/>
    <d v="1899-12-30T05:31:37"/>
    <s v="Analyzer"/>
    <x v="7"/>
    <x v="0"/>
    <x v="0"/>
    <x v="0"/>
  </r>
  <r>
    <s v="Automatic maintenance activity Automatic Routine Clean for all Probes has been executed."/>
    <x v="2"/>
    <x v="0"/>
    <x v="26"/>
    <d v="1899-12-30T05:31:37"/>
    <s v="Maintenance"/>
    <x v="7"/>
    <x v="2"/>
    <x v="2"/>
    <x v="0"/>
  </r>
  <r>
    <s v="Non-identified Sample in rack 12 position 1, track 9."/>
    <x v="12"/>
    <x v="2"/>
    <x v="26"/>
    <d v="1899-12-30T05:32:27"/>
    <s v="Materials"/>
    <x v="7"/>
    <x v="4"/>
    <x v="7"/>
    <x v="1"/>
  </r>
  <r>
    <s v="Analyzer Status changed from Ready to Busy."/>
    <x v="0"/>
    <x v="0"/>
    <x v="26"/>
    <d v="1899-12-30T05:32:36"/>
    <s v="Analyzer"/>
    <x v="7"/>
    <x v="0"/>
    <x v="0"/>
    <x v="0"/>
  </r>
  <r>
    <s v="Duplicated Test Order for 30700245B received from host (LIS # 131)."/>
    <x v="74"/>
    <x v="1"/>
    <x v="26"/>
    <d v="1899-12-30T05:32:50"/>
    <s v="LIS"/>
    <x v="7"/>
    <x v="2"/>
    <x v="6"/>
    <x v="0"/>
  </r>
  <r>
    <s v="Duplicated Test Order for 30700229C received from host (LIS # 131)."/>
    <x v="74"/>
    <x v="1"/>
    <x v="26"/>
    <d v="1899-12-30T05:32:50"/>
    <s v="LIS"/>
    <x v="7"/>
    <x v="2"/>
    <x v="6"/>
    <x v="0"/>
  </r>
  <r>
    <s v="Duplicated Test Order for 30700235C received from host (LIS # 131)."/>
    <x v="74"/>
    <x v="1"/>
    <x v="26"/>
    <d v="1899-12-30T05:32:50"/>
    <s v="LIS"/>
    <x v="7"/>
    <x v="2"/>
    <x v="6"/>
    <x v="0"/>
  </r>
  <r>
    <s v="Duplicated Test Order for 30700290A received from host (LIS # 131)."/>
    <x v="74"/>
    <x v="1"/>
    <x v="26"/>
    <d v="1899-12-30T05:32:50"/>
    <s v="LIS"/>
    <x v="7"/>
    <x v="2"/>
    <x v="6"/>
    <x v="0"/>
  </r>
  <r>
    <s v="Duplicated Test Order for 30700419D received from host (LIS # 131)."/>
    <x v="74"/>
    <x v="1"/>
    <x v="26"/>
    <d v="1899-12-30T05:32:50"/>
    <s v="LIS"/>
    <x v="7"/>
    <x v="2"/>
    <x v="6"/>
    <x v="0"/>
  </r>
  <r>
    <s v="Analyzer Status changed from Busy to Ready."/>
    <x v="0"/>
    <x v="0"/>
    <x v="26"/>
    <d v="1899-12-30T05:38:07"/>
    <s v="Analyzer"/>
    <x v="7"/>
    <x v="0"/>
    <x v="0"/>
    <x v="0"/>
  </r>
  <r>
    <s v="Analyzer Status changed from Ready to Maintenance."/>
    <x v="0"/>
    <x v="0"/>
    <x v="26"/>
    <d v="1899-12-30T05:38:08"/>
    <s v="Analyzer"/>
    <x v="7"/>
    <x v="0"/>
    <x v="0"/>
    <x v="0"/>
  </r>
  <r>
    <s v="Analyzer Status changed from Maintenance to Ready."/>
    <x v="0"/>
    <x v="0"/>
    <x v="26"/>
    <d v="1899-12-30T05:38:39"/>
    <s v="Analyzer"/>
    <x v="7"/>
    <x v="0"/>
    <x v="0"/>
    <x v="0"/>
  </r>
  <r>
    <s v="Automatic maintenance activity Automatic Routine Clean for all Probes has been executed."/>
    <x v="2"/>
    <x v="0"/>
    <x v="26"/>
    <d v="1899-12-30T05:38:39"/>
    <s v="Maintenance"/>
    <x v="7"/>
    <x v="2"/>
    <x v="2"/>
    <x v="0"/>
  </r>
  <r>
    <s v="Analyzer Status changed from Ready to Error."/>
    <x v="0"/>
    <x v="0"/>
    <x v="26"/>
    <d v="1899-12-30T05:39:59"/>
    <s v="Analyzer"/>
    <x v="7"/>
    <x v="0"/>
    <x v="0"/>
    <x v="0"/>
  </r>
  <r>
    <s v="Waste tank not present."/>
    <x v="41"/>
    <x v="2"/>
    <x v="26"/>
    <d v="1899-12-30T05:39:59"/>
    <s v="Materials"/>
    <x v="7"/>
    <x v="1"/>
    <x v="14"/>
    <x v="0"/>
  </r>
  <r>
    <s v="Analyzer Status changed from Error to Ready."/>
    <x v="0"/>
    <x v="0"/>
    <x v="26"/>
    <d v="1899-12-30T05:41:48"/>
    <s v="Analyzer"/>
    <x v="7"/>
    <x v="0"/>
    <x v="0"/>
    <x v="0"/>
  </r>
  <r>
    <s v="Analyzer Status changed from Ready to Busy."/>
    <x v="0"/>
    <x v="0"/>
    <x v="26"/>
    <d v="1899-12-30T05:41:59"/>
    <s v="Analyzer"/>
    <x v="7"/>
    <x v="0"/>
    <x v="0"/>
    <x v="0"/>
  </r>
  <r>
    <s v="Analyzer Status changed from Busy to Ready."/>
    <x v="0"/>
    <x v="0"/>
    <x v="26"/>
    <d v="1899-12-30T05:45:03"/>
    <s v="Analyzer"/>
    <x v="7"/>
    <x v="0"/>
    <x v="0"/>
    <x v="0"/>
  </r>
  <r>
    <s v="Analyzer Status changed from Ready to Maintenance."/>
    <x v="0"/>
    <x v="0"/>
    <x v="26"/>
    <d v="1899-12-30T05:45:03"/>
    <s v="Analyzer"/>
    <x v="7"/>
    <x v="0"/>
    <x v="0"/>
    <x v="0"/>
  </r>
  <r>
    <s v="Analyzer Status changed from Maintenance to Ready."/>
    <x v="0"/>
    <x v="0"/>
    <x v="26"/>
    <d v="1899-12-30T05:45:29"/>
    <s v="Analyzer"/>
    <x v="7"/>
    <x v="0"/>
    <x v="0"/>
    <x v="0"/>
  </r>
  <r>
    <s v="Automatic maintenance activity Automatic Routine Clean for all Probes has been executed."/>
    <x v="2"/>
    <x v="0"/>
    <x v="26"/>
    <d v="1899-12-30T05:45:29"/>
    <s v="Maintenance"/>
    <x v="7"/>
    <x v="2"/>
    <x v="2"/>
    <x v="0"/>
  </r>
  <r>
    <s v="Non-identified Sample in rack 11 position 1, track 6."/>
    <x v="12"/>
    <x v="2"/>
    <x v="26"/>
    <d v="1899-12-30T05:46:21"/>
    <s v="Materials"/>
    <x v="7"/>
    <x v="4"/>
    <x v="7"/>
    <x v="1"/>
  </r>
  <r>
    <s v="Analyzer Status changed from Ready to Busy."/>
    <x v="0"/>
    <x v="0"/>
    <x v="26"/>
    <d v="1899-12-30T05:46:28"/>
    <s v="Analyzer"/>
    <x v="7"/>
    <x v="0"/>
    <x v="0"/>
    <x v="0"/>
  </r>
  <r>
    <s v="Analyzer Status changed from Busy to Ready."/>
    <x v="0"/>
    <x v="0"/>
    <x v="26"/>
    <d v="1899-12-30T05:49:30"/>
    <s v="Analyzer"/>
    <x v="7"/>
    <x v="0"/>
    <x v="0"/>
    <x v="0"/>
  </r>
  <r>
    <s v="Analyzer Status changed from Ready to Maintenance."/>
    <x v="0"/>
    <x v="0"/>
    <x v="26"/>
    <d v="1899-12-30T05:49:30"/>
    <s v="Analyzer"/>
    <x v="7"/>
    <x v="0"/>
    <x v="0"/>
    <x v="0"/>
  </r>
  <r>
    <s v="Analyzer Status changed from Maintenance to Ready."/>
    <x v="0"/>
    <x v="0"/>
    <x v="26"/>
    <d v="1899-12-30T05:49:54"/>
    <s v="Analyzer"/>
    <x v="7"/>
    <x v="0"/>
    <x v="0"/>
    <x v="0"/>
  </r>
  <r>
    <s v="Automatic maintenance activity Automatic Routine Clean for all Probes has been executed."/>
    <x v="2"/>
    <x v="0"/>
    <x v="26"/>
    <d v="1899-12-30T05:49:54"/>
    <s v="Maintenance"/>
    <x v="7"/>
    <x v="2"/>
    <x v="2"/>
    <x v="0"/>
  </r>
  <r>
    <s v="Non-identified Sample in rack 12 position 2, track 8."/>
    <x v="12"/>
    <x v="2"/>
    <x v="26"/>
    <d v="1899-12-30T05:50:00"/>
    <s v="Materials"/>
    <x v="7"/>
    <x v="4"/>
    <x v="7"/>
    <x v="1"/>
  </r>
  <r>
    <s v="Analyzer Status changed from Ready to Busy."/>
    <x v="0"/>
    <x v="0"/>
    <x v="26"/>
    <d v="1899-12-30T05:50:09"/>
    <s v="Analyzer"/>
    <x v="7"/>
    <x v="0"/>
    <x v="0"/>
    <x v="0"/>
  </r>
  <r>
    <s v="Duplicated Test Order for 30700438A received from host (LIS # 2011)."/>
    <x v="74"/>
    <x v="1"/>
    <x v="26"/>
    <d v="1899-12-30T05:50:17"/>
    <s v="LIS"/>
    <x v="7"/>
    <x v="2"/>
    <x v="6"/>
    <x v="0"/>
  </r>
  <r>
    <s v="Duplicated Test Order for 30700438A received from host (LIS # 2241)."/>
    <x v="74"/>
    <x v="1"/>
    <x v="26"/>
    <d v="1899-12-30T05:50:18"/>
    <s v="LIS"/>
    <x v="7"/>
    <x v="2"/>
    <x v="6"/>
    <x v="0"/>
  </r>
  <r>
    <s v="Analyzer Status changed from Busy to Ready."/>
    <x v="0"/>
    <x v="0"/>
    <x v="26"/>
    <d v="1899-12-30T05:58:24"/>
    <s v="Analyzer"/>
    <x v="7"/>
    <x v="0"/>
    <x v="0"/>
    <x v="0"/>
  </r>
  <r>
    <s v="Analyzer Status changed from Ready to Maintenance."/>
    <x v="0"/>
    <x v="0"/>
    <x v="26"/>
    <d v="1899-12-30T05:58:24"/>
    <s v="Analyzer"/>
    <x v="7"/>
    <x v="0"/>
    <x v="0"/>
    <x v="0"/>
  </r>
  <r>
    <s v="Automatic maintenance activity Automatic Routine Clean for all Probes has been executed."/>
    <x v="2"/>
    <x v="0"/>
    <x v="26"/>
    <d v="1899-12-30T05:58:51"/>
    <s v="Maintenance"/>
    <x v="7"/>
    <x v="2"/>
    <x v="2"/>
    <x v="0"/>
  </r>
  <r>
    <s v="Analyzer Status changed from Maintenance to Ready."/>
    <x v="0"/>
    <x v="0"/>
    <x v="26"/>
    <d v="1899-12-30T05:58:52"/>
    <s v="Analyzer"/>
    <x v="7"/>
    <x v="0"/>
    <x v="0"/>
    <x v="0"/>
  </r>
  <r>
    <s v="Analyzer Status changed from Ready to Busy."/>
    <x v="0"/>
    <x v="0"/>
    <x v="26"/>
    <d v="1899-12-30T05:59:47"/>
    <s v="Analyzer"/>
    <x v="7"/>
    <x v="0"/>
    <x v="0"/>
    <x v="0"/>
  </r>
  <r>
    <s v="Analyzer Status changed from Busy to Ready."/>
    <x v="0"/>
    <x v="0"/>
    <x v="26"/>
    <d v="1899-12-30T06:05:29"/>
    <s v="Analyzer"/>
    <x v="7"/>
    <x v="0"/>
    <x v="0"/>
    <x v="0"/>
  </r>
  <r>
    <s v="Analyzer Status changed from Ready to Maintenance."/>
    <x v="0"/>
    <x v="0"/>
    <x v="26"/>
    <d v="1899-12-30T06:05:29"/>
    <s v="Analyzer"/>
    <x v="7"/>
    <x v="0"/>
    <x v="0"/>
    <x v="0"/>
  </r>
  <r>
    <s v="Automatic maintenance activity Automatic Routine Clean for all Probes has been executed."/>
    <x v="2"/>
    <x v="0"/>
    <x v="26"/>
    <d v="1899-12-30T06:05:53"/>
    <s v="Maintenance"/>
    <x v="7"/>
    <x v="2"/>
    <x v="2"/>
    <x v="0"/>
  </r>
  <r>
    <s v="Analyzer Status changed from Maintenance to Ready."/>
    <x v="0"/>
    <x v="0"/>
    <x v="26"/>
    <d v="1899-12-30T06:05:54"/>
    <s v="Analyzer"/>
    <x v="7"/>
    <x v="0"/>
    <x v="0"/>
    <x v="0"/>
  </r>
  <r>
    <s v="Analyzer Status changed from Ready to Busy."/>
    <x v="0"/>
    <x v="0"/>
    <x v="26"/>
    <d v="1899-12-30T06:17:11"/>
    <s v="Analyzer"/>
    <x v="7"/>
    <x v="0"/>
    <x v="0"/>
    <x v="0"/>
  </r>
  <r>
    <s v="Analyzer Status changed from Busy to Ready."/>
    <x v="0"/>
    <x v="0"/>
    <x v="26"/>
    <d v="1899-12-30T06:21:53"/>
    <s v="Analyzer"/>
    <x v="7"/>
    <x v="0"/>
    <x v="0"/>
    <x v="0"/>
  </r>
  <r>
    <s v="Analyzer Status changed from Ready to Maintenance."/>
    <x v="0"/>
    <x v="0"/>
    <x v="26"/>
    <d v="1899-12-30T06:21:53"/>
    <s v="Analyzer"/>
    <x v="7"/>
    <x v="0"/>
    <x v="0"/>
    <x v="0"/>
  </r>
  <r>
    <s v="Analyzer Status changed from Maintenance to Ready."/>
    <x v="0"/>
    <x v="0"/>
    <x v="26"/>
    <d v="1899-12-30T06:22:19"/>
    <s v="Analyzer"/>
    <x v="7"/>
    <x v="0"/>
    <x v="0"/>
    <x v="0"/>
  </r>
  <r>
    <s v="Automatic maintenance activity Automatic Routine Clean for all Probes has been executed."/>
    <x v="2"/>
    <x v="0"/>
    <x v="26"/>
    <d v="1899-12-30T06:22:19"/>
    <s v="Maintenance"/>
    <x v="7"/>
    <x v="2"/>
    <x v="2"/>
    <x v="0"/>
  </r>
  <r>
    <s v="Analyzer Status changed from Ready to Busy."/>
    <x v="0"/>
    <x v="0"/>
    <x v="26"/>
    <d v="1899-12-30T06:30:18"/>
    <s v="Analyzer"/>
    <x v="7"/>
    <x v="0"/>
    <x v="0"/>
    <x v="0"/>
  </r>
  <r>
    <s v="Analyzer Status changed from Busy to Ready."/>
    <x v="0"/>
    <x v="0"/>
    <x v="26"/>
    <d v="1899-12-30T06:35:49"/>
    <s v="Analyzer"/>
    <x v="7"/>
    <x v="0"/>
    <x v="0"/>
    <x v="0"/>
  </r>
  <r>
    <s v="Analyzer Status changed from Ready to Maintenance."/>
    <x v="0"/>
    <x v="0"/>
    <x v="26"/>
    <d v="1899-12-30T06:35:49"/>
    <s v="Analyzer"/>
    <x v="7"/>
    <x v="0"/>
    <x v="0"/>
    <x v="0"/>
  </r>
  <r>
    <s v="Analyzer Status changed from Maintenance to Ready."/>
    <x v="0"/>
    <x v="0"/>
    <x v="26"/>
    <d v="1899-12-30T06:36:21"/>
    <s v="Analyzer"/>
    <x v="7"/>
    <x v="0"/>
    <x v="0"/>
    <x v="0"/>
  </r>
  <r>
    <s v="Automatic maintenance activity Automatic Routine Clean for all Probes has been executed."/>
    <x v="2"/>
    <x v="0"/>
    <x v="26"/>
    <d v="1899-12-30T06:36:21"/>
    <s v="Maintenance"/>
    <x v="7"/>
    <x v="2"/>
    <x v="2"/>
    <x v="0"/>
  </r>
  <r>
    <s v="Analyzer Status changed from Ready to Busy."/>
    <x v="0"/>
    <x v="0"/>
    <x v="26"/>
    <d v="1899-12-30T06:47:14"/>
    <s v="Analyzer"/>
    <x v="7"/>
    <x v="0"/>
    <x v="0"/>
    <x v="0"/>
  </r>
  <r>
    <s v="Analyzer Status changed from Busy to Ready."/>
    <x v="0"/>
    <x v="0"/>
    <x v="26"/>
    <d v="1899-12-30T06:50:15"/>
    <s v="Analyzer"/>
    <x v="7"/>
    <x v="0"/>
    <x v="0"/>
    <x v="0"/>
  </r>
  <r>
    <s v="Analyzer Status changed from Ready to Maintenance."/>
    <x v="0"/>
    <x v="0"/>
    <x v="26"/>
    <d v="1899-12-30T06:50:15"/>
    <s v="Analyzer"/>
    <x v="7"/>
    <x v="0"/>
    <x v="0"/>
    <x v="0"/>
  </r>
  <r>
    <s v="Analyzer Status changed from Maintenance to Ready."/>
    <x v="0"/>
    <x v="0"/>
    <x v="26"/>
    <d v="1899-12-30T06:50:40"/>
    <s v="Analyzer"/>
    <x v="7"/>
    <x v="0"/>
    <x v="0"/>
    <x v="0"/>
  </r>
  <r>
    <s v="Automatic maintenance activity Automatic Routine Clean for all Probes has been executed."/>
    <x v="2"/>
    <x v="0"/>
    <x v="26"/>
    <d v="1899-12-30T06:50:40"/>
    <s v="Maintenance"/>
    <x v="7"/>
    <x v="2"/>
    <x v="2"/>
    <x v="0"/>
  </r>
  <r>
    <s v="Logout by user: GAY."/>
    <x v="16"/>
    <x v="0"/>
    <x v="26"/>
    <d v="1899-12-30T06:59:39"/>
    <s v="Other"/>
    <x v="7"/>
    <x v="2"/>
    <x v="5"/>
    <x v="0"/>
  </r>
  <r>
    <s v="Successful log in by user: RST."/>
    <x v="18"/>
    <x v="0"/>
    <x v="26"/>
    <d v="1899-12-30T07:00:00"/>
    <s v="Other"/>
    <x v="8"/>
    <x v="2"/>
    <x v="5"/>
    <x v="0"/>
  </r>
  <r>
    <s v="Non-identified Sample in rack 07 position 10, track 6."/>
    <x v="12"/>
    <x v="2"/>
    <x v="26"/>
    <d v="1899-12-30T07:08:47"/>
    <s v="Materials"/>
    <x v="8"/>
    <x v="4"/>
    <x v="7"/>
    <x v="1"/>
  </r>
  <r>
    <s v="Analyzer Status changed from Ready to Busy."/>
    <x v="0"/>
    <x v="0"/>
    <x v="26"/>
    <d v="1899-12-30T07:08:56"/>
    <s v="Analyzer"/>
    <x v="8"/>
    <x v="0"/>
    <x v="0"/>
    <x v="0"/>
  </r>
  <r>
    <s v="Maintenance activity due: Wipe-down all Probes."/>
    <x v="9"/>
    <x v="1"/>
    <x v="26"/>
    <d v="1899-12-30T07:10:02"/>
    <s v="Maintenance"/>
    <x v="8"/>
    <x v="2"/>
    <x v="2"/>
    <x v="0"/>
  </r>
  <r>
    <s v="Maintenance activity due: Wipe-down Sample Probe."/>
    <x v="9"/>
    <x v="1"/>
    <x v="26"/>
    <d v="1899-12-30T07:10:02"/>
    <s v="Maintenance"/>
    <x v="8"/>
    <x v="2"/>
    <x v="2"/>
    <x v="0"/>
  </r>
  <r>
    <s v="Maintenance activity due: Wipe-down LAS Probe."/>
    <x v="9"/>
    <x v="1"/>
    <x v="26"/>
    <d v="1899-12-30T07:10:02"/>
    <s v="Maintenance"/>
    <x v="8"/>
    <x v="2"/>
    <x v="2"/>
    <x v="0"/>
  </r>
  <r>
    <s v="Analyzer Status changed from Busy to Ready."/>
    <x v="0"/>
    <x v="0"/>
    <x v="26"/>
    <d v="1899-12-30T07:14:07"/>
    <s v="Analyzer"/>
    <x v="8"/>
    <x v="0"/>
    <x v="0"/>
    <x v="0"/>
  </r>
  <r>
    <s v="Analyzer Status changed from Ready to Maintenance."/>
    <x v="0"/>
    <x v="0"/>
    <x v="26"/>
    <d v="1899-12-30T07:14:07"/>
    <s v="Analyzer"/>
    <x v="8"/>
    <x v="0"/>
    <x v="0"/>
    <x v="0"/>
  </r>
  <r>
    <s v="Analyzer Status changed from Maintenance to Ready."/>
    <x v="0"/>
    <x v="0"/>
    <x v="26"/>
    <d v="1899-12-30T07:14:35"/>
    <s v="Analyzer"/>
    <x v="8"/>
    <x v="0"/>
    <x v="0"/>
    <x v="0"/>
  </r>
  <r>
    <s v="Automatic maintenance activity Automatic Routine Clean for all Probes has been executed."/>
    <x v="2"/>
    <x v="0"/>
    <x v="26"/>
    <d v="1899-12-30T07:14:35"/>
    <s v="Maintenance"/>
    <x v="8"/>
    <x v="2"/>
    <x v="2"/>
    <x v="0"/>
  </r>
  <r>
    <s v="Analyzer Status changed from Ready to Busy."/>
    <x v="0"/>
    <x v="0"/>
    <x v="26"/>
    <d v="1899-12-30T07:17:38"/>
    <s v="Analyzer"/>
    <x v="8"/>
    <x v="0"/>
    <x v="0"/>
    <x v="0"/>
  </r>
  <r>
    <s v="Non-identified Sample in rack 05 position 10, track 7."/>
    <x v="12"/>
    <x v="2"/>
    <x v="26"/>
    <d v="1899-12-30T07:21:12"/>
    <s v="Materials"/>
    <x v="8"/>
    <x v="4"/>
    <x v="7"/>
    <x v="1"/>
  </r>
  <r>
    <s v="Cuvettes low in the load area."/>
    <x v="15"/>
    <x v="1"/>
    <x v="26"/>
    <d v="1899-12-30T07:22:07"/>
    <s v="Materials"/>
    <x v="8"/>
    <x v="5"/>
    <x v="8"/>
    <x v="0"/>
  </r>
  <r>
    <s v="D-Dimer HS Latex volume low."/>
    <x v="7"/>
    <x v="1"/>
    <x v="26"/>
    <d v="1899-12-30T07:22:59"/>
    <s v="Materials"/>
    <x v="8"/>
    <x v="3"/>
    <x v="4"/>
    <x v="0"/>
  </r>
  <r>
    <s v="Calibration of Fib-C L validated."/>
    <x v="59"/>
    <x v="0"/>
    <x v="26"/>
    <d v="1899-12-30T07:26:33"/>
    <s v="JobFrequency"/>
    <x v="8"/>
    <x v="2"/>
    <x v="5"/>
    <x v="0"/>
  </r>
  <r>
    <s v="Maintenance activity due: Clean Cuvette Waste Drawer."/>
    <x v="9"/>
    <x v="1"/>
    <x v="26"/>
    <d v="1899-12-30T07:26:56"/>
    <s v="Maintenance"/>
    <x v="8"/>
    <x v="2"/>
    <x v="2"/>
    <x v="0"/>
  </r>
  <r>
    <s v="Analyzer Status changed from Busy to Ready."/>
    <x v="0"/>
    <x v="0"/>
    <x v="26"/>
    <d v="1899-12-30T07:27:03"/>
    <s v="Analyzer"/>
    <x v="8"/>
    <x v="0"/>
    <x v="0"/>
    <x v="0"/>
  </r>
  <r>
    <s v="Analyzer Status changed from Ready to Maintenance."/>
    <x v="0"/>
    <x v="0"/>
    <x v="26"/>
    <d v="1899-12-30T07:27:03"/>
    <s v="Analyzer"/>
    <x v="8"/>
    <x v="0"/>
    <x v="0"/>
    <x v="0"/>
  </r>
  <r>
    <s v="Automatic maintenance activity Automatic Routine Clean for all Probes has been executed."/>
    <x v="2"/>
    <x v="0"/>
    <x v="26"/>
    <d v="1899-12-30T07:27:32"/>
    <s v="Maintenance"/>
    <x v="8"/>
    <x v="2"/>
    <x v="2"/>
    <x v="0"/>
  </r>
  <r>
    <s v="Analyzer Status changed from Maintenance to Ready."/>
    <x v="0"/>
    <x v="0"/>
    <x v="26"/>
    <d v="1899-12-30T07:27:33"/>
    <s v="Analyzer"/>
    <x v="8"/>
    <x v="0"/>
    <x v="0"/>
    <x v="0"/>
  </r>
  <r>
    <s v="Logout by user: RST."/>
    <x v="16"/>
    <x v="0"/>
    <x v="26"/>
    <d v="1899-12-30T07:29:47"/>
    <s v="Other"/>
    <x v="8"/>
    <x v="2"/>
    <x v="5"/>
    <x v="0"/>
  </r>
  <r>
    <s v="Successful log in by user: LHO."/>
    <x v="18"/>
    <x v="0"/>
    <x v="26"/>
    <d v="1899-12-30T07:29:54"/>
    <s v="Other"/>
    <x v="0"/>
    <x v="2"/>
    <x v="5"/>
    <x v="0"/>
  </r>
  <r>
    <s v="Logout by user: LHO."/>
    <x v="16"/>
    <x v="0"/>
    <x v="26"/>
    <d v="1899-12-30T07:30:35"/>
    <s v="Other"/>
    <x v="0"/>
    <x v="2"/>
    <x v="5"/>
    <x v="0"/>
  </r>
  <r>
    <s v="Successful log in by user: LHO."/>
    <x v="18"/>
    <x v="0"/>
    <x v="26"/>
    <d v="1899-12-30T07:30:45"/>
    <s v="Other"/>
    <x v="0"/>
    <x v="2"/>
    <x v="5"/>
    <x v="0"/>
  </r>
  <r>
    <s v="Analyzer Status changed from Ready to Busy."/>
    <x v="0"/>
    <x v="0"/>
    <x v="26"/>
    <d v="1899-12-30T07:32:45"/>
    <s v="Analyzer"/>
    <x v="0"/>
    <x v="0"/>
    <x v="0"/>
    <x v="0"/>
  </r>
  <r>
    <s v="Maintenance activity due: Enhanced Clean for all Probes."/>
    <x v="9"/>
    <x v="1"/>
    <x v="26"/>
    <d v="1899-12-30T07:34:37"/>
    <s v="Maintenance"/>
    <x v="0"/>
    <x v="2"/>
    <x v="2"/>
    <x v="0"/>
  </r>
  <r>
    <s v="Maintenance activity due: Enhanced Clean for Sample and Reagent Probes."/>
    <x v="9"/>
    <x v="1"/>
    <x v="26"/>
    <d v="1899-12-30T07:34:37"/>
    <s v="Maintenance"/>
    <x v="0"/>
    <x v="2"/>
    <x v="2"/>
    <x v="0"/>
  </r>
  <r>
    <s v="Maintenance activity due: make new diluted clean B."/>
    <x v="9"/>
    <x v="1"/>
    <x v="26"/>
    <d v="1899-12-30T07:35:43"/>
    <s v="Maintenance"/>
    <x v="0"/>
    <x v="2"/>
    <x v="2"/>
    <x v="0"/>
  </r>
  <r>
    <s v="Analyzer Status changed from Busy to Ready."/>
    <x v="0"/>
    <x v="0"/>
    <x v="26"/>
    <d v="1899-12-30T07:36:08"/>
    <s v="Analyzer"/>
    <x v="0"/>
    <x v="0"/>
    <x v="0"/>
    <x v="0"/>
  </r>
  <r>
    <s v="Analyzer Status changed from Ready to Maintenance."/>
    <x v="0"/>
    <x v="0"/>
    <x v="26"/>
    <d v="1899-12-30T07:36:08"/>
    <s v="Analyzer"/>
    <x v="0"/>
    <x v="0"/>
    <x v="0"/>
    <x v="0"/>
  </r>
  <r>
    <s v="Maintenance activity due: replace factor diluent."/>
    <x v="9"/>
    <x v="1"/>
    <x v="26"/>
    <d v="1899-12-30T07:36:22"/>
    <s v="Maintenance"/>
    <x v="0"/>
    <x v="2"/>
    <x v="2"/>
    <x v="0"/>
  </r>
  <r>
    <s v="Analyzer Status changed from Maintenance to Ready."/>
    <x v="0"/>
    <x v="0"/>
    <x v="26"/>
    <d v="1899-12-30T07:36:33"/>
    <s v="Analyzer"/>
    <x v="0"/>
    <x v="0"/>
    <x v="0"/>
    <x v="0"/>
  </r>
  <r>
    <s v="Automatic maintenance activity Automatic Routine Clean for all Probes has been executed."/>
    <x v="2"/>
    <x v="0"/>
    <x v="26"/>
    <d v="1899-12-30T07:36:33"/>
    <s v="Maintenance"/>
    <x v="0"/>
    <x v="2"/>
    <x v="2"/>
    <x v="0"/>
  </r>
  <r>
    <s v="Logout by user: LHO."/>
    <x v="16"/>
    <x v="0"/>
    <x v="26"/>
    <d v="1899-12-30T07:40:31"/>
    <s v="Other"/>
    <x v="0"/>
    <x v="2"/>
    <x v="5"/>
    <x v="0"/>
  </r>
  <r>
    <s v="Successful log in by user: RST."/>
    <x v="18"/>
    <x v="0"/>
    <x v="26"/>
    <d v="1899-12-30T07:40:57"/>
    <s v="Other"/>
    <x v="8"/>
    <x v="2"/>
    <x v="5"/>
    <x v="0"/>
  </r>
  <r>
    <s v="Analyzer Status changed from Ready to Busy."/>
    <x v="0"/>
    <x v="0"/>
    <x v="26"/>
    <d v="1899-12-30T07:46:13"/>
    <s v="Analyzer"/>
    <x v="8"/>
    <x v="0"/>
    <x v="0"/>
    <x v="0"/>
  </r>
  <r>
    <s v="Non-identified Sample in rack 12 position 1, track 12."/>
    <x v="12"/>
    <x v="2"/>
    <x v="26"/>
    <d v="1899-12-30T07:49:02"/>
    <s v="Materials"/>
    <x v="8"/>
    <x v="4"/>
    <x v="7"/>
    <x v="1"/>
  </r>
  <r>
    <s v="D-Dimer High Control insufficient material to run additional calibration / test."/>
    <x v="32"/>
    <x v="2"/>
    <x v="26"/>
    <d v="1899-12-30T07:50:40"/>
    <s v="Materials"/>
    <x v="8"/>
    <x v="3"/>
    <x v="4"/>
    <x v="0"/>
  </r>
  <r>
    <s v="D-Dimer Low Control insufficient material to run additional calibration / test."/>
    <x v="32"/>
    <x v="2"/>
    <x v="26"/>
    <d v="1899-12-30T07:50:49"/>
    <s v="Materials"/>
    <x v="8"/>
    <x v="3"/>
    <x v="4"/>
    <x v="0"/>
  </r>
  <r>
    <s v="Analyzer Status changed from Busy to Ready."/>
    <x v="0"/>
    <x v="0"/>
    <x v="26"/>
    <d v="1899-12-30T07:54:02"/>
    <s v="Analyzer"/>
    <x v="8"/>
    <x v="0"/>
    <x v="0"/>
    <x v="0"/>
  </r>
  <r>
    <s v="Analyzer Status changed from Ready to Maintenance."/>
    <x v="0"/>
    <x v="0"/>
    <x v="26"/>
    <d v="1899-12-30T07:54:02"/>
    <s v="Analyzer"/>
    <x v="8"/>
    <x v="0"/>
    <x v="0"/>
    <x v="0"/>
  </r>
  <r>
    <s v="Automatic maintenance activity Automatic Routine Clean for all Probes has been executed."/>
    <x v="2"/>
    <x v="0"/>
    <x v="26"/>
    <d v="1899-12-30T07:54:26"/>
    <s v="Maintenance"/>
    <x v="8"/>
    <x v="2"/>
    <x v="2"/>
    <x v="0"/>
  </r>
  <r>
    <s v="Analyzer Status changed from Maintenance to Ready."/>
    <x v="0"/>
    <x v="0"/>
    <x v="26"/>
    <d v="1899-12-30T07:54:27"/>
    <s v="Analyzer"/>
    <x v="8"/>
    <x v="0"/>
    <x v="0"/>
    <x v="0"/>
  </r>
  <r>
    <s v="Communications between the instrument and the LIS have been lost."/>
    <x v="13"/>
    <x v="2"/>
    <x v="26"/>
    <d v="1899-12-30T08:03:17"/>
    <s v="LIS"/>
    <x v="8"/>
    <x v="2"/>
    <x v="6"/>
    <x v="0"/>
  </r>
  <r>
    <s v="Non-identified Sample in rack 12 position 10, track 5."/>
    <x v="12"/>
    <x v="2"/>
    <x v="26"/>
    <d v="1899-12-30T08:17:47"/>
    <s v="Materials"/>
    <x v="8"/>
    <x v="4"/>
    <x v="7"/>
    <x v="1"/>
  </r>
  <r>
    <s v="Analyzer Status changed from Ready to Busy."/>
    <x v="0"/>
    <x v="0"/>
    <x v="26"/>
    <d v="1899-12-30T08:17:55"/>
    <s v="Analyzer"/>
    <x v="8"/>
    <x v="0"/>
    <x v="0"/>
    <x v="0"/>
  </r>
  <r>
    <s v="Non-identified Sample in rack 06 position 1, track 12."/>
    <x v="12"/>
    <x v="2"/>
    <x v="26"/>
    <d v="1899-12-30T08:22:50"/>
    <s v="Materials"/>
    <x v="8"/>
    <x v="4"/>
    <x v="7"/>
    <x v="1"/>
  </r>
  <r>
    <s v="Analyzer Status changed from Busy to Ready."/>
    <x v="0"/>
    <x v="0"/>
    <x v="26"/>
    <d v="1899-12-30T08:29:56"/>
    <s v="Analyzer"/>
    <x v="8"/>
    <x v="0"/>
    <x v="0"/>
    <x v="0"/>
  </r>
  <r>
    <s v="Analyzer Status changed from Ready to Maintenance."/>
    <x v="0"/>
    <x v="0"/>
    <x v="26"/>
    <d v="1899-12-30T08:29:56"/>
    <s v="Analyzer"/>
    <x v="8"/>
    <x v="0"/>
    <x v="0"/>
    <x v="0"/>
  </r>
  <r>
    <s v="Automatic maintenance activity Automatic Routine Clean for all Probes has been executed."/>
    <x v="2"/>
    <x v="0"/>
    <x v="26"/>
    <d v="1899-12-30T08:30:20"/>
    <s v="Maintenance"/>
    <x v="8"/>
    <x v="2"/>
    <x v="2"/>
    <x v="0"/>
  </r>
  <r>
    <s v="Analyzer Status changed from Maintenance to Ready."/>
    <x v="0"/>
    <x v="0"/>
    <x v="26"/>
    <d v="1899-12-30T08:30:21"/>
    <s v="Analyzer"/>
    <x v="8"/>
    <x v="0"/>
    <x v="0"/>
    <x v="0"/>
  </r>
  <r>
    <s v="Maintenance activity overdue: Enhanced Clean for all Probes."/>
    <x v="20"/>
    <x v="1"/>
    <x v="26"/>
    <d v="1899-12-30T08:34:37"/>
    <s v="Maintenance"/>
    <x v="8"/>
    <x v="2"/>
    <x v="2"/>
    <x v="0"/>
  </r>
  <r>
    <s v="Maintenance activity overdue: Enhanced Clean for Sample and Reagent Probes."/>
    <x v="20"/>
    <x v="1"/>
    <x v="26"/>
    <d v="1899-12-30T08:34:37"/>
    <s v="Maintenance"/>
    <x v="8"/>
    <x v="2"/>
    <x v="2"/>
    <x v="0"/>
  </r>
  <r>
    <s v="Analyzer Status changed from Ready to Busy."/>
    <x v="0"/>
    <x v="0"/>
    <x v="26"/>
    <d v="1899-12-30T08:34:51"/>
    <s v="Analyzer"/>
    <x v="8"/>
    <x v="0"/>
    <x v="0"/>
    <x v="0"/>
  </r>
  <r>
    <s v="Maintenance activity overdue: make new diluted clean B."/>
    <x v="20"/>
    <x v="1"/>
    <x v="26"/>
    <d v="1899-12-30T08:35:43"/>
    <s v="Maintenance"/>
    <x v="8"/>
    <x v="2"/>
    <x v="2"/>
    <x v="0"/>
  </r>
  <r>
    <s v="Maintenance activity overdue: replace factor diluent."/>
    <x v="20"/>
    <x v="1"/>
    <x v="26"/>
    <d v="1899-12-30T08:36:22"/>
    <s v="Maintenance"/>
    <x v="8"/>
    <x v="2"/>
    <x v="2"/>
    <x v="0"/>
  </r>
  <r>
    <s v="Analyzer Status changed from Busy to Ready."/>
    <x v="0"/>
    <x v="0"/>
    <x v="26"/>
    <d v="1899-12-30T08:44:47"/>
    <s v="Analyzer"/>
    <x v="8"/>
    <x v="0"/>
    <x v="0"/>
    <x v="0"/>
  </r>
  <r>
    <s v="Analyzer Status changed from Ready to Maintenance."/>
    <x v="0"/>
    <x v="0"/>
    <x v="26"/>
    <d v="1899-12-30T08:44:47"/>
    <s v="Analyzer"/>
    <x v="8"/>
    <x v="0"/>
    <x v="0"/>
    <x v="0"/>
  </r>
  <r>
    <s v="Analyzer Status changed from Maintenance to Ready."/>
    <x v="0"/>
    <x v="0"/>
    <x v="26"/>
    <d v="1899-12-30T08:45:13"/>
    <s v="Analyzer"/>
    <x v="8"/>
    <x v="0"/>
    <x v="0"/>
    <x v="0"/>
  </r>
  <r>
    <s v="Automatic maintenance activity Automatic Routine Clean for all Probes has been executed."/>
    <x v="2"/>
    <x v="0"/>
    <x v="26"/>
    <d v="1899-12-30T08:45:13"/>
    <s v="Maintenance"/>
    <x v="8"/>
    <x v="2"/>
    <x v="2"/>
    <x v="0"/>
  </r>
  <r>
    <s v="Logout by user: RST."/>
    <x v="16"/>
    <x v="0"/>
    <x v="26"/>
    <d v="1899-12-30T08:55:09"/>
    <s v="Other"/>
    <x v="8"/>
    <x v="2"/>
    <x v="5"/>
    <x v="0"/>
  </r>
  <r>
    <s v="Successful log in by user: LHO."/>
    <x v="18"/>
    <x v="0"/>
    <x v="26"/>
    <d v="1899-12-30T08:55:14"/>
    <s v="Other"/>
    <x v="0"/>
    <x v="2"/>
    <x v="5"/>
    <x v="0"/>
  </r>
  <r>
    <s v="Test Definition UFH has been modified."/>
    <x v="14"/>
    <x v="0"/>
    <x v="26"/>
    <d v="1899-12-30T08:55:39"/>
    <s v="Setup"/>
    <x v="0"/>
    <x v="2"/>
    <x v="5"/>
    <x v="0"/>
  </r>
  <r>
    <s v="Test Definition UFH has been modified."/>
    <x v="14"/>
    <x v="0"/>
    <x v="26"/>
    <d v="1899-12-30T08:55:56"/>
    <s v="Setup"/>
    <x v="0"/>
    <x v="2"/>
    <x v="5"/>
    <x v="0"/>
  </r>
  <r>
    <s v="Test Definition LMWH has been modified."/>
    <x v="14"/>
    <x v="0"/>
    <x v="26"/>
    <d v="1899-12-30T08:55:58"/>
    <s v="Setup"/>
    <x v="0"/>
    <x v="2"/>
    <x v="5"/>
    <x v="0"/>
  </r>
  <r>
    <s v="Test Definition Anti-Xa has been modified."/>
    <x v="14"/>
    <x v="0"/>
    <x v="26"/>
    <d v="1899-12-30T08:56:00"/>
    <s v="Setup"/>
    <x v="0"/>
    <x v="2"/>
    <x v="5"/>
    <x v="0"/>
  </r>
  <r>
    <s v="Test Definition LMWH has been modified."/>
    <x v="14"/>
    <x v="0"/>
    <x v="26"/>
    <d v="1899-12-30T08:56:01"/>
    <s v="Setup"/>
    <x v="0"/>
    <x v="2"/>
    <x v="5"/>
    <x v="0"/>
  </r>
  <r>
    <s v="Analyzer Status changed from Ready to Busy."/>
    <x v="0"/>
    <x v="0"/>
    <x v="26"/>
    <d v="1899-12-30T09:02:33"/>
    <s v="Analyzer"/>
    <x v="0"/>
    <x v="0"/>
    <x v="0"/>
    <x v="0"/>
  </r>
  <r>
    <s v="Auto-Validation Rules have been modified."/>
    <x v="8"/>
    <x v="0"/>
    <x v="26"/>
    <d v="1899-12-30T09:04:09"/>
    <s v="Setup"/>
    <x v="0"/>
    <x v="2"/>
    <x v="5"/>
    <x v="0"/>
  </r>
  <r>
    <s v="Analyzer Status changed from Busy to Ready."/>
    <x v="0"/>
    <x v="0"/>
    <x v="26"/>
    <d v="1899-12-30T09:05:29"/>
    <s v="Analyzer"/>
    <x v="0"/>
    <x v="0"/>
    <x v="0"/>
    <x v="0"/>
  </r>
  <r>
    <s v="Analyzer Status changed from Ready to Maintenance."/>
    <x v="0"/>
    <x v="0"/>
    <x v="26"/>
    <d v="1899-12-30T09:05:29"/>
    <s v="Analyzer"/>
    <x v="0"/>
    <x v="0"/>
    <x v="0"/>
    <x v="0"/>
  </r>
  <r>
    <s v="Analyzer Status changed from Maintenance to Ready."/>
    <x v="0"/>
    <x v="0"/>
    <x v="26"/>
    <d v="1899-12-30T09:07:09"/>
    <s v="Analyzer"/>
    <x v="0"/>
    <x v="0"/>
    <x v="0"/>
    <x v="0"/>
  </r>
  <r>
    <s v="Automatic maintenance activity Automatic Routine Clean for all Probes has been executed."/>
    <x v="2"/>
    <x v="0"/>
    <x v="26"/>
    <d v="1899-12-30T09:07:09"/>
    <s v="Maintenance"/>
    <x v="0"/>
    <x v="2"/>
    <x v="2"/>
    <x v="0"/>
  </r>
  <r>
    <s v="System Definitions: LIS parameters modified."/>
    <x v="10"/>
    <x v="0"/>
    <x v="26"/>
    <d v="1899-12-30T09:10:22"/>
    <s v="Setup"/>
    <x v="0"/>
    <x v="2"/>
    <x v="6"/>
    <x v="0"/>
  </r>
  <r>
    <s v="System Definitions: LIS parameters modified."/>
    <x v="10"/>
    <x v="0"/>
    <x v="26"/>
    <d v="1899-12-30T09:10:32"/>
    <s v="Setup"/>
    <x v="0"/>
    <x v="2"/>
    <x v="6"/>
    <x v="0"/>
  </r>
  <r>
    <s v="System Definitions: LIS parameters modified."/>
    <x v="10"/>
    <x v="0"/>
    <x v="26"/>
    <d v="1899-12-30T09:15:45"/>
    <s v="Setup"/>
    <x v="0"/>
    <x v="2"/>
    <x v="6"/>
    <x v="0"/>
  </r>
  <r>
    <s v="Analyzer Status changed from Ready to Busy."/>
    <x v="0"/>
    <x v="0"/>
    <x v="26"/>
    <d v="1899-12-30T09:20:22"/>
    <s v="Analyzer"/>
    <x v="0"/>
    <x v="0"/>
    <x v="0"/>
    <x v="0"/>
  </r>
  <r>
    <s v="Software access permissions have been modified."/>
    <x v="76"/>
    <x v="0"/>
    <x v="26"/>
    <d v="1899-12-30T09:20:35"/>
    <s v="Setup"/>
    <x v="0"/>
    <x v="2"/>
    <x v="5"/>
    <x v="0"/>
  </r>
  <r>
    <s v="Analyzer Status changed from Busy to Ready."/>
    <x v="0"/>
    <x v="0"/>
    <x v="26"/>
    <d v="1899-12-30T09:26:44"/>
    <s v="Analyzer"/>
    <x v="0"/>
    <x v="0"/>
    <x v="0"/>
    <x v="0"/>
  </r>
  <r>
    <s v="Analyzer Status changed from Ready to Maintenance."/>
    <x v="0"/>
    <x v="0"/>
    <x v="26"/>
    <d v="1899-12-30T09:26:44"/>
    <s v="Analyzer"/>
    <x v="0"/>
    <x v="0"/>
    <x v="0"/>
    <x v="0"/>
  </r>
  <r>
    <s v="Analyzer Status changed from Maintenance to Ready."/>
    <x v="0"/>
    <x v="0"/>
    <x v="26"/>
    <d v="1899-12-30T09:27:09"/>
    <s v="Analyzer"/>
    <x v="0"/>
    <x v="0"/>
    <x v="0"/>
    <x v="0"/>
  </r>
  <r>
    <s v="Automatic maintenance activity Automatic Routine Clean for all Probes has been executed."/>
    <x v="2"/>
    <x v="0"/>
    <x v="26"/>
    <d v="1899-12-30T09:27:09"/>
    <s v="Maintenance"/>
    <x v="0"/>
    <x v="2"/>
    <x v="2"/>
    <x v="0"/>
  </r>
  <r>
    <s v="Communications between the instrument and the LIS have been lost."/>
    <x v="13"/>
    <x v="2"/>
    <x v="26"/>
    <d v="1899-12-30T09:38:06"/>
    <s v="LIS"/>
    <x v="0"/>
    <x v="2"/>
    <x v="6"/>
    <x v="0"/>
  </r>
  <r>
    <s v="Analyzer Status changed from Ready to Initializing."/>
    <x v="0"/>
    <x v="0"/>
    <x v="26"/>
    <d v="1899-12-30T09:46:48"/>
    <s v="Analyzer"/>
    <x v="0"/>
    <x v="0"/>
    <x v="0"/>
    <x v="0"/>
  </r>
  <r>
    <s v="Logout by user: LHO."/>
    <x v="16"/>
    <x v="0"/>
    <x v="26"/>
    <d v="1899-12-30T09:47:42"/>
    <s v="Other"/>
    <x v="0"/>
    <x v="2"/>
    <x v="5"/>
    <x v="0"/>
  </r>
  <r>
    <s v="LAS Interface Manager (IM) communications error."/>
    <x v="17"/>
    <x v="2"/>
    <x v="26"/>
    <d v="1899-12-30T09:50:06"/>
    <s v="LIS"/>
    <x v="1"/>
    <x v="2"/>
    <x v="9"/>
    <x v="0"/>
  </r>
  <r>
    <s v="Successful log in by user: LHO."/>
    <x v="18"/>
    <x v="0"/>
    <x v="26"/>
    <d v="1899-12-30T09:50:18"/>
    <s v="Other"/>
    <x v="0"/>
    <x v="2"/>
    <x v="5"/>
    <x v="0"/>
  </r>
  <r>
    <s v="Analyzer Status changed from Not connected to Power up."/>
    <x v="0"/>
    <x v="0"/>
    <x v="26"/>
    <d v="1899-12-30T09:50:24"/>
    <s v="Analyzer"/>
    <x v="0"/>
    <x v="0"/>
    <x v="0"/>
    <x v="0"/>
  </r>
  <r>
    <s v="Analyzer Status changed from Power up to Initializing."/>
    <x v="0"/>
    <x v="0"/>
    <x v="26"/>
    <d v="1899-12-30T09:50:34"/>
    <s v="Analyzer"/>
    <x v="0"/>
    <x v="0"/>
    <x v="0"/>
    <x v="0"/>
  </r>
  <r>
    <s v="Analyzer Status changed from Initializing to Adjusting thermal."/>
    <x v="0"/>
    <x v="0"/>
    <x v="26"/>
    <d v="1899-12-30T09:52:22"/>
    <s v="Analyzer"/>
    <x v="0"/>
    <x v="0"/>
    <x v="0"/>
    <x v="0"/>
  </r>
  <r>
    <s v="Analyzer Status changed from Adjusting thermal to Ready."/>
    <x v="0"/>
    <x v="0"/>
    <x v="26"/>
    <d v="1899-12-30T09:54:30"/>
    <s v="Analyzer"/>
    <x v="0"/>
    <x v="0"/>
    <x v="0"/>
    <x v="0"/>
  </r>
  <r>
    <s v="Analyzer Status changed from Ready to Maintenance."/>
    <x v="0"/>
    <x v="0"/>
    <x v="26"/>
    <d v="1899-12-30T09:54:30"/>
    <s v="Analyzer"/>
    <x v="0"/>
    <x v="0"/>
    <x v="0"/>
    <x v="0"/>
  </r>
  <r>
    <s v="Analyzer Status changed from Maintenance to Ready."/>
    <x v="0"/>
    <x v="0"/>
    <x v="26"/>
    <d v="1899-12-30T09:55:44"/>
    <s v="Analyzer"/>
    <x v="0"/>
    <x v="0"/>
    <x v="0"/>
    <x v="0"/>
  </r>
  <r>
    <s v="Analyzer Status changed from Ready to Maintenance."/>
    <x v="0"/>
    <x v="0"/>
    <x v="26"/>
    <d v="1899-12-30T10:02:27"/>
    <s v="Analyzer"/>
    <x v="0"/>
    <x v="0"/>
    <x v="0"/>
    <x v="0"/>
  </r>
  <r>
    <s v="Frequency status for manual maintenance activity Enhanced Clean for all Probes has changed to OK."/>
    <x v="3"/>
    <x v="0"/>
    <x v="26"/>
    <d v="1899-12-30T10:05:40"/>
    <s v="Maintenance"/>
    <x v="0"/>
    <x v="2"/>
    <x v="2"/>
    <x v="0"/>
  </r>
  <r>
    <s v="Frequency status for manual maintenance activity Enhanced Clean for Sample and Reagent Probes has changed to OK."/>
    <x v="3"/>
    <x v="0"/>
    <x v="26"/>
    <d v="1899-12-30T10:05:40"/>
    <s v="Maintenance"/>
    <x v="0"/>
    <x v="2"/>
    <x v="2"/>
    <x v="0"/>
  </r>
  <r>
    <s v="Semiautomatic maintenance activity Enhanced Clean for all Probes has been executed."/>
    <x v="4"/>
    <x v="0"/>
    <x v="26"/>
    <d v="1899-12-30T10:05:40"/>
    <s v="Maintenance"/>
    <x v="0"/>
    <x v="2"/>
    <x v="2"/>
    <x v="0"/>
  </r>
  <r>
    <s v="Analyzer Status changed from Maintenance to Ready."/>
    <x v="0"/>
    <x v="0"/>
    <x v="26"/>
    <d v="1899-12-30T10:05:41"/>
    <s v="Analyzer"/>
    <x v="0"/>
    <x v="0"/>
    <x v="0"/>
    <x v="0"/>
  </r>
  <r>
    <s v="System Definitions: LIS parameters modified."/>
    <x v="10"/>
    <x v="0"/>
    <x v="26"/>
    <d v="1899-12-30T10:09:33"/>
    <s v="Setup"/>
    <x v="0"/>
    <x v="2"/>
    <x v="6"/>
    <x v="0"/>
  </r>
  <r>
    <s v="Analyzer Status changed from Ready to Maintenance."/>
    <x v="0"/>
    <x v="0"/>
    <x v="26"/>
    <d v="1899-12-30T10:10:00"/>
    <s v="Analyzer"/>
    <x v="0"/>
    <x v="0"/>
    <x v="0"/>
    <x v="0"/>
  </r>
  <r>
    <s v="Analyzer Status changed from Maintenance to Ready."/>
    <x v="0"/>
    <x v="0"/>
    <x v="26"/>
    <d v="1899-12-30T10:10:04"/>
    <s v="Analyzer"/>
    <x v="0"/>
    <x v="0"/>
    <x v="0"/>
    <x v="0"/>
  </r>
  <r>
    <s v="Frequency status for manual maintenance activity make new diluted clean B has changed to OK."/>
    <x v="3"/>
    <x v="0"/>
    <x v="26"/>
    <d v="1899-12-30T10:10:04"/>
    <s v="Maintenance"/>
    <x v="0"/>
    <x v="2"/>
    <x v="2"/>
    <x v="0"/>
  </r>
  <r>
    <s v="Manual maintenance activity make new diluted clean B has been executed."/>
    <x v="5"/>
    <x v="0"/>
    <x v="26"/>
    <d v="1899-12-30T10:10:04"/>
    <s v="Maintenance"/>
    <x v="0"/>
    <x v="2"/>
    <x v="2"/>
    <x v="0"/>
  </r>
  <r>
    <s v="Analyzer Status changed from Ready to Maintenance."/>
    <x v="0"/>
    <x v="0"/>
    <x v="26"/>
    <d v="1899-12-30T10:10:08"/>
    <s v="Analyzer"/>
    <x v="0"/>
    <x v="0"/>
    <x v="0"/>
    <x v="0"/>
  </r>
  <r>
    <s v="Manual maintenance activity replace factor diluent has been executed."/>
    <x v="5"/>
    <x v="0"/>
    <x v="26"/>
    <d v="1899-12-30T10:10:11"/>
    <s v="Maintenance"/>
    <x v="0"/>
    <x v="2"/>
    <x v="2"/>
    <x v="0"/>
  </r>
  <r>
    <s v="Analyzer Status changed from Maintenance to Ready."/>
    <x v="0"/>
    <x v="0"/>
    <x v="26"/>
    <d v="1899-12-30T10:10:12"/>
    <s v="Analyzer"/>
    <x v="0"/>
    <x v="0"/>
    <x v="0"/>
    <x v="0"/>
  </r>
  <r>
    <s v="Frequency status for manual maintenance activity replace factor diluent has changed to OK."/>
    <x v="3"/>
    <x v="0"/>
    <x v="26"/>
    <d v="1899-12-30T10:10:12"/>
    <s v="Maintenance"/>
    <x v="0"/>
    <x v="2"/>
    <x v="2"/>
    <x v="0"/>
  </r>
  <r>
    <s v="Cuvettes waste drawer missing."/>
    <x v="29"/>
    <x v="2"/>
    <x v="26"/>
    <d v="1899-12-30T10:10:27"/>
    <s v="Materials"/>
    <x v="0"/>
    <x v="5"/>
    <x v="11"/>
    <x v="0"/>
  </r>
  <r>
    <s v="Analyzer Status changed from Ready to Error."/>
    <x v="0"/>
    <x v="0"/>
    <x v="26"/>
    <d v="1899-12-30T10:10:27"/>
    <s v="Analyzer"/>
    <x v="0"/>
    <x v="0"/>
    <x v="0"/>
    <x v="0"/>
  </r>
  <r>
    <s v="Analyzer Status changed from Error to Ready."/>
    <x v="0"/>
    <x v="0"/>
    <x v="26"/>
    <d v="1899-12-30T10:11:02"/>
    <s v="Analyzer"/>
    <x v="0"/>
    <x v="0"/>
    <x v="0"/>
    <x v="0"/>
  </r>
  <r>
    <s v="Analyzer Status changed from Ready to Maintenance."/>
    <x v="0"/>
    <x v="0"/>
    <x v="26"/>
    <d v="1899-12-30T10:11:07"/>
    <s v="Analyzer"/>
    <x v="0"/>
    <x v="0"/>
    <x v="0"/>
    <x v="0"/>
  </r>
  <r>
    <s v="Analyzer Status changed from Maintenance to Ready."/>
    <x v="0"/>
    <x v="0"/>
    <x v="26"/>
    <d v="1899-12-30T10:11:11"/>
    <s v="Analyzer"/>
    <x v="0"/>
    <x v="0"/>
    <x v="0"/>
    <x v="0"/>
  </r>
  <r>
    <s v="Frequency status for manual maintenance activity Clean Cuvette Waste Drawer has changed to OK."/>
    <x v="3"/>
    <x v="0"/>
    <x v="26"/>
    <d v="1899-12-30T10:11:11"/>
    <s v="Maintenance"/>
    <x v="0"/>
    <x v="2"/>
    <x v="2"/>
    <x v="0"/>
  </r>
  <r>
    <s v="Manual maintenance activity Clean Cuvette Waste Drawer has been executed."/>
    <x v="5"/>
    <x v="0"/>
    <x v="26"/>
    <d v="1899-12-30T10:11:11"/>
    <s v="Maintenance"/>
    <x v="0"/>
    <x v="2"/>
    <x v="2"/>
    <x v="0"/>
  </r>
  <r>
    <s v="Analyzer Status changed from Ready to Maintenance."/>
    <x v="0"/>
    <x v="0"/>
    <x v="26"/>
    <d v="1899-12-30T10:11:23"/>
    <s v="Analyzer"/>
    <x v="0"/>
    <x v="0"/>
    <x v="0"/>
    <x v="0"/>
  </r>
  <r>
    <s v="Analyzer Status changed from Maintenance to Emergency stop."/>
    <x v="0"/>
    <x v="0"/>
    <x v="26"/>
    <d v="1899-12-30T10:12:58"/>
    <s v="Analyzer"/>
    <x v="0"/>
    <x v="0"/>
    <x v="0"/>
    <x v="0"/>
  </r>
  <r>
    <s v="Analyzer Status changed from Emergency stop to Not connected."/>
    <x v="0"/>
    <x v="0"/>
    <x v="26"/>
    <d v="1899-12-30T10:12:58"/>
    <s v="Analyzer"/>
    <x v="0"/>
    <x v="0"/>
    <x v="0"/>
    <x v="0"/>
  </r>
  <r>
    <s v="Frequency status for manual maintenance activity Wipe-down all Probes has changed to OK."/>
    <x v="3"/>
    <x v="0"/>
    <x v="26"/>
    <d v="1899-12-30T10:13:05"/>
    <s v="Maintenance"/>
    <x v="0"/>
    <x v="2"/>
    <x v="2"/>
    <x v="0"/>
  </r>
  <r>
    <s v="Frequency status for manual maintenance activity Wipe-down Sample Probe has changed to OK."/>
    <x v="3"/>
    <x v="0"/>
    <x v="26"/>
    <d v="1899-12-30T10:13:05"/>
    <s v="Maintenance"/>
    <x v="0"/>
    <x v="2"/>
    <x v="2"/>
    <x v="0"/>
  </r>
  <r>
    <s v="Frequency status for manual maintenance activity Wipe-down LAS Probe has changed to OK."/>
    <x v="3"/>
    <x v="0"/>
    <x v="26"/>
    <d v="1899-12-30T10:13:05"/>
    <s v="Maintenance"/>
    <x v="0"/>
    <x v="2"/>
    <x v="2"/>
    <x v="0"/>
  </r>
  <r>
    <s v="Manual maintenance activity Wipe-down all Probes has been executed."/>
    <x v="5"/>
    <x v="0"/>
    <x v="26"/>
    <d v="1899-12-30T10:13:05"/>
    <s v="Maintenance"/>
    <x v="0"/>
    <x v="2"/>
    <x v="2"/>
    <x v="0"/>
  </r>
  <r>
    <s v="Analyzer Status changed from Not connected to Power up."/>
    <x v="0"/>
    <x v="0"/>
    <x v="26"/>
    <d v="1899-12-30T10:13:46"/>
    <s v="Analyzer"/>
    <x v="0"/>
    <x v="0"/>
    <x v="0"/>
    <x v="0"/>
  </r>
  <r>
    <s v="Analyzer Status changed from Power up to Initializing."/>
    <x v="0"/>
    <x v="0"/>
    <x v="26"/>
    <d v="1899-12-30T10:13:56"/>
    <s v="Analyzer"/>
    <x v="0"/>
    <x v="0"/>
    <x v="0"/>
    <x v="0"/>
  </r>
  <r>
    <s v="D-Dimer HS Latex volume low."/>
    <x v="7"/>
    <x v="1"/>
    <x v="26"/>
    <d v="1899-12-30T10:14:38"/>
    <s v="Materials"/>
    <x v="0"/>
    <x v="3"/>
    <x v="4"/>
    <x v="0"/>
  </r>
  <r>
    <s v="Analyzer Status changed from Initializing to Adjusting thermal."/>
    <x v="0"/>
    <x v="0"/>
    <x v="26"/>
    <d v="1899-12-30T10:15:44"/>
    <s v="Analyzer"/>
    <x v="0"/>
    <x v="0"/>
    <x v="0"/>
    <x v="0"/>
  </r>
  <r>
    <s v="D-Dimer HS Latex volume low."/>
    <x v="7"/>
    <x v="1"/>
    <x v="26"/>
    <d v="1899-12-30T10:16:09"/>
    <s v="Materials"/>
    <x v="0"/>
    <x v="3"/>
    <x v="4"/>
    <x v="0"/>
  </r>
  <r>
    <s v="Auto-Validation Rules have been modified."/>
    <x v="8"/>
    <x v="0"/>
    <x v="26"/>
    <d v="1899-12-30T10:17:57"/>
    <s v="Setup"/>
    <x v="0"/>
    <x v="2"/>
    <x v="5"/>
    <x v="0"/>
  </r>
  <r>
    <s v="Analyzer Status changed from Adjusting thermal to Ready."/>
    <x v="0"/>
    <x v="0"/>
    <x v="26"/>
    <d v="1899-12-30T10:18:03"/>
    <s v="Analyzer"/>
    <x v="0"/>
    <x v="0"/>
    <x v="0"/>
    <x v="0"/>
  </r>
  <r>
    <s v="Analyzer Status changed from Ready to Maintenance."/>
    <x v="0"/>
    <x v="0"/>
    <x v="26"/>
    <d v="1899-12-30T10:18:03"/>
    <s v="Analyzer"/>
    <x v="0"/>
    <x v="0"/>
    <x v="0"/>
    <x v="0"/>
  </r>
  <r>
    <s v="Analyzer Status changed from Maintenance to Ready."/>
    <x v="0"/>
    <x v="0"/>
    <x v="26"/>
    <d v="1899-12-30T10:19:17"/>
    <s v="Analyzer"/>
    <x v="0"/>
    <x v="0"/>
    <x v="0"/>
    <x v="0"/>
  </r>
  <r>
    <s v="Analyzer Status changed from Ready to Busy."/>
    <x v="0"/>
    <x v="0"/>
    <x v="26"/>
    <d v="1899-12-30T10:23:11"/>
    <s v="Analyzer"/>
    <x v="0"/>
    <x v="0"/>
    <x v="0"/>
    <x v="0"/>
  </r>
  <r>
    <s v="Analyzer Status changed from Busy to Ready."/>
    <x v="0"/>
    <x v="0"/>
    <x v="26"/>
    <d v="1899-12-30T10:29:24"/>
    <s v="Analyzer"/>
    <x v="0"/>
    <x v="0"/>
    <x v="0"/>
    <x v="0"/>
  </r>
  <r>
    <s v="Analyzer Status changed from Ready to Maintenance."/>
    <x v="0"/>
    <x v="0"/>
    <x v="26"/>
    <d v="1899-12-30T10:29:25"/>
    <s v="Analyzer"/>
    <x v="0"/>
    <x v="0"/>
    <x v="0"/>
    <x v="0"/>
  </r>
  <r>
    <s v="Automatic maintenance activity Automatic Routine Clean for all Probes has been executed."/>
    <x v="2"/>
    <x v="0"/>
    <x v="26"/>
    <d v="1899-12-30T10:29:51"/>
    <s v="Maintenance"/>
    <x v="0"/>
    <x v="2"/>
    <x v="2"/>
    <x v="0"/>
  </r>
  <r>
    <s v="Analyzer Status changed from Maintenance to Ready."/>
    <x v="0"/>
    <x v="0"/>
    <x v="26"/>
    <d v="1899-12-30T10:29:52"/>
    <s v="Analyzer"/>
    <x v="0"/>
    <x v="0"/>
    <x v="0"/>
    <x v="0"/>
  </r>
  <r>
    <s v="Analyzer Status changed from Ready to Busy."/>
    <x v="0"/>
    <x v="0"/>
    <x v="26"/>
    <d v="1899-12-30T10:34:43"/>
    <s v="Analyzer"/>
    <x v="0"/>
    <x v="0"/>
    <x v="0"/>
    <x v="0"/>
  </r>
  <r>
    <s v="Analyzer Status changed from Busy to Ready."/>
    <x v="0"/>
    <x v="0"/>
    <x v="26"/>
    <d v="1899-12-30T10:44:04"/>
    <s v="Analyzer"/>
    <x v="0"/>
    <x v="0"/>
    <x v="0"/>
    <x v="0"/>
  </r>
  <r>
    <s v="Analyzer Status changed from Ready to Maintenance."/>
    <x v="0"/>
    <x v="0"/>
    <x v="26"/>
    <d v="1899-12-30T10:44:05"/>
    <s v="Analyzer"/>
    <x v="0"/>
    <x v="0"/>
    <x v="0"/>
    <x v="0"/>
  </r>
  <r>
    <s v="Analyzer Status changed from Maintenance to Ready."/>
    <x v="0"/>
    <x v="0"/>
    <x v="26"/>
    <d v="1899-12-30T10:44:30"/>
    <s v="Analyzer"/>
    <x v="0"/>
    <x v="0"/>
    <x v="0"/>
    <x v="0"/>
  </r>
  <r>
    <s v="Automatic maintenance activity Automatic Routine Clean for all Probes has been executed."/>
    <x v="2"/>
    <x v="0"/>
    <x v="26"/>
    <d v="1899-12-30T10:44:30"/>
    <s v="Maintenance"/>
    <x v="0"/>
    <x v="2"/>
    <x v="2"/>
    <x v="0"/>
  </r>
  <r>
    <s v="Analyzer Status changed from Ready to Busy."/>
    <x v="0"/>
    <x v="0"/>
    <x v="26"/>
    <d v="1899-12-30T10:49:08"/>
    <s v="Analyzer"/>
    <x v="0"/>
    <x v="0"/>
    <x v="0"/>
    <x v="0"/>
  </r>
  <r>
    <s v="Analyzer Status changed from Busy to Ready."/>
    <x v="0"/>
    <x v="0"/>
    <x v="26"/>
    <d v="1899-12-30T10:54:48"/>
    <s v="Analyzer"/>
    <x v="0"/>
    <x v="0"/>
    <x v="0"/>
    <x v="0"/>
  </r>
  <r>
    <s v="Analyzer Status changed from Ready to Maintenance."/>
    <x v="0"/>
    <x v="0"/>
    <x v="26"/>
    <d v="1899-12-30T10:54:49"/>
    <s v="Analyzer"/>
    <x v="0"/>
    <x v="0"/>
    <x v="0"/>
    <x v="0"/>
  </r>
  <r>
    <s v="Analyzer Status changed from Maintenance to Ready."/>
    <x v="0"/>
    <x v="0"/>
    <x v="26"/>
    <d v="1899-12-30T10:55:18"/>
    <s v="Analyzer"/>
    <x v="0"/>
    <x v="0"/>
    <x v="0"/>
    <x v="0"/>
  </r>
  <r>
    <s v="Automatic maintenance activity Automatic Routine Clean for all Probes has been executed."/>
    <x v="2"/>
    <x v="0"/>
    <x v="26"/>
    <d v="1899-12-30T10:55:18"/>
    <s v="Maintenance"/>
    <x v="0"/>
    <x v="2"/>
    <x v="2"/>
    <x v="0"/>
  </r>
  <r>
    <s v="Analyzer Status changed from Ready to Busy."/>
    <x v="0"/>
    <x v="0"/>
    <x v="26"/>
    <d v="1899-12-30T11:05:51"/>
    <s v="Analyzer"/>
    <x v="0"/>
    <x v="0"/>
    <x v="0"/>
    <x v="0"/>
  </r>
  <r>
    <s v="Analyzer Status changed from Busy to Ready."/>
    <x v="0"/>
    <x v="0"/>
    <x v="26"/>
    <d v="1899-12-30T11:09:09"/>
    <s v="Analyzer"/>
    <x v="0"/>
    <x v="0"/>
    <x v="0"/>
    <x v="0"/>
  </r>
  <r>
    <s v="Analyzer Status changed from Ready to Maintenance."/>
    <x v="0"/>
    <x v="0"/>
    <x v="26"/>
    <d v="1899-12-30T11:09:09"/>
    <s v="Analyzer"/>
    <x v="0"/>
    <x v="0"/>
    <x v="0"/>
    <x v="0"/>
  </r>
  <r>
    <s v="Analyzer Status changed from Maintenance to Ready."/>
    <x v="0"/>
    <x v="0"/>
    <x v="26"/>
    <d v="1899-12-30T11:09:36"/>
    <s v="Analyzer"/>
    <x v="0"/>
    <x v="0"/>
    <x v="0"/>
    <x v="0"/>
  </r>
  <r>
    <s v="Automatic maintenance activity Automatic Routine Clean for all Probes has been executed."/>
    <x v="2"/>
    <x v="0"/>
    <x v="26"/>
    <d v="1899-12-30T11:09:36"/>
    <s v="Maintenance"/>
    <x v="0"/>
    <x v="2"/>
    <x v="2"/>
    <x v="0"/>
  </r>
  <r>
    <s v="Analyzer Status changed from Ready to Busy."/>
    <x v="0"/>
    <x v="0"/>
    <x v="26"/>
    <d v="1899-12-30T11:10:40"/>
    <s v="Analyzer"/>
    <x v="0"/>
    <x v="0"/>
    <x v="0"/>
    <x v="0"/>
  </r>
  <r>
    <s v="Analyzer Status changed from Busy to Ready."/>
    <x v="0"/>
    <x v="0"/>
    <x v="26"/>
    <d v="1899-12-30T11:18:06"/>
    <s v="Analyzer"/>
    <x v="0"/>
    <x v="0"/>
    <x v="0"/>
    <x v="0"/>
  </r>
  <r>
    <s v="Analyzer Status changed from Ready to Maintenance."/>
    <x v="0"/>
    <x v="0"/>
    <x v="26"/>
    <d v="1899-12-30T11:18:07"/>
    <s v="Analyzer"/>
    <x v="0"/>
    <x v="0"/>
    <x v="0"/>
    <x v="0"/>
  </r>
  <r>
    <s v="Analyzer Status changed from Maintenance to Ready."/>
    <x v="0"/>
    <x v="0"/>
    <x v="26"/>
    <d v="1899-12-30T11:18:33"/>
    <s v="Analyzer"/>
    <x v="0"/>
    <x v="0"/>
    <x v="0"/>
    <x v="0"/>
  </r>
  <r>
    <s v="Automatic maintenance activity Automatic Routine Clean for all Probes has been executed."/>
    <x v="2"/>
    <x v="0"/>
    <x v="26"/>
    <d v="1899-12-30T11:18:33"/>
    <s v="Maintenance"/>
    <x v="0"/>
    <x v="2"/>
    <x v="2"/>
    <x v="0"/>
  </r>
  <r>
    <s v="Communications between the instrument and the LIS have been lost."/>
    <x v="13"/>
    <x v="2"/>
    <x v="26"/>
    <d v="1899-12-30T11:28:28"/>
    <s v="LIS"/>
    <x v="0"/>
    <x v="2"/>
    <x v="6"/>
    <x v="0"/>
  </r>
  <r>
    <s v="Communications between the instrument and the LIS have been lost."/>
    <x v="13"/>
    <x v="2"/>
    <x v="26"/>
    <d v="1899-12-30T11:35:22"/>
    <s v="LIS"/>
    <x v="0"/>
    <x v="2"/>
    <x v="6"/>
    <x v="0"/>
  </r>
  <r>
    <s v="Analyzer Status changed from Ready to Busy."/>
    <x v="0"/>
    <x v="0"/>
    <x v="26"/>
    <d v="1899-12-30T11:46:05"/>
    <s v="Analyzer"/>
    <x v="0"/>
    <x v="0"/>
    <x v="0"/>
    <x v="0"/>
  </r>
  <r>
    <s v="Analyzer Status changed from Busy to Ready."/>
    <x v="0"/>
    <x v="0"/>
    <x v="26"/>
    <d v="1899-12-30T11:49:24"/>
    <s v="Analyzer"/>
    <x v="0"/>
    <x v="0"/>
    <x v="0"/>
    <x v="0"/>
  </r>
  <r>
    <s v="Analyzer Status changed from Ready to Maintenance."/>
    <x v="0"/>
    <x v="0"/>
    <x v="26"/>
    <d v="1899-12-30T11:49:24"/>
    <s v="Analyzer"/>
    <x v="0"/>
    <x v="0"/>
    <x v="0"/>
    <x v="0"/>
  </r>
  <r>
    <s v="Analyzer Status changed from Maintenance to Ready."/>
    <x v="0"/>
    <x v="0"/>
    <x v="26"/>
    <d v="1899-12-30T11:49:49"/>
    <s v="Analyzer"/>
    <x v="0"/>
    <x v="0"/>
    <x v="0"/>
    <x v="0"/>
  </r>
  <r>
    <s v="Automatic maintenance activity Automatic Routine Clean for all Probes has been executed."/>
    <x v="2"/>
    <x v="0"/>
    <x v="26"/>
    <d v="1899-12-30T11:49:49"/>
    <s v="Maintenance"/>
    <x v="0"/>
    <x v="2"/>
    <x v="2"/>
    <x v="0"/>
  </r>
  <r>
    <s v="Analyzer Status changed from Ready to Busy."/>
    <x v="0"/>
    <x v="0"/>
    <x v="26"/>
    <d v="1899-12-30T11:57:16"/>
    <s v="Analyzer"/>
    <x v="0"/>
    <x v="0"/>
    <x v="0"/>
    <x v="0"/>
  </r>
  <r>
    <s v="PT RecombiPlasTin volume low."/>
    <x v="7"/>
    <x v="1"/>
    <x v="26"/>
    <d v="1899-12-30T11:58:55"/>
    <s v="Materials"/>
    <x v="0"/>
    <x v="3"/>
    <x v="4"/>
    <x v="0"/>
  </r>
  <r>
    <s v="System Definitions: LIS parameters modified."/>
    <x v="10"/>
    <x v="0"/>
    <x v="26"/>
    <d v="1899-12-30T12:00:13"/>
    <s v="Setup"/>
    <x v="0"/>
    <x v="2"/>
    <x v="6"/>
    <x v="0"/>
  </r>
  <r>
    <s v="Duplicated Test Order for 30601478A received from host (LIS # 921)."/>
    <x v="74"/>
    <x v="1"/>
    <x v="26"/>
    <d v="1899-12-30T12:01:30"/>
    <s v="LIS"/>
    <x v="0"/>
    <x v="2"/>
    <x v="6"/>
    <x v="0"/>
  </r>
  <r>
    <s v="Duplicated Test Order for 30601496A received from host (LIS # 131)."/>
    <x v="74"/>
    <x v="1"/>
    <x v="26"/>
    <d v="1899-12-30T12:01:32"/>
    <s v="LIS"/>
    <x v="0"/>
    <x v="2"/>
    <x v="6"/>
    <x v="0"/>
  </r>
  <r>
    <s v="Duplicated Test Order for 30701223C received from host (LIS # 921)."/>
    <x v="74"/>
    <x v="1"/>
    <x v="26"/>
    <d v="1899-12-30T12:02:13"/>
    <s v="LIS"/>
    <x v="0"/>
    <x v="2"/>
    <x v="6"/>
    <x v="0"/>
  </r>
  <r>
    <s v="Duplicated Test Order for 30601355A received from host (LIS # 2101)."/>
    <x v="74"/>
    <x v="1"/>
    <x v="26"/>
    <d v="1899-12-30T12:02:38"/>
    <s v="LIS"/>
    <x v="0"/>
    <x v="2"/>
    <x v="6"/>
    <x v="0"/>
  </r>
  <r>
    <s v="Duplicated Test Order for 30601478A received from host (LIS # 921)."/>
    <x v="74"/>
    <x v="1"/>
    <x v="26"/>
    <d v="1899-12-30T12:02:38"/>
    <s v="LIS"/>
    <x v="0"/>
    <x v="2"/>
    <x v="6"/>
    <x v="0"/>
  </r>
  <r>
    <s v="Duplicated Test Order for 30601493D received from host (LIS # 131)."/>
    <x v="74"/>
    <x v="1"/>
    <x v="26"/>
    <d v="1899-12-30T12:02:38"/>
    <s v="LIS"/>
    <x v="0"/>
    <x v="2"/>
    <x v="6"/>
    <x v="0"/>
  </r>
  <r>
    <s v="Duplicated Test Order for 30601493D received from host (LIS # 921)."/>
    <x v="74"/>
    <x v="1"/>
    <x v="26"/>
    <d v="1899-12-30T12:02:39"/>
    <s v="LIS"/>
    <x v="0"/>
    <x v="2"/>
    <x v="6"/>
    <x v="0"/>
  </r>
  <r>
    <s v="Duplicated Test Order for 30601493D received from host (LIS # 2101)."/>
    <x v="74"/>
    <x v="1"/>
    <x v="26"/>
    <d v="1899-12-30T12:02:39"/>
    <s v="LIS"/>
    <x v="0"/>
    <x v="2"/>
    <x v="6"/>
    <x v="0"/>
  </r>
  <r>
    <s v="Duplicated Test Order for 30601496A received from host (LIS # 131)."/>
    <x v="74"/>
    <x v="1"/>
    <x v="26"/>
    <d v="1899-12-30T12:02:39"/>
    <s v="LIS"/>
    <x v="0"/>
    <x v="2"/>
    <x v="6"/>
    <x v="0"/>
  </r>
  <r>
    <s v="Duplicated Test Order for 30601510A received from host (LIS # 131)."/>
    <x v="74"/>
    <x v="1"/>
    <x v="26"/>
    <d v="1899-12-30T12:02:39"/>
    <s v="LIS"/>
    <x v="0"/>
    <x v="2"/>
    <x v="6"/>
    <x v="0"/>
  </r>
  <r>
    <s v="Duplicated Test Order for 30601528A received from host (LIS # 131)."/>
    <x v="74"/>
    <x v="1"/>
    <x v="26"/>
    <d v="1899-12-30T12:02:39"/>
    <s v="LIS"/>
    <x v="0"/>
    <x v="2"/>
    <x v="6"/>
    <x v="0"/>
  </r>
  <r>
    <s v="Duplicated Test Order for 30601551A received from host (LIS # 131)."/>
    <x v="74"/>
    <x v="1"/>
    <x v="26"/>
    <d v="1899-12-30T12:02:40"/>
    <s v="LIS"/>
    <x v="0"/>
    <x v="2"/>
    <x v="6"/>
    <x v="0"/>
  </r>
  <r>
    <s v="Duplicated Test Order for 30601551A received from host (LIS # 921)."/>
    <x v="74"/>
    <x v="1"/>
    <x v="26"/>
    <d v="1899-12-30T12:02:40"/>
    <s v="LIS"/>
    <x v="0"/>
    <x v="2"/>
    <x v="6"/>
    <x v="0"/>
  </r>
  <r>
    <s v="Duplicated Test Order for 30601551A received from host (LIS # 2011)."/>
    <x v="74"/>
    <x v="1"/>
    <x v="26"/>
    <d v="1899-12-30T12:02:41"/>
    <s v="LIS"/>
    <x v="0"/>
    <x v="2"/>
    <x v="6"/>
    <x v="0"/>
  </r>
  <r>
    <s v="Duplicated Test Order for 30601553B received from host (LIS # 131)."/>
    <x v="74"/>
    <x v="1"/>
    <x v="26"/>
    <d v="1899-12-30T12:02:41"/>
    <s v="LIS"/>
    <x v="0"/>
    <x v="2"/>
    <x v="6"/>
    <x v="0"/>
  </r>
  <r>
    <s v="Duplicated Test Order for 30601559A received from host (LIS # 2241)."/>
    <x v="74"/>
    <x v="1"/>
    <x v="26"/>
    <d v="1899-12-30T12:02:41"/>
    <s v="LIS"/>
    <x v="0"/>
    <x v="2"/>
    <x v="6"/>
    <x v="0"/>
  </r>
  <r>
    <s v="Duplicated Test Order for 30601564D received from host (LIS # 131)."/>
    <x v="74"/>
    <x v="1"/>
    <x v="26"/>
    <d v="1899-12-30T12:02:41"/>
    <s v="LIS"/>
    <x v="0"/>
    <x v="2"/>
    <x v="6"/>
    <x v="0"/>
  </r>
  <r>
    <s v="Duplicated Test Order for 30601588A received from host (LIS # 131)."/>
    <x v="74"/>
    <x v="1"/>
    <x v="26"/>
    <d v="1899-12-30T12:02:41"/>
    <s v="LIS"/>
    <x v="0"/>
    <x v="2"/>
    <x v="6"/>
    <x v="0"/>
  </r>
  <r>
    <s v="Duplicated Test Order for 30601600C received from host (LIS # 131)."/>
    <x v="74"/>
    <x v="1"/>
    <x v="26"/>
    <d v="1899-12-30T12:02:41"/>
    <s v="LIS"/>
    <x v="0"/>
    <x v="2"/>
    <x v="6"/>
    <x v="0"/>
  </r>
  <r>
    <s v="Duplicated Test Order for 30601600C received from host (LIS # 921)."/>
    <x v="74"/>
    <x v="1"/>
    <x v="26"/>
    <d v="1899-12-30T12:02:42"/>
    <s v="LIS"/>
    <x v="0"/>
    <x v="2"/>
    <x v="6"/>
    <x v="0"/>
  </r>
  <r>
    <s v="Duplicated Test Order for 30601602A received from host (LIS # 921)."/>
    <x v="74"/>
    <x v="1"/>
    <x v="26"/>
    <d v="1899-12-30T12:02:42"/>
    <s v="LIS"/>
    <x v="0"/>
    <x v="2"/>
    <x v="6"/>
    <x v="0"/>
  </r>
  <r>
    <s v="Duplicated Test Order for 30601604A received from host (LIS # 2101)."/>
    <x v="74"/>
    <x v="1"/>
    <x v="26"/>
    <d v="1899-12-30T12:02:42"/>
    <s v="LIS"/>
    <x v="0"/>
    <x v="2"/>
    <x v="6"/>
    <x v="0"/>
  </r>
  <r>
    <s v="Duplicated Test Order for 30601606A received from host (LIS # 2101)."/>
    <x v="74"/>
    <x v="1"/>
    <x v="26"/>
    <d v="1899-12-30T12:02:42"/>
    <s v="LIS"/>
    <x v="0"/>
    <x v="2"/>
    <x v="6"/>
    <x v="0"/>
  </r>
  <r>
    <s v="Duplicated Test Order for 30601626A received from host (LIS # 131)."/>
    <x v="74"/>
    <x v="1"/>
    <x v="26"/>
    <d v="1899-12-30T12:02:42"/>
    <s v="LIS"/>
    <x v="0"/>
    <x v="2"/>
    <x v="6"/>
    <x v="0"/>
  </r>
  <r>
    <s v="Duplicated Test Order for 30601666A received from host (LIS # 131)."/>
    <x v="74"/>
    <x v="1"/>
    <x v="26"/>
    <d v="1899-12-30T12:02:42"/>
    <s v="LIS"/>
    <x v="0"/>
    <x v="2"/>
    <x v="6"/>
    <x v="0"/>
  </r>
  <r>
    <s v="Duplicated Test Order for 30601676A received from host (LIS # 2101)."/>
    <x v="74"/>
    <x v="1"/>
    <x v="26"/>
    <d v="1899-12-30T12:02:42"/>
    <s v="LIS"/>
    <x v="0"/>
    <x v="2"/>
    <x v="6"/>
    <x v="0"/>
  </r>
  <r>
    <s v="Duplicated Test Order for 30601773A received from host (LIS # 131)."/>
    <x v="74"/>
    <x v="1"/>
    <x v="26"/>
    <d v="1899-12-30T12:02:43"/>
    <s v="LIS"/>
    <x v="0"/>
    <x v="2"/>
    <x v="6"/>
    <x v="0"/>
  </r>
  <r>
    <s v="Duplicated Test Order for 30601773A received from host (LIS # 921)."/>
    <x v="74"/>
    <x v="1"/>
    <x v="26"/>
    <d v="1899-12-30T12:02:43"/>
    <s v="LIS"/>
    <x v="0"/>
    <x v="2"/>
    <x v="6"/>
    <x v="0"/>
  </r>
  <r>
    <s v="Duplicated Test Order for 30601773A received from host (LIS # 2011)."/>
    <x v="74"/>
    <x v="1"/>
    <x v="26"/>
    <d v="1899-12-30T12:02:44"/>
    <s v="LIS"/>
    <x v="0"/>
    <x v="2"/>
    <x v="6"/>
    <x v="0"/>
  </r>
  <r>
    <s v="Duplicated Test Order for 30601803A received from host (LIS # 131)."/>
    <x v="74"/>
    <x v="1"/>
    <x v="26"/>
    <d v="1899-12-30T12:02:44"/>
    <s v="LIS"/>
    <x v="0"/>
    <x v="2"/>
    <x v="6"/>
    <x v="0"/>
  </r>
  <r>
    <s v="Duplicated Test Order for 30601818A received from host (LIS # 2241)."/>
    <x v="74"/>
    <x v="1"/>
    <x v="26"/>
    <d v="1899-12-30T12:02:44"/>
    <s v="LIS"/>
    <x v="0"/>
    <x v="2"/>
    <x v="6"/>
    <x v="0"/>
  </r>
  <r>
    <s v="Duplicated Test Order for 30601845A received from host (LIS # 921)."/>
    <x v="74"/>
    <x v="1"/>
    <x v="26"/>
    <d v="1899-12-30T12:02:44"/>
    <s v="LIS"/>
    <x v="0"/>
    <x v="2"/>
    <x v="6"/>
    <x v="0"/>
  </r>
  <r>
    <s v="Duplicated Test Order for 30601874A received from host (LIS # 131)."/>
    <x v="74"/>
    <x v="1"/>
    <x v="26"/>
    <d v="1899-12-30T12:02:44"/>
    <s v="LIS"/>
    <x v="0"/>
    <x v="2"/>
    <x v="6"/>
    <x v="0"/>
  </r>
  <r>
    <s v="Duplicated Test Order for 30601874A received from host (LIS # 921)."/>
    <x v="74"/>
    <x v="1"/>
    <x v="26"/>
    <d v="1899-12-30T12:02:44"/>
    <s v="LIS"/>
    <x v="0"/>
    <x v="2"/>
    <x v="6"/>
    <x v="0"/>
  </r>
  <r>
    <s v="Duplicated Test Order for 30601882A received from host (LIS # 131)."/>
    <x v="74"/>
    <x v="1"/>
    <x v="26"/>
    <d v="1899-12-30T12:02:45"/>
    <s v="LIS"/>
    <x v="0"/>
    <x v="2"/>
    <x v="6"/>
    <x v="0"/>
  </r>
  <r>
    <s v="Duplicated Test Order for 30601907A received from host (LIS # 131)."/>
    <x v="74"/>
    <x v="1"/>
    <x v="26"/>
    <d v="1899-12-30T12:02:45"/>
    <s v="LIS"/>
    <x v="0"/>
    <x v="2"/>
    <x v="6"/>
    <x v="0"/>
  </r>
  <r>
    <s v="Duplicated Test Order for 30601913B received from host (LIS # 2241)."/>
    <x v="74"/>
    <x v="1"/>
    <x v="26"/>
    <d v="1899-12-30T12:02:45"/>
    <s v="LIS"/>
    <x v="0"/>
    <x v="2"/>
    <x v="6"/>
    <x v="0"/>
  </r>
  <r>
    <s v="Duplicated Test Order for 30601919C received from host (LIS # 131)."/>
    <x v="74"/>
    <x v="1"/>
    <x v="26"/>
    <d v="1899-12-30T12:02:45"/>
    <s v="LIS"/>
    <x v="0"/>
    <x v="2"/>
    <x v="6"/>
    <x v="0"/>
  </r>
  <r>
    <s v="Duplicated Test Order for 30601919C received from host (LIS # 921)."/>
    <x v="74"/>
    <x v="1"/>
    <x v="26"/>
    <d v="1899-12-30T12:02:45"/>
    <s v="LIS"/>
    <x v="0"/>
    <x v="2"/>
    <x v="6"/>
    <x v="0"/>
  </r>
  <r>
    <s v="Duplicated Test Order for 30601960A received from host (LIS # 131)."/>
    <x v="74"/>
    <x v="1"/>
    <x v="26"/>
    <d v="1899-12-30T12:02:46"/>
    <s v="LIS"/>
    <x v="0"/>
    <x v="2"/>
    <x v="6"/>
    <x v="0"/>
  </r>
  <r>
    <s v="Duplicated Test Order for 30601960A received from host (LIS # 921)."/>
    <x v="74"/>
    <x v="1"/>
    <x v="26"/>
    <d v="1899-12-30T12:02:46"/>
    <s v="LIS"/>
    <x v="0"/>
    <x v="2"/>
    <x v="6"/>
    <x v="0"/>
  </r>
  <r>
    <s v="Duplicated Test Order for 30602082B received from host (LIS # 131)."/>
    <x v="74"/>
    <x v="1"/>
    <x v="26"/>
    <d v="1899-12-30T12:02:46"/>
    <s v="LIS"/>
    <x v="0"/>
    <x v="2"/>
    <x v="6"/>
    <x v="0"/>
  </r>
  <r>
    <s v="Duplicated Test Order for 30602138A received from host (LIS # 131)."/>
    <x v="74"/>
    <x v="1"/>
    <x v="26"/>
    <d v="1899-12-30T12:02:46"/>
    <s v="LIS"/>
    <x v="0"/>
    <x v="2"/>
    <x v="6"/>
    <x v="0"/>
  </r>
  <r>
    <s v="Duplicated Test Order for 30602138A received from host (LIS # 921)."/>
    <x v="74"/>
    <x v="1"/>
    <x v="26"/>
    <d v="1899-12-30T12:02:47"/>
    <s v="LIS"/>
    <x v="0"/>
    <x v="2"/>
    <x v="6"/>
    <x v="0"/>
  </r>
  <r>
    <s v="Duplicated Test Order for 30602174C received from host (LIS # 131)."/>
    <x v="74"/>
    <x v="1"/>
    <x v="26"/>
    <d v="1899-12-30T12:02:47"/>
    <s v="LIS"/>
    <x v="0"/>
    <x v="2"/>
    <x v="6"/>
    <x v="0"/>
  </r>
  <r>
    <s v="Duplicated Test Order for 30602174C received from host (LIS # 921)."/>
    <x v="74"/>
    <x v="1"/>
    <x v="26"/>
    <d v="1899-12-30T12:02:47"/>
    <s v="LIS"/>
    <x v="0"/>
    <x v="2"/>
    <x v="6"/>
    <x v="0"/>
  </r>
  <r>
    <s v="Duplicated Test Order for 30602222C received from host (LIS # 131)."/>
    <x v="74"/>
    <x v="1"/>
    <x v="26"/>
    <d v="1899-12-30T12:02:47"/>
    <s v="LIS"/>
    <x v="0"/>
    <x v="2"/>
    <x v="6"/>
    <x v="0"/>
  </r>
  <r>
    <s v="Duplicated Test Order for 30602225C received from host (LIS # 131)."/>
    <x v="74"/>
    <x v="1"/>
    <x v="26"/>
    <d v="1899-12-30T12:02:48"/>
    <s v="LIS"/>
    <x v="0"/>
    <x v="2"/>
    <x v="6"/>
    <x v="0"/>
  </r>
  <r>
    <s v="Duplicated Test Order for 30602225C received from host (LIS # 921)."/>
    <x v="74"/>
    <x v="1"/>
    <x v="26"/>
    <d v="1899-12-30T12:02:48"/>
    <s v="LIS"/>
    <x v="0"/>
    <x v="2"/>
    <x v="6"/>
    <x v="0"/>
  </r>
  <r>
    <s v="Duplicated Test Order for 30602233A received from host (LIS # 2101)."/>
    <x v="74"/>
    <x v="1"/>
    <x v="26"/>
    <d v="1899-12-30T12:02:48"/>
    <s v="LIS"/>
    <x v="0"/>
    <x v="2"/>
    <x v="6"/>
    <x v="0"/>
  </r>
  <r>
    <s v="Duplicated Test Order for 30602249C received from host (LIS # 131)."/>
    <x v="74"/>
    <x v="1"/>
    <x v="26"/>
    <d v="1899-12-30T12:02:48"/>
    <s v="LIS"/>
    <x v="0"/>
    <x v="2"/>
    <x v="6"/>
    <x v="0"/>
  </r>
  <r>
    <s v="Duplicated Test Order for 30602249C received from host (LIS # 921)."/>
    <x v="74"/>
    <x v="1"/>
    <x v="26"/>
    <d v="1899-12-30T12:02:49"/>
    <s v="LIS"/>
    <x v="0"/>
    <x v="2"/>
    <x v="6"/>
    <x v="0"/>
  </r>
  <r>
    <s v="Duplicated Test Order for 30602251A received from host (LIS # 131)."/>
    <x v="74"/>
    <x v="1"/>
    <x v="26"/>
    <d v="1899-12-30T12:02:49"/>
    <s v="LIS"/>
    <x v="0"/>
    <x v="2"/>
    <x v="6"/>
    <x v="0"/>
  </r>
  <r>
    <s v="Duplicated Test Order for 30602251A received from host (LIS # 921)."/>
    <x v="74"/>
    <x v="1"/>
    <x v="26"/>
    <d v="1899-12-30T12:02:49"/>
    <s v="LIS"/>
    <x v="0"/>
    <x v="2"/>
    <x v="6"/>
    <x v="0"/>
  </r>
  <r>
    <s v="Duplicated Test Order for 30602286A received from host (LIS # 2011)."/>
    <x v="74"/>
    <x v="1"/>
    <x v="26"/>
    <d v="1899-12-30T12:02:49"/>
    <s v="LIS"/>
    <x v="0"/>
    <x v="2"/>
    <x v="6"/>
    <x v="0"/>
  </r>
  <r>
    <s v="Duplicated Test Order for 30602312B received from host (LIS # 131)."/>
    <x v="74"/>
    <x v="1"/>
    <x v="26"/>
    <d v="1899-12-30T12:02:49"/>
    <s v="LIS"/>
    <x v="0"/>
    <x v="2"/>
    <x v="6"/>
    <x v="0"/>
  </r>
  <r>
    <s v="Duplicated Test Order for 30602325B received from host (LIS # 131)."/>
    <x v="74"/>
    <x v="1"/>
    <x v="26"/>
    <d v="1899-12-30T12:02:49"/>
    <s v="LIS"/>
    <x v="0"/>
    <x v="2"/>
    <x v="6"/>
    <x v="0"/>
  </r>
  <r>
    <s v="Duplicated Test Order for 30602325B received from host (LIS # 921)."/>
    <x v="74"/>
    <x v="1"/>
    <x v="26"/>
    <d v="1899-12-30T12:02:50"/>
    <s v="LIS"/>
    <x v="0"/>
    <x v="2"/>
    <x v="6"/>
    <x v="0"/>
  </r>
  <r>
    <s v="Duplicated Test Order for 30602325B received from host (LIS # 2011)."/>
    <x v="74"/>
    <x v="1"/>
    <x v="26"/>
    <d v="1899-12-30T12:02:50"/>
    <s v="LIS"/>
    <x v="0"/>
    <x v="2"/>
    <x v="6"/>
    <x v="0"/>
  </r>
  <r>
    <s v="Duplicated Test Order for 30602332A received from host (LIS # 921)."/>
    <x v="74"/>
    <x v="1"/>
    <x v="26"/>
    <d v="1899-12-30T12:02:50"/>
    <s v="LIS"/>
    <x v="0"/>
    <x v="2"/>
    <x v="6"/>
    <x v="0"/>
  </r>
  <r>
    <s v="Duplicated Test Order for 30602345B received from host (LIS # 131)."/>
    <x v="74"/>
    <x v="1"/>
    <x v="26"/>
    <d v="1899-12-30T12:02:50"/>
    <s v="LIS"/>
    <x v="0"/>
    <x v="2"/>
    <x v="6"/>
    <x v="0"/>
  </r>
  <r>
    <s v="Duplicated Test Order for 30602345B received from host (LIS # 921)."/>
    <x v="74"/>
    <x v="1"/>
    <x v="26"/>
    <d v="1899-12-30T12:02:51"/>
    <s v="LIS"/>
    <x v="0"/>
    <x v="2"/>
    <x v="6"/>
    <x v="0"/>
  </r>
  <r>
    <s v="Duplicated Test Order for 30602363A received from host (LIS # 131)."/>
    <x v="74"/>
    <x v="1"/>
    <x v="26"/>
    <d v="1899-12-30T12:02:51"/>
    <s v="LIS"/>
    <x v="0"/>
    <x v="2"/>
    <x v="6"/>
    <x v="0"/>
  </r>
  <r>
    <s v="Duplicated Test Order for 30602382A received from host (LIS # 921)."/>
    <x v="74"/>
    <x v="1"/>
    <x v="26"/>
    <d v="1899-12-30T12:02:51"/>
    <s v="LIS"/>
    <x v="0"/>
    <x v="2"/>
    <x v="6"/>
    <x v="0"/>
  </r>
  <r>
    <s v="Duplicated Test Order for 30602414B received from host (LIS # 131)."/>
    <x v="74"/>
    <x v="1"/>
    <x v="26"/>
    <d v="1899-12-30T12:02:51"/>
    <s v="LIS"/>
    <x v="0"/>
    <x v="2"/>
    <x v="6"/>
    <x v="0"/>
  </r>
  <r>
    <s v="Duplicated Test Order for 30602476A received from host (LIS # 2101)."/>
    <x v="74"/>
    <x v="1"/>
    <x v="26"/>
    <d v="1899-12-30T12:02:51"/>
    <s v="LIS"/>
    <x v="0"/>
    <x v="2"/>
    <x v="6"/>
    <x v="0"/>
  </r>
  <r>
    <s v="Duplicated Test Order for 30602498A received from host (LIS # 131)."/>
    <x v="74"/>
    <x v="1"/>
    <x v="26"/>
    <d v="1899-12-30T12:02:51"/>
    <s v="LIS"/>
    <x v="0"/>
    <x v="2"/>
    <x v="6"/>
    <x v="0"/>
  </r>
  <r>
    <s v="Duplicated Test Order for 30602518A received from host (LIS # 131)."/>
    <x v="74"/>
    <x v="1"/>
    <x v="26"/>
    <d v="1899-12-30T12:02:51"/>
    <s v="LIS"/>
    <x v="0"/>
    <x v="2"/>
    <x v="6"/>
    <x v="0"/>
  </r>
  <r>
    <s v="Duplicated Test Order for 30602520B received from host (LIS # 131)."/>
    <x v="74"/>
    <x v="1"/>
    <x v="26"/>
    <d v="1899-12-30T12:02:52"/>
    <s v="LIS"/>
    <x v="0"/>
    <x v="2"/>
    <x v="6"/>
    <x v="0"/>
  </r>
  <r>
    <s v="Duplicated Test Order for 30602538B received from host (LIS # 131)."/>
    <x v="74"/>
    <x v="1"/>
    <x v="26"/>
    <d v="1899-12-30T12:02:52"/>
    <s v="LIS"/>
    <x v="0"/>
    <x v="2"/>
    <x v="6"/>
    <x v="0"/>
  </r>
  <r>
    <s v="Duplicated Test Order for 30602555C received from host (LIS # 131)."/>
    <x v="74"/>
    <x v="1"/>
    <x v="26"/>
    <d v="1899-12-30T12:02:52"/>
    <s v="LIS"/>
    <x v="0"/>
    <x v="2"/>
    <x v="6"/>
    <x v="0"/>
  </r>
  <r>
    <s v="Duplicated Test Order for 30602555C received from host (LIS # 2011)."/>
    <x v="74"/>
    <x v="1"/>
    <x v="26"/>
    <d v="1899-12-30T12:02:52"/>
    <s v="LIS"/>
    <x v="0"/>
    <x v="2"/>
    <x v="6"/>
    <x v="0"/>
  </r>
  <r>
    <s v="Duplicated Test Order for 30602558A received from host (LIS # 2101)."/>
    <x v="74"/>
    <x v="1"/>
    <x v="26"/>
    <d v="1899-12-30T12:02:52"/>
    <s v="LIS"/>
    <x v="0"/>
    <x v="2"/>
    <x v="6"/>
    <x v="0"/>
  </r>
  <r>
    <s v="Duplicated Test Order for 30602577A received from host (LIS # 131)."/>
    <x v="74"/>
    <x v="1"/>
    <x v="26"/>
    <d v="1899-12-30T12:02:53"/>
    <s v="LIS"/>
    <x v="0"/>
    <x v="2"/>
    <x v="6"/>
    <x v="0"/>
  </r>
  <r>
    <s v="Duplicated Test Order for 30602589A received from host (LIS # 131)."/>
    <x v="74"/>
    <x v="1"/>
    <x v="26"/>
    <d v="1899-12-30T12:02:53"/>
    <s v="LIS"/>
    <x v="0"/>
    <x v="2"/>
    <x v="6"/>
    <x v="0"/>
  </r>
  <r>
    <s v="Duplicated Test Order for 30602590A received from host (LIS # 131)."/>
    <x v="74"/>
    <x v="1"/>
    <x v="26"/>
    <d v="1899-12-30T12:02:53"/>
    <s v="LIS"/>
    <x v="0"/>
    <x v="2"/>
    <x v="6"/>
    <x v="0"/>
  </r>
  <r>
    <s v="Duplicated Test Order for 30602591B received from host (LIS # 131)."/>
    <x v="74"/>
    <x v="1"/>
    <x v="26"/>
    <d v="1899-12-30T12:02:53"/>
    <s v="LIS"/>
    <x v="0"/>
    <x v="2"/>
    <x v="6"/>
    <x v="0"/>
  </r>
  <r>
    <s v="Duplicated Test Order for 30602650C received from host (LIS # 131)."/>
    <x v="74"/>
    <x v="1"/>
    <x v="26"/>
    <d v="1899-12-30T12:02:53"/>
    <s v="LIS"/>
    <x v="0"/>
    <x v="2"/>
    <x v="6"/>
    <x v="0"/>
  </r>
  <r>
    <s v="Duplicated Test Order for 30602650C received from host (LIS # 921)."/>
    <x v="74"/>
    <x v="1"/>
    <x v="26"/>
    <d v="1899-12-30T12:02:54"/>
    <s v="LIS"/>
    <x v="0"/>
    <x v="2"/>
    <x v="6"/>
    <x v="0"/>
  </r>
  <r>
    <s v="Duplicated Test Order for 30602685A received from host (LIS # 2101)."/>
    <x v="74"/>
    <x v="1"/>
    <x v="26"/>
    <d v="1899-12-30T12:02:54"/>
    <s v="LIS"/>
    <x v="0"/>
    <x v="2"/>
    <x v="6"/>
    <x v="0"/>
  </r>
  <r>
    <s v="Duplicated Test Order for 30602690A received from host (LIS # 131)."/>
    <x v="74"/>
    <x v="1"/>
    <x v="26"/>
    <d v="1899-12-30T12:02:54"/>
    <s v="LIS"/>
    <x v="0"/>
    <x v="2"/>
    <x v="6"/>
    <x v="0"/>
  </r>
  <r>
    <s v="Duplicated Test Order for 30602694C received from host (LIS # 131)."/>
    <x v="74"/>
    <x v="1"/>
    <x v="26"/>
    <d v="1899-12-30T12:02:54"/>
    <s v="LIS"/>
    <x v="0"/>
    <x v="2"/>
    <x v="6"/>
    <x v="0"/>
  </r>
  <r>
    <s v="Duplicated Test Order for 30602694C received from host (LIS # 921)."/>
    <x v="74"/>
    <x v="1"/>
    <x v="26"/>
    <d v="1899-12-30T12:02:54"/>
    <s v="LIS"/>
    <x v="0"/>
    <x v="2"/>
    <x v="6"/>
    <x v="0"/>
  </r>
  <r>
    <s v="Duplicated Test Order for 30602750A received from host (LIS # 131)."/>
    <x v="74"/>
    <x v="1"/>
    <x v="26"/>
    <d v="1899-12-30T12:02:55"/>
    <s v="LIS"/>
    <x v="0"/>
    <x v="2"/>
    <x v="6"/>
    <x v="0"/>
  </r>
  <r>
    <s v="Duplicated Test Order for 30602750A received from host (LIS # 921)."/>
    <x v="74"/>
    <x v="1"/>
    <x v="26"/>
    <d v="1899-12-30T12:02:56"/>
    <s v="LIS"/>
    <x v="0"/>
    <x v="2"/>
    <x v="6"/>
    <x v="0"/>
  </r>
  <r>
    <s v="Duplicated Test Order for 30602750A received from host (LIS # 2011)."/>
    <x v="74"/>
    <x v="1"/>
    <x v="26"/>
    <d v="1899-12-30T12:02:56"/>
    <s v="LIS"/>
    <x v="0"/>
    <x v="2"/>
    <x v="6"/>
    <x v="0"/>
  </r>
  <r>
    <s v="Duplicated Test Order for 30602778B received from host (LIS # 131)."/>
    <x v="74"/>
    <x v="1"/>
    <x v="26"/>
    <d v="1899-12-30T12:02:56"/>
    <s v="LIS"/>
    <x v="0"/>
    <x v="2"/>
    <x v="6"/>
    <x v="0"/>
  </r>
  <r>
    <s v="Duplicated Test Order for 30602820C received from host (LIS # 131)."/>
    <x v="74"/>
    <x v="1"/>
    <x v="26"/>
    <d v="1899-12-30T12:02:56"/>
    <s v="LIS"/>
    <x v="0"/>
    <x v="2"/>
    <x v="6"/>
    <x v="0"/>
  </r>
  <r>
    <s v="Duplicated Test Order for 30602820C received from host (LIS # 921)."/>
    <x v="74"/>
    <x v="1"/>
    <x v="26"/>
    <d v="1899-12-30T12:02:57"/>
    <s v="LIS"/>
    <x v="0"/>
    <x v="2"/>
    <x v="6"/>
    <x v="0"/>
  </r>
  <r>
    <s v="Duplicated Test Order for 30602822C received from host (LIS # 131)."/>
    <x v="74"/>
    <x v="1"/>
    <x v="26"/>
    <d v="1899-12-30T12:02:57"/>
    <s v="LIS"/>
    <x v="0"/>
    <x v="2"/>
    <x v="6"/>
    <x v="0"/>
  </r>
  <r>
    <s v="Duplicated Test Order for 30602822C received from host (LIS # 921)."/>
    <x v="74"/>
    <x v="1"/>
    <x v="26"/>
    <d v="1899-12-30T12:02:57"/>
    <s v="LIS"/>
    <x v="0"/>
    <x v="2"/>
    <x v="6"/>
    <x v="0"/>
  </r>
  <r>
    <s v="Duplicated Test Order for 30602850D received from host (LIS # 131)."/>
    <x v="74"/>
    <x v="1"/>
    <x v="26"/>
    <d v="1899-12-30T12:02:57"/>
    <s v="LIS"/>
    <x v="0"/>
    <x v="2"/>
    <x v="6"/>
    <x v="0"/>
  </r>
  <r>
    <s v="Duplicated Test Order for 30602850D received from host (LIS # 921)."/>
    <x v="74"/>
    <x v="1"/>
    <x v="26"/>
    <d v="1899-12-30T12:02:58"/>
    <s v="LIS"/>
    <x v="0"/>
    <x v="2"/>
    <x v="6"/>
    <x v="0"/>
  </r>
  <r>
    <s v="Duplicated Test Order for 30602853B received from host (LIS # 131)."/>
    <x v="74"/>
    <x v="1"/>
    <x v="26"/>
    <d v="1899-12-30T12:02:58"/>
    <s v="LIS"/>
    <x v="0"/>
    <x v="2"/>
    <x v="6"/>
    <x v="0"/>
  </r>
  <r>
    <s v="Duplicated Test Order for 30602865A received from host (LIS # 131)."/>
    <x v="74"/>
    <x v="1"/>
    <x v="26"/>
    <d v="1899-12-30T12:02:58"/>
    <s v="LIS"/>
    <x v="0"/>
    <x v="2"/>
    <x v="6"/>
    <x v="0"/>
  </r>
  <r>
    <s v="Duplicated Test Order for 30602890C received from host (LIS # 131)."/>
    <x v="74"/>
    <x v="1"/>
    <x v="26"/>
    <d v="1899-12-30T12:02:58"/>
    <s v="LIS"/>
    <x v="0"/>
    <x v="2"/>
    <x v="6"/>
    <x v="0"/>
  </r>
  <r>
    <s v="Duplicated Test Order for 30602931A received from host (LIS # 2101)."/>
    <x v="74"/>
    <x v="1"/>
    <x v="26"/>
    <d v="1899-12-30T12:02:58"/>
    <s v="LIS"/>
    <x v="0"/>
    <x v="2"/>
    <x v="6"/>
    <x v="0"/>
  </r>
  <r>
    <s v="Duplicated Test Order for 30602941C received from host (LIS # 2241)."/>
    <x v="74"/>
    <x v="1"/>
    <x v="26"/>
    <d v="1899-12-30T12:02:58"/>
    <s v="LIS"/>
    <x v="0"/>
    <x v="2"/>
    <x v="6"/>
    <x v="0"/>
  </r>
  <r>
    <s v="Duplicated Test Order for 30602962A received from host (LIS # 2241)."/>
    <x v="74"/>
    <x v="1"/>
    <x v="26"/>
    <d v="1899-12-30T12:02:58"/>
    <s v="LIS"/>
    <x v="0"/>
    <x v="2"/>
    <x v="6"/>
    <x v="0"/>
  </r>
  <r>
    <s v="Duplicated Test Order for 30602964A received from host (LIS # 2241)."/>
    <x v="74"/>
    <x v="1"/>
    <x v="26"/>
    <d v="1899-12-30T12:02:58"/>
    <s v="LIS"/>
    <x v="0"/>
    <x v="2"/>
    <x v="6"/>
    <x v="0"/>
  </r>
  <r>
    <s v="Duplicated Test Order for 30602977C received from host (LIS # 131)."/>
    <x v="74"/>
    <x v="1"/>
    <x v="26"/>
    <d v="1899-12-30T12:02:59"/>
    <s v="LIS"/>
    <x v="0"/>
    <x v="2"/>
    <x v="6"/>
    <x v="0"/>
  </r>
  <r>
    <s v="Duplicated Test Order for 30602977C received from host (LIS # 921)."/>
    <x v="74"/>
    <x v="1"/>
    <x v="26"/>
    <d v="1899-12-30T12:02:59"/>
    <s v="LIS"/>
    <x v="0"/>
    <x v="2"/>
    <x v="6"/>
    <x v="0"/>
  </r>
  <r>
    <s v="Duplicated Test Order for 30602977C received from host (LIS # 2011)."/>
    <x v="74"/>
    <x v="1"/>
    <x v="26"/>
    <d v="1899-12-30T12:03:00"/>
    <s v="LIS"/>
    <x v="0"/>
    <x v="2"/>
    <x v="6"/>
    <x v="0"/>
  </r>
  <r>
    <s v="Duplicated Test Order for 30602990A received from host (LIS # 131)."/>
    <x v="74"/>
    <x v="1"/>
    <x v="26"/>
    <d v="1899-12-30T12:03:00"/>
    <s v="LIS"/>
    <x v="0"/>
    <x v="2"/>
    <x v="6"/>
    <x v="0"/>
  </r>
  <r>
    <s v="Duplicated Test Order for 30603019A received from host (LIS # 131)."/>
    <x v="74"/>
    <x v="1"/>
    <x v="26"/>
    <d v="1899-12-30T12:03:00"/>
    <s v="LIS"/>
    <x v="0"/>
    <x v="2"/>
    <x v="6"/>
    <x v="0"/>
  </r>
  <r>
    <s v="Duplicated Test Order for 30603022A received from host (LIS # 131)."/>
    <x v="74"/>
    <x v="1"/>
    <x v="26"/>
    <d v="1899-12-30T12:03:01"/>
    <s v="LIS"/>
    <x v="0"/>
    <x v="2"/>
    <x v="6"/>
    <x v="0"/>
  </r>
  <r>
    <s v="Duplicated Test Order for 30603022A received from host (LIS # 921)."/>
    <x v="74"/>
    <x v="1"/>
    <x v="26"/>
    <d v="1899-12-30T12:03:01"/>
    <s v="LIS"/>
    <x v="0"/>
    <x v="2"/>
    <x v="6"/>
    <x v="0"/>
  </r>
  <r>
    <s v="Duplicated Test Order for 30603022A received from host (LIS # 2011)."/>
    <x v="74"/>
    <x v="1"/>
    <x v="26"/>
    <d v="1899-12-30T12:03:01"/>
    <s v="LIS"/>
    <x v="0"/>
    <x v="2"/>
    <x v="6"/>
    <x v="0"/>
  </r>
  <r>
    <s v="Duplicated Test Order for 30603032A received from host (LIS # 2011)."/>
    <x v="74"/>
    <x v="1"/>
    <x v="26"/>
    <d v="1899-12-30T12:03:02"/>
    <s v="LIS"/>
    <x v="0"/>
    <x v="2"/>
    <x v="6"/>
    <x v="0"/>
  </r>
  <r>
    <s v="Duplicated Test Order for 30603032A received from host (LIS # 2241)."/>
    <x v="74"/>
    <x v="1"/>
    <x v="26"/>
    <d v="1899-12-30T12:03:02"/>
    <s v="LIS"/>
    <x v="0"/>
    <x v="2"/>
    <x v="6"/>
    <x v="0"/>
  </r>
  <r>
    <s v="Duplicated Test Order for 30700006A received from host (LIS # 131)."/>
    <x v="74"/>
    <x v="1"/>
    <x v="26"/>
    <d v="1899-12-30T12:03:02"/>
    <s v="LIS"/>
    <x v="0"/>
    <x v="2"/>
    <x v="6"/>
    <x v="0"/>
  </r>
  <r>
    <s v="Duplicated Test Order for 30700021A received from host (LIS # 921)."/>
    <x v="74"/>
    <x v="1"/>
    <x v="26"/>
    <d v="1899-12-30T12:03:02"/>
    <s v="LIS"/>
    <x v="0"/>
    <x v="2"/>
    <x v="6"/>
    <x v="0"/>
  </r>
  <r>
    <s v="Duplicated Test Order for 30700038B received from host (LIS # 131)."/>
    <x v="74"/>
    <x v="1"/>
    <x v="26"/>
    <d v="1899-12-30T12:03:02"/>
    <s v="LIS"/>
    <x v="0"/>
    <x v="2"/>
    <x v="6"/>
    <x v="0"/>
  </r>
  <r>
    <s v="Duplicated Test Order for 30700065A received from host (LIS # 131)."/>
    <x v="74"/>
    <x v="1"/>
    <x v="26"/>
    <d v="1899-12-30T12:03:02"/>
    <s v="LIS"/>
    <x v="0"/>
    <x v="2"/>
    <x v="6"/>
    <x v="0"/>
  </r>
  <r>
    <s v="Duplicated Test Order for 30700073A received from host (LIS # 2101)."/>
    <x v="74"/>
    <x v="1"/>
    <x v="26"/>
    <d v="1899-12-30T12:03:02"/>
    <s v="LIS"/>
    <x v="0"/>
    <x v="2"/>
    <x v="6"/>
    <x v="0"/>
  </r>
  <r>
    <s v="Duplicated Test Order for 30700083A received from host (LIS # 131)."/>
    <x v="74"/>
    <x v="1"/>
    <x v="26"/>
    <d v="1899-12-30T12:03:03"/>
    <s v="LIS"/>
    <x v="0"/>
    <x v="2"/>
    <x v="6"/>
    <x v="0"/>
  </r>
  <r>
    <s v="Duplicated Test Order for 30700083A received from host (LIS # 921)."/>
    <x v="74"/>
    <x v="1"/>
    <x v="26"/>
    <d v="1899-12-30T12:03:03"/>
    <s v="LIS"/>
    <x v="0"/>
    <x v="2"/>
    <x v="6"/>
    <x v="0"/>
  </r>
  <r>
    <s v="Duplicated Test Order for 30700083A received from host (LIS # 2011)."/>
    <x v="74"/>
    <x v="1"/>
    <x v="26"/>
    <d v="1899-12-30T12:03:04"/>
    <s v="LIS"/>
    <x v="0"/>
    <x v="2"/>
    <x v="6"/>
    <x v="0"/>
  </r>
  <r>
    <s v="Duplicated Test Order for 30700094A received from host (LIS # 131)."/>
    <x v="74"/>
    <x v="1"/>
    <x v="26"/>
    <d v="1899-12-30T12:03:04"/>
    <s v="LIS"/>
    <x v="0"/>
    <x v="2"/>
    <x v="6"/>
    <x v="0"/>
  </r>
  <r>
    <s v="Duplicated Test Order for 30700094A received from host (LIS # 921)."/>
    <x v="74"/>
    <x v="1"/>
    <x v="26"/>
    <d v="1899-12-30T12:03:04"/>
    <s v="LIS"/>
    <x v="0"/>
    <x v="2"/>
    <x v="6"/>
    <x v="0"/>
  </r>
  <r>
    <s v="Duplicated Test Order for 30700094A received from host (LIS # 2011)."/>
    <x v="74"/>
    <x v="1"/>
    <x v="26"/>
    <d v="1899-12-30T12:03:05"/>
    <s v="LIS"/>
    <x v="0"/>
    <x v="2"/>
    <x v="6"/>
    <x v="0"/>
  </r>
  <r>
    <s v="Duplicated Test Order for 30700122A received from host (LIS # 131)."/>
    <x v="74"/>
    <x v="1"/>
    <x v="26"/>
    <d v="1899-12-30T12:03:05"/>
    <s v="LIS"/>
    <x v="0"/>
    <x v="2"/>
    <x v="6"/>
    <x v="0"/>
  </r>
  <r>
    <s v="Duplicated Test Order for 30700134A received from host (LIS # 131)."/>
    <x v="74"/>
    <x v="1"/>
    <x v="26"/>
    <d v="1899-12-30T12:03:05"/>
    <s v="LIS"/>
    <x v="0"/>
    <x v="2"/>
    <x v="6"/>
    <x v="0"/>
  </r>
  <r>
    <s v="Duplicated Test Order for 30700134A received from host (LIS # 2011)."/>
    <x v="74"/>
    <x v="1"/>
    <x v="26"/>
    <d v="1899-12-30T12:03:05"/>
    <s v="LIS"/>
    <x v="0"/>
    <x v="2"/>
    <x v="6"/>
    <x v="0"/>
  </r>
  <r>
    <s v="Duplicated Test Order for 30700142A received from host (LIS # 2241)."/>
    <x v="74"/>
    <x v="1"/>
    <x v="26"/>
    <d v="1899-12-30T12:03:06"/>
    <s v="LIS"/>
    <x v="0"/>
    <x v="2"/>
    <x v="6"/>
    <x v="0"/>
  </r>
  <r>
    <s v="Duplicated Test Order for 30700145C received from host (LIS # 131)."/>
    <x v="74"/>
    <x v="1"/>
    <x v="26"/>
    <d v="1899-12-30T12:03:06"/>
    <s v="LIS"/>
    <x v="0"/>
    <x v="2"/>
    <x v="6"/>
    <x v="0"/>
  </r>
  <r>
    <s v="Duplicated Test Order for 30700145C received from host (LIS # 2011)."/>
    <x v="74"/>
    <x v="1"/>
    <x v="26"/>
    <d v="1899-12-30T12:03:06"/>
    <s v="LIS"/>
    <x v="0"/>
    <x v="2"/>
    <x v="6"/>
    <x v="0"/>
  </r>
  <r>
    <s v="Duplicated Test Order for 30700149B received from host (LIS # 131)."/>
    <x v="74"/>
    <x v="1"/>
    <x v="26"/>
    <d v="1899-12-30T12:03:06"/>
    <s v="LIS"/>
    <x v="0"/>
    <x v="2"/>
    <x v="6"/>
    <x v="0"/>
  </r>
  <r>
    <s v="Duplicated Test Order for 30700149B received from host (LIS # 2011)."/>
    <x v="74"/>
    <x v="1"/>
    <x v="26"/>
    <d v="1899-12-30T12:03:07"/>
    <s v="LIS"/>
    <x v="0"/>
    <x v="2"/>
    <x v="6"/>
    <x v="0"/>
  </r>
  <r>
    <s v="Duplicated Test Order for 30700161B received from host (LIS # 131)."/>
    <x v="74"/>
    <x v="1"/>
    <x v="26"/>
    <d v="1899-12-30T12:03:07"/>
    <s v="LIS"/>
    <x v="0"/>
    <x v="2"/>
    <x v="6"/>
    <x v="0"/>
  </r>
  <r>
    <s v="Duplicated Test Order for 30700161B received from host (LIS # 2011)."/>
    <x v="74"/>
    <x v="1"/>
    <x v="26"/>
    <d v="1899-12-30T12:03:07"/>
    <s v="LIS"/>
    <x v="0"/>
    <x v="2"/>
    <x v="6"/>
    <x v="0"/>
  </r>
  <r>
    <s v="Duplicated Test Order for 30700172C received from host (LIS # 131)."/>
    <x v="74"/>
    <x v="1"/>
    <x v="26"/>
    <d v="1899-12-30T12:03:08"/>
    <s v="LIS"/>
    <x v="0"/>
    <x v="2"/>
    <x v="6"/>
    <x v="0"/>
  </r>
  <r>
    <s v="Duplicated Test Order for 30700172C received from host (LIS # 2011)."/>
    <x v="74"/>
    <x v="1"/>
    <x v="26"/>
    <d v="1899-12-30T12:03:08"/>
    <s v="LIS"/>
    <x v="0"/>
    <x v="2"/>
    <x v="6"/>
    <x v="0"/>
  </r>
  <r>
    <s v="Duplicated Test Order for 30700191B received from host (LIS # 131)."/>
    <x v="74"/>
    <x v="1"/>
    <x v="26"/>
    <d v="1899-12-30T12:03:08"/>
    <s v="LIS"/>
    <x v="0"/>
    <x v="2"/>
    <x v="6"/>
    <x v="0"/>
  </r>
  <r>
    <s v="Duplicated Test Order for 30700198A received from host (LIS # 131)."/>
    <x v="74"/>
    <x v="1"/>
    <x v="26"/>
    <d v="1899-12-30T12:03:09"/>
    <s v="LIS"/>
    <x v="0"/>
    <x v="2"/>
    <x v="6"/>
    <x v="0"/>
  </r>
  <r>
    <s v="Duplicated Test Order for 30700198A received from host (LIS # 2101)."/>
    <x v="74"/>
    <x v="1"/>
    <x v="26"/>
    <d v="1899-12-30T12:03:09"/>
    <s v="LIS"/>
    <x v="0"/>
    <x v="2"/>
    <x v="6"/>
    <x v="0"/>
  </r>
  <r>
    <s v="Duplicated Test Order for 30700200A received from host (LIS # 131)."/>
    <x v="74"/>
    <x v="1"/>
    <x v="26"/>
    <d v="1899-12-30T12:03:09"/>
    <s v="LIS"/>
    <x v="0"/>
    <x v="2"/>
    <x v="6"/>
    <x v="0"/>
  </r>
  <r>
    <s v="Duplicated Test Order for 30700201C received from host (LIS # 131)."/>
    <x v="74"/>
    <x v="1"/>
    <x v="26"/>
    <d v="1899-12-30T12:03:09"/>
    <s v="LIS"/>
    <x v="0"/>
    <x v="2"/>
    <x v="6"/>
    <x v="0"/>
  </r>
  <r>
    <s v="Duplicated Test Order for 30700202C received from host (LIS # 131)."/>
    <x v="74"/>
    <x v="1"/>
    <x v="26"/>
    <d v="1899-12-30T12:03:09"/>
    <s v="LIS"/>
    <x v="0"/>
    <x v="2"/>
    <x v="6"/>
    <x v="0"/>
  </r>
  <r>
    <s v="Duplicated Test Order for 30700214A received from host (LIS # 131)."/>
    <x v="74"/>
    <x v="1"/>
    <x v="26"/>
    <d v="1899-12-30T12:03:10"/>
    <s v="LIS"/>
    <x v="0"/>
    <x v="2"/>
    <x v="6"/>
    <x v="0"/>
  </r>
  <r>
    <s v="Duplicated Test Order for 30700216C received from host (LIS # 131)."/>
    <x v="74"/>
    <x v="1"/>
    <x v="26"/>
    <d v="1899-12-30T12:03:10"/>
    <s v="LIS"/>
    <x v="0"/>
    <x v="2"/>
    <x v="6"/>
    <x v="0"/>
  </r>
  <r>
    <s v="Duplicated Test Order for 30700218B received from host (LIS # 131)."/>
    <x v="74"/>
    <x v="1"/>
    <x v="26"/>
    <d v="1899-12-30T12:03:10"/>
    <s v="LIS"/>
    <x v="0"/>
    <x v="2"/>
    <x v="6"/>
    <x v="0"/>
  </r>
  <r>
    <s v="Duplicated Test Order for 30700223A received from host (LIS # 131)."/>
    <x v="74"/>
    <x v="1"/>
    <x v="26"/>
    <d v="1899-12-30T12:03:10"/>
    <s v="LIS"/>
    <x v="0"/>
    <x v="2"/>
    <x v="6"/>
    <x v="0"/>
  </r>
  <r>
    <s v="Duplicated Test Order for 30700226A received from host (LIS # 131)."/>
    <x v="74"/>
    <x v="1"/>
    <x v="26"/>
    <d v="1899-12-30T12:03:10"/>
    <s v="LIS"/>
    <x v="0"/>
    <x v="2"/>
    <x v="6"/>
    <x v="0"/>
  </r>
  <r>
    <s v="Duplicated Test Order for 30700227C received from host (LIS # 131)."/>
    <x v="74"/>
    <x v="1"/>
    <x v="26"/>
    <d v="1899-12-30T12:03:10"/>
    <s v="LIS"/>
    <x v="0"/>
    <x v="2"/>
    <x v="6"/>
    <x v="0"/>
  </r>
  <r>
    <s v="Duplicated Test Order for 30700229C received from host (LIS # 131)."/>
    <x v="74"/>
    <x v="1"/>
    <x v="26"/>
    <d v="1899-12-30T12:03:10"/>
    <s v="LIS"/>
    <x v="0"/>
    <x v="2"/>
    <x v="6"/>
    <x v="0"/>
  </r>
  <r>
    <s v="Duplicated Test Order for 30700235C received from host (LIS # 131)."/>
    <x v="74"/>
    <x v="1"/>
    <x v="26"/>
    <d v="1899-12-30T12:03:11"/>
    <s v="LIS"/>
    <x v="0"/>
    <x v="2"/>
    <x v="6"/>
    <x v="0"/>
  </r>
  <r>
    <s v="Duplicated Test Order for 30700236C received from host (LIS # 131)."/>
    <x v="74"/>
    <x v="1"/>
    <x v="26"/>
    <d v="1899-12-30T12:03:11"/>
    <s v="LIS"/>
    <x v="0"/>
    <x v="2"/>
    <x v="6"/>
    <x v="0"/>
  </r>
  <r>
    <s v="Duplicated Test Order for 30700240A received from host (LIS # 131)."/>
    <x v="74"/>
    <x v="1"/>
    <x v="26"/>
    <d v="1899-12-30T12:03:11"/>
    <s v="LIS"/>
    <x v="0"/>
    <x v="2"/>
    <x v="6"/>
    <x v="0"/>
  </r>
  <r>
    <s v="Duplicated Test Order for 30700242A received from host (LIS # 131)."/>
    <x v="74"/>
    <x v="1"/>
    <x v="26"/>
    <d v="1899-12-30T12:03:11"/>
    <s v="LIS"/>
    <x v="0"/>
    <x v="2"/>
    <x v="6"/>
    <x v="0"/>
  </r>
  <r>
    <s v="Duplicated Test Order for 30700245B received from host (LIS # 131)."/>
    <x v="74"/>
    <x v="1"/>
    <x v="26"/>
    <d v="1899-12-30T12:03:11"/>
    <s v="LIS"/>
    <x v="0"/>
    <x v="2"/>
    <x v="6"/>
    <x v="0"/>
  </r>
  <r>
    <s v="Duplicated Test Order for 30700254B received from host (LIS # 2101)."/>
    <x v="74"/>
    <x v="1"/>
    <x v="26"/>
    <d v="1899-12-30T12:03:11"/>
    <s v="LIS"/>
    <x v="0"/>
    <x v="2"/>
    <x v="6"/>
    <x v="0"/>
  </r>
  <r>
    <s v="Duplicated Test Order for 30700260B received from host (LIS # 131)."/>
    <x v="74"/>
    <x v="1"/>
    <x v="26"/>
    <d v="1899-12-30T12:03:12"/>
    <s v="LIS"/>
    <x v="0"/>
    <x v="2"/>
    <x v="6"/>
    <x v="0"/>
  </r>
  <r>
    <s v="Duplicated Test Order for 30700260B received from host (LIS # 2011)."/>
    <x v="74"/>
    <x v="1"/>
    <x v="26"/>
    <d v="1899-12-30T12:03:12"/>
    <s v="LIS"/>
    <x v="0"/>
    <x v="2"/>
    <x v="6"/>
    <x v="0"/>
  </r>
  <r>
    <s v="Duplicated Test Order for 30700260B received from host (LIS # 2241)."/>
    <x v="74"/>
    <x v="1"/>
    <x v="26"/>
    <d v="1899-12-30T12:03:12"/>
    <s v="LIS"/>
    <x v="0"/>
    <x v="2"/>
    <x v="6"/>
    <x v="0"/>
  </r>
  <r>
    <s v="Duplicated Test Order for 30700271C received from host (LIS # 131)."/>
    <x v="74"/>
    <x v="1"/>
    <x v="26"/>
    <d v="1899-12-30T12:03:12"/>
    <s v="LIS"/>
    <x v="0"/>
    <x v="2"/>
    <x v="6"/>
    <x v="0"/>
  </r>
  <r>
    <s v="Duplicated Test Order for 30700274A received from host (LIS # 131)."/>
    <x v="74"/>
    <x v="1"/>
    <x v="26"/>
    <d v="1899-12-30T12:03:13"/>
    <s v="LIS"/>
    <x v="0"/>
    <x v="2"/>
    <x v="6"/>
    <x v="0"/>
  </r>
  <r>
    <s v="Duplicated Test Order for 30700277C received from host (LIS # 131)."/>
    <x v="74"/>
    <x v="1"/>
    <x v="26"/>
    <d v="1899-12-30T12:03:13"/>
    <s v="LIS"/>
    <x v="0"/>
    <x v="2"/>
    <x v="6"/>
    <x v="0"/>
  </r>
  <r>
    <s v="Duplicated Test Order for 30700289C received from host (LIS # 2101)."/>
    <x v="74"/>
    <x v="1"/>
    <x v="26"/>
    <d v="1899-12-30T12:03:13"/>
    <s v="LIS"/>
    <x v="0"/>
    <x v="2"/>
    <x v="6"/>
    <x v="0"/>
  </r>
  <r>
    <s v="Duplicated Test Order for 30700290A received from host (LIS # 131)."/>
    <x v="74"/>
    <x v="1"/>
    <x v="26"/>
    <d v="1899-12-30T12:03:13"/>
    <s v="LIS"/>
    <x v="0"/>
    <x v="2"/>
    <x v="6"/>
    <x v="0"/>
  </r>
  <r>
    <s v="Duplicated Test Order for 30700318A received from host (LIS # 131)."/>
    <x v="74"/>
    <x v="1"/>
    <x v="26"/>
    <d v="1899-12-30T12:03:13"/>
    <s v="LIS"/>
    <x v="0"/>
    <x v="2"/>
    <x v="6"/>
    <x v="0"/>
  </r>
  <r>
    <s v="Duplicated Test Order for 30700344A received from host (LIS # 131)."/>
    <x v="74"/>
    <x v="1"/>
    <x v="26"/>
    <d v="1899-12-30T12:03:13"/>
    <s v="LIS"/>
    <x v="0"/>
    <x v="2"/>
    <x v="6"/>
    <x v="0"/>
  </r>
  <r>
    <s v="Duplicated Test Order for 30700355A received from host (LIS # 131)."/>
    <x v="74"/>
    <x v="1"/>
    <x v="26"/>
    <d v="1899-12-30T12:03:14"/>
    <s v="LIS"/>
    <x v="0"/>
    <x v="2"/>
    <x v="6"/>
    <x v="0"/>
  </r>
  <r>
    <s v="Duplicated Test Order for 30700355A received from host (LIS # 921)."/>
    <x v="74"/>
    <x v="1"/>
    <x v="26"/>
    <d v="1899-12-30T12:03:14"/>
    <s v="LIS"/>
    <x v="0"/>
    <x v="2"/>
    <x v="6"/>
    <x v="0"/>
  </r>
  <r>
    <s v="Duplicated Test Order for 30700355A received from host (LIS # 2101)."/>
    <x v="74"/>
    <x v="1"/>
    <x v="26"/>
    <d v="1899-12-30T12:03:15"/>
    <s v="LIS"/>
    <x v="0"/>
    <x v="2"/>
    <x v="6"/>
    <x v="0"/>
  </r>
  <r>
    <s v="Duplicated Test Order for 30700370C received from host (LIS # 131)."/>
    <x v="74"/>
    <x v="1"/>
    <x v="26"/>
    <d v="1899-12-30T12:03:15"/>
    <s v="LIS"/>
    <x v="0"/>
    <x v="2"/>
    <x v="6"/>
    <x v="0"/>
  </r>
  <r>
    <s v="Duplicated Test Order for 30700375C received from host (LIS # 2101)."/>
    <x v="74"/>
    <x v="1"/>
    <x v="26"/>
    <d v="1899-12-30T12:03:15"/>
    <s v="LIS"/>
    <x v="0"/>
    <x v="2"/>
    <x v="6"/>
    <x v="0"/>
  </r>
  <r>
    <s v="Duplicated Test Order for 30700379B received from host (LIS # 131)."/>
    <x v="74"/>
    <x v="1"/>
    <x v="26"/>
    <d v="1899-12-30T12:03:15"/>
    <s v="LIS"/>
    <x v="0"/>
    <x v="2"/>
    <x v="6"/>
    <x v="0"/>
  </r>
  <r>
    <s v="Duplicated Test Order for 30700380C received from host (LIS # 131)."/>
    <x v="74"/>
    <x v="1"/>
    <x v="26"/>
    <d v="1899-12-30T12:03:15"/>
    <s v="LIS"/>
    <x v="0"/>
    <x v="2"/>
    <x v="6"/>
    <x v="0"/>
  </r>
  <r>
    <s v="Duplicated Test Order for 30700401C received from host (LIS # 131)."/>
    <x v="74"/>
    <x v="1"/>
    <x v="26"/>
    <d v="1899-12-30T12:03:15"/>
    <s v="LIS"/>
    <x v="0"/>
    <x v="2"/>
    <x v="6"/>
    <x v="0"/>
  </r>
  <r>
    <s v="Duplicated Test Order for 30700406A received from host (LIS # 2241)."/>
    <x v="74"/>
    <x v="1"/>
    <x v="26"/>
    <d v="1899-12-30T12:03:16"/>
    <s v="LIS"/>
    <x v="0"/>
    <x v="2"/>
    <x v="6"/>
    <x v="0"/>
  </r>
  <r>
    <s v="Duplicated Test Order for 30700412C received from host (LIS # 131)."/>
    <x v="74"/>
    <x v="1"/>
    <x v="26"/>
    <d v="1899-12-30T12:03:16"/>
    <s v="LIS"/>
    <x v="0"/>
    <x v="2"/>
    <x v="6"/>
    <x v="0"/>
  </r>
  <r>
    <s v="Duplicated Test Order for 30700412C received from host (LIS # 921)."/>
    <x v="74"/>
    <x v="1"/>
    <x v="26"/>
    <d v="1899-12-30T12:03:16"/>
    <s v="LIS"/>
    <x v="0"/>
    <x v="2"/>
    <x v="6"/>
    <x v="0"/>
  </r>
  <r>
    <s v="Duplicated Test Order for 30700417A received from host (LIS # 131)."/>
    <x v="74"/>
    <x v="1"/>
    <x v="26"/>
    <d v="1899-12-30T12:03:16"/>
    <s v="LIS"/>
    <x v="0"/>
    <x v="2"/>
    <x v="6"/>
    <x v="0"/>
  </r>
  <r>
    <s v="Anti Chromogenic Sub volume low."/>
    <x v="7"/>
    <x v="1"/>
    <x v="26"/>
    <d v="1899-12-30T12:03:17"/>
    <s v="Materials"/>
    <x v="0"/>
    <x v="3"/>
    <x v="4"/>
    <x v="0"/>
  </r>
  <r>
    <s v="Duplicated Test Order for 30700417A received from host (LIS # 921)."/>
    <x v="74"/>
    <x v="1"/>
    <x v="26"/>
    <d v="1899-12-30T12:03:17"/>
    <s v="LIS"/>
    <x v="0"/>
    <x v="2"/>
    <x v="6"/>
    <x v="0"/>
  </r>
  <r>
    <s v="Duplicated Test Order for 30700419D received from host (LIS # 131)."/>
    <x v="74"/>
    <x v="1"/>
    <x v="26"/>
    <d v="1899-12-30T12:03:17"/>
    <s v="LIS"/>
    <x v="0"/>
    <x v="2"/>
    <x v="6"/>
    <x v="0"/>
  </r>
  <r>
    <s v="Duplicated Test Order for 30700426A received from host (LIS # 131)."/>
    <x v="74"/>
    <x v="1"/>
    <x v="26"/>
    <d v="1899-12-30T12:03:17"/>
    <s v="LIS"/>
    <x v="0"/>
    <x v="2"/>
    <x v="6"/>
    <x v="0"/>
  </r>
  <r>
    <s v="Duplicated Test Order for 30700426A received from host (LIS # 921)."/>
    <x v="74"/>
    <x v="1"/>
    <x v="26"/>
    <d v="1899-12-30T12:03:17"/>
    <s v="LIS"/>
    <x v="0"/>
    <x v="2"/>
    <x v="6"/>
    <x v="0"/>
  </r>
  <r>
    <s v="Duplicated Test Order for 30700438A received from host (LIS # 2011)."/>
    <x v="74"/>
    <x v="1"/>
    <x v="26"/>
    <d v="1899-12-30T12:03:17"/>
    <s v="LIS"/>
    <x v="0"/>
    <x v="2"/>
    <x v="6"/>
    <x v="0"/>
  </r>
  <r>
    <s v="Duplicated Test Order for 30700438A received from host (LIS # 2241)."/>
    <x v="74"/>
    <x v="1"/>
    <x v="26"/>
    <d v="1899-12-30T12:03:18"/>
    <s v="LIS"/>
    <x v="0"/>
    <x v="2"/>
    <x v="6"/>
    <x v="0"/>
  </r>
  <r>
    <s v="Duplicated Test Order for 30700444A received from host (LIS # 2241)."/>
    <x v="74"/>
    <x v="1"/>
    <x v="26"/>
    <d v="1899-12-30T12:03:18"/>
    <s v="LIS"/>
    <x v="0"/>
    <x v="2"/>
    <x v="6"/>
    <x v="0"/>
  </r>
  <r>
    <s v="Duplicated Test Order for 30700445A received from host (LIS # 2101)."/>
    <x v="74"/>
    <x v="1"/>
    <x v="26"/>
    <d v="1899-12-30T12:03:19"/>
    <s v="LIS"/>
    <x v="0"/>
    <x v="2"/>
    <x v="6"/>
    <x v="0"/>
  </r>
  <r>
    <s v="Duplicated Test Order for 30700446B received from host (LIS # 2241)."/>
    <x v="74"/>
    <x v="1"/>
    <x v="26"/>
    <d v="1899-12-30T12:03:19"/>
    <s v="LIS"/>
    <x v="0"/>
    <x v="2"/>
    <x v="6"/>
    <x v="0"/>
  </r>
  <r>
    <s v="Duplicated Test Order for 30700452A received from host (LIS # 131)."/>
    <x v="74"/>
    <x v="1"/>
    <x v="26"/>
    <d v="1899-12-30T12:03:20"/>
    <s v="LIS"/>
    <x v="0"/>
    <x v="2"/>
    <x v="6"/>
    <x v="0"/>
  </r>
  <r>
    <s v="Duplicated Test Order for 30700469A received from host (LIS # 131)."/>
    <x v="74"/>
    <x v="1"/>
    <x v="26"/>
    <d v="1899-12-30T12:03:20"/>
    <s v="LIS"/>
    <x v="0"/>
    <x v="2"/>
    <x v="6"/>
    <x v="0"/>
  </r>
  <r>
    <s v="Duplicated Test Order for 30700469A received from host (LIS # 2011)."/>
    <x v="74"/>
    <x v="1"/>
    <x v="26"/>
    <d v="1899-12-30T12:03:20"/>
    <s v="LIS"/>
    <x v="0"/>
    <x v="2"/>
    <x v="6"/>
    <x v="0"/>
  </r>
  <r>
    <s v="Duplicated Test Order for 30700470B received from host (LIS # 131)."/>
    <x v="74"/>
    <x v="1"/>
    <x v="26"/>
    <d v="1899-12-30T12:03:20"/>
    <s v="LIS"/>
    <x v="0"/>
    <x v="2"/>
    <x v="6"/>
    <x v="0"/>
  </r>
  <r>
    <s v="Duplicated Test Order for 30700470B received from host (LIS # 921)."/>
    <x v="74"/>
    <x v="1"/>
    <x v="26"/>
    <d v="1899-12-30T12:03:20"/>
    <s v="LIS"/>
    <x v="0"/>
    <x v="2"/>
    <x v="6"/>
    <x v="0"/>
  </r>
  <r>
    <s v="Duplicated Test Order for 30700471A received from host (LIS # 131)."/>
    <x v="74"/>
    <x v="1"/>
    <x v="26"/>
    <d v="1899-12-30T12:03:21"/>
    <s v="LIS"/>
    <x v="0"/>
    <x v="2"/>
    <x v="6"/>
    <x v="0"/>
  </r>
  <r>
    <s v="Duplicated Test Order for 30700471A received from host (LIS # 2011)."/>
    <x v="74"/>
    <x v="1"/>
    <x v="26"/>
    <d v="1899-12-30T12:03:21"/>
    <s v="LIS"/>
    <x v="0"/>
    <x v="2"/>
    <x v="6"/>
    <x v="0"/>
  </r>
  <r>
    <s v="Duplicated Test Order for 30700491A received from host (LIS # 131)."/>
    <x v="74"/>
    <x v="1"/>
    <x v="26"/>
    <d v="1899-12-30T12:03:21"/>
    <s v="LIS"/>
    <x v="0"/>
    <x v="2"/>
    <x v="6"/>
    <x v="0"/>
  </r>
  <r>
    <s v="Duplicated Test Order for 30700498A received from host (LIS # 2101)."/>
    <x v="74"/>
    <x v="1"/>
    <x v="26"/>
    <d v="1899-12-30T12:03:21"/>
    <s v="LIS"/>
    <x v="0"/>
    <x v="2"/>
    <x v="6"/>
    <x v="0"/>
  </r>
  <r>
    <s v="Duplicated Test Order for 30700503A received from host (LIS # 131)."/>
    <x v="74"/>
    <x v="1"/>
    <x v="26"/>
    <d v="1899-12-30T12:03:21"/>
    <s v="LIS"/>
    <x v="0"/>
    <x v="2"/>
    <x v="6"/>
    <x v="0"/>
  </r>
  <r>
    <s v="Duplicated Test Order for 30700503A received from host (LIS # 2101)."/>
    <x v="74"/>
    <x v="1"/>
    <x v="26"/>
    <d v="1899-12-30T12:03:21"/>
    <s v="LIS"/>
    <x v="0"/>
    <x v="2"/>
    <x v="6"/>
    <x v="0"/>
  </r>
  <r>
    <s v="Duplicated Test Order for 30700511A received from host (LIS # 2241)."/>
    <x v="74"/>
    <x v="1"/>
    <x v="26"/>
    <d v="1899-12-30T12:03:22"/>
    <s v="LIS"/>
    <x v="0"/>
    <x v="2"/>
    <x v="6"/>
    <x v="0"/>
  </r>
  <r>
    <s v="Duplicated Test Order for 30700553B received from host (LIS # 131)."/>
    <x v="74"/>
    <x v="1"/>
    <x v="26"/>
    <d v="1899-12-30T12:03:22"/>
    <s v="LIS"/>
    <x v="0"/>
    <x v="2"/>
    <x v="6"/>
    <x v="0"/>
  </r>
  <r>
    <s v="Duplicated Test Order for 30700566C received from host (LIS # 131)."/>
    <x v="74"/>
    <x v="1"/>
    <x v="26"/>
    <d v="1899-12-30T12:03:22"/>
    <s v="LIS"/>
    <x v="0"/>
    <x v="2"/>
    <x v="6"/>
    <x v="0"/>
  </r>
  <r>
    <s v="Duplicated Test Order for 30700569A received from host (LIS # 131)."/>
    <x v="74"/>
    <x v="1"/>
    <x v="26"/>
    <d v="1899-12-30T12:03:22"/>
    <s v="LIS"/>
    <x v="0"/>
    <x v="2"/>
    <x v="6"/>
    <x v="0"/>
  </r>
  <r>
    <s v="Duplicated Test Order for 30700584C received from host (LIS # 131)."/>
    <x v="74"/>
    <x v="1"/>
    <x v="26"/>
    <d v="1899-12-30T12:03:22"/>
    <s v="LIS"/>
    <x v="0"/>
    <x v="2"/>
    <x v="6"/>
    <x v="0"/>
  </r>
  <r>
    <s v="Duplicated Test Order for 30700584C received from host (LIS # 921)."/>
    <x v="74"/>
    <x v="1"/>
    <x v="26"/>
    <d v="1899-12-30T12:03:22"/>
    <s v="LIS"/>
    <x v="0"/>
    <x v="2"/>
    <x v="6"/>
    <x v="0"/>
  </r>
  <r>
    <s v="Duplicated Test Order for 30700595A received from host (LIS # 131)."/>
    <x v="74"/>
    <x v="1"/>
    <x v="26"/>
    <d v="1899-12-30T12:03:23"/>
    <s v="LIS"/>
    <x v="0"/>
    <x v="2"/>
    <x v="6"/>
    <x v="0"/>
  </r>
  <r>
    <s v="Duplicated Test Order for 30700595A received from host (LIS # 2011)."/>
    <x v="74"/>
    <x v="1"/>
    <x v="26"/>
    <d v="1899-12-30T12:03:23"/>
    <s v="LIS"/>
    <x v="0"/>
    <x v="2"/>
    <x v="6"/>
    <x v="0"/>
  </r>
  <r>
    <s v="Duplicated Test Order for 30700608A received from host (LIS # 2101)."/>
    <x v="74"/>
    <x v="1"/>
    <x v="26"/>
    <d v="1899-12-30T12:03:23"/>
    <s v="LIS"/>
    <x v="0"/>
    <x v="2"/>
    <x v="6"/>
    <x v="0"/>
  </r>
  <r>
    <s v="Duplicated Test Order for 30700650A received from host (LIS # 131)."/>
    <x v="74"/>
    <x v="1"/>
    <x v="26"/>
    <d v="1899-12-30T12:03:23"/>
    <s v="LIS"/>
    <x v="0"/>
    <x v="2"/>
    <x v="6"/>
    <x v="0"/>
  </r>
  <r>
    <s v="Duplicated Test Order for 30700650A received from host (LIS # 2101)."/>
    <x v="74"/>
    <x v="1"/>
    <x v="26"/>
    <d v="1899-12-30T12:03:23"/>
    <s v="LIS"/>
    <x v="0"/>
    <x v="2"/>
    <x v="6"/>
    <x v="0"/>
  </r>
  <r>
    <s v="Duplicated Test Order for 30700673B received from host (LIS # 131)."/>
    <x v="74"/>
    <x v="1"/>
    <x v="26"/>
    <d v="1899-12-30T12:03:24"/>
    <s v="LIS"/>
    <x v="0"/>
    <x v="2"/>
    <x v="6"/>
    <x v="0"/>
  </r>
  <r>
    <s v="Duplicated Test Order for 30700679D received from host (LIS # 131)."/>
    <x v="74"/>
    <x v="1"/>
    <x v="26"/>
    <d v="1899-12-30T12:03:24"/>
    <s v="LIS"/>
    <x v="0"/>
    <x v="2"/>
    <x v="6"/>
    <x v="0"/>
  </r>
  <r>
    <s v="Duplicated Test Order for 30700729B received from host (LIS # 131)."/>
    <x v="74"/>
    <x v="1"/>
    <x v="26"/>
    <d v="1899-12-30T12:03:25"/>
    <s v="LIS"/>
    <x v="0"/>
    <x v="2"/>
    <x v="6"/>
    <x v="0"/>
  </r>
  <r>
    <s v="Duplicated Test Order for 30700729B received from host (LIS # 921)."/>
    <x v="74"/>
    <x v="1"/>
    <x v="26"/>
    <d v="1899-12-30T12:03:25"/>
    <s v="LIS"/>
    <x v="0"/>
    <x v="2"/>
    <x v="6"/>
    <x v="0"/>
  </r>
  <r>
    <s v="Duplicated Test Order for 30700730A received from host (LIS # 131)."/>
    <x v="74"/>
    <x v="1"/>
    <x v="26"/>
    <d v="1899-12-30T12:03:26"/>
    <s v="LIS"/>
    <x v="0"/>
    <x v="2"/>
    <x v="6"/>
    <x v="0"/>
  </r>
  <r>
    <s v="Duplicated Test Order for 30700843A received from host (LIS # 131)."/>
    <x v="74"/>
    <x v="1"/>
    <x v="26"/>
    <d v="1899-12-30T12:03:26"/>
    <s v="LIS"/>
    <x v="0"/>
    <x v="2"/>
    <x v="6"/>
    <x v="0"/>
  </r>
  <r>
    <s v="Duplicated Test Order for 30700869A received from host (LIS # 131)."/>
    <x v="74"/>
    <x v="1"/>
    <x v="26"/>
    <d v="1899-12-30T12:03:26"/>
    <s v="LIS"/>
    <x v="0"/>
    <x v="2"/>
    <x v="6"/>
    <x v="0"/>
  </r>
  <r>
    <s v="Duplicated Test Order for 30700885A received from host (LIS # 131)."/>
    <x v="74"/>
    <x v="1"/>
    <x v="26"/>
    <d v="1899-12-30T12:03:26"/>
    <s v="LIS"/>
    <x v="0"/>
    <x v="2"/>
    <x v="6"/>
    <x v="0"/>
  </r>
  <r>
    <s v="Duplicated Test Order for 30700886C received from host (LIS # 131)."/>
    <x v="74"/>
    <x v="1"/>
    <x v="26"/>
    <d v="1899-12-30T12:03:26"/>
    <s v="LIS"/>
    <x v="0"/>
    <x v="2"/>
    <x v="6"/>
    <x v="0"/>
  </r>
  <r>
    <s v="Duplicated Test Order for 30700894A received from host (LIS # 131)."/>
    <x v="74"/>
    <x v="1"/>
    <x v="26"/>
    <d v="1899-12-30T12:03:26"/>
    <s v="LIS"/>
    <x v="0"/>
    <x v="2"/>
    <x v="6"/>
    <x v="0"/>
  </r>
  <r>
    <s v="Duplicated Test Order for 30700903A received from host (LIS # 131)."/>
    <x v="74"/>
    <x v="1"/>
    <x v="26"/>
    <d v="1899-12-30T12:03:26"/>
    <s v="LIS"/>
    <x v="0"/>
    <x v="2"/>
    <x v="6"/>
    <x v="0"/>
  </r>
  <r>
    <s v="Duplicated Test Order for 30700905A received from host (LIS # 131)."/>
    <x v="74"/>
    <x v="1"/>
    <x v="26"/>
    <d v="1899-12-30T12:03:27"/>
    <s v="LIS"/>
    <x v="0"/>
    <x v="2"/>
    <x v="6"/>
    <x v="0"/>
  </r>
  <r>
    <s v="Duplicated Test Order for 30700924B received from host (LIS # 131)."/>
    <x v="74"/>
    <x v="1"/>
    <x v="26"/>
    <d v="1899-12-30T12:03:27"/>
    <s v="LIS"/>
    <x v="0"/>
    <x v="2"/>
    <x v="6"/>
    <x v="0"/>
  </r>
  <r>
    <s v="Duplicated Test Order for 30700988A received from host (LIS # 2241)."/>
    <x v="74"/>
    <x v="1"/>
    <x v="26"/>
    <d v="1899-12-30T12:03:27"/>
    <s v="LIS"/>
    <x v="0"/>
    <x v="2"/>
    <x v="6"/>
    <x v="0"/>
  </r>
  <r>
    <s v="Duplicated Test Order for 30701007A received from host (LIS # 131)."/>
    <x v="74"/>
    <x v="1"/>
    <x v="26"/>
    <d v="1899-12-30T12:03:27"/>
    <s v="LIS"/>
    <x v="0"/>
    <x v="2"/>
    <x v="6"/>
    <x v="0"/>
  </r>
  <r>
    <s v="Duplicated Test Order for 30701009D received from host (LIS # 131)."/>
    <x v="74"/>
    <x v="1"/>
    <x v="26"/>
    <d v="1899-12-30T12:03:27"/>
    <s v="LIS"/>
    <x v="0"/>
    <x v="2"/>
    <x v="6"/>
    <x v="0"/>
  </r>
  <r>
    <s v="Duplicated Test Order for 30701009D received from host (LIS # 921)."/>
    <x v="74"/>
    <x v="1"/>
    <x v="26"/>
    <d v="1899-12-30T12:03:27"/>
    <s v="LIS"/>
    <x v="0"/>
    <x v="2"/>
    <x v="6"/>
    <x v="0"/>
  </r>
  <r>
    <s v="Duplicated Test Order for 30701009D received from host (LIS # 2101)."/>
    <x v="74"/>
    <x v="1"/>
    <x v="26"/>
    <d v="1899-12-30T12:03:27"/>
    <s v="LIS"/>
    <x v="0"/>
    <x v="2"/>
    <x v="6"/>
    <x v="0"/>
  </r>
  <r>
    <s v="Duplicated Test Order for 30701041A received from host (LIS # 921)."/>
    <x v="74"/>
    <x v="1"/>
    <x v="26"/>
    <d v="1899-12-30T12:03:27"/>
    <s v="LIS"/>
    <x v="0"/>
    <x v="2"/>
    <x v="6"/>
    <x v="0"/>
  </r>
  <r>
    <s v="Duplicated Test Order for 30701041A received from host (LIS # 2101)."/>
    <x v="74"/>
    <x v="1"/>
    <x v="26"/>
    <d v="1899-12-30T12:03:27"/>
    <s v="LIS"/>
    <x v="0"/>
    <x v="2"/>
    <x v="6"/>
    <x v="0"/>
  </r>
  <r>
    <s v="Duplicated Test Order for 30701050A received from host (LIS # 131)."/>
    <x v="74"/>
    <x v="1"/>
    <x v="26"/>
    <d v="1899-12-30T12:03:27"/>
    <s v="LIS"/>
    <x v="0"/>
    <x v="2"/>
    <x v="6"/>
    <x v="0"/>
  </r>
  <r>
    <s v="Duplicated Test Order for 30701050A received from host (LIS # 921)."/>
    <x v="74"/>
    <x v="1"/>
    <x v="26"/>
    <d v="1899-12-30T12:03:27"/>
    <s v="LIS"/>
    <x v="0"/>
    <x v="2"/>
    <x v="6"/>
    <x v="0"/>
  </r>
  <r>
    <s v="Duplicated Test Order for 30701082B received from host (LIS # 131)."/>
    <x v="74"/>
    <x v="1"/>
    <x v="26"/>
    <d v="1899-12-30T12:03:27"/>
    <s v="LIS"/>
    <x v="0"/>
    <x v="2"/>
    <x v="6"/>
    <x v="0"/>
  </r>
  <r>
    <s v="Duplicated Test Order for 30701083A received from host (LIS # 131)."/>
    <x v="74"/>
    <x v="1"/>
    <x v="26"/>
    <d v="1899-12-30T12:03:27"/>
    <s v="LIS"/>
    <x v="0"/>
    <x v="2"/>
    <x v="6"/>
    <x v="0"/>
  </r>
  <r>
    <s v="Duplicated Test Order for 30701094A received from host (LIS # 131)."/>
    <x v="74"/>
    <x v="1"/>
    <x v="26"/>
    <d v="1899-12-30T12:03:28"/>
    <s v="LIS"/>
    <x v="0"/>
    <x v="2"/>
    <x v="6"/>
    <x v="0"/>
  </r>
  <r>
    <s v="Duplicated Test Order for 30701123C received from host (LIS # 131)."/>
    <x v="74"/>
    <x v="1"/>
    <x v="26"/>
    <d v="1899-12-30T12:03:28"/>
    <s v="LIS"/>
    <x v="0"/>
    <x v="2"/>
    <x v="6"/>
    <x v="0"/>
  </r>
  <r>
    <s v="Duplicated Test Order for 30701168A received from host (LIS # 131)."/>
    <x v="74"/>
    <x v="1"/>
    <x v="26"/>
    <d v="1899-12-30T12:03:28"/>
    <s v="LIS"/>
    <x v="0"/>
    <x v="2"/>
    <x v="6"/>
    <x v="0"/>
  </r>
  <r>
    <s v="Duplicated Test Order for 30701179A received from host (LIS # 131)."/>
    <x v="74"/>
    <x v="1"/>
    <x v="26"/>
    <d v="1899-12-30T12:03:28"/>
    <s v="LIS"/>
    <x v="0"/>
    <x v="2"/>
    <x v="6"/>
    <x v="0"/>
  </r>
  <r>
    <s v="Duplicated Test Order for 30701223C received from host (LIS # 131)."/>
    <x v="74"/>
    <x v="1"/>
    <x v="26"/>
    <d v="1899-12-30T12:03:28"/>
    <s v="LIS"/>
    <x v="0"/>
    <x v="2"/>
    <x v="6"/>
    <x v="0"/>
  </r>
  <r>
    <s v="Duplicated Test Order for 30701249A received from host (LIS # 2101)."/>
    <x v="74"/>
    <x v="1"/>
    <x v="26"/>
    <d v="1899-12-30T12:03:28"/>
    <s v="LIS"/>
    <x v="0"/>
    <x v="2"/>
    <x v="6"/>
    <x v="0"/>
  </r>
  <r>
    <s v="Duplicated Test Order for 30701250A received from host (LIS # 131)."/>
    <x v="74"/>
    <x v="1"/>
    <x v="26"/>
    <d v="1899-12-30T12:03:28"/>
    <s v="LIS"/>
    <x v="0"/>
    <x v="2"/>
    <x v="6"/>
    <x v="0"/>
  </r>
  <r>
    <s v="Duplicated Test Order for 30701305A received from host (LIS # 131)."/>
    <x v="74"/>
    <x v="1"/>
    <x v="26"/>
    <d v="1899-12-30T12:03:28"/>
    <s v="LIS"/>
    <x v="0"/>
    <x v="2"/>
    <x v="6"/>
    <x v="0"/>
  </r>
  <r>
    <s v="Duplicated Test Order for 30701307A received from host (LIS # 131)."/>
    <x v="74"/>
    <x v="1"/>
    <x v="26"/>
    <d v="1899-12-30T12:03:28"/>
    <s v="LIS"/>
    <x v="0"/>
    <x v="2"/>
    <x v="6"/>
    <x v="0"/>
  </r>
  <r>
    <s v="Duplicated Test Order for 30701343C received from host (LIS # 131)."/>
    <x v="74"/>
    <x v="1"/>
    <x v="26"/>
    <d v="1899-12-30T12:03:28"/>
    <s v="LIS"/>
    <x v="0"/>
    <x v="2"/>
    <x v="6"/>
    <x v="0"/>
  </r>
  <r>
    <s v="Duplicated Test Order for 30701375B received from host (LIS # 131)."/>
    <x v="74"/>
    <x v="1"/>
    <x v="26"/>
    <d v="1899-12-30T12:03:28"/>
    <s v="LIS"/>
    <x v="0"/>
    <x v="2"/>
    <x v="6"/>
    <x v="0"/>
  </r>
  <r>
    <s v="Duplicated Test Order for 30701375B received from host (LIS # 921)."/>
    <x v="74"/>
    <x v="1"/>
    <x v="26"/>
    <d v="1899-12-30T12:03:28"/>
    <s v="LIS"/>
    <x v="0"/>
    <x v="2"/>
    <x v="6"/>
    <x v="0"/>
  </r>
  <r>
    <s v="Duplicated Test Order for 30701375B received from host (LIS # 2011)."/>
    <x v="74"/>
    <x v="1"/>
    <x v="26"/>
    <d v="1899-12-30T12:03:28"/>
    <s v="LIS"/>
    <x v="0"/>
    <x v="2"/>
    <x v="6"/>
    <x v="0"/>
  </r>
  <r>
    <s v="Duplicated Test Order for 30601355A received from host (LIS # 2101)."/>
    <x v="74"/>
    <x v="1"/>
    <x v="26"/>
    <d v="1899-12-30T12:03:53"/>
    <s v="LIS"/>
    <x v="0"/>
    <x v="2"/>
    <x v="6"/>
    <x v="0"/>
  </r>
  <r>
    <s v="Duplicated Test Order for 30601478A received from host (LIS # 921)."/>
    <x v="74"/>
    <x v="1"/>
    <x v="26"/>
    <d v="1899-12-30T12:03:53"/>
    <s v="LIS"/>
    <x v="0"/>
    <x v="2"/>
    <x v="6"/>
    <x v="0"/>
  </r>
  <r>
    <s v="Duplicated Test Order for 30601493D received from host (LIS # 131)."/>
    <x v="74"/>
    <x v="1"/>
    <x v="26"/>
    <d v="1899-12-30T12:03:53"/>
    <s v="LIS"/>
    <x v="0"/>
    <x v="2"/>
    <x v="6"/>
    <x v="0"/>
  </r>
  <r>
    <s v="Duplicated Test Order for 30601493D received from host (LIS # 921)."/>
    <x v="74"/>
    <x v="1"/>
    <x v="26"/>
    <d v="1899-12-30T12:03:53"/>
    <s v="LIS"/>
    <x v="0"/>
    <x v="2"/>
    <x v="6"/>
    <x v="0"/>
  </r>
  <r>
    <s v="Duplicated Test Order for 30601493D received from host (LIS # 2101)."/>
    <x v="74"/>
    <x v="1"/>
    <x v="26"/>
    <d v="1899-12-30T12:03:54"/>
    <s v="LIS"/>
    <x v="0"/>
    <x v="2"/>
    <x v="6"/>
    <x v="0"/>
  </r>
  <r>
    <s v="Duplicated Test Order for 30601496A received from host (LIS # 131)."/>
    <x v="74"/>
    <x v="1"/>
    <x v="26"/>
    <d v="1899-12-30T12:03:54"/>
    <s v="LIS"/>
    <x v="0"/>
    <x v="2"/>
    <x v="6"/>
    <x v="0"/>
  </r>
  <r>
    <s v="Duplicated Test Order for 30601510A received from host (LIS # 131)."/>
    <x v="74"/>
    <x v="1"/>
    <x v="26"/>
    <d v="1899-12-30T12:03:54"/>
    <s v="LIS"/>
    <x v="0"/>
    <x v="2"/>
    <x v="6"/>
    <x v="0"/>
  </r>
  <r>
    <s v="Duplicated Test Order for 30601528A received from host (LIS # 131)."/>
    <x v="74"/>
    <x v="1"/>
    <x v="26"/>
    <d v="1899-12-30T12:03:54"/>
    <s v="LIS"/>
    <x v="0"/>
    <x v="2"/>
    <x v="6"/>
    <x v="0"/>
  </r>
  <r>
    <s v="Duplicated Test Order for 30601551A received from host (LIS # 131)."/>
    <x v="74"/>
    <x v="1"/>
    <x v="26"/>
    <d v="1899-12-30T12:03:54"/>
    <s v="LIS"/>
    <x v="0"/>
    <x v="2"/>
    <x v="6"/>
    <x v="0"/>
  </r>
  <r>
    <s v="Duplicated Test Order for 30601551A received from host (LIS # 921)."/>
    <x v="74"/>
    <x v="1"/>
    <x v="26"/>
    <d v="1899-12-30T12:03:55"/>
    <s v="LIS"/>
    <x v="0"/>
    <x v="2"/>
    <x v="6"/>
    <x v="0"/>
  </r>
  <r>
    <s v="Duplicated Test Order for 30601551A received from host (LIS # 2011)."/>
    <x v="74"/>
    <x v="1"/>
    <x v="26"/>
    <d v="1899-12-30T12:03:55"/>
    <s v="LIS"/>
    <x v="0"/>
    <x v="2"/>
    <x v="6"/>
    <x v="0"/>
  </r>
  <r>
    <s v="Duplicated Test Order for 30601553B received from host (LIS # 131)."/>
    <x v="74"/>
    <x v="1"/>
    <x v="26"/>
    <d v="1899-12-30T12:03:55"/>
    <s v="LIS"/>
    <x v="0"/>
    <x v="2"/>
    <x v="6"/>
    <x v="0"/>
  </r>
  <r>
    <s v="Duplicated Test Order for 30601559A received from host (LIS # 2241)."/>
    <x v="74"/>
    <x v="1"/>
    <x v="26"/>
    <d v="1899-12-30T12:03:55"/>
    <s v="LIS"/>
    <x v="0"/>
    <x v="2"/>
    <x v="6"/>
    <x v="0"/>
  </r>
  <r>
    <s v="Duplicated Test Order for 30601564D received from host (LIS # 131)."/>
    <x v="74"/>
    <x v="1"/>
    <x v="26"/>
    <d v="1899-12-30T12:03:56"/>
    <s v="LIS"/>
    <x v="0"/>
    <x v="2"/>
    <x v="6"/>
    <x v="0"/>
  </r>
  <r>
    <s v="Duplicated Test Order for 30601588A received from host (LIS # 131)."/>
    <x v="74"/>
    <x v="1"/>
    <x v="26"/>
    <d v="1899-12-30T12:03:56"/>
    <s v="LIS"/>
    <x v="0"/>
    <x v="2"/>
    <x v="6"/>
    <x v="0"/>
  </r>
  <r>
    <s v="Duplicated Test Order for 30601600C received from host (LIS # 131)."/>
    <x v="74"/>
    <x v="1"/>
    <x v="26"/>
    <d v="1899-12-30T12:03:56"/>
    <s v="LIS"/>
    <x v="0"/>
    <x v="2"/>
    <x v="6"/>
    <x v="0"/>
  </r>
  <r>
    <s v="Duplicated Test Order for 30601600C received from host (LIS # 921)."/>
    <x v="74"/>
    <x v="1"/>
    <x v="26"/>
    <d v="1899-12-30T12:03:56"/>
    <s v="LIS"/>
    <x v="0"/>
    <x v="2"/>
    <x v="6"/>
    <x v="0"/>
  </r>
  <r>
    <s v="Duplicated Test Order for 30601602A received from host (LIS # 921)."/>
    <x v="74"/>
    <x v="1"/>
    <x v="26"/>
    <d v="1899-12-30T12:03:56"/>
    <s v="LIS"/>
    <x v="0"/>
    <x v="2"/>
    <x v="6"/>
    <x v="0"/>
  </r>
  <r>
    <s v="Duplicated Test Order for 30601604A received from host (LIS # 2101)."/>
    <x v="74"/>
    <x v="1"/>
    <x v="26"/>
    <d v="1899-12-30T12:03:56"/>
    <s v="LIS"/>
    <x v="0"/>
    <x v="2"/>
    <x v="6"/>
    <x v="0"/>
  </r>
  <r>
    <s v="Duplicated Test Order for 30601606A received from host (LIS # 2101)."/>
    <x v="74"/>
    <x v="1"/>
    <x v="26"/>
    <d v="1899-12-30T12:03:56"/>
    <s v="LIS"/>
    <x v="0"/>
    <x v="2"/>
    <x v="6"/>
    <x v="0"/>
  </r>
  <r>
    <s v="Duplicated Test Order for 30601626A received from host (LIS # 131)."/>
    <x v="74"/>
    <x v="1"/>
    <x v="26"/>
    <d v="1899-12-30T12:03:57"/>
    <s v="LIS"/>
    <x v="0"/>
    <x v="2"/>
    <x v="6"/>
    <x v="0"/>
  </r>
  <r>
    <s v="Duplicated Test Order for 30601666A received from host (LIS # 131)."/>
    <x v="74"/>
    <x v="1"/>
    <x v="26"/>
    <d v="1899-12-30T12:03:57"/>
    <s v="LIS"/>
    <x v="0"/>
    <x v="2"/>
    <x v="6"/>
    <x v="0"/>
  </r>
  <r>
    <s v="Duplicated Test Order for 30601676A received from host (LIS # 2101)."/>
    <x v="74"/>
    <x v="1"/>
    <x v="26"/>
    <d v="1899-12-30T12:03:57"/>
    <s v="LIS"/>
    <x v="0"/>
    <x v="2"/>
    <x v="6"/>
    <x v="0"/>
  </r>
  <r>
    <s v="Duplicated Test Order for 30601773A received from host (LIS # 131)."/>
    <x v="74"/>
    <x v="1"/>
    <x v="26"/>
    <d v="1899-12-30T12:03:57"/>
    <s v="LIS"/>
    <x v="0"/>
    <x v="2"/>
    <x v="6"/>
    <x v="0"/>
  </r>
  <r>
    <s v="Duplicated Test Order for 30601773A received from host (LIS # 921)."/>
    <x v="74"/>
    <x v="1"/>
    <x v="26"/>
    <d v="1899-12-30T12:03:58"/>
    <s v="LIS"/>
    <x v="0"/>
    <x v="2"/>
    <x v="6"/>
    <x v="0"/>
  </r>
  <r>
    <s v="Duplicated Test Order for 30601773A received from host (LIS # 2011)."/>
    <x v="74"/>
    <x v="1"/>
    <x v="26"/>
    <d v="1899-12-30T12:03:58"/>
    <s v="LIS"/>
    <x v="0"/>
    <x v="2"/>
    <x v="6"/>
    <x v="0"/>
  </r>
  <r>
    <s v="Duplicated Test Order for 30601803A received from host (LIS # 131)."/>
    <x v="74"/>
    <x v="1"/>
    <x v="26"/>
    <d v="1899-12-30T12:03:58"/>
    <s v="LIS"/>
    <x v="0"/>
    <x v="2"/>
    <x v="6"/>
    <x v="0"/>
  </r>
  <r>
    <s v="Duplicated Test Order for 30601818A received from host (LIS # 2241)."/>
    <x v="74"/>
    <x v="1"/>
    <x v="26"/>
    <d v="1899-12-30T12:03:58"/>
    <s v="LIS"/>
    <x v="0"/>
    <x v="2"/>
    <x v="6"/>
    <x v="0"/>
  </r>
  <r>
    <s v="Duplicated Test Order for 30601845A received from host (LIS # 921)."/>
    <x v="74"/>
    <x v="1"/>
    <x v="26"/>
    <d v="1899-12-30T12:03:58"/>
    <s v="LIS"/>
    <x v="0"/>
    <x v="2"/>
    <x v="6"/>
    <x v="0"/>
  </r>
  <r>
    <s v="Duplicated Test Order for 30601874A received from host (LIS # 131)."/>
    <x v="74"/>
    <x v="1"/>
    <x v="26"/>
    <d v="1899-12-30T12:03:59"/>
    <s v="LIS"/>
    <x v="0"/>
    <x v="2"/>
    <x v="6"/>
    <x v="0"/>
  </r>
  <r>
    <s v="Duplicated Test Order for 30601874A received from host (LIS # 921)."/>
    <x v="74"/>
    <x v="1"/>
    <x v="26"/>
    <d v="1899-12-30T12:03:59"/>
    <s v="LIS"/>
    <x v="0"/>
    <x v="2"/>
    <x v="6"/>
    <x v="0"/>
  </r>
  <r>
    <s v="Duplicated Test Order for 30601882A received from host (LIS # 131)."/>
    <x v="74"/>
    <x v="1"/>
    <x v="26"/>
    <d v="1899-12-30T12:03:59"/>
    <s v="LIS"/>
    <x v="0"/>
    <x v="2"/>
    <x v="6"/>
    <x v="0"/>
  </r>
  <r>
    <s v="Duplicated Test Order for 30601907A received from host (LIS # 131)."/>
    <x v="74"/>
    <x v="1"/>
    <x v="26"/>
    <d v="1899-12-30T12:03:59"/>
    <s v="LIS"/>
    <x v="0"/>
    <x v="2"/>
    <x v="6"/>
    <x v="0"/>
  </r>
  <r>
    <s v="Duplicated Test Order for 30601913B received from host (LIS # 2241)."/>
    <x v="74"/>
    <x v="1"/>
    <x v="26"/>
    <d v="1899-12-30T12:03:59"/>
    <s v="LIS"/>
    <x v="0"/>
    <x v="2"/>
    <x v="6"/>
    <x v="0"/>
  </r>
  <r>
    <s v="Duplicated Test Order for 30601919C received from host (LIS # 131)."/>
    <x v="74"/>
    <x v="1"/>
    <x v="26"/>
    <d v="1899-12-30T12:03:59"/>
    <s v="LIS"/>
    <x v="0"/>
    <x v="2"/>
    <x v="6"/>
    <x v="0"/>
  </r>
  <r>
    <s v="Duplicated Test Order for 30601919C received from host (LIS # 921)."/>
    <x v="74"/>
    <x v="1"/>
    <x v="26"/>
    <d v="1899-12-30T12:04:00"/>
    <s v="LIS"/>
    <x v="0"/>
    <x v="2"/>
    <x v="6"/>
    <x v="0"/>
  </r>
  <r>
    <s v="Duplicated Test Order for 30601960A received from host (LIS # 131)."/>
    <x v="74"/>
    <x v="1"/>
    <x v="26"/>
    <d v="1899-12-30T12:04:00"/>
    <s v="LIS"/>
    <x v="0"/>
    <x v="2"/>
    <x v="6"/>
    <x v="0"/>
  </r>
  <r>
    <s v="Duplicated Test Order for 30601960A received from host (LIS # 921)."/>
    <x v="74"/>
    <x v="1"/>
    <x v="26"/>
    <d v="1899-12-30T12:04:00"/>
    <s v="LIS"/>
    <x v="0"/>
    <x v="2"/>
    <x v="6"/>
    <x v="0"/>
  </r>
  <r>
    <s v="Duplicated Test Order for 30602082B received from host (LIS # 131)."/>
    <x v="74"/>
    <x v="1"/>
    <x v="26"/>
    <d v="1899-12-30T12:04:00"/>
    <s v="LIS"/>
    <x v="0"/>
    <x v="2"/>
    <x v="6"/>
    <x v="0"/>
  </r>
  <r>
    <s v="Duplicated Test Order for 30602138A received from host (LIS # 131)."/>
    <x v="74"/>
    <x v="1"/>
    <x v="26"/>
    <d v="1899-12-30T12:04:01"/>
    <s v="LIS"/>
    <x v="0"/>
    <x v="2"/>
    <x v="6"/>
    <x v="0"/>
  </r>
  <r>
    <s v="Duplicated Test Order for 30602138A received from host (LIS # 921)."/>
    <x v="74"/>
    <x v="1"/>
    <x v="26"/>
    <d v="1899-12-30T12:04:01"/>
    <s v="LIS"/>
    <x v="0"/>
    <x v="2"/>
    <x v="6"/>
    <x v="0"/>
  </r>
  <r>
    <s v="Duplicated Test Order for 30602174C received from host (LIS # 131)."/>
    <x v="74"/>
    <x v="1"/>
    <x v="26"/>
    <d v="1899-12-30T12:04:01"/>
    <s v="LIS"/>
    <x v="0"/>
    <x v="2"/>
    <x v="6"/>
    <x v="0"/>
  </r>
  <r>
    <s v="Duplicated Test Order for 30602174C received from host (LIS # 921)."/>
    <x v="74"/>
    <x v="1"/>
    <x v="26"/>
    <d v="1899-12-30T12:04:01"/>
    <s v="LIS"/>
    <x v="0"/>
    <x v="2"/>
    <x v="6"/>
    <x v="0"/>
  </r>
  <r>
    <s v="Duplicated Test Order for 30602222C received from host (LIS # 131)."/>
    <x v="74"/>
    <x v="1"/>
    <x v="26"/>
    <d v="1899-12-30T12:04:02"/>
    <s v="LIS"/>
    <x v="0"/>
    <x v="2"/>
    <x v="6"/>
    <x v="0"/>
  </r>
  <r>
    <s v="Duplicated Test Order for 30602225C received from host (LIS # 131)."/>
    <x v="74"/>
    <x v="1"/>
    <x v="26"/>
    <d v="1899-12-30T12:04:02"/>
    <s v="LIS"/>
    <x v="0"/>
    <x v="2"/>
    <x v="6"/>
    <x v="0"/>
  </r>
  <r>
    <s v="Duplicated Test Order for 30602225C received from host (LIS # 921)."/>
    <x v="74"/>
    <x v="1"/>
    <x v="26"/>
    <d v="1899-12-30T12:04:02"/>
    <s v="LIS"/>
    <x v="0"/>
    <x v="2"/>
    <x v="6"/>
    <x v="0"/>
  </r>
  <r>
    <s v="Duplicated Test Order for 30602233A received from host (LIS # 2101)."/>
    <x v="74"/>
    <x v="1"/>
    <x v="26"/>
    <d v="1899-12-30T12:04:02"/>
    <s v="LIS"/>
    <x v="0"/>
    <x v="2"/>
    <x v="6"/>
    <x v="0"/>
  </r>
  <r>
    <s v="Duplicated Test Order for 30602249C received from host (LIS # 131)."/>
    <x v="74"/>
    <x v="1"/>
    <x v="26"/>
    <d v="1899-12-30T12:04:02"/>
    <s v="LIS"/>
    <x v="0"/>
    <x v="2"/>
    <x v="6"/>
    <x v="0"/>
  </r>
  <r>
    <s v="Duplicated Test Order for 30602249C received from host (LIS # 921)."/>
    <x v="74"/>
    <x v="1"/>
    <x v="26"/>
    <d v="1899-12-30T12:04:03"/>
    <s v="LIS"/>
    <x v="0"/>
    <x v="2"/>
    <x v="6"/>
    <x v="0"/>
  </r>
  <r>
    <s v="Duplicated Test Order for 30602251A received from host (LIS # 131)."/>
    <x v="74"/>
    <x v="1"/>
    <x v="26"/>
    <d v="1899-12-30T12:04:03"/>
    <s v="LIS"/>
    <x v="0"/>
    <x v="2"/>
    <x v="6"/>
    <x v="0"/>
  </r>
  <r>
    <s v="Duplicated Test Order for 30602251A received from host (LIS # 921)."/>
    <x v="74"/>
    <x v="1"/>
    <x v="26"/>
    <d v="1899-12-30T12:04:03"/>
    <s v="LIS"/>
    <x v="0"/>
    <x v="2"/>
    <x v="6"/>
    <x v="0"/>
  </r>
  <r>
    <s v="Duplicated Test Order for 30602286A received from host (LIS # 2011)."/>
    <x v="74"/>
    <x v="1"/>
    <x v="26"/>
    <d v="1899-12-30T12:04:03"/>
    <s v="LIS"/>
    <x v="0"/>
    <x v="2"/>
    <x v="6"/>
    <x v="0"/>
  </r>
  <r>
    <s v="Duplicated Test Order for 30602312B received from host (LIS # 131)."/>
    <x v="74"/>
    <x v="1"/>
    <x v="26"/>
    <d v="1899-12-30T12:04:03"/>
    <s v="LIS"/>
    <x v="0"/>
    <x v="2"/>
    <x v="6"/>
    <x v="0"/>
  </r>
  <r>
    <s v="Duplicated Test Order for 30602325B received from host (LIS # 131)."/>
    <x v="74"/>
    <x v="1"/>
    <x v="26"/>
    <d v="1899-12-30T12:04:03"/>
    <s v="LIS"/>
    <x v="0"/>
    <x v="2"/>
    <x v="6"/>
    <x v="0"/>
  </r>
  <r>
    <s v="Duplicated Test Order for 30602325B received from host (LIS # 921)."/>
    <x v="74"/>
    <x v="1"/>
    <x v="26"/>
    <d v="1899-12-30T12:04:04"/>
    <s v="LIS"/>
    <x v="0"/>
    <x v="2"/>
    <x v="6"/>
    <x v="0"/>
  </r>
  <r>
    <s v="Duplicated Test Order for 30602325B received from host (LIS # 2011)."/>
    <x v="74"/>
    <x v="1"/>
    <x v="26"/>
    <d v="1899-12-30T12:04:05"/>
    <s v="LIS"/>
    <x v="0"/>
    <x v="2"/>
    <x v="6"/>
    <x v="0"/>
  </r>
  <r>
    <s v="Duplicated Test Order for 30602332A received from host (LIS # 921)."/>
    <x v="74"/>
    <x v="1"/>
    <x v="26"/>
    <d v="1899-12-30T12:04:06"/>
    <s v="LIS"/>
    <x v="0"/>
    <x v="2"/>
    <x v="6"/>
    <x v="0"/>
  </r>
  <r>
    <s v="Duplicated Test Order for 30602345B received from host (LIS # 131)."/>
    <x v="74"/>
    <x v="1"/>
    <x v="26"/>
    <d v="1899-12-30T12:04:06"/>
    <s v="LIS"/>
    <x v="0"/>
    <x v="2"/>
    <x v="6"/>
    <x v="0"/>
  </r>
  <r>
    <s v="Duplicated Test Order for 30602345B received from host (LIS # 921)."/>
    <x v="74"/>
    <x v="1"/>
    <x v="26"/>
    <d v="1899-12-30T12:04:06"/>
    <s v="LIS"/>
    <x v="0"/>
    <x v="2"/>
    <x v="6"/>
    <x v="0"/>
  </r>
  <r>
    <s v="Duplicated Test Order for 30602363A received from host (LIS # 131)."/>
    <x v="74"/>
    <x v="1"/>
    <x v="26"/>
    <d v="1899-12-30T12:04:07"/>
    <s v="LIS"/>
    <x v="0"/>
    <x v="2"/>
    <x v="6"/>
    <x v="0"/>
  </r>
  <r>
    <s v="Duplicated Test Order for 30602382A received from host (LIS # 921)."/>
    <x v="74"/>
    <x v="1"/>
    <x v="26"/>
    <d v="1899-12-30T12:04:07"/>
    <s v="LIS"/>
    <x v="0"/>
    <x v="2"/>
    <x v="6"/>
    <x v="0"/>
  </r>
  <r>
    <s v="Duplicated Test Order for 30602414B received from host (LIS # 131)."/>
    <x v="74"/>
    <x v="1"/>
    <x v="26"/>
    <d v="1899-12-30T12:04:07"/>
    <s v="LIS"/>
    <x v="0"/>
    <x v="2"/>
    <x v="6"/>
    <x v="0"/>
  </r>
  <r>
    <s v="Duplicated Test Order for 30602476A received from host (LIS # 2101)."/>
    <x v="74"/>
    <x v="1"/>
    <x v="26"/>
    <d v="1899-12-30T12:04:07"/>
    <s v="LIS"/>
    <x v="0"/>
    <x v="2"/>
    <x v="6"/>
    <x v="0"/>
  </r>
  <r>
    <s v="Duplicated Test Order for 30602498A received from host (LIS # 131)."/>
    <x v="74"/>
    <x v="1"/>
    <x v="26"/>
    <d v="1899-12-30T12:04:07"/>
    <s v="LIS"/>
    <x v="0"/>
    <x v="2"/>
    <x v="6"/>
    <x v="0"/>
  </r>
  <r>
    <s v="Duplicated Test Order for 30602518A received from host (LIS # 131)."/>
    <x v="74"/>
    <x v="1"/>
    <x v="26"/>
    <d v="1899-12-30T12:04:07"/>
    <s v="LIS"/>
    <x v="0"/>
    <x v="2"/>
    <x v="6"/>
    <x v="0"/>
  </r>
  <r>
    <s v="Duplicated Test Order for 30602520B received from host (LIS # 131)."/>
    <x v="74"/>
    <x v="1"/>
    <x v="26"/>
    <d v="1899-12-30T12:04:08"/>
    <s v="LIS"/>
    <x v="0"/>
    <x v="2"/>
    <x v="6"/>
    <x v="0"/>
  </r>
  <r>
    <s v="Duplicated Test Order for 30602538B received from host (LIS # 131)."/>
    <x v="74"/>
    <x v="1"/>
    <x v="26"/>
    <d v="1899-12-30T12:04:08"/>
    <s v="LIS"/>
    <x v="0"/>
    <x v="2"/>
    <x v="6"/>
    <x v="0"/>
  </r>
  <r>
    <s v="Duplicated Test Order for 30602555C received from host (LIS # 131)."/>
    <x v="74"/>
    <x v="1"/>
    <x v="26"/>
    <d v="1899-12-30T12:04:08"/>
    <s v="LIS"/>
    <x v="0"/>
    <x v="2"/>
    <x v="6"/>
    <x v="0"/>
  </r>
  <r>
    <s v="Duplicated Test Order for 30602555C received from host (LIS # 2011)."/>
    <x v="74"/>
    <x v="1"/>
    <x v="26"/>
    <d v="1899-12-30T12:04:08"/>
    <s v="LIS"/>
    <x v="0"/>
    <x v="2"/>
    <x v="6"/>
    <x v="0"/>
  </r>
  <r>
    <s v="Duplicated Test Order for 30602558A received from host (LIS # 2101)."/>
    <x v="74"/>
    <x v="1"/>
    <x v="26"/>
    <d v="1899-12-30T12:04:08"/>
    <s v="LIS"/>
    <x v="0"/>
    <x v="2"/>
    <x v="6"/>
    <x v="0"/>
  </r>
  <r>
    <s v="Duplicated Test Order for 30602577A received from host (LIS # 131)."/>
    <x v="74"/>
    <x v="1"/>
    <x v="26"/>
    <d v="1899-12-30T12:04:08"/>
    <s v="LIS"/>
    <x v="0"/>
    <x v="2"/>
    <x v="6"/>
    <x v="0"/>
  </r>
  <r>
    <s v="Duplicated Test Order for 30602589A received from host (LIS # 131)."/>
    <x v="74"/>
    <x v="1"/>
    <x v="26"/>
    <d v="1899-12-30T12:04:09"/>
    <s v="LIS"/>
    <x v="0"/>
    <x v="2"/>
    <x v="6"/>
    <x v="0"/>
  </r>
  <r>
    <s v="Duplicated Test Order for 30602590A received from host (LIS # 131)."/>
    <x v="74"/>
    <x v="1"/>
    <x v="26"/>
    <d v="1899-12-30T12:04:09"/>
    <s v="LIS"/>
    <x v="0"/>
    <x v="2"/>
    <x v="6"/>
    <x v="0"/>
  </r>
  <r>
    <s v="Duplicated Test Order for 30602591B received from host (LIS # 131)."/>
    <x v="74"/>
    <x v="1"/>
    <x v="26"/>
    <d v="1899-12-30T12:04:09"/>
    <s v="LIS"/>
    <x v="0"/>
    <x v="2"/>
    <x v="6"/>
    <x v="0"/>
  </r>
  <r>
    <s v="Duplicated Test Order for 30602650C received from host (LIS # 131)."/>
    <x v="74"/>
    <x v="1"/>
    <x v="26"/>
    <d v="1899-12-30T12:04:09"/>
    <s v="LIS"/>
    <x v="0"/>
    <x v="2"/>
    <x v="6"/>
    <x v="0"/>
  </r>
  <r>
    <s v="Duplicated Test Order for 30602650C received from host (LIS # 921)."/>
    <x v="74"/>
    <x v="1"/>
    <x v="26"/>
    <d v="1899-12-30T12:04:09"/>
    <s v="LIS"/>
    <x v="0"/>
    <x v="2"/>
    <x v="6"/>
    <x v="0"/>
  </r>
  <r>
    <s v="Duplicated Test Order for 30602685A received from host (LIS # 2101)."/>
    <x v="74"/>
    <x v="1"/>
    <x v="26"/>
    <d v="1899-12-30T12:04:10"/>
    <s v="LIS"/>
    <x v="0"/>
    <x v="2"/>
    <x v="6"/>
    <x v="0"/>
  </r>
  <r>
    <s v="Duplicated Test Order for 30602690A received from host (LIS # 131)."/>
    <x v="74"/>
    <x v="1"/>
    <x v="26"/>
    <d v="1899-12-30T12:04:10"/>
    <s v="LIS"/>
    <x v="0"/>
    <x v="2"/>
    <x v="6"/>
    <x v="0"/>
  </r>
  <r>
    <s v="Duplicated Test Order for 30602694C received from host (LIS # 131)."/>
    <x v="74"/>
    <x v="1"/>
    <x v="26"/>
    <d v="1899-12-30T12:04:10"/>
    <s v="LIS"/>
    <x v="0"/>
    <x v="2"/>
    <x v="6"/>
    <x v="0"/>
  </r>
  <r>
    <s v="Duplicated Test Order for 30602694C received from host (LIS # 921)."/>
    <x v="74"/>
    <x v="1"/>
    <x v="26"/>
    <d v="1899-12-30T12:04:10"/>
    <s v="LIS"/>
    <x v="0"/>
    <x v="2"/>
    <x v="6"/>
    <x v="0"/>
  </r>
  <r>
    <s v="Duplicated Test Order for 30602750A received from host (LIS # 131)."/>
    <x v="74"/>
    <x v="1"/>
    <x v="26"/>
    <d v="1899-12-30T12:04:11"/>
    <s v="LIS"/>
    <x v="0"/>
    <x v="2"/>
    <x v="6"/>
    <x v="0"/>
  </r>
  <r>
    <s v="Duplicated Test Order for 30602750A received from host (LIS # 921)."/>
    <x v="74"/>
    <x v="1"/>
    <x v="26"/>
    <d v="1899-12-30T12:04:11"/>
    <s v="LIS"/>
    <x v="0"/>
    <x v="2"/>
    <x v="6"/>
    <x v="0"/>
  </r>
  <r>
    <s v="Duplicated Test Order for 30602750A received from host (LIS # 2011)."/>
    <x v="74"/>
    <x v="1"/>
    <x v="26"/>
    <d v="1899-12-30T12:04:12"/>
    <s v="LIS"/>
    <x v="0"/>
    <x v="2"/>
    <x v="6"/>
    <x v="0"/>
  </r>
  <r>
    <s v="Duplicated Test Order for 30602778B received from host (LIS # 131)."/>
    <x v="74"/>
    <x v="1"/>
    <x v="26"/>
    <d v="1899-12-30T12:04:12"/>
    <s v="LIS"/>
    <x v="0"/>
    <x v="2"/>
    <x v="6"/>
    <x v="0"/>
  </r>
  <r>
    <s v="Duplicated Test Order for 30602820C received from host (LIS # 131)."/>
    <x v="74"/>
    <x v="1"/>
    <x v="26"/>
    <d v="1899-12-30T12:04:12"/>
    <s v="LIS"/>
    <x v="0"/>
    <x v="2"/>
    <x v="6"/>
    <x v="0"/>
  </r>
  <r>
    <s v="Duplicated Test Order for 30602820C received from host (LIS # 921)."/>
    <x v="74"/>
    <x v="1"/>
    <x v="26"/>
    <d v="1899-12-30T12:04:13"/>
    <s v="LIS"/>
    <x v="0"/>
    <x v="2"/>
    <x v="6"/>
    <x v="0"/>
  </r>
  <r>
    <s v="Duplicated Test Order for 30602822C received from host (LIS # 131)."/>
    <x v="74"/>
    <x v="1"/>
    <x v="26"/>
    <d v="1899-12-30T12:04:13"/>
    <s v="LIS"/>
    <x v="0"/>
    <x v="2"/>
    <x v="6"/>
    <x v="0"/>
  </r>
  <r>
    <s v="Duplicated Test Order for 30602822C received from host (LIS # 921)."/>
    <x v="74"/>
    <x v="1"/>
    <x v="26"/>
    <d v="1899-12-30T12:04:13"/>
    <s v="LIS"/>
    <x v="0"/>
    <x v="2"/>
    <x v="6"/>
    <x v="0"/>
  </r>
  <r>
    <s v="Duplicated Test Order for 30602850D received from host (LIS # 131)."/>
    <x v="74"/>
    <x v="1"/>
    <x v="26"/>
    <d v="1899-12-30T12:04:13"/>
    <s v="LIS"/>
    <x v="0"/>
    <x v="2"/>
    <x v="6"/>
    <x v="0"/>
  </r>
  <r>
    <s v="Duplicated Test Order for 30602850D received from host (LIS # 921)."/>
    <x v="74"/>
    <x v="1"/>
    <x v="26"/>
    <d v="1899-12-30T12:04:13"/>
    <s v="LIS"/>
    <x v="0"/>
    <x v="2"/>
    <x v="6"/>
    <x v="0"/>
  </r>
  <r>
    <s v="Duplicated Test Order for 30602853B received from host (LIS # 131)."/>
    <x v="74"/>
    <x v="1"/>
    <x v="26"/>
    <d v="1899-12-30T12:04:13"/>
    <s v="LIS"/>
    <x v="0"/>
    <x v="2"/>
    <x v="6"/>
    <x v="0"/>
  </r>
  <r>
    <s v="Duplicated Test Order for 30602865A received from host (LIS # 131)."/>
    <x v="74"/>
    <x v="1"/>
    <x v="26"/>
    <d v="1899-12-30T12:04:14"/>
    <s v="LIS"/>
    <x v="0"/>
    <x v="2"/>
    <x v="6"/>
    <x v="0"/>
  </r>
  <r>
    <s v="Duplicated Test Order for 30602890C received from host (LIS # 131)."/>
    <x v="74"/>
    <x v="1"/>
    <x v="26"/>
    <d v="1899-12-30T12:04:14"/>
    <s v="LIS"/>
    <x v="0"/>
    <x v="2"/>
    <x v="6"/>
    <x v="0"/>
  </r>
  <r>
    <s v="Duplicated Test Order for 30602931A received from host (LIS # 2101)."/>
    <x v="74"/>
    <x v="1"/>
    <x v="26"/>
    <d v="1899-12-30T12:04:14"/>
    <s v="LIS"/>
    <x v="0"/>
    <x v="2"/>
    <x v="6"/>
    <x v="0"/>
  </r>
  <r>
    <s v="Duplicated Test Order for 30602941C received from host (LIS # 2241)."/>
    <x v="74"/>
    <x v="1"/>
    <x v="26"/>
    <d v="1899-12-30T12:04:14"/>
    <s v="LIS"/>
    <x v="0"/>
    <x v="2"/>
    <x v="6"/>
    <x v="0"/>
  </r>
  <r>
    <s v="Duplicated Test Order for 30602962A received from host (LIS # 2241)."/>
    <x v="74"/>
    <x v="1"/>
    <x v="26"/>
    <d v="1899-12-30T12:04:14"/>
    <s v="LIS"/>
    <x v="0"/>
    <x v="2"/>
    <x v="6"/>
    <x v="0"/>
  </r>
  <r>
    <s v="Duplicated Test Order for 30602964A received from host (LIS # 2241)."/>
    <x v="74"/>
    <x v="1"/>
    <x v="26"/>
    <d v="1899-12-30T12:04:14"/>
    <s v="LIS"/>
    <x v="0"/>
    <x v="2"/>
    <x v="6"/>
    <x v="0"/>
  </r>
  <r>
    <s v="Duplicated Test Order for 30602977C received from host (LIS # 131)."/>
    <x v="74"/>
    <x v="1"/>
    <x v="26"/>
    <d v="1899-12-30T12:04:15"/>
    <s v="LIS"/>
    <x v="0"/>
    <x v="2"/>
    <x v="6"/>
    <x v="0"/>
  </r>
  <r>
    <s v="Duplicated Test Order for 30602977C received from host (LIS # 921)."/>
    <x v="74"/>
    <x v="1"/>
    <x v="26"/>
    <d v="1899-12-30T12:04:15"/>
    <s v="LIS"/>
    <x v="0"/>
    <x v="2"/>
    <x v="6"/>
    <x v="0"/>
  </r>
  <r>
    <s v="Duplicated Test Order for 30602977C received from host (LIS # 2011)."/>
    <x v="74"/>
    <x v="1"/>
    <x v="26"/>
    <d v="1899-12-30T12:04:16"/>
    <s v="LIS"/>
    <x v="0"/>
    <x v="2"/>
    <x v="6"/>
    <x v="0"/>
  </r>
  <r>
    <s v="Duplicated Test Order for 30602990A received from host (LIS # 131)."/>
    <x v="74"/>
    <x v="1"/>
    <x v="26"/>
    <d v="1899-12-30T12:04:16"/>
    <s v="LIS"/>
    <x v="0"/>
    <x v="2"/>
    <x v="6"/>
    <x v="0"/>
  </r>
  <r>
    <s v="Duplicated Test Order for 30603019A received from host (LIS # 131)."/>
    <x v="74"/>
    <x v="1"/>
    <x v="26"/>
    <d v="1899-12-30T12:04:16"/>
    <s v="LIS"/>
    <x v="0"/>
    <x v="2"/>
    <x v="6"/>
    <x v="0"/>
  </r>
  <r>
    <s v="Duplicated Test Order for 30603022A received from host (LIS # 131)."/>
    <x v="74"/>
    <x v="1"/>
    <x v="26"/>
    <d v="1899-12-30T12:04:16"/>
    <s v="LIS"/>
    <x v="0"/>
    <x v="2"/>
    <x v="6"/>
    <x v="0"/>
  </r>
  <r>
    <s v="Duplicated Test Order for 30603022A received from host (LIS # 921)."/>
    <x v="74"/>
    <x v="1"/>
    <x v="26"/>
    <d v="1899-12-30T12:04:17"/>
    <s v="LIS"/>
    <x v="0"/>
    <x v="2"/>
    <x v="6"/>
    <x v="0"/>
  </r>
  <r>
    <s v="Duplicated Test Order for 30603022A received from host (LIS # 2011)."/>
    <x v="74"/>
    <x v="1"/>
    <x v="26"/>
    <d v="1899-12-30T12:04:17"/>
    <s v="LIS"/>
    <x v="0"/>
    <x v="2"/>
    <x v="6"/>
    <x v="0"/>
  </r>
  <r>
    <s v="Duplicated Test Order for 30603032A received from host (LIS # 2011)."/>
    <x v="74"/>
    <x v="1"/>
    <x v="26"/>
    <d v="1899-12-30T12:04:17"/>
    <s v="LIS"/>
    <x v="0"/>
    <x v="2"/>
    <x v="6"/>
    <x v="0"/>
  </r>
  <r>
    <s v="Duplicated Test Order for 30603032A received from host (LIS # 2241)."/>
    <x v="74"/>
    <x v="1"/>
    <x v="26"/>
    <d v="1899-12-30T12:04:18"/>
    <s v="LIS"/>
    <x v="0"/>
    <x v="2"/>
    <x v="6"/>
    <x v="0"/>
  </r>
  <r>
    <s v="Duplicated Test Order for 30700006A received from host (LIS # 131)."/>
    <x v="74"/>
    <x v="1"/>
    <x v="26"/>
    <d v="1899-12-30T12:04:18"/>
    <s v="LIS"/>
    <x v="0"/>
    <x v="2"/>
    <x v="6"/>
    <x v="0"/>
  </r>
  <r>
    <s v="Duplicated Test Order for 30700021A received from host (LIS # 921)."/>
    <x v="74"/>
    <x v="1"/>
    <x v="26"/>
    <d v="1899-12-30T12:04:19"/>
    <s v="LIS"/>
    <x v="0"/>
    <x v="2"/>
    <x v="6"/>
    <x v="0"/>
  </r>
  <r>
    <s v="Duplicated Test Order for 30700038B received from host (LIS # 131)."/>
    <x v="74"/>
    <x v="1"/>
    <x v="26"/>
    <d v="1899-12-30T12:04:19"/>
    <s v="LIS"/>
    <x v="0"/>
    <x v="2"/>
    <x v="6"/>
    <x v="0"/>
  </r>
  <r>
    <s v="Duplicated Test Order for 30700065A received from host (LIS # 131)."/>
    <x v="74"/>
    <x v="1"/>
    <x v="26"/>
    <d v="1899-12-30T12:04:19"/>
    <s v="LIS"/>
    <x v="0"/>
    <x v="2"/>
    <x v="6"/>
    <x v="0"/>
  </r>
  <r>
    <s v="Duplicated Test Order for 30700073A received from host (LIS # 2101)."/>
    <x v="74"/>
    <x v="1"/>
    <x v="26"/>
    <d v="1899-12-30T12:04:19"/>
    <s v="LIS"/>
    <x v="0"/>
    <x v="2"/>
    <x v="6"/>
    <x v="0"/>
  </r>
  <r>
    <s v="Duplicated Test Order for 30700083A received from host (LIS # 131)."/>
    <x v="74"/>
    <x v="1"/>
    <x v="26"/>
    <d v="1899-12-30T12:04:20"/>
    <s v="LIS"/>
    <x v="0"/>
    <x v="2"/>
    <x v="6"/>
    <x v="0"/>
  </r>
  <r>
    <s v="Duplicated Test Order for 30700083A received from host (LIS # 921)."/>
    <x v="74"/>
    <x v="1"/>
    <x v="26"/>
    <d v="1899-12-30T12:04:20"/>
    <s v="LIS"/>
    <x v="0"/>
    <x v="2"/>
    <x v="6"/>
    <x v="0"/>
  </r>
  <r>
    <s v="Duplicated Test Order for 30700083A received from host (LIS # 2011)."/>
    <x v="74"/>
    <x v="1"/>
    <x v="26"/>
    <d v="1899-12-30T12:04:21"/>
    <s v="LIS"/>
    <x v="0"/>
    <x v="2"/>
    <x v="6"/>
    <x v="0"/>
  </r>
  <r>
    <s v="Duplicated Test Order for 30700094A received from host (LIS # 131)."/>
    <x v="74"/>
    <x v="1"/>
    <x v="26"/>
    <d v="1899-12-30T12:04:21"/>
    <s v="LIS"/>
    <x v="0"/>
    <x v="2"/>
    <x v="6"/>
    <x v="0"/>
  </r>
  <r>
    <s v="Duplicated Test Order for 30700094A received from host (LIS # 921)."/>
    <x v="74"/>
    <x v="1"/>
    <x v="26"/>
    <d v="1899-12-30T12:04:21"/>
    <s v="LIS"/>
    <x v="0"/>
    <x v="2"/>
    <x v="6"/>
    <x v="0"/>
  </r>
  <r>
    <s v="Duplicated Test Order for 30700094A received from host (LIS # 2011)."/>
    <x v="74"/>
    <x v="1"/>
    <x v="26"/>
    <d v="1899-12-30T12:04:22"/>
    <s v="LIS"/>
    <x v="0"/>
    <x v="2"/>
    <x v="6"/>
    <x v="0"/>
  </r>
  <r>
    <s v="Duplicated Test Order for 30700122A received from host (LIS # 131)."/>
    <x v="74"/>
    <x v="1"/>
    <x v="26"/>
    <d v="1899-12-30T12:04:22"/>
    <s v="LIS"/>
    <x v="0"/>
    <x v="2"/>
    <x v="6"/>
    <x v="0"/>
  </r>
  <r>
    <s v="Duplicated Test Order for 30700134A received from host (LIS # 131)."/>
    <x v="74"/>
    <x v="1"/>
    <x v="26"/>
    <d v="1899-12-30T12:04:22"/>
    <s v="LIS"/>
    <x v="0"/>
    <x v="2"/>
    <x v="6"/>
    <x v="0"/>
  </r>
  <r>
    <s v="Duplicated Test Order for 30700134A received from host (LIS # 2011)."/>
    <x v="74"/>
    <x v="1"/>
    <x v="26"/>
    <d v="1899-12-30T12:04:23"/>
    <s v="LIS"/>
    <x v="0"/>
    <x v="2"/>
    <x v="6"/>
    <x v="0"/>
  </r>
  <r>
    <s v="Duplicated Test Order for 30700142A received from host (LIS # 2241)."/>
    <x v="74"/>
    <x v="1"/>
    <x v="26"/>
    <d v="1899-12-30T12:04:23"/>
    <s v="LIS"/>
    <x v="0"/>
    <x v="2"/>
    <x v="6"/>
    <x v="0"/>
  </r>
  <r>
    <s v="Duplicated Test Order for 30700145C received from host (LIS # 131)."/>
    <x v="74"/>
    <x v="1"/>
    <x v="26"/>
    <d v="1899-12-30T12:04:23"/>
    <s v="LIS"/>
    <x v="0"/>
    <x v="2"/>
    <x v="6"/>
    <x v="0"/>
  </r>
  <r>
    <s v="Duplicated Test Order for 30700145C received from host (LIS # 2011)."/>
    <x v="74"/>
    <x v="1"/>
    <x v="26"/>
    <d v="1899-12-30T12:04:23"/>
    <s v="LIS"/>
    <x v="0"/>
    <x v="2"/>
    <x v="6"/>
    <x v="0"/>
  </r>
  <r>
    <s v="Duplicated Test Order for 30700149B received from host (LIS # 131)."/>
    <x v="74"/>
    <x v="1"/>
    <x v="26"/>
    <d v="1899-12-30T12:04:24"/>
    <s v="LIS"/>
    <x v="0"/>
    <x v="2"/>
    <x v="6"/>
    <x v="0"/>
  </r>
  <r>
    <s v="Duplicated Test Order for 30700149B received from host (LIS # 2011)."/>
    <x v="74"/>
    <x v="1"/>
    <x v="26"/>
    <d v="1899-12-30T12:04:24"/>
    <s v="LIS"/>
    <x v="0"/>
    <x v="2"/>
    <x v="6"/>
    <x v="0"/>
  </r>
  <r>
    <s v="Duplicated Test Order for 30700161B received from host (LIS # 131)."/>
    <x v="74"/>
    <x v="1"/>
    <x v="26"/>
    <d v="1899-12-30T12:04:24"/>
    <s v="LIS"/>
    <x v="0"/>
    <x v="2"/>
    <x v="6"/>
    <x v="0"/>
  </r>
  <r>
    <s v="Duplicated Test Order for 30700161B received from host (LIS # 2011)."/>
    <x v="74"/>
    <x v="1"/>
    <x v="26"/>
    <d v="1899-12-30T12:04:24"/>
    <s v="LIS"/>
    <x v="0"/>
    <x v="2"/>
    <x v="6"/>
    <x v="0"/>
  </r>
  <r>
    <s v="Duplicated Test Order for 30700172C received from host (LIS # 131)."/>
    <x v="74"/>
    <x v="1"/>
    <x v="26"/>
    <d v="1899-12-30T12:04:25"/>
    <s v="LIS"/>
    <x v="0"/>
    <x v="2"/>
    <x v="6"/>
    <x v="0"/>
  </r>
  <r>
    <s v="Duplicated Test Order for 30700172C received from host (LIS # 2011)."/>
    <x v="74"/>
    <x v="1"/>
    <x v="26"/>
    <d v="1899-12-30T12:04:25"/>
    <s v="LIS"/>
    <x v="0"/>
    <x v="2"/>
    <x v="6"/>
    <x v="0"/>
  </r>
  <r>
    <s v="Duplicated Test Order for 30700191B received from host (LIS # 131)."/>
    <x v="74"/>
    <x v="1"/>
    <x v="26"/>
    <d v="1899-12-30T12:04:25"/>
    <s v="LIS"/>
    <x v="0"/>
    <x v="2"/>
    <x v="6"/>
    <x v="0"/>
  </r>
  <r>
    <s v="Duplicated Test Order for 30700198A received from host (LIS # 131)."/>
    <x v="74"/>
    <x v="1"/>
    <x v="26"/>
    <d v="1899-12-30T12:04:26"/>
    <s v="LIS"/>
    <x v="0"/>
    <x v="2"/>
    <x v="6"/>
    <x v="0"/>
  </r>
  <r>
    <s v="Duplicated Test Order for 30700198A received from host (LIS # 2101)."/>
    <x v="74"/>
    <x v="1"/>
    <x v="26"/>
    <d v="1899-12-30T12:04:26"/>
    <s v="LIS"/>
    <x v="0"/>
    <x v="2"/>
    <x v="6"/>
    <x v="0"/>
  </r>
  <r>
    <s v="Duplicated Test Order for 30700200A received from host (LIS # 131)."/>
    <x v="74"/>
    <x v="1"/>
    <x v="26"/>
    <d v="1899-12-30T12:04:26"/>
    <s v="LIS"/>
    <x v="0"/>
    <x v="2"/>
    <x v="6"/>
    <x v="0"/>
  </r>
  <r>
    <s v="Duplicated Test Order for 30700201C received from host (LIS # 131)."/>
    <x v="74"/>
    <x v="1"/>
    <x v="26"/>
    <d v="1899-12-30T12:04:26"/>
    <s v="LIS"/>
    <x v="0"/>
    <x v="2"/>
    <x v="6"/>
    <x v="0"/>
  </r>
  <r>
    <s v="Duplicated Test Order for 30700202C received from host (LIS # 131)."/>
    <x v="74"/>
    <x v="1"/>
    <x v="26"/>
    <d v="1899-12-30T12:04:26"/>
    <s v="LIS"/>
    <x v="0"/>
    <x v="2"/>
    <x v="6"/>
    <x v="0"/>
  </r>
  <r>
    <s v="Duplicated Test Order for 30700214A received from host (LIS # 131)."/>
    <x v="74"/>
    <x v="1"/>
    <x v="26"/>
    <d v="1899-12-30T12:04:27"/>
    <s v="LIS"/>
    <x v="0"/>
    <x v="2"/>
    <x v="6"/>
    <x v="0"/>
  </r>
  <r>
    <s v="Duplicated Test Order for 30700216C received from host (LIS # 131)."/>
    <x v="74"/>
    <x v="1"/>
    <x v="26"/>
    <d v="1899-12-30T12:04:27"/>
    <s v="LIS"/>
    <x v="0"/>
    <x v="2"/>
    <x v="6"/>
    <x v="0"/>
  </r>
  <r>
    <s v="Duplicated Test Order for 30700218B received from host (LIS # 131)."/>
    <x v="74"/>
    <x v="1"/>
    <x v="26"/>
    <d v="1899-12-30T12:04:27"/>
    <s v="LIS"/>
    <x v="0"/>
    <x v="2"/>
    <x v="6"/>
    <x v="0"/>
  </r>
  <r>
    <s v="Duplicated Test Order for 30700223A received from host (LIS # 131)."/>
    <x v="74"/>
    <x v="1"/>
    <x v="26"/>
    <d v="1899-12-30T12:04:27"/>
    <s v="LIS"/>
    <x v="0"/>
    <x v="2"/>
    <x v="6"/>
    <x v="0"/>
  </r>
  <r>
    <s v="Duplicated Test Order for 30700226A received from host (LIS # 131)."/>
    <x v="74"/>
    <x v="1"/>
    <x v="26"/>
    <d v="1899-12-30T12:04:27"/>
    <s v="LIS"/>
    <x v="0"/>
    <x v="2"/>
    <x v="6"/>
    <x v="0"/>
  </r>
  <r>
    <s v="Duplicated Test Order for 30700227C received from host (LIS # 131)."/>
    <x v="74"/>
    <x v="1"/>
    <x v="26"/>
    <d v="1899-12-30T12:04:27"/>
    <s v="LIS"/>
    <x v="0"/>
    <x v="2"/>
    <x v="6"/>
    <x v="0"/>
  </r>
  <r>
    <s v="Duplicated Test Order for 30700229C received from host (LIS # 131)."/>
    <x v="74"/>
    <x v="1"/>
    <x v="26"/>
    <d v="1899-12-30T12:04:28"/>
    <s v="LIS"/>
    <x v="0"/>
    <x v="2"/>
    <x v="6"/>
    <x v="0"/>
  </r>
  <r>
    <s v="Duplicated Test Order for 30700235C received from host (LIS # 131)."/>
    <x v="74"/>
    <x v="1"/>
    <x v="26"/>
    <d v="1899-12-30T12:04:28"/>
    <s v="LIS"/>
    <x v="0"/>
    <x v="2"/>
    <x v="6"/>
    <x v="0"/>
  </r>
  <r>
    <s v="Duplicated Test Order for 30700236C received from host (LIS # 131)."/>
    <x v="74"/>
    <x v="1"/>
    <x v="26"/>
    <d v="1899-12-30T12:04:28"/>
    <s v="LIS"/>
    <x v="0"/>
    <x v="2"/>
    <x v="6"/>
    <x v="0"/>
  </r>
  <r>
    <s v="Duplicated Test Order for 30700240A received from host (LIS # 131)."/>
    <x v="74"/>
    <x v="1"/>
    <x v="26"/>
    <d v="1899-12-30T12:04:29"/>
    <s v="LIS"/>
    <x v="0"/>
    <x v="2"/>
    <x v="6"/>
    <x v="0"/>
  </r>
  <r>
    <s v="Duplicated Test Order for 30700242A received from host (LIS # 131)."/>
    <x v="74"/>
    <x v="1"/>
    <x v="26"/>
    <d v="1899-12-30T12:04:29"/>
    <s v="LIS"/>
    <x v="0"/>
    <x v="2"/>
    <x v="6"/>
    <x v="0"/>
  </r>
  <r>
    <s v="Duplicated Test Order for 30700245B received from host (LIS # 131)."/>
    <x v="74"/>
    <x v="1"/>
    <x v="26"/>
    <d v="1899-12-30T12:04:30"/>
    <s v="LIS"/>
    <x v="0"/>
    <x v="2"/>
    <x v="6"/>
    <x v="0"/>
  </r>
  <r>
    <s v="Duplicated Test Order for 30700254B received from host (LIS # 2101)."/>
    <x v="74"/>
    <x v="1"/>
    <x v="26"/>
    <d v="1899-12-30T12:04:30"/>
    <s v="LIS"/>
    <x v="0"/>
    <x v="2"/>
    <x v="6"/>
    <x v="0"/>
  </r>
  <r>
    <s v="Duplicated Test Order for 30700260B received from host (LIS # 131)."/>
    <x v="74"/>
    <x v="1"/>
    <x v="26"/>
    <d v="1899-12-30T12:04:31"/>
    <s v="LIS"/>
    <x v="0"/>
    <x v="2"/>
    <x v="6"/>
    <x v="0"/>
  </r>
  <r>
    <s v="Duplicated Test Order for 30700260B received from host (LIS # 2011)."/>
    <x v="74"/>
    <x v="1"/>
    <x v="26"/>
    <d v="1899-12-30T12:04:31"/>
    <s v="LIS"/>
    <x v="0"/>
    <x v="2"/>
    <x v="6"/>
    <x v="0"/>
  </r>
  <r>
    <s v="Duplicated Test Order for 30700260B received from host (LIS # 2241)."/>
    <x v="74"/>
    <x v="1"/>
    <x v="26"/>
    <d v="1899-12-30T12:04:32"/>
    <s v="LIS"/>
    <x v="0"/>
    <x v="2"/>
    <x v="6"/>
    <x v="0"/>
  </r>
  <r>
    <s v="Duplicated Test Order for 30700271C received from host (LIS # 131)."/>
    <x v="74"/>
    <x v="1"/>
    <x v="26"/>
    <d v="1899-12-30T12:04:32"/>
    <s v="LIS"/>
    <x v="0"/>
    <x v="2"/>
    <x v="6"/>
    <x v="0"/>
  </r>
  <r>
    <s v="Duplicated Test Order for 30700274A received from host (LIS # 131)."/>
    <x v="74"/>
    <x v="1"/>
    <x v="26"/>
    <d v="1899-12-30T12:04:32"/>
    <s v="LIS"/>
    <x v="0"/>
    <x v="2"/>
    <x v="6"/>
    <x v="0"/>
  </r>
  <r>
    <s v="Duplicated Test Order for 30700277C received from host (LIS # 131)."/>
    <x v="74"/>
    <x v="1"/>
    <x v="26"/>
    <d v="1899-12-30T12:04:32"/>
    <s v="LIS"/>
    <x v="0"/>
    <x v="2"/>
    <x v="6"/>
    <x v="0"/>
  </r>
  <r>
    <s v="Duplicated Test Order for 30700289C received from host (LIS # 2101)."/>
    <x v="74"/>
    <x v="1"/>
    <x v="26"/>
    <d v="1899-12-30T12:04:32"/>
    <s v="LIS"/>
    <x v="0"/>
    <x v="2"/>
    <x v="6"/>
    <x v="0"/>
  </r>
  <r>
    <s v="Duplicated Test Order for 30700290A received from host (LIS # 131)."/>
    <x v="74"/>
    <x v="1"/>
    <x v="26"/>
    <d v="1899-12-30T12:04:32"/>
    <s v="LIS"/>
    <x v="0"/>
    <x v="2"/>
    <x v="6"/>
    <x v="0"/>
  </r>
  <r>
    <s v="Duplicated Test Order for 30700318A received from host (LIS # 131)."/>
    <x v="74"/>
    <x v="1"/>
    <x v="26"/>
    <d v="1899-12-30T12:04:32"/>
    <s v="LIS"/>
    <x v="0"/>
    <x v="2"/>
    <x v="6"/>
    <x v="0"/>
  </r>
  <r>
    <s v="Duplicated Test Order for 30700344A received from host (LIS # 131)."/>
    <x v="74"/>
    <x v="1"/>
    <x v="26"/>
    <d v="1899-12-30T12:04:33"/>
    <s v="LIS"/>
    <x v="0"/>
    <x v="2"/>
    <x v="6"/>
    <x v="0"/>
  </r>
  <r>
    <s v="Duplicated Test Order for 30700355A received from host (LIS # 131)."/>
    <x v="74"/>
    <x v="1"/>
    <x v="26"/>
    <d v="1899-12-30T12:04:33"/>
    <s v="LIS"/>
    <x v="0"/>
    <x v="2"/>
    <x v="6"/>
    <x v="0"/>
  </r>
  <r>
    <s v="Duplicated Test Order for 30700355A received from host (LIS # 921)."/>
    <x v="74"/>
    <x v="1"/>
    <x v="26"/>
    <d v="1899-12-30T12:04:33"/>
    <s v="LIS"/>
    <x v="0"/>
    <x v="2"/>
    <x v="6"/>
    <x v="0"/>
  </r>
  <r>
    <s v="Duplicated Test Order for 30700355A received from host (LIS # 2101)."/>
    <x v="74"/>
    <x v="1"/>
    <x v="26"/>
    <d v="1899-12-30T12:04:34"/>
    <s v="LIS"/>
    <x v="0"/>
    <x v="2"/>
    <x v="6"/>
    <x v="0"/>
  </r>
  <r>
    <s v="Duplicated Test Order for 30700370C received from host (LIS # 131)."/>
    <x v="74"/>
    <x v="1"/>
    <x v="26"/>
    <d v="1899-12-30T12:04:34"/>
    <s v="LIS"/>
    <x v="0"/>
    <x v="2"/>
    <x v="6"/>
    <x v="0"/>
  </r>
  <r>
    <s v="Duplicated Test Order for 30700375C received from host (LIS # 2101)."/>
    <x v="74"/>
    <x v="1"/>
    <x v="26"/>
    <d v="1899-12-30T12:04:34"/>
    <s v="LIS"/>
    <x v="0"/>
    <x v="2"/>
    <x v="6"/>
    <x v="0"/>
  </r>
  <r>
    <s v="Duplicated Test Order for 30700379B received from host (LIS # 131)."/>
    <x v="74"/>
    <x v="1"/>
    <x v="26"/>
    <d v="1899-12-30T12:04:34"/>
    <s v="LIS"/>
    <x v="0"/>
    <x v="2"/>
    <x v="6"/>
    <x v="0"/>
  </r>
  <r>
    <s v="Duplicated Test Order for 30700380C received from host (LIS # 131)."/>
    <x v="74"/>
    <x v="1"/>
    <x v="26"/>
    <d v="1899-12-30T12:04:34"/>
    <s v="LIS"/>
    <x v="0"/>
    <x v="2"/>
    <x v="6"/>
    <x v="0"/>
  </r>
  <r>
    <s v="Duplicated Test Order for 30700401C received from host (LIS # 131)."/>
    <x v="74"/>
    <x v="1"/>
    <x v="26"/>
    <d v="1899-12-30T12:04:35"/>
    <s v="LIS"/>
    <x v="0"/>
    <x v="2"/>
    <x v="6"/>
    <x v="0"/>
  </r>
  <r>
    <s v="Duplicated Test Order for 30700406A received from host (LIS # 2241)."/>
    <x v="74"/>
    <x v="1"/>
    <x v="26"/>
    <d v="1899-12-30T12:04:35"/>
    <s v="LIS"/>
    <x v="0"/>
    <x v="2"/>
    <x v="6"/>
    <x v="0"/>
  </r>
  <r>
    <s v="Duplicated Test Order for 30700412C received from host (LIS # 131)."/>
    <x v="74"/>
    <x v="1"/>
    <x v="26"/>
    <d v="1899-12-30T12:04:35"/>
    <s v="LIS"/>
    <x v="0"/>
    <x v="2"/>
    <x v="6"/>
    <x v="0"/>
  </r>
  <r>
    <s v="Duplicated Test Order for 30700412C received from host (LIS # 921)."/>
    <x v="74"/>
    <x v="1"/>
    <x v="26"/>
    <d v="1899-12-30T12:04:35"/>
    <s v="LIS"/>
    <x v="0"/>
    <x v="2"/>
    <x v="6"/>
    <x v="0"/>
  </r>
  <r>
    <s v="Duplicated Test Order for 30700417A received from host (LIS # 131)."/>
    <x v="74"/>
    <x v="1"/>
    <x v="26"/>
    <d v="1899-12-30T12:04:35"/>
    <s v="LIS"/>
    <x v="0"/>
    <x v="2"/>
    <x v="6"/>
    <x v="0"/>
  </r>
  <r>
    <s v="Duplicated Test Order for 30700417A received from host (LIS # 921)."/>
    <x v="74"/>
    <x v="1"/>
    <x v="26"/>
    <d v="1899-12-30T12:04:36"/>
    <s v="LIS"/>
    <x v="0"/>
    <x v="2"/>
    <x v="6"/>
    <x v="0"/>
  </r>
  <r>
    <s v="Duplicated Test Order for 30700419D received from host (LIS # 131)."/>
    <x v="74"/>
    <x v="1"/>
    <x v="26"/>
    <d v="1899-12-30T12:04:36"/>
    <s v="LIS"/>
    <x v="0"/>
    <x v="2"/>
    <x v="6"/>
    <x v="0"/>
  </r>
  <r>
    <s v="Duplicated Test Order for 30700426A received from host (LIS # 131)."/>
    <x v="74"/>
    <x v="1"/>
    <x v="26"/>
    <d v="1899-12-30T12:04:36"/>
    <s v="LIS"/>
    <x v="0"/>
    <x v="2"/>
    <x v="6"/>
    <x v="0"/>
  </r>
  <r>
    <s v="Duplicated Test Order for 30700426A received from host (LIS # 921)."/>
    <x v="74"/>
    <x v="1"/>
    <x v="26"/>
    <d v="1899-12-30T12:04:36"/>
    <s v="LIS"/>
    <x v="0"/>
    <x v="2"/>
    <x v="6"/>
    <x v="0"/>
  </r>
  <r>
    <s v="Duplicated Test Order for 30700438A received from host (LIS # 2011)."/>
    <x v="74"/>
    <x v="1"/>
    <x v="26"/>
    <d v="1899-12-30T12:04:36"/>
    <s v="LIS"/>
    <x v="0"/>
    <x v="2"/>
    <x v="6"/>
    <x v="0"/>
  </r>
  <r>
    <s v="Duplicated Test Order for 30700438A received from host (LIS # 2241)."/>
    <x v="74"/>
    <x v="1"/>
    <x v="26"/>
    <d v="1899-12-30T12:04:36"/>
    <s v="LIS"/>
    <x v="0"/>
    <x v="2"/>
    <x v="6"/>
    <x v="0"/>
  </r>
  <r>
    <s v="Duplicated Test Order for 30700444A received from host (LIS # 2241)."/>
    <x v="74"/>
    <x v="1"/>
    <x v="26"/>
    <d v="1899-12-30T12:04:37"/>
    <s v="LIS"/>
    <x v="0"/>
    <x v="2"/>
    <x v="6"/>
    <x v="0"/>
  </r>
  <r>
    <s v="Duplicated Test Order for 30700445A received from host (LIS # 2101)."/>
    <x v="74"/>
    <x v="1"/>
    <x v="26"/>
    <d v="1899-12-30T12:04:37"/>
    <s v="LIS"/>
    <x v="0"/>
    <x v="2"/>
    <x v="6"/>
    <x v="0"/>
  </r>
  <r>
    <s v="Duplicated Test Order for 30700446B received from host (LIS # 2241)."/>
    <x v="74"/>
    <x v="1"/>
    <x v="26"/>
    <d v="1899-12-30T12:04:37"/>
    <s v="LIS"/>
    <x v="0"/>
    <x v="2"/>
    <x v="6"/>
    <x v="0"/>
  </r>
  <r>
    <s v="Duplicated Test Order for 30700452A received from host (LIS # 131)."/>
    <x v="74"/>
    <x v="1"/>
    <x v="26"/>
    <d v="1899-12-30T12:04:37"/>
    <s v="LIS"/>
    <x v="0"/>
    <x v="2"/>
    <x v="6"/>
    <x v="0"/>
  </r>
  <r>
    <s v="Duplicated Test Order for 30700469A received from host (LIS # 131)."/>
    <x v="74"/>
    <x v="1"/>
    <x v="26"/>
    <d v="1899-12-30T12:04:37"/>
    <s v="LIS"/>
    <x v="0"/>
    <x v="2"/>
    <x v="6"/>
    <x v="0"/>
  </r>
  <r>
    <s v="Duplicated Test Order for 30700469A received from host (LIS # 2011)."/>
    <x v="74"/>
    <x v="1"/>
    <x v="26"/>
    <d v="1899-12-30T12:04:37"/>
    <s v="LIS"/>
    <x v="0"/>
    <x v="2"/>
    <x v="6"/>
    <x v="0"/>
  </r>
  <r>
    <s v="Duplicated Test Order for 30700470B received from host (LIS # 131)."/>
    <x v="74"/>
    <x v="1"/>
    <x v="26"/>
    <d v="1899-12-30T12:04:37"/>
    <s v="LIS"/>
    <x v="0"/>
    <x v="2"/>
    <x v="6"/>
    <x v="0"/>
  </r>
  <r>
    <s v="Duplicated Test Order for 30700470B received from host (LIS # 921)."/>
    <x v="74"/>
    <x v="1"/>
    <x v="26"/>
    <d v="1899-12-30T12:04:38"/>
    <s v="LIS"/>
    <x v="0"/>
    <x v="2"/>
    <x v="6"/>
    <x v="0"/>
  </r>
  <r>
    <s v="Duplicated Test Order for 30700471A received from host (LIS # 131)."/>
    <x v="74"/>
    <x v="1"/>
    <x v="26"/>
    <d v="1899-12-30T12:04:38"/>
    <s v="LIS"/>
    <x v="0"/>
    <x v="2"/>
    <x v="6"/>
    <x v="0"/>
  </r>
  <r>
    <s v="Duplicated Test Order for 30700471A received from host (LIS # 2011)."/>
    <x v="74"/>
    <x v="1"/>
    <x v="26"/>
    <d v="1899-12-30T12:04:38"/>
    <s v="LIS"/>
    <x v="0"/>
    <x v="2"/>
    <x v="6"/>
    <x v="0"/>
  </r>
  <r>
    <s v="Duplicated Test Order for 30700491A received from host (LIS # 131)."/>
    <x v="74"/>
    <x v="1"/>
    <x v="26"/>
    <d v="1899-12-30T12:04:38"/>
    <s v="LIS"/>
    <x v="0"/>
    <x v="2"/>
    <x v="6"/>
    <x v="0"/>
  </r>
  <r>
    <s v="Duplicated Test Order for 30700498A received from host (LIS # 2101)."/>
    <x v="74"/>
    <x v="1"/>
    <x v="26"/>
    <d v="1899-12-30T12:04:38"/>
    <s v="LIS"/>
    <x v="0"/>
    <x v="2"/>
    <x v="6"/>
    <x v="0"/>
  </r>
  <r>
    <s v="Duplicated Test Order for 30700503A received from host (LIS # 131)."/>
    <x v="74"/>
    <x v="1"/>
    <x v="26"/>
    <d v="1899-12-30T12:04:38"/>
    <s v="LIS"/>
    <x v="0"/>
    <x v="2"/>
    <x v="6"/>
    <x v="0"/>
  </r>
  <r>
    <s v="Anti Factor Xa Rgt. volume low."/>
    <x v="7"/>
    <x v="1"/>
    <x v="26"/>
    <d v="1899-12-30T12:04:39"/>
    <s v="Materials"/>
    <x v="0"/>
    <x v="3"/>
    <x v="4"/>
    <x v="0"/>
  </r>
  <r>
    <s v="Duplicated Test Order for 30700503A received from host (LIS # 2101)."/>
    <x v="74"/>
    <x v="1"/>
    <x v="26"/>
    <d v="1899-12-30T12:04:39"/>
    <s v="LIS"/>
    <x v="0"/>
    <x v="2"/>
    <x v="6"/>
    <x v="0"/>
  </r>
  <r>
    <s v="Duplicated Test Order for 30700511A received from host (LIS # 2241)."/>
    <x v="74"/>
    <x v="1"/>
    <x v="26"/>
    <d v="1899-12-30T12:04:39"/>
    <s v="LIS"/>
    <x v="0"/>
    <x v="2"/>
    <x v="6"/>
    <x v="0"/>
  </r>
  <r>
    <s v="Duplicated Test Order for 30700553B received from host (LIS # 131)."/>
    <x v="74"/>
    <x v="1"/>
    <x v="26"/>
    <d v="1899-12-30T12:04:39"/>
    <s v="LIS"/>
    <x v="0"/>
    <x v="2"/>
    <x v="6"/>
    <x v="0"/>
  </r>
  <r>
    <s v="Duplicated Test Order for 30700566C received from host (LIS # 131)."/>
    <x v="74"/>
    <x v="1"/>
    <x v="26"/>
    <d v="1899-12-30T12:04:39"/>
    <s v="LIS"/>
    <x v="0"/>
    <x v="2"/>
    <x v="6"/>
    <x v="0"/>
  </r>
  <r>
    <s v="Duplicated Test Order for 30700569A received from host (LIS # 131)."/>
    <x v="74"/>
    <x v="1"/>
    <x v="26"/>
    <d v="1899-12-30T12:04:39"/>
    <s v="LIS"/>
    <x v="0"/>
    <x v="2"/>
    <x v="6"/>
    <x v="0"/>
  </r>
  <r>
    <s v="Duplicated Test Order for 30700584C received from host (LIS # 131)."/>
    <x v="74"/>
    <x v="1"/>
    <x v="26"/>
    <d v="1899-12-30T12:04:39"/>
    <s v="LIS"/>
    <x v="0"/>
    <x v="2"/>
    <x v="6"/>
    <x v="0"/>
  </r>
  <r>
    <s v="Duplicated Test Order for 30700584C received from host (LIS # 921)."/>
    <x v="74"/>
    <x v="1"/>
    <x v="26"/>
    <d v="1899-12-30T12:04:40"/>
    <s v="LIS"/>
    <x v="0"/>
    <x v="2"/>
    <x v="6"/>
    <x v="0"/>
  </r>
  <r>
    <s v="Duplicated Test Order for 30700595A received from host (LIS # 131)."/>
    <x v="74"/>
    <x v="1"/>
    <x v="26"/>
    <d v="1899-12-30T12:04:41"/>
    <s v="LIS"/>
    <x v="0"/>
    <x v="2"/>
    <x v="6"/>
    <x v="0"/>
  </r>
  <r>
    <s v="Duplicated Test Order for 30700595A received from host (LIS # 2011)."/>
    <x v="74"/>
    <x v="1"/>
    <x v="26"/>
    <d v="1899-12-30T12:04:41"/>
    <s v="LIS"/>
    <x v="0"/>
    <x v="2"/>
    <x v="6"/>
    <x v="0"/>
  </r>
  <r>
    <s v="Duplicated Test Order for 30700608A received from host (LIS # 2101)."/>
    <x v="74"/>
    <x v="1"/>
    <x v="26"/>
    <d v="1899-12-30T12:04:41"/>
    <s v="LIS"/>
    <x v="0"/>
    <x v="2"/>
    <x v="6"/>
    <x v="0"/>
  </r>
  <r>
    <s v="Duplicated Test Order for 30700650A received from host (LIS # 131)."/>
    <x v="74"/>
    <x v="1"/>
    <x v="26"/>
    <d v="1899-12-30T12:04:42"/>
    <s v="LIS"/>
    <x v="0"/>
    <x v="2"/>
    <x v="6"/>
    <x v="0"/>
  </r>
  <r>
    <s v="Duplicated Test Order for 30700650A received from host (LIS # 2101)."/>
    <x v="74"/>
    <x v="1"/>
    <x v="26"/>
    <d v="1899-12-30T12:04:42"/>
    <s v="LIS"/>
    <x v="0"/>
    <x v="2"/>
    <x v="6"/>
    <x v="0"/>
  </r>
  <r>
    <s v="Duplicated Test Order for 30700673B received from host (LIS # 131)."/>
    <x v="74"/>
    <x v="1"/>
    <x v="26"/>
    <d v="1899-12-30T12:04:42"/>
    <s v="LIS"/>
    <x v="0"/>
    <x v="2"/>
    <x v="6"/>
    <x v="0"/>
  </r>
  <r>
    <s v="Duplicated Test Order for 30700679D received from host (LIS # 131)."/>
    <x v="74"/>
    <x v="1"/>
    <x v="26"/>
    <d v="1899-12-30T12:04:42"/>
    <s v="LIS"/>
    <x v="0"/>
    <x v="2"/>
    <x v="6"/>
    <x v="0"/>
  </r>
  <r>
    <s v="Duplicated Test Order for 30700729B received from host (LIS # 131)."/>
    <x v="74"/>
    <x v="1"/>
    <x v="26"/>
    <d v="1899-12-30T12:04:43"/>
    <s v="LIS"/>
    <x v="0"/>
    <x v="2"/>
    <x v="6"/>
    <x v="0"/>
  </r>
  <r>
    <s v="Duplicated Test Order for 30700729B received from host (LIS # 921)."/>
    <x v="74"/>
    <x v="1"/>
    <x v="26"/>
    <d v="1899-12-30T12:04:43"/>
    <s v="LIS"/>
    <x v="0"/>
    <x v="2"/>
    <x v="6"/>
    <x v="0"/>
  </r>
  <r>
    <s v="Duplicated Test Order for 30700730A received from host (LIS # 131)."/>
    <x v="74"/>
    <x v="1"/>
    <x v="26"/>
    <d v="1899-12-30T12:04:43"/>
    <s v="LIS"/>
    <x v="0"/>
    <x v="2"/>
    <x v="6"/>
    <x v="0"/>
  </r>
  <r>
    <s v="Duplicated Test Order for 30700843A received from host (LIS # 131)."/>
    <x v="74"/>
    <x v="1"/>
    <x v="26"/>
    <d v="1899-12-30T12:04:43"/>
    <s v="LIS"/>
    <x v="0"/>
    <x v="2"/>
    <x v="6"/>
    <x v="0"/>
  </r>
  <r>
    <s v="Duplicated Test Order for 30700869A received from host (LIS # 131)."/>
    <x v="74"/>
    <x v="1"/>
    <x v="26"/>
    <d v="1899-12-30T12:04:43"/>
    <s v="LIS"/>
    <x v="0"/>
    <x v="2"/>
    <x v="6"/>
    <x v="0"/>
  </r>
  <r>
    <s v="Duplicated Test Order for 30700885A received from host (LIS # 131)."/>
    <x v="74"/>
    <x v="1"/>
    <x v="26"/>
    <d v="1899-12-30T12:04:43"/>
    <s v="LIS"/>
    <x v="0"/>
    <x v="2"/>
    <x v="6"/>
    <x v="0"/>
  </r>
  <r>
    <s v="Duplicated Test Order for 30700886C received from host (LIS # 131)."/>
    <x v="74"/>
    <x v="1"/>
    <x v="26"/>
    <d v="1899-12-30T12:04:43"/>
    <s v="LIS"/>
    <x v="0"/>
    <x v="2"/>
    <x v="6"/>
    <x v="0"/>
  </r>
  <r>
    <s v="Duplicated Test Order for 30700894A received from host (LIS # 131)."/>
    <x v="74"/>
    <x v="1"/>
    <x v="26"/>
    <d v="1899-12-30T12:04:43"/>
    <s v="LIS"/>
    <x v="0"/>
    <x v="2"/>
    <x v="6"/>
    <x v="0"/>
  </r>
  <r>
    <s v="Duplicated Test Order for 30700903A received from host (LIS # 131)."/>
    <x v="74"/>
    <x v="1"/>
    <x v="26"/>
    <d v="1899-12-30T12:04:43"/>
    <s v="LIS"/>
    <x v="0"/>
    <x v="2"/>
    <x v="6"/>
    <x v="0"/>
  </r>
  <r>
    <s v="Duplicated Test Order for 30700905A received from host (LIS # 131)."/>
    <x v="74"/>
    <x v="1"/>
    <x v="26"/>
    <d v="1899-12-30T12:04:44"/>
    <s v="LIS"/>
    <x v="0"/>
    <x v="2"/>
    <x v="6"/>
    <x v="0"/>
  </r>
  <r>
    <s v="Duplicated Test Order for 30700924B received from host (LIS # 131)."/>
    <x v="74"/>
    <x v="1"/>
    <x v="26"/>
    <d v="1899-12-30T12:04:44"/>
    <s v="LIS"/>
    <x v="0"/>
    <x v="2"/>
    <x v="6"/>
    <x v="0"/>
  </r>
  <r>
    <s v="Duplicated Test Order for 30700988A received from host (LIS # 2241)."/>
    <x v="74"/>
    <x v="1"/>
    <x v="26"/>
    <d v="1899-12-30T12:04:44"/>
    <s v="LIS"/>
    <x v="0"/>
    <x v="2"/>
    <x v="6"/>
    <x v="0"/>
  </r>
  <r>
    <s v="Duplicated Test Order for 30701007A received from host (LIS # 131)."/>
    <x v="74"/>
    <x v="1"/>
    <x v="26"/>
    <d v="1899-12-30T12:04:44"/>
    <s v="LIS"/>
    <x v="0"/>
    <x v="2"/>
    <x v="6"/>
    <x v="0"/>
  </r>
  <r>
    <s v="Duplicated Test Order for 30701009D received from host (LIS # 131)."/>
    <x v="74"/>
    <x v="1"/>
    <x v="26"/>
    <d v="1899-12-30T12:04:44"/>
    <s v="LIS"/>
    <x v="0"/>
    <x v="2"/>
    <x v="6"/>
    <x v="0"/>
  </r>
  <r>
    <s v="Duplicated Test Order for 30701009D received from host (LIS # 921)."/>
    <x v="74"/>
    <x v="1"/>
    <x v="26"/>
    <d v="1899-12-30T12:04:44"/>
    <s v="LIS"/>
    <x v="0"/>
    <x v="2"/>
    <x v="6"/>
    <x v="0"/>
  </r>
  <r>
    <s v="Duplicated Test Order for 30701009D received from host (LIS # 2101)."/>
    <x v="74"/>
    <x v="1"/>
    <x v="26"/>
    <d v="1899-12-30T12:04:44"/>
    <s v="LIS"/>
    <x v="0"/>
    <x v="2"/>
    <x v="6"/>
    <x v="0"/>
  </r>
  <r>
    <s v="Duplicated Test Order for 30701041A received from host (LIS # 921)."/>
    <x v="74"/>
    <x v="1"/>
    <x v="26"/>
    <d v="1899-12-30T12:04:44"/>
    <s v="LIS"/>
    <x v="0"/>
    <x v="2"/>
    <x v="6"/>
    <x v="0"/>
  </r>
  <r>
    <s v="Duplicated Test Order for 30701041A received from host (LIS # 2101)."/>
    <x v="74"/>
    <x v="1"/>
    <x v="26"/>
    <d v="1899-12-30T12:04:44"/>
    <s v="LIS"/>
    <x v="0"/>
    <x v="2"/>
    <x v="6"/>
    <x v="0"/>
  </r>
  <r>
    <s v="Duplicated Test Order for 30701050A received from host (LIS # 131)."/>
    <x v="74"/>
    <x v="1"/>
    <x v="26"/>
    <d v="1899-12-30T12:04:44"/>
    <s v="LIS"/>
    <x v="0"/>
    <x v="2"/>
    <x v="6"/>
    <x v="0"/>
  </r>
  <r>
    <s v="Duplicated Test Order for 30701050A received from host (LIS # 921)."/>
    <x v="74"/>
    <x v="1"/>
    <x v="26"/>
    <d v="1899-12-30T12:04:44"/>
    <s v="LIS"/>
    <x v="0"/>
    <x v="2"/>
    <x v="6"/>
    <x v="0"/>
  </r>
  <r>
    <s v="Duplicated Test Order for 30701082B received from host (LIS # 131)."/>
    <x v="74"/>
    <x v="1"/>
    <x v="26"/>
    <d v="1899-12-30T12:04:44"/>
    <s v="LIS"/>
    <x v="0"/>
    <x v="2"/>
    <x v="6"/>
    <x v="0"/>
  </r>
  <r>
    <s v="Duplicated Test Order for 30701083A received from host (LIS # 131)."/>
    <x v="74"/>
    <x v="1"/>
    <x v="26"/>
    <d v="1899-12-30T12:04:44"/>
    <s v="LIS"/>
    <x v="0"/>
    <x v="2"/>
    <x v="6"/>
    <x v="0"/>
  </r>
  <r>
    <s v="Duplicated Test Order for 30701094A received from host (LIS # 131)."/>
    <x v="74"/>
    <x v="1"/>
    <x v="26"/>
    <d v="1899-12-30T12:04:44"/>
    <s v="LIS"/>
    <x v="0"/>
    <x v="2"/>
    <x v="6"/>
    <x v="0"/>
  </r>
  <r>
    <s v="Duplicated Test Order for 30701123C received from host (LIS # 131)."/>
    <x v="74"/>
    <x v="1"/>
    <x v="26"/>
    <d v="1899-12-30T12:04:44"/>
    <s v="LIS"/>
    <x v="0"/>
    <x v="2"/>
    <x v="6"/>
    <x v="0"/>
  </r>
  <r>
    <s v="Duplicated Test Order for 30701168A received from host (LIS # 131)."/>
    <x v="74"/>
    <x v="1"/>
    <x v="26"/>
    <d v="1899-12-30T12:04:45"/>
    <s v="LIS"/>
    <x v="0"/>
    <x v="2"/>
    <x v="6"/>
    <x v="0"/>
  </r>
  <r>
    <s v="Duplicated Test Order for 30701179A received from host (LIS # 131)."/>
    <x v="74"/>
    <x v="1"/>
    <x v="26"/>
    <d v="1899-12-30T12:04:45"/>
    <s v="LIS"/>
    <x v="0"/>
    <x v="2"/>
    <x v="6"/>
    <x v="0"/>
  </r>
  <r>
    <s v="Duplicated Test Order for 30701223C received from host (LIS # 131)."/>
    <x v="74"/>
    <x v="1"/>
    <x v="26"/>
    <d v="1899-12-30T12:04:45"/>
    <s v="LIS"/>
    <x v="0"/>
    <x v="2"/>
    <x v="6"/>
    <x v="0"/>
  </r>
  <r>
    <s v="Duplicated Test Order for 30701223C received from host (LIS # 921)."/>
    <x v="74"/>
    <x v="1"/>
    <x v="26"/>
    <d v="1899-12-30T12:04:45"/>
    <s v="LIS"/>
    <x v="0"/>
    <x v="2"/>
    <x v="6"/>
    <x v="0"/>
  </r>
  <r>
    <s v="Duplicated Test Order for 30701249A received from host (LIS # 2101)."/>
    <x v="74"/>
    <x v="1"/>
    <x v="26"/>
    <d v="1899-12-30T12:04:45"/>
    <s v="LIS"/>
    <x v="0"/>
    <x v="2"/>
    <x v="6"/>
    <x v="0"/>
  </r>
  <r>
    <s v="Duplicated Test Order for 30701250A received from host (LIS # 131)."/>
    <x v="74"/>
    <x v="1"/>
    <x v="26"/>
    <d v="1899-12-30T12:04:45"/>
    <s v="LIS"/>
    <x v="0"/>
    <x v="2"/>
    <x v="6"/>
    <x v="0"/>
  </r>
  <r>
    <s v="Duplicated Test Order for 30701305A received from host (LIS # 131)."/>
    <x v="74"/>
    <x v="1"/>
    <x v="26"/>
    <d v="1899-12-30T12:04:45"/>
    <s v="LIS"/>
    <x v="0"/>
    <x v="2"/>
    <x v="6"/>
    <x v="0"/>
  </r>
  <r>
    <s v="Duplicated Test Order for 30701307A received from host (LIS # 131)."/>
    <x v="74"/>
    <x v="1"/>
    <x v="26"/>
    <d v="1899-12-30T12:04:45"/>
    <s v="LIS"/>
    <x v="0"/>
    <x v="2"/>
    <x v="6"/>
    <x v="0"/>
  </r>
  <r>
    <s v="Duplicated Test Order for 30701343C received from host (LIS # 131)."/>
    <x v="74"/>
    <x v="1"/>
    <x v="26"/>
    <d v="1899-12-30T12:04:45"/>
    <s v="LIS"/>
    <x v="0"/>
    <x v="2"/>
    <x v="6"/>
    <x v="0"/>
  </r>
  <r>
    <s v="Duplicated Test Order for 30701375B received from host (LIS # 131)."/>
    <x v="74"/>
    <x v="1"/>
    <x v="26"/>
    <d v="1899-12-30T12:04:45"/>
    <s v="LIS"/>
    <x v="0"/>
    <x v="2"/>
    <x v="6"/>
    <x v="0"/>
  </r>
  <r>
    <s v="Duplicated Test Order for 30701375B received from host (LIS # 921)."/>
    <x v="74"/>
    <x v="1"/>
    <x v="26"/>
    <d v="1899-12-30T12:04:45"/>
    <s v="LIS"/>
    <x v="0"/>
    <x v="2"/>
    <x v="6"/>
    <x v="0"/>
  </r>
  <r>
    <s v="Duplicated Test Order for 30701375B received from host (LIS # 2011)."/>
    <x v="74"/>
    <x v="1"/>
    <x v="26"/>
    <d v="1899-12-30T12:04:45"/>
    <s v="LIS"/>
    <x v="0"/>
    <x v="2"/>
    <x v="6"/>
    <x v="0"/>
  </r>
  <r>
    <s v="Duplicated Test Order for 30601355A received from host (LIS # 2101)."/>
    <x v="74"/>
    <x v="1"/>
    <x v="26"/>
    <d v="1899-12-30T12:05:10"/>
    <s v="LIS"/>
    <x v="0"/>
    <x v="2"/>
    <x v="6"/>
    <x v="0"/>
  </r>
  <r>
    <s v="Duplicated Test Order for 30601478A received from host (LIS # 921)."/>
    <x v="74"/>
    <x v="1"/>
    <x v="26"/>
    <d v="1899-12-30T12:05:10"/>
    <s v="LIS"/>
    <x v="0"/>
    <x v="2"/>
    <x v="6"/>
    <x v="0"/>
  </r>
  <r>
    <s v="Duplicated Test Order for 30601493D received from host (LIS # 131)."/>
    <x v="74"/>
    <x v="1"/>
    <x v="26"/>
    <d v="1899-12-30T12:05:10"/>
    <s v="LIS"/>
    <x v="0"/>
    <x v="2"/>
    <x v="6"/>
    <x v="0"/>
  </r>
  <r>
    <s v="Duplicated Test Order for 30601493D received from host (LIS # 921)."/>
    <x v="74"/>
    <x v="1"/>
    <x v="26"/>
    <d v="1899-12-30T12:05:10"/>
    <s v="LIS"/>
    <x v="0"/>
    <x v="2"/>
    <x v="6"/>
    <x v="0"/>
  </r>
  <r>
    <s v="Duplicated Test Order for 30601493D received from host (LIS # 2101)."/>
    <x v="74"/>
    <x v="1"/>
    <x v="26"/>
    <d v="1899-12-30T12:05:11"/>
    <s v="LIS"/>
    <x v="0"/>
    <x v="2"/>
    <x v="6"/>
    <x v="0"/>
  </r>
  <r>
    <s v="Duplicated Test Order for 30601496A received from host (LIS # 131)."/>
    <x v="74"/>
    <x v="1"/>
    <x v="26"/>
    <d v="1899-12-30T12:05:11"/>
    <s v="LIS"/>
    <x v="0"/>
    <x v="2"/>
    <x v="6"/>
    <x v="0"/>
  </r>
  <r>
    <s v="Duplicated Test Order for 30601510A received from host (LIS # 131)."/>
    <x v="74"/>
    <x v="1"/>
    <x v="26"/>
    <d v="1899-12-30T12:05:11"/>
    <s v="LIS"/>
    <x v="0"/>
    <x v="2"/>
    <x v="6"/>
    <x v="0"/>
  </r>
  <r>
    <s v="Duplicated Test Order for 30601528A received from host (LIS # 131)."/>
    <x v="74"/>
    <x v="1"/>
    <x v="26"/>
    <d v="1899-12-30T12:05:11"/>
    <s v="LIS"/>
    <x v="0"/>
    <x v="2"/>
    <x v="6"/>
    <x v="0"/>
  </r>
  <r>
    <s v="Duplicated Test Order for 30601551A received from host (LIS # 131)."/>
    <x v="74"/>
    <x v="1"/>
    <x v="26"/>
    <d v="1899-12-30T12:05:11"/>
    <s v="LIS"/>
    <x v="0"/>
    <x v="2"/>
    <x v="6"/>
    <x v="0"/>
  </r>
  <r>
    <s v="Duplicated Test Order for 30601551A received from host (LIS # 921)."/>
    <x v="74"/>
    <x v="1"/>
    <x v="26"/>
    <d v="1899-12-30T12:05:12"/>
    <s v="LIS"/>
    <x v="0"/>
    <x v="2"/>
    <x v="6"/>
    <x v="0"/>
  </r>
  <r>
    <s v="Duplicated Test Order for 30601551A received from host (LIS # 2011)."/>
    <x v="74"/>
    <x v="1"/>
    <x v="26"/>
    <d v="1899-12-30T12:05:12"/>
    <s v="LIS"/>
    <x v="0"/>
    <x v="2"/>
    <x v="6"/>
    <x v="0"/>
  </r>
  <r>
    <s v="Duplicated Test Order for 30601553B received from host (LIS # 131)."/>
    <x v="74"/>
    <x v="1"/>
    <x v="26"/>
    <d v="1899-12-30T12:05:12"/>
    <s v="LIS"/>
    <x v="0"/>
    <x v="2"/>
    <x v="6"/>
    <x v="0"/>
  </r>
  <r>
    <s v="Duplicated Test Order for 30601559A received from host (LIS # 2241)."/>
    <x v="74"/>
    <x v="1"/>
    <x v="26"/>
    <d v="1899-12-30T12:05:12"/>
    <s v="LIS"/>
    <x v="0"/>
    <x v="2"/>
    <x v="6"/>
    <x v="0"/>
  </r>
  <r>
    <s v="Duplicated Test Order for 30601564D received from host (LIS # 131)."/>
    <x v="74"/>
    <x v="1"/>
    <x v="26"/>
    <d v="1899-12-30T12:05:13"/>
    <s v="LIS"/>
    <x v="0"/>
    <x v="2"/>
    <x v="6"/>
    <x v="0"/>
  </r>
  <r>
    <s v="Duplicated Test Order for 30601588A received from host (LIS # 131)."/>
    <x v="74"/>
    <x v="1"/>
    <x v="26"/>
    <d v="1899-12-30T12:05:13"/>
    <s v="LIS"/>
    <x v="0"/>
    <x v="2"/>
    <x v="6"/>
    <x v="0"/>
  </r>
  <r>
    <s v="Duplicated Test Order for 30601600C received from host (LIS # 131)."/>
    <x v="74"/>
    <x v="1"/>
    <x v="26"/>
    <d v="1899-12-30T12:05:13"/>
    <s v="LIS"/>
    <x v="0"/>
    <x v="2"/>
    <x v="6"/>
    <x v="0"/>
  </r>
  <r>
    <s v="Duplicated Test Order for 30601600C received from host (LIS # 921)."/>
    <x v="74"/>
    <x v="1"/>
    <x v="26"/>
    <d v="1899-12-30T12:05:13"/>
    <s v="LIS"/>
    <x v="0"/>
    <x v="2"/>
    <x v="6"/>
    <x v="0"/>
  </r>
  <r>
    <s v="Duplicated Test Order for 30601602A received from host (LIS # 921)."/>
    <x v="74"/>
    <x v="1"/>
    <x v="26"/>
    <d v="1899-12-30T12:05:13"/>
    <s v="LIS"/>
    <x v="0"/>
    <x v="2"/>
    <x v="6"/>
    <x v="0"/>
  </r>
  <r>
    <s v="Duplicated Test Order for 30601604A received from host (LIS # 2101)."/>
    <x v="74"/>
    <x v="1"/>
    <x v="26"/>
    <d v="1899-12-30T12:05:13"/>
    <s v="LIS"/>
    <x v="0"/>
    <x v="2"/>
    <x v="6"/>
    <x v="0"/>
  </r>
  <r>
    <s v="Duplicated Test Order for 30601606A received from host (LIS # 2101)."/>
    <x v="74"/>
    <x v="1"/>
    <x v="26"/>
    <d v="1899-12-30T12:05:14"/>
    <s v="LIS"/>
    <x v="0"/>
    <x v="2"/>
    <x v="6"/>
    <x v="0"/>
  </r>
  <r>
    <s v="Duplicated Test Order for 30601626A received from host (LIS # 131)."/>
    <x v="74"/>
    <x v="1"/>
    <x v="26"/>
    <d v="1899-12-30T12:05:14"/>
    <s v="LIS"/>
    <x v="0"/>
    <x v="2"/>
    <x v="6"/>
    <x v="0"/>
  </r>
  <r>
    <s v="Duplicated Test Order for 30601666A received from host (LIS # 131)."/>
    <x v="74"/>
    <x v="1"/>
    <x v="26"/>
    <d v="1899-12-30T12:05:14"/>
    <s v="LIS"/>
    <x v="0"/>
    <x v="2"/>
    <x v="6"/>
    <x v="0"/>
  </r>
  <r>
    <s v="Duplicated Test Order for 30601676A received from host (LIS # 2101)."/>
    <x v="74"/>
    <x v="1"/>
    <x v="26"/>
    <d v="1899-12-30T12:05:14"/>
    <s v="LIS"/>
    <x v="0"/>
    <x v="2"/>
    <x v="6"/>
    <x v="0"/>
  </r>
  <r>
    <s v="Duplicated Test Order for 30601773A received from host (LIS # 131)."/>
    <x v="74"/>
    <x v="1"/>
    <x v="26"/>
    <d v="1899-12-30T12:05:14"/>
    <s v="LIS"/>
    <x v="0"/>
    <x v="2"/>
    <x v="6"/>
    <x v="0"/>
  </r>
  <r>
    <s v="Duplicated Test Order for 30601773A received from host (LIS # 921)."/>
    <x v="74"/>
    <x v="1"/>
    <x v="26"/>
    <d v="1899-12-30T12:05:15"/>
    <s v="LIS"/>
    <x v="0"/>
    <x v="2"/>
    <x v="6"/>
    <x v="0"/>
  </r>
  <r>
    <s v="Duplicated Test Order for 30601773A received from host (LIS # 2011)."/>
    <x v="74"/>
    <x v="1"/>
    <x v="26"/>
    <d v="1899-12-30T12:05:15"/>
    <s v="LIS"/>
    <x v="0"/>
    <x v="2"/>
    <x v="6"/>
    <x v="0"/>
  </r>
  <r>
    <s v="Duplicated Test Order for 30601803A received from host (LIS # 131)."/>
    <x v="74"/>
    <x v="1"/>
    <x v="26"/>
    <d v="1899-12-30T12:05:15"/>
    <s v="LIS"/>
    <x v="0"/>
    <x v="2"/>
    <x v="6"/>
    <x v="0"/>
  </r>
  <r>
    <s v="Duplicated Test Order for 30601818A received from host (LIS # 2241)."/>
    <x v="74"/>
    <x v="1"/>
    <x v="26"/>
    <d v="1899-12-30T12:05:15"/>
    <s v="LIS"/>
    <x v="0"/>
    <x v="2"/>
    <x v="6"/>
    <x v="0"/>
  </r>
  <r>
    <s v="Duplicated Test Order for 30601845A received from host (LIS # 921)."/>
    <x v="74"/>
    <x v="1"/>
    <x v="26"/>
    <d v="1899-12-30T12:05:15"/>
    <s v="LIS"/>
    <x v="0"/>
    <x v="2"/>
    <x v="6"/>
    <x v="0"/>
  </r>
  <r>
    <s v="Duplicated Test Order for 30601874A received from host (LIS # 131)."/>
    <x v="74"/>
    <x v="1"/>
    <x v="26"/>
    <d v="1899-12-30T12:05:15"/>
    <s v="LIS"/>
    <x v="0"/>
    <x v="2"/>
    <x v="6"/>
    <x v="0"/>
  </r>
  <r>
    <s v="Duplicated Test Order for 30601874A received from host (LIS # 921)."/>
    <x v="74"/>
    <x v="1"/>
    <x v="26"/>
    <d v="1899-12-30T12:05:16"/>
    <s v="LIS"/>
    <x v="0"/>
    <x v="2"/>
    <x v="6"/>
    <x v="0"/>
  </r>
  <r>
    <s v="Duplicated Test Order for 30601882A received from host (LIS # 131)."/>
    <x v="74"/>
    <x v="1"/>
    <x v="26"/>
    <d v="1899-12-30T12:05:16"/>
    <s v="LIS"/>
    <x v="0"/>
    <x v="2"/>
    <x v="6"/>
    <x v="0"/>
  </r>
  <r>
    <s v="Duplicated Test Order for 30601907A received from host (LIS # 131)."/>
    <x v="74"/>
    <x v="1"/>
    <x v="26"/>
    <d v="1899-12-30T12:05:16"/>
    <s v="LIS"/>
    <x v="0"/>
    <x v="2"/>
    <x v="6"/>
    <x v="0"/>
  </r>
  <r>
    <s v="Duplicated Test Order for 30601913B received from host (LIS # 2241)."/>
    <x v="74"/>
    <x v="1"/>
    <x v="26"/>
    <d v="1899-12-30T12:05:16"/>
    <s v="LIS"/>
    <x v="0"/>
    <x v="2"/>
    <x v="6"/>
    <x v="0"/>
  </r>
  <r>
    <s v="Duplicated Test Order for 30601919C received from host (LIS # 131)."/>
    <x v="74"/>
    <x v="1"/>
    <x v="26"/>
    <d v="1899-12-30T12:05:16"/>
    <s v="LIS"/>
    <x v="0"/>
    <x v="2"/>
    <x v="6"/>
    <x v="0"/>
  </r>
  <r>
    <s v="Duplicated Test Order for 30601919C received from host (LIS # 921)."/>
    <x v="74"/>
    <x v="1"/>
    <x v="26"/>
    <d v="1899-12-30T12:05:17"/>
    <s v="LIS"/>
    <x v="0"/>
    <x v="2"/>
    <x v="6"/>
    <x v="0"/>
  </r>
  <r>
    <s v="Duplicated Test Order for 30601960A received from host (LIS # 131)."/>
    <x v="74"/>
    <x v="1"/>
    <x v="26"/>
    <d v="1899-12-30T12:05:17"/>
    <s v="LIS"/>
    <x v="0"/>
    <x v="2"/>
    <x v="6"/>
    <x v="0"/>
  </r>
  <r>
    <s v="Duplicated Test Order for 30601960A received from host (LIS # 921)."/>
    <x v="74"/>
    <x v="1"/>
    <x v="26"/>
    <d v="1899-12-30T12:05:17"/>
    <s v="LIS"/>
    <x v="0"/>
    <x v="2"/>
    <x v="6"/>
    <x v="0"/>
  </r>
  <r>
    <s v="Duplicated Test Order for 30602082B received from host (LIS # 131)."/>
    <x v="74"/>
    <x v="1"/>
    <x v="26"/>
    <d v="1899-12-30T12:05:17"/>
    <s v="LIS"/>
    <x v="0"/>
    <x v="2"/>
    <x v="6"/>
    <x v="0"/>
  </r>
  <r>
    <s v="Duplicated Test Order for 30602138A received from host (LIS # 131)."/>
    <x v="74"/>
    <x v="1"/>
    <x v="26"/>
    <d v="1899-12-30T12:05:17"/>
    <s v="LIS"/>
    <x v="0"/>
    <x v="2"/>
    <x v="6"/>
    <x v="0"/>
  </r>
  <r>
    <s v="Duplicated Test Order for 30602138A received from host (LIS # 921)."/>
    <x v="74"/>
    <x v="1"/>
    <x v="26"/>
    <d v="1899-12-30T12:05:18"/>
    <s v="LIS"/>
    <x v="0"/>
    <x v="2"/>
    <x v="6"/>
    <x v="0"/>
  </r>
  <r>
    <s v="Duplicated Test Order for 30602174C received from host (LIS # 131)."/>
    <x v="74"/>
    <x v="1"/>
    <x v="26"/>
    <d v="1899-12-30T12:05:18"/>
    <s v="LIS"/>
    <x v="0"/>
    <x v="2"/>
    <x v="6"/>
    <x v="0"/>
  </r>
  <r>
    <s v="Duplicated Test Order for 30602174C received from host (LIS # 921)."/>
    <x v="74"/>
    <x v="1"/>
    <x v="26"/>
    <d v="1899-12-30T12:05:18"/>
    <s v="LIS"/>
    <x v="0"/>
    <x v="2"/>
    <x v="6"/>
    <x v="0"/>
  </r>
  <r>
    <s v="Duplicated Test Order for 30602222C received from host (LIS # 131)."/>
    <x v="74"/>
    <x v="1"/>
    <x v="26"/>
    <d v="1899-12-30T12:05:18"/>
    <s v="LIS"/>
    <x v="0"/>
    <x v="2"/>
    <x v="6"/>
    <x v="0"/>
  </r>
  <r>
    <s v="Duplicated Test Order for 30602225C received from host (LIS # 131)."/>
    <x v="74"/>
    <x v="1"/>
    <x v="26"/>
    <d v="1899-12-30T12:05:19"/>
    <s v="LIS"/>
    <x v="0"/>
    <x v="2"/>
    <x v="6"/>
    <x v="0"/>
  </r>
  <r>
    <s v="Duplicated Test Order for 30602225C received from host (LIS # 921)."/>
    <x v="74"/>
    <x v="1"/>
    <x v="26"/>
    <d v="1899-12-30T12:05:19"/>
    <s v="LIS"/>
    <x v="0"/>
    <x v="2"/>
    <x v="6"/>
    <x v="0"/>
  </r>
  <r>
    <s v="Duplicated Test Order for 30602233A received from host (LIS # 2101)."/>
    <x v="74"/>
    <x v="1"/>
    <x v="26"/>
    <d v="1899-12-30T12:05:19"/>
    <s v="LIS"/>
    <x v="0"/>
    <x v="2"/>
    <x v="6"/>
    <x v="0"/>
  </r>
  <r>
    <s v="Duplicated Test Order for 30602249C received from host (LIS # 131)."/>
    <x v="74"/>
    <x v="1"/>
    <x v="26"/>
    <d v="1899-12-30T12:05:19"/>
    <s v="LIS"/>
    <x v="0"/>
    <x v="2"/>
    <x v="6"/>
    <x v="0"/>
  </r>
  <r>
    <s v="Duplicated Test Order for 30602249C received from host (LIS # 921)."/>
    <x v="74"/>
    <x v="1"/>
    <x v="26"/>
    <d v="1899-12-30T12:05:19"/>
    <s v="LIS"/>
    <x v="0"/>
    <x v="2"/>
    <x v="6"/>
    <x v="0"/>
  </r>
  <r>
    <s v="Duplicated Test Order for 30602251A received from host (LIS # 131)."/>
    <x v="74"/>
    <x v="1"/>
    <x v="26"/>
    <d v="1899-12-30T12:05:20"/>
    <s v="LIS"/>
    <x v="0"/>
    <x v="2"/>
    <x v="6"/>
    <x v="0"/>
  </r>
  <r>
    <s v="Duplicated Test Order for 30602251A received from host (LIS # 921)."/>
    <x v="74"/>
    <x v="1"/>
    <x v="26"/>
    <d v="1899-12-30T12:05:20"/>
    <s v="LIS"/>
    <x v="0"/>
    <x v="2"/>
    <x v="6"/>
    <x v="0"/>
  </r>
  <r>
    <s v="Duplicated Test Order for 30602286A received from host (LIS # 2011)."/>
    <x v="74"/>
    <x v="1"/>
    <x v="26"/>
    <d v="1899-12-30T12:05:20"/>
    <s v="LIS"/>
    <x v="0"/>
    <x v="2"/>
    <x v="6"/>
    <x v="0"/>
  </r>
  <r>
    <s v="Duplicated Test Order for 30602312B received from host (LIS # 131)."/>
    <x v="74"/>
    <x v="1"/>
    <x v="26"/>
    <d v="1899-12-30T12:05:20"/>
    <s v="LIS"/>
    <x v="0"/>
    <x v="2"/>
    <x v="6"/>
    <x v="0"/>
  </r>
  <r>
    <s v="Duplicated Test Order for 30602325B received from host (LIS # 131)."/>
    <x v="74"/>
    <x v="1"/>
    <x v="26"/>
    <d v="1899-12-30T12:05:20"/>
    <s v="LIS"/>
    <x v="0"/>
    <x v="2"/>
    <x v="6"/>
    <x v="0"/>
  </r>
  <r>
    <s v="Duplicated Test Order for 30602325B received from host (LIS # 921)."/>
    <x v="74"/>
    <x v="1"/>
    <x v="26"/>
    <d v="1899-12-30T12:05:21"/>
    <s v="LIS"/>
    <x v="0"/>
    <x v="2"/>
    <x v="6"/>
    <x v="0"/>
  </r>
  <r>
    <s v="Duplicated Test Order for 30602325B received from host (LIS # 2011)."/>
    <x v="74"/>
    <x v="1"/>
    <x v="26"/>
    <d v="1899-12-30T12:05:21"/>
    <s v="LIS"/>
    <x v="0"/>
    <x v="2"/>
    <x v="6"/>
    <x v="0"/>
  </r>
  <r>
    <s v="Duplicated Test Order for 30602332A received from host (LIS # 921)."/>
    <x v="74"/>
    <x v="1"/>
    <x v="26"/>
    <d v="1899-12-30T12:05:21"/>
    <s v="LIS"/>
    <x v="0"/>
    <x v="2"/>
    <x v="6"/>
    <x v="0"/>
  </r>
  <r>
    <s v="Duplicated Test Order for 30602345B received from host (LIS # 131)."/>
    <x v="74"/>
    <x v="1"/>
    <x v="26"/>
    <d v="1899-12-30T12:05:21"/>
    <s v="LIS"/>
    <x v="0"/>
    <x v="2"/>
    <x v="6"/>
    <x v="0"/>
  </r>
  <r>
    <s v="Duplicated Test Order for 30602345B received from host (LIS # 921)."/>
    <x v="74"/>
    <x v="1"/>
    <x v="26"/>
    <d v="1899-12-30T12:05:21"/>
    <s v="LIS"/>
    <x v="0"/>
    <x v="2"/>
    <x v="6"/>
    <x v="0"/>
  </r>
  <r>
    <s v="Duplicated Test Order for 30602363A received from host (LIS # 131)."/>
    <x v="74"/>
    <x v="1"/>
    <x v="26"/>
    <d v="1899-12-30T12:05:22"/>
    <s v="LIS"/>
    <x v="0"/>
    <x v="2"/>
    <x v="6"/>
    <x v="0"/>
  </r>
  <r>
    <s v="Duplicated Test Order for 30602382A received from host (LIS # 921)."/>
    <x v="74"/>
    <x v="1"/>
    <x v="26"/>
    <d v="1899-12-30T12:05:22"/>
    <s v="LIS"/>
    <x v="0"/>
    <x v="2"/>
    <x v="6"/>
    <x v="0"/>
  </r>
  <r>
    <s v="Duplicated Test Order for 30602414B received from host (LIS # 131)."/>
    <x v="74"/>
    <x v="1"/>
    <x v="26"/>
    <d v="1899-12-30T12:05:22"/>
    <s v="LIS"/>
    <x v="0"/>
    <x v="2"/>
    <x v="6"/>
    <x v="0"/>
  </r>
  <r>
    <s v="Duplicated Test Order for 30602476A received from host (LIS # 2101)."/>
    <x v="74"/>
    <x v="1"/>
    <x v="26"/>
    <d v="1899-12-30T12:05:22"/>
    <s v="LIS"/>
    <x v="0"/>
    <x v="2"/>
    <x v="6"/>
    <x v="0"/>
  </r>
  <r>
    <s v="Duplicated Test Order for 30602498A received from host (LIS # 131)."/>
    <x v="74"/>
    <x v="1"/>
    <x v="26"/>
    <d v="1899-12-30T12:05:22"/>
    <s v="LIS"/>
    <x v="0"/>
    <x v="2"/>
    <x v="6"/>
    <x v="0"/>
  </r>
  <r>
    <s v="Duplicated Test Order for 30602518A received from host (LIS # 131)."/>
    <x v="74"/>
    <x v="1"/>
    <x v="26"/>
    <d v="1899-12-30T12:05:22"/>
    <s v="LIS"/>
    <x v="0"/>
    <x v="2"/>
    <x v="6"/>
    <x v="0"/>
  </r>
  <r>
    <s v="Duplicated Test Order for 30602520B received from host (LIS # 131)."/>
    <x v="74"/>
    <x v="1"/>
    <x v="26"/>
    <d v="1899-12-30T12:05:22"/>
    <s v="LIS"/>
    <x v="0"/>
    <x v="2"/>
    <x v="6"/>
    <x v="0"/>
  </r>
  <r>
    <s v="Duplicated Test Order for 30602538B received from host (LIS # 131)."/>
    <x v="74"/>
    <x v="1"/>
    <x v="26"/>
    <d v="1899-12-30T12:05:23"/>
    <s v="LIS"/>
    <x v="0"/>
    <x v="2"/>
    <x v="6"/>
    <x v="0"/>
  </r>
  <r>
    <s v="Duplicated Test Order for 30602555C received from host (LIS # 131)."/>
    <x v="74"/>
    <x v="1"/>
    <x v="26"/>
    <d v="1899-12-30T12:05:23"/>
    <s v="LIS"/>
    <x v="0"/>
    <x v="2"/>
    <x v="6"/>
    <x v="0"/>
  </r>
  <r>
    <s v="Duplicated Test Order for 30602555C received from host (LIS # 2011)."/>
    <x v="74"/>
    <x v="1"/>
    <x v="26"/>
    <d v="1899-12-30T12:05:23"/>
    <s v="LIS"/>
    <x v="0"/>
    <x v="2"/>
    <x v="6"/>
    <x v="0"/>
  </r>
  <r>
    <s v="Duplicated Test Order for 30602558A received from host (LIS # 2101)."/>
    <x v="74"/>
    <x v="1"/>
    <x v="26"/>
    <d v="1899-12-30T12:05:23"/>
    <s v="LIS"/>
    <x v="0"/>
    <x v="2"/>
    <x v="6"/>
    <x v="0"/>
  </r>
  <r>
    <s v="Duplicated Test Order for 30602577A received from host (LIS # 131)."/>
    <x v="74"/>
    <x v="1"/>
    <x v="26"/>
    <d v="1899-12-30T12:05:24"/>
    <s v="LIS"/>
    <x v="0"/>
    <x v="2"/>
    <x v="6"/>
    <x v="0"/>
  </r>
  <r>
    <s v="Duplicated Test Order for 30602589A received from host (LIS # 131)."/>
    <x v="74"/>
    <x v="1"/>
    <x v="26"/>
    <d v="1899-12-30T12:05:24"/>
    <s v="LIS"/>
    <x v="0"/>
    <x v="2"/>
    <x v="6"/>
    <x v="0"/>
  </r>
  <r>
    <s v="Duplicated Test Order for 30602590A received from host (LIS # 131)."/>
    <x v="74"/>
    <x v="1"/>
    <x v="26"/>
    <d v="1899-12-30T12:05:24"/>
    <s v="LIS"/>
    <x v="0"/>
    <x v="2"/>
    <x v="6"/>
    <x v="0"/>
  </r>
  <r>
    <s v="Duplicated Test Order for 30602591B received from host (LIS # 131)."/>
    <x v="74"/>
    <x v="1"/>
    <x v="26"/>
    <d v="1899-12-30T12:05:24"/>
    <s v="LIS"/>
    <x v="0"/>
    <x v="2"/>
    <x v="6"/>
    <x v="0"/>
  </r>
  <r>
    <s v="Duplicated Test Order for 30602650C received from host (LIS # 131)."/>
    <x v="74"/>
    <x v="1"/>
    <x v="26"/>
    <d v="1899-12-30T12:05:24"/>
    <s v="LIS"/>
    <x v="0"/>
    <x v="2"/>
    <x v="6"/>
    <x v="0"/>
  </r>
  <r>
    <s v="Duplicated Test Order for 30602650C received from host (LIS # 921)."/>
    <x v="74"/>
    <x v="1"/>
    <x v="26"/>
    <d v="1899-12-30T12:05:25"/>
    <s v="LIS"/>
    <x v="0"/>
    <x v="2"/>
    <x v="6"/>
    <x v="0"/>
  </r>
  <r>
    <s v="Duplicated Test Order for 30602685A received from host (LIS # 2101)."/>
    <x v="74"/>
    <x v="1"/>
    <x v="26"/>
    <d v="1899-12-30T12:05:25"/>
    <s v="LIS"/>
    <x v="0"/>
    <x v="2"/>
    <x v="6"/>
    <x v="0"/>
  </r>
  <r>
    <s v="Duplicated Test Order for 30602690A received from host (LIS # 131)."/>
    <x v="74"/>
    <x v="1"/>
    <x v="26"/>
    <d v="1899-12-30T12:05:25"/>
    <s v="LIS"/>
    <x v="0"/>
    <x v="2"/>
    <x v="6"/>
    <x v="0"/>
  </r>
  <r>
    <s v="Duplicated Test Order for 30602694C received from host (LIS # 131)."/>
    <x v="74"/>
    <x v="1"/>
    <x v="26"/>
    <d v="1899-12-30T12:05:25"/>
    <s v="LIS"/>
    <x v="0"/>
    <x v="2"/>
    <x v="6"/>
    <x v="0"/>
  </r>
  <r>
    <s v="Duplicated Test Order for 30602694C received from host (LIS # 921)."/>
    <x v="74"/>
    <x v="1"/>
    <x v="26"/>
    <d v="1899-12-30T12:05:25"/>
    <s v="LIS"/>
    <x v="0"/>
    <x v="2"/>
    <x v="6"/>
    <x v="0"/>
  </r>
  <r>
    <s v="Duplicated Test Order for 30602750A received from host (LIS # 131)."/>
    <x v="74"/>
    <x v="1"/>
    <x v="26"/>
    <d v="1899-12-30T12:05:26"/>
    <s v="LIS"/>
    <x v="0"/>
    <x v="2"/>
    <x v="6"/>
    <x v="0"/>
  </r>
  <r>
    <s v="Duplicated Test Order for 30602750A received from host (LIS # 921)."/>
    <x v="74"/>
    <x v="1"/>
    <x v="26"/>
    <d v="1899-12-30T12:05:26"/>
    <s v="LIS"/>
    <x v="0"/>
    <x v="2"/>
    <x v="6"/>
    <x v="0"/>
  </r>
  <r>
    <s v="Duplicated Test Order for 30602750A received from host (LIS # 2011)."/>
    <x v="74"/>
    <x v="1"/>
    <x v="26"/>
    <d v="1899-12-30T12:05:27"/>
    <s v="LIS"/>
    <x v="0"/>
    <x v="2"/>
    <x v="6"/>
    <x v="0"/>
  </r>
  <r>
    <s v="Duplicated Test Order for 30602778B received from host (LIS # 131)."/>
    <x v="74"/>
    <x v="1"/>
    <x v="26"/>
    <d v="1899-12-30T12:05:27"/>
    <s v="LIS"/>
    <x v="0"/>
    <x v="2"/>
    <x v="6"/>
    <x v="0"/>
  </r>
  <r>
    <s v="Duplicated Test Order for 30602820C received from host (LIS # 131)."/>
    <x v="74"/>
    <x v="1"/>
    <x v="26"/>
    <d v="1899-12-30T12:05:27"/>
    <s v="LIS"/>
    <x v="0"/>
    <x v="2"/>
    <x v="6"/>
    <x v="0"/>
  </r>
  <r>
    <s v="Duplicated Test Order for 30602820C received from host (LIS # 921)."/>
    <x v="74"/>
    <x v="1"/>
    <x v="26"/>
    <d v="1899-12-30T12:05:28"/>
    <s v="LIS"/>
    <x v="0"/>
    <x v="2"/>
    <x v="6"/>
    <x v="0"/>
  </r>
  <r>
    <s v="Duplicated Test Order for 30602822C received from host (LIS # 131)."/>
    <x v="74"/>
    <x v="1"/>
    <x v="26"/>
    <d v="1899-12-30T12:05:28"/>
    <s v="LIS"/>
    <x v="0"/>
    <x v="2"/>
    <x v="6"/>
    <x v="0"/>
  </r>
  <r>
    <s v="Duplicated Test Order for 30602822C received from host (LIS # 921)."/>
    <x v="74"/>
    <x v="1"/>
    <x v="26"/>
    <d v="1899-12-30T12:05:28"/>
    <s v="LIS"/>
    <x v="0"/>
    <x v="2"/>
    <x v="6"/>
    <x v="0"/>
  </r>
  <r>
    <s v="Duplicated Test Order for 30602850D received from host (LIS # 131)."/>
    <x v="74"/>
    <x v="1"/>
    <x v="26"/>
    <d v="1899-12-30T12:05:28"/>
    <s v="LIS"/>
    <x v="0"/>
    <x v="2"/>
    <x v="6"/>
    <x v="0"/>
  </r>
  <r>
    <s v="Duplicated Test Order for 30602850D received from host (LIS # 921)."/>
    <x v="74"/>
    <x v="1"/>
    <x v="26"/>
    <d v="1899-12-30T12:05:28"/>
    <s v="LIS"/>
    <x v="0"/>
    <x v="2"/>
    <x v="6"/>
    <x v="0"/>
  </r>
  <r>
    <s v="Duplicated Test Order for 30602853B received from host (LIS # 131)."/>
    <x v="74"/>
    <x v="1"/>
    <x v="26"/>
    <d v="1899-12-30T12:05:28"/>
    <s v="LIS"/>
    <x v="0"/>
    <x v="2"/>
    <x v="6"/>
    <x v="0"/>
  </r>
  <r>
    <s v="Duplicated Test Order for 30602865A received from host (LIS # 131)."/>
    <x v="74"/>
    <x v="1"/>
    <x v="26"/>
    <d v="1899-12-30T12:05:28"/>
    <s v="LIS"/>
    <x v="0"/>
    <x v="2"/>
    <x v="6"/>
    <x v="0"/>
  </r>
  <r>
    <s v="Duplicated Test Order for 30602890C received from host (LIS # 131)."/>
    <x v="74"/>
    <x v="1"/>
    <x v="26"/>
    <d v="1899-12-30T12:05:28"/>
    <s v="LIS"/>
    <x v="0"/>
    <x v="2"/>
    <x v="6"/>
    <x v="0"/>
  </r>
  <r>
    <s v="Duplicated Test Order for 30602931A received from host (LIS # 2101)."/>
    <x v="74"/>
    <x v="1"/>
    <x v="26"/>
    <d v="1899-12-30T12:05:29"/>
    <s v="LIS"/>
    <x v="0"/>
    <x v="2"/>
    <x v="6"/>
    <x v="0"/>
  </r>
  <r>
    <s v="Duplicated Test Order for 30602941C received from host (LIS # 2241)."/>
    <x v="74"/>
    <x v="1"/>
    <x v="26"/>
    <d v="1899-12-30T12:05:29"/>
    <s v="LIS"/>
    <x v="0"/>
    <x v="2"/>
    <x v="6"/>
    <x v="0"/>
  </r>
  <r>
    <s v="Duplicated Test Order for 30602962A received from host (LIS # 2241)."/>
    <x v="74"/>
    <x v="1"/>
    <x v="26"/>
    <d v="1899-12-30T12:05:29"/>
    <s v="LIS"/>
    <x v="0"/>
    <x v="2"/>
    <x v="6"/>
    <x v="0"/>
  </r>
  <r>
    <s v="Duplicated Test Order for 30602964A received from host (LIS # 2241)."/>
    <x v="74"/>
    <x v="1"/>
    <x v="26"/>
    <d v="1899-12-30T12:05:29"/>
    <s v="LIS"/>
    <x v="0"/>
    <x v="2"/>
    <x v="6"/>
    <x v="0"/>
  </r>
  <r>
    <s v="Duplicated Test Order for 30602977C received from host (LIS # 131)."/>
    <x v="74"/>
    <x v="1"/>
    <x v="26"/>
    <d v="1899-12-30T12:05:29"/>
    <s v="LIS"/>
    <x v="0"/>
    <x v="2"/>
    <x v="6"/>
    <x v="0"/>
  </r>
  <r>
    <s v="Duplicated Test Order for 30602977C received from host (LIS # 921)."/>
    <x v="74"/>
    <x v="1"/>
    <x v="26"/>
    <d v="1899-12-30T12:05:30"/>
    <s v="LIS"/>
    <x v="0"/>
    <x v="2"/>
    <x v="6"/>
    <x v="0"/>
  </r>
  <r>
    <s v="Duplicated Test Order for 30602977C received from host (LIS # 2011)."/>
    <x v="74"/>
    <x v="1"/>
    <x v="26"/>
    <d v="1899-12-30T12:05:31"/>
    <s v="LIS"/>
    <x v="0"/>
    <x v="2"/>
    <x v="6"/>
    <x v="0"/>
  </r>
  <r>
    <s v="Duplicated Test Order for 30602990A received from host (LIS # 131)."/>
    <x v="74"/>
    <x v="1"/>
    <x v="26"/>
    <d v="1899-12-30T12:05:31"/>
    <s v="LIS"/>
    <x v="0"/>
    <x v="2"/>
    <x v="6"/>
    <x v="0"/>
  </r>
  <r>
    <s v="Duplicated Test Order for 30603019A received from host (LIS # 131)."/>
    <x v="74"/>
    <x v="1"/>
    <x v="26"/>
    <d v="1899-12-30T12:05:31"/>
    <s v="LIS"/>
    <x v="0"/>
    <x v="2"/>
    <x v="6"/>
    <x v="0"/>
  </r>
  <r>
    <s v="Duplicated Test Order for 30603022A received from host (LIS # 131)."/>
    <x v="74"/>
    <x v="1"/>
    <x v="26"/>
    <d v="1899-12-30T12:05:31"/>
    <s v="LIS"/>
    <x v="0"/>
    <x v="2"/>
    <x v="6"/>
    <x v="0"/>
  </r>
  <r>
    <s v="Duplicated Test Order for 30603022A received from host (LIS # 921)."/>
    <x v="74"/>
    <x v="1"/>
    <x v="26"/>
    <d v="1899-12-30T12:05:32"/>
    <s v="LIS"/>
    <x v="0"/>
    <x v="2"/>
    <x v="6"/>
    <x v="0"/>
  </r>
  <r>
    <s v="Duplicated Test Order for 30603022A received from host (LIS # 2011)."/>
    <x v="74"/>
    <x v="1"/>
    <x v="26"/>
    <d v="1899-12-30T12:05:32"/>
    <s v="LIS"/>
    <x v="0"/>
    <x v="2"/>
    <x v="6"/>
    <x v="0"/>
  </r>
  <r>
    <s v="Duplicated Test Order for 30603032A received from host (LIS # 2011)."/>
    <x v="74"/>
    <x v="1"/>
    <x v="26"/>
    <d v="1899-12-30T12:05:32"/>
    <s v="LIS"/>
    <x v="0"/>
    <x v="2"/>
    <x v="6"/>
    <x v="0"/>
  </r>
  <r>
    <s v="Duplicated Test Order for 30603032A received from host (LIS # 2241)."/>
    <x v="74"/>
    <x v="1"/>
    <x v="26"/>
    <d v="1899-12-30T12:05:33"/>
    <s v="LIS"/>
    <x v="0"/>
    <x v="2"/>
    <x v="6"/>
    <x v="0"/>
  </r>
  <r>
    <s v="Duplicated Test Order for 30700006A received from host (LIS # 131)."/>
    <x v="74"/>
    <x v="1"/>
    <x v="26"/>
    <d v="1899-12-30T12:05:34"/>
    <s v="LIS"/>
    <x v="0"/>
    <x v="2"/>
    <x v="6"/>
    <x v="0"/>
  </r>
  <r>
    <s v="Duplicated Test Order for 30700021A received from host (LIS # 921)."/>
    <x v="74"/>
    <x v="1"/>
    <x v="26"/>
    <d v="1899-12-30T12:05:34"/>
    <s v="LIS"/>
    <x v="0"/>
    <x v="2"/>
    <x v="6"/>
    <x v="0"/>
  </r>
  <r>
    <s v="Duplicated Test Order for 30700038B received from host (LIS # 131)."/>
    <x v="74"/>
    <x v="1"/>
    <x v="26"/>
    <d v="1899-12-30T12:05:34"/>
    <s v="LIS"/>
    <x v="0"/>
    <x v="2"/>
    <x v="6"/>
    <x v="0"/>
  </r>
  <r>
    <s v="Duplicated Test Order for 30700065A received from host (LIS # 131)."/>
    <x v="74"/>
    <x v="1"/>
    <x v="26"/>
    <d v="1899-12-30T12:05:35"/>
    <s v="LIS"/>
    <x v="0"/>
    <x v="2"/>
    <x v="6"/>
    <x v="0"/>
  </r>
  <r>
    <s v="Duplicated Test Order for 30700073A received from host (LIS # 2101)."/>
    <x v="74"/>
    <x v="1"/>
    <x v="26"/>
    <d v="1899-12-30T12:05:35"/>
    <s v="LIS"/>
    <x v="0"/>
    <x v="2"/>
    <x v="6"/>
    <x v="0"/>
  </r>
  <r>
    <s v="Duplicated Test Order for 30700083A received from host (LIS # 131)."/>
    <x v="74"/>
    <x v="1"/>
    <x v="26"/>
    <d v="1899-12-30T12:05:35"/>
    <s v="LIS"/>
    <x v="0"/>
    <x v="2"/>
    <x v="6"/>
    <x v="0"/>
  </r>
  <r>
    <s v="Duplicated Test Order for 30700083A received from host (LIS # 921)."/>
    <x v="74"/>
    <x v="1"/>
    <x v="26"/>
    <d v="1899-12-30T12:05:36"/>
    <s v="LIS"/>
    <x v="0"/>
    <x v="2"/>
    <x v="6"/>
    <x v="0"/>
  </r>
  <r>
    <s v="Duplicated Test Order for 30700083A received from host (LIS # 2011)."/>
    <x v="74"/>
    <x v="1"/>
    <x v="26"/>
    <d v="1899-12-30T12:05:36"/>
    <s v="LIS"/>
    <x v="0"/>
    <x v="2"/>
    <x v="6"/>
    <x v="0"/>
  </r>
  <r>
    <s v="Duplicated Test Order for 30700094A received from host (LIS # 131)."/>
    <x v="74"/>
    <x v="1"/>
    <x v="26"/>
    <d v="1899-12-30T12:05:37"/>
    <s v="LIS"/>
    <x v="0"/>
    <x v="2"/>
    <x v="6"/>
    <x v="0"/>
  </r>
  <r>
    <s v="Duplicated Test Order for 30700094A received from host (LIS # 921)."/>
    <x v="74"/>
    <x v="1"/>
    <x v="26"/>
    <d v="1899-12-30T12:05:37"/>
    <s v="LIS"/>
    <x v="0"/>
    <x v="2"/>
    <x v="6"/>
    <x v="0"/>
  </r>
  <r>
    <s v="Duplicated Test Order for 30700094A received from host (LIS # 2011)."/>
    <x v="74"/>
    <x v="1"/>
    <x v="26"/>
    <d v="1899-12-30T12:05:37"/>
    <s v="LIS"/>
    <x v="0"/>
    <x v="2"/>
    <x v="6"/>
    <x v="0"/>
  </r>
  <r>
    <s v="Duplicated Test Order for 30700122A received from host (LIS # 131)."/>
    <x v="74"/>
    <x v="1"/>
    <x v="26"/>
    <d v="1899-12-30T12:05:38"/>
    <s v="LIS"/>
    <x v="0"/>
    <x v="2"/>
    <x v="6"/>
    <x v="0"/>
  </r>
  <r>
    <s v="Duplicated Test Order for 30700134A received from host (LIS # 131)."/>
    <x v="74"/>
    <x v="1"/>
    <x v="26"/>
    <d v="1899-12-30T12:05:38"/>
    <s v="LIS"/>
    <x v="0"/>
    <x v="2"/>
    <x v="6"/>
    <x v="0"/>
  </r>
  <r>
    <s v="Duplicated Test Order for 30700134A received from host (LIS # 2011)."/>
    <x v="74"/>
    <x v="1"/>
    <x v="26"/>
    <d v="1899-12-30T12:05:38"/>
    <s v="LIS"/>
    <x v="0"/>
    <x v="2"/>
    <x v="6"/>
    <x v="0"/>
  </r>
  <r>
    <s v="Duplicated Test Order for 30700142A received from host (LIS # 2241)."/>
    <x v="74"/>
    <x v="1"/>
    <x v="26"/>
    <d v="1899-12-30T12:05:38"/>
    <s v="LIS"/>
    <x v="0"/>
    <x v="2"/>
    <x v="6"/>
    <x v="0"/>
  </r>
  <r>
    <s v="Duplicated Test Order for 30700145C received from host (LIS # 131)."/>
    <x v="74"/>
    <x v="1"/>
    <x v="26"/>
    <d v="1899-12-30T12:05:38"/>
    <s v="LIS"/>
    <x v="0"/>
    <x v="2"/>
    <x v="6"/>
    <x v="0"/>
  </r>
  <r>
    <s v="Duplicated Test Order for 30700145C received from host (LIS # 2011)."/>
    <x v="74"/>
    <x v="1"/>
    <x v="26"/>
    <d v="1899-12-30T12:05:39"/>
    <s v="LIS"/>
    <x v="0"/>
    <x v="2"/>
    <x v="6"/>
    <x v="0"/>
  </r>
  <r>
    <s v="Duplicated Test Order for 30700149B received from host (LIS # 131)."/>
    <x v="74"/>
    <x v="1"/>
    <x v="26"/>
    <d v="1899-12-30T12:05:39"/>
    <s v="LIS"/>
    <x v="0"/>
    <x v="2"/>
    <x v="6"/>
    <x v="0"/>
  </r>
  <r>
    <s v="Duplicated Test Order for 30700149B received from host (LIS # 2011)."/>
    <x v="74"/>
    <x v="1"/>
    <x v="26"/>
    <d v="1899-12-30T12:05:39"/>
    <s v="LIS"/>
    <x v="0"/>
    <x v="2"/>
    <x v="6"/>
    <x v="0"/>
  </r>
  <r>
    <s v="Duplicated Test Order for 30700161B received from host (LIS # 131)."/>
    <x v="74"/>
    <x v="1"/>
    <x v="26"/>
    <d v="1899-12-30T12:05:39"/>
    <s v="LIS"/>
    <x v="0"/>
    <x v="2"/>
    <x v="6"/>
    <x v="0"/>
  </r>
  <r>
    <s v="Duplicated Test Order for 30700161B received from host (LIS # 2011)."/>
    <x v="74"/>
    <x v="1"/>
    <x v="26"/>
    <d v="1899-12-30T12:05:40"/>
    <s v="LIS"/>
    <x v="0"/>
    <x v="2"/>
    <x v="6"/>
    <x v="0"/>
  </r>
  <r>
    <s v="Duplicated Test Order for 30700172C received from host (LIS # 131)."/>
    <x v="74"/>
    <x v="1"/>
    <x v="26"/>
    <d v="1899-12-30T12:05:40"/>
    <s v="LIS"/>
    <x v="0"/>
    <x v="2"/>
    <x v="6"/>
    <x v="0"/>
  </r>
  <r>
    <s v="Duplicated Test Order for 30700172C received from host (LIS # 2011)."/>
    <x v="74"/>
    <x v="1"/>
    <x v="26"/>
    <d v="1899-12-30T12:05:41"/>
    <s v="LIS"/>
    <x v="0"/>
    <x v="2"/>
    <x v="6"/>
    <x v="0"/>
  </r>
  <r>
    <s v="Duplicated Test Order for 30700191B received from host (LIS # 131)."/>
    <x v="74"/>
    <x v="1"/>
    <x v="26"/>
    <d v="1899-12-30T12:05:41"/>
    <s v="LIS"/>
    <x v="0"/>
    <x v="2"/>
    <x v="6"/>
    <x v="0"/>
  </r>
  <r>
    <s v="Duplicated Test Order for 30700198A received from host (LIS # 131)."/>
    <x v="74"/>
    <x v="1"/>
    <x v="26"/>
    <d v="1899-12-30T12:05:41"/>
    <s v="LIS"/>
    <x v="0"/>
    <x v="2"/>
    <x v="6"/>
    <x v="0"/>
  </r>
  <r>
    <s v="Duplicated Test Order for 30700198A received from host (LIS # 2101)."/>
    <x v="74"/>
    <x v="1"/>
    <x v="26"/>
    <d v="1899-12-30T12:05:41"/>
    <s v="LIS"/>
    <x v="0"/>
    <x v="2"/>
    <x v="6"/>
    <x v="0"/>
  </r>
  <r>
    <s v="Duplicated Test Order for 30700200A received from host (LIS # 131)."/>
    <x v="74"/>
    <x v="1"/>
    <x v="26"/>
    <d v="1899-12-30T12:05:42"/>
    <s v="LIS"/>
    <x v="0"/>
    <x v="2"/>
    <x v="6"/>
    <x v="0"/>
  </r>
  <r>
    <s v="Duplicated Test Order for 30700201C received from host (LIS # 131)."/>
    <x v="74"/>
    <x v="1"/>
    <x v="26"/>
    <d v="1899-12-30T12:05:42"/>
    <s v="LIS"/>
    <x v="0"/>
    <x v="2"/>
    <x v="6"/>
    <x v="0"/>
  </r>
  <r>
    <s v="Duplicated Test Order for 30700202C received from host (LIS # 131)."/>
    <x v="74"/>
    <x v="1"/>
    <x v="26"/>
    <d v="1899-12-30T12:05:42"/>
    <s v="LIS"/>
    <x v="0"/>
    <x v="2"/>
    <x v="6"/>
    <x v="0"/>
  </r>
  <r>
    <s v="Duplicated Test Order for 30700214A received from host (LIS # 131)."/>
    <x v="74"/>
    <x v="1"/>
    <x v="26"/>
    <d v="1899-12-30T12:05:42"/>
    <s v="LIS"/>
    <x v="0"/>
    <x v="2"/>
    <x v="6"/>
    <x v="0"/>
  </r>
  <r>
    <s v="Duplicated Test Order for 30700216C received from host (LIS # 131)."/>
    <x v="74"/>
    <x v="1"/>
    <x v="26"/>
    <d v="1899-12-30T12:05:42"/>
    <s v="LIS"/>
    <x v="0"/>
    <x v="2"/>
    <x v="6"/>
    <x v="0"/>
  </r>
  <r>
    <s v="Duplicated Test Order for 30700218B received from host (LIS # 131)."/>
    <x v="74"/>
    <x v="1"/>
    <x v="26"/>
    <d v="1899-12-30T12:05:42"/>
    <s v="LIS"/>
    <x v="0"/>
    <x v="2"/>
    <x v="6"/>
    <x v="0"/>
  </r>
  <r>
    <s v="Duplicated Test Order for 30700223A received from host (LIS # 131)."/>
    <x v="74"/>
    <x v="1"/>
    <x v="26"/>
    <d v="1899-12-30T12:05:43"/>
    <s v="LIS"/>
    <x v="0"/>
    <x v="2"/>
    <x v="6"/>
    <x v="0"/>
  </r>
  <r>
    <s v="Duplicated Test Order for 30700226A received from host (LIS # 131)."/>
    <x v="74"/>
    <x v="1"/>
    <x v="26"/>
    <d v="1899-12-30T12:05:43"/>
    <s v="LIS"/>
    <x v="0"/>
    <x v="2"/>
    <x v="6"/>
    <x v="0"/>
  </r>
  <r>
    <s v="Duplicated Test Order for 30700227C received from host (LIS # 131)."/>
    <x v="74"/>
    <x v="1"/>
    <x v="26"/>
    <d v="1899-12-30T12:05:43"/>
    <s v="LIS"/>
    <x v="0"/>
    <x v="2"/>
    <x v="6"/>
    <x v="0"/>
  </r>
  <r>
    <s v="Duplicated Test Order for 30700229C received from host (LIS # 131)."/>
    <x v="74"/>
    <x v="1"/>
    <x v="26"/>
    <d v="1899-12-30T12:05:43"/>
    <s v="LIS"/>
    <x v="0"/>
    <x v="2"/>
    <x v="6"/>
    <x v="0"/>
  </r>
  <r>
    <s v="Duplicated Test Order for 30700235C received from host (LIS # 131)."/>
    <x v="74"/>
    <x v="1"/>
    <x v="26"/>
    <d v="1899-12-30T12:05:43"/>
    <s v="LIS"/>
    <x v="0"/>
    <x v="2"/>
    <x v="6"/>
    <x v="0"/>
  </r>
  <r>
    <s v="Duplicated Test Order for 30700236C received from host (LIS # 131)."/>
    <x v="74"/>
    <x v="1"/>
    <x v="26"/>
    <d v="1899-12-30T12:05:43"/>
    <s v="LIS"/>
    <x v="0"/>
    <x v="2"/>
    <x v="6"/>
    <x v="0"/>
  </r>
  <r>
    <s v="Duplicated Test Order for 30700240A received from host (LIS # 131)."/>
    <x v="74"/>
    <x v="1"/>
    <x v="26"/>
    <d v="1899-12-30T12:05:43"/>
    <s v="LIS"/>
    <x v="0"/>
    <x v="2"/>
    <x v="6"/>
    <x v="0"/>
  </r>
  <r>
    <s v="Duplicated Test Order for 30700242A received from host (LIS # 131)."/>
    <x v="74"/>
    <x v="1"/>
    <x v="26"/>
    <d v="1899-12-30T12:05:44"/>
    <s v="LIS"/>
    <x v="0"/>
    <x v="2"/>
    <x v="6"/>
    <x v="0"/>
  </r>
  <r>
    <s v="Duplicated Test Order for 30700245B received from host (LIS # 131)."/>
    <x v="74"/>
    <x v="1"/>
    <x v="26"/>
    <d v="1899-12-30T12:05:44"/>
    <s v="LIS"/>
    <x v="0"/>
    <x v="2"/>
    <x v="6"/>
    <x v="0"/>
  </r>
  <r>
    <s v="Duplicated Test Order for 30700254B received from host (LIS # 2101)."/>
    <x v="74"/>
    <x v="1"/>
    <x v="26"/>
    <d v="1899-12-30T12:05:44"/>
    <s v="LIS"/>
    <x v="0"/>
    <x v="2"/>
    <x v="6"/>
    <x v="0"/>
  </r>
  <r>
    <s v="Duplicated Test Order for 30700260B received from host (LIS # 131)."/>
    <x v="74"/>
    <x v="1"/>
    <x v="26"/>
    <d v="1899-12-30T12:05:44"/>
    <s v="LIS"/>
    <x v="0"/>
    <x v="2"/>
    <x v="6"/>
    <x v="0"/>
  </r>
  <r>
    <s v="Duplicated Test Order for 30700260B received from host (LIS # 2011)."/>
    <x v="74"/>
    <x v="1"/>
    <x v="26"/>
    <d v="1899-12-30T12:05:44"/>
    <s v="LIS"/>
    <x v="0"/>
    <x v="2"/>
    <x v="6"/>
    <x v="0"/>
  </r>
  <r>
    <s v="Duplicated Test Order for 30700260B received from host (LIS # 2241)."/>
    <x v="74"/>
    <x v="1"/>
    <x v="26"/>
    <d v="1899-12-30T12:05:45"/>
    <s v="LIS"/>
    <x v="0"/>
    <x v="2"/>
    <x v="6"/>
    <x v="0"/>
  </r>
  <r>
    <s v="Duplicated Test Order for 30700271C received from host (LIS # 131)."/>
    <x v="74"/>
    <x v="1"/>
    <x v="26"/>
    <d v="1899-12-30T12:05:45"/>
    <s v="LIS"/>
    <x v="0"/>
    <x v="2"/>
    <x v="6"/>
    <x v="0"/>
  </r>
  <r>
    <s v="Duplicated Test Order for 30700274A received from host (LIS # 131)."/>
    <x v="74"/>
    <x v="1"/>
    <x v="26"/>
    <d v="1899-12-30T12:05:45"/>
    <s v="LIS"/>
    <x v="0"/>
    <x v="2"/>
    <x v="6"/>
    <x v="0"/>
  </r>
  <r>
    <s v="Duplicated Test Order for 30700277C received from host (LIS # 131)."/>
    <x v="74"/>
    <x v="1"/>
    <x v="26"/>
    <d v="1899-12-30T12:05:45"/>
    <s v="LIS"/>
    <x v="0"/>
    <x v="2"/>
    <x v="6"/>
    <x v="0"/>
  </r>
  <r>
    <s v="Duplicated Test Order for 30700289C received from host (LIS # 2101)."/>
    <x v="74"/>
    <x v="1"/>
    <x v="26"/>
    <d v="1899-12-30T12:05:45"/>
    <s v="LIS"/>
    <x v="0"/>
    <x v="2"/>
    <x v="6"/>
    <x v="0"/>
  </r>
  <r>
    <s v="Duplicated Test Order for 30700290A received from host (LIS # 131)."/>
    <x v="74"/>
    <x v="1"/>
    <x v="26"/>
    <d v="1899-12-30T12:05:45"/>
    <s v="LIS"/>
    <x v="0"/>
    <x v="2"/>
    <x v="6"/>
    <x v="0"/>
  </r>
  <r>
    <s v="Duplicated Test Order for 30700318A received from host (LIS # 131)."/>
    <x v="74"/>
    <x v="1"/>
    <x v="26"/>
    <d v="1899-12-30T12:05:46"/>
    <s v="LIS"/>
    <x v="0"/>
    <x v="2"/>
    <x v="6"/>
    <x v="0"/>
  </r>
  <r>
    <s v="Duplicated Test Order for 30700344A received from host (LIS # 131)."/>
    <x v="74"/>
    <x v="1"/>
    <x v="26"/>
    <d v="1899-12-30T12:05:46"/>
    <s v="LIS"/>
    <x v="0"/>
    <x v="2"/>
    <x v="6"/>
    <x v="0"/>
  </r>
  <r>
    <s v="Duplicated Test Order for 30700355A received from host (LIS # 131)."/>
    <x v="74"/>
    <x v="1"/>
    <x v="26"/>
    <d v="1899-12-30T12:05:46"/>
    <s v="LIS"/>
    <x v="0"/>
    <x v="2"/>
    <x v="6"/>
    <x v="0"/>
  </r>
  <r>
    <s v="Duplicated Test Order for 30700355A received from host (LIS # 921)."/>
    <x v="74"/>
    <x v="1"/>
    <x v="26"/>
    <d v="1899-12-30T12:05:46"/>
    <s v="LIS"/>
    <x v="0"/>
    <x v="2"/>
    <x v="6"/>
    <x v="0"/>
  </r>
  <r>
    <s v="Duplicated Test Order for 30700355A received from host (LIS # 2101)."/>
    <x v="74"/>
    <x v="1"/>
    <x v="26"/>
    <d v="1899-12-30T12:05:47"/>
    <s v="LIS"/>
    <x v="0"/>
    <x v="2"/>
    <x v="6"/>
    <x v="0"/>
  </r>
  <r>
    <s v="Duplicated Test Order for 30700370C received from host (LIS # 131)."/>
    <x v="74"/>
    <x v="1"/>
    <x v="26"/>
    <d v="1899-12-30T12:05:47"/>
    <s v="LIS"/>
    <x v="0"/>
    <x v="2"/>
    <x v="6"/>
    <x v="0"/>
  </r>
  <r>
    <s v="Duplicated Test Order for 30700375C received from host (LIS # 2101)."/>
    <x v="74"/>
    <x v="1"/>
    <x v="26"/>
    <d v="1899-12-30T12:05:47"/>
    <s v="LIS"/>
    <x v="0"/>
    <x v="2"/>
    <x v="6"/>
    <x v="0"/>
  </r>
  <r>
    <s v="Duplicated Test Order for 30700379B received from host (LIS # 131)."/>
    <x v="74"/>
    <x v="1"/>
    <x v="26"/>
    <d v="1899-12-30T12:05:47"/>
    <s v="LIS"/>
    <x v="0"/>
    <x v="2"/>
    <x v="6"/>
    <x v="0"/>
  </r>
  <r>
    <s v="Duplicated Test Order for 30700380C received from host (LIS # 131)."/>
    <x v="74"/>
    <x v="1"/>
    <x v="26"/>
    <d v="1899-12-30T12:05:47"/>
    <s v="LIS"/>
    <x v="0"/>
    <x v="2"/>
    <x v="6"/>
    <x v="0"/>
  </r>
  <r>
    <s v="Duplicated Test Order for 30700401C received from host (LIS # 131)."/>
    <x v="74"/>
    <x v="1"/>
    <x v="26"/>
    <d v="1899-12-30T12:05:48"/>
    <s v="LIS"/>
    <x v="0"/>
    <x v="2"/>
    <x v="6"/>
    <x v="0"/>
  </r>
  <r>
    <s v="Duplicated Test Order for 30700406A received from host (LIS # 2241)."/>
    <x v="74"/>
    <x v="1"/>
    <x v="26"/>
    <d v="1899-12-30T12:05:48"/>
    <s v="LIS"/>
    <x v="0"/>
    <x v="2"/>
    <x v="6"/>
    <x v="0"/>
  </r>
  <r>
    <s v="Duplicated Test Order for 30700412C received from host (LIS # 131)."/>
    <x v="74"/>
    <x v="1"/>
    <x v="26"/>
    <d v="1899-12-30T12:05:48"/>
    <s v="LIS"/>
    <x v="0"/>
    <x v="2"/>
    <x v="6"/>
    <x v="0"/>
  </r>
  <r>
    <s v="Duplicated Test Order for 30700412C received from host (LIS # 921)."/>
    <x v="74"/>
    <x v="1"/>
    <x v="26"/>
    <d v="1899-12-30T12:05:48"/>
    <s v="LIS"/>
    <x v="0"/>
    <x v="2"/>
    <x v="6"/>
    <x v="0"/>
  </r>
  <r>
    <s v="Duplicated Test Order for 30700417A received from host (LIS # 131)."/>
    <x v="74"/>
    <x v="1"/>
    <x v="26"/>
    <d v="1899-12-30T12:05:49"/>
    <s v="LIS"/>
    <x v="0"/>
    <x v="2"/>
    <x v="6"/>
    <x v="0"/>
  </r>
  <r>
    <s v="Duplicated Test Order for 30700417A received from host (LIS # 921)."/>
    <x v="74"/>
    <x v="1"/>
    <x v="26"/>
    <d v="1899-12-30T12:05:49"/>
    <s v="LIS"/>
    <x v="0"/>
    <x v="2"/>
    <x v="6"/>
    <x v="0"/>
  </r>
  <r>
    <s v="Duplicated Test Order for 30700419D received from host (LIS # 131)."/>
    <x v="74"/>
    <x v="1"/>
    <x v="26"/>
    <d v="1899-12-30T12:05:49"/>
    <s v="LIS"/>
    <x v="0"/>
    <x v="2"/>
    <x v="6"/>
    <x v="0"/>
  </r>
  <r>
    <s v="Duplicated Test Order for 30700426A received from host (LIS # 131)."/>
    <x v="74"/>
    <x v="1"/>
    <x v="26"/>
    <d v="1899-12-30T12:05:49"/>
    <s v="LIS"/>
    <x v="0"/>
    <x v="2"/>
    <x v="6"/>
    <x v="0"/>
  </r>
  <r>
    <s v="Duplicated Test Order for 30700426A received from host (LIS # 921)."/>
    <x v="74"/>
    <x v="1"/>
    <x v="26"/>
    <d v="1899-12-30T12:05:49"/>
    <s v="LIS"/>
    <x v="0"/>
    <x v="2"/>
    <x v="6"/>
    <x v="0"/>
  </r>
  <r>
    <s v="Duplicated Test Order for 30700438A received from host (LIS # 2011)."/>
    <x v="74"/>
    <x v="1"/>
    <x v="26"/>
    <d v="1899-12-30T12:05:49"/>
    <s v="LIS"/>
    <x v="0"/>
    <x v="2"/>
    <x v="6"/>
    <x v="0"/>
  </r>
  <r>
    <s v="Duplicated Test Order for 30700438A received from host (LIS # 2241)."/>
    <x v="74"/>
    <x v="1"/>
    <x v="26"/>
    <d v="1899-12-30T12:05:50"/>
    <s v="LIS"/>
    <x v="0"/>
    <x v="2"/>
    <x v="6"/>
    <x v="0"/>
  </r>
  <r>
    <s v="Duplicated Test Order for 30700444A received from host (LIS # 2241)."/>
    <x v="74"/>
    <x v="1"/>
    <x v="26"/>
    <d v="1899-12-30T12:05:50"/>
    <s v="LIS"/>
    <x v="0"/>
    <x v="2"/>
    <x v="6"/>
    <x v="0"/>
  </r>
  <r>
    <s v="Duplicated Test Order for 30700445A received from host (LIS # 2101)."/>
    <x v="74"/>
    <x v="1"/>
    <x v="26"/>
    <d v="1899-12-30T12:05:50"/>
    <s v="LIS"/>
    <x v="0"/>
    <x v="2"/>
    <x v="6"/>
    <x v="0"/>
  </r>
  <r>
    <s v="Duplicated Test Order for 30700446B received from host (LIS # 2241)."/>
    <x v="74"/>
    <x v="1"/>
    <x v="26"/>
    <d v="1899-12-30T12:05:50"/>
    <s v="LIS"/>
    <x v="0"/>
    <x v="2"/>
    <x v="6"/>
    <x v="0"/>
  </r>
  <r>
    <s v="Duplicated Test Order for 30700452A received from host (LIS # 131)."/>
    <x v="74"/>
    <x v="1"/>
    <x v="26"/>
    <d v="1899-12-30T12:05:50"/>
    <s v="LIS"/>
    <x v="0"/>
    <x v="2"/>
    <x v="6"/>
    <x v="0"/>
  </r>
  <r>
    <s v="Duplicated Test Order for 30700469A received from host (LIS # 131)."/>
    <x v="74"/>
    <x v="1"/>
    <x v="26"/>
    <d v="1899-12-30T12:05:50"/>
    <s v="LIS"/>
    <x v="0"/>
    <x v="2"/>
    <x v="6"/>
    <x v="0"/>
  </r>
  <r>
    <s v="Duplicated Test Order for 30700469A received from host (LIS # 2011)."/>
    <x v="74"/>
    <x v="1"/>
    <x v="26"/>
    <d v="1899-12-30T12:05:50"/>
    <s v="LIS"/>
    <x v="0"/>
    <x v="2"/>
    <x v="6"/>
    <x v="0"/>
  </r>
  <r>
    <s v="Duplicated Test Order for 30700470B received from host (LIS # 131)."/>
    <x v="74"/>
    <x v="1"/>
    <x v="26"/>
    <d v="1899-12-30T12:05:51"/>
    <s v="LIS"/>
    <x v="0"/>
    <x v="2"/>
    <x v="6"/>
    <x v="0"/>
  </r>
  <r>
    <s v="Duplicated Test Order for 30700470B received from host (LIS # 921)."/>
    <x v="74"/>
    <x v="1"/>
    <x v="26"/>
    <d v="1899-12-30T12:05:51"/>
    <s v="LIS"/>
    <x v="0"/>
    <x v="2"/>
    <x v="6"/>
    <x v="0"/>
  </r>
  <r>
    <s v="Duplicated Test Order for 30700471A received from host (LIS # 131)."/>
    <x v="74"/>
    <x v="1"/>
    <x v="26"/>
    <d v="1899-12-30T12:05:51"/>
    <s v="LIS"/>
    <x v="0"/>
    <x v="2"/>
    <x v="6"/>
    <x v="0"/>
  </r>
  <r>
    <s v="Duplicated Test Order for 30700471A received from host (LIS # 2011)."/>
    <x v="74"/>
    <x v="1"/>
    <x v="26"/>
    <d v="1899-12-30T12:05:51"/>
    <s v="LIS"/>
    <x v="0"/>
    <x v="2"/>
    <x v="6"/>
    <x v="0"/>
  </r>
  <r>
    <s v="Duplicated Test Order for 30700491A received from host (LIS # 131)."/>
    <x v="74"/>
    <x v="1"/>
    <x v="26"/>
    <d v="1899-12-30T12:05:51"/>
    <s v="LIS"/>
    <x v="0"/>
    <x v="2"/>
    <x v="6"/>
    <x v="0"/>
  </r>
  <r>
    <s v="Duplicated Test Order for 30700498A received from host (LIS # 2101)."/>
    <x v="74"/>
    <x v="1"/>
    <x v="26"/>
    <d v="1899-12-30T12:05:51"/>
    <s v="LIS"/>
    <x v="0"/>
    <x v="2"/>
    <x v="6"/>
    <x v="0"/>
  </r>
  <r>
    <s v="Duplicated Test Order for 30700503A received from host (LIS # 131)."/>
    <x v="74"/>
    <x v="1"/>
    <x v="26"/>
    <d v="1899-12-30T12:05:52"/>
    <s v="LIS"/>
    <x v="0"/>
    <x v="2"/>
    <x v="6"/>
    <x v="0"/>
  </r>
  <r>
    <s v="Duplicated Test Order for 30700503A received from host (LIS # 2101)."/>
    <x v="74"/>
    <x v="1"/>
    <x v="26"/>
    <d v="1899-12-30T12:05:52"/>
    <s v="LIS"/>
    <x v="0"/>
    <x v="2"/>
    <x v="6"/>
    <x v="0"/>
  </r>
  <r>
    <s v="Duplicated Test Order for 30700511A received from host (LIS # 2241)."/>
    <x v="74"/>
    <x v="1"/>
    <x v="26"/>
    <d v="1899-12-30T12:05:52"/>
    <s v="LIS"/>
    <x v="0"/>
    <x v="2"/>
    <x v="6"/>
    <x v="0"/>
  </r>
  <r>
    <s v="Duplicated Test Order for 30700553B received from host (LIS # 131)."/>
    <x v="74"/>
    <x v="1"/>
    <x v="26"/>
    <d v="1899-12-30T12:05:52"/>
    <s v="LIS"/>
    <x v="0"/>
    <x v="2"/>
    <x v="6"/>
    <x v="0"/>
  </r>
  <r>
    <s v="Duplicated Test Order for 30700566C received from host (LIS # 131)."/>
    <x v="74"/>
    <x v="1"/>
    <x v="26"/>
    <d v="1899-12-30T12:05:52"/>
    <s v="LIS"/>
    <x v="0"/>
    <x v="2"/>
    <x v="6"/>
    <x v="0"/>
  </r>
  <r>
    <s v="Duplicated Test Order for 30700569A received from host (LIS # 131)."/>
    <x v="74"/>
    <x v="1"/>
    <x v="26"/>
    <d v="1899-12-30T12:05:52"/>
    <s v="LIS"/>
    <x v="0"/>
    <x v="2"/>
    <x v="6"/>
    <x v="0"/>
  </r>
  <r>
    <s v="Duplicated Test Order for 30700584C received from host (LIS # 131)."/>
    <x v="74"/>
    <x v="1"/>
    <x v="26"/>
    <d v="1899-12-30T12:05:52"/>
    <s v="LIS"/>
    <x v="0"/>
    <x v="2"/>
    <x v="6"/>
    <x v="0"/>
  </r>
  <r>
    <s v="Duplicated Test Order for 30700584C received from host (LIS # 921)."/>
    <x v="74"/>
    <x v="1"/>
    <x v="26"/>
    <d v="1899-12-30T12:05:53"/>
    <s v="LIS"/>
    <x v="0"/>
    <x v="2"/>
    <x v="6"/>
    <x v="0"/>
  </r>
  <r>
    <s v="Duplicated Test Order for 30700595A received from host (LIS # 131)."/>
    <x v="74"/>
    <x v="1"/>
    <x v="26"/>
    <d v="1899-12-30T12:05:53"/>
    <s v="LIS"/>
    <x v="0"/>
    <x v="2"/>
    <x v="6"/>
    <x v="0"/>
  </r>
  <r>
    <s v="Duplicated Test Order for 30700595A received from host (LIS # 2011)."/>
    <x v="74"/>
    <x v="1"/>
    <x v="26"/>
    <d v="1899-12-30T12:05:53"/>
    <s v="LIS"/>
    <x v="0"/>
    <x v="2"/>
    <x v="6"/>
    <x v="0"/>
  </r>
  <r>
    <s v="Duplicated Test Order for 30700608A received from host (LIS # 2101)."/>
    <x v="74"/>
    <x v="1"/>
    <x v="26"/>
    <d v="1899-12-30T12:05:53"/>
    <s v="LIS"/>
    <x v="0"/>
    <x v="2"/>
    <x v="6"/>
    <x v="0"/>
  </r>
  <r>
    <s v="Duplicated Test Order for 30700650A received from host (LIS # 131)."/>
    <x v="74"/>
    <x v="1"/>
    <x v="26"/>
    <d v="1899-12-30T12:05:53"/>
    <s v="LIS"/>
    <x v="0"/>
    <x v="2"/>
    <x v="6"/>
    <x v="0"/>
  </r>
  <r>
    <s v="Duplicated Test Order for 30700650A received from host (LIS # 2101)."/>
    <x v="74"/>
    <x v="1"/>
    <x v="26"/>
    <d v="1899-12-30T12:05:54"/>
    <s v="LIS"/>
    <x v="0"/>
    <x v="2"/>
    <x v="6"/>
    <x v="0"/>
  </r>
  <r>
    <s v="Duplicated Test Order for 30700673B received from host (LIS # 131)."/>
    <x v="74"/>
    <x v="1"/>
    <x v="26"/>
    <d v="1899-12-30T12:05:54"/>
    <s v="LIS"/>
    <x v="0"/>
    <x v="2"/>
    <x v="6"/>
    <x v="0"/>
  </r>
  <r>
    <s v="Duplicated Test Order for 30700679D received from host (LIS # 131)."/>
    <x v="74"/>
    <x v="1"/>
    <x v="26"/>
    <d v="1899-12-30T12:05:54"/>
    <s v="LIS"/>
    <x v="0"/>
    <x v="2"/>
    <x v="6"/>
    <x v="0"/>
  </r>
  <r>
    <s v="Duplicated Test Order for 30700729B received from host (LIS # 131)."/>
    <x v="74"/>
    <x v="1"/>
    <x v="26"/>
    <d v="1899-12-30T12:05:54"/>
    <s v="LIS"/>
    <x v="0"/>
    <x v="2"/>
    <x v="6"/>
    <x v="0"/>
  </r>
  <r>
    <s v="Duplicated Test Order for 30700729B received from host (LIS # 921)."/>
    <x v="74"/>
    <x v="1"/>
    <x v="26"/>
    <d v="1899-12-30T12:05:55"/>
    <s v="LIS"/>
    <x v="0"/>
    <x v="2"/>
    <x v="6"/>
    <x v="0"/>
  </r>
  <r>
    <s v="Duplicated Test Order for 30700730A received from host (LIS # 131)."/>
    <x v="74"/>
    <x v="1"/>
    <x v="26"/>
    <d v="1899-12-30T12:05:55"/>
    <s v="LIS"/>
    <x v="0"/>
    <x v="2"/>
    <x v="6"/>
    <x v="0"/>
  </r>
  <r>
    <s v="Duplicated Test Order for 30700843A received from host (LIS # 131)."/>
    <x v="74"/>
    <x v="1"/>
    <x v="26"/>
    <d v="1899-12-30T12:05:55"/>
    <s v="LIS"/>
    <x v="0"/>
    <x v="2"/>
    <x v="6"/>
    <x v="0"/>
  </r>
  <r>
    <s v="Duplicated Test Order for 30700869A received from host (LIS # 131)."/>
    <x v="74"/>
    <x v="1"/>
    <x v="26"/>
    <d v="1899-12-30T12:05:55"/>
    <s v="LIS"/>
    <x v="0"/>
    <x v="2"/>
    <x v="6"/>
    <x v="0"/>
  </r>
  <r>
    <s v="Duplicated Test Order for 30700885A received from host (LIS # 131)."/>
    <x v="74"/>
    <x v="1"/>
    <x v="26"/>
    <d v="1899-12-30T12:05:55"/>
    <s v="LIS"/>
    <x v="0"/>
    <x v="2"/>
    <x v="6"/>
    <x v="0"/>
  </r>
  <r>
    <s v="Duplicated Test Order for 30700886C received from host (LIS # 131)."/>
    <x v="74"/>
    <x v="1"/>
    <x v="26"/>
    <d v="1899-12-30T12:05:55"/>
    <s v="LIS"/>
    <x v="0"/>
    <x v="2"/>
    <x v="6"/>
    <x v="0"/>
  </r>
  <r>
    <s v="Duplicated Test Order for 30700894A received from host (LIS # 131)."/>
    <x v="74"/>
    <x v="1"/>
    <x v="26"/>
    <d v="1899-12-30T12:05:55"/>
    <s v="LIS"/>
    <x v="0"/>
    <x v="2"/>
    <x v="6"/>
    <x v="0"/>
  </r>
  <r>
    <s v="Duplicated Test Order for 30700903A received from host (LIS # 131)."/>
    <x v="74"/>
    <x v="1"/>
    <x v="26"/>
    <d v="1899-12-30T12:05:55"/>
    <s v="LIS"/>
    <x v="0"/>
    <x v="2"/>
    <x v="6"/>
    <x v="0"/>
  </r>
  <r>
    <s v="Duplicated Test Order for 30700905A received from host (LIS # 131)."/>
    <x v="74"/>
    <x v="1"/>
    <x v="26"/>
    <d v="1899-12-30T12:05:55"/>
    <s v="LIS"/>
    <x v="0"/>
    <x v="2"/>
    <x v="6"/>
    <x v="0"/>
  </r>
  <r>
    <s v="Duplicated Test Order for 30700924B received from host (LIS # 131)."/>
    <x v="74"/>
    <x v="1"/>
    <x v="26"/>
    <d v="1899-12-30T12:05:55"/>
    <s v="LIS"/>
    <x v="0"/>
    <x v="2"/>
    <x v="6"/>
    <x v="0"/>
  </r>
  <r>
    <s v="Duplicated Test Order for 30700988A received from host (LIS # 2241)."/>
    <x v="74"/>
    <x v="1"/>
    <x v="26"/>
    <d v="1899-12-30T12:05:55"/>
    <s v="LIS"/>
    <x v="0"/>
    <x v="2"/>
    <x v="6"/>
    <x v="0"/>
  </r>
  <r>
    <s v="Duplicated Test Order for 30701007A received from host (LIS # 131)."/>
    <x v="74"/>
    <x v="1"/>
    <x v="26"/>
    <d v="1899-12-30T12:05:55"/>
    <s v="LIS"/>
    <x v="0"/>
    <x v="2"/>
    <x v="6"/>
    <x v="0"/>
  </r>
  <r>
    <s v="Duplicated Test Order for 30701009D received from host (LIS # 131)."/>
    <x v="74"/>
    <x v="1"/>
    <x v="26"/>
    <d v="1899-12-30T12:05:55"/>
    <s v="LIS"/>
    <x v="0"/>
    <x v="2"/>
    <x v="6"/>
    <x v="0"/>
  </r>
  <r>
    <s v="Duplicated Test Order for 30701009D received from host (LIS # 921)."/>
    <x v="74"/>
    <x v="1"/>
    <x v="26"/>
    <d v="1899-12-30T12:05:55"/>
    <s v="LIS"/>
    <x v="0"/>
    <x v="2"/>
    <x v="6"/>
    <x v="0"/>
  </r>
  <r>
    <s v="Duplicated Test Order for 30701041A received from host (LIS # 921)."/>
    <x v="74"/>
    <x v="1"/>
    <x v="26"/>
    <d v="1899-12-30T12:05:56"/>
    <s v="LIS"/>
    <x v="0"/>
    <x v="2"/>
    <x v="6"/>
    <x v="0"/>
  </r>
  <r>
    <s v="Duplicated Test Order for 30701041A received from host (LIS # 2101)."/>
    <x v="74"/>
    <x v="1"/>
    <x v="26"/>
    <d v="1899-12-30T12:05:56"/>
    <s v="LIS"/>
    <x v="0"/>
    <x v="2"/>
    <x v="6"/>
    <x v="0"/>
  </r>
  <r>
    <s v="Duplicated Test Order for 30701050A received from host (LIS # 131)."/>
    <x v="74"/>
    <x v="1"/>
    <x v="26"/>
    <d v="1899-12-30T12:05:56"/>
    <s v="LIS"/>
    <x v="0"/>
    <x v="2"/>
    <x v="6"/>
    <x v="0"/>
  </r>
  <r>
    <s v="Duplicated Test Order for 30701050A received from host (LIS # 921)."/>
    <x v="74"/>
    <x v="1"/>
    <x v="26"/>
    <d v="1899-12-30T12:05:56"/>
    <s v="LIS"/>
    <x v="0"/>
    <x v="2"/>
    <x v="6"/>
    <x v="0"/>
  </r>
  <r>
    <s v="Duplicated Test Order for 30701082B received from host (LIS # 131)."/>
    <x v="74"/>
    <x v="1"/>
    <x v="26"/>
    <d v="1899-12-30T12:05:56"/>
    <s v="LIS"/>
    <x v="0"/>
    <x v="2"/>
    <x v="6"/>
    <x v="0"/>
  </r>
  <r>
    <s v="Duplicated Test Order for 30701083A received from host (LIS # 131)."/>
    <x v="74"/>
    <x v="1"/>
    <x v="26"/>
    <d v="1899-12-30T12:05:56"/>
    <s v="LIS"/>
    <x v="0"/>
    <x v="2"/>
    <x v="6"/>
    <x v="0"/>
  </r>
  <r>
    <s v="Duplicated Test Order for 30701094A received from host (LIS # 131)."/>
    <x v="74"/>
    <x v="1"/>
    <x v="26"/>
    <d v="1899-12-30T12:05:56"/>
    <s v="LIS"/>
    <x v="0"/>
    <x v="2"/>
    <x v="6"/>
    <x v="0"/>
  </r>
  <r>
    <s v="Duplicated Test Order for 30701123C received from host (LIS # 131)."/>
    <x v="74"/>
    <x v="1"/>
    <x v="26"/>
    <d v="1899-12-30T12:05:56"/>
    <s v="LIS"/>
    <x v="0"/>
    <x v="2"/>
    <x v="6"/>
    <x v="0"/>
  </r>
  <r>
    <s v="Duplicated Test Order for 30701168A received from host (LIS # 131)."/>
    <x v="74"/>
    <x v="1"/>
    <x v="26"/>
    <d v="1899-12-30T12:05:56"/>
    <s v="LIS"/>
    <x v="0"/>
    <x v="2"/>
    <x v="6"/>
    <x v="0"/>
  </r>
  <r>
    <s v="Duplicated Test Order for 30701179A received from host (LIS # 131)."/>
    <x v="74"/>
    <x v="1"/>
    <x v="26"/>
    <d v="1899-12-30T12:05:56"/>
    <s v="LIS"/>
    <x v="0"/>
    <x v="2"/>
    <x v="6"/>
    <x v="0"/>
  </r>
  <r>
    <s v="Duplicated Test Order for 30701223C received from host (LIS # 131)."/>
    <x v="74"/>
    <x v="1"/>
    <x v="26"/>
    <d v="1899-12-30T12:05:56"/>
    <s v="LIS"/>
    <x v="0"/>
    <x v="2"/>
    <x v="6"/>
    <x v="0"/>
  </r>
  <r>
    <s v="Duplicated Test Order for 30701223C received from host (LIS # 921)."/>
    <x v="74"/>
    <x v="1"/>
    <x v="26"/>
    <d v="1899-12-30T12:05:56"/>
    <s v="LIS"/>
    <x v="0"/>
    <x v="2"/>
    <x v="6"/>
    <x v="0"/>
  </r>
  <r>
    <s v="Duplicated Test Order for 30701249A received from host (LIS # 2101)."/>
    <x v="74"/>
    <x v="1"/>
    <x v="26"/>
    <d v="1899-12-30T12:05:56"/>
    <s v="LIS"/>
    <x v="0"/>
    <x v="2"/>
    <x v="6"/>
    <x v="0"/>
  </r>
  <r>
    <s v="Duplicated Test Order for 30701250A received from host (LIS # 131)."/>
    <x v="74"/>
    <x v="1"/>
    <x v="26"/>
    <d v="1899-12-30T12:05:56"/>
    <s v="LIS"/>
    <x v="0"/>
    <x v="2"/>
    <x v="6"/>
    <x v="0"/>
  </r>
  <r>
    <s v="Duplicated Test Order for 30701305A received from host (LIS # 131)."/>
    <x v="74"/>
    <x v="1"/>
    <x v="26"/>
    <d v="1899-12-30T12:05:57"/>
    <s v="LIS"/>
    <x v="0"/>
    <x v="2"/>
    <x v="6"/>
    <x v="0"/>
  </r>
  <r>
    <s v="Duplicated Test Order for 30701343C received from host (LIS # 131)."/>
    <x v="74"/>
    <x v="1"/>
    <x v="26"/>
    <d v="1899-12-30T12:05:57"/>
    <s v="LIS"/>
    <x v="0"/>
    <x v="2"/>
    <x v="6"/>
    <x v="0"/>
  </r>
  <r>
    <s v="Duplicated Test Order for 30701375B received from host (LIS # 131)."/>
    <x v="74"/>
    <x v="1"/>
    <x v="26"/>
    <d v="1899-12-30T12:05:57"/>
    <s v="LIS"/>
    <x v="0"/>
    <x v="2"/>
    <x v="6"/>
    <x v="0"/>
  </r>
  <r>
    <s v="Duplicated Test Order for 30701375B received from host (LIS # 921)."/>
    <x v="74"/>
    <x v="1"/>
    <x v="26"/>
    <d v="1899-12-30T12:05:57"/>
    <s v="LIS"/>
    <x v="0"/>
    <x v="2"/>
    <x v="6"/>
    <x v="0"/>
  </r>
  <r>
    <s v="Duplicated Test Order for 30701375B received from host (LIS # 2011)."/>
    <x v="74"/>
    <x v="1"/>
    <x v="26"/>
    <d v="1899-12-30T12:05:57"/>
    <s v="LIS"/>
    <x v="0"/>
    <x v="2"/>
    <x v="6"/>
    <x v="0"/>
  </r>
  <r>
    <s v="Duplicated Test Order for 30601355A received from host (LIS # 2101)."/>
    <x v="74"/>
    <x v="1"/>
    <x v="26"/>
    <d v="1899-12-30T12:05:57"/>
    <s v="LIS"/>
    <x v="0"/>
    <x v="2"/>
    <x v="6"/>
    <x v="0"/>
  </r>
  <r>
    <s v="Duplicated Test Order for 30601478A received from host (LIS # 921)."/>
    <x v="74"/>
    <x v="1"/>
    <x v="26"/>
    <d v="1899-12-30T12:05:57"/>
    <s v="LIS"/>
    <x v="0"/>
    <x v="2"/>
    <x v="6"/>
    <x v="0"/>
  </r>
  <r>
    <s v="Duplicated Test Order for 30601493D received from host (LIS # 131)."/>
    <x v="74"/>
    <x v="1"/>
    <x v="26"/>
    <d v="1899-12-30T12:05:58"/>
    <s v="LIS"/>
    <x v="0"/>
    <x v="2"/>
    <x v="6"/>
    <x v="0"/>
  </r>
  <r>
    <s v="Duplicated Test Order for 30601493D received from host (LIS # 921)."/>
    <x v="74"/>
    <x v="1"/>
    <x v="26"/>
    <d v="1899-12-30T12:05:58"/>
    <s v="LIS"/>
    <x v="0"/>
    <x v="2"/>
    <x v="6"/>
    <x v="0"/>
  </r>
  <r>
    <s v="Duplicated Test Order for 30601493D received from host (LIS # 2101)."/>
    <x v="74"/>
    <x v="1"/>
    <x v="26"/>
    <d v="1899-12-30T12:05:58"/>
    <s v="LIS"/>
    <x v="0"/>
    <x v="2"/>
    <x v="6"/>
    <x v="0"/>
  </r>
  <r>
    <s v="Duplicated Test Order for 30601496A received from host (LIS # 131)."/>
    <x v="74"/>
    <x v="1"/>
    <x v="26"/>
    <d v="1899-12-30T12:05:58"/>
    <s v="LIS"/>
    <x v="0"/>
    <x v="2"/>
    <x v="6"/>
    <x v="0"/>
  </r>
  <r>
    <s v="Duplicated Test Order for 30601510A received from host (LIS # 131)."/>
    <x v="74"/>
    <x v="1"/>
    <x v="26"/>
    <d v="1899-12-30T12:05:59"/>
    <s v="LIS"/>
    <x v="0"/>
    <x v="2"/>
    <x v="6"/>
    <x v="0"/>
  </r>
  <r>
    <s v="Duplicated Test Order for 30601528A received from host (LIS # 131)."/>
    <x v="74"/>
    <x v="1"/>
    <x v="26"/>
    <d v="1899-12-30T12:05:59"/>
    <s v="LIS"/>
    <x v="0"/>
    <x v="2"/>
    <x v="6"/>
    <x v="0"/>
  </r>
  <r>
    <s v="Duplicated Test Order for 30601551A received from host (LIS # 131)."/>
    <x v="74"/>
    <x v="1"/>
    <x v="26"/>
    <d v="1899-12-30T12:05:59"/>
    <s v="LIS"/>
    <x v="0"/>
    <x v="2"/>
    <x v="6"/>
    <x v="0"/>
  </r>
  <r>
    <s v="Duplicated Test Order for 30601551A received from host (LIS # 921)."/>
    <x v="74"/>
    <x v="1"/>
    <x v="26"/>
    <d v="1899-12-30T12:05:59"/>
    <s v="LIS"/>
    <x v="0"/>
    <x v="2"/>
    <x v="6"/>
    <x v="0"/>
  </r>
  <r>
    <s v="Duplicated Test Order for 30601551A received from host (LIS # 2011)."/>
    <x v="74"/>
    <x v="1"/>
    <x v="26"/>
    <d v="1899-12-30T12:06:00"/>
    <s v="LIS"/>
    <x v="0"/>
    <x v="2"/>
    <x v="6"/>
    <x v="0"/>
  </r>
  <r>
    <s v="Duplicated Test Order for 30601553B received from host (LIS # 131)."/>
    <x v="74"/>
    <x v="1"/>
    <x v="26"/>
    <d v="1899-12-30T12:06:00"/>
    <s v="LIS"/>
    <x v="0"/>
    <x v="2"/>
    <x v="6"/>
    <x v="0"/>
  </r>
  <r>
    <s v="Duplicated Test Order for 30601559A received from host (LIS # 2241)."/>
    <x v="74"/>
    <x v="1"/>
    <x v="26"/>
    <d v="1899-12-30T12:06:00"/>
    <s v="LIS"/>
    <x v="0"/>
    <x v="2"/>
    <x v="6"/>
    <x v="0"/>
  </r>
  <r>
    <s v="Duplicated Test Order for 30601564D received from host (LIS # 131)."/>
    <x v="74"/>
    <x v="1"/>
    <x v="26"/>
    <d v="1899-12-30T12:06:00"/>
    <s v="LIS"/>
    <x v="0"/>
    <x v="2"/>
    <x v="6"/>
    <x v="0"/>
  </r>
  <r>
    <s v="Duplicated Test Order for 30601588A received from host (LIS # 131)."/>
    <x v="74"/>
    <x v="1"/>
    <x v="26"/>
    <d v="1899-12-30T12:06:00"/>
    <s v="LIS"/>
    <x v="0"/>
    <x v="2"/>
    <x v="6"/>
    <x v="0"/>
  </r>
  <r>
    <s v="Duplicated Test Order for 30601600C received from host (LIS # 131)."/>
    <x v="74"/>
    <x v="1"/>
    <x v="26"/>
    <d v="1899-12-30T12:06:00"/>
    <s v="LIS"/>
    <x v="0"/>
    <x v="2"/>
    <x v="6"/>
    <x v="0"/>
  </r>
  <r>
    <s v="Duplicated Test Order for 30601600C received from host (LIS # 921)."/>
    <x v="74"/>
    <x v="1"/>
    <x v="26"/>
    <d v="1899-12-30T12:06:01"/>
    <s v="LIS"/>
    <x v="0"/>
    <x v="2"/>
    <x v="6"/>
    <x v="0"/>
  </r>
  <r>
    <s v="Duplicated Test Order for 30601602A received from host (LIS # 921)."/>
    <x v="74"/>
    <x v="1"/>
    <x v="26"/>
    <d v="1899-12-30T12:06:01"/>
    <s v="LIS"/>
    <x v="0"/>
    <x v="2"/>
    <x v="6"/>
    <x v="0"/>
  </r>
  <r>
    <s v="Duplicated Test Order for 30601604A received from host (LIS # 2101)."/>
    <x v="74"/>
    <x v="1"/>
    <x v="26"/>
    <d v="1899-12-30T12:06:01"/>
    <s v="LIS"/>
    <x v="0"/>
    <x v="2"/>
    <x v="6"/>
    <x v="0"/>
  </r>
  <r>
    <s v="Duplicated Test Order for 30601606A received from host (LIS # 2101)."/>
    <x v="74"/>
    <x v="1"/>
    <x v="26"/>
    <d v="1899-12-30T12:06:01"/>
    <s v="LIS"/>
    <x v="0"/>
    <x v="2"/>
    <x v="6"/>
    <x v="0"/>
  </r>
  <r>
    <s v="Duplicated Test Order for 30601626A received from host (LIS # 131)."/>
    <x v="74"/>
    <x v="1"/>
    <x v="26"/>
    <d v="1899-12-30T12:06:01"/>
    <s v="LIS"/>
    <x v="0"/>
    <x v="2"/>
    <x v="6"/>
    <x v="0"/>
  </r>
  <r>
    <s v="Duplicated Test Order for 30601666A received from host (LIS # 131)."/>
    <x v="74"/>
    <x v="1"/>
    <x v="26"/>
    <d v="1899-12-30T12:06:01"/>
    <s v="LIS"/>
    <x v="0"/>
    <x v="2"/>
    <x v="6"/>
    <x v="0"/>
  </r>
  <r>
    <s v="Duplicated Test Order for 30601676A received from host (LIS # 2101)."/>
    <x v="74"/>
    <x v="1"/>
    <x v="26"/>
    <d v="1899-12-30T12:06:01"/>
    <s v="LIS"/>
    <x v="0"/>
    <x v="2"/>
    <x v="6"/>
    <x v="0"/>
  </r>
  <r>
    <s v="Duplicated Test Order for 30601773A received from host (LIS # 131)."/>
    <x v="74"/>
    <x v="1"/>
    <x v="26"/>
    <d v="1899-12-30T12:06:02"/>
    <s v="LIS"/>
    <x v="0"/>
    <x v="2"/>
    <x v="6"/>
    <x v="0"/>
  </r>
  <r>
    <s v="Duplicated Test Order for 30601773A received from host (LIS # 921)."/>
    <x v="74"/>
    <x v="1"/>
    <x v="26"/>
    <d v="1899-12-30T12:06:02"/>
    <s v="LIS"/>
    <x v="0"/>
    <x v="2"/>
    <x v="6"/>
    <x v="0"/>
  </r>
  <r>
    <s v="Duplicated Test Order for 30601773A received from host (LIS # 2011)."/>
    <x v="74"/>
    <x v="1"/>
    <x v="26"/>
    <d v="1899-12-30T12:06:02"/>
    <s v="LIS"/>
    <x v="0"/>
    <x v="2"/>
    <x v="6"/>
    <x v="0"/>
  </r>
  <r>
    <s v="Duplicated Test Order for 30601803A received from host (LIS # 131)."/>
    <x v="74"/>
    <x v="1"/>
    <x v="26"/>
    <d v="1899-12-30T12:06:03"/>
    <s v="LIS"/>
    <x v="0"/>
    <x v="2"/>
    <x v="6"/>
    <x v="0"/>
  </r>
  <r>
    <s v="Duplicated Test Order for 30601818A received from host (LIS # 2241)."/>
    <x v="74"/>
    <x v="1"/>
    <x v="26"/>
    <d v="1899-12-30T12:06:03"/>
    <s v="LIS"/>
    <x v="0"/>
    <x v="2"/>
    <x v="6"/>
    <x v="0"/>
  </r>
  <r>
    <s v="Duplicated Test Order for 30601845A received from host (LIS # 921)."/>
    <x v="74"/>
    <x v="1"/>
    <x v="26"/>
    <d v="1899-12-30T12:06:03"/>
    <s v="LIS"/>
    <x v="0"/>
    <x v="2"/>
    <x v="6"/>
    <x v="0"/>
  </r>
  <r>
    <s v="Duplicated Test Order for 30601874A received from host (LIS # 131)."/>
    <x v="74"/>
    <x v="1"/>
    <x v="26"/>
    <d v="1899-12-30T12:06:03"/>
    <s v="LIS"/>
    <x v="0"/>
    <x v="2"/>
    <x v="6"/>
    <x v="0"/>
  </r>
  <r>
    <s v="Duplicated Test Order for 30601874A received from host (LIS # 921)."/>
    <x v="74"/>
    <x v="1"/>
    <x v="26"/>
    <d v="1899-12-30T12:06:03"/>
    <s v="LIS"/>
    <x v="0"/>
    <x v="2"/>
    <x v="6"/>
    <x v="0"/>
  </r>
  <r>
    <s v="Duplicated Test Order for 30601882A received from host (LIS # 131)."/>
    <x v="74"/>
    <x v="1"/>
    <x v="26"/>
    <d v="1899-12-30T12:06:03"/>
    <s v="LIS"/>
    <x v="0"/>
    <x v="2"/>
    <x v="6"/>
    <x v="0"/>
  </r>
  <r>
    <s v="Duplicated Test Order for 30601907A received from host (LIS # 131)."/>
    <x v="74"/>
    <x v="1"/>
    <x v="26"/>
    <d v="1899-12-30T12:06:03"/>
    <s v="LIS"/>
    <x v="0"/>
    <x v="2"/>
    <x v="6"/>
    <x v="0"/>
  </r>
  <r>
    <s v="Duplicated Test Order for 30601913B received from host (LIS # 2241)."/>
    <x v="74"/>
    <x v="1"/>
    <x v="26"/>
    <d v="1899-12-30T12:06:04"/>
    <s v="LIS"/>
    <x v="0"/>
    <x v="2"/>
    <x v="6"/>
    <x v="0"/>
  </r>
  <r>
    <s v="Duplicated Test Order for 30601919C received from host (LIS # 131)."/>
    <x v="74"/>
    <x v="1"/>
    <x v="26"/>
    <d v="1899-12-30T12:06:04"/>
    <s v="LIS"/>
    <x v="0"/>
    <x v="2"/>
    <x v="6"/>
    <x v="0"/>
  </r>
  <r>
    <s v="Duplicated Test Order for 30601919C received from host (LIS # 921)."/>
    <x v="74"/>
    <x v="1"/>
    <x v="26"/>
    <d v="1899-12-30T12:06:04"/>
    <s v="LIS"/>
    <x v="0"/>
    <x v="2"/>
    <x v="6"/>
    <x v="0"/>
  </r>
  <r>
    <s v="Duplicated Test Order for 30601960A received from host (LIS # 131)."/>
    <x v="74"/>
    <x v="1"/>
    <x v="26"/>
    <d v="1899-12-30T12:06:04"/>
    <s v="LIS"/>
    <x v="0"/>
    <x v="2"/>
    <x v="6"/>
    <x v="0"/>
  </r>
  <r>
    <s v="Duplicated Test Order for 30601960A received from host (LIS # 921)."/>
    <x v="74"/>
    <x v="1"/>
    <x v="26"/>
    <d v="1899-12-30T12:06:05"/>
    <s v="LIS"/>
    <x v="0"/>
    <x v="2"/>
    <x v="6"/>
    <x v="0"/>
  </r>
  <r>
    <s v="Duplicated Test Order for 30602082B received from host (LIS # 131)."/>
    <x v="74"/>
    <x v="1"/>
    <x v="26"/>
    <d v="1899-12-30T12:06:05"/>
    <s v="LIS"/>
    <x v="0"/>
    <x v="2"/>
    <x v="6"/>
    <x v="0"/>
  </r>
  <r>
    <s v="Duplicated Test Order for 30602138A received from host (LIS # 131)."/>
    <x v="74"/>
    <x v="1"/>
    <x v="26"/>
    <d v="1899-12-30T12:06:05"/>
    <s v="LIS"/>
    <x v="0"/>
    <x v="2"/>
    <x v="6"/>
    <x v="0"/>
  </r>
  <r>
    <s v="Duplicated Test Order for 30602138A received from host (LIS # 921)."/>
    <x v="74"/>
    <x v="1"/>
    <x v="26"/>
    <d v="1899-12-30T12:06:05"/>
    <s v="LIS"/>
    <x v="0"/>
    <x v="2"/>
    <x v="6"/>
    <x v="0"/>
  </r>
  <r>
    <s v="Duplicated Test Order for 30602174C received from host (LIS # 131)."/>
    <x v="74"/>
    <x v="1"/>
    <x v="26"/>
    <d v="1899-12-30T12:06:05"/>
    <s v="LIS"/>
    <x v="0"/>
    <x v="2"/>
    <x v="6"/>
    <x v="0"/>
  </r>
  <r>
    <s v="Duplicated Test Order for 30602174C received from host (LIS # 921)."/>
    <x v="74"/>
    <x v="1"/>
    <x v="26"/>
    <d v="1899-12-30T12:06:06"/>
    <s v="LIS"/>
    <x v="0"/>
    <x v="2"/>
    <x v="6"/>
    <x v="0"/>
  </r>
  <r>
    <s v="Duplicated Test Order for 30602222C received from host (LIS # 131)."/>
    <x v="74"/>
    <x v="1"/>
    <x v="26"/>
    <d v="1899-12-30T12:06:06"/>
    <s v="LIS"/>
    <x v="0"/>
    <x v="2"/>
    <x v="6"/>
    <x v="0"/>
  </r>
  <r>
    <s v="Duplicated Test Order for 30602225C received from host (LIS # 131)."/>
    <x v="74"/>
    <x v="1"/>
    <x v="26"/>
    <d v="1899-12-30T12:06:06"/>
    <s v="LIS"/>
    <x v="0"/>
    <x v="2"/>
    <x v="6"/>
    <x v="0"/>
  </r>
  <r>
    <s v="Duplicated Test Order for 30602225C received from host (LIS # 921)."/>
    <x v="74"/>
    <x v="1"/>
    <x v="26"/>
    <d v="1899-12-30T12:06:06"/>
    <s v="LIS"/>
    <x v="0"/>
    <x v="2"/>
    <x v="6"/>
    <x v="0"/>
  </r>
  <r>
    <s v="Duplicated Test Order for 30602233A received from host (LIS # 2101)."/>
    <x v="74"/>
    <x v="1"/>
    <x v="26"/>
    <d v="1899-12-30T12:06:07"/>
    <s v="LIS"/>
    <x v="0"/>
    <x v="2"/>
    <x v="6"/>
    <x v="0"/>
  </r>
  <r>
    <s v="Duplicated Test Order for 30602249C received from host (LIS # 131)."/>
    <x v="74"/>
    <x v="1"/>
    <x v="26"/>
    <d v="1899-12-30T12:06:07"/>
    <s v="LIS"/>
    <x v="0"/>
    <x v="2"/>
    <x v="6"/>
    <x v="0"/>
  </r>
  <r>
    <s v="Duplicated Test Order for 30602249C received from host (LIS # 921)."/>
    <x v="74"/>
    <x v="1"/>
    <x v="26"/>
    <d v="1899-12-30T12:06:07"/>
    <s v="LIS"/>
    <x v="0"/>
    <x v="2"/>
    <x v="6"/>
    <x v="0"/>
  </r>
  <r>
    <s v="Duplicated Test Order for 30602251A received from host (LIS # 131)."/>
    <x v="74"/>
    <x v="1"/>
    <x v="26"/>
    <d v="1899-12-30T12:06:07"/>
    <s v="LIS"/>
    <x v="0"/>
    <x v="2"/>
    <x v="6"/>
    <x v="0"/>
  </r>
  <r>
    <s v="Duplicated Test Order for 30602251A received from host (LIS # 921)."/>
    <x v="74"/>
    <x v="1"/>
    <x v="26"/>
    <d v="1899-12-30T12:06:07"/>
    <s v="LIS"/>
    <x v="0"/>
    <x v="2"/>
    <x v="6"/>
    <x v="0"/>
  </r>
  <r>
    <s v="Duplicated Test Order for 30602286A received from host (LIS # 2011)."/>
    <x v="74"/>
    <x v="1"/>
    <x v="26"/>
    <d v="1899-12-30T12:06:07"/>
    <s v="LIS"/>
    <x v="0"/>
    <x v="2"/>
    <x v="6"/>
    <x v="0"/>
  </r>
  <r>
    <s v="Duplicated Test Order for 30602312B received from host (LIS # 131)."/>
    <x v="74"/>
    <x v="1"/>
    <x v="26"/>
    <d v="1899-12-30T12:06:07"/>
    <s v="LIS"/>
    <x v="0"/>
    <x v="2"/>
    <x v="6"/>
    <x v="0"/>
  </r>
  <r>
    <s v="Duplicated Test Order for 30602325B received from host (LIS # 131)."/>
    <x v="74"/>
    <x v="1"/>
    <x v="26"/>
    <d v="1899-12-30T12:06:08"/>
    <s v="LIS"/>
    <x v="0"/>
    <x v="2"/>
    <x v="6"/>
    <x v="0"/>
  </r>
  <r>
    <s v="Duplicated Test Order for 30602325B received from host (LIS # 921)."/>
    <x v="74"/>
    <x v="1"/>
    <x v="26"/>
    <d v="1899-12-30T12:06:08"/>
    <s v="LIS"/>
    <x v="0"/>
    <x v="2"/>
    <x v="6"/>
    <x v="0"/>
  </r>
  <r>
    <s v="Duplicated Test Order for 30602325B received from host (LIS # 2011)."/>
    <x v="74"/>
    <x v="1"/>
    <x v="26"/>
    <d v="1899-12-30T12:06:08"/>
    <s v="LIS"/>
    <x v="0"/>
    <x v="2"/>
    <x v="6"/>
    <x v="0"/>
  </r>
  <r>
    <s v="Duplicated Test Order for 30602332A received from host (LIS # 921)."/>
    <x v="74"/>
    <x v="1"/>
    <x v="26"/>
    <d v="1899-12-30T12:06:08"/>
    <s v="LIS"/>
    <x v="0"/>
    <x v="2"/>
    <x v="6"/>
    <x v="0"/>
  </r>
  <r>
    <s v="Duplicated Test Order for 30602345B received from host (LIS # 131)."/>
    <x v="74"/>
    <x v="1"/>
    <x v="26"/>
    <d v="1899-12-30T12:06:09"/>
    <s v="LIS"/>
    <x v="0"/>
    <x v="2"/>
    <x v="6"/>
    <x v="0"/>
  </r>
  <r>
    <s v="Duplicated Test Order for 30602345B received from host (LIS # 921)."/>
    <x v="74"/>
    <x v="1"/>
    <x v="26"/>
    <d v="1899-12-30T12:06:09"/>
    <s v="LIS"/>
    <x v="0"/>
    <x v="2"/>
    <x v="6"/>
    <x v="0"/>
  </r>
  <r>
    <s v="Duplicated Test Order for 30602363A received from host (LIS # 131)."/>
    <x v="74"/>
    <x v="1"/>
    <x v="26"/>
    <d v="1899-12-30T12:06:09"/>
    <s v="LIS"/>
    <x v="0"/>
    <x v="2"/>
    <x v="6"/>
    <x v="0"/>
  </r>
  <r>
    <s v="Duplicated Test Order for 30602382A received from host (LIS # 921)."/>
    <x v="74"/>
    <x v="1"/>
    <x v="26"/>
    <d v="1899-12-30T12:06:09"/>
    <s v="LIS"/>
    <x v="0"/>
    <x v="2"/>
    <x v="6"/>
    <x v="0"/>
  </r>
  <r>
    <s v="Duplicated Test Order for 30602414B received from host (LIS # 131)."/>
    <x v="74"/>
    <x v="1"/>
    <x v="26"/>
    <d v="1899-12-30T12:06:09"/>
    <s v="LIS"/>
    <x v="0"/>
    <x v="2"/>
    <x v="6"/>
    <x v="0"/>
  </r>
  <r>
    <s v="Duplicated Test Order for 30602476A received from host (LIS # 2101)."/>
    <x v="74"/>
    <x v="1"/>
    <x v="26"/>
    <d v="1899-12-30T12:06:10"/>
    <s v="LIS"/>
    <x v="0"/>
    <x v="2"/>
    <x v="6"/>
    <x v="0"/>
  </r>
  <r>
    <s v="Duplicated Test Order for 30602498A received from host (LIS # 131)."/>
    <x v="74"/>
    <x v="1"/>
    <x v="26"/>
    <d v="1899-12-30T12:06:10"/>
    <s v="LIS"/>
    <x v="0"/>
    <x v="2"/>
    <x v="6"/>
    <x v="0"/>
  </r>
  <r>
    <s v="Duplicated Test Order for 30602518A received from host (LIS # 131)."/>
    <x v="74"/>
    <x v="1"/>
    <x v="26"/>
    <d v="1899-12-30T12:06:10"/>
    <s v="LIS"/>
    <x v="0"/>
    <x v="2"/>
    <x v="6"/>
    <x v="0"/>
  </r>
  <r>
    <s v="Duplicated Test Order for 30602520B received from host (LIS # 131)."/>
    <x v="74"/>
    <x v="1"/>
    <x v="26"/>
    <d v="1899-12-30T12:06:10"/>
    <s v="LIS"/>
    <x v="0"/>
    <x v="2"/>
    <x v="6"/>
    <x v="0"/>
  </r>
  <r>
    <s v="Duplicated Test Order for 30602538B received from host (LIS # 131)."/>
    <x v="74"/>
    <x v="1"/>
    <x v="26"/>
    <d v="1899-12-30T12:06:10"/>
    <s v="LIS"/>
    <x v="0"/>
    <x v="2"/>
    <x v="6"/>
    <x v="0"/>
  </r>
  <r>
    <s v="Duplicated Test Order for 30602555C received from host (LIS # 131)."/>
    <x v="74"/>
    <x v="1"/>
    <x v="26"/>
    <d v="1899-12-30T12:06:10"/>
    <s v="LIS"/>
    <x v="0"/>
    <x v="2"/>
    <x v="6"/>
    <x v="0"/>
  </r>
  <r>
    <s v="Duplicated Test Order for 30602555C received from host (LIS # 2011)."/>
    <x v="74"/>
    <x v="1"/>
    <x v="26"/>
    <d v="1899-12-30T12:06:11"/>
    <s v="LIS"/>
    <x v="0"/>
    <x v="2"/>
    <x v="6"/>
    <x v="0"/>
  </r>
  <r>
    <s v="Duplicated Test Order for 30602558A received from host (LIS # 2101)."/>
    <x v="74"/>
    <x v="1"/>
    <x v="26"/>
    <d v="1899-12-30T12:06:11"/>
    <s v="LIS"/>
    <x v="0"/>
    <x v="2"/>
    <x v="6"/>
    <x v="0"/>
  </r>
  <r>
    <s v="Duplicated Test Order for 30602577A received from host (LIS # 131)."/>
    <x v="74"/>
    <x v="1"/>
    <x v="26"/>
    <d v="1899-12-30T12:06:11"/>
    <s v="LIS"/>
    <x v="0"/>
    <x v="2"/>
    <x v="6"/>
    <x v="0"/>
  </r>
  <r>
    <s v="Duplicated Test Order for 30602589A received from host (LIS # 131)."/>
    <x v="74"/>
    <x v="1"/>
    <x v="26"/>
    <d v="1899-12-30T12:06:11"/>
    <s v="LIS"/>
    <x v="0"/>
    <x v="2"/>
    <x v="6"/>
    <x v="0"/>
  </r>
  <r>
    <s v="Duplicated Test Order for 30602590A received from host (LIS # 131)."/>
    <x v="74"/>
    <x v="1"/>
    <x v="26"/>
    <d v="1899-12-30T12:06:11"/>
    <s v="LIS"/>
    <x v="0"/>
    <x v="2"/>
    <x v="6"/>
    <x v="0"/>
  </r>
  <r>
    <s v="Duplicated Test Order for 30602591B received from host (LIS # 131)."/>
    <x v="74"/>
    <x v="1"/>
    <x v="26"/>
    <d v="1899-12-30T12:06:11"/>
    <s v="LIS"/>
    <x v="0"/>
    <x v="2"/>
    <x v="6"/>
    <x v="0"/>
  </r>
  <r>
    <s v="Duplicated Test Order for 30602650C received from host (LIS # 131)."/>
    <x v="74"/>
    <x v="1"/>
    <x v="26"/>
    <d v="1899-12-30T12:06:12"/>
    <s v="LIS"/>
    <x v="0"/>
    <x v="2"/>
    <x v="6"/>
    <x v="0"/>
  </r>
  <r>
    <s v="Duplicated Test Order for 30602650C received from host (LIS # 921)."/>
    <x v="74"/>
    <x v="1"/>
    <x v="26"/>
    <d v="1899-12-30T12:06:12"/>
    <s v="LIS"/>
    <x v="0"/>
    <x v="2"/>
    <x v="6"/>
    <x v="0"/>
  </r>
  <r>
    <s v="Duplicated Test Order for 30602685A received from host (LIS # 2101)."/>
    <x v="74"/>
    <x v="1"/>
    <x v="26"/>
    <d v="1899-12-30T12:06:12"/>
    <s v="LIS"/>
    <x v="0"/>
    <x v="2"/>
    <x v="6"/>
    <x v="0"/>
  </r>
  <r>
    <s v="Duplicated Test Order for 30602690A received from host (LIS # 131)."/>
    <x v="74"/>
    <x v="1"/>
    <x v="26"/>
    <d v="1899-12-30T12:06:12"/>
    <s v="LIS"/>
    <x v="0"/>
    <x v="2"/>
    <x v="6"/>
    <x v="0"/>
  </r>
  <r>
    <s v="Duplicated Test Order for 30602694C received from host (LIS # 131)."/>
    <x v="74"/>
    <x v="1"/>
    <x v="26"/>
    <d v="1899-12-30T12:06:12"/>
    <s v="LIS"/>
    <x v="0"/>
    <x v="2"/>
    <x v="6"/>
    <x v="0"/>
  </r>
  <r>
    <s v="Duplicated Test Order for 30602694C received from host (LIS # 921)."/>
    <x v="74"/>
    <x v="1"/>
    <x v="26"/>
    <d v="1899-12-30T12:06:13"/>
    <s v="LIS"/>
    <x v="0"/>
    <x v="2"/>
    <x v="6"/>
    <x v="0"/>
  </r>
  <r>
    <s v="Duplicated Test Order for 30602750A received from host (LIS # 131)."/>
    <x v="74"/>
    <x v="1"/>
    <x v="26"/>
    <d v="1899-12-30T12:06:13"/>
    <s v="LIS"/>
    <x v="0"/>
    <x v="2"/>
    <x v="6"/>
    <x v="0"/>
  </r>
  <r>
    <s v="Duplicated Test Order for 30602750A received from host (LIS # 921)."/>
    <x v="74"/>
    <x v="1"/>
    <x v="26"/>
    <d v="1899-12-30T12:06:14"/>
    <s v="LIS"/>
    <x v="0"/>
    <x v="2"/>
    <x v="6"/>
    <x v="0"/>
  </r>
  <r>
    <s v="Duplicated Test Order for 30602750A received from host (LIS # 2011)."/>
    <x v="74"/>
    <x v="1"/>
    <x v="26"/>
    <d v="1899-12-30T12:06:14"/>
    <s v="LIS"/>
    <x v="0"/>
    <x v="2"/>
    <x v="6"/>
    <x v="0"/>
  </r>
  <r>
    <s v="Duplicated Test Order for 30602778B received from host (LIS # 131)."/>
    <x v="74"/>
    <x v="1"/>
    <x v="26"/>
    <d v="1899-12-30T12:06:14"/>
    <s v="LIS"/>
    <x v="0"/>
    <x v="2"/>
    <x v="6"/>
    <x v="0"/>
  </r>
  <r>
    <s v="Duplicated Test Order for 30602820C received from host (LIS # 131)."/>
    <x v="74"/>
    <x v="1"/>
    <x v="26"/>
    <d v="1899-12-30T12:06:15"/>
    <s v="LIS"/>
    <x v="0"/>
    <x v="2"/>
    <x v="6"/>
    <x v="0"/>
  </r>
  <r>
    <s v="Duplicated Test Order for 30602820C received from host (LIS # 921)."/>
    <x v="74"/>
    <x v="1"/>
    <x v="26"/>
    <d v="1899-12-30T12:06:15"/>
    <s v="LIS"/>
    <x v="0"/>
    <x v="2"/>
    <x v="6"/>
    <x v="0"/>
  </r>
  <r>
    <s v="Duplicated Test Order for 30602822C received from host (LIS # 131)."/>
    <x v="74"/>
    <x v="1"/>
    <x v="26"/>
    <d v="1899-12-30T12:06:15"/>
    <s v="LIS"/>
    <x v="0"/>
    <x v="2"/>
    <x v="6"/>
    <x v="0"/>
  </r>
  <r>
    <s v="Duplicated Test Order for 30602822C received from host (LIS # 921)."/>
    <x v="74"/>
    <x v="1"/>
    <x v="26"/>
    <d v="1899-12-30T12:06:15"/>
    <s v="LIS"/>
    <x v="0"/>
    <x v="2"/>
    <x v="6"/>
    <x v="0"/>
  </r>
  <r>
    <s v="Duplicated Test Order for 30602850D received from host (LIS # 131)."/>
    <x v="74"/>
    <x v="1"/>
    <x v="26"/>
    <d v="1899-12-30T12:06:15"/>
    <s v="LIS"/>
    <x v="0"/>
    <x v="2"/>
    <x v="6"/>
    <x v="0"/>
  </r>
  <r>
    <s v="Duplicated Test Order for 30602850D received from host (LIS # 921)."/>
    <x v="74"/>
    <x v="1"/>
    <x v="26"/>
    <d v="1899-12-30T12:06:15"/>
    <s v="LIS"/>
    <x v="0"/>
    <x v="2"/>
    <x v="6"/>
    <x v="0"/>
  </r>
  <r>
    <s v="Duplicated Test Order for 30602853B received from host (LIS # 131)."/>
    <x v="74"/>
    <x v="1"/>
    <x v="26"/>
    <d v="1899-12-30T12:06:16"/>
    <s v="LIS"/>
    <x v="0"/>
    <x v="2"/>
    <x v="6"/>
    <x v="0"/>
  </r>
  <r>
    <s v="Duplicated Test Order for 30602865A received from host (LIS # 131)."/>
    <x v="74"/>
    <x v="1"/>
    <x v="26"/>
    <d v="1899-12-30T12:06:16"/>
    <s v="LIS"/>
    <x v="0"/>
    <x v="2"/>
    <x v="6"/>
    <x v="0"/>
  </r>
  <r>
    <s v="Duplicated Test Order for 30602890C received from host (LIS # 131)."/>
    <x v="74"/>
    <x v="1"/>
    <x v="26"/>
    <d v="1899-12-30T12:06:16"/>
    <s v="LIS"/>
    <x v="0"/>
    <x v="2"/>
    <x v="6"/>
    <x v="0"/>
  </r>
  <r>
    <s v="Duplicated Test Order for 30602931A received from host (LIS # 2101)."/>
    <x v="74"/>
    <x v="1"/>
    <x v="26"/>
    <d v="1899-12-30T12:06:16"/>
    <s v="LIS"/>
    <x v="0"/>
    <x v="2"/>
    <x v="6"/>
    <x v="0"/>
  </r>
  <r>
    <s v="Duplicated Test Order for 30602941C received from host (LIS # 2241)."/>
    <x v="74"/>
    <x v="1"/>
    <x v="26"/>
    <d v="1899-12-30T12:06:16"/>
    <s v="LIS"/>
    <x v="0"/>
    <x v="2"/>
    <x v="6"/>
    <x v="0"/>
  </r>
  <r>
    <s v="Duplicated Test Order for 30602962A received from host (LIS # 2241)."/>
    <x v="74"/>
    <x v="1"/>
    <x v="26"/>
    <d v="1899-12-30T12:06:16"/>
    <s v="LIS"/>
    <x v="0"/>
    <x v="2"/>
    <x v="6"/>
    <x v="0"/>
  </r>
  <r>
    <s v="Duplicated Test Order for 30602964A received from host (LIS # 2241)."/>
    <x v="74"/>
    <x v="1"/>
    <x v="26"/>
    <d v="1899-12-30T12:06:16"/>
    <s v="LIS"/>
    <x v="0"/>
    <x v="2"/>
    <x v="6"/>
    <x v="0"/>
  </r>
  <r>
    <s v="Duplicated Test Order for 30602977C received from host (LIS # 131)."/>
    <x v="74"/>
    <x v="1"/>
    <x v="26"/>
    <d v="1899-12-30T12:06:17"/>
    <s v="LIS"/>
    <x v="0"/>
    <x v="2"/>
    <x v="6"/>
    <x v="0"/>
  </r>
  <r>
    <s v="Duplicated Test Order for 30602977C received from host (LIS # 921)."/>
    <x v="74"/>
    <x v="1"/>
    <x v="26"/>
    <d v="1899-12-30T12:06:17"/>
    <s v="LIS"/>
    <x v="0"/>
    <x v="2"/>
    <x v="6"/>
    <x v="0"/>
  </r>
  <r>
    <s v="Duplicated Test Order for 30602977C received from host (LIS # 2011)."/>
    <x v="74"/>
    <x v="1"/>
    <x v="26"/>
    <d v="1899-12-30T12:06:18"/>
    <s v="LIS"/>
    <x v="0"/>
    <x v="2"/>
    <x v="6"/>
    <x v="0"/>
  </r>
  <r>
    <s v="Duplicated Test Order for 30602990A received from host (LIS # 131)."/>
    <x v="74"/>
    <x v="1"/>
    <x v="26"/>
    <d v="1899-12-30T12:06:18"/>
    <s v="LIS"/>
    <x v="0"/>
    <x v="2"/>
    <x v="6"/>
    <x v="0"/>
  </r>
  <r>
    <s v="Duplicated Test Order for 30603019A received from host (LIS # 131)."/>
    <x v="74"/>
    <x v="1"/>
    <x v="26"/>
    <d v="1899-12-30T12:06:18"/>
    <s v="LIS"/>
    <x v="0"/>
    <x v="2"/>
    <x v="6"/>
    <x v="0"/>
  </r>
  <r>
    <s v="Duplicated Test Order for 30603022A received from host (LIS # 131)."/>
    <x v="74"/>
    <x v="1"/>
    <x v="26"/>
    <d v="1899-12-30T12:06:18"/>
    <s v="LIS"/>
    <x v="0"/>
    <x v="2"/>
    <x v="6"/>
    <x v="0"/>
  </r>
  <r>
    <s v="Duplicated Test Order for 30603022A received from host (LIS # 921)."/>
    <x v="74"/>
    <x v="1"/>
    <x v="26"/>
    <d v="1899-12-30T12:06:19"/>
    <s v="LIS"/>
    <x v="0"/>
    <x v="2"/>
    <x v="6"/>
    <x v="0"/>
  </r>
  <r>
    <s v="Duplicated Test Order for 30603022A received from host (LIS # 2011)."/>
    <x v="74"/>
    <x v="1"/>
    <x v="26"/>
    <d v="1899-12-30T12:06:19"/>
    <s v="LIS"/>
    <x v="0"/>
    <x v="2"/>
    <x v="6"/>
    <x v="0"/>
  </r>
  <r>
    <s v="Duplicated Test Order for 30603032A received from host (LIS # 2011)."/>
    <x v="74"/>
    <x v="1"/>
    <x v="26"/>
    <d v="1899-12-30T12:06:19"/>
    <s v="LIS"/>
    <x v="0"/>
    <x v="2"/>
    <x v="6"/>
    <x v="0"/>
  </r>
  <r>
    <s v="Duplicated Test Order for 30603032A received from host (LIS # 2241)."/>
    <x v="74"/>
    <x v="1"/>
    <x v="26"/>
    <d v="1899-12-30T12:06:19"/>
    <s v="LIS"/>
    <x v="0"/>
    <x v="2"/>
    <x v="6"/>
    <x v="0"/>
  </r>
  <r>
    <s v="Duplicated Test Order for 30700006A received from host (LIS # 131)."/>
    <x v="74"/>
    <x v="1"/>
    <x v="26"/>
    <d v="1899-12-30T12:06:19"/>
    <s v="LIS"/>
    <x v="0"/>
    <x v="2"/>
    <x v="6"/>
    <x v="0"/>
  </r>
  <r>
    <s v="Duplicated Test Order for 30700021A received from host (LIS # 921)."/>
    <x v="74"/>
    <x v="1"/>
    <x v="26"/>
    <d v="1899-12-30T12:06:20"/>
    <s v="LIS"/>
    <x v="0"/>
    <x v="2"/>
    <x v="6"/>
    <x v="0"/>
  </r>
  <r>
    <s v="Duplicated Test Order for 30700038B received from host (LIS # 131)."/>
    <x v="74"/>
    <x v="1"/>
    <x v="26"/>
    <d v="1899-12-30T12:06:20"/>
    <s v="LIS"/>
    <x v="0"/>
    <x v="2"/>
    <x v="6"/>
    <x v="0"/>
  </r>
  <r>
    <s v="Duplicated Test Order for 30700065A received from host (LIS # 131)."/>
    <x v="74"/>
    <x v="1"/>
    <x v="26"/>
    <d v="1899-12-30T12:06:20"/>
    <s v="LIS"/>
    <x v="0"/>
    <x v="2"/>
    <x v="6"/>
    <x v="0"/>
  </r>
  <r>
    <s v="Duplicated Test Order for 30700073A received from host (LIS # 2101)."/>
    <x v="74"/>
    <x v="1"/>
    <x v="26"/>
    <d v="1899-12-30T12:06:20"/>
    <s v="LIS"/>
    <x v="0"/>
    <x v="2"/>
    <x v="6"/>
    <x v="0"/>
  </r>
  <r>
    <s v="Duplicated Test Order for 30700083A received from host (LIS # 131)."/>
    <x v="74"/>
    <x v="1"/>
    <x v="26"/>
    <d v="1899-12-30T12:06:20"/>
    <s v="LIS"/>
    <x v="0"/>
    <x v="2"/>
    <x v="6"/>
    <x v="0"/>
  </r>
  <r>
    <s v="Duplicated Test Order for 30700083A received from host (LIS # 921)."/>
    <x v="74"/>
    <x v="1"/>
    <x v="26"/>
    <d v="1899-12-30T12:06:21"/>
    <s v="LIS"/>
    <x v="0"/>
    <x v="2"/>
    <x v="6"/>
    <x v="0"/>
  </r>
  <r>
    <s v="Duplicated Test Order for 30700083A received from host (LIS # 2011)."/>
    <x v="74"/>
    <x v="1"/>
    <x v="26"/>
    <d v="1899-12-30T12:06:21"/>
    <s v="LIS"/>
    <x v="0"/>
    <x v="2"/>
    <x v="6"/>
    <x v="0"/>
  </r>
  <r>
    <s v="Duplicated Test Order for 30700094A received from host (LIS # 131)."/>
    <x v="74"/>
    <x v="1"/>
    <x v="26"/>
    <d v="1899-12-30T12:06:22"/>
    <s v="LIS"/>
    <x v="0"/>
    <x v="2"/>
    <x v="6"/>
    <x v="0"/>
  </r>
  <r>
    <s v="Duplicated Test Order for 30700094A received from host (LIS # 921)."/>
    <x v="74"/>
    <x v="1"/>
    <x v="26"/>
    <d v="1899-12-30T12:06:22"/>
    <s v="LIS"/>
    <x v="0"/>
    <x v="2"/>
    <x v="6"/>
    <x v="0"/>
  </r>
  <r>
    <s v="Duplicated Test Order for 30700094A received from host (LIS # 2011)."/>
    <x v="74"/>
    <x v="1"/>
    <x v="26"/>
    <d v="1899-12-30T12:06:22"/>
    <s v="LIS"/>
    <x v="0"/>
    <x v="2"/>
    <x v="6"/>
    <x v="0"/>
  </r>
  <r>
    <s v="Duplicated Test Order for 30700122A received from host (LIS # 131)."/>
    <x v="74"/>
    <x v="1"/>
    <x v="26"/>
    <d v="1899-12-30T12:06:22"/>
    <s v="LIS"/>
    <x v="0"/>
    <x v="2"/>
    <x v="6"/>
    <x v="0"/>
  </r>
  <r>
    <s v="Duplicated Test Order for 30700134A received from host (LIS # 131)."/>
    <x v="74"/>
    <x v="1"/>
    <x v="26"/>
    <d v="1899-12-30T12:06:23"/>
    <s v="LIS"/>
    <x v="0"/>
    <x v="2"/>
    <x v="6"/>
    <x v="0"/>
  </r>
  <r>
    <s v="Duplicated Test Order for 30700134A received from host (LIS # 2011)."/>
    <x v="74"/>
    <x v="1"/>
    <x v="26"/>
    <d v="1899-12-30T12:06:23"/>
    <s v="LIS"/>
    <x v="0"/>
    <x v="2"/>
    <x v="6"/>
    <x v="0"/>
  </r>
  <r>
    <s v="Duplicated Test Order for 30700142A received from host (LIS # 2241)."/>
    <x v="74"/>
    <x v="1"/>
    <x v="26"/>
    <d v="1899-12-30T12:06:23"/>
    <s v="LIS"/>
    <x v="0"/>
    <x v="2"/>
    <x v="6"/>
    <x v="0"/>
  </r>
  <r>
    <s v="Duplicated Test Order for 30700145C received from host (LIS # 131)."/>
    <x v="74"/>
    <x v="1"/>
    <x v="26"/>
    <d v="1899-12-30T12:06:23"/>
    <s v="LIS"/>
    <x v="0"/>
    <x v="2"/>
    <x v="6"/>
    <x v="0"/>
  </r>
  <r>
    <s v="Duplicated Test Order for 30700145C received from host (LIS # 2011)."/>
    <x v="74"/>
    <x v="1"/>
    <x v="26"/>
    <d v="1899-12-30T12:06:24"/>
    <s v="LIS"/>
    <x v="0"/>
    <x v="2"/>
    <x v="6"/>
    <x v="0"/>
  </r>
  <r>
    <s v="Duplicated Test Order for 30700149B received from host (LIS # 131)."/>
    <x v="74"/>
    <x v="1"/>
    <x v="26"/>
    <d v="1899-12-30T12:06:24"/>
    <s v="LIS"/>
    <x v="0"/>
    <x v="2"/>
    <x v="6"/>
    <x v="0"/>
  </r>
  <r>
    <s v="Duplicated Test Order for 30700149B received from host (LIS # 2011)."/>
    <x v="74"/>
    <x v="1"/>
    <x v="26"/>
    <d v="1899-12-30T12:06:24"/>
    <s v="LIS"/>
    <x v="0"/>
    <x v="2"/>
    <x v="6"/>
    <x v="0"/>
  </r>
  <r>
    <s v="Duplicated Test Order for 30700161B received from host (LIS # 131)."/>
    <x v="74"/>
    <x v="1"/>
    <x v="26"/>
    <d v="1899-12-30T12:06:24"/>
    <s v="LIS"/>
    <x v="0"/>
    <x v="2"/>
    <x v="6"/>
    <x v="0"/>
  </r>
  <r>
    <s v="Duplicated Test Order for 30700161B received from host (LIS # 2011)."/>
    <x v="74"/>
    <x v="1"/>
    <x v="26"/>
    <d v="1899-12-30T12:06:25"/>
    <s v="LIS"/>
    <x v="0"/>
    <x v="2"/>
    <x v="6"/>
    <x v="0"/>
  </r>
  <r>
    <s v="Duplicated Test Order for 30700172C received from host (LIS # 131)."/>
    <x v="74"/>
    <x v="1"/>
    <x v="26"/>
    <d v="1899-12-30T12:06:25"/>
    <s v="LIS"/>
    <x v="0"/>
    <x v="2"/>
    <x v="6"/>
    <x v="0"/>
  </r>
  <r>
    <s v="Duplicated Test Order for 30700172C received from host (LIS # 2011)."/>
    <x v="74"/>
    <x v="1"/>
    <x v="26"/>
    <d v="1899-12-30T12:06:25"/>
    <s v="LIS"/>
    <x v="0"/>
    <x v="2"/>
    <x v="6"/>
    <x v="0"/>
  </r>
  <r>
    <s v="Duplicated Test Order for 30700191B received from host (LIS # 131)."/>
    <x v="74"/>
    <x v="1"/>
    <x v="26"/>
    <d v="1899-12-30T12:06:26"/>
    <s v="LIS"/>
    <x v="0"/>
    <x v="2"/>
    <x v="6"/>
    <x v="0"/>
  </r>
  <r>
    <s v="Duplicated Test Order for 30700198A received from host (LIS # 131)."/>
    <x v="74"/>
    <x v="1"/>
    <x v="26"/>
    <d v="1899-12-30T12:06:26"/>
    <s v="LIS"/>
    <x v="0"/>
    <x v="2"/>
    <x v="6"/>
    <x v="0"/>
  </r>
  <r>
    <s v="Duplicated Test Order for 30700198A received from host (LIS # 2101)."/>
    <x v="74"/>
    <x v="1"/>
    <x v="26"/>
    <d v="1899-12-30T12:06:26"/>
    <s v="LIS"/>
    <x v="0"/>
    <x v="2"/>
    <x v="6"/>
    <x v="0"/>
  </r>
  <r>
    <s v="Duplicated Test Order for 30700200A received from host (LIS # 131)."/>
    <x v="74"/>
    <x v="1"/>
    <x v="26"/>
    <d v="1899-12-30T12:06:26"/>
    <s v="LIS"/>
    <x v="0"/>
    <x v="2"/>
    <x v="6"/>
    <x v="0"/>
  </r>
  <r>
    <s v="Duplicated Test Order for 30700201C received from host (LIS # 131)."/>
    <x v="74"/>
    <x v="1"/>
    <x v="26"/>
    <d v="1899-12-30T12:06:26"/>
    <s v="LIS"/>
    <x v="0"/>
    <x v="2"/>
    <x v="6"/>
    <x v="0"/>
  </r>
  <r>
    <s v="Duplicated Test Order for 30700202C received from host (LIS # 131)."/>
    <x v="74"/>
    <x v="1"/>
    <x v="26"/>
    <d v="1899-12-30T12:06:27"/>
    <s v="LIS"/>
    <x v="0"/>
    <x v="2"/>
    <x v="6"/>
    <x v="0"/>
  </r>
  <r>
    <s v="Duplicated Test Order for 30700214A received from host (LIS # 131)."/>
    <x v="74"/>
    <x v="1"/>
    <x v="26"/>
    <d v="1899-12-30T12:06:27"/>
    <s v="LIS"/>
    <x v="0"/>
    <x v="2"/>
    <x v="6"/>
    <x v="0"/>
  </r>
  <r>
    <s v="Duplicated Test Order for 30700216C received from host (LIS # 131)."/>
    <x v="74"/>
    <x v="1"/>
    <x v="26"/>
    <d v="1899-12-30T12:06:27"/>
    <s v="LIS"/>
    <x v="0"/>
    <x v="2"/>
    <x v="6"/>
    <x v="0"/>
  </r>
  <r>
    <s v="Duplicated Test Order for 30700218B received from host (LIS # 131)."/>
    <x v="74"/>
    <x v="1"/>
    <x v="26"/>
    <d v="1899-12-30T12:06:27"/>
    <s v="LIS"/>
    <x v="0"/>
    <x v="2"/>
    <x v="6"/>
    <x v="0"/>
  </r>
  <r>
    <s v="Duplicated Test Order for 30700223A received from host (LIS # 131)."/>
    <x v="74"/>
    <x v="1"/>
    <x v="26"/>
    <d v="1899-12-30T12:06:27"/>
    <s v="LIS"/>
    <x v="0"/>
    <x v="2"/>
    <x v="6"/>
    <x v="0"/>
  </r>
  <r>
    <s v="Duplicated Test Order for 30700226A received from host (LIS # 131)."/>
    <x v="74"/>
    <x v="1"/>
    <x v="26"/>
    <d v="1899-12-30T12:06:27"/>
    <s v="LIS"/>
    <x v="0"/>
    <x v="2"/>
    <x v="6"/>
    <x v="0"/>
  </r>
  <r>
    <s v="Duplicated Test Order for 30700227C received from host (LIS # 131)."/>
    <x v="74"/>
    <x v="1"/>
    <x v="26"/>
    <d v="1899-12-30T12:06:28"/>
    <s v="LIS"/>
    <x v="0"/>
    <x v="2"/>
    <x v="6"/>
    <x v="0"/>
  </r>
  <r>
    <s v="Duplicated Test Order for 30700229C received from host (LIS # 131)."/>
    <x v="74"/>
    <x v="1"/>
    <x v="26"/>
    <d v="1899-12-30T12:06:28"/>
    <s v="LIS"/>
    <x v="0"/>
    <x v="2"/>
    <x v="6"/>
    <x v="0"/>
  </r>
  <r>
    <s v="Duplicated Test Order for 30700235C received from host (LIS # 131)."/>
    <x v="74"/>
    <x v="1"/>
    <x v="26"/>
    <d v="1899-12-30T12:06:28"/>
    <s v="LIS"/>
    <x v="0"/>
    <x v="2"/>
    <x v="6"/>
    <x v="0"/>
  </r>
  <r>
    <s v="Duplicated Test Order for 30700236C received from host (LIS # 131)."/>
    <x v="74"/>
    <x v="1"/>
    <x v="26"/>
    <d v="1899-12-30T12:06:28"/>
    <s v="LIS"/>
    <x v="0"/>
    <x v="2"/>
    <x v="6"/>
    <x v="0"/>
  </r>
  <r>
    <s v="Duplicated Test Order for 30700240A received from host (LIS # 131)."/>
    <x v="74"/>
    <x v="1"/>
    <x v="26"/>
    <d v="1899-12-30T12:06:28"/>
    <s v="LIS"/>
    <x v="0"/>
    <x v="2"/>
    <x v="6"/>
    <x v="0"/>
  </r>
  <r>
    <s v="Duplicated Test Order for 30700242A received from host (LIS # 131)."/>
    <x v="74"/>
    <x v="1"/>
    <x v="26"/>
    <d v="1899-12-30T12:06:28"/>
    <s v="LIS"/>
    <x v="0"/>
    <x v="2"/>
    <x v="6"/>
    <x v="0"/>
  </r>
  <r>
    <s v="Duplicated Test Order for 30700245B received from host (LIS # 131)."/>
    <x v="74"/>
    <x v="1"/>
    <x v="26"/>
    <d v="1899-12-30T12:06:28"/>
    <s v="LIS"/>
    <x v="0"/>
    <x v="2"/>
    <x v="6"/>
    <x v="0"/>
  </r>
  <r>
    <s v="Duplicated Test Order for 30700260B received from host (LIS # 131)."/>
    <x v="74"/>
    <x v="1"/>
    <x v="26"/>
    <d v="1899-12-30T12:06:29"/>
    <s v="LIS"/>
    <x v="0"/>
    <x v="2"/>
    <x v="6"/>
    <x v="0"/>
  </r>
  <r>
    <s v="Duplicated Test Order for 30700260B received from host (LIS # 2011)."/>
    <x v="74"/>
    <x v="1"/>
    <x v="26"/>
    <d v="1899-12-30T12:06:29"/>
    <s v="LIS"/>
    <x v="0"/>
    <x v="2"/>
    <x v="6"/>
    <x v="0"/>
  </r>
  <r>
    <s v="Duplicated Test Order for 30700260B received from host (LIS # 2241)."/>
    <x v="74"/>
    <x v="1"/>
    <x v="26"/>
    <d v="1899-12-30T12:06:29"/>
    <s v="LIS"/>
    <x v="0"/>
    <x v="2"/>
    <x v="6"/>
    <x v="0"/>
  </r>
  <r>
    <s v="Duplicated Test Order for 30700271C received from host (LIS # 131)."/>
    <x v="74"/>
    <x v="1"/>
    <x v="26"/>
    <d v="1899-12-30T12:06:29"/>
    <s v="LIS"/>
    <x v="0"/>
    <x v="2"/>
    <x v="6"/>
    <x v="0"/>
  </r>
  <r>
    <s v="Duplicated Test Order for 30700274A received from host (LIS # 131)."/>
    <x v="74"/>
    <x v="1"/>
    <x v="26"/>
    <d v="1899-12-30T12:06:30"/>
    <s v="LIS"/>
    <x v="0"/>
    <x v="2"/>
    <x v="6"/>
    <x v="0"/>
  </r>
  <r>
    <s v="Duplicated Test Order for 30700277C received from host (LIS # 131)."/>
    <x v="74"/>
    <x v="1"/>
    <x v="26"/>
    <d v="1899-12-30T12:06:30"/>
    <s v="LIS"/>
    <x v="0"/>
    <x v="2"/>
    <x v="6"/>
    <x v="0"/>
  </r>
  <r>
    <s v="Duplicated Test Order for 30700289C received from host (LIS # 2101)."/>
    <x v="74"/>
    <x v="1"/>
    <x v="26"/>
    <d v="1899-12-30T12:06:30"/>
    <s v="LIS"/>
    <x v="0"/>
    <x v="2"/>
    <x v="6"/>
    <x v="0"/>
  </r>
  <r>
    <s v="Duplicated Test Order for 30700290A received from host (LIS # 131)."/>
    <x v="74"/>
    <x v="1"/>
    <x v="26"/>
    <d v="1899-12-30T12:06:30"/>
    <s v="LIS"/>
    <x v="0"/>
    <x v="2"/>
    <x v="6"/>
    <x v="0"/>
  </r>
  <r>
    <s v="Duplicated Test Order for 30700318A received from host (LIS # 131)."/>
    <x v="74"/>
    <x v="1"/>
    <x v="26"/>
    <d v="1899-12-30T12:06:30"/>
    <s v="LIS"/>
    <x v="0"/>
    <x v="2"/>
    <x v="6"/>
    <x v="0"/>
  </r>
  <r>
    <s v="Duplicated Test Order for 30700344A received from host (LIS # 131)."/>
    <x v="74"/>
    <x v="1"/>
    <x v="26"/>
    <d v="1899-12-30T12:06:30"/>
    <s v="LIS"/>
    <x v="0"/>
    <x v="2"/>
    <x v="6"/>
    <x v="0"/>
  </r>
  <r>
    <s v="Duplicated Test Order for 30700355A received from host (LIS # 131)."/>
    <x v="74"/>
    <x v="1"/>
    <x v="26"/>
    <d v="1899-12-30T12:06:31"/>
    <s v="LIS"/>
    <x v="0"/>
    <x v="2"/>
    <x v="6"/>
    <x v="0"/>
  </r>
  <r>
    <s v="Duplicated Test Order for 30700355A received from host (LIS # 921)."/>
    <x v="74"/>
    <x v="1"/>
    <x v="26"/>
    <d v="1899-12-30T12:06:31"/>
    <s v="LIS"/>
    <x v="0"/>
    <x v="2"/>
    <x v="6"/>
    <x v="0"/>
  </r>
  <r>
    <s v="Duplicated Test Order for 30700355A received from host (LIS # 2101)."/>
    <x v="74"/>
    <x v="1"/>
    <x v="26"/>
    <d v="1899-12-30T12:06:31"/>
    <s v="LIS"/>
    <x v="0"/>
    <x v="2"/>
    <x v="6"/>
    <x v="0"/>
  </r>
  <r>
    <s v="Duplicated Test Order for 30700370C received from host (LIS # 131)."/>
    <x v="74"/>
    <x v="1"/>
    <x v="26"/>
    <d v="1899-12-30T12:06:32"/>
    <s v="LIS"/>
    <x v="0"/>
    <x v="2"/>
    <x v="6"/>
    <x v="0"/>
  </r>
  <r>
    <s v="Duplicated Test Order for 30700375C received from host (LIS # 2101)."/>
    <x v="74"/>
    <x v="1"/>
    <x v="26"/>
    <d v="1899-12-30T12:06:32"/>
    <s v="LIS"/>
    <x v="0"/>
    <x v="2"/>
    <x v="6"/>
    <x v="0"/>
  </r>
  <r>
    <s v="Duplicated Test Order for 30700379B received from host (LIS # 131)."/>
    <x v="74"/>
    <x v="1"/>
    <x v="26"/>
    <d v="1899-12-30T12:06:32"/>
    <s v="LIS"/>
    <x v="0"/>
    <x v="2"/>
    <x v="6"/>
    <x v="0"/>
  </r>
  <r>
    <s v="Duplicated Test Order for 30700380C received from host (LIS # 131)."/>
    <x v="74"/>
    <x v="1"/>
    <x v="26"/>
    <d v="1899-12-30T12:06:32"/>
    <s v="LIS"/>
    <x v="0"/>
    <x v="2"/>
    <x v="6"/>
    <x v="0"/>
  </r>
  <r>
    <s v="Duplicated Test Order for 30700401C received from host (LIS # 131)."/>
    <x v="74"/>
    <x v="1"/>
    <x v="26"/>
    <d v="1899-12-30T12:06:32"/>
    <s v="LIS"/>
    <x v="0"/>
    <x v="2"/>
    <x v="6"/>
    <x v="0"/>
  </r>
  <r>
    <s v="Duplicated Test Order for 30700406A received from host (LIS # 2241)."/>
    <x v="74"/>
    <x v="1"/>
    <x v="26"/>
    <d v="1899-12-30T12:06:32"/>
    <s v="LIS"/>
    <x v="0"/>
    <x v="2"/>
    <x v="6"/>
    <x v="0"/>
  </r>
  <r>
    <s v="Duplicated Test Order for 30700412C received from host (LIS # 131)."/>
    <x v="74"/>
    <x v="1"/>
    <x v="26"/>
    <d v="1899-12-30T12:06:33"/>
    <s v="LIS"/>
    <x v="0"/>
    <x v="2"/>
    <x v="6"/>
    <x v="0"/>
  </r>
  <r>
    <s v="Duplicated Test Order for 30700412C received from host (LIS # 921)."/>
    <x v="74"/>
    <x v="1"/>
    <x v="26"/>
    <d v="1899-12-30T12:06:33"/>
    <s v="LIS"/>
    <x v="0"/>
    <x v="2"/>
    <x v="6"/>
    <x v="0"/>
  </r>
  <r>
    <s v="Duplicated Test Order for 30700417A received from host (LIS # 131)."/>
    <x v="74"/>
    <x v="1"/>
    <x v="26"/>
    <d v="1899-12-30T12:06:33"/>
    <s v="LIS"/>
    <x v="0"/>
    <x v="2"/>
    <x v="6"/>
    <x v="0"/>
  </r>
  <r>
    <s v="Duplicated Test Order for 30700417A received from host (LIS # 921)."/>
    <x v="74"/>
    <x v="1"/>
    <x v="26"/>
    <d v="1899-12-30T12:06:33"/>
    <s v="LIS"/>
    <x v="0"/>
    <x v="2"/>
    <x v="6"/>
    <x v="0"/>
  </r>
  <r>
    <s v="Duplicated Test Order for 30700419D received from host (LIS # 131)."/>
    <x v="74"/>
    <x v="1"/>
    <x v="26"/>
    <d v="1899-12-30T12:06:34"/>
    <s v="LIS"/>
    <x v="0"/>
    <x v="2"/>
    <x v="6"/>
    <x v="0"/>
  </r>
  <r>
    <s v="Duplicated Test Order for 30700426A received from host (LIS # 131)."/>
    <x v="74"/>
    <x v="1"/>
    <x v="26"/>
    <d v="1899-12-30T12:06:34"/>
    <s v="LIS"/>
    <x v="0"/>
    <x v="2"/>
    <x v="6"/>
    <x v="0"/>
  </r>
  <r>
    <s v="Duplicated Test Order for 30700426A received from host (LIS # 921)."/>
    <x v="74"/>
    <x v="1"/>
    <x v="26"/>
    <d v="1899-12-30T12:06:34"/>
    <s v="LIS"/>
    <x v="0"/>
    <x v="2"/>
    <x v="6"/>
    <x v="0"/>
  </r>
  <r>
    <s v="Duplicated Test Order for 30700438A received from host (LIS # 2011)."/>
    <x v="74"/>
    <x v="1"/>
    <x v="26"/>
    <d v="1899-12-30T12:06:34"/>
    <s v="LIS"/>
    <x v="0"/>
    <x v="2"/>
    <x v="6"/>
    <x v="0"/>
  </r>
  <r>
    <s v="Duplicated Test Order for 30700438A received from host (LIS # 2241)."/>
    <x v="74"/>
    <x v="1"/>
    <x v="26"/>
    <d v="1899-12-30T12:06:34"/>
    <s v="LIS"/>
    <x v="0"/>
    <x v="2"/>
    <x v="6"/>
    <x v="0"/>
  </r>
  <r>
    <s v="Duplicated Test Order for 30700444A received from host (LIS # 2241)."/>
    <x v="74"/>
    <x v="1"/>
    <x v="26"/>
    <d v="1899-12-30T12:06:34"/>
    <s v="LIS"/>
    <x v="0"/>
    <x v="2"/>
    <x v="6"/>
    <x v="0"/>
  </r>
  <r>
    <s v="Duplicated Test Order for 30700445A received from host (LIS # 2101)."/>
    <x v="74"/>
    <x v="1"/>
    <x v="26"/>
    <d v="1899-12-30T12:06:34"/>
    <s v="LIS"/>
    <x v="0"/>
    <x v="2"/>
    <x v="6"/>
    <x v="0"/>
  </r>
  <r>
    <s v="Duplicated Test Order for 30700446B received from host (LIS # 2241)."/>
    <x v="74"/>
    <x v="1"/>
    <x v="26"/>
    <d v="1899-12-30T12:06:35"/>
    <s v="LIS"/>
    <x v="0"/>
    <x v="2"/>
    <x v="6"/>
    <x v="0"/>
  </r>
  <r>
    <s v="Duplicated Test Order for 30700452A received from host (LIS # 131)."/>
    <x v="74"/>
    <x v="1"/>
    <x v="26"/>
    <d v="1899-12-30T12:06:35"/>
    <s v="LIS"/>
    <x v="0"/>
    <x v="2"/>
    <x v="6"/>
    <x v="0"/>
  </r>
  <r>
    <s v="Duplicated Test Order for 30700469A received from host (LIS # 131)."/>
    <x v="74"/>
    <x v="1"/>
    <x v="26"/>
    <d v="1899-12-30T12:06:35"/>
    <s v="LIS"/>
    <x v="0"/>
    <x v="2"/>
    <x v="6"/>
    <x v="0"/>
  </r>
  <r>
    <s v="Duplicated Test Order for 30700469A received from host (LIS # 2011)."/>
    <x v="74"/>
    <x v="1"/>
    <x v="26"/>
    <d v="1899-12-30T12:06:35"/>
    <s v="LIS"/>
    <x v="0"/>
    <x v="2"/>
    <x v="6"/>
    <x v="0"/>
  </r>
  <r>
    <s v="Duplicated Test Order for 30700470B received from host (LIS # 131)."/>
    <x v="74"/>
    <x v="1"/>
    <x v="26"/>
    <d v="1899-12-30T12:06:35"/>
    <s v="LIS"/>
    <x v="0"/>
    <x v="2"/>
    <x v="6"/>
    <x v="0"/>
  </r>
  <r>
    <s v="Duplicated Test Order for 30700470B received from host (LIS # 921)."/>
    <x v="74"/>
    <x v="1"/>
    <x v="26"/>
    <d v="1899-12-30T12:06:35"/>
    <s v="LIS"/>
    <x v="0"/>
    <x v="2"/>
    <x v="6"/>
    <x v="0"/>
  </r>
  <r>
    <s v="Duplicated Test Order for 30700471A received from host (LIS # 131)."/>
    <x v="74"/>
    <x v="1"/>
    <x v="26"/>
    <d v="1899-12-30T12:06:36"/>
    <s v="LIS"/>
    <x v="0"/>
    <x v="2"/>
    <x v="6"/>
    <x v="0"/>
  </r>
  <r>
    <s v="Duplicated Test Order for 30700471A received from host (LIS # 2011)."/>
    <x v="74"/>
    <x v="1"/>
    <x v="26"/>
    <d v="1899-12-30T12:06:36"/>
    <s v="LIS"/>
    <x v="0"/>
    <x v="2"/>
    <x v="6"/>
    <x v="0"/>
  </r>
  <r>
    <s v="Duplicated Test Order for 30700491A received from host (LIS # 131)."/>
    <x v="74"/>
    <x v="1"/>
    <x v="26"/>
    <d v="1899-12-30T12:06:36"/>
    <s v="LIS"/>
    <x v="0"/>
    <x v="2"/>
    <x v="6"/>
    <x v="0"/>
  </r>
  <r>
    <s v="Duplicated Test Order for 30700498A received from host (LIS # 2101)."/>
    <x v="74"/>
    <x v="1"/>
    <x v="26"/>
    <d v="1899-12-30T12:06:36"/>
    <s v="LIS"/>
    <x v="0"/>
    <x v="2"/>
    <x v="6"/>
    <x v="0"/>
  </r>
  <r>
    <s v="Duplicated Test Order for 30700503A received from host (LIS # 131)."/>
    <x v="74"/>
    <x v="1"/>
    <x v="26"/>
    <d v="1899-12-30T12:06:36"/>
    <s v="LIS"/>
    <x v="0"/>
    <x v="2"/>
    <x v="6"/>
    <x v="0"/>
  </r>
  <r>
    <s v="Duplicated Test Order for 30700503A received from host (LIS # 2101)."/>
    <x v="74"/>
    <x v="1"/>
    <x v="26"/>
    <d v="1899-12-30T12:06:36"/>
    <s v="LIS"/>
    <x v="0"/>
    <x v="2"/>
    <x v="6"/>
    <x v="0"/>
  </r>
  <r>
    <s v="Duplicated Test Order for 30700511A received from host (LIS # 2241)."/>
    <x v="74"/>
    <x v="1"/>
    <x v="26"/>
    <d v="1899-12-30T12:06:37"/>
    <s v="LIS"/>
    <x v="0"/>
    <x v="2"/>
    <x v="6"/>
    <x v="0"/>
  </r>
  <r>
    <s v="Duplicated Test Order for 30700553B received from host (LIS # 131)."/>
    <x v="74"/>
    <x v="1"/>
    <x v="26"/>
    <d v="1899-12-30T12:06:37"/>
    <s v="LIS"/>
    <x v="0"/>
    <x v="2"/>
    <x v="6"/>
    <x v="0"/>
  </r>
  <r>
    <s v="Duplicated Test Order for 30700566C received from host (LIS # 131)."/>
    <x v="74"/>
    <x v="1"/>
    <x v="26"/>
    <d v="1899-12-30T12:06:37"/>
    <s v="LIS"/>
    <x v="0"/>
    <x v="2"/>
    <x v="6"/>
    <x v="0"/>
  </r>
  <r>
    <s v="Duplicated Test Order for 30700569A received from host (LIS # 131)."/>
    <x v="74"/>
    <x v="1"/>
    <x v="26"/>
    <d v="1899-12-30T12:06:37"/>
    <s v="LIS"/>
    <x v="0"/>
    <x v="2"/>
    <x v="6"/>
    <x v="0"/>
  </r>
  <r>
    <s v="Duplicated Test Order for 30700584C received from host (LIS # 131)."/>
    <x v="74"/>
    <x v="1"/>
    <x v="26"/>
    <d v="1899-12-30T12:06:37"/>
    <s v="LIS"/>
    <x v="0"/>
    <x v="2"/>
    <x v="6"/>
    <x v="0"/>
  </r>
  <r>
    <s v="Duplicated Test Order for 30700584C received from host (LIS # 921)."/>
    <x v="74"/>
    <x v="1"/>
    <x v="26"/>
    <d v="1899-12-30T12:06:37"/>
    <s v="LIS"/>
    <x v="0"/>
    <x v="2"/>
    <x v="6"/>
    <x v="0"/>
  </r>
  <r>
    <s v="Duplicated Test Order for 30700595A received from host (LIS # 131)."/>
    <x v="74"/>
    <x v="1"/>
    <x v="26"/>
    <d v="1899-12-30T12:06:37"/>
    <s v="LIS"/>
    <x v="0"/>
    <x v="2"/>
    <x v="6"/>
    <x v="0"/>
  </r>
  <r>
    <s v="Duplicated Test Order for 30700595A received from host (LIS # 2011)."/>
    <x v="74"/>
    <x v="1"/>
    <x v="26"/>
    <d v="1899-12-30T12:06:37"/>
    <s v="LIS"/>
    <x v="0"/>
    <x v="2"/>
    <x v="6"/>
    <x v="0"/>
  </r>
  <r>
    <s v="Duplicated Test Order for 30700608A received from host (LIS # 2101)."/>
    <x v="74"/>
    <x v="1"/>
    <x v="26"/>
    <d v="1899-12-30T12:06:38"/>
    <s v="LIS"/>
    <x v="0"/>
    <x v="2"/>
    <x v="6"/>
    <x v="0"/>
  </r>
  <r>
    <s v="Duplicated Test Order for 30700650A received from host (LIS # 131)."/>
    <x v="74"/>
    <x v="1"/>
    <x v="26"/>
    <d v="1899-12-30T12:06:38"/>
    <s v="LIS"/>
    <x v="0"/>
    <x v="2"/>
    <x v="6"/>
    <x v="0"/>
  </r>
  <r>
    <s v="Duplicated Test Order for 30700650A received from host (LIS # 2101)."/>
    <x v="74"/>
    <x v="1"/>
    <x v="26"/>
    <d v="1899-12-30T12:06:38"/>
    <s v="LIS"/>
    <x v="0"/>
    <x v="2"/>
    <x v="6"/>
    <x v="0"/>
  </r>
  <r>
    <s v="Duplicated Test Order for 30700673B received from host (LIS # 131)."/>
    <x v="74"/>
    <x v="1"/>
    <x v="26"/>
    <d v="1899-12-30T12:06:38"/>
    <s v="LIS"/>
    <x v="0"/>
    <x v="2"/>
    <x v="6"/>
    <x v="0"/>
  </r>
  <r>
    <s v="Duplicated Test Order for 30700679D received from host (LIS # 131)."/>
    <x v="74"/>
    <x v="1"/>
    <x v="26"/>
    <d v="1899-12-30T12:06:39"/>
    <s v="LIS"/>
    <x v="0"/>
    <x v="2"/>
    <x v="6"/>
    <x v="0"/>
  </r>
  <r>
    <s v="Duplicated Test Order for 30700729B received from host (LIS # 131)."/>
    <x v="74"/>
    <x v="1"/>
    <x v="26"/>
    <d v="1899-12-30T12:06:39"/>
    <s v="LIS"/>
    <x v="0"/>
    <x v="2"/>
    <x v="6"/>
    <x v="0"/>
  </r>
  <r>
    <s v="Duplicated Test Order for 30700729B received from host (LIS # 921)."/>
    <x v="74"/>
    <x v="1"/>
    <x v="26"/>
    <d v="1899-12-30T12:06:39"/>
    <s v="LIS"/>
    <x v="0"/>
    <x v="2"/>
    <x v="6"/>
    <x v="0"/>
  </r>
  <r>
    <s v="Duplicated Test Order for 30700730A received from host (LIS # 131)."/>
    <x v="74"/>
    <x v="1"/>
    <x v="26"/>
    <d v="1899-12-30T12:06:39"/>
    <s v="LIS"/>
    <x v="0"/>
    <x v="2"/>
    <x v="6"/>
    <x v="0"/>
  </r>
  <r>
    <s v="Duplicated Test Order for 30700843A received from host (LIS # 131)."/>
    <x v="74"/>
    <x v="1"/>
    <x v="26"/>
    <d v="1899-12-30T12:06:39"/>
    <s v="LIS"/>
    <x v="0"/>
    <x v="2"/>
    <x v="6"/>
    <x v="0"/>
  </r>
  <r>
    <s v="Duplicated Test Order for 30700869A received from host (LIS # 131)."/>
    <x v="74"/>
    <x v="1"/>
    <x v="26"/>
    <d v="1899-12-30T12:06:39"/>
    <s v="LIS"/>
    <x v="0"/>
    <x v="2"/>
    <x v="6"/>
    <x v="0"/>
  </r>
  <r>
    <s v="Duplicated Test Order for 30700885A received from host (LIS # 131)."/>
    <x v="74"/>
    <x v="1"/>
    <x v="26"/>
    <d v="1899-12-30T12:06:39"/>
    <s v="LIS"/>
    <x v="0"/>
    <x v="2"/>
    <x v="6"/>
    <x v="0"/>
  </r>
  <r>
    <s v="Duplicated Test Order for 30700886C received from host (LIS # 131)."/>
    <x v="74"/>
    <x v="1"/>
    <x v="26"/>
    <d v="1899-12-30T12:06:40"/>
    <s v="LIS"/>
    <x v="0"/>
    <x v="2"/>
    <x v="6"/>
    <x v="0"/>
  </r>
  <r>
    <s v="Duplicated Test Order for 30700894A received from host (LIS # 131)."/>
    <x v="74"/>
    <x v="1"/>
    <x v="26"/>
    <d v="1899-12-30T12:06:40"/>
    <s v="LIS"/>
    <x v="0"/>
    <x v="2"/>
    <x v="6"/>
    <x v="0"/>
  </r>
  <r>
    <s v="Duplicated Test Order for 30700903A received from host (LIS # 131)."/>
    <x v="74"/>
    <x v="1"/>
    <x v="26"/>
    <d v="1899-12-30T12:06:40"/>
    <s v="LIS"/>
    <x v="0"/>
    <x v="2"/>
    <x v="6"/>
    <x v="0"/>
  </r>
  <r>
    <s v="Duplicated Test Order for 30700905A received from host (LIS # 131)."/>
    <x v="74"/>
    <x v="1"/>
    <x v="26"/>
    <d v="1899-12-30T12:06:40"/>
    <s v="LIS"/>
    <x v="0"/>
    <x v="2"/>
    <x v="6"/>
    <x v="0"/>
  </r>
  <r>
    <s v="Duplicated Test Order for 30700924B received from host (LIS # 131)."/>
    <x v="74"/>
    <x v="1"/>
    <x v="26"/>
    <d v="1899-12-30T12:06:40"/>
    <s v="LIS"/>
    <x v="0"/>
    <x v="2"/>
    <x v="6"/>
    <x v="0"/>
  </r>
  <r>
    <s v="Duplicated Test Order for 30700988A received from host (LIS # 2241)."/>
    <x v="74"/>
    <x v="1"/>
    <x v="26"/>
    <d v="1899-12-30T12:06:40"/>
    <s v="LIS"/>
    <x v="0"/>
    <x v="2"/>
    <x v="6"/>
    <x v="0"/>
  </r>
  <r>
    <s v="Duplicated Test Order for 30701007A received from host (LIS # 131)."/>
    <x v="74"/>
    <x v="1"/>
    <x v="26"/>
    <d v="1899-12-30T12:06:40"/>
    <s v="LIS"/>
    <x v="0"/>
    <x v="2"/>
    <x v="6"/>
    <x v="0"/>
  </r>
  <r>
    <s v="Duplicated Test Order for 30701009D received from host (LIS # 131)."/>
    <x v="74"/>
    <x v="1"/>
    <x v="26"/>
    <d v="1899-12-30T12:06:40"/>
    <s v="LIS"/>
    <x v="0"/>
    <x v="2"/>
    <x v="6"/>
    <x v="0"/>
  </r>
  <r>
    <s v="Duplicated Test Order for 30701009D received from host (LIS # 921)."/>
    <x v="74"/>
    <x v="1"/>
    <x v="26"/>
    <d v="1899-12-30T12:06:40"/>
    <s v="LIS"/>
    <x v="0"/>
    <x v="2"/>
    <x v="6"/>
    <x v="0"/>
  </r>
  <r>
    <s v="Duplicated Test Order for 30701009D received from host (LIS # 2101)."/>
    <x v="74"/>
    <x v="1"/>
    <x v="26"/>
    <d v="1899-12-30T12:06:40"/>
    <s v="LIS"/>
    <x v="0"/>
    <x v="2"/>
    <x v="6"/>
    <x v="0"/>
  </r>
  <r>
    <s v="Duplicated Test Order for 30701041A received from host (LIS # 921)."/>
    <x v="74"/>
    <x v="1"/>
    <x v="26"/>
    <d v="1899-12-30T12:06:40"/>
    <s v="LIS"/>
    <x v="0"/>
    <x v="2"/>
    <x v="6"/>
    <x v="0"/>
  </r>
  <r>
    <s v="Duplicated Test Order for 30701041A received from host (LIS # 2101)."/>
    <x v="74"/>
    <x v="1"/>
    <x v="26"/>
    <d v="1899-12-30T12:06:40"/>
    <s v="LIS"/>
    <x v="0"/>
    <x v="2"/>
    <x v="6"/>
    <x v="0"/>
  </r>
  <r>
    <s v="Duplicated Test Order for 30701050A received from host (LIS # 131)."/>
    <x v="74"/>
    <x v="1"/>
    <x v="26"/>
    <d v="1899-12-30T12:06:40"/>
    <s v="LIS"/>
    <x v="0"/>
    <x v="2"/>
    <x v="6"/>
    <x v="0"/>
  </r>
  <r>
    <s v="Duplicated Test Order for 30701050A received from host (LIS # 921)."/>
    <x v="74"/>
    <x v="1"/>
    <x v="26"/>
    <d v="1899-12-30T12:06:40"/>
    <s v="LIS"/>
    <x v="0"/>
    <x v="2"/>
    <x v="6"/>
    <x v="0"/>
  </r>
  <r>
    <s v="Duplicated Test Order for 30701082B received from host (LIS # 131)."/>
    <x v="74"/>
    <x v="1"/>
    <x v="26"/>
    <d v="1899-12-30T12:06:40"/>
    <s v="LIS"/>
    <x v="0"/>
    <x v="2"/>
    <x v="6"/>
    <x v="0"/>
  </r>
  <r>
    <s v="Duplicated Test Order for 30701083A received from host (LIS # 131)."/>
    <x v="74"/>
    <x v="1"/>
    <x v="26"/>
    <d v="1899-12-30T12:06:41"/>
    <s v="LIS"/>
    <x v="0"/>
    <x v="2"/>
    <x v="6"/>
    <x v="0"/>
  </r>
  <r>
    <s v="Duplicated Test Order for 30701094A received from host (LIS # 131)."/>
    <x v="74"/>
    <x v="1"/>
    <x v="26"/>
    <d v="1899-12-30T12:06:41"/>
    <s v="LIS"/>
    <x v="0"/>
    <x v="2"/>
    <x v="6"/>
    <x v="0"/>
  </r>
  <r>
    <s v="Duplicated Test Order for 30701123C received from host (LIS # 131)."/>
    <x v="74"/>
    <x v="1"/>
    <x v="26"/>
    <d v="1899-12-30T12:06:41"/>
    <s v="LIS"/>
    <x v="0"/>
    <x v="2"/>
    <x v="6"/>
    <x v="0"/>
  </r>
  <r>
    <s v="Duplicated Test Order for 30701168A received from host (LIS # 131)."/>
    <x v="74"/>
    <x v="1"/>
    <x v="26"/>
    <d v="1899-12-30T12:06:41"/>
    <s v="LIS"/>
    <x v="0"/>
    <x v="2"/>
    <x v="6"/>
    <x v="0"/>
  </r>
  <r>
    <s v="Duplicated Test Order for 30701179A received from host (LIS # 131)."/>
    <x v="74"/>
    <x v="1"/>
    <x v="26"/>
    <d v="1899-12-30T12:06:41"/>
    <s v="LIS"/>
    <x v="0"/>
    <x v="2"/>
    <x v="6"/>
    <x v="0"/>
  </r>
  <r>
    <s v="Duplicated Test Order for 30701223C received from host (LIS # 131)."/>
    <x v="74"/>
    <x v="1"/>
    <x v="26"/>
    <d v="1899-12-30T12:06:41"/>
    <s v="LIS"/>
    <x v="0"/>
    <x v="2"/>
    <x v="6"/>
    <x v="0"/>
  </r>
  <r>
    <s v="Duplicated Test Order for 30701223C received from host (LIS # 921)."/>
    <x v="74"/>
    <x v="1"/>
    <x v="26"/>
    <d v="1899-12-30T12:06:41"/>
    <s v="LIS"/>
    <x v="0"/>
    <x v="2"/>
    <x v="6"/>
    <x v="0"/>
  </r>
  <r>
    <s v="Duplicated Test Order for 30701249A received from host (LIS # 2101)."/>
    <x v="74"/>
    <x v="1"/>
    <x v="26"/>
    <d v="1899-12-30T12:06:41"/>
    <s v="LIS"/>
    <x v="0"/>
    <x v="2"/>
    <x v="6"/>
    <x v="0"/>
  </r>
  <r>
    <s v="Duplicated Test Order for 30701250A received from host (LIS # 131)."/>
    <x v="74"/>
    <x v="1"/>
    <x v="26"/>
    <d v="1899-12-30T12:06:41"/>
    <s v="LIS"/>
    <x v="0"/>
    <x v="2"/>
    <x v="6"/>
    <x v="0"/>
  </r>
  <r>
    <s v="Duplicated Test Order for 30701305A received from host (LIS # 131)."/>
    <x v="74"/>
    <x v="1"/>
    <x v="26"/>
    <d v="1899-12-30T12:06:41"/>
    <s v="LIS"/>
    <x v="0"/>
    <x v="2"/>
    <x v="6"/>
    <x v="0"/>
  </r>
  <r>
    <s v="Duplicated Test Order for 30701307A received from host (LIS # 131)."/>
    <x v="74"/>
    <x v="1"/>
    <x v="26"/>
    <d v="1899-12-30T12:06:41"/>
    <s v="LIS"/>
    <x v="0"/>
    <x v="2"/>
    <x v="6"/>
    <x v="0"/>
  </r>
  <r>
    <s v="Duplicated Test Order for 30701343C received from host (LIS # 131)."/>
    <x v="74"/>
    <x v="1"/>
    <x v="26"/>
    <d v="1899-12-30T12:06:41"/>
    <s v="LIS"/>
    <x v="0"/>
    <x v="2"/>
    <x v="6"/>
    <x v="0"/>
  </r>
  <r>
    <s v="Duplicated Test Order for 30701375B received from host (LIS # 131)."/>
    <x v="74"/>
    <x v="1"/>
    <x v="26"/>
    <d v="1899-12-30T12:06:41"/>
    <s v="LIS"/>
    <x v="0"/>
    <x v="2"/>
    <x v="6"/>
    <x v="0"/>
  </r>
  <r>
    <s v="Duplicated Test Order for 30701375B received from host (LIS # 921)."/>
    <x v="74"/>
    <x v="1"/>
    <x v="26"/>
    <d v="1899-12-30T12:06:41"/>
    <s v="LIS"/>
    <x v="0"/>
    <x v="2"/>
    <x v="6"/>
    <x v="0"/>
  </r>
  <r>
    <s v="Duplicated Test Order for 30701375B received from host (LIS # 2011)."/>
    <x v="74"/>
    <x v="1"/>
    <x v="26"/>
    <d v="1899-12-30T12:06:41"/>
    <s v="LIS"/>
    <x v="0"/>
    <x v="2"/>
    <x v="6"/>
    <x v="0"/>
  </r>
  <r>
    <s v="Duplicated Test Order for 30701418A received from host (LIS # 131)."/>
    <x v="74"/>
    <x v="1"/>
    <x v="26"/>
    <d v="1899-12-30T12:06:42"/>
    <s v="LIS"/>
    <x v="0"/>
    <x v="2"/>
    <x v="6"/>
    <x v="0"/>
  </r>
  <r>
    <s v="Duplicated Test Order for 30601355A received from host (LIS # 2101)."/>
    <x v="74"/>
    <x v="1"/>
    <x v="26"/>
    <d v="1899-12-30T12:07:06"/>
    <s v="LIS"/>
    <x v="0"/>
    <x v="2"/>
    <x v="6"/>
    <x v="0"/>
  </r>
  <r>
    <s v="Duplicated Test Order for 30601478A received from host (LIS # 921)."/>
    <x v="74"/>
    <x v="1"/>
    <x v="26"/>
    <d v="1899-12-30T12:07:06"/>
    <s v="LIS"/>
    <x v="0"/>
    <x v="2"/>
    <x v="6"/>
    <x v="0"/>
  </r>
  <r>
    <s v="Duplicated Test Order for 30601493D received from host (LIS # 131)."/>
    <x v="74"/>
    <x v="1"/>
    <x v="26"/>
    <d v="1899-12-30T12:07:06"/>
    <s v="LIS"/>
    <x v="0"/>
    <x v="2"/>
    <x v="6"/>
    <x v="0"/>
  </r>
  <r>
    <s v="Duplicated Test Order for 30601493D received from host (LIS # 921)."/>
    <x v="74"/>
    <x v="1"/>
    <x v="26"/>
    <d v="1899-12-30T12:07:07"/>
    <s v="LIS"/>
    <x v="0"/>
    <x v="2"/>
    <x v="6"/>
    <x v="0"/>
  </r>
  <r>
    <s v="Duplicated Test Order for 30601493D received from host (LIS # 2101)."/>
    <x v="74"/>
    <x v="1"/>
    <x v="26"/>
    <d v="1899-12-30T12:07:07"/>
    <s v="LIS"/>
    <x v="0"/>
    <x v="2"/>
    <x v="6"/>
    <x v="0"/>
  </r>
  <r>
    <s v="Duplicated Test Order for 30601496A received from host (LIS # 131)."/>
    <x v="74"/>
    <x v="1"/>
    <x v="26"/>
    <d v="1899-12-30T12:07:07"/>
    <s v="LIS"/>
    <x v="0"/>
    <x v="2"/>
    <x v="6"/>
    <x v="0"/>
  </r>
  <r>
    <s v="Duplicated Test Order for 30601510A received from host (LIS # 131)."/>
    <x v="74"/>
    <x v="1"/>
    <x v="26"/>
    <d v="1899-12-30T12:07:07"/>
    <s v="LIS"/>
    <x v="0"/>
    <x v="2"/>
    <x v="6"/>
    <x v="0"/>
  </r>
  <r>
    <s v="Duplicated Test Order for 30601528A received from host (LIS # 131)."/>
    <x v="74"/>
    <x v="1"/>
    <x v="26"/>
    <d v="1899-12-30T12:07:07"/>
    <s v="LIS"/>
    <x v="0"/>
    <x v="2"/>
    <x v="6"/>
    <x v="0"/>
  </r>
  <r>
    <s v="Duplicated Test Order for 30601551A received from host (LIS # 131)."/>
    <x v="74"/>
    <x v="1"/>
    <x v="26"/>
    <d v="1899-12-30T12:07:08"/>
    <s v="LIS"/>
    <x v="0"/>
    <x v="2"/>
    <x v="6"/>
    <x v="0"/>
  </r>
  <r>
    <s v="Duplicated Test Order for 30601551A received from host (LIS # 921)."/>
    <x v="74"/>
    <x v="1"/>
    <x v="26"/>
    <d v="1899-12-30T12:07:08"/>
    <s v="LIS"/>
    <x v="0"/>
    <x v="2"/>
    <x v="6"/>
    <x v="0"/>
  </r>
  <r>
    <s v="Duplicated Test Order for 30601551A received from host (LIS # 2011)."/>
    <x v="74"/>
    <x v="1"/>
    <x v="26"/>
    <d v="1899-12-30T12:07:08"/>
    <s v="LIS"/>
    <x v="0"/>
    <x v="2"/>
    <x v="6"/>
    <x v="0"/>
  </r>
  <r>
    <s v="Duplicated Test Order for 30601553B received from host (LIS # 131)."/>
    <x v="74"/>
    <x v="1"/>
    <x v="26"/>
    <d v="1899-12-30T12:07:08"/>
    <s v="LIS"/>
    <x v="0"/>
    <x v="2"/>
    <x v="6"/>
    <x v="0"/>
  </r>
  <r>
    <s v="Duplicated Test Order for 30601559A received from host (LIS # 2241)."/>
    <x v="74"/>
    <x v="1"/>
    <x v="26"/>
    <d v="1899-12-30T12:07:08"/>
    <s v="LIS"/>
    <x v="0"/>
    <x v="2"/>
    <x v="6"/>
    <x v="0"/>
  </r>
  <r>
    <s v="Duplicated Test Order for 30601564D received from host (LIS # 131)."/>
    <x v="74"/>
    <x v="1"/>
    <x v="26"/>
    <d v="1899-12-30T12:07:09"/>
    <s v="LIS"/>
    <x v="0"/>
    <x v="2"/>
    <x v="6"/>
    <x v="0"/>
  </r>
  <r>
    <s v="Duplicated Test Order for 30601588A received from host (LIS # 131)."/>
    <x v="74"/>
    <x v="1"/>
    <x v="26"/>
    <d v="1899-12-30T12:07:09"/>
    <s v="LIS"/>
    <x v="0"/>
    <x v="2"/>
    <x v="6"/>
    <x v="0"/>
  </r>
  <r>
    <s v="Duplicated Test Order for 30601600C received from host (LIS # 131)."/>
    <x v="74"/>
    <x v="1"/>
    <x v="26"/>
    <d v="1899-12-30T12:07:09"/>
    <s v="LIS"/>
    <x v="0"/>
    <x v="2"/>
    <x v="6"/>
    <x v="0"/>
  </r>
  <r>
    <s v="Duplicated Test Order for 30601600C received from host (LIS # 921)."/>
    <x v="74"/>
    <x v="1"/>
    <x v="26"/>
    <d v="1899-12-30T12:07:09"/>
    <s v="LIS"/>
    <x v="0"/>
    <x v="2"/>
    <x v="6"/>
    <x v="0"/>
  </r>
  <r>
    <s v="Duplicated Test Order for 30601602A received from host (LIS # 921)."/>
    <x v="74"/>
    <x v="1"/>
    <x v="26"/>
    <d v="1899-12-30T12:07:09"/>
    <s v="LIS"/>
    <x v="0"/>
    <x v="2"/>
    <x v="6"/>
    <x v="0"/>
  </r>
  <r>
    <s v="Duplicated Test Order for 30601604A received from host (LIS # 2101)."/>
    <x v="74"/>
    <x v="1"/>
    <x v="26"/>
    <d v="1899-12-30T12:07:09"/>
    <s v="LIS"/>
    <x v="0"/>
    <x v="2"/>
    <x v="6"/>
    <x v="0"/>
  </r>
  <r>
    <s v="Duplicated Test Order for 30601606A received from host (LIS # 2101)."/>
    <x v="74"/>
    <x v="1"/>
    <x v="26"/>
    <d v="1899-12-30T12:07:10"/>
    <s v="LIS"/>
    <x v="0"/>
    <x v="2"/>
    <x v="6"/>
    <x v="0"/>
  </r>
  <r>
    <s v="Duplicated Test Order for 30601626A received from host (LIS # 131)."/>
    <x v="74"/>
    <x v="1"/>
    <x v="26"/>
    <d v="1899-12-30T12:07:10"/>
    <s v="LIS"/>
    <x v="0"/>
    <x v="2"/>
    <x v="6"/>
    <x v="0"/>
  </r>
  <r>
    <s v="Duplicated Test Order for 30601666A received from host (LIS # 131)."/>
    <x v="74"/>
    <x v="1"/>
    <x v="26"/>
    <d v="1899-12-30T12:07:10"/>
    <s v="LIS"/>
    <x v="0"/>
    <x v="2"/>
    <x v="6"/>
    <x v="0"/>
  </r>
  <r>
    <s v="Duplicated Test Order for 30601676A received from host (LIS # 2101)."/>
    <x v="74"/>
    <x v="1"/>
    <x v="26"/>
    <d v="1899-12-30T12:07:10"/>
    <s v="LIS"/>
    <x v="0"/>
    <x v="2"/>
    <x v="6"/>
    <x v="0"/>
  </r>
  <r>
    <s v="Duplicated Test Order for 30601773A received from host (LIS # 131)."/>
    <x v="74"/>
    <x v="1"/>
    <x v="26"/>
    <d v="1899-12-30T12:07:10"/>
    <s v="LIS"/>
    <x v="0"/>
    <x v="2"/>
    <x v="6"/>
    <x v="0"/>
  </r>
  <r>
    <s v="Duplicated Test Order for 30601773A received from host (LIS # 921)."/>
    <x v="74"/>
    <x v="1"/>
    <x v="26"/>
    <d v="1899-12-30T12:07:11"/>
    <s v="LIS"/>
    <x v="0"/>
    <x v="2"/>
    <x v="6"/>
    <x v="0"/>
  </r>
  <r>
    <s v="Duplicated Test Order for 30601773A received from host (LIS # 2011)."/>
    <x v="74"/>
    <x v="1"/>
    <x v="26"/>
    <d v="1899-12-30T12:07:11"/>
    <s v="LIS"/>
    <x v="0"/>
    <x v="2"/>
    <x v="6"/>
    <x v="0"/>
  </r>
  <r>
    <s v="Duplicated Test Order for 30601803A received from host (LIS # 131)."/>
    <x v="74"/>
    <x v="1"/>
    <x v="26"/>
    <d v="1899-12-30T12:07:11"/>
    <s v="LIS"/>
    <x v="0"/>
    <x v="2"/>
    <x v="6"/>
    <x v="0"/>
  </r>
  <r>
    <s v="Duplicated Test Order for 30601818A received from host (LIS # 2241)."/>
    <x v="74"/>
    <x v="1"/>
    <x v="26"/>
    <d v="1899-12-30T12:07:11"/>
    <s v="LIS"/>
    <x v="0"/>
    <x v="2"/>
    <x v="6"/>
    <x v="0"/>
  </r>
  <r>
    <s v="Duplicated Test Order for 30601845A received from host (LIS # 921)."/>
    <x v="74"/>
    <x v="1"/>
    <x v="26"/>
    <d v="1899-12-30T12:07:11"/>
    <s v="LIS"/>
    <x v="0"/>
    <x v="2"/>
    <x v="6"/>
    <x v="0"/>
  </r>
  <r>
    <s v="Duplicated Test Order for 30601874A received from host (LIS # 131)."/>
    <x v="74"/>
    <x v="1"/>
    <x v="26"/>
    <d v="1899-12-30T12:07:11"/>
    <s v="LIS"/>
    <x v="0"/>
    <x v="2"/>
    <x v="6"/>
    <x v="0"/>
  </r>
  <r>
    <s v="Duplicated Test Order for 30601874A received from host (LIS # 921)."/>
    <x v="74"/>
    <x v="1"/>
    <x v="26"/>
    <d v="1899-12-30T12:07:12"/>
    <s v="LIS"/>
    <x v="0"/>
    <x v="2"/>
    <x v="6"/>
    <x v="0"/>
  </r>
  <r>
    <s v="Duplicated Test Order for 30601882A received from host (LIS # 131)."/>
    <x v="74"/>
    <x v="1"/>
    <x v="26"/>
    <d v="1899-12-30T12:07:12"/>
    <s v="LIS"/>
    <x v="0"/>
    <x v="2"/>
    <x v="6"/>
    <x v="0"/>
  </r>
  <r>
    <s v="Duplicated Test Order for 30601907A received from host (LIS # 131)."/>
    <x v="74"/>
    <x v="1"/>
    <x v="26"/>
    <d v="1899-12-30T12:07:12"/>
    <s v="LIS"/>
    <x v="0"/>
    <x v="2"/>
    <x v="6"/>
    <x v="0"/>
  </r>
  <r>
    <s v="Duplicated Test Order for 30601913B received from host (LIS # 2241)."/>
    <x v="74"/>
    <x v="1"/>
    <x v="26"/>
    <d v="1899-12-30T12:07:12"/>
    <s v="LIS"/>
    <x v="0"/>
    <x v="2"/>
    <x v="6"/>
    <x v="0"/>
  </r>
  <r>
    <s v="Duplicated Test Order for 30601919C received from host (LIS # 131)."/>
    <x v="74"/>
    <x v="1"/>
    <x v="26"/>
    <d v="1899-12-30T12:07:12"/>
    <s v="LIS"/>
    <x v="0"/>
    <x v="2"/>
    <x v="6"/>
    <x v="0"/>
  </r>
  <r>
    <s v="Duplicated Test Order for 30601919C received from host (LIS # 921)."/>
    <x v="74"/>
    <x v="1"/>
    <x v="26"/>
    <d v="1899-12-30T12:07:13"/>
    <s v="LIS"/>
    <x v="0"/>
    <x v="2"/>
    <x v="6"/>
    <x v="0"/>
  </r>
  <r>
    <s v="Duplicated Test Order for 30601960A received from host (LIS # 131)."/>
    <x v="74"/>
    <x v="1"/>
    <x v="26"/>
    <d v="1899-12-30T12:07:13"/>
    <s v="LIS"/>
    <x v="0"/>
    <x v="2"/>
    <x v="6"/>
    <x v="0"/>
  </r>
  <r>
    <s v="Duplicated Test Order for 30601960A received from host (LIS # 921)."/>
    <x v="74"/>
    <x v="1"/>
    <x v="26"/>
    <d v="1899-12-30T12:07:13"/>
    <s v="LIS"/>
    <x v="0"/>
    <x v="2"/>
    <x v="6"/>
    <x v="0"/>
  </r>
  <r>
    <s v="Duplicated Test Order for 30602082B received from host (LIS # 131)."/>
    <x v="74"/>
    <x v="1"/>
    <x v="26"/>
    <d v="1899-12-30T12:07:13"/>
    <s v="LIS"/>
    <x v="0"/>
    <x v="2"/>
    <x v="6"/>
    <x v="0"/>
  </r>
  <r>
    <s v="Duplicated Test Order for 30602138A received from host (LIS # 131)."/>
    <x v="74"/>
    <x v="1"/>
    <x v="26"/>
    <d v="1899-12-30T12:07:13"/>
    <s v="LIS"/>
    <x v="0"/>
    <x v="2"/>
    <x v="6"/>
    <x v="0"/>
  </r>
  <r>
    <s v="Duplicated Test Order for 30602138A received from host (LIS # 921)."/>
    <x v="74"/>
    <x v="1"/>
    <x v="26"/>
    <d v="1899-12-30T12:07:14"/>
    <s v="LIS"/>
    <x v="0"/>
    <x v="2"/>
    <x v="6"/>
    <x v="0"/>
  </r>
  <r>
    <s v="Duplicated Test Order for 30602174C received from host (LIS # 131)."/>
    <x v="74"/>
    <x v="1"/>
    <x v="26"/>
    <d v="1899-12-30T12:07:14"/>
    <s v="LIS"/>
    <x v="0"/>
    <x v="2"/>
    <x v="6"/>
    <x v="0"/>
  </r>
  <r>
    <s v="Duplicated Test Order for 30602174C received from host (LIS # 921)."/>
    <x v="74"/>
    <x v="1"/>
    <x v="26"/>
    <d v="1899-12-30T12:07:14"/>
    <s v="LIS"/>
    <x v="0"/>
    <x v="2"/>
    <x v="6"/>
    <x v="0"/>
  </r>
  <r>
    <s v="Duplicated Test Order for 30602222C received from host (LIS # 131)."/>
    <x v="74"/>
    <x v="1"/>
    <x v="26"/>
    <d v="1899-12-30T12:07:14"/>
    <s v="LIS"/>
    <x v="0"/>
    <x v="2"/>
    <x v="6"/>
    <x v="0"/>
  </r>
  <r>
    <s v="Duplicated Test Order for 30602225C received from host (LIS # 131)."/>
    <x v="74"/>
    <x v="1"/>
    <x v="26"/>
    <d v="1899-12-30T12:07:15"/>
    <s v="LIS"/>
    <x v="0"/>
    <x v="2"/>
    <x v="6"/>
    <x v="0"/>
  </r>
  <r>
    <s v="Duplicated Test Order for 30602225C received from host (LIS # 921)."/>
    <x v="74"/>
    <x v="1"/>
    <x v="26"/>
    <d v="1899-12-30T12:07:15"/>
    <s v="LIS"/>
    <x v="0"/>
    <x v="2"/>
    <x v="6"/>
    <x v="0"/>
  </r>
  <r>
    <s v="Duplicated Test Order for 30602233A received from host (LIS # 2101)."/>
    <x v="74"/>
    <x v="1"/>
    <x v="26"/>
    <d v="1899-12-30T12:07:15"/>
    <s v="LIS"/>
    <x v="0"/>
    <x v="2"/>
    <x v="6"/>
    <x v="0"/>
  </r>
  <r>
    <s v="Duplicated Test Order for 30602249C received from host (LIS # 131)."/>
    <x v="74"/>
    <x v="1"/>
    <x v="26"/>
    <d v="1899-12-30T12:07:15"/>
    <s v="LIS"/>
    <x v="0"/>
    <x v="2"/>
    <x v="6"/>
    <x v="0"/>
  </r>
  <r>
    <s v="Duplicated Test Order for 30602249C received from host (LIS # 921)."/>
    <x v="74"/>
    <x v="1"/>
    <x v="26"/>
    <d v="1899-12-30T12:07:15"/>
    <s v="LIS"/>
    <x v="0"/>
    <x v="2"/>
    <x v="6"/>
    <x v="0"/>
  </r>
  <r>
    <s v="Duplicated Test Order for 30602251A received from host (LIS # 131)."/>
    <x v="74"/>
    <x v="1"/>
    <x v="26"/>
    <d v="1899-12-30T12:07:16"/>
    <s v="LIS"/>
    <x v="0"/>
    <x v="2"/>
    <x v="6"/>
    <x v="0"/>
  </r>
  <r>
    <s v="Duplicated Test Order for 30602251A received from host (LIS # 921)."/>
    <x v="74"/>
    <x v="1"/>
    <x v="26"/>
    <d v="1899-12-30T12:07:16"/>
    <s v="LIS"/>
    <x v="0"/>
    <x v="2"/>
    <x v="6"/>
    <x v="0"/>
  </r>
  <r>
    <s v="Duplicated Test Order for 30602286A received from host (LIS # 2011)."/>
    <x v="74"/>
    <x v="1"/>
    <x v="26"/>
    <d v="1899-12-30T12:07:16"/>
    <s v="LIS"/>
    <x v="0"/>
    <x v="2"/>
    <x v="6"/>
    <x v="0"/>
  </r>
  <r>
    <s v="Duplicated Test Order for 30602312B received from host (LIS # 131)."/>
    <x v="74"/>
    <x v="1"/>
    <x v="26"/>
    <d v="1899-12-30T12:07:16"/>
    <s v="LIS"/>
    <x v="0"/>
    <x v="2"/>
    <x v="6"/>
    <x v="0"/>
  </r>
  <r>
    <s v="Duplicated Test Order for 30602325B received from host (LIS # 131)."/>
    <x v="74"/>
    <x v="1"/>
    <x v="26"/>
    <d v="1899-12-30T12:07:16"/>
    <s v="LIS"/>
    <x v="0"/>
    <x v="2"/>
    <x v="6"/>
    <x v="0"/>
  </r>
  <r>
    <s v="Duplicated Test Order for 30602325B received from host (LIS # 921)."/>
    <x v="74"/>
    <x v="1"/>
    <x v="26"/>
    <d v="1899-12-30T12:07:17"/>
    <s v="LIS"/>
    <x v="0"/>
    <x v="2"/>
    <x v="6"/>
    <x v="0"/>
  </r>
  <r>
    <s v="Duplicated Test Order for 30602325B received from host (LIS # 2011)."/>
    <x v="74"/>
    <x v="1"/>
    <x v="26"/>
    <d v="1899-12-30T12:07:17"/>
    <s v="LIS"/>
    <x v="0"/>
    <x v="2"/>
    <x v="6"/>
    <x v="0"/>
  </r>
  <r>
    <s v="Duplicated Test Order for 30602332A received from host (LIS # 921)."/>
    <x v="74"/>
    <x v="1"/>
    <x v="26"/>
    <d v="1899-12-30T12:07:17"/>
    <s v="LIS"/>
    <x v="0"/>
    <x v="2"/>
    <x v="6"/>
    <x v="0"/>
  </r>
  <r>
    <s v="Duplicated Test Order for 30602345B received from host (LIS # 131)."/>
    <x v="74"/>
    <x v="1"/>
    <x v="26"/>
    <d v="1899-12-30T12:07:17"/>
    <s v="LIS"/>
    <x v="0"/>
    <x v="2"/>
    <x v="6"/>
    <x v="0"/>
  </r>
  <r>
    <s v="Duplicated Test Order for 30602345B received from host (LIS # 921)."/>
    <x v="74"/>
    <x v="1"/>
    <x v="26"/>
    <d v="1899-12-30T12:07:17"/>
    <s v="LIS"/>
    <x v="0"/>
    <x v="2"/>
    <x v="6"/>
    <x v="0"/>
  </r>
  <r>
    <s v="Duplicated Test Order for 30602363A received from host (LIS # 131)."/>
    <x v="74"/>
    <x v="1"/>
    <x v="26"/>
    <d v="1899-12-30T12:07:18"/>
    <s v="LIS"/>
    <x v="0"/>
    <x v="2"/>
    <x v="6"/>
    <x v="0"/>
  </r>
  <r>
    <s v="Duplicated Test Order for 30602382A received from host (LIS # 921)."/>
    <x v="74"/>
    <x v="1"/>
    <x v="26"/>
    <d v="1899-12-30T12:07:18"/>
    <s v="LIS"/>
    <x v="0"/>
    <x v="2"/>
    <x v="6"/>
    <x v="0"/>
  </r>
  <r>
    <s v="Duplicated Test Order for 30602414B received from host (LIS # 131)."/>
    <x v="74"/>
    <x v="1"/>
    <x v="26"/>
    <d v="1899-12-30T12:07:18"/>
    <s v="LIS"/>
    <x v="0"/>
    <x v="2"/>
    <x v="6"/>
    <x v="0"/>
  </r>
  <r>
    <s v="Duplicated Test Order for 30602476A received from host (LIS # 2101)."/>
    <x v="74"/>
    <x v="1"/>
    <x v="26"/>
    <d v="1899-12-30T12:07:18"/>
    <s v="LIS"/>
    <x v="0"/>
    <x v="2"/>
    <x v="6"/>
    <x v="0"/>
  </r>
  <r>
    <s v="Duplicated Test Order for 30602498A received from host (LIS # 131)."/>
    <x v="74"/>
    <x v="1"/>
    <x v="26"/>
    <d v="1899-12-30T12:07:18"/>
    <s v="LIS"/>
    <x v="0"/>
    <x v="2"/>
    <x v="6"/>
    <x v="0"/>
  </r>
  <r>
    <s v="Duplicated Test Order for 30602518A received from host (LIS # 131)."/>
    <x v="74"/>
    <x v="1"/>
    <x v="26"/>
    <d v="1899-12-30T12:07:18"/>
    <s v="LIS"/>
    <x v="0"/>
    <x v="2"/>
    <x v="6"/>
    <x v="0"/>
  </r>
  <r>
    <s v="Duplicated Test Order for 30602520B received from host (LIS # 131)."/>
    <x v="74"/>
    <x v="1"/>
    <x v="26"/>
    <d v="1899-12-30T12:07:18"/>
    <s v="LIS"/>
    <x v="0"/>
    <x v="2"/>
    <x v="6"/>
    <x v="0"/>
  </r>
  <r>
    <s v="Duplicated Test Order for 30602538B received from host (LIS # 131)."/>
    <x v="74"/>
    <x v="1"/>
    <x v="26"/>
    <d v="1899-12-30T12:07:19"/>
    <s v="LIS"/>
    <x v="0"/>
    <x v="2"/>
    <x v="6"/>
    <x v="0"/>
  </r>
  <r>
    <s v="Duplicated Test Order for 30602555C received from host (LIS # 131)."/>
    <x v="74"/>
    <x v="1"/>
    <x v="26"/>
    <d v="1899-12-30T12:07:19"/>
    <s v="LIS"/>
    <x v="0"/>
    <x v="2"/>
    <x v="6"/>
    <x v="0"/>
  </r>
  <r>
    <s v="Duplicated Test Order for 30602555C received from host (LIS # 2011)."/>
    <x v="74"/>
    <x v="1"/>
    <x v="26"/>
    <d v="1899-12-30T12:07:19"/>
    <s v="LIS"/>
    <x v="0"/>
    <x v="2"/>
    <x v="6"/>
    <x v="0"/>
  </r>
  <r>
    <s v="Duplicated Test Order for 30602558A received from host (LIS # 2101)."/>
    <x v="74"/>
    <x v="1"/>
    <x v="26"/>
    <d v="1899-12-30T12:07:19"/>
    <s v="LIS"/>
    <x v="0"/>
    <x v="2"/>
    <x v="6"/>
    <x v="0"/>
  </r>
  <r>
    <s v="Duplicated Test Order for 30602577A received from host (LIS # 131)."/>
    <x v="74"/>
    <x v="1"/>
    <x v="26"/>
    <d v="1899-12-30T12:07:19"/>
    <s v="LIS"/>
    <x v="0"/>
    <x v="2"/>
    <x v="6"/>
    <x v="0"/>
  </r>
  <r>
    <s v="Duplicated Test Order for 30602589A received from host (LIS # 131)."/>
    <x v="74"/>
    <x v="1"/>
    <x v="26"/>
    <d v="1899-12-30T12:07:19"/>
    <s v="LIS"/>
    <x v="0"/>
    <x v="2"/>
    <x v="6"/>
    <x v="0"/>
  </r>
  <r>
    <s v="Duplicated Test Order for 30602590A received from host (LIS # 131)."/>
    <x v="74"/>
    <x v="1"/>
    <x v="26"/>
    <d v="1899-12-30T12:07:20"/>
    <s v="LIS"/>
    <x v="0"/>
    <x v="2"/>
    <x v="6"/>
    <x v="0"/>
  </r>
  <r>
    <s v="Duplicated Test Order for 30602591B received from host (LIS # 131)."/>
    <x v="74"/>
    <x v="1"/>
    <x v="26"/>
    <d v="1899-12-30T12:07:20"/>
    <s v="LIS"/>
    <x v="0"/>
    <x v="2"/>
    <x v="6"/>
    <x v="0"/>
  </r>
  <r>
    <s v="Duplicated Test Order for 30602650C received from host (LIS # 131)."/>
    <x v="74"/>
    <x v="1"/>
    <x v="26"/>
    <d v="1899-12-30T12:07:20"/>
    <s v="LIS"/>
    <x v="0"/>
    <x v="2"/>
    <x v="6"/>
    <x v="0"/>
  </r>
  <r>
    <s v="Duplicated Test Order for 30602650C received from host (LIS # 921)."/>
    <x v="74"/>
    <x v="1"/>
    <x v="26"/>
    <d v="1899-12-30T12:07:20"/>
    <s v="LIS"/>
    <x v="0"/>
    <x v="2"/>
    <x v="6"/>
    <x v="0"/>
  </r>
  <r>
    <s v="Duplicated Test Order for 30602685A received from host (LIS # 2101)."/>
    <x v="74"/>
    <x v="1"/>
    <x v="26"/>
    <d v="1899-12-30T12:07:20"/>
    <s v="LIS"/>
    <x v="0"/>
    <x v="2"/>
    <x v="6"/>
    <x v="0"/>
  </r>
  <r>
    <s v="Duplicated Test Order for 30602690A received from host (LIS # 131)."/>
    <x v="74"/>
    <x v="1"/>
    <x v="26"/>
    <d v="1899-12-30T12:07:21"/>
    <s v="LIS"/>
    <x v="0"/>
    <x v="2"/>
    <x v="6"/>
    <x v="0"/>
  </r>
  <r>
    <s v="Duplicated Test Order for 30602694C received from host (LIS # 131)."/>
    <x v="74"/>
    <x v="1"/>
    <x v="26"/>
    <d v="1899-12-30T12:07:21"/>
    <s v="LIS"/>
    <x v="0"/>
    <x v="2"/>
    <x v="6"/>
    <x v="0"/>
  </r>
  <r>
    <s v="Duplicated Test Order for 30602694C received from host (LIS # 921)."/>
    <x v="74"/>
    <x v="1"/>
    <x v="26"/>
    <d v="1899-12-30T12:07:21"/>
    <s v="LIS"/>
    <x v="0"/>
    <x v="2"/>
    <x v="6"/>
    <x v="0"/>
  </r>
  <r>
    <s v="Duplicated Test Order for 30602750A received from host (LIS # 131)."/>
    <x v="74"/>
    <x v="1"/>
    <x v="26"/>
    <d v="1899-12-30T12:07:21"/>
    <s v="LIS"/>
    <x v="0"/>
    <x v="2"/>
    <x v="6"/>
    <x v="0"/>
  </r>
  <r>
    <s v="Duplicated Test Order for 30602750A received from host (LIS # 921)."/>
    <x v="74"/>
    <x v="1"/>
    <x v="26"/>
    <d v="1899-12-30T12:07:22"/>
    <s v="LIS"/>
    <x v="0"/>
    <x v="2"/>
    <x v="6"/>
    <x v="0"/>
  </r>
  <r>
    <s v="Duplicated Test Order for 30602750A received from host (LIS # 2011)."/>
    <x v="74"/>
    <x v="1"/>
    <x v="26"/>
    <d v="1899-12-30T12:07:22"/>
    <s v="LIS"/>
    <x v="0"/>
    <x v="2"/>
    <x v="6"/>
    <x v="0"/>
  </r>
  <r>
    <s v="Duplicated Test Order for 30602778B received from host (LIS # 131)."/>
    <x v="74"/>
    <x v="1"/>
    <x v="26"/>
    <d v="1899-12-30T12:07:23"/>
    <s v="LIS"/>
    <x v="0"/>
    <x v="2"/>
    <x v="6"/>
    <x v="0"/>
  </r>
  <r>
    <s v="Duplicated Test Order for 30602820C received from host (LIS # 131)."/>
    <x v="74"/>
    <x v="1"/>
    <x v="26"/>
    <d v="1899-12-30T12:07:23"/>
    <s v="LIS"/>
    <x v="0"/>
    <x v="2"/>
    <x v="6"/>
    <x v="0"/>
  </r>
  <r>
    <s v="Duplicated Test Order for 30602820C received from host (LIS # 921)."/>
    <x v="74"/>
    <x v="1"/>
    <x v="26"/>
    <d v="1899-12-30T12:07:23"/>
    <s v="LIS"/>
    <x v="0"/>
    <x v="2"/>
    <x v="6"/>
    <x v="0"/>
  </r>
  <r>
    <s v="Duplicated Test Order for 30602822C received from host (LIS # 131)."/>
    <x v="74"/>
    <x v="1"/>
    <x v="26"/>
    <d v="1899-12-30T12:07:23"/>
    <s v="LIS"/>
    <x v="0"/>
    <x v="2"/>
    <x v="6"/>
    <x v="0"/>
  </r>
  <r>
    <s v="Duplicated Test Order for 30602822C received from host (LIS # 921)."/>
    <x v="74"/>
    <x v="1"/>
    <x v="26"/>
    <d v="1899-12-30T12:07:24"/>
    <s v="LIS"/>
    <x v="0"/>
    <x v="2"/>
    <x v="6"/>
    <x v="0"/>
  </r>
  <r>
    <s v="Duplicated Test Order for 30602850D received from host (LIS # 131)."/>
    <x v="74"/>
    <x v="1"/>
    <x v="26"/>
    <d v="1899-12-30T12:07:24"/>
    <s v="LIS"/>
    <x v="0"/>
    <x v="2"/>
    <x v="6"/>
    <x v="0"/>
  </r>
  <r>
    <s v="Duplicated Test Order for 30602850D received from host (LIS # 921)."/>
    <x v="74"/>
    <x v="1"/>
    <x v="26"/>
    <d v="1899-12-30T12:07:24"/>
    <s v="LIS"/>
    <x v="0"/>
    <x v="2"/>
    <x v="6"/>
    <x v="0"/>
  </r>
  <r>
    <s v="Duplicated Test Order for 30602853B received from host (LIS # 131)."/>
    <x v="74"/>
    <x v="1"/>
    <x v="26"/>
    <d v="1899-12-30T12:07:24"/>
    <s v="LIS"/>
    <x v="0"/>
    <x v="2"/>
    <x v="6"/>
    <x v="0"/>
  </r>
  <r>
    <s v="Duplicated Test Order for 30602865A received from host (LIS # 131)."/>
    <x v="74"/>
    <x v="1"/>
    <x v="26"/>
    <d v="1899-12-30T12:07:24"/>
    <s v="LIS"/>
    <x v="0"/>
    <x v="2"/>
    <x v="6"/>
    <x v="0"/>
  </r>
  <r>
    <s v="Duplicated Test Order for 30602890C received from host (LIS # 131)."/>
    <x v="74"/>
    <x v="1"/>
    <x v="26"/>
    <d v="1899-12-30T12:07:24"/>
    <s v="LIS"/>
    <x v="0"/>
    <x v="2"/>
    <x v="6"/>
    <x v="0"/>
  </r>
  <r>
    <s v="Duplicated Test Order for 30602931A received from host (LIS # 2101)."/>
    <x v="74"/>
    <x v="1"/>
    <x v="26"/>
    <d v="1899-12-30T12:07:24"/>
    <s v="LIS"/>
    <x v="0"/>
    <x v="2"/>
    <x v="6"/>
    <x v="0"/>
  </r>
  <r>
    <s v="Duplicated Test Order for 30602941C received from host (LIS # 2241)."/>
    <x v="74"/>
    <x v="1"/>
    <x v="26"/>
    <d v="1899-12-30T12:07:24"/>
    <s v="LIS"/>
    <x v="0"/>
    <x v="2"/>
    <x v="6"/>
    <x v="0"/>
  </r>
  <r>
    <s v="Duplicated Test Order for 30602962A received from host (LIS # 2241)."/>
    <x v="74"/>
    <x v="1"/>
    <x v="26"/>
    <d v="1899-12-30T12:07:24"/>
    <s v="LIS"/>
    <x v="0"/>
    <x v="2"/>
    <x v="6"/>
    <x v="0"/>
  </r>
  <r>
    <s v="Duplicated Test Order for 30602964A received from host (LIS # 2241)."/>
    <x v="74"/>
    <x v="1"/>
    <x v="26"/>
    <d v="1899-12-30T12:07:25"/>
    <s v="LIS"/>
    <x v="0"/>
    <x v="2"/>
    <x v="6"/>
    <x v="0"/>
  </r>
  <r>
    <s v="Duplicated Test Order for 30602977C received from host (LIS # 131)."/>
    <x v="74"/>
    <x v="1"/>
    <x v="26"/>
    <d v="1899-12-30T12:07:25"/>
    <s v="LIS"/>
    <x v="0"/>
    <x v="2"/>
    <x v="6"/>
    <x v="0"/>
  </r>
  <r>
    <s v="Duplicated Test Order for 30602977C received from host (LIS # 921)."/>
    <x v="74"/>
    <x v="1"/>
    <x v="26"/>
    <d v="1899-12-30T12:07:26"/>
    <s v="LIS"/>
    <x v="0"/>
    <x v="2"/>
    <x v="6"/>
    <x v="0"/>
  </r>
  <r>
    <s v="Duplicated Test Order for 30602977C received from host (LIS # 2011)."/>
    <x v="74"/>
    <x v="1"/>
    <x v="26"/>
    <d v="1899-12-30T12:07:26"/>
    <s v="LIS"/>
    <x v="0"/>
    <x v="2"/>
    <x v="6"/>
    <x v="0"/>
  </r>
  <r>
    <s v="Duplicated Test Order for 30602990A received from host (LIS # 131)."/>
    <x v="74"/>
    <x v="1"/>
    <x v="26"/>
    <d v="1899-12-30T12:07:26"/>
    <s v="LIS"/>
    <x v="0"/>
    <x v="2"/>
    <x v="6"/>
    <x v="0"/>
  </r>
  <r>
    <s v="Duplicated Test Order for 30603019A received from host (LIS # 131)."/>
    <x v="74"/>
    <x v="1"/>
    <x v="26"/>
    <d v="1899-12-30T12:07:26"/>
    <s v="LIS"/>
    <x v="0"/>
    <x v="2"/>
    <x v="6"/>
    <x v="0"/>
  </r>
  <r>
    <s v="Duplicated Test Order for 30603022A received from host (LIS # 131)."/>
    <x v="74"/>
    <x v="1"/>
    <x v="26"/>
    <d v="1899-12-30T12:07:27"/>
    <s v="LIS"/>
    <x v="0"/>
    <x v="2"/>
    <x v="6"/>
    <x v="0"/>
  </r>
  <r>
    <s v="Duplicated Test Order for 30603022A received from host (LIS # 921)."/>
    <x v="74"/>
    <x v="1"/>
    <x v="26"/>
    <d v="1899-12-30T12:07:27"/>
    <s v="LIS"/>
    <x v="0"/>
    <x v="2"/>
    <x v="6"/>
    <x v="0"/>
  </r>
  <r>
    <s v="Duplicated Test Order for 30603022A received from host (LIS # 2011)."/>
    <x v="74"/>
    <x v="1"/>
    <x v="26"/>
    <d v="1899-12-30T12:07:27"/>
    <s v="LIS"/>
    <x v="0"/>
    <x v="2"/>
    <x v="6"/>
    <x v="0"/>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r>
    <m/>
    <x v="77"/>
    <x v="3"/>
    <x v="27"/>
    <m/>
    <m/>
    <x v="1"/>
    <x v="4"/>
    <x v="7"/>
    <x v="1"/>
  </r>
</pivotCacheRecords>
</file>

<file path=xl/pivotCache/pivotCacheRecords3.xml><?xml version="1.0" encoding="utf-8"?>
<pivotCacheRecords xmlns="http://schemas.openxmlformats.org/spreadsheetml/2006/main" xmlns:r="http://schemas.openxmlformats.org/officeDocument/2006/relationships" count="587">
  <r>
    <x v="0"/>
    <x v="0"/>
    <s v="A non-recoverable error occurred in the CM/AM Communications Manager (e.g., loss of connection)."/>
    <x v="0"/>
    <x v="0"/>
    <s v="Error"/>
    <s v="Questionable"/>
    <s v="HW/SW Error"/>
    <x v="0"/>
    <x v="0"/>
    <n v="0"/>
  </r>
  <r>
    <x v="1"/>
    <x v="1"/>
    <s v="Failure of LRC or CRC check."/>
    <x v="0"/>
    <x v="0"/>
    <s v="Error"/>
    <s v="Questionable"/>
    <s v="HW/SW Error"/>
    <x v="0"/>
    <x v="1"/>
    <n v="0"/>
  </r>
  <r>
    <x v="2"/>
    <x v="2"/>
    <s v="One of the AM processors failed to initialize, due to an Invalid Controller ID. "/>
    <x v="0"/>
    <x v="0"/>
    <s v="Error"/>
    <s v="Rare"/>
    <s v="N/A"/>
    <x v="0"/>
    <x v="2"/>
    <n v="0"/>
  </r>
  <r>
    <x v="3"/>
    <x v="3"/>
    <s v="One of the AM processors failed to initialize, due to an Invalid Controller ID. "/>
    <x v="0"/>
    <x v="0"/>
    <s v="N/A"/>
    <s v="Rare"/>
    <s v="N/A"/>
    <x v="0"/>
    <x v="2"/>
    <n v="0"/>
  </r>
  <r>
    <x v="4"/>
    <x v="4"/>
    <s v="One of the AM processors failed to initialize, due to an Invalid Controller ID. "/>
    <x v="0"/>
    <x v="0"/>
    <s v="N/A"/>
    <s v="Rare"/>
    <s v="N/A"/>
    <x v="0"/>
    <x v="2"/>
    <n v="0"/>
  </r>
  <r>
    <x v="5"/>
    <x v="5"/>
    <s v="One of the AM processors failed to initialize, due to an Invalid Controller ID."/>
    <x v="0"/>
    <x v="0"/>
    <s v="N/A"/>
    <s v="Rare"/>
    <s v="N/A"/>
    <x v="0"/>
    <x v="2"/>
    <n v="0"/>
  </r>
  <r>
    <x v="6"/>
    <x v="6"/>
    <s v="One of the AM processors failed to initialize, due to an Invalid Controller ID."/>
    <x v="0"/>
    <x v="0"/>
    <s v="Error"/>
    <s v="Rare"/>
    <s v="N/A"/>
    <x v="0"/>
    <x v="2"/>
    <n v="0"/>
  </r>
  <r>
    <x v="7"/>
    <x v="7"/>
    <s v="One of the AM processors failed to initialize, due to an Invalid Controller ID. "/>
    <x v="0"/>
    <x v="0"/>
    <s v="Error"/>
    <s v="Rare"/>
    <s v="N/A"/>
    <x v="0"/>
    <x v="2"/>
    <n v="0"/>
  </r>
  <r>
    <x v="8"/>
    <x v="8"/>
    <s v="One of the AM processors failed to initialize, due to an Invalid Controller ID. "/>
    <x v="0"/>
    <x v="0"/>
    <s v="Error"/>
    <s v="Rare"/>
    <s v="N/A"/>
    <x v="0"/>
    <x v="2"/>
    <n v="0"/>
  </r>
  <r>
    <x v="9"/>
    <x v="9"/>
    <s v="Invalid parameter provided in a function call, message queue or inter-task communication mechanism. "/>
    <x v="0"/>
    <x v="0"/>
    <s v="Error"/>
    <s v="Rare"/>
    <s v="N/A"/>
    <x v="0"/>
    <x v="2"/>
    <n v="0"/>
  </r>
  <r>
    <x v="10"/>
    <x v="10"/>
    <s v="Invalid parameter provided in a function call, message queue or inter-task communication mechanism. "/>
    <x v="0"/>
    <x v="0"/>
    <s v="Error"/>
    <s v="Rare"/>
    <s v="N/A"/>
    <x v="0"/>
    <x v="2"/>
    <n v="0"/>
  </r>
  <r>
    <x v="11"/>
    <x v="11"/>
    <s v="Invalid parameter provided in a function call, message queue or inter-task communication mechanism. "/>
    <x v="0"/>
    <x v="0"/>
    <s v="Error"/>
    <s v="Rare"/>
    <s v="N/A"/>
    <x v="0"/>
    <x v="2"/>
    <n v="0"/>
  </r>
  <r>
    <x v="12"/>
    <x v="12"/>
    <s v="Invalid parameter provided in a function call, message queue or inter-task communication mechanism. "/>
    <x v="0"/>
    <x v="0"/>
    <s v="Error"/>
    <s v="Rare"/>
    <s v="N/A"/>
    <x v="0"/>
    <x v="2"/>
    <n v="0"/>
  </r>
  <r>
    <x v="13"/>
    <x v="13"/>
    <s v="Invalid parameter provided in a function call, message queue or inter-task communication mechanism. "/>
    <x v="0"/>
    <x v="0"/>
    <s v="Error"/>
    <s v="Rare"/>
    <s v="N/A"/>
    <x v="0"/>
    <x v="2"/>
    <n v="0"/>
  </r>
  <r>
    <x v="14"/>
    <x v="14"/>
    <s v="Invalid parameter provided in a function call, message queue or inter-task communication mechanism. "/>
    <x v="0"/>
    <x v="0"/>
    <s v="N/A"/>
    <s v="Rare"/>
    <s v="N/A"/>
    <x v="0"/>
    <x v="2"/>
    <n v="0"/>
  </r>
  <r>
    <x v="15"/>
    <x v="15"/>
    <s v="A non-recoverable error occurred in the Controller Communications Manager or the low level CAN bus driver (master or controller side."/>
    <x v="0"/>
    <x v="0"/>
    <s v="Error"/>
    <s v="Questionable"/>
    <s v="HW/SW Error"/>
    <x v="0"/>
    <x v="1"/>
    <n v="0"/>
  </r>
  <r>
    <x v="16"/>
    <x v="16"/>
    <s v="Invalid parameter provided in a function call, message queue or inter-task communication mechanism. "/>
    <x v="0"/>
    <x v="0"/>
    <s v="N/A"/>
    <s v="Rare"/>
    <s v="N/A"/>
    <x v="0"/>
    <x v="2"/>
    <n v="0"/>
  </r>
  <r>
    <x v="17"/>
    <x v="17"/>
    <s v="Invalid parameter provided in a function call, message queue or inter-task communication mechanism. "/>
    <x v="0"/>
    <x v="0"/>
    <s v="N/A"/>
    <s v="Rare"/>
    <s v="N/A"/>
    <x v="0"/>
    <x v="2"/>
    <n v="0"/>
  </r>
  <r>
    <x v="18"/>
    <x v="10"/>
    <s v="Memory allocation failed or stack usage exceeds limit."/>
    <x v="0"/>
    <x v="0"/>
    <s v="Error"/>
    <s v="Rare"/>
    <s v="N/A"/>
    <x v="0"/>
    <x v="2"/>
    <n v="0"/>
  </r>
  <r>
    <x v="19"/>
    <x v="10"/>
    <s v="Error detected when calling kernel facilities."/>
    <x v="0"/>
    <x v="0"/>
    <s v="Error"/>
    <s v="Rare"/>
    <s v="N/A"/>
    <x v="0"/>
    <x v="2"/>
    <n v="0"/>
  </r>
  <r>
    <x v="20"/>
    <x v="11"/>
    <s v="Error detected when calling kernel facilities."/>
    <x v="0"/>
    <x v="0"/>
    <s v="Error"/>
    <s v="Rare"/>
    <s v="N/A"/>
    <x v="0"/>
    <x v="2"/>
    <n v="0"/>
  </r>
  <r>
    <x v="21"/>
    <x v="12"/>
    <s v="Error detected when calling kernel facilities."/>
    <x v="0"/>
    <x v="0"/>
    <s v="Error"/>
    <s v="Rare"/>
    <s v="N/A"/>
    <x v="0"/>
    <x v="2"/>
    <n v="0"/>
  </r>
  <r>
    <x v="22"/>
    <x v="13"/>
    <s v="Error detected when calling kernel facilities."/>
    <x v="0"/>
    <x v="0"/>
    <s v="Error"/>
    <s v="Rare"/>
    <s v="N/A"/>
    <x v="0"/>
    <x v="2"/>
    <n v="0"/>
  </r>
  <r>
    <x v="23"/>
    <x v="18"/>
    <s v="Error detected when calling kernel facilities."/>
    <x v="0"/>
    <x v="0"/>
    <s v="Error"/>
    <s v="Rare"/>
    <s v="N/A"/>
    <x v="0"/>
    <x v="2"/>
    <n v="0"/>
  </r>
  <r>
    <x v="24"/>
    <x v="10"/>
    <s v="Software logic error such as an invalid path in a switch statement or if.else branch."/>
    <x v="0"/>
    <x v="0"/>
    <s v="Error"/>
    <s v="Questionable"/>
    <s v="HW/SW Error"/>
    <x v="0"/>
    <x v="1"/>
    <n v="0"/>
  </r>
  <r>
    <x v="25"/>
    <x v="11"/>
    <s v="Software logic error such as an invalid path in a switch statement or if.else branch."/>
    <x v="0"/>
    <x v="0"/>
    <s v="Error"/>
    <s v="Rare"/>
    <s v="N/A"/>
    <x v="0"/>
    <x v="2"/>
    <n v="0"/>
  </r>
  <r>
    <x v="26"/>
    <x v="12"/>
    <s v="Software logic error such as an invalid path in a switch statement or if.else branch."/>
    <x v="0"/>
    <x v="0"/>
    <s v="Error"/>
    <s v="Rare"/>
    <s v="N/A"/>
    <x v="0"/>
    <x v="2"/>
    <n v="0"/>
  </r>
  <r>
    <x v="27"/>
    <x v="13"/>
    <s v="Software logic error such as an invalid path in a switch statement or if.else branch."/>
    <x v="0"/>
    <x v="0"/>
    <s v="Error"/>
    <s v="Rare"/>
    <s v="N/A"/>
    <x v="0"/>
    <x v="2"/>
    <n v="0"/>
  </r>
  <r>
    <x v="28"/>
    <x v="18"/>
    <s v="Software logic error such as an invalid path in a switch statement or if.else branch."/>
    <x v="0"/>
    <x v="0"/>
    <s v="Error"/>
    <s v="Rare"/>
    <s v="N/A"/>
    <x v="0"/>
    <x v="2"/>
    <n v="0"/>
  </r>
  <r>
    <x v="29"/>
    <x v="10"/>
    <s v="Invalid state for an event, function call, message, etc"/>
    <x v="0"/>
    <x v="0"/>
    <s v="Error"/>
    <s v="Rare"/>
    <s v="N/A"/>
    <x v="0"/>
    <x v="2"/>
    <n v="0"/>
  </r>
  <r>
    <x v="30"/>
    <x v="11"/>
    <s v="Invalid state for an event, function call, message, etc"/>
    <x v="0"/>
    <x v="0"/>
    <s v="Error"/>
    <s v="Rare"/>
    <s v="N/A"/>
    <x v="0"/>
    <x v="2"/>
    <n v="0"/>
  </r>
  <r>
    <x v="31"/>
    <x v="12"/>
    <s v="Invalid state for an event, function call, message, etc"/>
    <x v="0"/>
    <x v="0"/>
    <s v="Error"/>
    <s v="Rare"/>
    <s v="N/A"/>
    <x v="0"/>
    <x v="2"/>
    <n v="0"/>
  </r>
  <r>
    <x v="32"/>
    <x v="13"/>
    <s v="Invalid state for an event, function call, message, etc"/>
    <x v="0"/>
    <x v="0"/>
    <s v="Error"/>
    <s v="Rare"/>
    <s v="N/A"/>
    <x v="0"/>
    <x v="2"/>
    <n v="0"/>
  </r>
  <r>
    <x v="33"/>
    <x v="18"/>
    <s v="Invalid state for an event, function call, message, etc"/>
    <x v="0"/>
    <x v="0"/>
    <s v="Error"/>
    <s v="Rare"/>
    <s v="N/A"/>
    <x v="0"/>
    <x v="2"/>
    <n v="0"/>
  </r>
  <r>
    <x v="34"/>
    <x v="10"/>
    <s v="It was detected that there is a potential for a stack problem."/>
    <x v="0"/>
    <x v="0"/>
    <s v="Error"/>
    <s v="Rare"/>
    <s v="N/A"/>
    <x v="0"/>
    <x v="2"/>
    <n v="0"/>
  </r>
  <r>
    <x v="35"/>
    <x v="11"/>
    <s v="It was detected that there is a potential for a stack problem."/>
    <x v="0"/>
    <x v="0"/>
    <s v="Error"/>
    <s v="Rare"/>
    <s v="N/A"/>
    <x v="0"/>
    <x v="2"/>
    <n v="0"/>
  </r>
  <r>
    <x v="36"/>
    <x v="12"/>
    <s v="It was detected that there is a potential for a stack problem."/>
    <x v="0"/>
    <x v="0"/>
    <s v="Error"/>
    <s v="Rare"/>
    <s v="N/A"/>
    <x v="0"/>
    <x v="2"/>
    <n v="0"/>
  </r>
  <r>
    <x v="37"/>
    <x v="13"/>
    <s v="It was detected that there is a potential for a stack problem."/>
    <x v="0"/>
    <x v="0"/>
    <s v="Error"/>
    <s v="Rare"/>
    <s v="N/A"/>
    <x v="0"/>
    <x v="2"/>
    <n v="0"/>
  </r>
  <r>
    <x v="38"/>
    <x v="18"/>
    <s v=" It was detected that there is a potential for a stack problem."/>
    <x v="0"/>
    <x v="0"/>
    <s v="Error"/>
    <s v="Rare"/>
    <s v="N/A"/>
    <x v="0"/>
    <x v="2"/>
    <n v="0"/>
  </r>
  <r>
    <x v="39"/>
    <x v="10"/>
    <s v="The command received is not supported."/>
    <x v="0"/>
    <x v="0"/>
    <s v="Error"/>
    <s v="Rare"/>
    <s v="N/A"/>
    <x v="0"/>
    <x v="2"/>
    <n v="0"/>
  </r>
  <r>
    <x v="40"/>
    <x v="11"/>
    <s v="The command received is not supported."/>
    <x v="0"/>
    <x v="0"/>
    <s v="Error"/>
    <s v="Rare"/>
    <s v="N/A"/>
    <x v="0"/>
    <x v="2"/>
    <n v="0"/>
  </r>
  <r>
    <x v="41"/>
    <x v="12"/>
    <s v="The command received is not supported."/>
    <x v="0"/>
    <x v="0"/>
    <s v="Error"/>
    <s v="Rare"/>
    <s v="N/A"/>
    <x v="0"/>
    <x v="2"/>
    <n v="0"/>
  </r>
  <r>
    <x v="42"/>
    <x v="13"/>
    <s v="The command received is not supported."/>
    <x v="0"/>
    <x v="0"/>
    <s v="Error"/>
    <s v="Rare"/>
    <s v="N/A"/>
    <x v="0"/>
    <x v="2"/>
    <n v="0"/>
  </r>
  <r>
    <x v="43"/>
    <x v="18"/>
    <s v="The command received is not supported."/>
    <x v="0"/>
    <x v="0"/>
    <s v="Error"/>
    <s v="Rare"/>
    <s v="N/A"/>
    <x v="0"/>
    <x v="2"/>
    <n v="0"/>
  </r>
  <r>
    <x v="44"/>
    <x v="19"/>
    <s v="The CM has lost the connection with the AM module."/>
    <x v="0"/>
    <x v="0"/>
    <s v="Error"/>
    <s v="Questionable"/>
    <s v="HW/SW Error"/>
    <x v="0"/>
    <x v="3"/>
    <n v="0"/>
  </r>
  <r>
    <x v="45"/>
    <x v="13"/>
    <s v="One of the wavelengths not used in ORU acquisitions."/>
    <x v="0"/>
    <x v="0"/>
    <s v="Error"/>
    <s v="Rare"/>
    <s v="N/A"/>
    <x v="0"/>
    <x v="2"/>
    <n v="0"/>
  </r>
  <r>
    <x v="46"/>
    <x v="20"/>
    <s v="Controller Upgrade has failed since downloaded SW version does not match SW version actually used."/>
    <x v="0"/>
    <x v="0"/>
    <s v="Error"/>
    <s v="Rare"/>
    <s v="N/A"/>
    <x v="0"/>
    <x v="2"/>
    <n v="0"/>
  </r>
  <r>
    <x v="47"/>
    <x v="21"/>
    <s v="IM upgrade failed."/>
    <x v="0"/>
    <x v="0"/>
    <s v="Error"/>
    <s v="Rare"/>
    <s v="N/A"/>
    <x v="0"/>
    <x v="2"/>
    <n v="0"/>
  </r>
  <r>
    <x v="48"/>
    <x v="22"/>
    <s v="Incompatible IM software version."/>
    <x v="0"/>
    <x v="0"/>
    <s v="Error"/>
    <s v="Rare"/>
    <s v="N/A"/>
    <x v="0"/>
    <x v="2"/>
    <n v="0"/>
  </r>
  <r>
    <x v="49"/>
    <x v="14"/>
    <s v="Error detected when calling kernel facilities."/>
    <x v="0"/>
    <x v="0"/>
    <s v="Error"/>
    <s v="Rare"/>
    <s v="N/A"/>
    <x v="0"/>
    <x v="2"/>
    <n v="0"/>
  </r>
  <r>
    <x v="50"/>
    <x v="16"/>
    <s v="Error detected when calling kernel facilities."/>
    <x v="0"/>
    <x v="0"/>
    <s v="N/A"/>
    <s v="Rare"/>
    <s v="N/A"/>
    <x v="0"/>
    <x v="2"/>
    <n v="0"/>
  </r>
  <r>
    <x v="51"/>
    <x v="17"/>
    <s v="Error detected when calling kernel facilities."/>
    <x v="0"/>
    <x v="0"/>
    <s v="N/A"/>
    <s v="Rare"/>
    <s v="N/A"/>
    <x v="0"/>
    <x v="2"/>
    <n v="0"/>
  </r>
  <r>
    <x v="52"/>
    <x v="9"/>
    <s v="Software logic error such as an invalid path in a switch statement or if.else branch."/>
    <x v="0"/>
    <x v="0"/>
    <s v="Error"/>
    <s v="Rare"/>
    <s v="N/A"/>
    <x v="0"/>
    <x v="2"/>
    <n v="0"/>
  </r>
  <r>
    <x v="53"/>
    <x v="14"/>
    <s v="Software logic error such as an invalid path in a switch statement or if.else branch."/>
    <x v="0"/>
    <x v="0"/>
    <s v="N/A"/>
    <s v="Rare"/>
    <s v="N/A"/>
    <x v="0"/>
    <x v="2"/>
    <n v="0"/>
  </r>
  <r>
    <x v="54"/>
    <x v="16"/>
    <s v="Software logic error such as an invalid path in a switch statement or if.else branch."/>
    <x v="0"/>
    <x v="0"/>
    <s v="N/A"/>
    <s v="Rare"/>
    <s v="N/A"/>
    <x v="0"/>
    <x v="2"/>
    <n v="0"/>
  </r>
  <r>
    <x v="55"/>
    <x v="17"/>
    <s v="Software logic error such as an invalid path in a switch statement or if.else branch."/>
    <x v="0"/>
    <x v="0"/>
    <s v="N/A"/>
    <s v="Rare"/>
    <s v="N/A"/>
    <x v="0"/>
    <x v="2"/>
    <n v="0"/>
  </r>
  <r>
    <x v="56"/>
    <x v="9"/>
    <s v="Invalid state for an event, function call, message, etc."/>
    <x v="0"/>
    <x v="0"/>
    <s v="Error"/>
    <s v="Rare"/>
    <s v="N/A"/>
    <x v="0"/>
    <x v="2"/>
    <n v="0"/>
  </r>
  <r>
    <x v="57"/>
    <x v="14"/>
    <s v="Invalid state for an event, function call, message, etc"/>
    <x v="0"/>
    <x v="0"/>
    <s v="N/A"/>
    <s v="Rare"/>
    <s v="N/A"/>
    <x v="0"/>
    <x v="2"/>
    <n v="0"/>
  </r>
  <r>
    <x v="58"/>
    <x v="16"/>
    <s v="Invalid state for an event, function call, message, etc"/>
    <x v="0"/>
    <x v="0"/>
    <s v="N/A"/>
    <s v="Rare"/>
    <s v="N/A"/>
    <x v="0"/>
    <x v="2"/>
    <n v="0"/>
  </r>
  <r>
    <x v="59"/>
    <x v="17"/>
    <s v="Invalid state for an event, function call, message, etc"/>
    <x v="0"/>
    <x v="0"/>
    <s v="N/A"/>
    <s v="Rare"/>
    <s v="N/A"/>
    <x v="0"/>
    <x v="2"/>
    <n v="0"/>
  </r>
  <r>
    <x v="60"/>
    <x v="9"/>
    <s v="It was detected that there is a potential for a stack problem."/>
    <x v="0"/>
    <x v="0"/>
    <s v="Error"/>
    <s v="Rare"/>
    <s v="N/A"/>
    <x v="0"/>
    <x v="2"/>
    <n v="0"/>
  </r>
  <r>
    <x v="61"/>
    <x v="14"/>
    <s v="It was detected that there is a potential for a stack problem."/>
    <x v="0"/>
    <x v="0"/>
    <s v="N/A"/>
    <s v="Rare"/>
    <s v="N/A"/>
    <x v="0"/>
    <x v="2"/>
    <n v="0"/>
  </r>
  <r>
    <x v="62"/>
    <x v="16"/>
    <s v="It was detected that there is a potential for a stack problem."/>
    <x v="0"/>
    <x v="0"/>
    <s v="N/A"/>
    <s v="Rare"/>
    <s v="N/A"/>
    <x v="0"/>
    <x v="2"/>
    <n v="0"/>
  </r>
  <r>
    <x v="63"/>
    <x v="17"/>
    <s v="It was detected that there is a potential for a stack problem."/>
    <x v="0"/>
    <x v="0"/>
    <s v="N/A"/>
    <s v="Rare"/>
    <s v="N/A"/>
    <x v="0"/>
    <x v="2"/>
    <n v="0"/>
  </r>
  <r>
    <x v="64"/>
    <x v="9"/>
    <s v="The command received is not supported."/>
    <x v="0"/>
    <x v="0"/>
    <s v="Error"/>
    <s v="Rare"/>
    <s v="N/A"/>
    <x v="0"/>
    <x v="2"/>
    <n v="0"/>
  </r>
  <r>
    <x v="65"/>
    <x v="14"/>
    <s v="The command received is not supported."/>
    <x v="0"/>
    <x v="0"/>
    <s v="N/A"/>
    <s v="Rare"/>
    <s v="N/A"/>
    <x v="0"/>
    <x v="2"/>
    <n v="0"/>
  </r>
  <r>
    <x v="66"/>
    <x v="16"/>
    <s v="The command received is not supported."/>
    <x v="0"/>
    <x v="0"/>
    <s v="N/A"/>
    <s v="Rare"/>
    <s v="N/A"/>
    <x v="0"/>
    <x v="2"/>
    <n v="0"/>
  </r>
  <r>
    <x v="67"/>
    <x v="17"/>
    <s v="The command received is not supported."/>
    <x v="0"/>
    <x v="0"/>
    <s v="N/A"/>
    <s v="Rare"/>
    <s v="N/A"/>
    <x v="0"/>
    <x v="2"/>
    <n v="0"/>
  </r>
  <r>
    <x v="68"/>
    <x v="23"/>
    <s v="Incompatible interface version between AM/CM."/>
    <x v="0"/>
    <x v="0"/>
    <s v="Error"/>
    <s v="Rare"/>
    <s v="N/A"/>
    <x v="0"/>
    <x v="2"/>
    <n v="0"/>
  </r>
  <r>
    <x v="69"/>
    <x v="24"/>
    <s v="Incompatible interface version between a controller and the AM Master software."/>
    <x v="0"/>
    <x v="0"/>
    <s v="Error"/>
    <s v="Rare"/>
    <s v="N/A"/>
    <x v="0"/>
    <x v="2"/>
    <n v="0"/>
  </r>
  <r>
    <x v="70"/>
    <x v="25"/>
    <s v="SW detected a material that was not dispensed."/>
    <x v="0"/>
    <x v="0"/>
    <s v="Error"/>
    <s v="Rare"/>
    <s v="N/A"/>
    <x v="0"/>
    <x v="2"/>
    <n v="0"/>
  </r>
  <r>
    <x v="71"/>
    <x v="26"/>
    <s v="The CAVRO arm is inoperable"/>
    <x v="1"/>
    <x v="1"/>
    <s v="Error"/>
    <s v="Questionable"/>
    <s v="Service Call"/>
    <x v="0"/>
    <x v="1"/>
    <n v="0"/>
  </r>
  <r>
    <x v="72"/>
    <x v="26"/>
    <s v="The CAVRO arm is inoperable"/>
    <x v="1"/>
    <x v="1"/>
    <s v="Error"/>
    <s v="Rare"/>
    <s v="N/A"/>
    <x v="0"/>
    <x v="2"/>
    <n v="0"/>
  </r>
  <r>
    <x v="73"/>
    <x v="26"/>
    <s v="The CAVRO arm is inoperable"/>
    <x v="1"/>
    <x v="1"/>
    <s v="Error"/>
    <s v="Rare"/>
    <s v="N/A"/>
    <x v="0"/>
    <x v="2"/>
    <n v="0"/>
  </r>
  <r>
    <x v="74"/>
    <x v="26"/>
    <s v="The CAVRO arm is inoperable"/>
    <x v="1"/>
    <x v="1"/>
    <s v="Error"/>
    <s v="Rare"/>
    <s v="N/A"/>
    <x v="0"/>
    <x v="2"/>
    <n v="0"/>
  </r>
  <r>
    <x v="75"/>
    <x v="26"/>
    <s v="The CAVRO arm is inoperable"/>
    <x v="1"/>
    <x v="1"/>
    <s v="Error"/>
    <s v="Rare"/>
    <s v="N/A"/>
    <x v="0"/>
    <x v="2"/>
    <n v="0"/>
  </r>
  <r>
    <x v="76"/>
    <x v="26"/>
    <s v="The CAVRO arm is inoperable"/>
    <x v="1"/>
    <x v="1"/>
    <s v="Error"/>
    <s v="Rare"/>
    <s v="N/A"/>
    <x v="0"/>
    <x v="2"/>
    <n v="0"/>
  </r>
  <r>
    <x v="77"/>
    <x v="26"/>
    <s v="The CAVRO arm is inoperable"/>
    <x v="1"/>
    <x v="1"/>
    <s v="Error"/>
    <s v="Questionable"/>
    <s v="Service Call"/>
    <x v="0"/>
    <x v="1"/>
    <n v="0"/>
  </r>
  <r>
    <x v="78"/>
    <x v="26"/>
    <s v="The CAVRO arm is inoperable"/>
    <x v="1"/>
    <x v="1"/>
    <s v="Error"/>
    <s v="Rare"/>
    <s v="N/A"/>
    <x v="0"/>
    <x v="2"/>
    <n v="0"/>
  </r>
  <r>
    <x v="79"/>
    <x v="26"/>
    <s v="The CAVRO arm is inoperable"/>
    <x v="1"/>
    <x v="1"/>
    <s v="Error"/>
    <s v="Rare"/>
    <s v="N/A"/>
    <x v="0"/>
    <x v="2"/>
    <n v="0"/>
  </r>
  <r>
    <x v="80"/>
    <x v="26"/>
    <s v="The CAVRO arm is inoperable"/>
    <x v="1"/>
    <x v="1"/>
    <s v="Error"/>
    <s v="Rare"/>
    <s v="N/A"/>
    <x v="0"/>
    <x v="2"/>
    <n v="0"/>
  </r>
  <r>
    <x v="81"/>
    <x v="26"/>
    <s v="The CAVRO arm is inoperable"/>
    <x v="1"/>
    <x v="1"/>
    <s v="Error"/>
    <s v="Rare"/>
    <s v="N/A"/>
    <x v="0"/>
    <x v="2"/>
    <n v="0"/>
  </r>
  <r>
    <x v="82"/>
    <x v="26"/>
    <s v="The CAVRO arm is inoperable"/>
    <x v="1"/>
    <x v="1"/>
    <s v="Error"/>
    <s v="Rare"/>
    <s v="N/A"/>
    <x v="0"/>
    <x v="2"/>
    <n v="0"/>
  </r>
  <r>
    <x v="83"/>
    <x v="26"/>
    <s v="The CAVRO arm is inoperable"/>
    <x v="1"/>
    <x v="1"/>
    <s v="Error"/>
    <s v="Rare"/>
    <s v="N/A"/>
    <x v="0"/>
    <x v="2"/>
    <n v="0"/>
  </r>
  <r>
    <x v="84"/>
    <x v="26"/>
    <s v="The CAVRO arm is inoperable"/>
    <x v="1"/>
    <x v="1"/>
    <s v="N/A"/>
    <s v="Rare"/>
    <s v="N/A"/>
    <x v="0"/>
    <x v="2"/>
    <n v="0"/>
  </r>
  <r>
    <x v="85"/>
    <x v="26"/>
    <s v="The CAVRO arm is inoperable"/>
    <x v="1"/>
    <x v="1"/>
    <s v="N/A"/>
    <s v="Rare"/>
    <s v="N/A"/>
    <x v="0"/>
    <x v="2"/>
    <n v="0"/>
  </r>
  <r>
    <x v="86"/>
    <x v="26"/>
    <s v="The CAVRO arm is inoperable"/>
    <x v="1"/>
    <x v="1"/>
    <s v="N/A"/>
    <s v="Rare"/>
    <s v="N/A"/>
    <x v="0"/>
    <x v="2"/>
    <n v="0"/>
  </r>
  <r>
    <x v="87"/>
    <x v="26"/>
    <s v="The CAVRO arm is inoperable"/>
    <x v="1"/>
    <x v="1"/>
    <s v="Error"/>
    <s v="Rare"/>
    <s v="N/A"/>
    <x v="0"/>
    <x v="2"/>
    <n v="0"/>
  </r>
  <r>
    <x v="88"/>
    <x v="26"/>
    <s v="The CAVRO arm is inoperable"/>
    <x v="1"/>
    <x v="1"/>
    <s v="N/A"/>
    <s v="Rare"/>
    <s v="N/A"/>
    <x v="0"/>
    <x v="2"/>
    <n v="0"/>
  </r>
  <r>
    <x v="89"/>
    <x v="26"/>
    <s v="The CAVRO arm is inoperable"/>
    <x v="1"/>
    <x v="1"/>
    <s v="N/A"/>
    <s v="Rare"/>
    <s v="N/A"/>
    <x v="0"/>
    <x v="2"/>
    <n v="0"/>
  </r>
  <r>
    <x v="90"/>
    <x v="26"/>
    <s v="The CAVRO arm is inoperable"/>
    <x v="1"/>
    <x v="1"/>
    <s v="Error"/>
    <s v="Questionable"/>
    <s v="Service Call"/>
    <x v="0"/>
    <x v="1"/>
    <n v="0"/>
  </r>
  <r>
    <x v="91"/>
    <x v="26"/>
    <s v="The CAVRO arm is inoperable"/>
    <x v="1"/>
    <x v="1"/>
    <s v="Error"/>
    <s v="Questionable"/>
    <s v="Service Call"/>
    <x v="0"/>
    <x v="1"/>
    <n v="0"/>
  </r>
  <r>
    <x v="92"/>
    <x v="26"/>
    <s v="The CAVRO arm is inoperable"/>
    <x v="1"/>
    <x v="1"/>
    <s v="Error"/>
    <s v="Questionable"/>
    <s v="Service Call"/>
    <x v="0"/>
    <x v="1"/>
    <n v="0"/>
  </r>
  <r>
    <x v="93"/>
    <x v="26"/>
    <s v="The CAVRO arm is inoperable"/>
    <x v="1"/>
    <x v="1"/>
    <s v="Error"/>
    <s v="Rare"/>
    <s v="N/A"/>
    <x v="0"/>
    <x v="2"/>
    <n v="0"/>
  </r>
  <r>
    <x v="94"/>
    <x v="26"/>
    <s v="The CAVRO arm is inoperable"/>
    <x v="1"/>
    <x v="1"/>
    <s v="Error"/>
    <s v="Rare"/>
    <s v="N/A"/>
    <x v="0"/>
    <x v="2"/>
    <n v="0"/>
  </r>
  <r>
    <x v="95"/>
    <x v="26"/>
    <s v="The CAVRO arm is inoperable"/>
    <x v="1"/>
    <x v="1"/>
    <s v="Error"/>
    <s v="Rare"/>
    <s v="N/A"/>
    <x v="0"/>
    <x v="2"/>
    <n v="0"/>
  </r>
  <r>
    <x v="96"/>
    <x v="26"/>
    <s v="The CAVRO arm is inoperable"/>
    <x v="1"/>
    <x v="1"/>
    <s v="Error"/>
    <s v="Rare"/>
    <s v="N/A"/>
    <x v="0"/>
    <x v="2"/>
    <n v="0"/>
  </r>
  <r>
    <x v="97"/>
    <x v="26"/>
    <s v="The CAVRO arm is inoperable"/>
    <x v="1"/>
    <x v="1"/>
    <s v="Error"/>
    <s v="Rare"/>
    <s v="N/A"/>
    <x v="0"/>
    <x v="2"/>
    <n v="0"/>
  </r>
  <r>
    <x v="98"/>
    <x v="26"/>
    <s v="The CAVRO arm is inoperable"/>
    <x v="1"/>
    <x v="1"/>
    <s v="Error"/>
    <s v="Rare"/>
    <s v="N/A"/>
    <x v="0"/>
    <x v="2"/>
    <n v="0"/>
  </r>
  <r>
    <x v="99"/>
    <x v="26"/>
    <s v="The CAVRO arm is inoperable"/>
    <x v="1"/>
    <x v="1"/>
    <s v="Error"/>
    <s v="Questionable"/>
    <s v="Service Call"/>
    <x v="0"/>
    <x v="1"/>
    <n v="0"/>
  </r>
  <r>
    <x v="100"/>
    <x v="27"/>
    <s v="The pump used to aspirate/dispense fluids is inoperable."/>
    <x v="1"/>
    <x v="2"/>
    <s v="Error"/>
    <s v="Rare"/>
    <s v="N/A"/>
    <x v="0"/>
    <x v="2"/>
    <n v="0"/>
  </r>
  <r>
    <x v="101"/>
    <x v="27"/>
    <s v="The pump used to aspirate/dispense fluids is inoperable."/>
    <x v="1"/>
    <x v="2"/>
    <s v="Error"/>
    <s v="Rare"/>
    <s v="N/A"/>
    <x v="0"/>
    <x v="2"/>
    <n v="0"/>
  </r>
  <r>
    <x v="102"/>
    <x v="27"/>
    <s v="The pump used to aspirate/dispense fluids is inoperable."/>
    <x v="1"/>
    <x v="2"/>
    <s v="Error"/>
    <s v="Rare"/>
    <s v="N/A"/>
    <x v="0"/>
    <x v="2"/>
    <n v="0"/>
  </r>
  <r>
    <x v="103"/>
    <x v="27"/>
    <s v="The pump used to aspirate/dispense fluids is inoperable."/>
    <x v="1"/>
    <x v="2"/>
    <s v="Error"/>
    <s v="Rare"/>
    <s v="N/A"/>
    <x v="0"/>
    <x v="2"/>
    <n v="0"/>
  </r>
  <r>
    <x v="104"/>
    <x v="27"/>
    <s v="The pump used to aspirate/dispense fluids is inoperable."/>
    <x v="1"/>
    <x v="2"/>
    <s v="Error"/>
    <s v="Questionable"/>
    <s v="Service Call"/>
    <x v="0"/>
    <x v="1"/>
    <n v="0"/>
  </r>
  <r>
    <x v="105"/>
    <x v="27"/>
    <s v="The pump used to aspirate/dispense fluids is inoperable."/>
    <x v="1"/>
    <x v="2"/>
    <s v="Error"/>
    <s v="Rare"/>
    <s v="N/A"/>
    <x v="0"/>
    <x v="2"/>
    <n v="0"/>
  </r>
  <r>
    <x v="106"/>
    <x v="27"/>
    <s v="The pump used to aspirate/dispense fluids is inoperable."/>
    <x v="1"/>
    <x v="2"/>
    <s v="Error"/>
    <s v="Rare"/>
    <s v="N/A"/>
    <x v="0"/>
    <x v="2"/>
    <n v="0"/>
  </r>
  <r>
    <x v="107"/>
    <x v="27"/>
    <s v="The pump used to aspirate/dispense fluids is inoperable."/>
    <x v="1"/>
    <x v="2"/>
    <s v="Error"/>
    <s v="Rare"/>
    <s v="N/A"/>
    <x v="0"/>
    <x v="2"/>
    <n v="0"/>
  </r>
  <r>
    <x v="108"/>
    <x v="27"/>
    <s v="The pump used to aspirate/dispense fluids is inoperable."/>
    <x v="1"/>
    <x v="2"/>
    <s v="Error"/>
    <s v="Questionable"/>
    <s v="Service Call"/>
    <x v="0"/>
    <x v="1"/>
    <n v="0"/>
  </r>
  <r>
    <x v="109"/>
    <x v="27"/>
    <s v="The pump used to aspirate/dispense fluids is inoperable."/>
    <x v="1"/>
    <x v="2"/>
    <s v="Error"/>
    <s v="Questionable"/>
    <s v="Service Call"/>
    <x v="0"/>
    <x v="1"/>
    <n v="0"/>
  </r>
  <r>
    <x v="110"/>
    <x v="28"/>
    <s v="The ORU Head has been disabled."/>
    <x v="2"/>
    <x v="3"/>
    <s v="Warning"/>
    <s v="Questionable"/>
    <s v="ORU Calibration"/>
    <x v="0"/>
    <x v="1"/>
    <n v="0"/>
  </r>
  <r>
    <x v="111"/>
    <x v="28"/>
    <s v="The ORU Head has been disabled."/>
    <x v="2"/>
    <x v="3"/>
    <s v="Error"/>
    <s v="Rare"/>
    <s v="N/A"/>
    <x v="0"/>
    <x v="2"/>
    <n v="0"/>
  </r>
  <r>
    <x v="112"/>
    <x v="28"/>
    <s v="The ORU Head has been disabled."/>
    <x v="2"/>
    <x v="3"/>
    <s v="Error"/>
    <s v="Rare"/>
    <s v="N/A"/>
    <x v="0"/>
    <x v="2"/>
    <n v="0"/>
  </r>
  <r>
    <x v="113"/>
    <x v="28"/>
    <s v="The ORU Head has been disabled."/>
    <x v="2"/>
    <x v="3"/>
    <s v="Error"/>
    <s v="Questionable"/>
    <s v="ORU Calibration"/>
    <x v="0"/>
    <x v="1"/>
    <n v="0"/>
  </r>
  <r>
    <x v="114"/>
    <x v="28"/>
    <s v="The ORU Head has been disabled."/>
    <x v="2"/>
    <x v="3"/>
    <s v="Error"/>
    <s v="Questionable"/>
    <s v="ORU Calibration"/>
    <x v="0"/>
    <x v="1"/>
    <n v="0"/>
  </r>
  <r>
    <x v="115"/>
    <x v="28"/>
    <s v="The ORU Head has been disabled."/>
    <x v="2"/>
    <x v="3"/>
    <s v="Error"/>
    <s v="Rare"/>
    <s v="N/A"/>
    <x v="0"/>
    <x v="2"/>
    <n v="0"/>
  </r>
  <r>
    <x v="116"/>
    <x v="27"/>
    <s v="Plunger Overload.  This error occurs when movement of the syringe plunger is blocked by excessive pressure."/>
    <x v="1"/>
    <x v="2"/>
    <s v="Error"/>
    <s v="Rare"/>
    <s v="N/A"/>
    <x v="0"/>
    <x v="2"/>
    <n v="0"/>
  </r>
  <r>
    <x v="117"/>
    <x v="27"/>
    <s v="Valve Overload.  This error occurs when the valve drive loses steps by blockage or excess back pressure.  Continual valve overload errors are an indication the valve should be replaced."/>
    <x v="1"/>
    <x v="2"/>
    <s v="Error"/>
    <s v="Rare"/>
    <s v="N/A"/>
    <x v="0"/>
    <x v="2"/>
    <n v="0"/>
  </r>
  <r>
    <x v="118"/>
    <x v="27"/>
    <s v="Plunger Move Not Allowed.   When the valve is in bypass or throughput position plunger movement commands are not allowed."/>
    <x v="1"/>
    <x v="2"/>
    <s v="Error"/>
    <s v="Rare"/>
    <s v="N/A"/>
    <x v="0"/>
    <x v="2"/>
    <n v="0"/>
  </r>
  <r>
    <x v="119"/>
    <x v="27"/>
    <s v="Command Overflow.  This error occurs when the command buffer contains too many characters."/>
    <x v="1"/>
    <x v="2"/>
    <s v="Error"/>
    <s v="Rare"/>
    <s v="N/A"/>
    <x v="0"/>
    <x v="2"/>
    <n v="0"/>
  </r>
  <r>
    <x v="120"/>
    <x v="29"/>
    <s v="Voltage out-of-range fault detected."/>
    <x v="2"/>
    <x v="4"/>
    <s v="Error"/>
    <s v="Rare"/>
    <s v="N/A"/>
    <x v="0"/>
    <x v="2"/>
    <n v="0"/>
  </r>
  <r>
    <x v="121"/>
    <x v="30"/>
    <s v="RS232 communications error with CAVRO arms"/>
    <x v="1"/>
    <x v="4"/>
    <s v="Error"/>
    <s v="Rare"/>
    <s v="N/A"/>
    <x v="0"/>
    <x v="2"/>
    <n v="0"/>
  </r>
  <r>
    <x v="122"/>
    <x v="31"/>
    <s v="Incubator temperature defined to be out of range for a period exceeding the fatal error limits. "/>
    <x v="3"/>
    <x v="5"/>
    <s v="Error"/>
    <s v="Rare"/>
    <s v="N/A"/>
    <x v="0"/>
    <x v="2"/>
    <n v="0"/>
  </r>
  <r>
    <x v="123"/>
    <x v="32"/>
    <s v="Incubator temperature defined to be out of range for a period exceeding the fatal error limits. "/>
    <x v="3"/>
    <x v="5"/>
    <s v="Error"/>
    <s v="Rare"/>
    <s v="N/A"/>
    <x v="0"/>
    <x v="2"/>
    <n v="0"/>
  </r>
  <r>
    <x v="124"/>
    <x v="33"/>
    <s v="ORU temperature defined to be out of range for a period exceeding the fatal error limits.  "/>
    <x v="3"/>
    <x v="5"/>
    <s v="Error"/>
    <s v="Rare"/>
    <s v="N/A"/>
    <x v="0"/>
    <x v="2"/>
    <n v="0"/>
  </r>
  <r>
    <x v="125"/>
    <x v="34"/>
    <s v="ORU temperature defined to be out of range for a period exceeding the fatal error limits.  "/>
    <x v="3"/>
    <x v="5"/>
    <s v="Error"/>
    <s v="Rare"/>
    <s v="N/A"/>
    <x v="0"/>
    <x v="2"/>
    <n v="0"/>
  </r>
  <r>
    <x v="126"/>
    <x v="35"/>
    <s v="ORU temperature defined to be out of range for a period exceeding the fatal error limits.  "/>
    <x v="3"/>
    <x v="5"/>
    <s v="Error"/>
    <s v="Rare"/>
    <s v="N/A"/>
    <x v="0"/>
    <x v="2"/>
    <n v="0"/>
  </r>
  <r>
    <x v="127"/>
    <x v="36"/>
    <s v="ORU temperature defined to be out of range for a period exceeding the fatal error limits.  "/>
    <x v="3"/>
    <x v="5"/>
    <s v="Error"/>
    <s v="Rare"/>
    <s v="N/A"/>
    <x v="0"/>
    <x v="2"/>
    <n v="0"/>
  </r>
  <r>
    <x v="128"/>
    <x v="37"/>
    <s v="Cuvette Shuttle temperature defined to be out of range for a period exceeding the fatal error limits.  "/>
    <x v="3"/>
    <x v="5"/>
    <s v="Error"/>
    <s v="Rare"/>
    <s v="N/A"/>
    <x v="0"/>
    <x v="2"/>
    <n v="0"/>
  </r>
  <r>
    <x v="129"/>
    <x v="38"/>
    <s v="Reagent Area temperature defined to be out of range for a period exceeding the fatal error limits."/>
    <x v="3"/>
    <x v="5"/>
    <s v="Error"/>
    <s v="Questionable"/>
    <s v="Service Call"/>
    <x v="0"/>
    <x v="1"/>
    <n v="0"/>
  </r>
  <r>
    <x v="130"/>
    <x v="39"/>
    <s v="Detector interface fault, e.g., conversion did not complete, emitter light source not correct."/>
    <x v="2"/>
    <x v="4"/>
    <s v="Error"/>
    <s v="Questionable"/>
    <s v="Service Call"/>
    <x v="0"/>
    <x v="1"/>
    <n v="0"/>
  </r>
  <r>
    <x v="131"/>
    <x v="40"/>
    <s v="CRC Error detected in writing to or reading from a permanent storage device (e.g., EEPROM"/>
    <x v="1"/>
    <x v="4"/>
    <s v="Error"/>
    <s v="Rare"/>
    <s v="N/A"/>
    <x v="0"/>
    <x v="2"/>
    <n v="0"/>
  </r>
  <r>
    <x v="132"/>
    <x v="41"/>
    <s v="CRC Error detected in writing to or reading from a permanent storage device (e.g., EEPROM)"/>
    <x v="1"/>
    <x v="4"/>
    <s v="N/A"/>
    <s v="Rare"/>
    <s v="N/A"/>
    <x v="0"/>
    <x v="2"/>
    <n v="0"/>
  </r>
  <r>
    <x v="133"/>
    <x v="42"/>
    <s v="CRC Error detected in writing to or reading from a permanent storage device (e.g., EEPROM)"/>
    <x v="1"/>
    <x v="4"/>
    <s v="N/A"/>
    <s v="Rare"/>
    <s v="N/A"/>
    <x v="0"/>
    <x v="2"/>
    <n v="0"/>
  </r>
  <r>
    <x v="134"/>
    <x v="43"/>
    <s v="CRC Error detected in writing to or reading from a permanent storage device (e.g., EEPROM)"/>
    <x v="1"/>
    <x v="4"/>
    <s v="N/A"/>
    <s v="Rare"/>
    <s v="N/A"/>
    <x v="0"/>
    <x v="2"/>
    <n v="0"/>
  </r>
  <r>
    <x v="135"/>
    <x v="44"/>
    <s v="CRC Error detected in writing to or reading from a permanent storage device (e.g., EEPROM)"/>
    <x v="4"/>
    <x v="6"/>
    <s v="Error"/>
    <s v="Rare"/>
    <s v="N/A"/>
    <x v="0"/>
    <x v="2"/>
    <n v="0"/>
  </r>
  <r>
    <x v="136"/>
    <x v="45"/>
    <s v="CRC Error detected in writing to or reading from a permanent storage device (e.g., EEPROM)"/>
    <x v="5"/>
    <x v="7"/>
    <s v="Error"/>
    <s v="Rare"/>
    <s v="N/A"/>
    <x v="0"/>
    <x v="2"/>
    <n v="0"/>
  </r>
  <r>
    <x v="137"/>
    <x v="46"/>
    <s v="CRC Error detected in writing to or reading from a permanent storage device (e.g., EEPROM)"/>
    <x v="2"/>
    <x v="4"/>
    <s v="Error"/>
    <s v="Rare"/>
    <s v="N/A"/>
    <x v="0"/>
    <x v="2"/>
    <n v="0"/>
  </r>
  <r>
    <x v="138"/>
    <x v="47"/>
    <s v="CRC Error detected in writing to or reading from a permanent storage device (e.g. EEPROM)"/>
    <x v="0"/>
    <x v="0"/>
    <s v="Error"/>
    <s v="Rare"/>
    <s v="N/A"/>
    <x v="0"/>
    <x v="2"/>
    <n v="0"/>
  </r>
  <r>
    <x v="139"/>
    <x v="47"/>
    <s v="Error detected in updating data on a permanent storage device (e.g. EEPROM)"/>
    <x v="0"/>
    <x v="0"/>
    <s v="Error"/>
    <s v="Rare"/>
    <s v="N/A"/>
    <x v="0"/>
    <x v="2"/>
    <n v="0"/>
  </r>
  <r>
    <x v="140"/>
    <x v="44"/>
    <s v="Error detected in updating data on a permanent storage device (e.g.,  EEPROM)"/>
    <x v="4"/>
    <x v="6"/>
    <s v="Error"/>
    <s v="Rare"/>
    <s v="N/A"/>
    <x v="0"/>
    <x v="2"/>
    <n v="0"/>
  </r>
  <r>
    <x v="141"/>
    <x v="45"/>
    <s v="Error detected in updating data on a permanent storage device (e.g.,  EEPROM)"/>
    <x v="5"/>
    <x v="7"/>
    <s v="Error"/>
    <s v="Rare"/>
    <s v="N/A"/>
    <x v="0"/>
    <x v="2"/>
    <n v="0"/>
  </r>
  <r>
    <x v="142"/>
    <x v="46"/>
    <s v="Error detected in updating data on a permanent storage device (e.g.,  EEPROM)"/>
    <x v="2"/>
    <x v="4"/>
    <s v="Error"/>
    <s v="Rare"/>
    <s v="N/A"/>
    <x v="0"/>
    <x v="2"/>
    <n v="0"/>
  </r>
  <r>
    <x v="143"/>
    <x v="48"/>
    <s v="Error detected in updating data on a permanent storage device (e.g.,  EEPROM)"/>
    <x v="1"/>
    <x v="4"/>
    <s v="Error"/>
    <s v="Rare"/>
    <s v="N/A"/>
    <x v="0"/>
    <x v="2"/>
    <n v="0"/>
  </r>
  <r>
    <x v="144"/>
    <x v="41"/>
    <s v="Error detected in updating data on a permanent storage device (e.g.,  EEPROM)"/>
    <x v="1"/>
    <x v="4"/>
    <s v="N/A"/>
    <s v="Rare"/>
    <s v="N/A"/>
    <x v="0"/>
    <x v="2"/>
    <n v="0"/>
  </r>
  <r>
    <x v="145"/>
    <x v="42"/>
    <s v="Error detected in updating data on a permanent storage device (e.g.,  EEPROM)"/>
    <x v="1"/>
    <x v="4"/>
    <s v="N/A"/>
    <s v="Rare"/>
    <s v="N/A"/>
    <x v="0"/>
    <x v="2"/>
    <n v="0"/>
  </r>
  <r>
    <x v="146"/>
    <x v="43"/>
    <s v="Error detected in updating data on a permanent storage device (e.g.,  EEPROM)"/>
    <x v="1"/>
    <x v="4"/>
    <s v="N/A"/>
    <s v="Rare"/>
    <s v="N/A"/>
    <x v="0"/>
    <x v="2"/>
    <n v="0"/>
  </r>
  <r>
    <x v="147"/>
    <x v="49"/>
    <s v="Voltage out-of-range fault detected on a controller."/>
    <x v="1"/>
    <x v="4"/>
    <s v="Error"/>
    <s v="Rare"/>
    <s v="N/A"/>
    <x v="0"/>
    <x v="2"/>
    <n v="0"/>
  </r>
  <r>
    <x v="148"/>
    <x v="50"/>
    <s v="Voltage out-of-range fault detected on a controller."/>
    <x v="1"/>
    <x v="4"/>
    <s v="N/A"/>
    <s v="Rare"/>
    <s v="N/A"/>
    <x v="0"/>
    <x v="2"/>
    <n v="0"/>
  </r>
  <r>
    <x v="149"/>
    <x v="51"/>
    <s v="Voltage out-of-range fault detected on a controller."/>
    <x v="1"/>
    <x v="4"/>
    <s v="N/A"/>
    <s v="Rare"/>
    <s v="N/A"/>
    <x v="0"/>
    <x v="2"/>
    <n v="0"/>
  </r>
  <r>
    <x v="150"/>
    <x v="52"/>
    <s v="Voltage out-of-range fault detected on a controller."/>
    <x v="1"/>
    <x v="4"/>
    <s v="N/A"/>
    <s v="Rare"/>
    <s v="N/A"/>
    <x v="0"/>
    <x v="2"/>
    <n v="0"/>
  </r>
  <r>
    <x v="151"/>
    <x v="53"/>
    <s v="Voltage out-of-range fault detected on a controller."/>
    <x v="4"/>
    <x v="6"/>
    <s v="Error"/>
    <s v="Rare"/>
    <s v="N/A"/>
    <x v="0"/>
    <x v="2"/>
    <n v="0"/>
  </r>
  <r>
    <x v="152"/>
    <x v="54"/>
    <s v="Voltage out-of-range fault detected on a controller."/>
    <x v="5"/>
    <x v="7"/>
    <s v="Error"/>
    <s v="Rare"/>
    <s v="N/A"/>
    <x v="0"/>
    <x v="2"/>
    <n v="0"/>
  </r>
  <r>
    <x v="153"/>
    <x v="55"/>
    <s v="Voltage out-of-range fault detected on a controller."/>
    <x v="2"/>
    <x v="4"/>
    <s v="Error"/>
    <s v="Rare"/>
    <s v="N/A"/>
    <x v="0"/>
    <x v="2"/>
    <n v="0"/>
  </r>
  <r>
    <x v="154"/>
    <x v="56"/>
    <s v="Voltage out-of-range fault detected on a controller."/>
    <x v="4"/>
    <x v="4"/>
    <s v="Error"/>
    <s v="Rare"/>
    <s v="N/A"/>
    <x v="0"/>
    <x v="2"/>
    <n v="0"/>
  </r>
  <r>
    <x v="155"/>
    <x v="57"/>
    <s v="Automatic coordinates check failure"/>
    <x v="1"/>
    <x v="8"/>
    <s v="Error"/>
    <s v="Questionable"/>
    <s v="Needles/Well Cleaning"/>
    <x v="1"/>
    <x v="1"/>
    <n v="1"/>
  </r>
  <r>
    <x v="156"/>
    <x v="58"/>
    <s v="Wash station coordinates error"/>
    <x v="1"/>
    <x v="8"/>
    <s v="Error"/>
    <s v="Questionable"/>
    <s v="Needles/Well Cleaning"/>
    <x v="0"/>
    <x v="1"/>
    <n v="0"/>
  </r>
  <r>
    <x v="157"/>
    <x v="59"/>
    <s v="AM coordinates have never been adjusted using the &quot;Coordinate adjustment&quot; procedure."/>
    <x v="1"/>
    <x v="8"/>
    <s v="Error"/>
    <s v="Questionable"/>
    <s v="Needles/Well Cleaning"/>
    <x v="0"/>
    <x v="1"/>
    <n v="0"/>
  </r>
  <r>
    <x v="158"/>
    <x v="60"/>
    <s v="Until the user defines the coordinates of the aspiration point on the LAS track, the instrument is unable to move the LAS probe there."/>
    <x v="1"/>
    <x v="8"/>
    <s v="Error"/>
    <s v="Rare"/>
    <s v="Needles/Well Cleaning"/>
    <x v="0"/>
    <x v="2"/>
    <n v="0"/>
  </r>
  <r>
    <x v="159"/>
    <x v="61"/>
    <s v="Invalid emitter, detection, or incubator module configuration detected, or reference channel not on installed detection module."/>
    <x v="0"/>
    <x v="0"/>
    <s v="Error"/>
    <s v="Rare"/>
    <s v="N/A"/>
    <x v="0"/>
    <x v="2"/>
    <n v="0"/>
  </r>
  <r>
    <x v="160"/>
    <x v="62"/>
    <s v="Probe Pre-Heater temperature defined to be out of range for a period exceeding the fatal error limits."/>
    <x v="3"/>
    <x v="5"/>
    <s v="Error"/>
    <s v="Rare"/>
    <s v="N/A"/>
    <x v="0"/>
    <x v="2"/>
    <n v="0"/>
  </r>
  <r>
    <x v="161"/>
    <x v="63"/>
    <s v="Probe Pre-Heater temperature defined to be out of range for a period exceeding the fatal error limits."/>
    <x v="3"/>
    <x v="5"/>
    <s v="N/A"/>
    <s v="Rare"/>
    <s v="N/A"/>
    <x v="0"/>
    <x v="2"/>
    <n v="0"/>
  </r>
  <r>
    <x v="162"/>
    <x v="64"/>
    <s v="Probe Pre-Heater temperature defined to be out of range for a period exceeding the fatal error limits."/>
    <x v="3"/>
    <x v="5"/>
    <s v="N/A"/>
    <s v="Rare"/>
    <s v="N/A"/>
    <x v="0"/>
    <x v="2"/>
    <n v="0"/>
  </r>
  <r>
    <x v="163"/>
    <x v="65"/>
    <s v="Probe Pre-Heater temperature defined to be out of range for a period exceeding the fatal error limits."/>
    <x v="3"/>
    <x v="5"/>
    <s v="N/A"/>
    <s v="Frequent"/>
    <s v="N/A"/>
    <x v="0"/>
    <x v="4"/>
    <n v="0"/>
  </r>
  <r>
    <x v="164"/>
    <x v="66"/>
    <s v="Probe temperature defined to be out of range for a period exceeding the fatal error limits."/>
    <x v="3"/>
    <x v="5"/>
    <s v="Error"/>
    <s v="Questionable"/>
    <s v="Service Call"/>
    <x v="0"/>
    <x v="1"/>
    <n v="0"/>
  </r>
  <r>
    <x v="165"/>
    <x v="67"/>
    <s v="Probe temperature defined to be out of range for a period exceeding the fatal error limits."/>
    <x v="3"/>
    <x v="5"/>
    <s v="Error"/>
    <s v="Questionable"/>
    <s v="Service Call"/>
    <x v="0"/>
    <x v="1"/>
    <n v="0"/>
  </r>
  <r>
    <x v="166"/>
    <x v="68"/>
    <s v="Probe temperature defined to be out of range for a period exceeding the fatal error limits."/>
    <x v="3"/>
    <x v="5"/>
    <s v="Error"/>
    <s v="Questionable"/>
    <s v="Service Call"/>
    <x v="0"/>
    <x v="1"/>
    <n v="0"/>
  </r>
  <r>
    <x v="167"/>
    <x v="69"/>
    <s v="Probe temperature defined to be out of range for a period exceeding the fatal error limits."/>
    <x v="3"/>
    <x v="5"/>
    <s v="N/A"/>
    <s v="Frequent"/>
    <s v="N/A"/>
    <x v="0"/>
    <x v="4"/>
    <n v="0"/>
  </r>
  <r>
    <x v="168"/>
    <x v="70"/>
    <s v="Valve commanded ON(OFF) but sensor did not indicate ON(OFF) state."/>
    <x v="6"/>
    <x v="9"/>
    <s v="Error"/>
    <s v="Rare"/>
    <s v="N/A"/>
    <x v="0"/>
    <x v="2"/>
    <n v="0"/>
  </r>
  <r>
    <x v="169"/>
    <x v="71"/>
    <s v="Valve commanded ON(OFF) but sensor did not indicate ON(OFF) state."/>
    <x v="6"/>
    <x v="9"/>
    <s v="N/A"/>
    <s v="Rare"/>
    <s v="N/A"/>
    <x v="0"/>
    <x v="2"/>
    <n v="0"/>
  </r>
  <r>
    <x v="170"/>
    <x v="72"/>
    <s v="Valve commanded ON(OFF) but sensor did not indicate ON(OFF) state."/>
    <x v="6"/>
    <x v="9"/>
    <s v="N/A"/>
    <s v="Rare"/>
    <s v="N/A"/>
    <x v="0"/>
    <x v="2"/>
    <n v="0"/>
  </r>
  <r>
    <x v="171"/>
    <x v="73"/>
    <s v="Valve commanded ON(OFF) but sensor did not indicate ON(OFF) state."/>
    <x v="6"/>
    <x v="9"/>
    <s v="N/A"/>
    <s v="Rare"/>
    <s v="N/A"/>
    <x v="0"/>
    <x v="2"/>
    <n v="0"/>
  </r>
  <r>
    <x v="172"/>
    <x v="74"/>
    <s v="Pump commanded ON(OFF) but sensor did not indicate ON(OFF) state."/>
    <x v="6"/>
    <x v="9"/>
    <s v="Error"/>
    <s v="Questionable"/>
    <s v="Service Call"/>
    <x v="0"/>
    <x v="1"/>
    <n v="0"/>
  </r>
  <r>
    <x v="173"/>
    <x v="75"/>
    <s v="Pump commanded ON(OFF) but sensor did not indicate ON(OFF) state."/>
    <x v="6"/>
    <x v="9"/>
    <s v="Error"/>
    <s v="Rare"/>
    <s v="N/A"/>
    <x v="0"/>
    <x v="2"/>
    <n v="0"/>
  </r>
  <r>
    <x v="174"/>
    <x v="76"/>
    <s v="Pump commanded ON(OFF) but sensor did not indicate ON(OFF) state."/>
    <x v="6"/>
    <x v="9"/>
    <s v="Error"/>
    <s v="Questionable"/>
    <s v="Service Call"/>
    <x v="0"/>
    <x v="1"/>
    <n v="0"/>
  </r>
  <r>
    <x v="175"/>
    <x v="77"/>
    <s v="Pump commanded ON(OFF) but sensor did not indicate ON(OFF) state."/>
    <x v="6"/>
    <x v="10"/>
    <s v="Error"/>
    <s v="Questionable"/>
    <s v="Service Call"/>
    <x v="0"/>
    <x v="1"/>
    <n v="0"/>
  </r>
  <r>
    <x v="176"/>
    <x v="78"/>
    <s v="Pump commanded ON(OFF) but sensor did not indicate ON(OFF) state."/>
    <x v="6"/>
    <x v="10"/>
    <s v="Error"/>
    <s v="Questionable"/>
    <s v="Service Call"/>
    <x v="0"/>
    <x v="1"/>
    <n v="0"/>
  </r>
  <r>
    <x v="177"/>
    <x v="79"/>
    <s v="Pump commanded ON(OFF) but sensor did not indicate ON(OFF) state."/>
    <x v="6"/>
    <x v="10"/>
    <s v="N/A"/>
    <s v="Rare"/>
    <s v="N/A"/>
    <x v="0"/>
    <x v="2"/>
    <n v="0"/>
  </r>
  <r>
    <x v="178"/>
    <x v="80"/>
    <s v="Pump commanded ON(OFF) but sensor did not indicate ON(OFF) state."/>
    <x v="6"/>
    <x v="11"/>
    <s v="Error"/>
    <s v="Questionable"/>
    <s v="Service Call"/>
    <x v="0"/>
    <x v="1"/>
    <n v="0"/>
  </r>
  <r>
    <x v="179"/>
    <x v="81"/>
    <s v="Failure saving coordinates file on the FTP server"/>
    <x v="0"/>
    <x v="0"/>
    <s v="Error"/>
    <s v="Rare"/>
    <s v="N/A"/>
    <x v="0"/>
    <x v="2"/>
    <n v="0"/>
  </r>
  <r>
    <x v="180"/>
    <x v="82"/>
    <s v="Failure saving ORU stored reading file on the FTP server"/>
    <x v="0"/>
    <x v="0"/>
    <s v="Error"/>
    <s v="Rare"/>
    <s v="N/A"/>
    <x v="0"/>
    <x v="2"/>
    <n v="0"/>
  </r>
  <r>
    <x v="181"/>
    <x v="83"/>
    <s v="Pump commanded ON(OFF) but sensor did not indicate ON(OFF) state."/>
    <x v="6"/>
    <x v="12"/>
    <s v="Error"/>
    <s v="Questionable"/>
    <s v="Service Call"/>
    <x v="0"/>
    <x v="1"/>
    <n v="0"/>
  </r>
  <r>
    <x v="182"/>
    <x v="84"/>
    <s v="The Foot hits the wash station.  This would have caused a probe mode switch failure at the end of the wash cycle."/>
    <x v="1"/>
    <x v="13"/>
    <s v="Error"/>
    <s v="Rare"/>
    <s v="N/A"/>
    <x v="0"/>
    <x v="2"/>
    <n v="0"/>
  </r>
  <r>
    <x v="183"/>
    <x v="85"/>
    <s v="Cuvette waste level sensor not responding."/>
    <x v="4"/>
    <x v="14"/>
    <s v="Error"/>
    <s v="Questionable"/>
    <s v="Service Call"/>
    <x v="0"/>
    <x v="1"/>
    <n v="0"/>
  </r>
  <r>
    <x v="184"/>
    <x v="86"/>
    <s v="Waste accumulator full sensor remains on despite cycling of waste pump."/>
    <x v="6"/>
    <x v="11"/>
    <s v="Error"/>
    <s v="Questionable"/>
    <s v="Service Call"/>
    <x v="0"/>
    <x v="1"/>
    <n v="0"/>
  </r>
  <r>
    <x v="185"/>
    <x v="87"/>
    <s v="A check on the power required for stirring returned an error."/>
    <x v="5"/>
    <x v="15"/>
    <s v="Error"/>
    <s v="Questionable"/>
    <s v="Service Call"/>
    <x v="0"/>
    <x v="1"/>
    <n v="0"/>
  </r>
  <r>
    <x v="186"/>
    <x v="88"/>
    <s v="A check on the power required for stirring position returned an error"/>
    <x v="5"/>
    <x v="15"/>
    <s v="N/A"/>
    <s v="Rare"/>
    <s v="N/A"/>
    <x v="0"/>
    <x v="2"/>
    <n v="0"/>
  </r>
  <r>
    <x v="187"/>
    <x v="89"/>
    <s v="Failure on pivot arm movement."/>
    <x v="4"/>
    <x v="16"/>
    <s v="Error"/>
    <s v="Rare"/>
    <s v="N/A"/>
    <x v="0"/>
    <x v="2"/>
    <n v="0"/>
  </r>
  <r>
    <x v="188"/>
    <x v="90"/>
    <s v="Failure of the indexer motor detected."/>
    <x v="4"/>
    <x v="16"/>
    <s v="Error"/>
    <s v="Rare"/>
    <s v="N/A"/>
    <x v="0"/>
    <x v="2"/>
    <n v="0"/>
  </r>
  <r>
    <x v="189"/>
    <x v="91"/>
    <s v="Failure moving cuvette loader belts detected."/>
    <x v="4"/>
    <x v="16"/>
    <s v="Error"/>
    <s v="Rare"/>
    <s v="N/A"/>
    <x v="0"/>
    <x v="2"/>
    <n v="0"/>
  </r>
  <r>
    <x v="190"/>
    <x v="91"/>
    <s v="Failure during cuvette indexing detected."/>
    <x v="4"/>
    <x v="16"/>
    <s v="Error"/>
    <s v="Questionable"/>
    <s v="Remove Cuvette Jam"/>
    <x v="0"/>
    <x v="1"/>
    <n v="0"/>
  </r>
  <r>
    <x v="191"/>
    <x v="92"/>
    <s v="Validate LLD height in Clean well.  If too low, short sipping may occur."/>
    <x v="6"/>
    <x v="9"/>
    <s v="Error"/>
    <s v="Questionable"/>
    <s v="Service Call"/>
    <x v="0"/>
    <x v="1"/>
    <n v="0"/>
  </r>
  <r>
    <x v="192"/>
    <x v="93"/>
    <s v="Clean priming failure "/>
    <x v="6"/>
    <x v="9"/>
    <s v="Error"/>
    <s v="Rare"/>
    <s v="N/A"/>
    <x v="0"/>
    <x v="2"/>
    <n v="0"/>
  </r>
  <r>
    <x v="193"/>
    <x v="94"/>
    <s v="The motor did not complete the requested move."/>
    <x v="4"/>
    <x v="17"/>
    <s v="Error"/>
    <s v="Rare"/>
    <s v="N/A"/>
    <x v="0"/>
    <x v="2"/>
    <n v="0"/>
  </r>
  <r>
    <x v="194"/>
    <x v="94"/>
    <s v="The motor did not complete the requested move."/>
    <x v="4"/>
    <x v="17"/>
    <s v="Error"/>
    <s v="Rare"/>
    <s v="N/A"/>
    <x v="0"/>
    <x v="2"/>
    <n v="0"/>
  </r>
  <r>
    <x v="195"/>
    <x v="94"/>
    <s v="The motor did not complete the requested move."/>
    <x v="4"/>
    <x v="17"/>
    <s v="Error"/>
    <s v="Questionable"/>
    <s v="Remove Cuvette Jam"/>
    <x v="0"/>
    <x v="1"/>
    <n v="0"/>
  </r>
  <r>
    <x v="196"/>
    <x v="94"/>
    <s v="The motor did not complete the requested move."/>
    <x v="4"/>
    <x v="17"/>
    <s v="Error"/>
    <s v="Questionable"/>
    <s v="Remove Cuvette Jam"/>
    <x v="0"/>
    <x v="1"/>
    <n v="0"/>
  </r>
  <r>
    <x v="197"/>
    <x v="94"/>
    <s v="The motor did not complete the requested move."/>
    <x v="4"/>
    <x v="17"/>
    <s v="Error"/>
    <s v="Questionable"/>
    <s v="Remove Cuvette Jam"/>
    <x v="0"/>
    <x v="1"/>
    <n v="0"/>
  </r>
  <r>
    <x v="198"/>
    <x v="94"/>
    <s v="The motor did not complete the requested move."/>
    <x v="4"/>
    <x v="17"/>
    <s v="Error"/>
    <s v="Questionable"/>
    <s v="Remove Cuvette Jam"/>
    <x v="0"/>
    <x v="1"/>
    <n v="0"/>
  </r>
  <r>
    <x v="199"/>
    <x v="94"/>
    <s v="The motor did not complete the requested move."/>
    <x v="4"/>
    <x v="17"/>
    <s v="Error"/>
    <s v="Rare"/>
    <s v="N/A"/>
    <x v="0"/>
    <x v="2"/>
    <n v="0"/>
  </r>
  <r>
    <x v="200"/>
    <x v="94"/>
    <s v="The motor did not complete the requested move."/>
    <x v="4"/>
    <x v="17"/>
    <s v="Error"/>
    <s v="Questionable"/>
    <s v="Remove Cuvette Jam"/>
    <x v="0"/>
    <x v="1"/>
    <n v="0"/>
  </r>
  <r>
    <x v="201"/>
    <x v="94"/>
    <s v="The motor did not complete the requested move."/>
    <x v="4"/>
    <x v="17"/>
    <s v="Error"/>
    <s v="Rare"/>
    <s v="N/A"/>
    <x v="0"/>
    <x v="2"/>
    <n v="0"/>
  </r>
  <r>
    <x v="202"/>
    <x v="94"/>
    <s v="The motor did not complete the requested move."/>
    <x v="4"/>
    <x v="17"/>
    <s v="Error"/>
    <s v="Rare"/>
    <s v="N/A"/>
    <x v="0"/>
    <x v="2"/>
    <n v="0"/>
  </r>
  <r>
    <x v="203"/>
    <x v="94"/>
    <s v="The motor did not complete the requested move."/>
    <x v="4"/>
    <x v="17"/>
    <s v="Error"/>
    <s v="Questionable"/>
    <s v="Remove Cuvette Jam"/>
    <x v="0"/>
    <x v="1"/>
    <n v="0"/>
  </r>
  <r>
    <x v="204"/>
    <x v="95"/>
    <s v="Accumulator is full and unable to dump."/>
    <x v="4"/>
    <x v="14"/>
    <s v="Error"/>
    <s v="Rare"/>
    <s v="Remove/Replace Waste Drawer checking Biological Container position."/>
    <x v="0"/>
    <x v="2"/>
    <n v="0"/>
  </r>
  <r>
    <x v="205"/>
    <x v="96"/>
    <s v="The motor did not complete the requested move prior to a motor move time out (bar code)."/>
    <x v="5"/>
    <x v="18"/>
    <s v="Error"/>
    <s v="Questionable"/>
    <s v="Service Call"/>
    <x v="1"/>
    <x v="0"/>
    <n v="0.25"/>
  </r>
  <r>
    <x v="206"/>
    <x v="96"/>
    <s v="The motor did not complete the requested move prior to a motor move time out (bar code)."/>
    <x v="5"/>
    <x v="18"/>
    <s v="Error"/>
    <s v="Questionable"/>
    <s v="Service Call"/>
    <x v="0"/>
    <x v="1"/>
    <n v="0"/>
  </r>
  <r>
    <x v="207"/>
    <x v="96"/>
    <s v="The motor did not complete the requested move prior to a motor move time out (bar code)."/>
    <x v="5"/>
    <x v="18"/>
    <s v="Error"/>
    <s v="Questionable"/>
    <s v="Service Call"/>
    <x v="0"/>
    <x v="0"/>
    <n v="0"/>
  </r>
  <r>
    <x v="208"/>
    <x v="96"/>
    <s v="The motor did not complete the requested move prior to a motor move time out (bar code)."/>
    <x v="5"/>
    <x v="18"/>
    <s v="Error"/>
    <s v="Rare"/>
    <s v="N/A"/>
    <x v="0"/>
    <x v="2"/>
    <n v="0"/>
  </r>
  <r>
    <x v="209"/>
    <x v="96"/>
    <s v="The motor did not complete the requested move prior to a motor move time out (bar code)."/>
    <x v="5"/>
    <x v="18"/>
    <s v="Error"/>
    <s v="Questionable"/>
    <s v="Service Call"/>
    <x v="0"/>
    <x v="0"/>
    <n v="0"/>
  </r>
  <r>
    <x v="210"/>
    <x v="96"/>
    <s v="The motor did not complete the requested move prior to a motor move time out (bar code)."/>
    <x v="5"/>
    <x v="18"/>
    <s v="Error"/>
    <s v="Rare"/>
    <s v="N/A"/>
    <x v="0"/>
    <x v="2"/>
    <n v="0"/>
  </r>
  <r>
    <x v="211"/>
    <x v="97"/>
    <s v="All the ORU have been disabled, either manually or automatically. The instrument cannot perform any tests."/>
    <x v="2"/>
    <x v="3"/>
    <s v="Error"/>
    <s v="Questionable"/>
    <s v="ORU Calibration"/>
    <x v="0"/>
    <x v="1"/>
    <n v="0"/>
  </r>
  <r>
    <x v="212"/>
    <x v="98"/>
    <s v="The requested operation on flush failed"/>
    <x v="0"/>
    <x v="0"/>
    <s v="N/A"/>
    <s v="Rare"/>
    <s v="N/A"/>
    <x v="0"/>
    <x v="2"/>
    <n v="0"/>
  </r>
  <r>
    <x v="213"/>
    <x v="99"/>
    <s v="The accumulator does not return to the up position within 2 seconds of being emptied."/>
    <x v="4"/>
    <x v="14"/>
    <s v="Error"/>
    <s v="Rare"/>
    <s v="N/A"/>
    <x v="0"/>
    <x v="2"/>
    <n v="0"/>
  </r>
  <r>
    <x v="214"/>
    <x v="33"/>
    <s v="Temperature out of range in a reading unit"/>
    <x v="3"/>
    <x v="5"/>
    <s v="Warning"/>
    <s v="Frequent"/>
    <s v="N/A"/>
    <x v="0"/>
    <x v="4"/>
    <n v="0"/>
  </r>
  <r>
    <x v="215"/>
    <x v="34"/>
    <s v="Temperature out of range in a reading unit"/>
    <x v="3"/>
    <x v="5"/>
    <s v="Warning"/>
    <s v="Frequent"/>
    <s v="N/A"/>
    <x v="0"/>
    <x v="4"/>
    <n v="0"/>
  </r>
  <r>
    <x v="216"/>
    <x v="35"/>
    <s v="Temperature out of range in a reading unit"/>
    <x v="3"/>
    <x v="5"/>
    <s v="Warning"/>
    <s v="Frequent"/>
    <s v="N/A"/>
    <x v="0"/>
    <x v="4"/>
    <n v="0"/>
  </r>
  <r>
    <x v="217"/>
    <x v="36"/>
    <s v="Temperature out of range in a reading unit"/>
    <x v="3"/>
    <x v="5"/>
    <s v="Warning"/>
    <s v="Frequent"/>
    <s v="N/A"/>
    <x v="0"/>
    <x v="4"/>
    <n v="0"/>
  </r>
  <r>
    <x v="218"/>
    <x v="31"/>
    <s v="Temperature out of range in an incubator"/>
    <x v="3"/>
    <x v="5"/>
    <s v="Warning"/>
    <s v="Frequent"/>
    <s v="N/A"/>
    <x v="0"/>
    <x v="4"/>
    <n v="0"/>
  </r>
  <r>
    <x v="219"/>
    <x v="32"/>
    <s v="Temperature out of range in an incubator"/>
    <x v="3"/>
    <x v="5"/>
    <s v="Warning"/>
    <s v="Frequent"/>
    <s v="N/A"/>
    <x v="0"/>
    <x v="4"/>
    <n v="0"/>
  </r>
  <r>
    <x v="220"/>
    <x v="100"/>
    <s v="Probe temperature or dispense temperature defined to be out of warning range but within failure range."/>
    <x v="3"/>
    <x v="5"/>
    <s v="Warning"/>
    <s v="Questionable"/>
    <s v="Service Call"/>
    <x v="0"/>
    <x v="1"/>
    <n v="0"/>
  </r>
  <r>
    <x v="221"/>
    <x v="101"/>
    <s v="Probe temperature dispense temperature defined to be out of warning range but within failure range."/>
    <x v="3"/>
    <x v="5"/>
    <s v="Warning"/>
    <s v="Questionable"/>
    <s v="Service Call"/>
    <x v="0"/>
    <x v="1"/>
    <n v="0"/>
  </r>
  <r>
    <x v="222"/>
    <x v="102"/>
    <s v="Probe temperature dispense temperature defined to be out of warning range but within failure range."/>
    <x v="3"/>
    <x v="5"/>
    <s v="Warning"/>
    <s v="Questionable"/>
    <s v="Service Call"/>
    <x v="0"/>
    <x v="1"/>
    <n v="0"/>
  </r>
  <r>
    <x v="223"/>
    <x v="103"/>
    <s v="Probe Pre-Heater temperature defined to be out of warning range but within failure range"/>
    <x v="3"/>
    <x v="5"/>
    <s v="Warning"/>
    <s v="Questionable"/>
    <s v="Service Call"/>
    <x v="0"/>
    <x v="1"/>
    <n v="0"/>
  </r>
  <r>
    <x v="224"/>
    <x v="104"/>
    <s v="Probe Pre-Heater temperature defined to be out of warning range but within failure range"/>
    <x v="3"/>
    <x v="5"/>
    <s v="Warning"/>
    <s v="Questionable"/>
    <s v="Service Call"/>
    <x v="0"/>
    <x v="1"/>
    <n v="0"/>
  </r>
  <r>
    <x v="225"/>
    <x v="105"/>
    <s v="Probe Pre-Heater temperature defined to be out of warning range but within failure range"/>
    <x v="3"/>
    <x v="5"/>
    <s v="Warning"/>
    <s v="Questionable"/>
    <s v="Service Call"/>
    <x v="0"/>
    <x v="1"/>
    <n v="0"/>
  </r>
  <r>
    <x v="226"/>
    <x v="106"/>
    <s v="Reagent area temperature defined to be out of warning range but within failure range."/>
    <x v="3"/>
    <x v="5"/>
    <s v="Warning"/>
    <s v="Frequent"/>
    <s v="N/A"/>
    <x v="0"/>
    <x v="4"/>
    <n v="0"/>
  </r>
  <r>
    <x v="227"/>
    <x v="107"/>
    <s v="Cuvette shuttle temperature defined to be out of warning range but within failure range."/>
    <x v="3"/>
    <x v="5"/>
    <s v="Warning"/>
    <s v="Frequent"/>
    <s v="N/A"/>
    <x v="0"/>
    <x v="4"/>
    <n v="0"/>
  </r>
  <r>
    <x v="228"/>
    <x v="108"/>
    <s v="Optical Reference readings not within expected range, possibly due to LED aging or failure."/>
    <x v="2"/>
    <x v="3"/>
    <s v="Warning"/>
    <s v="Questionable"/>
    <s v="ORU Calibration"/>
    <x v="0"/>
    <x v="1"/>
    <n v="0"/>
  </r>
  <r>
    <x v="229"/>
    <x v="109"/>
    <s v="ORU dark readings are too high, possibly indicating excessive stray light."/>
    <x v="2"/>
    <x v="3"/>
    <s v="Warning"/>
    <s v="Questionable"/>
    <s v="ORU Calibration"/>
    <x v="0"/>
    <x v="1"/>
    <n v="0"/>
  </r>
  <r>
    <x v="230"/>
    <x v="110"/>
    <s v="Optical readings too noisy, possibly due to LED aging or failure."/>
    <x v="2"/>
    <x v="3"/>
    <s v="Warning"/>
    <s v="Questionable"/>
    <s v="ORU Calibration"/>
    <x v="0"/>
    <x v="1"/>
    <n v="0"/>
  </r>
  <r>
    <x v="231"/>
    <x v="111"/>
    <s v="ORU amplifier and/or A/D converter saturated"/>
    <x v="2"/>
    <x v="3"/>
    <s v="Warning"/>
    <s v="Questionable"/>
    <s v="ORU Calibration"/>
    <x v="0"/>
    <x v="1"/>
    <n v="0"/>
  </r>
  <r>
    <x v="232"/>
    <x v="112"/>
    <s v="Rinse flow verification procedure failure"/>
    <x v="6"/>
    <x v="10"/>
    <s v="Error"/>
    <s v="Questionable"/>
    <s v="Check/Prime Rinse circuit; Check Glass Syringes are tighten."/>
    <x v="0"/>
    <x v="1"/>
    <n v="0"/>
  </r>
  <r>
    <x v="233"/>
    <x v="113"/>
    <s v="Math exception error (e.g.,  attempt to divide by zero, overflow, result not reasonable)."/>
    <x v="0"/>
    <x v="0"/>
    <s v="Warning"/>
    <s v="Rare"/>
    <s v="N/A"/>
    <x v="0"/>
    <x v="2"/>
    <n v="0"/>
  </r>
  <r>
    <x v="234"/>
    <x v="114"/>
    <s v="Current air read for this wavelength, read head and read channel is outside of the stored air read plus tolerance"/>
    <x v="2"/>
    <x v="3"/>
    <s v="Error"/>
    <s v="Questionable"/>
    <s v="ORU Calibration"/>
    <x v="0"/>
    <x v="1"/>
    <n v="0"/>
  </r>
  <r>
    <x v="235"/>
    <x v="115"/>
    <s v="LLD error occurred during pipetting operation."/>
    <x v="7"/>
    <x v="19"/>
    <s v="Error"/>
    <s v="Frequent"/>
    <s v="N/A"/>
    <x v="0"/>
    <x v="4"/>
    <n v="0"/>
  </r>
  <r>
    <x v="236"/>
    <x v="116"/>
    <s v="Dispense error."/>
    <x v="0"/>
    <x v="0"/>
    <s v="Error"/>
    <s v="Frequent"/>
    <s v="N/A"/>
    <x v="0"/>
    <x v="4"/>
    <n v="0"/>
  </r>
  <r>
    <x v="237"/>
    <x v="117"/>
    <s v="LLD error in LAS track."/>
    <x v="7"/>
    <x v="19"/>
    <s v="Error"/>
    <s v="Rare"/>
    <s v="N/A"/>
    <x v="0"/>
    <x v="2"/>
    <n v="0"/>
  </r>
  <r>
    <x v="238"/>
    <x v="118"/>
    <s v="LLD error in cuvette"/>
    <x v="7"/>
    <x v="19"/>
    <s v="Error"/>
    <s v="Questionable"/>
    <s v="Needles/Well Cleaning"/>
    <x v="0"/>
    <x v="3"/>
    <n v="0"/>
  </r>
  <r>
    <x v="239"/>
    <x v="119"/>
    <s v="LLD error in well"/>
    <x v="7"/>
    <x v="19"/>
    <s v="Error"/>
    <s v="Questionable"/>
    <s v="Needles/Well Cleaning"/>
    <x v="2"/>
    <x v="1"/>
    <n v="4"/>
  </r>
  <r>
    <x v="240"/>
    <x v="120"/>
    <s v="Current air read for this wavelength, read head and read channel is out of range"/>
    <x v="2"/>
    <x v="3"/>
    <s v="Error"/>
    <s v="Rare"/>
    <s v="N/A"/>
    <x v="0"/>
    <x v="2"/>
    <n v="0"/>
  </r>
  <r>
    <x v="241"/>
    <x v="121"/>
    <s v="Invalid transmit message format for the bar code reader."/>
    <x v="5"/>
    <x v="18"/>
    <s v="N/A"/>
    <s v="Rare"/>
    <s v="N/A"/>
    <x v="0"/>
    <x v="2"/>
    <n v="0"/>
  </r>
  <r>
    <x v="242"/>
    <x v="122"/>
    <s v="Communications transmission hardware is not functional."/>
    <x v="0"/>
    <x v="0"/>
    <s v="N/A"/>
    <s v="Rare"/>
    <s v="N/A"/>
    <x v="0"/>
    <x v="2"/>
    <n v="0"/>
  </r>
  <r>
    <x v="243"/>
    <x v="123"/>
    <s v="When attempting to move the cuvette indexer to pick up a new cuvette clip, the indexer was not detected to be fully to the left to allow the clip to fall.  Move is attempted for five seconds in order to search for the proper position."/>
    <x v="4"/>
    <x v="17"/>
    <s v="Error"/>
    <s v="Questionable"/>
    <s v="Remove Cuvette Jam"/>
    <x v="0"/>
    <x v="1"/>
    <n v="0"/>
  </r>
  <r>
    <x v="244"/>
    <x v="124"/>
    <s v="When the cuvette indexer is attempting to load the cuvette clip into the position for the cuvette shuttle to pick it up, the clip was not detected.  Move is attempted for five seconds in order to search for the proper position. "/>
    <x v="4"/>
    <x v="17"/>
    <s v="Error"/>
    <s v="Questionable"/>
    <s v="Remove Cuvette Jam"/>
    <x v="0"/>
    <x v="1"/>
    <n v="0"/>
  </r>
  <r>
    <x v="245"/>
    <x v="125"/>
    <s v="The move of the pivot arm to the up position was not detected as completed.  The motor moves for 10 seconds and the expected sensor to stop the motor was not found."/>
    <x v="4"/>
    <x v="16"/>
    <s v="Error"/>
    <s v="Questionable"/>
    <s v="Remove Cuvette Jam"/>
    <x v="0"/>
    <x v="1"/>
    <n v="0"/>
  </r>
  <r>
    <x v="246"/>
    <x v="126"/>
    <s v="The move of the pivot arm to the down position was not detected as completed.    The motor moves for 10 seconds and the expected sensor to stop the motor was not found."/>
    <x v="4"/>
    <x v="16"/>
    <s v="Error"/>
    <s v="Questionable"/>
    <s v="Remove Cuvette Jam"/>
    <x v="0"/>
    <x v="1"/>
    <n v="0"/>
  </r>
  <r>
    <x v="247"/>
    <x v="127"/>
    <s v="After all devices have successfully performed their individual operations to pick up a cuvette, but a cuvette was not detected in the shuttle."/>
    <x v="4"/>
    <x v="17"/>
    <s v="Error"/>
    <s v="Questionable"/>
    <s v="Remove Cuvette Jam"/>
    <x v="0"/>
    <x v="1"/>
    <n v="0"/>
  </r>
  <r>
    <x v="248"/>
    <x v="128"/>
    <s v="A request was made to drop off a cuvette, but no cuvette is detected in the shuttle. "/>
    <x v="4"/>
    <x v="17"/>
    <s v="Error"/>
    <s v="Rare"/>
    <s v="N/A"/>
    <x v="0"/>
    <x v="2"/>
    <n v="0"/>
  </r>
  <r>
    <x v="249"/>
    <x v="129"/>
    <s v="The shuttle is ready to pick up a cuvette, but there is no cuvette in the slot."/>
    <x v="4"/>
    <x v="17"/>
    <s v="Error"/>
    <s v="Rare"/>
    <s v="N/A"/>
    <x v="0"/>
    <x v="2"/>
    <n v="0"/>
  </r>
  <r>
    <x v="250"/>
    <x v="130"/>
    <s v="The shuttle cannot perform a cuvette pick up operation because a cuvette is already detected in the shuttle."/>
    <x v="4"/>
    <x v="17"/>
    <s v="Error"/>
    <s v="Rare"/>
    <s v="N/A"/>
    <x v="0"/>
    <x v="2"/>
    <n v="0"/>
  </r>
  <r>
    <x v="251"/>
    <x v="131"/>
    <s v="After all devices have successfully performed their individual operations to drop off a cuvette, but a cuvette was still detected in the shuttle."/>
    <x v="4"/>
    <x v="17"/>
    <s v="Error"/>
    <s v="Questionable"/>
    <s v="Remove Cuvette Jam"/>
    <x v="0"/>
    <x v="1"/>
    <n v="0"/>
  </r>
  <r>
    <x v="252"/>
    <x v="132"/>
    <s v="Improper destination for a cuvette drop off.  Cannot drop off a cuvette into the loader for example."/>
    <x v="4"/>
    <x v="17"/>
    <s v="N/A"/>
    <s v="Rare"/>
    <s v="N/A"/>
    <x v="0"/>
    <x v="2"/>
    <n v="0"/>
  </r>
  <r>
    <x v="253"/>
    <x v="133"/>
    <s v="The source position for picking up a cuvette is empty."/>
    <x v="4"/>
    <x v="17"/>
    <s v="Error"/>
    <s v="Rare"/>
    <s v="N/A"/>
    <x v="0"/>
    <x v="2"/>
    <n v="0"/>
  </r>
  <r>
    <x v="254"/>
    <x v="134"/>
    <s v="The destination position for placing a cuvette is occupied."/>
    <x v="4"/>
    <x v="17"/>
    <s v="Error"/>
    <s v="Rare"/>
    <s v="N/A"/>
    <x v="0"/>
    <x v="2"/>
    <n v="0"/>
  </r>
  <r>
    <x v="255"/>
    <x v="135"/>
    <s v="The requested cuvette pick up position is the waste position which is not possible."/>
    <x v="4"/>
    <x v="17"/>
    <s v="Error"/>
    <s v="Rare"/>
    <s v="N/A"/>
    <x v="0"/>
    <x v="2"/>
    <n v="0"/>
  </r>
  <r>
    <x v="256"/>
    <x v="136"/>
    <s v="The requested drop off position is the loader position which is not possible."/>
    <x v="4"/>
    <x v="17"/>
    <s v="Error"/>
    <s v="Rare"/>
    <s v="N/A"/>
    <x v="0"/>
    <x v="2"/>
    <n v="0"/>
  </r>
  <r>
    <x v="257"/>
    <x v="137"/>
    <s v="Second cuvette move operation attempted prior to the loader/indexer preparing a new cuvette strip."/>
    <x v="4"/>
    <x v="17"/>
    <s v="Error"/>
    <s v="Rare"/>
    <s v="N/A"/>
    <x v="0"/>
    <x v="2"/>
    <n v="0"/>
  </r>
  <r>
    <x v="258"/>
    <x v="137"/>
    <s v="Second cuvette move operation attempted prior to the loader/indexer preparing a new cuvette strip."/>
    <x v="4"/>
    <x v="17"/>
    <s v="Error"/>
    <s v="Questionable"/>
    <s v="Remove Cuvette Jam"/>
    <x v="0"/>
    <x v="1"/>
    <n v="0"/>
  </r>
  <r>
    <x v="259"/>
    <x v="138"/>
    <s v="The number of required slots was detected too early in move distance."/>
    <x v="4"/>
    <x v="17"/>
    <s v="Error"/>
    <s v="Questionable"/>
    <s v="Service Call"/>
    <x v="0"/>
    <x v="1"/>
    <n v="0"/>
  </r>
  <r>
    <x v="260"/>
    <x v="139"/>
    <s v="During initialization (home), the gripper attempts to move off the back sensor, but the sensor is still detected.  OR   Extend gripper operation performed, but the back sensor is still detected."/>
    <x v="4"/>
    <x v="17"/>
    <s v="Error"/>
    <s v="Questionable"/>
    <s v="Service Call"/>
    <x v="0"/>
    <x v="1"/>
    <n v="0"/>
  </r>
  <r>
    <x v="261"/>
    <x v="140"/>
    <s v="During initialization (home), the gripper moves off the back sensor.  Once detected to be off the sensor, the motor moves towards the sensor to make sure it can be detected.  If the back sensor is not detected during this search then the alarm is generated."/>
    <x v="4"/>
    <x v="17"/>
    <s v="Error"/>
    <s v="Rare"/>
    <s v="N/A"/>
    <x v="0"/>
    <x v="2"/>
    <n v="0"/>
  </r>
  <r>
    <x v="262"/>
    <x v="141"/>
    <s v="After the gripper has completed a retract move the forward sensor is still detected."/>
    <x v="4"/>
    <x v="17"/>
    <s v="Error"/>
    <s v="Questionable"/>
    <s v="Remove Cuvette Jam"/>
    <x v="0"/>
    <x v="1"/>
    <n v="0"/>
  </r>
  <r>
    <x v="263"/>
    <x v="142"/>
    <s v="Extend gripper operation did not detect the front sensor."/>
    <x v="4"/>
    <x v="17"/>
    <s v="Error"/>
    <s v="Questionable"/>
    <s v="Remove Cuvette Jam"/>
    <x v="0"/>
    <x v="1"/>
    <n v="0"/>
  </r>
  <r>
    <x v="264"/>
    <x v="143"/>
    <s v="The accumulator is energized to be in the down position to drop the cuvettes on the tray, but the tray is still detected in the up position.  Allowed 250 ms to move."/>
    <x v="4"/>
    <x v="14"/>
    <s v="Error"/>
    <s v="Questionable"/>
    <s v="Remove/Replace Waste Drawer checking Biological Container position."/>
    <x v="0"/>
    <x v="1"/>
    <n v="0"/>
  </r>
  <r>
    <x v="265"/>
    <x v="144"/>
    <s v="The accumulator is de- energized to go to the up position to get more cuvettes onto the tray, but the tray is still detected in the down position.  Allowed 250 ms to move."/>
    <x v="4"/>
    <x v="14"/>
    <s v="Error"/>
    <s v="Rare"/>
    <s v="N/A"/>
    <x v="0"/>
    <x v="2"/>
    <n v="0"/>
  </r>
  <r>
    <x v="266"/>
    <x v="145"/>
    <s v="LLD error in LAS arm cover aspiration point."/>
    <x v="7"/>
    <x v="20"/>
    <s v="Error"/>
    <s v="Questionable"/>
    <s v="Critical when &gt;1% of Test Performed"/>
    <x v="0"/>
    <x v="3"/>
    <n v="0"/>
  </r>
  <r>
    <x v="267"/>
    <x v="146"/>
    <s v="X, Y or Z Axis - Invalid Profile Parameter"/>
    <x v="1"/>
    <x v="13"/>
    <s v="Error"/>
    <s v="Rare"/>
    <s v="N/A"/>
    <x v="0"/>
    <x v="2"/>
    <n v="0"/>
  </r>
  <r>
    <x v="268"/>
    <x v="146"/>
    <s v="X, Y or Z Axis - Invalid Profile Parameter"/>
    <x v="1"/>
    <x v="13"/>
    <s v="Error"/>
    <s v="Rare"/>
    <s v="N/A"/>
    <x v="0"/>
    <x v="2"/>
    <n v="0"/>
  </r>
  <r>
    <x v="269"/>
    <x v="146"/>
    <s v="X, Y or Z Axis - Invalid Profile Parameter"/>
    <x v="1"/>
    <x v="13"/>
    <s v="Error"/>
    <s v="Rare"/>
    <s v="N/A"/>
    <x v="0"/>
    <x v="2"/>
    <n v="0"/>
  </r>
  <r>
    <x v="270"/>
    <x v="147"/>
    <s v="X, Y or Z Axis - Speed Exceeds Profile Maximum"/>
    <x v="1"/>
    <x v="13"/>
    <s v="Error"/>
    <s v="Rare"/>
    <s v="N/A"/>
    <x v="0"/>
    <x v="2"/>
    <n v="0"/>
  </r>
  <r>
    <x v="271"/>
    <x v="147"/>
    <s v="X, Y or Z Axis - Speed Exceeds Profile Maximum"/>
    <x v="1"/>
    <x v="13"/>
    <s v="Error"/>
    <s v="Rare"/>
    <s v="N/A"/>
    <x v="0"/>
    <x v="2"/>
    <n v="0"/>
  </r>
  <r>
    <x v="272"/>
    <x v="147"/>
    <s v="X, Y or Z Axis - Speed Exceeds Profile Maximum"/>
    <x v="1"/>
    <x v="13"/>
    <s v="Error"/>
    <s v="Rare"/>
    <s v="N/A"/>
    <x v="0"/>
    <x v="2"/>
    <n v="0"/>
  </r>
  <r>
    <x v="273"/>
    <x v="148"/>
    <s v="X, Y or Z Axis - Cannot Process Steps Required"/>
    <x v="1"/>
    <x v="13"/>
    <s v="Error"/>
    <s v="Rare"/>
    <s v="N/A"/>
    <x v="0"/>
    <x v="2"/>
    <n v="0"/>
  </r>
  <r>
    <x v="274"/>
    <x v="148"/>
    <s v="X, Y or Z Axis - Cannot Process Steps Required"/>
    <x v="1"/>
    <x v="13"/>
    <s v="Error"/>
    <s v="Rare"/>
    <s v="N/A"/>
    <x v="0"/>
    <x v="2"/>
    <n v="0"/>
  </r>
  <r>
    <x v="275"/>
    <x v="148"/>
    <s v="X, Y or Z Axis - Cannot Process Steps Required"/>
    <x v="1"/>
    <x v="13"/>
    <s v="Error"/>
    <s v="Rare"/>
    <s v="N/A"/>
    <x v="0"/>
    <x v="2"/>
    <n v="0"/>
  </r>
  <r>
    <x v="276"/>
    <x v="149"/>
    <s v="X, Y or Z Axis - Selected Profile Is Invalid"/>
    <x v="1"/>
    <x v="13"/>
    <s v="Error"/>
    <s v="Rare"/>
    <s v="N/A"/>
    <x v="0"/>
    <x v="2"/>
    <n v="0"/>
  </r>
  <r>
    <x v="277"/>
    <x v="149"/>
    <s v="X, Y or Z Axis - Selected Profile Is Invalid"/>
    <x v="1"/>
    <x v="13"/>
    <s v="Error"/>
    <s v="Rare"/>
    <s v="N/A"/>
    <x v="0"/>
    <x v="2"/>
    <n v="0"/>
  </r>
  <r>
    <x v="278"/>
    <x v="149"/>
    <s v="X, Y or Z Axis - Selected Profile Is Invalid"/>
    <x v="1"/>
    <x v="13"/>
    <s v="Error"/>
    <s v="Rare"/>
    <s v="N/A"/>
    <x v="0"/>
    <x v="2"/>
    <n v="0"/>
  </r>
  <r>
    <x v="279"/>
    <x v="150"/>
    <s v="X, Y or Z Axis - Move Took Too Long To Complete"/>
    <x v="1"/>
    <x v="13"/>
    <s v="Error"/>
    <s v="Rare"/>
    <s v="N/A"/>
    <x v="0"/>
    <x v="2"/>
    <n v="0"/>
  </r>
  <r>
    <x v="280"/>
    <x v="150"/>
    <s v="X, Y or Z Axis - Move Took Too Long To Complete"/>
    <x v="1"/>
    <x v="13"/>
    <s v="Error"/>
    <s v="Rare"/>
    <s v="N/A"/>
    <x v="0"/>
    <x v="2"/>
    <n v="0"/>
  </r>
  <r>
    <x v="281"/>
    <x v="150"/>
    <s v="X, Y or Z Axis - Move Took Too Long To Complete"/>
    <x v="1"/>
    <x v="13"/>
    <s v="Error"/>
    <s v="Rare"/>
    <s v="N/A"/>
    <x v="0"/>
    <x v="2"/>
    <n v="0"/>
  </r>
  <r>
    <x v="282"/>
    <x v="151"/>
    <s v="X, Y or Z Axis - Movement Generates Too Many Steps"/>
    <x v="1"/>
    <x v="13"/>
    <s v="Error"/>
    <s v="Rare"/>
    <s v="N/A"/>
    <x v="0"/>
    <x v="2"/>
    <n v="0"/>
  </r>
  <r>
    <x v="283"/>
    <x v="151"/>
    <s v="X, Y or Z Axis - Movement Generates Too Many Steps"/>
    <x v="1"/>
    <x v="13"/>
    <s v="Error"/>
    <s v="Rare"/>
    <s v="N/A"/>
    <x v="0"/>
    <x v="2"/>
    <n v="0"/>
  </r>
  <r>
    <x v="284"/>
    <x v="151"/>
    <s v="X, Y or Z Axis - Movement Generates Too Many Steps"/>
    <x v="1"/>
    <x v="13"/>
    <s v="Error"/>
    <s v="Rare"/>
    <s v="N/A"/>
    <x v="0"/>
    <x v="2"/>
    <n v="0"/>
  </r>
  <r>
    <x v="285"/>
    <x v="152"/>
    <s v="X, Y or Z Axis - Invalid Limit State While Homing"/>
    <x v="1"/>
    <x v="13"/>
    <s v="Error"/>
    <s v="Rare"/>
    <s v="N/A"/>
    <x v="0"/>
    <x v="2"/>
    <n v="0"/>
  </r>
  <r>
    <x v="286"/>
    <x v="152"/>
    <s v="X, Y or Z Axis - Invalid Limit State While Homing"/>
    <x v="1"/>
    <x v="13"/>
    <s v="Error"/>
    <s v="Rare"/>
    <s v="N/A"/>
    <x v="0"/>
    <x v="2"/>
    <n v="0"/>
  </r>
  <r>
    <x v="287"/>
    <x v="152"/>
    <s v="X, Y or Z Axis - Invalid Limit State While Homing"/>
    <x v="1"/>
    <x v="13"/>
    <s v="Error"/>
    <s v="Rare"/>
    <s v="N/A"/>
    <x v="0"/>
    <x v="2"/>
    <n v="0"/>
  </r>
  <r>
    <x v="288"/>
    <x v="153"/>
    <s v="X, Y or Z Axis - Limit Detected During Move"/>
    <x v="1"/>
    <x v="13"/>
    <s v="Error"/>
    <s v="Rare"/>
    <s v="N/A"/>
    <x v="0"/>
    <x v="2"/>
    <n v="0"/>
  </r>
  <r>
    <x v="289"/>
    <x v="153"/>
    <s v="X, Y or Z Axis - Limit Detected During Move"/>
    <x v="1"/>
    <x v="13"/>
    <s v="Error"/>
    <s v="Rare"/>
    <s v="N/A"/>
    <x v="0"/>
    <x v="2"/>
    <n v="0"/>
  </r>
  <r>
    <x v="290"/>
    <x v="153"/>
    <s v="X, Y or Z Axis - Limit Detected During Move"/>
    <x v="1"/>
    <x v="13"/>
    <s v="Error"/>
    <s v="Rare"/>
    <s v="N/A"/>
    <x v="0"/>
    <x v="2"/>
    <n v="0"/>
  </r>
  <r>
    <x v="291"/>
    <x v="154"/>
    <s v="X, Y or Z Axis - Slippage Detected"/>
    <x v="1"/>
    <x v="13"/>
    <s v="Error"/>
    <s v="Questionable"/>
    <s v="Service Call"/>
    <x v="0"/>
    <x v="1"/>
    <n v="0"/>
  </r>
  <r>
    <x v="292"/>
    <x v="154"/>
    <s v="X, Y or Z Axis - Slippage Detected"/>
    <x v="1"/>
    <x v="13"/>
    <s v="Error"/>
    <s v="Questionable"/>
    <s v="Service Call"/>
    <x v="0"/>
    <x v="1"/>
    <n v="0"/>
  </r>
  <r>
    <x v="293"/>
    <x v="154"/>
    <s v="X, Y or Z Axis - Slippage Detected"/>
    <x v="1"/>
    <x v="13"/>
    <s v="Error"/>
    <s v="Questionable"/>
    <s v="Service Call"/>
    <x v="0"/>
    <x v="1"/>
    <n v="0"/>
  </r>
  <r>
    <x v="294"/>
    <x v="155"/>
    <s v="X, Y or Z Axis - Cannot Store More Ramps"/>
    <x v="1"/>
    <x v="13"/>
    <s v="Error"/>
    <s v="Rare"/>
    <s v="N/A"/>
    <x v="0"/>
    <x v="2"/>
    <n v="0"/>
  </r>
  <r>
    <x v="295"/>
    <x v="155"/>
    <s v="X, Y or Z Axis - Cannot Store More Ramps"/>
    <x v="1"/>
    <x v="13"/>
    <s v="Error"/>
    <s v="Rare"/>
    <s v="N/A"/>
    <x v="0"/>
    <x v="2"/>
    <n v="0"/>
  </r>
  <r>
    <x v="296"/>
    <x v="155"/>
    <s v="X, Y or Z Axis - Cannot Store More Ramps"/>
    <x v="1"/>
    <x v="13"/>
    <s v="Error"/>
    <s v="Rare"/>
    <s v="N/A"/>
    <x v="0"/>
    <x v="2"/>
    <n v="0"/>
  </r>
  <r>
    <x v="297"/>
    <x v="156"/>
    <s v="X, Y or Z Axis - Motor Stalled"/>
    <x v="1"/>
    <x v="13"/>
    <s v="Error"/>
    <s v="Rare"/>
    <s v="N/A"/>
    <x v="0"/>
    <x v="2"/>
    <n v="0"/>
  </r>
  <r>
    <x v="298"/>
    <x v="156"/>
    <s v="X, Y or Z Axis - Motor Stalled"/>
    <x v="1"/>
    <x v="13"/>
    <s v="Error"/>
    <s v="Rare"/>
    <s v="N/A"/>
    <x v="0"/>
    <x v="2"/>
    <n v="0"/>
  </r>
  <r>
    <x v="299"/>
    <x v="156"/>
    <s v="X, Y or Z Axis - Motor Stalled"/>
    <x v="1"/>
    <x v="13"/>
    <s v="Error"/>
    <s v="Rare"/>
    <s v="N/A"/>
    <x v="0"/>
    <x v="2"/>
    <n v="0"/>
  </r>
  <r>
    <x v="300"/>
    <x v="157"/>
    <s v="X, Y or Z Axis - Operation Timeout"/>
    <x v="1"/>
    <x v="13"/>
    <s v="Error"/>
    <s v="Rare"/>
    <s v="N/A"/>
    <x v="0"/>
    <x v="2"/>
    <n v="0"/>
  </r>
  <r>
    <x v="301"/>
    <x v="157"/>
    <s v="X, Y or Z Axis - Operation Timeout"/>
    <x v="1"/>
    <x v="13"/>
    <s v="Error"/>
    <s v="Questionable"/>
    <s v="Service Call"/>
    <x v="0"/>
    <x v="1"/>
    <n v="0"/>
  </r>
  <r>
    <x v="302"/>
    <x v="157"/>
    <s v="X, Y or Z Axis - Operation Timeout"/>
    <x v="1"/>
    <x v="13"/>
    <s v="Error"/>
    <s v="Questionable"/>
    <s v="Service Call"/>
    <x v="0"/>
    <x v="1"/>
    <n v="0"/>
  </r>
  <r>
    <x v="303"/>
    <x v="158"/>
    <s v="X, Y or Z Axis - Operation Failed"/>
    <x v="1"/>
    <x v="13"/>
    <s v="Error"/>
    <s v="Rare"/>
    <s v="N/A"/>
    <x v="0"/>
    <x v="2"/>
    <n v="0"/>
  </r>
  <r>
    <x v="304"/>
    <x v="158"/>
    <s v="X, Y or Z Axis - Operation Failed"/>
    <x v="1"/>
    <x v="13"/>
    <s v="Error"/>
    <s v="Rare"/>
    <s v="N/A"/>
    <x v="0"/>
    <x v="2"/>
    <n v="0"/>
  </r>
  <r>
    <x v="305"/>
    <x v="158"/>
    <s v="X, Y or Z Axis - Operation Failed"/>
    <x v="1"/>
    <x v="13"/>
    <s v="Error"/>
    <s v="Rare"/>
    <s v="N/A"/>
    <x v="0"/>
    <x v="2"/>
    <n v="0"/>
  </r>
  <r>
    <x v="306"/>
    <x v="159"/>
    <s v="Tube Release Procedure Failed"/>
    <x v="1"/>
    <x v="13"/>
    <s v="Error"/>
    <s v="Rare"/>
    <s v="N/A"/>
    <x v="0"/>
    <x v="2"/>
    <n v="0"/>
  </r>
  <r>
    <x v="307"/>
    <x v="160"/>
    <s v="Sensor Or Motor Failure Caused Latch Offset Measurement To Fail"/>
    <x v="1"/>
    <x v="13"/>
    <s v="Error"/>
    <s v="Rare"/>
    <s v="N/A"/>
    <x v="0"/>
    <x v="2"/>
    <n v="0"/>
  </r>
  <r>
    <x v="308"/>
    <x v="161"/>
    <s v="LLD Hardware Failure"/>
    <x v="7"/>
    <x v="4"/>
    <s v="Error"/>
    <s v="Rare"/>
    <s v="N/A"/>
    <x v="0"/>
    <x v="2"/>
    <n v="0"/>
  </r>
  <r>
    <x v="309"/>
    <x v="162"/>
    <s v="Piercer Was Not in the Expected State"/>
    <x v="1"/>
    <x v="13"/>
    <s v="Error"/>
    <s v="Rare"/>
    <s v="N/A"/>
    <x v="0"/>
    <x v="2"/>
    <n v="0"/>
  </r>
  <r>
    <x v="310"/>
    <x v="163"/>
    <s v="Z Axis - Power DAC failed"/>
    <x v="1"/>
    <x v="13"/>
    <s v="Error"/>
    <s v="Rare"/>
    <s v="N/A"/>
    <x v="0"/>
    <x v="2"/>
    <n v="0"/>
  </r>
  <r>
    <x v="311"/>
    <x v="164"/>
    <s v="Syringe Is Always Busy"/>
    <x v="1"/>
    <x v="2"/>
    <s v="Error"/>
    <s v="Rare"/>
    <s v="N/A"/>
    <x v="0"/>
    <x v="2"/>
    <n v="0"/>
  </r>
  <r>
    <x v="312"/>
    <x v="164"/>
    <s v="Syringe Is Always Busy"/>
    <x v="1"/>
    <x v="2"/>
    <s v="N/A"/>
    <s v="Rare"/>
    <s v="N/A"/>
    <x v="0"/>
    <x v="2"/>
    <n v="0"/>
  </r>
  <r>
    <x v="313"/>
    <x v="165"/>
    <s v="Syringe Took Too Long To Respond"/>
    <x v="1"/>
    <x v="2"/>
    <s v="Error"/>
    <s v="Rare"/>
    <s v="N/A"/>
    <x v="0"/>
    <x v="2"/>
    <n v="0"/>
  </r>
  <r>
    <x v="314"/>
    <x v="166"/>
    <s v="Syringe Could Not Be Initialized"/>
    <x v="1"/>
    <x v="2"/>
    <s v="Error"/>
    <s v="Rare"/>
    <s v="N/A"/>
    <x v="0"/>
    <x v="2"/>
    <n v="0"/>
  </r>
  <r>
    <x v="315"/>
    <x v="167"/>
    <s v="Syringe Does Not Understand The Command"/>
    <x v="1"/>
    <x v="2"/>
    <s v="Error"/>
    <s v="Rare"/>
    <s v="N/A"/>
    <x v="0"/>
    <x v="2"/>
    <n v="0"/>
  </r>
  <r>
    <x v="316"/>
    <x v="168"/>
    <s v="Syringe Command Parameter Is Invalid"/>
    <x v="1"/>
    <x v="2"/>
    <s v="Error"/>
    <s v="Rare"/>
    <s v="N/A"/>
    <x v="0"/>
    <x v="2"/>
    <n v="0"/>
  </r>
  <r>
    <x v="317"/>
    <x v="169"/>
    <s v="Syringe Must Be Initialized"/>
    <x v="1"/>
    <x v="2"/>
    <s v="Error"/>
    <s v="Rare"/>
    <s v="N/A"/>
    <x v="0"/>
    <x v="2"/>
    <n v="0"/>
  </r>
  <r>
    <x v="318"/>
    <x v="170"/>
    <s v="Syringe Plunger Is Overloaded"/>
    <x v="1"/>
    <x v="2"/>
    <s v="Error"/>
    <s v="Questionable"/>
    <s v="Service Call"/>
    <x v="0"/>
    <x v="1"/>
    <n v="0"/>
  </r>
  <r>
    <x v="319"/>
    <x v="171"/>
    <s v="Syringe Valve Is Overloaded"/>
    <x v="1"/>
    <x v="2"/>
    <s v="Error"/>
    <s v="Rare"/>
    <s v="N/A"/>
    <x v="0"/>
    <x v="2"/>
    <n v="0"/>
  </r>
  <r>
    <x v="320"/>
    <x v="172"/>
    <s v="Syringe Move Is Not Permitted"/>
    <x v="1"/>
    <x v="2"/>
    <s v="Error"/>
    <s v="Rare"/>
    <s v="N/A"/>
    <x v="0"/>
    <x v="2"/>
    <n v="0"/>
  </r>
  <r>
    <x v="321"/>
    <x v="173"/>
    <s v="Syringe Error With Unknown Source"/>
    <x v="1"/>
    <x v="2"/>
    <s v="Error"/>
    <s v="Rare"/>
    <s v="N/A"/>
    <x v="0"/>
    <x v="2"/>
    <n v="0"/>
  </r>
  <r>
    <x v="322"/>
    <x v="174"/>
    <s v="Error Communicating With The Syringe"/>
    <x v="1"/>
    <x v="2"/>
    <s v="Error"/>
    <s v="Rare"/>
    <s v="N/A"/>
    <x v="0"/>
    <x v="2"/>
    <n v="0"/>
  </r>
  <r>
    <x v="323"/>
    <x v="175"/>
    <s v="Syringe Hardware Malfunction"/>
    <x v="1"/>
    <x v="2"/>
    <s v="Error"/>
    <s v="Rare"/>
    <s v="N/A"/>
    <x v="0"/>
    <x v="2"/>
    <n v="0"/>
  </r>
  <r>
    <x v="324"/>
    <x v="176"/>
    <s v="Arm failure."/>
    <x v="1"/>
    <x v="13"/>
    <s v="N/A"/>
    <s v="Rare"/>
    <s v="N/A"/>
    <x v="0"/>
    <x v="2"/>
    <n v="0"/>
  </r>
  <r>
    <x v="325"/>
    <x v="176"/>
    <s v="Arm failure."/>
    <x v="1"/>
    <x v="13"/>
    <s v="N/A"/>
    <s v="Rare"/>
    <s v="N/A"/>
    <x v="0"/>
    <x v="2"/>
    <n v="0"/>
  </r>
  <r>
    <x v="326"/>
    <x v="176"/>
    <s v="Arm failure."/>
    <x v="1"/>
    <x v="13"/>
    <s v="N/A"/>
    <s v="Rare"/>
    <s v="N/A"/>
    <x v="0"/>
    <x v="2"/>
    <n v="0"/>
  </r>
  <r>
    <x v="327"/>
    <x v="176"/>
    <s v="Arm failure."/>
    <x v="1"/>
    <x v="13"/>
    <s v="N/A"/>
    <s v="Rare"/>
    <s v="N/A"/>
    <x v="0"/>
    <x v="2"/>
    <n v="0"/>
  </r>
  <r>
    <x v="328"/>
    <x v="176"/>
    <s v="Arm failure."/>
    <x v="1"/>
    <x v="13"/>
    <s v="N/A"/>
    <s v="Rare"/>
    <s v="N/A"/>
    <x v="0"/>
    <x v="2"/>
    <n v="0"/>
  </r>
  <r>
    <x v="329"/>
    <x v="176"/>
    <s v="Arm failure."/>
    <x v="1"/>
    <x v="13"/>
    <s v="N/A"/>
    <s v="Rare"/>
    <s v="N/A"/>
    <x v="0"/>
    <x v="2"/>
    <n v="0"/>
  </r>
  <r>
    <x v="330"/>
    <x v="176"/>
    <s v="Arm failure."/>
    <x v="1"/>
    <x v="13"/>
    <s v="N/A"/>
    <s v="Rare"/>
    <s v="N/A"/>
    <x v="0"/>
    <x v="2"/>
    <n v="0"/>
  </r>
  <r>
    <x v="331"/>
    <x v="176"/>
    <s v="Arm failure."/>
    <x v="1"/>
    <x v="13"/>
    <s v="N/A"/>
    <s v="Rare"/>
    <s v="N/A"/>
    <x v="0"/>
    <x v="2"/>
    <n v="0"/>
  </r>
  <r>
    <x v="332"/>
    <x v="176"/>
    <s v="Arm failure."/>
    <x v="1"/>
    <x v="13"/>
    <s v="N/A"/>
    <s v="Rare"/>
    <s v="N/A"/>
    <x v="0"/>
    <x v="2"/>
    <n v="0"/>
  </r>
  <r>
    <x v="333"/>
    <x v="176"/>
    <s v="Arm failure."/>
    <x v="1"/>
    <x v="13"/>
    <s v="N/A"/>
    <s v="Rare"/>
    <s v="N/A"/>
    <x v="0"/>
    <x v="2"/>
    <n v="0"/>
  </r>
  <r>
    <x v="334"/>
    <x v="176"/>
    <s v="Arm failure."/>
    <x v="1"/>
    <x v="13"/>
    <s v="N/A"/>
    <s v="Rare"/>
    <s v="N/A"/>
    <x v="0"/>
    <x v="2"/>
    <n v="0"/>
  </r>
  <r>
    <x v="335"/>
    <x v="176"/>
    <s v="Arm failure."/>
    <x v="1"/>
    <x v="13"/>
    <s v="N/A"/>
    <s v="Rare"/>
    <s v="N/A"/>
    <x v="0"/>
    <x v="2"/>
    <n v="0"/>
  </r>
  <r>
    <x v="336"/>
    <x v="176"/>
    <s v="Arm failure."/>
    <x v="1"/>
    <x v="13"/>
    <s v="N/A"/>
    <s v="Rare"/>
    <s v="N/A"/>
    <x v="0"/>
    <x v="2"/>
    <n v="0"/>
  </r>
  <r>
    <x v="337"/>
    <x v="176"/>
    <s v="Arm failure."/>
    <x v="1"/>
    <x v="13"/>
    <s v="N/A"/>
    <s v="Rare"/>
    <s v="N/A"/>
    <x v="0"/>
    <x v="2"/>
    <n v="0"/>
  </r>
  <r>
    <x v="338"/>
    <x v="176"/>
    <s v="Arm failure."/>
    <x v="1"/>
    <x v="13"/>
    <s v="N/A"/>
    <s v="Rare"/>
    <s v="N/A"/>
    <x v="0"/>
    <x v="2"/>
    <n v="0"/>
  </r>
  <r>
    <x v="339"/>
    <x v="176"/>
    <s v="Arm failure."/>
    <x v="1"/>
    <x v="13"/>
    <s v="N/A"/>
    <s v="Rare"/>
    <s v="N/A"/>
    <x v="0"/>
    <x v="2"/>
    <n v="0"/>
  </r>
  <r>
    <x v="340"/>
    <x v="177"/>
    <s v="CTS piercer lock not locked."/>
    <x v="1"/>
    <x v="13"/>
    <s v="Error"/>
    <s v="Rare"/>
    <s v="N/A"/>
    <x v="0"/>
    <x v="2"/>
    <n v="0"/>
  </r>
  <r>
    <x v="341"/>
    <x v="178"/>
    <s v="CTS probe mode switch failure."/>
    <x v="1"/>
    <x v="13"/>
    <s v="Error"/>
    <s v="Questionable"/>
    <s v="Service Call"/>
    <x v="0"/>
    <x v="1"/>
    <n v="0"/>
  </r>
  <r>
    <x v="342"/>
    <x v="179"/>
    <s v="The CTS hardware used to change probe between piercing mode and sample mode failed to switch."/>
    <x v="1"/>
    <x v="13"/>
    <s v="Error"/>
    <s v="Questionable"/>
    <s v="Service Call"/>
    <x v="0"/>
    <x v="1"/>
    <n v="0"/>
  </r>
  <r>
    <x v="343"/>
    <x v="180"/>
    <s v="Vial location unreachable"/>
    <x v="1"/>
    <x v="0"/>
    <s v="Error"/>
    <s v="Rare"/>
    <s v="N/A"/>
    <x v="0"/>
    <x v="2"/>
    <n v="0"/>
  </r>
  <r>
    <x v="344"/>
    <x v="180"/>
    <s v="Cuvette location unreachable"/>
    <x v="1"/>
    <x v="0"/>
    <s v="Error"/>
    <s v="Questionable"/>
    <s v="Service Call"/>
    <x v="0"/>
    <x v="1"/>
    <n v="0"/>
  </r>
  <r>
    <x v="345"/>
    <x v="181"/>
    <s v="The probe detects liquid but the measured position of the liquid is unexpected."/>
    <x v="7"/>
    <x v="20"/>
    <s v="Error"/>
    <s v="Questionable"/>
    <s v="Critical when &gt;1% of Test Performed"/>
    <x v="0"/>
    <x v="3"/>
    <n v="0"/>
  </r>
  <r>
    <x v="346"/>
    <x v="182"/>
    <s v="The probe detects liquid but the measured position of the liquid is unexpected."/>
    <x v="7"/>
    <x v="20"/>
    <s v="Error"/>
    <s v="Questionable"/>
    <s v="Critical when &gt;1% of Test Performed"/>
    <x v="0"/>
    <x v="3"/>
    <n v="0"/>
  </r>
  <r>
    <x v="347"/>
    <x v="183"/>
    <s v="The probe detects liquid but the measured position of the liquid is unexpected."/>
    <x v="7"/>
    <x v="20"/>
    <s v="Error"/>
    <s v="Questionable"/>
    <s v="Critical when &gt;1% of Test Performed"/>
    <x v="0"/>
    <x v="3"/>
    <n v="0"/>
  </r>
  <r>
    <x v="348"/>
    <x v="184"/>
    <s v="Invalid liquid detection: difference in baseline values read before and after liquid detection is too low."/>
    <x v="7"/>
    <x v="20"/>
    <s v="Error"/>
    <s v="Questionable"/>
    <s v="Critical when &gt;1% of Test Performed"/>
    <x v="0"/>
    <x v="3"/>
    <n v="0"/>
  </r>
  <r>
    <x v="349"/>
    <x v="185"/>
    <s v="Invalid liquid detection: difference in baseline values read before and after liquid detection is too low."/>
    <x v="7"/>
    <x v="20"/>
    <s v="Error"/>
    <s v="Questionable"/>
    <s v="Critical when &gt;1% of Test Performed"/>
    <x v="0"/>
    <x v="3"/>
    <n v="0"/>
  </r>
  <r>
    <x v="350"/>
    <x v="186"/>
    <s v="Invalid liquid detection: difference in baseline values read before and after liquid detection is too low."/>
    <x v="7"/>
    <x v="20"/>
    <s v="Error"/>
    <s v="Questionable"/>
    <s v="Critical when &gt;1% of Test Performed"/>
    <x v="0"/>
    <x v="3"/>
    <n v="0"/>
  </r>
  <r>
    <x v="351"/>
    <x v="187"/>
    <s v="Invalid liquid aspiration: difference in baseline values read before and after aspiration is too high."/>
    <x v="7"/>
    <x v="20"/>
    <s v="Error"/>
    <s v="Questionable"/>
    <s v="Critical when &gt;1% of Test Performed"/>
    <x v="0"/>
    <x v="3"/>
    <n v="0"/>
  </r>
  <r>
    <x v="352"/>
    <x v="188"/>
    <s v="Invalid liquid aspiration: difference in baseline values read before and after aspiration is too high."/>
    <x v="7"/>
    <x v="20"/>
    <s v="Error"/>
    <s v="Questionable"/>
    <s v="Critical when &gt;1% of Test Performed"/>
    <x v="0"/>
    <x v="3"/>
    <n v="0"/>
  </r>
  <r>
    <x v="353"/>
    <x v="189"/>
    <s v="Invalid liquid aspiration: difference in baseline values read before and after aspiration is too high."/>
    <x v="7"/>
    <x v="20"/>
    <s v="Error"/>
    <s v="Questionable"/>
    <s v="Critical when &gt;1% of Test Performed"/>
    <x v="0"/>
    <x v="3"/>
    <n v="0"/>
  </r>
  <r>
    <x v="354"/>
    <x v="190"/>
    <s v="Invalid liquid aspiration. LLD Baseline read after liquid level detection and after liquid aspiration is too high: the probe did not stay submerged."/>
    <x v="7"/>
    <x v="20"/>
    <s v="Error"/>
    <s v="Questionable"/>
    <s v="Critical when &gt;1% of Test Performed"/>
    <x v="0"/>
    <x v="3"/>
    <n v="0"/>
  </r>
  <r>
    <x v="355"/>
    <x v="191"/>
    <s v="Invalid liquid aspiration. LLD Baseline read after liquid level detection and after liquid aspiration is too high: the probe did not stay submerged."/>
    <x v="7"/>
    <x v="20"/>
    <s v="Error"/>
    <s v="Questionable"/>
    <s v="Critical when &gt;1% of Test Performed"/>
    <x v="0"/>
    <x v="3"/>
    <n v="0"/>
  </r>
  <r>
    <x v="356"/>
    <x v="192"/>
    <s v="Invalid liquid aspiration. LLD Baseline read after liquid level detection and after liquid aspiration is too high: the probe did not stay submerged."/>
    <x v="7"/>
    <x v="20"/>
    <s v="Error"/>
    <s v="Questionable"/>
    <s v="Critical when &gt;1% of Test Performed"/>
    <x v="0"/>
    <x v="3"/>
    <n v="0"/>
  </r>
  <r>
    <x v="357"/>
    <x v="193"/>
    <s v="The probe detects liquid but the measured position of the liquid is unexpected."/>
    <x v="7"/>
    <x v="20"/>
    <s v="Error"/>
    <s v="Questionable"/>
    <s v="Critical when &gt;1% of Test Performed"/>
    <x v="0"/>
    <x v="3"/>
    <n v="0"/>
  </r>
  <r>
    <x v="358"/>
    <x v="194"/>
    <s v="The probe detects liquid but the measured position of the liquid is unexpected."/>
    <x v="7"/>
    <x v="20"/>
    <s v="Error"/>
    <s v="Questionable"/>
    <s v="Critical when &gt;1% of Test Performed"/>
    <x v="0"/>
    <x v="3"/>
    <n v="0"/>
  </r>
  <r>
    <x v="359"/>
    <x v="195"/>
    <s v="Invalid liquid detection:  difference in baseline values read before and after aspiration is too high."/>
    <x v="7"/>
    <x v="20"/>
    <s v="Error"/>
    <s v="Questionable"/>
    <s v="Critical when &gt;1% of Test Performed"/>
    <x v="0"/>
    <x v="3"/>
    <n v="0"/>
  </r>
  <r>
    <x v="360"/>
    <x v="196"/>
    <s v="Invalid liquid aspiration.  LLD baseline read after liquid level detection and after liquid aspiration is too high; the probe did not stay submerged."/>
    <x v="7"/>
    <x v="20"/>
    <s v="Error"/>
    <s v="Questionable"/>
    <s v="Critical when &gt;1% of Test Performed"/>
    <x v="0"/>
    <x v="3"/>
    <n v="0"/>
  </r>
  <r>
    <x v="361"/>
    <x v="197"/>
    <s v="Unexpected liquid level in LAS arm cover aspiration point."/>
    <x v="7"/>
    <x v="20"/>
    <s v="Error"/>
    <s v="Questionable"/>
    <s v="Critical when &gt;1% of Test Performed"/>
    <x v="0"/>
    <x v="3"/>
    <n v="0"/>
  </r>
  <r>
    <x v="362"/>
    <x v="198"/>
    <s v="Invalid liquid detection: difference in baseline values read before and after liquid detection is too low."/>
    <x v="7"/>
    <x v="20"/>
    <s v="Error"/>
    <s v="Questionable"/>
    <s v="Critical when &gt;1% of Test Performed"/>
    <x v="0"/>
    <x v="3"/>
    <n v="0"/>
  </r>
  <r>
    <x v="363"/>
    <x v="199"/>
    <s v="Invalid liquid detection: difference in baseline values read before and after aspiration is too high."/>
    <x v="7"/>
    <x v="20"/>
    <s v="Error"/>
    <s v="Questionable"/>
    <s v="Critical when &gt;1% of Test Performed"/>
    <x v="0"/>
    <x v="3"/>
    <n v="0"/>
  </r>
  <r>
    <x v="364"/>
    <x v="200"/>
    <s v="Invalid liquid aspiration.  LLD baseline read after liquid level detection and after liquid aspiration is too high: the probe did not stay submerged."/>
    <x v="7"/>
    <x v="20"/>
    <s v="Error"/>
    <s v="Questionable"/>
    <s v="Critical when &gt;1% of Test Performed"/>
    <x v="0"/>
    <x v="3"/>
    <n v="0"/>
  </r>
  <r>
    <x v="365"/>
    <x v="201"/>
    <s v="Cannot communicate with the probe."/>
    <x v="1"/>
    <x v="4"/>
    <s v="Error"/>
    <s v="Rare"/>
    <s v="Service Call"/>
    <x v="0"/>
    <x v="2"/>
    <n v="0"/>
  </r>
  <r>
    <x v="366"/>
    <x v="202"/>
    <s v="The probe detects clean but the measured position of the liquid is unexpected."/>
    <x v="7"/>
    <x v="20"/>
    <s v="Error"/>
    <s v="Questionable"/>
    <s v="Remove and then replace the Clean"/>
    <x v="0"/>
    <x v="1"/>
    <n v="0"/>
  </r>
  <r>
    <x v="367"/>
    <x v="203"/>
    <s v="The Rinse solution level is below 600 mL."/>
    <x v="6"/>
    <x v="10"/>
    <s v="Error"/>
    <s v="Frequent"/>
    <s v="N/A"/>
    <x v="3"/>
    <x v="4"/>
    <n v="0"/>
  </r>
  <r>
    <x v="368"/>
    <x v="204"/>
    <s v="Waste fluid container Full sensor has been detected."/>
    <x v="6"/>
    <x v="11"/>
    <s v="Error"/>
    <s v="Frequent"/>
    <s v="N/A"/>
    <x v="3"/>
    <x v="4"/>
    <n v="0"/>
  </r>
  <r>
    <x v="369"/>
    <x v="205"/>
    <s v="Cannot empty waste into container."/>
    <x v="6"/>
    <x v="11"/>
    <s v="Error"/>
    <s v="Questionable"/>
    <s v="Empty Tank if Full / Check for Waste Connector Insertion or Tubing obstructions."/>
    <x v="0"/>
    <x v="1"/>
    <n v="0"/>
  </r>
  <r>
    <x v="370"/>
    <x v="206"/>
    <s v="Safety cover detected open not in diagnostics."/>
    <x v="5"/>
    <x v="18"/>
    <s v="Error"/>
    <s v="Frequent"/>
    <s v="N/A"/>
    <x v="3"/>
    <x v="4"/>
    <n v="0"/>
  </r>
  <r>
    <x v="371"/>
    <x v="207"/>
    <s v="The Clean solution level is below 25 mL."/>
    <x v="6"/>
    <x v="9"/>
    <s v="Error"/>
    <s v="Frequent"/>
    <s v="N/A"/>
    <x v="1"/>
    <x v="4"/>
    <n v="0"/>
  </r>
  <r>
    <x v="372"/>
    <x v="208"/>
    <s v="No cuvette strips detected at Empty sensor in the load area."/>
    <x v="4"/>
    <x v="16"/>
    <s v="Error"/>
    <s v="Frequent"/>
    <s v="N/A"/>
    <x v="0"/>
    <x v="4"/>
    <n v="0"/>
  </r>
  <r>
    <x v="373"/>
    <x v="209"/>
    <s v="Cuvette waste drawer sensor detects waste drawer not present."/>
    <x v="4"/>
    <x v="14"/>
    <s v="Error"/>
    <s v="Frequent"/>
    <s v="N/A"/>
    <x v="4"/>
    <x v="4"/>
    <n v="0"/>
  </r>
  <r>
    <x v="374"/>
    <x v="210"/>
    <s v="Used cuvettes exceed 80% of the waste drawer capacity."/>
    <x v="4"/>
    <x v="14"/>
    <s v="Error"/>
    <s v="Frequent"/>
    <s v="N/A"/>
    <x v="1"/>
    <x v="4"/>
    <n v="0"/>
  </r>
  <r>
    <x v="375"/>
    <x v="211"/>
    <s v="Unable to drop off cuvette in the requested position."/>
    <x v="4"/>
    <x v="17"/>
    <s v="Error"/>
    <s v="Questionable"/>
    <s v="Remove Cuvette Jam"/>
    <x v="0"/>
    <x v="1"/>
    <n v="0"/>
  </r>
  <r>
    <x v="376"/>
    <x v="212"/>
    <s v="The requested cuvette move is not allowed."/>
    <x v="4"/>
    <x v="17"/>
    <s v="Error"/>
    <s v="Questionable"/>
    <s v="Remove Cuvette Jam"/>
    <x v="0"/>
    <x v="1"/>
    <n v="0"/>
  </r>
  <r>
    <x v="377"/>
    <x v="213"/>
    <s v="Unable to pick up cuvette in the requested position."/>
    <x v="4"/>
    <x v="17"/>
    <s v="Error"/>
    <s v="Questionable"/>
    <s v="Remove Cuvette Jam"/>
    <x v="0"/>
    <x v="1"/>
    <n v="0"/>
  </r>
  <r>
    <x v="378"/>
    <x v="214"/>
    <s v="Clean volume in vial detected to be at error threshold."/>
    <x v="6"/>
    <x v="9"/>
    <s v="Error"/>
    <s v="Rare"/>
    <s v="Replace bottle if empty / Check for Clean Connector Insertion or Air in circuit."/>
    <x v="0"/>
    <x v="2"/>
    <n v="0"/>
  </r>
  <r>
    <x v="379"/>
    <x v="215"/>
    <s v="Insufficient liquid for the aspiration (sample or reagent)."/>
    <x v="7"/>
    <x v="19"/>
    <s v="Error"/>
    <s v="Frequent"/>
    <s v="N/A"/>
    <x v="5"/>
    <x v="4"/>
    <n v="0"/>
  </r>
  <r>
    <x v="380"/>
    <x v="216"/>
    <s v="Insufficient liquid for the aspirate (LAS track)"/>
    <x v="7"/>
    <x v="19"/>
    <s v="Error"/>
    <s v="Frequent"/>
    <s v="N/A"/>
    <x v="0"/>
    <x v="4"/>
    <n v="0"/>
  </r>
  <r>
    <x v="381"/>
    <x v="217"/>
    <s v="Insufficient liquid is detected when mixing is performed in a cuvette cell."/>
    <x v="7"/>
    <x v="19"/>
    <s v="Error"/>
    <s v="Questionable"/>
    <s v="Service Call"/>
    <x v="0"/>
    <x v="3"/>
    <n v="0"/>
  </r>
  <r>
    <x v="382"/>
    <x v="218"/>
    <s v="Insufficient liquid for the aspirate (sample or reagent)"/>
    <x v="6"/>
    <x v="9"/>
    <s v="Error"/>
    <s v="Rare"/>
    <s v="Replace bottle if empty / Check for Clean Connector Insertion or Air in circuit."/>
    <x v="4"/>
    <x v="2"/>
    <n v="3"/>
  </r>
  <r>
    <x v="383"/>
    <x v="219"/>
    <s v="Insufficient liquid for the aspirate (LAS arm cover)."/>
    <x v="7"/>
    <x v="19"/>
    <s v="Error"/>
    <s v="Frequent"/>
    <s v="N/A"/>
    <x v="0"/>
    <x v="4"/>
    <n v="0"/>
  </r>
  <r>
    <x v="384"/>
    <x v="220"/>
    <s v="The actual execution did not meet a critical scheduling time.  The job failed and it is not possible to recover"/>
    <x v="0"/>
    <x v="0"/>
    <s v="Error"/>
    <s v="Questionable"/>
    <s v="HW/SW Error"/>
    <x v="0"/>
    <x v="1"/>
    <n v="0"/>
  </r>
  <r>
    <x v="385"/>
    <x v="221"/>
    <s v="A rack already inserted becomes unplugged with the reader not in front of the rack."/>
    <x v="5"/>
    <x v="18"/>
    <s v="Error"/>
    <s v="Frequent"/>
    <s v="N/A"/>
    <x v="0"/>
    <x v="4"/>
    <n v="0"/>
  </r>
  <r>
    <x v="386"/>
    <x v="222"/>
    <s v="Air Calibration data for the specified ORU are not available. The instrument is not able to perform air reading drift checks."/>
    <x v="2"/>
    <x v="3"/>
    <s v="Error"/>
    <s v="Questionable"/>
    <s v="ORU Calibration"/>
    <x v="0"/>
    <x v="1"/>
    <n v="0"/>
  </r>
  <r>
    <x v="387"/>
    <x v="223"/>
    <s v="Volume for the last bottle is detected to be at the error threshold."/>
    <x v="7"/>
    <x v="19"/>
    <s v="Error"/>
    <s v="Frequent"/>
    <s v="N/A"/>
    <x v="6"/>
    <x v="4"/>
    <n v="0"/>
  </r>
  <r>
    <x v="388"/>
    <x v="224"/>
    <s v="An invalid blanking value has been accepted by the user.  The ORU will be automatically disabled."/>
    <x v="2"/>
    <x v="3"/>
    <s v="Error"/>
    <s v="Rare"/>
    <s v="N/A"/>
    <x v="0"/>
    <x v="2"/>
    <n v="0"/>
  </r>
  <r>
    <x v="389"/>
    <x v="225"/>
    <s v="Factor Diluent Calibration data for the specified ORU are not available. The instrument is not able to calculate absolute absorbencies."/>
    <x v="2"/>
    <x v="3"/>
    <s v="Error"/>
    <s v="Questionable"/>
    <s v="ORU Calibration"/>
    <x v="0"/>
    <x v="1"/>
    <n v="0"/>
  </r>
  <r>
    <x v="390"/>
    <x v="226"/>
    <s v="A semi-Automatic or automatic Maintenance Activity's Execution has been interrupted due to an error."/>
    <x v="8"/>
    <x v="21"/>
    <s v="Error"/>
    <s v="Frequent"/>
    <s v="N/A"/>
    <x v="1"/>
    <x v="4"/>
    <n v="0"/>
  </r>
  <r>
    <x v="391"/>
    <x v="227"/>
    <s v="There is not more memory in the AM for processing more tests."/>
    <x v="0"/>
    <x v="0"/>
    <s v="Warning"/>
    <s v="Rare"/>
    <s v="N/A"/>
    <x v="0"/>
    <x v="2"/>
    <n v="0"/>
  </r>
  <r>
    <x v="392"/>
    <x v="228"/>
    <s v="CTS Filter missing."/>
    <x v="1"/>
    <x v="13"/>
    <s v="Error"/>
    <s v="Questionable"/>
    <s v="Service Call"/>
    <x v="0"/>
    <x v="1"/>
    <n v="0"/>
  </r>
  <r>
    <x v="393"/>
    <x v="229"/>
    <s v="Air presser sensor not operating correctly."/>
    <x v="6"/>
    <x v="12"/>
    <s v="Error"/>
    <s v="Rare"/>
    <s v="N/A"/>
    <x v="0"/>
    <x v="2"/>
    <n v="0"/>
  </r>
  <r>
    <x v="394"/>
    <x v="230"/>
    <s v="System detected not enough free disk space to run the application"/>
    <x v="0"/>
    <x v="0"/>
    <s v="Error"/>
    <s v="Rare"/>
    <s v="N/A"/>
    <x v="0"/>
    <x v="2"/>
    <n v="0"/>
  </r>
  <r>
    <x v="395"/>
    <x v="231"/>
    <s v="If the default file path does not exist, the system tries to automatically create it. The operation could fail for different causes: _x000a_- wrong file path specification _x000a_- insufficient rights to write to the drive _x000a_- HW/SW failure of the drive"/>
    <x v="0"/>
    <x v="0"/>
    <s v="Error"/>
    <s v="Rare"/>
    <s v="N/A"/>
    <x v="0"/>
    <x v="2"/>
    <n v="0"/>
  </r>
  <r>
    <x v="396"/>
    <x v="232"/>
    <s v="Volume for last bottle detected to be at warning threshold."/>
    <x v="7"/>
    <x v="19"/>
    <s v="Warning"/>
    <s v="Frequent"/>
    <s v="N/A"/>
    <x v="7"/>
    <x v="4"/>
    <n v="0"/>
  </r>
  <r>
    <x v="397"/>
    <x v="233"/>
    <s v="Remaining stability for the last bottle is detected to be at warning threshold."/>
    <x v="8"/>
    <x v="22"/>
    <s v="Warning"/>
    <s v="Frequent"/>
    <s v="N/A"/>
    <x v="8"/>
    <x v="4"/>
    <n v="0"/>
  </r>
  <r>
    <x v="398"/>
    <x v="234"/>
    <s v="Remaining expiration time for the last bottle/lot is detected to be at warning threshold."/>
    <x v="8"/>
    <x v="22"/>
    <s v="Warning"/>
    <s v="Frequent"/>
    <s v="N/A"/>
    <x v="0"/>
    <x v="4"/>
    <n v="0"/>
  </r>
  <r>
    <x v="399"/>
    <x v="235"/>
    <s v="A material has been inserted without a bar code ID label."/>
    <x v="8"/>
    <x v="22"/>
    <s v="Error"/>
    <s v="Frequent"/>
    <s v="N/A"/>
    <x v="9"/>
    <x v="4"/>
    <n v="0"/>
  </r>
  <r>
    <x v="400"/>
    <x v="236"/>
    <s v="A material has been inserted with a bar code ID label whose material index does not correspond to any material definition in the material list.  "/>
    <x v="8"/>
    <x v="22"/>
    <s v="Error"/>
    <s v="Frequent"/>
    <s v="N/A"/>
    <x v="0"/>
    <x v="4"/>
    <n v="0"/>
  </r>
  <r>
    <x v="401"/>
    <x v="237"/>
    <s v="The bottle type contained in the bar code is different that the bottle type defined in the material definition."/>
    <x v="8"/>
    <x v="22"/>
    <s v="Warning"/>
    <s v="Frequent"/>
    <s v="N/A"/>
    <x v="0"/>
    <x v="4"/>
    <n v="0"/>
  </r>
  <r>
    <x v="402"/>
    <x v="238"/>
    <s v="A material has been loaded on-board whose lot is not defined in the system.  In this case the material ID located in the bar code label is known but the lot ID is not.  "/>
    <x v="8"/>
    <x v="22"/>
    <s v="Error"/>
    <s v="Frequent"/>
    <s v="N/A"/>
    <x v="3"/>
    <x v="4"/>
    <n v="0"/>
  </r>
  <r>
    <x v="403"/>
    <x v="239"/>
    <s v="Difference between the read volume and the current volume is greater than 30%."/>
    <x v="8"/>
    <x v="22"/>
    <s v="N/A"/>
    <s v="Frequent"/>
    <s v="N/A"/>
    <x v="0"/>
    <x v="4"/>
    <n v="0"/>
  </r>
  <r>
    <x v="404"/>
    <x v="240"/>
    <s v="A material has been placed in a wrong rack position."/>
    <x v="8"/>
    <x v="22"/>
    <s v="Error"/>
    <s v="Frequent"/>
    <s v="N/A"/>
    <x v="0"/>
    <x v="4"/>
    <n v="0"/>
  </r>
  <r>
    <x v="405"/>
    <x v="240"/>
    <s v="A material has been placed in a wrong rack position."/>
    <x v="8"/>
    <x v="22"/>
    <s v="Error"/>
    <s v="Frequent"/>
    <s v="N/A"/>
    <x v="10"/>
    <x v="4"/>
    <n v="0"/>
  </r>
  <r>
    <x v="406"/>
    <x v="240"/>
    <s v="A material has been placed in a wrong rack position."/>
    <x v="8"/>
    <x v="22"/>
    <s v="Error"/>
    <s v="Frequent"/>
    <s v="N/A"/>
    <x v="0"/>
    <x v="4"/>
    <n v="0"/>
  </r>
  <r>
    <x v="407"/>
    <x v="241"/>
    <s v="A material has been placed in a wrong rack position."/>
    <x v="8"/>
    <x v="22"/>
    <s v="Error"/>
    <s v="Frequent"/>
    <s v="N/A"/>
    <x v="0"/>
    <x v="4"/>
    <n v="0"/>
  </r>
  <r>
    <x v="408"/>
    <x v="240"/>
    <s v="A material has been placed in a wrong rack position."/>
    <x v="8"/>
    <x v="22"/>
    <s v="Error"/>
    <s v="Frequent"/>
    <s v="N/A"/>
    <x v="5"/>
    <x v="4"/>
    <n v="0"/>
  </r>
  <r>
    <x v="409"/>
    <x v="240"/>
    <s v="A material has been placed in a wrong rack position."/>
    <x v="8"/>
    <x v="22"/>
    <s v="Error"/>
    <s v="Frequent"/>
    <s v="N/A"/>
    <x v="0"/>
    <x v="4"/>
    <n v="0"/>
  </r>
  <r>
    <x v="410"/>
    <x v="240"/>
    <s v="A material has been placed in a wrong rack position."/>
    <x v="8"/>
    <x v="22"/>
    <s v="Error"/>
    <s v="Frequent"/>
    <s v="N/A"/>
    <x v="0"/>
    <x v="4"/>
    <n v="0"/>
  </r>
  <r>
    <x v="411"/>
    <x v="240"/>
    <s v="A material has been placed in a wrong rack position."/>
    <x v="8"/>
    <x v="22"/>
    <s v="Error"/>
    <s v="Frequent"/>
    <s v="N/A"/>
    <x v="1"/>
    <x v="4"/>
    <n v="0"/>
  </r>
  <r>
    <x v="412"/>
    <x v="240"/>
    <s v="A material has been placed in a wrong rack position."/>
    <x v="8"/>
    <x v="22"/>
    <s v="Error"/>
    <s v="Frequent"/>
    <s v="N/A"/>
    <x v="0"/>
    <x v="4"/>
    <n v="0"/>
  </r>
  <r>
    <x v="413"/>
    <x v="240"/>
    <s v="A material has been placed in a wrong rack position."/>
    <x v="8"/>
    <x v="22"/>
    <s v="Error"/>
    <s v="Frequent"/>
    <s v="N/A"/>
    <x v="0"/>
    <x v="4"/>
    <n v="0"/>
  </r>
  <r>
    <x v="414"/>
    <x v="240"/>
    <s v="A material has been placed in a wrong rack position."/>
    <x v="8"/>
    <x v="22"/>
    <s v="Error"/>
    <s v="Frequent"/>
    <s v="N/A"/>
    <x v="0"/>
    <x v="4"/>
    <n v="0"/>
  </r>
  <r>
    <x v="415"/>
    <x v="240"/>
    <s v="A material has been placed in a wrong rack position."/>
    <x v="8"/>
    <x v="22"/>
    <s v="Error"/>
    <s v="Frequent"/>
    <s v="N/A"/>
    <x v="0"/>
    <x v="4"/>
    <n v="0"/>
  </r>
  <r>
    <x v="416"/>
    <x v="240"/>
    <s v="Two lots of the same material have been placed on-board at the same time."/>
    <x v="8"/>
    <x v="22"/>
    <s v="Error"/>
    <s v="Frequent"/>
    <s v="N/A"/>
    <x v="0"/>
    <x v="4"/>
    <n v="0"/>
  </r>
  <r>
    <x v="417"/>
    <x v="242"/>
    <s v="The LIS host has requested a test with invalid demographic data like a birth date greater than current date."/>
    <x v="8"/>
    <x v="23"/>
    <s v="Warning"/>
    <s v="Frequent"/>
    <s v="N/A"/>
    <x v="0"/>
    <x v="4"/>
    <n v="0"/>
  </r>
  <r>
    <x v="418"/>
    <x v="243"/>
    <s v="Two different Racks have been identified with the same Rack ID."/>
    <x v="5"/>
    <x v="18"/>
    <s v="Warning"/>
    <s v="Frequent"/>
    <s v="N/A"/>
    <x v="11"/>
    <x v="4"/>
    <n v="0"/>
  </r>
  <r>
    <x v="419"/>
    <x v="244"/>
    <s v="A job has been sent to the AM and there is not enough volume for some of the reagents or a reagent is not placed."/>
    <x v="8"/>
    <x v="22"/>
    <s v="Warning"/>
    <s v="Frequent"/>
    <s v="N/A"/>
    <x v="12"/>
    <x v="4"/>
    <n v="0"/>
  </r>
  <r>
    <x v="420"/>
    <x v="245"/>
    <s v="An automatic job created by the AM does not have enough volume for some of the reagents or a reagent is not placed."/>
    <x v="8"/>
    <x v="22"/>
    <s v="Warning"/>
    <s v="Frequent"/>
    <s v="N/A"/>
    <x v="0"/>
    <x v="4"/>
    <n v="0"/>
  </r>
  <r>
    <x v="421"/>
    <x v="246"/>
    <s v="The expiration time to perform a QC job has entered in its threshold period."/>
    <x v="8"/>
    <x v="22"/>
    <s v="Warning"/>
    <s v="Frequent"/>
    <s v="N/A"/>
    <x v="0"/>
    <x v="4"/>
    <n v="0"/>
  </r>
  <r>
    <x v="422"/>
    <x v="247"/>
    <s v="Transition from QC frequency Overdue/Due to OK"/>
    <x v="8"/>
    <x v="24"/>
    <s v="Informational"/>
    <s v="Frequent"/>
    <s v="N/A"/>
    <x v="0"/>
    <x v="4"/>
    <n v="0"/>
  </r>
  <r>
    <x v="423"/>
    <x v="248"/>
    <s v="QC result omitted"/>
    <x v="8"/>
    <x v="24"/>
    <s v="Informational"/>
    <s v="Frequent"/>
    <s v="N/A"/>
    <x v="0"/>
    <x v="4"/>
    <n v="0"/>
  </r>
  <r>
    <x v="424"/>
    <x v="249"/>
    <s v="An omitted QC result has been re-enabled"/>
    <x v="8"/>
    <x v="24"/>
    <s v="Informational"/>
    <s v="Frequent"/>
    <s v="N/A"/>
    <x v="0"/>
    <x v="4"/>
    <n v="0"/>
  </r>
  <r>
    <x v="425"/>
    <x v="250"/>
    <s v="QC Results have been purged"/>
    <x v="8"/>
    <x v="24"/>
    <s v="Informational"/>
    <s v="Frequent"/>
    <s v="N/A"/>
    <x v="0"/>
    <x v="4"/>
    <n v="0"/>
  </r>
  <r>
    <x v="426"/>
    <x v="251"/>
    <s v="The ACL-TOP instrument has received a message from the LIS host with an Instrument ID and/or Host ID, which do not match the configured ones."/>
    <x v="8"/>
    <x v="23"/>
    <s v="Error"/>
    <s v="Frequent"/>
    <s v="N/A"/>
    <x v="0"/>
    <x v="4"/>
    <n v="0"/>
  </r>
  <r>
    <x v="427"/>
    <x v="252"/>
    <s v="The ACL-TOP instrument has received a message from the LIS host with an Instrument ID and/or Host ID, which do not match the configured ones."/>
    <x v="8"/>
    <x v="23"/>
    <s v="Error"/>
    <s v="Frequent"/>
    <s v="N/A"/>
    <x v="0"/>
    <x v="4"/>
    <n v="0"/>
  </r>
  <r>
    <x v="428"/>
    <x v="253"/>
    <s v="The LIS host has requested an unknown test."/>
    <x v="8"/>
    <x v="23"/>
    <s v="Warning"/>
    <s v="Frequent"/>
    <s v="N/A"/>
    <x v="0"/>
    <x v="4"/>
    <n v="0"/>
  </r>
  <r>
    <x v="429"/>
    <x v="254"/>
    <s v="The user requests a manual job orders download that the ACL-TOP instrument cannot accomplish.  In the same way, the ACL-TOP instrument tries to perform an automatic job orders downloading, and the result is the same."/>
    <x v="8"/>
    <x v="23"/>
    <s v="Error"/>
    <s v="Frequent"/>
    <s v="N/A"/>
    <x v="0"/>
    <x v="4"/>
    <n v="0"/>
  </r>
  <r>
    <x v="430"/>
    <x v="255"/>
    <s v="The user requests a manual test results upload that the ACL-TOP instrument cannot accomplish.  In the same way, the ACL-TOP instrument tries to perform an automatic test results uploading, and the result is the same."/>
    <x v="8"/>
    <x v="23"/>
    <s v="Error"/>
    <s v="Frequent"/>
    <s v="N/A"/>
    <x v="0"/>
    <x v="4"/>
    <n v="0"/>
  </r>
  <r>
    <x v="431"/>
    <x v="256"/>
    <s v="The LIS host has requested a test that is either disabled or inconsistent."/>
    <x v="8"/>
    <x v="23"/>
    <s v="Warning"/>
    <s v="Frequent"/>
    <s v="N/A"/>
    <x v="0"/>
    <x v="4"/>
    <n v="0"/>
  </r>
  <r>
    <x v="432"/>
    <x v="257"/>
    <s v="The LIS host has requested a test that is already present in the instrument."/>
    <x v="8"/>
    <x v="23"/>
    <s v="Warning"/>
    <s v="Frequent"/>
    <s v="N/A"/>
    <x v="13"/>
    <x v="4"/>
    <n v="0"/>
  </r>
  <r>
    <x v="433"/>
    <x v="258"/>
    <s v="The LIS host has requested a test for sample whose Instrument Sample ID is unknown."/>
    <x v="8"/>
    <x v="23"/>
    <s v="Error"/>
    <s v="Frequent"/>
    <s v="N/A"/>
    <x v="0"/>
    <x v="4"/>
    <n v="0"/>
  </r>
  <r>
    <x v="434"/>
    <x v="259"/>
    <s v="LIS host sent a request that is not implemented for TOP."/>
    <x v="8"/>
    <x v="23"/>
    <s v="Warning"/>
    <s v="Frequent"/>
    <s v="N/A"/>
    <x v="0"/>
    <x v="4"/>
    <n v="0"/>
  </r>
  <r>
    <x v="435"/>
    <x v="260"/>
    <s v="The format of the message or fields contained in it are not compliant with the TOP specifications."/>
    <x v="8"/>
    <x v="23"/>
    <s v="Error"/>
    <s v="Frequent"/>
    <s v="N/A"/>
    <x v="0"/>
    <x v="4"/>
    <n v="0"/>
  </r>
  <r>
    <x v="436"/>
    <x v="261"/>
    <s v="The ACL-TOP instrument tries to perform an automatic host query without succeeding."/>
    <x v="8"/>
    <x v="23"/>
    <s v="Error"/>
    <s v="Frequent"/>
    <s v="N/A"/>
    <x v="0"/>
    <x v="4"/>
    <n v="0"/>
  </r>
  <r>
    <x v="437"/>
    <x v="262"/>
    <s v="Communications between the instrument and the LIS have been lost."/>
    <x v="8"/>
    <x v="23"/>
    <s v="Error"/>
    <s v="Frequent"/>
    <s v="N/A"/>
    <x v="14"/>
    <x v="4"/>
    <n v="0"/>
  </r>
  <r>
    <x v="438"/>
    <x v="263"/>
    <s v="The ACL-TOP could not process a test order cancellation coming from the LIS host."/>
    <x v="8"/>
    <x v="23"/>
    <s v="Warning"/>
    <s v="Frequent"/>
    <s v="N/A"/>
    <x v="0"/>
    <x v="4"/>
    <n v="0"/>
  </r>
  <r>
    <x v="439"/>
    <x v="264"/>
    <s v="The ACL-TOP could not create a channel for communicating with the LIS Host."/>
    <x v="8"/>
    <x v="23"/>
    <s v="Error"/>
    <s v="Frequent"/>
    <s v="N/A"/>
    <x v="0"/>
    <x v="4"/>
    <n v="0"/>
  </r>
  <r>
    <x v="440"/>
    <x v="265"/>
    <s v="The current channel configuration defined through the control panel is not supported."/>
    <x v="8"/>
    <x v="23"/>
    <s v="Error"/>
    <s v="Frequent"/>
    <s v="N/A"/>
    <x v="0"/>
    <x v="4"/>
    <n v="0"/>
  </r>
  <r>
    <x v="441"/>
    <x v="266"/>
    <s v="AM status changed"/>
    <x v="0"/>
    <x v="0"/>
    <s v="Informational"/>
    <s v="Frequent"/>
    <s v="N/A"/>
    <x v="15"/>
    <x v="4"/>
    <n v="0"/>
  </r>
  <r>
    <x v="442"/>
    <x v="267"/>
    <s v="An indicated maintenance activity shall be executed by the user.  The expiration time to perform the activity has entered in its threshold period."/>
    <x v="8"/>
    <x v="21"/>
    <s v="Warning"/>
    <s v="Frequent"/>
    <s v="N/A"/>
    <x v="9"/>
    <x v="4"/>
    <n v="0"/>
  </r>
  <r>
    <x v="443"/>
    <x v="268"/>
    <s v="A new manual maintenance activity has been defined and added by the user."/>
    <x v="8"/>
    <x v="21"/>
    <s v="Informational"/>
    <s v="Frequent"/>
    <s v="N/A"/>
    <x v="0"/>
    <x v="4"/>
    <n v="0"/>
  </r>
  <r>
    <x v="444"/>
    <x v="269"/>
    <s v="A manual maintenance Activity has been deleted by the user."/>
    <x v="8"/>
    <x v="21"/>
    <s v="Informational"/>
    <s v="Frequent"/>
    <s v="N/A"/>
    <x v="0"/>
    <x v="4"/>
    <n v="0"/>
  </r>
  <r>
    <x v="445"/>
    <x v="270"/>
    <s v="A maintenance activity has been reconfigured. Their values might be changed."/>
    <x v="8"/>
    <x v="21"/>
    <s v="Informational"/>
    <s v="Frequent"/>
    <s v="N/A"/>
    <x v="0"/>
    <x v="4"/>
    <n v="0"/>
  </r>
  <r>
    <x v="446"/>
    <x v="271"/>
    <s v="The frequency status of a maintenance activity has changed to OK."/>
    <x v="8"/>
    <x v="21"/>
    <s v="Informational"/>
    <s v="Frequent"/>
    <s v="N/A"/>
    <x v="16"/>
    <x v="4"/>
    <n v="0"/>
  </r>
  <r>
    <x v="447"/>
    <x v="272"/>
    <s v="A maintenance activity has been executed either manually by the user or automatically by the system."/>
    <x v="8"/>
    <x v="21"/>
    <s v="Informational"/>
    <s v="Frequent"/>
    <s v="N/A"/>
    <x v="17"/>
    <x v="4"/>
    <n v="0"/>
  </r>
  <r>
    <x v="448"/>
    <x v="273"/>
    <s v="Calibration frequency in the warning threshold."/>
    <x v="8"/>
    <x v="22"/>
    <s v="Warning"/>
    <s v="Frequent"/>
    <s v="N/A"/>
    <x v="0"/>
    <x v="4"/>
    <n v="0"/>
  </r>
  <r>
    <x v="449"/>
    <x v="274"/>
    <s v="NPP frequency in the warning threshold."/>
    <x v="8"/>
    <x v="22"/>
    <s v="Warning"/>
    <s v="Frequent"/>
    <s v="N/A"/>
    <x v="0"/>
    <x v="4"/>
    <n v="0"/>
  </r>
  <r>
    <x v="450"/>
    <x v="275"/>
    <s v="AR frequency in the warning threshold."/>
    <x v="8"/>
    <x v="22"/>
    <s v="Error"/>
    <s v="Frequent"/>
    <s v="N/A"/>
    <x v="0"/>
    <x v="4"/>
    <n v="0"/>
  </r>
  <r>
    <x v="451"/>
    <x v="276"/>
    <s v="A calibration has been executed and requires validation from the user."/>
    <x v="8"/>
    <x v="22"/>
    <s v="Warning"/>
    <s v="Frequent"/>
    <s v="N/A"/>
    <x v="11"/>
    <x v="4"/>
    <n v="0"/>
  </r>
  <r>
    <x v="452"/>
    <x v="277"/>
    <s v="A calibration has been recalculated or edited."/>
    <x v="8"/>
    <x v="25"/>
    <s v="Informational"/>
    <s v="Frequent"/>
    <s v="N/A"/>
    <x v="11"/>
    <x v="4"/>
    <n v="0"/>
  </r>
  <r>
    <x v="453"/>
    <x v="278"/>
    <s v="A calibration has been manually validated."/>
    <x v="8"/>
    <x v="25"/>
    <s v="Informational"/>
    <s v="Frequent"/>
    <s v="N/A"/>
    <x v="11"/>
    <x v="4"/>
    <n v="0"/>
  </r>
  <r>
    <x v="454"/>
    <x v="279"/>
    <s v="A calibration has been completed and autovalidated."/>
    <x v="8"/>
    <x v="25"/>
    <s v="N/A"/>
    <s v="Frequent"/>
    <s v="N/A"/>
    <x v="1"/>
    <x v="4"/>
    <n v="0"/>
  </r>
  <r>
    <x v="455"/>
    <x v="280"/>
    <s v="A new Test Definition has been added."/>
    <x v="8"/>
    <x v="25"/>
    <s v="Informational"/>
    <s v="Frequent"/>
    <s v="N/A"/>
    <x v="2"/>
    <x v="4"/>
    <n v="0"/>
  </r>
  <r>
    <x v="456"/>
    <x v="281"/>
    <s v="An existing Test Definition has been modified."/>
    <x v="8"/>
    <x v="25"/>
    <s v="Informational"/>
    <s v="Frequent"/>
    <s v="N/A"/>
    <x v="7"/>
    <x v="4"/>
    <n v="0"/>
  </r>
  <r>
    <x v="457"/>
    <x v="282"/>
    <s v="A Test Definition has been deleted."/>
    <x v="8"/>
    <x v="25"/>
    <s v="Informational"/>
    <s v="Frequent"/>
    <s v="N/A"/>
    <x v="0"/>
    <x v="4"/>
    <n v="0"/>
  </r>
  <r>
    <x v="458"/>
    <x v="283"/>
    <s v="A new Material Definition has been added."/>
    <x v="8"/>
    <x v="22"/>
    <s v="Informational"/>
    <s v="Frequent"/>
    <s v="N/A"/>
    <x v="0"/>
    <x v="4"/>
    <n v="0"/>
  </r>
  <r>
    <x v="459"/>
    <x v="284"/>
    <s v="A Material Definition has been deleted."/>
    <x v="8"/>
    <x v="22"/>
    <s v="Informational"/>
    <s v="Frequent"/>
    <s v="N/A"/>
    <x v="0"/>
    <x v="4"/>
    <n v="0"/>
  </r>
  <r>
    <x v="460"/>
    <x v="285"/>
    <s v="The Active Lot - ISI value of a Material Definition has been changed."/>
    <x v="8"/>
    <x v="22"/>
    <s v="Informational"/>
    <s v="Frequent"/>
    <s v="N/A"/>
    <x v="0"/>
    <x v="4"/>
    <n v="0"/>
  </r>
  <r>
    <x v="461"/>
    <x v="286"/>
    <s v="The stability configuration of a Material Definition has been changed."/>
    <x v="8"/>
    <x v="22"/>
    <s v="Informational"/>
    <s v="Frequent"/>
    <s v="N/A"/>
    <x v="0"/>
    <x v="4"/>
    <n v="0"/>
  </r>
  <r>
    <x v="462"/>
    <x v="287"/>
    <s v="The active Lot - assigned value of a Material Definition &amp; Test Definition has been changed."/>
    <x v="8"/>
    <x v="22"/>
    <s v="Informational"/>
    <s v="Frequent"/>
    <s v="N/A"/>
    <x v="3"/>
    <x v="4"/>
    <n v="0"/>
  </r>
  <r>
    <x v="463"/>
    <x v="288"/>
    <s v="The active Lot - expiration date cfg. of a Material Definition has been changed."/>
    <x v="8"/>
    <x v="22"/>
    <s v="Informational"/>
    <s v="Frequent"/>
    <s v="N/A"/>
    <x v="1"/>
    <x v="4"/>
    <n v="0"/>
  </r>
  <r>
    <x v="464"/>
    <x v="289"/>
    <s v="The Lot management cfg. of a Material Definition has been changed."/>
    <x v="8"/>
    <x v="22"/>
    <s v="Informational"/>
    <s v="Frequent"/>
    <s v="N/A"/>
    <x v="0"/>
    <x v="4"/>
    <n v="0"/>
  </r>
  <r>
    <x v="465"/>
    <x v="290"/>
    <s v="The active Lot - Lot Number of a Material Definition has been changed."/>
    <x v="8"/>
    <x v="22"/>
    <s v="Informational"/>
    <s v="Frequent"/>
    <s v="N/A"/>
    <x v="0"/>
    <x v="4"/>
    <n v="0"/>
  </r>
  <r>
    <x v="466"/>
    <x v="291"/>
    <s v="The alternative Lot cfg. of a Material Definition has been changed."/>
    <x v="8"/>
    <x v="22"/>
    <s v="Informational"/>
    <s v="Frequent"/>
    <s v="N/A"/>
    <x v="1"/>
    <x v="4"/>
    <n v="0"/>
  </r>
  <r>
    <x v="467"/>
    <x v="292"/>
    <s v="An existing Material Definition has been modified."/>
    <x v="8"/>
    <x v="22"/>
    <s v="Informational"/>
    <s v="Frequent"/>
    <s v="N/A"/>
    <x v="1"/>
    <x v="4"/>
    <n v="0"/>
  </r>
  <r>
    <x v="468"/>
    <x v="293"/>
    <s v="Global change in System Definitions."/>
    <x v="8"/>
    <x v="25"/>
    <s v="Informational"/>
    <s v="Frequent"/>
    <s v="N/A"/>
    <x v="3"/>
    <x v="4"/>
    <n v="0"/>
  </r>
  <r>
    <x v="469"/>
    <x v="294"/>
    <s v="System Definitions, Bar code parameters changed."/>
    <x v="8"/>
    <x v="25"/>
    <s v="Informational"/>
    <s v="Frequent"/>
    <s v="N/A"/>
    <x v="0"/>
    <x v="4"/>
    <n v="0"/>
  </r>
  <r>
    <x v="470"/>
    <x v="295"/>
    <s v="System Definitions, LIS parameters changed."/>
    <x v="8"/>
    <x v="23"/>
    <s v="Informational"/>
    <s v="Frequent"/>
    <s v="N/A"/>
    <x v="18"/>
    <x v="4"/>
    <n v="0"/>
  </r>
  <r>
    <x v="471"/>
    <x v="296"/>
    <s v="A new QC Definition has been added."/>
    <x v="8"/>
    <x v="24"/>
    <s v="Informational"/>
    <s v="Frequent"/>
    <s v="N/A"/>
    <x v="4"/>
    <x v="4"/>
    <n v="0"/>
  </r>
  <r>
    <x v="472"/>
    <x v="297"/>
    <s v="A QC Definition has been deleted."/>
    <x v="8"/>
    <x v="24"/>
    <s v="Informational"/>
    <s v="Frequent"/>
    <s v="N/A"/>
    <x v="0"/>
    <x v="4"/>
    <n v="0"/>
  </r>
  <r>
    <x v="473"/>
    <x v="298"/>
    <s v="The Target Mean of a QC Definition has been changed."/>
    <x v="8"/>
    <x v="24"/>
    <s v="Informational"/>
    <s v="Frequent"/>
    <s v="N/A"/>
    <x v="19"/>
    <x v="4"/>
    <n v="0"/>
  </r>
  <r>
    <x v="474"/>
    <x v="299"/>
    <s v="The Target SD of a QC Definition has been changed."/>
    <x v="8"/>
    <x v="24"/>
    <s v="Informational"/>
    <s v="Frequent"/>
    <s v="N/A"/>
    <x v="20"/>
    <x v="4"/>
    <n v="0"/>
  </r>
  <r>
    <x v="475"/>
    <x v="300"/>
    <s v="The Patient Flags of a QC Definition have been changed."/>
    <x v="8"/>
    <x v="24"/>
    <s v="Informational"/>
    <s v="Frequent"/>
    <s v="N/A"/>
    <x v="21"/>
    <x v="4"/>
    <n v="0"/>
  </r>
  <r>
    <x v="476"/>
    <x v="301"/>
    <s v="The Rules Cfg. of a QC Definition have been changed."/>
    <x v="8"/>
    <x v="24"/>
    <s v="Informational"/>
    <s v="Frequent"/>
    <s v="N/A"/>
    <x v="11"/>
    <x v="4"/>
    <n v="0"/>
  </r>
  <r>
    <x v="477"/>
    <x v="302"/>
    <s v="The Frequency cfg. of a QC Definition has been changed."/>
    <x v="8"/>
    <x v="24"/>
    <s v="Informational"/>
    <s v="Frequent"/>
    <s v="N/A"/>
    <x v="0"/>
    <x v="4"/>
    <n v="0"/>
  </r>
  <r>
    <x v="478"/>
    <x v="303"/>
    <s v="The Unit of a QC Definition has been changed."/>
    <x v="8"/>
    <x v="24"/>
    <s v="Informational"/>
    <s v="Frequent"/>
    <s v="N/A"/>
    <x v="0"/>
    <x v="4"/>
    <n v="0"/>
  </r>
  <r>
    <x v="479"/>
    <x v="304"/>
    <s v="Remaining stability for last bottle expired."/>
    <x v="8"/>
    <x v="22"/>
    <s v="Error"/>
    <s v="Frequent"/>
    <s v="N/A"/>
    <x v="11"/>
    <x v="4"/>
    <n v="0"/>
  </r>
  <r>
    <x v="480"/>
    <x v="305"/>
    <s v="The present date is greater than the expiration date of the last available bottle/lot."/>
    <x v="8"/>
    <x v="22"/>
    <s v="Error"/>
    <s v="Frequent"/>
    <s v="N/A"/>
    <x v="0"/>
    <x v="4"/>
    <n v="0"/>
  </r>
  <r>
    <x v="481"/>
    <x v="306"/>
    <s v="A material requiring stirring is placed in a position not having stirring capability."/>
    <x v="8"/>
    <x v="22"/>
    <s v="Error"/>
    <s v="Frequent"/>
    <s v="N/A"/>
    <x v="0"/>
    <x v="4"/>
    <n v="0"/>
  </r>
  <r>
    <x v="482"/>
    <x v="307"/>
    <s v="The expiration date for a QC has been reached. "/>
    <x v="8"/>
    <x v="22"/>
    <s v="Error"/>
    <s v="Frequent"/>
    <s v="N/A"/>
    <x v="0"/>
    <x v="4"/>
    <n v="0"/>
  </r>
  <r>
    <x v="483"/>
    <x v="308"/>
    <s v="QC rules have failed.  It is a hint to detect problems in the measurement."/>
    <x v="8"/>
    <x v="22"/>
    <s v="Error"/>
    <s v="Frequent"/>
    <s v="N/A"/>
    <x v="22"/>
    <x v="4"/>
    <n v="0"/>
  </r>
  <r>
    <x v="484"/>
    <x v="309"/>
    <s v="An indicated Maintenance Activity should already have been executed by the user.  The expiration date for a Maintenance Activity has been reached."/>
    <x v="8"/>
    <x v="21"/>
    <s v="Warning"/>
    <s v="Frequent"/>
    <s v="N/A"/>
    <x v="23"/>
    <x v="4"/>
    <n v="0"/>
  </r>
  <r>
    <x v="485"/>
    <x v="310"/>
    <s v="Frequency expired for the active validated calibration."/>
    <x v="8"/>
    <x v="22"/>
    <s v="Error"/>
    <s v="Frequent"/>
    <s v="N/A"/>
    <x v="1"/>
    <x v="4"/>
    <n v="0"/>
  </r>
  <r>
    <x v="486"/>
    <x v="311"/>
    <s v="The NPP frequency has expired."/>
    <x v="8"/>
    <x v="22"/>
    <s v="Error"/>
    <s v="Frequent"/>
    <s v="N/A"/>
    <x v="0"/>
    <x v="4"/>
    <n v="0"/>
  </r>
  <r>
    <x v="487"/>
    <x v="312"/>
    <s v="The AR frequency has expired."/>
    <x v="8"/>
    <x v="22"/>
    <s v="N/A"/>
    <s v="Frequent"/>
    <s v="N/A"/>
    <x v="0"/>
    <x v="4"/>
    <n v="0"/>
  </r>
  <r>
    <x v="488"/>
    <x v="313"/>
    <s v="Analytical Reference has failed"/>
    <x v="8"/>
    <x v="22"/>
    <s v="N/A"/>
    <s v="Frequent"/>
    <s v="N/A"/>
    <x v="0"/>
    <x v="4"/>
    <n v="0"/>
  </r>
  <r>
    <x v="489"/>
    <x v="314"/>
    <s v="A Calibration was active and it was manually or automatically interrupted."/>
    <x v="8"/>
    <x v="22"/>
    <s v="Warning"/>
    <s v="Frequent"/>
    <s v="N/A"/>
    <x v="0"/>
    <x v="4"/>
    <n v="0"/>
  </r>
  <r>
    <x v="490"/>
    <x v="315"/>
    <s v="A calibration has been completed and the auto validation failed."/>
    <x v="8"/>
    <x v="22"/>
    <s v="Warning"/>
    <s v="Frequent"/>
    <s v="N/A"/>
    <x v="0"/>
    <x v="4"/>
    <n v="0"/>
  </r>
  <r>
    <x v="491"/>
    <x v="316"/>
    <s v="Programmed test was not consistent and was removed."/>
    <x v="8"/>
    <x v="22"/>
    <s v="Warning"/>
    <s v="Frequent"/>
    <s v="N/A"/>
    <x v="3"/>
    <x v="4"/>
    <n v="0"/>
  </r>
  <r>
    <x v="492"/>
    <x v="317"/>
    <s v="Number of predilution cuvette slots is insufficient to execute a calibration or a parallelism job."/>
    <x v="8"/>
    <x v="22"/>
    <s v="Warning"/>
    <s v="Frequent"/>
    <s v="N/A"/>
    <x v="0"/>
    <x v="4"/>
    <n v="0"/>
  </r>
  <r>
    <x v="493"/>
    <x v="318"/>
    <s v="A patient job has been sent to AM and there is no validated calibration for the on board lots."/>
    <x v="8"/>
    <x v="22"/>
    <s v="Warning"/>
    <s v="Frequent"/>
    <s v="N/A"/>
    <x v="0"/>
    <x v="4"/>
    <n v="0"/>
  </r>
  <r>
    <x v="494"/>
    <x v="319"/>
    <s v="A patient job has been sent to AM and there is a QC failed for that test."/>
    <x v="8"/>
    <x v="22"/>
    <s v="Warning"/>
    <s v="Frequent"/>
    <s v="N/A"/>
    <x v="0"/>
    <x v="4"/>
    <n v="0"/>
  </r>
  <r>
    <x v="495"/>
    <x v="320"/>
    <s v="The user changed some access levels in the Software access screen."/>
    <x v="8"/>
    <x v="25"/>
    <s v="Informational"/>
    <s v="Frequent"/>
    <s v="N/A"/>
    <x v="1"/>
    <x v="4"/>
    <n v="0"/>
  </r>
  <r>
    <x v="496"/>
    <x v="321"/>
    <s v="A new User Definition has been added."/>
    <x v="8"/>
    <x v="25"/>
    <s v="Informational"/>
    <s v="Frequent"/>
    <s v="N/A"/>
    <x v="0"/>
    <x v="4"/>
    <n v="0"/>
  </r>
  <r>
    <x v="497"/>
    <x v="322"/>
    <s v="A new User Definition has been added."/>
    <x v="8"/>
    <x v="25"/>
    <s v="Informational"/>
    <s v="Frequent"/>
    <s v="N/A"/>
    <x v="0"/>
    <x v="4"/>
    <n v="0"/>
  </r>
  <r>
    <x v="498"/>
    <x v="323"/>
    <s v="An existing User Definition has been modified."/>
    <x v="8"/>
    <x v="25"/>
    <s v="Informational"/>
    <s v="Frequent"/>
    <s v="N/A"/>
    <x v="0"/>
    <x v="4"/>
    <n v="0"/>
  </r>
  <r>
    <x v="499"/>
    <x v="324"/>
    <s v="The security Level of an existing User Definition has been changed."/>
    <x v="8"/>
    <x v="25"/>
    <s v="Informational"/>
    <s v="Frequent"/>
    <s v="N/A"/>
    <x v="0"/>
    <x v="4"/>
    <n v="0"/>
  </r>
  <r>
    <x v="500"/>
    <x v="325"/>
    <s v="The user intended to log in with erroneous password 3 consecutive times, so the system has locked this user."/>
    <x v="8"/>
    <x v="25"/>
    <s v="Informational"/>
    <s v="Frequent"/>
    <s v="N/A"/>
    <x v="0"/>
    <x v="4"/>
    <n v="0"/>
  </r>
  <r>
    <x v="501"/>
    <x v="326"/>
    <s v="User was recognized and could log in to the system."/>
    <x v="8"/>
    <x v="25"/>
    <s v="Informational"/>
    <s v="Frequent"/>
    <s v="N/A"/>
    <x v="24"/>
    <x v="4"/>
    <n v="0"/>
  </r>
  <r>
    <x v="502"/>
    <x v="327"/>
    <s v="User could not be  recognized and could not log in to the system."/>
    <x v="8"/>
    <x v="25"/>
    <s v="Informational"/>
    <s v="Frequent"/>
    <s v="N/A"/>
    <x v="3"/>
    <x v="4"/>
    <n v="0"/>
  </r>
  <r>
    <x v="503"/>
    <x v="328"/>
    <s v="User logged out from the system."/>
    <x v="8"/>
    <x v="25"/>
    <s v="Informational"/>
    <s v="Frequent"/>
    <s v="N/A"/>
    <x v="25"/>
    <x v="4"/>
    <n v="0"/>
  </r>
  <r>
    <x v="504"/>
    <x v="329"/>
    <s v="The user modified patient demographic information."/>
    <x v="8"/>
    <x v="25"/>
    <s v="Informational"/>
    <s v="Frequent"/>
    <s v="N/A"/>
    <x v="0"/>
    <x v="4"/>
    <n v="0"/>
  </r>
  <r>
    <x v="505"/>
    <x v="330"/>
    <s v="A new Reflex Rule has been added."/>
    <x v="8"/>
    <x v="25"/>
    <s v="Informational"/>
    <s v="Frequent"/>
    <s v="N/A"/>
    <x v="10"/>
    <x v="4"/>
    <n v="0"/>
  </r>
  <r>
    <x v="506"/>
    <x v="331"/>
    <s v="An existing Reflex Rule has been deleted."/>
    <x v="8"/>
    <x v="25"/>
    <s v="Informational"/>
    <s v="Frequent"/>
    <s v="N/A"/>
    <x v="26"/>
    <x v="4"/>
    <n v="0"/>
  </r>
  <r>
    <x v="507"/>
    <x v="332"/>
    <s v="Reflex Rule has been modified."/>
    <x v="8"/>
    <x v="25"/>
    <s v="Informational"/>
    <s v="Frequent"/>
    <s v="N/A"/>
    <x v="4"/>
    <x v="4"/>
    <n v="0"/>
  </r>
  <r>
    <x v="508"/>
    <x v="333"/>
    <s v="Auto-Validation Rules have been modified."/>
    <x v="8"/>
    <x v="25"/>
    <s v="Informational"/>
    <s v="Frequent"/>
    <s v="N/A"/>
    <x v="4"/>
    <x v="4"/>
    <n v="0"/>
  </r>
  <r>
    <x v="509"/>
    <x v="334"/>
    <s v="A new Sender Definition has been added."/>
    <x v="8"/>
    <x v="25"/>
    <s v="Informational"/>
    <s v="Frequent"/>
    <s v="N/A"/>
    <x v="0"/>
    <x v="4"/>
    <n v="0"/>
  </r>
  <r>
    <x v="510"/>
    <x v="335"/>
    <s v="An existing Sender Definition has been deleted."/>
    <x v="8"/>
    <x v="25"/>
    <s v="N/A"/>
    <s v="Frequent"/>
    <s v="N/A"/>
    <x v="0"/>
    <x v="4"/>
    <n v="0"/>
  </r>
  <r>
    <x v="511"/>
    <x v="336"/>
    <s v="An existing Sender Definition has been modified."/>
    <x v="8"/>
    <x v="25"/>
    <s v="Informational"/>
    <s v="Frequent"/>
    <s v="N/A"/>
    <x v="0"/>
    <x v="4"/>
    <n v="0"/>
  </r>
  <r>
    <x v="512"/>
    <x v="337"/>
    <s v="A new Test Profile Definition has been added."/>
    <x v="8"/>
    <x v="25"/>
    <s v="Informational"/>
    <s v="Frequent"/>
    <s v="N/A"/>
    <x v="0"/>
    <x v="4"/>
    <n v="0"/>
  </r>
  <r>
    <x v="513"/>
    <x v="338"/>
    <s v="A Test Profile Definition has been deleted."/>
    <x v="8"/>
    <x v="25"/>
    <s v="Informational"/>
    <s v="Frequent"/>
    <s v="N/A"/>
    <x v="0"/>
    <x v="4"/>
    <n v="0"/>
  </r>
  <r>
    <x v="514"/>
    <x v="339"/>
    <s v="A Test Profile Definition has been modified."/>
    <x v="8"/>
    <x v="25"/>
    <s v="Informational"/>
    <s v="Frequent"/>
    <s v="N/A"/>
    <x v="0"/>
    <x v="4"/>
    <n v="0"/>
  </r>
  <r>
    <x v="515"/>
    <x v="340"/>
    <s v="A new QC Profile Definition has been added."/>
    <x v="8"/>
    <x v="24"/>
    <s v="Informational"/>
    <s v="Frequent"/>
    <s v="N/A"/>
    <x v="1"/>
    <x v="4"/>
    <n v="0"/>
  </r>
  <r>
    <x v="516"/>
    <x v="341"/>
    <s v="A QC Profile Definition has been deleted."/>
    <x v="8"/>
    <x v="24"/>
    <s v="Informational"/>
    <s v="Frequent"/>
    <s v="N/A"/>
    <x v="1"/>
    <x v="4"/>
    <n v="0"/>
  </r>
  <r>
    <x v="517"/>
    <x v="342"/>
    <s v="A QC Profile Definition has been modified."/>
    <x v="8"/>
    <x v="24"/>
    <s v="N/A"/>
    <s v="Frequent"/>
    <s v="N/A"/>
    <x v="1"/>
    <x v="4"/>
    <n v="0"/>
  </r>
  <r>
    <x v="518"/>
    <x v="343"/>
    <s v="A Test Definition has been promoted."/>
    <x v="8"/>
    <x v="25"/>
    <s v="N/A"/>
    <s v="Frequent"/>
    <s v="N/A"/>
    <x v="0"/>
    <x v="4"/>
    <n v="0"/>
  </r>
  <r>
    <x v="519"/>
    <x v="344"/>
    <s v="A Vial Properties has been added by the user."/>
    <x v="8"/>
    <x v="25"/>
    <s v="N/A"/>
    <s v="Frequent"/>
    <s v="N/A"/>
    <x v="0"/>
    <x v="4"/>
    <n v="0"/>
  </r>
  <r>
    <x v="520"/>
    <x v="345"/>
    <s v="A Vial Properties has been  modified by the user."/>
    <x v="8"/>
    <x v="25"/>
    <s v="Informational"/>
    <s v="Frequent"/>
    <s v="N/A"/>
    <x v="0"/>
    <x v="4"/>
    <n v="0"/>
  </r>
  <r>
    <x v="521"/>
    <x v="346"/>
    <s v="A Vial Properties has been  deleted by the user."/>
    <x v="8"/>
    <x v="25"/>
    <s v="N/A"/>
    <s v="Frequent"/>
    <s v="N/A"/>
    <x v="0"/>
    <x v="4"/>
    <n v="0"/>
  </r>
  <r>
    <x v="522"/>
    <x v="347"/>
    <s v="A Vial Set has been added by the user."/>
    <x v="8"/>
    <x v="25"/>
    <s v="N/A"/>
    <s v="Frequent"/>
    <s v="N/A"/>
    <x v="0"/>
    <x v="4"/>
    <n v="0"/>
  </r>
  <r>
    <x v="523"/>
    <x v="348"/>
    <s v="A Vial Set has been updated by the user."/>
    <x v="8"/>
    <x v="25"/>
    <s v="Informational"/>
    <s v="Frequent"/>
    <s v="N/A"/>
    <x v="0"/>
    <x v="4"/>
    <n v="0"/>
  </r>
  <r>
    <x v="524"/>
    <x v="349"/>
    <s v="A Vial Set has been deleted by the user."/>
    <x v="8"/>
    <x v="25"/>
    <s v="N/A"/>
    <s v="Frequent"/>
    <s v="N/A"/>
    <x v="0"/>
    <x v="4"/>
    <n v="0"/>
  </r>
  <r>
    <x v="525"/>
    <x v="350"/>
    <s v="LAS definitions parameters changed."/>
    <x v="8"/>
    <x v="25"/>
    <s v="N/A"/>
    <s v="Frequent"/>
    <s v="N/A"/>
    <x v="0"/>
    <x v="4"/>
    <n v="0"/>
  </r>
  <r>
    <x v="526"/>
    <x v="351"/>
    <s v="IM parameters changed."/>
    <x v="8"/>
    <x v="25"/>
    <s v="N/A"/>
    <s v="Frequent"/>
    <s v="N/A"/>
    <x v="0"/>
    <x v="4"/>
    <n v="0"/>
  </r>
  <r>
    <x v="527"/>
    <x v="352"/>
    <s v="There was a programmed test for an LAS sample.  The test definition is inconsistent/disabled and the test was removed."/>
    <x v="8"/>
    <x v="25"/>
    <s v="Warning"/>
    <s v="Frequent"/>
    <s v="N/A"/>
    <x v="0"/>
    <x v="4"/>
    <n v="0"/>
  </r>
  <r>
    <x v="528"/>
    <x v="353"/>
    <s v="The LAS sample volume required to complete a single test cannot exceed 535 μL."/>
    <x v="8"/>
    <x v="25"/>
    <s v="Warning"/>
    <s v="Frequent"/>
    <s v="N/A"/>
    <x v="0"/>
    <x v="4"/>
    <n v="0"/>
  </r>
  <r>
    <x v="529"/>
    <x v="354"/>
    <s v="A job cannot start because the LAS sample expired."/>
    <x v="8"/>
    <x v="25"/>
    <s v="Error"/>
    <s v="Frequent"/>
    <s v="N/A"/>
    <x v="0"/>
    <x v="4"/>
    <n v="0"/>
  </r>
  <r>
    <x v="530"/>
    <x v="355"/>
    <s v="A job has been sent to the AM and there is not enough sample volume."/>
    <x v="8"/>
    <x v="25"/>
    <s v="Warning"/>
    <s v="Frequent"/>
    <s v="N/A"/>
    <x v="0"/>
    <x v="4"/>
    <n v="0"/>
  </r>
  <r>
    <x v="531"/>
    <x v="356"/>
    <s v="Files to generate Imported Params report have been deleted."/>
    <x v="8"/>
    <x v="25"/>
    <s v="Warning"/>
    <s v="Frequent"/>
    <s v="N/A"/>
    <x v="0"/>
    <x v="4"/>
    <n v="0"/>
  </r>
  <r>
    <x v="532"/>
    <x v="357"/>
    <s v="A job has been sent to AM and there is not enough volume for a required clean material or the clean is not placed."/>
    <x v="8"/>
    <x v="22"/>
    <s v="Warning"/>
    <s v="Frequent"/>
    <s v="N/A"/>
    <x v="2"/>
    <x v="4"/>
    <n v="0"/>
  </r>
  <r>
    <x v="533"/>
    <x v="358"/>
    <s v="The UDC storage is almost full of messages waiting to be sent to LIS."/>
    <x v="8"/>
    <x v="23"/>
    <s v="Warning"/>
    <s v="Frequent"/>
    <s v="N/A"/>
    <x v="0"/>
    <x v="4"/>
    <n v="0"/>
  </r>
  <r>
    <x v="534"/>
    <x v="359"/>
    <s v="The UDC storage is almost full of messages waiting to be sent to LIS.  No more messages are accepted."/>
    <x v="8"/>
    <x v="23"/>
    <s v="Error"/>
    <s v="Frequent"/>
    <s v="N/A"/>
    <x v="0"/>
    <x v="4"/>
    <n v="0"/>
  </r>
  <r>
    <x v="535"/>
    <x v="360"/>
    <s v="UDC Rejected Uploaded Message."/>
    <x v="8"/>
    <x v="23"/>
    <s v="Error"/>
    <s v="Frequent"/>
    <s v="N/A"/>
    <x v="0"/>
    <x v="4"/>
    <n v="0"/>
  </r>
  <r>
    <x v="536"/>
    <x v="361"/>
    <s v="Auto Start could not be started."/>
    <x v="0"/>
    <x v="0"/>
    <s v="Warning"/>
    <s v="Frequent"/>
    <s v="N/A"/>
    <x v="0"/>
    <x v="4"/>
    <n v="0"/>
  </r>
  <r>
    <x v="537"/>
    <x v="362"/>
    <s v="Controller upgraded successfully."/>
    <x v="0"/>
    <x v="0"/>
    <s v="N/A"/>
    <s v="Rare"/>
    <s v="N/A"/>
    <x v="0"/>
    <x v="2"/>
    <n v="0"/>
  </r>
  <r>
    <x v="538"/>
    <x v="363"/>
    <s v="Software version is for experimental use only. A controller, master, IM or CM is compiled in a debug or the version name is experimental. CM is a demo installation."/>
    <x v="0"/>
    <x v="0"/>
    <s v="Warning"/>
    <s v="Rare"/>
    <s v="N/A"/>
    <x v="0"/>
    <x v="2"/>
    <n v="0"/>
  </r>
  <r>
    <x v="539"/>
    <x v="364"/>
    <s v="IM has been upgraded."/>
    <x v="0"/>
    <x v="0"/>
    <s v="N/A"/>
    <s v="Rare"/>
    <s v="N/A"/>
    <x v="0"/>
    <x v="2"/>
    <n v="0"/>
  </r>
  <r>
    <x v="540"/>
    <x v="365"/>
    <s v="The time that an LAS sample can remain placed has been exceeded."/>
    <x v="8"/>
    <x v="22"/>
    <s v="Error"/>
    <s v="Frequent"/>
    <s v="N/A"/>
    <x v="0"/>
    <x v="4"/>
    <n v="0"/>
  </r>
  <r>
    <x v="541"/>
    <x v="366"/>
    <s v="A maintenance activity has been executed either manually by the user or automatically by the system."/>
    <x v="8"/>
    <x v="21"/>
    <s v="Informational"/>
    <s v="Frequent"/>
    <s v="N/A"/>
    <x v="22"/>
    <x v="4"/>
    <n v="0"/>
  </r>
  <r>
    <x v="542"/>
    <x v="367"/>
    <s v="A maintenance activity has been executed either manually by the user or automatically by the system."/>
    <x v="8"/>
    <x v="21"/>
    <s v="Informational"/>
    <s v="Frequent"/>
    <s v="N/A"/>
    <x v="27"/>
    <x v="4"/>
    <n v="0"/>
  </r>
  <r>
    <x v="543"/>
    <x v="368"/>
    <s v="The bar code reader cannot move because the rack is not fully inserted or removed."/>
    <x v="5"/>
    <x v="18"/>
    <s v="Warning"/>
    <s v="Questionable"/>
    <s v="Rack removed too fast or rack labels damaged. Place in and out again slowly the rack."/>
    <x v="0"/>
    <x v="3"/>
    <n v="0"/>
  </r>
  <r>
    <x v="544"/>
    <x v="369"/>
    <s v="Bar code size bigger than the maximum size of sample ID (15 characters)"/>
    <x v="5"/>
    <x v="18"/>
    <s v="Error"/>
    <s v="Rare"/>
    <s v="N/A"/>
    <x v="0"/>
    <x v="2"/>
    <n v="0"/>
  </r>
  <r>
    <x v="545"/>
    <x v="370"/>
    <s v="The bar code label read is invalid.  "/>
    <x v="5"/>
    <x v="18"/>
    <s v="Warning"/>
    <s v="Questionable"/>
    <s v="Rack removed too fast or rack labels damaged. Place in and out again slowly the rack."/>
    <x v="0"/>
    <x v="5"/>
    <n v="0"/>
  </r>
  <r>
    <x v="546"/>
    <x v="371"/>
    <s v="CTS rack rejected."/>
    <x v="5"/>
    <x v="18"/>
    <s v="Warning"/>
    <s v="Frequent"/>
    <s v="N/A"/>
    <x v="1"/>
    <x v="4"/>
    <n v="0"/>
  </r>
  <r>
    <x v="547"/>
    <x v="372"/>
    <s v="Cap not detected by the piercer."/>
    <x v="1"/>
    <x v="13"/>
    <s v="Error"/>
    <s v="Frequent"/>
    <s v="N/A"/>
    <x v="0"/>
    <x v="4"/>
    <n v="0"/>
  </r>
  <r>
    <x v="548"/>
    <x v="373"/>
    <s v="The rack button pressed is not a valid code."/>
    <x v="5"/>
    <x v="18"/>
    <s v="Warning"/>
    <s v="Rare"/>
    <s v="N/A"/>
    <x v="0"/>
    <x v="2"/>
    <n v="0"/>
  </r>
  <r>
    <x v="549"/>
    <x v="374"/>
    <s v="Cannot communicate with the bar code reader."/>
    <x v="5"/>
    <x v="18"/>
    <s v="Warning"/>
    <s v="Questionable"/>
    <s v="Service Call"/>
    <x v="0"/>
    <x v="1"/>
    <n v="0"/>
  </r>
  <r>
    <x v="550"/>
    <x v="375"/>
    <s v="The in-line cleaning solution level is below 75 mL."/>
    <x v="6"/>
    <x v="9"/>
    <s v="Warning"/>
    <s v="Frequent"/>
    <s v="N/A"/>
    <x v="5"/>
    <x v="4"/>
    <n v="0"/>
  </r>
  <r>
    <x v="551"/>
    <x v="376"/>
    <s v="Rinse solution level is below 1000 mL."/>
    <x v="6"/>
    <x v="10"/>
    <s v="Warning"/>
    <s v="Frequent"/>
    <s v="N/A"/>
    <x v="28"/>
    <x v="4"/>
    <n v="0"/>
  </r>
  <r>
    <x v="552"/>
    <x v="377"/>
    <s v="No cuvette strips detected at Warning sensor in load area."/>
    <x v="4"/>
    <x v="16"/>
    <s v="Warning"/>
    <s v="Frequent"/>
    <s v="N/A"/>
    <x v="18"/>
    <x v="4"/>
    <n v="0"/>
  </r>
  <r>
    <x v="553"/>
    <x v="378"/>
    <s v="The level of cuvettes in the waste drawer is close to maximum height."/>
    <x v="4"/>
    <x v="14"/>
    <s v="Warning"/>
    <s v="Frequent"/>
    <s v="N/A"/>
    <x v="2"/>
    <x v="4"/>
    <n v="0"/>
  </r>
  <r>
    <x v="554"/>
    <x v="379"/>
    <s v="Waste fluid container Warning sensor detected."/>
    <x v="6"/>
    <x v="11"/>
    <s v="Warning"/>
    <s v="Frequent"/>
    <s v="N/A"/>
    <x v="14"/>
    <x v="4"/>
    <n v="0"/>
  </r>
  <r>
    <x v="555"/>
    <x v="380"/>
    <s v="A new set of ORU air blanking values has been saved."/>
    <x v="2"/>
    <x v="3"/>
    <s v="Informational"/>
    <s v="Frequent"/>
    <s v="N/A"/>
    <x v="0"/>
    <x v="4"/>
    <n v="0"/>
  </r>
  <r>
    <x v="556"/>
    <x v="381"/>
    <s v="A new set of ORU factor diluent blanking values has been saved."/>
    <x v="2"/>
    <x v="3"/>
    <s v="Informational"/>
    <s v="Frequent"/>
    <s v="N/A"/>
    <x v="0"/>
    <x v="4"/>
    <n v="0"/>
  </r>
  <r>
    <x v="557"/>
    <x v="382"/>
    <s v="Probe Coordinates adjustment procedure completed."/>
    <x v="1"/>
    <x v="8"/>
    <s v="Informational"/>
    <s v="Frequent"/>
    <s v="N/A"/>
    <x v="0"/>
    <x v="4"/>
    <n v="0"/>
  </r>
  <r>
    <x v="558"/>
    <x v="383"/>
    <s v="The analyzer is unable to process the request to enable CTS piercing probe mode."/>
    <x v="1"/>
    <x v="13"/>
    <s v="Error"/>
    <s v="Rare"/>
    <s v="N/A"/>
    <x v="0"/>
    <x v="2"/>
    <n v="0"/>
  </r>
  <r>
    <x v="559"/>
    <x v="384"/>
    <s v="The analyzer is unable to process the request to disable CTS piercing probe mode."/>
    <x v="1"/>
    <x v="13"/>
    <s v="Error"/>
    <s v="Rare"/>
    <s v="N/A"/>
    <x v="0"/>
    <x v="2"/>
    <n v="0"/>
  </r>
  <r>
    <x v="560"/>
    <x v="385"/>
    <s v="Waste tank is not present."/>
    <x v="6"/>
    <x v="11"/>
    <s v="Warning"/>
    <s v="Frequent"/>
    <s v="N/A"/>
    <x v="5"/>
    <x v="4"/>
    <n v="0"/>
  </r>
  <r>
    <x v="561"/>
    <x v="386"/>
    <s v="The system detected the instrument model is different than during the last connection. "/>
    <x v="0"/>
    <x v="0"/>
    <s v="Warning"/>
    <s v="Rare"/>
    <s v="N/A"/>
    <x v="0"/>
    <x v="2"/>
    <n v="0"/>
  </r>
  <r>
    <x v="562"/>
    <x v="387"/>
    <s v="Unable to create raw data report file."/>
    <x v="0"/>
    <x v="0"/>
    <s v="Warning"/>
    <s v="Rare"/>
    <s v="N/A"/>
    <x v="0"/>
    <x v="2"/>
    <n v="0"/>
  </r>
  <r>
    <x v="563"/>
    <x v="388"/>
    <s v="LAS Interface Manager (IM) communications error."/>
    <x v="8"/>
    <x v="26"/>
    <s v="Error"/>
    <s v="Frequent"/>
    <s v="N/A"/>
    <x v="5"/>
    <x v="4"/>
    <n v="0"/>
  </r>
  <r>
    <x v="564"/>
    <x v="389"/>
    <s v="User reset the test counter statistics"/>
    <x v="8"/>
    <x v="25"/>
    <s v="Informational"/>
    <s v="Frequent"/>
    <s v="N/A"/>
    <x v="0"/>
    <x v="4"/>
    <n v="0"/>
  </r>
  <r>
    <x v="565"/>
    <x v="390"/>
    <s v="A new system software version has been detected."/>
    <x v="8"/>
    <x v="25"/>
    <s v="Informational"/>
    <s v="Frequent"/>
    <s v="N/A"/>
    <x v="0"/>
    <x v="4"/>
    <n v="0"/>
  </r>
  <r>
    <x v="566"/>
    <x v="391"/>
    <s v="A new Hardware event has been added by the user."/>
    <x v="8"/>
    <x v="25"/>
    <s v="Informational"/>
    <s v="Frequent"/>
    <s v="N/A"/>
    <x v="0"/>
    <x v="4"/>
    <n v="0"/>
  </r>
  <r>
    <x v="567"/>
    <x v="392"/>
    <s v="User entered a manual alarm."/>
    <x v="8"/>
    <x v="25"/>
    <s v="Informational"/>
    <s v="Frequent"/>
    <s v="N/A"/>
    <x v="0"/>
    <x v="4"/>
    <n v="0"/>
  </r>
  <r>
    <x v="568"/>
    <x v="393"/>
    <s v="The AM has detected liquid where liquid should not be (a false positive)"/>
    <x v="7"/>
    <x v="20"/>
    <s v="Error"/>
    <s v="Rare"/>
    <s v="Critical when &gt;1% of Test Performed"/>
    <x v="0"/>
    <x v="2"/>
    <n v="0"/>
  </r>
  <r>
    <x v="569"/>
    <x v="394"/>
    <s v="Generic ORU error.  If the signal check for a particular test is disabled, all ORU flags are treated as an error."/>
    <x v="2"/>
    <x v="4"/>
    <s v="Error"/>
    <s v="Rare"/>
    <s v="N/A"/>
    <x v="0"/>
    <x v="2"/>
    <n v="0"/>
  </r>
  <r>
    <x v="570"/>
    <x v="395"/>
    <s v="AM reported a material dispense error. An unexpected material dispense error was detected by the AM software. Not expected behavior."/>
    <x v="0"/>
    <x v="0"/>
    <s v="Error"/>
    <s v="Rare"/>
    <s v="N/A"/>
    <x v="0"/>
    <x v="2"/>
    <n v="0"/>
  </r>
  <r>
    <x v="571"/>
    <x v="396"/>
    <s v="The result unit is the measured result and DR has been unable to compute it"/>
    <x v="8"/>
    <x v="25"/>
    <s v="Warning"/>
    <s v="Frequent"/>
    <s v="N/A"/>
    <x v="0"/>
    <x v="4"/>
    <n v="0"/>
  </r>
  <r>
    <x v="572"/>
    <x v="397"/>
    <s v="Generic flag indicating that at least one temperature reading was out of range.  All temperature out of range alarms are mapped to a single flag within each determination."/>
    <x v="3"/>
    <x v="5"/>
    <s v="Warning"/>
    <s v="Rare"/>
    <s v="N/A"/>
    <x v="0"/>
    <x v="2"/>
    <n v="0"/>
  </r>
  <r>
    <x v="573"/>
    <x v="398"/>
    <s v="Generic ORU warning.  If signal checks are enabled in the test definitions for the particular test, all ORU flags are treated as warning."/>
    <x v="2"/>
    <x v="4"/>
    <s v="Warning"/>
    <s v="Rare"/>
    <s v="N/A"/>
    <x v="0"/>
    <x v="2"/>
    <n v="0"/>
  </r>
  <r>
    <x v="574"/>
    <x v="399"/>
    <s v="The AM has detected that the material stirring mechanism is not stirring the material and this is a coagulation test (stirring prolongs material stability)"/>
    <x v="5"/>
    <x v="15"/>
    <s v="Warning"/>
    <s v="Rare"/>
    <s v="N/A"/>
    <x v="0"/>
    <x v="2"/>
    <n v="0"/>
  </r>
  <r>
    <x v="575"/>
    <x v="400"/>
    <s v="Calibration transformations do not match parallelism transformations."/>
    <x v="8"/>
    <x v="25"/>
    <s v="Warning"/>
    <s v="Frequent"/>
    <s v="N/A"/>
    <x v="0"/>
    <x v="4"/>
    <n v="0"/>
  </r>
  <r>
    <x v="576"/>
    <x v="401"/>
    <s v="One or more material's stability has expired for this determination."/>
    <x v="8"/>
    <x v="22"/>
    <s v="Warning"/>
    <s v="Frequent"/>
    <s v="N/A"/>
    <x v="0"/>
    <x v="4"/>
    <n v="0"/>
  </r>
  <r>
    <x v="577"/>
    <x v="402"/>
    <s v="One or more of the materials used to run this determination has expired."/>
    <x v="8"/>
    <x v="22"/>
    <s v="Warning"/>
    <s v="Frequent"/>
    <s v="N/A"/>
    <x v="0"/>
    <x v="4"/>
    <n v="0"/>
  </r>
  <r>
    <x v="578"/>
    <x v="403"/>
    <s v="LAS sample expired during processing."/>
    <x v="8"/>
    <x v="22"/>
    <s v="Warning"/>
    <s v="Frequent"/>
    <s v="N/A"/>
    <x v="0"/>
    <x v="4"/>
    <n v="0"/>
  </r>
  <r>
    <x v="579"/>
    <x v="404"/>
    <s v="Error indicating that there was insufficient sample to pipette."/>
    <x v="8"/>
    <x v="22"/>
    <s v="Error"/>
    <s v="Frequent"/>
    <s v="N/A"/>
    <x v="0"/>
    <x v="4"/>
    <n v="0"/>
  </r>
  <r>
    <x v="580"/>
    <x v="405"/>
    <s v="The AM determined that there was insufficient reagent to pipette."/>
    <x v="8"/>
    <x v="22"/>
    <s v="Error"/>
    <s v="Frequent"/>
    <s v="N/A"/>
    <x v="0"/>
    <x v="4"/>
    <n v="0"/>
  </r>
  <r>
    <x v="581"/>
    <x v="406"/>
    <s v="Error indicating missing dispense of rinse or clean was detected in the software due to timing issues in the scheduler."/>
    <x v="6"/>
    <x v="10"/>
    <s v="Error"/>
    <s v="Rare"/>
    <s v="N/A"/>
    <x v="0"/>
    <x v="2"/>
    <n v="0"/>
  </r>
  <r>
    <x v="582"/>
    <x v="407"/>
    <s v="Because of a scheduling error, a material that should have been dispensed into the reaction cuvette was not dispensed.  This check is done for safety purposes and it is intended that this error will never be seen."/>
    <x v="0"/>
    <x v="0"/>
    <s v="Error"/>
    <s v="Rare"/>
    <s v="N/A"/>
    <x v="0"/>
    <x v="2"/>
    <n v="0"/>
  </r>
  <r>
    <x v="583"/>
    <x v="408"/>
    <s v="LAS track communications error."/>
    <x v="8"/>
    <x v="26"/>
    <s v="Error"/>
    <s v="Frequent"/>
    <s v="N/A"/>
    <x v="0"/>
    <x v="4"/>
    <n v="0"/>
  </r>
  <r>
    <x v="584"/>
    <x v="409"/>
    <s v="LAS track unavailable."/>
    <x v="8"/>
    <x v="26"/>
    <s v="N/A"/>
    <s v="Frequent"/>
    <s v="N/A"/>
    <x v="0"/>
    <x v="4"/>
    <n v="0"/>
  </r>
  <r>
    <x v="585"/>
    <x v="410"/>
    <s v="LAS track has provided sample data with inconsistencies."/>
    <x v="8"/>
    <x v="26"/>
    <s v="Error"/>
    <s v="Frequent"/>
    <s v="N/A"/>
    <x v="0"/>
    <x v="4"/>
    <n v="0"/>
  </r>
  <r>
    <x v="586"/>
    <x v="410"/>
    <s v="Capped tube provided by the LAS track."/>
    <x v="8"/>
    <x v="26"/>
    <s v="Error"/>
    <s v="Frequent"/>
    <s v="N/A"/>
    <x v="0"/>
    <x v="4"/>
    <n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pivotTable1.xml><?xml version="1.0" encoding="utf-8"?>
<pivotTableDefinition xmlns="http://schemas.openxmlformats.org/spreadsheetml/2006/main" name="PivotTable1" cacheId="37" dataOnRows="1" applyNumberFormats="0" applyBorderFormats="0" applyFontFormats="0" applyPatternFormats="0" applyAlignmentFormats="0" applyWidthHeightFormats="1" dataCaption="Data" updatedVersion="4" minRefreshableVersion="3" asteriskTotals="1" showMemberPropertyTips="0" useAutoFormatting="1" itemPrintTitles="1" createdVersion="3" indent="0" compact="0" compactData="0" gridDropZones="1" chartFormat="1">
  <location ref="A4:CG87" firstHeaderRow="1" firstDataRow="5" firstDataCol="1" rowPageCount="1" colPageCount="1"/>
  <pivotFields count="10">
    <pivotField compact="0" outline="0" subtotalTop="0" showAll="0" includeNewItemsInFilter="1"/>
    <pivotField axis="axisRow" dataField="1" compact="0" outline="0" subtotalTop="0" showAll="0" includeNewItemsInFilter="1" sortType="ascending" rankBy="0">
      <items count="79">
        <item x="47"/>
        <item x="75"/>
        <item x="42"/>
        <item x="63"/>
        <item x="40"/>
        <item x="46"/>
        <item x="44"/>
        <item x="29"/>
        <item x="51"/>
        <item x="30"/>
        <item x="43"/>
        <item x="32"/>
        <item x="45"/>
        <item x="7"/>
        <item x="6"/>
        <item x="27"/>
        <item x="67"/>
        <item x="24"/>
        <item x="49"/>
        <item x="31"/>
        <item x="37"/>
        <item x="26"/>
        <item x="74"/>
        <item x="13"/>
        <item x="0"/>
        <item x="9"/>
        <item x="3"/>
        <item x="5"/>
        <item x="57"/>
        <item x="58"/>
        <item x="59"/>
        <item x="60"/>
        <item x="53"/>
        <item x="14"/>
        <item x="54"/>
        <item x="72"/>
        <item x="68"/>
        <item x="69"/>
        <item x="61"/>
        <item x="10"/>
        <item x="34"/>
        <item x="33"/>
        <item x="70"/>
        <item x="35"/>
        <item x="36"/>
        <item x="38"/>
        <item x="28"/>
        <item x="20"/>
        <item x="56"/>
        <item x="64"/>
        <item x="76"/>
        <item x="18"/>
        <item x="48"/>
        <item x="16"/>
        <item x="22"/>
        <item x="21"/>
        <item x="23"/>
        <item x="8"/>
        <item x="62"/>
        <item x="66"/>
        <item x="73"/>
        <item x="65"/>
        <item x="11"/>
        <item x="4"/>
        <item x="2"/>
        <item x="12"/>
        <item x="52"/>
        <item x="19"/>
        <item x="1"/>
        <item x="15"/>
        <item x="50"/>
        <item x="39"/>
        <item x="41"/>
        <item x="17"/>
        <item x="71"/>
        <item x="25"/>
        <item x="55"/>
        <item x="77"/>
        <item t="default" sd="0"/>
      </items>
    </pivotField>
    <pivotField axis="axisCol" compact="0" outline="0" subtotalTop="0" showAll="0" includeNewItemsInFilter="1" sortType="ascending" rankBy="0">
      <items count="5">
        <item x="2"/>
        <item x="0"/>
        <item x="1"/>
        <item x="3"/>
        <item t="default"/>
      </items>
    </pivotField>
    <pivotField compact="0" outline="0" subtotalTop="0" showAll="0" includeNewItemsInFilter="1"/>
    <pivotField compact="0" outline="0" subtotalTop="0" showAll="0" includeNewItemsInFilter="1"/>
    <pivotField compact="0" outline="0" subtotalTop="0" showAll="0" includeNewItemsInFilter="1"/>
    <pivotField axis="axisPage" compact="0" outline="0" subtotalTop="0" showAll="0" includeNewItemsInFilter="1">
      <items count="10">
        <item x="1"/>
        <item x="0"/>
        <item x="2"/>
        <item x="3"/>
        <item x="4"/>
        <item x="5"/>
        <item x="6"/>
        <item x="7"/>
        <item x="8"/>
        <item t="default"/>
      </items>
    </pivotField>
    <pivotField axis="axisCol" compact="0" outline="0" subtotalTop="0" showAll="0" includeNewItemsInFilter="1" sortType="ascending" rankBy="0">
      <items count="9">
        <item x="7"/>
        <item x="6"/>
        <item x="5"/>
        <item x="1"/>
        <item x="3"/>
        <item x="2"/>
        <item x="0"/>
        <item x="4"/>
        <item t="default"/>
      </items>
    </pivotField>
    <pivotField axis="axisCol" compact="0" outline="0" subtotalTop="0" showAll="0" includeNewItemsInFilter="1" sortType="ascending" rankBy="0">
      <items count="17">
        <item x="5"/>
        <item x="13"/>
        <item x="10"/>
        <item x="15"/>
        <item x="11"/>
        <item x="6"/>
        <item x="8"/>
        <item x="2"/>
        <item x="3"/>
        <item x="4"/>
        <item x="12"/>
        <item x="1"/>
        <item x="0"/>
        <item x="9"/>
        <item x="14"/>
        <item x="7"/>
        <item t="default"/>
      </items>
    </pivotField>
    <pivotField axis="axisCol" compact="0" outline="0" subtotalTop="0" showAll="0" includeNewItemsInFilter="1" sortType="ascending" rankBy="0">
      <items count="5">
        <item x="0"/>
        <item x="2"/>
        <item x="3"/>
        <item x="1"/>
        <item t="default"/>
      </items>
    </pivotField>
  </pivotFields>
  <rowFields count="1">
    <field x="1"/>
  </rowFields>
  <rowItems count="79">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t="grand">
      <x/>
    </i>
  </rowItems>
  <colFields count="4">
    <field x="2"/>
    <field x="7"/>
    <field x="8"/>
    <field x="9"/>
  </colFields>
  <colItems count="84">
    <i>
      <x/>
      <x/>
      <x v="3"/>
      <x v="1"/>
    </i>
    <i t="default" r="2">
      <x v="3"/>
    </i>
    <i t="default" r="1">
      <x/>
    </i>
    <i r="1">
      <x v="1"/>
      <x v="1"/>
      <x/>
    </i>
    <i r="3">
      <x v="1"/>
    </i>
    <i t="default" r="2">
      <x v="1"/>
    </i>
    <i t="default" r="1">
      <x v="1"/>
    </i>
    <i r="1">
      <x v="2"/>
      <x v="4"/>
      <x/>
    </i>
    <i t="default" r="2">
      <x v="4"/>
    </i>
    <i t="default" r="1">
      <x v="2"/>
    </i>
    <i r="1">
      <x v="3"/>
      <x v="2"/>
      <x/>
    </i>
    <i r="3">
      <x v="2"/>
    </i>
    <i t="default" r="2">
      <x v="2"/>
    </i>
    <i r="2">
      <x v="11"/>
      <x/>
    </i>
    <i t="default" r="2">
      <x v="11"/>
    </i>
    <i r="2">
      <x v="14"/>
      <x/>
    </i>
    <i t="default" r="2">
      <x v="14"/>
    </i>
    <i t="default" r="1">
      <x v="3"/>
    </i>
    <i r="1">
      <x v="4"/>
      <x v="9"/>
      <x/>
    </i>
    <i r="3">
      <x v="1"/>
    </i>
    <i t="default" r="2">
      <x v="9"/>
    </i>
    <i t="default" r="1">
      <x v="4"/>
    </i>
    <i r="1">
      <x v="5"/>
      <x v="5"/>
      <x/>
    </i>
    <i t="default" r="2">
      <x v="5"/>
    </i>
    <i r="2">
      <x v="7"/>
      <x/>
    </i>
    <i t="default" r="2">
      <x v="7"/>
    </i>
    <i r="2">
      <x v="8"/>
      <x/>
    </i>
    <i t="default" r="2">
      <x v="8"/>
    </i>
    <i r="2">
      <x v="13"/>
      <x/>
    </i>
    <i t="default" r="2">
      <x v="13"/>
    </i>
    <i t="default" r="1">
      <x v="5"/>
    </i>
    <i r="1">
      <x v="7"/>
      <x v="15"/>
      <x v="3"/>
    </i>
    <i t="default" r="2">
      <x v="15"/>
    </i>
    <i t="default" r="1">
      <x v="7"/>
    </i>
    <i t="default">
      <x/>
    </i>
    <i>
      <x v="1"/>
      <x v="5"/>
      <x/>
      <x/>
    </i>
    <i t="default" r="2">
      <x/>
    </i>
    <i r="2">
      <x v="5"/>
      <x/>
    </i>
    <i t="default" r="2">
      <x v="5"/>
    </i>
    <i r="2">
      <x v="7"/>
      <x/>
    </i>
    <i t="default" r="2">
      <x v="7"/>
    </i>
    <i r="2">
      <x v="8"/>
      <x/>
    </i>
    <i t="default" r="2">
      <x v="8"/>
    </i>
    <i r="2">
      <x v="10"/>
      <x/>
    </i>
    <i t="default" r="2">
      <x v="10"/>
    </i>
    <i t="default" r="1">
      <x v="5"/>
    </i>
    <i r="1">
      <x v="6"/>
      <x v="12"/>
      <x/>
    </i>
    <i t="default" r="2">
      <x v="12"/>
    </i>
    <i t="default" r="1">
      <x v="6"/>
    </i>
    <i r="1">
      <x v="7"/>
      <x v="15"/>
      <x v="3"/>
    </i>
    <i t="default" r="2">
      <x v="15"/>
    </i>
    <i t="default" r="1">
      <x v="7"/>
    </i>
    <i t="default">
      <x v="1"/>
    </i>
    <i>
      <x v="2"/>
      <x v="1"/>
      <x v="1"/>
      <x/>
    </i>
    <i t="default" r="2">
      <x v="1"/>
    </i>
    <i t="default" r="1">
      <x v="1"/>
    </i>
    <i r="1">
      <x v="2"/>
      <x v="4"/>
      <x/>
    </i>
    <i t="default" r="2">
      <x v="4"/>
    </i>
    <i r="2">
      <x v="6"/>
      <x/>
    </i>
    <i t="default" r="2">
      <x v="6"/>
    </i>
    <i t="default" r="1">
      <x v="2"/>
    </i>
    <i r="1">
      <x v="3"/>
      <x v="2"/>
      <x/>
    </i>
    <i t="default" r="2">
      <x v="2"/>
    </i>
    <i r="2">
      <x v="11"/>
      <x/>
    </i>
    <i t="default" r="2">
      <x v="11"/>
    </i>
    <i r="2">
      <x v="14"/>
      <x/>
    </i>
    <i t="default" r="2">
      <x v="14"/>
    </i>
    <i t="default" r="1">
      <x v="3"/>
    </i>
    <i r="1">
      <x v="4"/>
      <x v="9"/>
      <x/>
    </i>
    <i t="default" r="2">
      <x v="9"/>
    </i>
    <i t="default" r="1">
      <x v="4"/>
    </i>
    <i r="1">
      <x v="5"/>
      <x v="5"/>
      <x/>
    </i>
    <i t="default" r="2">
      <x v="5"/>
    </i>
    <i r="2">
      <x v="7"/>
      <x/>
    </i>
    <i t="default" r="2">
      <x v="7"/>
    </i>
    <i r="2">
      <x v="8"/>
      <x/>
    </i>
    <i t="default" r="2">
      <x v="8"/>
    </i>
    <i t="default" r="1">
      <x v="5"/>
    </i>
    <i t="default">
      <x v="2"/>
    </i>
    <i>
      <x v="3"/>
      <x v="7"/>
      <x v="15"/>
      <x v="3"/>
    </i>
    <i t="default" r="2">
      <x v="15"/>
    </i>
    <i t="default" r="1">
      <x v="7"/>
    </i>
    <i t="default">
      <x v="3"/>
    </i>
    <i t="grand">
      <x/>
    </i>
  </colItems>
  <pageFields count="1">
    <pageField fld="6" hier="0"/>
  </pageFields>
  <dataFields count="1">
    <dataField name="Count of Code" fld="1" subtotal="count" baseField="0" baseItem="0"/>
  </dataFields>
  <chartFormats count="1">
    <chartFormat chart="0" format="0" series="1">
      <pivotArea type="data" outline="0" fieldPosition="0">
        <references count="5">
          <reference field="4294967294" count="1" selected="0">
            <x v="0"/>
          </reference>
          <reference field="2" count="1" selected="0">
            <x v="3"/>
          </reference>
          <reference field="7" count="1" selected="0">
            <x v="7"/>
          </reference>
          <reference field="8" count="1" selected="0">
            <x v="15"/>
          </reference>
          <reference field="9" count="1" selected="0">
            <x v="3"/>
          </reference>
        </references>
      </pivotArea>
    </chartFormat>
  </chartFormats>
  <pivotTableStyleInfo showRowHeaders="1" showColHeaders="1" showRowStripes="0" showColStripes="0" showLastColumn="1"/>
</pivotTableDefinition>
</file>

<file path=xl/pivotTables/pivotTable2.xml><?xml version="1.0" encoding="utf-8"?>
<pivotTableDefinition xmlns="http://schemas.openxmlformats.org/spreadsheetml/2006/main" name="PivotTable1" cacheId="46" dataOnRows="1" applyNumberFormats="0" applyBorderFormats="0" applyFontFormats="0" applyPatternFormats="0" applyAlignmentFormats="0" applyWidthHeightFormats="1" dataCaption="Data" updatedVersion="4" minRefreshableVersion="3" asteriskTotals="1" showMemberPropertyTips="0" useAutoFormatting="1" itemPrintTitles="1" createdVersion="3" indent="0" compact="0" compactData="0" gridDropZones="1" chartFormat="1">
  <location ref="A4:LF38" firstHeaderRow="1" firstDataRow="6" firstDataCol="1" rowPageCount="1" colPageCount="1"/>
  <pivotFields count="10">
    <pivotField compact="0" outline="0" subtotalTop="0" showAll="0" includeNewItemsInFilter="1"/>
    <pivotField axis="axisCol" dataField="1" compact="0" outline="0" subtotalTop="0" showAll="0" includeNewItemsInFilter="1" sortType="ascending" rankBy="0">
      <items count="79">
        <item x="47"/>
        <item x="75"/>
        <item x="42"/>
        <item x="63"/>
        <item x="40"/>
        <item x="46"/>
        <item x="44"/>
        <item x="29"/>
        <item x="51"/>
        <item x="30"/>
        <item x="43"/>
        <item x="32"/>
        <item x="45"/>
        <item x="7"/>
        <item x="6"/>
        <item x="27"/>
        <item x="67"/>
        <item x="24"/>
        <item x="49"/>
        <item x="31"/>
        <item x="37"/>
        <item x="26"/>
        <item x="74"/>
        <item x="13"/>
        <item x="0"/>
        <item x="9"/>
        <item x="3"/>
        <item x="5"/>
        <item x="57"/>
        <item x="58"/>
        <item x="59"/>
        <item x="60"/>
        <item x="53"/>
        <item x="14"/>
        <item x="54"/>
        <item x="72"/>
        <item x="68"/>
        <item x="69"/>
        <item x="61"/>
        <item x="10"/>
        <item x="34"/>
        <item x="33"/>
        <item x="70"/>
        <item x="35"/>
        <item x="36"/>
        <item x="38"/>
        <item x="28"/>
        <item x="20"/>
        <item x="56"/>
        <item x="64"/>
        <item x="76"/>
        <item x="18"/>
        <item x="48"/>
        <item x="16"/>
        <item x="22"/>
        <item x="21"/>
        <item x="23"/>
        <item x="8"/>
        <item x="62"/>
        <item x="66"/>
        <item x="73"/>
        <item x="65"/>
        <item x="11"/>
        <item x="4"/>
        <item x="2"/>
        <item x="12"/>
        <item x="52"/>
        <item x="19"/>
        <item x="1"/>
        <item x="15"/>
        <item x="50"/>
        <item x="39"/>
        <item x="41"/>
        <item x="17"/>
        <item x="71"/>
        <item x="25"/>
        <item x="55"/>
        <item x="77"/>
        <item t="default"/>
      </items>
    </pivotField>
    <pivotField axis="axisCol" compact="0" outline="0" subtotalTop="0" showAll="0" includeNewItemsInFilter="1" sortType="ascending" rankBy="0">
      <items count="5">
        <item x="2"/>
        <item x="0"/>
        <item x="1"/>
        <item x="3"/>
        <item t="default"/>
      </items>
    </pivotField>
    <pivotField axis="axisRow" compact="0" outline="0" subtotalTop="0" showAll="0" includeNewItemsInFilter="1" sortType="ascending" rankBy="0">
      <items count="29">
        <item x="0"/>
        <item x="1"/>
        <item x="2"/>
        <item x="3"/>
        <item x="4"/>
        <item x="5"/>
        <item x="6"/>
        <item x="7"/>
        <item x="8"/>
        <item x="9"/>
        <item x="10"/>
        <item x="11"/>
        <item x="12"/>
        <item x="13"/>
        <item x="14"/>
        <item x="15"/>
        <item x="16"/>
        <item x="17"/>
        <item x="18"/>
        <item x="19"/>
        <item x="20"/>
        <item x="21"/>
        <item x="22"/>
        <item x="23"/>
        <item x="24"/>
        <item x="25"/>
        <item x="26"/>
        <item x="27"/>
        <item t="default"/>
      </items>
    </pivotField>
    <pivotField compact="0" outline="0" subtotalTop="0" showAll="0" includeNewItemsInFilter="1"/>
    <pivotField compact="0" outline="0" subtotalTop="0" showAll="0" includeNewItemsInFilter="1"/>
    <pivotField axis="axisPage" compact="0" outline="0" subtotalTop="0" showAll="0" includeNewItemsInFilter="1">
      <items count="10">
        <item x="1"/>
        <item x="0"/>
        <item x="2"/>
        <item x="3"/>
        <item x="4"/>
        <item x="5"/>
        <item x="6"/>
        <item x="7"/>
        <item x="8"/>
        <item t="default"/>
      </items>
    </pivotField>
    <pivotField axis="axisCol" compact="0" outline="0" subtotalTop="0" showAll="0" includeNewItemsInFilter="1" sortType="ascending" rankBy="0">
      <items count="9">
        <item x="7"/>
        <item x="6"/>
        <item x="5"/>
        <item x="1"/>
        <item x="3"/>
        <item x="2"/>
        <item x="0"/>
        <item x="4"/>
        <item t="default"/>
      </items>
    </pivotField>
    <pivotField axis="axisCol" compact="0" outline="0" subtotalTop="0" showAll="0" includeNewItemsInFilter="1" sortType="ascending" rankBy="0">
      <items count="17">
        <item x="5"/>
        <item x="13"/>
        <item x="10"/>
        <item x="15"/>
        <item x="11"/>
        <item x="6"/>
        <item x="8"/>
        <item x="2"/>
        <item x="3"/>
        <item x="4"/>
        <item x="12"/>
        <item x="1"/>
        <item x="0"/>
        <item x="9"/>
        <item x="14"/>
        <item x="7"/>
        <item t="default"/>
      </items>
    </pivotField>
    <pivotField axis="axisCol" compact="0" outline="0" subtotalTop="0" showAll="0" includeNewItemsInFilter="1" sortType="ascending" rankBy="0">
      <items count="5">
        <item x="0"/>
        <item x="2"/>
        <item x="3"/>
        <item x="1"/>
        <item t="default"/>
      </items>
    </pivotField>
  </pivotFields>
  <rowFields count="1">
    <field x="3"/>
  </rowFields>
  <rowItems count="29">
    <i>
      <x/>
    </i>
    <i>
      <x v="1"/>
    </i>
    <i>
      <x v="2"/>
    </i>
    <i>
      <x v="3"/>
    </i>
    <i>
      <x v="4"/>
    </i>
    <i>
      <x v="5"/>
    </i>
    <i>
      <x v="6"/>
    </i>
    <i>
      <x v="7"/>
    </i>
    <i>
      <x v="8"/>
    </i>
    <i>
      <x v="9"/>
    </i>
    <i>
      <x v="10"/>
    </i>
    <i>
      <x v="11"/>
    </i>
    <i>
      <x v="12"/>
    </i>
    <i>
      <x v="13"/>
    </i>
    <i>
      <x v="14"/>
    </i>
    <i>
      <x v="15"/>
    </i>
    <i>
      <x v="16"/>
    </i>
    <i>
      <x v="17"/>
    </i>
    <i>
      <x v="18"/>
    </i>
    <i>
      <x v="19"/>
    </i>
    <i>
      <x v="20"/>
    </i>
    <i>
      <x v="21"/>
    </i>
    <i>
      <x v="22"/>
    </i>
    <i>
      <x v="23"/>
    </i>
    <i>
      <x v="24"/>
    </i>
    <i>
      <x v="25"/>
    </i>
    <i>
      <x v="26"/>
    </i>
    <i>
      <x v="27"/>
    </i>
    <i t="grand">
      <x/>
    </i>
  </rowItems>
  <colFields count="5">
    <field x="2"/>
    <field x="1"/>
    <field x="7"/>
    <field x="8"/>
    <field x="9"/>
  </colFields>
  <colItems count="317">
    <i>
      <x/>
      <x/>
      <x/>
      <x v="3"/>
      <x v="1"/>
    </i>
    <i t="default" r="3">
      <x v="3"/>
    </i>
    <i t="default" r="2">
      <x/>
    </i>
    <i t="default" r="1">
      <x/>
    </i>
    <i r="1">
      <x v="1"/>
      <x v="1"/>
      <x v="1"/>
      <x v="1"/>
    </i>
    <i t="default" r="3">
      <x v="1"/>
    </i>
    <i t="default" r="2">
      <x v="1"/>
    </i>
    <i t="default" r="1">
      <x v="1"/>
    </i>
    <i r="1">
      <x v="2"/>
      <x v="4"/>
      <x v="9"/>
      <x v="1"/>
    </i>
    <i t="default" r="3">
      <x v="9"/>
    </i>
    <i t="default" r="2">
      <x v="4"/>
    </i>
    <i t="default" r="1">
      <x v="2"/>
    </i>
    <i r="1">
      <x v="3"/>
      <x v="3"/>
      <x v="11"/>
      <x/>
    </i>
    <i t="default" r="3">
      <x v="11"/>
    </i>
    <i t="default" r="2">
      <x v="3"/>
    </i>
    <i t="default" r="1">
      <x v="3"/>
    </i>
    <i r="1">
      <x v="4"/>
      <x v="3"/>
      <x v="14"/>
      <x/>
    </i>
    <i t="default" r="3">
      <x v="14"/>
    </i>
    <i t="default" r="2">
      <x v="3"/>
    </i>
    <i t="default" r="1">
      <x v="4"/>
    </i>
    <i r="1">
      <x v="5"/>
      <x v="1"/>
      <x v="1"/>
      <x/>
    </i>
    <i t="default" r="3">
      <x v="1"/>
    </i>
    <i t="default" r="2">
      <x v="1"/>
    </i>
    <i t="default" r="1">
      <x v="5"/>
    </i>
    <i r="1">
      <x v="6"/>
      <x v="3"/>
      <x v="2"/>
      <x/>
    </i>
    <i t="default" r="3">
      <x v="2"/>
    </i>
    <i t="default" r="2">
      <x v="3"/>
    </i>
    <i t="default" r="1">
      <x v="6"/>
    </i>
    <i r="1">
      <x v="7"/>
      <x v="2"/>
      <x v="4"/>
      <x/>
    </i>
    <i t="default" r="3">
      <x v="4"/>
    </i>
    <i t="default" r="2">
      <x v="2"/>
    </i>
    <i t="default" r="1">
      <x v="7"/>
    </i>
    <i r="1">
      <x v="8"/>
      <x v="2"/>
      <x v="4"/>
      <x/>
    </i>
    <i t="default" r="3">
      <x v="4"/>
    </i>
    <i t="default" r="2">
      <x v="2"/>
    </i>
    <i t="default" r="1">
      <x v="8"/>
    </i>
    <i r="1">
      <x v="9"/>
      <x v="4"/>
      <x v="9"/>
      <x/>
    </i>
    <i t="default" r="3">
      <x v="9"/>
    </i>
    <i t="default" r="2">
      <x v="4"/>
    </i>
    <i t="default" r="1">
      <x v="9"/>
    </i>
    <i r="1">
      <x v="10"/>
      <x v="3"/>
      <x v="2"/>
      <x v="2"/>
    </i>
    <i t="default" r="3">
      <x v="2"/>
    </i>
    <i t="default" r="2">
      <x v="3"/>
    </i>
    <i t="default" r="1">
      <x v="10"/>
    </i>
    <i r="1">
      <x v="11"/>
      <x v="4"/>
      <x v="9"/>
      <x/>
    </i>
    <i t="default" r="3">
      <x v="9"/>
    </i>
    <i t="default" r="2">
      <x v="4"/>
    </i>
    <i t="default" r="1">
      <x v="11"/>
    </i>
    <i r="1">
      <x v="12"/>
      <x v="5"/>
      <x v="7"/>
      <x/>
    </i>
    <i t="default" r="3">
      <x v="7"/>
    </i>
    <i t="default" r="2">
      <x v="5"/>
    </i>
    <i t="default" r="1">
      <x v="12"/>
    </i>
    <i r="1">
      <x v="15"/>
      <x v="5"/>
      <x v="8"/>
      <x/>
    </i>
    <i t="default" r="3">
      <x v="8"/>
    </i>
    <i t="default" r="2">
      <x v="5"/>
    </i>
    <i t="default" r="1">
      <x v="15"/>
    </i>
    <i r="1">
      <x v="16"/>
      <x v="5"/>
      <x v="8"/>
      <x/>
    </i>
    <i t="default" r="3">
      <x v="8"/>
    </i>
    <i t="default" r="2">
      <x v="5"/>
    </i>
    <i t="default" r="1">
      <x v="16"/>
    </i>
    <i r="1">
      <x v="17"/>
      <x v="5"/>
      <x v="8"/>
      <x/>
    </i>
    <i t="default" r="3">
      <x v="8"/>
    </i>
    <i t="default" r="2">
      <x v="5"/>
    </i>
    <i t="default" r="1">
      <x v="17"/>
    </i>
    <i r="1">
      <x v="18"/>
      <x v="5"/>
      <x v="8"/>
      <x/>
    </i>
    <i t="default" r="3">
      <x v="8"/>
    </i>
    <i t="default" r="2">
      <x v="5"/>
    </i>
    <i t="default" r="1">
      <x v="18"/>
    </i>
    <i r="1">
      <x v="19"/>
      <x v="5"/>
      <x v="8"/>
      <x/>
    </i>
    <i t="default" r="3">
      <x v="8"/>
    </i>
    <i t="default" r="2">
      <x v="5"/>
    </i>
    <i t="default" r="1">
      <x v="19"/>
    </i>
    <i r="1">
      <x v="23"/>
      <x v="5"/>
      <x v="5"/>
      <x/>
    </i>
    <i t="default" r="3">
      <x v="5"/>
    </i>
    <i t="default" r="2">
      <x v="5"/>
    </i>
    <i t="default" r="1">
      <x v="23"/>
    </i>
    <i r="1">
      <x v="45"/>
      <x v="5"/>
      <x v="8"/>
      <x/>
    </i>
    <i t="default" r="3">
      <x v="8"/>
    </i>
    <i t="default" r="2">
      <x v="5"/>
    </i>
    <i t="default" r="1">
      <x v="45"/>
    </i>
    <i r="1">
      <x v="46"/>
      <x v="5"/>
      <x v="8"/>
      <x/>
    </i>
    <i t="default" r="3">
      <x v="8"/>
    </i>
    <i t="default" r="2">
      <x v="5"/>
    </i>
    <i t="default" r="1">
      <x v="46"/>
    </i>
    <i r="1">
      <x v="48"/>
      <x v="5"/>
      <x v="8"/>
      <x/>
    </i>
    <i t="default" r="3">
      <x v="8"/>
    </i>
    <i t="default" r="2">
      <x v="5"/>
    </i>
    <i t="default" r="1">
      <x v="48"/>
    </i>
    <i r="1">
      <x v="65"/>
      <x v="7"/>
      <x v="15"/>
      <x v="3"/>
    </i>
    <i t="default" r="3">
      <x v="15"/>
    </i>
    <i t="default" r="2">
      <x v="7"/>
    </i>
    <i t="default" r="1">
      <x v="65"/>
    </i>
    <i r="1">
      <x v="72"/>
      <x v="3"/>
      <x v="14"/>
      <x/>
    </i>
    <i t="default" r="3">
      <x v="14"/>
    </i>
    <i t="default" r="2">
      <x v="3"/>
    </i>
    <i t="default" r="1">
      <x v="72"/>
    </i>
    <i r="1">
      <x v="73"/>
      <x v="5"/>
      <x v="13"/>
      <x/>
    </i>
    <i t="default" r="3">
      <x v="13"/>
    </i>
    <i t="default" r="2">
      <x v="5"/>
    </i>
    <i t="default" r="1">
      <x v="73"/>
    </i>
    <i r="1">
      <x v="75"/>
      <x v="7"/>
      <x v="15"/>
      <x v="3"/>
    </i>
    <i t="default" r="3">
      <x v="15"/>
    </i>
    <i t="default" r="2">
      <x v="7"/>
    </i>
    <i t="default" r="1">
      <x v="75"/>
    </i>
    <i t="default">
      <x/>
    </i>
    <i>
      <x v="1"/>
      <x v="24"/>
      <x v="6"/>
      <x v="12"/>
      <x/>
    </i>
    <i t="default" r="3">
      <x v="12"/>
    </i>
    <i t="default" r="2">
      <x v="6"/>
    </i>
    <i t="default" r="1">
      <x v="24"/>
    </i>
    <i r="1">
      <x v="26"/>
      <x v="5"/>
      <x v="7"/>
      <x/>
    </i>
    <i t="default" r="3">
      <x v="7"/>
    </i>
    <i t="default" r="2">
      <x v="5"/>
    </i>
    <i t="default" r="1">
      <x v="26"/>
    </i>
    <i r="1">
      <x v="27"/>
      <x v="5"/>
      <x v="7"/>
      <x/>
    </i>
    <i t="default" r="3">
      <x v="7"/>
    </i>
    <i t="default" r="2">
      <x v="5"/>
    </i>
    <i t="default" r="1">
      <x v="27"/>
    </i>
    <i r="1">
      <x v="29"/>
      <x v="5"/>
      <x/>
      <x/>
    </i>
    <i t="default" r="3">
      <x/>
    </i>
    <i t="default" r="2">
      <x v="5"/>
    </i>
    <i t="default" r="1">
      <x v="29"/>
    </i>
    <i r="1">
      <x v="30"/>
      <x v="5"/>
      <x/>
      <x/>
    </i>
    <i t="default" r="3">
      <x/>
    </i>
    <i t="default" r="2">
      <x v="5"/>
    </i>
    <i t="default" r="1">
      <x v="30"/>
    </i>
    <i r="1">
      <x v="31"/>
      <x v="5"/>
      <x/>
      <x/>
    </i>
    <i t="default" r="3">
      <x/>
    </i>
    <i t="default" r="2">
      <x v="5"/>
    </i>
    <i t="default" r="1">
      <x v="31"/>
    </i>
    <i r="1">
      <x v="32"/>
      <x v="5"/>
      <x/>
      <x/>
    </i>
    <i t="default" r="3">
      <x/>
    </i>
    <i t="default" r="2">
      <x v="5"/>
    </i>
    <i t="default" r="1">
      <x v="32"/>
    </i>
    <i r="1">
      <x v="33"/>
      <x v="5"/>
      <x/>
      <x/>
    </i>
    <i t="default" r="3">
      <x/>
    </i>
    <i t="default" r="2">
      <x v="5"/>
    </i>
    <i t="default" r="1">
      <x v="33"/>
    </i>
    <i r="1">
      <x v="34"/>
      <x v="5"/>
      <x v="8"/>
      <x/>
    </i>
    <i t="default" r="3">
      <x v="8"/>
    </i>
    <i t="default" r="2">
      <x v="5"/>
    </i>
    <i t="default" r="1">
      <x v="34"/>
    </i>
    <i r="1">
      <x v="35"/>
      <x v="5"/>
      <x v="8"/>
      <x/>
    </i>
    <i t="default" r="3">
      <x v="8"/>
    </i>
    <i t="default" r="2">
      <x v="5"/>
    </i>
    <i t="default" r="1">
      <x v="35"/>
    </i>
    <i r="1">
      <x v="36"/>
      <x v="5"/>
      <x v="8"/>
      <x/>
    </i>
    <i t="default" r="3">
      <x v="8"/>
    </i>
    <i t="default" r="2">
      <x v="5"/>
    </i>
    <i t="default" r="1">
      <x v="36"/>
    </i>
    <i r="1">
      <x v="37"/>
      <x v="5"/>
      <x v="8"/>
      <x/>
    </i>
    <i t="default" r="3">
      <x v="8"/>
    </i>
    <i t="default" r="2">
      <x v="5"/>
    </i>
    <i t="default" r="1">
      <x v="37"/>
    </i>
    <i r="1">
      <x v="38"/>
      <x v="5"/>
      <x/>
      <x/>
    </i>
    <i t="default" r="3">
      <x/>
    </i>
    <i t="default" r="2">
      <x v="5"/>
    </i>
    <i t="default" r="1">
      <x v="38"/>
    </i>
    <i r="1">
      <x v="39"/>
      <x v="5"/>
      <x v="5"/>
      <x/>
    </i>
    <i t="default" r="3">
      <x v="5"/>
    </i>
    <i t="default" r="2">
      <x v="5"/>
    </i>
    <i t="default" r="1">
      <x v="39"/>
    </i>
    <i r="1">
      <x v="40"/>
      <x v="5"/>
      <x v="10"/>
      <x/>
    </i>
    <i t="default" r="3">
      <x v="10"/>
    </i>
    <i t="default" r="2">
      <x v="5"/>
    </i>
    <i t="default" r="1">
      <x v="40"/>
    </i>
    <i r="1">
      <x v="41"/>
      <x v="5"/>
      <x v="10"/>
      <x/>
    </i>
    <i t="default" r="3">
      <x v="10"/>
    </i>
    <i t="default" r="2">
      <x v="5"/>
    </i>
    <i t="default" r="1">
      <x v="41"/>
    </i>
    <i r="1">
      <x v="42"/>
      <x v="5"/>
      <x v="10"/>
      <x/>
    </i>
    <i t="default" r="3">
      <x v="10"/>
    </i>
    <i t="default" r="2">
      <x v="5"/>
    </i>
    <i t="default" r="1">
      <x v="42"/>
    </i>
    <i r="1">
      <x v="43"/>
      <x v="5"/>
      <x v="10"/>
      <x/>
    </i>
    <i t="default" r="3">
      <x v="10"/>
    </i>
    <i t="default" r="2">
      <x v="5"/>
    </i>
    <i t="default" r="1">
      <x v="43"/>
    </i>
    <i r="1">
      <x v="44"/>
      <x v="5"/>
      <x v="10"/>
      <x/>
    </i>
    <i t="default" r="3">
      <x v="10"/>
    </i>
    <i t="default" r="2">
      <x v="5"/>
    </i>
    <i t="default" r="1">
      <x v="44"/>
    </i>
    <i r="1">
      <x v="50"/>
      <x v="5"/>
      <x/>
      <x/>
    </i>
    <i t="default" r="3">
      <x/>
    </i>
    <i t="default" r="2">
      <x v="5"/>
    </i>
    <i t="default" r="1">
      <x v="50"/>
    </i>
    <i r="1">
      <x v="51"/>
      <x v="5"/>
      <x/>
      <x/>
    </i>
    <i t="default" r="3">
      <x/>
    </i>
    <i t="default" r="2">
      <x v="5"/>
    </i>
    <i t="default" r="1">
      <x v="51"/>
    </i>
    <i r="1">
      <x v="52"/>
      <x v="5"/>
      <x/>
      <x/>
    </i>
    <i t="default" r="3">
      <x/>
    </i>
    <i t="default" r="2">
      <x v="5"/>
    </i>
    <i t="default" r="1">
      <x v="52"/>
    </i>
    <i r="1">
      <x v="53"/>
      <x v="5"/>
      <x/>
      <x/>
    </i>
    <i t="default" r="3">
      <x/>
    </i>
    <i t="default" r="2">
      <x v="5"/>
    </i>
    <i t="default" r="1">
      <x v="53"/>
    </i>
    <i r="1">
      <x v="54"/>
      <x v="5"/>
      <x/>
      <x/>
    </i>
    <i t="default" r="3">
      <x/>
    </i>
    <i t="default" r="2">
      <x v="5"/>
    </i>
    <i t="default" r="1">
      <x v="54"/>
    </i>
    <i r="1">
      <x v="55"/>
      <x v="5"/>
      <x/>
      <x/>
    </i>
    <i t="default" r="3">
      <x/>
    </i>
    <i t="default" r="2">
      <x v="5"/>
    </i>
    <i t="default" r="1">
      <x v="55"/>
    </i>
    <i r="1">
      <x v="56"/>
      <x v="5"/>
      <x/>
      <x/>
    </i>
    <i t="default" r="3">
      <x/>
    </i>
    <i t="default" r="2">
      <x v="5"/>
    </i>
    <i t="default" r="1">
      <x v="56"/>
    </i>
    <i r="1">
      <x v="57"/>
      <x v="5"/>
      <x/>
      <x/>
    </i>
    <i t="default" r="3">
      <x/>
    </i>
    <i t="default" r="2">
      <x v="5"/>
    </i>
    <i t="default" r="1">
      <x v="57"/>
    </i>
    <i r="1">
      <x v="58"/>
      <x v="7"/>
      <x v="15"/>
      <x v="3"/>
    </i>
    <i t="default" r="3">
      <x v="15"/>
    </i>
    <i t="default" r="2">
      <x v="7"/>
    </i>
    <i t="default" r="1">
      <x v="58"/>
    </i>
    <i r="1">
      <x v="59"/>
      <x v="5"/>
      <x v="10"/>
      <x/>
    </i>
    <i t="default" r="3">
      <x v="10"/>
    </i>
    <i t="default" r="2">
      <x v="5"/>
    </i>
    <i t="default" r="1">
      <x v="59"/>
    </i>
    <i r="1">
      <x v="60"/>
      <x v="5"/>
      <x v="10"/>
      <x/>
    </i>
    <i t="default" r="3">
      <x v="10"/>
    </i>
    <i t="default" r="2">
      <x v="5"/>
    </i>
    <i t="default" r="1">
      <x v="60"/>
    </i>
    <i r="1">
      <x v="61"/>
      <x v="5"/>
      <x v="10"/>
      <x/>
    </i>
    <i t="default" r="3">
      <x v="10"/>
    </i>
    <i t="default" r="2">
      <x v="5"/>
    </i>
    <i t="default" r="1">
      <x v="61"/>
    </i>
    <i r="1">
      <x v="63"/>
      <x v="5"/>
      <x v="7"/>
      <x/>
    </i>
    <i t="default" r="3">
      <x v="7"/>
    </i>
    <i t="default" r="2">
      <x v="5"/>
    </i>
    <i t="default" r="1">
      <x v="63"/>
    </i>
    <i r="1">
      <x v="64"/>
      <x v="5"/>
      <x v="7"/>
      <x/>
    </i>
    <i t="default" r="3">
      <x v="7"/>
    </i>
    <i t="default" r="2">
      <x v="5"/>
    </i>
    <i t="default" r="1">
      <x v="64"/>
    </i>
    <i r="1">
      <x v="74"/>
      <x v="7"/>
      <x v="15"/>
      <x v="3"/>
    </i>
    <i t="default" r="3">
      <x v="15"/>
    </i>
    <i t="default" r="2">
      <x v="7"/>
    </i>
    <i t="default" r="1">
      <x v="74"/>
    </i>
    <i r="1">
      <x v="76"/>
      <x v="7"/>
      <x v="15"/>
      <x v="3"/>
    </i>
    <i t="default" r="3">
      <x v="15"/>
    </i>
    <i t="default" r="2">
      <x v="7"/>
    </i>
    <i t="default" r="1">
      <x v="76"/>
    </i>
    <i t="default">
      <x v="1"/>
    </i>
    <i>
      <x v="2"/>
      <x v="13"/>
      <x v="4"/>
      <x v="9"/>
      <x/>
    </i>
    <i t="default" r="3">
      <x v="9"/>
    </i>
    <i t="default" r="2">
      <x v="4"/>
    </i>
    <i t="default" r="1">
      <x v="13"/>
    </i>
    <i r="1">
      <x v="14"/>
      <x v="5"/>
      <x v="8"/>
      <x/>
    </i>
    <i t="default" r="3">
      <x v="8"/>
    </i>
    <i t="default" r="2">
      <x v="5"/>
    </i>
    <i t="default" r="1">
      <x v="14"/>
    </i>
    <i r="1">
      <x v="20"/>
      <x v="1"/>
      <x v="1"/>
      <x/>
    </i>
    <i t="default" r="3">
      <x v="1"/>
    </i>
    <i t="default" r="2">
      <x v="1"/>
    </i>
    <i t="default" r="1">
      <x v="20"/>
    </i>
    <i r="1">
      <x v="21"/>
      <x v="5"/>
      <x v="8"/>
      <x/>
    </i>
    <i t="default" r="3">
      <x v="8"/>
    </i>
    <i t="default" r="2">
      <x v="5"/>
    </i>
    <i t="default" r="1">
      <x v="21"/>
    </i>
    <i r="1">
      <x v="22"/>
      <x v="5"/>
      <x v="5"/>
      <x/>
    </i>
    <i t="default" r="3">
      <x v="5"/>
    </i>
    <i t="default" r="2">
      <x v="5"/>
    </i>
    <i t="default" r="1">
      <x v="22"/>
    </i>
    <i r="1">
      <x v="25"/>
      <x v="5"/>
      <x v="7"/>
      <x/>
    </i>
    <i t="default" r="3">
      <x v="7"/>
    </i>
    <i t="default" r="2">
      <x v="5"/>
    </i>
    <i t="default" r="1">
      <x v="25"/>
    </i>
    <i r="1">
      <x v="28"/>
      <x v="5"/>
      <x v="8"/>
      <x/>
    </i>
    <i t="default" r="3">
      <x v="8"/>
    </i>
    <i t="default" r="2">
      <x v="5"/>
    </i>
    <i t="default" r="1">
      <x v="28"/>
    </i>
    <i r="1">
      <x v="47"/>
      <x v="5"/>
      <x v="7"/>
      <x/>
    </i>
    <i t="default" r="3">
      <x v="7"/>
    </i>
    <i t="default" r="2">
      <x v="5"/>
    </i>
    <i t="default" r="1">
      <x v="47"/>
    </i>
    <i r="1">
      <x v="49"/>
      <x v="5"/>
      <x v="8"/>
      <x/>
    </i>
    <i t="default" r="3">
      <x v="8"/>
    </i>
    <i t="default" r="2">
      <x v="5"/>
    </i>
    <i t="default" r="1">
      <x v="49"/>
    </i>
    <i r="1">
      <x v="62"/>
      <x v="5"/>
      <x v="8"/>
      <x/>
    </i>
    <i t="default" r="3">
      <x v="8"/>
    </i>
    <i t="default" r="2">
      <x v="5"/>
    </i>
    <i t="default" r="1">
      <x v="62"/>
    </i>
    <i r="1">
      <x v="66"/>
      <x v="1"/>
      <x v="1"/>
      <x/>
    </i>
    <i t="default" r="3">
      <x v="1"/>
    </i>
    <i t="default" r="2">
      <x v="1"/>
    </i>
    <i t="default" r="1">
      <x v="66"/>
    </i>
    <i r="1">
      <x v="67"/>
      <x v="3"/>
      <x v="2"/>
      <x/>
    </i>
    <i t="default" r="3">
      <x v="2"/>
    </i>
    <i t="default" r="2">
      <x v="3"/>
    </i>
    <i t="default" r="1">
      <x v="67"/>
    </i>
    <i r="1">
      <x v="68"/>
      <x v="3"/>
      <x v="11"/>
      <x/>
    </i>
    <i t="default" r="3">
      <x v="11"/>
    </i>
    <i t="default" r="2">
      <x v="3"/>
    </i>
    <i t="default" r="1">
      <x v="68"/>
    </i>
    <i r="1">
      <x v="69"/>
      <x v="2"/>
      <x v="6"/>
      <x/>
    </i>
    <i t="default" r="3">
      <x v="6"/>
    </i>
    <i t="default" r="2">
      <x v="2"/>
    </i>
    <i t="default" r="1">
      <x v="69"/>
    </i>
    <i r="1">
      <x v="70"/>
      <x v="2"/>
      <x v="4"/>
      <x/>
    </i>
    <i t="default" r="3">
      <x v="4"/>
    </i>
    <i t="default" r="2">
      <x v="2"/>
    </i>
    <i t="default" r="1">
      <x v="70"/>
    </i>
    <i r="1">
      <x v="71"/>
      <x v="3"/>
      <x v="14"/>
      <x/>
    </i>
    <i t="default" r="3">
      <x v="14"/>
    </i>
    <i t="default" r="2">
      <x v="3"/>
    </i>
    <i t="default" r="1">
      <x v="71"/>
    </i>
    <i t="default">
      <x v="2"/>
    </i>
    <i>
      <x v="3"/>
      <x v="77"/>
      <x v="7"/>
      <x v="15"/>
      <x v="3"/>
    </i>
    <i t="default" r="3">
      <x v="15"/>
    </i>
    <i t="default" r="2">
      <x v="7"/>
    </i>
    <i t="default" r="1">
      <x v="77"/>
    </i>
    <i t="default">
      <x v="3"/>
    </i>
    <i t="grand">
      <x/>
    </i>
  </colItems>
  <pageFields count="1">
    <pageField fld="6" hier="0"/>
  </pageFields>
  <dataFields count="1">
    <dataField name="Count of Code" fld="1" subtotal="count" baseField="0" baseItem="0"/>
  </dataFields>
  <chartFormats count="1">
    <chartFormat chart="0" format="0" series="1">
      <pivotArea type="data" outline="0" fieldPosition="0">
        <references count="6">
          <reference field="4294967294" count="1" selected="0">
            <x v="0"/>
          </reference>
          <reference field="1" count="1" selected="0">
            <x v="77"/>
          </reference>
          <reference field="2" count="1" selected="0">
            <x v="3"/>
          </reference>
          <reference field="7" count="1" selected="0">
            <x v="7"/>
          </reference>
          <reference field="8" count="1" selected="0">
            <x v="15"/>
          </reference>
          <reference field="9" count="1" selected="0">
            <x v="3"/>
          </reference>
        </references>
      </pivotArea>
    </chartFormat>
  </chartFormats>
  <pivotTableStyleInfo showRowHeaders="1" showColHeaders="1" showRowStripes="0" showColStripes="0" showLastColumn="1"/>
</pivotTableDefinition>
</file>

<file path=xl/pivotTables/pivotTable3.xml><?xml version="1.0" encoding="utf-8"?>
<pivotTableDefinition xmlns="http://schemas.openxmlformats.org/spreadsheetml/2006/main" name="PivotTable1" cacheId="94" dataOnRows="1" applyNumberFormats="0" applyBorderFormats="0" applyFontFormats="0" applyPatternFormats="0" applyAlignmentFormats="0" applyWidthHeightFormats="1" dataCaption="Data" updatedVersion="4" minRefreshableVersion="3" asteriskTotals="1" showDrill="0" showMemberPropertyTips="0" rowGrandTotals="0" itemPrintTitles="1" createdVersion="3" indent="0" compact="0" compactData="0" gridDropZones="1">
  <location ref="A2:G21" firstHeaderRow="2" firstDataRow="2" firstDataCol="6"/>
  <pivotFields count="11">
    <pivotField axis="axisRow" compact="0" outline="0" subtotalTop="0" showAll="0" includeNewItemsInFilter="1" sortType="ascending" rankBy="0" defaultSubtotal="0">
      <items count="58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s>
    </pivotField>
    <pivotField axis="axisRow" compact="0" outline="0" subtotalTop="0" showAll="0" includeNewItemsInFilter="1" sortType="ascending" rankBy="0" defaultSubtotal="0">
      <items count="411">
        <item x="395"/>
        <item x="48"/>
        <item x="2"/>
        <item x="9"/>
        <item x="49"/>
        <item x="26"/>
        <item x="362"/>
        <item x="206"/>
        <item x="234"/>
        <item x="305"/>
        <item x="223"/>
        <item x="239"/>
        <item x="304"/>
        <item x="233"/>
        <item x="306"/>
        <item x="232"/>
        <item x="201"/>
        <item x="66"/>
        <item x="27"/>
        <item x="354"/>
        <item x="355"/>
        <item x="244"/>
        <item x="245"/>
        <item x="316"/>
        <item x="352"/>
        <item x="317"/>
        <item x="318"/>
        <item x="319"/>
        <item x="357"/>
        <item x="391"/>
        <item x="380"/>
        <item x="381"/>
        <item x="390"/>
        <item x="229"/>
        <item x="114"/>
        <item x="120"/>
        <item x="97"/>
        <item x="224"/>
        <item x="275"/>
        <item x="313"/>
        <item x="312"/>
        <item x="0"/>
        <item x="15"/>
        <item x="266"/>
        <item x="40"/>
        <item x="59"/>
        <item x="57"/>
        <item x="30"/>
        <item x="176"/>
        <item x="361"/>
        <item x="315"/>
        <item x="367"/>
        <item x="333"/>
        <item x="374"/>
        <item x="121"/>
        <item x="96"/>
        <item x="400"/>
        <item x="273"/>
        <item x="314"/>
        <item x="279"/>
        <item x="276"/>
        <item x="277"/>
        <item x="278"/>
        <item x="310"/>
        <item x="136"/>
        <item x="205"/>
        <item x="135"/>
        <item x="179"/>
        <item x="372"/>
        <item x="207"/>
        <item x="214"/>
        <item x="92"/>
        <item x="386"/>
        <item x="262"/>
        <item x="81"/>
        <item x="264"/>
        <item x="84"/>
        <item x="228"/>
        <item x="177"/>
        <item x="178"/>
        <item x="371"/>
        <item x="83"/>
        <item x="73"/>
        <item x="79"/>
        <item x="65"/>
        <item x="69"/>
        <item x="265"/>
        <item x="134"/>
        <item x="90"/>
        <item x="208"/>
        <item x="137"/>
        <item x="91"/>
        <item x="133"/>
        <item x="131"/>
        <item x="89"/>
        <item x="130"/>
        <item x="37"/>
        <item x="107"/>
        <item x="138"/>
        <item x="127"/>
        <item x="213"/>
        <item x="95"/>
        <item x="378"/>
        <item x="210"/>
        <item x="85"/>
        <item x="143"/>
        <item x="144"/>
        <item x="99"/>
        <item x="44"/>
        <item x="6"/>
        <item x="11"/>
        <item x="53"/>
        <item x="31"/>
        <item x="32"/>
        <item x="377"/>
        <item x="94"/>
        <item x="211"/>
        <item x="212"/>
        <item x="209"/>
        <item x="392"/>
        <item x="20"/>
        <item x="243"/>
        <item x="257"/>
        <item x="174"/>
        <item x="394"/>
        <item x="123"/>
        <item x="124"/>
        <item x="98"/>
        <item x="271"/>
        <item x="140"/>
        <item x="139"/>
        <item x="142"/>
        <item x="141"/>
        <item x="261"/>
        <item x="351"/>
        <item x="356"/>
        <item x="24"/>
        <item x="23"/>
        <item x="22"/>
        <item x="375"/>
        <item x="217"/>
        <item x="216"/>
        <item x="219"/>
        <item x="215"/>
        <item x="364"/>
        <item x="21"/>
        <item x="42"/>
        <item x="4"/>
        <item x="16"/>
        <item x="51"/>
        <item x="19"/>
        <item x="369"/>
        <item x="242"/>
        <item x="260"/>
        <item x="258"/>
        <item x="132"/>
        <item x="61"/>
        <item x="253"/>
        <item x="256"/>
        <item x="388"/>
        <item x="350"/>
        <item x="410"/>
        <item x="365"/>
        <item x="403"/>
        <item x="408"/>
        <item x="409"/>
        <item x="259"/>
        <item x="393"/>
        <item x="161"/>
        <item x="180"/>
        <item x="328"/>
        <item x="270"/>
        <item x="272"/>
        <item x="267"/>
        <item x="226"/>
        <item x="309"/>
        <item x="268"/>
        <item x="269"/>
        <item x="1"/>
        <item x="10"/>
        <item x="25"/>
        <item x="292"/>
        <item x="283"/>
        <item x="284"/>
        <item x="291"/>
        <item x="287"/>
        <item x="288"/>
        <item x="285"/>
        <item x="289"/>
        <item x="290"/>
        <item x="286"/>
        <item x="407"/>
        <item x="402"/>
        <item x="401"/>
        <item x="399"/>
        <item x="227"/>
        <item x="396"/>
        <item x="252"/>
        <item x="251"/>
        <item x="60"/>
        <item x="129"/>
        <item x="406"/>
        <item x="237"/>
        <item x="128"/>
        <item x="235"/>
        <item x="274"/>
        <item x="311"/>
        <item x="230"/>
        <item x="109"/>
        <item x="111"/>
        <item x="33"/>
        <item x="34"/>
        <item x="35"/>
        <item x="36"/>
        <item x="113"/>
        <item x="46"/>
        <item x="8"/>
        <item x="13"/>
        <item x="55"/>
        <item x="39"/>
        <item x="110"/>
        <item x="108"/>
        <item x="29"/>
        <item x="222"/>
        <item x="225"/>
        <item x="82"/>
        <item x="162"/>
        <item x="126"/>
        <item x="125"/>
        <item x="241"/>
        <item x="240"/>
        <item x="199"/>
        <item x="195"/>
        <item x="93"/>
        <item x="145"/>
        <item x="117"/>
        <item x="200"/>
        <item x="196"/>
        <item x="198"/>
        <item x="194"/>
        <item x="112"/>
        <item x="197"/>
        <item x="193"/>
        <item x="382"/>
        <item x="218"/>
        <item x="188"/>
        <item x="187"/>
        <item x="189"/>
        <item x="116"/>
        <item x="118"/>
        <item x="115"/>
        <item x="191"/>
        <item x="190"/>
        <item x="192"/>
        <item x="185"/>
        <item x="184"/>
        <item x="186"/>
        <item x="182"/>
        <item x="181"/>
        <item x="183"/>
        <item x="202"/>
        <item x="119"/>
        <item x="296"/>
        <item x="297"/>
        <item x="302"/>
        <item x="303"/>
        <item x="301"/>
        <item x="298"/>
        <item x="299"/>
        <item x="300"/>
        <item x="246"/>
        <item x="308"/>
        <item x="247"/>
        <item x="248"/>
        <item x="307"/>
        <item x="249"/>
        <item x="340"/>
        <item x="341"/>
        <item x="342"/>
        <item x="250"/>
        <item x="373"/>
        <item x="221"/>
        <item x="370"/>
        <item x="47"/>
        <item x="18"/>
        <item x="56"/>
        <item x="45"/>
        <item x="7"/>
        <item x="12"/>
        <item x="54"/>
        <item x="63"/>
        <item x="67"/>
        <item x="64"/>
        <item x="68"/>
        <item x="38"/>
        <item x="106"/>
        <item x="71"/>
        <item x="104"/>
        <item x="101"/>
        <item x="77"/>
        <item x="72"/>
        <item x="105"/>
        <item x="102"/>
        <item x="78"/>
        <item x="75"/>
        <item x="88"/>
        <item x="87"/>
        <item x="330"/>
        <item x="331"/>
        <item x="332"/>
        <item x="203"/>
        <item x="376"/>
        <item x="122"/>
        <item x="70"/>
        <item x="41"/>
        <item x="3"/>
        <item x="14"/>
        <item x="50"/>
        <item x="74"/>
        <item x="62"/>
        <item x="103"/>
        <item x="100"/>
        <item x="76"/>
        <item x="353"/>
        <item x="366"/>
        <item x="334"/>
        <item x="335"/>
        <item x="336"/>
        <item x="160"/>
        <item x="320"/>
        <item x="43"/>
        <item x="5"/>
        <item x="17"/>
        <item x="52"/>
        <item x="358"/>
        <item x="359"/>
        <item x="326"/>
        <item x="168"/>
        <item x="166"/>
        <item x="167"/>
        <item x="173"/>
        <item x="175"/>
        <item x="164"/>
        <item x="172"/>
        <item x="169"/>
        <item x="170"/>
        <item x="165"/>
        <item x="171"/>
        <item x="294"/>
        <item x="293"/>
        <item x="295"/>
        <item x="397"/>
        <item x="389"/>
        <item x="343"/>
        <item x="280"/>
        <item x="282"/>
        <item x="281"/>
        <item x="263"/>
        <item x="254"/>
        <item x="337"/>
        <item x="338"/>
        <item x="339"/>
        <item x="255"/>
        <item x="384"/>
        <item x="383"/>
        <item x="231"/>
        <item x="28"/>
        <item x="363"/>
        <item x="329"/>
        <item x="159"/>
        <item x="387"/>
        <item x="86"/>
        <item x="368"/>
        <item x="238"/>
        <item x="236"/>
        <item x="220"/>
        <item x="327"/>
        <item x="360"/>
        <item x="321"/>
        <item x="322"/>
        <item x="325"/>
        <item x="323"/>
        <item x="324"/>
        <item x="344"/>
        <item x="346"/>
        <item x="345"/>
        <item x="347"/>
        <item x="349"/>
        <item x="348"/>
        <item x="405"/>
        <item x="404"/>
        <item x="398"/>
        <item x="58"/>
        <item x="80"/>
        <item x="379"/>
        <item x="204"/>
        <item x="385"/>
        <item x="148"/>
        <item x="155"/>
        <item x="152"/>
        <item x="146"/>
        <item x="153"/>
        <item x="156"/>
        <item x="150"/>
        <item x="151"/>
        <item x="158"/>
        <item x="157"/>
        <item x="149"/>
        <item x="154"/>
        <item x="147"/>
        <item x="163"/>
      </items>
    </pivotField>
    <pivotField compact="0" outline="0" subtotalTop="0" showAll="0" includeNewItemsInFilter="1"/>
    <pivotField axis="axisRow" compact="0" outline="0" subtotalTop="0" showAll="0" insertBlankRow="1" includeNewItemsInFilter="1" sortType="ascending" rankBy="0">
      <items count="10">
        <item sd="0" x="1"/>
        <item n="Barcode/Racks" sd="0" x="5"/>
        <item sd="0" x="4"/>
        <item sd="0" x="6"/>
        <item sd="0" x="7"/>
        <item sd="0" x="2"/>
        <item sd="0" x="8"/>
        <item sd="0" x="0"/>
        <item sd="0" x="3"/>
        <item t="default" sd="0"/>
      </items>
    </pivotField>
    <pivotField axis="axisRow" compact="0" outline="0" subtotalTop="0" showAll="0" includeNewItemsInFilter="1" sortType="ascending" rankBy="0">
      <items count="28">
        <item x="25"/>
        <item x="18"/>
        <item x="20"/>
        <item x="1"/>
        <item x="9"/>
        <item x="12"/>
        <item x="8"/>
        <item x="6"/>
        <item x="14"/>
        <item x="3"/>
        <item x="4"/>
        <item x="23"/>
        <item x="16"/>
        <item x="21"/>
        <item x="22"/>
        <item x="19"/>
        <item x="24"/>
        <item x="7"/>
        <item x="15"/>
        <item x="10"/>
        <item x="17"/>
        <item x="0"/>
        <item x="2"/>
        <item x="5"/>
        <item x="26"/>
        <item x="13"/>
        <item x="11"/>
        <item t="default"/>
      </items>
    </pivotField>
    <pivotField compact="0" outline="0" subtotalTop="0" showAll="0" includeNewItemsInFilter="1"/>
    <pivotField compact="0" outline="0" subtotalTop="0" showAll="0" includeNewItemsInFilter="1"/>
    <pivotField compact="0" outline="0" subtotalTop="0" showAll="0" includeNewItemsInFilter="1"/>
    <pivotField axis="axisRow" compact="0" outline="0" subtotalTop="0" showAll="0" includeNewItemsInFilter="1" defaultSubtotal="0">
      <items count="29">
        <item x="0"/>
        <item x="1"/>
        <item x="2"/>
        <item x="3"/>
        <item x="4"/>
        <item x="5"/>
        <item x="6"/>
        <item x="7"/>
        <item x="8"/>
        <item x="9"/>
        <item x="10"/>
        <item x="11"/>
        <item x="12"/>
        <item x="13"/>
        <item x="14"/>
        <item x="15"/>
        <item x="16"/>
        <item x="17"/>
        <item x="18"/>
        <item x="19"/>
        <item x="20"/>
        <item x="21"/>
        <item x="22"/>
        <item x="23"/>
        <item x="24"/>
        <item x="25"/>
        <item x="26"/>
        <item x="27"/>
        <item x="28"/>
      </items>
    </pivotField>
    <pivotField axis="axisRow" compact="0" outline="0" subtotalTop="0" showAll="0" includeNewItemsInFilter="1" rankBy="0" defaultSubtotal="0">
      <items count="6">
        <item x="1"/>
        <item x="2"/>
        <item x="4"/>
        <item x="3"/>
        <item x="0"/>
        <item x="5"/>
      </items>
    </pivotField>
    <pivotField dataField="1" compact="0" outline="0" subtotalTop="0" showAll="0" includeNewItemsInFilter="1"/>
  </pivotFields>
  <rowFields count="6">
    <field x="3"/>
    <field x="4"/>
    <field x="0"/>
    <field x="1"/>
    <field x="8"/>
    <field x="9"/>
  </rowFields>
  <rowItems count="18">
    <i>
      <x/>
    </i>
    <i t="blank">
      <x/>
    </i>
    <i>
      <x v="1"/>
    </i>
    <i t="blank">
      <x v="1"/>
    </i>
    <i>
      <x v="2"/>
    </i>
    <i t="blank">
      <x v="2"/>
    </i>
    <i>
      <x v="3"/>
    </i>
    <i t="blank">
      <x v="3"/>
    </i>
    <i>
      <x v="4"/>
    </i>
    <i t="blank">
      <x v="4"/>
    </i>
    <i>
      <x v="5"/>
    </i>
    <i t="blank">
      <x v="5"/>
    </i>
    <i>
      <x v="6"/>
    </i>
    <i t="blank">
      <x v="6"/>
    </i>
    <i>
      <x v="7"/>
    </i>
    <i t="blank">
      <x v="7"/>
    </i>
    <i>
      <x v="8"/>
    </i>
    <i t="blank">
      <x v="8"/>
    </i>
  </rowItems>
  <colItems count="1">
    <i/>
  </colItems>
  <dataFields count="1">
    <dataField name="Sum of Total Weight" fld="10" baseField="0" baseItem="0"/>
  </dataFields>
  <formats count="752">
    <format dxfId="838">
      <pivotArea field="3" type="button" dataOnly="0" labelOnly="1" outline="0" axis="axisRow" fieldPosition="0"/>
    </format>
    <format dxfId="837">
      <pivotArea field="3" type="button" dataOnly="0" labelOnly="1" outline="0" axis="axisRow" fieldPosition="0"/>
    </format>
    <format dxfId="836">
      <pivotArea field="4" type="button" dataOnly="0" labelOnly="1" outline="0" axis="axisRow" fieldPosition="1"/>
    </format>
    <format dxfId="835">
      <pivotArea field="0" type="button" dataOnly="0" labelOnly="1" outline="0" axis="axisRow" fieldPosition="2"/>
    </format>
    <format dxfId="834">
      <pivotArea field="1" type="button" dataOnly="0" labelOnly="1" outline="0" axis="axisRow" fieldPosition="3"/>
    </format>
    <format dxfId="833">
      <pivotArea field="8" type="button" dataOnly="0" labelOnly="1" outline="0" axis="axisRow" fieldPosition="4"/>
    </format>
    <format dxfId="832">
      <pivotArea outline="0" fieldPosition="0"/>
    </format>
    <format dxfId="831">
      <pivotArea type="topRight" dataOnly="0" labelOnly="1" outline="0" fieldPosition="0"/>
    </format>
    <format dxfId="830">
      <pivotArea field="9" type="button" dataOnly="0" labelOnly="1" outline="0" axis="axisRow" fieldPosition="5"/>
    </format>
    <format dxfId="829">
      <pivotArea field="0" type="button" dataOnly="0" labelOnly="1" outline="0" axis="axisRow" fieldPosition="2"/>
    </format>
    <format dxfId="828">
      <pivotArea field="8" type="button" dataOnly="0" labelOnly="1" outline="0" axis="axisRow" fieldPosition="4"/>
    </format>
    <format dxfId="827">
      <pivotArea type="origin" dataOnly="0" labelOnly="1" outline="0" fieldPosition="0"/>
    </format>
    <format dxfId="826">
      <pivotArea field="3" type="button" dataOnly="0" labelOnly="1" outline="0" axis="axisRow" fieldPosition="0"/>
    </format>
    <format dxfId="825">
      <pivotArea outline="0" fieldPosition="0">
        <references count="1">
          <reference field="3" count="1" selected="0">
            <x v="1"/>
          </reference>
        </references>
      </pivotArea>
    </format>
    <format dxfId="824">
      <pivotArea outline="0" fieldPosition="0">
        <references count="1">
          <reference field="3" count="1" selected="0">
            <x v="2"/>
          </reference>
        </references>
      </pivotArea>
    </format>
    <format dxfId="823">
      <pivotArea outline="0" fieldPosition="0"/>
    </format>
    <format dxfId="822">
      <pivotArea dataOnly="0" labelOnly="1" outline="0" fieldPosition="0">
        <references count="1">
          <reference field="3" count="0"/>
        </references>
      </pivotArea>
    </format>
    <format dxfId="821">
      <pivotArea dataOnly="0" labelOnly="1" grandRow="1" outline="0" fieldPosition="0"/>
    </format>
    <format dxfId="820">
      <pivotArea outline="0" fieldPosition="0">
        <references count="1">
          <reference field="3" count="1" selected="0">
            <x v="0"/>
          </reference>
        </references>
      </pivotArea>
    </format>
    <format dxfId="819">
      <pivotArea type="all" dataOnly="0" outline="0" fieldPosition="0"/>
    </format>
    <format dxfId="818">
      <pivotArea outline="0" fieldPosition="0">
        <references count="3">
          <reference field="0" count="1" selected="0">
            <x v="238"/>
          </reference>
          <reference field="3" count="1" selected="0">
            <x v="4"/>
          </reference>
          <reference field="4" count="1" selected="0">
            <x v="15"/>
          </reference>
        </references>
      </pivotArea>
    </format>
    <format dxfId="817">
      <pivotArea outline="0" fieldPosition="0">
        <references count="3">
          <reference field="0" count="1" selected="0">
            <x v="1"/>
          </reference>
          <reference field="3" count="1" selected="0">
            <x v="7"/>
          </reference>
          <reference field="4" count="1" selected="0">
            <x v="21"/>
          </reference>
        </references>
      </pivotArea>
    </format>
    <format dxfId="816">
      <pivotArea type="topRight" dataOnly="0" labelOnly="1" outline="0" fieldPosition="0"/>
    </format>
    <format dxfId="815">
      <pivotArea type="topRight" dataOnly="0" labelOnly="1" outline="0" fieldPosition="0"/>
    </format>
    <format dxfId="814">
      <pivotArea outline="0" fieldPosition="0">
        <references count="3">
          <reference field="0" count="1" selected="0">
            <x v="156"/>
          </reference>
          <reference field="3" count="1" selected="0">
            <x v="0"/>
          </reference>
          <reference field="4" count="1" selected="0">
            <x v="6"/>
          </reference>
        </references>
      </pivotArea>
    </format>
    <format dxfId="813">
      <pivotArea outline="0" fieldPosition="0">
        <references count="3">
          <reference field="0" count="1" selected="0">
            <x v="342"/>
          </reference>
          <reference field="3" count="1" selected="0">
            <x v="0"/>
          </reference>
          <reference field="4" count="1" selected="0">
            <x v="25"/>
          </reference>
        </references>
      </pivotArea>
    </format>
    <format dxfId="812">
      <pivotArea outline="0" fieldPosition="0">
        <references count="3">
          <reference field="0" count="1" selected="0">
            <x v="264"/>
          </reference>
          <reference field="3" count="1" selected="0">
            <x v="2"/>
          </reference>
          <reference field="4" count="1" selected="0">
            <x v="8"/>
          </reference>
        </references>
      </pivotArea>
    </format>
    <format dxfId="811">
      <pivotArea outline="0" fieldPosition="0">
        <references count="2">
          <reference field="3" count="1" selected="0">
            <x v="2"/>
          </reference>
          <reference field="4" count="1" selected="0" defaultSubtotal="1">
            <x v="8"/>
          </reference>
        </references>
      </pivotArea>
    </format>
    <format dxfId="810">
      <pivotArea outline="0" fieldPosition="0">
        <references count="3">
          <reference field="0" count="1" selected="0">
            <x v="346"/>
          </reference>
          <reference field="3" count="1" selected="0">
            <x v="4"/>
          </reference>
          <reference field="4" count="1" selected="0">
            <x v="2"/>
          </reference>
        </references>
      </pivotArea>
    </format>
    <format dxfId="809">
      <pivotArea outline="0" fieldPosition="0">
        <references count="3">
          <reference field="0" count="1" selected="0">
            <x v="352"/>
          </reference>
          <reference field="3" count="1" selected="0">
            <x v="4"/>
          </reference>
          <reference field="4" count="1" selected="0">
            <x v="2"/>
          </reference>
        </references>
      </pivotArea>
    </format>
    <format dxfId="808">
      <pivotArea outline="0" fieldPosition="0">
        <references count="3">
          <reference field="0" count="1" selected="0">
            <x v="353"/>
          </reference>
          <reference field="3" count="1" selected="0">
            <x v="4"/>
          </reference>
          <reference field="4" count="1" selected="0">
            <x v="2"/>
          </reference>
        </references>
      </pivotArea>
    </format>
    <format dxfId="807">
      <pivotArea outline="0" fieldPosition="0">
        <references count="3">
          <reference field="0" count="1" selected="0">
            <x v="247"/>
          </reference>
          <reference field="3" count="1" selected="0">
            <x v="2"/>
          </reference>
          <reference field="4" count="1" selected="0">
            <x v="20"/>
          </reference>
        </references>
      </pivotArea>
    </format>
    <format dxfId="806">
      <pivotArea outline="0" fieldPosition="0">
        <references count="3">
          <reference field="0" count="1" selected="0">
            <x v="348"/>
          </reference>
          <reference field="3" count="1" selected="0">
            <x v="4"/>
          </reference>
          <reference field="4" count="1" selected="0">
            <x v="2"/>
          </reference>
        </references>
      </pivotArea>
    </format>
    <format dxfId="805">
      <pivotArea outline="0" fieldPosition="0">
        <references count="3">
          <reference field="0" count="1" selected="0">
            <x v="286"/>
          </reference>
          <reference field="3" count="1" selected="0">
            <x v="0"/>
          </reference>
          <reference field="4" count="1" selected="0">
            <x v="25"/>
          </reference>
        </references>
      </pivotArea>
    </format>
    <format dxfId="804">
      <pivotArea outline="0" fieldPosition="0">
        <references count="3">
          <reference field="0" count="1" selected="0">
            <x v="293"/>
          </reference>
          <reference field="3" count="1" selected="0">
            <x v="0"/>
          </reference>
          <reference field="4" count="1" selected="0">
            <x v="25"/>
          </reference>
        </references>
      </pivotArea>
    </format>
    <format dxfId="803">
      <pivotArea outline="0" fieldPosition="0">
        <references count="3">
          <reference field="0" count="1" selected="0">
            <x v="306"/>
          </reference>
          <reference field="3" count="1" selected="0">
            <x v="0"/>
          </reference>
          <reference field="4" count="1" selected="0">
            <x v="25"/>
          </reference>
        </references>
      </pivotArea>
    </format>
    <format dxfId="802">
      <pivotArea outline="0" fieldPosition="0">
        <references count="3">
          <reference field="0" count="1" selected="0">
            <x v="341"/>
          </reference>
          <reference field="3" count="1" selected="0">
            <x v="0"/>
          </reference>
          <reference field="4" count="1" selected="0">
            <x v="25"/>
          </reference>
        </references>
      </pivotArea>
    </format>
    <format dxfId="801">
      <pivotArea outline="0" fieldPosition="0">
        <references count="2">
          <reference field="3" count="1" selected="0">
            <x v="0"/>
          </reference>
          <reference field="4" count="1" selected="0" defaultSubtotal="1">
            <x v="25"/>
          </reference>
        </references>
      </pivotArea>
    </format>
    <format dxfId="800">
      <pivotArea outline="0" fieldPosition="0">
        <references count="3">
          <reference field="0" count="1" selected="0">
            <x v="203"/>
          </reference>
          <reference field="3" count="1" selected="0">
            <x v="2"/>
          </reference>
          <reference field="4" count="1" selected="0">
            <x v="20"/>
          </reference>
        </references>
      </pivotArea>
    </format>
    <format dxfId="799">
      <pivotArea outline="0" fieldPosition="0">
        <references count="3">
          <reference field="0" count="1" selected="0">
            <x v="369"/>
          </reference>
          <reference field="3" count="1" selected="0">
            <x v="3"/>
          </reference>
          <reference field="4" count="1" selected="0">
            <x v="26"/>
          </reference>
        </references>
      </pivotArea>
    </format>
    <format dxfId="798">
      <pivotArea outline="0" fieldPosition="0">
        <references count="2">
          <reference field="3" count="1" selected="0">
            <x v="3"/>
          </reference>
          <reference field="4" count="1" selected="0" defaultSubtotal="1">
            <x v="26"/>
          </reference>
        </references>
      </pivotArea>
    </format>
    <format dxfId="797">
      <pivotArea outline="0" fieldPosition="0">
        <references count="3">
          <reference field="0" count="1" selected="0">
            <x v="351"/>
          </reference>
          <reference field="3" count="1" selected="0">
            <x v="4"/>
          </reference>
          <reference field="4" count="1" selected="0">
            <x v="2"/>
          </reference>
        </references>
      </pivotArea>
    </format>
    <format dxfId="796">
      <pivotArea outline="0" fieldPosition="0">
        <references count="3">
          <reference field="0" count="1" selected="0">
            <x v="354"/>
          </reference>
          <reference field="3" count="1" selected="0">
            <x v="4"/>
          </reference>
          <reference field="4" count="1" selected="0">
            <x v="2"/>
          </reference>
        </references>
      </pivotArea>
    </format>
    <format dxfId="795">
      <pivotArea outline="0" fieldPosition="0">
        <references count="3">
          <reference field="0" count="1" selected="0">
            <x v="24"/>
          </reference>
          <reference field="3" count="1" selected="0">
            <x v="7"/>
          </reference>
          <reference field="4" count="1" selected="0">
            <x v="21"/>
          </reference>
        </references>
      </pivotArea>
    </format>
    <format dxfId="794">
      <pivotArea outline="0" fieldPosition="0">
        <references count="3">
          <reference field="0" count="1" selected="0">
            <x v="77"/>
          </reference>
          <reference field="3" count="1" selected="0">
            <x v="0"/>
          </reference>
          <reference field="4" count="1" selected="0">
            <x v="3"/>
          </reference>
        </references>
      </pivotArea>
    </format>
    <format dxfId="793">
      <pivotArea outline="0" fieldPosition="0">
        <references count="3">
          <reference field="0" count="1" selected="0">
            <x v="155"/>
          </reference>
          <reference field="3" count="1" selected="0">
            <x v="0"/>
          </reference>
          <reference field="4" count="1" selected="0">
            <x v="6"/>
          </reference>
        </references>
      </pivotArea>
    </format>
    <format dxfId="792">
      <pivotArea outline="0" fieldPosition="0">
        <references count="3">
          <reference field="0" count="1" selected="0">
            <x v="205"/>
          </reference>
          <reference field="3" count="1" selected="0">
            <x v="1"/>
          </reference>
          <reference field="4" count="1" selected="0">
            <x v="1"/>
          </reference>
        </references>
      </pivotArea>
    </format>
    <format dxfId="791">
      <pivotArea outline="0" fieldPosition="0">
        <references count="3">
          <reference field="0" count="1" selected="0">
            <x v="190"/>
          </reference>
          <reference field="3" count="1" selected="0">
            <x v="2"/>
          </reference>
          <reference field="4" count="1" selected="0">
            <x v="12"/>
          </reference>
        </references>
      </pivotArea>
    </format>
    <format dxfId="790">
      <pivotArea outline="0" fieldPosition="0">
        <references count="2">
          <reference field="3" count="1" selected="0">
            <x v="2"/>
          </reference>
          <reference field="4" count="1" selected="0" defaultSubtotal="1">
            <x v="12"/>
          </reference>
        </references>
      </pivotArea>
    </format>
    <format dxfId="789">
      <pivotArea outline="0" fieldPosition="0">
        <references count="3">
          <reference field="0" count="1" selected="0">
            <x v="198"/>
          </reference>
          <reference field="3" count="1" selected="0">
            <x v="2"/>
          </reference>
          <reference field="4" count="1" selected="0">
            <x v="20"/>
          </reference>
        </references>
      </pivotArea>
    </format>
    <format dxfId="788">
      <pivotArea outline="0" fieldPosition="0">
        <references count="3">
          <reference field="0" count="1" selected="0">
            <x v="375"/>
          </reference>
          <reference field="3" count="1" selected="0">
            <x v="2"/>
          </reference>
          <reference field="4" count="1" selected="0">
            <x v="20"/>
          </reference>
        </references>
      </pivotArea>
    </format>
    <format dxfId="787">
      <pivotArea outline="0" fieldPosition="0">
        <references count="2">
          <reference field="3" count="1" selected="0">
            <x v="2"/>
          </reference>
          <reference field="4" count="1" selected="0" defaultSubtotal="1">
            <x v="20"/>
          </reference>
        </references>
      </pivotArea>
    </format>
    <format dxfId="786">
      <pivotArea outline="0" fieldPosition="0">
        <references count="1">
          <reference field="3" count="1" selected="0" defaultSubtotal="1">
            <x v="2"/>
          </reference>
        </references>
      </pivotArea>
    </format>
    <format dxfId="785">
      <pivotArea outline="0" fieldPosition="0">
        <references count="3">
          <reference field="0" count="1" selected="0">
            <x v="191"/>
          </reference>
          <reference field="3" count="1" selected="0">
            <x v="3"/>
          </reference>
          <reference field="4" count="1" selected="0">
            <x v="4"/>
          </reference>
        </references>
      </pivotArea>
    </format>
    <format dxfId="784">
      <pivotArea outline="0" fieldPosition="0">
        <references count="2">
          <reference field="3" count="1" selected="0">
            <x v="3"/>
          </reference>
          <reference field="4" count="1" selected="0" defaultSubtotal="1">
            <x v="4"/>
          </reference>
        </references>
      </pivotArea>
    </format>
    <format dxfId="783">
      <pivotArea outline="0" fieldPosition="0">
        <references count="1">
          <reference field="3" count="1" selected="0" defaultSubtotal="1">
            <x v="3"/>
          </reference>
        </references>
      </pivotArea>
    </format>
    <format dxfId="782">
      <pivotArea outline="0" fieldPosition="0">
        <references count="3">
          <reference field="0" count="1" selected="0">
            <x v="239"/>
          </reference>
          <reference field="3" count="1" selected="0">
            <x v="4"/>
          </reference>
          <reference field="4" count="1" selected="0">
            <x v="15"/>
          </reference>
        </references>
      </pivotArea>
    </format>
    <format dxfId="781">
      <pivotArea outline="0" fieldPosition="0">
        <references count="3">
          <reference field="0" count="1" selected="0">
            <x v="92"/>
          </reference>
          <reference field="3" count="1" selected="0">
            <x v="0"/>
          </reference>
          <reference field="4" count="1" selected="0">
            <x v="3"/>
          </reference>
        </references>
      </pivotArea>
    </format>
    <format dxfId="780">
      <pivotArea outline="0" fieldPosition="0">
        <references count="3">
          <reference field="0" count="1" selected="0">
            <x v="99"/>
          </reference>
          <reference field="3" count="1" selected="0">
            <x v="0"/>
          </reference>
          <reference field="4" count="1" selected="0">
            <x v="3"/>
          </reference>
        </references>
      </pivotArea>
    </format>
    <format dxfId="779">
      <pivotArea outline="0" fieldPosition="0">
        <references count="2">
          <reference field="3" count="1" selected="0">
            <x v="0"/>
          </reference>
          <reference field="4" count="1" selected="0" defaultSubtotal="1">
            <x v="3"/>
          </reference>
        </references>
      </pivotArea>
    </format>
    <format dxfId="778">
      <pivotArea outline="0" fieldPosition="0">
        <references count="3">
          <reference field="0" count="1" selected="0">
            <x v="157"/>
          </reference>
          <reference field="3" count="1" selected="0">
            <x v="0"/>
          </reference>
          <reference field="4" count="1" selected="0">
            <x v="6"/>
          </reference>
        </references>
      </pivotArea>
    </format>
    <format dxfId="777">
      <pivotArea outline="0" fieldPosition="0">
        <references count="2">
          <reference field="3" count="1" selected="0">
            <x v="0"/>
          </reference>
          <reference field="4" count="1" selected="0" defaultSubtotal="1">
            <x v="6"/>
          </reference>
        </references>
      </pivotArea>
    </format>
    <format dxfId="776">
      <pivotArea outline="0" fieldPosition="0">
        <references count="1">
          <reference field="3" count="1" selected="0" defaultSubtotal="1">
            <x v="0"/>
          </reference>
        </references>
      </pivotArea>
    </format>
    <format dxfId="775">
      <pivotArea outline="0" fieldPosition="0">
        <references count="3">
          <reference field="0" count="1" selected="0">
            <x v="543"/>
          </reference>
          <reference field="3" count="1" selected="0">
            <x v="1"/>
          </reference>
          <reference field="4" count="1" selected="0">
            <x v="1"/>
          </reference>
        </references>
      </pivotArea>
    </format>
    <format dxfId="774">
      <pivotArea outline="0" fieldPosition="0">
        <references count="2">
          <reference field="3" count="1" selected="0">
            <x v="1"/>
          </reference>
          <reference field="4" count="1" selected="0" defaultSubtotal="1">
            <x v="1"/>
          </reference>
        </references>
      </pivotArea>
    </format>
    <format dxfId="773">
      <pivotArea outline="0" fieldPosition="0">
        <references count="1">
          <reference field="3" count="1" selected="0" defaultSubtotal="1">
            <x v="1"/>
          </reference>
        </references>
      </pivotArea>
    </format>
    <format dxfId="772">
      <pivotArea outline="0" fieldPosition="0">
        <references count="3">
          <reference field="0" count="1" selected="0">
            <x v="345"/>
          </reference>
          <reference field="3" count="1" selected="0">
            <x v="4"/>
          </reference>
          <reference field="4" count="1" selected="0">
            <x v="2"/>
          </reference>
        </references>
      </pivotArea>
    </format>
    <format dxfId="771">
      <pivotArea outline="0" fieldPosition="0">
        <references count="2">
          <reference field="3" count="1" selected="0">
            <x v="4"/>
          </reference>
          <reference field="4" count="1" selected="0" defaultSubtotal="1">
            <x v="2"/>
          </reference>
        </references>
      </pivotArea>
    </format>
    <format dxfId="770">
      <pivotArea outline="0" fieldPosition="0">
        <references count="3">
          <reference field="0" count="1" selected="0">
            <x v="235"/>
          </reference>
          <reference field="3" count="1" selected="0">
            <x v="4"/>
          </reference>
          <reference field="4" count="1" selected="0">
            <x v="15"/>
          </reference>
        </references>
      </pivotArea>
    </format>
    <format dxfId="769">
      <pivotArea outline="0" fieldPosition="0">
        <references count="2">
          <reference field="3" count="1" selected="0">
            <x v="4"/>
          </reference>
          <reference field="4" count="1" selected="0" defaultSubtotal="1">
            <x v="15"/>
          </reference>
        </references>
      </pivotArea>
    </format>
    <format dxfId="768">
      <pivotArea outline="0" fieldPosition="0">
        <references count="1">
          <reference field="3" count="1" selected="0" defaultSubtotal="1">
            <x v="4"/>
          </reference>
        </references>
      </pivotArea>
    </format>
    <format dxfId="767">
      <pivotArea outline="0" fieldPosition="0">
        <references count="3">
          <reference field="0" count="1" selected="0">
            <x v="386"/>
          </reference>
          <reference field="3" count="1" selected="0">
            <x v="5"/>
          </reference>
          <reference field="4" count="1" selected="0">
            <x v="9"/>
          </reference>
        </references>
      </pivotArea>
    </format>
    <format dxfId="766">
      <pivotArea outline="0" fieldPosition="0">
        <references count="3">
          <reference field="0" count="1" selected="0">
            <x v="389"/>
          </reference>
          <reference field="3" count="1" selected="0">
            <x v="5"/>
          </reference>
          <reference field="4" count="1" selected="0">
            <x v="9"/>
          </reference>
        </references>
      </pivotArea>
    </format>
    <format dxfId="765">
      <pivotArea outline="0" fieldPosition="0">
        <references count="2">
          <reference field="3" count="1" selected="0">
            <x v="5"/>
          </reference>
          <reference field="4" count="1" selected="0" defaultSubtotal="1">
            <x v="9"/>
          </reference>
        </references>
      </pivotArea>
    </format>
    <format dxfId="764">
      <pivotArea outline="0" fieldPosition="0">
        <references count="1">
          <reference field="3" count="1" selected="0" defaultSubtotal="1">
            <x v="5"/>
          </reference>
        </references>
      </pivotArea>
    </format>
    <format dxfId="763">
      <pivotArea outline="0" fieldPosition="0">
        <references count="3">
          <reference field="0" count="1" selected="0">
            <x v="0"/>
          </reference>
          <reference field="3" count="1" selected="0">
            <x v="7"/>
          </reference>
          <reference field="4" count="1" selected="0">
            <x v="21"/>
          </reference>
        </references>
      </pivotArea>
    </format>
    <format dxfId="762">
      <pivotArea outline="0" fieldPosition="0">
        <references count="3">
          <reference field="0" count="1" selected="0">
            <x v="15"/>
          </reference>
          <reference field="3" count="1" selected="0">
            <x v="7"/>
          </reference>
          <reference field="4" count="1" selected="0">
            <x v="21"/>
          </reference>
        </references>
      </pivotArea>
    </format>
    <format dxfId="761">
      <pivotArea outline="0" fieldPosition="0">
        <references count="2">
          <reference field="3" count="1" selected="0">
            <x v="7"/>
          </reference>
          <reference field="4" count="1" selected="0" defaultSubtotal="1">
            <x v="21"/>
          </reference>
        </references>
      </pivotArea>
    </format>
    <format dxfId="760">
      <pivotArea outline="0" fieldPosition="0">
        <references count="1">
          <reference field="3" count="1" selected="0" defaultSubtotal="1">
            <x v="7"/>
          </reference>
        </references>
      </pivotArea>
    </format>
    <format dxfId="759">
      <pivotArea outline="0" fieldPosition="0">
        <references count="1">
          <reference field="3" count="1" selected="0">
            <x v="8"/>
          </reference>
        </references>
      </pivotArea>
    </format>
    <format dxfId="758">
      <pivotArea outline="0" fieldPosition="0">
        <references count="1">
          <reference field="3" count="1" selected="0">
            <x v="0"/>
          </reference>
        </references>
      </pivotArea>
    </format>
    <format dxfId="757">
      <pivotArea outline="0" fieldPosition="0">
        <references count="3">
          <reference field="0" count="28" selected="0">
            <x v="72"/>
            <x v="73"/>
            <x v="74"/>
            <x v="75"/>
            <x v="76"/>
            <x v="77"/>
            <x v="78"/>
            <x v="79"/>
            <x v="80"/>
            <x v="81"/>
            <x v="82"/>
            <x v="83"/>
            <x v="84"/>
            <x v="85"/>
            <x v="86"/>
            <x v="87"/>
            <x v="88"/>
            <x v="89"/>
            <x v="90"/>
            <x v="91"/>
            <x v="92"/>
            <x v="93"/>
            <x v="94"/>
            <x v="95"/>
            <x v="96"/>
            <x v="97"/>
            <x v="98"/>
            <x v="99"/>
          </reference>
          <reference field="3" count="1" selected="0">
            <x v="0"/>
          </reference>
          <reference field="4" count="1" selected="0">
            <x v="3"/>
          </reference>
        </references>
      </pivotArea>
    </format>
    <format dxfId="756">
      <pivotArea outline="0" fieldPosition="0">
        <references count="2">
          <reference field="3" count="1" selected="0">
            <x v="0"/>
          </reference>
          <reference field="4" count="1" selected="0" defaultSubtotal="1">
            <x v="3"/>
          </reference>
        </references>
      </pivotArea>
    </format>
    <format dxfId="755">
      <pivotArea outline="0" fieldPosition="0">
        <references count="2">
          <reference field="3" count="1" selected="0">
            <x v="0"/>
          </reference>
          <reference field="4" count="5" selected="0" defaultSubtotal="1">
            <x v="6"/>
            <x v="10"/>
            <x v="21"/>
            <x v="22"/>
            <x v="25"/>
          </reference>
        </references>
      </pivotArea>
    </format>
    <format dxfId="754">
      <pivotArea outline="0" fieldPosition="0">
        <references count="1">
          <reference field="3" count="1" selected="0" defaultSubtotal="1">
            <x v="0"/>
          </reference>
        </references>
      </pivotArea>
    </format>
    <format dxfId="753">
      <pivotArea outline="0" fieldPosition="0">
        <references count="1">
          <reference field="3" count="8" selected="0" defaultSubtotal="1">
            <x v="1"/>
            <x v="2"/>
            <x v="3"/>
            <x v="4"/>
            <x v="5"/>
            <x v="6"/>
            <x v="7"/>
            <x v="8"/>
          </reference>
        </references>
      </pivotArea>
    </format>
    <format dxfId="752">
      <pivotArea type="all" dataOnly="0" outline="0" fieldPosition="0"/>
    </format>
    <format dxfId="751">
      <pivotArea type="all" dataOnly="0" outline="0" fieldPosition="0"/>
    </format>
    <format dxfId="750">
      <pivotArea dataOnly="0" outline="0" fieldPosition="0">
        <references count="1">
          <reference field="3" count="0"/>
        </references>
      </pivotArea>
    </format>
    <format dxfId="749">
      <pivotArea grandRow="1" outline="0" fieldPosition="0"/>
    </format>
    <format dxfId="748">
      <pivotArea outline="0" fieldPosition="0">
        <references count="3">
          <reference field="0" count="1" selected="0">
            <x v="135"/>
          </reference>
          <reference field="3" count="1" selected="0">
            <x v="2"/>
          </reference>
          <reference field="4" count="1" selected="0">
            <x v="7"/>
          </reference>
        </references>
      </pivotArea>
    </format>
    <format dxfId="747">
      <pivotArea outline="0" fieldPosition="0">
        <references count="3">
          <reference field="0" count="1" selected="0">
            <x v="140"/>
          </reference>
          <reference field="3" count="1" selected="0">
            <x v="2"/>
          </reference>
          <reference field="4" count="1" selected="0">
            <x v="7"/>
          </reference>
        </references>
      </pivotArea>
    </format>
    <format dxfId="746">
      <pivotArea outline="0" fieldPosition="0">
        <references count="3">
          <reference field="0" count="1" selected="0">
            <x v="151"/>
          </reference>
          <reference field="3" count="1" selected="0">
            <x v="2"/>
          </reference>
          <reference field="4" count="1" selected="0">
            <x v="7"/>
          </reference>
        </references>
      </pivotArea>
    </format>
    <format dxfId="745">
      <pivotArea outline="0" fieldPosition="0">
        <references count="2">
          <reference field="3" count="1" selected="0">
            <x v="2"/>
          </reference>
          <reference field="4" count="1" selected="0" defaultSubtotal="1">
            <x v="7"/>
          </reference>
        </references>
      </pivotArea>
    </format>
    <format dxfId="744">
      <pivotArea outline="0" fieldPosition="0">
        <references count="3">
          <reference field="0" count="1" selected="0">
            <x v="183"/>
          </reference>
          <reference field="3" count="1" selected="0">
            <x v="2"/>
          </reference>
          <reference field="4" count="1" selected="0">
            <x v="8"/>
          </reference>
        </references>
      </pivotArea>
    </format>
    <format dxfId="743">
      <pivotArea outline="0" fieldPosition="0">
        <references count="3">
          <reference field="0" count="1" selected="0">
            <x v="204"/>
          </reference>
          <reference field="3" count="1" selected="0">
            <x v="2"/>
          </reference>
          <reference field="4" count="1" selected="0">
            <x v="8"/>
          </reference>
        </references>
      </pivotArea>
    </format>
    <format dxfId="742">
      <pivotArea outline="0" fieldPosition="0">
        <references count="3">
          <reference field="0" count="1" selected="0">
            <x v="213"/>
          </reference>
          <reference field="3" count="1" selected="0">
            <x v="2"/>
          </reference>
          <reference field="4" count="1" selected="0">
            <x v="8"/>
          </reference>
        </references>
      </pivotArea>
    </format>
    <format dxfId="741">
      <pivotArea outline="0" fieldPosition="0">
        <references count="3">
          <reference field="0" count="1" selected="0">
            <x v="265"/>
          </reference>
          <reference field="3" count="1" selected="0">
            <x v="2"/>
          </reference>
          <reference field="4" count="1" selected="0">
            <x v="8"/>
          </reference>
        </references>
      </pivotArea>
    </format>
    <format dxfId="740">
      <pivotArea outline="0" fieldPosition="0">
        <references count="3">
          <reference field="0" count="1" selected="0">
            <x v="373"/>
          </reference>
          <reference field="3" count="1" selected="0">
            <x v="2"/>
          </reference>
          <reference field="4" count="1" selected="0">
            <x v="8"/>
          </reference>
        </references>
      </pivotArea>
    </format>
    <format dxfId="739">
      <pivotArea outline="0" fieldPosition="0">
        <references count="3">
          <reference field="0" count="1" selected="0">
            <x v="374"/>
          </reference>
          <reference field="3" count="1" selected="0">
            <x v="2"/>
          </reference>
          <reference field="4" count="1" selected="0">
            <x v="8"/>
          </reference>
        </references>
      </pivotArea>
    </format>
    <format dxfId="738">
      <pivotArea outline="0" fieldPosition="0">
        <references count="3">
          <reference field="0" count="1" selected="0">
            <x v="553"/>
          </reference>
          <reference field="3" count="1" selected="0">
            <x v="2"/>
          </reference>
          <reference field="4" count="1" selected="0">
            <x v="8"/>
          </reference>
        </references>
      </pivotArea>
    </format>
    <format dxfId="737">
      <pivotArea outline="0" fieldPosition="0">
        <references count="3">
          <reference field="0" count="1" selected="0">
            <x v="187"/>
          </reference>
          <reference field="3" count="1" selected="0">
            <x v="2"/>
          </reference>
          <reference field="4" count="1" selected="0">
            <x v="12"/>
          </reference>
        </references>
      </pivotArea>
    </format>
    <format dxfId="736">
      <pivotArea outline="0" fieldPosition="0">
        <references count="3">
          <reference field="0" count="1" selected="0">
            <x v="188"/>
          </reference>
          <reference field="3" count="1" selected="0">
            <x v="2"/>
          </reference>
          <reference field="4" count="1" selected="0">
            <x v="12"/>
          </reference>
        </references>
      </pivotArea>
    </format>
    <format dxfId="735">
      <pivotArea outline="0" fieldPosition="0">
        <references count="3">
          <reference field="0" count="1" selected="0">
            <x v="189"/>
          </reference>
          <reference field="3" count="1" selected="0">
            <x v="2"/>
          </reference>
          <reference field="4" count="1" selected="0">
            <x v="12"/>
          </reference>
        </references>
      </pivotArea>
    </format>
    <format dxfId="734">
      <pivotArea outline="0" fieldPosition="0">
        <references count="3">
          <reference field="0" count="1" selected="0">
            <x v="245"/>
          </reference>
          <reference field="3" count="1" selected="0">
            <x v="2"/>
          </reference>
          <reference field="4" count="1" selected="0">
            <x v="12"/>
          </reference>
        </references>
      </pivotArea>
    </format>
    <format dxfId="733">
      <pivotArea outline="0" fieldPosition="0">
        <references count="3">
          <reference field="0" count="1" selected="0">
            <x v="246"/>
          </reference>
          <reference field="3" count="1" selected="0">
            <x v="2"/>
          </reference>
          <reference field="4" count="1" selected="0">
            <x v="12"/>
          </reference>
        </references>
      </pivotArea>
    </format>
    <format dxfId="732">
      <pivotArea outline="0" fieldPosition="0">
        <references count="3">
          <reference field="0" count="1" selected="0">
            <x v="372"/>
          </reference>
          <reference field="3" count="1" selected="0">
            <x v="2"/>
          </reference>
          <reference field="4" count="1" selected="0">
            <x v="12"/>
          </reference>
        </references>
      </pivotArea>
    </format>
    <format dxfId="731">
      <pivotArea outline="0" fieldPosition="0">
        <references count="3">
          <reference field="0" count="1" selected="0">
            <x v="552"/>
          </reference>
          <reference field="3" count="1" selected="0">
            <x v="2"/>
          </reference>
          <reference field="4" count="1" selected="0">
            <x v="12"/>
          </reference>
        </references>
      </pivotArea>
    </format>
    <format dxfId="730">
      <pivotArea outline="0" fieldPosition="0">
        <references count="3">
          <reference field="0" count="1" selected="0">
            <x v="193"/>
          </reference>
          <reference field="3" count="1" selected="0">
            <x v="2"/>
          </reference>
          <reference field="4" count="1" selected="0">
            <x v="20"/>
          </reference>
        </references>
      </pivotArea>
    </format>
    <format dxfId="729">
      <pivotArea outline="0" fieldPosition="0">
        <references count="3">
          <reference field="0" count="1" selected="0">
            <x v="194"/>
          </reference>
          <reference field="3" count="1" selected="0">
            <x v="2"/>
          </reference>
          <reference field="4" count="1" selected="0">
            <x v="20"/>
          </reference>
        </references>
      </pivotArea>
    </format>
    <format dxfId="728">
      <pivotArea outline="0" fieldPosition="0">
        <references count="3">
          <reference field="0" count="1" selected="0">
            <x v="195"/>
          </reference>
          <reference field="3" count="1" selected="0">
            <x v="2"/>
          </reference>
          <reference field="4" count="1" selected="0">
            <x v="20"/>
          </reference>
        </references>
      </pivotArea>
    </format>
    <format dxfId="727">
      <pivotArea outline="0" fieldPosition="0">
        <references count="3">
          <reference field="0" count="1" selected="0">
            <x v="196"/>
          </reference>
          <reference field="3" count="1" selected="0">
            <x v="2"/>
          </reference>
          <reference field="4" count="1" selected="0">
            <x v="20"/>
          </reference>
        </references>
      </pivotArea>
    </format>
    <format dxfId="726">
      <pivotArea outline="0" fieldPosition="0">
        <references count="3">
          <reference field="0" count="1" selected="0">
            <x v="197"/>
          </reference>
          <reference field="3" count="1" selected="0">
            <x v="2"/>
          </reference>
          <reference field="4" count="1" selected="0">
            <x v="20"/>
          </reference>
        </references>
      </pivotArea>
    </format>
    <format dxfId="725">
      <pivotArea outline="0" fieldPosition="0">
        <references count="3">
          <reference field="0" count="1" selected="0">
            <x v="199"/>
          </reference>
          <reference field="3" count="1" selected="0">
            <x v="2"/>
          </reference>
          <reference field="4" count="1" selected="0">
            <x v="20"/>
          </reference>
        </references>
      </pivotArea>
    </format>
    <format dxfId="724">
      <pivotArea outline="0" fieldPosition="0">
        <references count="3">
          <reference field="0" count="1" selected="0">
            <x v="200"/>
          </reference>
          <reference field="3" count="1" selected="0">
            <x v="2"/>
          </reference>
          <reference field="4" count="1" selected="0">
            <x v="20"/>
          </reference>
        </references>
      </pivotArea>
    </format>
    <format dxfId="723">
      <pivotArea outline="0" fieldPosition="0">
        <references count="3">
          <reference field="0" count="1" selected="0">
            <x v="201"/>
          </reference>
          <reference field="3" count="1" selected="0">
            <x v="2"/>
          </reference>
          <reference field="4" count="1" selected="0">
            <x v="20"/>
          </reference>
        </references>
      </pivotArea>
    </format>
    <format dxfId="722">
      <pivotArea outline="0" fieldPosition="0">
        <references count="3">
          <reference field="0" count="1" selected="0">
            <x v="202"/>
          </reference>
          <reference field="3" count="1" selected="0">
            <x v="2"/>
          </reference>
          <reference field="4" count="1" selected="0">
            <x v="20"/>
          </reference>
        </references>
      </pivotArea>
    </format>
    <format dxfId="721">
      <pivotArea outline="0" fieldPosition="0">
        <references count="3">
          <reference field="0" count="1" selected="0">
            <x v="243"/>
          </reference>
          <reference field="3" count="1" selected="0">
            <x v="2"/>
          </reference>
          <reference field="4" count="1" selected="0">
            <x v="20"/>
          </reference>
        </references>
      </pivotArea>
    </format>
    <format dxfId="720">
      <pivotArea outline="0" fieldPosition="0">
        <references count="3">
          <reference field="0" count="1" selected="0">
            <x v="244"/>
          </reference>
          <reference field="3" count="1" selected="0">
            <x v="2"/>
          </reference>
          <reference field="4" count="1" selected="0">
            <x v="20"/>
          </reference>
        </references>
      </pivotArea>
    </format>
    <format dxfId="719">
      <pivotArea outline="0" fieldPosition="0">
        <references count="3">
          <reference field="0" count="1" selected="0">
            <x v="248"/>
          </reference>
          <reference field="3" count="1" selected="0">
            <x v="2"/>
          </reference>
          <reference field="4" count="1" selected="0">
            <x v="20"/>
          </reference>
        </references>
      </pivotArea>
    </format>
    <format dxfId="718">
      <pivotArea outline="0" fieldPosition="0">
        <references count="3">
          <reference field="0" count="1" selected="0">
            <x v="249"/>
          </reference>
          <reference field="3" count="1" selected="0">
            <x v="2"/>
          </reference>
          <reference field="4" count="1" selected="0">
            <x v="20"/>
          </reference>
        </references>
      </pivotArea>
    </format>
    <format dxfId="717">
      <pivotArea outline="0" fieldPosition="0">
        <references count="3">
          <reference field="0" count="1" selected="0">
            <x v="250"/>
          </reference>
          <reference field="3" count="1" selected="0">
            <x v="2"/>
          </reference>
          <reference field="4" count="1" selected="0">
            <x v="20"/>
          </reference>
        </references>
      </pivotArea>
    </format>
    <format dxfId="716">
      <pivotArea outline="0" fieldPosition="0">
        <references count="3">
          <reference field="0" count="1" selected="0">
            <x v="251"/>
          </reference>
          <reference field="3" count="1" selected="0">
            <x v="2"/>
          </reference>
          <reference field="4" count="1" selected="0">
            <x v="20"/>
          </reference>
        </references>
      </pivotArea>
    </format>
    <format dxfId="715">
      <pivotArea outline="0" fieldPosition="0">
        <references count="3">
          <reference field="0" count="1" selected="0">
            <x v="252"/>
          </reference>
          <reference field="3" count="1" selected="0">
            <x v="2"/>
          </reference>
          <reference field="4" count="1" selected="0">
            <x v="20"/>
          </reference>
        </references>
      </pivotArea>
    </format>
    <format dxfId="714">
      <pivotArea outline="0" fieldPosition="0">
        <references count="3">
          <reference field="0" count="1" selected="0">
            <x v="253"/>
          </reference>
          <reference field="3" count="1" selected="0">
            <x v="2"/>
          </reference>
          <reference field="4" count="1" selected="0">
            <x v="20"/>
          </reference>
        </references>
      </pivotArea>
    </format>
    <format dxfId="713">
      <pivotArea outline="0" fieldPosition="0">
        <references count="3">
          <reference field="0" count="1" selected="0">
            <x v="254"/>
          </reference>
          <reference field="3" count="1" selected="0">
            <x v="2"/>
          </reference>
          <reference field="4" count="1" selected="0">
            <x v="20"/>
          </reference>
        </references>
      </pivotArea>
    </format>
    <format dxfId="712">
      <pivotArea outline="0" fieldPosition="0">
        <references count="3">
          <reference field="0" count="1" selected="0">
            <x v="255"/>
          </reference>
          <reference field="3" count="1" selected="0">
            <x v="2"/>
          </reference>
          <reference field="4" count="1" selected="0">
            <x v="20"/>
          </reference>
        </references>
      </pivotArea>
    </format>
    <format dxfId="711">
      <pivotArea outline="0" fieldPosition="0">
        <references count="3">
          <reference field="0" count="1" selected="0">
            <x v="256"/>
          </reference>
          <reference field="3" count="1" selected="0">
            <x v="2"/>
          </reference>
          <reference field="4" count="1" selected="0">
            <x v="20"/>
          </reference>
        </references>
      </pivotArea>
    </format>
    <format dxfId="710">
      <pivotArea outline="0" fieldPosition="0">
        <references count="3">
          <reference field="0" count="1" selected="0">
            <x v="257"/>
          </reference>
          <reference field="3" count="1" selected="0">
            <x v="2"/>
          </reference>
          <reference field="4" count="1" selected="0">
            <x v="20"/>
          </reference>
        </references>
      </pivotArea>
    </format>
    <format dxfId="709">
      <pivotArea outline="0" fieldPosition="0">
        <references count="3">
          <reference field="0" count="1" selected="0">
            <x v="258"/>
          </reference>
          <reference field="3" count="1" selected="0">
            <x v="2"/>
          </reference>
          <reference field="4" count="1" selected="0">
            <x v="20"/>
          </reference>
        </references>
      </pivotArea>
    </format>
    <format dxfId="708">
      <pivotArea outline="0" fieldPosition="0">
        <references count="3">
          <reference field="0" count="1" selected="0">
            <x v="259"/>
          </reference>
          <reference field="3" count="1" selected="0">
            <x v="2"/>
          </reference>
          <reference field="4" count="1" selected="0">
            <x v="20"/>
          </reference>
        </references>
      </pivotArea>
    </format>
    <format dxfId="707">
      <pivotArea outline="0" fieldPosition="0">
        <references count="3">
          <reference field="0" count="1" selected="0">
            <x v="260"/>
          </reference>
          <reference field="3" count="1" selected="0">
            <x v="2"/>
          </reference>
          <reference field="4" count="1" selected="0">
            <x v="20"/>
          </reference>
        </references>
      </pivotArea>
    </format>
    <format dxfId="706">
      <pivotArea outline="0" fieldPosition="0">
        <references count="3">
          <reference field="0" count="1" selected="0">
            <x v="261"/>
          </reference>
          <reference field="3" count="1" selected="0">
            <x v="2"/>
          </reference>
          <reference field="4" count="1" selected="0">
            <x v="20"/>
          </reference>
        </references>
      </pivotArea>
    </format>
    <format dxfId="705">
      <pivotArea outline="0" fieldPosition="0">
        <references count="3">
          <reference field="0" count="1" selected="0">
            <x v="262"/>
          </reference>
          <reference field="3" count="1" selected="0">
            <x v="2"/>
          </reference>
          <reference field="4" count="1" selected="0">
            <x v="20"/>
          </reference>
        </references>
      </pivotArea>
    </format>
    <format dxfId="704">
      <pivotArea outline="0" fieldPosition="0">
        <references count="3">
          <reference field="0" count="1" selected="0">
            <x v="263"/>
          </reference>
          <reference field="3" count="1" selected="0">
            <x v="2"/>
          </reference>
          <reference field="4" count="1" selected="0">
            <x v="20"/>
          </reference>
        </references>
      </pivotArea>
    </format>
    <format dxfId="703">
      <pivotArea outline="0" fieldPosition="0">
        <references count="3">
          <reference field="0" count="1" selected="0">
            <x v="376"/>
          </reference>
          <reference field="3" count="1" selected="0">
            <x v="2"/>
          </reference>
          <reference field="4" count="1" selected="0">
            <x v="20"/>
          </reference>
        </references>
      </pivotArea>
    </format>
    <format dxfId="702">
      <pivotArea outline="0" fieldPosition="0">
        <references count="3">
          <reference field="0" count="1" selected="0">
            <x v="377"/>
          </reference>
          <reference field="3" count="1" selected="0">
            <x v="2"/>
          </reference>
          <reference field="4" count="1" selected="0">
            <x v="20"/>
          </reference>
        </references>
      </pivotArea>
    </format>
    <format dxfId="701">
      <pivotArea outline="0" fieldPosition="0">
        <references count="3">
          <reference field="0" count="1" selected="0">
            <x v="266"/>
          </reference>
          <reference field="3" count="1" selected="0">
            <x v="4"/>
          </reference>
          <reference field="4" count="1" selected="0">
            <x v="2"/>
          </reference>
        </references>
      </pivotArea>
    </format>
    <format dxfId="700">
      <pivotArea outline="0" fieldPosition="0">
        <references count="3">
          <reference field="0" count="1" selected="0">
            <x v="347"/>
          </reference>
          <reference field="3" count="1" selected="0">
            <x v="4"/>
          </reference>
          <reference field="4" count="1" selected="0">
            <x v="2"/>
          </reference>
        </references>
      </pivotArea>
    </format>
    <format dxfId="699">
      <pivotArea outline="0" fieldPosition="0">
        <references count="3">
          <reference field="0" count="1" selected="0">
            <x v="349"/>
          </reference>
          <reference field="3" count="1" selected="0">
            <x v="4"/>
          </reference>
          <reference field="4" count="1" selected="0">
            <x v="2"/>
          </reference>
        </references>
      </pivotArea>
    </format>
    <format dxfId="698">
      <pivotArea outline="0" fieldPosition="0">
        <references count="3">
          <reference field="0" count="1" selected="0">
            <x v="350"/>
          </reference>
          <reference field="3" count="1" selected="0">
            <x v="4"/>
          </reference>
          <reference field="4" count="1" selected="0">
            <x v="2"/>
          </reference>
        </references>
      </pivotArea>
    </format>
    <format dxfId="697">
      <pivotArea outline="0" fieldPosition="0">
        <references count="3">
          <reference field="0" count="1" selected="0">
            <x v="355"/>
          </reference>
          <reference field="3" count="1" selected="0">
            <x v="4"/>
          </reference>
          <reference field="4" count="1" selected="0">
            <x v="2"/>
          </reference>
        </references>
      </pivotArea>
    </format>
    <format dxfId="696">
      <pivotArea outline="0" fieldPosition="0">
        <references count="3">
          <reference field="0" count="1" selected="0">
            <x v="356"/>
          </reference>
          <reference field="3" count="1" selected="0">
            <x v="4"/>
          </reference>
          <reference field="4" count="1" selected="0">
            <x v="2"/>
          </reference>
        </references>
      </pivotArea>
    </format>
    <format dxfId="695">
      <pivotArea outline="0" fieldPosition="0">
        <references count="3">
          <reference field="0" count="1" selected="0">
            <x v="357"/>
          </reference>
          <reference field="3" count="1" selected="0">
            <x v="4"/>
          </reference>
          <reference field="4" count="1" selected="0">
            <x v="2"/>
          </reference>
        </references>
      </pivotArea>
    </format>
    <format dxfId="694">
      <pivotArea outline="0" fieldPosition="0">
        <references count="3">
          <reference field="0" count="1" selected="0">
            <x v="358"/>
          </reference>
          <reference field="3" count="1" selected="0">
            <x v="4"/>
          </reference>
          <reference field="4" count="1" selected="0">
            <x v="2"/>
          </reference>
        </references>
      </pivotArea>
    </format>
    <format dxfId="693">
      <pivotArea outline="0" fieldPosition="0">
        <references count="3">
          <reference field="0" count="1" selected="0">
            <x v="359"/>
          </reference>
          <reference field="3" count="1" selected="0">
            <x v="4"/>
          </reference>
          <reference field="4" count="1" selected="0">
            <x v="2"/>
          </reference>
        </references>
      </pivotArea>
    </format>
    <format dxfId="692">
      <pivotArea outline="0" fieldPosition="0">
        <references count="3">
          <reference field="0" count="1" selected="0">
            <x v="360"/>
          </reference>
          <reference field="3" count="1" selected="0">
            <x v="4"/>
          </reference>
          <reference field="4" count="1" selected="0">
            <x v="2"/>
          </reference>
        </references>
      </pivotArea>
    </format>
    <format dxfId="691">
      <pivotArea outline="0" fieldPosition="0">
        <references count="3">
          <reference field="0" count="1" selected="0">
            <x v="361"/>
          </reference>
          <reference field="3" count="1" selected="0">
            <x v="4"/>
          </reference>
          <reference field="4" count="1" selected="0">
            <x v="2"/>
          </reference>
        </references>
      </pivotArea>
    </format>
    <format dxfId="690">
      <pivotArea outline="0" fieldPosition="0">
        <references count="3">
          <reference field="0" count="1" selected="0">
            <x v="362"/>
          </reference>
          <reference field="3" count="1" selected="0">
            <x v="4"/>
          </reference>
          <reference field="4" count="1" selected="0">
            <x v="2"/>
          </reference>
        </references>
      </pivotArea>
    </format>
    <format dxfId="689">
      <pivotArea outline="0" fieldPosition="0">
        <references count="3">
          <reference field="0" count="1" selected="0">
            <x v="363"/>
          </reference>
          <reference field="3" count="1" selected="0">
            <x v="4"/>
          </reference>
          <reference field="4" count="1" selected="0">
            <x v="2"/>
          </reference>
        </references>
      </pivotArea>
    </format>
    <format dxfId="688">
      <pivotArea outline="0" fieldPosition="0">
        <references count="3">
          <reference field="0" count="1" selected="0">
            <x v="364"/>
          </reference>
          <reference field="3" count="1" selected="0">
            <x v="4"/>
          </reference>
          <reference field="4" count="1" selected="0">
            <x v="2"/>
          </reference>
        </references>
      </pivotArea>
    </format>
    <format dxfId="687">
      <pivotArea outline="0" fieldPosition="0">
        <references count="3">
          <reference field="0" count="1" selected="0">
            <x v="568"/>
          </reference>
          <reference field="3" count="1" selected="0">
            <x v="4"/>
          </reference>
          <reference field="4" count="1" selected="0">
            <x v="2"/>
          </reference>
        </references>
      </pivotArea>
    </format>
    <format dxfId="686">
      <pivotArea outline="0" fieldPosition="0">
        <references count="2">
          <reference field="3" count="1" selected="0">
            <x v="4"/>
          </reference>
          <reference field="4" count="1" selected="0">
            <x v="10"/>
          </reference>
        </references>
      </pivotArea>
    </format>
    <format dxfId="685">
      <pivotArea outline="0" fieldPosition="0">
        <references count="2">
          <reference field="3" count="1" selected="0">
            <x v="4"/>
          </reference>
          <reference field="4" count="1" selected="0" defaultSubtotal="1">
            <x v="10"/>
          </reference>
        </references>
      </pivotArea>
    </format>
    <format dxfId="684">
      <pivotArea outline="0" fieldPosition="0">
        <references count="3">
          <reference field="0" count="1" selected="0">
            <x v="237"/>
          </reference>
          <reference field="3" count="1" selected="0">
            <x v="4"/>
          </reference>
          <reference field="4" count="1" selected="0">
            <x v="15"/>
          </reference>
        </references>
      </pivotArea>
    </format>
    <format dxfId="683">
      <pivotArea outline="0" fieldPosition="0">
        <references count="3">
          <reference field="0" count="1" selected="0">
            <x v="379"/>
          </reference>
          <reference field="3" count="1" selected="0">
            <x v="4"/>
          </reference>
          <reference field="4" count="1" selected="0">
            <x v="15"/>
          </reference>
        </references>
      </pivotArea>
    </format>
    <format dxfId="682">
      <pivotArea outline="0" fieldPosition="0">
        <references count="3">
          <reference field="0" count="1" selected="0">
            <x v="380"/>
          </reference>
          <reference field="3" count="1" selected="0">
            <x v="4"/>
          </reference>
          <reference field="4" count="1" selected="0">
            <x v="15"/>
          </reference>
        </references>
      </pivotArea>
    </format>
    <format dxfId="681">
      <pivotArea outline="0" fieldPosition="0">
        <references count="3">
          <reference field="0" count="1" selected="0">
            <x v="381"/>
          </reference>
          <reference field="3" count="1" selected="0">
            <x v="4"/>
          </reference>
          <reference field="4" count="1" selected="0">
            <x v="15"/>
          </reference>
        </references>
      </pivotArea>
    </format>
    <format dxfId="680">
      <pivotArea outline="0" fieldPosition="0">
        <references count="3">
          <reference field="0" count="1" selected="0">
            <x v="383"/>
          </reference>
          <reference field="3" count="1" selected="0">
            <x v="4"/>
          </reference>
          <reference field="4" count="1" selected="0">
            <x v="15"/>
          </reference>
        </references>
      </pivotArea>
    </format>
    <format dxfId="679">
      <pivotArea outline="0" fieldPosition="0">
        <references count="3">
          <reference field="0" count="1" selected="0">
            <x v="387"/>
          </reference>
          <reference field="3" count="1" selected="0">
            <x v="4"/>
          </reference>
          <reference field="4" count="1" selected="0">
            <x v="15"/>
          </reference>
        </references>
      </pivotArea>
    </format>
    <format dxfId="678">
      <pivotArea outline="0" fieldPosition="0">
        <references count="3">
          <reference field="0" count="1" selected="0">
            <x v="396"/>
          </reference>
          <reference field="3" count="1" selected="0">
            <x v="4"/>
          </reference>
          <reference field="4" count="1" selected="0">
            <x v="15"/>
          </reference>
        </references>
      </pivotArea>
    </format>
    <format dxfId="677">
      <pivotArea outline="0" fieldPosition="0">
        <references count="3">
          <reference field="0" count="1" selected="0">
            <x v="579"/>
          </reference>
          <reference field="3" count="1" selected="0">
            <x v="4"/>
          </reference>
          <reference field="4" count="1" selected="0">
            <x v="15"/>
          </reference>
        </references>
      </pivotArea>
    </format>
    <format dxfId="676">
      <pivotArea outline="0" fieldPosition="0">
        <references count="3">
          <reference field="0" count="1" selected="0">
            <x v="110"/>
          </reference>
          <reference field="3" count="1" selected="0">
            <x v="5"/>
          </reference>
          <reference field="4" count="1" selected="0">
            <x v="9"/>
          </reference>
        </references>
      </pivotArea>
    </format>
    <format dxfId="675">
      <pivotArea outline="0" fieldPosition="0">
        <references count="3">
          <reference field="0" count="1" selected="0">
            <x v="111"/>
          </reference>
          <reference field="3" count="1" selected="0">
            <x v="5"/>
          </reference>
          <reference field="4" count="1" selected="0">
            <x v="9"/>
          </reference>
        </references>
      </pivotArea>
    </format>
    <format dxfId="674">
      <pivotArea outline="0" fieldPosition="0">
        <references count="3">
          <reference field="0" count="1" selected="0">
            <x v="112"/>
          </reference>
          <reference field="3" count="1" selected="0">
            <x v="5"/>
          </reference>
          <reference field="4" count="1" selected="0">
            <x v="9"/>
          </reference>
        </references>
      </pivotArea>
    </format>
    <format dxfId="673">
      <pivotArea outline="0" fieldPosition="0">
        <references count="3">
          <reference field="0" count="1" selected="0">
            <x v="113"/>
          </reference>
          <reference field="3" count="1" selected="0">
            <x v="5"/>
          </reference>
          <reference field="4" count="1" selected="0">
            <x v="9"/>
          </reference>
        </references>
      </pivotArea>
    </format>
    <format dxfId="672">
      <pivotArea outline="0" fieldPosition="0">
        <references count="3">
          <reference field="0" count="1" selected="0">
            <x v="114"/>
          </reference>
          <reference field="3" count="1" selected="0">
            <x v="5"/>
          </reference>
          <reference field="4" count="1" selected="0">
            <x v="9"/>
          </reference>
        </references>
      </pivotArea>
    </format>
    <format dxfId="671">
      <pivotArea outline="0" fieldPosition="0">
        <references count="3">
          <reference field="0" count="1" selected="0">
            <x v="115"/>
          </reference>
          <reference field="3" count="1" selected="0">
            <x v="5"/>
          </reference>
          <reference field="4" count="1" selected="0">
            <x v="9"/>
          </reference>
        </references>
      </pivotArea>
    </format>
    <format dxfId="670">
      <pivotArea outline="0" fieldPosition="0">
        <references count="3">
          <reference field="0" count="1" selected="0">
            <x v="211"/>
          </reference>
          <reference field="3" count="1" selected="0">
            <x v="5"/>
          </reference>
          <reference field="4" count="1" selected="0">
            <x v="9"/>
          </reference>
        </references>
      </pivotArea>
    </format>
    <format dxfId="669">
      <pivotArea outline="0" fieldPosition="0">
        <references count="3">
          <reference field="0" count="1" selected="0">
            <x v="228"/>
          </reference>
          <reference field="3" count="1" selected="0">
            <x v="5"/>
          </reference>
          <reference field="4" count="1" selected="0">
            <x v="9"/>
          </reference>
        </references>
      </pivotArea>
    </format>
    <format dxfId="668">
      <pivotArea outline="0" fieldPosition="0">
        <references count="3">
          <reference field="0" count="1" selected="0">
            <x v="229"/>
          </reference>
          <reference field="3" count="1" selected="0">
            <x v="5"/>
          </reference>
          <reference field="4" count="1" selected="0">
            <x v="9"/>
          </reference>
        </references>
      </pivotArea>
    </format>
    <format dxfId="667">
      <pivotArea outline="0" fieldPosition="0">
        <references count="3">
          <reference field="0" count="1" selected="0">
            <x v="230"/>
          </reference>
          <reference field="3" count="1" selected="0">
            <x v="5"/>
          </reference>
          <reference field="4" count="1" selected="0">
            <x v="9"/>
          </reference>
        </references>
      </pivotArea>
    </format>
    <format dxfId="666">
      <pivotArea outline="0" fieldPosition="0">
        <references count="3">
          <reference field="0" count="1" selected="0">
            <x v="231"/>
          </reference>
          <reference field="3" count="1" selected="0">
            <x v="5"/>
          </reference>
          <reference field="4" count="1" selected="0">
            <x v="9"/>
          </reference>
        </references>
      </pivotArea>
    </format>
    <format dxfId="665">
      <pivotArea outline="0" fieldPosition="0">
        <references count="3">
          <reference field="0" count="1" selected="0">
            <x v="234"/>
          </reference>
          <reference field="3" count="1" selected="0">
            <x v="5"/>
          </reference>
          <reference field="4" count="1" selected="0">
            <x v="9"/>
          </reference>
        </references>
      </pivotArea>
    </format>
    <format dxfId="664">
      <pivotArea outline="0" fieldPosition="0">
        <references count="3">
          <reference field="0" count="1" selected="0">
            <x v="240"/>
          </reference>
          <reference field="3" count="1" selected="0">
            <x v="5"/>
          </reference>
          <reference field="4" count="1" selected="0">
            <x v="9"/>
          </reference>
        </references>
      </pivotArea>
    </format>
    <format dxfId="663">
      <pivotArea outline="0" fieldPosition="0">
        <references count="3">
          <reference field="0" count="1" selected="0">
            <x v="388"/>
          </reference>
          <reference field="3" count="1" selected="0">
            <x v="5"/>
          </reference>
          <reference field="4" count="1" selected="0">
            <x v="9"/>
          </reference>
        </references>
      </pivotArea>
    </format>
    <format dxfId="662">
      <pivotArea outline="0" fieldPosition="0">
        <references count="3">
          <reference field="0" count="1" selected="0">
            <x v="555"/>
          </reference>
          <reference field="3" count="1" selected="0">
            <x v="5"/>
          </reference>
          <reference field="4" count="1" selected="0">
            <x v="9"/>
          </reference>
        </references>
      </pivotArea>
    </format>
    <format dxfId="661">
      <pivotArea outline="0" fieldPosition="0">
        <references count="3">
          <reference field="0" count="1" selected="0">
            <x v="556"/>
          </reference>
          <reference field="3" count="1" selected="0">
            <x v="5"/>
          </reference>
          <reference field="4" count="1" selected="0">
            <x v="9"/>
          </reference>
        </references>
      </pivotArea>
    </format>
    <format dxfId="660">
      <pivotArea outline="0" fieldPosition="0">
        <references count="3">
          <reference field="0" count="1" selected="0">
            <x v="120"/>
          </reference>
          <reference field="3" count="1" selected="0">
            <x v="5"/>
          </reference>
          <reference field="4" count="1" selected="0">
            <x v="10"/>
          </reference>
        </references>
      </pivotArea>
    </format>
    <format dxfId="659">
      <pivotArea outline="0" fieldPosition="0">
        <references count="3">
          <reference field="0" count="1" selected="0">
            <x v="130"/>
          </reference>
          <reference field="3" count="1" selected="0">
            <x v="5"/>
          </reference>
          <reference field="4" count="1" selected="0">
            <x v="10"/>
          </reference>
        </references>
      </pivotArea>
    </format>
    <format dxfId="658">
      <pivotArea outline="0" fieldPosition="0">
        <references count="3">
          <reference field="0" count="1" selected="0">
            <x v="137"/>
          </reference>
          <reference field="3" count="1" selected="0">
            <x v="5"/>
          </reference>
          <reference field="4" count="1" selected="0">
            <x v="10"/>
          </reference>
        </references>
      </pivotArea>
    </format>
    <format dxfId="657">
      <pivotArea outline="0" fieldPosition="0">
        <references count="3">
          <reference field="0" count="1" selected="0">
            <x v="142"/>
          </reference>
          <reference field="3" count="1" selected="0">
            <x v="5"/>
          </reference>
          <reference field="4" count="1" selected="0">
            <x v="10"/>
          </reference>
        </references>
      </pivotArea>
    </format>
    <format dxfId="656">
      <pivotArea outline="0" fieldPosition="0">
        <references count="3">
          <reference field="0" count="1" selected="0">
            <x v="153"/>
          </reference>
          <reference field="3" count="1" selected="0">
            <x v="5"/>
          </reference>
          <reference field="4" count="1" selected="0">
            <x v="10"/>
          </reference>
        </references>
      </pivotArea>
    </format>
    <format dxfId="655">
      <pivotArea outline="0" fieldPosition="0">
        <references count="3">
          <reference field="0" count="1" selected="0">
            <x v="569"/>
          </reference>
          <reference field="3" count="1" selected="0">
            <x v="5"/>
          </reference>
          <reference field="4" count="1" selected="0">
            <x v="10"/>
          </reference>
        </references>
      </pivotArea>
    </format>
    <format dxfId="654">
      <pivotArea outline="0" fieldPosition="0">
        <references count="3">
          <reference field="0" count="1" selected="0">
            <x v="573"/>
          </reference>
          <reference field="3" count="1" selected="0">
            <x v="5"/>
          </reference>
          <reference field="4" count="1" selected="0">
            <x v="10"/>
          </reference>
        </references>
      </pivotArea>
    </format>
    <format dxfId="653">
      <pivotArea outline="0" fieldPosition="0">
        <references count="2">
          <reference field="3" count="1" selected="0">
            <x v="5"/>
          </reference>
          <reference field="4" count="1" selected="0" defaultSubtotal="1">
            <x v="10"/>
          </reference>
        </references>
      </pivotArea>
    </format>
    <format dxfId="652">
      <pivotArea outline="0" fieldPosition="0">
        <references count="1">
          <reference field="3" count="1" selected="0" defaultSubtotal="1">
            <x v="6"/>
          </reference>
        </references>
      </pivotArea>
    </format>
    <format dxfId="651">
      <pivotArea outline="0" fieldPosition="0">
        <references count="3">
          <reference field="0" count="1" selected="0">
            <x v="2"/>
          </reference>
          <reference field="3" count="1" selected="0">
            <x v="7"/>
          </reference>
          <reference field="4" count="1" selected="0">
            <x v="21"/>
          </reference>
        </references>
      </pivotArea>
    </format>
    <format dxfId="650">
      <pivotArea outline="0" fieldPosition="0">
        <references count="3">
          <reference field="0" count="1" selected="0">
            <x v="3"/>
          </reference>
          <reference field="3" count="1" selected="0">
            <x v="7"/>
          </reference>
          <reference field="4" count="1" selected="0">
            <x v="21"/>
          </reference>
        </references>
      </pivotArea>
    </format>
    <format dxfId="649">
      <pivotArea outline="0" fieldPosition="0">
        <references count="3">
          <reference field="0" count="1" selected="0">
            <x v="4"/>
          </reference>
          <reference field="3" count="1" selected="0">
            <x v="7"/>
          </reference>
          <reference field="4" count="1" selected="0">
            <x v="21"/>
          </reference>
        </references>
      </pivotArea>
    </format>
    <format dxfId="648">
      <pivotArea outline="0" fieldPosition="0">
        <references count="3">
          <reference field="0" count="1" selected="0">
            <x v="5"/>
          </reference>
          <reference field="3" count="1" selected="0">
            <x v="7"/>
          </reference>
          <reference field="4" count="1" selected="0">
            <x v="21"/>
          </reference>
        </references>
      </pivotArea>
    </format>
    <format dxfId="647">
      <pivotArea outline="0" fieldPosition="0">
        <references count="3">
          <reference field="0" count="1" selected="0">
            <x v="6"/>
          </reference>
          <reference field="3" count="1" selected="0">
            <x v="7"/>
          </reference>
          <reference field="4" count="1" selected="0">
            <x v="21"/>
          </reference>
        </references>
      </pivotArea>
    </format>
    <format dxfId="646">
      <pivotArea outline="0" fieldPosition="0">
        <references count="3">
          <reference field="0" count="1" selected="0">
            <x v="7"/>
          </reference>
          <reference field="3" count="1" selected="0">
            <x v="7"/>
          </reference>
          <reference field="4" count="1" selected="0">
            <x v="21"/>
          </reference>
        </references>
      </pivotArea>
    </format>
    <format dxfId="645">
      <pivotArea outline="0" fieldPosition="0">
        <references count="3">
          <reference field="0" count="1" selected="0">
            <x v="8"/>
          </reference>
          <reference field="3" count="1" selected="0">
            <x v="7"/>
          </reference>
          <reference field="4" count="1" selected="0">
            <x v="21"/>
          </reference>
        </references>
      </pivotArea>
    </format>
    <format dxfId="644">
      <pivotArea outline="0" fieldPosition="0">
        <references count="3">
          <reference field="0" count="1" selected="0">
            <x v="9"/>
          </reference>
          <reference field="3" count="1" selected="0">
            <x v="7"/>
          </reference>
          <reference field="4" count="1" selected="0">
            <x v="21"/>
          </reference>
        </references>
      </pivotArea>
    </format>
    <format dxfId="643">
      <pivotArea outline="0" fieldPosition="0">
        <references count="3">
          <reference field="0" count="1" selected="0">
            <x v="10"/>
          </reference>
          <reference field="3" count="1" selected="0">
            <x v="7"/>
          </reference>
          <reference field="4" count="1" selected="0">
            <x v="21"/>
          </reference>
        </references>
      </pivotArea>
    </format>
    <format dxfId="642">
      <pivotArea outline="0" fieldPosition="0">
        <references count="3">
          <reference field="0" count="1" selected="0">
            <x v="11"/>
          </reference>
          <reference field="3" count="1" selected="0">
            <x v="7"/>
          </reference>
          <reference field="4" count="1" selected="0">
            <x v="21"/>
          </reference>
        </references>
      </pivotArea>
    </format>
    <format dxfId="641">
      <pivotArea outline="0" fieldPosition="0">
        <references count="3">
          <reference field="0" count="1" selected="0">
            <x v="12"/>
          </reference>
          <reference field="3" count="1" selected="0">
            <x v="7"/>
          </reference>
          <reference field="4" count="1" selected="0">
            <x v="21"/>
          </reference>
        </references>
      </pivotArea>
    </format>
    <format dxfId="640">
      <pivotArea outline="0" fieldPosition="0">
        <references count="3">
          <reference field="0" count="1" selected="0">
            <x v="13"/>
          </reference>
          <reference field="3" count="1" selected="0">
            <x v="7"/>
          </reference>
          <reference field="4" count="1" selected="0">
            <x v="21"/>
          </reference>
        </references>
      </pivotArea>
    </format>
    <format dxfId="639">
      <pivotArea outline="0" fieldPosition="0">
        <references count="3">
          <reference field="0" count="1" selected="0">
            <x v="14"/>
          </reference>
          <reference field="3" count="1" selected="0">
            <x v="7"/>
          </reference>
          <reference field="4" count="1" selected="0">
            <x v="21"/>
          </reference>
        </references>
      </pivotArea>
    </format>
    <format dxfId="638">
      <pivotArea outline="0" fieldPosition="0">
        <references count="3">
          <reference field="0" count="1" selected="0">
            <x v="16"/>
          </reference>
          <reference field="3" count="1" selected="0">
            <x v="7"/>
          </reference>
          <reference field="4" count="1" selected="0">
            <x v="21"/>
          </reference>
        </references>
      </pivotArea>
    </format>
    <format dxfId="637">
      <pivotArea outline="0" fieldPosition="0">
        <references count="3">
          <reference field="0" count="1" selected="0">
            <x v="17"/>
          </reference>
          <reference field="3" count="1" selected="0">
            <x v="7"/>
          </reference>
          <reference field="4" count="1" selected="0">
            <x v="21"/>
          </reference>
        </references>
      </pivotArea>
    </format>
    <format dxfId="636">
      <pivotArea outline="0" fieldPosition="0">
        <references count="3">
          <reference field="0" count="1" selected="0">
            <x v="18"/>
          </reference>
          <reference field="3" count="1" selected="0">
            <x v="7"/>
          </reference>
          <reference field="4" count="1" selected="0">
            <x v="21"/>
          </reference>
        </references>
      </pivotArea>
    </format>
    <format dxfId="635">
      <pivotArea outline="0" fieldPosition="0">
        <references count="3">
          <reference field="0" count="1" selected="0">
            <x v="19"/>
          </reference>
          <reference field="3" count="1" selected="0">
            <x v="7"/>
          </reference>
          <reference field="4" count="1" selected="0">
            <x v="21"/>
          </reference>
        </references>
      </pivotArea>
    </format>
    <format dxfId="634">
      <pivotArea outline="0" fieldPosition="0">
        <references count="3">
          <reference field="0" count="1" selected="0">
            <x v="20"/>
          </reference>
          <reference field="3" count="1" selected="0">
            <x v="7"/>
          </reference>
          <reference field="4" count="1" selected="0">
            <x v="21"/>
          </reference>
        </references>
      </pivotArea>
    </format>
    <format dxfId="633">
      <pivotArea outline="0" fieldPosition="0">
        <references count="3">
          <reference field="0" count="1" selected="0">
            <x v="21"/>
          </reference>
          <reference field="3" count="1" selected="0">
            <x v="7"/>
          </reference>
          <reference field="4" count="1" selected="0">
            <x v="21"/>
          </reference>
        </references>
      </pivotArea>
    </format>
    <format dxfId="632">
      <pivotArea outline="0" fieldPosition="0">
        <references count="3">
          <reference field="0" count="1" selected="0">
            <x v="22"/>
          </reference>
          <reference field="3" count="1" selected="0">
            <x v="7"/>
          </reference>
          <reference field="4" count="1" selected="0">
            <x v="21"/>
          </reference>
        </references>
      </pivotArea>
    </format>
    <format dxfId="631">
      <pivotArea outline="0" fieldPosition="0">
        <references count="3">
          <reference field="0" count="1" selected="0">
            <x v="25"/>
          </reference>
          <reference field="3" count="1" selected="0">
            <x v="7"/>
          </reference>
          <reference field="4" count="1" selected="0">
            <x v="21"/>
          </reference>
        </references>
      </pivotArea>
    </format>
    <format dxfId="630">
      <pivotArea outline="0" fieldPosition="0">
        <references count="3">
          <reference field="0" count="1" selected="0">
            <x v="26"/>
          </reference>
          <reference field="3" count="1" selected="0">
            <x v="7"/>
          </reference>
          <reference field="4" count="1" selected="0">
            <x v="21"/>
          </reference>
        </references>
      </pivotArea>
    </format>
    <format dxfId="629">
      <pivotArea outline="0" fieldPosition="0">
        <references count="3">
          <reference field="0" count="1" selected="0">
            <x v="27"/>
          </reference>
          <reference field="3" count="1" selected="0">
            <x v="7"/>
          </reference>
          <reference field="4" count="1" selected="0">
            <x v="21"/>
          </reference>
        </references>
      </pivotArea>
    </format>
    <format dxfId="628">
      <pivotArea outline="0" fieldPosition="0">
        <references count="3">
          <reference field="0" count="1" selected="0">
            <x v="29"/>
          </reference>
          <reference field="3" count="1" selected="0">
            <x v="7"/>
          </reference>
          <reference field="4" count="1" selected="0">
            <x v="21"/>
          </reference>
        </references>
      </pivotArea>
    </format>
    <format dxfId="627">
      <pivotArea outline="0" fieldPosition="0">
        <references count="3">
          <reference field="0" count="1" selected="0">
            <x v="30"/>
          </reference>
          <reference field="3" count="1" selected="0">
            <x v="7"/>
          </reference>
          <reference field="4" count="1" selected="0">
            <x v="21"/>
          </reference>
        </references>
      </pivotArea>
    </format>
    <format dxfId="626">
      <pivotArea outline="0" fieldPosition="0">
        <references count="3">
          <reference field="0" count="1" selected="0">
            <x v="31"/>
          </reference>
          <reference field="3" count="1" selected="0">
            <x v="7"/>
          </reference>
          <reference field="4" count="1" selected="0">
            <x v="21"/>
          </reference>
        </references>
      </pivotArea>
    </format>
    <format dxfId="625">
      <pivotArea outline="0" fieldPosition="0">
        <references count="3">
          <reference field="0" count="1" selected="0">
            <x v="32"/>
          </reference>
          <reference field="3" count="1" selected="0">
            <x v="7"/>
          </reference>
          <reference field="4" count="1" selected="0">
            <x v="21"/>
          </reference>
        </references>
      </pivotArea>
    </format>
    <format dxfId="624">
      <pivotArea outline="0" fieldPosition="0">
        <references count="3">
          <reference field="0" count="1" selected="0">
            <x v="34"/>
          </reference>
          <reference field="3" count="1" selected="0">
            <x v="7"/>
          </reference>
          <reference field="4" count="1" selected="0">
            <x v="21"/>
          </reference>
        </references>
      </pivotArea>
    </format>
    <format dxfId="623">
      <pivotArea outline="0" fieldPosition="0">
        <references count="3">
          <reference field="0" count="1" selected="0">
            <x v="35"/>
          </reference>
          <reference field="3" count="1" selected="0">
            <x v="7"/>
          </reference>
          <reference field="4" count="1" selected="0">
            <x v="21"/>
          </reference>
        </references>
      </pivotArea>
    </format>
    <format dxfId="622">
      <pivotArea outline="0" fieldPosition="0">
        <references count="3">
          <reference field="0" count="1" selected="0">
            <x v="36"/>
          </reference>
          <reference field="3" count="1" selected="0">
            <x v="7"/>
          </reference>
          <reference field="4" count="1" selected="0">
            <x v="21"/>
          </reference>
        </references>
      </pivotArea>
    </format>
    <format dxfId="621">
      <pivotArea outline="0" fieldPosition="0">
        <references count="3">
          <reference field="0" count="1" selected="0">
            <x v="37"/>
          </reference>
          <reference field="3" count="1" selected="0">
            <x v="7"/>
          </reference>
          <reference field="4" count="1" selected="0">
            <x v="21"/>
          </reference>
        </references>
      </pivotArea>
    </format>
    <format dxfId="620">
      <pivotArea outline="0" fieldPosition="0">
        <references count="3">
          <reference field="0" count="1" selected="0">
            <x v="39"/>
          </reference>
          <reference field="3" count="1" selected="0">
            <x v="7"/>
          </reference>
          <reference field="4" count="1" selected="0">
            <x v="21"/>
          </reference>
        </references>
      </pivotArea>
    </format>
    <format dxfId="619">
      <pivotArea outline="0" fieldPosition="0">
        <references count="3">
          <reference field="0" count="1" selected="0">
            <x v="40"/>
          </reference>
          <reference field="3" count="1" selected="0">
            <x v="7"/>
          </reference>
          <reference field="4" count="1" selected="0">
            <x v="21"/>
          </reference>
        </references>
      </pivotArea>
    </format>
    <format dxfId="618">
      <pivotArea outline="0" fieldPosition="0">
        <references count="3">
          <reference field="0" count="1" selected="0">
            <x v="41"/>
          </reference>
          <reference field="3" count="1" selected="0">
            <x v="7"/>
          </reference>
          <reference field="4" count="1" selected="0">
            <x v="21"/>
          </reference>
        </references>
      </pivotArea>
    </format>
    <format dxfId="617">
      <pivotArea outline="0" fieldPosition="0">
        <references count="3">
          <reference field="0" count="1" selected="0">
            <x v="42"/>
          </reference>
          <reference field="3" count="1" selected="0">
            <x v="7"/>
          </reference>
          <reference field="4" count="1" selected="0">
            <x v="21"/>
          </reference>
        </references>
      </pivotArea>
    </format>
    <format dxfId="616">
      <pivotArea outline="0" fieldPosition="0">
        <references count="3">
          <reference field="0" count="1" selected="0">
            <x v="44"/>
          </reference>
          <reference field="3" count="1" selected="0">
            <x v="7"/>
          </reference>
          <reference field="4" count="1" selected="0">
            <x v="21"/>
          </reference>
        </references>
      </pivotArea>
    </format>
    <format dxfId="615">
      <pivotArea outline="0" fieldPosition="0">
        <references count="3">
          <reference field="0" count="1" selected="0">
            <x v="45"/>
          </reference>
          <reference field="3" count="1" selected="0">
            <x v="7"/>
          </reference>
          <reference field="4" count="1" selected="0">
            <x v="21"/>
          </reference>
        </references>
      </pivotArea>
    </format>
    <format dxfId="614">
      <pivotArea outline="0" fieldPosition="0">
        <references count="3">
          <reference field="0" count="1" selected="0">
            <x v="46"/>
          </reference>
          <reference field="3" count="1" selected="0">
            <x v="7"/>
          </reference>
          <reference field="4" count="1" selected="0">
            <x v="21"/>
          </reference>
        </references>
      </pivotArea>
    </format>
    <format dxfId="613">
      <pivotArea outline="0" fieldPosition="0">
        <references count="3">
          <reference field="0" count="1" selected="0">
            <x v="47"/>
          </reference>
          <reference field="3" count="1" selected="0">
            <x v="7"/>
          </reference>
          <reference field="4" count="1" selected="0">
            <x v="21"/>
          </reference>
        </references>
      </pivotArea>
    </format>
    <format dxfId="612">
      <pivotArea outline="0" fieldPosition="0">
        <references count="3">
          <reference field="0" count="1" selected="0">
            <x v="48"/>
          </reference>
          <reference field="3" count="1" selected="0">
            <x v="7"/>
          </reference>
          <reference field="4" count="1" selected="0">
            <x v="21"/>
          </reference>
        </references>
      </pivotArea>
    </format>
    <format dxfId="611">
      <pivotArea outline="0" fieldPosition="0">
        <references count="3">
          <reference field="0" count="1" selected="0">
            <x v="49"/>
          </reference>
          <reference field="3" count="1" selected="0">
            <x v="7"/>
          </reference>
          <reference field="4" count="1" selected="0">
            <x v="21"/>
          </reference>
        </references>
      </pivotArea>
    </format>
    <format dxfId="610">
      <pivotArea outline="0" fieldPosition="0">
        <references count="3">
          <reference field="0" count="1" selected="0">
            <x v="50"/>
          </reference>
          <reference field="3" count="1" selected="0">
            <x v="7"/>
          </reference>
          <reference field="4" count="1" selected="0">
            <x v="21"/>
          </reference>
        </references>
      </pivotArea>
    </format>
    <format dxfId="609">
      <pivotArea outline="0" fieldPosition="0">
        <references count="3">
          <reference field="0" count="1" selected="0">
            <x v="51"/>
          </reference>
          <reference field="3" count="1" selected="0">
            <x v="7"/>
          </reference>
          <reference field="4" count="1" selected="0">
            <x v="21"/>
          </reference>
        </references>
      </pivotArea>
    </format>
    <format dxfId="608">
      <pivotArea outline="0" fieldPosition="0">
        <references count="3">
          <reference field="0" count="1" selected="0">
            <x v="52"/>
          </reference>
          <reference field="3" count="1" selected="0">
            <x v="7"/>
          </reference>
          <reference field="4" count="1" selected="0">
            <x v="21"/>
          </reference>
        </references>
      </pivotArea>
    </format>
    <format dxfId="607">
      <pivotArea outline="0" fieldPosition="0">
        <references count="3">
          <reference field="0" count="1" selected="0">
            <x v="53"/>
          </reference>
          <reference field="3" count="1" selected="0">
            <x v="7"/>
          </reference>
          <reference field="4" count="1" selected="0">
            <x v="21"/>
          </reference>
        </references>
      </pivotArea>
    </format>
    <format dxfId="606">
      <pivotArea outline="0" fieldPosition="0">
        <references count="3">
          <reference field="0" count="1" selected="0">
            <x v="54"/>
          </reference>
          <reference field="3" count="1" selected="0">
            <x v="7"/>
          </reference>
          <reference field="4" count="1" selected="0">
            <x v="21"/>
          </reference>
        </references>
      </pivotArea>
    </format>
    <format dxfId="605">
      <pivotArea outline="0" fieldPosition="0">
        <references count="3">
          <reference field="0" count="1" selected="0">
            <x v="55"/>
          </reference>
          <reference field="3" count="1" selected="0">
            <x v="7"/>
          </reference>
          <reference field="4" count="1" selected="0">
            <x v="21"/>
          </reference>
        </references>
      </pivotArea>
    </format>
    <format dxfId="604">
      <pivotArea outline="0" fieldPosition="0">
        <references count="3">
          <reference field="0" count="1" selected="0">
            <x v="56"/>
          </reference>
          <reference field="3" count="1" selected="0">
            <x v="7"/>
          </reference>
          <reference field="4" count="1" selected="0">
            <x v="21"/>
          </reference>
        </references>
      </pivotArea>
    </format>
    <format dxfId="603">
      <pivotArea outline="0" fieldPosition="0">
        <references count="3">
          <reference field="0" count="1" selected="0">
            <x v="57"/>
          </reference>
          <reference field="3" count="1" selected="0">
            <x v="7"/>
          </reference>
          <reference field="4" count="1" selected="0">
            <x v="21"/>
          </reference>
        </references>
      </pivotArea>
    </format>
    <format dxfId="602">
      <pivotArea outline="0" fieldPosition="0">
        <references count="3">
          <reference field="0" count="1" selected="0">
            <x v="58"/>
          </reference>
          <reference field="3" count="1" selected="0">
            <x v="7"/>
          </reference>
          <reference field="4" count="1" selected="0">
            <x v="21"/>
          </reference>
        </references>
      </pivotArea>
    </format>
    <format dxfId="601">
      <pivotArea outline="0" fieldPosition="0">
        <references count="3">
          <reference field="0" count="1" selected="0">
            <x v="59"/>
          </reference>
          <reference field="3" count="1" selected="0">
            <x v="7"/>
          </reference>
          <reference field="4" count="1" selected="0">
            <x v="21"/>
          </reference>
        </references>
      </pivotArea>
    </format>
    <format dxfId="600">
      <pivotArea outline="0" fieldPosition="0">
        <references count="3">
          <reference field="0" count="1" selected="0">
            <x v="60"/>
          </reference>
          <reference field="3" count="1" selected="0">
            <x v="7"/>
          </reference>
          <reference field="4" count="1" selected="0">
            <x v="21"/>
          </reference>
        </references>
      </pivotArea>
    </format>
    <format dxfId="599">
      <pivotArea outline="0" fieldPosition="0">
        <references count="3">
          <reference field="0" count="1" selected="0">
            <x v="61"/>
          </reference>
          <reference field="3" count="1" selected="0">
            <x v="7"/>
          </reference>
          <reference field="4" count="1" selected="0">
            <x v="21"/>
          </reference>
        </references>
      </pivotArea>
    </format>
    <format dxfId="598">
      <pivotArea outline="0" fieldPosition="0">
        <references count="3">
          <reference field="0" count="1" selected="0">
            <x v="62"/>
          </reference>
          <reference field="3" count="1" selected="0">
            <x v="7"/>
          </reference>
          <reference field="4" count="1" selected="0">
            <x v="21"/>
          </reference>
        </references>
      </pivotArea>
    </format>
    <format dxfId="597">
      <pivotArea outline="0" fieldPosition="0">
        <references count="3">
          <reference field="0" count="1" selected="0">
            <x v="63"/>
          </reference>
          <reference field="3" count="1" selected="0">
            <x v="7"/>
          </reference>
          <reference field="4" count="1" selected="0">
            <x v="21"/>
          </reference>
        </references>
      </pivotArea>
    </format>
    <format dxfId="596">
      <pivotArea outline="0" fieldPosition="0">
        <references count="3">
          <reference field="0" count="1" selected="0">
            <x v="64"/>
          </reference>
          <reference field="3" count="1" selected="0">
            <x v="7"/>
          </reference>
          <reference field="4" count="1" selected="0">
            <x v="21"/>
          </reference>
        </references>
      </pivotArea>
    </format>
    <format dxfId="595">
      <pivotArea outline="0" fieldPosition="0">
        <references count="3">
          <reference field="0" count="1" selected="0">
            <x v="65"/>
          </reference>
          <reference field="3" count="1" selected="0">
            <x v="7"/>
          </reference>
          <reference field="4" count="1" selected="0">
            <x v="21"/>
          </reference>
        </references>
      </pivotArea>
    </format>
    <format dxfId="594">
      <pivotArea outline="0" fieldPosition="0">
        <references count="3">
          <reference field="0" count="1" selected="0">
            <x v="66"/>
          </reference>
          <reference field="3" count="1" selected="0">
            <x v="7"/>
          </reference>
          <reference field="4" count="1" selected="0">
            <x v="21"/>
          </reference>
        </references>
      </pivotArea>
    </format>
    <format dxfId="593">
      <pivotArea outline="0" fieldPosition="0">
        <references count="3">
          <reference field="0" count="1" selected="0">
            <x v="67"/>
          </reference>
          <reference field="3" count="1" selected="0">
            <x v="7"/>
          </reference>
          <reference field="4" count="1" selected="0">
            <x v="21"/>
          </reference>
        </references>
      </pivotArea>
    </format>
    <format dxfId="592">
      <pivotArea outline="0" fieldPosition="0">
        <references count="3">
          <reference field="0" count="1" selected="0">
            <x v="68"/>
          </reference>
          <reference field="3" count="1" selected="0">
            <x v="7"/>
          </reference>
          <reference field="4" count="1" selected="0">
            <x v="21"/>
          </reference>
        </references>
      </pivotArea>
    </format>
    <format dxfId="591">
      <pivotArea outline="0" fieldPosition="0">
        <references count="3">
          <reference field="0" count="1" selected="0">
            <x v="69"/>
          </reference>
          <reference field="3" count="1" selected="0">
            <x v="7"/>
          </reference>
          <reference field="4" count="1" selected="0">
            <x v="21"/>
          </reference>
        </references>
      </pivotArea>
    </format>
    <format dxfId="590">
      <pivotArea outline="0" fieldPosition="0">
        <references count="3">
          <reference field="0" count="1" selected="0">
            <x v="70"/>
          </reference>
          <reference field="3" count="1" selected="0">
            <x v="7"/>
          </reference>
          <reference field="4" count="1" selected="0">
            <x v="21"/>
          </reference>
        </references>
      </pivotArea>
    </format>
    <format dxfId="589">
      <pivotArea outline="0" fieldPosition="0">
        <references count="3">
          <reference field="0" count="1" selected="0">
            <x v="159"/>
          </reference>
          <reference field="3" count="1" selected="0">
            <x v="7"/>
          </reference>
          <reference field="4" count="1" selected="0">
            <x v="21"/>
          </reference>
        </references>
      </pivotArea>
    </format>
    <format dxfId="588">
      <pivotArea outline="0" fieldPosition="0">
        <references count="3">
          <reference field="0" count="1" selected="0">
            <x v="179"/>
          </reference>
          <reference field="3" count="1" selected="0">
            <x v="7"/>
          </reference>
          <reference field="4" count="1" selected="0">
            <x v="21"/>
          </reference>
        </references>
      </pivotArea>
    </format>
    <format dxfId="587">
      <pivotArea outline="0" fieldPosition="0">
        <references count="3">
          <reference field="0" count="1" selected="0">
            <x v="180"/>
          </reference>
          <reference field="3" count="1" selected="0">
            <x v="7"/>
          </reference>
          <reference field="4" count="1" selected="0">
            <x v="21"/>
          </reference>
        </references>
      </pivotArea>
    </format>
    <format dxfId="586">
      <pivotArea outline="0" fieldPosition="0">
        <references count="3">
          <reference field="0" count="1" selected="0">
            <x v="212"/>
          </reference>
          <reference field="3" count="1" selected="0">
            <x v="7"/>
          </reference>
          <reference field="4" count="1" selected="0">
            <x v="21"/>
          </reference>
        </references>
      </pivotArea>
    </format>
    <format dxfId="585">
      <pivotArea outline="0" fieldPosition="0">
        <references count="3">
          <reference field="0" count="1" selected="0">
            <x v="233"/>
          </reference>
          <reference field="3" count="1" selected="0">
            <x v="7"/>
          </reference>
          <reference field="4" count="1" selected="0">
            <x v="21"/>
          </reference>
        </references>
      </pivotArea>
    </format>
    <format dxfId="584">
      <pivotArea outline="0" fieldPosition="0">
        <references count="3">
          <reference field="0" count="1" selected="0">
            <x v="236"/>
          </reference>
          <reference field="3" count="1" selected="0">
            <x v="7"/>
          </reference>
          <reference field="4" count="1" selected="0">
            <x v="21"/>
          </reference>
        </references>
      </pivotArea>
    </format>
    <format dxfId="583">
      <pivotArea outline="0" fieldPosition="0">
        <references count="3">
          <reference field="0" count="1" selected="0">
            <x v="242"/>
          </reference>
          <reference field="3" count="1" selected="0">
            <x v="7"/>
          </reference>
          <reference field="4" count="1" selected="0">
            <x v="21"/>
          </reference>
        </references>
      </pivotArea>
    </format>
    <format dxfId="582">
      <pivotArea outline="0" fieldPosition="0">
        <references count="3">
          <reference field="0" count="1" selected="0">
            <x v="384"/>
          </reference>
          <reference field="3" count="1" selected="0">
            <x v="7"/>
          </reference>
          <reference field="4" count="1" selected="0">
            <x v="21"/>
          </reference>
        </references>
      </pivotArea>
    </format>
    <format dxfId="581">
      <pivotArea outline="0" fieldPosition="0">
        <references count="3">
          <reference field="0" count="1" selected="0">
            <x v="391"/>
          </reference>
          <reference field="3" count="1" selected="0">
            <x v="7"/>
          </reference>
          <reference field="4" count="1" selected="0">
            <x v="21"/>
          </reference>
        </references>
      </pivotArea>
    </format>
    <format dxfId="580">
      <pivotArea outline="0" fieldPosition="0">
        <references count="3">
          <reference field="0" count="1" selected="0">
            <x v="441"/>
          </reference>
          <reference field="3" count="1" selected="0">
            <x v="7"/>
          </reference>
          <reference field="4" count="1" selected="0">
            <x v="21"/>
          </reference>
        </references>
      </pivotArea>
    </format>
    <format dxfId="579">
      <pivotArea outline="0" fieldPosition="0">
        <references count="3">
          <reference field="0" count="1" selected="0">
            <x v="536"/>
          </reference>
          <reference field="3" count="1" selected="0">
            <x v="7"/>
          </reference>
          <reference field="4" count="1" selected="0">
            <x v="21"/>
          </reference>
        </references>
      </pivotArea>
    </format>
    <format dxfId="578">
      <pivotArea outline="0" fieldPosition="0">
        <references count="3">
          <reference field="0" count="1" selected="0">
            <x v="537"/>
          </reference>
          <reference field="3" count="1" selected="0">
            <x v="7"/>
          </reference>
          <reference field="4" count="1" selected="0">
            <x v="21"/>
          </reference>
        </references>
      </pivotArea>
    </format>
    <format dxfId="577">
      <pivotArea outline="0" fieldPosition="0">
        <references count="3">
          <reference field="0" count="1" selected="0">
            <x v="538"/>
          </reference>
          <reference field="3" count="1" selected="0">
            <x v="7"/>
          </reference>
          <reference field="4" count="1" selected="0">
            <x v="21"/>
          </reference>
        </references>
      </pivotArea>
    </format>
    <format dxfId="576">
      <pivotArea outline="0" fieldPosition="0">
        <references count="3">
          <reference field="0" count="1" selected="0">
            <x v="539"/>
          </reference>
          <reference field="3" count="1" selected="0">
            <x v="7"/>
          </reference>
          <reference field="4" count="1" selected="0">
            <x v="21"/>
          </reference>
        </references>
      </pivotArea>
    </format>
    <format dxfId="575">
      <pivotArea outline="0" fieldPosition="0">
        <references count="3">
          <reference field="0" count="1" selected="0">
            <x v="561"/>
          </reference>
          <reference field="3" count="1" selected="0">
            <x v="7"/>
          </reference>
          <reference field="4" count="1" selected="0">
            <x v="21"/>
          </reference>
        </references>
      </pivotArea>
    </format>
    <format dxfId="574">
      <pivotArea outline="0" fieldPosition="0">
        <references count="1">
          <reference field="3" count="1" selected="0">
            <x v="0"/>
          </reference>
        </references>
      </pivotArea>
    </format>
    <format dxfId="573">
      <pivotArea outline="0" fieldPosition="0">
        <references count="1">
          <reference field="3" count="1" selected="0">
            <x v="1"/>
          </reference>
        </references>
      </pivotArea>
    </format>
    <format dxfId="572">
      <pivotArea outline="0" fieldPosition="0">
        <references count="1">
          <reference field="3" count="1" selected="0">
            <x v="2"/>
          </reference>
        </references>
      </pivotArea>
    </format>
    <format dxfId="571">
      <pivotArea outline="0" fieldPosition="0">
        <references count="1">
          <reference field="3" count="1" selected="0">
            <x v="3"/>
          </reference>
        </references>
      </pivotArea>
    </format>
    <format dxfId="570">
      <pivotArea outline="0" fieldPosition="0">
        <references count="1">
          <reference field="3" count="1" selected="0">
            <x v="4"/>
          </reference>
        </references>
      </pivotArea>
    </format>
    <format dxfId="569">
      <pivotArea outline="0" fieldPosition="0">
        <references count="1">
          <reference field="3" count="1" selected="0">
            <x v="5"/>
          </reference>
        </references>
      </pivotArea>
    </format>
    <format dxfId="568">
      <pivotArea outline="0" fieldPosition="0">
        <references count="1">
          <reference field="3" count="1" selected="0">
            <x v="6"/>
          </reference>
        </references>
      </pivotArea>
    </format>
    <format dxfId="567">
      <pivotArea outline="0" fieldPosition="0">
        <references count="3">
          <reference field="0" count="1" selected="0">
            <x v="135"/>
          </reference>
          <reference field="3" count="1" selected="0">
            <x v="2"/>
          </reference>
          <reference field="4" count="1" selected="0">
            <x v="7"/>
          </reference>
        </references>
      </pivotArea>
    </format>
    <format dxfId="566">
      <pivotArea outline="0" fieldPosition="0">
        <references count="3">
          <reference field="0" count="1" selected="0">
            <x v="140"/>
          </reference>
          <reference field="3" count="1" selected="0">
            <x v="2"/>
          </reference>
          <reference field="4" count="1" selected="0">
            <x v="7"/>
          </reference>
        </references>
      </pivotArea>
    </format>
    <format dxfId="565">
      <pivotArea outline="0" fieldPosition="0">
        <references count="3">
          <reference field="0" count="1" selected="0">
            <x v="151"/>
          </reference>
          <reference field="3" count="1" selected="0">
            <x v="2"/>
          </reference>
          <reference field="4" count="1" selected="0">
            <x v="7"/>
          </reference>
        </references>
      </pivotArea>
    </format>
    <format dxfId="564">
      <pivotArea outline="0" fieldPosition="0">
        <references count="2">
          <reference field="3" count="1" selected="0">
            <x v="2"/>
          </reference>
          <reference field="4" count="1" selected="0" defaultSubtotal="1">
            <x v="7"/>
          </reference>
        </references>
      </pivotArea>
    </format>
    <format dxfId="563">
      <pivotArea outline="0" fieldPosition="0">
        <references count="3">
          <reference field="0" count="1" selected="0">
            <x v="183"/>
          </reference>
          <reference field="3" count="1" selected="0">
            <x v="2"/>
          </reference>
          <reference field="4" count="1" selected="0">
            <x v="8"/>
          </reference>
        </references>
      </pivotArea>
    </format>
    <format dxfId="562">
      <pivotArea outline="0" fieldPosition="0">
        <references count="3">
          <reference field="0" count="1" selected="0">
            <x v="204"/>
          </reference>
          <reference field="3" count="1" selected="0">
            <x v="2"/>
          </reference>
          <reference field="4" count="1" selected="0">
            <x v="8"/>
          </reference>
        </references>
      </pivotArea>
    </format>
    <format dxfId="561">
      <pivotArea outline="0" fieldPosition="0">
        <references count="3">
          <reference field="0" count="1" selected="0">
            <x v="213"/>
          </reference>
          <reference field="3" count="1" selected="0">
            <x v="2"/>
          </reference>
          <reference field="4" count="1" selected="0">
            <x v="8"/>
          </reference>
        </references>
      </pivotArea>
    </format>
    <format dxfId="560">
      <pivotArea outline="0" fieldPosition="0">
        <references count="3">
          <reference field="0" count="1" selected="0">
            <x v="265"/>
          </reference>
          <reference field="3" count="1" selected="0">
            <x v="2"/>
          </reference>
          <reference field="4" count="1" selected="0">
            <x v="8"/>
          </reference>
        </references>
      </pivotArea>
    </format>
    <format dxfId="559">
      <pivotArea outline="0" fieldPosition="0">
        <references count="3">
          <reference field="0" count="1" selected="0">
            <x v="373"/>
          </reference>
          <reference field="3" count="1" selected="0">
            <x v="2"/>
          </reference>
          <reference field="4" count="1" selected="0">
            <x v="8"/>
          </reference>
        </references>
      </pivotArea>
    </format>
    <format dxfId="558">
      <pivotArea outline="0" fieldPosition="0">
        <references count="3">
          <reference field="0" count="1" selected="0">
            <x v="374"/>
          </reference>
          <reference field="3" count="1" selected="0">
            <x v="2"/>
          </reference>
          <reference field="4" count="1" selected="0">
            <x v="8"/>
          </reference>
        </references>
      </pivotArea>
    </format>
    <format dxfId="557">
      <pivotArea outline="0" fieldPosition="0">
        <references count="3">
          <reference field="0" count="1" selected="0">
            <x v="553"/>
          </reference>
          <reference field="3" count="1" selected="0">
            <x v="2"/>
          </reference>
          <reference field="4" count="1" selected="0">
            <x v="8"/>
          </reference>
        </references>
      </pivotArea>
    </format>
    <format dxfId="556">
      <pivotArea outline="0" fieldPosition="0">
        <references count="3">
          <reference field="0" count="1" selected="0">
            <x v="187"/>
          </reference>
          <reference field="3" count="1" selected="0">
            <x v="2"/>
          </reference>
          <reference field="4" count="1" selected="0">
            <x v="12"/>
          </reference>
        </references>
      </pivotArea>
    </format>
    <format dxfId="555">
      <pivotArea outline="0" fieldPosition="0">
        <references count="3">
          <reference field="0" count="1" selected="0">
            <x v="188"/>
          </reference>
          <reference field="3" count="1" selected="0">
            <x v="2"/>
          </reference>
          <reference field="4" count="1" selected="0">
            <x v="12"/>
          </reference>
        </references>
      </pivotArea>
    </format>
    <format dxfId="554">
      <pivotArea outline="0" fieldPosition="0">
        <references count="3">
          <reference field="0" count="1" selected="0">
            <x v="189"/>
          </reference>
          <reference field="3" count="1" selected="0">
            <x v="2"/>
          </reference>
          <reference field="4" count="1" selected="0">
            <x v="12"/>
          </reference>
        </references>
      </pivotArea>
    </format>
    <format dxfId="553">
      <pivotArea outline="0" fieldPosition="0">
        <references count="3">
          <reference field="0" count="1" selected="0">
            <x v="245"/>
          </reference>
          <reference field="3" count="1" selected="0">
            <x v="2"/>
          </reference>
          <reference field="4" count="1" selected="0">
            <x v="12"/>
          </reference>
        </references>
      </pivotArea>
    </format>
    <format dxfId="552">
      <pivotArea outline="0" fieldPosition="0">
        <references count="3">
          <reference field="0" count="1" selected="0">
            <x v="246"/>
          </reference>
          <reference field="3" count="1" selected="0">
            <x v="2"/>
          </reference>
          <reference field="4" count="1" selected="0">
            <x v="12"/>
          </reference>
        </references>
      </pivotArea>
    </format>
    <format dxfId="551">
      <pivotArea outline="0" fieldPosition="0">
        <references count="3">
          <reference field="0" count="1" selected="0">
            <x v="372"/>
          </reference>
          <reference field="3" count="1" selected="0">
            <x v="2"/>
          </reference>
          <reference field="4" count="1" selected="0">
            <x v="12"/>
          </reference>
        </references>
      </pivotArea>
    </format>
    <format dxfId="550">
      <pivotArea outline="0" fieldPosition="0">
        <references count="3">
          <reference field="0" count="1" selected="0">
            <x v="552"/>
          </reference>
          <reference field="3" count="1" selected="0">
            <x v="2"/>
          </reference>
          <reference field="4" count="1" selected="0">
            <x v="12"/>
          </reference>
        </references>
      </pivotArea>
    </format>
    <format dxfId="549">
      <pivotArea outline="0" fieldPosition="0">
        <references count="3">
          <reference field="0" count="1" selected="0">
            <x v="193"/>
          </reference>
          <reference field="3" count="1" selected="0">
            <x v="2"/>
          </reference>
          <reference field="4" count="1" selected="0">
            <x v="20"/>
          </reference>
        </references>
      </pivotArea>
    </format>
    <format dxfId="548">
      <pivotArea outline="0" fieldPosition="0">
        <references count="3">
          <reference field="0" count="1" selected="0">
            <x v="194"/>
          </reference>
          <reference field="3" count="1" selected="0">
            <x v="2"/>
          </reference>
          <reference field="4" count="1" selected="0">
            <x v="20"/>
          </reference>
        </references>
      </pivotArea>
    </format>
    <format dxfId="547">
      <pivotArea outline="0" fieldPosition="0">
        <references count="3">
          <reference field="0" count="1" selected="0">
            <x v="195"/>
          </reference>
          <reference field="3" count="1" selected="0">
            <x v="2"/>
          </reference>
          <reference field="4" count="1" selected="0">
            <x v="20"/>
          </reference>
        </references>
      </pivotArea>
    </format>
    <format dxfId="546">
      <pivotArea outline="0" fieldPosition="0">
        <references count="3">
          <reference field="0" count="1" selected="0">
            <x v="196"/>
          </reference>
          <reference field="3" count="1" selected="0">
            <x v="2"/>
          </reference>
          <reference field="4" count="1" selected="0">
            <x v="20"/>
          </reference>
        </references>
      </pivotArea>
    </format>
    <format dxfId="545">
      <pivotArea outline="0" fieldPosition="0">
        <references count="3">
          <reference field="0" count="1" selected="0">
            <x v="197"/>
          </reference>
          <reference field="3" count="1" selected="0">
            <x v="2"/>
          </reference>
          <reference field="4" count="1" selected="0">
            <x v="20"/>
          </reference>
        </references>
      </pivotArea>
    </format>
    <format dxfId="544">
      <pivotArea outline="0" fieldPosition="0">
        <references count="3">
          <reference field="0" count="1" selected="0">
            <x v="199"/>
          </reference>
          <reference field="3" count="1" selected="0">
            <x v="2"/>
          </reference>
          <reference field="4" count="1" selected="0">
            <x v="20"/>
          </reference>
        </references>
      </pivotArea>
    </format>
    <format dxfId="543">
      <pivotArea outline="0" fieldPosition="0">
        <references count="3">
          <reference field="0" count="1" selected="0">
            <x v="200"/>
          </reference>
          <reference field="3" count="1" selected="0">
            <x v="2"/>
          </reference>
          <reference field="4" count="1" selected="0">
            <x v="20"/>
          </reference>
        </references>
      </pivotArea>
    </format>
    <format dxfId="542">
      <pivotArea outline="0" fieldPosition="0">
        <references count="3">
          <reference field="0" count="1" selected="0">
            <x v="201"/>
          </reference>
          <reference field="3" count="1" selected="0">
            <x v="2"/>
          </reference>
          <reference field="4" count="1" selected="0">
            <x v="20"/>
          </reference>
        </references>
      </pivotArea>
    </format>
    <format dxfId="541">
      <pivotArea outline="0" fieldPosition="0">
        <references count="3">
          <reference field="0" count="1" selected="0">
            <x v="202"/>
          </reference>
          <reference field="3" count="1" selected="0">
            <x v="2"/>
          </reference>
          <reference field="4" count="1" selected="0">
            <x v="20"/>
          </reference>
        </references>
      </pivotArea>
    </format>
    <format dxfId="540">
      <pivotArea outline="0" fieldPosition="0">
        <references count="3">
          <reference field="0" count="1" selected="0">
            <x v="243"/>
          </reference>
          <reference field="3" count="1" selected="0">
            <x v="2"/>
          </reference>
          <reference field="4" count="1" selected="0">
            <x v="20"/>
          </reference>
        </references>
      </pivotArea>
    </format>
    <format dxfId="539">
      <pivotArea outline="0" fieldPosition="0">
        <references count="3">
          <reference field="0" count="1" selected="0">
            <x v="244"/>
          </reference>
          <reference field="3" count="1" selected="0">
            <x v="2"/>
          </reference>
          <reference field="4" count="1" selected="0">
            <x v="20"/>
          </reference>
        </references>
      </pivotArea>
    </format>
    <format dxfId="538">
      <pivotArea outline="0" fieldPosition="0">
        <references count="3">
          <reference field="0" count="1" selected="0">
            <x v="248"/>
          </reference>
          <reference field="3" count="1" selected="0">
            <x v="2"/>
          </reference>
          <reference field="4" count="1" selected="0">
            <x v="20"/>
          </reference>
        </references>
      </pivotArea>
    </format>
    <format dxfId="537">
      <pivotArea outline="0" fieldPosition="0">
        <references count="3">
          <reference field="0" count="1" selected="0">
            <x v="249"/>
          </reference>
          <reference field="3" count="1" selected="0">
            <x v="2"/>
          </reference>
          <reference field="4" count="1" selected="0">
            <x v="20"/>
          </reference>
        </references>
      </pivotArea>
    </format>
    <format dxfId="536">
      <pivotArea outline="0" fieldPosition="0">
        <references count="3">
          <reference field="0" count="1" selected="0">
            <x v="250"/>
          </reference>
          <reference field="3" count="1" selected="0">
            <x v="2"/>
          </reference>
          <reference field="4" count="1" selected="0">
            <x v="20"/>
          </reference>
        </references>
      </pivotArea>
    </format>
    <format dxfId="535">
      <pivotArea outline="0" fieldPosition="0">
        <references count="3">
          <reference field="0" count="1" selected="0">
            <x v="251"/>
          </reference>
          <reference field="3" count="1" selected="0">
            <x v="2"/>
          </reference>
          <reference field="4" count="1" selected="0">
            <x v="20"/>
          </reference>
        </references>
      </pivotArea>
    </format>
    <format dxfId="534">
      <pivotArea outline="0" fieldPosition="0">
        <references count="3">
          <reference field="0" count="1" selected="0">
            <x v="252"/>
          </reference>
          <reference field="3" count="1" selected="0">
            <x v="2"/>
          </reference>
          <reference field="4" count="1" selected="0">
            <x v="20"/>
          </reference>
        </references>
      </pivotArea>
    </format>
    <format dxfId="533">
      <pivotArea outline="0" fieldPosition="0">
        <references count="3">
          <reference field="0" count="1" selected="0">
            <x v="253"/>
          </reference>
          <reference field="3" count="1" selected="0">
            <x v="2"/>
          </reference>
          <reference field="4" count="1" selected="0">
            <x v="20"/>
          </reference>
        </references>
      </pivotArea>
    </format>
    <format dxfId="532">
      <pivotArea outline="0" fieldPosition="0">
        <references count="3">
          <reference field="0" count="1" selected="0">
            <x v="254"/>
          </reference>
          <reference field="3" count="1" selected="0">
            <x v="2"/>
          </reference>
          <reference field="4" count="1" selected="0">
            <x v="20"/>
          </reference>
        </references>
      </pivotArea>
    </format>
    <format dxfId="531">
      <pivotArea outline="0" fieldPosition="0">
        <references count="3">
          <reference field="0" count="1" selected="0">
            <x v="255"/>
          </reference>
          <reference field="3" count="1" selected="0">
            <x v="2"/>
          </reference>
          <reference field="4" count="1" selected="0">
            <x v="20"/>
          </reference>
        </references>
      </pivotArea>
    </format>
    <format dxfId="530">
      <pivotArea outline="0" fieldPosition="0">
        <references count="3">
          <reference field="0" count="1" selected="0">
            <x v="256"/>
          </reference>
          <reference field="3" count="1" selected="0">
            <x v="2"/>
          </reference>
          <reference field="4" count="1" selected="0">
            <x v="20"/>
          </reference>
        </references>
      </pivotArea>
    </format>
    <format dxfId="529">
      <pivotArea outline="0" fieldPosition="0">
        <references count="3">
          <reference field="0" count="1" selected="0">
            <x v="257"/>
          </reference>
          <reference field="3" count="1" selected="0">
            <x v="2"/>
          </reference>
          <reference field="4" count="1" selected="0">
            <x v="20"/>
          </reference>
        </references>
      </pivotArea>
    </format>
    <format dxfId="528">
      <pivotArea outline="0" fieldPosition="0">
        <references count="3">
          <reference field="0" count="1" selected="0">
            <x v="258"/>
          </reference>
          <reference field="3" count="1" selected="0">
            <x v="2"/>
          </reference>
          <reference field="4" count="1" selected="0">
            <x v="20"/>
          </reference>
        </references>
      </pivotArea>
    </format>
    <format dxfId="527">
      <pivotArea outline="0" fieldPosition="0">
        <references count="3">
          <reference field="0" count="1" selected="0">
            <x v="259"/>
          </reference>
          <reference field="3" count="1" selected="0">
            <x v="2"/>
          </reference>
          <reference field="4" count="1" selected="0">
            <x v="20"/>
          </reference>
        </references>
      </pivotArea>
    </format>
    <format dxfId="526">
      <pivotArea outline="0" fieldPosition="0">
        <references count="3">
          <reference field="0" count="1" selected="0">
            <x v="260"/>
          </reference>
          <reference field="3" count="1" selected="0">
            <x v="2"/>
          </reference>
          <reference field="4" count="1" selected="0">
            <x v="20"/>
          </reference>
        </references>
      </pivotArea>
    </format>
    <format dxfId="525">
      <pivotArea outline="0" fieldPosition="0">
        <references count="3">
          <reference field="0" count="1" selected="0">
            <x v="261"/>
          </reference>
          <reference field="3" count="1" selected="0">
            <x v="2"/>
          </reference>
          <reference field="4" count="1" selected="0">
            <x v="20"/>
          </reference>
        </references>
      </pivotArea>
    </format>
    <format dxfId="524">
      <pivotArea outline="0" fieldPosition="0">
        <references count="3">
          <reference field="0" count="1" selected="0">
            <x v="262"/>
          </reference>
          <reference field="3" count="1" selected="0">
            <x v="2"/>
          </reference>
          <reference field="4" count="1" selected="0">
            <x v="20"/>
          </reference>
        </references>
      </pivotArea>
    </format>
    <format dxfId="523">
      <pivotArea outline="0" fieldPosition="0">
        <references count="3">
          <reference field="0" count="1" selected="0">
            <x v="263"/>
          </reference>
          <reference field="3" count="1" selected="0">
            <x v="2"/>
          </reference>
          <reference field="4" count="1" selected="0">
            <x v="20"/>
          </reference>
        </references>
      </pivotArea>
    </format>
    <format dxfId="522">
      <pivotArea outline="0" fieldPosition="0">
        <references count="3">
          <reference field="0" count="1" selected="0">
            <x v="376"/>
          </reference>
          <reference field="3" count="1" selected="0">
            <x v="2"/>
          </reference>
          <reference field="4" count="1" selected="0">
            <x v="20"/>
          </reference>
        </references>
      </pivotArea>
    </format>
    <format dxfId="521">
      <pivotArea outline="0" fieldPosition="0">
        <references count="3">
          <reference field="0" count="1" selected="0">
            <x v="377"/>
          </reference>
          <reference field="3" count="1" selected="0">
            <x v="2"/>
          </reference>
          <reference field="4" count="1" selected="0">
            <x v="20"/>
          </reference>
        </references>
      </pivotArea>
    </format>
    <format dxfId="520">
      <pivotArea outline="0" fieldPosition="0">
        <references count="3">
          <reference field="0" count="1" selected="0">
            <x v="266"/>
          </reference>
          <reference field="3" count="1" selected="0">
            <x v="4"/>
          </reference>
          <reference field="4" count="1" selected="0">
            <x v="2"/>
          </reference>
        </references>
      </pivotArea>
    </format>
    <format dxfId="519">
      <pivotArea outline="0" fieldPosition="0">
        <references count="3">
          <reference field="0" count="1" selected="0">
            <x v="347"/>
          </reference>
          <reference field="3" count="1" selected="0">
            <x v="4"/>
          </reference>
          <reference field="4" count="1" selected="0">
            <x v="2"/>
          </reference>
        </references>
      </pivotArea>
    </format>
    <format dxfId="518">
      <pivotArea outline="0" fieldPosition="0">
        <references count="3">
          <reference field="0" count="1" selected="0">
            <x v="349"/>
          </reference>
          <reference field="3" count="1" selected="0">
            <x v="4"/>
          </reference>
          <reference field="4" count="1" selected="0">
            <x v="2"/>
          </reference>
        </references>
      </pivotArea>
    </format>
    <format dxfId="517">
      <pivotArea outline="0" fieldPosition="0">
        <references count="3">
          <reference field="0" count="1" selected="0">
            <x v="350"/>
          </reference>
          <reference field="3" count="1" selected="0">
            <x v="4"/>
          </reference>
          <reference field="4" count="1" selected="0">
            <x v="2"/>
          </reference>
        </references>
      </pivotArea>
    </format>
    <format dxfId="516">
      <pivotArea outline="0" fieldPosition="0">
        <references count="3">
          <reference field="0" count="1" selected="0">
            <x v="355"/>
          </reference>
          <reference field="3" count="1" selected="0">
            <x v="4"/>
          </reference>
          <reference field="4" count="1" selected="0">
            <x v="2"/>
          </reference>
        </references>
      </pivotArea>
    </format>
    <format dxfId="515">
      <pivotArea outline="0" fieldPosition="0">
        <references count="3">
          <reference field="0" count="1" selected="0">
            <x v="356"/>
          </reference>
          <reference field="3" count="1" selected="0">
            <x v="4"/>
          </reference>
          <reference field="4" count="1" selected="0">
            <x v="2"/>
          </reference>
        </references>
      </pivotArea>
    </format>
    <format dxfId="514">
      <pivotArea outline="0" fieldPosition="0">
        <references count="3">
          <reference field="0" count="1" selected="0">
            <x v="357"/>
          </reference>
          <reference field="3" count="1" selected="0">
            <x v="4"/>
          </reference>
          <reference field="4" count="1" selected="0">
            <x v="2"/>
          </reference>
        </references>
      </pivotArea>
    </format>
    <format dxfId="513">
      <pivotArea outline="0" fieldPosition="0">
        <references count="3">
          <reference field="0" count="1" selected="0">
            <x v="358"/>
          </reference>
          <reference field="3" count="1" selected="0">
            <x v="4"/>
          </reference>
          <reference field="4" count="1" selected="0">
            <x v="2"/>
          </reference>
        </references>
      </pivotArea>
    </format>
    <format dxfId="512">
      <pivotArea outline="0" fieldPosition="0">
        <references count="3">
          <reference field="0" count="1" selected="0">
            <x v="359"/>
          </reference>
          <reference field="3" count="1" selected="0">
            <x v="4"/>
          </reference>
          <reference field="4" count="1" selected="0">
            <x v="2"/>
          </reference>
        </references>
      </pivotArea>
    </format>
    <format dxfId="511">
      <pivotArea outline="0" fieldPosition="0">
        <references count="3">
          <reference field="0" count="1" selected="0">
            <x v="360"/>
          </reference>
          <reference field="3" count="1" selected="0">
            <x v="4"/>
          </reference>
          <reference field="4" count="1" selected="0">
            <x v="2"/>
          </reference>
        </references>
      </pivotArea>
    </format>
    <format dxfId="510">
      <pivotArea outline="0" fieldPosition="0">
        <references count="3">
          <reference field="0" count="1" selected="0">
            <x v="361"/>
          </reference>
          <reference field="3" count="1" selected="0">
            <x v="4"/>
          </reference>
          <reference field="4" count="1" selected="0">
            <x v="2"/>
          </reference>
        </references>
      </pivotArea>
    </format>
    <format dxfId="509">
      <pivotArea outline="0" fieldPosition="0">
        <references count="3">
          <reference field="0" count="1" selected="0">
            <x v="362"/>
          </reference>
          <reference field="3" count="1" selected="0">
            <x v="4"/>
          </reference>
          <reference field="4" count="1" selected="0">
            <x v="2"/>
          </reference>
        </references>
      </pivotArea>
    </format>
    <format dxfId="508">
      <pivotArea outline="0" fieldPosition="0">
        <references count="3">
          <reference field="0" count="1" selected="0">
            <x v="363"/>
          </reference>
          <reference field="3" count="1" selected="0">
            <x v="4"/>
          </reference>
          <reference field="4" count="1" selected="0">
            <x v="2"/>
          </reference>
        </references>
      </pivotArea>
    </format>
    <format dxfId="507">
      <pivotArea outline="0" fieldPosition="0">
        <references count="3">
          <reference field="0" count="1" selected="0">
            <x v="364"/>
          </reference>
          <reference field="3" count="1" selected="0">
            <x v="4"/>
          </reference>
          <reference field="4" count="1" selected="0">
            <x v="2"/>
          </reference>
        </references>
      </pivotArea>
    </format>
    <format dxfId="506">
      <pivotArea outline="0" fieldPosition="0">
        <references count="3">
          <reference field="0" count="1" selected="0">
            <x v="568"/>
          </reference>
          <reference field="3" count="1" selected="0">
            <x v="4"/>
          </reference>
          <reference field="4" count="1" selected="0">
            <x v="2"/>
          </reference>
        </references>
      </pivotArea>
    </format>
    <format dxfId="505">
      <pivotArea outline="0" fieldPosition="0">
        <references count="2">
          <reference field="3" count="1" selected="0">
            <x v="4"/>
          </reference>
          <reference field="4" count="1" selected="0">
            <x v="10"/>
          </reference>
        </references>
      </pivotArea>
    </format>
    <format dxfId="504">
      <pivotArea outline="0" fieldPosition="0">
        <references count="2">
          <reference field="3" count="1" selected="0">
            <x v="4"/>
          </reference>
          <reference field="4" count="1" selected="0" defaultSubtotal="1">
            <x v="10"/>
          </reference>
        </references>
      </pivotArea>
    </format>
    <format dxfId="503">
      <pivotArea outline="0" fieldPosition="0">
        <references count="3">
          <reference field="0" count="1" selected="0">
            <x v="237"/>
          </reference>
          <reference field="3" count="1" selected="0">
            <x v="4"/>
          </reference>
          <reference field="4" count="1" selected="0">
            <x v="15"/>
          </reference>
        </references>
      </pivotArea>
    </format>
    <format dxfId="502">
      <pivotArea outline="0" fieldPosition="0">
        <references count="3">
          <reference field="0" count="1" selected="0">
            <x v="379"/>
          </reference>
          <reference field="3" count="1" selected="0">
            <x v="4"/>
          </reference>
          <reference field="4" count="1" selected="0">
            <x v="15"/>
          </reference>
        </references>
      </pivotArea>
    </format>
    <format dxfId="501">
      <pivotArea outline="0" fieldPosition="0">
        <references count="3">
          <reference field="0" count="1" selected="0">
            <x v="380"/>
          </reference>
          <reference field="3" count="1" selected="0">
            <x v="4"/>
          </reference>
          <reference field="4" count="1" selected="0">
            <x v="15"/>
          </reference>
        </references>
      </pivotArea>
    </format>
    <format dxfId="500">
      <pivotArea outline="0" fieldPosition="0">
        <references count="3">
          <reference field="0" count="1" selected="0">
            <x v="381"/>
          </reference>
          <reference field="3" count="1" selected="0">
            <x v="4"/>
          </reference>
          <reference field="4" count="1" selected="0">
            <x v="15"/>
          </reference>
        </references>
      </pivotArea>
    </format>
    <format dxfId="499">
      <pivotArea outline="0" fieldPosition="0">
        <references count="3">
          <reference field="0" count="1" selected="0">
            <x v="383"/>
          </reference>
          <reference field="3" count="1" selected="0">
            <x v="4"/>
          </reference>
          <reference field="4" count="1" selected="0">
            <x v="15"/>
          </reference>
        </references>
      </pivotArea>
    </format>
    <format dxfId="498">
      <pivotArea outline="0" fieldPosition="0">
        <references count="3">
          <reference field="0" count="1" selected="0">
            <x v="387"/>
          </reference>
          <reference field="3" count="1" selected="0">
            <x v="4"/>
          </reference>
          <reference field="4" count="1" selected="0">
            <x v="15"/>
          </reference>
        </references>
      </pivotArea>
    </format>
    <format dxfId="497">
      <pivotArea outline="0" fieldPosition="0">
        <references count="3">
          <reference field="0" count="1" selected="0">
            <x v="396"/>
          </reference>
          <reference field="3" count="1" selected="0">
            <x v="4"/>
          </reference>
          <reference field="4" count="1" selected="0">
            <x v="15"/>
          </reference>
        </references>
      </pivotArea>
    </format>
    <format dxfId="496">
      <pivotArea outline="0" fieldPosition="0">
        <references count="3">
          <reference field="0" count="1" selected="0">
            <x v="579"/>
          </reference>
          <reference field="3" count="1" selected="0">
            <x v="4"/>
          </reference>
          <reference field="4" count="1" selected="0">
            <x v="15"/>
          </reference>
        </references>
      </pivotArea>
    </format>
    <format dxfId="495">
      <pivotArea outline="0" fieldPosition="0">
        <references count="3">
          <reference field="0" count="1" selected="0">
            <x v="110"/>
          </reference>
          <reference field="3" count="1" selected="0">
            <x v="5"/>
          </reference>
          <reference field="4" count="1" selected="0">
            <x v="9"/>
          </reference>
        </references>
      </pivotArea>
    </format>
    <format dxfId="494">
      <pivotArea outline="0" fieldPosition="0">
        <references count="3">
          <reference field="0" count="1" selected="0">
            <x v="111"/>
          </reference>
          <reference field="3" count="1" selected="0">
            <x v="5"/>
          </reference>
          <reference field="4" count="1" selected="0">
            <x v="9"/>
          </reference>
        </references>
      </pivotArea>
    </format>
    <format dxfId="493">
      <pivotArea outline="0" fieldPosition="0">
        <references count="3">
          <reference field="0" count="1" selected="0">
            <x v="112"/>
          </reference>
          <reference field="3" count="1" selected="0">
            <x v="5"/>
          </reference>
          <reference field="4" count="1" selected="0">
            <x v="9"/>
          </reference>
        </references>
      </pivotArea>
    </format>
    <format dxfId="492">
      <pivotArea outline="0" fieldPosition="0">
        <references count="3">
          <reference field="0" count="1" selected="0">
            <x v="113"/>
          </reference>
          <reference field="3" count="1" selected="0">
            <x v="5"/>
          </reference>
          <reference field="4" count="1" selected="0">
            <x v="9"/>
          </reference>
        </references>
      </pivotArea>
    </format>
    <format dxfId="491">
      <pivotArea outline="0" fieldPosition="0">
        <references count="3">
          <reference field="0" count="1" selected="0">
            <x v="114"/>
          </reference>
          <reference field="3" count="1" selected="0">
            <x v="5"/>
          </reference>
          <reference field="4" count="1" selected="0">
            <x v="9"/>
          </reference>
        </references>
      </pivotArea>
    </format>
    <format dxfId="490">
      <pivotArea outline="0" fieldPosition="0">
        <references count="3">
          <reference field="0" count="1" selected="0">
            <x v="115"/>
          </reference>
          <reference field="3" count="1" selected="0">
            <x v="5"/>
          </reference>
          <reference field="4" count="1" selected="0">
            <x v="9"/>
          </reference>
        </references>
      </pivotArea>
    </format>
    <format dxfId="489">
      <pivotArea outline="0" fieldPosition="0">
        <references count="3">
          <reference field="0" count="1" selected="0">
            <x v="211"/>
          </reference>
          <reference field="3" count="1" selected="0">
            <x v="5"/>
          </reference>
          <reference field="4" count="1" selected="0">
            <x v="9"/>
          </reference>
        </references>
      </pivotArea>
    </format>
    <format dxfId="488">
      <pivotArea outline="0" fieldPosition="0">
        <references count="3">
          <reference field="0" count="1" selected="0">
            <x v="228"/>
          </reference>
          <reference field="3" count="1" selected="0">
            <x v="5"/>
          </reference>
          <reference field="4" count="1" selected="0">
            <x v="9"/>
          </reference>
        </references>
      </pivotArea>
    </format>
    <format dxfId="487">
      <pivotArea outline="0" fieldPosition="0">
        <references count="3">
          <reference field="0" count="1" selected="0">
            <x v="229"/>
          </reference>
          <reference field="3" count="1" selected="0">
            <x v="5"/>
          </reference>
          <reference field="4" count="1" selected="0">
            <x v="9"/>
          </reference>
        </references>
      </pivotArea>
    </format>
    <format dxfId="486">
      <pivotArea outline="0" fieldPosition="0">
        <references count="3">
          <reference field="0" count="1" selected="0">
            <x v="230"/>
          </reference>
          <reference field="3" count="1" selected="0">
            <x v="5"/>
          </reference>
          <reference field="4" count="1" selected="0">
            <x v="9"/>
          </reference>
        </references>
      </pivotArea>
    </format>
    <format dxfId="485">
      <pivotArea outline="0" fieldPosition="0">
        <references count="3">
          <reference field="0" count="1" selected="0">
            <x v="231"/>
          </reference>
          <reference field="3" count="1" selected="0">
            <x v="5"/>
          </reference>
          <reference field="4" count="1" selected="0">
            <x v="9"/>
          </reference>
        </references>
      </pivotArea>
    </format>
    <format dxfId="484">
      <pivotArea outline="0" fieldPosition="0">
        <references count="3">
          <reference field="0" count="1" selected="0">
            <x v="234"/>
          </reference>
          <reference field="3" count="1" selected="0">
            <x v="5"/>
          </reference>
          <reference field="4" count="1" selected="0">
            <x v="9"/>
          </reference>
        </references>
      </pivotArea>
    </format>
    <format dxfId="483">
      <pivotArea outline="0" fieldPosition="0">
        <references count="3">
          <reference field="0" count="1" selected="0">
            <x v="240"/>
          </reference>
          <reference field="3" count="1" selected="0">
            <x v="5"/>
          </reference>
          <reference field="4" count="1" selected="0">
            <x v="9"/>
          </reference>
        </references>
      </pivotArea>
    </format>
    <format dxfId="482">
      <pivotArea outline="0" fieldPosition="0">
        <references count="3">
          <reference field="0" count="1" selected="0">
            <x v="388"/>
          </reference>
          <reference field="3" count="1" selected="0">
            <x v="5"/>
          </reference>
          <reference field="4" count="1" selected="0">
            <x v="9"/>
          </reference>
        </references>
      </pivotArea>
    </format>
    <format dxfId="481">
      <pivotArea outline="0" fieldPosition="0">
        <references count="3">
          <reference field="0" count="1" selected="0">
            <x v="555"/>
          </reference>
          <reference field="3" count="1" selected="0">
            <x v="5"/>
          </reference>
          <reference field="4" count="1" selected="0">
            <x v="9"/>
          </reference>
        </references>
      </pivotArea>
    </format>
    <format dxfId="480">
      <pivotArea outline="0" fieldPosition="0">
        <references count="3">
          <reference field="0" count="1" selected="0">
            <x v="556"/>
          </reference>
          <reference field="3" count="1" selected="0">
            <x v="5"/>
          </reference>
          <reference field="4" count="1" selected="0">
            <x v="9"/>
          </reference>
        </references>
      </pivotArea>
    </format>
    <format dxfId="479">
      <pivotArea outline="0" fieldPosition="0">
        <references count="3">
          <reference field="0" count="1" selected="0">
            <x v="120"/>
          </reference>
          <reference field="3" count="1" selected="0">
            <x v="5"/>
          </reference>
          <reference field="4" count="1" selected="0">
            <x v="10"/>
          </reference>
        </references>
      </pivotArea>
    </format>
    <format dxfId="478">
      <pivotArea outline="0" fieldPosition="0">
        <references count="3">
          <reference field="0" count="1" selected="0">
            <x v="130"/>
          </reference>
          <reference field="3" count="1" selected="0">
            <x v="5"/>
          </reference>
          <reference field="4" count="1" selected="0">
            <x v="10"/>
          </reference>
        </references>
      </pivotArea>
    </format>
    <format dxfId="477">
      <pivotArea outline="0" fieldPosition="0">
        <references count="3">
          <reference field="0" count="1" selected="0">
            <x v="137"/>
          </reference>
          <reference field="3" count="1" selected="0">
            <x v="5"/>
          </reference>
          <reference field="4" count="1" selected="0">
            <x v="10"/>
          </reference>
        </references>
      </pivotArea>
    </format>
    <format dxfId="476">
      <pivotArea outline="0" fieldPosition="0">
        <references count="3">
          <reference field="0" count="1" selected="0">
            <x v="142"/>
          </reference>
          <reference field="3" count="1" selected="0">
            <x v="5"/>
          </reference>
          <reference field="4" count="1" selected="0">
            <x v="10"/>
          </reference>
        </references>
      </pivotArea>
    </format>
    <format dxfId="475">
      <pivotArea outline="0" fieldPosition="0">
        <references count="3">
          <reference field="0" count="1" selected="0">
            <x v="153"/>
          </reference>
          <reference field="3" count="1" selected="0">
            <x v="5"/>
          </reference>
          <reference field="4" count="1" selected="0">
            <x v="10"/>
          </reference>
        </references>
      </pivotArea>
    </format>
    <format dxfId="474">
      <pivotArea outline="0" fieldPosition="0">
        <references count="3">
          <reference field="0" count="1" selected="0">
            <x v="569"/>
          </reference>
          <reference field="3" count="1" selected="0">
            <x v="5"/>
          </reference>
          <reference field="4" count="1" selected="0">
            <x v="10"/>
          </reference>
        </references>
      </pivotArea>
    </format>
    <format dxfId="473">
      <pivotArea outline="0" fieldPosition="0">
        <references count="3">
          <reference field="0" count="1" selected="0">
            <x v="573"/>
          </reference>
          <reference field="3" count="1" selected="0">
            <x v="5"/>
          </reference>
          <reference field="4" count="1" selected="0">
            <x v="10"/>
          </reference>
        </references>
      </pivotArea>
    </format>
    <format dxfId="472">
      <pivotArea outline="0" fieldPosition="0">
        <references count="2">
          <reference field="3" count="1" selected="0">
            <x v="5"/>
          </reference>
          <reference field="4" count="1" selected="0" defaultSubtotal="1">
            <x v="10"/>
          </reference>
        </references>
      </pivotArea>
    </format>
    <format dxfId="471">
      <pivotArea outline="0" fieldPosition="0">
        <references count="1">
          <reference field="3" count="1" selected="0" defaultSubtotal="1">
            <x v="6"/>
          </reference>
        </references>
      </pivotArea>
    </format>
    <format dxfId="470">
      <pivotArea outline="0" fieldPosition="0">
        <references count="3">
          <reference field="0" count="1" selected="0">
            <x v="2"/>
          </reference>
          <reference field="3" count="1" selected="0">
            <x v="7"/>
          </reference>
          <reference field="4" count="1" selected="0">
            <x v="21"/>
          </reference>
        </references>
      </pivotArea>
    </format>
    <format dxfId="469">
      <pivotArea outline="0" fieldPosition="0">
        <references count="3">
          <reference field="0" count="1" selected="0">
            <x v="3"/>
          </reference>
          <reference field="3" count="1" selected="0">
            <x v="7"/>
          </reference>
          <reference field="4" count="1" selected="0">
            <x v="21"/>
          </reference>
        </references>
      </pivotArea>
    </format>
    <format dxfId="468">
      <pivotArea outline="0" fieldPosition="0">
        <references count="3">
          <reference field="0" count="1" selected="0">
            <x v="4"/>
          </reference>
          <reference field="3" count="1" selected="0">
            <x v="7"/>
          </reference>
          <reference field="4" count="1" selected="0">
            <x v="21"/>
          </reference>
        </references>
      </pivotArea>
    </format>
    <format dxfId="467">
      <pivotArea outline="0" fieldPosition="0">
        <references count="3">
          <reference field="0" count="1" selected="0">
            <x v="5"/>
          </reference>
          <reference field="3" count="1" selected="0">
            <x v="7"/>
          </reference>
          <reference field="4" count="1" selected="0">
            <x v="21"/>
          </reference>
        </references>
      </pivotArea>
    </format>
    <format dxfId="466">
      <pivotArea outline="0" fieldPosition="0">
        <references count="3">
          <reference field="0" count="1" selected="0">
            <x v="6"/>
          </reference>
          <reference field="3" count="1" selected="0">
            <x v="7"/>
          </reference>
          <reference field="4" count="1" selected="0">
            <x v="21"/>
          </reference>
        </references>
      </pivotArea>
    </format>
    <format dxfId="465">
      <pivotArea outline="0" fieldPosition="0">
        <references count="3">
          <reference field="0" count="1" selected="0">
            <x v="7"/>
          </reference>
          <reference field="3" count="1" selected="0">
            <x v="7"/>
          </reference>
          <reference field="4" count="1" selected="0">
            <x v="21"/>
          </reference>
        </references>
      </pivotArea>
    </format>
    <format dxfId="464">
      <pivotArea outline="0" fieldPosition="0">
        <references count="3">
          <reference field="0" count="1" selected="0">
            <x v="8"/>
          </reference>
          <reference field="3" count="1" selected="0">
            <x v="7"/>
          </reference>
          <reference field="4" count="1" selected="0">
            <x v="21"/>
          </reference>
        </references>
      </pivotArea>
    </format>
    <format dxfId="463">
      <pivotArea outline="0" fieldPosition="0">
        <references count="3">
          <reference field="0" count="1" selected="0">
            <x v="9"/>
          </reference>
          <reference field="3" count="1" selected="0">
            <x v="7"/>
          </reference>
          <reference field="4" count="1" selected="0">
            <x v="21"/>
          </reference>
        </references>
      </pivotArea>
    </format>
    <format dxfId="462">
      <pivotArea outline="0" fieldPosition="0">
        <references count="3">
          <reference field="0" count="1" selected="0">
            <x v="10"/>
          </reference>
          <reference field="3" count="1" selected="0">
            <x v="7"/>
          </reference>
          <reference field="4" count="1" selected="0">
            <x v="21"/>
          </reference>
        </references>
      </pivotArea>
    </format>
    <format dxfId="461">
      <pivotArea outline="0" fieldPosition="0">
        <references count="3">
          <reference field="0" count="1" selected="0">
            <x v="11"/>
          </reference>
          <reference field="3" count="1" selected="0">
            <x v="7"/>
          </reference>
          <reference field="4" count="1" selected="0">
            <x v="21"/>
          </reference>
        </references>
      </pivotArea>
    </format>
    <format dxfId="460">
      <pivotArea outline="0" fieldPosition="0">
        <references count="3">
          <reference field="0" count="1" selected="0">
            <x v="12"/>
          </reference>
          <reference field="3" count="1" selected="0">
            <x v="7"/>
          </reference>
          <reference field="4" count="1" selected="0">
            <x v="21"/>
          </reference>
        </references>
      </pivotArea>
    </format>
    <format dxfId="459">
      <pivotArea outline="0" fieldPosition="0">
        <references count="3">
          <reference field="0" count="1" selected="0">
            <x v="13"/>
          </reference>
          <reference field="3" count="1" selected="0">
            <x v="7"/>
          </reference>
          <reference field="4" count="1" selected="0">
            <x v="21"/>
          </reference>
        </references>
      </pivotArea>
    </format>
    <format dxfId="458">
      <pivotArea outline="0" fieldPosition="0">
        <references count="3">
          <reference field="0" count="1" selected="0">
            <x v="14"/>
          </reference>
          <reference field="3" count="1" selected="0">
            <x v="7"/>
          </reference>
          <reference field="4" count="1" selected="0">
            <x v="21"/>
          </reference>
        </references>
      </pivotArea>
    </format>
    <format dxfId="457">
      <pivotArea outline="0" fieldPosition="0">
        <references count="3">
          <reference field="0" count="1" selected="0">
            <x v="16"/>
          </reference>
          <reference field="3" count="1" selected="0">
            <x v="7"/>
          </reference>
          <reference field="4" count="1" selected="0">
            <x v="21"/>
          </reference>
        </references>
      </pivotArea>
    </format>
    <format dxfId="456">
      <pivotArea outline="0" fieldPosition="0">
        <references count="3">
          <reference field="0" count="1" selected="0">
            <x v="17"/>
          </reference>
          <reference field="3" count="1" selected="0">
            <x v="7"/>
          </reference>
          <reference field="4" count="1" selected="0">
            <x v="21"/>
          </reference>
        </references>
      </pivotArea>
    </format>
    <format dxfId="455">
      <pivotArea outline="0" fieldPosition="0">
        <references count="3">
          <reference field="0" count="1" selected="0">
            <x v="18"/>
          </reference>
          <reference field="3" count="1" selected="0">
            <x v="7"/>
          </reference>
          <reference field="4" count="1" selected="0">
            <x v="21"/>
          </reference>
        </references>
      </pivotArea>
    </format>
    <format dxfId="454">
      <pivotArea outline="0" fieldPosition="0">
        <references count="3">
          <reference field="0" count="1" selected="0">
            <x v="19"/>
          </reference>
          <reference field="3" count="1" selected="0">
            <x v="7"/>
          </reference>
          <reference field="4" count="1" selected="0">
            <x v="21"/>
          </reference>
        </references>
      </pivotArea>
    </format>
    <format dxfId="453">
      <pivotArea outline="0" fieldPosition="0">
        <references count="3">
          <reference field="0" count="1" selected="0">
            <x v="20"/>
          </reference>
          <reference field="3" count="1" selected="0">
            <x v="7"/>
          </reference>
          <reference field="4" count="1" selected="0">
            <x v="21"/>
          </reference>
        </references>
      </pivotArea>
    </format>
    <format dxfId="452">
      <pivotArea outline="0" fieldPosition="0">
        <references count="3">
          <reference field="0" count="1" selected="0">
            <x v="21"/>
          </reference>
          <reference field="3" count="1" selected="0">
            <x v="7"/>
          </reference>
          <reference field="4" count="1" selected="0">
            <x v="21"/>
          </reference>
        </references>
      </pivotArea>
    </format>
    <format dxfId="451">
      <pivotArea outline="0" fieldPosition="0">
        <references count="3">
          <reference field="0" count="1" selected="0">
            <x v="22"/>
          </reference>
          <reference field="3" count="1" selected="0">
            <x v="7"/>
          </reference>
          <reference field="4" count="1" selected="0">
            <x v="21"/>
          </reference>
        </references>
      </pivotArea>
    </format>
    <format dxfId="450">
      <pivotArea outline="0" fieldPosition="0">
        <references count="3">
          <reference field="0" count="1" selected="0">
            <x v="25"/>
          </reference>
          <reference field="3" count="1" selected="0">
            <x v="7"/>
          </reference>
          <reference field="4" count="1" selected="0">
            <x v="21"/>
          </reference>
        </references>
      </pivotArea>
    </format>
    <format dxfId="449">
      <pivotArea outline="0" fieldPosition="0">
        <references count="3">
          <reference field="0" count="1" selected="0">
            <x v="26"/>
          </reference>
          <reference field="3" count="1" selected="0">
            <x v="7"/>
          </reference>
          <reference field="4" count="1" selected="0">
            <x v="21"/>
          </reference>
        </references>
      </pivotArea>
    </format>
    <format dxfId="448">
      <pivotArea outline="0" fieldPosition="0">
        <references count="3">
          <reference field="0" count="1" selected="0">
            <x v="27"/>
          </reference>
          <reference field="3" count="1" selected="0">
            <x v="7"/>
          </reference>
          <reference field="4" count="1" selected="0">
            <x v="21"/>
          </reference>
        </references>
      </pivotArea>
    </format>
    <format dxfId="447">
      <pivotArea outline="0" fieldPosition="0">
        <references count="3">
          <reference field="0" count="1" selected="0">
            <x v="29"/>
          </reference>
          <reference field="3" count="1" selected="0">
            <x v="7"/>
          </reference>
          <reference field="4" count="1" selected="0">
            <x v="21"/>
          </reference>
        </references>
      </pivotArea>
    </format>
    <format dxfId="446">
      <pivotArea outline="0" fieldPosition="0">
        <references count="3">
          <reference field="0" count="1" selected="0">
            <x v="30"/>
          </reference>
          <reference field="3" count="1" selected="0">
            <x v="7"/>
          </reference>
          <reference field="4" count="1" selected="0">
            <x v="21"/>
          </reference>
        </references>
      </pivotArea>
    </format>
    <format dxfId="445">
      <pivotArea outline="0" fieldPosition="0">
        <references count="3">
          <reference field="0" count="1" selected="0">
            <x v="31"/>
          </reference>
          <reference field="3" count="1" selected="0">
            <x v="7"/>
          </reference>
          <reference field="4" count="1" selected="0">
            <x v="21"/>
          </reference>
        </references>
      </pivotArea>
    </format>
    <format dxfId="444">
      <pivotArea outline="0" fieldPosition="0">
        <references count="3">
          <reference field="0" count="1" selected="0">
            <x v="32"/>
          </reference>
          <reference field="3" count="1" selected="0">
            <x v="7"/>
          </reference>
          <reference field="4" count="1" selected="0">
            <x v="21"/>
          </reference>
        </references>
      </pivotArea>
    </format>
    <format dxfId="443">
      <pivotArea outline="0" fieldPosition="0">
        <references count="3">
          <reference field="0" count="1" selected="0">
            <x v="34"/>
          </reference>
          <reference field="3" count="1" selected="0">
            <x v="7"/>
          </reference>
          <reference field="4" count="1" selected="0">
            <x v="21"/>
          </reference>
        </references>
      </pivotArea>
    </format>
    <format dxfId="442">
      <pivotArea outline="0" fieldPosition="0">
        <references count="3">
          <reference field="0" count="1" selected="0">
            <x v="35"/>
          </reference>
          <reference field="3" count="1" selected="0">
            <x v="7"/>
          </reference>
          <reference field="4" count="1" selected="0">
            <x v="21"/>
          </reference>
        </references>
      </pivotArea>
    </format>
    <format dxfId="441">
      <pivotArea outline="0" fieldPosition="0">
        <references count="3">
          <reference field="0" count="1" selected="0">
            <x v="36"/>
          </reference>
          <reference field="3" count="1" selected="0">
            <x v="7"/>
          </reference>
          <reference field="4" count="1" selected="0">
            <x v="21"/>
          </reference>
        </references>
      </pivotArea>
    </format>
    <format dxfId="440">
      <pivotArea outline="0" fieldPosition="0">
        <references count="3">
          <reference field="0" count="1" selected="0">
            <x v="37"/>
          </reference>
          <reference field="3" count="1" selected="0">
            <x v="7"/>
          </reference>
          <reference field="4" count="1" selected="0">
            <x v="21"/>
          </reference>
        </references>
      </pivotArea>
    </format>
    <format dxfId="439">
      <pivotArea outline="0" fieldPosition="0">
        <references count="3">
          <reference field="0" count="1" selected="0">
            <x v="39"/>
          </reference>
          <reference field="3" count="1" selected="0">
            <x v="7"/>
          </reference>
          <reference field="4" count="1" selected="0">
            <x v="21"/>
          </reference>
        </references>
      </pivotArea>
    </format>
    <format dxfId="438">
      <pivotArea outline="0" fieldPosition="0">
        <references count="3">
          <reference field="0" count="1" selected="0">
            <x v="40"/>
          </reference>
          <reference field="3" count="1" selected="0">
            <x v="7"/>
          </reference>
          <reference field="4" count="1" selected="0">
            <x v="21"/>
          </reference>
        </references>
      </pivotArea>
    </format>
    <format dxfId="437">
      <pivotArea outline="0" fieldPosition="0">
        <references count="3">
          <reference field="0" count="1" selected="0">
            <x v="41"/>
          </reference>
          <reference field="3" count="1" selected="0">
            <x v="7"/>
          </reference>
          <reference field="4" count="1" selected="0">
            <x v="21"/>
          </reference>
        </references>
      </pivotArea>
    </format>
    <format dxfId="436">
      <pivotArea outline="0" fieldPosition="0">
        <references count="3">
          <reference field="0" count="1" selected="0">
            <x v="42"/>
          </reference>
          <reference field="3" count="1" selected="0">
            <x v="7"/>
          </reference>
          <reference field="4" count="1" selected="0">
            <x v="21"/>
          </reference>
        </references>
      </pivotArea>
    </format>
    <format dxfId="435">
      <pivotArea outline="0" fieldPosition="0">
        <references count="3">
          <reference field="0" count="1" selected="0">
            <x v="44"/>
          </reference>
          <reference field="3" count="1" selected="0">
            <x v="7"/>
          </reference>
          <reference field="4" count="1" selected="0">
            <x v="21"/>
          </reference>
        </references>
      </pivotArea>
    </format>
    <format dxfId="434">
      <pivotArea outline="0" fieldPosition="0">
        <references count="3">
          <reference field="0" count="1" selected="0">
            <x v="45"/>
          </reference>
          <reference field="3" count="1" selected="0">
            <x v="7"/>
          </reference>
          <reference field="4" count="1" selected="0">
            <x v="21"/>
          </reference>
        </references>
      </pivotArea>
    </format>
    <format dxfId="433">
      <pivotArea outline="0" fieldPosition="0">
        <references count="3">
          <reference field="0" count="1" selected="0">
            <x v="46"/>
          </reference>
          <reference field="3" count="1" selected="0">
            <x v="7"/>
          </reference>
          <reference field="4" count="1" selected="0">
            <x v="21"/>
          </reference>
        </references>
      </pivotArea>
    </format>
    <format dxfId="432">
      <pivotArea outline="0" fieldPosition="0">
        <references count="3">
          <reference field="0" count="1" selected="0">
            <x v="47"/>
          </reference>
          <reference field="3" count="1" selected="0">
            <x v="7"/>
          </reference>
          <reference field="4" count="1" selected="0">
            <x v="21"/>
          </reference>
        </references>
      </pivotArea>
    </format>
    <format dxfId="431">
      <pivotArea outline="0" fieldPosition="0">
        <references count="3">
          <reference field="0" count="1" selected="0">
            <x v="48"/>
          </reference>
          <reference field="3" count="1" selected="0">
            <x v="7"/>
          </reference>
          <reference field="4" count="1" selected="0">
            <x v="21"/>
          </reference>
        </references>
      </pivotArea>
    </format>
    <format dxfId="430">
      <pivotArea outline="0" fieldPosition="0">
        <references count="3">
          <reference field="0" count="1" selected="0">
            <x v="49"/>
          </reference>
          <reference field="3" count="1" selected="0">
            <x v="7"/>
          </reference>
          <reference field="4" count="1" selected="0">
            <x v="21"/>
          </reference>
        </references>
      </pivotArea>
    </format>
    <format dxfId="429">
      <pivotArea outline="0" fieldPosition="0">
        <references count="3">
          <reference field="0" count="1" selected="0">
            <x v="50"/>
          </reference>
          <reference field="3" count="1" selected="0">
            <x v="7"/>
          </reference>
          <reference field="4" count="1" selected="0">
            <x v="21"/>
          </reference>
        </references>
      </pivotArea>
    </format>
    <format dxfId="428">
      <pivotArea outline="0" fieldPosition="0">
        <references count="3">
          <reference field="0" count="1" selected="0">
            <x v="51"/>
          </reference>
          <reference field="3" count="1" selected="0">
            <x v="7"/>
          </reference>
          <reference field="4" count="1" selected="0">
            <x v="21"/>
          </reference>
        </references>
      </pivotArea>
    </format>
    <format dxfId="427">
      <pivotArea outline="0" fieldPosition="0">
        <references count="3">
          <reference field="0" count="1" selected="0">
            <x v="52"/>
          </reference>
          <reference field="3" count="1" selected="0">
            <x v="7"/>
          </reference>
          <reference field="4" count="1" selected="0">
            <x v="21"/>
          </reference>
        </references>
      </pivotArea>
    </format>
    <format dxfId="426">
      <pivotArea outline="0" fieldPosition="0">
        <references count="3">
          <reference field="0" count="1" selected="0">
            <x v="53"/>
          </reference>
          <reference field="3" count="1" selected="0">
            <x v="7"/>
          </reference>
          <reference field="4" count="1" selected="0">
            <x v="21"/>
          </reference>
        </references>
      </pivotArea>
    </format>
    <format dxfId="425">
      <pivotArea outline="0" fieldPosition="0">
        <references count="3">
          <reference field="0" count="1" selected="0">
            <x v="54"/>
          </reference>
          <reference field="3" count="1" selected="0">
            <x v="7"/>
          </reference>
          <reference field="4" count="1" selected="0">
            <x v="21"/>
          </reference>
        </references>
      </pivotArea>
    </format>
    <format dxfId="424">
      <pivotArea outline="0" fieldPosition="0">
        <references count="3">
          <reference field="0" count="1" selected="0">
            <x v="55"/>
          </reference>
          <reference field="3" count="1" selected="0">
            <x v="7"/>
          </reference>
          <reference field="4" count="1" selected="0">
            <x v="21"/>
          </reference>
        </references>
      </pivotArea>
    </format>
    <format dxfId="423">
      <pivotArea outline="0" fieldPosition="0">
        <references count="3">
          <reference field="0" count="1" selected="0">
            <x v="56"/>
          </reference>
          <reference field="3" count="1" selected="0">
            <x v="7"/>
          </reference>
          <reference field="4" count="1" selected="0">
            <x v="21"/>
          </reference>
        </references>
      </pivotArea>
    </format>
    <format dxfId="422">
      <pivotArea outline="0" fieldPosition="0">
        <references count="3">
          <reference field="0" count="1" selected="0">
            <x v="57"/>
          </reference>
          <reference field="3" count="1" selected="0">
            <x v="7"/>
          </reference>
          <reference field="4" count="1" selected="0">
            <x v="21"/>
          </reference>
        </references>
      </pivotArea>
    </format>
    <format dxfId="421">
      <pivotArea outline="0" fieldPosition="0">
        <references count="3">
          <reference field="0" count="1" selected="0">
            <x v="58"/>
          </reference>
          <reference field="3" count="1" selected="0">
            <x v="7"/>
          </reference>
          <reference field="4" count="1" selected="0">
            <x v="21"/>
          </reference>
        </references>
      </pivotArea>
    </format>
    <format dxfId="420">
      <pivotArea outline="0" fieldPosition="0">
        <references count="3">
          <reference field="0" count="1" selected="0">
            <x v="59"/>
          </reference>
          <reference field="3" count="1" selected="0">
            <x v="7"/>
          </reference>
          <reference field="4" count="1" selected="0">
            <x v="21"/>
          </reference>
        </references>
      </pivotArea>
    </format>
    <format dxfId="419">
      <pivotArea outline="0" fieldPosition="0">
        <references count="3">
          <reference field="0" count="1" selected="0">
            <x v="60"/>
          </reference>
          <reference field="3" count="1" selected="0">
            <x v="7"/>
          </reference>
          <reference field="4" count="1" selected="0">
            <x v="21"/>
          </reference>
        </references>
      </pivotArea>
    </format>
    <format dxfId="418">
      <pivotArea outline="0" fieldPosition="0">
        <references count="3">
          <reference field="0" count="1" selected="0">
            <x v="61"/>
          </reference>
          <reference field="3" count="1" selected="0">
            <x v="7"/>
          </reference>
          <reference field="4" count="1" selected="0">
            <x v="21"/>
          </reference>
        </references>
      </pivotArea>
    </format>
    <format dxfId="417">
      <pivotArea outline="0" fieldPosition="0">
        <references count="3">
          <reference field="0" count="1" selected="0">
            <x v="62"/>
          </reference>
          <reference field="3" count="1" selected="0">
            <x v="7"/>
          </reference>
          <reference field="4" count="1" selected="0">
            <x v="21"/>
          </reference>
        </references>
      </pivotArea>
    </format>
    <format dxfId="416">
      <pivotArea outline="0" fieldPosition="0">
        <references count="3">
          <reference field="0" count="1" selected="0">
            <x v="63"/>
          </reference>
          <reference field="3" count="1" selected="0">
            <x v="7"/>
          </reference>
          <reference field="4" count="1" selected="0">
            <x v="21"/>
          </reference>
        </references>
      </pivotArea>
    </format>
    <format dxfId="415">
      <pivotArea outline="0" fieldPosition="0">
        <references count="3">
          <reference field="0" count="1" selected="0">
            <x v="64"/>
          </reference>
          <reference field="3" count="1" selected="0">
            <x v="7"/>
          </reference>
          <reference field="4" count="1" selected="0">
            <x v="21"/>
          </reference>
        </references>
      </pivotArea>
    </format>
    <format dxfId="414">
      <pivotArea outline="0" fieldPosition="0">
        <references count="3">
          <reference field="0" count="1" selected="0">
            <x v="65"/>
          </reference>
          <reference field="3" count="1" selected="0">
            <x v="7"/>
          </reference>
          <reference field="4" count="1" selected="0">
            <x v="21"/>
          </reference>
        </references>
      </pivotArea>
    </format>
    <format dxfId="413">
      <pivotArea outline="0" fieldPosition="0">
        <references count="3">
          <reference field="0" count="1" selected="0">
            <x v="66"/>
          </reference>
          <reference field="3" count="1" selected="0">
            <x v="7"/>
          </reference>
          <reference field="4" count="1" selected="0">
            <x v="21"/>
          </reference>
        </references>
      </pivotArea>
    </format>
    <format dxfId="412">
      <pivotArea outline="0" fieldPosition="0">
        <references count="3">
          <reference field="0" count="1" selected="0">
            <x v="67"/>
          </reference>
          <reference field="3" count="1" selected="0">
            <x v="7"/>
          </reference>
          <reference field="4" count="1" selected="0">
            <x v="21"/>
          </reference>
        </references>
      </pivotArea>
    </format>
    <format dxfId="411">
      <pivotArea outline="0" fieldPosition="0">
        <references count="3">
          <reference field="0" count="1" selected="0">
            <x v="68"/>
          </reference>
          <reference field="3" count="1" selected="0">
            <x v="7"/>
          </reference>
          <reference field="4" count="1" selected="0">
            <x v="21"/>
          </reference>
        </references>
      </pivotArea>
    </format>
    <format dxfId="410">
      <pivotArea outline="0" fieldPosition="0">
        <references count="3">
          <reference field="0" count="1" selected="0">
            <x v="69"/>
          </reference>
          <reference field="3" count="1" selected="0">
            <x v="7"/>
          </reference>
          <reference field="4" count="1" selected="0">
            <x v="21"/>
          </reference>
        </references>
      </pivotArea>
    </format>
    <format dxfId="409">
      <pivotArea outline="0" fieldPosition="0">
        <references count="3">
          <reference field="0" count="1" selected="0">
            <x v="70"/>
          </reference>
          <reference field="3" count="1" selected="0">
            <x v="7"/>
          </reference>
          <reference field="4" count="1" selected="0">
            <x v="21"/>
          </reference>
        </references>
      </pivotArea>
    </format>
    <format dxfId="408">
      <pivotArea outline="0" fieldPosition="0">
        <references count="3">
          <reference field="0" count="1" selected="0">
            <x v="159"/>
          </reference>
          <reference field="3" count="1" selected="0">
            <x v="7"/>
          </reference>
          <reference field="4" count="1" selected="0">
            <x v="21"/>
          </reference>
        </references>
      </pivotArea>
    </format>
    <format dxfId="407">
      <pivotArea outline="0" fieldPosition="0">
        <references count="3">
          <reference field="0" count="1" selected="0">
            <x v="179"/>
          </reference>
          <reference field="3" count="1" selected="0">
            <x v="7"/>
          </reference>
          <reference field="4" count="1" selected="0">
            <x v="21"/>
          </reference>
        </references>
      </pivotArea>
    </format>
    <format dxfId="406">
      <pivotArea outline="0" fieldPosition="0">
        <references count="3">
          <reference field="0" count="1" selected="0">
            <x v="180"/>
          </reference>
          <reference field="3" count="1" selected="0">
            <x v="7"/>
          </reference>
          <reference field="4" count="1" selected="0">
            <x v="21"/>
          </reference>
        </references>
      </pivotArea>
    </format>
    <format dxfId="405">
      <pivotArea outline="0" fieldPosition="0">
        <references count="3">
          <reference field="0" count="1" selected="0">
            <x v="212"/>
          </reference>
          <reference field="3" count="1" selected="0">
            <x v="7"/>
          </reference>
          <reference field="4" count="1" selected="0">
            <x v="21"/>
          </reference>
        </references>
      </pivotArea>
    </format>
    <format dxfId="404">
      <pivotArea outline="0" fieldPosition="0">
        <references count="3">
          <reference field="0" count="1" selected="0">
            <x v="233"/>
          </reference>
          <reference field="3" count="1" selected="0">
            <x v="7"/>
          </reference>
          <reference field="4" count="1" selected="0">
            <x v="21"/>
          </reference>
        </references>
      </pivotArea>
    </format>
    <format dxfId="403">
      <pivotArea outline="0" fieldPosition="0">
        <references count="3">
          <reference field="0" count="1" selected="0">
            <x v="236"/>
          </reference>
          <reference field="3" count="1" selected="0">
            <x v="7"/>
          </reference>
          <reference field="4" count="1" selected="0">
            <x v="21"/>
          </reference>
        </references>
      </pivotArea>
    </format>
    <format dxfId="402">
      <pivotArea outline="0" fieldPosition="0">
        <references count="3">
          <reference field="0" count="1" selected="0">
            <x v="242"/>
          </reference>
          <reference field="3" count="1" selected="0">
            <x v="7"/>
          </reference>
          <reference field="4" count="1" selected="0">
            <x v="21"/>
          </reference>
        </references>
      </pivotArea>
    </format>
    <format dxfId="401">
      <pivotArea outline="0" fieldPosition="0">
        <references count="3">
          <reference field="0" count="1" selected="0">
            <x v="384"/>
          </reference>
          <reference field="3" count="1" selected="0">
            <x v="7"/>
          </reference>
          <reference field="4" count="1" selected="0">
            <x v="21"/>
          </reference>
        </references>
      </pivotArea>
    </format>
    <format dxfId="400">
      <pivotArea outline="0" fieldPosition="0">
        <references count="3">
          <reference field="0" count="1" selected="0">
            <x v="391"/>
          </reference>
          <reference field="3" count="1" selected="0">
            <x v="7"/>
          </reference>
          <reference field="4" count="1" selected="0">
            <x v="21"/>
          </reference>
        </references>
      </pivotArea>
    </format>
    <format dxfId="399">
      <pivotArea outline="0" fieldPosition="0">
        <references count="3">
          <reference field="0" count="1" selected="0">
            <x v="441"/>
          </reference>
          <reference field="3" count="1" selected="0">
            <x v="7"/>
          </reference>
          <reference field="4" count="1" selected="0">
            <x v="21"/>
          </reference>
        </references>
      </pivotArea>
    </format>
    <format dxfId="398">
      <pivotArea outline="0" fieldPosition="0">
        <references count="3">
          <reference field="0" count="1" selected="0">
            <x v="536"/>
          </reference>
          <reference field="3" count="1" selected="0">
            <x v="7"/>
          </reference>
          <reference field="4" count="1" selected="0">
            <x v="21"/>
          </reference>
        </references>
      </pivotArea>
    </format>
    <format dxfId="397">
      <pivotArea outline="0" fieldPosition="0">
        <references count="3">
          <reference field="0" count="1" selected="0">
            <x v="537"/>
          </reference>
          <reference field="3" count="1" selected="0">
            <x v="7"/>
          </reference>
          <reference field="4" count="1" selected="0">
            <x v="21"/>
          </reference>
        </references>
      </pivotArea>
    </format>
    <format dxfId="396">
      <pivotArea outline="0" fieldPosition="0">
        <references count="3">
          <reference field="0" count="1" selected="0">
            <x v="538"/>
          </reference>
          <reference field="3" count="1" selected="0">
            <x v="7"/>
          </reference>
          <reference field="4" count="1" selected="0">
            <x v="21"/>
          </reference>
        </references>
      </pivotArea>
    </format>
    <format dxfId="395">
      <pivotArea outline="0" fieldPosition="0">
        <references count="3">
          <reference field="0" count="1" selected="0">
            <x v="539"/>
          </reference>
          <reference field="3" count="1" selected="0">
            <x v="7"/>
          </reference>
          <reference field="4" count="1" selected="0">
            <x v="21"/>
          </reference>
        </references>
      </pivotArea>
    </format>
    <format dxfId="394">
      <pivotArea outline="0" fieldPosition="0">
        <references count="3">
          <reference field="0" count="1" selected="0">
            <x v="561"/>
          </reference>
          <reference field="3" count="1" selected="0">
            <x v="7"/>
          </reference>
          <reference field="4" count="1" selected="0">
            <x v="21"/>
          </reference>
        </references>
      </pivotArea>
    </format>
    <format dxfId="393">
      <pivotArea outline="0" fieldPosition="0">
        <references count="3">
          <reference field="0" count="1" selected="0">
            <x v="562"/>
          </reference>
          <reference field="3" count="1" selected="0">
            <x v="7"/>
          </reference>
          <reference field="4" count="1" selected="0">
            <x v="21"/>
          </reference>
        </references>
      </pivotArea>
    </format>
    <format dxfId="392">
      <pivotArea outline="0" fieldPosition="0">
        <references count="3">
          <reference field="0" count="1" selected="0">
            <x v="582"/>
          </reference>
          <reference field="3" count="1" selected="0">
            <x v="7"/>
          </reference>
          <reference field="4" count="1" selected="0">
            <x v="21"/>
          </reference>
        </references>
      </pivotArea>
    </format>
    <format dxfId="391">
      <pivotArea outline="0" fieldPosition="0">
        <references count="3">
          <reference field="0" count="1" selected="0">
            <x v="122"/>
          </reference>
          <reference field="3" count="1" selected="0">
            <x v="8"/>
          </reference>
          <reference field="4" count="1" selected="0">
            <x v="23"/>
          </reference>
        </references>
      </pivotArea>
    </format>
    <format dxfId="390">
      <pivotArea outline="0" fieldPosition="0">
        <references count="3">
          <reference field="0" count="1" selected="0">
            <x v="123"/>
          </reference>
          <reference field="3" count="1" selected="0">
            <x v="8"/>
          </reference>
          <reference field="4" count="1" selected="0">
            <x v="23"/>
          </reference>
        </references>
      </pivotArea>
    </format>
    <format dxfId="389">
      <pivotArea outline="0" fieldPosition="0">
        <references count="3">
          <reference field="0" count="1" selected="0">
            <x v="124"/>
          </reference>
          <reference field="3" count="1" selected="0">
            <x v="8"/>
          </reference>
          <reference field="4" count="1" selected="0">
            <x v="23"/>
          </reference>
        </references>
      </pivotArea>
    </format>
    <format dxfId="388">
      <pivotArea outline="0" fieldPosition="0">
        <references count="3">
          <reference field="0" count="1" selected="0">
            <x v="125"/>
          </reference>
          <reference field="3" count="1" selected="0">
            <x v="8"/>
          </reference>
          <reference field="4" count="1" selected="0">
            <x v="23"/>
          </reference>
        </references>
      </pivotArea>
    </format>
    <format dxfId="387">
      <pivotArea outline="0" fieldPosition="0">
        <references count="3">
          <reference field="0" count="1" selected="0">
            <x v="126"/>
          </reference>
          <reference field="3" count="1" selected="0">
            <x v="8"/>
          </reference>
          <reference field="4" count="1" selected="0">
            <x v="23"/>
          </reference>
        </references>
      </pivotArea>
    </format>
    <format dxfId="386">
      <pivotArea outline="0" fieldPosition="0">
        <references count="3">
          <reference field="0" count="1" selected="0">
            <x v="127"/>
          </reference>
          <reference field="3" count="1" selected="0">
            <x v="8"/>
          </reference>
          <reference field="4" count="1" selected="0">
            <x v="23"/>
          </reference>
        </references>
      </pivotArea>
    </format>
    <format dxfId="385">
      <pivotArea outline="0" fieldPosition="0">
        <references count="3">
          <reference field="0" count="1" selected="0">
            <x v="128"/>
          </reference>
          <reference field="3" count="1" selected="0">
            <x v="8"/>
          </reference>
          <reference field="4" count="1" selected="0">
            <x v="23"/>
          </reference>
        </references>
      </pivotArea>
    </format>
    <format dxfId="384">
      <pivotArea outline="0" fieldPosition="0">
        <references count="3">
          <reference field="0" count="1" selected="0">
            <x v="129"/>
          </reference>
          <reference field="3" count="1" selected="0">
            <x v="8"/>
          </reference>
          <reference field="4" count="1" selected="0">
            <x v="23"/>
          </reference>
        </references>
      </pivotArea>
    </format>
    <format dxfId="383">
      <pivotArea outline="0" fieldPosition="0">
        <references count="3">
          <reference field="0" count="1" selected="0">
            <x v="160"/>
          </reference>
          <reference field="3" count="1" selected="0">
            <x v="8"/>
          </reference>
          <reference field="4" count="1" selected="0">
            <x v="23"/>
          </reference>
        </references>
      </pivotArea>
    </format>
    <format dxfId="382">
      <pivotArea outline="0" fieldPosition="0">
        <references count="3">
          <reference field="0" count="1" selected="0">
            <x v="161"/>
          </reference>
          <reference field="3" count="1" selected="0">
            <x v="8"/>
          </reference>
          <reference field="4" count="1" selected="0">
            <x v="23"/>
          </reference>
        </references>
      </pivotArea>
    </format>
    <format dxfId="381">
      <pivotArea outline="0" fieldPosition="0">
        <references count="3">
          <reference field="0" count="1" selected="0">
            <x v="162"/>
          </reference>
          <reference field="3" count="1" selected="0">
            <x v="8"/>
          </reference>
          <reference field="4" count="1" selected="0">
            <x v="23"/>
          </reference>
        </references>
      </pivotArea>
    </format>
    <format dxfId="380">
      <pivotArea outline="0" fieldPosition="0">
        <references count="3">
          <reference field="0" count="1" selected="0">
            <x v="163"/>
          </reference>
          <reference field="3" count="1" selected="0">
            <x v="8"/>
          </reference>
          <reference field="4" count="1" selected="0">
            <x v="23"/>
          </reference>
        </references>
      </pivotArea>
    </format>
    <format dxfId="379">
      <pivotArea outline="0" fieldPosition="0">
        <references count="3">
          <reference field="0" count="1" selected="0">
            <x v="164"/>
          </reference>
          <reference field="3" count="1" selected="0">
            <x v="8"/>
          </reference>
          <reference field="4" count="1" selected="0">
            <x v="23"/>
          </reference>
        </references>
      </pivotArea>
    </format>
    <format dxfId="378">
      <pivotArea outline="0" fieldPosition="0">
        <references count="3">
          <reference field="0" count="1" selected="0">
            <x v="165"/>
          </reference>
          <reference field="3" count="1" selected="0">
            <x v="8"/>
          </reference>
          <reference field="4" count="1" selected="0">
            <x v="23"/>
          </reference>
        </references>
      </pivotArea>
    </format>
    <format dxfId="377">
      <pivotArea outline="0" fieldPosition="0">
        <references count="3">
          <reference field="0" count="1" selected="0">
            <x v="166"/>
          </reference>
          <reference field="3" count="1" selected="0">
            <x v="8"/>
          </reference>
          <reference field="4" count="1" selected="0">
            <x v="23"/>
          </reference>
        </references>
      </pivotArea>
    </format>
    <format dxfId="376">
      <pivotArea outline="0" fieldPosition="0">
        <references count="3">
          <reference field="0" count="1" selected="0">
            <x v="167"/>
          </reference>
          <reference field="3" count="1" selected="0">
            <x v="8"/>
          </reference>
          <reference field="4" count="1" selected="0">
            <x v="23"/>
          </reference>
        </references>
      </pivotArea>
    </format>
    <format dxfId="375">
      <pivotArea outline="0" fieldPosition="0">
        <references count="3">
          <reference field="0" count="1" selected="0">
            <x v="214"/>
          </reference>
          <reference field="3" count="1" selected="0">
            <x v="8"/>
          </reference>
          <reference field="4" count="1" selected="0">
            <x v="23"/>
          </reference>
        </references>
      </pivotArea>
    </format>
    <format dxfId="374">
      <pivotArea outline="0" fieldPosition="0">
        <references count="3">
          <reference field="0" count="1" selected="0">
            <x v="215"/>
          </reference>
          <reference field="3" count="1" selected="0">
            <x v="8"/>
          </reference>
          <reference field="4" count="1" selected="0">
            <x v="23"/>
          </reference>
        </references>
      </pivotArea>
    </format>
    <format dxfId="373">
      <pivotArea outline="0" fieldPosition="0">
        <references count="3">
          <reference field="0" count="1" selected="0">
            <x v="216"/>
          </reference>
          <reference field="3" count="1" selected="0">
            <x v="8"/>
          </reference>
          <reference field="4" count="1" selected="0">
            <x v="23"/>
          </reference>
        </references>
      </pivotArea>
    </format>
    <format dxfId="372">
      <pivotArea outline="0" fieldPosition="0">
        <references count="3">
          <reference field="0" count="1" selected="0">
            <x v="217"/>
          </reference>
          <reference field="3" count="1" selected="0">
            <x v="8"/>
          </reference>
          <reference field="4" count="1" selected="0">
            <x v="23"/>
          </reference>
        </references>
      </pivotArea>
    </format>
    <format dxfId="371">
      <pivotArea outline="0" fieldPosition="0">
        <references count="3">
          <reference field="0" count="1" selected="0">
            <x v="218"/>
          </reference>
          <reference field="3" count="1" selected="0">
            <x v="8"/>
          </reference>
          <reference field="4" count="1" selected="0">
            <x v="23"/>
          </reference>
        </references>
      </pivotArea>
    </format>
    <format dxfId="370">
      <pivotArea outline="0" fieldPosition="0">
        <references count="3">
          <reference field="0" count="1" selected="0">
            <x v="219"/>
          </reference>
          <reference field="3" count="1" selected="0">
            <x v="8"/>
          </reference>
          <reference field="4" count="1" selected="0">
            <x v="23"/>
          </reference>
        </references>
      </pivotArea>
    </format>
    <format dxfId="369">
      <pivotArea outline="0" fieldPosition="0">
        <references count="3">
          <reference field="0" count="1" selected="0">
            <x v="220"/>
          </reference>
          <reference field="3" count="1" selected="0">
            <x v="8"/>
          </reference>
          <reference field="4" count="1" selected="0">
            <x v="23"/>
          </reference>
        </references>
      </pivotArea>
    </format>
    <format dxfId="368">
      <pivotArea outline="0" fieldPosition="0">
        <references count="3">
          <reference field="0" count="1" selected="0">
            <x v="221"/>
          </reference>
          <reference field="3" count="1" selected="0">
            <x v="8"/>
          </reference>
          <reference field="4" count="1" selected="0">
            <x v="23"/>
          </reference>
        </references>
      </pivotArea>
    </format>
    <format dxfId="367">
      <pivotArea outline="0" fieldPosition="0">
        <references count="3">
          <reference field="0" count="1" selected="0">
            <x v="222"/>
          </reference>
          <reference field="3" count="1" selected="0">
            <x v="8"/>
          </reference>
          <reference field="4" count="1" selected="0">
            <x v="23"/>
          </reference>
        </references>
      </pivotArea>
    </format>
    <format dxfId="366">
      <pivotArea outline="0" fieldPosition="0">
        <references count="3">
          <reference field="0" count="1" selected="0">
            <x v="223"/>
          </reference>
          <reference field="3" count="1" selected="0">
            <x v="8"/>
          </reference>
          <reference field="4" count="1" selected="0">
            <x v="23"/>
          </reference>
        </references>
      </pivotArea>
    </format>
    <format dxfId="365">
      <pivotArea outline="0" fieldPosition="0">
        <references count="3">
          <reference field="0" count="1" selected="0">
            <x v="224"/>
          </reference>
          <reference field="3" count="1" selected="0">
            <x v="8"/>
          </reference>
          <reference field="4" count="1" selected="0">
            <x v="23"/>
          </reference>
        </references>
      </pivotArea>
    </format>
    <format dxfId="364">
      <pivotArea outline="0" fieldPosition="0">
        <references count="3">
          <reference field="0" count="1" selected="0">
            <x v="225"/>
          </reference>
          <reference field="3" count="1" selected="0">
            <x v="8"/>
          </reference>
          <reference field="4" count="1" selected="0">
            <x v="23"/>
          </reference>
        </references>
      </pivotArea>
    </format>
    <format dxfId="363">
      <pivotArea outline="0" fieldPosition="0">
        <references count="3">
          <reference field="0" count="1" selected="0">
            <x v="226"/>
          </reference>
          <reference field="3" count="1" selected="0">
            <x v="8"/>
          </reference>
          <reference field="4" count="1" selected="0">
            <x v="23"/>
          </reference>
        </references>
      </pivotArea>
    </format>
    <format dxfId="362">
      <pivotArea outline="0" fieldPosition="0">
        <references count="3">
          <reference field="0" count="1" selected="0">
            <x v="227"/>
          </reference>
          <reference field="3" count="1" selected="0">
            <x v="8"/>
          </reference>
          <reference field="4" count="1" selected="0">
            <x v="23"/>
          </reference>
        </references>
      </pivotArea>
    </format>
    <format dxfId="361">
      <pivotArea outline="0" fieldPosition="0">
        <references count="3">
          <reference field="0" count="1" selected="0">
            <x v="572"/>
          </reference>
          <reference field="3" count="1" selected="0">
            <x v="8"/>
          </reference>
          <reference field="4" count="1" selected="0">
            <x v="23"/>
          </reference>
        </references>
      </pivotArea>
    </format>
    <format dxfId="360">
      <pivotArea outline="0" fieldPosition="0">
        <references count="2">
          <reference field="3" count="1" selected="0">
            <x v="8"/>
          </reference>
          <reference field="4" count="1" selected="0" defaultSubtotal="1">
            <x v="23"/>
          </reference>
        </references>
      </pivotArea>
    </format>
    <format dxfId="359">
      <pivotArea outline="0" fieldPosition="0">
        <references count="1">
          <reference field="3" count="1" selected="0" defaultSubtotal="1">
            <x v="8"/>
          </reference>
        </references>
      </pivotArea>
    </format>
    <format dxfId="358">
      <pivotArea outline="0" fieldPosition="0">
        <references count="1">
          <reference field="3" count="1" selected="0">
            <x v="1"/>
          </reference>
        </references>
      </pivotArea>
    </format>
    <format dxfId="357">
      <pivotArea outline="0" fieldPosition="0">
        <references count="1">
          <reference field="3" count="1" selected="0">
            <x v="3"/>
          </reference>
        </references>
      </pivotArea>
    </format>
    <format dxfId="356">
      <pivotArea outline="0" fieldPosition="0">
        <references count="1">
          <reference field="3" count="1" selected="0">
            <x v="6"/>
          </reference>
        </references>
      </pivotArea>
    </format>
    <format dxfId="355">
      <pivotArea outline="0" fieldPosition="0">
        <references count="1">
          <reference field="3" count="1" selected="0">
            <x v="1"/>
          </reference>
        </references>
      </pivotArea>
    </format>
    <format dxfId="354">
      <pivotArea outline="0" fieldPosition="0">
        <references count="1">
          <reference field="3" count="1" selected="0">
            <x v="3"/>
          </reference>
        </references>
      </pivotArea>
    </format>
    <format dxfId="353">
      <pivotArea outline="0" fieldPosition="0">
        <references count="1">
          <reference field="3" count="1" selected="0">
            <x v="6"/>
          </reference>
        </references>
      </pivotArea>
    </format>
    <format dxfId="352">
      <pivotArea outline="0" fieldPosition="0">
        <references count="1">
          <reference field="3" count="1" selected="0">
            <x v="0"/>
          </reference>
        </references>
      </pivotArea>
    </format>
    <format dxfId="351">
      <pivotArea outline="0" fieldPosition="0">
        <references count="1">
          <reference field="3" count="1" selected="0">
            <x v="0"/>
          </reference>
        </references>
      </pivotArea>
    </format>
    <format dxfId="350">
      <pivotArea outline="0" fieldPosition="0">
        <references count="3">
          <reference field="0" count="1" selected="0">
            <x v="185"/>
          </reference>
          <reference field="3" count="1" selected="0">
            <x v="1"/>
          </reference>
          <reference field="4" count="1" selected="0">
            <x v="18"/>
          </reference>
        </references>
      </pivotArea>
    </format>
    <format dxfId="349">
      <pivotArea outline="0" fieldPosition="0">
        <references count="2">
          <reference field="3" count="1" selected="0">
            <x v="1"/>
          </reference>
          <reference field="4" count="1" selected="0" defaultSubtotal="1">
            <x v="18"/>
          </reference>
        </references>
      </pivotArea>
    </format>
    <format dxfId="348">
      <pivotArea outline="0" fieldPosition="0">
        <references count="3">
          <reference field="0" count="1" selected="0">
            <x v="185"/>
          </reference>
          <reference field="3" count="1" selected="0">
            <x v="1"/>
          </reference>
          <reference field="4" count="1" selected="0">
            <x v="18"/>
          </reference>
        </references>
      </pivotArea>
    </format>
    <format dxfId="347">
      <pivotArea outline="0" fieldPosition="0">
        <references count="2">
          <reference field="3" count="1" selected="0">
            <x v="1"/>
          </reference>
          <reference field="4" count="1" selected="0" defaultSubtotal="1">
            <x v="18"/>
          </reference>
        </references>
      </pivotArea>
    </format>
    <format dxfId="346">
      <pivotArea dataOnly="0" labelOnly="1" outline="0" offset="D256" fieldPosition="0">
        <references count="2">
          <reference field="3" count="1" selected="0">
            <x v="0"/>
          </reference>
          <reference field="4" count="1" defaultSubtotal="1">
            <x v="3"/>
          </reference>
        </references>
      </pivotArea>
    </format>
    <format dxfId="345">
      <pivotArea dataOnly="0" labelOnly="1" outline="0" offset="D256" fieldPosition="0">
        <references count="2">
          <reference field="3" count="1" selected="0">
            <x v="0"/>
          </reference>
          <reference field="4" count="1" defaultSubtotal="1">
            <x v="6"/>
          </reference>
        </references>
      </pivotArea>
    </format>
    <format dxfId="344">
      <pivotArea dataOnly="0" labelOnly="1" outline="0" offset="D256" fieldPosition="0">
        <references count="2">
          <reference field="3" count="1" selected="0">
            <x v="0"/>
          </reference>
          <reference field="4" count="1" defaultSubtotal="1">
            <x v="10"/>
          </reference>
        </references>
      </pivotArea>
    </format>
    <format dxfId="343">
      <pivotArea dataOnly="0" labelOnly="1" outline="0" offset="D256" fieldPosition="0">
        <references count="2">
          <reference field="3" count="1" selected="0">
            <x v="0"/>
          </reference>
          <reference field="4" count="1" defaultSubtotal="1">
            <x v="21"/>
          </reference>
        </references>
      </pivotArea>
    </format>
    <format dxfId="342">
      <pivotArea dataOnly="0" labelOnly="1" outline="0" offset="D256" fieldPosition="0">
        <references count="2">
          <reference field="3" count="1" selected="0">
            <x v="0"/>
          </reference>
          <reference field="4" count="1" defaultSubtotal="1">
            <x v="22"/>
          </reference>
        </references>
      </pivotArea>
    </format>
    <format dxfId="341">
      <pivotArea dataOnly="0" labelOnly="1" outline="0" offset="D256" fieldPosition="0">
        <references count="2">
          <reference field="3" count="1" selected="0">
            <x v="0"/>
          </reference>
          <reference field="4" count="1" defaultSubtotal="1">
            <x v="25"/>
          </reference>
        </references>
      </pivotArea>
    </format>
    <format dxfId="340">
      <pivotArea dataOnly="0" labelOnly="1" outline="0" offset="E256" fieldPosition="0">
        <references count="1">
          <reference field="3" count="1" defaultSubtotal="1">
            <x v="0"/>
          </reference>
        </references>
      </pivotArea>
    </format>
    <format dxfId="339">
      <pivotArea dataOnly="0" labelOnly="1" outline="0" offset="D256" fieldPosition="0">
        <references count="2">
          <reference field="3" count="1" selected="0">
            <x v="1"/>
          </reference>
          <reference field="4" count="1" defaultSubtotal="1">
            <x v="1"/>
          </reference>
        </references>
      </pivotArea>
    </format>
    <format dxfId="338">
      <pivotArea dataOnly="0" labelOnly="1" outline="0" offset="D256" fieldPosition="0">
        <references count="2">
          <reference field="3" count="1" selected="0">
            <x v="1"/>
          </reference>
          <reference field="4" count="1" defaultSubtotal="1">
            <x v="17"/>
          </reference>
        </references>
      </pivotArea>
    </format>
    <format dxfId="337">
      <pivotArea dataOnly="0" labelOnly="1" outline="0" offset="D256" fieldPosition="0">
        <references count="2">
          <reference field="3" count="1" selected="0">
            <x v="1"/>
          </reference>
          <reference field="4" count="1" defaultSubtotal="1">
            <x v="18"/>
          </reference>
        </references>
      </pivotArea>
    </format>
    <format dxfId="336">
      <pivotArea dataOnly="0" labelOnly="1" outline="0" offset="E256" fieldPosition="0">
        <references count="1">
          <reference field="3" count="1" defaultSubtotal="1">
            <x v="1"/>
          </reference>
        </references>
      </pivotArea>
    </format>
    <format dxfId="335">
      <pivotArea dataOnly="0" labelOnly="1" outline="0" offset="D256" fieldPosition="0">
        <references count="2">
          <reference field="3" count="1" selected="0">
            <x v="2"/>
          </reference>
          <reference field="4" count="1" defaultSubtotal="1">
            <x v="7"/>
          </reference>
        </references>
      </pivotArea>
    </format>
    <format dxfId="334">
      <pivotArea dataOnly="0" labelOnly="1" outline="0" offset="D256" fieldPosition="0">
        <references count="2">
          <reference field="3" count="1" selected="0">
            <x v="2"/>
          </reference>
          <reference field="4" count="1" defaultSubtotal="1">
            <x v="8"/>
          </reference>
        </references>
      </pivotArea>
    </format>
    <format dxfId="333">
      <pivotArea dataOnly="0" labelOnly="1" outline="0" offset="D256" fieldPosition="0">
        <references count="2">
          <reference field="3" count="1" selected="0">
            <x v="2"/>
          </reference>
          <reference field="4" count="1" defaultSubtotal="1">
            <x v="12"/>
          </reference>
        </references>
      </pivotArea>
    </format>
    <format dxfId="332">
      <pivotArea dataOnly="0" labelOnly="1" outline="0" offset="D256" fieldPosition="0">
        <references count="2">
          <reference field="3" count="1" selected="0">
            <x v="2"/>
          </reference>
          <reference field="4" count="1" defaultSubtotal="1">
            <x v="20"/>
          </reference>
        </references>
      </pivotArea>
    </format>
    <format dxfId="331">
      <pivotArea dataOnly="0" labelOnly="1" outline="0" offset="E256" fieldPosition="0">
        <references count="1">
          <reference field="3" count="1" defaultSubtotal="1">
            <x v="2"/>
          </reference>
        </references>
      </pivotArea>
    </format>
    <format dxfId="330">
      <pivotArea dataOnly="0" labelOnly="1" outline="0" offset="D256" fieldPosition="0">
        <references count="2">
          <reference field="3" count="1" selected="0">
            <x v="3"/>
          </reference>
          <reference field="4" count="1" defaultSubtotal="1">
            <x v="4"/>
          </reference>
        </references>
      </pivotArea>
    </format>
    <format dxfId="329">
      <pivotArea dataOnly="0" labelOnly="1" outline="0" offset="D256" fieldPosition="0">
        <references count="2">
          <reference field="3" count="1" selected="0">
            <x v="3"/>
          </reference>
          <reference field="4" count="1" defaultSubtotal="1">
            <x v="5"/>
          </reference>
        </references>
      </pivotArea>
    </format>
    <format dxfId="328">
      <pivotArea dataOnly="0" labelOnly="1" outline="0" offset="D256" fieldPosition="0">
        <references count="2">
          <reference field="3" count="1" selected="0">
            <x v="3"/>
          </reference>
          <reference field="4" count="1" defaultSubtotal="1">
            <x v="19"/>
          </reference>
        </references>
      </pivotArea>
    </format>
    <format dxfId="327">
      <pivotArea dataOnly="0" labelOnly="1" outline="0" offset="D256" fieldPosition="0">
        <references count="2">
          <reference field="3" count="1" selected="0">
            <x v="3"/>
          </reference>
          <reference field="4" count="1" defaultSubtotal="1">
            <x v="26"/>
          </reference>
        </references>
      </pivotArea>
    </format>
    <format dxfId="326">
      <pivotArea dataOnly="0" labelOnly="1" outline="0" offset="E256" fieldPosition="0">
        <references count="1">
          <reference field="3" count="1" defaultSubtotal="1">
            <x v="3"/>
          </reference>
        </references>
      </pivotArea>
    </format>
    <format dxfId="325">
      <pivotArea dataOnly="0" labelOnly="1" outline="0" offset="D256" fieldPosition="0">
        <references count="2">
          <reference field="3" count="1" selected="0">
            <x v="4"/>
          </reference>
          <reference field="4" count="1" defaultSubtotal="1">
            <x v="2"/>
          </reference>
        </references>
      </pivotArea>
    </format>
    <format dxfId="324">
      <pivotArea dataOnly="0" labelOnly="1" outline="0" offset="D256" fieldPosition="0">
        <references count="2">
          <reference field="3" count="1" selected="0">
            <x v="4"/>
          </reference>
          <reference field="4" count="1" defaultSubtotal="1">
            <x v="10"/>
          </reference>
        </references>
      </pivotArea>
    </format>
    <format dxfId="323">
      <pivotArea dataOnly="0" labelOnly="1" outline="0" offset="D256" fieldPosition="0">
        <references count="2">
          <reference field="3" count="1" selected="0">
            <x v="4"/>
          </reference>
          <reference field="4" count="1" defaultSubtotal="1">
            <x v="15"/>
          </reference>
        </references>
      </pivotArea>
    </format>
    <format dxfId="322">
      <pivotArea dataOnly="0" labelOnly="1" outline="0" offset="E256" fieldPosition="0">
        <references count="1">
          <reference field="3" count="1" defaultSubtotal="1">
            <x v="4"/>
          </reference>
        </references>
      </pivotArea>
    </format>
    <format dxfId="321">
      <pivotArea dataOnly="0" labelOnly="1" outline="0" offset="D256" fieldPosition="0">
        <references count="2">
          <reference field="3" count="1" selected="0">
            <x v="5"/>
          </reference>
          <reference field="4" count="1" defaultSubtotal="1">
            <x v="9"/>
          </reference>
        </references>
      </pivotArea>
    </format>
    <format dxfId="320">
      <pivotArea dataOnly="0" labelOnly="1" outline="0" offset="D256" fieldPosition="0">
        <references count="2">
          <reference field="3" count="1" selected="0">
            <x v="5"/>
          </reference>
          <reference field="4" count="1" defaultSubtotal="1">
            <x v="10"/>
          </reference>
        </references>
      </pivotArea>
    </format>
    <format dxfId="319">
      <pivotArea dataOnly="0" labelOnly="1" outline="0" offset="E256" fieldPosition="0">
        <references count="1">
          <reference field="3" count="1" defaultSubtotal="1">
            <x v="5"/>
          </reference>
        </references>
      </pivotArea>
    </format>
    <format dxfId="318">
      <pivotArea dataOnly="0" labelOnly="1" outline="0" offset="D256" fieldPosition="0">
        <references count="2">
          <reference field="3" count="1" selected="0">
            <x v="6"/>
          </reference>
          <reference field="4" count="1" defaultSubtotal="1">
            <x v="0"/>
          </reference>
        </references>
      </pivotArea>
    </format>
    <format dxfId="317">
      <pivotArea dataOnly="0" labelOnly="1" outline="0" offset="D256" fieldPosition="0">
        <references count="2">
          <reference field="3" count="1" selected="0">
            <x v="6"/>
          </reference>
          <reference field="4" count="1" defaultSubtotal="1">
            <x v="11"/>
          </reference>
        </references>
      </pivotArea>
    </format>
    <format dxfId="316">
      <pivotArea dataOnly="0" labelOnly="1" outline="0" offset="D256" fieldPosition="0">
        <references count="2">
          <reference field="3" count="1" selected="0">
            <x v="6"/>
          </reference>
          <reference field="4" count="1" defaultSubtotal="1">
            <x v="13"/>
          </reference>
        </references>
      </pivotArea>
    </format>
    <format dxfId="315">
      <pivotArea dataOnly="0" labelOnly="1" outline="0" offset="D256" fieldPosition="0">
        <references count="2">
          <reference field="3" count="1" selected="0">
            <x v="6"/>
          </reference>
          <reference field="4" count="1" defaultSubtotal="1">
            <x v="14"/>
          </reference>
        </references>
      </pivotArea>
    </format>
    <format dxfId="314">
      <pivotArea dataOnly="0" labelOnly="1" outline="0" offset="D256" fieldPosition="0">
        <references count="2">
          <reference field="3" count="1" selected="0">
            <x v="6"/>
          </reference>
          <reference field="4" count="1" defaultSubtotal="1">
            <x v="16"/>
          </reference>
        </references>
      </pivotArea>
    </format>
    <format dxfId="313">
      <pivotArea dataOnly="0" labelOnly="1" outline="0" offset="D256" fieldPosition="0">
        <references count="2">
          <reference field="3" count="1" selected="0">
            <x v="6"/>
          </reference>
          <reference field="4" count="1" defaultSubtotal="1">
            <x v="24"/>
          </reference>
        </references>
      </pivotArea>
    </format>
    <format dxfId="312">
      <pivotArea dataOnly="0" labelOnly="1" outline="0" offset="E256" fieldPosition="0">
        <references count="1">
          <reference field="3" count="1" defaultSubtotal="1">
            <x v="6"/>
          </reference>
        </references>
      </pivotArea>
    </format>
    <format dxfId="311">
      <pivotArea dataOnly="0" labelOnly="1" outline="0" offset="D256" fieldPosition="0">
        <references count="2">
          <reference field="3" count="1" selected="0">
            <x v="7"/>
          </reference>
          <reference field="4" count="1" defaultSubtotal="1">
            <x v="21"/>
          </reference>
        </references>
      </pivotArea>
    </format>
    <format dxfId="310">
      <pivotArea dataOnly="0" labelOnly="1" outline="0" offset="E256" fieldPosition="0">
        <references count="1">
          <reference field="3" count="1" defaultSubtotal="1">
            <x v="7"/>
          </reference>
        </references>
      </pivotArea>
    </format>
    <format dxfId="309">
      <pivotArea dataOnly="0" labelOnly="1" outline="0" offset="D256" fieldPosition="0">
        <references count="2">
          <reference field="3" count="1" selected="0">
            <x v="8"/>
          </reference>
          <reference field="4" count="1" defaultSubtotal="1">
            <x v="23"/>
          </reference>
        </references>
      </pivotArea>
    </format>
    <format dxfId="308">
      <pivotArea dataOnly="0" labelOnly="1" outline="0" offset="E256" fieldPosition="0">
        <references count="1">
          <reference field="3" count="1" defaultSubtotal="1">
            <x v="8"/>
          </reference>
        </references>
      </pivotArea>
    </format>
    <format dxfId="307">
      <pivotArea dataOnly="0" labelOnly="1" outline="0" offset="D256" fieldPosition="0">
        <references count="2">
          <reference field="3" count="1" selected="0">
            <x v="0"/>
          </reference>
          <reference field="4" count="1" defaultSubtotal="1">
            <x v="3"/>
          </reference>
        </references>
      </pivotArea>
    </format>
    <format dxfId="306">
      <pivotArea dataOnly="0" labelOnly="1" outline="0" offset="D256" fieldPosition="0">
        <references count="2">
          <reference field="3" count="1" selected="0">
            <x v="0"/>
          </reference>
          <reference field="4" count="1" defaultSubtotal="1">
            <x v="6"/>
          </reference>
        </references>
      </pivotArea>
    </format>
    <format dxfId="305">
      <pivotArea dataOnly="0" labelOnly="1" outline="0" offset="D256" fieldPosition="0">
        <references count="2">
          <reference field="3" count="1" selected="0">
            <x v="0"/>
          </reference>
          <reference field="4" count="1" defaultSubtotal="1">
            <x v="10"/>
          </reference>
        </references>
      </pivotArea>
    </format>
    <format dxfId="304">
      <pivotArea dataOnly="0" labelOnly="1" outline="0" offset="D256" fieldPosition="0">
        <references count="2">
          <reference field="3" count="1" selected="0">
            <x v="0"/>
          </reference>
          <reference field="4" count="1" defaultSubtotal="1">
            <x v="21"/>
          </reference>
        </references>
      </pivotArea>
    </format>
    <format dxfId="303">
      <pivotArea dataOnly="0" labelOnly="1" outline="0" offset="D256" fieldPosition="0">
        <references count="2">
          <reference field="3" count="1" selected="0">
            <x v="0"/>
          </reference>
          <reference field="4" count="1" defaultSubtotal="1">
            <x v="22"/>
          </reference>
        </references>
      </pivotArea>
    </format>
    <format dxfId="302">
      <pivotArea dataOnly="0" labelOnly="1" outline="0" offset="D256" fieldPosition="0">
        <references count="2">
          <reference field="3" count="1" selected="0">
            <x v="0"/>
          </reference>
          <reference field="4" count="1" defaultSubtotal="1">
            <x v="25"/>
          </reference>
        </references>
      </pivotArea>
    </format>
    <format dxfId="301">
      <pivotArea dataOnly="0" labelOnly="1" outline="0" offset="E256" fieldPosition="0">
        <references count="1">
          <reference field="3" count="1" defaultSubtotal="1">
            <x v="0"/>
          </reference>
        </references>
      </pivotArea>
    </format>
    <format dxfId="300">
      <pivotArea dataOnly="0" labelOnly="1" outline="0" offset="D256" fieldPosition="0">
        <references count="2">
          <reference field="3" count="1" selected="0">
            <x v="1"/>
          </reference>
          <reference field="4" count="1" defaultSubtotal="1">
            <x v="1"/>
          </reference>
        </references>
      </pivotArea>
    </format>
    <format dxfId="299">
      <pivotArea dataOnly="0" labelOnly="1" outline="0" offset="D256" fieldPosition="0">
        <references count="2">
          <reference field="3" count="1" selected="0">
            <x v="1"/>
          </reference>
          <reference field="4" count="1" defaultSubtotal="1">
            <x v="17"/>
          </reference>
        </references>
      </pivotArea>
    </format>
    <format dxfId="298">
      <pivotArea dataOnly="0" labelOnly="1" outline="0" offset="D256" fieldPosition="0">
        <references count="2">
          <reference field="3" count="1" selected="0">
            <x v="1"/>
          </reference>
          <reference field="4" count="1" defaultSubtotal="1">
            <x v="18"/>
          </reference>
        </references>
      </pivotArea>
    </format>
    <format dxfId="297">
      <pivotArea dataOnly="0" labelOnly="1" outline="0" offset="E256" fieldPosition="0">
        <references count="1">
          <reference field="3" count="1" defaultSubtotal="1">
            <x v="1"/>
          </reference>
        </references>
      </pivotArea>
    </format>
    <format dxfId="296">
      <pivotArea dataOnly="0" labelOnly="1" outline="0" offset="D256" fieldPosition="0">
        <references count="2">
          <reference field="3" count="1" selected="0">
            <x v="2"/>
          </reference>
          <reference field="4" count="1" defaultSubtotal="1">
            <x v="7"/>
          </reference>
        </references>
      </pivotArea>
    </format>
    <format dxfId="295">
      <pivotArea dataOnly="0" labelOnly="1" outline="0" offset="D256" fieldPosition="0">
        <references count="2">
          <reference field="3" count="1" selected="0">
            <x v="2"/>
          </reference>
          <reference field="4" count="1" defaultSubtotal="1">
            <x v="8"/>
          </reference>
        </references>
      </pivotArea>
    </format>
    <format dxfId="294">
      <pivotArea dataOnly="0" labelOnly="1" outline="0" offset="D256" fieldPosition="0">
        <references count="2">
          <reference field="3" count="1" selected="0">
            <x v="2"/>
          </reference>
          <reference field="4" count="1" defaultSubtotal="1">
            <x v="12"/>
          </reference>
        </references>
      </pivotArea>
    </format>
    <format dxfId="293">
      <pivotArea dataOnly="0" labelOnly="1" outline="0" offset="D256" fieldPosition="0">
        <references count="2">
          <reference field="3" count="1" selected="0">
            <x v="2"/>
          </reference>
          <reference field="4" count="1" defaultSubtotal="1">
            <x v="20"/>
          </reference>
        </references>
      </pivotArea>
    </format>
    <format dxfId="292">
      <pivotArea dataOnly="0" labelOnly="1" outline="0" offset="E256" fieldPosition="0">
        <references count="1">
          <reference field="3" count="1" defaultSubtotal="1">
            <x v="2"/>
          </reference>
        </references>
      </pivotArea>
    </format>
    <format dxfId="291">
      <pivotArea dataOnly="0" labelOnly="1" outline="0" offset="D256" fieldPosition="0">
        <references count="2">
          <reference field="3" count="1" selected="0">
            <x v="3"/>
          </reference>
          <reference field="4" count="1" defaultSubtotal="1">
            <x v="4"/>
          </reference>
        </references>
      </pivotArea>
    </format>
    <format dxfId="290">
      <pivotArea dataOnly="0" labelOnly="1" outline="0" offset="D256" fieldPosition="0">
        <references count="2">
          <reference field="3" count="1" selected="0">
            <x v="3"/>
          </reference>
          <reference field="4" count="1" defaultSubtotal="1">
            <x v="5"/>
          </reference>
        </references>
      </pivotArea>
    </format>
    <format dxfId="289">
      <pivotArea dataOnly="0" labelOnly="1" outline="0" offset="D256" fieldPosition="0">
        <references count="2">
          <reference field="3" count="1" selected="0">
            <x v="3"/>
          </reference>
          <reference field="4" count="1" defaultSubtotal="1">
            <x v="19"/>
          </reference>
        </references>
      </pivotArea>
    </format>
    <format dxfId="288">
      <pivotArea dataOnly="0" labelOnly="1" outline="0" offset="D256" fieldPosition="0">
        <references count="2">
          <reference field="3" count="1" selected="0">
            <x v="3"/>
          </reference>
          <reference field="4" count="1" defaultSubtotal="1">
            <x v="26"/>
          </reference>
        </references>
      </pivotArea>
    </format>
    <format dxfId="287">
      <pivotArea dataOnly="0" labelOnly="1" outline="0" offset="E256" fieldPosition="0">
        <references count="1">
          <reference field="3" count="1" defaultSubtotal="1">
            <x v="3"/>
          </reference>
        </references>
      </pivotArea>
    </format>
    <format dxfId="286">
      <pivotArea dataOnly="0" labelOnly="1" outline="0" offset="D256" fieldPosition="0">
        <references count="2">
          <reference field="3" count="1" selected="0">
            <x v="4"/>
          </reference>
          <reference field="4" count="1" defaultSubtotal="1">
            <x v="2"/>
          </reference>
        </references>
      </pivotArea>
    </format>
    <format dxfId="285">
      <pivotArea dataOnly="0" labelOnly="1" outline="0" offset="D256" fieldPosition="0">
        <references count="2">
          <reference field="3" count="1" selected="0">
            <x v="4"/>
          </reference>
          <reference field="4" count="1" defaultSubtotal="1">
            <x v="10"/>
          </reference>
        </references>
      </pivotArea>
    </format>
    <format dxfId="284">
      <pivotArea dataOnly="0" labelOnly="1" outline="0" offset="D256" fieldPosition="0">
        <references count="2">
          <reference field="3" count="1" selected="0">
            <x v="4"/>
          </reference>
          <reference field="4" count="1" defaultSubtotal="1">
            <x v="15"/>
          </reference>
        </references>
      </pivotArea>
    </format>
    <format dxfId="283">
      <pivotArea dataOnly="0" labelOnly="1" outline="0" offset="E256" fieldPosition="0">
        <references count="1">
          <reference field="3" count="1" defaultSubtotal="1">
            <x v="4"/>
          </reference>
        </references>
      </pivotArea>
    </format>
    <format dxfId="282">
      <pivotArea dataOnly="0" labelOnly="1" outline="0" offset="D256" fieldPosition="0">
        <references count="2">
          <reference field="3" count="1" selected="0">
            <x v="5"/>
          </reference>
          <reference field="4" count="1" defaultSubtotal="1">
            <x v="9"/>
          </reference>
        </references>
      </pivotArea>
    </format>
    <format dxfId="281">
      <pivotArea dataOnly="0" labelOnly="1" outline="0" offset="D256" fieldPosition="0">
        <references count="2">
          <reference field="3" count="1" selected="0">
            <x v="5"/>
          </reference>
          <reference field="4" count="1" defaultSubtotal="1">
            <x v="10"/>
          </reference>
        </references>
      </pivotArea>
    </format>
    <format dxfId="280">
      <pivotArea dataOnly="0" labelOnly="1" outline="0" offset="E256" fieldPosition="0">
        <references count="1">
          <reference field="3" count="1" defaultSubtotal="1">
            <x v="5"/>
          </reference>
        </references>
      </pivotArea>
    </format>
    <format dxfId="279">
      <pivotArea dataOnly="0" labelOnly="1" outline="0" offset="D256" fieldPosition="0">
        <references count="2">
          <reference field="3" count="1" selected="0">
            <x v="6"/>
          </reference>
          <reference field="4" count="1" defaultSubtotal="1">
            <x v="0"/>
          </reference>
        </references>
      </pivotArea>
    </format>
    <format dxfId="278">
      <pivotArea dataOnly="0" labelOnly="1" outline="0" offset="D256" fieldPosition="0">
        <references count="2">
          <reference field="3" count="1" selected="0">
            <x v="6"/>
          </reference>
          <reference field="4" count="1" defaultSubtotal="1">
            <x v="11"/>
          </reference>
        </references>
      </pivotArea>
    </format>
    <format dxfId="277">
      <pivotArea dataOnly="0" labelOnly="1" outline="0" offset="D256" fieldPosition="0">
        <references count="2">
          <reference field="3" count="1" selected="0">
            <x v="6"/>
          </reference>
          <reference field="4" count="1" defaultSubtotal="1">
            <x v="13"/>
          </reference>
        </references>
      </pivotArea>
    </format>
    <format dxfId="276">
      <pivotArea dataOnly="0" labelOnly="1" outline="0" offset="D256" fieldPosition="0">
        <references count="2">
          <reference field="3" count="1" selected="0">
            <x v="6"/>
          </reference>
          <reference field="4" count="1" defaultSubtotal="1">
            <x v="14"/>
          </reference>
        </references>
      </pivotArea>
    </format>
    <format dxfId="275">
      <pivotArea dataOnly="0" labelOnly="1" outline="0" offset="D256" fieldPosition="0">
        <references count="2">
          <reference field="3" count="1" selected="0">
            <x v="6"/>
          </reference>
          <reference field="4" count="1" defaultSubtotal="1">
            <x v="16"/>
          </reference>
        </references>
      </pivotArea>
    </format>
    <format dxfId="274">
      <pivotArea dataOnly="0" labelOnly="1" outline="0" offset="D256" fieldPosition="0">
        <references count="2">
          <reference field="3" count="1" selected="0">
            <x v="6"/>
          </reference>
          <reference field="4" count="1" defaultSubtotal="1">
            <x v="24"/>
          </reference>
        </references>
      </pivotArea>
    </format>
    <format dxfId="273">
      <pivotArea dataOnly="0" labelOnly="1" outline="0" offset="E256" fieldPosition="0">
        <references count="1">
          <reference field="3" count="1" defaultSubtotal="1">
            <x v="6"/>
          </reference>
        </references>
      </pivotArea>
    </format>
    <format dxfId="272">
      <pivotArea dataOnly="0" labelOnly="1" outline="0" offset="D256" fieldPosition="0">
        <references count="2">
          <reference field="3" count="1" selected="0">
            <x v="7"/>
          </reference>
          <reference field="4" count="1" defaultSubtotal="1">
            <x v="21"/>
          </reference>
        </references>
      </pivotArea>
    </format>
    <format dxfId="271">
      <pivotArea dataOnly="0" labelOnly="1" outline="0" offset="E256" fieldPosition="0">
        <references count="1">
          <reference field="3" count="1" defaultSubtotal="1">
            <x v="7"/>
          </reference>
        </references>
      </pivotArea>
    </format>
    <format dxfId="270">
      <pivotArea dataOnly="0" labelOnly="1" outline="0" offset="D256" fieldPosition="0">
        <references count="2">
          <reference field="3" count="1" selected="0">
            <x v="8"/>
          </reference>
          <reference field="4" count="1" defaultSubtotal="1">
            <x v="23"/>
          </reference>
        </references>
      </pivotArea>
    </format>
    <format dxfId="269">
      <pivotArea dataOnly="0" labelOnly="1" outline="0" offset="E256" fieldPosition="0">
        <references count="1">
          <reference field="3" count="1" defaultSubtotal="1">
            <x v="8"/>
          </reference>
        </references>
      </pivotArea>
    </format>
    <format dxfId="268">
      <pivotArea outline="0" fieldPosition="0">
        <references count="3">
          <reference field="0" count="1" selected="0">
            <x v="238"/>
          </reference>
          <reference field="3" count="1" selected="0">
            <x v="4"/>
          </reference>
          <reference field="4" count="1" selected="0">
            <x v="15"/>
          </reference>
        </references>
      </pivotArea>
    </format>
    <format dxfId="267">
      <pivotArea outline="0" fieldPosition="0">
        <references count="3">
          <reference field="0" count="1" selected="0">
            <x v="1"/>
          </reference>
          <reference field="3" count="1" selected="0">
            <x v="7"/>
          </reference>
          <reference field="4" count="1" selected="0">
            <x v="21"/>
          </reference>
        </references>
      </pivotArea>
    </format>
    <format dxfId="266">
      <pivotArea outline="0" fieldPosition="0">
        <references count="3">
          <reference field="0" count="1" selected="0">
            <x v="238"/>
          </reference>
          <reference field="3" count="1" selected="0">
            <x v="4"/>
          </reference>
          <reference field="4" count="1" selected="0">
            <x v="15"/>
          </reference>
        </references>
      </pivotArea>
    </format>
    <format dxfId="265">
      <pivotArea outline="0" fieldPosition="0">
        <references count="3">
          <reference field="0" count="1" selected="0">
            <x v="1"/>
          </reference>
          <reference field="3" count="1" selected="0">
            <x v="7"/>
          </reference>
          <reference field="4" count="1" selected="0">
            <x v="21"/>
          </reference>
        </references>
      </pivotArea>
    </format>
    <format dxfId="264">
      <pivotArea outline="0" fieldPosition="0">
        <references count="3">
          <reference field="0" count="1" selected="0">
            <x v="156"/>
          </reference>
          <reference field="3" count="1" selected="0">
            <x v="0"/>
          </reference>
          <reference field="4" count="1" selected="0">
            <x v="6"/>
          </reference>
        </references>
      </pivotArea>
    </format>
    <format dxfId="263">
      <pivotArea outline="0" fieldPosition="0">
        <references count="3">
          <reference field="0" count="1" selected="0">
            <x v="342"/>
          </reference>
          <reference field="3" count="1" selected="0">
            <x v="0"/>
          </reference>
          <reference field="4" count="1" selected="0">
            <x v="25"/>
          </reference>
        </references>
      </pivotArea>
    </format>
    <format dxfId="262">
      <pivotArea outline="0" fieldPosition="0">
        <references count="3">
          <reference field="0" count="1" selected="0">
            <x v="264"/>
          </reference>
          <reference field="3" count="1" selected="0">
            <x v="2"/>
          </reference>
          <reference field="4" count="1" selected="0">
            <x v="8"/>
          </reference>
        </references>
      </pivotArea>
    </format>
    <format dxfId="261">
      <pivotArea outline="0" fieldPosition="0">
        <references count="2">
          <reference field="3" count="1" selected="0">
            <x v="2"/>
          </reference>
          <reference field="4" count="1" selected="0" defaultSubtotal="1">
            <x v="8"/>
          </reference>
        </references>
      </pivotArea>
    </format>
    <format dxfId="260">
      <pivotArea outline="0" fieldPosition="0">
        <references count="3">
          <reference field="0" count="1" selected="0">
            <x v="346"/>
          </reference>
          <reference field="3" count="1" selected="0">
            <x v="4"/>
          </reference>
          <reference field="4" count="1" selected="0">
            <x v="2"/>
          </reference>
        </references>
      </pivotArea>
    </format>
    <format dxfId="259">
      <pivotArea outline="0" fieldPosition="0">
        <references count="3">
          <reference field="0" count="1" selected="0">
            <x v="352"/>
          </reference>
          <reference field="3" count="1" selected="0">
            <x v="4"/>
          </reference>
          <reference field="4" count="1" selected="0">
            <x v="2"/>
          </reference>
        </references>
      </pivotArea>
    </format>
    <format dxfId="258">
      <pivotArea outline="0" fieldPosition="0">
        <references count="3">
          <reference field="0" count="1" selected="0">
            <x v="353"/>
          </reference>
          <reference field="3" count="1" selected="0">
            <x v="4"/>
          </reference>
          <reference field="4" count="1" selected="0">
            <x v="2"/>
          </reference>
        </references>
      </pivotArea>
    </format>
    <format dxfId="257">
      <pivotArea outline="0" fieldPosition="0">
        <references count="3">
          <reference field="0" count="1" selected="0">
            <x v="156"/>
          </reference>
          <reference field="3" count="1" selected="0">
            <x v="0"/>
          </reference>
          <reference field="4" count="1" selected="0">
            <x v="6"/>
          </reference>
        </references>
      </pivotArea>
    </format>
    <format dxfId="256">
      <pivotArea outline="0" fieldPosition="0">
        <references count="3">
          <reference field="0" count="1" selected="0">
            <x v="342"/>
          </reference>
          <reference field="3" count="1" selected="0">
            <x v="0"/>
          </reference>
          <reference field="4" count="1" selected="0">
            <x v="25"/>
          </reference>
        </references>
      </pivotArea>
    </format>
    <format dxfId="255">
      <pivotArea outline="0" fieldPosition="0">
        <references count="3">
          <reference field="0" count="1" selected="0">
            <x v="264"/>
          </reference>
          <reference field="3" count="1" selected="0">
            <x v="2"/>
          </reference>
          <reference field="4" count="1" selected="0">
            <x v="8"/>
          </reference>
        </references>
      </pivotArea>
    </format>
    <format dxfId="254">
      <pivotArea outline="0" fieldPosition="0">
        <references count="2">
          <reference field="3" count="1" selected="0">
            <x v="2"/>
          </reference>
          <reference field="4" count="1" selected="0" defaultSubtotal="1">
            <x v="8"/>
          </reference>
        </references>
      </pivotArea>
    </format>
    <format dxfId="253">
      <pivotArea outline="0" fieldPosition="0">
        <references count="3">
          <reference field="0" count="1" selected="0">
            <x v="346"/>
          </reference>
          <reference field="3" count="1" selected="0">
            <x v="4"/>
          </reference>
          <reference field="4" count="1" selected="0">
            <x v="2"/>
          </reference>
        </references>
      </pivotArea>
    </format>
    <format dxfId="252">
      <pivotArea outline="0" fieldPosition="0">
        <references count="3">
          <reference field="0" count="1" selected="0">
            <x v="352"/>
          </reference>
          <reference field="3" count="1" selected="0">
            <x v="4"/>
          </reference>
          <reference field="4" count="1" selected="0">
            <x v="2"/>
          </reference>
        </references>
      </pivotArea>
    </format>
    <format dxfId="251">
      <pivotArea outline="0" fieldPosition="0">
        <references count="3">
          <reference field="0" count="1" selected="0">
            <x v="353"/>
          </reference>
          <reference field="3" count="1" selected="0">
            <x v="4"/>
          </reference>
          <reference field="4" count="1" selected="0">
            <x v="2"/>
          </reference>
        </references>
      </pivotArea>
    </format>
    <format dxfId="250">
      <pivotArea outline="0" fieldPosition="0">
        <references count="3">
          <reference field="0" count="1" selected="0">
            <x v="247"/>
          </reference>
          <reference field="3" count="1" selected="0">
            <x v="2"/>
          </reference>
          <reference field="4" count="1" selected="0">
            <x v="20"/>
          </reference>
        </references>
      </pivotArea>
    </format>
    <format dxfId="249">
      <pivotArea outline="0" fieldPosition="0">
        <references count="3">
          <reference field="0" count="1" selected="0">
            <x v="348"/>
          </reference>
          <reference field="3" count="1" selected="0">
            <x v="4"/>
          </reference>
          <reference field="4" count="1" selected="0">
            <x v="2"/>
          </reference>
        </references>
      </pivotArea>
    </format>
    <format dxfId="248">
      <pivotArea outline="0" fieldPosition="0">
        <references count="3">
          <reference field="0" count="1" selected="0">
            <x v="247"/>
          </reference>
          <reference field="3" count="1" selected="0">
            <x v="2"/>
          </reference>
          <reference field="4" count="1" selected="0">
            <x v="20"/>
          </reference>
        </references>
      </pivotArea>
    </format>
    <format dxfId="247">
      <pivotArea outline="0" fieldPosition="0">
        <references count="3">
          <reference field="0" count="1" selected="0">
            <x v="348"/>
          </reference>
          <reference field="3" count="1" selected="0">
            <x v="4"/>
          </reference>
          <reference field="4" count="1" selected="0">
            <x v="2"/>
          </reference>
        </references>
      </pivotArea>
    </format>
    <format dxfId="246">
      <pivotArea outline="0" fieldPosition="0">
        <references count="3">
          <reference field="0" count="1" selected="0">
            <x v="286"/>
          </reference>
          <reference field="3" count="1" selected="0">
            <x v="0"/>
          </reference>
          <reference field="4" count="1" selected="0">
            <x v="25"/>
          </reference>
        </references>
      </pivotArea>
    </format>
    <format dxfId="245">
      <pivotArea outline="0" fieldPosition="0">
        <references count="3">
          <reference field="0" count="1" selected="0">
            <x v="293"/>
          </reference>
          <reference field="3" count="1" selected="0">
            <x v="0"/>
          </reference>
          <reference field="4" count="1" selected="0">
            <x v="25"/>
          </reference>
        </references>
      </pivotArea>
    </format>
    <format dxfId="244">
      <pivotArea outline="0" fieldPosition="0">
        <references count="3">
          <reference field="0" count="1" selected="0">
            <x v="306"/>
          </reference>
          <reference field="3" count="1" selected="0">
            <x v="0"/>
          </reference>
          <reference field="4" count="1" selected="0">
            <x v="25"/>
          </reference>
        </references>
      </pivotArea>
    </format>
    <format dxfId="243">
      <pivotArea outline="0" fieldPosition="0">
        <references count="3">
          <reference field="0" count="1" selected="0">
            <x v="341"/>
          </reference>
          <reference field="3" count="1" selected="0">
            <x v="0"/>
          </reference>
          <reference field="4" count="1" selected="0">
            <x v="25"/>
          </reference>
        </references>
      </pivotArea>
    </format>
    <format dxfId="242">
      <pivotArea outline="0" fieldPosition="0">
        <references count="2">
          <reference field="3" count="1" selected="0">
            <x v="0"/>
          </reference>
          <reference field="4" count="1" selected="0" defaultSubtotal="1">
            <x v="25"/>
          </reference>
        </references>
      </pivotArea>
    </format>
    <format dxfId="241">
      <pivotArea outline="0" fieldPosition="0">
        <references count="3">
          <reference field="0" count="1" selected="0">
            <x v="203"/>
          </reference>
          <reference field="3" count="1" selected="0">
            <x v="2"/>
          </reference>
          <reference field="4" count="1" selected="0">
            <x v="20"/>
          </reference>
        </references>
      </pivotArea>
    </format>
    <format dxfId="240">
      <pivotArea outline="0" fieldPosition="0">
        <references count="3">
          <reference field="0" count="1" selected="0">
            <x v="369"/>
          </reference>
          <reference field="3" count="1" selected="0">
            <x v="3"/>
          </reference>
          <reference field="4" count="1" selected="0">
            <x v="26"/>
          </reference>
        </references>
      </pivotArea>
    </format>
    <format dxfId="239">
      <pivotArea outline="0" fieldPosition="0">
        <references count="2">
          <reference field="3" count="1" selected="0">
            <x v="3"/>
          </reference>
          <reference field="4" count="1" selected="0" defaultSubtotal="1">
            <x v="26"/>
          </reference>
        </references>
      </pivotArea>
    </format>
    <format dxfId="238">
      <pivotArea outline="0" fieldPosition="0">
        <references count="3">
          <reference field="0" count="1" selected="0">
            <x v="351"/>
          </reference>
          <reference field="3" count="1" selected="0">
            <x v="4"/>
          </reference>
          <reference field="4" count="1" selected="0">
            <x v="2"/>
          </reference>
        </references>
      </pivotArea>
    </format>
    <format dxfId="237">
      <pivotArea outline="0" fieldPosition="0">
        <references count="3">
          <reference field="0" count="1" selected="0">
            <x v="354"/>
          </reference>
          <reference field="3" count="1" selected="0">
            <x v="4"/>
          </reference>
          <reference field="4" count="1" selected="0">
            <x v="2"/>
          </reference>
        </references>
      </pivotArea>
    </format>
    <format dxfId="236">
      <pivotArea outline="0" fieldPosition="0">
        <references count="3">
          <reference field="0" count="1" selected="0">
            <x v="24"/>
          </reference>
          <reference field="3" count="1" selected="0">
            <x v="7"/>
          </reference>
          <reference field="4" count="1" selected="0">
            <x v="21"/>
          </reference>
        </references>
      </pivotArea>
    </format>
    <format dxfId="235">
      <pivotArea outline="0" fieldPosition="0">
        <references count="3">
          <reference field="0" count="1" selected="0">
            <x v="286"/>
          </reference>
          <reference field="3" count="1" selected="0">
            <x v="0"/>
          </reference>
          <reference field="4" count="1" selected="0">
            <x v="25"/>
          </reference>
        </references>
      </pivotArea>
    </format>
    <format dxfId="234">
      <pivotArea outline="0" fieldPosition="0">
        <references count="3">
          <reference field="0" count="1" selected="0">
            <x v="293"/>
          </reference>
          <reference field="3" count="1" selected="0">
            <x v="0"/>
          </reference>
          <reference field="4" count="1" selected="0">
            <x v="25"/>
          </reference>
        </references>
      </pivotArea>
    </format>
    <format dxfId="233">
      <pivotArea outline="0" fieldPosition="0">
        <references count="3">
          <reference field="0" count="1" selected="0">
            <x v="306"/>
          </reference>
          <reference field="3" count="1" selected="0">
            <x v="0"/>
          </reference>
          <reference field="4" count="1" selected="0">
            <x v="25"/>
          </reference>
        </references>
      </pivotArea>
    </format>
    <format dxfId="232">
      <pivotArea outline="0" fieldPosition="0">
        <references count="3">
          <reference field="0" count="1" selected="0">
            <x v="341"/>
          </reference>
          <reference field="3" count="1" selected="0">
            <x v="0"/>
          </reference>
          <reference field="4" count="1" selected="0">
            <x v="25"/>
          </reference>
        </references>
      </pivotArea>
    </format>
    <format dxfId="231">
      <pivotArea outline="0" fieldPosition="0">
        <references count="2">
          <reference field="3" count="1" selected="0">
            <x v="0"/>
          </reference>
          <reference field="4" count="1" selected="0" defaultSubtotal="1">
            <x v="25"/>
          </reference>
        </references>
      </pivotArea>
    </format>
    <format dxfId="230">
      <pivotArea outline="0" fieldPosition="0">
        <references count="3">
          <reference field="0" count="1" selected="0">
            <x v="203"/>
          </reference>
          <reference field="3" count="1" selected="0">
            <x v="2"/>
          </reference>
          <reference field="4" count="1" selected="0">
            <x v="20"/>
          </reference>
        </references>
      </pivotArea>
    </format>
    <format dxfId="229">
      <pivotArea outline="0" fieldPosition="0">
        <references count="3">
          <reference field="0" count="1" selected="0">
            <x v="369"/>
          </reference>
          <reference field="3" count="1" selected="0">
            <x v="3"/>
          </reference>
          <reference field="4" count="1" selected="0">
            <x v="26"/>
          </reference>
        </references>
      </pivotArea>
    </format>
    <format dxfId="228">
      <pivotArea outline="0" fieldPosition="0">
        <references count="2">
          <reference field="3" count="1" selected="0">
            <x v="3"/>
          </reference>
          <reference field="4" count="1" selected="0" defaultSubtotal="1">
            <x v="26"/>
          </reference>
        </references>
      </pivotArea>
    </format>
    <format dxfId="227">
      <pivotArea outline="0" fieldPosition="0">
        <references count="3">
          <reference field="0" count="1" selected="0">
            <x v="351"/>
          </reference>
          <reference field="3" count="1" selected="0">
            <x v="4"/>
          </reference>
          <reference field="4" count="1" selected="0">
            <x v="2"/>
          </reference>
        </references>
      </pivotArea>
    </format>
    <format dxfId="226">
      <pivotArea outline="0" fieldPosition="0">
        <references count="3">
          <reference field="0" count="1" selected="0">
            <x v="354"/>
          </reference>
          <reference field="3" count="1" selected="0">
            <x v="4"/>
          </reference>
          <reference field="4" count="1" selected="0">
            <x v="2"/>
          </reference>
        </references>
      </pivotArea>
    </format>
    <format dxfId="225">
      <pivotArea outline="0" fieldPosition="0">
        <references count="3">
          <reference field="0" count="1" selected="0">
            <x v="24"/>
          </reference>
          <reference field="3" count="1" selected="0">
            <x v="7"/>
          </reference>
          <reference field="4" count="1" selected="0">
            <x v="21"/>
          </reference>
        </references>
      </pivotArea>
    </format>
    <format dxfId="224">
      <pivotArea outline="0" fieldPosition="0">
        <references count="3">
          <reference field="0" count="1" selected="0">
            <x v="77"/>
          </reference>
          <reference field="3" count="1" selected="0">
            <x v="0"/>
          </reference>
          <reference field="4" count="1" selected="0">
            <x v="3"/>
          </reference>
        </references>
      </pivotArea>
    </format>
    <format dxfId="223">
      <pivotArea outline="0" fieldPosition="0">
        <references count="3">
          <reference field="0" count="1" selected="0">
            <x v="92"/>
          </reference>
          <reference field="3" count="1" selected="0">
            <x v="0"/>
          </reference>
          <reference field="4" count="1" selected="0">
            <x v="3"/>
          </reference>
        </references>
      </pivotArea>
    </format>
    <format dxfId="222">
      <pivotArea outline="0" fieldPosition="0">
        <references count="3">
          <reference field="0" count="1" selected="0">
            <x v="99"/>
          </reference>
          <reference field="3" count="1" selected="0">
            <x v="0"/>
          </reference>
          <reference field="4" count="1" selected="0">
            <x v="3"/>
          </reference>
        </references>
      </pivotArea>
    </format>
    <format dxfId="221">
      <pivotArea outline="0" fieldPosition="0">
        <references count="2">
          <reference field="3" count="1" selected="0">
            <x v="0"/>
          </reference>
          <reference field="4" count="1" selected="0" defaultSubtotal="1">
            <x v="3"/>
          </reference>
        </references>
      </pivotArea>
    </format>
    <format dxfId="220">
      <pivotArea outline="0" fieldPosition="0">
        <references count="3">
          <reference field="0" count="1" selected="0">
            <x v="155"/>
          </reference>
          <reference field="3" count="1" selected="0">
            <x v="0"/>
          </reference>
          <reference field="4" count="1" selected="0">
            <x v="6"/>
          </reference>
        </references>
      </pivotArea>
    </format>
    <format dxfId="219">
      <pivotArea outline="0" fieldPosition="0">
        <references count="3">
          <reference field="0" count="1" selected="0">
            <x v="157"/>
          </reference>
          <reference field="3" count="1" selected="0">
            <x v="0"/>
          </reference>
          <reference field="4" count="1" selected="0">
            <x v="6"/>
          </reference>
        </references>
      </pivotArea>
    </format>
    <format dxfId="218">
      <pivotArea outline="0" fieldPosition="0">
        <references count="2">
          <reference field="3" count="1" selected="0">
            <x v="0"/>
          </reference>
          <reference field="4" count="1" selected="0" defaultSubtotal="1">
            <x v="6"/>
          </reference>
        </references>
      </pivotArea>
    </format>
    <format dxfId="217">
      <pivotArea outline="0" fieldPosition="0">
        <references count="1">
          <reference field="3" count="1" selected="0" defaultSubtotal="1">
            <x v="0"/>
          </reference>
        </references>
      </pivotArea>
    </format>
    <format dxfId="216">
      <pivotArea outline="0" fieldPosition="0">
        <references count="3">
          <reference field="0" count="1" selected="0">
            <x v="205"/>
          </reference>
          <reference field="3" count="1" selected="0">
            <x v="1"/>
          </reference>
          <reference field="4" count="1" selected="0">
            <x v="1"/>
          </reference>
        </references>
      </pivotArea>
    </format>
    <format dxfId="215">
      <pivotArea outline="0" fieldPosition="0">
        <references count="3">
          <reference field="0" count="1" selected="0">
            <x v="543"/>
          </reference>
          <reference field="3" count="1" selected="0">
            <x v="1"/>
          </reference>
          <reference field="4" count="1" selected="0">
            <x v="1"/>
          </reference>
        </references>
      </pivotArea>
    </format>
    <format dxfId="214">
      <pivotArea outline="0" fieldPosition="0">
        <references count="2">
          <reference field="3" count="1" selected="0">
            <x v="1"/>
          </reference>
          <reference field="4" count="1" selected="0" defaultSubtotal="1">
            <x v="1"/>
          </reference>
        </references>
      </pivotArea>
    </format>
    <format dxfId="213">
      <pivotArea outline="0" fieldPosition="0">
        <references count="1">
          <reference field="3" count="1" selected="0" defaultSubtotal="1">
            <x v="1"/>
          </reference>
        </references>
      </pivotArea>
    </format>
    <format dxfId="212">
      <pivotArea outline="0" fieldPosition="0">
        <references count="3">
          <reference field="0" count="1" selected="0">
            <x v="190"/>
          </reference>
          <reference field="3" count="1" selected="0">
            <x v="2"/>
          </reference>
          <reference field="4" count="1" selected="0">
            <x v="12"/>
          </reference>
        </references>
      </pivotArea>
    </format>
    <format dxfId="211">
      <pivotArea outline="0" fieldPosition="0">
        <references count="2">
          <reference field="3" count="1" selected="0">
            <x v="2"/>
          </reference>
          <reference field="4" count="1" selected="0" defaultSubtotal="1">
            <x v="12"/>
          </reference>
        </references>
      </pivotArea>
    </format>
    <format dxfId="210">
      <pivotArea outline="0" fieldPosition="0">
        <references count="3">
          <reference field="0" count="1" selected="0">
            <x v="198"/>
          </reference>
          <reference field="3" count="1" selected="0">
            <x v="2"/>
          </reference>
          <reference field="4" count="1" selected="0">
            <x v="20"/>
          </reference>
        </references>
      </pivotArea>
    </format>
    <format dxfId="209">
      <pivotArea outline="0" fieldPosition="0">
        <references count="3">
          <reference field="0" count="1" selected="0">
            <x v="375"/>
          </reference>
          <reference field="3" count="1" selected="0">
            <x v="2"/>
          </reference>
          <reference field="4" count="1" selected="0">
            <x v="20"/>
          </reference>
        </references>
      </pivotArea>
    </format>
    <format dxfId="208">
      <pivotArea outline="0" fieldPosition="0">
        <references count="2">
          <reference field="3" count="1" selected="0">
            <x v="2"/>
          </reference>
          <reference field="4" count="1" selected="0" defaultSubtotal="1">
            <x v="20"/>
          </reference>
        </references>
      </pivotArea>
    </format>
    <format dxfId="207">
      <pivotArea outline="0" fieldPosition="0">
        <references count="1">
          <reference field="3" count="1" selected="0" defaultSubtotal="1">
            <x v="2"/>
          </reference>
        </references>
      </pivotArea>
    </format>
    <format dxfId="206">
      <pivotArea outline="0" fieldPosition="0">
        <references count="3">
          <reference field="0" count="1" selected="0">
            <x v="191"/>
          </reference>
          <reference field="3" count="1" selected="0">
            <x v="3"/>
          </reference>
          <reference field="4" count="1" selected="0">
            <x v="4"/>
          </reference>
        </references>
      </pivotArea>
    </format>
    <format dxfId="205">
      <pivotArea outline="0" fieldPosition="0">
        <references count="2">
          <reference field="3" count="1" selected="0">
            <x v="3"/>
          </reference>
          <reference field="4" count="1" selected="0" defaultSubtotal="1">
            <x v="4"/>
          </reference>
        </references>
      </pivotArea>
    </format>
    <format dxfId="204">
      <pivotArea outline="0" fieldPosition="0">
        <references count="1">
          <reference field="3" count="1" selected="0" defaultSubtotal="1">
            <x v="3"/>
          </reference>
        </references>
      </pivotArea>
    </format>
    <format dxfId="203">
      <pivotArea outline="0" fieldPosition="0">
        <references count="3">
          <reference field="0" count="1" selected="0">
            <x v="345"/>
          </reference>
          <reference field="3" count="1" selected="0">
            <x v="4"/>
          </reference>
          <reference field="4" count="1" selected="0">
            <x v="2"/>
          </reference>
        </references>
      </pivotArea>
    </format>
    <format dxfId="202">
      <pivotArea outline="0" fieldPosition="0">
        <references count="2">
          <reference field="3" count="1" selected="0">
            <x v="4"/>
          </reference>
          <reference field="4" count="1" selected="0" defaultSubtotal="1">
            <x v="2"/>
          </reference>
        </references>
      </pivotArea>
    </format>
    <format dxfId="201">
      <pivotArea outline="0" fieldPosition="0">
        <references count="3">
          <reference field="0" count="1" selected="0">
            <x v="235"/>
          </reference>
          <reference field="3" count="1" selected="0">
            <x v="4"/>
          </reference>
          <reference field="4" count="1" selected="0">
            <x v="15"/>
          </reference>
        </references>
      </pivotArea>
    </format>
    <format dxfId="200">
      <pivotArea outline="0" fieldPosition="0">
        <references count="3">
          <reference field="0" count="1" selected="0">
            <x v="239"/>
          </reference>
          <reference field="3" count="1" selected="0">
            <x v="4"/>
          </reference>
          <reference field="4" count="1" selected="0">
            <x v="15"/>
          </reference>
        </references>
      </pivotArea>
    </format>
    <format dxfId="199">
      <pivotArea outline="0" fieldPosition="0">
        <references count="2">
          <reference field="3" count="1" selected="0">
            <x v="4"/>
          </reference>
          <reference field="4" count="1" selected="0" defaultSubtotal="1">
            <x v="15"/>
          </reference>
        </references>
      </pivotArea>
    </format>
    <format dxfId="198">
      <pivotArea outline="0" fieldPosition="0">
        <references count="1">
          <reference field="3" count="1" selected="0" defaultSubtotal="1">
            <x v="4"/>
          </reference>
        </references>
      </pivotArea>
    </format>
    <format dxfId="197">
      <pivotArea outline="0" fieldPosition="0">
        <references count="3">
          <reference field="0" count="1" selected="0">
            <x v="386"/>
          </reference>
          <reference field="3" count="1" selected="0">
            <x v="5"/>
          </reference>
          <reference field="4" count="1" selected="0">
            <x v="9"/>
          </reference>
        </references>
      </pivotArea>
    </format>
    <format dxfId="196">
      <pivotArea outline="0" fieldPosition="0">
        <references count="3">
          <reference field="0" count="1" selected="0">
            <x v="389"/>
          </reference>
          <reference field="3" count="1" selected="0">
            <x v="5"/>
          </reference>
          <reference field="4" count="1" selected="0">
            <x v="9"/>
          </reference>
        </references>
      </pivotArea>
    </format>
    <format dxfId="195">
      <pivotArea outline="0" fieldPosition="0">
        <references count="2">
          <reference field="3" count="1" selected="0">
            <x v="5"/>
          </reference>
          <reference field="4" count="1" selected="0" defaultSubtotal="1">
            <x v="9"/>
          </reference>
        </references>
      </pivotArea>
    </format>
    <format dxfId="194">
      <pivotArea outline="0" fieldPosition="0">
        <references count="1">
          <reference field="3" count="1" selected="0" defaultSubtotal="1">
            <x v="5"/>
          </reference>
        </references>
      </pivotArea>
    </format>
    <format dxfId="193">
      <pivotArea outline="0" fieldPosition="0">
        <references count="3">
          <reference field="0" count="1" selected="0">
            <x v="0"/>
          </reference>
          <reference field="3" count="1" selected="0">
            <x v="7"/>
          </reference>
          <reference field="4" count="1" selected="0">
            <x v="21"/>
          </reference>
        </references>
      </pivotArea>
    </format>
    <format dxfId="192">
      <pivotArea outline="0" fieldPosition="0">
        <references count="3">
          <reference field="0" count="1" selected="0">
            <x v="15"/>
          </reference>
          <reference field="3" count="1" selected="0">
            <x v="7"/>
          </reference>
          <reference field="4" count="1" selected="0">
            <x v="21"/>
          </reference>
        </references>
      </pivotArea>
    </format>
    <format dxfId="191">
      <pivotArea outline="0" fieldPosition="0">
        <references count="2">
          <reference field="3" count="1" selected="0">
            <x v="7"/>
          </reference>
          <reference field="4" count="1" selected="0" defaultSubtotal="1">
            <x v="21"/>
          </reference>
        </references>
      </pivotArea>
    </format>
    <format dxfId="190">
      <pivotArea outline="0" fieldPosition="0">
        <references count="1">
          <reference field="3" count="1" selected="0" defaultSubtotal="1">
            <x v="7"/>
          </reference>
        </references>
      </pivotArea>
    </format>
    <format dxfId="189">
      <pivotArea outline="0" fieldPosition="0">
        <references count="3">
          <reference field="0" count="1" selected="0">
            <x v="77"/>
          </reference>
          <reference field="3" count="1" selected="0">
            <x v="0"/>
          </reference>
          <reference field="4" count="1" selected="0">
            <x v="3"/>
          </reference>
        </references>
      </pivotArea>
    </format>
    <format dxfId="188">
      <pivotArea outline="0" fieldPosition="0">
        <references count="3">
          <reference field="0" count="1" selected="0">
            <x v="155"/>
          </reference>
          <reference field="3" count="1" selected="0">
            <x v="0"/>
          </reference>
          <reference field="4" count="1" selected="0">
            <x v="6"/>
          </reference>
        </references>
      </pivotArea>
    </format>
    <format dxfId="187">
      <pivotArea outline="0" fieldPosition="0">
        <references count="3">
          <reference field="0" count="1" selected="0">
            <x v="205"/>
          </reference>
          <reference field="3" count="1" selected="0">
            <x v="1"/>
          </reference>
          <reference field="4" count="1" selected="0">
            <x v="1"/>
          </reference>
        </references>
      </pivotArea>
    </format>
    <format dxfId="186">
      <pivotArea outline="0" fieldPosition="0">
        <references count="3">
          <reference field="0" count="1" selected="0">
            <x v="190"/>
          </reference>
          <reference field="3" count="1" selected="0">
            <x v="2"/>
          </reference>
          <reference field="4" count="1" selected="0">
            <x v="12"/>
          </reference>
        </references>
      </pivotArea>
    </format>
    <format dxfId="185">
      <pivotArea outline="0" fieldPosition="0">
        <references count="2">
          <reference field="3" count="1" selected="0">
            <x v="2"/>
          </reference>
          <reference field="4" count="1" selected="0" defaultSubtotal="1">
            <x v="12"/>
          </reference>
        </references>
      </pivotArea>
    </format>
    <format dxfId="184">
      <pivotArea outline="0" fieldPosition="0">
        <references count="3">
          <reference field="0" count="1" selected="0">
            <x v="198"/>
          </reference>
          <reference field="3" count="1" selected="0">
            <x v="2"/>
          </reference>
          <reference field="4" count="1" selected="0">
            <x v="20"/>
          </reference>
        </references>
      </pivotArea>
    </format>
    <format dxfId="183">
      <pivotArea outline="0" fieldPosition="0">
        <references count="3">
          <reference field="0" count="1" selected="0">
            <x v="375"/>
          </reference>
          <reference field="3" count="1" selected="0">
            <x v="2"/>
          </reference>
          <reference field="4" count="1" selected="0">
            <x v="20"/>
          </reference>
        </references>
      </pivotArea>
    </format>
    <format dxfId="182">
      <pivotArea outline="0" fieldPosition="0">
        <references count="2">
          <reference field="3" count="1" selected="0">
            <x v="2"/>
          </reference>
          <reference field="4" count="1" selected="0" defaultSubtotal="1">
            <x v="20"/>
          </reference>
        </references>
      </pivotArea>
    </format>
    <format dxfId="181">
      <pivotArea outline="0" fieldPosition="0">
        <references count="1">
          <reference field="3" count="1" selected="0" defaultSubtotal="1">
            <x v="2"/>
          </reference>
        </references>
      </pivotArea>
    </format>
    <format dxfId="180">
      <pivotArea outline="0" fieldPosition="0">
        <references count="3">
          <reference field="0" count="1" selected="0">
            <x v="191"/>
          </reference>
          <reference field="3" count="1" selected="0">
            <x v="3"/>
          </reference>
          <reference field="4" count="1" selected="0">
            <x v="4"/>
          </reference>
        </references>
      </pivotArea>
    </format>
    <format dxfId="179">
      <pivotArea outline="0" fieldPosition="0">
        <references count="2">
          <reference field="3" count="1" selected="0">
            <x v="3"/>
          </reference>
          <reference field="4" count="1" selected="0" defaultSubtotal="1">
            <x v="4"/>
          </reference>
        </references>
      </pivotArea>
    </format>
    <format dxfId="178">
      <pivotArea outline="0" fieldPosition="0">
        <references count="1">
          <reference field="3" count="1" selected="0" defaultSubtotal="1">
            <x v="3"/>
          </reference>
        </references>
      </pivotArea>
    </format>
    <format dxfId="177">
      <pivotArea outline="0" fieldPosition="0">
        <references count="3">
          <reference field="0" count="1" selected="0">
            <x v="239"/>
          </reference>
          <reference field="3" count="1" selected="0">
            <x v="4"/>
          </reference>
          <reference field="4" count="1" selected="0">
            <x v="15"/>
          </reference>
        </references>
      </pivotArea>
    </format>
    <format dxfId="176">
      <pivotArea outline="0" fieldPosition="0">
        <references count="3">
          <reference field="0" count="1" selected="0">
            <x v="92"/>
          </reference>
          <reference field="3" count="1" selected="0">
            <x v="0"/>
          </reference>
          <reference field="4" count="1" selected="0">
            <x v="3"/>
          </reference>
        </references>
      </pivotArea>
    </format>
    <format dxfId="175">
      <pivotArea outline="0" fieldPosition="0">
        <references count="3">
          <reference field="0" count="1" selected="0">
            <x v="99"/>
          </reference>
          <reference field="3" count="1" selected="0">
            <x v="0"/>
          </reference>
          <reference field="4" count="1" selected="0">
            <x v="3"/>
          </reference>
        </references>
      </pivotArea>
    </format>
    <format dxfId="174">
      <pivotArea outline="0" fieldPosition="0">
        <references count="2">
          <reference field="3" count="1" selected="0">
            <x v="0"/>
          </reference>
          <reference field="4" count="1" selected="0" defaultSubtotal="1">
            <x v="3"/>
          </reference>
        </references>
      </pivotArea>
    </format>
    <format dxfId="173">
      <pivotArea outline="0" fieldPosition="0">
        <references count="3">
          <reference field="0" count="1" selected="0">
            <x v="157"/>
          </reference>
          <reference field="3" count="1" selected="0">
            <x v="0"/>
          </reference>
          <reference field="4" count="1" selected="0">
            <x v="6"/>
          </reference>
        </references>
      </pivotArea>
    </format>
    <format dxfId="172">
      <pivotArea outline="0" fieldPosition="0">
        <references count="2">
          <reference field="3" count="1" selected="0">
            <x v="0"/>
          </reference>
          <reference field="4" count="1" selected="0" defaultSubtotal="1">
            <x v="6"/>
          </reference>
        </references>
      </pivotArea>
    </format>
    <format dxfId="171">
      <pivotArea outline="0" fieldPosition="0">
        <references count="1">
          <reference field="3" count="1" selected="0" defaultSubtotal="1">
            <x v="0"/>
          </reference>
        </references>
      </pivotArea>
    </format>
    <format dxfId="170">
      <pivotArea outline="0" fieldPosition="0">
        <references count="1">
          <reference field="3" count="1" selected="0">
            <x v="0"/>
          </reference>
        </references>
      </pivotArea>
    </format>
    <format dxfId="169">
      <pivotArea outline="0" fieldPosition="0">
        <references count="1">
          <reference field="3" count="1" selected="0">
            <x v="0"/>
          </reference>
        </references>
      </pivotArea>
    </format>
    <format dxfId="168">
      <pivotArea outline="0" fieldPosition="0">
        <references count="3">
          <reference field="0" count="1" selected="0">
            <x v="543"/>
          </reference>
          <reference field="3" count="1" selected="0">
            <x v="1"/>
          </reference>
          <reference field="4" count="1" selected="0">
            <x v="1"/>
          </reference>
        </references>
      </pivotArea>
    </format>
    <format dxfId="167">
      <pivotArea outline="0" fieldPosition="0">
        <references count="2">
          <reference field="3" count="1" selected="0">
            <x v="1"/>
          </reference>
          <reference field="4" count="1" selected="0" defaultSubtotal="1">
            <x v="1"/>
          </reference>
        </references>
      </pivotArea>
    </format>
    <format dxfId="166">
      <pivotArea outline="0" fieldPosition="0">
        <references count="1">
          <reference field="3" count="1" selected="0" defaultSubtotal="1">
            <x v="1"/>
          </reference>
        </references>
      </pivotArea>
    </format>
    <format dxfId="165">
      <pivotArea outline="0" fieldPosition="0">
        <references count="1">
          <reference field="3" count="1" selected="0">
            <x v="1"/>
          </reference>
        </references>
      </pivotArea>
    </format>
    <format dxfId="164">
      <pivotArea outline="0" fieldPosition="0">
        <references count="1">
          <reference field="3" count="1" selected="0">
            <x v="1"/>
          </reference>
        </references>
      </pivotArea>
    </format>
    <format dxfId="163">
      <pivotArea outline="0" fieldPosition="0">
        <references count="1">
          <reference field="3" count="1" selected="0">
            <x v="2"/>
          </reference>
        </references>
      </pivotArea>
    </format>
    <format dxfId="162">
      <pivotArea outline="0" fieldPosition="0">
        <references count="1">
          <reference field="3" count="1" selected="0">
            <x v="2"/>
          </reference>
        </references>
      </pivotArea>
    </format>
    <format dxfId="161">
      <pivotArea outline="0" fieldPosition="0">
        <references count="1">
          <reference field="3" count="1" selected="0">
            <x v="3"/>
          </reference>
        </references>
      </pivotArea>
    </format>
    <format dxfId="160">
      <pivotArea outline="0" fieldPosition="0">
        <references count="1">
          <reference field="3" count="1" selected="0">
            <x v="3"/>
          </reference>
        </references>
      </pivotArea>
    </format>
    <format dxfId="159">
      <pivotArea outline="0" fieldPosition="0">
        <references count="3">
          <reference field="0" count="1" selected="0">
            <x v="345"/>
          </reference>
          <reference field="3" count="1" selected="0">
            <x v="4"/>
          </reference>
          <reference field="4" count="1" selected="0">
            <x v="2"/>
          </reference>
        </references>
      </pivotArea>
    </format>
    <format dxfId="158">
      <pivotArea outline="0" fieldPosition="0">
        <references count="2">
          <reference field="3" count="1" selected="0">
            <x v="4"/>
          </reference>
          <reference field="4" count="1" selected="0" defaultSubtotal="1">
            <x v="2"/>
          </reference>
        </references>
      </pivotArea>
    </format>
    <format dxfId="157">
      <pivotArea outline="0" fieldPosition="0">
        <references count="3">
          <reference field="0" count="1" selected="0">
            <x v="235"/>
          </reference>
          <reference field="3" count="1" selected="0">
            <x v="4"/>
          </reference>
          <reference field="4" count="1" selected="0">
            <x v="15"/>
          </reference>
        </references>
      </pivotArea>
    </format>
    <format dxfId="156">
      <pivotArea outline="0" fieldPosition="0">
        <references count="2">
          <reference field="3" count="1" selected="0">
            <x v="4"/>
          </reference>
          <reference field="4" count="1" selected="0" defaultSubtotal="1">
            <x v="15"/>
          </reference>
        </references>
      </pivotArea>
    </format>
    <format dxfId="155">
      <pivotArea outline="0" fieldPosition="0">
        <references count="1">
          <reference field="3" count="1" selected="0" defaultSubtotal="1">
            <x v="4"/>
          </reference>
        </references>
      </pivotArea>
    </format>
    <format dxfId="154">
      <pivotArea outline="0" fieldPosition="0">
        <references count="1">
          <reference field="3" count="1" selected="0">
            <x v="4"/>
          </reference>
        </references>
      </pivotArea>
    </format>
    <format dxfId="153">
      <pivotArea outline="0" fieldPosition="0">
        <references count="1">
          <reference field="3" count="1" selected="0">
            <x v="4"/>
          </reference>
        </references>
      </pivotArea>
    </format>
    <format dxfId="152">
      <pivotArea outline="0" fieldPosition="0">
        <references count="3">
          <reference field="0" count="1" selected="0">
            <x v="386"/>
          </reference>
          <reference field="3" count="1" selected="0">
            <x v="5"/>
          </reference>
          <reference field="4" count="1" selected="0">
            <x v="9"/>
          </reference>
        </references>
      </pivotArea>
    </format>
    <format dxfId="151">
      <pivotArea outline="0" fieldPosition="0">
        <references count="3">
          <reference field="0" count="1" selected="0">
            <x v="389"/>
          </reference>
          <reference field="3" count="1" selected="0">
            <x v="5"/>
          </reference>
          <reference field="4" count="1" selected="0">
            <x v="9"/>
          </reference>
        </references>
      </pivotArea>
    </format>
    <format dxfId="150">
      <pivotArea outline="0" fieldPosition="0">
        <references count="2">
          <reference field="3" count="1" selected="0">
            <x v="5"/>
          </reference>
          <reference field="4" count="1" selected="0" defaultSubtotal="1">
            <x v="9"/>
          </reference>
        </references>
      </pivotArea>
    </format>
    <format dxfId="149">
      <pivotArea outline="0" fieldPosition="0">
        <references count="1">
          <reference field="3" count="1" selected="0" defaultSubtotal="1">
            <x v="5"/>
          </reference>
        </references>
      </pivotArea>
    </format>
    <format dxfId="148">
      <pivotArea outline="0" fieldPosition="0">
        <references count="1">
          <reference field="3" count="1" selected="0">
            <x v="5"/>
          </reference>
        </references>
      </pivotArea>
    </format>
    <format dxfId="147">
      <pivotArea outline="0" fieldPosition="0">
        <references count="1">
          <reference field="3" count="1" selected="0">
            <x v="5"/>
          </reference>
        </references>
      </pivotArea>
    </format>
    <format dxfId="146">
      <pivotArea outline="0" fieldPosition="0">
        <references count="1">
          <reference field="3" count="1" selected="0">
            <x v="6"/>
          </reference>
        </references>
      </pivotArea>
    </format>
    <format dxfId="145">
      <pivotArea outline="0" fieldPosition="0">
        <references count="1">
          <reference field="3" count="1" selected="0">
            <x v="6"/>
          </reference>
        </references>
      </pivotArea>
    </format>
    <format dxfId="144">
      <pivotArea outline="0" fieldPosition="0">
        <references count="3">
          <reference field="0" count="1" selected="0">
            <x v="0"/>
          </reference>
          <reference field="3" count="1" selected="0">
            <x v="7"/>
          </reference>
          <reference field="4" count="1" selected="0">
            <x v="21"/>
          </reference>
        </references>
      </pivotArea>
    </format>
    <format dxfId="143">
      <pivotArea outline="0" fieldPosition="0">
        <references count="3">
          <reference field="0" count="1" selected="0">
            <x v="15"/>
          </reference>
          <reference field="3" count="1" selected="0">
            <x v="7"/>
          </reference>
          <reference field="4" count="1" selected="0">
            <x v="21"/>
          </reference>
        </references>
      </pivotArea>
    </format>
    <format dxfId="142">
      <pivotArea outline="0" fieldPosition="0">
        <references count="2">
          <reference field="3" count="1" selected="0">
            <x v="7"/>
          </reference>
          <reference field="4" count="1" selected="0" defaultSubtotal="1">
            <x v="21"/>
          </reference>
        </references>
      </pivotArea>
    </format>
    <format dxfId="141">
      <pivotArea outline="0" fieldPosition="0">
        <references count="1">
          <reference field="3" count="1" selected="0" defaultSubtotal="1">
            <x v="7"/>
          </reference>
        </references>
      </pivotArea>
    </format>
    <format dxfId="140">
      <pivotArea outline="0" fieldPosition="0">
        <references count="1">
          <reference field="3" count="1" selected="0">
            <x v="7"/>
          </reference>
        </references>
      </pivotArea>
    </format>
    <format dxfId="139">
      <pivotArea field="3" type="button" dataOnly="0" labelOnly="1" outline="0" axis="axisRow" fieldPosition="0"/>
    </format>
    <format dxfId="138">
      <pivotArea field="4" type="button" dataOnly="0" labelOnly="1" outline="0" axis="axisRow" fieldPosition="1"/>
    </format>
    <format dxfId="137">
      <pivotArea field="0" type="button" dataOnly="0" labelOnly="1" outline="0" axis="axisRow" fieldPosition="2"/>
    </format>
    <format dxfId="136">
      <pivotArea field="8" type="button" dataOnly="0" labelOnly="1" outline="0" axis="axisRow" fieldPosition="4"/>
    </format>
    <format dxfId="135">
      <pivotArea type="origin" dataOnly="0" labelOnly="1" outline="0" offset="A1" fieldPosition="0"/>
    </format>
    <format dxfId="134">
      <pivotArea type="origin" dataOnly="0" labelOnly="1" outline="0" offset="A1" fieldPosition="0"/>
    </format>
    <format dxfId="133">
      <pivotArea type="origin" dataOnly="0" labelOnly="1" outline="0" fieldPosition="0"/>
    </format>
    <format dxfId="132">
      <pivotArea outline="0" fieldPosition="0">
        <references count="1">
          <reference field="3" count="1" selected="0">
            <x v="8"/>
          </reference>
        </references>
      </pivotArea>
    </format>
    <format dxfId="131">
      <pivotArea outline="0" fieldPosition="0">
        <references count="1">
          <reference field="3" count="1" selected="0">
            <x v="7"/>
          </reference>
        </references>
      </pivotArea>
    </format>
    <format dxfId="130">
      <pivotArea outline="0" fieldPosition="0">
        <references count="1">
          <reference field="3" count="1" selected="0">
            <x v="8"/>
          </reference>
        </references>
      </pivotArea>
    </format>
    <format dxfId="129">
      <pivotArea outline="0" fieldPosition="0">
        <references count="1">
          <reference field="3" count="1" selected="0">
            <x v="8"/>
          </reference>
        </references>
      </pivotArea>
    </format>
    <format>
      <pivotArea outline="0" fieldPosition="0">
        <references count="1">
          <reference field="3" count="1" selected="0">
            <x v="8"/>
          </reference>
        </references>
      </pivotArea>
    </format>
    <format dxfId="128">
      <pivotArea dataOnly="0" labelOnly="1" outline="0" fieldPosition="0">
        <references count="1">
          <reference field="3" count="0"/>
        </references>
      </pivotArea>
    </format>
    <format dxfId="127">
      <pivotArea outline="0" collapsedLevelsAreSubtotals="1" fieldPosition="0">
        <references count="1">
          <reference field="3" count="1" selected="0">
            <x v="0"/>
          </reference>
        </references>
      </pivotArea>
    </format>
    <format dxfId="126">
      <pivotArea outline="0" collapsedLevelsAreSubtotals="1" fieldPosition="0">
        <references count="1">
          <reference field="3" count="1" selected="0">
            <x v="0"/>
          </reference>
        </references>
      </pivotArea>
    </format>
    <format dxfId="125">
      <pivotArea outline="0" collapsedLevelsAreSubtotals="1" fieldPosition="0">
        <references count="1">
          <reference field="3" count="1" selected="0">
            <x v="0"/>
          </reference>
        </references>
      </pivotArea>
    </format>
    <format dxfId="124">
      <pivotArea outline="0" collapsedLevelsAreSubtotals="1" fieldPosition="0">
        <references count="1">
          <reference field="3" count="1" selected="0">
            <x v="1"/>
          </reference>
        </references>
      </pivotArea>
    </format>
    <format dxfId="123">
      <pivotArea outline="0" collapsedLevelsAreSubtotals="1" fieldPosition="0">
        <references count="1">
          <reference field="3" count="1" selected="0">
            <x v="2"/>
          </reference>
        </references>
      </pivotArea>
    </format>
    <format dxfId="122">
      <pivotArea outline="0" collapsedLevelsAreSubtotals="1" fieldPosition="0">
        <references count="1">
          <reference field="3" count="1" selected="0">
            <x v="3"/>
          </reference>
        </references>
      </pivotArea>
    </format>
    <format dxfId="121">
      <pivotArea outline="0" collapsedLevelsAreSubtotals="1" fieldPosition="0">
        <references count="1">
          <reference field="3" count="1" selected="0">
            <x v="4"/>
          </reference>
        </references>
      </pivotArea>
    </format>
    <format dxfId="120">
      <pivotArea outline="0" collapsedLevelsAreSubtotals="1" fieldPosition="0">
        <references count="1">
          <reference field="3" count="1" selected="0">
            <x v="5"/>
          </reference>
        </references>
      </pivotArea>
    </format>
    <format dxfId="119">
      <pivotArea outline="0" collapsedLevelsAreSubtotals="1" fieldPosition="0">
        <references count="1">
          <reference field="3" count="1" selected="0">
            <x v="6"/>
          </reference>
        </references>
      </pivotArea>
    </format>
    <format dxfId="118">
      <pivotArea outline="0" collapsedLevelsAreSubtotals="1" fieldPosition="0">
        <references count="1">
          <reference field="3" count="1" selected="0">
            <x v="7"/>
          </reference>
        </references>
      </pivotArea>
    </format>
    <format dxfId="117">
      <pivotArea outline="0" collapsedLevelsAreSubtotals="1" fieldPosition="0">
        <references count="1">
          <reference field="3" count="1" selected="0">
            <x v="8"/>
          </reference>
        </references>
      </pivotArea>
    </format>
    <format dxfId="116">
      <pivotArea outline="0" collapsedLevelsAreSubtotals="1" fieldPosition="0">
        <references count="1">
          <reference field="3" count="3" selected="0">
            <x v="0"/>
            <x v="1"/>
            <x v="2"/>
          </reference>
        </references>
      </pivotArea>
    </format>
    <format dxfId="115">
      <pivotArea field="9" type="button" dataOnly="0" labelOnly="1" outline="0" axis="axisRow" fieldPosition="5"/>
    </format>
    <format dxfId="114">
      <pivotArea outline="0" collapsedLevelsAreSubtotals="1" fieldPosition="0">
        <references count="1">
          <reference field="3" count="3" selected="0">
            <x v="0"/>
            <x v="1"/>
            <x v="2"/>
          </reference>
        </references>
      </pivotArea>
    </format>
    <format dxfId="113">
      <pivotArea outline="0" collapsedLevelsAreSubtotals="1" fieldPosition="0">
        <references count="1">
          <reference field="3" count="1" selected="0">
            <x v="0"/>
          </reference>
        </references>
      </pivotArea>
    </format>
    <format dxfId="112">
      <pivotArea outline="0" collapsedLevelsAreSubtotals="1" fieldPosition="0">
        <references count="1">
          <reference field="3" count="1" selected="0">
            <x v="1"/>
          </reference>
        </references>
      </pivotArea>
    </format>
    <format dxfId="111">
      <pivotArea outline="0" collapsedLevelsAreSubtotals="1" fieldPosition="0">
        <references count="1">
          <reference field="3" count="1" selected="0">
            <x v="2"/>
          </reference>
        </references>
      </pivotArea>
    </format>
    <format dxfId="110">
      <pivotArea outline="0" collapsedLevelsAreSubtotals="1" fieldPosition="0">
        <references count="1">
          <reference field="3" count="1" selected="0">
            <x v="3"/>
          </reference>
        </references>
      </pivotArea>
    </format>
    <format dxfId="109">
      <pivotArea outline="0" collapsedLevelsAreSubtotals="1" fieldPosition="0">
        <references count="1">
          <reference field="3" count="1" selected="0">
            <x v="4"/>
          </reference>
        </references>
      </pivotArea>
    </format>
    <format dxfId="108">
      <pivotArea outline="0" collapsedLevelsAreSubtotals="1" fieldPosition="0">
        <references count="1">
          <reference field="3" count="1" selected="0">
            <x v="5"/>
          </reference>
        </references>
      </pivotArea>
    </format>
    <format dxfId="107">
      <pivotArea outline="0" collapsedLevelsAreSubtotals="1" fieldPosition="0">
        <references count="1">
          <reference field="3" count="1" selected="0">
            <x v="6"/>
          </reference>
        </references>
      </pivotArea>
    </format>
    <format dxfId="106">
      <pivotArea outline="0" collapsedLevelsAreSubtotals="1" fieldPosition="0">
        <references count="1">
          <reference field="3" count="1" selected="0">
            <x v="7"/>
          </reference>
        </references>
      </pivotArea>
    </format>
    <format dxfId="105">
      <pivotArea outline="0" collapsedLevelsAreSubtotals="1" fieldPosition="0">
        <references count="1">
          <reference field="3" count="1" selected="0">
            <x v="8"/>
          </reference>
        </references>
      </pivotArea>
    </format>
    <format dxfId="104">
      <pivotArea field="1" type="button" dataOnly="0" labelOnly="1" outline="0" axis="axisRow" fieldPosition="3"/>
    </format>
    <format dxfId="103">
      <pivotArea field="9" type="button" dataOnly="0" labelOnly="1" outline="0" axis="axisRow" fieldPosition="5"/>
    </format>
    <format dxfId="102">
      <pivotArea outline="0" collapsedLevelsAreSubtotals="1" fieldPosition="0">
        <references count="1">
          <reference field="3" count="1" selected="0">
            <x v="0"/>
          </reference>
        </references>
      </pivotArea>
    </format>
    <format dxfId="101">
      <pivotArea outline="0" collapsedLevelsAreSubtotals="1" fieldPosition="0">
        <references count="1">
          <reference field="3" count="1" selected="0">
            <x v="1"/>
          </reference>
        </references>
      </pivotArea>
    </format>
    <format dxfId="100">
      <pivotArea outline="0" collapsedLevelsAreSubtotals="1" fieldPosition="0">
        <references count="1">
          <reference field="3" count="1" selected="0">
            <x v="2"/>
          </reference>
        </references>
      </pivotArea>
    </format>
    <format dxfId="99">
      <pivotArea outline="0" collapsedLevelsAreSubtotals="1" fieldPosition="0">
        <references count="1">
          <reference field="3" count="1" selected="0">
            <x v="3"/>
          </reference>
        </references>
      </pivotArea>
    </format>
    <format dxfId="98">
      <pivotArea outline="0" collapsedLevelsAreSubtotals="1" fieldPosition="0">
        <references count="1">
          <reference field="3" count="1" selected="0">
            <x v="4"/>
          </reference>
        </references>
      </pivotArea>
    </format>
    <format dxfId="97">
      <pivotArea outline="0" collapsedLevelsAreSubtotals="1" fieldPosition="0">
        <references count="1">
          <reference field="3" count="1" selected="0">
            <x v="5"/>
          </reference>
        </references>
      </pivotArea>
    </format>
    <format dxfId="96">
      <pivotArea outline="0" collapsedLevelsAreSubtotals="1" fieldPosition="0">
        <references count="1">
          <reference field="3" count="1" selected="0">
            <x v="6"/>
          </reference>
        </references>
      </pivotArea>
    </format>
    <format dxfId="95">
      <pivotArea outline="0" collapsedLevelsAreSubtotals="1" fieldPosition="0">
        <references count="1">
          <reference field="3" count="1" selected="0">
            <x v="7"/>
          </reference>
        </references>
      </pivotArea>
    </format>
    <format dxfId="94">
      <pivotArea outline="0" collapsedLevelsAreSubtotals="1" fieldPosition="0">
        <references count="1">
          <reference field="3" count="1" selected="0">
            <x v="8"/>
          </reference>
        </references>
      </pivotArea>
    </format>
    <format dxfId="93">
      <pivotArea type="origin" dataOnly="0" labelOnly="1" outline="0" offset="B1:F1" fieldPosition="0"/>
    </format>
    <format dxfId="92">
      <pivotArea type="origin" dataOnly="0" labelOnly="1" outline="0" fieldPosition="0"/>
    </format>
    <format dxfId="91">
      <pivotArea outline="0" collapsedLevelsAreSubtotals="1" fieldPosition="0">
        <references count="1">
          <reference field="3" count="1" selected="0">
            <x v="0"/>
          </reference>
        </references>
      </pivotArea>
    </format>
    <format dxfId="90">
      <pivotArea outline="0" collapsedLevelsAreSubtotals="1" fieldPosition="0">
        <references count="1">
          <reference field="3" count="1" selected="0">
            <x v="0"/>
          </reference>
        </references>
      </pivotArea>
    </format>
    <format dxfId="89">
      <pivotArea outline="0" collapsedLevelsAreSubtotals="1" fieldPosition="0"/>
    </format>
    <format dxfId="88">
      <pivotArea type="topRight" dataOnly="0" labelOnly="1" outline="0" fieldPosition="0"/>
    </format>
  </formats>
  <conditionalFormats count="2">
    <conditionalFormat scope="field" priority="1">
      <pivotAreas count="1">
        <pivotArea outline="0" collapsedLevelsAreSubtotals="1" fieldPosition="0">
          <references count="2">
            <reference field="4294967294" count="1" selected="0">
              <x v="0"/>
            </reference>
            <reference field="3" count="0" selected="0"/>
          </references>
        </pivotArea>
      </pivotAreas>
    </conditionalFormat>
    <conditionalFormat scope="data" priority="2">
      <pivotAreas count="1">
        <pivotArea outline="0" fieldPosition="0">
          <references count="1">
            <reference field="4294967294" count="1" selected="0">
              <x v="0"/>
            </reference>
          </references>
        </pivotArea>
      </pivotAreas>
    </conditionalFormat>
  </conditionalFormats>
  <pivotTableStyleInfo showRowHeaders="1" showColHeaders="1" showRowStripes="0" showColStripes="0" showLastColumn="1"/>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18" Type="http://schemas.openxmlformats.org/officeDocument/2006/relationships/control" Target="../activeX/activeX8.xml"/><Relationship Id="rId26" Type="http://schemas.openxmlformats.org/officeDocument/2006/relationships/control" Target="../activeX/activeX12.xml"/><Relationship Id="rId39" Type="http://schemas.openxmlformats.org/officeDocument/2006/relationships/image" Target="../media/image18.emf"/><Relationship Id="rId3" Type="http://schemas.openxmlformats.org/officeDocument/2006/relationships/vmlDrawing" Target="../drawings/vmlDrawing1.vml"/><Relationship Id="rId21" Type="http://schemas.openxmlformats.org/officeDocument/2006/relationships/image" Target="../media/image9.emf"/><Relationship Id="rId34" Type="http://schemas.openxmlformats.org/officeDocument/2006/relationships/control" Target="../activeX/activeX16.xml"/><Relationship Id="rId42" Type="http://schemas.openxmlformats.org/officeDocument/2006/relationships/control" Target="../activeX/activeX20.xml"/><Relationship Id="rId7" Type="http://schemas.openxmlformats.org/officeDocument/2006/relationships/image" Target="../media/image2.emf"/><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image" Target="../media/image11.emf"/><Relationship Id="rId33" Type="http://schemas.openxmlformats.org/officeDocument/2006/relationships/image" Target="../media/image15.emf"/><Relationship Id="rId38" Type="http://schemas.openxmlformats.org/officeDocument/2006/relationships/control" Target="../activeX/activeX18.xml"/><Relationship Id="rId2" Type="http://schemas.openxmlformats.org/officeDocument/2006/relationships/drawing" Target="../drawings/drawing1.xml"/><Relationship Id="rId16" Type="http://schemas.openxmlformats.org/officeDocument/2006/relationships/control" Target="../activeX/activeX7.xml"/><Relationship Id="rId20" Type="http://schemas.openxmlformats.org/officeDocument/2006/relationships/control" Target="../activeX/activeX9.xml"/><Relationship Id="rId29" Type="http://schemas.openxmlformats.org/officeDocument/2006/relationships/image" Target="../media/image13.emf"/><Relationship Id="rId41" Type="http://schemas.openxmlformats.org/officeDocument/2006/relationships/image" Target="../media/image19.emf"/><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24" Type="http://schemas.openxmlformats.org/officeDocument/2006/relationships/control" Target="../activeX/activeX11.xml"/><Relationship Id="rId32" Type="http://schemas.openxmlformats.org/officeDocument/2006/relationships/control" Target="../activeX/activeX15.xml"/><Relationship Id="rId37" Type="http://schemas.openxmlformats.org/officeDocument/2006/relationships/image" Target="../media/image17.emf"/><Relationship Id="rId40" Type="http://schemas.openxmlformats.org/officeDocument/2006/relationships/control" Target="../activeX/activeX19.xml"/><Relationship Id="rId5" Type="http://schemas.openxmlformats.org/officeDocument/2006/relationships/image" Target="../media/image1.emf"/><Relationship Id="rId15" Type="http://schemas.openxmlformats.org/officeDocument/2006/relationships/image" Target="../media/image6.emf"/><Relationship Id="rId23" Type="http://schemas.openxmlformats.org/officeDocument/2006/relationships/image" Target="../media/image10.emf"/><Relationship Id="rId28" Type="http://schemas.openxmlformats.org/officeDocument/2006/relationships/control" Target="../activeX/activeX13.xml"/><Relationship Id="rId36" Type="http://schemas.openxmlformats.org/officeDocument/2006/relationships/control" Target="../activeX/activeX17.xml"/><Relationship Id="rId10" Type="http://schemas.openxmlformats.org/officeDocument/2006/relationships/control" Target="../activeX/activeX4.xml"/><Relationship Id="rId19" Type="http://schemas.openxmlformats.org/officeDocument/2006/relationships/image" Target="../media/image8.emf"/><Relationship Id="rId31" Type="http://schemas.openxmlformats.org/officeDocument/2006/relationships/image" Target="../media/image14.emf"/><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 Id="rId22" Type="http://schemas.openxmlformats.org/officeDocument/2006/relationships/control" Target="../activeX/activeX10.xml"/><Relationship Id="rId27" Type="http://schemas.openxmlformats.org/officeDocument/2006/relationships/image" Target="../media/image12.emf"/><Relationship Id="rId30" Type="http://schemas.openxmlformats.org/officeDocument/2006/relationships/control" Target="../activeX/activeX14.xml"/><Relationship Id="rId35" Type="http://schemas.openxmlformats.org/officeDocument/2006/relationships/image" Target="../media/image16.emf"/><Relationship Id="rId43" Type="http://schemas.openxmlformats.org/officeDocument/2006/relationships/image" Target="../media/image20.emf"/></Relationships>
</file>

<file path=xl/worksheets/_rels/sheet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_rels/sheet4.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pivotTable" Target="../pivotTables/pivotTable3.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drawing" Target="../drawings/drawing6.xml"/></Relationships>
</file>

<file path=xl/worksheets/_rels/sheet9.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drawing" Target="../drawings/drawing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enableFormatConditionsCalculation="0">
    <tabColor indexed="15"/>
  </sheetPr>
  <dimension ref="A1:O53712"/>
  <sheetViews>
    <sheetView tabSelected="1" zoomScale="80" zoomScaleNormal="80" workbookViewId="0">
      <pane ySplit="6" topLeftCell="A7" activePane="bottomLeft" state="frozenSplit"/>
      <selection pane="bottomLeft" activeCell="F5" sqref="F5"/>
    </sheetView>
  </sheetViews>
  <sheetFormatPr defaultColWidth="6.85546875" defaultRowHeight="12.75" x14ac:dyDescent="0.2"/>
  <cols>
    <col min="1" max="1" width="75.7109375" style="48" customWidth="1"/>
    <col min="2" max="2" width="10.7109375" style="39" customWidth="1"/>
    <col min="3" max="3" width="15.7109375" style="50" customWidth="1"/>
    <col min="4" max="4" width="12.7109375" style="40" customWidth="1"/>
    <col min="5" max="5" width="12.7109375" style="42" customWidth="1"/>
    <col min="6" max="6" width="18.7109375" style="47" customWidth="1"/>
    <col min="7" max="7" width="18.7109375" style="45" customWidth="1"/>
    <col min="8" max="8" width="27.140625" style="40" customWidth="1"/>
    <col min="9" max="9" width="19.28515625" style="40" customWidth="1"/>
    <col min="10" max="10" width="13.28515625" style="37" customWidth="1"/>
    <col min="11" max="11" width="15.85546875" style="37" bestFit="1" customWidth="1"/>
    <col min="12" max="12" width="26.28515625" style="37" bestFit="1" customWidth="1"/>
    <col min="13" max="13" width="13.85546875" style="37" bestFit="1" customWidth="1"/>
    <col min="14" max="14" width="10.7109375" style="37" bestFit="1" customWidth="1"/>
    <col min="15" max="15" width="5.140625" style="37" bestFit="1" customWidth="1"/>
    <col min="16" max="16384" width="6.85546875" style="37"/>
  </cols>
  <sheetData>
    <row r="1" spans="1:15" s="33" customFormat="1" ht="12.75" customHeight="1" thickBot="1" x14ac:dyDescent="0.25">
      <c r="A1" s="135"/>
      <c r="B1" s="125"/>
      <c r="C1" s="49" t="s">
        <v>788</v>
      </c>
      <c r="D1" s="34"/>
      <c r="E1" s="59"/>
      <c r="F1" s="59"/>
      <c r="G1" s="133"/>
      <c r="H1" s="35"/>
      <c r="I1" s="208"/>
      <c r="J1" s="209"/>
    </row>
    <row r="2" spans="1:15" s="33" customFormat="1" ht="39.950000000000003" customHeight="1" thickBot="1" x14ac:dyDescent="0.25">
      <c r="A2" s="44" t="s">
        <v>914</v>
      </c>
      <c r="B2" s="125"/>
      <c r="C2" s="132"/>
      <c r="D2" s="134"/>
      <c r="E2" s="36"/>
      <c r="F2" s="36"/>
      <c r="G2" s="46"/>
      <c r="H2" s="35"/>
      <c r="I2" s="35"/>
    </row>
    <row r="3" spans="1:15" s="33" customFormat="1" ht="12.75" customHeight="1" thickBot="1" x14ac:dyDescent="0.25">
      <c r="A3" s="124"/>
      <c r="B3" s="125"/>
      <c r="C3" s="126"/>
      <c r="D3" s="127"/>
      <c r="E3" s="128"/>
      <c r="F3" s="129"/>
      <c r="G3" s="130"/>
      <c r="H3" s="35"/>
      <c r="I3" s="51" t="s">
        <v>643</v>
      </c>
      <c r="J3" s="52" t="s">
        <v>327</v>
      </c>
    </row>
    <row r="4" spans="1:15" ht="12.75" customHeight="1" x14ac:dyDescent="0.2">
      <c r="A4" s="136" t="s">
        <v>285</v>
      </c>
      <c r="B4" s="125"/>
      <c r="C4" s="60" t="s">
        <v>644</v>
      </c>
      <c r="D4" s="61"/>
      <c r="E4" s="62"/>
      <c r="F4" s="62"/>
      <c r="G4" s="63"/>
      <c r="H4" s="38"/>
      <c r="I4" s="53" t="s">
        <v>289</v>
      </c>
      <c r="J4" s="54" t="s">
        <v>327</v>
      </c>
    </row>
    <row r="5" spans="1:15" ht="132.94999999999999" customHeight="1" x14ac:dyDescent="0.2">
      <c r="A5" s="147"/>
      <c r="B5" s="131"/>
      <c r="C5" s="79"/>
      <c r="D5" s="80"/>
      <c r="E5" s="80"/>
      <c r="F5" s="275">
        <v>42461</v>
      </c>
      <c r="G5" s="274">
        <v>42491</v>
      </c>
      <c r="H5" s="273"/>
    </row>
    <row r="6" spans="1:15" s="41" customFormat="1" x14ac:dyDescent="0.2">
      <c r="A6" s="211" t="s">
        <v>274</v>
      </c>
      <c r="B6" s="212" t="s">
        <v>392</v>
      </c>
      <c r="C6" s="211" t="s">
        <v>391</v>
      </c>
      <c r="D6" s="213" t="s">
        <v>393</v>
      </c>
      <c r="E6" s="214" t="s">
        <v>573</v>
      </c>
      <c r="F6" s="211" t="s">
        <v>626</v>
      </c>
      <c r="G6" s="211" t="s">
        <v>275</v>
      </c>
      <c r="H6" s="215" t="s">
        <v>395</v>
      </c>
      <c r="I6" s="215" t="s">
        <v>396</v>
      </c>
      <c r="J6" s="211" t="s">
        <v>397</v>
      </c>
      <c r="K6" s="216" t="s">
        <v>400</v>
      </c>
      <c r="L6" s="41" t="s">
        <v>1771</v>
      </c>
      <c r="M6" s="41" t="s">
        <v>1772</v>
      </c>
      <c r="N6" s="41" t="s">
        <v>1773</v>
      </c>
      <c r="O6" s="41" t="s">
        <v>1774</v>
      </c>
    </row>
    <row r="7" spans="1:15" s="90" customFormat="1" ht="12.75" customHeight="1" x14ac:dyDescent="0.2">
      <c r="A7" s="247" t="s">
        <v>1000</v>
      </c>
      <c r="B7" s="316">
        <v>3046</v>
      </c>
      <c r="C7" s="247" t="s">
        <v>975</v>
      </c>
      <c r="D7" s="317">
        <v>42646</v>
      </c>
      <c r="E7" s="318">
        <v>0.35446759259259258</v>
      </c>
      <c r="F7" s="247" t="s">
        <v>976</v>
      </c>
      <c r="G7" s="247" t="s">
        <v>1035</v>
      </c>
      <c r="H7" s="248" t="s">
        <v>404</v>
      </c>
      <c r="I7" s="248" t="s">
        <v>404</v>
      </c>
      <c r="J7" s="247" t="s">
        <v>809</v>
      </c>
      <c r="K7" s="249">
        <v>0</v>
      </c>
      <c r="M7" s="90">
        <v>0</v>
      </c>
      <c r="N7" s="90">
        <v>0</v>
      </c>
      <c r="O7" s="90">
        <v>255</v>
      </c>
    </row>
    <row r="8" spans="1:15" s="90" customFormat="1" ht="12.75" customHeight="1" x14ac:dyDescent="0.2">
      <c r="A8" s="247" t="s">
        <v>611</v>
      </c>
      <c r="B8" s="316">
        <v>4030</v>
      </c>
      <c r="C8" s="247" t="s">
        <v>996</v>
      </c>
      <c r="D8" s="317">
        <v>42646</v>
      </c>
      <c r="E8" s="318">
        <v>0.35446759259259258</v>
      </c>
      <c r="F8" s="247" t="s">
        <v>702</v>
      </c>
      <c r="G8" s="247" t="s">
        <v>1035</v>
      </c>
      <c r="H8" s="248" t="s">
        <v>4</v>
      </c>
      <c r="I8" s="248" t="s">
        <v>14</v>
      </c>
      <c r="J8" s="247" t="s">
        <v>809</v>
      </c>
      <c r="K8" s="249">
        <v>0</v>
      </c>
      <c r="L8" s="90" t="s">
        <v>1780</v>
      </c>
      <c r="M8" s="90">
        <v>834</v>
      </c>
      <c r="N8" s="90">
        <v>-1</v>
      </c>
      <c r="O8" s="90">
        <v>0</v>
      </c>
    </row>
    <row r="9" spans="1:15" s="90" customFormat="1" ht="12.75" customHeight="1" x14ac:dyDescent="0.2">
      <c r="A9" s="247" t="s">
        <v>989</v>
      </c>
      <c r="B9" s="316">
        <v>3046</v>
      </c>
      <c r="C9" s="247" t="s">
        <v>975</v>
      </c>
      <c r="D9" s="317">
        <v>42646</v>
      </c>
      <c r="E9" s="318">
        <v>0.39613425925925921</v>
      </c>
      <c r="F9" s="247" t="s">
        <v>976</v>
      </c>
      <c r="G9" s="247" t="s">
        <v>1035</v>
      </c>
      <c r="H9" s="248" t="s">
        <v>404</v>
      </c>
      <c r="I9" s="248" t="s">
        <v>404</v>
      </c>
      <c r="J9" s="247" t="s">
        <v>809</v>
      </c>
      <c r="K9" s="249">
        <v>0</v>
      </c>
      <c r="M9" s="90">
        <v>0</v>
      </c>
      <c r="N9" s="90">
        <v>0</v>
      </c>
      <c r="O9" s="90">
        <v>255</v>
      </c>
    </row>
    <row r="10" spans="1:15" s="90" customFormat="1" ht="12.75" customHeight="1" x14ac:dyDescent="0.2">
      <c r="A10" s="247" t="s">
        <v>990</v>
      </c>
      <c r="B10" s="316">
        <v>3046</v>
      </c>
      <c r="C10" s="247" t="s">
        <v>975</v>
      </c>
      <c r="D10" s="317">
        <v>42646</v>
      </c>
      <c r="E10" s="318">
        <v>0.3972222222222222</v>
      </c>
      <c r="F10" s="247" t="s">
        <v>976</v>
      </c>
      <c r="G10" s="247" t="s">
        <v>1035</v>
      </c>
      <c r="H10" s="248" t="s">
        <v>404</v>
      </c>
      <c r="I10" s="248" t="s">
        <v>404</v>
      </c>
      <c r="J10" s="247" t="s">
        <v>809</v>
      </c>
      <c r="K10" s="249">
        <v>0</v>
      </c>
      <c r="M10" s="90">
        <v>0</v>
      </c>
      <c r="N10" s="90">
        <v>0</v>
      </c>
      <c r="O10" s="90">
        <v>255</v>
      </c>
    </row>
    <row r="11" spans="1:15" s="90" customFormat="1" ht="12.75" customHeight="1" x14ac:dyDescent="0.2">
      <c r="A11" s="247" t="s">
        <v>993</v>
      </c>
      <c r="B11" s="316">
        <v>3217</v>
      </c>
      <c r="C11" s="247" t="s">
        <v>975</v>
      </c>
      <c r="D11" s="317">
        <v>42646</v>
      </c>
      <c r="E11" s="318">
        <v>0.3972222222222222</v>
      </c>
      <c r="F11" s="247" t="s">
        <v>235</v>
      </c>
      <c r="G11" s="247" t="s">
        <v>1035</v>
      </c>
      <c r="H11" s="248" t="s">
        <v>234</v>
      </c>
      <c r="I11" s="248" t="s">
        <v>235</v>
      </c>
      <c r="J11" s="247" t="s">
        <v>809</v>
      </c>
      <c r="K11" s="249">
        <v>0</v>
      </c>
      <c r="M11" s="90">
        <v>0</v>
      </c>
      <c r="N11" s="90">
        <v>0</v>
      </c>
      <c r="O11" s="90">
        <v>255</v>
      </c>
    </row>
    <row r="12" spans="1:15" s="90" customFormat="1" ht="12.75" customHeight="1" x14ac:dyDescent="0.2">
      <c r="A12" s="247" t="s">
        <v>989</v>
      </c>
      <c r="B12" s="316">
        <v>3046</v>
      </c>
      <c r="C12" s="247" t="s">
        <v>975</v>
      </c>
      <c r="D12" s="317">
        <v>42646</v>
      </c>
      <c r="E12" s="318">
        <v>0.43890046296296298</v>
      </c>
      <c r="F12" s="247" t="s">
        <v>976</v>
      </c>
      <c r="G12" s="247" t="s">
        <v>1035</v>
      </c>
      <c r="H12" s="248" t="s">
        <v>404</v>
      </c>
      <c r="I12" s="248" t="s">
        <v>404</v>
      </c>
      <c r="J12" s="247" t="s">
        <v>809</v>
      </c>
      <c r="K12" s="249">
        <v>0</v>
      </c>
      <c r="M12" s="90">
        <v>0</v>
      </c>
      <c r="N12" s="90">
        <v>0</v>
      </c>
      <c r="O12" s="90">
        <v>255</v>
      </c>
    </row>
    <row r="13" spans="1:15" s="90" customFormat="1" ht="12.75" customHeight="1" x14ac:dyDescent="0.2">
      <c r="A13" s="247" t="s">
        <v>990</v>
      </c>
      <c r="B13" s="316">
        <v>3046</v>
      </c>
      <c r="C13" s="247" t="s">
        <v>975</v>
      </c>
      <c r="D13" s="317">
        <v>42646</v>
      </c>
      <c r="E13" s="318">
        <v>0.43914351851851857</v>
      </c>
      <c r="F13" s="247" t="s">
        <v>976</v>
      </c>
      <c r="G13" s="247" t="s">
        <v>1035</v>
      </c>
      <c r="H13" s="248" t="s">
        <v>404</v>
      </c>
      <c r="I13" s="248" t="s">
        <v>404</v>
      </c>
      <c r="J13" s="247" t="s">
        <v>809</v>
      </c>
      <c r="K13" s="249">
        <v>0</v>
      </c>
      <c r="M13" s="90">
        <v>0</v>
      </c>
      <c r="N13" s="90">
        <v>0</v>
      </c>
      <c r="O13" s="90">
        <v>255</v>
      </c>
    </row>
    <row r="14" spans="1:15" s="90" customFormat="1" ht="12.75" customHeight="1" x14ac:dyDescent="0.2">
      <c r="A14" s="247" t="s">
        <v>993</v>
      </c>
      <c r="B14" s="316">
        <v>3217</v>
      </c>
      <c r="C14" s="247" t="s">
        <v>975</v>
      </c>
      <c r="D14" s="317">
        <v>42646</v>
      </c>
      <c r="E14" s="318">
        <v>0.43914351851851857</v>
      </c>
      <c r="F14" s="247" t="s">
        <v>235</v>
      </c>
      <c r="G14" s="247" t="s">
        <v>1035</v>
      </c>
      <c r="H14" s="248" t="s">
        <v>234</v>
      </c>
      <c r="I14" s="248" t="s">
        <v>235</v>
      </c>
      <c r="J14" s="247" t="s">
        <v>809</v>
      </c>
      <c r="K14" s="249">
        <v>0</v>
      </c>
      <c r="M14" s="90">
        <v>0</v>
      </c>
      <c r="N14" s="90">
        <v>0</v>
      </c>
      <c r="O14" s="90">
        <v>255</v>
      </c>
    </row>
    <row r="15" spans="1:15" s="90" customFormat="1" ht="12.75" customHeight="1" x14ac:dyDescent="0.2">
      <c r="A15" s="247" t="s">
        <v>989</v>
      </c>
      <c r="B15" s="316">
        <v>3046</v>
      </c>
      <c r="C15" s="247" t="s">
        <v>975</v>
      </c>
      <c r="D15" s="317">
        <v>42646</v>
      </c>
      <c r="E15" s="318">
        <v>0.48082175925925924</v>
      </c>
      <c r="F15" s="247" t="s">
        <v>976</v>
      </c>
      <c r="G15" s="247" t="s">
        <v>1035</v>
      </c>
      <c r="H15" s="248" t="s">
        <v>404</v>
      </c>
      <c r="I15" s="248" t="s">
        <v>404</v>
      </c>
      <c r="J15" s="247" t="s">
        <v>809</v>
      </c>
      <c r="K15" s="249">
        <v>0</v>
      </c>
      <c r="M15" s="90">
        <v>0</v>
      </c>
      <c r="N15" s="90">
        <v>0</v>
      </c>
      <c r="O15" s="90">
        <v>255</v>
      </c>
    </row>
    <row r="16" spans="1:15" s="90" customFormat="1" ht="12.75" customHeight="1" x14ac:dyDescent="0.2">
      <c r="A16" s="247" t="s">
        <v>990</v>
      </c>
      <c r="B16" s="316">
        <v>3046</v>
      </c>
      <c r="C16" s="247" t="s">
        <v>975</v>
      </c>
      <c r="D16" s="317">
        <v>42646</v>
      </c>
      <c r="E16" s="318">
        <v>0.48106481481481483</v>
      </c>
      <c r="F16" s="247" t="s">
        <v>976</v>
      </c>
      <c r="G16" s="247" t="s">
        <v>1035</v>
      </c>
      <c r="H16" s="248" t="s">
        <v>404</v>
      </c>
      <c r="I16" s="248" t="s">
        <v>404</v>
      </c>
      <c r="J16" s="247" t="s">
        <v>809</v>
      </c>
      <c r="K16" s="249">
        <v>0</v>
      </c>
      <c r="M16" s="90">
        <v>0</v>
      </c>
      <c r="N16" s="90">
        <v>0</v>
      </c>
      <c r="O16" s="90">
        <v>255</v>
      </c>
    </row>
    <row r="17" spans="1:15" s="90" customFormat="1" ht="12.75" customHeight="1" x14ac:dyDescent="0.2">
      <c r="A17" s="247" t="s">
        <v>993</v>
      </c>
      <c r="B17" s="316">
        <v>3217</v>
      </c>
      <c r="C17" s="247" t="s">
        <v>975</v>
      </c>
      <c r="D17" s="317">
        <v>42646</v>
      </c>
      <c r="E17" s="318">
        <v>0.48106481481481483</v>
      </c>
      <c r="F17" s="247" t="s">
        <v>235</v>
      </c>
      <c r="G17" s="247" t="s">
        <v>1035</v>
      </c>
      <c r="H17" s="248" t="s">
        <v>234</v>
      </c>
      <c r="I17" s="248" t="s">
        <v>235</v>
      </c>
      <c r="J17" s="247" t="s">
        <v>809</v>
      </c>
      <c r="K17" s="249">
        <v>0</v>
      </c>
      <c r="M17" s="90">
        <v>0</v>
      </c>
      <c r="N17" s="90">
        <v>0</v>
      </c>
      <c r="O17" s="90">
        <v>255</v>
      </c>
    </row>
    <row r="18" spans="1:15" s="90" customFormat="1" ht="12.75" customHeight="1" x14ac:dyDescent="0.2">
      <c r="A18" s="247" t="s">
        <v>989</v>
      </c>
      <c r="B18" s="316">
        <v>3046</v>
      </c>
      <c r="C18" s="247" t="s">
        <v>975</v>
      </c>
      <c r="D18" s="317">
        <v>42646</v>
      </c>
      <c r="E18" s="318">
        <v>0.52273148148148152</v>
      </c>
      <c r="F18" s="247" t="s">
        <v>976</v>
      </c>
      <c r="G18" s="247" t="s">
        <v>1035</v>
      </c>
      <c r="H18" s="248" t="s">
        <v>404</v>
      </c>
      <c r="I18" s="248" t="s">
        <v>404</v>
      </c>
      <c r="J18" s="247" t="s">
        <v>809</v>
      </c>
      <c r="K18" s="249">
        <v>0</v>
      </c>
      <c r="M18" s="90">
        <v>0</v>
      </c>
      <c r="N18" s="90">
        <v>0</v>
      </c>
      <c r="O18" s="90">
        <v>255</v>
      </c>
    </row>
    <row r="19" spans="1:15" s="90" customFormat="1" ht="12.75" customHeight="1" x14ac:dyDescent="0.2">
      <c r="A19" s="247" t="s">
        <v>990</v>
      </c>
      <c r="B19" s="316">
        <v>3046</v>
      </c>
      <c r="C19" s="247" t="s">
        <v>975</v>
      </c>
      <c r="D19" s="317">
        <v>42646</v>
      </c>
      <c r="E19" s="318">
        <v>0.52298611111111104</v>
      </c>
      <c r="F19" s="247" t="s">
        <v>976</v>
      </c>
      <c r="G19" s="247" t="s">
        <v>1035</v>
      </c>
      <c r="H19" s="248" t="s">
        <v>404</v>
      </c>
      <c r="I19" s="248" t="s">
        <v>404</v>
      </c>
      <c r="J19" s="247" t="s">
        <v>809</v>
      </c>
      <c r="K19" s="249">
        <v>0</v>
      </c>
      <c r="M19" s="90">
        <v>0</v>
      </c>
      <c r="N19" s="90">
        <v>0</v>
      </c>
      <c r="O19" s="90">
        <v>255</v>
      </c>
    </row>
    <row r="20" spans="1:15" s="90" customFormat="1" ht="12.75" customHeight="1" x14ac:dyDescent="0.2">
      <c r="A20" s="247" t="s">
        <v>993</v>
      </c>
      <c r="B20" s="316">
        <v>3217</v>
      </c>
      <c r="C20" s="247" t="s">
        <v>975</v>
      </c>
      <c r="D20" s="317">
        <v>42646</v>
      </c>
      <c r="E20" s="318">
        <v>0.52298611111111104</v>
      </c>
      <c r="F20" s="247" t="s">
        <v>235</v>
      </c>
      <c r="G20" s="247" t="s">
        <v>1035</v>
      </c>
      <c r="H20" s="248" t="s">
        <v>234</v>
      </c>
      <c r="I20" s="248" t="s">
        <v>235</v>
      </c>
      <c r="J20" s="247" t="s">
        <v>809</v>
      </c>
      <c r="K20" s="249">
        <v>0</v>
      </c>
      <c r="M20" s="90">
        <v>0</v>
      </c>
      <c r="N20" s="90">
        <v>0</v>
      </c>
      <c r="O20" s="90">
        <v>255</v>
      </c>
    </row>
    <row r="21" spans="1:15" s="90" customFormat="1" ht="12.75" customHeight="1" x14ac:dyDescent="0.2">
      <c r="A21" s="247" t="s">
        <v>989</v>
      </c>
      <c r="B21" s="316">
        <v>3046</v>
      </c>
      <c r="C21" s="247" t="s">
        <v>975</v>
      </c>
      <c r="D21" s="317">
        <v>42646</v>
      </c>
      <c r="E21" s="318">
        <v>0.56465277777777778</v>
      </c>
      <c r="F21" s="247" t="s">
        <v>976</v>
      </c>
      <c r="G21" s="247" t="s">
        <v>1035</v>
      </c>
      <c r="H21" s="248" t="s">
        <v>404</v>
      </c>
      <c r="I21" s="248" t="s">
        <v>404</v>
      </c>
      <c r="J21" s="247" t="s">
        <v>809</v>
      </c>
      <c r="K21" s="249">
        <v>0</v>
      </c>
      <c r="M21" s="90">
        <v>0</v>
      </c>
      <c r="N21" s="90">
        <v>0</v>
      </c>
      <c r="O21" s="90">
        <v>255</v>
      </c>
    </row>
    <row r="22" spans="1:15" s="90" customFormat="1" ht="12.75" customHeight="1" x14ac:dyDescent="0.2">
      <c r="A22" s="247" t="s">
        <v>990</v>
      </c>
      <c r="B22" s="316">
        <v>3046</v>
      </c>
      <c r="C22" s="247" t="s">
        <v>975</v>
      </c>
      <c r="D22" s="317">
        <v>42646</v>
      </c>
      <c r="E22" s="318">
        <v>0.56490740740740741</v>
      </c>
      <c r="F22" s="247" t="s">
        <v>976</v>
      </c>
      <c r="G22" s="247" t="s">
        <v>1035</v>
      </c>
      <c r="H22" s="248" t="s">
        <v>404</v>
      </c>
      <c r="I22" s="248" t="s">
        <v>404</v>
      </c>
      <c r="J22" s="247" t="s">
        <v>809</v>
      </c>
      <c r="K22" s="249">
        <v>0</v>
      </c>
      <c r="M22" s="90">
        <v>0</v>
      </c>
      <c r="N22" s="90">
        <v>0</v>
      </c>
      <c r="O22" s="90">
        <v>255</v>
      </c>
    </row>
    <row r="23" spans="1:15" s="90" customFormat="1" ht="12.75" customHeight="1" x14ac:dyDescent="0.2">
      <c r="A23" s="247" t="s">
        <v>993</v>
      </c>
      <c r="B23" s="316">
        <v>3217</v>
      </c>
      <c r="C23" s="247" t="s">
        <v>975</v>
      </c>
      <c r="D23" s="317">
        <v>42646</v>
      </c>
      <c r="E23" s="318">
        <v>0.56490740740740741</v>
      </c>
      <c r="F23" s="247" t="s">
        <v>235</v>
      </c>
      <c r="G23" s="247" t="s">
        <v>1035</v>
      </c>
      <c r="H23" s="248" t="s">
        <v>234</v>
      </c>
      <c r="I23" s="248" t="s">
        <v>235</v>
      </c>
      <c r="J23" s="247" t="s">
        <v>809</v>
      </c>
      <c r="K23" s="249">
        <v>0</v>
      </c>
      <c r="M23" s="90">
        <v>0</v>
      </c>
      <c r="N23" s="90">
        <v>0</v>
      </c>
      <c r="O23" s="90">
        <v>255</v>
      </c>
    </row>
    <row r="24" spans="1:15" s="90" customFormat="1" ht="12.75" customHeight="1" x14ac:dyDescent="0.2">
      <c r="A24" s="247" t="s">
        <v>989</v>
      </c>
      <c r="B24" s="316">
        <v>3046</v>
      </c>
      <c r="C24" s="247" t="s">
        <v>975</v>
      </c>
      <c r="D24" s="317">
        <v>42646</v>
      </c>
      <c r="E24" s="318">
        <v>0.60657407407407404</v>
      </c>
      <c r="F24" s="247" t="s">
        <v>976</v>
      </c>
      <c r="G24" s="247" t="s">
        <v>1035</v>
      </c>
      <c r="H24" s="248" t="s">
        <v>404</v>
      </c>
      <c r="I24" s="248" t="s">
        <v>404</v>
      </c>
      <c r="J24" s="247" t="s">
        <v>809</v>
      </c>
      <c r="K24" s="249">
        <v>0</v>
      </c>
      <c r="M24" s="90">
        <v>0</v>
      </c>
      <c r="N24" s="90">
        <v>0</v>
      </c>
      <c r="O24" s="90">
        <v>255</v>
      </c>
    </row>
    <row r="25" spans="1:15" s="90" customFormat="1" ht="12.75" customHeight="1" x14ac:dyDescent="0.2">
      <c r="A25" s="247" t="s">
        <v>990</v>
      </c>
      <c r="B25" s="316">
        <v>3046</v>
      </c>
      <c r="C25" s="247" t="s">
        <v>975</v>
      </c>
      <c r="D25" s="317">
        <v>42646</v>
      </c>
      <c r="E25" s="318">
        <v>0.60682870370370368</v>
      </c>
      <c r="F25" s="247" t="s">
        <v>976</v>
      </c>
      <c r="G25" s="247" t="s">
        <v>1035</v>
      </c>
      <c r="H25" s="248" t="s">
        <v>404</v>
      </c>
      <c r="I25" s="248" t="s">
        <v>404</v>
      </c>
      <c r="J25" s="247" t="s">
        <v>809</v>
      </c>
      <c r="K25" s="249">
        <v>0</v>
      </c>
      <c r="M25" s="90">
        <v>0</v>
      </c>
      <c r="N25" s="90">
        <v>0</v>
      </c>
      <c r="O25" s="90">
        <v>255</v>
      </c>
    </row>
    <row r="26" spans="1:15" s="90" customFormat="1" ht="12.75" customHeight="1" x14ac:dyDescent="0.2">
      <c r="A26" s="247" t="s">
        <v>993</v>
      </c>
      <c r="B26" s="316">
        <v>3217</v>
      </c>
      <c r="C26" s="247" t="s">
        <v>975</v>
      </c>
      <c r="D26" s="317">
        <v>42646</v>
      </c>
      <c r="E26" s="318">
        <v>0.60682870370370368</v>
      </c>
      <c r="F26" s="247" t="s">
        <v>235</v>
      </c>
      <c r="G26" s="247" t="s">
        <v>1035</v>
      </c>
      <c r="H26" s="248" t="s">
        <v>234</v>
      </c>
      <c r="I26" s="248" t="s">
        <v>235</v>
      </c>
      <c r="J26" s="247" t="s">
        <v>809</v>
      </c>
      <c r="K26" s="249">
        <v>0</v>
      </c>
      <c r="M26" s="90">
        <v>0</v>
      </c>
      <c r="N26" s="90">
        <v>0</v>
      </c>
      <c r="O26" s="90">
        <v>255</v>
      </c>
    </row>
    <row r="27" spans="1:15" s="90" customFormat="1" ht="12.75" customHeight="1" x14ac:dyDescent="0.2">
      <c r="A27" s="247" t="s">
        <v>989</v>
      </c>
      <c r="B27" s="316">
        <v>3046</v>
      </c>
      <c r="C27" s="247" t="s">
        <v>975</v>
      </c>
      <c r="D27" s="317">
        <v>42646</v>
      </c>
      <c r="E27" s="318">
        <v>0.64849537037037031</v>
      </c>
      <c r="F27" s="247" t="s">
        <v>976</v>
      </c>
      <c r="G27" s="247" t="s">
        <v>1035</v>
      </c>
      <c r="H27" s="248" t="s">
        <v>404</v>
      </c>
      <c r="I27" s="248" t="s">
        <v>404</v>
      </c>
      <c r="J27" s="247" t="s">
        <v>809</v>
      </c>
      <c r="K27" s="249">
        <v>0</v>
      </c>
      <c r="M27" s="90">
        <v>0</v>
      </c>
      <c r="N27" s="90">
        <v>0</v>
      </c>
      <c r="O27" s="90">
        <v>255</v>
      </c>
    </row>
    <row r="28" spans="1:15" s="90" customFormat="1" ht="12.75" customHeight="1" x14ac:dyDescent="0.2">
      <c r="A28" s="247" t="s">
        <v>993</v>
      </c>
      <c r="B28" s="316">
        <v>3217</v>
      </c>
      <c r="C28" s="247" t="s">
        <v>975</v>
      </c>
      <c r="D28" s="317">
        <v>42646</v>
      </c>
      <c r="E28" s="318">
        <v>0.6487384259259259</v>
      </c>
      <c r="F28" s="247" t="s">
        <v>235</v>
      </c>
      <c r="G28" s="247" t="s">
        <v>1035</v>
      </c>
      <c r="H28" s="248" t="s">
        <v>234</v>
      </c>
      <c r="I28" s="248" t="s">
        <v>235</v>
      </c>
      <c r="J28" s="247" t="s">
        <v>809</v>
      </c>
      <c r="K28" s="249">
        <v>0</v>
      </c>
      <c r="M28" s="90">
        <v>0</v>
      </c>
      <c r="N28" s="90">
        <v>0</v>
      </c>
      <c r="O28" s="90">
        <v>255</v>
      </c>
    </row>
    <row r="29" spans="1:15" s="90" customFormat="1" ht="12.75" customHeight="1" x14ac:dyDescent="0.2">
      <c r="A29" s="247" t="s">
        <v>990</v>
      </c>
      <c r="B29" s="316">
        <v>3046</v>
      </c>
      <c r="C29" s="247" t="s">
        <v>975</v>
      </c>
      <c r="D29" s="317">
        <v>42646</v>
      </c>
      <c r="E29" s="318">
        <v>0.64875000000000005</v>
      </c>
      <c r="F29" s="247" t="s">
        <v>976</v>
      </c>
      <c r="G29" s="247" t="s">
        <v>1035</v>
      </c>
      <c r="H29" s="248" t="s">
        <v>404</v>
      </c>
      <c r="I29" s="248" t="s">
        <v>404</v>
      </c>
      <c r="J29" s="247" t="s">
        <v>809</v>
      </c>
      <c r="K29" s="249">
        <v>0</v>
      </c>
      <c r="M29" s="90">
        <v>0</v>
      </c>
      <c r="N29" s="90">
        <v>0</v>
      </c>
      <c r="O29" s="90">
        <v>255</v>
      </c>
    </row>
    <row r="30" spans="1:15" s="90" customFormat="1" ht="12.75" customHeight="1" x14ac:dyDescent="0.2">
      <c r="A30" s="247" t="s">
        <v>989</v>
      </c>
      <c r="B30" s="316">
        <v>3046</v>
      </c>
      <c r="C30" s="247" t="s">
        <v>975</v>
      </c>
      <c r="D30" s="317">
        <v>42646</v>
      </c>
      <c r="E30" s="318">
        <v>0.69041666666666668</v>
      </c>
      <c r="F30" s="247" t="s">
        <v>976</v>
      </c>
      <c r="G30" s="247" t="s">
        <v>1035</v>
      </c>
      <c r="H30" s="248" t="s">
        <v>404</v>
      </c>
      <c r="I30" s="248" t="s">
        <v>404</v>
      </c>
      <c r="J30" s="247" t="s">
        <v>809</v>
      </c>
      <c r="K30" s="249">
        <v>0</v>
      </c>
      <c r="M30" s="90">
        <v>0</v>
      </c>
      <c r="N30" s="90">
        <v>0</v>
      </c>
      <c r="O30" s="90">
        <v>255</v>
      </c>
    </row>
    <row r="31" spans="1:15" s="90" customFormat="1" ht="12.75" customHeight="1" x14ac:dyDescent="0.2">
      <c r="A31" s="247" t="s">
        <v>990</v>
      </c>
      <c r="B31" s="316">
        <v>3046</v>
      </c>
      <c r="C31" s="247" t="s">
        <v>975</v>
      </c>
      <c r="D31" s="317">
        <v>42646</v>
      </c>
      <c r="E31" s="318">
        <v>0.69067129629629631</v>
      </c>
      <c r="F31" s="247" t="s">
        <v>976</v>
      </c>
      <c r="G31" s="247" t="s">
        <v>1035</v>
      </c>
      <c r="H31" s="248" t="s">
        <v>404</v>
      </c>
      <c r="I31" s="248" t="s">
        <v>404</v>
      </c>
      <c r="J31" s="247" t="s">
        <v>809</v>
      </c>
      <c r="K31" s="249">
        <v>0</v>
      </c>
      <c r="M31" s="90">
        <v>0</v>
      </c>
      <c r="N31" s="90">
        <v>0</v>
      </c>
      <c r="O31" s="90">
        <v>255</v>
      </c>
    </row>
    <row r="32" spans="1:15" s="90" customFormat="1" ht="12.75" customHeight="1" x14ac:dyDescent="0.2">
      <c r="A32" s="247" t="s">
        <v>993</v>
      </c>
      <c r="B32" s="316">
        <v>3217</v>
      </c>
      <c r="C32" s="247" t="s">
        <v>975</v>
      </c>
      <c r="D32" s="317">
        <v>42646</v>
      </c>
      <c r="E32" s="318">
        <v>0.69067129629629631</v>
      </c>
      <c r="F32" s="247" t="s">
        <v>235</v>
      </c>
      <c r="G32" s="247" t="s">
        <v>1035</v>
      </c>
      <c r="H32" s="248" t="s">
        <v>234</v>
      </c>
      <c r="I32" s="248" t="s">
        <v>235</v>
      </c>
      <c r="J32" s="247" t="s">
        <v>809</v>
      </c>
      <c r="K32" s="249">
        <v>0</v>
      </c>
      <c r="M32" s="90">
        <v>0</v>
      </c>
      <c r="N32" s="90">
        <v>0</v>
      </c>
      <c r="O32" s="90">
        <v>255</v>
      </c>
    </row>
    <row r="33" spans="1:15" s="90" customFormat="1" ht="12.75" customHeight="1" x14ac:dyDescent="0.2">
      <c r="A33" s="247" t="s">
        <v>989</v>
      </c>
      <c r="B33" s="316">
        <v>3046</v>
      </c>
      <c r="C33" s="247" t="s">
        <v>975</v>
      </c>
      <c r="D33" s="317">
        <v>42646</v>
      </c>
      <c r="E33" s="318">
        <v>0.73233796296296294</v>
      </c>
      <c r="F33" s="247" t="s">
        <v>976</v>
      </c>
      <c r="G33" s="247" t="s">
        <v>1035</v>
      </c>
      <c r="H33" s="248" t="s">
        <v>404</v>
      </c>
      <c r="I33" s="248" t="s">
        <v>404</v>
      </c>
      <c r="J33" s="247" t="s">
        <v>809</v>
      </c>
      <c r="K33" s="249">
        <v>0</v>
      </c>
      <c r="M33" s="90">
        <v>0</v>
      </c>
      <c r="N33" s="90">
        <v>0</v>
      </c>
      <c r="O33" s="90">
        <v>255</v>
      </c>
    </row>
    <row r="34" spans="1:15" s="90" customFormat="1" ht="12.75" customHeight="1" x14ac:dyDescent="0.2">
      <c r="A34" s="247" t="s">
        <v>993</v>
      </c>
      <c r="B34" s="316">
        <v>3217</v>
      </c>
      <c r="C34" s="247" t="s">
        <v>975</v>
      </c>
      <c r="D34" s="317">
        <v>42646</v>
      </c>
      <c r="E34" s="318">
        <v>0.73258101851851853</v>
      </c>
      <c r="F34" s="247" t="s">
        <v>235</v>
      </c>
      <c r="G34" s="247" t="s">
        <v>1035</v>
      </c>
      <c r="H34" s="248" t="s">
        <v>234</v>
      </c>
      <c r="I34" s="248" t="s">
        <v>235</v>
      </c>
      <c r="J34" s="247" t="s">
        <v>809</v>
      </c>
      <c r="K34" s="249">
        <v>0</v>
      </c>
      <c r="M34" s="90">
        <v>0</v>
      </c>
      <c r="N34" s="90">
        <v>0</v>
      </c>
      <c r="O34" s="90">
        <v>255</v>
      </c>
    </row>
    <row r="35" spans="1:15" s="90" customFormat="1" ht="12.75" customHeight="1" x14ac:dyDescent="0.2">
      <c r="A35" s="247" t="s">
        <v>990</v>
      </c>
      <c r="B35" s="316">
        <v>3046</v>
      </c>
      <c r="C35" s="247" t="s">
        <v>975</v>
      </c>
      <c r="D35" s="317">
        <v>42646</v>
      </c>
      <c r="E35" s="318">
        <v>0.73259259259259257</v>
      </c>
      <c r="F35" s="247" t="s">
        <v>976</v>
      </c>
      <c r="G35" s="247" t="s">
        <v>1035</v>
      </c>
      <c r="H35" s="248" t="s">
        <v>404</v>
      </c>
      <c r="I35" s="248" t="s">
        <v>404</v>
      </c>
      <c r="J35" s="247" t="s">
        <v>809</v>
      </c>
      <c r="K35" s="249">
        <v>0</v>
      </c>
      <c r="M35" s="90">
        <v>0</v>
      </c>
      <c r="N35" s="90">
        <v>0</v>
      </c>
      <c r="O35" s="90">
        <v>255</v>
      </c>
    </row>
    <row r="36" spans="1:15" s="90" customFormat="1" ht="12.75" customHeight="1" x14ac:dyDescent="0.2">
      <c r="A36" s="247" t="s">
        <v>989</v>
      </c>
      <c r="B36" s="316">
        <v>3046</v>
      </c>
      <c r="C36" s="247" t="s">
        <v>975</v>
      </c>
      <c r="D36" s="317">
        <v>42646</v>
      </c>
      <c r="E36" s="318">
        <v>0.7742592592592592</v>
      </c>
      <c r="F36" s="247" t="s">
        <v>976</v>
      </c>
      <c r="G36" s="247" t="s">
        <v>1035</v>
      </c>
      <c r="H36" s="248" t="s">
        <v>404</v>
      </c>
      <c r="I36" s="248" t="s">
        <v>404</v>
      </c>
      <c r="J36" s="247" t="s">
        <v>809</v>
      </c>
      <c r="K36" s="249">
        <v>0</v>
      </c>
      <c r="M36" s="90">
        <v>0</v>
      </c>
      <c r="N36" s="90">
        <v>0</v>
      </c>
      <c r="O36" s="90">
        <v>255</v>
      </c>
    </row>
    <row r="37" spans="1:15" s="90" customFormat="1" ht="12.75" customHeight="1" x14ac:dyDescent="0.2">
      <c r="A37" s="247" t="s">
        <v>993</v>
      </c>
      <c r="B37" s="316">
        <v>3217</v>
      </c>
      <c r="C37" s="247" t="s">
        <v>975</v>
      </c>
      <c r="D37" s="317">
        <v>42646</v>
      </c>
      <c r="E37" s="318">
        <v>0.7745023148148148</v>
      </c>
      <c r="F37" s="247" t="s">
        <v>235</v>
      </c>
      <c r="G37" s="247" t="s">
        <v>1035</v>
      </c>
      <c r="H37" s="248" t="s">
        <v>234</v>
      </c>
      <c r="I37" s="248" t="s">
        <v>235</v>
      </c>
      <c r="J37" s="247" t="s">
        <v>809</v>
      </c>
      <c r="K37" s="249">
        <v>0</v>
      </c>
      <c r="M37" s="90">
        <v>0</v>
      </c>
      <c r="N37" s="90">
        <v>0</v>
      </c>
      <c r="O37" s="90">
        <v>255</v>
      </c>
    </row>
    <row r="38" spans="1:15" s="90" customFormat="1" ht="12.75" customHeight="1" x14ac:dyDescent="0.2">
      <c r="A38" s="247" t="s">
        <v>990</v>
      </c>
      <c r="B38" s="316">
        <v>3046</v>
      </c>
      <c r="C38" s="247" t="s">
        <v>975</v>
      </c>
      <c r="D38" s="317">
        <v>42646</v>
      </c>
      <c r="E38" s="318">
        <v>0.77451388888888895</v>
      </c>
      <c r="F38" s="247" t="s">
        <v>976</v>
      </c>
      <c r="G38" s="247" t="s">
        <v>1035</v>
      </c>
      <c r="H38" s="248" t="s">
        <v>404</v>
      </c>
      <c r="I38" s="248" t="s">
        <v>404</v>
      </c>
      <c r="J38" s="247" t="s">
        <v>809</v>
      </c>
      <c r="K38" s="249">
        <v>0</v>
      </c>
      <c r="M38" s="90">
        <v>0</v>
      </c>
      <c r="N38" s="90">
        <v>0</v>
      </c>
      <c r="O38" s="90">
        <v>255</v>
      </c>
    </row>
    <row r="39" spans="1:15" s="90" customFormat="1" ht="12.75" customHeight="1" x14ac:dyDescent="0.2">
      <c r="A39" s="247" t="s">
        <v>989</v>
      </c>
      <c r="B39" s="316">
        <v>3046</v>
      </c>
      <c r="C39" s="247" t="s">
        <v>975</v>
      </c>
      <c r="D39" s="317">
        <v>42646</v>
      </c>
      <c r="E39" s="318">
        <v>0.81618055555555558</v>
      </c>
      <c r="F39" s="247" t="s">
        <v>976</v>
      </c>
      <c r="G39" s="247" t="s">
        <v>1035</v>
      </c>
      <c r="H39" s="248" t="s">
        <v>404</v>
      </c>
      <c r="I39" s="248" t="s">
        <v>404</v>
      </c>
      <c r="J39" s="247" t="s">
        <v>809</v>
      </c>
      <c r="K39" s="249">
        <v>0</v>
      </c>
      <c r="M39" s="90">
        <v>0</v>
      </c>
      <c r="N39" s="90">
        <v>0</v>
      </c>
      <c r="O39" s="90">
        <v>255</v>
      </c>
    </row>
    <row r="40" spans="1:15" s="90" customFormat="1" ht="12.75" customHeight="1" x14ac:dyDescent="0.2">
      <c r="A40" s="247" t="s">
        <v>993</v>
      </c>
      <c r="B40" s="316">
        <v>3217</v>
      </c>
      <c r="C40" s="247" t="s">
        <v>975</v>
      </c>
      <c r="D40" s="317">
        <v>42646</v>
      </c>
      <c r="E40" s="318">
        <v>0.81642361111111106</v>
      </c>
      <c r="F40" s="247" t="s">
        <v>235</v>
      </c>
      <c r="G40" s="247" t="s">
        <v>1035</v>
      </c>
      <c r="H40" s="248" t="s">
        <v>234</v>
      </c>
      <c r="I40" s="248" t="s">
        <v>235</v>
      </c>
      <c r="J40" s="247" t="s">
        <v>809</v>
      </c>
      <c r="K40" s="249">
        <v>0</v>
      </c>
      <c r="M40" s="90">
        <v>0</v>
      </c>
      <c r="N40" s="90">
        <v>0</v>
      </c>
      <c r="O40" s="90">
        <v>255</v>
      </c>
    </row>
    <row r="41" spans="1:15" s="90" customFormat="1" ht="12.75" customHeight="1" x14ac:dyDescent="0.2">
      <c r="A41" s="247" t="s">
        <v>990</v>
      </c>
      <c r="B41" s="316">
        <v>3046</v>
      </c>
      <c r="C41" s="247" t="s">
        <v>975</v>
      </c>
      <c r="D41" s="317">
        <v>42646</v>
      </c>
      <c r="E41" s="318">
        <v>0.81643518518518521</v>
      </c>
      <c r="F41" s="247" t="s">
        <v>976</v>
      </c>
      <c r="G41" s="247" t="s">
        <v>1035</v>
      </c>
      <c r="H41" s="248" t="s">
        <v>404</v>
      </c>
      <c r="I41" s="248" t="s">
        <v>404</v>
      </c>
      <c r="J41" s="247" t="s">
        <v>809</v>
      </c>
      <c r="K41" s="249">
        <v>0</v>
      </c>
      <c r="M41" s="90">
        <v>0</v>
      </c>
      <c r="N41" s="90">
        <v>0</v>
      </c>
      <c r="O41" s="90">
        <v>255</v>
      </c>
    </row>
    <row r="42" spans="1:15" s="90" customFormat="1" ht="12.75" customHeight="1" x14ac:dyDescent="0.2">
      <c r="A42" s="247" t="s">
        <v>989</v>
      </c>
      <c r="B42" s="316">
        <v>3046</v>
      </c>
      <c r="C42" s="247" t="s">
        <v>975</v>
      </c>
      <c r="D42" s="317">
        <v>42646</v>
      </c>
      <c r="E42" s="318">
        <v>0.85810185185185184</v>
      </c>
      <c r="F42" s="247" t="s">
        <v>976</v>
      </c>
      <c r="G42" s="247" t="s">
        <v>1035</v>
      </c>
      <c r="H42" s="248" t="s">
        <v>404</v>
      </c>
      <c r="I42" s="248" t="s">
        <v>404</v>
      </c>
      <c r="J42" s="247" t="s">
        <v>809</v>
      </c>
      <c r="K42" s="249">
        <v>0</v>
      </c>
      <c r="M42" s="90">
        <v>0</v>
      </c>
      <c r="N42" s="90">
        <v>0</v>
      </c>
      <c r="O42" s="90">
        <v>255</v>
      </c>
    </row>
    <row r="43" spans="1:15" s="90" customFormat="1" ht="12.75" customHeight="1" x14ac:dyDescent="0.2">
      <c r="A43" s="247" t="s">
        <v>993</v>
      </c>
      <c r="B43" s="316">
        <v>3217</v>
      </c>
      <c r="C43" s="247" t="s">
        <v>975</v>
      </c>
      <c r="D43" s="317">
        <v>42646</v>
      </c>
      <c r="E43" s="318">
        <v>0.85834490740740732</v>
      </c>
      <c r="F43" s="247" t="s">
        <v>235</v>
      </c>
      <c r="G43" s="247" t="s">
        <v>1035</v>
      </c>
      <c r="H43" s="248" t="s">
        <v>234</v>
      </c>
      <c r="I43" s="248" t="s">
        <v>235</v>
      </c>
      <c r="J43" s="247" t="s">
        <v>809</v>
      </c>
      <c r="K43" s="249">
        <v>0</v>
      </c>
      <c r="M43" s="90">
        <v>0</v>
      </c>
      <c r="N43" s="90">
        <v>0</v>
      </c>
      <c r="O43" s="90">
        <v>255</v>
      </c>
    </row>
    <row r="44" spans="1:15" s="90" customFormat="1" ht="12.75" customHeight="1" x14ac:dyDescent="0.2">
      <c r="A44" s="247" t="s">
        <v>990</v>
      </c>
      <c r="B44" s="316">
        <v>3046</v>
      </c>
      <c r="C44" s="247" t="s">
        <v>975</v>
      </c>
      <c r="D44" s="317">
        <v>42646</v>
      </c>
      <c r="E44" s="318">
        <v>0.85835648148148147</v>
      </c>
      <c r="F44" s="247" t="s">
        <v>976</v>
      </c>
      <c r="G44" s="247" t="s">
        <v>1035</v>
      </c>
      <c r="H44" s="248" t="s">
        <v>404</v>
      </c>
      <c r="I44" s="248" t="s">
        <v>404</v>
      </c>
      <c r="J44" s="247" t="s">
        <v>809</v>
      </c>
      <c r="K44" s="249">
        <v>0</v>
      </c>
      <c r="M44" s="90">
        <v>0</v>
      </c>
      <c r="N44" s="90">
        <v>0</v>
      </c>
      <c r="O44" s="90">
        <v>255</v>
      </c>
    </row>
    <row r="45" spans="1:15" s="90" customFormat="1" ht="12.75" customHeight="1" x14ac:dyDescent="0.2">
      <c r="A45" s="247" t="s">
        <v>989</v>
      </c>
      <c r="B45" s="316">
        <v>3046</v>
      </c>
      <c r="C45" s="247" t="s">
        <v>975</v>
      </c>
      <c r="D45" s="317">
        <v>42646</v>
      </c>
      <c r="E45" s="318">
        <v>0.9000231481481481</v>
      </c>
      <c r="F45" s="247" t="s">
        <v>976</v>
      </c>
      <c r="G45" s="247" t="s">
        <v>1035</v>
      </c>
      <c r="H45" s="248" t="s">
        <v>404</v>
      </c>
      <c r="I45" s="248" t="s">
        <v>404</v>
      </c>
      <c r="J45" s="247" t="s">
        <v>809</v>
      </c>
      <c r="K45" s="249">
        <v>0</v>
      </c>
      <c r="M45" s="90">
        <v>0</v>
      </c>
      <c r="N45" s="90">
        <v>0</v>
      </c>
      <c r="O45" s="90">
        <v>255</v>
      </c>
    </row>
    <row r="46" spans="1:15" s="90" customFormat="1" ht="12.75" customHeight="1" x14ac:dyDescent="0.2">
      <c r="A46" s="247" t="s">
        <v>990</v>
      </c>
      <c r="B46" s="316">
        <v>3046</v>
      </c>
      <c r="C46" s="247" t="s">
        <v>975</v>
      </c>
      <c r="D46" s="317">
        <v>42646</v>
      </c>
      <c r="E46" s="318">
        <v>0.9002662037037038</v>
      </c>
      <c r="F46" s="247" t="s">
        <v>976</v>
      </c>
      <c r="G46" s="247" t="s">
        <v>1035</v>
      </c>
      <c r="H46" s="248" t="s">
        <v>404</v>
      </c>
      <c r="I46" s="248" t="s">
        <v>404</v>
      </c>
      <c r="J46" s="247" t="s">
        <v>809</v>
      </c>
      <c r="K46" s="249">
        <v>0</v>
      </c>
      <c r="M46" s="90">
        <v>0</v>
      </c>
      <c r="N46" s="90">
        <v>0</v>
      </c>
      <c r="O46" s="90">
        <v>255</v>
      </c>
    </row>
    <row r="47" spans="1:15" s="90" customFormat="1" ht="12.75" customHeight="1" x14ac:dyDescent="0.2">
      <c r="A47" s="247" t="s">
        <v>993</v>
      </c>
      <c r="B47" s="316">
        <v>3217</v>
      </c>
      <c r="C47" s="247" t="s">
        <v>975</v>
      </c>
      <c r="D47" s="317">
        <v>42646</v>
      </c>
      <c r="E47" s="318">
        <v>0.9002662037037038</v>
      </c>
      <c r="F47" s="247" t="s">
        <v>235</v>
      </c>
      <c r="G47" s="247" t="s">
        <v>1035</v>
      </c>
      <c r="H47" s="248" t="s">
        <v>234</v>
      </c>
      <c r="I47" s="248" t="s">
        <v>235</v>
      </c>
      <c r="J47" s="247" t="s">
        <v>809</v>
      </c>
      <c r="K47" s="249">
        <v>0</v>
      </c>
      <c r="M47" s="90">
        <v>0</v>
      </c>
      <c r="N47" s="90">
        <v>0</v>
      </c>
      <c r="O47" s="90">
        <v>255</v>
      </c>
    </row>
    <row r="48" spans="1:15" s="90" customFormat="1" ht="12.75" customHeight="1" x14ac:dyDescent="0.2">
      <c r="A48" s="247" t="s">
        <v>989</v>
      </c>
      <c r="B48" s="316">
        <v>3046</v>
      </c>
      <c r="C48" s="247" t="s">
        <v>975</v>
      </c>
      <c r="D48" s="317">
        <v>42646</v>
      </c>
      <c r="E48" s="318">
        <v>0.94194444444444436</v>
      </c>
      <c r="F48" s="247" t="s">
        <v>976</v>
      </c>
      <c r="G48" s="247" t="s">
        <v>1035</v>
      </c>
      <c r="H48" s="248" t="s">
        <v>404</v>
      </c>
      <c r="I48" s="248" t="s">
        <v>404</v>
      </c>
      <c r="J48" s="247" t="s">
        <v>809</v>
      </c>
      <c r="K48" s="249">
        <v>0</v>
      </c>
      <c r="M48" s="90">
        <v>0</v>
      </c>
      <c r="N48" s="90">
        <v>0</v>
      </c>
      <c r="O48" s="90">
        <v>255</v>
      </c>
    </row>
    <row r="49" spans="1:15" s="90" customFormat="1" ht="12.75" customHeight="1" x14ac:dyDescent="0.2">
      <c r="A49" s="247" t="s">
        <v>993</v>
      </c>
      <c r="B49" s="316">
        <v>3217</v>
      </c>
      <c r="C49" s="247" t="s">
        <v>975</v>
      </c>
      <c r="D49" s="317">
        <v>42646</v>
      </c>
      <c r="E49" s="318">
        <v>0.94218750000000007</v>
      </c>
      <c r="F49" s="247" t="s">
        <v>235</v>
      </c>
      <c r="G49" s="247" t="s">
        <v>1035</v>
      </c>
      <c r="H49" s="248" t="s">
        <v>234</v>
      </c>
      <c r="I49" s="248" t="s">
        <v>235</v>
      </c>
      <c r="J49" s="247" t="s">
        <v>809</v>
      </c>
      <c r="K49" s="249">
        <v>0</v>
      </c>
      <c r="M49" s="90">
        <v>0</v>
      </c>
      <c r="N49" s="90">
        <v>0</v>
      </c>
      <c r="O49" s="90">
        <v>255</v>
      </c>
    </row>
    <row r="50" spans="1:15" s="90" customFormat="1" ht="12.75" customHeight="1" x14ac:dyDescent="0.2">
      <c r="A50" s="247" t="s">
        <v>990</v>
      </c>
      <c r="B50" s="316">
        <v>3046</v>
      </c>
      <c r="C50" s="247" t="s">
        <v>975</v>
      </c>
      <c r="D50" s="317">
        <v>42646</v>
      </c>
      <c r="E50" s="318">
        <v>0.94219907407407411</v>
      </c>
      <c r="F50" s="247" t="s">
        <v>976</v>
      </c>
      <c r="G50" s="247" t="s">
        <v>1035</v>
      </c>
      <c r="H50" s="248" t="s">
        <v>404</v>
      </c>
      <c r="I50" s="248" t="s">
        <v>404</v>
      </c>
      <c r="J50" s="247" t="s">
        <v>809</v>
      </c>
      <c r="K50" s="249">
        <v>0</v>
      </c>
      <c r="M50" s="90">
        <v>0</v>
      </c>
      <c r="N50" s="90">
        <v>0</v>
      </c>
      <c r="O50" s="90">
        <v>255</v>
      </c>
    </row>
    <row r="51" spans="1:15" s="90" customFormat="1" ht="12.75" customHeight="1" x14ac:dyDescent="0.2">
      <c r="A51" s="247" t="s">
        <v>989</v>
      </c>
      <c r="B51" s="316">
        <v>3046</v>
      </c>
      <c r="C51" s="247" t="s">
        <v>975</v>
      </c>
      <c r="D51" s="317">
        <v>42646</v>
      </c>
      <c r="E51" s="318">
        <v>0.98386574074074085</v>
      </c>
      <c r="F51" s="247" t="s">
        <v>976</v>
      </c>
      <c r="G51" s="247" t="s">
        <v>1035</v>
      </c>
      <c r="H51" s="248" t="s">
        <v>404</v>
      </c>
      <c r="I51" s="248" t="s">
        <v>404</v>
      </c>
      <c r="J51" s="247" t="s">
        <v>809</v>
      </c>
      <c r="K51" s="249">
        <v>0</v>
      </c>
      <c r="M51" s="90">
        <v>0</v>
      </c>
      <c r="N51" s="90">
        <v>0</v>
      </c>
      <c r="O51" s="90">
        <v>255</v>
      </c>
    </row>
    <row r="52" spans="1:15" s="90" customFormat="1" ht="12.75" customHeight="1" x14ac:dyDescent="0.2">
      <c r="A52" s="247" t="s">
        <v>993</v>
      </c>
      <c r="B52" s="316">
        <v>3217</v>
      </c>
      <c r="C52" s="247" t="s">
        <v>975</v>
      </c>
      <c r="D52" s="317">
        <v>42646</v>
      </c>
      <c r="E52" s="318">
        <v>0.98410879629629633</v>
      </c>
      <c r="F52" s="247" t="s">
        <v>235</v>
      </c>
      <c r="G52" s="247" t="s">
        <v>1035</v>
      </c>
      <c r="H52" s="248" t="s">
        <v>234</v>
      </c>
      <c r="I52" s="248" t="s">
        <v>235</v>
      </c>
      <c r="J52" s="247" t="s">
        <v>809</v>
      </c>
      <c r="K52" s="249">
        <v>0</v>
      </c>
      <c r="M52" s="90">
        <v>0</v>
      </c>
      <c r="N52" s="90">
        <v>0</v>
      </c>
      <c r="O52" s="90">
        <v>255</v>
      </c>
    </row>
    <row r="53" spans="1:15" s="90" customFormat="1" ht="12.75" customHeight="1" x14ac:dyDescent="0.2">
      <c r="A53" s="247" t="s">
        <v>990</v>
      </c>
      <c r="B53" s="316">
        <v>3046</v>
      </c>
      <c r="C53" s="247" t="s">
        <v>975</v>
      </c>
      <c r="D53" s="317">
        <v>42646</v>
      </c>
      <c r="E53" s="318">
        <v>0.98412037037037037</v>
      </c>
      <c r="F53" s="247" t="s">
        <v>976</v>
      </c>
      <c r="G53" s="247" t="s">
        <v>1035</v>
      </c>
      <c r="H53" s="248" t="s">
        <v>404</v>
      </c>
      <c r="I53" s="248" t="s">
        <v>404</v>
      </c>
      <c r="J53" s="247" t="s">
        <v>809</v>
      </c>
      <c r="K53" s="249">
        <v>0</v>
      </c>
      <c r="M53" s="90">
        <v>0</v>
      </c>
      <c r="N53" s="90">
        <v>0</v>
      </c>
      <c r="O53" s="90">
        <v>255</v>
      </c>
    </row>
    <row r="54" spans="1:15" s="90" customFormat="1" ht="12.75" customHeight="1" x14ac:dyDescent="0.2">
      <c r="A54" s="247" t="s">
        <v>989</v>
      </c>
      <c r="B54" s="316">
        <v>3046</v>
      </c>
      <c r="C54" s="247" t="s">
        <v>975</v>
      </c>
      <c r="D54" s="317">
        <v>42647</v>
      </c>
      <c r="E54" s="318">
        <v>2.5787037037037039E-2</v>
      </c>
      <c r="F54" s="247" t="s">
        <v>976</v>
      </c>
      <c r="G54" s="247" t="s">
        <v>1035</v>
      </c>
      <c r="H54" s="248" t="s">
        <v>404</v>
      </c>
      <c r="I54" s="248" t="s">
        <v>404</v>
      </c>
      <c r="J54" s="247" t="s">
        <v>809</v>
      </c>
      <c r="K54" s="249">
        <v>0</v>
      </c>
      <c r="M54" s="90">
        <v>0</v>
      </c>
      <c r="N54" s="90">
        <v>0</v>
      </c>
      <c r="O54" s="90">
        <v>255</v>
      </c>
    </row>
    <row r="55" spans="1:15" s="90" customFormat="1" ht="12.75" customHeight="1" x14ac:dyDescent="0.2">
      <c r="A55" s="247" t="s">
        <v>993</v>
      </c>
      <c r="B55" s="316">
        <v>3217</v>
      </c>
      <c r="C55" s="247" t="s">
        <v>975</v>
      </c>
      <c r="D55" s="317">
        <v>42647</v>
      </c>
      <c r="E55" s="318">
        <v>2.6030092592592594E-2</v>
      </c>
      <c r="F55" s="247" t="s">
        <v>235</v>
      </c>
      <c r="G55" s="247" t="s">
        <v>1035</v>
      </c>
      <c r="H55" s="248" t="s">
        <v>234</v>
      </c>
      <c r="I55" s="248" t="s">
        <v>235</v>
      </c>
      <c r="J55" s="247" t="s">
        <v>809</v>
      </c>
      <c r="K55" s="249">
        <v>0</v>
      </c>
      <c r="M55" s="90">
        <v>0</v>
      </c>
      <c r="N55" s="90">
        <v>0</v>
      </c>
      <c r="O55" s="90">
        <v>255</v>
      </c>
    </row>
    <row r="56" spans="1:15" s="90" customFormat="1" ht="12.75" customHeight="1" x14ac:dyDescent="0.2">
      <c r="A56" s="247" t="s">
        <v>990</v>
      </c>
      <c r="B56" s="316">
        <v>3046</v>
      </c>
      <c r="C56" s="247" t="s">
        <v>975</v>
      </c>
      <c r="D56" s="317">
        <v>42647</v>
      </c>
      <c r="E56" s="318">
        <v>2.6041666666666668E-2</v>
      </c>
      <c r="F56" s="247" t="s">
        <v>976</v>
      </c>
      <c r="G56" s="247" t="s">
        <v>1035</v>
      </c>
      <c r="H56" s="248" t="s">
        <v>404</v>
      </c>
      <c r="I56" s="248" t="s">
        <v>404</v>
      </c>
      <c r="J56" s="247" t="s">
        <v>809</v>
      </c>
      <c r="K56" s="249">
        <v>0</v>
      </c>
      <c r="M56" s="90">
        <v>0</v>
      </c>
      <c r="N56" s="90">
        <v>0</v>
      </c>
      <c r="O56" s="90">
        <v>255</v>
      </c>
    </row>
    <row r="57" spans="1:15" s="90" customFormat="1" ht="12.75" customHeight="1" x14ac:dyDescent="0.2">
      <c r="A57" s="247" t="s">
        <v>989</v>
      </c>
      <c r="B57" s="316">
        <v>3046</v>
      </c>
      <c r="C57" s="247" t="s">
        <v>975</v>
      </c>
      <c r="D57" s="317">
        <v>42647</v>
      </c>
      <c r="E57" s="318">
        <v>6.7708333333333329E-2</v>
      </c>
      <c r="F57" s="247" t="s">
        <v>976</v>
      </c>
      <c r="G57" s="247" t="s">
        <v>1035</v>
      </c>
      <c r="H57" s="248" t="s">
        <v>404</v>
      </c>
      <c r="I57" s="248" t="s">
        <v>404</v>
      </c>
      <c r="J57" s="247" t="s">
        <v>809</v>
      </c>
      <c r="K57" s="249">
        <v>0</v>
      </c>
      <c r="M57" s="90">
        <v>0</v>
      </c>
      <c r="N57" s="90">
        <v>0</v>
      </c>
      <c r="O57" s="90">
        <v>255</v>
      </c>
    </row>
    <row r="58" spans="1:15" s="90" customFormat="1" ht="12.75" customHeight="1" x14ac:dyDescent="0.2">
      <c r="A58" s="247" t="s">
        <v>993</v>
      </c>
      <c r="B58" s="316">
        <v>3217</v>
      </c>
      <c r="C58" s="247" t="s">
        <v>975</v>
      </c>
      <c r="D58" s="317">
        <v>42647</v>
      </c>
      <c r="E58" s="318">
        <v>6.7951388888888895E-2</v>
      </c>
      <c r="F58" s="247" t="s">
        <v>235</v>
      </c>
      <c r="G58" s="247" t="s">
        <v>1035</v>
      </c>
      <c r="H58" s="248" t="s">
        <v>234</v>
      </c>
      <c r="I58" s="248" t="s">
        <v>235</v>
      </c>
      <c r="J58" s="247" t="s">
        <v>809</v>
      </c>
      <c r="K58" s="249">
        <v>0</v>
      </c>
      <c r="M58" s="90">
        <v>0</v>
      </c>
      <c r="N58" s="90">
        <v>0</v>
      </c>
      <c r="O58" s="90">
        <v>255</v>
      </c>
    </row>
    <row r="59" spans="1:15" s="90" customFormat="1" ht="12.75" customHeight="1" x14ac:dyDescent="0.2">
      <c r="A59" s="247" t="s">
        <v>990</v>
      </c>
      <c r="B59" s="316">
        <v>3046</v>
      </c>
      <c r="C59" s="247" t="s">
        <v>975</v>
      </c>
      <c r="D59" s="317">
        <v>42647</v>
      </c>
      <c r="E59" s="318">
        <v>6.7962962962962961E-2</v>
      </c>
      <c r="F59" s="247" t="s">
        <v>976</v>
      </c>
      <c r="G59" s="247" t="s">
        <v>1035</v>
      </c>
      <c r="H59" s="248" t="s">
        <v>404</v>
      </c>
      <c r="I59" s="248" t="s">
        <v>404</v>
      </c>
      <c r="J59" s="247" t="s">
        <v>809</v>
      </c>
      <c r="K59" s="249">
        <v>0</v>
      </c>
      <c r="M59" s="90">
        <v>0</v>
      </c>
      <c r="N59" s="90">
        <v>0</v>
      </c>
      <c r="O59" s="90">
        <v>255</v>
      </c>
    </row>
    <row r="60" spans="1:15" s="90" customFormat="1" ht="12.75" customHeight="1" x14ac:dyDescent="0.2">
      <c r="A60" s="247" t="s">
        <v>989</v>
      </c>
      <c r="B60" s="316">
        <v>3046</v>
      </c>
      <c r="C60" s="247" t="s">
        <v>975</v>
      </c>
      <c r="D60" s="317">
        <v>42647</v>
      </c>
      <c r="E60" s="318">
        <v>0.10962962962962963</v>
      </c>
      <c r="F60" s="247" t="s">
        <v>976</v>
      </c>
      <c r="G60" s="247" t="s">
        <v>1035</v>
      </c>
      <c r="H60" s="248" t="s">
        <v>404</v>
      </c>
      <c r="I60" s="248" t="s">
        <v>404</v>
      </c>
      <c r="J60" s="247" t="s">
        <v>809</v>
      </c>
      <c r="K60" s="249">
        <v>0</v>
      </c>
      <c r="M60" s="90">
        <v>0</v>
      </c>
      <c r="N60" s="90">
        <v>0</v>
      </c>
      <c r="O60" s="90">
        <v>255</v>
      </c>
    </row>
    <row r="61" spans="1:15" s="90" customFormat="1" ht="12.75" customHeight="1" x14ac:dyDescent="0.2">
      <c r="A61" s="247" t="s">
        <v>993</v>
      </c>
      <c r="B61" s="316">
        <v>3217</v>
      </c>
      <c r="C61" s="247" t="s">
        <v>975</v>
      </c>
      <c r="D61" s="317">
        <v>42647</v>
      </c>
      <c r="E61" s="318">
        <v>0.10987268518518518</v>
      </c>
      <c r="F61" s="247" t="s">
        <v>235</v>
      </c>
      <c r="G61" s="247" t="s">
        <v>1035</v>
      </c>
      <c r="H61" s="248" t="s">
        <v>234</v>
      </c>
      <c r="I61" s="248" t="s">
        <v>235</v>
      </c>
      <c r="J61" s="247" t="s">
        <v>809</v>
      </c>
      <c r="K61" s="249">
        <v>0</v>
      </c>
      <c r="M61" s="90">
        <v>0</v>
      </c>
      <c r="N61" s="90">
        <v>0</v>
      </c>
      <c r="O61" s="90">
        <v>255</v>
      </c>
    </row>
    <row r="62" spans="1:15" s="90" customFormat="1" ht="12.75" customHeight="1" x14ac:dyDescent="0.2">
      <c r="A62" s="247" t="s">
        <v>990</v>
      </c>
      <c r="B62" s="316">
        <v>3046</v>
      </c>
      <c r="C62" s="247" t="s">
        <v>975</v>
      </c>
      <c r="D62" s="317">
        <v>42647</v>
      </c>
      <c r="E62" s="318">
        <v>0.10988425925925926</v>
      </c>
      <c r="F62" s="247" t="s">
        <v>976</v>
      </c>
      <c r="G62" s="247" t="s">
        <v>1035</v>
      </c>
      <c r="H62" s="248" t="s">
        <v>404</v>
      </c>
      <c r="I62" s="248" t="s">
        <v>404</v>
      </c>
      <c r="J62" s="247" t="s">
        <v>809</v>
      </c>
      <c r="K62" s="249">
        <v>0</v>
      </c>
      <c r="M62" s="90">
        <v>0</v>
      </c>
      <c r="N62" s="90">
        <v>0</v>
      </c>
      <c r="O62" s="90">
        <v>255</v>
      </c>
    </row>
    <row r="63" spans="1:15" s="90" customFormat="1" ht="12.75" customHeight="1" x14ac:dyDescent="0.2">
      <c r="A63" s="247" t="s">
        <v>989</v>
      </c>
      <c r="B63" s="316">
        <v>3046</v>
      </c>
      <c r="C63" s="247" t="s">
        <v>975</v>
      </c>
      <c r="D63" s="317">
        <v>42647</v>
      </c>
      <c r="E63" s="318">
        <v>0.15155092592592592</v>
      </c>
      <c r="F63" s="247" t="s">
        <v>976</v>
      </c>
      <c r="G63" s="247" t="s">
        <v>1035</v>
      </c>
      <c r="H63" s="248" t="s">
        <v>404</v>
      </c>
      <c r="I63" s="248" t="s">
        <v>404</v>
      </c>
      <c r="J63" s="247" t="s">
        <v>809</v>
      </c>
      <c r="K63" s="249">
        <v>0</v>
      </c>
      <c r="M63" s="90">
        <v>0</v>
      </c>
      <c r="N63" s="90">
        <v>0</v>
      </c>
      <c r="O63" s="90">
        <v>255</v>
      </c>
    </row>
    <row r="64" spans="1:15" s="90" customFormat="1" ht="12.75" customHeight="1" x14ac:dyDescent="0.2">
      <c r="A64" s="247" t="s">
        <v>990</v>
      </c>
      <c r="B64" s="316">
        <v>3046</v>
      </c>
      <c r="C64" s="247" t="s">
        <v>975</v>
      </c>
      <c r="D64" s="317">
        <v>42647</v>
      </c>
      <c r="E64" s="318">
        <v>0.15179398148148149</v>
      </c>
      <c r="F64" s="247" t="s">
        <v>976</v>
      </c>
      <c r="G64" s="247" t="s">
        <v>1035</v>
      </c>
      <c r="H64" s="248" t="s">
        <v>404</v>
      </c>
      <c r="I64" s="248" t="s">
        <v>404</v>
      </c>
      <c r="J64" s="247" t="s">
        <v>809</v>
      </c>
      <c r="K64" s="249">
        <v>0</v>
      </c>
      <c r="M64" s="90">
        <v>0</v>
      </c>
      <c r="N64" s="90">
        <v>0</v>
      </c>
      <c r="O64" s="90">
        <v>255</v>
      </c>
    </row>
    <row r="65" spans="1:15" s="90" customFormat="1" ht="12.75" customHeight="1" x14ac:dyDescent="0.2">
      <c r="A65" s="247" t="s">
        <v>993</v>
      </c>
      <c r="B65" s="316">
        <v>3217</v>
      </c>
      <c r="C65" s="247" t="s">
        <v>975</v>
      </c>
      <c r="D65" s="317">
        <v>42647</v>
      </c>
      <c r="E65" s="318">
        <v>0.15179398148148149</v>
      </c>
      <c r="F65" s="247" t="s">
        <v>235</v>
      </c>
      <c r="G65" s="247" t="s">
        <v>1035</v>
      </c>
      <c r="H65" s="248" t="s">
        <v>234</v>
      </c>
      <c r="I65" s="248" t="s">
        <v>235</v>
      </c>
      <c r="J65" s="247" t="s">
        <v>809</v>
      </c>
      <c r="K65" s="249">
        <v>0</v>
      </c>
      <c r="M65" s="90">
        <v>0</v>
      </c>
      <c r="N65" s="90">
        <v>0</v>
      </c>
      <c r="O65" s="90">
        <v>255</v>
      </c>
    </row>
    <row r="66" spans="1:15" s="90" customFormat="1" ht="12.75" customHeight="1" x14ac:dyDescent="0.2">
      <c r="A66" s="247" t="s">
        <v>989</v>
      </c>
      <c r="B66" s="316">
        <v>3046</v>
      </c>
      <c r="C66" s="247" t="s">
        <v>975</v>
      </c>
      <c r="D66" s="317">
        <v>42647</v>
      </c>
      <c r="E66" s="318">
        <v>0.19347222222222224</v>
      </c>
      <c r="F66" s="247" t="s">
        <v>976</v>
      </c>
      <c r="G66" s="247" t="s">
        <v>1035</v>
      </c>
      <c r="H66" s="248" t="s">
        <v>404</v>
      </c>
      <c r="I66" s="248" t="s">
        <v>404</v>
      </c>
      <c r="J66" s="247" t="s">
        <v>809</v>
      </c>
      <c r="K66" s="249">
        <v>0</v>
      </c>
      <c r="M66" s="90">
        <v>0</v>
      </c>
      <c r="N66" s="90">
        <v>0</v>
      </c>
      <c r="O66" s="90">
        <v>255</v>
      </c>
    </row>
    <row r="67" spans="1:15" s="90" customFormat="1" ht="12.75" customHeight="1" x14ac:dyDescent="0.2">
      <c r="A67" s="247" t="s">
        <v>990</v>
      </c>
      <c r="B67" s="316">
        <v>3046</v>
      </c>
      <c r="C67" s="247" t="s">
        <v>975</v>
      </c>
      <c r="D67" s="317">
        <v>42647</v>
      </c>
      <c r="E67" s="318">
        <v>0.19371527777777778</v>
      </c>
      <c r="F67" s="247" t="s">
        <v>976</v>
      </c>
      <c r="G67" s="247" t="s">
        <v>1035</v>
      </c>
      <c r="H67" s="248" t="s">
        <v>404</v>
      </c>
      <c r="I67" s="248" t="s">
        <v>404</v>
      </c>
      <c r="J67" s="247" t="s">
        <v>809</v>
      </c>
      <c r="K67" s="249">
        <v>0</v>
      </c>
      <c r="M67" s="90">
        <v>0</v>
      </c>
      <c r="N67" s="90">
        <v>0</v>
      </c>
      <c r="O67" s="90">
        <v>255</v>
      </c>
    </row>
    <row r="68" spans="1:15" s="90" customFormat="1" ht="12.75" customHeight="1" x14ac:dyDescent="0.2">
      <c r="A68" s="247" t="s">
        <v>993</v>
      </c>
      <c r="B68" s="316">
        <v>3217</v>
      </c>
      <c r="C68" s="247" t="s">
        <v>975</v>
      </c>
      <c r="D68" s="317">
        <v>42647</v>
      </c>
      <c r="E68" s="318">
        <v>0.19371527777777778</v>
      </c>
      <c r="F68" s="247" t="s">
        <v>235</v>
      </c>
      <c r="G68" s="247" t="s">
        <v>1035</v>
      </c>
      <c r="H68" s="248" t="s">
        <v>234</v>
      </c>
      <c r="I68" s="248" t="s">
        <v>235</v>
      </c>
      <c r="J68" s="247" t="s">
        <v>809</v>
      </c>
      <c r="K68" s="249">
        <v>0</v>
      </c>
      <c r="M68" s="90">
        <v>0</v>
      </c>
      <c r="N68" s="90">
        <v>0</v>
      </c>
      <c r="O68" s="90">
        <v>255</v>
      </c>
    </row>
    <row r="69" spans="1:15" s="90" customFormat="1" ht="12.75" customHeight="1" x14ac:dyDescent="0.2">
      <c r="A69" s="247" t="s">
        <v>989</v>
      </c>
      <c r="B69" s="316">
        <v>3046</v>
      </c>
      <c r="C69" s="247" t="s">
        <v>975</v>
      </c>
      <c r="D69" s="317">
        <v>42647</v>
      </c>
      <c r="E69" s="318">
        <v>0.23538194444444446</v>
      </c>
      <c r="F69" s="247" t="s">
        <v>976</v>
      </c>
      <c r="G69" s="247" t="s">
        <v>1035</v>
      </c>
      <c r="H69" s="248" t="s">
        <v>404</v>
      </c>
      <c r="I69" s="248" t="s">
        <v>404</v>
      </c>
      <c r="J69" s="247" t="s">
        <v>809</v>
      </c>
      <c r="K69" s="249">
        <v>0</v>
      </c>
      <c r="M69" s="90">
        <v>0</v>
      </c>
      <c r="N69" s="90">
        <v>0</v>
      </c>
      <c r="O69" s="90">
        <v>255</v>
      </c>
    </row>
    <row r="70" spans="1:15" s="90" customFormat="1" ht="12.75" customHeight="1" x14ac:dyDescent="0.2">
      <c r="A70" s="247" t="s">
        <v>990</v>
      </c>
      <c r="B70" s="316">
        <v>3046</v>
      </c>
      <c r="C70" s="247" t="s">
        <v>975</v>
      </c>
      <c r="D70" s="317">
        <v>42647</v>
      </c>
      <c r="E70" s="318">
        <v>0.2356365740740741</v>
      </c>
      <c r="F70" s="247" t="s">
        <v>976</v>
      </c>
      <c r="G70" s="247" t="s">
        <v>1035</v>
      </c>
      <c r="H70" s="248" t="s">
        <v>404</v>
      </c>
      <c r="I70" s="248" t="s">
        <v>404</v>
      </c>
      <c r="J70" s="247" t="s">
        <v>809</v>
      </c>
      <c r="K70" s="249">
        <v>0</v>
      </c>
      <c r="M70" s="90">
        <v>0</v>
      </c>
      <c r="N70" s="90">
        <v>0</v>
      </c>
      <c r="O70" s="90">
        <v>255</v>
      </c>
    </row>
    <row r="71" spans="1:15" s="90" customFormat="1" ht="12.75" customHeight="1" x14ac:dyDescent="0.2">
      <c r="A71" s="247" t="s">
        <v>993</v>
      </c>
      <c r="B71" s="316">
        <v>3217</v>
      </c>
      <c r="C71" s="247" t="s">
        <v>975</v>
      </c>
      <c r="D71" s="317">
        <v>42647</v>
      </c>
      <c r="E71" s="318">
        <v>0.2356365740740741</v>
      </c>
      <c r="F71" s="247" t="s">
        <v>235</v>
      </c>
      <c r="G71" s="247" t="s">
        <v>1035</v>
      </c>
      <c r="H71" s="248" t="s">
        <v>234</v>
      </c>
      <c r="I71" s="248" t="s">
        <v>235</v>
      </c>
      <c r="J71" s="247" t="s">
        <v>809</v>
      </c>
      <c r="K71" s="249">
        <v>0</v>
      </c>
      <c r="M71" s="90">
        <v>0</v>
      </c>
      <c r="N71" s="90">
        <v>0</v>
      </c>
      <c r="O71" s="90">
        <v>255</v>
      </c>
    </row>
    <row r="72" spans="1:15" s="90" customFormat="1" ht="12.75" customHeight="1" x14ac:dyDescent="0.2">
      <c r="A72" s="247" t="s">
        <v>989</v>
      </c>
      <c r="B72" s="316">
        <v>3046</v>
      </c>
      <c r="C72" s="247" t="s">
        <v>975</v>
      </c>
      <c r="D72" s="317">
        <v>42647</v>
      </c>
      <c r="E72" s="318">
        <v>0.27730324074074075</v>
      </c>
      <c r="F72" s="247" t="s">
        <v>976</v>
      </c>
      <c r="G72" s="247" t="s">
        <v>1035</v>
      </c>
      <c r="H72" s="248" t="s">
        <v>404</v>
      </c>
      <c r="I72" s="248" t="s">
        <v>404</v>
      </c>
      <c r="J72" s="247" t="s">
        <v>809</v>
      </c>
      <c r="K72" s="249">
        <v>0</v>
      </c>
      <c r="M72" s="90">
        <v>0</v>
      </c>
      <c r="N72" s="90">
        <v>0</v>
      </c>
      <c r="O72" s="90">
        <v>255</v>
      </c>
    </row>
    <row r="73" spans="1:15" s="90" customFormat="1" ht="12.75" customHeight="1" x14ac:dyDescent="0.2">
      <c r="A73" s="247" t="s">
        <v>990</v>
      </c>
      <c r="B73" s="316">
        <v>3046</v>
      </c>
      <c r="C73" s="247" t="s">
        <v>975</v>
      </c>
      <c r="D73" s="317">
        <v>42647</v>
      </c>
      <c r="E73" s="318">
        <v>0.27755787037037033</v>
      </c>
      <c r="F73" s="247" t="s">
        <v>976</v>
      </c>
      <c r="G73" s="247" t="s">
        <v>1035</v>
      </c>
      <c r="H73" s="248" t="s">
        <v>404</v>
      </c>
      <c r="I73" s="248" t="s">
        <v>404</v>
      </c>
      <c r="J73" s="247" t="s">
        <v>809</v>
      </c>
      <c r="K73" s="249">
        <v>0</v>
      </c>
      <c r="M73" s="90">
        <v>0</v>
      </c>
      <c r="N73" s="90">
        <v>0</v>
      </c>
      <c r="O73" s="90">
        <v>255</v>
      </c>
    </row>
    <row r="74" spans="1:15" s="90" customFormat="1" ht="12.75" customHeight="1" x14ac:dyDescent="0.2">
      <c r="A74" s="247" t="s">
        <v>993</v>
      </c>
      <c r="B74" s="316">
        <v>3217</v>
      </c>
      <c r="C74" s="247" t="s">
        <v>975</v>
      </c>
      <c r="D74" s="317">
        <v>42647</v>
      </c>
      <c r="E74" s="318">
        <v>0.27755787037037033</v>
      </c>
      <c r="F74" s="247" t="s">
        <v>235</v>
      </c>
      <c r="G74" s="247" t="s">
        <v>1035</v>
      </c>
      <c r="H74" s="248" t="s">
        <v>234</v>
      </c>
      <c r="I74" s="248" t="s">
        <v>235</v>
      </c>
      <c r="J74" s="247" t="s">
        <v>809</v>
      </c>
      <c r="K74" s="249">
        <v>0</v>
      </c>
      <c r="M74" s="90">
        <v>0</v>
      </c>
      <c r="N74" s="90">
        <v>0</v>
      </c>
      <c r="O74" s="90">
        <v>255</v>
      </c>
    </row>
    <row r="75" spans="1:15" s="90" customFormat="1" ht="12.75" customHeight="1" x14ac:dyDescent="0.2">
      <c r="A75" s="247" t="s">
        <v>989</v>
      </c>
      <c r="B75" s="316">
        <v>3046</v>
      </c>
      <c r="C75" s="247" t="s">
        <v>975</v>
      </c>
      <c r="D75" s="317">
        <v>42647</v>
      </c>
      <c r="E75" s="318">
        <v>0.31405092592592593</v>
      </c>
      <c r="F75" s="247" t="s">
        <v>976</v>
      </c>
      <c r="G75" s="247" t="s">
        <v>1035</v>
      </c>
      <c r="H75" s="248" t="s">
        <v>404</v>
      </c>
      <c r="I75" s="248" t="s">
        <v>404</v>
      </c>
      <c r="J75" s="247" t="s">
        <v>809</v>
      </c>
      <c r="K75" s="249">
        <v>0</v>
      </c>
      <c r="M75" s="90">
        <v>0</v>
      </c>
      <c r="N75" s="90">
        <v>0</v>
      </c>
      <c r="O75" s="90">
        <v>255</v>
      </c>
    </row>
    <row r="76" spans="1:15" s="90" customFormat="1" ht="12.75" customHeight="1" x14ac:dyDescent="0.2">
      <c r="A76" s="247" t="s">
        <v>990</v>
      </c>
      <c r="B76" s="316">
        <v>3046</v>
      </c>
      <c r="C76" s="247" t="s">
        <v>975</v>
      </c>
      <c r="D76" s="317">
        <v>42647</v>
      </c>
      <c r="E76" s="318">
        <v>0.31679398148148147</v>
      </c>
      <c r="F76" s="247" t="s">
        <v>976</v>
      </c>
      <c r="G76" s="247" t="s">
        <v>1035</v>
      </c>
      <c r="H76" s="248" t="s">
        <v>404</v>
      </c>
      <c r="I76" s="248" t="s">
        <v>404</v>
      </c>
      <c r="J76" s="247" t="s">
        <v>809</v>
      </c>
      <c r="K76" s="249">
        <v>0</v>
      </c>
      <c r="M76" s="90">
        <v>0</v>
      </c>
      <c r="N76" s="90">
        <v>0</v>
      </c>
      <c r="O76" s="90">
        <v>255</v>
      </c>
    </row>
    <row r="77" spans="1:15" s="90" customFormat="1" ht="12.75" customHeight="1" x14ac:dyDescent="0.2">
      <c r="A77" s="247" t="s">
        <v>1027</v>
      </c>
      <c r="B77" s="316">
        <v>3051</v>
      </c>
      <c r="C77" s="247" t="s">
        <v>975</v>
      </c>
      <c r="D77" s="317">
        <v>42647</v>
      </c>
      <c r="E77" s="318">
        <v>0.31679398148148147</v>
      </c>
      <c r="F77" s="247" t="s">
        <v>235</v>
      </c>
      <c r="G77" s="247" t="s">
        <v>1035</v>
      </c>
      <c r="H77" s="248" t="s">
        <v>234</v>
      </c>
      <c r="I77" s="248" t="s">
        <v>235</v>
      </c>
      <c r="J77" s="247" t="s">
        <v>809</v>
      </c>
      <c r="K77" s="249">
        <v>0</v>
      </c>
      <c r="M77" s="90">
        <v>0</v>
      </c>
      <c r="N77" s="90">
        <v>0</v>
      </c>
      <c r="O77" s="90">
        <v>255</v>
      </c>
    </row>
    <row r="78" spans="1:15" s="90" customFormat="1" ht="12.75" customHeight="1" x14ac:dyDescent="0.2">
      <c r="A78" s="247" t="s">
        <v>1028</v>
      </c>
      <c r="B78" s="316">
        <v>3051</v>
      </c>
      <c r="C78" s="247" t="s">
        <v>975</v>
      </c>
      <c r="D78" s="317">
        <v>42647</v>
      </c>
      <c r="E78" s="318">
        <v>0.31679398148148147</v>
      </c>
      <c r="F78" s="247" t="s">
        <v>235</v>
      </c>
      <c r="G78" s="247" t="s">
        <v>1035</v>
      </c>
      <c r="H78" s="248" t="s">
        <v>234</v>
      </c>
      <c r="I78" s="248" t="s">
        <v>235</v>
      </c>
      <c r="J78" s="247" t="s">
        <v>809</v>
      </c>
      <c r="K78" s="249">
        <v>0</v>
      </c>
      <c r="M78" s="90">
        <v>0</v>
      </c>
      <c r="N78" s="90">
        <v>0</v>
      </c>
      <c r="O78" s="90">
        <v>255</v>
      </c>
    </row>
    <row r="79" spans="1:15" s="90" customFormat="1" ht="12.75" customHeight="1" x14ac:dyDescent="0.2">
      <c r="A79" s="247" t="s">
        <v>1026</v>
      </c>
      <c r="B79" s="316">
        <v>3216</v>
      </c>
      <c r="C79" s="247" t="s">
        <v>975</v>
      </c>
      <c r="D79" s="317">
        <v>42647</v>
      </c>
      <c r="E79" s="318">
        <v>0.31679398148148147</v>
      </c>
      <c r="F79" s="247" t="s">
        <v>235</v>
      </c>
      <c r="G79" s="247" t="s">
        <v>1035</v>
      </c>
      <c r="H79" s="248" t="s">
        <v>234</v>
      </c>
      <c r="I79" s="248" t="s">
        <v>235</v>
      </c>
      <c r="J79" s="247" t="s">
        <v>809</v>
      </c>
      <c r="K79" s="249">
        <v>0</v>
      </c>
      <c r="M79" s="90">
        <v>0</v>
      </c>
      <c r="N79" s="90">
        <v>0</v>
      </c>
      <c r="O79" s="90">
        <v>255</v>
      </c>
    </row>
    <row r="80" spans="1:15" s="90" customFormat="1" ht="12.75" customHeight="1" x14ac:dyDescent="0.2">
      <c r="A80" s="247" t="s">
        <v>989</v>
      </c>
      <c r="B80" s="316">
        <v>3046</v>
      </c>
      <c r="C80" s="247" t="s">
        <v>975</v>
      </c>
      <c r="D80" s="317">
        <v>42647</v>
      </c>
      <c r="E80" s="318">
        <v>0.31829861111111107</v>
      </c>
      <c r="F80" s="247" t="s">
        <v>976</v>
      </c>
      <c r="G80" s="247" t="s">
        <v>1035</v>
      </c>
      <c r="H80" s="248" t="s">
        <v>404</v>
      </c>
      <c r="I80" s="248" t="s">
        <v>404</v>
      </c>
      <c r="J80" s="247" t="s">
        <v>809</v>
      </c>
      <c r="K80" s="249">
        <v>0</v>
      </c>
      <c r="M80" s="90">
        <v>0</v>
      </c>
      <c r="N80" s="90">
        <v>0</v>
      </c>
      <c r="O80" s="90">
        <v>255</v>
      </c>
    </row>
    <row r="81" spans="1:15" s="90" customFormat="1" ht="12.75" customHeight="1" x14ac:dyDescent="0.2">
      <c r="A81" s="247" t="s">
        <v>1005</v>
      </c>
      <c r="B81" s="316">
        <v>3051</v>
      </c>
      <c r="C81" s="247" t="s">
        <v>975</v>
      </c>
      <c r="D81" s="317">
        <v>42647</v>
      </c>
      <c r="E81" s="318">
        <v>0.31832175925925926</v>
      </c>
      <c r="F81" s="247" t="s">
        <v>235</v>
      </c>
      <c r="G81" s="247" t="s">
        <v>1035</v>
      </c>
      <c r="H81" s="248" t="s">
        <v>234</v>
      </c>
      <c r="I81" s="248" t="s">
        <v>235</v>
      </c>
      <c r="J81" s="247" t="s">
        <v>809</v>
      </c>
      <c r="K81" s="249">
        <v>0</v>
      </c>
      <c r="M81" s="90">
        <v>0</v>
      </c>
      <c r="N81" s="90">
        <v>0</v>
      </c>
      <c r="O81" s="90">
        <v>255</v>
      </c>
    </row>
    <row r="82" spans="1:15" s="90" customFormat="1" ht="12.75" customHeight="1" x14ac:dyDescent="0.2">
      <c r="A82" s="247" t="s">
        <v>1066</v>
      </c>
      <c r="B82" s="316">
        <v>3052</v>
      </c>
      <c r="C82" s="247" t="s">
        <v>975</v>
      </c>
      <c r="D82" s="317">
        <v>42647</v>
      </c>
      <c r="E82" s="318">
        <v>0.31832175925925926</v>
      </c>
      <c r="F82" s="247" t="s">
        <v>235</v>
      </c>
      <c r="G82" s="247" t="s">
        <v>1035</v>
      </c>
      <c r="H82" s="248" t="s">
        <v>234</v>
      </c>
      <c r="I82" s="248" t="s">
        <v>235</v>
      </c>
      <c r="J82" s="247" t="s">
        <v>809</v>
      </c>
      <c r="K82" s="249">
        <v>0</v>
      </c>
      <c r="M82" s="90">
        <v>0</v>
      </c>
      <c r="N82" s="90">
        <v>0</v>
      </c>
      <c r="O82" s="90">
        <v>255</v>
      </c>
    </row>
    <row r="83" spans="1:15" s="90" customFormat="1" ht="12.75" customHeight="1" x14ac:dyDescent="0.2">
      <c r="A83" s="247" t="s">
        <v>990</v>
      </c>
      <c r="B83" s="316">
        <v>3046</v>
      </c>
      <c r="C83" s="247" t="s">
        <v>975</v>
      </c>
      <c r="D83" s="317">
        <v>42647</v>
      </c>
      <c r="E83" s="318">
        <v>0.31836805555555553</v>
      </c>
      <c r="F83" s="247" t="s">
        <v>976</v>
      </c>
      <c r="G83" s="247" t="s">
        <v>1035</v>
      </c>
      <c r="H83" s="248" t="s">
        <v>404</v>
      </c>
      <c r="I83" s="248" t="s">
        <v>404</v>
      </c>
      <c r="J83" s="247" t="s">
        <v>809</v>
      </c>
      <c r="K83" s="249">
        <v>0</v>
      </c>
      <c r="M83" s="90">
        <v>0</v>
      </c>
      <c r="N83" s="90">
        <v>0</v>
      </c>
      <c r="O83" s="90">
        <v>255</v>
      </c>
    </row>
    <row r="84" spans="1:15" s="90" customFormat="1" ht="12.75" customHeight="1" x14ac:dyDescent="0.2">
      <c r="A84" s="247" t="s">
        <v>989</v>
      </c>
      <c r="B84" s="316">
        <v>3046</v>
      </c>
      <c r="C84" s="247" t="s">
        <v>975</v>
      </c>
      <c r="D84" s="317">
        <v>42647</v>
      </c>
      <c r="E84" s="318">
        <v>0.31840277777777776</v>
      </c>
      <c r="F84" s="247" t="s">
        <v>976</v>
      </c>
      <c r="G84" s="247" t="s">
        <v>1035</v>
      </c>
      <c r="H84" s="248" t="s">
        <v>404</v>
      </c>
      <c r="I84" s="248" t="s">
        <v>404</v>
      </c>
      <c r="J84" s="247" t="s">
        <v>809</v>
      </c>
      <c r="K84" s="249">
        <v>0</v>
      </c>
      <c r="M84" s="90">
        <v>0</v>
      </c>
      <c r="N84" s="90">
        <v>0</v>
      </c>
      <c r="O84" s="90">
        <v>255</v>
      </c>
    </row>
    <row r="85" spans="1:15" s="90" customFormat="1" ht="12.75" customHeight="1" x14ac:dyDescent="0.2">
      <c r="A85" s="247" t="s">
        <v>1006</v>
      </c>
      <c r="B85" s="316">
        <v>3051</v>
      </c>
      <c r="C85" s="247" t="s">
        <v>975</v>
      </c>
      <c r="D85" s="317">
        <v>42647</v>
      </c>
      <c r="E85" s="318">
        <v>0.31842592592592595</v>
      </c>
      <c r="F85" s="247" t="s">
        <v>235</v>
      </c>
      <c r="G85" s="247" t="s">
        <v>1035</v>
      </c>
      <c r="H85" s="248" t="s">
        <v>234</v>
      </c>
      <c r="I85" s="248" t="s">
        <v>235</v>
      </c>
      <c r="J85" s="247" t="s">
        <v>809</v>
      </c>
      <c r="K85" s="249">
        <v>0</v>
      </c>
      <c r="M85" s="90">
        <v>0</v>
      </c>
      <c r="N85" s="90">
        <v>0</v>
      </c>
      <c r="O85" s="90">
        <v>255</v>
      </c>
    </row>
    <row r="86" spans="1:15" s="90" customFormat="1" ht="12.75" customHeight="1" x14ac:dyDescent="0.2">
      <c r="A86" s="247" t="s">
        <v>1065</v>
      </c>
      <c r="B86" s="316">
        <v>3052</v>
      </c>
      <c r="C86" s="247" t="s">
        <v>975</v>
      </c>
      <c r="D86" s="317">
        <v>42647</v>
      </c>
      <c r="E86" s="318">
        <v>0.31842592592592595</v>
      </c>
      <c r="F86" s="247" t="s">
        <v>235</v>
      </c>
      <c r="G86" s="247" t="s">
        <v>1035</v>
      </c>
      <c r="H86" s="248" t="s">
        <v>234</v>
      </c>
      <c r="I86" s="248" t="s">
        <v>235</v>
      </c>
      <c r="J86" s="247" t="s">
        <v>809</v>
      </c>
      <c r="K86" s="249">
        <v>0</v>
      </c>
      <c r="M86" s="90">
        <v>0</v>
      </c>
      <c r="N86" s="90">
        <v>0</v>
      </c>
      <c r="O86" s="90">
        <v>255</v>
      </c>
    </row>
    <row r="87" spans="1:15" s="90" customFormat="1" ht="12.75" customHeight="1" x14ac:dyDescent="0.2">
      <c r="A87" s="247" t="s">
        <v>990</v>
      </c>
      <c r="B87" s="316">
        <v>3046</v>
      </c>
      <c r="C87" s="247" t="s">
        <v>975</v>
      </c>
      <c r="D87" s="317">
        <v>42647</v>
      </c>
      <c r="E87" s="318">
        <v>0.31843749999999998</v>
      </c>
      <c r="F87" s="247" t="s">
        <v>976</v>
      </c>
      <c r="G87" s="247" t="s">
        <v>1035</v>
      </c>
      <c r="H87" s="248" t="s">
        <v>404</v>
      </c>
      <c r="I87" s="248" t="s">
        <v>404</v>
      </c>
      <c r="J87" s="247" t="s">
        <v>809</v>
      </c>
      <c r="K87" s="249">
        <v>0</v>
      </c>
      <c r="M87" s="90">
        <v>0</v>
      </c>
      <c r="N87" s="90">
        <v>0</v>
      </c>
      <c r="O87" s="90">
        <v>255</v>
      </c>
    </row>
    <row r="88" spans="1:15" s="90" customFormat="1" ht="12.75" customHeight="1" x14ac:dyDescent="0.2">
      <c r="A88" s="247" t="s">
        <v>1212</v>
      </c>
      <c r="B88" s="316">
        <v>3002</v>
      </c>
      <c r="C88" s="247" t="s">
        <v>996</v>
      </c>
      <c r="D88" s="317">
        <v>42647</v>
      </c>
      <c r="E88" s="318">
        <v>0.31928240740740738</v>
      </c>
      <c r="F88" s="247" t="s">
        <v>702</v>
      </c>
      <c r="G88" s="247" t="s">
        <v>1035</v>
      </c>
      <c r="H88" s="248" t="s">
        <v>234</v>
      </c>
      <c r="I88" s="248" t="s">
        <v>702</v>
      </c>
      <c r="J88" s="247" t="s">
        <v>809</v>
      </c>
      <c r="K88" s="249">
        <v>0</v>
      </c>
      <c r="M88" s="90">
        <v>0</v>
      </c>
      <c r="N88" s="90">
        <v>0</v>
      </c>
      <c r="O88" s="90">
        <v>255</v>
      </c>
    </row>
    <row r="89" spans="1:15" s="90" customFormat="1" ht="12.75" customHeight="1" x14ac:dyDescent="0.2">
      <c r="A89" s="247" t="s">
        <v>1100</v>
      </c>
      <c r="B89" s="316">
        <v>3001</v>
      </c>
      <c r="C89" s="247" t="s">
        <v>996</v>
      </c>
      <c r="D89" s="317">
        <v>42647</v>
      </c>
      <c r="E89" s="318">
        <v>0.32740740740740742</v>
      </c>
      <c r="F89" s="247" t="s">
        <v>702</v>
      </c>
      <c r="G89" s="247" t="s">
        <v>1035</v>
      </c>
      <c r="H89" s="248" t="s">
        <v>121</v>
      </c>
      <c r="I89" s="248" t="s">
        <v>122</v>
      </c>
      <c r="J89" s="247" t="s">
        <v>809</v>
      </c>
      <c r="K89" s="249">
        <v>0</v>
      </c>
      <c r="M89" s="90">
        <v>0</v>
      </c>
      <c r="N89" s="90">
        <v>0</v>
      </c>
      <c r="O89" s="90">
        <v>255</v>
      </c>
    </row>
    <row r="90" spans="1:15" s="90" customFormat="1" ht="12.75" customHeight="1" x14ac:dyDescent="0.2">
      <c r="A90" s="247" t="s">
        <v>1129</v>
      </c>
      <c r="B90" s="316">
        <v>3001</v>
      </c>
      <c r="C90" s="247" t="s">
        <v>996</v>
      </c>
      <c r="D90" s="317">
        <v>42647</v>
      </c>
      <c r="E90" s="318">
        <v>0.32762731481481483</v>
      </c>
      <c r="F90" s="247" t="s">
        <v>702</v>
      </c>
      <c r="G90" s="247" t="s">
        <v>1035</v>
      </c>
      <c r="H90" s="248" t="s">
        <v>121</v>
      </c>
      <c r="I90" s="248" t="s">
        <v>122</v>
      </c>
      <c r="J90" s="247" t="s">
        <v>809</v>
      </c>
      <c r="K90" s="249">
        <v>0</v>
      </c>
      <c r="M90" s="90">
        <v>0</v>
      </c>
      <c r="N90" s="90">
        <v>0</v>
      </c>
      <c r="O90" s="90">
        <v>255</v>
      </c>
    </row>
    <row r="91" spans="1:15" s="90" customFormat="1" ht="12.75" customHeight="1" x14ac:dyDescent="0.2">
      <c r="A91" s="247" t="s">
        <v>1031</v>
      </c>
      <c r="B91" s="316">
        <v>3046</v>
      </c>
      <c r="C91" s="247" t="s">
        <v>975</v>
      </c>
      <c r="D91" s="317">
        <v>42647</v>
      </c>
      <c r="E91" s="318">
        <v>0.33468750000000003</v>
      </c>
      <c r="F91" s="247" t="s">
        <v>976</v>
      </c>
      <c r="G91" s="247" t="s">
        <v>1035</v>
      </c>
      <c r="H91" s="248" t="s">
        <v>404</v>
      </c>
      <c r="I91" s="248" t="s">
        <v>404</v>
      </c>
      <c r="J91" s="247" t="s">
        <v>809</v>
      </c>
      <c r="K91" s="249">
        <v>0</v>
      </c>
      <c r="M91" s="90">
        <v>0</v>
      </c>
      <c r="N91" s="90">
        <v>0</v>
      </c>
      <c r="O91" s="90">
        <v>255</v>
      </c>
    </row>
    <row r="92" spans="1:15" s="90" customFormat="1" ht="12.75" customHeight="1" x14ac:dyDescent="0.2">
      <c r="A92" s="247" t="s">
        <v>1032</v>
      </c>
      <c r="B92" s="316">
        <v>3046</v>
      </c>
      <c r="C92" s="247" t="s">
        <v>975</v>
      </c>
      <c r="D92" s="317">
        <v>42647</v>
      </c>
      <c r="E92" s="318">
        <v>0.33885416666666668</v>
      </c>
      <c r="F92" s="247" t="s">
        <v>976</v>
      </c>
      <c r="G92" s="247" t="s">
        <v>1035</v>
      </c>
      <c r="H92" s="248" t="s">
        <v>404</v>
      </c>
      <c r="I92" s="248" t="s">
        <v>404</v>
      </c>
      <c r="J92" s="247" t="s">
        <v>809</v>
      </c>
      <c r="K92" s="249">
        <v>0</v>
      </c>
      <c r="M92" s="90">
        <v>0</v>
      </c>
      <c r="N92" s="90">
        <v>0</v>
      </c>
      <c r="O92" s="90">
        <v>255</v>
      </c>
    </row>
    <row r="93" spans="1:15" s="90" customFormat="1" ht="12.75" customHeight="1" x14ac:dyDescent="0.2">
      <c r="A93" s="247" t="s">
        <v>989</v>
      </c>
      <c r="B93" s="316">
        <v>3046</v>
      </c>
      <c r="C93" s="247" t="s">
        <v>975</v>
      </c>
      <c r="D93" s="317">
        <v>42647</v>
      </c>
      <c r="E93" s="318">
        <v>0.33885416666666668</v>
      </c>
      <c r="F93" s="247" t="s">
        <v>976</v>
      </c>
      <c r="G93" s="247" t="s">
        <v>1035</v>
      </c>
      <c r="H93" s="248" t="s">
        <v>404</v>
      </c>
      <c r="I93" s="248" t="s">
        <v>404</v>
      </c>
      <c r="J93" s="247" t="s">
        <v>809</v>
      </c>
      <c r="K93" s="249">
        <v>0</v>
      </c>
      <c r="M93" s="90">
        <v>0</v>
      </c>
      <c r="N93" s="90">
        <v>0</v>
      </c>
      <c r="O93" s="90">
        <v>255</v>
      </c>
    </row>
    <row r="94" spans="1:15" s="90" customFormat="1" ht="12.75" customHeight="1" x14ac:dyDescent="0.2">
      <c r="A94" s="247" t="s">
        <v>990</v>
      </c>
      <c r="B94" s="316">
        <v>3046</v>
      </c>
      <c r="C94" s="247" t="s">
        <v>975</v>
      </c>
      <c r="D94" s="317">
        <v>42647</v>
      </c>
      <c r="E94" s="318">
        <v>0.33957175925925925</v>
      </c>
      <c r="F94" s="247" t="s">
        <v>976</v>
      </c>
      <c r="G94" s="247" t="s">
        <v>1035</v>
      </c>
      <c r="H94" s="248" t="s">
        <v>404</v>
      </c>
      <c r="I94" s="248" t="s">
        <v>404</v>
      </c>
      <c r="J94" s="247" t="s">
        <v>809</v>
      </c>
      <c r="K94" s="249">
        <v>0</v>
      </c>
      <c r="M94" s="90">
        <v>0</v>
      </c>
      <c r="N94" s="90">
        <v>0</v>
      </c>
      <c r="O94" s="90">
        <v>255</v>
      </c>
    </row>
    <row r="95" spans="1:15" s="90" customFormat="1" ht="12.75" customHeight="1" x14ac:dyDescent="0.2">
      <c r="A95" s="247" t="s">
        <v>1033</v>
      </c>
      <c r="B95" s="316">
        <v>3217</v>
      </c>
      <c r="C95" s="247" t="s">
        <v>975</v>
      </c>
      <c r="D95" s="317">
        <v>42647</v>
      </c>
      <c r="E95" s="318">
        <v>0.33957175925925925</v>
      </c>
      <c r="F95" s="247" t="s">
        <v>235</v>
      </c>
      <c r="G95" s="247" t="s">
        <v>1035</v>
      </c>
      <c r="H95" s="248" t="s">
        <v>234</v>
      </c>
      <c r="I95" s="248" t="s">
        <v>235</v>
      </c>
      <c r="J95" s="247" t="s">
        <v>809</v>
      </c>
      <c r="K95" s="249">
        <v>0</v>
      </c>
      <c r="M95" s="90">
        <v>0</v>
      </c>
      <c r="N95" s="90">
        <v>0</v>
      </c>
      <c r="O95" s="90">
        <v>255</v>
      </c>
    </row>
    <row r="96" spans="1:15" s="90" customFormat="1" ht="12.75" customHeight="1" x14ac:dyDescent="0.2">
      <c r="A96" s="247" t="s">
        <v>760</v>
      </c>
      <c r="B96" s="316">
        <v>3120</v>
      </c>
      <c r="C96" s="247" t="s">
        <v>975</v>
      </c>
      <c r="D96" s="317">
        <v>42647</v>
      </c>
      <c r="E96" s="318">
        <v>0.34158564814814812</v>
      </c>
      <c r="F96" s="247" t="s">
        <v>981</v>
      </c>
      <c r="G96" s="247" t="s">
        <v>1035</v>
      </c>
      <c r="H96" s="248" t="s">
        <v>234</v>
      </c>
      <c r="I96" s="248" t="s">
        <v>677</v>
      </c>
      <c r="J96" s="247" t="s">
        <v>809</v>
      </c>
      <c r="K96" s="249">
        <v>0</v>
      </c>
      <c r="M96" s="90">
        <v>0</v>
      </c>
      <c r="N96" s="90">
        <v>0</v>
      </c>
      <c r="O96" s="90">
        <v>255</v>
      </c>
    </row>
    <row r="97" spans="1:15" s="90" customFormat="1" ht="12.75" customHeight="1" x14ac:dyDescent="0.2">
      <c r="A97" s="247" t="s">
        <v>1142</v>
      </c>
      <c r="B97" s="316">
        <v>3047</v>
      </c>
      <c r="C97" s="247" t="s">
        <v>996</v>
      </c>
      <c r="D97" s="317">
        <v>42647</v>
      </c>
      <c r="E97" s="318">
        <v>0.35129629629629627</v>
      </c>
      <c r="F97" s="247" t="s">
        <v>235</v>
      </c>
      <c r="G97" s="247" t="s">
        <v>1035</v>
      </c>
      <c r="H97" s="248" t="s">
        <v>234</v>
      </c>
      <c r="I97" s="248" t="s">
        <v>235</v>
      </c>
      <c r="J97" s="247" t="s">
        <v>809</v>
      </c>
      <c r="K97" s="249">
        <v>0</v>
      </c>
      <c r="M97" s="90">
        <v>0</v>
      </c>
      <c r="N97" s="90">
        <v>0</v>
      </c>
      <c r="O97" s="90">
        <v>255</v>
      </c>
    </row>
    <row r="98" spans="1:15" s="90" customFormat="1" ht="12.75" customHeight="1" x14ac:dyDescent="0.2">
      <c r="A98" s="247" t="s">
        <v>1141</v>
      </c>
      <c r="B98" s="316">
        <v>3047</v>
      </c>
      <c r="C98" s="247" t="s">
        <v>996</v>
      </c>
      <c r="D98" s="317">
        <v>42647</v>
      </c>
      <c r="E98" s="318">
        <v>0.35129629629629627</v>
      </c>
      <c r="F98" s="247" t="s">
        <v>235</v>
      </c>
      <c r="G98" s="247" t="s">
        <v>1035</v>
      </c>
      <c r="H98" s="248" t="s">
        <v>234</v>
      </c>
      <c r="I98" s="248" t="s">
        <v>235</v>
      </c>
      <c r="J98" s="247" t="s">
        <v>809</v>
      </c>
      <c r="K98" s="249">
        <v>0</v>
      </c>
      <c r="M98" s="90">
        <v>0</v>
      </c>
      <c r="N98" s="90">
        <v>0</v>
      </c>
      <c r="O98" s="90">
        <v>255</v>
      </c>
    </row>
    <row r="99" spans="1:15" s="90" customFormat="1" ht="12.75" customHeight="1" x14ac:dyDescent="0.2">
      <c r="A99" s="247" t="s">
        <v>1102</v>
      </c>
      <c r="B99" s="316">
        <v>3047</v>
      </c>
      <c r="C99" s="247" t="s">
        <v>996</v>
      </c>
      <c r="D99" s="317">
        <v>42647</v>
      </c>
      <c r="E99" s="318">
        <v>0.35129629629629627</v>
      </c>
      <c r="F99" s="247" t="s">
        <v>235</v>
      </c>
      <c r="G99" s="247" t="s">
        <v>1035</v>
      </c>
      <c r="H99" s="248" t="s">
        <v>234</v>
      </c>
      <c r="I99" s="248" t="s">
        <v>235</v>
      </c>
      <c r="J99" s="247" t="s">
        <v>809</v>
      </c>
      <c r="K99" s="249">
        <v>0</v>
      </c>
      <c r="M99" s="90">
        <v>0</v>
      </c>
      <c r="N99" s="90">
        <v>0</v>
      </c>
      <c r="O99" s="90">
        <v>255</v>
      </c>
    </row>
    <row r="100" spans="1:15" s="90" customFormat="1" ht="12.75" customHeight="1" x14ac:dyDescent="0.2">
      <c r="A100" s="247" t="s">
        <v>1099</v>
      </c>
      <c r="B100" s="316">
        <v>3047</v>
      </c>
      <c r="C100" s="247" t="s">
        <v>996</v>
      </c>
      <c r="D100" s="317">
        <v>42647</v>
      </c>
      <c r="E100" s="318">
        <v>0.35630787037037037</v>
      </c>
      <c r="F100" s="247" t="s">
        <v>235</v>
      </c>
      <c r="G100" s="247" t="s">
        <v>1035</v>
      </c>
      <c r="H100" s="248" t="s">
        <v>234</v>
      </c>
      <c r="I100" s="248" t="s">
        <v>235</v>
      </c>
      <c r="J100" s="247" t="s">
        <v>809</v>
      </c>
      <c r="K100" s="249">
        <v>0</v>
      </c>
      <c r="M100" s="90">
        <v>0</v>
      </c>
      <c r="N100" s="90">
        <v>0</v>
      </c>
      <c r="O100" s="90">
        <v>255</v>
      </c>
    </row>
    <row r="101" spans="1:15" s="90" customFormat="1" ht="12.75" customHeight="1" x14ac:dyDescent="0.2">
      <c r="A101" s="247" t="s">
        <v>1109</v>
      </c>
      <c r="B101" s="316">
        <v>3075</v>
      </c>
      <c r="C101" s="247" t="s">
        <v>975</v>
      </c>
      <c r="D101" s="317">
        <v>42647</v>
      </c>
      <c r="E101" s="318">
        <v>0.3676388888888889</v>
      </c>
      <c r="F101" s="247" t="s">
        <v>981</v>
      </c>
      <c r="G101" s="247" t="s">
        <v>1035</v>
      </c>
      <c r="H101" s="248" t="s">
        <v>234</v>
      </c>
      <c r="I101" s="248" t="s">
        <v>263</v>
      </c>
      <c r="J101" s="247" t="s">
        <v>809</v>
      </c>
      <c r="K101" s="249">
        <v>0</v>
      </c>
      <c r="M101" s="90">
        <v>0</v>
      </c>
      <c r="N101" s="90">
        <v>0</v>
      </c>
      <c r="O101" s="90">
        <v>255</v>
      </c>
    </row>
    <row r="102" spans="1:15" s="90" customFormat="1" ht="12.75" customHeight="1" x14ac:dyDescent="0.2">
      <c r="A102" s="247" t="s">
        <v>1031</v>
      </c>
      <c r="B102" s="316">
        <v>3046</v>
      </c>
      <c r="C102" s="247" t="s">
        <v>975</v>
      </c>
      <c r="D102" s="317">
        <v>42647</v>
      </c>
      <c r="E102" s="318">
        <v>0.36819444444444444</v>
      </c>
      <c r="F102" s="247" t="s">
        <v>976</v>
      </c>
      <c r="G102" s="247" t="s">
        <v>1035</v>
      </c>
      <c r="H102" s="248" t="s">
        <v>404</v>
      </c>
      <c r="I102" s="248" t="s">
        <v>404</v>
      </c>
      <c r="J102" s="247" t="s">
        <v>809</v>
      </c>
      <c r="K102" s="249">
        <v>0</v>
      </c>
      <c r="M102" s="90">
        <v>0</v>
      </c>
      <c r="N102" s="90">
        <v>0</v>
      </c>
      <c r="O102" s="90">
        <v>255</v>
      </c>
    </row>
    <row r="103" spans="1:15" s="90" customFormat="1" ht="12.75" customHeight="1" x14ac:dyDescent="0.2">
      <c r="A103" s="247" t="s">
        <v>1032</v>
      </c>
      <c r="B103" s="316">
        <v>3046</v>
      </c>
      <c r="C103" s="247" t="s">
        <v>975</v>
      </c>
      <c r="D103" s="317">
        <v>42647</v>
      </c>
      <c r="E103" s="318">
        <v>0.37208333333333332</v>
      </c>
      <c r="F103" s="247" t="s">
        <v>976</v>
      </c>
      <c r="G103" s="247" t="s">
        <v>1035</v>
      </c>
      <c r="H103" s="248" t="s">
        <v>404</v>
      </c>
      <c r="I103" s="248" t="s">
        <v>404</v>
      </c>
      <c r="J103" s="247" t="s">
        <v>809</v>
      </c>
      <c r="K103" s="249">
        <v>0</v>
      </c>
      <c r="M103" s="90">
        <v>0</v>
      </c>
      <c r="N103" s="90">
        <v>0</v>
      </c>
      <c r="O103" s="90">
        <v>255</v>
      </c>
    </row>
    <row r="104" spans="1:15" s="90" customFormat="1" ht="12.75" customHeight="1" x14ac:dyDescent="0.2">
      <c r="A104" s="247" t="s">
        <v>989</v>
      </c>
      <c r="B104" s="316">
        <v>3046</v>
      </c>
      <c r="C104" s="247" t="s">
        <v>975</v>
      </c>
      <c r="D104" s="317">
        <v>42647</v>
      </c>
      <c r="E104" s="318">
        <v>0.37208333333333332</v>
      </c>
      <c r="F104" s="247" t="s">
        <v>976</v>
      </c>
      <c r="G104" s="247" t="s">
        <v>1035</v>
      </c>
      <c r="H104" s="248" t="s">
        <v>404</v>
      </c>
      <c r="I104" s="248" t="s">
        <v>404</v>
      </c>
      <c r="J104" s="247" t="s">
        <v>809</v>
      </c>
      <c r="K104" s="249">
        <v>0</v>
      </c>
      <c r="M104" s="90">
        <v>0</v>
      </c>
      <c r="N104" s="90">
        <v>0</v>
      </c>
      <c r="O104" s="90">
        <v>255</v>
      </c>
    </row>
    <row r="105" spans="1:15" s="90" customFormat="1" ht="12.75" customHeight="1" x14ac:dyDescent="0.2">
      <c r="A105" s="247" t="s">
        <v>990</v>
      </c>
      <c r="B105" s="316">
        <v>3046</v>
      </c>
      <c r="C105" s="247" t="s">
        <v>975</v>
      </c>
      <c r="D105" s="317">
        <v>42647</v>
      </c>
      <c r="E105" s="318">
        <v>0.37237268518518518</v>
      </c>
      <c r="F105" s="247" t="s">
        <v>976</v>
      </c>
      <c r="G105" s="247" t="s">
        <v>1035</v>
      </c>
      <c r="H105" s="248" t="s">
        <v>404</v>
      </c>
      <c r="I105" s="248" t="s">
        <v>404</v>
      </c>
      <c r="J105" s="247" t="s">
        <v>809</v>
      </c>
      <c r="K105" s="249">
        <v>0</v>
      </c>
      <c r="M105" s="90">
        <v>0</v>
      </c>
      <c r="N105" s="90">
        <v>0</v>
      </c>
      <c r="O105" s="90">
        <v>255</v>
      </c>
    </row>
    <row r="106" spans="1:15" s="90" customFormat="1" ht="12.75" customHeight="1" x14ac:dyDescent="0.2">
      <c r="A106" s="247" t="s">
        <v>1033</v>
      </c>
      <c r="B106" s="316">
        <v>3217</v>
      </c>
      <c r="C106" s="247" t="s">
        <v>975</v>
      </c>
      <c r="D106" s="317">
        <v>42647</v>
      </c>
      <c r="E106" s="318">
        <v>0.37237268518518518</v>
      </c>
      <c r="F106" s="247" t="s">
        <v>235</v>
      </c>
      <c r="G106" s="247" t="s">
        <v>1035</v>
      </c>
      <c r="H106" s="248" t="s">
        <v>234</v>
      </c>
      <c r="I106" s="248" t="s">
        <v>235</v>
      </c>
      <c r="J106" s="247" t="s">
        <v>809</v>
      </c>
      <c r="K106" s="249">
        <v>0</v>
      </c>
      <c r="M106" s="90">
        <v>0</v>
      </c>
      <c r="N106" s="90">
        <v>0</v>
      </c>
      <c r="O106" s="90">
        <v>255</v>
      </c>
    </row>
    <row r="107" spans="1:15" s="90" customFormat="1" ht="12.75" customHeight="1" x14ac:dyDescent="0.2">
      <c r="A107" s="247" t="s">
        <v>1136</v>
      </c>
      <c r="B107" s="316">
        <v>3001</v>
      </c>
      <c r="C107" s="247" t="s">
        <v>996</v>
      </c>
      <c r="D107" s="317">
        <v>42647</v>
      </c>
      <c r="E107" s="318">
        <v>0.37350694444444449</v>
      </c>
      <c r="F107" s="247" t="s">
        <v>702</v>
      </c>
      <c r="G107" s="247" t="s">
        <v>1035</v>
      </c>
      <c r="H107" s="248" t="s">
        <v>121</v>
      </c>
      <c r="I107" s="248" t="s">
        <v>122</v>
      </c>
      <c r="J107" s="247" t="s">
        <v>809</v>
      </c>
      <c r="K107" s="249">
        <v>0</v>
      </c>
      <c r="M107" s="90">
        <v>0</v>
      </c>
      <c r="N107" s="90">
        <v>0</v>
      </c>
      <c r="O107" s="90">
        <v>255</v>
      </c>
    </row>
    <row r="108" spans="1:15" s="90" customFormat="1" ht="12.75" customHeight="1" x14ac:dyDescent="0.2">
      <c r="A108" s="247" t="s">
        <v>1031</v>
      </c>
      <c r="B108" s="316">
        <v>3046</v>
      </c>
      <c r="C108" s="247" t="s">
        <v>975</v>
      </c>
      <c r="D108" s="317">
        <v>42647</v>
      </c>
      <c r="E108" s="318">
        <v>0.37407407407407406</v>
      </c>
      <c r="F108" s="247" t="s">
        <v>976</v>
      </c>
      <c r="G108" s="247" t="s">
        <v>1035</v>
      </c>
      <c r="H108" s="248" t="s">
        <v>404</v>
      </c>
      <c r="I108" s="248" t="s">
        <v>404</v>
      </c>
      <c r="J108" s="247" t="s">
        <v>809</v>
      </c>
      <c r="K108" s="249">
        <v>0</v>
      </c>
      <c r="M108" s="90">
        <v>0</v>
      </c>
      <c r="N108" s="90">
        <v>0</v>
      </c>
      <c r="O108" s="90">
        <v>255</v>
      </c>
    </row>
    <row r="109" spans="1:15" s="90" customFormat="1" ht="12.75" customHeight="1" x14ac:dyDescent="0.2">
      <c r="A109" s="247" t="s">
        <v>1213</v>
      </c>
      <c r="B109" s="316">
        <v>3187</v>
      </c>
      <c r="C109" s="247" t="s">
        <v>996</v>
      </c>
      <c r="D109" s="317">
        <v>42647</v>
      </c>
      <c r="E109" s="318">
        <v>0.37443287037037037</v>
      </c>
      <c r="F109" s="247" t="s">
        <v>702</v>
      </c>
      <c r="G109" s="247" t="s">
        <v>1035</v>
      </c>
      <c r="H109" s="248" t="s">
        <v>234</v>
      </c>
      <c r="I109" s="248" t="s">
        <v>702</v>
      </c>
      <c r="J109" s="247" t="s">
        <v>809</v>
      </c>
      <c r="K109" s="249">
        <v>0</v>
      </c>
      <c r="M109" s="90">
        <v>0</v>
      </c>
      <c r="N109" s="90">
        <v>0</v>
      </c>
      <c r="O109" s="90">
        <v>255</v>
      </c>
    </row>
    <row r="110" spans="1:15" s="90" customFormat="1" ht="12.75" customHeight="1" x14ac:dyDescent="0.2">
      <c r="A110" s="247" t="s">
        <v>1214</v>
      </c>
      <c r="B110" s="316">
        <v>3187</v>
      </c>
      <c r="C110" s="247" t="s">
        <v>996</v>
      </c>
      <c r="D110" s="317">
        <v>42647</v>
      </c>
      <c r="E110" s="318">
        <v>0.37443287037037037</v>
      </c>
      <c r="F110" s="247" t="s">
        <v>702</v>
      </c>
      <c r="G110" s="247" t="s">
        <v>1035</v>
      </c>
      <c r="H110" s="248" t="s">
        <v>234</v>
      </c>
      <c r="I110" s="248" t="s">
        <v>702</v>
      </c>
      <c r="J110" s="247" t="s">
        <v>809</v>
      </c>
      <c r="K110" s="249">
        <v>0</v>
      </c>
      <c r="M110" s="90">
        <v>0</v>
      </c>
      <c r="N110" s="90">
        <v>0</v>
      </c>
      <c r="O110" s="90">
        <v>255</v>
      </c>
    </row>
    <row r="111" spans="1:15" s="90" customFormat="1" ht="12.75" customHeight="1" x14ac:dyDescent="0.2">
      <c r="A111" s="247" t="s">
        <v>1032</v>
      </c>
      <c r="B111" s="316">
        <v>3046</v>
      </c>
      <c r="C111" s="247" t="s">
        <v>975</v>
      </c>
      <c r="D111" s="317">
        <v>42647</v>
      </c>
      <c r="E111" s="318">
        <v>0.37903935185185184</v>
      </c>
      <c r="F111" s="247" t="s">
        <v>976</v>
      </c>
      <c r="G111" s="247" t="s">
        <v>1035</v>
      </c>
      <c r="H111" s="248" t="s">
        <v>404</v>
      </c>
      <c r="I111" s="248" t="s">
        <v>404</v>
      </c>
      <c r="J111" s="247" t="s">
        <v>809</v>
      </c>
      <c r="K111" s="249">
        <v>0</v>
      </c>
      <c r="M111" s="90">
        <v>0</v>
      </c>
      <c r="N111" s="90">
        <v>0</v>
      </c>
      <c r="O111" s="90">
        <v>255</v>
      </c>
    </row>
    <row r="112" spans="1:15" s="90" customFormat="1" ht="12.75" customHeight="1" x14ac:dyDescent="0.2">
      <c r="A112" s="247" t="s">
        <v>989</v>
      </c>
      <c r="B112" s="316">
        <v>3046</v>
      </c>
      <c r="C112" s="247" t="s">
        <v>975</v>
      </c>
      <c r="D112" s="317">
        <v>42647</v>
      </c>
      <c r="E112" s="318">
        <v>0.37903935185185184</v>
      </c>
      <c r="F112" s="247" t="s">
        <v>976</v>
      </c>
      <c r="G112" s="247" t="s">
        <v>1035</v>
      </c>
      <c r="H112" s="248" t="s">
        <v>404</v>
      </c>
      <c r="I112" s="248" t="s">
        <v>404</v>
      </c>
      <c r="J112" s="247" t="s">
        <v>809</v>
      </c>
      <c r="K112" s="249">
        <v>0</v>
      </c>
      <c r="M112" s="90">
        <v>0</v>
      </c>
      <c r="N112" s="90">
        <v>0</v>
      </c>
      <c r="O112" s="90">
        <v>255</v>
      </c>
    </row>
    <row r="113" spans="1:15" s="90" customFormat="1" ht="12.75" customHeight="1" x14ac:dyDescent="0.2">
      <c r="A113" s="247" t="s">
        <v>990</v>
      </c>
      <c r="B113" s="316">
        <v>3046</v>
      </c>
      <c r="C113" s="247" t="s">
        <v>975</v>
      </c>
      <c r="D113" s="317">
        <v>42647</v>
      </c>
      <c r="E113" s="318">
        <v>0.37935185185185188</v>
      </c>
      <c r="F113" s="247" t="s">
        <v>976</v>
      </c>
      <c r="G113" s="247" t="s">
        <v>1035</v>
      </c>
      <c r="H113" s="248" t="s">
        <v>404</v>
      </c>
      <c r="I113" s="248" t="s">
        <v>404</v>
      </c>
      <c r="J113" s="247" t="s">
        <v>809</v>
      </c>
      <c r="K113" s="249">
        <v>0</v>
      </c>
      <c r="M113" s="90">
        <v>0</v>
      </c>
      <c r="N113" s="90">
        <v>0</v>
      </c>
      <c r="O113" s="90">
        <v>255</v>
      </c>
    </row>
    <row r="114" spans="1:15" s="90" customFormat="1" ht="12.75" customHeight="1" x14ac:dyDescent="0.2">
      <c r="A114" s="247" t="s">
        <v>1033</v>
      </c>
      <c r="B114" s="316">
        <v>3217</v>
      </c>
      <c r="C114" s="247" t="s">
        <v>975</v>
      </c>
      <c r="D114" s="317">
        <v>42647</v>
      </c>
      <c r="E114" s="318">
        <v>0.37935185185185188</v>
      </c>
      <c r="F114" s="247" t="s">
        <v>235</v>
      </c>
      <c r="G114" s="247" t="s">
        <v>1035</v>
      </c>
      <c r="H114" s="248" t="s">
        <v>234</v>
      </c>
      <c r="I114" s="248" t="s">
        <v>235</v>
      </c>
      <c r="J114" s="247" t="s">
        <v>809</v>
      </c>
      <c r="K114" s="249">
        <v>0</v>
      </c>
      <c r="M114" s="90">
        <v>0</v>
      </c>
      <c r="N114" s="90">
        <v>0</v>
      </c>
      <c r="O114" s="90">
        <v>255</v>
      </c>
    </row>
    <row r="115" spans="1:15" s="90" customFormat="1" ht="12.75" customHeight="1" x14ac:dyDescent="0.2">
      <c r="A115" s="247" t="s">
        <v>1031</v>
      </c>
      <c r="B115" s="316">
        <v>3046</v>
      </c>
      <c r="C115" s="247" t="s">
        <v>975</v>
      </c>
      <c r="D115" s="317">
        <v>42647</v>
      </c>
      <c r="E115" s="318">
        <v>0.38081018518518522</v>
      </c>
      <c r="F115" s="247" t="s">
        <v>976</v>
      </c>
      <c r="G115" s="247" t="s">
        <v>1035</v>
      </c>
      <c r="H115" s="248" t="s">
        <v>404</v>
      </c>
      <c r="I115" s="248" t="s">
        <v>404</v>
      </c>
      <c r="J115" s="247" t="s">
        <v>809</v>
      </c>
      <c r="K115" s="249">
        <v>0</v>
      </c>
      <c r="M115" s="90">
        <v>0</v>
      </c>
      <c r="N115" s="90">
        <v>0</v>
      </c>
      <c r="O115" s="90">
        <v>255</v>
      </c>
    </row>
    <row r="116" spans="1:15" s="90" customFormat="1" ht="12.75" customHeight="1" x14ac:dyDescent="0.2">
      <c r="A116" s="247" t="s">
        <v>1215</v>
      </c>
      <c r="B116" s="316">
        <v>3218</v>
      </c>
      <c r="C116" s="247" t="s">
        <v>979</v>
      </c>
      <c r="D116" s="317">
        <v>42647</v>
      </c>
      <c r="E116" s="318">
        <v>0.38541666666666669</v>
      </c>
      <c r="F116" s="247" t="s">
        <v>702</v>
      </c>
      <c r="G116" s="247" t="s">
        <v>1035</v>
      </c>
      <c r="H116" s="248"/>
      <c r="I116" s="248"/>
      <c r="J116" s="247"/>
      <c r="K116" s="249"/>
      <c r="M116" s="90">
        <v>0</v>
      </c>
      <c r="N116" s="90">
        <v>0</v>
      </c>
      <c r="O116" s="90">
        <v>255</v>
      </c>
    </row>
    <row r="117" spans="1:15" s="90" customFormat="1" ht="12.75" customHeight="1" x14ac:dyDescent="0.2">
      <c r="A117" s="247" t="s">
        <v>1032</v>
      </c>
      <c r="B117" s="316">
        <v>3046</v>
      </c>
      <c r="C117" s="247" t="s">
        <v>975</v>
      </c>
      <c r="D117" s="317">
        <v>42647</v>
      </c>
      <c r="E117" s="318">
        <v>0.39247685185185183</v>
      </c>
      <c r="F117" s="247" t="s">
        <v>976</v>
      </c>
      <c r="G117" s="247" t="s">
        <v>1035</v>
      </c>
      <c r="H117" s="248" t="s">
        <v>404</v>
      </c>
      <c r="I117" s="248" t="s">
        <v>404</v>
      </c>
      <c r="J117" s="247" t="s">
        <v>809</v>
      </c>
      <c r="K117" s="249">
        <v>0</v>
      </c>
      <c r="M117" s="90">
        <v>0</v>
      </c>
      <c r="N117" s="90">
        <v>0</v>
      </c>
      <c r="O117" s="90">
        <v>255</v>
      </c>
    </row>
    <row r="118" spans="1:15" s="90" customFormat="1" ht="12.75" customHeight="1" x14ac:dyDescent="0.2">
      <c r="A118" s="247" t="s">
        <v>989</v>
      </c>
      <c r="B118" s="316">
        <v>3046</v>
      </c>
      <c r="C118" s="247" t="s">
        <v>975</v>
      </c>
      <c r="D118" s="317">
        <v>42647</v>
      </c>
      <c r="E118" s="318">
        <v>0.39247685185185183</v>
      </c>
      <c r="F118" s="247" t="s">
        <v>976</v>
      </c>
      <c r="G118" s="247" t="s">
        <v>1035</v>
      </c>
      <c r="H118" s="248" t="s">
        <v>404</v>
      </c>
      <c r="I118" s="248" t="s">
        <v>404</v>
      </c>
      <c r="J118" s="247" t="s">
        <v>809</v>
      </c>
      <c r="K118" s="249">
        <v>0</v>
      </c>
      <c r="M118" s="90">
        <v>0</v>
      </c>
      <c r="N118" s="90">
        <v>0</v>
      </c>
      <c r="O118" s="90">
        <v>255</v>
      </c>
    </row>
    <row r="119" spans="1:15" s="90" customFormat="1" ht="12.75" customHeight="1" x14ac:dyDescent="0.2">
      <c r="A119" s="247" t="s">
        <v>990</v>
      </c>
      <c r="B119" s="316">
        <v>3046</v>
      </c>
      <c r="C119" s="247" t="s">
        <v>975</v>
      </c>
      <c r="D119" s="317">
        <v>42647</v>
      </c>
      <c r="E119" s="318">
        <v>0.39280092592592591</v>
      </c>
      <c r="F119" s="247" t="s">
        <v>976</v>
      </c>
      <c r="G119" s="247" t="s">
        <v>1035</v>
      </c>
      <c r="H119" s="248" t="s">
        <v>404</v>
      </c>
      <c r="I119" s="248" t="s">
        <v>404</v>
      </c>
      <c r="J119" s="247" t="s">
        <v>809</v>
      </c>
      <c r="K119" s="249">
        <v>0</v>
      </c>
      <c r="M119" s="90">
        <v>0</v>
      </c>
      <c r="N119" s="90">
        <v>0</v>
      </c>
      <c r="O119" s="90">
        <v>255</v>
      </c>
    </row>
    <row r="120" spans="1:15" s="90" customFormat="1" ht="12.75" customHeight="1" x14ac:dyDescent="0.2">
      <c r="A120" s="247" t="s">
        <v>1033</v>
      </c>
      <c r="B120" s="316">
        <v>3217</v>
      </c>
      <c r="C120" s="247" t="s">
        <v>975</v>
      </c>
      <c r="D120" s="317">
        <v>42647</v>
      </c>
      <c r="E120" s="318">
        <v>0.39280092592592591</v>
      </c>
      <c r="F120" s="247" t="s">
        <v>235</v>
      </c>
      <c r="G120" s="247" t="s">
        <v>1035</v>
      </c>
      <c r="H120" s="248" t="s">
        <v>234</v>
      </c>
      <c r="I120" s="248" t="s">
        <v>235</v>
      </c>
      <c r="J120" s="247" t="s">
        <v>809</v>
      </c>
      <c r="K120" s="249">
        <v>0</v>
      </c>
      <c r="M120" s="90">
        <v>0</v>
      </c>
      <c r="N120" s="90">
        <v>0</v>
      </c>
      <c r="O120" s="90">
        <v>255</v>
      </c>
    </row>
    <row r="121" spans="1:15" s="90" customFormat="1" ht="12.75" customHeight="1" x14ac:dyDescent="0.2">
      <c r="A121" s="247" t="s">
        <v>760</v>
      </c>
      <c r="B121" s="316">
        <v>3120</v>
      </c>
      <c r="C121" s="247" t="s">
        <v>975</v>
      </c>
      <c r="D121" s="317">
        <v>42647</v>
      </c>
      <c r="E121" s="318">
        <v>0.39482638888888894</v>
      </c>
      <c r="F121" s="247" t="s">
        <v>981</v>
      </c>
      <c r="G121" s="247" t="s">
        <v>1035</v>
      </c>
      <c r="H121" s="248" t="s">
        <v>234</v>
      </c>
      <c r="I121" s="248" t="s">
        <v>677</v>
      </c>
      <c r="J121" s="247" t="s">
        <v>809</v>
      </c>
      <c r="K121" s="249">
        <v>0</v>
      </c>
      <c r="M121" s="90">
        <v>0</v>
      </c>
      <c r="N121" s="90">
        <v>0</v>
      </c>
      <c r="O121" s="90">
        <v>255</v>
      </c>
    </row>
    <row r="122" spans="1:15" s="90" customFormat="1" ht="12.75" customHeight="1" x14ac:dyDescent="0.2">
      <c r="A122" s="247" t="s">
        <v>301</v>
      </c>
      <c r="B122" s="316">
        <v>3042</v>
      </c>
      <c r="C122" s="247" t="s">
        <v>979</v>
      </c>
      <c r="D122" s="317">
        <v>42647</v>
      </c>
      <c r="E122" s="318">
        <v>0.40159722222222222</v>
      </c>
      <c r="F122" s="247" t="s">
        <v>980</v>
      </c>
      <c r="G122" s="247" t="s">
        <v>1035</v>
      </c>
      <c r="H122" s="248" t="s">
        <v>234</v>
      </c>
      <c r="I122" s="248" t="s">
        <v>263</v>
      </c>
      <c r="J122" s="247" t="s">
        <v>809</v>
      </c>
      <c r="K122" s="249">
        <v>0</v>
      </c>
      <c r="M122" s="90">
        <v>0</v>
      </c>
      <c r="N122" s="90">
        <v>0</v>
      </c>
      <c r="O122" s="90">
        <v>255</v>
      </c>
    </row>
    <row r="123" spans="1:15" s="90" customFormat="1" ht="12.75" customHeight="1" x14ac:dyDescent="0.2">
      <c r="A123" s="247" t="s">
        <v>301</v>
      </c>
      <c r="B123" s="316">
        <v>3042</v>
      </c>
      <c r="C123" s="247" t="s">
        <v>979</v>
      </c>
      <c r="D123" s="317">
        <v>42647</v>
      </c>
      <c r="E123" s="318">
        <v>0.42868055555555556</v>
      </c>
      <c r="F123" s="247" t="s">
        <v>980</v>
      </c>
      <c r="G123" s="247" t="s">
        <v>1035</v>
      </c>
      <c r="H123" s="248" t="s">
        <v>234</v>
      </c>
      <c r="I123" s="248" t="s">
        <v>263</v>
      </c>
      <c r="J123" s="247" t="s">
        <v>809</v>
      </c>
      <c r="K123" s="249">
        <v>0</v>
      </c>
      <c r="M123" s="90">
        <v>0</v>
      </c>
      <c r="N123" s="90">
        <v>0</v>
      </c>
      <c r="O123" s="90">
        <v>255</v>
      </c>
    </row>
    <row r="124" spans="1:15" s="90" customFormat="1" ht="12.75" customHeight="1" x14ac:dyDescent="0.2">
      <c r="A124" s="247" t="s">
        <v>989</v>
      </c>
      <c r="B124" s="316">
        <v>3046</v>
      </c>
      <c r="C124" s="247" t="s">
        <v>975</v>
      </c>
      <c r="D124" s="317">
        <v>42647</v>
      </c>
      <c r="E124" s="318">
        <v>0.43446759259259254</v>
      </c>
      <c r="F124" s="247" t="s">
        <v>976</v>
      </c>
      <c r="G124" s="247" t="s">
        <v>1035</v>
      </c>
      <c r="H124" s="248" t="s">
        <v>404</v>
      </c>
      <c r="I124" s="248" t="s">
        <v>404</v>
      </c>
      <c r="J124" s="247" t="s">
        <v>809</v>
      </c>
      <c r="K124" s="249">
        <v>0</v>
      </c>
      <c r="M124" s="90">
        <v>0</v>
      </c>
      <c r="N124" s="90">
        <v>0</v>
      </c>
      <c r="O124" s="90">
        <v>255</v>
      </c>
    </row>
    <row r="125" spans="1:15" s="90" customFormat="1" ht="12.75" customHeight="1" x14ac:dyDescent="0.2">
      <c r="A125" s="247" t="s">
        <v>990</v>
      </c>
      <c r="B125" s="316">
        <v>3046</v>
      </c>
      <c r="C125" s="247" t="s">
        <v>975</v>
      </c>
      <c r="D125" s="317">
        <v>42647</v>
      </c>
      <c r="E125" s="318">
        <v>0.43555555555555553</v>
      </c>
      <c r="F125" s="247" t="s">
        <v>976</v>
      </c>
      <c r="G125" s="247" t="s">
        <v>1035</v>
      </c>
      <c r="H125" s="248" t="s">
        <v>404</v>
      </c>
      <c r="I125" s="248" t="s">
        <v>404</v>
      </c>
      <c r="J125" s="247" t="s">
        <v>809</v>
      </c>
      <c r="K125" s="249">
        <v>0</v>
      </c>
      <c r="M125" s="90">
        <v>0</v>
      </c>
      <c r="N125" s="90">
        <v>0</v>
      </c>
      <c r="O125" s="90">
        <v>255</v>
      </c>
    </row>
    <row r="126" spans="1:15" s="90" customFormat="1" ht="12.75" customHeight="1" x14ac:dyDescent="0.2">
      <c r="A126" s="247" t="s">
        <v>993</v>
      </c>
      <c r="B126" s="316">
        <v>3217</v>
      </c>
      <c r="C126" s="247" t="s">
        <v>975</v>
      </c>
      <c r="D126" s="317">
        <v>42647</v>
      </c>
      <c r="E126" s="318">
        <v>0.43555555555555553</v>
      </c>
      <c r="F126" s="247" t="s">
        <v>235</v>
      </c>
      <c r="G126" s="247" t="s">
        <v>1035</v>
      </c>
      <c r="H126" s="248" t="s">
        <v>234</v>
      </c>
      <c r="I126" s="248" t="s">
        <v>235</v>
      </c>
      <c r="J126" s="247" t="s">
        <v>809</v>
      </c>
      <c r="K126" s="249">
        <v>0</v>
      </c>
      <c r="M126" s="90">
        <v>0</v>
      </c>
      <c r="N126" s="90">
        <v>0</v>
      </c>
      <c r="O126" s="90">
        <v>255</v>
      </c>
    </row>
    <row r="127" spans="1:15" s="90" customFormat="1" ht="12.75" customHeight="1" x14ac:dyDescent="0.2">
      <c r="A127" s="247" t="s">
        <v>1216</v>
      </c>
      <c r="B127" s="316">
        <v>3218</v>
      </c>
      <c r="C127" s="247" t="s">
        <v>979</v>
      </c>
      <c r="D127" s="317">
        <v>42647</v>
      </c>
      <c r="E127" s="318">
        <v>0.46414351851851854</v>
      </c>
      <c r="F127" s="247" t="s">
        <v>702</v>
      </c>
      <c r="G127" s="247" t="s">
        <v>1035</v>
      </c>
      <c r="H127" s="248"/>
      <c r="I127" s="248"/>
      <c r="J127" s="247"/>
      <c r="K127" s="249"/>
      <c r="M127" s="90">
        <v>0</v>
      </c>
      <c r="N127" s="90">
        <v>0</v>
      </c>
      <c r="O127" s="90">
        <v>255</v>
      </c>
    </row>
    <row r="128" spans="1:15" s="90" customFormat="1" ht="12.75" customHeight="1" x14ac:dyDescent="0.2">
      <c r="A128" s="247" t="s">
        <v>1216</v>
      </c>
      <c r="B128" s="316">
        <v>3218</v>
      </c>
      <c r="C128" s="247" t="s">
        <v>979</v>
      </c>
      <c r="D128" s="317">
        <v>42647</v>
      </c>
      <c r="E128" s="318">
        <v>0.46511574074074075</v>
      </c>
      <c r="F128" s="247" t="s">
        <v>702</v>
      </c>
      <c r="G128" s="247" t="s">
        <v>1035</v>
      </c>
      <c r="H128" s="248"/>
      <c r="I128" s="248"/>
      <c r="J128" s="247"/>
      <c r="K128" s="249"/>
      <c r="M128" s="90">
        <v>0</v>
      </c>
      <c r="N128" s="90">
        <v>0</v>
      </c>
      <c r="O128" s="90">
        <v>255</v>
      </c>
    </row>
    <row r="129" spans="1:15" s="90" customFormat="1" ht="12.75" customHeight="1" x14ac:dyDescent="0.2">
      <c r="A129" s="247" t="s">
        <v>1031</v>
      </c>
      <c r="B129" s="316">
        <v>3046</v>
      </c>
      <c r="C129" s="247" t="s">
        <v>975</v>
      </c>
      <c r="D129" s="317">
        <v>42647</v>
      </c>
      <c r="E129" s="318">
        <v>0.46519675925925924</v>
      </c>
      <c r="F129" s="247" t="s">
        <v>976</v>
      </c>
      <c r="G129" s="247" t="s">
        <v>1035</v>
      </c>
      <c r="H129" s="248" t="s">
        <v>404</v>
      </c>
      <c r="I129" s="248" t="s">
        <v>404</v>
      </c>
      <c r="J129" s="247" t="s">
        <v>809</v>
      </c>
      <c r="K129" s="249">
        <v>0</v>
      </c>
      <c r="M129" s="90">
        <v>0</v>
      </c>
      <c r="N129" s="90">
        <v>0</v>
      </c>
      <c r="O129" s="90">
        <v>255</v>
      </c>
    </row>
    <row r="130" spans="1:15" s="90" customFormat="1" ht="12.75" customHeight="1" x14ac:dyDescent="0.2">
      <c r="A130" s="247" t="s">
        <v>1032</v>
      </c>
      <c r="B130" s="316">
        <v>3046</v>
      </c>
      <c r="C130" s="247" t="s">
        <v>975</v>
      </c>
      <c r="D130" s="317">
        <v>42647</v>
      </c>
      <c r="E130" s="318">
        <v>0.47119212962962959</v>
      </c>
      <c r="F130" s="247" t="s">
        <v>976</v>
      </c>
      <c r="G130" s="247" t="s">
        <v>1035</v>
      </c>
      <c r="H130" s="248" t="s">
        <v>404</v>
      </c>
      <c r="I130" s="248" t="s">
        <v>404</v>
      </c>
      <c r="J130" s="247" t="s">
        <v>809</v>
      </c>
      <c r="K130" s="249">
        <v>0</v>
      </c>
      <c r="M130" s="90">
        <v>0</v>
      </c>
      <c r="N130" s="90">
        <v>0</v>
      </c>
      <c r="O130" s="90">
        <v>255</v>
      </c>
    </row>
    <row r="131" spans="1:15" s="90" customFormat="1" ht="12.75" customHeight="1" x14ac:dyDescent="0.2">
      <c r="A131" s="247" t="s">
        <v>989</v>
      </c>
      <c r="B131" s="316">
        <v>3046</v>
      </c>
      <c r="C131" s="247" t="s">
        <v>975</v>
      </c>
      <c r="D131" s="317">
        <v>42647</v>
      </c>
      <c r="E131" s="318">
        <v>0.47119212962962959</v>
      </c>
      <c r="F131" s="247" t="s">
        <v>976</v>
      </c>
      <c r="G131" s="247" t="s">
        <v>1035</v>
      </c>
      <c r="H131" s="248" t="s">
        <v>404</v>
      </c>
      <c r="I131" s="248" t="s">
        <v>404</v>
      </c>
      <c r="J131" s="247" t="s">
        <v>809</v>
      </c>
      <c r="K131" s="249">
        <v>0</v>
      </c>
      <c r="M131" s="90">
        <v>0</v>
      </c>
      <c r="N131" s="90">
        <v>0</v>
      </c>
      <c r="O131" s="90">
        <v>255</v>
      </c>
    </row>
    <row r="132" spans="1:15" s="90" customFormat="1" ht="12.75" customHeight="1" x14ac:dyDescent="0.2">
      <c r="A132" s="247" t="s">
        <v>1033</v>
      </c>
      <c r="B132" s="316">
        <v>3217</v>
      </c>
      <c r="C132" s="247" t="s">
        <v>975</v>
      </c>
      <c r="D132" s="317">
        <v>42647</v>
      </c>
      <c r="E132" s="318">
        <v>0.47146990740740741</v>
      </c>
      <c r="F132" s="247" t="s">
        <v>235</v>
      </c>
      <c r="G132" s="247" t="s">
        <v>1035</v>
      </c>
      <c r="H132" s="248" t="s">
        <v>234</v>
      </c>
      <c r="I132" s="248" t="s">
        <v>235</v>
      </c>
      <c r="J132" s="247" t="s">
        <v>809</v>
      </c>
      <c r="K132" s="249">
        <v>0</v>
      </c>
      <c r="M132" s="90">
        <v>0</v>
      </c>
      <c r="N132" s="90">
        <v>0</v>
      </c>
      <c r="O132" s="90">
        <v>255</v>
      </c>
    </row>
    <row r="133" spans="1:15" s="90" customFormat="1" ht="12.75" customHeight="1" x14ac:dyDescent="0.2">
      <c r="A133" s="247" t="s">
        <v>990</v>
      </c>
      <c r="B133" s="316">
        <v>3046</v>
      </c>
      <c r="C133" s="247" t="s">
        <v>975</v>
      </c>
      <c r="D133" s="317">
        <v>42647</v>
      </c>
      <c r="E133" s="318">
        <v>0.47148148148148145</v>
      </c>
      <c r="F133" s="247" t="s">
        <v>976</v>
      </c>
      <c r="G133" s="247" t="s">
        <v>1035</v>
      </c>
      <c r="H133" s="248" t="s">
        <v>404</v>
      </c>
      <c r="I133" s="248" t="s">
        <v>404</v>
      </c>
      <c r="J133" s="247" t="s">
        <v>809</v>
      </c>
      <c r="K133" s="249">
        <v>0</v>
      </c>
      <c r="M133" s="90">
        <v>0</v>
      </c>
      <c r="N133" s="90">
        <v>0</v>
      </c>
      <c r="O133" s="90">
        <v>255</v>
      </c>
    </row>
    <row r="134" spans="1:15" s="90" customFormat="1" ht="12.75" customHeight="1" x14ac:dyDescent="0.2">
      <c r="A134" s="247" t="s">
        <v>1039</v>
      </c>
      <c r="B134" s="316">
        <v>3061</v>
      </c>
      <c r="C134" s="247" t="s">
        <v>975</v>
      </c>
      <c r="D134" s="317">
        <v>42647</v>
      </c>
      <c r="E134" s="318">
        <v>0.49407407407407411</v>
      </c>
      <c r="F134" s="247" t="s">
        <v>981</v>
      </c>
      <c r="G134" s="247" t="s">
        <v>1035</v>
      </c>
      <c r="H134" s="248" t="s">
        <v>234</v>
      </c>
      <c r="I134" s="248" t="s">
        <v>677</v>
      </c>
      <c r="J134" s="247" t="s">
        <v>809</v>
      </c>
      <c r="K134" s="249">
        <v>0</v>
      </c>
      <c r="M134" s="90">
        <v>0</v>
      </c>
      <c r="N134" s="90">
        <v>0</v>
      </c>
      <c r="O134" s="90">
        <v>255</v>
      </c>
    </row>
    <row r="135" spans="1:15" s="90" customFormat="1" ht="12.75" customHeight="1" x14ac:dyDescent="0.2">
      <c r="A135" s="247" t="s">
        <v>1031</v>
      </c>
      <c r="B135" s="316">
        <v>3046</v>
      </c>
      <c r="C135" s="247" t="s">
        <v>975</v>
      </c>
      <c r="D135" s="317">
        <v>42647</v>
      </c>
      <c r="E135" s="318">
        <v>0.49458333333333332</v>
      </c>
      <c r="F135" s="247" t="s">
        <v>976</v>
      </c>
      <c r="G135" s="247" t="s">
        <v>1035</v>
      </c>
      <c r="H135" s="248" t="s">
        <v>404</v>
      </c>
      <c r="I135" s="248" t="s">
        <v>404</v>
      </c>
      <c r="J135" s="247" t="s">
        <v>809</v>
      </c>
      <c r="K135" s="249">
        <v>0</v>
      </c>
      <c r="M135" s="90">
        <v>0</v>
      </c>
      <c r="N135" s="90">
        <v>0</v>
      </c>
      <c r="O135" s="90">
        <v>255</v>
      </c>
    </row>
    <row r="136" spans="1:15" s="90" customFormat="1" ht="12.75" customHeight="1" x14ac:dyDescent="0.2">
      <c r="A136" s="247" t="s">
        <v>1032</v>
      </c>
      <c r="B136" s="316">
        <v>3046</v>
      </c>
      <c r="C136" s="247" t="s">
        <v>975</v>
      </c>
      <c r="D136" s="317">
        <v>42647</v>
      </c>
      <c r="E136" s="318">
        <v>0.49884259259259256</v>
      </c>
      <c r="F136" s="247" t="s">
        <v>976</v>
      </c>
      <c r="G136" s="247" t="s">
        <v>1035</v>
      </c>
      <c r="H136" s="248" t="s">
        <v>404</v>
      </c>
      <c r="I136" s="248" t="s">
        <v>404</v>
      </c>
      <c r="J136" s="247" t="s">
        <v>809</v>
      </c>
      <c r="K136" s="249">
        <v>0</v>
      </c>
      <c r="M136" s="90">
        <v>0</v>
      </c>
      <c r="N136" s="90">
        <v>0</v>
      </c>
      <c r="O136" s="90">
        <v>255</v>
      </c>
    </row>
    <row r="137" spans="1:15" s="90" customFormat="1" ht="12.75" customHeight="1" x14ac:dyDescent="0.2">
      <c r="A137" s="247" t="s">
        <v>989</v>
      </c>
      <c r="B137" s="316">
        <v>3046</v>
      </c>
      <c r="C137" s="247" t="s">
        <v>975</v>
      </c>
      <c r="D137" s="317">
        <v>42647</v>
      </c>
      <c r="E137" s="318">
        <v>0.49885416666666665</v>
      </c>
      <c r="F137" s="247" t="s">
        <v>976</v>
      </c>
      <c r="G137" s="247" t="s">
        <v>1035</v>
      </c>
      <c r="H137" s="248" t="s">
        <v>404</v>
      </c>
      <c r="I137" s="248" t="s">
        <v>404</v>
      </c>
      <c r="J137" s="247" t="s">
        <v>809</v>
      </c>
      <c r="K137" s="249">
        <v>0</v>
      </c>
      <c r="M137" s="90">
        <v>0</v>
      </c>
      <c r="N137" s="90">
        <v>0</v>
      </c>
      <c r="O137" s="90">
        <v>255</v>
      </c>
    </row>
    <row r="138" spans="1:15" s="90" customFormat="1" ht="12.75" customHeight="1" x14ac:dyDescent="0.2">
      <c r="A138" s="247" t="s">
        <v>990</v>
      </c>
      <c r="B138" s="316">
        <v>3046</v>
      </c>
      <c r="C138" s="247" t="s">
        <v>975</v>
      </c>
      <c r="D138" s="317">
        <v>42647</v>
      </c>
      <c r="E138" s="318">
        <v>0.49913194444444442</v>
      </c>
      <c r="F138" s="247" t="s">
        <v>976</v>
      </c>
      <c r="G138" s="247" t="s">
        <v>1035</v>
      </c>
      <c r="H138" s="248" t="s">
        <v>404</v>
      </c>
      <c r="I138" s="248" t="s">
        <v>404</v>
      </c>
      <c r="J138" s="247" t="s">
        <v>809</v>
      </c>
      <c r="K138" s="249">
        <v>0</v>
      </c>
      <c r="M138" s="90">
        <v>0</v>
      </c>
      <c r="N138" s="90">
        <v>0</v>
      </c>
      <c r="O138" s="90">
        <v>255</v>
      </c>
    </row>
    <row r="139" spans="1:15" s="90" customFormat="1" ht="12.75" customHeight="1" x14ac:dyDescent="0.2">
      <c r="A139" s="247" t="s">
        <v>1033</v>
      </c>
      <c r="B139" s="316">
        <v>3217</v>
      </c>
      <c r="C139" s="247" t="s">
        <v>975</v>
      </c>
      <c r="D139" s="317">
        <v>42647</v>
      </c>
      <c r="E139" s="318">
        <v>0.49913194444444442</v>
      </c>
      <c r="F139" s="247" t="s">
        <v>235</v>
      </c>
      <c r="G139" s="247" t="s">
        <v>1035</v>
      </c>
      <c r="H139" s="248" t="s">
        <v>234</v>
      </c>
      <c r="I139" s="248" t="s">
        <v>235</v>
      </c>
      <c r="J139" s="247" t="s">
        <v>809</v>
      </c>
      <c r="K139" s="249">
        <v>0</v>
      </c>
      <c r="M139" s="90">
        <v>0</v>
      </c>
      <c r="N139" s="90">
        <v>0</v>
      </c>
      <c r="O139" s="90">
        <v>255</v>
      </c>
    </row>
    <row r="140" spans="1:15" s="90" customFormat="1" ht="12.75" customHeight="1" x14ac:dyDescent="0.2">
      <c r="A140" s="247" t="s">
        <v>1031</v>
      </c>
      <c r="B140" s="316">
        <v>3046</v>
      </c>
      <c r="C140" s="247" t="s">
        <v>975</v>
      </c>
      <c r="D140" s="317">
        <v>42647</v>
      </c>
      <c r="E140" s="318">
        <v>0.505</v>
      </c>
      <c r="F140" s="247" t="s">
        <v>976</v>
      </c>
      <c r="G140" s="247" t="s">
        <v>1035</v>
      </c>
      <c r="H140" s="248" t="s">
        <v>404</v>
      </c>
      <c r="I140" s="248" t="s">
        <v>404</v>
      </c>
      <c r="J140" s="247" t="s">
        <v>809</v>
      </c>
      <c r="K140" s="249">
        <v>0</v>
      </c>
      <c r="M140" s="90">
        <v>0</v>
      </c>
      <c r="N140" s="90">
        <v>0</v>
      </c>
      <c r="O140" s="90">
        <v>255</v>
      </c>
    </row>
    <row r="141" spans="1:15" s="90" customFormat="1" ht="12.75" customHeight="1" x14ac:dyDescent="0.2">
      <c r="A141" s="247" t="s">
        <v>613</v>
      </c>
      <c r="B141" s="316">
        <v>4035</v>
      </c>
      <c r="C141" s="247" t="s">
        <v>996</v>
      </c>
      <c r="D141" s="317">
        <v>42647</v>
      </c>
      <c r="E141" s="318">
        <v>0.50515046296296295</v>
      </c>
      <c r="F141" s="247" t="s">
        <v>702</v>
      </c>
      <c r="G141" s="247" t="s">
        <v>1035</v>
      </c>
      <c r="H141" s="248" t="s">
        <v>860</v>
      </c>
      <c r="I141" s="248" t="s">
        <v>40</v>
      </c>
      <c r="J141" s="247" t="s">
        <v>809</v>
      </c>
      <c r="K141" s="249">
        <v>0</v>
      </c>
      <c r="L141" s="90" t="s">
        <v>1775</v>
      </c>
      <c r="M141" s="90">
        <v>258</v>
      </c>
      <c r="N141" s="90">
        <v>1</v>
      </c>
      <c r="O141" s="90">
        <v>0</v>
      </c>
    </row>
    <row r="142" spans="1:15" s="90" customFormat="1" ht="12.75" customHeight="1" x14ac:dyDescent="0.2">
      <c r="A142" s="247" t="s">
        <v>1032</v>
      </c>
      <c r="B142" s="316">
        <v>3046</v>
      </c>
      <c r="C142" s="247" t="s">
        <v>975</v>
      </c>
      <c r="D142" s="317">
        <v>42647</v>
      </c>
      <c r="E142" s="318">
        <v>0.51009259259259265</v>
      </c>
      <c r="F142" s="247" t="s">
        <v>976</v>
      </c>
      <c r="G142" s="247" t="s">
        <v>1035</v>
      </c>
      <c r="H142" s="248" t="s">
        <v>404</v>
      </c>
      <c r="I142" s="248" t="s">
        <v>404</v>
      </c>
      <c r="J142" s="247" t="s">
        <v>809</v>
      </c>
      <c r="K142" s="249">
        <v>0</v>
      </c>
      <c r="M142" s="90">
        <v>0</v>
      </c>
      <c r="N142" s="90">
        <v>0</v>
      </c>
      <c r="O142" s="90">
        <v>255</v>
      </c>
    </row>
    <row r="143" spans="1:15" s="90" customFormat="1" ht="12.75" customHeight="1" x14ac:dyDescent="0.2">
      <c r="A143" s="247" t="s">
        <v>989</v>
      </c>
      <c r="B143" s="316">
        <v>3046</v>
      </c>
      <c r="C143" s="247" t="s">
        <v>975</v>
      </c>
      <c r="D143" s="317">
        <v>42647</v>
      </c>
      <c r="E143" s="318">
        <v>0.51009259259259265</v>
      </c>
      <c r="F143" s="247" t="s">
        <v>976</v>
      </c>
      <c r="G143" s="247" t="s">
        <v>1035</v>
      </c>
      <c r="H143" s="248" t="s">
        <v>404</v>
      </c>
      <c r="I143" s="248" t="s">
        <v>404</v>
      </c>
      <c r="J143" s="247" t="s">
        <v>809</v>
      </c>
      <c r="K143" s="249">
        <v>0</v>
      </c>
      <c r="M143" s="90">
        <v>0</v>
      </c>
      <c r="N143" s="90">
        <v>0</v>
      </c>
      <c r="O143" s="90">
        <v>255</v>
      </c>
    </row>
    <row r="144" spans="1:15" s="90" customFormat="1" ht="12.75" customHeight="1" x14ac:dyDescent="0.2">
      <c r="A144" s="247" t="s">
        <v>1033</v>
      </c>
      <c r="B144" s="316">
        <v>3217</v>
      </c>
      <c r="C144" s="247" t="s">
        <v>975</v>
      </c>
      <c r="D144" s="317">
        <v>42647</v>
      </c>
      <c r="E144" s="318">
        <v>0.51039351851851855</v>
      </c>
      <c r="F144" s="247" t="s">
        <v>235</v>
      </c>
      <c r="G144" s="247" t="s">
        <v>1035</v>
      </c>
      <c r="H144" s="248" t="s">
        <v>234</v>
      </c>
      <c r="I144" s="248" t="s">
        <v>235</v>
      </c>
      <c r="J144" s="247" t="s">
        <v>809</v>
      </c>
      <c r="K144" s="249">
        <v>0</v>
      </c>
      <c r="M144" s="90">
        <v>0</v>
      </c>
      <c r="N144" s="90">
        <v>0</v>
      </c>
      <c r="O144" s="90">
        <v>255</v>
      </c>
    </row>
    <row r="145" spans="1:15" s="90" customFormat="1" ht="12.75" customHeight="1" x14ac:dyDescent="0.2">
      <c r="A145" s="247" t="s">
        <v>990</v>
      </c>
      <c r="B145" s="316">
        <v>3046</v>
      </c>
      <c r="C145" s="247" t="s">
        <v>975</v>
      </c>
      <c r="D145" s="317">
        <v>42647</v>
      </c>
      <c r="E145" s="318">
        <v>0.51040509259259259</v>
      </c>
      <c r="F145" s="247" t="s">
        <v>976</v>
      </c>
      <c r="G145" s="247" t="s">
        <v>1035</v>
      </c>
      <c r="H145" s="248" t="s">
        <v>404</v>
      </c>
      <c r="I145" s="248" t="s">
        <v>404</v>
      </c>
      <c r="J145" s="247" t="s">
        <v>809</v>
      </c>
      <c r="K145" s="249">
        <v>0</v>
      </c>
      <c r="M145" s="90">
        <v>0</v>
      </c>
      <c r="N145" s="90">
        <v>0</v>
      </c>
      <c r="O145" s="90">
        <v>255</v>
      </c>
    </row>
    <row r="146" spans="1:15" s="90" customFormat="1" ht="12.75" customHeight="1" x14ac:dyDescent="0.2">
      <c r="A146" s="247" t="s">
        <v>301</v>
      </c>
      <c r="B146" s="316">
        <v>3042</v>
      </c>
      <c r="C146" s="247" t="s">
        <v>979</v>
      </c>
      <c r="D146" s="317">
        <v>42647</v>
      </c>
      <c r="E146" s="318">
        <v>0.51965277777777785</v>
      </c>
      <c r="F146" s="247" t="s">
        <v>980</v>
      </c>
      <c r="G146" s="247" t="s">
        <v>1035</v>
      </c>
      <c r="H146" s="248" t="s">
        <v>234</v>
      </c>
      <c r="I146" s="248" t="s">
        <v>263</v>
      </c>
      <c r="J146" s="247" t="s">
        <v>809</v>
      </c>
      <c r="K146" s="249">
        <v>0</v>
      </c>
      <c r="M146" s="90">
        <v>0</v>
      </c>
      <c r="N146" s="90">
        <v>0</v>
      </c>
      <c r="O146" s="90">
        <v>255</v>
      </c>
    </row>
    <row r="147" spans="1:15" s="90" customFormat="1" ht="12.75" customHeight="1" x14ac:dyDescent="0.2">
      <c r="A147" s="247" t="s">
        <v>1088</v>
      </c>
      <c r="B147" s="316">
        <v>3046</v>
      </c>
      <c r="C147" s="247" t="s">
        <v>975</v>
      </c>
      <c r="D147" s="317">
        <v>42647</v>
      </c>
      <c r="E147" s="318">
        <v>0.52331018518518524</v>
      </c>
      <c r="F147" s="247" t="s">
        <v>976</v>
      </c>
      <c r="G147" s="247" t="s">
        <v>1035</v>
      </c>
      <c r="H147" s="248" t="s">
        <v>404</v>
      </c>
      <c r="I147" s="248" t="s">
        <v>404</v>
      </c>
      <c r="J147" s="247" t="s">
        <v>809</v>
      </c>
      <c r="K147" s="249">
        <v>0</v>
      </c>
      <c r="M147" s="90">
        <v>0</v>
      </c>
      <c r="N147" s="90">
        <v>0</v>
      </c>
      <c r="O147" s="90">
        <v>255</v>
      </c>
    </row>
    <row r="148" spans="1:15" s="90" customFormat="1" ht="12.75" customHeight="1" x14ac:dyDescent="0.2">
      <c r="A148" s="247" t="s">
        <v>1037</v>
      </c>
      <c r="B148" s="316">
        <v>3108</v>
      </c>
      <c r="C148" s="247" t="s">
        <v>975</v>
      </c>
      <c r="D148" s="317">
        <v>42647</v>
      </c>
      <c r="E148" s="318">
        <v>0.52393518518518511</v>
      </c>
      <c r="F148" s="247" t="s">
        <v>978</v>
      </c>
      <c r="G148" s="247" t="s">
        <v>1035</v>
      </c>
      <c r="H148" s="248" t="s">
        <v>234</v>
      </c>
      <c r="I148" s="248" t="s">
        <v>677</v>
      </c>
      <c r="J148" s="247" t="s">
        <v>809</v>
      </c>
      <c r="K148" s="249">
        <v>0</v>
      </c>
      <c r="M148" s="90">
        <v>0</v>
      </c>
      <c r="N148" s="90">
        <v>0</v>
      </c>
      <c r="O148" s="90">
        <v>255</v>
      </c>
    </row>
    <row r="149" spans="1:15" s="90" customFormat="1" ht="12.75" customHeight="1" x14ac:dyDescent="0.2">
      <c r="A149" s="247" t="s">
        <v>493</v>
      </c>
      <c r="B149" s="316">
        <v>4059</v>
      </c>
      <c r="C149" s="247" t="s">
        <v>979</v>
      </c>
      <c r="D149" s="317">
        <v>42647</v>
      </c>
      <c r="E149" s="318">
        <v>0.5310879629629629</v>
      </c>
      <c r="F149" s="247" t="s">
        <v>980</v>
      </c>
      <c r="G149" s="247"/>
      <c r="H149" s="248" t="s">
        <v>234</v>
      </c>
      <c r="I149" s="248" t="s">
        <v>494</v>
      </c>
      <c r="J149" s="247" t="s">
        <v>809</v>
      </c>
      <c r="K149" s="249">
        <v>0</v>
      </c>
      <c r="M149" s="90">
        <v>0</v>
      </c>
      <c r="N149" s="90">
        <v>0</v>
      </c>
      <c r="O149" s="90">
        <v>255</v>
      </c>
    </row>
    <row r="150" spans="1:15" s="90" customFormat="1" ht="12.75" customHeight="1" x14ac:dyDescent="0.2">
      <c r="A150" s="247" t="s">
        <v>1034</v>
      </c>
      <c r="B150" s="316">
        <v>3106</v>
      </c>
      <c r="C150" s="247" t="s">
        <v>975</v>
      </c>
      <c r="D150" s="317">
        <v>42647</v>
      </c>
      <c r="E150" s="318">
        <v>0.53128472222222223</v>
      </c>
      <c r="F150" s="247" t="s">
        <v>978</v>
      </c>
      <c r="G150" s="247" t="s">
        <v>1035</v>
      </c>
      <c r="H150" s="248" t="s">
        <v>234</v>
      </c>
      <c r="I150" s="248" t="s">
        <v>677</v>
      </c>
      <c r="J150" s="247" t="s">
        <v>809</v>
      </c>
      <c r="K150" s="249">
        <v>0</v>
      </c>
      <c r="M150" s="90">
        <v>0</v>
      </c>
      <c r="N150" s="90">
        <v>0</v>
      </c>
      <c r="O150" s="90">
        <v>255</v>
      </c>
    </row>
    <row r="151" spans="1:15" s="90" customFormat="1" ht="12.75" customHeight="1" x14ac:dyDescent="0.2">
      <c r="A151" s="247" t="s">
        <v>613</v>
      </c>
      <c r="B151" s="316">
        <v>4035</v>
      </c>
      <c r="C151" s="247" t="s">
        <v>996</v>
      </c>
      <c r="D151" s="317">
        <v>42647</v>
      </c>
      <c r="E151" s="318">
        <v>0.53153935185185186</v>
      </c>
      <c r="F151" s="247" t="s">
        <v>702</v>
      </c>
      <c r="G151" s="247" t="s">
        <v>1035</v>
      </c>
      <c r="H151" s="248" t="s">
        <v>860</v>
      </c>
      <c r="I151" s="248" t="s">
        <v>40</v>
      </c>
      <c r="J151" s="247" t="s">
        <v>809</v>
      </c>
      <c r="K151" s="249">
        <v>0</v>
      </c>
      <c r="L151" s="90" t="s">
        <v>1775</v>
      </c>
      <c r="M151" s="90">
        <v>258</v>
      </c>
      <c r="N151" s="90">
        <v>1</v>
      </c>
      <c r="O151" s="90">
        <v>0</v>
      </c>
    </row>
    <row r="152" spans="1:15" s="90" customFormat="1" ht="12.75" customHeight="1" x14ac:dyDescent="0.2">
      <c r="A152" s="247" t="s">
        <v>983</v>
      </c>
      <c r="B152" s="316">
        <v>3046</v>
      </c>
      <c r="C152" s="247" t="s">
        <v>975</v>
      </c>
      <c r="D152" s="317">
        <v>42647</v>
      </c>
      <c r="E152" s="318">
        <v>0.5315509259259259</v>
      </c>
      <c r="F152" s="247" t="s">
        <v>976</v>
      </c>
      <c r="G152" s="247" t="s">
        <v>1035</v>
      </c>
      <c r="H152" s="248" t="s">
        <v>404</v>
      </c>
      <c r="I152" s="248" t="s">
        <v>404</v>
      </c>
      <c r="J152" s="247" t="s">
        <v>809</v>
      </c>
      <c r="K152" s="249">
        <v>0</v>
      </c>
      <c r="M152" s="90">
        <v>0</v>
      </c>
      <c r="N152" s="90">
        <v>0</v>
      </c>
      <c r="O152" s="90">
        <v>255</v>
      </c>
    </row>
    <row r="153" spans="1:15" s="90" customFormat="1" ht="12.75" customHeight="1" x14ac:dyDescent="0.2">
      <c r="A153" s="247" t="s">
        <v>991</v>
      </c>
      <c r="B153" s="316">
        <v>3046</v>
      </c>
      <c r="C153" s="247" t="s">
        <v>975</v>
      </c>
      <c r="D153" s="317">
        <v>42647</v>
      </c>
      <c r="E153" s="318">
        <v>0.53160879629629632</v>
      </c>
      <c r="F153" s="247" t="s">
        <v>976</v>
      </c>
      <c r="G153" s="247" t="s">
        <v>1035</v>
      </c>
      <c r="H153" s="248" t="s">
        <v>404</v>
      </c>
      <c r="I153" s="248" t="s">
        <v>404</v>
      </c>
      <c r="J153" s="247" t="s">
        <v>809</v>
      </c>
      <c r="K153" s="249">
        <v>0</v>
      </c>
      <c r="M153" s="90">
        <v>0</v>
      </c>
      <c r="N153" s="90">
        <v>0</v>
      </c>
      <c r="O153" s="90">
        <v>255</v>
      </c>
    </row>
    <row r="154" spans="1:15" s="90" customFormat="1" ht="12.75" customHeight="1" x14ac:dyDescent="0.2">
      <c r="A154" s="247" t="s">
        <v>992</v>
      </c>
      <c r="B154" s="316">
        <v>3046</v>
      </c>
      <c r="C154" s="247" t="s">
        <v>975</v>
      </c>
      <c r="D154" s="317">
        <v>42647</v>
      </c>
      <c r="E154" s="318">
        <v>0.53289351851851852</v>
      </c>
      <c r="F154" s="247" t="s">
        <v>976</v>
      </c>
      <c r="G154" s="247" t="s">
        <v>1035</v>
      </c>
      <c r="H154" s="248" t="s">
        <v>404</v>
      </c>
      <c r="I154" s="248" t="s">
        <v>404</v>
      </c>
      <c r="J154" s="247" t="s">
        <v>809</v>
      </c>
      <c r="K154" s="249">
        <v>0</v>
      </c>
      <c r="M154" s="90">
        <v>0</v>
      </c>
      <c r="N154" s="90">
        <v>0</v>
      </c>
      <c r="O154" s="90">
        <v>255</v>
      </c>
    </row>
    <row r="155" spans="1:15" s="90" customFormat="1" ht="12.75" customHeight="1" x14ac:dyDescent="0.2">
      <c r="A155" s="247" t="s">
        <v>988</v>
      </c>
      <c r="B155" s="316">
        <v>3046</v>
      </c>
      <c r="C155" s="247" t="s">
        <v>975</v>
      </c>
      <c r="D155" s="317">
        <v>42647</v>
      </c>
      <c r="E155" s="318">
        <v>0.53434027777777782</v>
      </c>
      <c r="F155" s="247" t="s">
        <v>976</v>
      </c>
      <c r="G155" s="247" t="s">
        <v>1035</v>
      </c>
      <c r="H155" s="248" t="s">
        <v>404</v>
      </c>
      <c r="I155" s="248" t="s">
        <v>404</v>
      </c>
      <c r="J155" s="247" t="s">
        <v>809</v>
      </c>
      <c r="K155" s="249">
        <v>0</v>
      </c>
      <c r="M155" s="90">
        <v>0</v>
      </c>
      <c r="N155" s="90">
        <v>0</v>
      </c>
      <c r="O155" s="90">
        <v>255</v>
      </c>
    </row>
    <row r="156" spans="1:15" s="90" customFormat="1" ht="12.75" customHeight="1" x14ac:dyDescent="0.2">
      <c r="A156" s="247" t="s">
        <v>989</v>
      </c>
      <c r="B156" s="316">
        <v>3046</v>
      </c>
      <c r="C156" s="247" t="s">
        <v>975</v>
      </c>
      <c r="D156" s="317">
        <v>42647</v>
      </c>
      <c r="E156" s="318">
        <v>0.53434027777777782</v>
      </c>
      <c r="F156" s="247" t="s">
        <v>976</v>
      </c>
      <c r="G156" s="247" t="s">
        <v>1035</v>
      </c>
      <c r="H156" s="248" t="s">
        <v>404</v>
      </c>
      <c r="I156" s="248" t="s">
        <v>404</v>
      </c>
      <c r="J156" s="247" t="s">
        <v>809</v>
      </c>
      <c r="K156" s="249">
        <v>0</v>
      </c>
      <c r="M156" s="90">
        <v>0</v>
      </c>
      <c r="N156" s="90">
        <v>0</v>
      </c>
      <c r="O156" s="90">
        <v>255</v>
      </c>
    </row>
    <row r="157" spans="1:15" s="90" customFormat="1" ht="12.75" customHeight="1" x14ac:dyDescent="0.2">
      <c r="A157" s="247" t="s">
        <v>990</v>
      </c>
      <c r="B157" s="316">
        <v>3046</v>
      </c>
      <c r="C157" s="247" t="s">
        <v>975</v>
      </c>
      <c r="D157" s="317">
        <v>42647</v>
      </c>
      <c r="E157" s="318">
        <v>0.53519675925925925</v>
      </c>
      <c r="F157" s="247" t="s">
        <v>976</v>
      </c>
      <c r="G157" s="247" t="s">
        <v>1035</v>
      </c>
      <c r="H157" s="248" t="s">
        <v>404</v>
      </c>
      <c r="I157" s="248" t="s">
        <v>404</v>
      </c>
      <c r="J157" s="247" t="s">
        <v>809</v>
      </c>
      <c r="K157" s="249">
        <v>0</v>
      </c>
      <c r="M157" s="90">
        <v>0</v>
      </c>
      <c r="N157" s="90">
        <v>0</v>
      </c>
      <c r="O157" s="90">
        <v>255</v>
      </c>
    </row>
    <row r="158" spans="1:15" s="90" customFormat="1" ht="12.75" customHeight="1" x14ac:dyDescent="0.2">
      <c r="A158" s="247" t="s">
        <v>989</v>
      </c>
      <c r="B158" s="316">
        <v>3046</v>
      </c>
      <c r="C158" s="247" t="s">
        <v>975</v>
      </c>
      <c r="D158" s="317">
        <v>42647</v>
      </c>
      <c r="E158" s="318">
        <v>0.57686342592592588</v>
      </c>
      <c r="F158" s="247" t="s">
        <v>976</v>
      </c>
      <c r="G158" s="247" t="s">
        <v>1035</v>
      </c>
      <c r="H158" s="248" t="s">
        <v>404</v>
      </c>
      <c r="I158" s="248" t="s">
        <v>404</v>
      </c>
      <c r="J158" s="247" t="s">
        <v>809</v>
      </c>
      <c r="K158" s="249">
        <v>0</v>
      </c>
      <c r="M158" s="90">
        <v>0</v>
      </c>
      <c r="N158" s="90">
        <v>0</v>
      </c>
      <c r="O158" s="90">
        <v>255</v>
      </c>
    </row>
    <row r="159" spans="1:15" s="90" customFormat="1" ht="12.75" customHeight="1" x14ac:dyDescent="0.2">
      <c r="A159" s="247" t="s">
        <v>990</v>
      </c>
      <c r="B159" s="316">
        <v>3046</v>
      </c>
      <c r="C159" s="247" t="s">
        <v>975</v>
      </c>
      <c r="D159" s="317">
        <v>42647</v>
      </c>
      <c r="E159" s="318">
        <v>0.57710648148148147</v>
      </c>
      <c r="F159" s="247" t="s">
        <v>976</v>
      </c>
      <c r="G159" s="247" t="s">
        <v>1035</v>
      </c>
      <c r="H159" s="248" t="s">
        <v>404</v>
      </c>
      <c r="I159" s="248" t="s">
        <v>404</v>
      </c>
      <c r="J159" s="247" t="s">
        <v>809</v>
      </c>
      <c r="K159" s="249">
        <v>0</v>
      </c>
      <c r="M159" s="90">
        <v>0</v>
      </c>
      <c r="N159" s="90">
        <v>0</v>
      </c>
      <c r="O159" s="90">
        <v>255</v>
      </c>
    </row>
    <row r="160" spans="1:15" s="90" customFormat="1" ht="12.75" customHeight="1" x14ac:dyDescent="0.2">
      <c r="A160" s="247" t="s">
        <v>993</v>
      </c>
      <c r="B160" s="316">
        <v>3217</v>
      </c>
      <c r="C160" s="247" t="s">
        <v>975</v>
      </c>
      <c r="D160" s="317">
        <v>42647</v>
      </c>
      <c r="E160" s="318">
        <v>0.57710648148148147</v>
      </c>
      <c r="F160" s="247" t="s">
        <v>235</v>
      </c>
      <c r="G160" s="247" t="s">
        <v>1035</v>
      </c>
      <c r="H160" s="248" t="s">
        <v>234</v>
      </c>
      <c r="I160" s="248" t="s">
        <v>235</v>
      </c>
      <c r="J160" s="247" t="s">
        <v>809</v>
      </c>
      <c r="K160" s="249">
        <v>0</v>
      </c>
      <c r="M160" s="90">
        <v>0</v>
      </c>
      <c r="N160" s="90">
        <v>0</v>
      </c>
      <c r="O160" s="90">
        <v>255</v>
      </c>
    </row>
    <row r="161" spans="1:15" s="90" customFormat="1" ht="12.75" customHeight="1" x14ac:dyDescent="0.2">
      <c r="A161" s="247" t="s">
        <v>760</v>
      </c>
      <c r="B161" s="316">
        <v>3120</v>
      </c>
      <c r="C161" s="247" t="s">
        <v>975</v>
      </c>
      <c r="D161" s="317">
        <v>42647</v>
      </c>
      <c r="E161" s="318">
        <v>0.59829861111111116</v>
      </c>
      <c r="F161" s="247" t="s">
        <v>981</v>
      </c>
      <c r="G161" s="247" t="s">
        <v>1035</v>
      </c>
      <c r="H161" s="248" t="s">
        <v>234</v>
      </c>
      <c r="I161" s="248" t="s">
        <v>677</v>
      </c>
      <c r="J161" s="247" t="s">
        <v>809</v>
      </c>
      <c r="K161" s="249">
        <v>0</v>
      </c>
      <c r="M161" s="90">
        <v>0</v>
      </c>
      <c r="N161" s="90">
        <v>0</v>
      </c>
      <c r="O161" s="90">
        <v>255</v>
      </c>
    </row>
    <row r="162" spans="1:15" s="90" customFormat="1" ht="12.75" customHeight="1" x14ac:dyDescent="0.2">
      <c r="A162" s="247" t="s">
        <v>989</v>
      </c>
      <c r="B162" s="316">
        <v>3046</v>
      </c>
      <c r="C162" s="247" t="s">
        <v>975</v>
      </c>
      <c r="D162" s="317">
        <v>42647</v>
      </c>
      <c r="E162" s="318">
        <v>0.61878472222222225</v>
      </c>
      <c r="F162" s="247" t="s">
        <v>976</v>
      </c>
      <c r="G162" s="247" t="s">
        <v>1035</v>
      </c>
      <c r="H162" s="248" t="s">
        <v>404</v>
      </c>
      <c r="I162" s="248" t="s">
        <v>404</v>
      </c>
      <c r="J162" s="247" t="s">
        <v>809</v>
      </c>
      <c r="K162" s="249">
        <v>0</v>
      </c>
      <c r="M162" s="90">
        <v>0</v>
      </c>
      <c r="N162" s="90">
        <v>0</v>
      </c>
      <c r="O162" s="90">
        <v>255</v>
      </c>
    </row>
    <row r="163" spans="1:15" s="90" customFormat="1" ht="12.75" customHeight="1" x14ac:dyDescent="0.2">
      <c r="A163" s="247" t="s">
        <v>990</v>
      </c>
      <c r="B163" s="316">
        <v>3046</v>
      </c>
      <c r="C163" s="247" t="s">
        <v>975</v>
      </c>
      <c r="D163" s="317">
        <v>42647</v>
      </c>
      <c r="E163" s="318">
        <v>0.61902777777777784</v>
      </c>
      <c r="F163" s="247" t="s">
        <v>976</v>
      </c>
      <c r="G163" s="247" t="s">
        <v>1035</v>
      </c>
      <c r="H163" s="248" t="s">
        <v>404</v>
      </c>
      <c r="I163" s="248" t="s">
        <v>404</v>
      </c>
      <c r="J163" s="247" t="s">
        <v>809</v>
      </c>
      <c r="K163" s="249">
        <v>0</v>
      </c>
      <c r="M163" s="90">
        <v>0</v>
      </c>
      <c r="N163" s="90">
        <v>0</v>
      </c>
      <c r="O163" s="90">
        <v>255</v>
      </c>
    </row>
    <row r="164" spans="1:15" s="90" customFormat="1" ht="12.75" customHeight="1" x14ac:dyDescent="0.2">
      <c r="A164" s="247" t="s">
        <v>993</v>
      </c>
      <c r="B164" s="316">
        <v>3217</v>
      </c>
      <c r="C164" s="247" t="s">
        <v>975</v>
      </c>
      <c r="D164" s="317">
        <v>42647</v>
      </c>
      <c r="E164" s="318">
        <v>0.61902777777777784</v>
      </c>
      <c r="F164" s="247" t="s">
        <v>235</v>
      </c>
      <c r="G164" s="247" t="s">
        <v>1035</v>
      </c>
      <c r="H164" s="248" t="s">
        <v>234</v>
      </c>
      <c r="I164" s="248" t="s">
        <v>235</v>
      </c>
      <c r="J164" s="247" t="s">
        <v>809</v>
      </c>
      <c r="K164" s="249">
        <v>0</v>
      </c>
      <c r="M164" s="90">
        <v>0</v>
      </c>
      <c r="N164" s="90">
        <v>0</v>
      </c>
      <c r="O164" s="90">
        <v>255</v>
      </c>
    </row>
    <row r="165" spans="1:15" s="90" customFormat="1" ht="12.75" customHeight="1" x14ac:dyDescent="0.2">
      <c r="A165" s="247" t="s">
        <v>989</v>
      </c>
      <c r="B165" s="316">
        <v>3046</v>
      </c>
      <c r="C165" s="247" t="s">
        <v>975</v>
      </c>
      <c r="D165" s="317">
        <v>42647</v>
      </c>
      <c r="E165" s="318">
        <v>0.66069444444444447</v>
      </c>
      <c r="F165" s="247" t="s">
        <v>976</v>
      </c>
      <c r="G165" s="247" t="s">
        <v>1035</v>
      </c>
      <c r="H165" s="248" t="s">
        <v>404</v>
      </c>
      <c r="I165" s="248" t="s">
        <v>404</v>
      </c>
      <c r="J165" s="247" t="s">
        <v>809</v>
      </c>
      <c r="K165" s="249">
        <v>0</v>
      </c>
      <c r="M165" s="90">
        <v>0</v>
      </c>
      <c r="N165" s="90">
        <v>0</v>
      </c>
      <c r="O165" s="90">
        <v>255</v>
      </c>
    </row>
    <row r="166" spans="1:15" s="90" customFormat="1" ht="12.75" customHeight="1" x14ac:dyDescent="0.2">
      <c r="A166" s="247" t="s">
        <v>990</v>
      </c>
      <c r="B166" s="316">
        <v>3046</v>
      </c>
      <c r="C166" s="247" t="s">
        <v>975</v>
      </c>
      <c r="D166" s="317">
        <v>42647</v>
      </c>
      <c r="E166" s="318">
        <v>0.66094907407407411</v>
      </c>
      <c r="F166" s="247" t="s">
        <v>976</v>
      </c>
      <c r="G166" s="247" t="s">
        <v>1035</v>
      </c>
      <c r="H166" s="248" t="s">
        <v>404</v>
      </c>
      <c r="I166" s="248" t="s">
        <v>404</v>
      </c>
      <c r="J166" s="247" t="s">
        <v>809</v>
      </c>
      <c r="K166" s="249">
        <v>0</v>
      </c>
      <c r="M166" s="90">
        <v>0</v>
      </c>
      <c r="N166" s="90">
        <v>0</v>
      </c>
      <c r="O166" s="90">
        <v>255</v>
      </c>
    </row>
    <row r="167" spans="1:15" s="90" customFormat="1" ht="12.75" customHeight="1" x14ac:dyDescent="0.2">
      <c r="A167" s="247" t="s">
        <v>993</v>
      </c>
      <c r="B167" s="316">
        <v>3217</v>
      </c>
      <c r="C167" s="247" t="s">
        <v>975</v>
      </c>
      <c r="D167" s="317">
        <v>42647</v>
      </c>
      <c r="E167" s="318">
        <v>0.66094907407407411</v>
      </c>
      <c r="F167" s="247" t="s">
        <v>235</v>
      </c>
      <c r="G167" s="247" t="s">
        <v>1035</v>
      </c>
      <c r="H167" s="248" t="s">
        <v>234</v>
      </c>
      <c r="I167" s="248" t="s">
        <v>235</v>
      </c>
      <c r="J167" s="247" t="s">
        <v>809</v>
      </c>
      <c r="K167" s="249">
        <v>0</v>
      </c>
      <c r="M167" s="90">
        <v>0</v>
      </c>
      <c r="N167" s="90">
        <v>0</v>
      </c>
      <c r="O167" s="90">
        <v>255</v>
      </c>
    </row>
    <row r="168" spans="1:15" s="90" customFormat="1" ht="12.75" customHeight="1" x14ac:dyDescent="0.2">
      <c r="A168" s="247" t="s">
        <v>989</v>
      </c>
      <c r="B168" s="316">
        <v>3046</v>
      </c>
      <c r="C168" s="247" t="s">
        <v>975</v>
      </c>
      <c r="D168" s="317">
        <v>42647</v>
      </c>
      <c r="E168" s="318">
        <v>0.70261574074074085</v>
      </c>
      <c r="F168" s="247" t="s">
        <v>976</v>
      </c>
      <c r="G168" s="247" t="s">
        <v>1035</v>
      </c>
      <c r="H168" s="248" t="s">
        <v>404</v>
      </c>
      <c r="I168" s="248" t="s">
        <v>404</v>
      </c>
      <c r="J168" s="247" t="s">
        <v>809</v>
      </c>
      <c r="K168" s="249">
        <v>0</v>
      </c>
      <c r="M168" s="90">
        <v>0</v>
      </c>
      <c r="N168" s="90">
        <v>0</v>
      </c>
      <c r="O168" s="90">
        <v>255</v>
      </c>
    </row>
    <row r="169" spans="1:15" s="90" customFormat="1" ht="12.75" customHeight="1" x14ac:dyDescent="0.2">
      <c r="A169" s="247" t="s">
        <v>990</v>
      </c>
      <c r="B169" s="316">
        <v>3046</v>
      </c>
      <c r="C169" s="247" t="s">
        <v>975</v>
      </c>
      <c r="D169" s="317">
        <v>42647</v>
      </c>
      <c r="E169" s="318">
        <v>0.70287037037037037</v>
      </c>
      <c r="F169" s="247" t="s">
        <v>976</v>
      </c>
      <c r="G169" s="247" t="s">
        <v>1035</v>
      </c>
      <c r="H169" s="248" t="s">
        <v>404</v>
      </c>
      <c r="I169" s="248" t="s">
        <v>404</v>
      </c>
      <c r="J169" s="247" t="s">
        <v>809</v>
      </c>
      <c r="K169" s="249">
        <v>0</v>
      </c>
      <c r="M169" s="90">
        <v>0</v>
      </c>
      <c r="N169" s="90">
        <v>0</v>
      </c>
      <c r="O169" s="90">
        <v>255</v>
      </c>
    </row>
    <row r="170" spans="1:15" s="90" customFormat="1" ht="12.75" customHeight="1" x14ac:dyDescent="0.2">
      <c r="A170" s="247" t="s">
        <v>993</v>
      </c>
      <c r="B170" s="316">
        <v>3217</v>
      </c>
      <c r="C170" s="247" t="s">
        <v>975</v>
      </c>
      <c r="D170" s="317">
        <v>42647</v>
      </c>
      <c r="E170" s="318">
        <v>0.70287037037037037</v>
      </c>
      <c r="F170" s="247" t="s">
        <v>235</v>
      </c>
      <c r="G170" s="247" t="s">
        <v>1035</v>
      </c>
      <c r="H170" s="248" t="s">
        <v>234</v>
      </c>
      <c r="I170" s="248" t="s">
        <v>235</v>
      </c>
      <c r="J170" s="247" t="s">
        <v>809</v>
      </c>
      <c r="K170" s="249">
        <v>0</v>
      </c>
      <c r="M170" s="90">
        <v>0</v>
      </c>
      <c r="N170" s="90">
        <v>0</v>
      </c>
      <c r="O170" s="90">
        <v>255</v>
      </c>
    </row>
    <row r="171" spans="1:15" s="90" customFormat="1" ht="12.75" customHeight="1" x14ac:dyDescent="0.2">
      <c r="A171" s="247" t="s">
        <v>989</v>
      </c>
      <c r="B171" s="316">
        <v>3046</v>
      </c>
      <c r="C171" s="247" t="s">
        <v>975</v>
      </c>
      <c r="D171" s="317">
        <v>42647</v>
      </c>
      <c r="E171" s="318">
        <v>0.74453703703703711</v>
      </c>
      <c r="F171" s="247" t="s">
        <v>976</v>
      </c>
      <c r="G171" s="247" t="s">
        <v>1035</v>
      </c>
      <c r="H171" s="248" t="s">
        <v>404</v>
      </c>
      <c r="I171" s="248" t="s">
        <v>404</v>
      </c>
      <c r="J171" s="247" t="s">
        <v>809</v>
      </c>
      <c r="K171" s="249">
        <v>0</v>
      </c>
      <c r="M171" s="90">
        <v>0</v>
      </c>
      <c r="N171" s="90">
        <v>0</v>
      </c>
      <c r="O171" s="90">
        <v>255</v>
      </c>
    </row>
    <row r="172" spans="1:15" s="90" customFormat="1" ht="12.75" customHeight="1" x14ac:dyDescent="0.2">
      <c r="A172" s="247" t="s">
        <v>990</v>
      </c>
      <c r="B172" s="316">
        <v>3046</v>
      </c>
      <c r="C172" s="247" t="s">
        <v>975</v>
      </c>
      <c r="D172" s="317">
        <v>42647</v>
      </c>
      <c r="E172" s="318">
        <v>0.74479166666666663</v>
      </c>
      <c r="F172" s="247" t="s">
        <v>976</v>
      </c>
      <c r="G172" s="247" t="s">
        <v>1035</v>
      </c>
      <c r="H172" s="248" t="s">
        <v>404</v>
      </c>
      <c r="I172" s="248" t="s">
        <v>404</v>
      </c>
      <c r="J172" s="247" t="s">
        <v>809</v>
      </c>
      <c r="K172" s="249">
        <v>0</v>
      </c>
      <c r="M172" s="90">
        <v>0</v>
      </c>
      <c r="N172" s="90">
        <v>0</v>
      </c>
      <c r="O172" s="90">
        <v>255</v>
      </c>
    </row>
    <row r="173" spans="1:15" s="90" customFormat="1" ht="12.75" customHeight="1" x14ac:dyDescent="0.2">
      <c r="A173" s="247" t="s">
        <v>993</v>
      </c>
      <c r="B173" s="316">
        <v>3217</v>
      </c>
      <c r="C173" s="247" t="s">
        <v>975</v>
      </c>
      <c r="D173" s="317">
        <v>42647</v>
      </c>
      <c r="E173" s="318">
        <v>0.74479166666666663</v>
      </c>
      <c r="F173" s="247" t="s">
        <v>235</v>
      </c>
      <c r="G173" s="247" t="s">
        <v>1035</v>
      </c>
      <c r="H173" s="248" t="s">
        <v>234</v>
      </c>
      <c r="I173" s="248" t="s">
        <v>235</v>
      </c>
      <c r="J173" s="247" t="s">
        <v>809</v>
      </c>
      <c r="K173" s="249">
        <v>0</v>
      </c>
      <c r="M173" s="90">
        <v>0</v>
      </c>
      <c r="N173" s="90">
        <v>0</v>
      </c>
      <c r="O173" s="90">
        <v>255</v>
      </c>
    </row>
    <row r="174" spans="1:15" s="90" customFormat="1" ht="12.75" customHeight="1" x14ac:dyDescent="0.2">
      <c r="A174" s="247" t="s">
        <v>989</v>
      </c>
      <c r="B174" s="316">
        <v>3046</v>
      </c>
      <c r="C174" s="247" t="s">
        <v>975</v>
      </c>
      <c r="D174" s="317">
        <v>42647</v>
      </c>
      <c r="E174" s="318">
        <v>0.78645833333333337</v>
      </c>
      <c r="F174" s="247" t="s">
        <v>976</v>
      </c>
      <c r="G174" s="247" t="s">
        <v>1035</v>
      </c>
      <c r="H174" s="248" t="s">
        <v>404</v>
      </c>
      <c r="I174" s="248" t="s">
        <v>404</v>
      </c>
      <c r="J174" s="247" t="s">
        <v>809</v>
      </c>
      <c r="K174" s="249">
        <v>0</v>
      </c>
      <c r="M174" s="90">
        <v>0</v>
      </c>
      <c r="N174" s="90">
        <v>0</v>
      </c>
      <c r="O174" s="90">
        <v>255</v>
      </c>
    </row>
    <row r="175" spans="1:15" s="90" customFormat="1" ht="12.75" customHeight="1" x14ac:dyDescent="0.2">
      <c r="A175" s="247" t="s">
        <v>990</v>
      </c>
      <c r="B175" s="316">
        <v>3046</v>
      </c>
      <c r="C175" s="247" t="s">
        <v>975</v>
      </c>
      <c r="D175" s="317">
        <v>42647</v>
      </c>
      <c r="E175" s="318">
        <v>0.78671296296296289</v>
      </c>
      <c r="F175" s="247" t="s">
        <v>976</v>
      </c>
      <c r="G175" s="247" t="s">
        <v>1035</v>
      </c>
      <c r="H175" s="248" t="s">
        <v>404</v>
      </c>
      <c r="I175" s="248" t="s">
        <v>404</v>
      </c>
      <c r="J175" s="247" t="s">
        <v>809</v>
      </c>
      <c r="K175" s="249">
        <v>0</v>
      </c>
      <c r="M175" s="90">
        <v>0</v>
      </c>
      <c r="N175" s="90">
        <v>0</v>
      </c>
      <c r="O175" s="90">
        <v>255</v>
      </c>
    </row>
    <row r="176" spans="1:15" s="90" customFormat="1" ht="12.75" customHeight="1" x14ac:dyDescent="0.2">
      <c r="A176" s="247" t="s">
        <v>993</v>
      </c>
      <c r="B176" s="316">
        <v>3217</v>
      </c>
      <c r="C176" s="247" t="s">
        <v>975</v>
      </c>
      <c r="D176" s="317">
        <v>42647</v>
      </c>
      <c r="E176" s="318">
        <v>0.78671296296296289</v>
      </c>
      <c r="F176" s="247" t="s">
        <v>235</v>
      </c>
      <c r="G176" s="247" t="s">
        <v>1035</v>
      </c>
      <c r="H176" s="248" t="s">
        <v>234</v>
      </c>
      <c r="I176" s="248" t="s">
        <v>235</v>
      </c>
      <c r="J176" s="247" t="s">
        <v>809</v>
      </c>
      <c r="K176" s="249">
        <v>0</v>
      </c>
      <c r="M176" s="90">
        <v>0</v>
      </c>
      <c r="N176" s="90">
        <v>0</v>
      </c>
      <c r="O176" s="90">
        <v>255</v>
      </c>
    </row>
    <row r="177" spans="1:15" s="90" customFormat="1" ht="12.75" customHeight="1" x14ac:dyDescent="0.2">
      <c r="A177" s="247" t="s">
        <v>989</v>
      </c>
      <c r="B177" s="316">
        <v>3046</v>
      </c>
      <c r="C177" s="247" t="s">
        <v>975</v>
      </c>
      <c r="D177" s="317">
        <v>42647</v>
      </c>
      <c r="E177" s="318">
        <v>0.82837962962962963</v>
      </c>
      <c r="F177" s="247" t="s">
        <v>976</v>
      </c>
      <c r="G177" s="247" t="s">
        <v>1035</v>
      </c>
      <c r="H177" s="248" t="s">
        <v>404</v>
      </c>
      <c r="I177" s="248" t="s">
        <v>404</v>
      </c>
      <c r="J177" s="247" t="s">
        <v>809</v>
      </c>
      <c r="K177" s="249">
        <v>0</v>
      </c>
      <c r="M177" s="90">
        <v>0</v>
      </c>
      <c r="N177" s="90">
        <v>0</v>
      </c>
      <c r="O177" s="90">
        <v>255</v>
      </c>
    </row>
    <row r="178" spans="1:15" s="90" customFormat="1" ht="12.75" customHeight="1" x14ac:dyDescent="0.2">
      <c r="A178" s="247" t="s">
        <v>990</v>
      </c>
      <c r="B178" s="316">
        <v>3046</v>
      </c>
      <c r="C178" s="247" t="s">
        <v>975</v>
      </c>
      <c r="D178" s="317">
        <v>42647</v>
      </c>
      <c r="E178" s="318">
        <v>0.82863425925925915</v>
      </c>
      <c r="F178" s="247" t="s">
        <v>976</v>
      </c>
      <c r="G178" s="247" t="s">
        <v>1035</v>
      </c>
      <c r="H178" s="248" t="s">
        <v>404</v>
      </c>
      <c r="I178" s="248" t="s">
        <v>404</v>
      </c>
      <c r="J178" s="247" t="s">
        <v>809</v>
      </c>
      <c r="K178" s="249">
        <v>0</v>
      </c>
      <c r="M178" s="90">
        <v>0</v>
      </c>
      <c r="N178" s="90">
        <v>0</v>
      </c>
      <c r="O178" s="90">
        <v>255</v>
      </c>
    </row>
    <row r="179" spans="1:15" s="90" customFormat="1" ht="12.75" customHeight="1" x14ac:dyDescent="0.2">
      <c r="A179" s="247" t="s">
        <v>993</v>
      </c>
      <c r="B179" s="316">
        <v>3217</v>
      </c>
      <c r="C179" s="247" t="s">
        <v>975</v>
      </c>
      <c r="D179" s="317">
        <v>42647</v>
      </c>
      <c r="E179" s="318">
        <v>0.82863425925925915</v>
      </c>
      <c r="F179" s="247" t="s">
        <v>235</v>
      </c>
      <c r="G179" s="247" t="s">
        <v>1035</v>
      </c>
      <c r="H179" s="248" t="s">
        <v>234</v>
      </c>
      <c r="I179" s="248" t="s">
        <v>235</v>
      </c>
      <c r="J179" s="247" t="s">
        <v>809</v>
      </c>
      <c r="K179" s="249">
        <v>0</v>
      </c>
      <c r="M179" s="90">
        <v>0</v>
      </c>
      <c r="N179" s="90">
        <v>0</v>
      </c>
      <c r="O179" s="90">
        <v>255</v>
      </c>
    </row>
    <row r="180" spans="1:15" s="90" customFormat="1" ht="12.75" customHeight="1" x14ac:dyDescent="0.2">
      <c r="A180" s="247" t="s">
        <v>989</v>
      </c>
      <c r="B180" s="316">
        <v>3046</v>
      </c>
      <c r="C180" s="247" t="s">
        <v>975</v>
      </c>
      <c r="D180" s="317">
        <v>42647</v>
      </c>
      <c r="E180" s="318">
        <v>0.87030092592592589</v>
      </c>
      <c r="F180" s="247" t="s">
        <v>976</v>
      </c>
      <c r="G180" s="247" t="s">
        <v>1035</v>
      </c>
      <c r="H180" s="248" t="s">
        <v>404</v>
      </c>
      <c r="I180" s="248" t="s">
        <v>404</v>
      </c>
      <c r="J180" s="247" t="s">
        <v>809</v>
      </c>
      <c r="K180" s="249">
        <v>0</v>
      </c>
      <c r="M180" s="90">
        <v>0</v>
      </c>
      <c r="N180" s="90">
        <v>0</v>
      </c>
      <c r="O180" s="90">
        <v>255</v>
      </c>
    </row>
    <row r="181" spans="1:15" s="90" customFormat="1" ht="12.75" customHeight="1" x14ac:dyDescent="0.2">
      <c r="A181" s="247" t="s">
        <v>997</v>
      </c>
      <c r="B181" s="316">
        <v>4025</v>
      </c>
      <c r="C181" s="247" t="s">
        <v>996</v>
      </c>
      <c r="D181" s="317">
        <v>42647</v>
      </c>
      <c r="E181" s="318">
        <v>0.8703819444444445</v>
      </c>
      <c r="F181" s="247" t="s">
        <v>702</v>
      </c>
      <c r="G181" s="247" t="s">
        <v>1035</v>
      </c>
      <c r="H181" s="248" t="s">
        <v>4</v>
      </c>
      <c r="I181" s="248" t="s">
        <v>5</v>
      </c>
      <c r="J181" s="247" t="s">
        <v>809</v>
      </c>
      <c r="K181" s="249">
        <v>0</v>
      </c>
      <c r="L181" s="90" t="s">
        <v>1780</v>
      </c>
      <c r="M181" s="90">
        <v>327</v>
      </c>
      <c r="N181" s="90">
        <v>-1</v>
      </c>
      <c r="O181" s="90">
        <v>0</v>
      </c>
    </row>
    <row r="182" spans="1:15" s="90" customFormat="1" ht="12.75" customHeight="1" x14ac:dyDescent="0.2">
      <c r="A182" s="247" t="s">
        <v>990</v>
      </c>
      <c r="B182" s="316">
        <v>3046</v>
      </c>
      <c r="C182" s="247" t="s">
        <v>975</v>
      </c>
      <c r="D182" s="317">
        <v>42647</v>
      </c>
      <c r="E182" s="318">
        <v>0.87055555555555564</v>
      </c>
      <c r="F182" s="247" t="s">
        <v>976</v>
      </c>
      <c r="G182" s="247" t="s">
        <v>1035</v>
      </c>
      <c r="H182" s="248" t="s">
        <v>404</v>
      </c>
      <c r="I182" s="248" t="s">
        <v>404</v>
      </c>
      <c r="J182" s="247" t="s">
        <v>809</v>
      </c>
      <c r="K182" s="249">
        <v>0</v>
      </c>
      <c r="M182" s="90">
        <v>0</v>
      </c>
      <c r="N182" s="90">
        <v>0</v>
      </c>
      <c r="O182" s="90">
        <v>255</v>
      </c>
    </row>
    <row r="183" spans="1:15" s="90" customFormat="1" ht="12.75" customHeight="1" x14ac:dyDescent="0.2">
      <c r="A183" s="247" t="s">
        <v>993</v>
      </c>
      <c r="B183" s="316">
        <v>3217</v>
      </c>
      <c r="C183" s="247" t="s">
        <v>975</v>
      </c>
      <c r="D183" s="317">
        <v>42647</v>
      </c>
      <c r="E183" s="318">
        <v>0.87055555555555564</v>
      </c>
      <c r="F183" s="247" t="s">
        <v>235</v>
      </c>
      <c r="G183" s="247" t="s">
        <v>1035</v>
      </c>
      <c r="H183" s="248" t="s">
        <v>234</v>
      </c>
      <c r="I183" s="248" t="s">
        <v>235</v>
      </c>
      <c r="J183" s="247" t="s">
        <v>809</v>
      </c>
      <c r="K183" s="249">
        <v>0</v>
      </c>
      <c r="M183" s="90">
        <v>0</v>
      </c>
      <c r="N183" s="90">
        <v>0</v>
      </c>
      <c r="O183" s="90">
        <v>255</v>
      </c>
    </row>
    <row r="184" spans="1:15" s="90" customFormat="1" ht="12.75" customHeight="1" x14ac:dyDescent="0.2">
      <c r="A184" s="247" t="s">
        <v>989</v>
      </c>
      <c r="B184" s="316">
        <v>3046</v>
      </c>
      <c r="C184" s="247" t="s">
        <v>975</v>
      </c>
      <c r="D184" s="317">
        <v>42647</v>
      </c>
      <c r="E184" s="318">
        <v>0.91222222222222227</v>
      </c>
      <c r="F184" s="247" t="s">
        <v>976</v>
      </c>
      <c r="G184" s="247" t="s">
        <v>1035</v>
      </c>
      <c r="H184" s="248" t="s">
        <v>404</v>
      </c>
      <c r="I184" s="248" t="s">
        <v>404</v>
      </c>
      <c r="J184" s="247" t="s">
        <v>809</v>
      </c>
      <c r="K184" s="249">
        <v>0</v>
      </c>
      <c r="M184" s="90">
        <v>0</v>
      </c>
      <c r="N184" s="90">
        <v>0</v>
      </c>
      <c r="O184" s="90">
        <v>255</v>
      </c>
    </row>
    <row r="185" spans="1:15" s="90" customFormat="1" ht="12.75" customHeight="1" x14ac:dyDescent="0.2">
      <c r="A185" s="247" t="s">
        <v>990</v>
      </c>
      <c r="B185" s="316">
        <v>3046</v>
      </c>
      <c r="C185" s="247" t="s">
        <v>975</v>
      </c>
      <c r="D185" s="317">
        <v>42647</v>
      </c>
      <c r="E185" s="318">
        <v>0.9124768518518519</v>
      </c>
      <c r="F185" s="247" t="s">
        <v>976</v>
      </c>
      <c r="G185" s="247" t="s">
        <v>1035</v>
      </c>
      <c r="H185" s="248" t="s">
        <v>404</v>
      </c>
      <c r="I185" s="248" t="s">
        <v>404</v>
      </c>
      <c r="J185" s="247" t="s">
        <v>809</v>
      </c>
      <c r="K185" s="249">
        <v>0</v>
      </c>
      <c r="M185" s="90">
        <v>0</v>
      </c>
      <c r="N185" s="90">
        <v>0</v>
      </c>
      <c r="O185" s="90">
        <v>255</v>
      </c>
    </row>
    <row r="186" spans="1:15" s="90" customFormat="1" ht="12.75" customHeight="1" x14ac:dyDescent="0.2">
      <c r="A186" s="247" t="s">
        <v>993</v>
      </c>
      <c r="B186" s="316">
        <v>3217</v>
      </c>
      <c r="C186" s="247" t="s">
        <v>975</v>
      </c>
      <c r="D186" s="317">
        <v>42647</v>
      </c>
      <c r="E186" s="318">
        <v>0.9124768518518519</v>
      </c>
      <c r="F186" s="247" t="s">
        <v>235</v>
      </c>
      <c r="G186" s="247" t="s">
        <v>1035</v>
      </c>
      <c r="H186" s="248" t="s">
        <v>234</v>
      </c>
      <c r="I186" s="248" t="s">
        <v>235</v>
      </c>
      <c r="J186" s="247" t="s">
        <v>809</v>
      </c>
      <c r="K186" s="249">
        <v>0</v>
      </c>
      <c r="M186" s="90">
        <v>0</v>
      </c>
      <c r="N186" s="90">
        <v>0</v>
      </c>
      <c r="O186" s="90">
        <v>255</v>
      </c>
    </row>
    <row r="187" spans="1:15" s="90" customFormat="1" ht="12.75" customHeight="1" x14ac:dyDescent="0.2">
      <c r="A187" s="247" t="s">
        <v>989</v>
      </c>
      <c r="B187" s="316">
        <v>3046</v>
      </c>
      <c r="C187" s="247" t="s">
        <v>975</v>
      </c>
      <c r="D187" s="317">
        <v>42647</v>
      </c>
      <c r="E187" s="318">
        <v>0.95414351851851853</v>
      </c>
      <c r="F187" s="247" t="s">
        <v>976</v>
      </c>
      <c r="G187" s="247" t="s">
        <v>1035</v>
      </c>
      <c r="H187" s="248" t="s">
        <v>404</v>
      </c>
      <c r="I187" s="248" t="s">
        <v>404</v>
      </c>
      <c r="J187" s="247" t="s">
        <v>809</v>
      </c>
      <c r="K187" s="249">
        <v>0</v>
      </c>
      <c r="M187" s="90">
        <v>0</v>
      </c>
      <c r="N187" s="90">
        <v>0</v>
      </c>
      <c r="O187" s="90">
        <v>255</v>
      </c>
    </row>
    <row r="188" spans="1:15" s="90" customFormat="1" ht="12.75" customHeight="1" x14ac:dyDescent="0.2">
      <c r="A188" s="247" t="s">
        <v>993</v>
      </c>
      <c r="B188" s="316">
        <v>3217</v>
      </c>
      <c r="C188" s="247" t="s">
        <v>975</v>
      </c>
      <c r="D188" s="317">
        <v>42647</v>
      </c>
      <c r="E188" s="318">
        <v>0.95438657407407401</v>
      </c>
      <c r="F188" s="247" t="s">
        <v>235</v>
      </c>
      <c r="G188" s="247" t="s">
        <v>1035</v>
      </c>
      <c r="H188" s="248" t="s">
        <v>234</v>
      </c>
      <c r="I188" s="248" t="s">
        <v>235</v>
      </c>
      <c r="J188" s="247" t="s">
        <v>809</v>
      </c>
      <c r="K188" s="249">
        <v>0</v>
      </c>
      <c r="M188" s="90">
        <v>0</v>
      </c>
      <c r="N188" s="90">
        <v>0</v>
      </c>
      <c r="O188" s="90">
        <v>255</v>
      </c>
    </row>
    <row r="189" spans="1:15" s="90" customFormat="1" ht="12.75" customHeight="1" x14ac:dyDescent="0.2">
      <c r="A189" s="247" t="s">
        <v>990</v>
      </c>
      <c r="B189" s="316">
        <v>3046</v>
      </c>
      <c r="C189" s="247" t="s">
        <v>975</v>
      </c>
      <c r="D189" s="317">
        <v>42647</v>
      </c>
      <c r="E189" s="318">
        <v>0.95439814814814816</v>
      </c>
      <c r="F189" s="247" t="s">
        <v>976</v>
      </c>
      <c r="G189" s="247" t="s">
        <v>1035</v>
      </c>
      <c r="H189" s="248" t="s">
        <v>404</v>
      </c>
      <c r="I189" s="248" t="s">
        <v>404</v>
      </c>
      <c r="J189" s="247" t="s">
        <v>809</v>
      </c>
      <c r="K189" s="249">
        <v>0</v>
      </c>
      <c r="M189" s="90">
        <v>0</v>
      </c>
      <c r="N189" s="90">
        <v>0</v>
      </c>
      <c r="O189" s="90">
        <v>255</v>
      </c>
    </row>
    <row r="190" spans="1:15" s="90" customFormat="1" ht="12.75" customHeight="1" x14ac:dyDescent="0.2">
      <c r="A190" s="247" t="s">
        <v>989</v>
      </c>
      <c r="B190" s="316">
        <v>3046</v>
      </c>
      <c r="C190" s="247" t="s">
        <v>975</v>
      </c>
      <c r="D190" s="317">
        <v>42647</v>
      </c>
      <c r="E190" s="318">
        <v>0.99606481481481479</v>
      </c>
      <c r="F190" s="247" t="s">
        <v>976</v>
      </c>
      <c r="G190" s="247" t="s">
        <v>1035</v>
      </c>
      <c r="H190" s="248" t="s">
        <v>404</v>
      </c>
      <c r="I190" s="248" t="s">
        <v>404</v>
      </c>
      <c r="J190" s="247" t="s">
        <v>809</v>
      </c>
      <c r="K190" s="249">
        <v>0</v>
      </c>
      <c r="M190" s="90">
        <v>0</v>
      </c>
      <c r="N190" s="90">
        <v>0</v>
      </c>
      <c r="O190" s="90">
        <v>255</v>
      </c>
    </row>
    <row r="191" spans="1:15" s="90" customFormat="1" ht="12.75" customHeight="1" x14ac:dyDescent="0.2">
      <c r="A191" s="247" t="s">
        <v>990</v>
      </c>
      <c r="B191" s="316">
        <v>3046</v>
      </c>
      <c r="C191" s="247" t="s">
        <v>975</v>
      </c>
      <c r="D191" s="317">
        <v>42647</v>
      </c>
      <c r="E191" s="318">
        <v>0.99631944444444442</v>
      </c>
      <c r="F191" s="247" t="s">
        <v>976</v>
      </c>
      <c r="G191" s="247" t="s">
        <v>1035</v>
      </c>
      <c r="H191" s="248" t="s">
        <v>404</v>
      </c>
      <c r="I191" s="248" t="s">
        <v>404</v>
      </c>
      <c r="J191" s="247" t="s">
        <v>809</v>
      </c>
      <c r="K191" s="249">
        <v>0</v>
      </c>
      <c r="M191" s="90">
        <v>0</v>
      </c>
      <c r="N191" s="90">
        <v>0</v>
      </c>
      <c r="O191" s="90">
        <v>255</v>
      </c>
    </row>
    <row r="192" spans="1:15" s="90" customFormat="1" ht="12.75" customHeight="1" x14ac:dyDescent="0.2">
      <c r="A192" s="247" t="s">
        <v>993</v>
      </c>
      <c r="B192" s="316">
        <v>3217</v>
      </c>
      <c r="C192" s="247" t="s">
        <v>975</v>
      </c>
      <c r="D192" s="317">
        <v>42647</v>
      </c>
      <c r="E192" s="318">
        <v>0.99631944444444442</v>
      </c>
      <c r="F192" s="247" t="s">
        <v>235</v>
      </c>
      <c r="G192" s="247" t="s">
        <v>1035</v>
      </c>
      <c r="H192" s="248" t="s">
        <v>234</v>
      </c>
      <c r="I192" s="248" t="s">
        <v>235</v>
      </c>
      <c r="J192" s="247" t="s">
        <v>809</v>
      </c>
      <c r="K192" s="249">
        <v>0</v>
      </c>
      <c r="M192" s="90">
        <v>0</v>
      </c>
      <c r="N192" s="90">
        <v>0</v>
      </c>
      <c r="O192" s="90">
        <v>255</v>
      </c>
    </row>
    <row r="193" spans="1:15" s="90" customFormat="1" ht="12.75" customHeight="1" x14ac:dyDescent="0.2">
      <c r="A193" s="247" t="s">
        <v>989</v>
      </c>
      <c r="B193" s="316">
        <v>3046</v>
      </c>
      <c r="C193" s="247" t="s">
        <v>975</v>
      </c>
      <c r="D193" s="317">
        <v>42648</v>
      </c>
      <c r="E193" s="318">
        <v>3.7986111111111116E-2</v>
      </c>
      <c r="F193" s="247" t="s">
        <v>976</v>
      </c>
      <c r="G193" s="247" t="s">
        <v>1035</v>
      </c>
      <c r="H193" s="248" t="s">
        <v>404</v>
      </c>
      <c r="I193" s="248" t="s">
        <v>404</v>
      </c>
      <c r="J193" s="247" t="s">
        <v>809</v>
      </c>
      <c r="K193" s="249">
        <v>0</v>
      </c>
      <c r="M193" s="90">
        <v>0</v>
      </c>
      <c r="N193" s="90">
        <v>0</v>
      </c>
      <c r="O193" s="90">
        <v>255</v>
      </c>
    </row>
    <row r="194" spans="1:15" s="90" customFormat="1" ht="12.75" customHeight="1" x14ac:dyDescent="0.2">
      <c r="A194" s="247" t="s">
        <v>990</v>
      </c>
      <c r="B194" s="316">
        <v>3046</v>
      </c>
      <c r="C194" s="247" t="s">
        <v>975</v>
      </c>
      <c r="D194" s="317">
        <v>42648</v>
      </c>
      <c r="E194" s="318">
        <v>3.8240740740740742E-2</v>
      </c>
      <c r="F194" s="247" t="s">
        <v>976</v>
      </c>
      <c r="G194" s="247" t="s">
        <v>1035</v>
      </c>
      <c r="H194" s="248" t="s">
        <v>404</v>
      </c>
      <c r="I194" s="248" t="s">
        <v>404</v>
      </c>
      <c r="J194" s="247" t="s">
        <v>809</v>
      </c>
      <c r="K194" s="249">
        <v>0</v>
      </c>
      <c r="M194" s="90">
        <v>0</v>
      </c>
      <c r="N194" s="90">
        <v>0</v>
      </c>
      <c r="O194" s="90">
        <v>255</v>
      </c>
    </row>
    <row r="195" spans="1:15" s="90" customFormat="1" ht="12.75" customHeight="1" x14ac:dyDescent="0.2">
      <c r="A195" s="247" t="s">
        <v>993</v>
      </c>
      <c r="B195" s="316">
        <v>3217</v>
      </c>
      <c r="C195" s="247" t="s">
        <v>975</v>
      </c>
      <c r="D195" s="317">
        <v>42648</v>
      </c>
      <c r="E195" s="318">
        <v>3.8240740740740742E-2</v>
      </c>
      <c r="F195" s="247" t="s">
        <v>235</v>
      </c>
      <c r="G195" s="247" t="s">
        <v>1035</v>
      </c>
      <c r="H195" s="248" t="s">
        <v>234</v>
      </c>
      <c r="I195" s="248" t="s">
        <v>235</v>
      </c>
      <c r="J195" s="247" t="s">
        <v>809</v>
      </c>
      <c r="K195" s="249">
        <v>0</v>
      </c>
      <c r="M195" s="90">
        <v>0</v>
      </c>
      <c r="N195" s="90">
        <v>0</v>
      </c>
      <c r="O195" s="90">
        <v>255</v>
      </c>
    </row>
    <row r="196" spans="1:15" s="90" customFormat="1" ht="12.75" customHeight="1" x14ac:dyDescent="0.2">
      <c r="A196" s="247" t="s">
        <v>989</v>
      </c>
      <c r="B196" s="316">
        <v>3046</v>
      </c>
      <c r="C196" s="247" t="s">
        <v>975</v>
      </c>
      <c r="D196" s="317">
        <v>42648</v>
      </c>
      <c r="E196" s="318">
        <v>7.9907407407407413E-2</v>
      </c>
      <c r="F196" s="247" t="s">
        <v>976</v>
      </c>
      <c r="G196" s="247" t="s">
        <v>1035</v>
      </c>
      <c r="H196" s="248" t="s">
        <v>404</v>
      </c>
      <c r="I196" s="248" t="s">
        <v>404</v>
      </c>
      <c r="J196" s="247" t="s">
        <v>809</v>
      </c>
      <c r="K196" s="249">
        <v>0</v>
      </c>
      <c r="M196" s="90">
        <v>0</v>
      </c>
      <c r="N196" s="90">
        <v>0</v>
      </c>
      <c r="O196" s="90">
        <v>255</v>
      </c>
    </row>
    <row r="197" spans="1:15" s="90" customFormat="1" ht="12.75" customHeight="1" x14ac:dyDescent="0.2">
      <c r="A197" s="247" t="s">
        <v>990</v>
      </c>
      <c r="B197" s="316">
        <v>3046</v>
      </c>
      <c r="C197" s="247" t="s">
        <v>975</v>
      </c>
      <c r="D197" s="317">
        <v>42648</v>
      </c>
      <c r="E197" s="318">
        <v>8.0162037037037046E-2</v>
      </c>
      <c r="F197" s="247" t="s">
        <v>976</v>
      </c>
      <c r="G197" s="247" t="s">
        <v>1035</v>
      </c>
      <c r="H197" s="248" t="s">
        <v>404</v>
      </c>
      <c r="I197" s="248" t="s">
        <v>404</v>
      </c>
      <c r="J197" s="247" t="s">
        <v>809</v>
      </c>
      <c r="K197" s="249">
        <v>0</v>
      </c>
      <c r="M197" s="90">
        <v>0</v>
      </c>
      <c r="N197" s="90">
        <v>0</v>
      </c>
      <c r="O197" s="90">
        <v>255</v>
      </c>
    </row>
    <row r="198" spans="1:15" s="90" customFormat="1" ht="12.75" customHeight="1" x14ac:dyDescent="0.2">
      <c r="A198" s="247" t="s">
        <v>993</v>
      </c>
      <c r="B198" s="316">
        <v>3217</v>
      </c>
      <c r="C198" s="247" t="s">
        <v>975</v>
      </c>
      <c r="D198" s="317">
        <v>42648</v>
      </c>
      <c r="E198" s="318">
        <v>8.0162037037037046E-2</v>
      </c>
      <c r="F198" s="247" t="s">
        <v>235</v>
      </c>
      <c r="G198" s="247" t="s">
        <v>1035</v>
      </c>
      <c r="H198" s="248" t="s">
        <v>234</v>
      </c>
      <c r="I198" s="248" t="s">
        <v>235</v>
      </c>
      <c r="J198" s="247" t="s">
        <v>809</v>
      </c>
      <c r="K198" s="249">
        <v>0</v>
      </c>
      <c r="M198" s="90">
        <v>0</v>
      </c>
      <c r="N198" s="90">
        <v>0</v>
      </c>
      <c r="O198" s="90">
        <v>255</v>
      </c>
    </row>
    <row r="199" spans="1:15" s="90" customFormat="1" ht="12.75" customHeight="1" x14ac:dyDescent="0.2">
      <c r="A199" s="247" t="s">
        <v>989</v>
      </c>
      <c r="B199" s="316">
        <v>3046</v>
      </c>
      <c r="C199" s="247" t="s">
        <v>975</v>
      </c>
      <c r="D199" s="317">
        <v>42648</v>
      </c>
      <c r="E199" s="318">
        <v>0.1218287037037037</v>
      </c>
      <c r="F199" s="247" t="s">
        <v>976</v>
      </c>
      <c r="G199" s="247" t="s">
        <v>1035</v>
      </c>
      <c r="H199" s="248" t="s">
        <v>404</v>
      </c>
      <c r="I199" s="248" t="s">
        <v>404</v>
      </c>
      <c r="J199" s="247" t="s">
        <v>809</v>
      </c>
      <c r="K199" s="249">
        <v>0</v>
      </c>
      <c r="M199" s="90">
        <v>0</v>
      </c>
      <c r="N199" s="90">
        <v>0</v>
      </c>
      <c r="O199" s="90">
        <v>255</v>
      </c>
    </row>
    <row r="200" spans="1:15" s="90" customFormat="1" ht="12.75" customHeight="1" x14ac:dyDescent="0.2">
      <c r="A200" s="247" t="s">
        <v>990</v>
      </c>
      <c r="B200" s="316">
        <v>3046</v>
      </c>
      <c r="C200" s="247" t="s">
        <v>975</v>
      </c>
      <c r="D200" s="317">
        <v>42648</v>
      </c>
      <c r="E200" s="318">
        <v>0.12208333333333332</v>
      </c>
      <c r="F200" s="247" t="s">
        <v>976</v>
      </c>
      <c r="G200" s="247" t="s">
        <v>1035</v>
      </c>
      <c r="H200" s="248" t="s">
        <v>404</v>
      </c>
      <c r="I200" s="248" t="s">
        <v>404</v>
      </c>
      <c r="J200" s="247" t="s">
        <v>809</v>
      </c>
      <c r="K200" s="249">
        <v>0</v>
      </c>
      <c r="M200" s="90">
        <v>0</v>
      </c>
      <c r="N200" s="90">
        <v>0</v>
      </c>
      <c r="O200" s="90">
        <v>255</v>
      </c>
    </row>
    <row r="201" spans="1:15" s="90" customFormat="1" ht="12.75" customHeight="1" x14ac:dyDescent="0.2">
      <c r="A201" s="247" t="s">
        <v>993</v>
      </c>
      <c r="B201" s="316">
        <v>3217</v>
      </c>
      <c r="C201" s="247" t="s">
        <v>975</v>
      </c>
      <c r="D201" s="317">
        <v>42648</v>
      </c>
      <c r="E201" s="318">
        <v>0.12208333333333332</v>
      </c>
      <c r="F201" s="247" t="s">
        <v>235</v>
      </c>
      <c r="G201" s="247" t="s">
        <v>1035</v>
      </c>
      <c r="H201" s="248" t="s">
        <v>234</v>
      </c>
      <c r="I201" s="248" t="s">
        <v>235</v>
      </c>
      <c r="J201" s="247" t="s">
        <v>809</v>
      </c>
      <c r="K201" s="249">
        <v>0</v>
      </c>
      <c r="M201" s="90">
        <v>0</v>
      </c>
      <c r="N201" s="90">
        <v>0</v>
      </c>
      <c r="O201" s="90">
        <v>255</v>
      </c>
    </row>
    <row r="202" spans="1:15" s="90" customFormat="1" ht="12.75" customHeight="1" x14ac:dyDescent="0.2">
      <c r="A202" s="247" t="s">
        <v>989</v>
      </c>
      <c r="B202" s="316">
        <v>3046</v>
      </c>
      <c r="C202" s="247" t="s">
        <v>975</v>
      </c>
      <c r="D202" s="317">
        <v>42648</v>
      </c>
      <c r="E202" s="318">
        <v>0.16374999999999998</v>
      </c>
      <c r="F202" s="247" t="s">
        <v>976</v>
      </c>
      <c r="G202" s="247" t="s">
        <v>1035</v>
      </c>
      <c r="H202" s="248" t="s">
        <v>404</v>
      </c>
      <c r="I202" s="248" t="s">
        <v>404</v>
      </c>
      <c r="J202" s="247" t="s">
        <v>809</v>
      </c>
      <c r="K202" s="249">
        <v>0</v>
      </c>
      <c r="M202" s="90">
        <v>0</v>
      </c>
      <c r="N202" s="90">
        <v>0</v>
      </c>
      <c r="O202" s="90">
        <v>255</v>
      </c>
    </row>
    <row r="203" spans="1:15" s="90" customFormat="1" ht="12.75" customHeight="1" x14ac:dyDescent="0.2">
      <c r="A203" s="247" t="s">
        <v>990</v>
      </c>
      <c r="B203" s="316">
        <v>3046</v>
      </c>
      <c r="C203" s="247" t="s">
        <v>975</v>
      </c>
      <c r="D203" s="317">
        <v>42648</v>
      </c>
      <c r="E203" s="318">
        <v>0.16400462962962961</v>
      </c>
      <c r="F203" s="247" t="s">
        <v>976</v>
      </c>
      <c r="G203" s="247" t="s">
        <v>1035</v>
      </c>
      <c r="H203" s="248" t="s">
        <v>404</v>
      </c>
      <c r="I203" s="248" t="s">
        <v>404</v>
      </c>
      <c r="J203" s="247" t="s">
        <v>809</v>
      </c>
      <c r="K203" s="249">
        <v>0</v>
      </c>
      <c r="M203" s="90">
        <v>0</v>
      </c>
      <c r="N203" s="90">
        <v>0</v>
      </c>
      <c r="O203" s="90">
        <v>255</v>
      </c>
    </row>
    <row r="204" spans="1:15" s="90" customFormat="1" ht="12.75" customHeight="1" x14ac:dyDescent="0.2">
      <c r="A204" s="247" t="s">
        <v>993</v>
      </c>
      <c r="B204" s="316">
        <v>3217</v>
      </c>
      <c r="C204" s="247" t="s">
        <v>975</v>
      </c>
      <c r="D204" s="317">
        <v>42648</v>
      </c>
      <c r="E204" s="318">
        <v>0.16400462962962961</v>
      </c>
      <c r="F204" s="247" t="s">
        <v>235</v>
      </c>
      <c r="G204" s="247" t="s">
        <v>1035</v>
      </c>
      <c r="H204" s="248" t="s">
        <v>234</v>
      </c>
      <c r="I204" s="248" t="s">
        <v>235</v>
      </c>
      <c r="J204" s="247" t="s">
        <v>809</v>
      </c>
      <c r="K204" s="249">
        <v>0</v>
      </c>
      <c r="M204" s="90">
        <v>0</v>
      </c>
      <c r="N204" s="90">
        <v>0</v>
      </c>
      <c r="O204" s="90">
        <v>255</v>
      </c>
    </row>
    <row r="205" spans="1:15" s="90" customFormat="1" ht="12.75" customHeight="1" x14ac:dyDescent="0.2">
      <c r="A205" s="247" t="s">
        <v>989</v>
      </c>
      <c r="B205" s="316">
        <v>3046</v>
      </c>
      <c r="C205" s="247" t="s">
        <v>975</v>
      </c>
      <c r="D205" s="317">
        <v>42648</v>
      </c>
      <c r="E205" s="318">
        <v>0.2056712962962963</v>
      </c>
      <c r="F205" s="247" t="s">
        <v>976</v>
      </c>
      <c r="G205" s="247" t="s">
        <v>1035</v>
      </c>
      <c r="H205" s="248" t="s">
        <v>404</v>
      </c>
      <c r="I205" s="248" t="s">
        <v>404</v>
      </c>
      <c r="J205" s="247" t="s">
        <v>809</v>
      </c>
      <c r="K205" s="249">
        <v>0</v>
      </c>
      <c r="M205" s="90">
        <v>0</v>
      </c>
      <c r="N205" s="90">
        <v>0</v>
      </c>
      <c r="O205" s="90">
        <v>255</v>
      </c>
    </row>
    <row r="206" spans="1:15" s="90" customFormat="1" ht="12.75" customHeight="1" x14ac:dyDescent="0.2">
      <c r="A206" s="247" t="s">
        <v>990</v>
      </c>
      <c r="B206" s="316">
        <v>3046</v>
      </c>
      <c r="C206" s="247" t="s">
        <v>975</v>
      </c>
      <c r="D206" s="317">
        <v>42648</v>
      </c>
      <c r="E206" s="318">
        <v>0.20591435185185183</v>
      </c>
      <c r="F206" s="247" t="s">
        <v>976</v>
      </c>
      <c r="G206" s="247" t="s">
        <v>1035</v>
      </c>
      <c r="H206" s="248" t="s">
        <v>404</v>
      </c>
      <c r="I206" s="248" t="s">
        <v>404</v>
      </c>
      <c r="J206" s="247" t="s">
        <v>809</v>
      </c>
      <c r="K206" s="249">
        <v>0</v>
      </c>
      <c r="M206" s="90">
        <v>0</v>
      </c>
      <c r="N206" s="90">
        <v>0</v>
      </c>
      <c r="O206" s="90">
        <v>255</v>
      </c>
    </row>
    <row r="207" spans="1:15" s="90" customFormat="1" ht="12.75" customHeight="1" x14ac:dyDescent="0.2">
      <c r="A207" s="247" t="s">
        <v>993</v>
      </c>
      <c r="B207" s="316">
        <v>3217</v>
      </c>
      <c r="C207" s="247" t="s">
        <v>975</v>
      </c>
      <c r="D207" s="317">
        <v>42648</v>
      </c>
      <c r="E207" s="318">
        <v>0.20591435185185183</v>
      </c>
      <c r="F207" s="247" t="s">
        <v>235</v>
      </c>
      <c r="G207" s="247" t="s">
        <v>1035</v>
      </c>
      <c r="H207" s="248" t="s">
        <v>234</v>
      </c>
      <c r="I207" s="248" t="s">
        <v>235</v>
      </c>
      <c r="J207" s="247" t="s">
        <v>809</v>
      </c>
      <c r="K207" s="249">
        <v>0</v>
      </c>
      <c r="M207" s="90">
        <v>0</v>
      </c>
      <c r="N207" s="90">
        <v>0</v>
      </c>
      <c r="O207" s="90">
        <v>255</v>
      </c>
    </row>
    <row r="208" spans="1:15" s="90" customFormat="1" ht="12.75" customHeight="1" x14ac:dyDescent="0.2">
      <c r="A208" s="247" t="s">
        <v>989</v>
      </c>
      <c r="B208" s="316">
        <v>3046</v>
      </c>
      <c r="C208" s="247" t="s">
        <v>975</v>
      </c>
      <c r="D208" s="317">
        <v>42648</v>
      </c>
      <c r="E208" s="318">
        <v>0.24759259259259259</v>
      </c>
      <c r="F208" s="247" t="s">
        <v>976</v>
      </c>
      <c r="G208" s="247" t="s">
        <v>1035</v>
      </c>
      <c r="H208" s="248" t="s">
        <v>404</v>
      </c>
      <c r="I208" s="248" t="s">
        <v>404</v>
      </c>
      <c r="J208" s="247" t="s">
        <v>809</v>
      </c>
      <c r="K208" s="249">
        <v>0</v>
      </c>
      <c r="M208" s="90">
        <v>0</v>
      </c>
      <c r="N208" s="90">
        <v>0</v>
      </c>
      <c r="O208" s="90">
        <v>255</v>
      </c>
    </row>
    <row r="209" spans="1:15" s="90" customFormat="1" ht="12.75" customHeight="1" x14ac:dyDescent="0.2">
      <c r="A209" s="247" t="s">
        <v>993</v>
      </c>
      <c r="B209" s="316">
        <v>3217</v>
      </c>
      <c r="C209" s="247" t="s">
        <v>975</v>
      </c>
      <c r="D209" s="317">
        <v>42648</v>
      </c>
      <c r="E209" s="318">
        <v>0.24783564814814815</v>
      </c>
      <c r="F209" s="247" t="s">
        <v>235</v>
      </c>
      <c r="G209" s="247" t="s">
        <v>1035</v>
      </c>
      <c r="H209" s="248" t="s">
        <v>234</v>
      </c>
      <c r="I209" s="248" t="s">
        <v>235</v>
      </c>
      <c r="J209" s="247" t="s">
        <v>809</v>
      </c>
      <c r="K209" s="249">
        <v>0</v>
      </c>
      <c r="M209" s="90">
        <v>0</v>
      </c>
      <c r="N209" s="90">
        <v>0</v>
      </c>
      <c r="O209" s="90">
        <v>255</v>
      </c>
    </row>
    <row r="210" spans="1:15" s="90" customFormat="1" ht="12.75" customHeight="1" x14ac:dyDescent="0.2">
      <c r="A210" s="247" t="s">
        <v>990</v>
      </c>
      <c r="B210" s="316">
        <v>3046</v>
      </c>
      <c r="C210" s="247" t="s">
        <v>975</v>
      </c>
      <c r="D210" s="317">
        <v>42648</v>
      </c>
      <c r="E210" s="318">
        <v>0.24784722222222222</v>
      </c>
      <c r="F210" s="247" t="s">
        <v>976</v>
      </c>
      <c r="G210" s="247" t="s">
        <v>1035</v>
      </c>
      <c r="H210" s="248" t="s">
        <v>404</v>
      </c>
      <c r="I210" s="248" t="s">
        <v>404</v>
      </c>
      <c r="J210" s="247" t="s">
        <v>809</v>
      </c>
      <c r="K210" s="249">
        <v>0</v>
      </c>
      <c r="M210" s="90">
        <v>0</v>
      </c>
      <c r="N210" s="90">
        <v>0</v>
      </c>
      <c r="O210" s="90">
        <v>255</v>
      </c>
    </row>
    <row r="211" spans="1:15" s="90" customFormat="1" ht="12.75" customHeight="1" x14ac:dyDescent="0.2">
      <c r="A211" s="247" t="s">
        <v>1079</v>
      </c>
      <c r="B211" s="316">
        <v>3047</v>
      </c>
      <c r="C211" s="247" t="s">
        <v>996</v>
      </c>
      <c r="D211" s="317">
        <v>42648</v>
      </c>
      <c r="E211" s="318">
        <v>0.27550925925925923</v>
      </c>
      <c r="F211" s="247" t="s">
        <v>235</v>
      </c>
      <c r="G211" s="247" t="s">
        <v>1035</v>
      </c>
      <c r="H211" s="248" t="s">
        <v>234</v>
      </c>
      <c r="I211" s="248" t="s">
        <v>235</v>
      </c>
      <c r="J211" s="247" t="s">
        <v>809</v>
      </c>
      <c r="K211" s="249">
        <v>0</v>
      </c>
      <c r="M211" s="90">
        <v>0</v>
      </c>
      <c r="N211" s="90">
        <v>0</v>
      </c>
      <c r="O211" s="90">
        <v>255</v>
      </c>
    </row>
    <row r="212" spans="1:15" s="90" customFormat="1" ht="12.75" customHeight="1" x14ac:dyDescent="0.2">
      <c r="A212" s="247" t="s">
        <v>1080</v>
      </c>
      <c r="B212" s="316">
        <v>3047</v>
      </c>
      <c r="C212" s="247" t="s">
        <v>996</v>
      </c>
      <c r="D212" s="317">
        <v>42648</v>
      </c>
      <c r="E212" s="318">
        <v>0.27552083333333333</v>
      </c>
      <c r="F212" s="247" t="s">
        <v>235</v>
      </c>
      <c r="G212" s="247" t="s">
        <v>1035</v>
      </c>
      <c r="H212" s="248" t="s">
        <v>234</v>
      </c>
      <c r="I212" s="248" t="s">
        <v>235</v>
      </c>
      <c r="J212" s="247" t="s">
        <v>809</v>
      </c>
      <c r="K212" s="249">
        <v>0</v>
      </c>
      <c r="M212" s="90">
        <v>0</v>
      </c>
      <c r="N212" s="90">
        <v>0</v>
      </c>
      <c r="O212" s="90">
        <v>255</v>
      </c>
    </row>
    <row r="213" spans="1:15" s="90" customFormat="1" ht="12.75" customHeight="1" x14ac:dyDescent="0.2">
      <c r="A213" s="247" t="s">
        <v>1081</v>
      </c>
      <c r="B213" s="316">
        <v>3047</v>
      </c>
      <c r="C213" s="247" t="s">
        <v>996</v>
      </c>
      <c r="D213" s="317">
        <v>42648</v>
      </c>
      <c r="E213" s="318">
        <v>0.27690972222222221</v>
      </c>
      <c r="F213" s="247" t="s">
        <v>235</v>
      </c>
      <c r="G213" s="247" t="s">
        <v>1035</v>
      </c>
      <c r="H213" s="248" t="s">
        <v>234</v>
      </c>
      <c r="I213" s="248" t="s">
        <v>235</v>
      </c>
      <c r="J213" s="247" t="s">
        <v>809</v>
      </c>
      <c r="K213" s="249">
        <v>0</v>
      </c>
      <c r="M213" s="90">
        <v>0</v>
      </c>
      <c r="N213" s="90">
        <v>0</v>
      </c>
      <c r="O213" s="90">
        <v>255</v>
      </c>
    </row>
    <row r="214" spans="1:15" s="90" customFormat="1" ht="12.75" customHeight="1" x14ac:dyDescent="0.2">
      <c r="A214" s="247" t="s">
        <v>1082</v>
      </c>
      <c r="B214" s="316">
        <v>3047</v>
      </c>
      <c r="C214" s="247" t="s">
        <v>996</v>
      </c>
      <c r="D214" s="317">
        <v>42648</v>
      </c>
      <c r="E214" s="318">
        <v>0.27690972222222221</v>
      </c>
      <c r="F214" s="247" t="s">
        <v>235</v>
      </c>
      <c r="G214" s="247" t="s">
        <v>1035</v>
      </c>
      <c r="H214" s="248" t="s">
        <v>234</v>
      </c>
      <c r="I214" s="248" t="s">
        <v>235</v>
      </c>
      <c r="J214" s="247" t="s">
        <v>809</v>
      </c>
      <c r="K214" s="249">
        <v>0</v>
      </c>
      <c r="M214" s="90">
        <v>0</v>
      </c>
      <c r="N214" s="90">
        <v>0</v>
      </c>
      <c r="O214" s="90">
        <v>255</v>
      </c>
    </row>
    <row r="215" spans="1:15" s="90" customFormat="1" ht="12.75" customHeight="1" x14ac:dyDescent="0.2">
      <c r="A215" s="247" t="s">
        <v>989</v>
      </c>
      <c r="B215" s="316">
        <v>3046</v>
      </c>
      <c r="C215" s="247" t="s">
        <v>975</v>
      </c>
      <c r="D215" s="317">
        <v>42648</v>
      </c>
      <c r="E215" s="318">
        <v>0.2895138888888889</v>
      </c>
      <c r="F215" s="247" t="s">
        <v>976</v>
      </c>
      <c r="G215" s="247" t="s">
        <v>1035</v>
      </c>
      <c r="H215" s="248" t="s">
        <v>404</v>
      </c>
      <c r="I215" s="248" t="s">
        <v>404</v>
      </c>
      <c r="J215" s="247" t="s">
        <v>809</v>
      </c>
      <c r="K215" s="249">
        <v>0</v>
      </c>
      <c r="M215" s="90">
        <v>0</v>
      </c>
      <c r="N215" s="90">
        <v>0</v>
      </c>
      <c r="O215" s="90">
        <v>255</v>
      </c>
    </row>
    <row r="216" spans="1:15" s="90" customFormat="1" ht="12.75" customHeight="1" x14ac:dyDescent="0.2">
      <c r="A216" s="247" t="s">
        <v>990</v>
      </c>
      <c r="B216" s="316">
        <v>3046</v>
      </c>
      <c r="C216" s="247" t="s">
        <v>975</v>
      </c>
      <c r="D216" s="317">
        <v>42648</v>
      </c>
      <c r="E216" s="318">
        <v>0.28975694444444444</v>
      </c>
      <c r="F216" s="247" t="s">
        <v>976</v>
      </c>
      <c r="G216" s="247" t="s">
        <v>1035</v>
      </c>
      <c r="H216" s="248" t="s">
        <v>404</v>
      </c>
      <c r="I216" s="248" t="s">
        <v>404</v>
      </c>
      <c r="J216" s="247" t="s">
        <v>809</v>
      </c>
      <c r="K216" s="249">
        <v>0</v>
      </c>
      <c r="M216" s="90">
        <v>0</v>
      </c>
      <c r="N216" s="90">
        <v>0</v>
      </c>
      <c r="O216" s="90">
        <v>255</v>
      </c>
    </row>
    <row r="217" spans="1:15" s="90" customFormat="1" ht="12.75" customHeight="1" x14ac:dyDescent="0.2">
      <c r="A217" s="247" t="s">
        <v>993</v>
      </c>
      <c r="B217" s="316">
        <v>3217</v>
      </c>
      <c r="C217" s="247" t="s">
        <v>975</v>
      </c>
      <c r="D217" s="317">
        <v>42648</v>
      </c>
      <c r="E217" s="318">
        <v>0.28975694444444444</v>
      </c>
      <c r="F217" s="247" t="s">
        <v>235</v>
      </c>
      <c r="G217" s="247" t="s">
        <v>1035</v>
      </c>
      <c r="H217" s="248" t="s">
        <v>234</v>
      </c>
      <c r="I217" s="248" t="s">
        <v>235</v>
      </c>
      <c r="J217" s="247" t="s">
        <v>809</v>
      </c>
      <c r="K217" s="249">
        <v>0</v>
      </c>
      <c r="M217" s="90">
        <v>0</v>
      </c>
      <c r="N217" s="90">
        <v>0</v>
      </c>
      <c r="O217" s="90">
        <v>255</v>
      </c>
    </row>
    <row r="218" spans="1:15" s="90" customFormat="1" ht="12.75" customHeight="1" x14ac:dyDescent="0.2">
      <c r="A218" s="247" t="s">
        <v>1083</v>
      </c>
      <c r="B218" s="316">
        <v>3089</v>
      </c>
      <c r="C218" s="247" t="s">
        <v>996</v>
      </c>
      <c r="D218" s="317">
        <v>42648</v>
      </c>
      <c r="E218" s="318">
        <v>0.31717592592592592</v>
      </c>
      <c r="F218" s="247" t="s">
        <v>235</v>
      </c>
      <c r="G218" s="247" t="s">
        <v>1035</v>
      </c>
      <c r="H218" s="248" t="s">
        <v>234</v>
      </c>
      <c r="I218" s="248" t="s">
        <v>235</v>
      </c>
      <c r="J218" s="247" t="s">
        <v>809</v>
      </c>
      <c r="K218" s="249">
        <v>0</v>
      </c>
      <c r="M218" s="90">
        <v>0</v>
      </c>
      <c r="N218" s="90">
        <v>0</v>
      </c>
      <c r="O218" s="90">
        <v>255</v>
      </c>
    </row>
    <row r="219" spans="1:15" s="90" customFormat="1" ht="12.75" customHeight="1" x14ac:dyDescent="0.2">
      <c r="A219" s="247" t="s">
        <v>1085</v>
      </c>
      <c r="B219" s="316">
        <v>3089</v>
      </c>
      <c r="C219" s="247" t="s">
        <v>996</v>
      </c>
      <c r="D219" s="317">
        <v>42648</v>
      </c>
      <c r="E219" s="318">
        <v>0.3185763888888889</v>
      </c>
      <c r="F219" s="247" t="s">
        <v>235</v>
      </c>
      <c r="G219" s="247" t="s">
        <v>1035</v>
      </c>
      <c r="H219" s="248" t="s">
        <v>234</v>
      </c>
      <c r="I219" s="248" t="s">
        <v>235</v>
      </c>
      <c r="J219" s="247" t="s">
        <v>809</v>
      </c>
      <c r="K219" s="249">
        <v>0</v>
      </c>
      <c r="M219" s="90">
        <v>0</v>
      </c>
      <c r="N219" s="90">
        <v>0</v>
      </c>
      <c r="O219" s="90">
        <v>255</v>
      </c>
    </row>
    <row r="220" spans="1:15" s="90" customFormat="1" ht="12.75" customHeight="1" x14ac:dyDescent="0.2">
      <c r="A220" s="247" t="s">
        <v>1086</v>
      </c>
      <c r="B220" s="316">
        <v>3089</v>
      </c>
      <c r="C220" s="247" t="s">
        <v>996</v>
      </c>
      <c r="D220" s="317">
        <v>42648</v>
      </c>
      <c r="E220" s="318">
        <v>0.3185763888888889</v>
      </c>
      <c r="F220" s="247" t="s">
        <v>235</v>
      </c>
      <c r="G220" s="247" t="s">
        <v>1035</v>
      </c>
      <c r="H220" s="248" t="s">
        <v>234</v>
      </c>
      <c r="I220" s="248" t="s">
        <v>235</v>
      </c>
      <c r="J220" s="247" t="s">
        <v>809</v>
      </c>
      <c r="K220" s="249">
        <v>0</v>
      </c>
      <c r="M220" s="90">
        <v>0</v>
      </c>
      <c r="N220" s="90">
        <v>0</v>
      </c>
      <c r="O220" s="90">
        <v>255</v>
      </c>
    </row>
    <row r="221" spans="1:15" s="90" customFormat="1" ht="12.75" customHeight="1" x14ac:dyDescent="0.2">
      <c r="A221" s="247" t="s">
        <v>989</v>
      </c>
      <c r="B221" s="316">
        <v>3046</v>
      </c>
      <c r="C221" s="247" t="s">
        <v>975</v>
      </c>
      <c r="D221" s="317">
        <v>42648</v>
      </c>
      <c r="E221" s="318">
        <v>0.33143518518518517</v>
      </c>
      <c r="F221" s="247" t="s">
        <v>976</v>
      </c>
      <c r="G221" s="247" t="s">
        <v>1035</v>
      </c>
      <c r="H221" s="248" t="s">
        <v>404</v>
      </c>
      <c r="I221" s="248" t="s">
        <v>404</v>
      </c>
      <c r="J221" s="247" t="s">
        <v>809</v>
      </c>
      <c r="K221" s="249">
        <v>0</v>
      </c>
      <c r="M221" s="90">
        <v>0</v>
      </c>
      <c r="N221" s="90">
        <v>0</v>
      </c>
      <c r="O221" s="90">
        <v>255</v>
      </c>
    </row>
    <row r="222" spans="1:15" s="90" customFormat="1" ht="12.75" customHeight="1" x14ac:dyDescent="0.2">
      <c r="A222" s="247" t="s">
        <v>990</v>
      </c>
      <c r="B222" s="316">
        <v>3046</v>
      </c>
      <c r="C222" s="247" t="s">
        <v>975</v>
      </c>
      <c r="D222" s="317">
        <v>42648</v>
      </c>
      <c r="E222" s="318">
        <v>0.33167824074074076</v>
      </c>
      <c r="F222" s="247" t="s">
        <v>976</v>
      </c>
      <c r="G222" s="247" t="s">
        <v>1035</v>
      </c>
      <c r="H222" s="248" t="s">
        <v>404</v>
      </c>
      <c r="I222" s="248" t="s">
        <v>404</v>
      </c>
      <c r="J222" s="247" t="s">
        <v>809</v>
      </c>
      <c r="K222" s="249">
        <v>0</v>
      </c>
      <c r="M222" s="90">
        <v>0</v>
      </c>
      <c r="N222" s="90">
        <v>0</v>
      </c>
      <c r="O222" s="90">
        <v>255</v>
      </c>
    </row>
    <row r="223" spans="1:15" s="90" customFormat="1" ht="12.75" customHeight="1" x14ac:dyDescent="0.2">
      <c r="A223" s="247" t="s">
        <v>993</v>
      </c>
      <c r="B223" s="316">
        <v>3217</v>
      </c>
      <c r="C223" s="247" t="s">
        <v>975</v>
      </c>
      <c r="D223" s="317">
        <v>42648</v>
      </c>
      <c r="E223" s="318">
        <v>0.33167824074074076</v>
      </c>
      <c r="F223" s="247" t="s">
        <v>235</v>
      </c>
      <c r="G223" s="247" t="s">
        <v>1035</v>
      </c>
      <c r="H223" s="248" t="s">
        <v>234</v>
      </c>
      <c r="I223" s="248" t="s">
        <v>235</v>
      </c>
      <c r="J223" s="247" t="s">
        <v>809</v>
      </c>
      <c r="K223" s="249">
        <v>0</v>
      </c>
      <c r="M223" s="90">
        <v>0</v>
      </c>
      <c r="N223" s="90">
        <v>0</v>
      </c>
      <c r="O223" s="90">
        <v>255</v>
      </c>
    </row>
    <row r="224" spans="1:15" s="90" customFormat="1" ht="12.75" customHeight="1" x14ac:dyDescent="0.2">
      <c r="A224" s="247" t="s">
        <v>1020</v>
      </c>
      <c r="B224" s="316">
        <v>3061</v>
      </c>
      <c r="C224" s="247" t="s">
        <v>975</v>
      </c>
      <c r="D224" s="317">
        <v>42648</v>
      </c>
      <c r="E224" s="318">
        <v>0.33208333333333334</v>
      </c>
      <c r="F224" s="247" t="s">
        <v>981</v>
      </c>
      <c r="G224" s="247" t="s">
        <v>1035</v>
      </c>
      <c r="H224" s="248" t="s">
        <v>234</v>
      </c>
      <c r="I224" s="248" t="s">
        <v>677</v>
      </c>
      <c r="J224" s="247" t="s">
        <v>809</v>
      </c>
      <c r="K224" s="249">
        <v>0</v>
      </c>
      <c r="M224" s="90">
        <v>0</v>
      </c>
      <c r="N224" s="90">
        <v>0</v>
      </c>
      <c r="O224" s="90">
        <v>255</v>
      </c>
    </row>
    <row r="225" spans="1:15" s="90" customFormat="1" ht="12.75" customHeight="1" x14ac:dyDescent="0.2">
      <c r="A225" s="247" t="s">
        <v>1049</v>
      </c>
      <c r="B225" s="316">
        <v>3061</v>
      </c>
      <c r="C225" s="247" t="s">
        <v>975</v>
      </c>
      <c r="D225" s="317">
        <v>42648</v>
      </c>
      <c r="E225" s="318">
        <v>0.33211805555555557</v>
      </c>
      <c r="F225" s="247" t="s">
        <v>981</v>
      </c>
      <c r="G225" s="247" t="s">
        <v>1035</v>
      </c>
      <c r="H225" s="248" t="s">
        <v>234</v>
      </c>
      <c r="I225" s="248" t="s">
        <v>677</v>
      </c>
      <c r="J225" s="247" t="s">
        <v>809</v>
      </c>
      <c r="K225" s="249">
        <v>0</v>
      </c>
      <c r="M225" s="90">
        <v>0</v>
      </c>
      <c r="N225" s="90">
        <v>0</v>
      </c>
      <c r="O225" s="90">
        <v>255</v>
      </c>
    </row>
    <row r="226" spans="1:15" s="90" customFormat="1" ht="12.75" customHeight="1" x14ac:dyDescent="0.2">
      <c r="A226" s="247" t="s">
        <v>1019</v>
      </c>
      <c r="B226" s="316">
        <v>3061</v>
      </c>
      <c r="C226" s="247" t="s">
        <v>975</v>
      </c>
      <c r="D226" s="317">
        <v>42648</v>
      </c>
      <c r="E226" s="318">
        <v>0.33234953703703701</v>
      </c>
      <c r="F226" s="247" t="s">
        <v>981</v>
      </c>
      <c r="G226" s="247" t="s">
        <v>1035</v>
      </c>
      <c r="H226" s="248" t="s">
        <v>234</v>
      </c>
      <c r="I226" s="248" t="s">
        <v>677</v>
      </c>
      <c r="J226" s="247" t="s">
        <v>809</v>
      </c>
      <c r="K226" s="249">
        <v>0</v>
      </c>
      <c r="M226" s="90">
        <v>0</v>
      </c>
      <c r="N226" s="90">
        <v>0</v>
      </c>
      <c r="O226" s="90">
        <v>255</v>
      </c>
    </row>
    <row r="227" spans="1:15" s="90" customFormat="1" ht="12.75" customHeight="1" x14ac:dyDescent="0.2">
      <c r="A227" s="247" t="s">
        <v>1048</v>
      </c>
      <c r="B227" s="316">
        <v>3061</v>
      </c>
      <c r="C227" s="247" t="s">
        <v>975</v>
      </c>
      <c r="D227" s="317">
        <v>42648</v>
      </c>
      <c r="E227" s="318">
        <v>0.33236111111111111</v>
      </c>
      <c r="F227" s="247" t="s">
        <v>981</v>
      </c>
      <c r="G227" s="247" t="s">
        <v>1035</v>
      </c>
      <c r="H227" s="248" t="s">
        <v>234</v>
      </c>
      <c r="I227" s="248" t="s">
        <v>677</v>
      </c>
      <c r="J227" s="247" t="s">
        <v>809</v>
      </c>
      <c r="K227" s="249">
        <v>0</v>
      </c>
      <c r="M227" s="90">
        <v>0</v>
      </c>
      <c r="N227" s="90">
        <v>0</v>
      </c>
      <c r="O227" s="90">
        <v>255</v>
      </c>
    </row>
    <row r="228" spans="1:15" s="90" customFormat="1" ht="12.75" customHeight="1" x14ac:dyDescent="0.2">
      <c r="A228" s="247" t="s">
        <v>1021</v>
      </c>
      <c r="B228" s="316">
        <v>3061</v>
      </c>
      <c r="C228" s="247" t="s">
        <v>975</v>
      </c>
      <c r="D228" s="317">
        <v>42648</v>
      </c>
      <c r="E228" s="318">
        <v>0.33263888888888887</v>
      </c>
      <c r="F228" s="247" t="s">
        <v>981</v>
      </c>
      <c r="G228" s="247" t="s">
        <v>1035</v>
      </c>
      <c r="H228" s="248" t="s">
        <v>234</v>
      </c>
      <c r="I228" s="248" t="s">
        <v>677</v>
      </c>
      <c r="J228" s="247" t="s">
        <v>809</v>
      </c>
      <c r="K228" s="249">
        <v>0</v>
      </c>
      <c r="M228" s="90">
        <v>0</v>
      </c>
      <c r="N228" s="90">
        <v>0</v>
      </c>
      <c r="O228" s="90">
        <v>255</v>
      </c>
    </row>
    <row r="229" spans="1:15" s="90" customFormat="1" ht="12.75" customHeight="1" x14ac:dyDescent="0.2">
      <c r="A229" s="247" t="s">
        <v>1050</v>
      </c>
      <c r="B229" s="316">
        <v>3061</v>
      </c>
      <c r="C229" s="247" t="s">
        <v>975</v>
      </c>
      <c r="D229" s="317">
        <v>42648</v>
      </c>
      <c r="E229" s="318">
        <v>0.33266203703703706</v>
      </c>
      <c r="F229" s="247" t="s">
        <v>981</v>
      </c>
      <c r="G229" s="247" t="s">
        <v>1035</v>
      </c>
      <c r="H229" s="248" t="s">
        <v>234</v>
      </c>
      <c r="I229" s="248" t="s">
        <v>677</v>
      </c>
      <c r="J229" s="247" t="s">
        <v>809</v>
      </c>
      <c r="K229" s="249">
        <v>0</v>
      </c>
      <c r="M229" s="90">
        <v>0</v>
      </c>
      <c r="N229" s="90">
        <v>0</v>
      </c>
      <c r="O229" s="90">
        <v>255</v>
      </c>
    </row>
    <row r="230" spans="1:15" s="90" customFormat="1" ht="12.75" customHeight="1" x14ac:dyDescent="0.2">
      <c r="A230" s="247" t="s">
        <v>1050</v>
      </c>
      <c r="B230" s="316">
        <v>3061</v>
      </c>
      <c r="C230" s="247" t="s">
        <v>975</v>
      </c>
      <c r="D230" s="317">
        <v>42648</v>
      </c>
      <c r="E230" s="318">
        <v>0.33359953703703704</v>
      </c>
      <c r="F230" s="247" t="s">
        <v>981</v>
      </c>
      <c r="G230" s="247" t="s">
        <v>1035</v>
      </c>
      <c r="H230" s="248" t="s">
        <v>234</v>
      </c>
      <c r="I230" s="248" t="s">
        <v>677</v>
      </c>
      <c r="J230" s="247" t="s">
        <v>809</v>
      </c>
      <c r="K230" s="249">
        <v>0</v>
      </c>
      <c r="M230" s="90">
        <v>0</v>
      </c>
      <c r="N230" s="90">
        <v>0</v>
      </c>
      <c r="O230" s="90">
        <v>255</v>
      </c>
    </row>
    <row r="231" spans="1:15" s="90" customFormat="1" ht="12.75" customHeight="1" x14ac:dyDescent="0.2">
      <c r="A231" s="247" t="s">
        <v>1049</v>
      </c>
      <c r="B231" s="316">
        <v>3061</v>
      </c>
      <c r="C231" s="247" t="s">
        <v>975</v>
      </c>
      <c r="D231" s="317">
        <v>42648</v>
      </c>
      <c r="E231" s="318">
        <v>0.33406249999999998</v>
      </c>
      <c r="F231" s="247" t="s">
        <v>981</v>
      </c>
      <c r="G231" s="247" t="s">
        <v>1035</v>
      </c>
      <c r="H231" s="248" t="s">
        <v>234</v>
      </c>
      <c r="I231" s="248" t="s">
        <v>677</v>
      </c>
      <c r="J231" s="247" t="s">
        <v>809</v>
      </c>
      <c r="K231" s="249">
        <v>0</v>
      </c>
      <c r="M231" s="90">
        <v>0</v>
      </c>
      <c r="N231" s="90">
        <v>0</v>
      </c>
      <c r="O231" s="90">
        <v>255</v>
      </c>
    </row>
    <row r="232" spans="1:15" s="90" customFormat="1" ht="12.75" customHeight="1" x14ac:dyDescent="0.2">
      <c r="A232" s="247" t="s">
        <v>1048</v>
      </c>
      <c r="B232" s="316">
        <v>3061</v>
      </c>
      <c r="C232" s="247" t="s">
        <v>975</v>
      </c>
      <c r="D232" s="317">
        <v>42648</v>
      </c>
      <c r="E232" s="318">
        <v>0.33429398148148143</v>
      </c>
      <c r="F232" s="247" t="s">
        <v>981</v>
      </c>
      <c r="G232" s="247" t="s">
        <v>1035</v>
      </c>
      <c r="H232" s="248" t="s">
        <v>234</v>
      </c>
      <c r="I232" s="248" t="s">
        <v>677</v>
      </c>
      <c r="J232" s="247" t="s">
        <v>809</v>
      </c>
      <c r="K232" s="249">
        <v>0</v>
      </c>
      <c r="M232" s="90">
        <v>0</v>
      </c>
      <c r="N232" s="90">
        <v>0</v>
      </c>
      <c r="O232" s="90">
        <v>255</v>
      </c>
    </row>
    <row r="233" spans="1:15" s="90" customFormat="1" ht="12.75" customHeight="1" x14ac:dyDescent="0.2">
      <c r="A233" s="247" t="s">
        <v>1015</v>
      </c>
      <c r="B233" s="316">
        <v>3061</v>
      </c>
      <c r="C233" s="247" t="s">
        <v>975</v>
      </c>
      <c r="D233" s="317">
        <v>42648</v>
      </c>
      <c r="E233" s="318">
        <v>0.33459490740740744</v>
      </c>
      <c r="F233" s="247" t="s">
        <v>981</v>
      </c>
      <c r="G233" s="247" t="s">
        <v>1035</v>
      </c>
      <c r="H233" s="248" t="s">
        <v>234</v>
      </c>
      <c r="I233" s="248" t="s">
        <v>677</v>
      </c>
      <c r="J233" s="247" t="s">
        <v>809</v>
      </c>
      <c r="K233" s="249">
        <v>0</v>
      </c>
      <c r="M233" s="90">
        <v>0</v>
      </c>
      <c r="N233" s="90">
        <v>0</v>
      </c>
      <c r="O233" s="90">
        <v>255</v>
      </c>
    </row>
    <row r="234" spans="1:15" s="90" customFormat="1" ht="12.75" customHeight="1" x14ac:dyDescent="0.2">
      <c r="A234" s="247" t="s">
        <v>1045</v>
      </c>
      <c r="B234" s="316">
        <v>3061</v>
      </c>
      <c r="C234" s="247" t="s">
        <v>975</v>
      </c>
      <c r="D234" s="317">
        <v>42648</v>
      </c>
      <c r="E234" s="318">
        <v>0.33461805555555557</v>
      </c>
      <c r="F234" s="247" t="s">
        <v>981</v>
      </c>
      <c r="G234" s="247" t="s">
        <v>1035</v>
      </c>
      <c r="H234" s="248" t="s">
        <v>234</v>
      </c>
      <c r="I234" s="248" t="s">
        <v>677</v>
      </c>
      <c r="J234" s="247" t="s">
        <v>809</v>
      </c>
      <c r="K234" s="249">
        <v>0</v>
      </c>
      <c r="M234" s="90">
        <v>0</v>
      </c>
      <c r="N234" s="90">
        <v>0</v>
      </c>
      <c r="O234" s="90">
        <v>255</v>
      </c>
    </row>
    <row r="235" spans="1:15" s="90" customFormat="1" ht="12.75" customHeight="1" x14ac:dyDescent="0.2">
      <c r="A235" s="247" t="s">
        <v>1016</v>
      </c>
      <c r="B235" s="316">
        <v>3061</v>
      </c>
      <c r="C235" s="247" t="s">
        <v>975</v>
      </c>
      <c r="D235" s="317">
        <v>42648</v>
      </c>
      <c r="E235" s="318">
        <v>0.33483796296296298</v>
      </c>
      <c r="F235" s="247" t="s">
        <v>981</v>
      </c>
      <c r="G235" s="247" t="s">
        <v>1035</v>
      </c>
      <c r="H235" s="248" t="s">
        <v>234</v>
      </c>
      <c r="I235" s="248" t="s">
        <v>677</v>
      </c>
      <c r="J235" s="247" t="s">
        <v>809</v>
      </c>
      <c r="K235" s="249">
        <v>0</v>
      </c>
      <c r="M235" s="90">
        <v>0</v>
      </c>
      <c r="N235" s="90">
        <v>0</v>
      </c>
      <c r="O235" s="90">
        <v>255</v>
      </c>
    </row>
    <row r="236" spans="1:15" s="90" customFormat="1" ht="12.75" customHeight="1" x14ac:dyDescent="0.2">
      <c r="A236" s="247" t="s">
        <v>1046</v>
      </c>
      <c r="B236" s="316">
        <v>3061</v>
      </c>
      <c r="C236" s="247" t="s">
        <v>975</v>
      </c>
      <c r="D236" s="317">
        <v>42648</v>
      </c>
      <c r="E236" s="318">
        <v>0.33486111111111111</v>
      </c>
      <c r="F236" s="247" t="s">
        <v>981</v>
      </c>
      <c r="G236" s="247" t="s">
        <v>1035</v>
      </c>
      <c r="H236" s="248" t="s">
        <v>234</v>
      </c>
      <c r="I236" s="248" t="s">
        <v>677</v>
      </c>
      <c r="J236" s="247" t="s">
        <v>809</v>
      </c>
      <c r="K236" s="249">
        <v>0</v>
      </c>
      <c r="M236" s="90">
        <v>0</v>
      </c>
      <c r="N236" s="90">
        <v>0</v>
      </c>
      <c r="O236" s="90">
        <v>255</v>
      </c>
    </row>
    <row r="237" spans="1:15" s="90" customFormat="1" ht="12.75" customHeight="1" x14ac:dyDescent="0.2">
      <c r="A237" s="247" t="s">
        <v>1047</v>
      </c>
      <c r="B237" s="316">
        <v>3061</v>
      </c>
      <c r="C237" s="247" t="s">
        <v>975</v>
      </c>
      <c r="D237" s="317">
        <v>42648</v>
      </c>
      <c r="E237" s="318">
        <v>0.33620370370370373</v>
      </c>
      <c r="F237" s="247" t="s">
        <v>981</v>
      </c>
      <c r="G237" s="247" t="s">
        <v>1035</v>
      </c>
      <c r="H237" s="248" t="s">
        <v>234</v>
      </c>
      <c r="I237" s="248" t="s">
        <v>677</v>
      </c>
      <c r="J237" s="247" t="s">
        <v>809</v>
      </c>
      <c r="K237" s="249">
        <v>0</v>
      </c>
      <c r="M237" s="90">
        <v>0</v>
      </c>
      <c r="N237" s="90">
        <v>0</v>
      </c>
      <c r="O237" s="90">
        <v>255</v>
      </c>
    </row>
    <row r="238" spans="1:15" s="90" customFormat="1" ht="12.75" customHeight="1" x14ac:dyDescent="0.2">
      <c r="A238" s="247" t="s">
        <v>1047</v>
      </c>
      <c r="B238" s="316">
        <v>3061</v>
      </c>
      <c r="C238" s="247" t="s">
        <v>975</v>
      </c>
      <c r="D238" s="317">
        <v>42648</v>
      </c>
      <c r="E238" s="318">
        <v>0.33671296296296299</v>
      </c>
      <c r="F238" s="247" t="s">
        <v>981</v>
      </c>
      <c r="G238" s="247" t="s">
        <v>1035</v>
      </c>
      <c r="H238" s="248" t="s">
        <v>234</v>
      </c>
      <c r="I238" s="248" t="s">
        <v>677</v>
      </c>
      <c r="J238" s="247" t="s">
        <v>809</v>
      </c>
      <c r="K238" s="249">
        <v>0</v>
      </c>
      <c r="M238" s="90">
        <v>0</v>
      </c>
      <c r="N238" s="90">
        <v>0</v>
      </c>
      <c r="O238" s="90">
        <v>255</v>
      </c>
    </row>
    <row r="239" spans="1:15" s="90" customFormat="1" ht="12.75" customHeight="1" x14ac:dyDescent="0.2">
      <c r="A239" s="247" t="s">
        <v>1046</v>
      </c>
      <c r="B239" s="316">
        <v>3061</v>
      </c>
      <c r="C239" s="247" t="s">
        <v>975</v>
      </c>
      <c r="D239" s="317">
        <v>42648</v>
      </c>
      <c r="E239" s="318">
        <v>0.33736111111111106</v>
      </c>
      <c r="F239" s="247" t="s">
        <v>981</v>
      </c>
      <c r="G239" s="247" t="s">
        <v>1035</v>
      </c>
      <c r="H239" s="248" t="s">
        <v>234</v>
      </c>
      <c r="I239" s="248" t="s">
        <v>677</v>
      </c>
      <c r="J239" s="247" t="s">
        <v>809</v>
      </c>
      <c r="K239" s="249">
        <v>0</v>
      </c>
      <c r="M239" s="90">
        <v>0</v>
      </c>
      <c r="N239" s="90">
        <v>0</v>
      </c>
      <c r="O239" s="90">
        <v>255</v>
      </c>
    </row>
    <row r="240" spans="1:15" s="90" customFormat="1" ht="12.75" customHeight="1" x14ac:dyDescent="0.2">
      <c r="A240" s="247" t="s">
        <v>1045</v>
      </c>
      <c r="B240" s="316">
        <v>3061</v>
      </c>
      <c r="C240" s="247" t="s">
        <v>975</v>
      </c>
      <c r="D240" s="317">
        <v>42648</v>
      </c>
      <c r="E240" s="318">
        <v>0.33763888888888888</v>
      </c>
      <c r="F240" s="247" t="s">
        <v>981</v>
      </c>
      <c r="G240" s="247" t="s">
        <v>1035</v>
      </c>
      <c r="H240" s="248" t="s">
        <v>234</v>
      </c>
      <c r="I240" s="248" t="s">
        <v>677</v>
      </c>
      <c r="J240" s="247" t="s">
        <v>809</v>
      </c>
      <c r="K240" s="249">
        <v>0</v>
      </c>
      <c r="M240" s="90">
        <v>0</v>
      </c>
      <c r="N240" s="90">
        <v>0</v>
      </c>
      <c r="O240" s="90">
        <v>255</v>
      </c>
    </row>
    <row r="241" spans="1:15" s="90" customFormat="1" ht="12.75" customHeight="1" x14ac:dyDescent="0.2">
      <c r="A241" s="247" t="s">
        <v>1014</v>
      </c>
      <c r="B241" s="316">
        <v>3061</v>
      </c>
      <c r="C241" s="247" t="s">
        <v>975</v>
      </c>
      <c r="D241" s="317">
        <v>42648</v>
      </c>
      <c r="E241" s="318">
        <v>0.33797453703703706</v>
      </c>
      <c r="F241" s="247" t="s">
        <v>981</v>
      </c>
      <c r="G241" s="247" t="s">
        <v>1035</v>
      </c>
      <c r="H241" s="248" t="s">
        <v>234</v>
      </c>
      <c r="I241" s="248" t="s">
        <v>677</v>
      </c>
      <c r="J241" s="247" t="s">
        <v>809</v>
      </c>
      <c r="K241" s="249">
        <v>0</v>
      </c>
      <c r="M241" s="90">
        <v>0</v>
      </c>
      <c r="N241" s="90">
        <v>0</v>
      </c>
      <c r="O241" s="90">
        <v>255</v>
      </c>
    </row>
    <row r="242" spans="1:15" s="90" customFormat="1" ht="12.75" customHeight="1" x14ac:dyDescent="0.2">
      <c r="A242" s="247" t="s">
        <v>1044</v>
      </c>
      <c r="B242" s="316">
        <v>3061</v>
      </c>
      <c r="C242" s="247" t="s">
        <v>975</v>
      </c>
      <c r="D242" s="317">
        <v>42648</v>
      </c>
      <c r="E242" s="318">
        <v>0.33799768518518519</v>
      </c>
      <c r="F242" s="247" t="s">
        <v>981</v>
      </c>
      <c r="G242" s="247" t="s">
        <v>1035</v>
      </c>
      <c r="H242" s="248" t="s">
        <v>234</v>
      </c>
      <c r="I242" s="248" t="s">
        <v>677</v>
      </c>
      <c r="J242" s="247" t="s">
        <v>809</v>
      </c>
      <c r="K242" s="249">
        <v>0</v>
      </c>
      <c r="M242" s="90">
        <v>0</v>
      </c>
      <c r="N242" s="90">
        <v>0</v>
      </c>
      <c r="O242" s="90">
        <v>255</v>
      </c>
    </row>
    <row r="243" spans="1:15" s="90" customFormat="1" ht="12.75" customHeight="1" x14ac:dyDescent="0.2">
      <c r="A243" s="247" t="s">
        <v>1044</v>
      </c>
      <c r="B243" s="316">
        <v>3061</v>
      </c>
      <c r="C243" s="247" t="s">
        <v>975</v>
      </c>
      <c r="D243" s="317">
        <v>42648</v>
      </c>
      <c r="E243" s="318">
        <v>0.33824074074074079</v>
      </c>
      <c r="F243" s="247" t="s">
        <v>981</v>
      </c>
      <c r="G243" s="247" t="s">
        <v>1035</v>
      </c>
      <c r="H243" s="248" t="s">
        <v>234</v>
      </c>
      <c r="I243" s="248" t="s">
        <v>677</v>
      </c>
      <c r="J243" s="247" t="s">
        <v>809</v>
      </c>
      <c r="K243" s="249">
        <v>0</v>
      </c>
      <c r="M243" s="90">
        <v>0</v>
      </c>
      <c r="N243" s="90">
        <v>0</v>
      </c>
      <c r="O243" s="90">
        <v>255</v>
      </c>
    </row>
    <row r="244" spans="1:15" s="90" customFormat="1" ht="12.75" customHeight="1" x14ac:dyDescent="0.2">
      <c r="A244" s="247" t="s">
        <v>1013</v>
      </c>
      <c r="B244" s="316">
        <v>3061</v>
      </c>
      <c r="C244" s="247" t="s">
        <v>975</v>
      </c>
      <c r="D244" s="317">
        <v>42648</v>
      </c>
      <c r="E244" s="318">
        <v>0.33884259259259258</v>
      </c>
      <c r="F244" s="247" t="s">
        <v>981</v>
      </c>
      <c r="G244" s="247" t="s">
        <v>1035</v>
      </c>
      <c r="H244" s="248" t="s">
        <v>234</v>
      </c>
      <c r="I244" s="248" t="s">
        <v>677</v>
      </c>
      <c r="J244" s="247" t="s">
        <v>809</v>
      </c>
      <c r="K244" s="249">
        <v>0</v>
      </c>
      <c r="M244" s="90">
        <v>0</v>
      </c>
      <c r="N244" s="90">
        <v>0</v>
      </c>
      <c r="O244" s="90">
        <v>255</v>
      </c>
    </row>
    <row r="245" spans="1:15" s="90" customFormat="1" ht="12.75" customHeight="1" x14ac:dyDescent="0.2">
      <c r="A245" s="247" t="s">
        <v>1043</v>
      </c>
      <c r="B245" s="316">
        <v>3061</v>
      </c>
      <c r="C245" s="247" t="s">
        <v>975</v>
      </c>
      <c r="D245" s="317">
        <v>42648</v>
      </c>
      <c r="E245" s="318">
        <v>0.33886574074074072</v>
      </c>
      <c r="F245" s="247" t="s">
        <v>981</v>
      </c>
      <c r="G245" s="247" t="s">
        <v>1035</v>
      </c>
      <c r="H245" s="248" t="s">
        <v>234</v>
      </c>
      <c r="I245" s="248" t="s">
        <v>677</v>
      </c>
      <c r="J245" s="247" t="s">
        <v>809</v>
      </c>
      <c r="K245" s="249">
        <v>0</v>
      </c>
      <c r="M245" s="90">
        <v>0</v>
      </c>
      <c r="N245" s="90">
        <v>0</v>
      </c>
      <c r="O245" s="90">
        <v>255</v>
      </c>
    </row>
    <row r="246" spans="1:15" s="90" customFormat="1" ht="12.75" customHeight="1" x14ac:dyDescent="0.2">
      <c r="A246" s="247" t="s">
        <v>1217</v>
      </c>
      <c r="B246" s="316">
        <v>3089</v>
      </c>
      <c r="C246" s="247" t="s">
        <v>996</v>
      </c>
      <c r="D246" s="317">
        <v>42648</v>
      </c>
      <c r="E246" s="318">
        <v>0.35120370370370368</v>
      </c>
      <c r="F246" s="247" t="s">
        <v>235</v>
      </c>
      <c r="G246" s="247" t="s">
        <v>1035</v>
      </c>
      <c r="H246" s="248" t="s">
        <v>234</v>
      </c>
      <c r="I246" s="248" t="s">
        <v>235</v>
      </c>
      <c r="J246" s="247" t="s">
        <v>809</v>
      </c>
      <c r="K246" s="249">
        <v>0</v>
      </c>
      <c r="M246" s="90">
        <v>0</v>
      </c>
      <c r="N246" s="90">
        <v>0</v>
      </c>
      <c r="O246" s="90">
        <v>255</v>
      </c>
    </row>
    <row r="247" spans="1:15" s="90" customFormat="1" ht="12.75" customHeight="1" x14ac:dyDescent="0.2">
      <c r="A247" s="247" t="s">
        <v>1218</v>
      </c>
      <c r="B247" s="316">
        <v>3089</v>
      </c>
      <c r="C247" s="247" t="s">
        <v>996</v>
      </c>
      <c r="D247" s="317">
        <v>42648</v>
      </c>
      <c r="E247" s="318">
        <v>0.35120370370370368</v>
      </c>
      <c r="F247" s="247" t="s">
        <v>235</v>
      </c>
      <c r="G247" s="247" t="s">
        <v>1035</v>
      </c>
      <c r="H247" s="248" t="s">
        <v>234</v>
      </c>
      <c r="I247" s="248" t="s">
        <v>235</v>
      </c>
      <c r="J247" s="247" t="s">
        <v>809</v>
      </c>
      <c r="K247" s="249">
        <v>0</v>
      </c>
      <c r="M247" s="90">
        <v>0</v>
      </c>
      <c r="N247" s="90">
        <v>0</v>
      </c>
      <c r="O247" s="90">
        <v>255</v>
      </c>
    </row>
    <row r="248" spans="1:15" s="90" customFormat="1" ht="12.75" customHeight="1" x14ac:dyDescent="0.2">
      <c r="A248" s="247" t="s">
        <v>1219</v>
      </c>
      <c r="B248" s="316">
        <v>3089</v>
      </c>
      <c r="C248" s="247" t="s">
        <v>996</v>
      </c>
      <c r="D248" s="317">
        <v>42648</v>
      </c>
      <c r="E248" s="318">
        <v>0.35606481481481483</v>
      </c>
      <c r="F248" s="247" t="s">
        <v>235</v>
      </c>
      <c r="G248" s="247" t="s">
        <v>1035</v>
      </c>
      <c r="H248" s="248" t="s">
        <v>234</v>
      </c>
      <c r="I248" s="248" t="s">
        <v>235</v>
      </c>
      <c r="J248" s="247" t="s">
        <v>809</v>
      </c>
      <c r="K248" s="249">
        <v>0</v>
      </c>
      <c r="M248" s="90">
        <v>0</v>
      </c>
      <c r="N248" s="90">
        <v>0</v>
      </c>
      <c r="O248" s="90">
        <v>255</v>
      </c>
    </row>
    <row r="249" spans="1:15" s="90" customFormat="1" ht="12.75" customHeight="1" x14ac:dyDescent="0.2">
      <c r="A249" s="247" t="s">
        <v>989</v>
      </c>
      <c r="B249" s="316">
        <v>3046</v>
      </c>
      <c r="C249" s="247" t="s">
        <v>975</v>
      </c>
      <c r="D249" s="317">
        <v>42648</v>
      </c>
      <c r="E249" s="318">
        <v>0.37334490740740739</v>
      </c>
      <c r="F249" s="247" t="s">
        <v>976</v>
      </c>
      <c r="G249" s="247" t="s">
        <v>1035</v>
      </c>
      <c r="H249" s="248" t="s">
        <v>404</v>
      </c>
      <c r="I249" s="248" t="s">
        <v>404</v>
      </c>
      <c r="J249" s="247" t="s">
        <v>809</v>
      </c>
      <c r="K249" s="249">
        <v>0</v>
      </c>
      <c r="M249" s="90">
        <v>0</v>
      </c>
      <c r="N249" s="90">
        <v>0</v>
      </c>
      <c r="O249" s="90">
        <v>255</v>
      </c>
    </row>
    <row r="250" spans="1:15" s="90" customFormat="1" ht="12.75" customHeight="1" x14ac:dyDescent="0.2">
      <c r="A250" s="247" t="s">
        <v>990</v>
      </c>
      <c r="B250" s="316">
        <v>3046</v>
      </c>
      <c r="C250" s="247" t="s">
        <v>975</v>
      </c>
      <c r="D250" s="317">
        <v>42648</v>
      </c>
      <c r="E250" s="318">
        <v>0.37359953703703702</v>
      </c>
      <c r="F250" s="247" t="s">
        <v>976</v>
      </c>
      <c r="G250" s="247" t="s">
        <v>1035</v>
      </c>
      <c r="H250" s="248" t="s">
        <v>404</v>
      </c>
      <c r="I250" s="248" t="s">
        <v>404</v>
      </c>
      <c r="J250" s="247" t="s">
        <v>809</v>
      </c>
      <c r="K250" s="249">
        <v>0</v>
      </c>
      <c r="M250" s="90">
        <v>0</v>
      </c>
      <c r="N250" s="90">
        <v>0</v>
      </c>
      <c r="O250" s="90">
        <v>255</v>
      </c>
    </row>
    <row r="251" spans="1:15" s="90" customFormat="1" ht="12.75" customHeight="1" x14ac:dyDescent="0.2">
      <c r="A251" s="247" t="s">
        <v>993</v>
      </c>
      <c r="B251" s="316">
        <v>3217</v>
      </c>
      <c r="C251" s="247" t="s">
        <v>975</v>
      </c>
      <c r="D251" s="317">
        <v>42648</v>
      </c>
      <c r="E251" s="318">
        <v>0.37359953703703702</v>
      </c>
      <c r="F251" s="247" t="s">
        <v>235</v>
      </c>
      <c r="G251" s="247" t="s">
        <v>1035</v>
      </c>
      <c r="H251" s="248" t="s">
        <v>234</v>
      </c>
      <c r="I251" s="248" t="s">
        <v>235</v>
      </c>
      <c r="J251" s="247" t="s">
        <v>809</v>
      </c>
      <c r="K251" s="249">
        <v>0</v>
      </c>
      <c r="M251" s="90">
        <v>0</v>
      </c>
      <c r="N251" s="90">
        <v>0</v>
      </c>
      <c r="O251" s="90">
        <v>255</v>
      </c>
    </row>
    <row r="252" spans="1:15" s="90" customFormat="1" ht="12.75" customHeight="1" x14ac:dyDescent="0.2">
      <c r="A252" s="247" t="s">
        <v>1220</v>
      </c>
      <c r="B252" s="316">
        <v>3111</v>
      </c>
      <c r="C252" s="247" t="s">
        <v>975</v>
      </c>
      <c r="D252" s="317">
        <v>42648</v>
      </c>
      <c r="E252" s="318">
        <v>0.39883101851851849</v>
      </c>
      <c r="F252" s="247" t="s">
        <v>981</v>
      </c>
      <c r="G252" s="247" t="s">
        <v>1035</v>
      </c>
      <c r="H252" s="248" t="s">
        <v>234</v>
      </c>
      <c r="I252" s="248" t="s">
        <v>677</v>
      </c>
      <c r="J252" s="247" t="s">
        <v>809</v>
      </c>
      <c r="K252" s="249">
        <v>0</v>
      </c>
      <c r="M252" s="90">
        <v>0</v>
      </c>
      <c r="N252" s="90">
        <v>0</v>
      </c>
      <c r="O252" s="90">
        <v>255</v>
      </c>
    </row>
    <row r="253" spans="1:15" s="90" customFormat="1" ht="12.75" customHeight="1" x14ac:dyDescent="0.2">
      <c r="A253" s="247" t="s">
        <v>1221</v>
      </c>
      <c r="B253" s="316">
        <v>3111</v>
      </c>
      <c r="C253" s="247" t="s">
        <v>975</v>
      </c>
      <c r="D253" s="317">
        <v>42648</v>
      </c>
      <c r="E253" s="318">
        <v>0.3989583333333333</v>
      </c>
      <c r="F253" s="247" t="s">
        <v>981</v>
      </c>
      <c r="G253" s="247" t="s">
        <v>1035</v>
      </c>
      <c r="H253" s="248" t="s">
        <v>234</v>
      </c>
      <c r="I253" s="248" t="s">
        <v>677</v>
      </c>
      <c r="J253" s="247" t="s">
        <v>809</v>
      </c>
      <c r="K253" s="249">
        <v>0</v>
      </c>
      <c r="M253" s="90">
        <v>0</v>
      </c>
      <c r="N253" s="90">
        <v>0</v>
      </c>
      <c r="O253" s="90">
        <v>255</v>
      </c>
    </row>
    <row r="254" spans="1:15" s="90" customFormat="1" ht="12.75" customHeight="1" x14ac:dyDescent="0.2">
      <c r="A254" s="247" t="s">
        <v>1222</v>
      </c>
      <c r="B254" s="316">
        <v>3111</v>
      </c>
      <c r="C254" s="247" t="s">
        <v>975</v>
      </c>
      <c r="D254" s="317">
        <v>42648</v>
      </c>
      <c r="E254" s="318">
        <v>0.39902777777777776</v>
      </c>
      <c r="F254" s="247" t="s">
        <v>981</v>
      </c>
      <c r="G254" s="247" t="s">
        <v>1035</v>
      </c>
      <c r="H254" s="248" t="s">
        <v>234</v>
      </c>
      <c r="I254" s="248" t="s">
        <v>677</v>
      </c>
      <c r="J254" s="247" t="s">
        <v>809</v>
      </c>
      <c r="K254" s="249">
        <v>0</v>
      </c>
      <c r="M254" s="90">
        <v>0</v>
      </c>
      <c r="N254" s="90">
        <v>0</v>
      </c>
      <c r="O254" s="90">
        <v>255</v>
      </c>
    </row>
    <row r="255" spans="1:15" s="90" customFormat="1" ht="12.75" customHeight="1" x14ac:dyDescent="0.2">
      <c r="A255" s="247" t="s">
        <v>1223</v>
      </c>
      <c r="B255" s="316">
        <v>3111</v>
      </c>
      <c r="C255" s="247" t="s">
        <v>975</v>
      </c>
      <c r="D255" s="317">
        <v>42648</v>
      </c>
      <c r="E255" s="318">
        <v>0.39908564814814818</v>
      </c>
      <c r="F255" s="247" t="s">
        <v>981</v>
      </c>
      <c r="G255" s="247" t="s">
        <v>1035</v>
      </c>
      <c r="H255" s="248" t="s">
        <v>234</v>
      </c>
      <c r="I255" s="248" t="s">
        <v>677</v>
      </c>
      <c r="J255" s="247" t="s">
        <v>809</v>
      </c>
      <c r="K255" s="249">
        <v>0</v>
      </c>
      <c r="M255" s="90">
        <v>0</v>
      </c>
      <c r="N255" s="90">
        <v>0</v>
      </c>
      <c r="O255" s="90">
        <v>255</v>
      </c>
    </row>
    <row r="256" spans="1:15" s="90" customFormat="1" ht="12.75" customHeight="1" x14ac:dyDescent="0.2">
      <c r="A256" s="247" t="s">
        <v>1224</v>
      </c>
      <c r="B256" s="316">
        <v>3111</v>
      </c>
      <c r="C256" s="247" t="s">
        <v>975</v>
      </c>
      <c r="D256" s="317">
        <v>42648</v>
      </c>
      <c r="E256" s="318">
        <v>0.39916666666666667</v>
      </c>
      <c r="F256" s="247" t="s">
        <v>981</v>
      </c>
      <c r="G256" s="247" t="s">
        <v>1035</v>
      </c>
      <c r="H256" s="248" t="s">
        <v>234</v>
      </c>
      <c r="I256" s="248" t="s">
        <v>677</v>
      </c>
      <c r="J256" s="247" t="s">
        <v>809</v>
      </c>
      <c r="K256" s="249">
        <v>0</v>
      </c>
      <c r="M256" s="90">
        <v>0</v>
      </c>
      <c r="N256" s="90">
        <v>0</v>
      </c>
      <c r="O256" s="90">
        <v>255</v>
      </c>
    </row>
    <row r="257" spans="1:15" s="90" customFormat="1" ht="12.75" customHeight="1" x14ac:dyDescent="0.2">
      <c r="A257" s="247" t="s">
        <v>1225</v>
      </c>
      <c r="B257" s="316">
        <v>3111</v>
      </c>
      <c r="C257" s="247" t="s">
        <v>975</v>
      </c>
      <c r="D257" s="317">
        <v>42648</v>
      </c>
      <c r="E257" s="318">
        <v>0.39920138888888884</v>
      </c>
      <c r="F257" s="247" t="s">
        <v>981</v>
      </c>
      <c r="G257" s="247" t="s">
        <v>1035</v>
      </c>
      <c r="H257" s="248" t="s">
        <v>234</v>
      </c>
      <c r="I257" s="248" t="s">
        <v>677</v>
      </c>
      <c r="J257" s="247" t="s">
        <v>809</v>
      </c>
      <c r="K257" s="249">
        <v>0</v>
      </c>
      <c r="M257" s="90">
        <v>0</v>
      </c>
      <c r="N257" s="90">
        <v>0</v>
      </c>
      <c r="O257" s="90">
        <v>255</v>
      </c>
    </row>
    <row r="258" spans="1:15" s="90" customFormat="1" ht="12.75" customHeight="1" x14ac:dyDescent="0.2">
      <c r="A258" s="247" t="s">
        <v>1226</v>
      </c>
      <c r="B258" s="316">
        <v>3111</v>
      </c>
      <c r="C258" s="247" t="s">
        <v>975</v>
      </c>
      <c r="D258" s="317">
        <v>42648</v>
      </c>
      <c r="E258" s="318">
        <v>0.39922453703703703</v>
      </c>
      <c r="F258" s="247" t="s">
        <v>981</v>
      </c>
      <c r="G258" s="247" t="s">
        <v>1035</v>
      </c>
      <c r="H258" s="248" t="s">
        <v>234</v>
      </c>
      <c r="I258" s="248" t="s">
        <v>677</v>
      </c>
      <c r="J258" s="247" t="s">
        <v>809</v>
      </c>
      <c r="K258" s="249">
        <v>0</v>
      </c>
      <c r="M258" s="90">
        <v>0</v>
      </c>
      <c r="N258" s="90">
        <v>0</v>
      </c>
      <c r="O258" s="90">
        <v>255</v>
      </c>
    </row>
    <row r="259" spans="1:15" s="90" customFormat="1" ht="12.75" customHeight="1" x14ac:dyDescent="0.2">
      <c r="A259" s="247" t="s">
        <v>1227</v>
      </c>
      <c r="B259" s="316">
        <v>3111</v>
      </c>
      <c r="C259" s="247" t="s">
        <v>975</v>
      </c>
      <c r="D259" s="317">
        <v>42648</v>
      </c>
      <c r="E259" s="318">
        <v>0.39925925925925926</v>
      </c>
      <c r="F259" s="247" t="s">
        <v>981</v>
      </c>
      <c r="G259" s="247" t="s">
        <v>1035</v>
      </c>
      <c r="H259" s="248" t="s">
        <v>234</v>
      </c>
      <c r="I259" s="248" t="s">
        <v>677</v>
      </c>
      <c r="J259" s="247" t="s">
        <v>809</v>
      </c>
      <c r="K259" s="249">
        <v>0</v>
      </c>
      <c r="M259" s="90">
        <v>0</v>
      </c>
      <c r="N259" s="90">
        <v>0</v>
      </c>
      <c r="O259" s="90">
        <v>255</v>
      </c>
    </row>
    <row r="260" spans="1:15" s="90" customFormat="1" ht="12.75" customHeight="1" x14ac:dyDescent="0.2">
      <c r="A260" s="247" t="s">
        <v>1019</v>
      </c>
      <c r="B260" s="316">
        <v>3061</v>
      </c>
      <c r="C260" s="247" t="s">
        <v>975</v>
      </c>
      <c r="D260" s="317">
        <v>42648</v>
      </c>
      <c r="E260" s="318">
        <v>0.39947916666666666</v>
      </c>
      <c r="F260" s="247" t="s">
        <v>981</v>
      </c>
      <c r="G260" s="247" t="s">
        <v>1035</v>
      </c>
      <c r="H260" s="248" t="s">
        <v>234</v>
      </c>
      <c r="I260" s="248" t="s">
        <v>677</v>
      </c>
      <c r="J260" s="247" t="s">
        <v>809</v>
      </c>
      <c r="K260" s="249">
        <v>0</v>
      </c>
      <c r="M260" s="90">
        <v>0</v>
      </c>
      <c r="N260" s="90">
        <v>0</v>
      </c>
      <c r="O260" s="90">
        <v>255</v>
      </c>
    </row>
    <row r="261" spans="1:15" s="90" customFormat="1" ht="12.75" customHeight="1" x14ac:dyDescent="0.2">
      <c r="A261" s="247" t="s">
        <v>1048</v>
      </c>
      <c r="B261" s="316">
        <v>3061</v>
      </c>
      <c r="C261" s="247" t="s">
        <v>975</v>
      </c>
      <c r="D261" s="317">
        <v>42648</v>
      </c>
      <c r="E261" s="318">
        <v>0.39950231481481485</v>
      </c>
      <c r="F261" s="247" t="s">
        <v>981</v>
      </c>
      <c r="G261" s="247" t="s">
        <v>1035</v>
      </c>
      <c r="H261" s="248" t="s">
        <v>234</v>
      </c>
      <c r="I261" s="248" t="s">
        <v>677</v>
      </c>
      <c r="J261" s="247" t="s">
        <v>809</v>
      </c>
      <c r="K261" s="249">
        <v>0</v>
      </c>
      <c r="M261" s="90">
        <v>0</v>
      </c>
      <c r="N261" s="90">
        <v>0</v>
      </c>
      <c r="O261" s="90">
        <v>255</v>
      </c>
    </row>
    <row r="262" spans="1:15" s="90" customFormat="1" ht="12.75" customHeight="1" x14ac:dyDescent="0.2">
      <c r="A262" s="247" t="s">
        <v>1020</v>
      </c>
      <c r="B262" s="316">
        <v>3061</v>
      </c>
      <c r="C262" s="247" t="s">
        <v>975</v>
      </c>
      <c r="D262" s="317">
        <v>42648</v>
      </c>
      <c r="E262" s="318">
        <v>0.39976851851851852</v>
      </c>
      <c r="F262" s="247" t="s">
        <v>981</v>
      </c>
      <c r="G262" s="247" t="s">
        <v>1035</v>
      </c>
      <c r="H262" s="248" t="s">
        <v>234</v>
      </c>
      <c r="I262" s="248" t="s">
        <v>677</v>
      </c>
      <c r="J262" s="247" t="s">
        <v>809</v>
      </c>
      <c r="K262" s="249">
        <v>0</v>
      </c>
      <c r="M262" s="90">
        <v>0</v>
      </c>
      <c r="N262" s="90">
        <v>0</v>
      </c>
      <c r="O262" s="90">
        <v>255</v>
      </c>
    </row>
    <row r="263" spans="1:15" s="90" customFormat="1" ht="12.75" customHeight="1" x14ac:dyDescent="0.2">
      <c r="A263" s="247" t="s">
        <v>1049</v>
      </c>
      <c r="B263" s="316">
        <v>3061</v>
      </c>
      <c r="C263" s="247" t="s">
        <v>975</v>
      </c>
      <c r="D263" s="317">
        <v>42648</v>
      </c>
      <c r="E263" s="318">
        <v>0.39980324074074075</v>
      </c>
      <c r="F263" s="247" t="s">
        <v>981</v>
      </c>
      <c r="G263" s="247" t="s">
        <v>1035</v>
      </c>
      <c r="H263" s="248" t="s">
        <v>234</v>
      </c>
      <c r="I263" s="248" t="s">
        <v>677</v>
      </c>
      <c r="J263" s="247" t="s">
        <v>809</v>
      </c>
      <c r="K263" s="249">
        <v>0</v>
      </c>
      <c r="M263" s="90">
        <v>0</v>
      </c>
      <c r="N263" s="90">
        <v>0</v>
      </c>
      <c r="O263" s="90">
        <v>255</v>
      </c>
    </row>
    <row r="264" spans="1:15" s="90" customFormat="1" ht="12.75" customHeight="1" x14ac:dyDescent="0.2">
      <c r="A264" s="247" t="s">
        <v>1021</v>
      </c>
      <c r="B264" s="316">
        <v>3061</v>
      </c>
      <c r="C264" s="247" t="s">
        <v>975</v>
      </c>
      <c r="D264" s="317">
        <v>42648</v>
      </c>
      <c r="E264" s="318">
        <v>0.40001157407407412</v>
      </c>
      <c r="F264" s="247" t="s">
        <v>981</v>
      </c>
      <c r="G264" s="247" t="s">
        <v>1035</v>
      </c>
      <c r="H264" s="248" t="s">
        <v>234</v>
      </c>
      <c r="I264" s="248" t="s">
        <v>677</v>
      </c>
      <c r="J264" s="247" t="s">
        <v>809</v>
      </c>
      <c r="K264" s="249">
        <v>0</v>
      </c>
      <c r="M264" s="90">
        <v>0</v>
      </c>
      <c r="N264" s="90">
        <v>0</v>
      </c>
      <c r="O264" s="90">
        <v>255</v>
      </c>
    </row>
    <row r="265" spans="1:15" s="90" customFormat="1" ht="12.75" customHeight="1" x14ac:dyDescent="0.2">
      <c r="A265" s="247" t="s">
        <v>1050</v>
      </c>
      <c r="B265" s="316">
        <v>3061</v>
      </c>
      <c r="C265" s="247" t="s">
        <v>975</v>
      </c>
      <c r="D265" s="317">
        <v>42648</v>
      </c>
      <c r="E265" s="318">
        <v>0.40004629629629629</v>
      </c>
      <c r="F265" s="247" t="s">
        <v>981</v>
      </c>
      <c r="G265" s="247" t="s">
        <v>1035</v>
      </c>
      <c r="H265" s="248" t="s">
        <v>234</v>
      </c>
      <c r="I265" s="248" t="s">
        <v>677</v>
      </c>
      <c r="J265" s="247" t="s">
        <v>809</v>
      </c>
      <c r="K265" s="249">
        <v>0</v>
      </c>
      <c r="M265" s="90">
        <v>0</v>
      </c>
      <c r="N265" s="90">
        <v>0</v>
      </c>
      <c r="O265" s="90">
        <v>255</v>
      </c>
    </row>
    <row r="266" spans="1:15" s="90" customFormat="1" ht="12.75" customHeight="1" x14ac:dyDescent="0.2">
      <c r="A266" s="247" t="s">
        <v>1050</v>
      </c>
      <c r="B266" s="316">
        <v>3061</v>
      </c>
      <c r="C266" s="247" t="s">
        <v>975</v>
      </c>
      <c r="D266" s="317">
        <v>42648</v>
      </c>
      <c r="E266" s="318">
        <v>0.40030092592592598</v>
      </c>
      <c r="F266" s="247" t="s">
        <v>981</v>
      </c>
      <c r="G266" s="247" t="s">
        <v>1035</v>
      </c>
      <c r="H266" s="248" t="s">
        <v>234</v>
      </c>
      <c r="I266" s="248" t="s">
        <v>677</v>
      </c>
      <c r="J266" s="247" t="s">
        <v>809</v>
      </c>
      <c r="K266" s="249">
        <v>0</v>
      </c>
      <c r="M266" s="90">
        <v>0</v>
      </c>
      <c r="N266" s="90">
        <v>0</v>
      </c>
      <c r="O266" s="90">
        <v>255</v>
      </c>
    </row>
    <row r="267" spans="1:15" s="90" customFormat="1" ht="12.75" customHeight="1" x14ac:dyDescent="0.2">
      <c r="A267" s="247" t="s">
        <v>1050</v>
      </c>
      <c r="B267" s="316">
        <v>3061</v>
      </c>
      <c r="C267" s="247" t="s">
        <v>975</v>
      </c>
      <c r="D267" s="317">
        <v>42648</v>
      </c>
      <c r="E267" s="318">
        <v>0.40061342592592591</v>
      </c>
      <c r="F267" s="247" t="s">
        <v>981</v>
      </c>
      <c r="G267" s="247" t="s">
        <v>1035</v>
      </c>
      <c r="H267" s="248" t="s">
        <v>234</v>
      </c>
      <c r="I267" s="248" t="s">
        <v>677</v>
      </c>
      <c r="J267" s="247" t="s">
        <v>809</v>
      </c>
      <c r="K267" s="249">
        <v>0</v>
      </c>
      <c r="M267" s="90">
        <v>0</v>
      </c>
      <c r="N267" s="90">
        <v>0</v>
      </c>
      <c r="O267" s="90">
        <v>255</v>
      </c>
    </row>
    <row r="268" spans="1:15" s="90" customFormat="1" ht="12.75" customHeight="1" x14ac:dyDescent="0.2">
      <c r="A268" s="247" t="s">
        <v>1015</v>
      </c>
      <c r="B268" s="316">
        <v>3061</v>
      </c>
      <c r="C268" s="247" t="s">
        <v>975</v>
      </c>
      <c r="D268" s="317">
        <v>42648</v>
      </c>
      <c r="E268" s="318">
        <v>0.40083333333333332</v>
      </c>
      <c r="F268" s="247" t="s">
        <v>981</v>
      </c>
      <c r="G268" s="247" t="s">
        <v>1035</v>
      </c>
      <c r="H268" s="248" t="s">
        <v>234</v>
      </c>
      <c r="I268" s="248" t="s">
        <v>677</v>
      </c>
      <c r="J268" s="247" t="s">
        <v>809</v>
      </c>
      <c r="K268" s="249">
        <v>0</v>
      </c>
      <c r="M268" s="90">
        <v>0</v>
      </c>
      <c r="N268" s="90">
        <v>0</v>
      </c>
      <c r="O268" s="90">
        <v>255</v>
      </c>
    </row>
    <row r="269" spans="1:15" s="90" customFormat="1" ht="12.75" customHeight="1" x14ac:dyDescent="0.2">
      <c r="A269" s="247" t="s">
        <v>1045</v>
      </c>
      <c r="B269" s="316">
        <v>3061</v>
      </c>
      <c r="C269" s="247" t="s">
        <v>975</v>
      </c>
      <c r="D269" s="317">
        <v>42648</v>
      </c>
      <c r="E269" s="318">
        <v>0.40085648148148145</v>
      </c>
      <c r="F269" s="247" t="s">
        <v>981</v>
      </c>
      <c r="G269" s="247" t="s">
        <v>1035</v>
      </c>
      <c r="H269" s="248" t="s">
        <v>234</v>
      </c>
      <c r="I269" s="248" t="s">
        <v>677</v>
      </c>
      <c r="J269" s="247" t="s">
        <v>809</v>
      </c>
      <c r="K269" s="249">
        <v>0</v>
      </c>
      <c r="M269" s="90">
        <v>0</v>
      </c>
      <c r="N269" s="90">
        <v>0</v>
      </c>
      <c r="O269" s="90">
        <v>255</v>
      </c>
    </row>
    <row r="270" spans="1:15" s="90" customFormat="1" ht="12.75" customHeight="1" x14ac:dyDescent="0.2">
      <c r="A270" s="247" t="s">
        <v>1016</v>
      </c>
      <c r="B270" s="316">
        <v>3061</v>
      </c>
      <c r="C270" s="247" t="s">
        <v>975</v>
      </c>
      <c r="D270" s="317">
        <v>42648</v>
      </c>
      <c r="E270" s="318">
        <v>0.4012384259259259</v>
      </c>
      <c r="F270" s="247" t="s">
        <v>981</v>
      </c>
      <c r="G270" s="247" t="s">
        <v>1035</v>
      </c>
      <c r="H270" s="248" t="s">
        <v>234</v>
      </c>
      <c r="I270" s="248" t="s">
        <v>677</v>
      </c>
      <c r="J270" s="247" t="s">
        <v>809</v>
      </c>
      <c r="K270" s="249">
        <v>0</v>
      </c>
      <c r="M270" s="90">
        <v>0</v>
      </c>
      <c r="N270" s="90">
        <v>0</v>
      </c>
      <c r="O270" s="90">
        <v>255</v>
      </c>
    </row>
    <row r="271" spans="1:15" s="90" customFormat="1" ht="12.75" customHeight="1" x14ac:dyDescent="0.2">
      <c r="A271" s="247" t="s">
        <v>1046</v>
      </c>
      <c r="B271" s="316">
        <v>3061</v>
      </c>
      <c r="C271" s="247" t="s">
        <v>975</v>
      </c>
      <c r="D271" s="317">
        <v>42648</v>
      </c>
      <c r="E271" s="318">
        <v>0.40128472222222222</v>
      </c>
      <c r="F271" s="247" t="s">
        <v>981</v>
      </c>
      <c r="G271" s="247" t="s">
        <v>1035</v>
      </c>
      <c r="H271" s="248" t="s">
        <v>234</v>
      </c>
      <c r="I271" s="248" t="s">
        <v>677</v>
      </c>
      <c r="J271" s="247" t="s">
        <v>809</v>
      </c>
      <c r="K271" s="249">
        <v>0</v>
      </c>
      <c r="M271" s="90">
        <v>0</v>
      </c>
      <c r="N271" s="90">
        <v>0</v>
      </c>
      <c r="O271" s="90">
        <v>255</v>
      </c>
    </row>
    <row r="272" spans="1:15" s="90" customFormat="1" ht="12.75" customHeight="1" x14ac:dyDescent="0.2">
      <c r="A272" s="247" t="s">
        <v>1014</v>
      </c>
      <c r="B272" s="316">
        <v>3061</v>
      </c>
      <c r="C272" s="247" t="s">
        <v>975</v>
      </c>
      <c r="D272" s="317">
        <v>42648</v>
      </c>
      <c r="E272" s="318">
        <v>0.40173611111111113</v>
      </c>
      <c r="F272" s="247" t="s">
        <v>981</v>
      </c>
      <c r="G272" s="247" t="s">
        <v>1035</v>
      </c>
      <c r="H272" s="248" t="s">
        <v>234</v>
      </c>
      <c r="I272" s="248" t="s">
        <v>677</v>
      </c>
      <c r="J272" s="247" t="s">
        <v>809</v>
      </c>
      <c r="K272" s="249">
        <v>0</v>
      </c>
      <c r="M272" s="90">
        <v>0</v>
      </c>
      <c r="N272" s="90">
        <v>0</v>
      </c>
      <c r="O272" s="90">
        <v>255</v>
      </c>
    </row>
    <row r="273" spans="1:15" s="90" customFormat="1" ht="12.75" customHeight="1" x14ac:dyDescent="0.2">
      <c r="A273" s="247" t="s">
        <v>1044</v>
      </c>
      <c r="B273" s="316">
        <v>3061</v>
      </c>
      <c r="C273" s="247" t="s">
        <v>975</v>
      </c>
      <c r="D273" s="317">
        <v>42648</v>
      </c>
      <c r="E273" s="318">
        <v>0.4017592592592592</v>
      </c>
      <c r="F273" s="247" t="s">
        <v>981</v>
      </c>
      <c r="G273" s="247" t="s">
        <v>1035</v>
      </c>
      <c r="H273" s="248" t="s">
        <v>234</v>
      </c>
      <c r="I273" s="248" t="s">
        <v>677</v>
      </c>
      <c r="J273" s="247" t="s">
        <v>809</v>
      </c>
      <c r="K273" s="249">
        <v>0</v>
      </c>
      <c r="M273" s="90">
        <v>0</v>
      </c>
      <c r="N273" s="90">
        <v>0</v>
      </c>
      <c r="O273" s="90">
        <v>255</v>
      </c>
    </row>
    <row r="274" spans="1:15" s="90" customFormat="1" ht="12.75" customHeight="1" x14ac:dyDescent="0.2">
      <c r="A274" s="247" t="s">
        <v>1013</v>
      </c>
      <c r="B274" s="316">
        <v>3061</v>
      </c>
      <c r="C274" s="247" t="s">
        <v>975</v>
      </c>
      <c r="D274" s="317">
        <v>42648</v>
      </c>
      <c r="E274" s="318">
        <v>0.40201388888888889</v>
      </c>
      <c r="F274" s="247" t="s">
        <v>981</v>
      </c>
      <c r="G274" s="247" t="s">
        <v>1035</v>
      </c>
      <c r="H274" s="248" t="s">
        <v>234</v>
      </c>
      <c r="I274" s="248" t="s">
        <v>677</v>
      </c>
      <c r="J274" s="247" t="s">
        <v>809</v>
      </c>
      <c r="K274" s="249">
        <v>0</v>
      </c>
      <c r="M274" s="90">
        <v>0</v>
      </c>
      <c r="N274" s="90">
        <v>0</v>
      </c>
      <c r="O274" s="90">
        <v>255</v>
      </c>
    </row>
    <row r="275" spans="1:15" s="90" customFormat="1" ht="12.75" customHeight="1" x14ac:dyDescent="0.2">
      <c r="A275" s="247" t="s">
        <v>1043</v>
      </c>
      <c r="B275" s="316">
        <v>3061</v>
      </c>
      <c r="C275" s="247" t="s">
        <v>975</v>
      </c>
      <c r="D275" s="317">
        <v>42648</v>
      </c>
      <c r="E275" s="318">
        <v>0.40203703703703703</v>
      </c>
      <c r="F275" s="247" t="s">
        <v>981</v>
      </c>
      <c r="G275" s="247" t="s">
        <v>1035</v>
      </c>
      <c r="H275" s="248" t="s">
        <v>234</v>
      </c>
      <c r="I275" s="248" t="s">
        <v>677</v>
      </c>
      <c r="J275" s="247" t="s">
        <v>809</v>
      </c>
      <c r="K275" s="249">
        <v>0</v>
      </c>
      <c r="M275" s="90">
        <v>0</v>
      </c>
      <c r="N275" s="90">
        <v>0</v>
      </c>
      <c r="O275" s="90">
        <v>255</v>
      </c>
    </row>
    <row r="276" spans="1:15" s="90" customFormat="1" ht="12.75" customHeight="1" x14ac:dyDescent="0.2">
      <c r="A276" s="247" t="s">
        <v>1049</v>
      </c>
      <c r="B276" s="316">
        <v>3061</v>
      </c>
      <c r="C276" s="247" t="s">
        <v>975</v>
      </c>
      <c r="D276" s="317">
        <v>42648</v>
      </c>
      <c r="E276" s="318">
        <v>0.40273148148148147</v>
      </c>
      <c r="F276" s="247" t="s">
        <v>981</v>
      </c>
      <c r="G276" s="247" t="s">
        <v>1035</v>
      </c>
      <c r="H276" s="248" t="s">
        <v>234</v>
      </c>
      <c r="I276" s="248" t="s">
        <v>677</v>
      </c>
      <c r="J276" s="247" t="s">
        <v>809</v>
      </c>
      <c r="K276" s="249">
        <v>0</v>
      </c>
      <c r="M276" s="90">
        <v>0</v>
      </c>
      <c r="N276" s="90">
        <v>0</v>
      </c>
      <c r="O276" s="90">
        <v>255</v>
      </c>
    </row>
    <row r="277" spans="1:15" s="90" customFormat="1" ht="12.75" customHeight="1" x14ac:dyDescent="0.2">
      <c r="A277" s="247" t="s">
        <v>1048</v>
      </c>
      <c r="B277" s="316">
        <v>3061</v>
      </c>
      <c r="C277" s="247" t="s">
        <v>975</v>
      </c>
      <c r="D277" s="317">
        <v>42648</v>
      </c>
      <c r="E277" s="318">
        <v>0.40304398148148146</v>
      </c>
      <c r="F277" s="247" t="s">
        <v>981</v>
      </c>
      <c r="G277" s="247" t="s">
        <v>1035</v>
      </c>
      <c r="H277" s="248" t="s">
        <v>234</v>
      </c>
      <c r="I277" s="248" t="s">
        <v>677</v>
      </c>
      <c r="J277" s="247" t="s">
        <v>809</v>
      </c>
      <c r="K277" s="249">
        <v>0</v>
      </c>
      <c r="M277" s="90">
        <v>0</v>
      </c>
      <c r="N277" s="90">
        <v>0</v>
      </c>
      <c r="O277" s="90">
        <v>255</v>
      </c>
    </row>
    <row r="278" spans="1:15" s="90" customFormat="1" ht="12.75" customHeight="1" x14ac:dyDescent="0.2">
      <c r="A278" s="247" t="s">
        <v>1046</v>
      </c>
      <c r="B278" s="316">
        <v>3061</v>
      </c>
      <c r="C278" s="247" t="s">
        <v>975</v>
      </c>
      <c r="D278" s="317">
        <v>42648</v>
      </c>
      <c r="E278" s="318">
        <v>0.40332175925925928</v>
      </c>
      <c r="F278" s="247" t="s">
        <v>981</v>
      </c>
      <c r="G278" s="247" t="s">
        <v>1035</v>
      </c>
      <c r="H278" s="248" t="s">
        <v>234</v>
      </c>
      <c r="I278" s="248" t="s">
        <v>677</v>
      </c>
      <c r="J278" s="247" t="s">
        <v>809</v>
      </c>
      <c r="K278" s="249">
        <v>0</v>
      </c>
      <c r="M278" s="90">
        <v>0</v>
      </c>
      <c r="N278" s="90">
        <v>0</v>
      </c>
      <c r="O278" s="90">
        <v>255</v>
      </c>
    </row>
    <row r="279" spans="1:15" s="90" customFormat="1" ht="12.75" customHeight="1" x14ac:dyDescent="0.2">
      <c r="A279" s="247" t="s">
        <v>1045</v>
      </c>
      <c r="B279" s="316">
        <v>3061</v>
      </c>
      <c r="C279" s="247" t="s">
        <v>975</v>
      </c>
      <c r="D279" s="317">
        <v>42648</v>
      </c>
      <c r="E279" s="318">
        <v>0.40355324074074073</v>
      </c>
      <c r="F279" s="247" t="s">
        <v>981</v>
      </c>
      <c r="G279" s="247" t="s">
        <v>1035</v>
      </c>
      <c r="H279" s="248" t="s">
        <v>234</v>
      </c>
      <c r="I279" s="248" t="s">
        <v>677</v>
      </c>
      <c r="J279" s="247" t="s">
        <v>809</v>
      </c>
      <c r="K279" s="249">
        <v>0</v>
      </c>
      <c r="M279" s="90">
        <v>0</v>
      </c>
      <c r="N279" s="90">
        <v>0</v>
      </c>
      <c r="O279" s="90">
        <v>255</v>
      </c>
    </row>
    <row r="280" spans="1:15" s="90" customFormat="1" ht="12.75" customHeight="1" x14ac:dyDescent="0.2">
      <c r="A280" s="247" t="s">
        <v>1044</v>
      </c>
      <c r="B280" s="316">
        <v>3061</v>
      </c>
      <c r="C280" s="247" t="s">
        <v>975</v>
      </c>
      <c r="D280" s="317">
        <v>42648</v>
      </c>
      <c r="E280" s="318">
        <v>0.40376157407407409</v>
      </c>
      <c r="F280" s="247" t="s">
        <v>981</v>
      </c>
      <c r="G280" s="247" t="s">
        <v>1035</v>
      </c>
      <c r="H280" s="248" t="s">
        <v>234</v>
      </c>
      <c r="I280" s="248" t="s">
        <v>677</v>
      </c>
      <c r="J280" s="247" t="s">
        <v>809</v>
      </c>
      <c r="K280" s="249">
        <v>0</v>
      </c>
      <c r="M280" s="90">
        <v>0</v>
      </c>
      <c r="N280" s="90">
        <v>0</v>
      </c>
      <c r="O280" s="90">
        <v>255</v>
      </c>
    </row>
    <row r="281" spans="1:15" s="90" customFormat="1" ht="12.75" customHeight="1" x14ac:dyDescent="0.2">
      <c r="A281" s="247" t="s">
        <v>1043</v>
      </c>
      <c r="B281" s="316">
        <v>3061</v>
      </c>
      <c r="C281" s="247" t="s">
        <v>975</v>
      </c>
      <c r="D281" s="317">
        <v>42648</v>
      </c>
      <c r="E281" s="318">
        <v>0.40403935185185186</v>
      </c>
      <c r="F281" s="247" t="s">
        <v>981</v>
      </c>
      <c r="G281" s="247" t="s">
        <v>1035</v>
      </c>
      <c r="H281" s="248" t="s">
        <v>234</v>
      </c>
      <c r="I281" s="248" t="s">
        <v>677</v>
      </c>
      <c r="J281" s="247" t="s">
        <v>809</v>
      </c>
      <c r="K281" s="249">
        <v>0</v>
      </c>
      <c r="M281" s="90">
        <v>0</v>
      </c>
      <c r="N281" s="90">
        <v>0</v>
      </c>
      <c r="O281" s="90">
        <v>255</v>
      </c>
    </row>
    <row r="282" spans="1:15" s="90" customFormat="1" ht="12.75" customHeight="1" x14ac:dyDescent="0.2">
      <c r="A282" s="247" t="s">
        <v>989</v>
      </c>
      <c r="B282" s="316">
        <v>3046</v>
      </c>
      <c r="C282" s="247" t="s">
        <v>975</v>
      </c>
      <c r="D282" s="317">
        <v>42648</v>
      </c>
      <c r="E282" s="318">
        <v>0.41526620370370365</v>
      </c>
      <c r="F282" s="247" t="s">
        <v>976</v>
      </c>
      <c r="G282" s="247" t="s">
        <v>1035</v>
      </c>
      <c r="H282" s="248" t="s">
        <v>404</v>
      </c>
      <c r="I282" s="248" t="s">
        <v>404</v>
      </c>
      <c r="J282" s="247" t="s">
        <v>809</v>
      </c>
      <c r="K282" s="249">
        <v>0</v>
      </c>
      <c r="M282" s="90">
        <v>0</v>
      </c>
      <c r="N282" s="90">
        <v>0</v>
      </c>
      <c r="O282" s="90">
        <v>255</v>
      </c>
    </row>
    <row r="283" spans="1:15" s="90" customFormat="1" ht="12.75" customHeight="1" x14ac:dyDescent="0.2">
      <c r="A283" s="247" t="s">
        <v>990</v>
      </c>
      <c r="B283" s="316">
        <v>3046</v>
      </c>
      <c r="C283" s="247" t="s">
        <v>975</v>
      </c>
      <c r="D283" s="317">
        <v>42648</v>
      </c>
      <c r="E283" s="318">
        <v>0.41552083333333334</v>
      </c>
      <c r="F283" s="247" t="s">
        <v>976</v>
      </c>
      <c r="G283" s="247" t="s">
        <v>1035</v>
      </c>
      <c r="H283" s="248" t="s">
        <v>404</v>
      </c>
      <c r="I283" s="248" t="s">
        <v>404</v>
      </c>
      <c r="J283" s="247" t="s">
        <v>809</v>
      </c>
      <c r="K283" s="249">
        <v>0</v>
      </c>
      <c r="M283" s="90">
        <v>0</v>
      </c>
      <c r="N283" s="90">
        <v>0</v>
      </c>
      <c r="O283" s="90">
        <v>255</v>
      </c>
    </row>
    <row r="284" spans="1:15" s="90" customFormat="1" ht="12.75" customHeight="1" x14ac:dyDescent="0.2">
      <c r="A284" s="247" t="s">
        <v>993</v>
      </c>
      <c r="B284" s="316">
        <v>3217</v>
      </c>
      <c r="C284" s="247" t="s">
        <v>975</v>
      </c>
      <c r="D284" s="317">
        <v>42648</v>
      </c>
      <c r="E284" s="318">
        <v>0.41552083333333334</v>
      </c>
      <c r="F284" s="247" t="s">
        <v>235</v>
      </c>
      <c r="G284" s="247" t="s">
        <v>1035</v>
      </c>
      <c r="H284" s="248" t="s">
        <v>234</v>
      </c>
      <c r="I284" s="248" t="s">
        <v>235</v>
      </c>
      <c r="J284" s="247" t="s">
        <v>809</v>
      </c>
      <c r="K284" s="249">
        <v>0</v>
      </c>
      <c r="M284" s="90">
        <v>0</v>
      </c>
      <c r="N284" s="90">
        <v>0</v>
      </c>
      <c r="O284" s="90">
        <v>255</v>
      </c>
    </row>
    <row r="285" spans="1:15" s="90" customFormat="1" ht="12.75" customHeight="1" x14ac:dyDescent="0.2">
      <c r="A285" s="247" t="s">
        <v>1017</v>
      </c>
      <c r="B285" s="316">
        <v>3061</v>
      </c>
      <c r="C285" s="247" t="s">
        <v>975</v>
      </c>
      <c r="D285" s="317">
        <v>42648</v>
      </c>
      <c r="E285" s="318">
        <v>0.43671296296296297</v>
      </c>
      <c r="F285" s="247" t="s">
        <v>981</v>
      </c>
      <c r="G285" s="247" t="s">
        <v>1035</v>
      </c>
      <c r="H285" s="248" t="s">
        <v>234</v>
      </c>
      <c r="I285" s="248" t="s">
        <v>677</v>
      </c>
      <c r="J285" s="247" t="s">
        <v>809</v>
      </c>
      <c r="K285" s="249">
        <v>0</v>
      </c>
      <c r="M285" s="90">
        <v>0</v>
      </c>
      <c r="N285" s="90">
        <v>0</v>
      </c>
      <c r="O285" s="90">
        <v>255</v>
      </c>
    </row>
    <row r="286" spans="1:15" s="90" customFormat="1" ht="12.75" customHeight="1" x14ac:dyDescent="0.2">
      <c r="A286" s="247" t="s">
        <v>1047</v>
      </c>
      <c r="B286" s="316">
        <v>3061</v>
      </c>
      <c r="C286" s="247" t="s">
        <v>975</v>
      </c>
      <c r="D286" s="317">
        <v>42648</v>
      </c>
      <c r="E286" s="318">
        <v>0.43673611111111116</v>
      </c>
      <c r="F286" s="247" t="s">
        <v>981</v>
      </c>
      <c r="G286" s="247" t="s">
        <v>1035</v>
      </c>
      <c r="H286" s="248" t="s">
        <v>234</v>
      </c>
      <c r="I286" s="248" t="s">
        <v>677</v>
      </c>
      <c r="J286" s="247" t="s">
        <v>809</v>
      </c>
      <c r="K286" s="249">
        <v>0</v>
      </c>
      <c r="M286" s="90">
        <v>0</v>
      </c>
      <c r="N286" s="90">
        <v>0</v>
      </c>
      <c r="O286" s="90">
        <v>255</v>
      </c>
    </row>
    <row r="287" spans="1:15" s="90" customFormat="1" ht="12.75" customHeight="1" x14ac:dyDescent="0.2">
      <c r="A287" s="247" t="s">
        <v>1018</v>
      </c>
      <c r="B287" s="316">
        <v>3061</v>
      </c>
      <c r="C287" s="247" t="s">
        <v>975</v>
      </c>
      <c r="D287" s="317">
        <v>42648</v>
      </c>
      <c r="E287" s="318">
        <v>0.43673611111111116</v>
      </c>
      <c r="F287" s="247" t="s">
        <v>981</v>
      </c>
      <c r="G287" s="247" t="s">
        <v>1035</v>
      </c>
      <c r="H287" s="248" t="s">
        <v>234</v>
      </c>
      <c r="I287" s="248" t="s">
        <v>677</v>
      </c>
      <c r="J287" s="247" t="s">
        <v>809</v>
      </c>
      <c r="K287" s="249">
        <v>0</v>
      </c>
      <c r="M287" s="90">
        <v>0</v>
      </c>
      <c r="N287" s="90">
        <v>0</v>
      </c>
      <c r="O287" s="90">
        <v>255</v>
      </c>
    </row>
    <row r="288" spans="1:15" s="90" customFormat="1" ht="12.75" customHeight="1" x14ac:dyDescent="0.2">
      <c r="A288" s="247" t="s">
        <v>1017</v>
      </c>
      <c r="B288" s="316">
        <v>3061</v>
      </c>
      <c r="C288" s="247" t="s">
        <v>975</v>
      </c>
      <c r="D288" s="317">
        <v>42648</v>
      </c>
      <c r="E288" s="318">
        <v>0.43684027777777779</v>
      </c>
      <c r="F288" s="247" t="s">
        <v>981</v>
      </c>
      <c r="G288" s="247" t="s">
        <v>1035</v>
      </c>
      <c r="H288" s="248" t="s">
        <v>234</v>
      </c>
      <c r="I288" s="248" t="s">
        <v>677</v>
      </c>
      <c r="J288" s="247" t="s">
        <v>809</v>
      </c>
      <c r="K288" s="249">
        <v>0</v>
      </c>
      <c r="M288" s="90">
        <v>0</v>
      </c>
      <c r="N288" s="90">
        <v>0</v>
      </c>
      <c r="O288" s="90">
        <v>255</v>
      </c>
    </row>
    <row r="289" spans="1:15" s="90" customFormat="1" ht="12.75" customHeight="1" x14ac:dyDescent="0.2">
      <c r="A289" s="247" t="s">
        <v>1047</v>
      </c>
      <c r="B289" s="316">
        <v>3061</v>
      </c>
      <c r="C289" s="247" t="s">
        <v>975</v>
      </c>
      <c r="D289" s="317">
        <v>42648</v>
      </c>
      <c r="E289" s="318">
        <v>0.43687499999999996</v>
      </c>
      <c r="F289" s="247" t="s">
        <v>981</v>
      </c>
      <c r="G289" s="247" t="s">
        <v>1035</v>
      </c>
      <c r="H289" s="248" t="s">
        <v>234</v>
      </c>
      <c r="I289" s="248" t="s">
        <v>677</v>
      </c>
      <c r="J289" s="247" t="s">
        <v>809</v>
      </c>
      <c r="K289" s="249">
        <v>0</v>
      </c>
      <c r="M289" s="90">
        <v>0</v>
      </c>
      <c r="N289" s="90">
        <v>0</v>
      </c>
      <c r="O289" s="90">
        <v>255</v>
      </c>
    </row>
    <row r="290" spans="1:15" s="90" customFormat="1" ht="12.75" customHeight="1" x14ac:dyDescent="0.2">
      <c r="A290" s="247" t="s">
        <v>1018</v>
      </c>
      <c r="B290" s="316">
        <v>3061</v>
      </c>
      <c r="C290" s="247" t="s">
        <v>975</v>
      </c>
      <c r="D290" s="317">
        <v>42648</v>
      </c>
      <c r="E290" s="318">
        <v>0.43687499999999996</v>
      </c>
      <c r="F290" s="247" t="s">
        <v>981</v>
      </c>
      <c r="G290" s="247" t="s">
        <v>1035</v>
      </c>
      <c r="H290" s="248" t="s">
        <v>234</v>
      </c>
      <c r="I290" s="248" t="s">
        <v>677</v>
      </c>
      <c r="J290" s="247" t="s">
        <v>809</v>
      </c>
      <c r="K290" s="249">
        <v>0</v>
      </c>
      <c r="M290" s="90">
        <v>0</v>
      </c>
      <c r="N290" s="90">
        <v>0</v>
      </c>
      <c r="O290" s="90">
        <v>255</v>
      </c>
    </row>
    <row r="291" spans="1:15" s="90" customFormat="1" ht="12.75" customHeight="1" x14ac:dyDescent="0.2">
      <c r="A291" s="247" t="s">
        <v>1037</v>
      </c>
      <c r="B291" s="316">
        <v>3108</v>
      </c>
      <c r="C291" s="247" t="s">
        <v>975</v>
      </c>
      <c r="D291" s="317">
        <v>42648</v>
      </c>
      <c r="E291" s="318">
        <v>0.43793981481481481</v>
      </c>
      <c r="F291" s="247" t="s">
        <v>978</v>
      </c>
      <c r="G291" s="247" t="s">
        <v>1035</v>
      </c>
      <c r="H291" s="248" t="s">
        <v>234</v>
      </c>
      <c r="I291" s="248" t="s">
        <v>677</v>
      </c>
      <c r="J291" s="247" t="s">
        <v>809</v>
      </c>
      <c r="K291" s="249">
        <v>0</v>
      </c>
      <c r="M291" s="90">
        <v>0</v>
      </c>
      <c r="N291" s="90">
        <v>0</v>
      </c>
      <c r="O291" s="90">
        <v>255</v>
      </c>
    </row>
    <row r="292" spans="1:15" s="90" customFormat="1" ht="12.75" customHeight="1" x14ac:dyDescent="0.2">
      <c r="A292" s="247" t="s">
        <v>1001</v>
      </c>
      <c r="B292" s="316">
        <v>3106</v>
      </c>
      <c r="C292" s="247" t="s">
        <v>975</v>
      </c>
      <c r="D292" s="317">
        <v>42648</v>
      </c>
      <c r="E292" s="318">
        <v>0.43812500000000004</v>
      </c>
      <c r="F292" s="247" t="s">
        <v>978</v>
      </c>
      <c r="G292" s="247" t="s">
        <v>1002</v>
      </c>
      <c r="H292" s="248" t="s">
        <v>234</v>
      </c>
      <c r="I292" s="248" t="s">
        <v>677</v>
      </c>
      <c r="J292" s="247" t="s">
        <v>809</v>
      </c>
      <c r="K292" s="249">
        <v>0</v>
      </c>
      <c r="M292" s="90">
        <v>0</v>
      </c>
      <c r="N292" s="90">
        <v>0</v>
      </c>
      <c r="O292" s="90">
        <v>255</v>
      </c>
    </row>
    <row r="293" spans="1:15" s="90" customFormat="1" ht="12.75" customHeight="1" x14ac:dyDescent="0.2">
      <c r="A293" s="247" t="s">
        <v>1003</v>
      </c>
      <c r="B293" s="316">
        <v>3108</v>
      </c>
      <c r="C293" s="247" t="s">
        <v>975</v>
      </c>
      <c r="D293" s="317">
        <v>42648</v>
      </c>
      <c r="E293" s="318">
        <v>0.43837962962962962</v>
      </c>
      <c r="F293" s="247" t="s">
        <v>978</v>
      </c>
      <c r="G293" s="247" t="s">
        <v>1002</v>
      </c>
      <c r="H293" s="248" t="s">
        <v>234</v>
      </c>
      <c r="I293" s="248" t="s">
        <v>677</v>
      </c>
      <c r="J293" s="247" t="s">
        <v>809</v>
      </c>
      <c r="K293" s="249">
        <v>0</v>
      </c>
      <c r="M293" s="90">
        <v>0</v>
      </c>
      <c r="N293" s="90">
        <v>0</v>
      </c>
      <c r="O293" s="90">
        <v>255</v>
      </c>
    </row>
    <row r="294" spans="1:15" s="90" customFormat="1" ht="12.75" customHeight="1" x14ac:dyDescent="0.2">
      <c r="A294" s="247" t="s">
        <v>1034</v>
      </c>
      <c r="B294" s="316">
        <v>3106</v>
      </c>
      <c r="C294" s="247" t="s">
        <v>975</v>
      </c>
      <c r="D294" s="317">
        <v>42648</v>
      </c>
      <c r="E294" s="318">
        <v>0.44432870370370375</v>
      </c>
      <c r="F294" s="247" t="s">
        <v>978</v>
      </c>
      <c r="G294" s="247" t="s">
        <v>1035</v>
      </c>
      <c r="H294" s="248" t="s">
        <v>234</v>
      </c>
      <c r="I294" s="248" t="s">
        <v>677</v>
      </c>
      <c r="J294" s="247" t="s">
        <v>809</v>
      </c>
      <c r="K294" s="249">
        <v>0</v>
      </c>
      <c r="M294" s="90">
        <v>0</v>
      </c>
      <c r="N294" s="90">
        <v>0</v>
      </c>
      <c r="O294" s="90">
        <v>255</v>
      </c>
    </row>
    <row r="295" spans="1:15" s="90" customFormat="1" ht="12.75" customHeight="1" x14ac:dyDescent="0.2">
      <c r="A295" s="247" t="s">
        <v>1228</v>
      </c>
      <c r="B295" s="316">
        <v>3110</v>
      </c>
      <c r="C295" s="247" t="s">
        <v>975</v>
      </c>
      <c r="D295" s="317">
        <v>42648</v>
      </c>
      <c r="E295" s="318">
        <v>0.44497685185185182</v>
      </c>
      <c r="F295" s="247" t="s">
        <v>981</v>
      </c>
      <c r="G295" s="247" t="s">
        <v>1035</v>
      </c>
      <c r="H295" s="248" t="s">
        <v>234</v>
      </c>
      <c r="I295" s="248" t="s">
        <v>677</v>
      </c>
      <c r="J295" s="247" t="s">
        <v>809</v>
      </c>
      <c r="K295" s="249">
        <v>0</v>
      </c>
      <c r="M295" s="90">
        <v>0</v>
      </c>
      <c r="N295" s="90">
        <v>0</v>
      </c>
      <c r="O295" s="90">
        <v>255</v>
      </c>
    </row>
    <row r="296" spans="1:15" s="90" customFormat="1" ht="12.75" customHeight="1" x14ac:dyDescent="0.2">
      <c r="A296" s="247" t="s">
        <v>1019</v>
      </c>
      <c r="B296" s="316">
        <v>3061</v>
      </c>
      <c r="C296" s="247" t="s">
        <v>975</v>
      </c>
      <c r="D296" s="317">
        <v>42648</v>
      </c>
      <c r="E296" s="318">
        <v>0.44935185185185184</v>
      </c>
      <c r="F296" s="247" t="s">
        <v>981</v>
      </c>
      <c r="G296" s="247" t="s">
        <v>1035</v>
      </c>
      <c r="H296" s="248" t="s">
        <v>234</v>
      </c>
      <c r="I296" s="248" t="s">
        <v>677</v>
      </c>
      <c r="J296" s="247" t="s">
        <v>809</v>
      </c>
      <c r="K296" s="249">
        <v>0</v>
      </c>
      <c r="M296" s="90">
        <v>0</v>
      </c>
      <c r="N296" s="90">
        <v>0</v>
      </c>
      <c r="O296" s="90">
        <v>255</v>
      </c>
    </row>
    <row r="297" spans="1:15" s="90" customFormat="1" ht="12.75" customHeight="1" x14ac:dyDescent="0.2">
      <c r="A297" s="247" t="s">
        <v>1048</v>
      </c>
      <c r="B297" s="316">
        <v>3061</v>
      </c>
      <c r="C297" s="247" t="s">
        <v>975</v>
      </c>
      <c r="D297" s="317">
        <v>42648</v>
      </c>
      <c r="E297" s="318">
        <v>0.44937500000000002</v>
      </c>
      <c r="F297" s="247" t="s">
        <v>981</v>
      </c>
      <c r="G297" s="247" t="s">
        <v>1035</v>
      </c>
      <c r="H297" s="248" t="s">
        <v>234</v>
      </c>
      <c r="I297" s="248" t="s">
        <v>677</v>
      </c>
      <c r="J297" s="247" t="s">
        <v>809</v>
      </c>
      <c r="K297" s="249">
        <v>0</v>
      </c>
      <c r="M297" s="90">
        <v>0</v>
      </c>
      <c r="N297" s="90">
        <v>0</v>
      </c>
      <c r="O297" s="90">
        <v>255</v>
      </c>
    </row>
    <row r="298" spans="1:15" s="90" customFormat="1" ht="12.75" customHeight="1" x14ac:dyDescent="0.2">
      <c r="A298" s="247" t="s">
        <v>1020</v>
      </c>
      <c r="B298" s="316">
        <v>3061</v>
      </c>
      <c r="C298" s="247" t="s">
        <v>975</v>
      </c>
      <c r="D298" s="317">
        <v>42648</v>
      </c>
      <c r="E298" s="318">
        <v>0.44953703703703707</v>
      </c>
      <c r="F298" s="247" t="s">
        <v>981</v>
      </c>
      <c r="G298" s="247" t="s">
        <v>1035</v>
      </c>
      <c r="H298" s="248" t="s">
        <v>234</v>
      </c>
      <c r="I298" s="248" t="s">
        <v>677</v>
      </c>
      <c r="J298" s="247" t="s">
        <v>809</v>
      </c>
      <c r="K298" s="249">
        <v>0</v>
      </c>
      <c r="M298" s="90">
        <v>0</v>
      </c>
      <c r="N298" s="90">
        <v>0</v>
      </c>
      <c r="O298" s="90">
        <v>255</v>
      </c>
    </row>
    <row r="299" spans="1:15" s="90" customFormat="1" ht="12.75" customHeight="1" x14ac:dyDescent="0.2">
      <c r="A299" s="247" t="s">
        <v>1049</v>
      </c>
      <c r="B299" s="316">
        <v>3061</v>
      </c>
      <c r="C299" s="247" t="s">
        <v>975</v>
      </c>
      <c r="D299" s="317">
        <v>42648</v>
      </c>
      <c r="E299" s="318">
        <v>0.44957175925925924</v>
      </c>
      <c r="F299" s="247" t="s">
        <v>981</v>
      </c>
      <c r="G299" s="247" t="s">
        <v>1035</v>
      </c>
      <c r="H299" s="248" t="s">
        <v>234</v>
      </c>
      <c r="I299" s="248" t="s">
        <v>677</v>
      </c>
      <c r="J299" s="247" t="s">
        <v>809</v>
      </c>
      <c r="K299" s="249">
        <v>0</v>
      </c>
      <c r="M299" s="90">
        <v>0</v>
      </c>
      <c r="N299" s="90">
        <v>0</v>
      </c>
      <c r="O299" s="90">
        <v>255</v>
      </c>
    </row>
    <row r="300" spans="1:15" s="90" customFormat="1" ht="12.75" customHeight="1" x14ac:dyDescent="0.2">
      <c r="A300" s="247" t="s">
        <v>1021</v>
      </c>
      <c r="B300" s="316">
        <v>3061</v>
      </c>
      <c r="C300" s="247" t="s">
        <v>975</v>
      </c>
      <c r="D300" s="317">
        <v>42648</v>
      </c>
      <c r="E300" s="318">
        <v>0.44975694444444447</v>
      </c>
      <c r="F300" s="247" t="s">
        <v>981</v>
      </c>
      <c r="G300" s="247" t="s">
        <v>1035</v>
      </c>
      <c r="H300" s="248" t="s">
        <v>234</v>
      </c>
      <c r="I300" s="248" t="s">
        <v>677</v>
      </c>
      <c r="J300" s="247" t="s">
        <v>809</v>
      </c>
      <c r="K300" s="249">
        <v>0</v>
      </c>
      <c r="M300" s="90">
        <v>0</v>
      </c>
      <c r="N300" s="90">
        <v>0</v>
      </c>
      <c r="O300" s="90">
        <v>255</v>
      </c>
    </row>
    <row r="301" spans="1:15" s="90" customFormat="1" ht="12.75" customHeight="1" x14ac:dyDescent="0.2">
      <c r="A301" s="247" t="s">
        <v>1050</v>
      </c>
      <c r="B301" s="316">
        <v>3061</v>
      </c>
      <c r="C301" s="247" t="s">
        <v>975</v>
      </c>
      <c r="D301" s="317">
        <v>42648</v>
      </c>
      <c r="E301" s="318">
        <v>0.4498032407407408</v>
      </c>
      <c r="F301" s="247" t="s">
        <v>981</v>
      </c>
      <c r="G301" s="247" t="s">
        <v>1035</v>
      </c>
      <c r="H301" s="248" t="s">
        <v>234</v>
      </c>
      <c r="I301" s="248" t="s">
        <v>677</v>
      </c>
      <c r="J301" s="247" t="s">
        <v>809</v>
      </c>
      <c r="K301" s="249">
        <v>0</v>
      </c>
      <c r="M301" s="90">
        <v>0</v>
      </c>
      <c r="N301" s="90">
        <v>0</v>
      </c>
      <c r="O301" s="90">
        <v>255</v>
      </c>
    </row>
    <row r="302" spans="1:15" s="90" customFormat="1" ht="12.75" customHeight="1" x14ac:dyDescent="0.2">
      <c r="A302" s="247" t="s">
        <v>1050</v>
      </c>
      <c r="B302" s="316">
        <v>3061</v>
      </c>
      <c r="C302" s="247" t="s">
        <v>975</v>
      </c>
      <c r="D302" s="317">
        <v>42648</v>
      </c>
      <c r="E302" s="318">
        <v>0.45003472222222224</v>
      </c>
      <c r="F302" s="247" t="s">
        <v>981</v>
      </c>
      <c r="G302" s="247" t="s">
        <v>1035</v>
      </c>
      <c r="H302" s="248" t="s">
        <v>234</v>
      </c>
      <c r="I302" s="248" t="s">
        <v>677</v>
      </c>
      <c r="J302" s="247" t="s">
        <v>809</v>
      </c>
      <c r="K302" s="249">
        <v>0</v>
      </c>
      <c r="M302" s="90">
        <v>0</v>
      </c>
      <c r="N302" s="90">
        <v>0</v>
      </c>
      <c r="O302" s="90">
        <v>255</v>
      </c>
    </row>
    <row r="303" spans="1:15" s="90" customFormat="1" ht="12.75" customHeight="1" x14ac:dyDescent="0.2">
      <c r="A303" s="247" t="s">
        <v>1049</v>
      </c>
      <c r="B303" s="316">
        <v>3061</v>
      </c>
      <c r="C303" s="247" t="s">
        <v>975</v>
      </c>
      <c r="D303" s="317">
        <v>42648</v>
      </c>
      <c r="E303" s="318">
        <v>0.45043981481481482</v>
      </c>
      <c r="F303" s="247" t="s">
        <v>981</v>
      </c>
      <c r="G303" s="247" t="s">
        <v>1035</v>
      </c>
      <c r="H303" s="248" t="s">
        <v>234</v>
      </c>
      <c r="I303" s="248" t="s">
        <v>677</v>
      </c>
      <c r="J303" s="247" t="s">
        <v>809</v>
      </c>
      <c r="K303" s="249">
        <v>0</v>
      </c>
      <c r="M303" s="90">
        <v>0</v>
      </c>
      <c r="N303" s="90">
        <v>0</v>
      </c>
      <c r="O303" s="90">
        <v>255</v>
      </c>
    </row>
    <row r="304" spans="1:15" s="90" customFormat="1" ht="12.75" customHeight="1" x14ac:dyDescent="0.2">
      <c r="A304" s="247" t="s">
        <v>1048</v>
      </c>
      <c r="B304" s="316">
        <v>3061</v>
      </c>
      <c r="C304" s="247" t="s">
        <v>975</v>
      </c>
      <c r="D304" s="317">
        <v>42648</v>
      </c>
      <c r="E304" s="318">
        <v>0.45063657407407409</v>
      </c>
      <c r="F304" s="247" t="s">
        <v>981</v>
      </c>
      <c r="G304" s="247" t="s">
        <v>1035</v>
      </c>
      <c r="H304" s="248" t="s">
        <v>234</v>
      </c>
      <c r="I304" s="248" t="s">
        <v>677</v>
      </c>
      <c r="J304" s="247" t="s">
        <v>809</v>
      </c>
      <c r="K304" s="249">
        <v>0</v>
      </c>
      <c r="M304" s="90">
        <v>0</v>
      </c>
      <c r="N304" s="90">
        <v>0</v>
      </c>
      <c r="O304" s="90">
        <v>255</v>
      </c>
    </row>
    <row r="305" spans="1:15" s="90" customFormat="1" ht="12.75" customHeight="1" x14ac:dyDescent="0.2">
      <c r="A305" s="247" t="s">
        <v>1015</v>
      </c>
      <c r="B305" s="316">
        <v>3061</v>
      </c>
      <c r="C305" s="247" t="s">
        <v>975</v>
      </c>
      <c r="D305" s="317">
        <v>42648</v>
      </c>
      <c r="E305" s="318">
        <v>0.45079861111111108</v>
      </c>
      <c r="F305" s="247" t="s">
        <v>981</v>
      </c>
      <c r="G305" s="247" t="s">
        <v>1035</v>
      </c>
      <c r="H305" s="248" t="s">
        <v>234</v>
      </c>
      <c r="I305" s="248" t="s">
        <v>677</v>
      </c>
      <c r="J305" s="247" t="s">
        <v>809</v>
      </c>
      <c r="K305" s="249">
        <v>0</v>
      </c>
      <c r="M305" s="90">
        <v>0</v>
      </c>
      <c r="N305" s="90">
        <v>0</v>
      </c>
      <c r="O305" s="90">
        <v>255</v>
      </c>
    </row>
    <row r="306" spans="1:15" s="90" customFormat="1" ht="12.75" customHeight="1" x14ac:dyDescent="0.2">
      <c r="A306" s="247" t="s">
        <v>1045</v>
      </c>
      <c r="B306" s="316">
        <v>3061</v>
      </c>
      <c r="C306" s="247" t="s">
        <v>975</v>
      </c>
      <c r="D306" s="317">
        <v>42648</v>
      </c>
      <c r="E306" s="318">
        <v>0.45083333333333336</v>
      </c>
      <c r="F306" s="247" t="s">
        <v>981</v>
      </c>
      <c r="G306" s="247" t="s">
        <v>1035</v>
      </c>
      <c r="H306" s="248" t="s">
        <v>234</v>
      </c>
      <c r="I306" s="248" t="s">
        <v>677</v>
      </c>
      <c r="J306" s="247" t="s">
        <v>809</v>
      </c>
      <c r="K306" s="249">
        <v>0</v>
      </c>
      <c r="M306" s="90">
        <v>0</v>
      </c>
      <c r="N306" s="90">
        <v>0</v>
      </c>
      <c r="O306" s="90">
        <v>255</v>
      </c>
    </row>
    <row r="307" spans="1:15" s="90" customFormat="1" ht="12.75" customHeight="1" x14ac:dyDescent="0.2">
      <c r="A307" s="247" t="s">
        <v>1016</v>
      </c>
      <c r="B307" s="316">
        <v>3061</v>
      </c>
      <c r="C307" s="247" t="s">
        <v>975</v>
      </c>
      <c r="D307" s="317">
        <v>42648</v>
      </c>
      <c r="E307" s="318">
        <v>0.45100694444444445</v>
      </c>
      <c r="F307" s="247" t="s">
        <v>981</v>
      </c>
      <c r="G307" s="247" t="s">
        <v>1035</v>
      </c>
      <c r="H307" s="248" t="s">
        <v>234</v>
      </c>
      <c r="I307" s="248" t="s">
        <v>677</v>
      </c>
      <c r="J307" s="247" t="s">
        <v>809</v>
      </c>
      <c r="K307" s="249">
        <v>0</v>
      </c>
      <c r="M307" s="90">
        <v>0</v>
      </c>
      <c r="N307" s="90">
        <v>0</v>
      </c>
      <c r="O307" s="90">
        <v>255</v>
      </c>
    </row>
    <row r="308" spans="1:15" s="90" customFormat="1" ht="12.75" customHeight="1" x14ac:dyDescent="0.2">
      <c r="A308" s="247" t="s">
        <v>1046</v>
      </c>
      <c r="B308" s="316">
        <v>3061</v>
      </c>
      <c r="C308" s="247" t="s">
        <v>975</v>
      </c>
      <c r="D308" s="317">
        <v>42648</v>
      </c>
      <c r="E308" s="318">
        <v>0.45104166666666662</v>
      </c>
      <c r="F308" s="247" t="s">
        <v>981</v>
      </c>
      <c r="G308" s="247" t="s">
        <v>1035</v>
      </c>
      <c r="H308" s="248" t="s">
        <v>234</v>
      </c>
      <c r="I308" s="248" t="s">
        <v>677</v>
      </c>
      <c r="J308" s="247" t="s">
        <v>809</v>
      </c>
      <c r="K308" s="249">
        <v>0</v>
      </c>
      <c r="M308" s="90">
        <v>0</v>
      </c>
      <c r="N308" s="90">
        <v>0</v>
      </c>
      <c r="O308" s="90">
        <v>255</v>
      </c>
    </row>
    <row r="309" spans="1:15" s="90" customFormat="1" ht="12.75" customHeight="1" x14ac:dyDescent="0.2">
      <c r="A309" s="247" t="s">
        <v>1046</v>
      </c>
      <c r="B309" s="316">
        <v>3061</v>
      </c>
      <c r="C309" s="247" t="s">
        <v>975</v>
      </c>
      <c r="D309" s="317">
        <v>42648</v>
      </c>
      <c r="E309" s="318">
        <v>0.45143518518518522</v>
      </c>
      <c r="F309" s="247" t="s">
        <v>981</v>
      </c>
      <c r="G309" s="247" t="s">
        <v>1035</v>
      </c>
      <c r="H309" s="248" t="s">
        <v>234</v>
      </c>
      <c r="I309" s="248" t="s">
        <v>677</v>
      </c>
      <c r="J309" s="247" t="s">
        <v>809</v>
      </c>
      <c r="K309" s="249">
        <v>0</v>
      </c>
      <c r="M309" s="90">
        <v>0</v>
      </c>
      <c r="N309" s="90">
        <v>0</v>
      </c>
      <c r="O309" s="90">
        <v>255</v>
      </c>
    </row>
    <row r="310" spans="1:15" s="90" customFormat="1" ht="12.75" customHeight="1" x14ac:dyDescent="0.2">
      <c r="A310" s="247" t="s">
        <v>1045</v>
      </c>
      <c r="B310" s="316">
        <v>3061</v>
      </c>
      <c r="C310" s="247" t="s">
        <v>975</v>
      </c>
      <c r="D310" s="317">
        <v>42648</v>
      </c>
      <c r="E310" s="318">
        <v>0.45167824074074076</v>
      </c>
      <c r="F310" s="247" t="s">
        <v>981</v>
      </c>
      <c r="G310" s="247" t="s">
        <v>1035</v>
      </c>
      <c r="H310" s="248" t="s">
        <v>234</v>
      </c>
      <c r="I310" s="248" t="s">
        <v>677</v>
      </c>
      <c r="J310" s="247" t="s">
        <v>809</v>
      </c>
      <c r="K310" s="249">
        <v>0</v>
      </c>
      <c r="M310" s="90">
        <v>0</v>
      </c>
      <c r="N310" s="90">
        <v>0</v>
      </c>
      <c r="O310" s="90">
        <v>255</v>
      </c>
    </row>
    <row r="311" spans="1:15" s="90" customFormat="1" ht="12.75" customHeight="1" x14ac:dyDescent="0.2">
      <c r="A311" s="247" t="s">
        <v>1014</v>
      </c>
      <c r="B311" s="316">
        <v>3061</v>
      </c>
      <c r="C311" s="247" t="s">
        <v>975</v>
      </c>
      <c r="D311" s="317">
        <v>42648</v>
      </c>
      <c r="E311" s="318">
        <v>0.45185185185185189</v>
      </c>
      <c r="F311" s="247" t="s">
        <v>981</v>
      </c>
      <c r="G311" s="247" t="s">
        <v>1035</v>
      </c>
      <c r="H311" s="248" t="s">
        <v>234</v>
      </c>
      <c r="I311" s="248" t="s">
        <v>677</v>
      </c>
      <c r="J311" s="247" t="s">
        <v>809</v>
      </c>
      <c r="K311" s="249">
        <v>0</v>
      </c>
      <c r="M311" s="90">
        <v>0</v>
      </c>
      <c r="N311" s="90">
        <v>0</v>
      </c>
      <c r="O311" s="90">
        <v>255</v>
      </c>
    </row>
    <row r="312" spans="1:15" s="90" customFormat="1" ht="12.75" customHeight="1" x14ac:dyDescent="0.2">
      <c r="A312" s="247" t="s">
        <v>1044</v>
      </c>
      <c r="B312" s="316">
        <v>3061</v>
      </c>
      <c r="C312" s="247" t="s">
        <v>975</v>
      </c>
      <c r="D312" s="317">
        <v>42648</v>
      </c>
      <c r="E312" s="318">
        <v>0.45187500000000003</v>
      </c>
      <c r="F312" s="247" t="s">
        <v>981</v>
      </c>
      <c r="G312" s="247" t="s">
        <v>1035</v>
      </c>
      <c r="H312" s="248" t="s">
        <v>234</v>
      </c>
      <c r="I312" s="248" t="s">
        <v>677</v>
      </c>
      <c r="J312" s="247" t="s">
        <v>809</v>
      </c>
      <c r="K312" s="249">
        <v>0</v>
      </c>
      <c r="M312" s="90">
        <v>0</v>
      </c>
      <c r="N312" s="90">
        <v>0</v>
      </c>
      <c r="O312" s="90">
        <v>255</v>
      </c>
    </row>
    <row r="313" spans="1:15" s="90" customFormat="1" ht="12.75" customHeight="1" x14ac:dyDescent="0.2">
      <c r="A313" s="247" t="s">
        <v>1044</v>
      </c>
      <c r="B313" s="316">
        <v>3061</v>
      </c>
      <c r="C313" s="247" t="s">
        <v>975</v>
      </c>
      <c r="D313" s="317">
        <v>42648</v>
      </c>
      <c r="E313" s="318">
        <v>0.4520717592592593</v>
      </c>
      <c r="F313" s="247" t="s">
        <v>981</v>
      </c>
      <c r="G313" s="247" t="s">
        <v>1035</v>
      </c>
      <c r="H313" s="248" t="s">
        <v>234</v>
      </c>
      <c r="I313" s="248" t="s">
        <v>677</v>
      </c>
      <c r="J313" s="247" t="s">
        <v>809</v>
      </c>
      <c r="K313" s="249">
        <v>0</v>
      </c>
      <c r="M313" s="90">
        <v>0</v>
      </c>
      <c r="N313" s="90">
        <v>0</v>
      </c>
      <c r="O313" s="90">
        <v>255</v>
      </c>
    </row>
    <row r="314" spans="1:15" s="90" customFormat="1" ht="12.75" customHeight="1" x14ac:dyDescent="0.2">
      <c r="A314" s="247" t="s">
        <v>1013</v>
      </c>
      <c r="B314" s="316">
        <v>3061</v>
      </c>
      <c r="C314" s="247" t="s">
        <v>975</v>
      </c>
      <c r="D314" s="317">
        <v>42648</v>
      </c>
      <c r="E314" s="318">
        <v>0.45223379629629629</v>
      </c>
      <c r="F314" s="247" t="s">
        <v>981</v>
      </c>
      <c r="G314" s="247" t="s">
        <v>1035</v>
      </c>
      <c r="H314" s="248" t="s">
        <v>234</v>
      </c>
      <c r="I314" s="248" t="s">
        <v>677</v>
      </c>
      <c r="J314" s="247" t="s">
        <v>809</v>
      </c>
      <c r="K314" s="249">
        <v>0</v>
      </c>
      <c r="M314" s="90">
        <v>0</v>
      </c>
      <c r="N314" s="90">
        <v>0</v>
      </c>
      <c r="O314" s="90">
        <v>255</v>
      </c>
    </row>
    <row r="315" spans="1:15" s="90" customFormat="1" ht="12.75" customHeight="1" x14ac:dyDescent="0.2">
      <c r="A315" s="247" t="s">
        <v>1043</v>
      </c>
      <c r="B315" s="316">
        <v>3061</v>
      </c>
      <c r="C315" s="247" t="s">
        <v>975</v>
      </c>
      <c r="D315" s="317">
        <v>42648</v>
      </c>
      <c r="E315" s="318">
        <v>0.45225694444444442</v>
      </c>
      <c r="F315" s="247" t="s">
        <v>981</v>
      </c>
      <c r="G315" s="247" t="s">
        <v>1035</v>
      </c>
      <c r="H315" s="248" t="s">
        <v>234</v>
      </c>
      <c r="I315" s="248" t="s">
        <v>677</v>
      </c>
      <c r="J315" s="247" t="s">
        <v>809</v>
      </c>
      <c r="K315" s="249">
        <v>0</v>
      </c>
      <c r="M315" s="90">
        <v>0</v>
      </c>
      <c r="N315" s="90">
        <v>0</v>
      </c>
      <c r="O315" s="90">
        <v>255</v>
      </c>
    </row>
    <row r="316" spans="1:15" s="90" customFormat="1" ht="12.75" customHeight="1" x14ac:dyDescent="0.2">
      <c r="A316" s="247" t="s">
        <v>1043</v>
      </c>
      <c r="B316" s="316">
        <v>3061</v>
      </c>
      <c r="C316" s="247" t="s">
        <v>975</v>
      </c>
      <c r="D316" s="317">
        <v>42648</v>
      </c>
      <c r="E316" s="318">
        <v>0.45241898148148146</v>
      </c>
      <c r="F316" s="247" t="s">
        <v>981</v>
      </c>
      <c r="G316" s="247" t="s">
        <v>1035</v>
      </c>
      <c r="H316" s="248" t="s">
        <v>234</v>
      </c>
      <c r="I316" s="248" t="s">
        <v>677</v>
      </c>
      <c r="J316" s="247" t="s">
        <v>809</v>
      </c>
      <c r="K316" s="249">
        <v>0</v>
      </c>
      <c r="M316" s="90">
        <v>0</v>
      </c>
      <c r="N316" s="90">
        <v>0</v>
      </c>
      <c r="O316" s="90">
        <v>255</v>
      </c>
    </row>
    <row r="317" spans="1:15" s="90" customFormat="1" ht="12.75" customHeight="1" x14ac:dyDescent="0.2">
      <c r="A317" s="247" t="s">
        <v>1229</v>
      </c>
      <c r="B317" s="316">
        <v>3112</v>
      </c>
      <c r="C317" s="247" t="s">
        <v>975</v>
      </c>
      <c r="D317" s="317">
        <v>42648</v>
      </c>
      <c r="E317" s="318">
        <v>0.45439814814814811</v>
      </c>
      <c r="F317" s="247" t="s">
        <v>981</v>
      </c>
      <c r="G317" s="247" t="s">
        <v>1035</v>
      </c>
      <c r="H317" s="248" t="s">
        <v>234</v>
      </c>
      <c r="I317" s="248" t="s">
        <v>677</v>
      </c>
      <c r="J317" s="247" t="s">
        <v>809</v>
      </c>
      <c r="K317" s="249">
        <v>0</v>
      </c>
      <c r="M317" s="90">
        <v>0</v>
      </c>
      <c r="N317" s="90">
        <v>0</v>
      </c>
      <c r="O317" s="90">
        <v>255</v>
      </c>
    </row>
    <row r="318" spans="1:15" s="90" customFormat="1" ht="12.75" customHeight="1" x14ac:dyDescent="0.2">
      <c r="A318" s="247" t="s">
        <v>1230</v>
      </c>
      <c r="B318" s="316">
        <v>3110</v>
      </c>
      <c r="C318" s="247" t="s">
        <v>975</v>
      </c>
      <c r="D318" s="317">
        <v>42648</v>
      </c>
      <c r="E318" s="318">
        <v>0.45481481481481478</v>
      </c>
      <c r="F318" s="247" t="s">
        <v>981</v>
      </c>
      <c r="G318" s="247" t="s">
        <v>1035</v>
      </c>
      <c r="H318" s="248" t="s">
        <v>234</v>
      </c>
      <c r="I318" s="248" t="s">
        <v>677</v>
      </c>
      <c r="J318" s="247" t="s">
        <v>809</v>
      </c>
      <c r="K318" s="249">
        <v>0</v>
      </c>
      <c r="M318" s="90">
        <v>0</v>
      </c>
      <c r="N318" s="90">
        <v>0</v>
      </c>
      <c r="O318" s="90">
        <v>255</v>
      </c>
    </row>
    <row r="319" spans="1:15" s="90" customFormat="1" ht="12.75" customHeight="1" x14ac:dyDescent="0.2">
      <c r="A319" s="247" t="s">
        <v>1231</v>
      </c>
      <c r="B319" s="316">
        <v>3112</v>
      </c>
      <c r="C319" s="247" t="s">
        <v>975</v>
      </c>
      <c r="D319" s="317">
        <v>42648</v>
      </c>
      <c r="E319" s="318">
        <v>0.45491898148148152</v>
      </c>
      <c r="F319" s="247" t="s">
        <v>981</v>
      </c>
      <c r="G319" s="247" t="s">
        <v>1035</v>
      </c>
      <c r="H319" s="248" t="s">
        <v>234</v>
      </c>
      <c r="I319" s="248" t="s">
        <v>677</v>
      </c>
      <c r="J319" s="247" t="s">
        <v>809</v>
      </c>
      <c r="K319" s="249">
        <v>0</v>
      </c>
      <c r="M319" s="90">
        <v>0</v>
      </c>
      <c r="N319" s="90">
        <v>0</v>
      </c>
      <c r="O319" s="90">
        <v>255</v>
      </c>
    </row>
    <row r="320" spans="1:15" s="90" customFormat="1" ht="12.75" customHeight="1" x14ac:dyDescent="0.2">
      <c r="A320" s="247" t="s">
        <v>1232</v>
      </c>
      <c r="B320" s="316">
        <v>3110</v>
      </c>
      <c r="C320" s="247" t="s">
        <v>975</v>
      </c>
      <c r="D320" s="317">
        <v>42648</v>
      </c>
      <c r="E320" s="318">
        <v>0.45538194444444446</v>
      </c>
      <c r="F320" s="247" t="s">
        <v>981</v>
      </c>
      <c r="G320" s="247" t="s">
        <v>1035</v>
      </c>
      <c r="H320" s="248" t="s">
        <v>234</v>
      </c>
      <c r="I320" s="248" t="s">
        <v>677</v>
      </c>
      <c r="J320" s="247" t="s">
        <v>809</v>
      </c>
      <c r="K320" s="249">
        <v>0</v>
      </c>
      <c r="M320" s="90">
        <v>0</v>
      </c>
      <c r="N320" s="90">
        <v>0</v>
      </c>
      <c r="O320" s="90">
        <v>255</v>
      </c>
    </row>
    <row r="321" spans="1:15" s="90" customFormat="1" ht="12.75" customHeight="1" x14ac:dyDescent="0.2">
      <c r="A321" s="247" t="s">
        <v>1233</v>
      </c>
      <c r="B321" s="316">
        <v>3110</v>
      </c>
      <c r="C321" s="247" t="s">
        <v>975</v>
      </c>
      <c r="D321" s="317">
        <v>42648</v>
      </c>
      <c r="E321" s="318">
        <v>0.45645833333333335</v>
      </c>
      <c r="F321" s="247" t="s">
        <v>981</v>
      </c>
      <c r="G321" s="247" t="s">
        <v>1035</v>
      </c>
      <c r="H321" s="248" t="s">
        <v>234</v>
      </c>
      <c r="I321" s="248" t="s">
        <v>677</v>
      </c>
      <c r="J321" s="247" t="s">
        <v>809</v>
      </c>
      <c r="K321" s="249">
        <v>0</v>
      </c>
      <c r="M321" s="90">
        <v>0</v>
      </c>
      <c r="N321" s="90">
        <v>0</v>
      </c>
      <c r="O321" s="90">
        <v>255</v>
      </c>
    </row>
    <row r="322" spans="1:15" s="90" customFormat="1" ht="12.75" customHeight="1" x14ac:dyDescent="0.2">
      <c r="A322" s="247" t="s">
        <v>1234</v>
      </c>
      <c r="B322" s="316">
        <v>3110</v>
      </c>
      <c r="C322" s="247" t="s">
        <v>975</v>
      </c>
      <c r="D322" s="317">
        <v>42648</v>
      </c>
      <c r="E322" s="318">
        <v>0.45693287037037034</v>
      </c>
      <c r="F322" s="247" t="s">
        <v>981</v>
      </c>
      <c r="G322" s="247" t="s">
        <v>1035</v>
      </c>
      <c r="H322" s="248" t="s">
        <v>234</v>
      </c>
      <c r="I322" s="248" t="s">
        <v>677</v>
      </c>
      <c r="J322" s="247" t="s">
        <v>809</v>
      </c>
      <c r="K322" s="249">
        <v>0</v>
      </c>
      <c r="M322" s="90">
        <v>0</v>
      </c>
      <c r="N322" s="90">
        <v>0</v>
      </c>
      <c r="O322" s="90">
        <v>255</v>
      </c>
    </row>
    <row r="323" spans="1:15" s="90" customFormat="1" ht="12.75" customHeight="1" x14ac:dyDescent="0.2">
      <c r="A323" s="247" t="s">
        <v>989</v>
      </c>
      <c r="B323" s="316">
        <v>3046</v>
      </c>
      <c r="C323" s="247" t="s">
        <v>975</v>
      </c>
      <c r="D323" s="317">
        <v>42648</v>
      </c>
      <c r="E323" s="318">
        <v>0.45718750000000002</v>
      </c>
      <c r="F323" s="247" t="s">
        <v>976</v>
      </c>
      <c r="G323" s="247" t="s">
        <v>1035</v>
      </c>
      <c r="H323" s="248" t="s">
        <v>404</v>
      </c>
      <c r="I323" s="248" t="s">
        <v>404</v>
      </c>
      <c r="J323" s="247" t="s">
        <v>809</v>
      </c>
      <c r="K323" s="249">
        <v>0</v>
      </c>
      <c r="M323" s="90">
        <v>0</v>
      </c>
      <c r="N323" s="90">
        <v>0</v>
      </c>
      <c r="O323" s="90">
        <v>255</v>
      </c>
    </row>
    <row r="324" spans="1:15" s="90" customFormat="1" ht="12.75" customHeight="1" x14ac:dyDescent="0.2">
      <c r="A324" s="247" t="s">
        <v>990</v>
      </c>
      <c r="B324" s="316">
        <v>3046</v>
      </c>
      <c r="C324" s="247" t="s">
        <v>975</v>
      </c>
      <c r="D324" s="317">
        <v>42648</v>
      </c>
      <c r="E324" s="318">
        <v>0.4574421296296296</v>
      </c>
      <c r="F324" s="247" t="s">
        <v>976</v>
      </c>
      <c r="G324" s="247" t="s">
        <v>1035</v>
      </c>
      <c r="H324" s="248" t="s">
        <v>404</v>
      </c>
      <c r="I324" s="248" t="s">
        <v>404</v>
      </c>
      <c r="J324" s="247" t="s">
        <v>809</v>
      </c>
      <c r="K324" s="249">
        <v>0</v>
      </c>
      <c r="M324" s="90">
        <v>0</v>
      </c>
      <c r="N324" s="90">
        <v>0</v>
      </c>
      <c r="O324" s="90">
        <v>255</v>
      </c>
    </row>
    <row r="325" spans="1:15" s="90" customFormat="1" ht="12.75" customHeight="1" x14ac:dyDescent="0.2">
      <c r="A325" s="247" t="s">
        <v>993</v>
      </c>
      <c r="B325" s="316">
        <v>3217</v>
      </c>
      <c r="C325" s="247" t="s">
        <v>975</v>
      </c>
      <c r="D325" s="317">
        <v>42648</v>
      </c>
      <c r="E325" s="318">
        <v>0.4574421296296296</v>
      </c>
      <c r="F325" s="247" t="s">
        <v>235</v>
      </c>
      <c r="G325" s="247" t="s">
        <v>1035</v>
      </c>
      <c r="H325" s="248" t="s">
        <v>234</v>
      </c>
      <c r="I325" s="248" t="s">
        <v>235</v>
      </c>
      <c r="J325" s="247" t="s">
        <v>809</v>
      </c>
      <c r="K325" s="249">
        <v>0</v>
      </c>
      <c r="M325" s="90">
        <v>0</v>
      </c>
      <c r="N325" s="90">
        <v>0</v>
      </c>
      <c r="O325" s="90">
        <v>255</v>
      </c>
    </row>
    <row r="326" spans="1:15" s="90" customFormat="1" ht="12.75" customHeight="1" x14ac:dyDescent="0.2">
      <c r="A326" s="247" t="s">
        <v>1235</v>
      </c>
      <c r="B326" s="316">
        <v>3110</v>
      </c>
      <c r="C326" s="247" t="s">
        <v>975</v>
      </c>
      <c r="D326" s="317">
        <v>42648</v>
      </c>
      <c r="E326" s="318">
        <v>0.45760416666666665</v>
      </c>
      <c r="F326" s="247" t="s">
        <v>981</v>
      </c>
      <c r="G326" s="247" t="s">
        <v>1035</v>
      </c>
      <c r="H326" s="248" t="s">
        <v>234</v>
      </c>
      <c r="I326" s="248" t="s">
        <v>677</v>
      </c>
      <c r="J326" s="247" t="s">
        <v>809</v>
      </c>
      <c r="K326" s="249">
        <v>0</v>
      </c>
      <c r="M326" s="90">
        <v>0</v>
      </c>
      <c r="N326" s="90">
        <v>0</v>
      </c>
      <c r="O326" s="90">
        <v>255</v>
      </c>
    </row>
    <row r="327" spans="1:15" s="90" customFormat="1" ht="12.75" customHeight="1" x14ac:dyDescent="0.2">
      <c r="A327" s="247" t="s">
        <v>1236</v>
      </c>
      <c r="B327" s="316">
        <v>3110</v>
      </c>
      <c r="C327" s="247" t="s">
        <v>975</v>
      </c>
      <c r="D327" s="317">
        <v>42648</v>
      </c>
      <c r="E327" s="318">
        <v>0.45803240740740742</v>
      </c>
      <c r="F327" s="247" t="s">
        <v>981</v>
      </c>
      <c r="G327" s="247" t="s">
        <v>1035</v>
      </c>
      <c r="H327" s="248" t="s">
        <v>234</v>
      </c>
      <c r="I327" s="248" t="s">
        <v>677</v>
      </c>
      <c r="J327" s="247" t="s">
        <v>809</v>
      </c>
      <c r="K327" s="249">
        <v>0</v>
      </c>
      <c r="M327" s="90">
        <v>0</v>
      </c>
      <c r="N327" s="90">
        <v>0</v>
      </c>
      <c r="O327" s="90">
        <v>255</v>
      </c>
    </row>
    <row r="328" spans="1:15" s="90" customFormat="1" ht="12.75" customHeight="1" x14ac:dyDescent="0.2">
      <c r="A328" s="247" t="s">
        <v>1017</v>
      </c>
      <c r="B328" s="316">
        <v>3061</v>
      </c>
      <c r="C328" s="247" t="s">
        <v>975</v>
      </c>
      <c r="D328" s="317">
        <v>42648</v>
      </c>
      <c r="E328" s="318">
        <v>0.45906249999999998</v>
      </c>
      <c r="F328" s="247" t="s">
        <v>981</v>
      </c>
      <c r="G328" s="247" t="s">
        <v>1035</v>
      </c>
      <c r="H328" s="248" t="s">
        <v>234</v>
      </c>
      <c r="I328" s="248" t="s">
        <v>677</v>
      </c>
      <c r="J328" s="247" t="s">
        <v>809</v>
      </c>
      <c r="K328" s="249">
        <v>0</v>
      </c>
      <c r="M328" s="90">
        <v>0</v>
      </c>
      <c r="N328" s="90">
        <v>0</v>
      </c>
      <c r="O328" s="90">
        <v>255</v>
      </c>
    </row>
    <row r="329" spans="1:15" s="90" customFormat="1" ht="12.75" customHeight="1" x14ac:dyDescent="0.2">
      <c r="A329" s="247" t="s">
        <v>1047</v>
      </c>
      <c r="B329" s="316">
        <v>3061</v>
      </c>
      <c r="C329" s="247" t="s">
        <v>975</v>
      </c>
      <c r="D329" s="317">
        <v>42648</v>
      </c>
      <c r="E329" s="318">
        <v>0.45909722222222221</v>
      </c>
      <c r="F329" s="247" t="s">
        <v>981</v>
      </c>
      <c r="G329" s="247" t="s">
        <v>1035</v>
      </c>
      <c r="H329" s="248" t="s">
        <v>234</v>
      </c>
      <c r="I329" s="248" t="s">
        <v>677</v>
      </c>
      <c r="J329" s="247" t="s">
        <v>809</v>
      </c>
      <c r="K329" s="249">
        <v>0</v>
      </c>
      <c r="M329" s="90">
        <v>0</v>
      </c>
      <c r="N329" s="90">
        <v>0</v>
      </c>
      <c r="O329" s="90">
        <v>255</v>
      </c>
    </row>
    <row r="330" spans="1:15" s="90" customFormat="1" ht="12.75" customHeight="1" x14ac:dyDescent="0.2">
      <c r="A330" s="247" t="s">
        <v>1018</v>
      </c>
      <c r="B330" s="316">
        <v>3061</v>
      </c>
      <c r="C330" s="247" t="s">
        <v>975</v>
      </c>
      <c r="D330" s="317">
        <v>42648</v>
      </c>
      <c r="E330" s="318">
        <v>0.45909722222222221</v>
      </c>
      <c r="F330" s="247" t="s">
        <v>981</v>
      </c>
      <c r="G330" s="247" t="s">
        <v>1035</v>
      </c>
      <c r="H330" s="248" t="s">
        <v>234</v>
      </c>
      <c r="I330" s="248" t="s">
        <v>677</v>
      </c>
      <c r="J330" s="247" t="s">
        <v>809</v>
      </c>
      <c r="K330" s="249">
        <v>0</v>
      </c>
      <c r="M330" s="90">
        <v>0</v>
      </c>
      <c r="N330" s="90">
        <v>0</v>
      </c>
      <c r="O330" s="90">
        <v>255</v>
      </c>
    </row>
    <row r="331" spans="1:15" s="90" customFormat="1" ht="12.75" customHeight="1" x14ac:dyDescent="0.2">
      <c r="A331" s="247" t="s">
        <v>1237</v>
      </c>
      <c r="B331" s="316">
        <v>3110</v>
      </c>
      <c r="C331" s="247" t="s">
        <v>975</v>
      </c>
      <c r="D331" s="317">
        <v>42648</v>
      </c>
      <c r="E331" s="318">
        <v>0.46052083333333332</v>
      </c>
      <c r="F331" s="247" t="s">
        <v>981</v>
      </c>
      <c r="G331" s="247" t="s">
        <v>1035</v>
      </c>
      <c r="H331" s="248" t="s">
        <v>234</v>
      </c>
      <c r="I331" s="248" t="s">
        <v>677</v>
      </c>
      <c r="J331" s="247" t="s">
        <v>809</v>
      </c>
      <c r="K331" s="249">
        <v>0</v>
      </c>
      <c r="M331" s="90">
        <v>0</v>
      </c>
      <c r="N331" s="90">
        <v>0</v>
      </c>
      <c r="O331" s="90">
        <v>255</v>
      </c>
    </row>
    <row r="332" spans="1:15" s="90" customFormat="1" ht="12.75" customHeight="1" x14ac:dyDescent="0.2">
      <c r="A332" s="247" t="s">
        <v>1238</v>
      </c>
      <c r="B332" s="316">
        <v>3218</v>
      </c>
      <c r="C332" s="247" t="s">
        <v>979</v>
      </c>
      <c r="D332" s="317">
        <v>42648</v>
      </c>
      <c r="E332" s="318">
        <v>0.46379629629629626</v>
      </c>
      <c r="F332" s="247" t="s">
        <v>702</v>
      </c>
      <c r="G332" s="247" t="s">
        <v>1035</v>
      </c>
      <c r="H332" s="248"/>
      <c r="I332" s="248"/>
      <c r="J332" s="247"/>
      <c r="K332" s="249"/>
      <c r="M332" s="90">
        <v>0</v>
      </c>
      <c r="N332" s="90">
        <v>0</v>
      </c>
      <c r="O332" s="90">
        <v>255</v>
      </c>
    </row>
    <row r="333" spans="1:15" s="90" customFormat="1" ht="12.75" customHeight="1" x14ac:dyDescent="0.2">
      <c r="A333" s="247" t="s">
        <v>1239</v>
      </c>
      <c r="B333" s="316">
        <v>3218</v>
      </c>
      <c r="C333" s="247" t="s">
        <v>979</v>
      </c>
      <c r="D333" s="317">
        <v>42648</v>
      </c>
      <c r="E333" s="318">
        <v>0.46379629629629626</v>
      </c>
      <c r="F333" s="247" t="s">
        <v>702</v>
      </c>
      <c r="G333" s="247" t="s">
        <v>1035</v>
      </c>
      <c r="H333" s="248"/>
      <c r="I333" s="248"/>
      <c r="J333" s="247"/>
      <c r="K333" s="249"/>
      <c r="M333" s="90">
        <v>0</v>
      </c>
      <c r="N333" s="90">
        <v>0</v>
      </c>
      <c r="O333" s="90">
        <v>255</v>
      </c>
    </row>
    <row r="334" spans="1:15" s="90" customFormat="1" ht="12.75" customHeight="1" x14ac:dyDescent="0.2">
      <c r="A334" s="247" t="s">
        <v>1240</v>
      </c>
      <c r="B334" s="316">
        <v>3218</v>
      </c>
      <c r="C334" s="247" t="s">
        <v>979</v>
      </c>
      <c r="D334" s="317">
        <v>42648</v>
      </c>
      <c r="E334" s="318">
        <v>0.46379629629629626</v>
      </c>
      <c r="F334" s="247" t="s">
        <v>702</v>
      </c>
      <c r="G334" s="247" t="s">
        <v>1035</v>
      </c>
      <c r="H334" s="248"/>
      <c r="I334" s="248"/>
      <c r="J334" s="247"/>
      <c r="K334" s="249"/>
      <c r="M334" s="90">
        <v>0</v>
      </c>
      <c r="N334" s="90">
        <v>0</v>
      </c>
      <c r="O334" s="90">
        <v>255</v>
      </c>
    </row>
    <row r="335" spans="1:15" s="90" customFormat="1" ht="12.75" customHeight="1" x14ac:dyDescent="0.2">
      <c r="A335" s="247" t="s">
        <v>1241</v>
      </c>
      <c r="B335" s="316">
        <v>3218</v>
      </c>
      <c r="C335" s="247" t="s">
        <v>979</v>
      </c>
      <c r="D335" s="317">
        <v>42648</v>
      </c>
      <c r="E335" s="318">
        <v>0.46379629629629626</v>
      </c>
      <c r="F335" s="247" t="s">
        <v>702</v>
      </c>
      <c r="G335" s="247" t="s">
        <v>1035</v>
      </c>
      <c r="H335" s="248"/>
      <c r="I335" s="248"/>
      <c r="J335" s="247"/>
      <c r="K335" s="249"/>
      <c r="M335" s="90">
        <v>0</v>
      </c>
      <c r="N335" s="90">
        <v>0</v>
      </c>
      <c r="O335" s="90">
        <v>255</v>
      </c>
    </row>
    <row r="336" spans="1:15" s="90" customFormat="1" ht="12.75" customHeight="1" x14ac:dyDescent="0.2">
      <c r="A336" s="247" t="s">
        <v>1242</v>
      </c>
      <c r="B336" s="316">
        <v>3218</v>
      </c>
      <c r="C336" s="247" t="s">
        <v>979</v>
      </c>
      <c r="D336" s="317">
        <v>42648</v>
      </c>
      <c r="E336" s="318">
        <v>0.46379629629629626</v>
      </c>
      <c r="F336" s="247" t="s">
        <v>702</v>
      </c>
      <c r="G336" s="247" t="s">
        <v>1035</v>
      </c>
      <c r="H336" s="248"/>
      <c r="I336" s="248"/>
      <c r="J336" s="247"/>
      <c r="K336" s="249"/>
      <c r="M336" s="90">
        <v>0</v>
      </c>
      <c r="N336" s="90">
        <v>0</v>
      </c>
      <c r="O336" s="90">
        <v>255</v>
      </c>
    </row>
    <row r="337" spans="1:15" s="90" customFormat="1" ht="12.75" customHeight="1" x14ac:dyDescent="0.2">
      <c r="A337" s="247" t="s">
        <v>1243</v>
      </c>
      <c r="B337" s="316">
        <v>3218</v>
      </c>
      <c r="C337" s="247" t="s">
        <v>979</v>
      </c>
      <c r="D337" s="317">
        <v>42648</v>
      </c>
      <c r="E337" s="318">
        <v>0.46379629629629626</v>
      </c>
      <c r="F337" s="247" t="s">
        <v>702</v>
      </c>
      <c r="G337" s="247" t="s">
        <v>1035</v>
      </c>
      <c r="H337" s="248"/>
      <c r="I337" s="248"/>
      <c r="J337" s="247"/>
      <c r="K337" s="249"/>
      <c r="M337" s="90">
        <v>0</v>
      </c>
      <c r="N337" s="90">
        <v>0</v>
      </c>
      <c r="O337" s="90">
        <v>255</v>
      </c>
    </row>
    <row r="338" spans="1:15" s="90" customFormat="1" ht="12.75" customHeight="1" x14ac:dyDescent="0.2">
      <c r="A338" s="247" t="s">
        <v>1244</v>
      </c>
      <c r="B338" s="316">
        <v>3218</v>
      </c>
      <c r="C338" s="247" t="s">
        <v>979</v>
      </c>
      <c r="D338" s="317">
        <v>42648</v>
      </c>
      <c r="E338" s="318">
        <v>0.46379629629629626</v>
      </c>
      <c r="F338" s="247" t="s">
        <v>702</v>
      </c>
      <c r="G338" s="247" t="s">
        <v>1035</v>
      </c>
      <c r="H338" s="248"/>
      <c r="I338" s="248"/>
      <c r="J338" s="247"/>
      <c r="K338" s="249"/>
      <c r="M338" s="90">
        <v>0</v>
      </c>
      <c r="N338" s="90">
        <v>0</v>
      </c>
      <c r="O338" s="90">
        <v>255</v>
      </c>
    </row>
    <row r="339" spans="1:15" s="90" customFormat="1" ht="12.75" customHeight="1" x14ac:dyDescent="0.2">
      <c r="A339" s="247" t="s">
        <v>1245</v>
      </c>
      <c r="B339" s="316">
        <v>3218</v>
      </c>
      <c r="C339" s="247" t="s">
        <v>979</v>
      </c>
      <c r="D339" s="317">
        <v>42648</v>
      </c>
      <c r="E339" s="318">
        <v>0.46379629629629626</v>
      </c>
      <c r="F339" s="247" t="s">
        <v>702</v>
      </c>
      <c r="G339" s="247" t="s">
        <v>1035</v>
      </c>
      <c r="H339" s="248"/>
      <c r="I339" s="248"/>
      <c r="J339" s="247"/>
      <c r="K339" s="249"/>
      <c r="M339" s="90">
        <v>0</v>
      </c>
      <c r="N339" s="90">
        <v>0</v>
      </c>
      <c r="O339" s="90">
        <v>255</v>
      </c>
    </row>
    <row r="340" spans="1:15" s="90" customFormat="1" ht="12.75" customHeight="1" x14ac:dyDescent="0.2">
      <c r="A340" s="247" t="s">
        <v>1246</v>
      </c>
      <c r="B340" s="316">
        <v>3218</v>
      </c>
      <c r="C340" s="247" t="s">
        <v>979</v>
      </c>
      <c r="D340" s="317">
        <v>42648</v>
      </c>
      <c r="E340" s="318">
        <v>0.46379629629629626</v>
      </c>
      <c r="F340" s="247" t="s">
        <v>702</v>
      </c>
      <c r="G340" s="247" t="s">
        <v>1035</v>
      </c>
      <c r="H340" s="248"/>
      <c r="I340" s="248"/>
      <c r="J340" s="247"/>
      <c r="K340" s="249"/>
      <c r="M340" s="90">
        <v>0</v>
      </c>
      <c r="N340" s="90">
        <v>0</v>
      </c>
      <c r="O340" s="90">
        <v>255</v>
      </c>
    </row>
    <row r="341" spans="1:15" s="90" customFormat="1" ht="12.75" customHeight="1" x14ac:dyDescent="0.2">
      <c r="A341" s="247" t="s">
        <v>1247</v>
      </c>
      <c r="B341" s="316">
        <v>3218</v>
      </c>
      <c r="C341" s="247" t="s">
        <v>979</v>
      </c>
      <c r="D341" s="317">
        <v>42648</v>
      </c>
      <c r="E341" s="318">
        <v>0.46379629629629626</v>
      </c>
      <c r="F341" s="247" t="s">
        <v>702</v>
      </c>
      <c r="G341" s="247" t="s">
        <v>1035</v>
      </c>
      <c r="H341" s="248"/>
      <c r="I341" s="248"/>
      <c r="J341" s="247"/>
      <c r="K341" s="249"/>
      <c r="M341" s="90">
        <v>0</v>
      </c>
      <c r="N341" s="90">
        <v>0</v>
      </c>
      <c r="O341" s="90">
        <v>255</v>
      </c>
    </row>
    <row r="342" spans="1:15" s="90" customFormat="1" ht="12.75" customHeight="1" x14ac:dyDescent="0.2">
      <c r="A342" s="247" t="s">
        <v>301</v>
      </c>
      <c r="B342" s="316">
        <v>3042</v>
      </c>
      <c r="C342" s="247" t="s">
        <v>979</v>
      </c>
      <c r="D342" s="317">
        <v>42648</v>
      </c>
      <c r="E342" s="318">
        <v>0.46458333333333335</v>
      </c>
      <c r="F342" s="247" t="s">
        <v>980</v>
      </c>
      <c r="G342" s="247" t="s">
        <v>1035</v>
      </c>
      <c r="H342" s="248" t="s">
        <v>234</v>
      </c>
      <c r="I342" s="248" t="s">
        <v>263</v>
      </c>
      <c r="J342" s="247" t="s">
        <v>809</v>
      </c>
      <c r="K342" s="249">
        <v>0</v>
      </c>
      <c r="M342" s="90">
        <v>0</v>
      </c>
      <c r="N342" s="90">
        <v>0</v>
      </c>
      <c r="O342" s="90">
        <v>255</v>
      </c>
    </row>
    <row r="343" spans="1:15" s="90" customFormat="1" ht="12.75" customHeight="1" x14ac:dyDescent="0.2">
      <c r="A343" s="247" t="s">
        <v>1031</v>
      </c>
      <c r="B343" s="316">
        <v>3046</v>
      </c>
      <c r="C343" s="247" t="s">
        <v>975</v>
      </c>
      <c r="D343" s="317">
        <v>42648</v>
      </c>
      <c r="E343" s="318">
        <v>0.46487268518518521</v>
      </c>
      <c r="F343" s="247" t="s">
        <v>976</v>
      </c>
      <c r="G343" s="247" t="s">
        <v>1035</v>
      </c>
      <c r="H343" s="248" t="s">
        <v>404</v>
      </c>
      <c r="I343" s="248" t="s">
        <v>404</v>
      </c>
      <c r="J343" s="247" t="s">
        <v>809</v>
      </c>
      <c r="K343" s="249">
        <v>0</v>
      </c>
      <c r="M343" s="90">
        <v>0</v>
      </c>
      <c r="N343" s="90">
        <v>0</v>
      </c>
      <c r="O343" s="90">
        <v>255</v>
      </c>
    </row>
    <row r="344" spans="1:15" s="90" customFormat="1" ht="12.75" customHeight="1" x14ac:dyDescent="0.2">
      <c r="A344" s="247" t="s">
        <v>1032</v>
      </c>
      <c r="B344" s="316">
        <v>3046</v>
      </c>
      <c r="C344" s="247" t="s">
        <v>975</v>
      </c>
      <c r="D344" s="317">
        <v>42648</v>
      </c>
      <c r="E344" s="318">
        <v>0.47203703703703703</v>
      </c>
      <c r="F344" s="247" t="s">
        <v>976</v>
      </c>
      <c r="G344" s="247" t="s">
        <v>1035</v>
      </c>
      <c r="H344" s="248" t="s">
        <v>404</v>
      </c>
      <c r="I344" s="248" t="s">
        <v>404</v>
      </c>
      <c r="J344" s="247" t="s">
        <v>809</v>
      </c>
      <c r="K344" s="249">
        <v>0</v>
      </c>
      <c r="M344" s="90">
        <v>0</v>
      </c>
      <c r="N344" s="90">
        <v>0</v>
      </c>
      <c r="O344" s="90">
        <v>255</v>
      </c>
    </row>
    <row r="345" spans="1:15" s="90" customFormat="1" ht="12.75" customHeight="1" x14ac:dyDescent="0.2">
      <c r="A345" s="247" t="s">
        <v>989</v>
      </c>
      <c r="B345" s="316">
        <v>3046</v>
      </c>
      <c r="C345" s="247" t="s">
        <v>975</v>
      </c>
      <c r="D345" s="317">
        <v>42648</v>
      </c>
      <c r="E345" s="318">
        <v>0.47203703703703703</v>
      </c>
      <c r="F345" s="247" t="s">
        <v>976</v>
      </c>
      <c r="G345" s="247" t="s">
        <v>1035</v>
      </c>
      <c r="H345" s="248" t="s">
        <v>404</v>
      </c>
      <c r="I345" s="248" t="s">
        <v>404</v>
      </c>
      <c r="J345" s="247" t="s">
        <v>809</v>
      </c>
      <c r="K345" s="249">
        <v>0</v>
      </c>
      <c r="M345" s="90">
        <v>0</v>
      </c>
      <c r="N345" s="90">
        <v>0</v>
      </c>
      <c r="O345" s="90">
        <v>255</v>
      </c>
    </row>
    <row r="346" spans="1:15" s="90" customFormat="1" ht="12.75" customHeight="1" x14ac:dyDescent="0.2">
      <c r="A346" s="247" t="s">
        <v>990</v>
      </c>
      <c r="B346" s="316">
        <v>3046</v>
      </c>
      <c r="C346" s="247" t="s">
        <v>975</v>
      </c>
      <c r="D346" s="317">
        <v>42648</v>
      </c>
      <c r="E346" s="318">
        <v>0.4727777777777778</v>
      </c>
      <c r="F346" s="247" t="s">
        <v>976</v>
      </c>
      <c r="G346" s="247" t="s">
        <v>1035</v>
      </c>
      <c r="H346" s="248" t="s">
        <v>404</v>
      </c>
      <c r="I346" s="248" t="s">
        <v>404</v>
      </c>
      <c r="J346" s="247" t="s">
        <v>809</v>
      </c>
      <c r="K346" s="249">
        <v>0</v>
      </c>
      <c r="M346" s="90">
        <v>0</v>
      </c>
      <c r="N346" s="90">
        <v>0</v>
      </c>
      <c r="O346" s="90">
        <v>255</v>
      </c>
    </row>
    <row r="347" spans="1:15" s="90" customFormat="1" ht="12.75" customHeight="1" x14ac:dyDescent="0.2">
      <c r="A347" s="247" t="s">
        <v>1033</v>
      </c>
      <c r="B347" s="316">
        <v>3217</v>
      </c>
      <c r="C347" s="247" t="s">
        <v>975</v>
      </c>
      <c r="D347" s="317">
        <v>42648</v>
      </c>
      <c r="E347" s="318">
        <v>0.4727777777777778</v>
      </c>
      <c r="F347" s="247" t="s">
        <v>235</v>
      </c>
      <c r="G347" s="247" t="s">
        <v>1035</v>
      </c>
      <c r="H347" s="248" t="s">
        <v>234</v>
      </c>
      <c r="I347" s="248" t="s">
        <v>235</v>
      </c>
      <c r="J347" s="247" t="s">
        <v>809</v>
      </c>
      <c r="K347" s="249">
        <v>0</v>
      </c>
      <c r="M347" s="90">
        <v>0</v>
      </c>
      <c r="N347" s="90">
        <v>0</v>
      </c>
      <c r="O347" s="90">
        <v>255</v>
      </c>
    </row>
    <row r="348" spans="1:15" s="90" customFormat="1" ht="12.75" customHeight="1" x14ac:dyDescent="0.2">
      <c r="A348" s="247" t="s">
        <v>1112</v>
      </c>
      <c r="B348" s="316">
        <v>3218</v>
      </c>
      <c r="C348" s="247" t="s">
        <v>979</v>
      </c>
      <c r="D348" s="317">
        <v>42648</v>
      </c>
      <c r="E348" s="318">
        <v>0.47994212962962962</v>
      </c>
      <c r="F348" s="247" t="s">
        <v>702</v>
      </c>
      <c r="G348" s="247" t="s">
        <v>1035</v>
      </c>
      <c r="H348" s="248"/>
      <c r="I348" s="248"/>
      <c r="J348" s="247"/>
      <c r="K348" s="249"/>
      <c r="M348" s="90">
        <v>0</v>
      </c>
      <c r="N348" s="90">
        <v>0</v>
      </c>
      <c r="O348" s="90">
        <v>255</v>
      </c>
    </row>
    <row r="349" spans="1:15" s="90" customFormat="1" ht="12.75" customHeight="1" x14ac:dyDescent="0.2">
      <c r="A349" s="247" t="s">
        <v>1113</v>
      </c>
      <c r="B349" s="316">
        <v>3218</v>
      </c>
      <c r="C349" s="247" t="s">
        <v>979</v>
      </c>
      <c r="D349" s="317">
        <v>42648</v>
      </c>
      <c r="E349" s="318">
        <v>0.47994212962962962</v>
      </c>
      <c r="F349" s="247" t="s">
        <v>702</v>
      </c>
      <c r="G349" s="247" t="s">
        <v>1035</v>
      </c>
      <c r="H349" s="248"/>
      <c r="I349" s="248"/>
      <c r="J349" s="247"/>
      <c r="K349" s="249"/>
      <c r="M349" s="90">
        <v>0</v>
      </c>
      <c r="N349" s="90">
        <v>0</v>
      </c>
      <c r="O349" s="90">
        <v>255</v>
      </c>
    </row>
    <row r="350" spans="1:15" s="90" customFormat="1" ht="12.75" customHeight="1" x14ac:dyDescent="0.2">
      <c r="A350" s="247" t="s">
        <v>1114</v>
      </c>
      <c r="B350" s="316">
        <v>3218</v>
      </c>
      <c r="C350" s="247" t="s">
        <v>979</v>
      </c>
      <c r="D350" s="317">
        <v>42648</v>
      </c>
      <c r="E350" s="318">
        <v>0.47994212962962962</v>
      </c>
      <c r="F350" s="247" t="s">
        <v>702</v>
      </c>
      <c r="G350" s="247" t="s">
        <v>1035</v>
      </c>
      <c r="H350" s="248"/>
      <c r="I350" s="248"/>
      <c r="J350" s="247"/>
      <c r="K350" s="249"/>
      <c r="M350" s="90">
        <v>0</v>
      </c>
      <c r="N350" s="90">
        <v>0</v>
      </c>
      <c r="O350" s="90">
        <v>255</v>
      </c>
    </row>
    <row r="351" spans="1:15" s="90" customFormat="1" ht="12.75" customHeight="1" x14ac:dyDescent="0.2">
      <c r="A351" s="247" t="s">
        <v>1031</v>
      </c>
      <c r="B351" s="316">
        <v>3046</v>
      </c>
      <c r="C351" s="247" t="s">
        <v>975</v>
      </c>
      <c r="D351" s="317">
        <v>42648</v>
      </c>
      <c r="E351" s="318">
        <v>0.48031249999999998</v>
      </c>
      <c r="F351" s="247" t="s">
        <v>976</v>
      </c>
      <c r="G351" s="247" t="s">
        <v>1035</v>
      </c>
      <c r="H351" s="248" t="s">
        <v>404</v>
      </c>
      <c r="I351" s="248" t="s">
        <v>404</v>
      </c>
      <c r="J351" s="247" t="s">
        <v>809</v>
      </c>
      <c r="K351" s="249">
        <v>0</v>
      </c>
      <c r="M351" s="90">
        <v>0</v>
      </c>
      <c r="N351" s="90">
        <v>0</v>
      </c>
      <c r="O351" s="90">
        <v>255</v>
      </c>
    </row>
    <row r="352" spans="1:15" s="90" customFormat="1" ht="12.75" customHeight="1" x14ac:dyDescent="0.2">
      <c r="A352" s="247" t="s">
        <v>1032</v>
      </c>
      <c r="B352" s="316">
        <v>3046</v>
      </c>
      <c r="C352" s="247" t="s">
        <v>975</v>
      </c>
      <c r="D352" s="317">
        <v>42648</v>
      </c>
      <c r="E352" s="318">
        <v>0.49116898148148147</v>
      </c>
      <c r="F352" s="247" t="s">
        <v>976</v>
      </c>
      <c r="G352" s="247" t="s">
        <v>1035</v>
      </c>
      <c r="H352" s="248" t="s">
        <v>404</v>
      </c>
      <c r="I352" s="248" t="s">
        <v>404</v>
      </c>
      <c r="J352" s="247" t="s">
        <v>809</v>
      </c>
      <c r="K352" s="249">
        <v>0</v>
      </c>
      <c r="M352" s="90">
        <v>0</v>
      </c>
      <c r="N352" s="90">
        <v>0</v>
      </c>
      <c r="O352" s="90">
        <v>255</v>
      </c>
    </row>
    <row r="353" spans="1:15" s="90" customFormat="1" ht="12.75" customHeight="1" x14ac:dyDescent="0.2">
      <c r="A353" s="247" t="s">
        <v>989</v>
      </c>
      <c r="B353" s="316">
        <v>3046</v>
      </c>
      <c r="C353" s="247" t="s">
        <v>975</v>
      </c>
      <c r="D353" s="317">
        <v>42648</v>
      </c>
      <c r="E353" s="318">
        <v>0.49116898148148147</v>
      </c>
      <c r="F353" s="247" t="s">
        <v>976</v>
      </c>
      <c r="G353" s="247" t="s">
        <v>1035</v>
      </c>
      <c r="H353" s="248" t="s">
        <v>404</v>
      </c>
      <c r="I353" s="248" t="s">
        <v>404</v>
      </c>
      <c r="J353" s="247" t="s">
        <v>809</v>
      </c>
      <c r="K353" s="249">
        <v>0</v>
      </c>
      <c r="M353" s="90">
        <v>0</v>
      </c>
      <c r="N353" s="90">
        <v>0</v>
      </c>
      <c r="O353" s="90">
        <v>255</v>
      </c>
    </row>
    <row r="354" spans="1:15" s="90" customFormat="1" ht="12.75" customHeight="1" x14ac:dyDescent="0.2">
      <c r="A354" s="247" t="s">
        <v>990</v>
      </c>
      <c r="B354" s="316">
        <v>3046</v>
      </c>
      <c r="C354" s="247" t="s">
        <v>975</v>
      </c>
      <c r="D354" s="317">
        <v>42648</v>
      </c>
      <c r="E354" s="318">
        <v>0.49146990740740742</v>
      </c>
      <c r="F354" s="247" t="s">
        <v>976</v>
      </c>
      <c r="G354" s="247" t="s">
        <v>1035</v>
      </c>
      <c r="H354" s="248" t="s">
        <v>404</v>
      </c>
      <c r="I354" s="248" t="s">
        <v>404</v>
      </c>
      <c r="J354" s="247" t="s">
        <v>809</v>
      </c>
      <c r="K354" s="249">
        <v>0</v>
      </c>
      <c r="M354" s="90">
        <v>0</v>
      </c>
      <c r="N354" s="90">
        <v>0</v>
      </c>
      <c r="O354" s="90">
        <v>255</v>
      </c>
    </row>
    <row r="355" spans="1:15" s="90" customFormat="1" ht="12.75" customHeight="1" x14ac:dyDescent="0.2">
      <c r="A355" s="247" t="s">
        <v>1033</v>
      </c>
      <c r="B355" s="316">
        <v>3217</v>
      </c>
      <c r="C355" s="247" t="s">
        <v>975</v>
      </c>
      <c r="D355" s="317">
        <v>42648</v>
      </c>
      <c r="E355" s="318">
        <v>0.49146990740740742</v>
      </c>
      <c r="F355" s="247" t="s">
        <v>235</v>
      </c>
      <c r="G355" s="247" t="s">
        <v>1035</v>
      </c>
      <c r="H355" s="248" t="s">
        <v>234</v>
      </c>
      <c r="I355" s="248" t="s">
        <v>235</v>
      </c>
      <c r="J355" s="247" t="s">
        <v>809</v>
      </c>
      <c r="K355" s="249">
        <v>0</v>
      </c>
      <c r="M355" s="90">
        <v>0</v>
      </c>
      <c r="N355" s="90">
        <v>0</v>
      </c>
      <c r="O355" s="90">
        <v>255</v>
      </c>
    </row>
    <row r="356" spans="1:15" s="90" customFormat="1" ht="12.75" customHeight="1" x14ac:dyDescent="0.2">
      <c r="A356" s="247" t="s">
        <v>1112</v>
      </c>
      <c r="B356" s="316">
        <v>3218</v>
      </c>
      <c r="C356" s="247" t="s">
        <v>979</v>
      </c>
      <c r="D356" s="317">
        <v>42648</v>
      </c>
      <c r="E356" s="318">
        <v>0.5013657407407407</v>
      </c>
      <c r="F356" s="247" t="s">
        <v>702</v>
      </c>
      <c r="G356" s="247" t="s">
        <v>1035</v>
      </c>
      <c r="H356" s="248"/>
      <c r="I356" s="248"/>
      <c r="J356" s="247"/>
      <c r="K356" s="249"/>
      <c r="M356" s="90">
        <v>0</v>
      </c>
      <c r="N356" s="90">
        <v>0</v>
      </c>
      <c r="O356" s="90">
        <v>255</v>
      </c>
    </row>
    <row r="357" spans="1:15" s="90" customFormat="1" ht="12.75" customHeight="1" x14ac:dyDescent="0.2">
      <c r="A357" s="247" t="s">
        <v>1113</v>
      </c>
      <c r="B357" s="316">
        <v>3218</v>
      </c>
      <c r="C357" s="247" t="s">
        <v>979</v>
      </c>
      <c r="D357" s="317">
        <v>42648</v>
      </c>
      <c r="E357" s="318">
        <v>0.5013657407407407</v>
      </c>
      <c r="F357" s="247" t="s">
        <v>702</v>
      </c>
      <c r="G357" s="247" t="s">
        <v>1035</v>
      </c>
      <c r="H357" s="248"/>
      <c r="I357" s="248"/>
      <c r="J357" s="247"/>
      <c r="K357" s="249"/>
      <c r="M357" s="90">
        <v>0</v>
      </c>
      <c r="N357" s="90">
        <v>0</v>
      </c>
      <c r="O357" s="90">
        <v>255</v>
      </c>
    </row>
    <row r="358" spans="1:15" s="90" customFormat="1" ht="12.75" customHeight="1" x14ac:dyDescent="0.2">
      <c r="A358" s="247" t="s">
        <v>1114</v>
      </c>
      <c r="B358" s="316">
        <v>3218</v>
      </c>
      <c r="C358" s="247" t="s">
        <v>979</v>
      </c>
      <c r="D358" s="317">
        <v>42648</v>
      </c>
      <c r="E358" s="318">
        <v>0.5013657407407407</v>
      </c>
      <c r="F358" s="247" t="s">
        <v>702</v>
      </c>
      <c r="G358" s="247" t="s">
        <v>1035</v>
      </c>
      <c r="H358" s="248"/>
      <c r="I358" s="248"/>
      <c r="J358" s="247"/>
      <c r="K358" s="249"/>
      <c r="M358" s="90">
        <v>0</v>
      </c>
      <c r="N358" s="90">
        <v>0</v>
      </c>
      <c r="O358" s="90">
        <v>255</v>
      </c>
    </row>
    <row r="359" spans="1:15" s="90" customFormat="1" ht="12.75" customHeight="1" x14ac:dyDescent="0.2">
      <c r="A359" s="247" t="s">
        <v>1031</v>
      </c>
      <c r="B359" s="316">
        <v>3046</v>
      </c>
      <c r="C359" s="247" t="s">
        <v>975</v>
      </c>
      <c r="D359" s="317">
        <v>42648</v>
      </c>
      <c r="E359" s="318">
        <v>0.50153935185185183</v>
      </c>
      <c r="F359" s="247" t="s">
        <v>976</v>
      </c>
      <c r="G359" s="247" t="s">
        <v>1035</v>
      </c>
      <c r="H359" s="248" t="s">
        <v>404</v>
      </c>
      <c r="I359" s="248" t="s">
        <v>404</v>
      </c>
      <c r="J359" s="247" t="s">
        <v>809</v>
      </c>
      <c r="K359" s="249">
        <v>0</v>
      </c>
      <c r="M359" s="90">
        <v>0</v>
      </c>
      <c r="N359" s="90">
        <v>0</v>
      </c>
      <c r="O359" s="90">
        <v>255</v>
      </c>
    </row>
    <row r="360" spans="1:15" s="90" customFormat="1" ht="12.75" customHeight="1" x14ac:dyDescent="0.2">
      <c r="A360" s="247" t="s">
        <v>1157</v>
      </c>
      <c r="B360" s="316">
        <v>3218</v>
      </c>
      <c r="C360" s="247" t="s">
        <v>979</v>
      </c>
      <c r="D360" s="317">
        <v>42648</v>
      </c>
      <c r="E360" s="318">
        <v>0.50354166666666667</v>
      </c>
      <c r="F360" s="247" t="s">
        <v>702</v>
      </c>
      <c r="G360" s="247" t="s">
        <v>1035</v>
      </c>
      <c r="H360" s="248"/>
      <c r="I360" s="248"/>
      <c r="J360" s="247"/>
      <c r="K360" s="249"/>
      <c r="M360" s="90">
        <v>0</v>
      </c>
      <c r="N360" s="90">
        <v>0</v>
      </c>
      <c r="O360" s="90">
        <v>255</v>
      </c>
    </row>
    <row r="361" spans="1:15" s="90" customFormat="1" ht="12.75" customHeight="1" x14ac:dyDescent="0.2">
      <c r="A361" s="247" t="s">
        <v>1158</v>
      </c>
      <c r="B361" s="316">
        <v>3218</v>
      </c>
      <c r="C361" s="247" t="s">
        <v>979</v>
      </c>
      <c r="D361" s="317">
        <v>42648</v>
      </c>
      <c r="E361" s="318">
        <v>0.50354166666666667</v>
      </c>
      <c r="F361" s="247" t="s">
        <v>702</v>
      </c>
      <c r="G361" s="247" t="s">
        <v>1035</v>
      </c>
      <c r="H361" s="248"/>
      <c r="I361" s="248"/>
      <c r="J361" s="247"/>
      <c r="K361" s="249"/>
      <c r="M361" s="90">
        <v>0</v>
      </c>
      <c r="N361" s="90">
        <v>0</v>
      </c>
      <c r="O361" s="90">
        <v>255</v>
      </c>
    </row>
    <row r="362" spans="1:15" s="90" customFormat="1" ht="12.75" customHeight="1" x14ac:dyDescent="0.2">
      <c r="A362" s="247" t="s">
        <v>1248</v>
      </c>
      <c r="B362" s="316">
        <v>3010</v>
      </c>
      <c r="C362" s="247" t="s">
        <v>979</v>
      </c>
      <c r="D362" s="317">
        <v>42648</v>
      </c>
      <c r="E362" s="318">
        <v>0.51107638888888884</v>
      </c>
      <c r="F362" s="247" t="s">
        <v>702</v>
      </c>
      <c r="G362" s="247" t="s">
        <v>1035</v>
      </c>
      <c r="H362" s="248" t="s">
        <v>234</v>
      </c>
      <c r="I362" s="248" t="s">
        <v>702</v>
      </c>
      <c r="J362" s="247" t="s">
        <v>809</v>
      </c>
      <c r="K362" s="249">
        <v>0</v>
      </c>
      <c r="M362" s="90">
        <v>0</v>
      </c>
      <c r="N362" s="90">
        <v>0</v>
      </c>
      <c r="O362" s="90">
        <v>255</v>
      </c>
    </row>
    <row r="363" spans="1:15" s="90" customFormat="1" ht="12.75" customHeight="1" x14ac:dyDescent="0.2">
      <c r="A363" s="247" t="s">
        <v>1249</v>
      </c>
      <c r="B363" s="316">
        <v>3010</v>
      </c>
      <c r="C363" s="247" t="s">
        <v>979</v>
      </c>
      <c r="D363" s="317">
        <v>42648</v>
      </c>
      <c r="E363" s="318">
        <v>0.51107638888888884</v>
      </c>
      <c r="F363" s="247" t="s">
        <v>702</v>
      </c>
      <c r="G363" s="247" t="s">
        <v>1035</v>
      </c>
      <c r="H363" s="248" t="s">
        <v>234</v>
      </c>
      <c r="I363" s="248" t="s">
        <v>702</v>
      </c>
      <c r="J363" s="247" t="s">
        <v>809</v>
      </c>
      <c r="K363" s="249">
        <v>0</v>
      </c>
      <c r="M363" s="90">
        <v>0</v>
      </c>
      <c r="N363" s="90">
        <v>0</v>
      </c>
      <c r="O363" s="90">
        <v>255</v>
      </c>
    </row>
    <row r="364" spans="1:15" s="90" customFormat="1" ht="12.75" customHeight="1" x14ac:dyDescent="0.2">
      <c r="A364" s="247" t="s">
        <v>1032</v>
      </c>
      <c r="B364" s="316">
        <v>3046</v>
      </c>
      <c r="C364" s="247" t="s">
        <v>975</v>
      </c>
      <c r="D364" s="317">
        <v>42648</v>
      </c>
      <c r="E364" s="318">
        <v>0.51484953703703706</v>
      </c>
      <c r="F364" s="247" t="s">
        <v>976</v>
      </c>
      <c r="G364" s="247" t="s">
        <v>1035</v>
      </c>
      <c r="H364" s="248" t="s">
        <v>404</v>
      </c>
      <c r="I364" s="248" t="s">
        <v>404</v>
      </c>
      <c r="J364" s="247" t="s">
        <v>809</v>
      </c>
      <c r="K364" s="249">
        <v>0</v>
      </c>
      <c r="M364" s="90">
        <v>0</v>
      </c>
      <c r="N364" s="90">
        <v>0</v>
      </c>
      <c r="O364" s="90">
        <v>255</v>
      </c>
    </row>
    <row r="365" spans="1:15" s="90" customFormat="1" ht="12.75" customHeight="1" x14ac:dyDescent="0.2">
      <c r="A365" s="247" t="s">
        <v>989</v>
      </c>
      <c r="B365" s="316">
        <v>3046</v>
      </c>
      <c r="C365" s="247" t="s">
        <v>975</v>
      </c>
      <c r="D365" s="317">
        <v>42648</v>
      </c>
      <c r="E365" s="318">
        <v>0.5148611111111111</v>
      </c>
      <c r="F365" s="247" t="s">
        <v>976</v>
      </c>
      <c r="G365" s="247" t="s">
        <v>1035</v>
      </c>
      <c r="H365" s="248" t="s">
        <v>404</v>
      </c>
      <c r="I365" s="248" t="s">
        <v>404</v>
      </c>
      <c r="J365" s="247" t="s">
        <v>809</v>
      </c>
      <c r="K365" s="249">
        <v>0</v>
      </c>
      <c r="M365" s="90">
        <v>0</v>
      </c>
      <c r="N365" s="90">
        <v>0</v>
      </c>
      <c r="O365" s="90">
        <v>255</v>
      </c>
    </row>
    <row r="366" spans="1:15" s="90" customFormat="1" ht="12.75" customHeight="1" x14ac:dyDescent="0.2">
      <c r="A366" s="247" t="s">
        <v>990</v>
      </c>
      <c r="B366" s="316">
        <v>3046</v>
      </c>
      <c r="C366" s="247" t="s">
        <v>975</v>
      </c>
      <c r="D366" s="317">
        <v>42648</v>
      </c>
      <c r="E366" s="318">
        <v>0.51517361111111104</v>
      </c>
      <c r="F366" s="247" t="s">
        <v>976</v>
      </c>
      <c r="G366" s="247" t="s">
        <v>1035</v>
      </c>
      <c r="H366" s="248" t="s">
        <v>404</v>
      </c>
      <c r="I366" s="248" t="s">
        <v>404</v>
      </c>
      <c r="J366" s="247" t="s">
        <v>809</v>
      </c>
      <c r="K366" s="249">
        <v>0</v>
      </c>
      <c r="M366" s="90">
        <v>0</v>
      </c>
      <c r="N366" s="90">
        <v>0</v>
      </c>
      <c r="O366" s="90">
        <v>255</v>
      </c>
    </row>
    <row r="367" spans="1:15" s="90" customFormat="1" ht="12.75" customHeight="1" x14ac:dyDescent="0.2">
      <c r="A367" s="247" t="s">
        <v>1033</v>
      </c>
      <c r="B367" s="316">
        <v>3217</v>
      </c>
      <c r="C367" s="247" t="s">
        <v>975</v>
      </c>
      <c r="D367" s="317">
        <v>42648</v>
      </c>
      <c r="E367" s="318">
        <v>0.51517361111111104</v>
      </c>
      <c r="F367" s="247" t="s">
        <v>235</v>
      </c>
      <c r="G367" s="247" t="s">
        <v>1035</v>
      </c>
      <c r="H367" s="248" t="s">
        <v>234</v>
      </c>
      <c r="I367" s="248" t="s">
        <v>235</v>
      </c>
      <c r="J367" s="247" t="s">
        <v>809</v>
      </c>
      <c r="K367" s="249">
        <v>0</v>
      </c>
      <c r="M367" s="90">
        <v>0</v>
      </c>
      <c r="N367" s="90">
        <v>0</v>
      </c>
      <c r="O367" s="90">
        <v>255</v>
      </c>
    </row>
    <row r="368" spans="1:15" s="90" customFormat="1" ht="12.75" customHeight="1" x14ac:dyDescent="0.2">
      <c r="A368" s="247" t="s">
        <v>1057</v>
      </c>
      <c r="B368" s="316">
        <v>3218</v>
      </c>
      <c r="C368" s="247" t="s">
        <v>979</v>
      </c>
      <c r="D368" s="317">
        <v>42648</v>
      </c>
      <c r="E368" s="318">
        <v>0.53422453703703698</v>
      </c>
      <c r="F368" s="247" t="s">
        <v>702</v>
      </c>
      <c r="G368" s="247" t="s">
        <v>1035</v>
      </c>
      <c r="H368" s="248"/>
      <c r="I368" s="248"/>
      <c r="J368" s="247"/>
      <c r="K368" s="249"/>
      <c r="M368" s="90">
        <v>0</v>
      </c>
      <c r="N368" s="90">
        <v>0</v>
      </c>
      <c r="O368" s="90">
        <v>255</v>
      </c>
    </row>
    <row r="369" spans="1:15" s="90" customFormat="1" ht="12.75" customHeight="1" x14ac:dyDescent="0.2">
      <c r="A369" s="247" t="s">
        <v>1058</v>
      </c>
      <c r="B369" s="316">
        <v>3218</v>
      </c>
      <c r="C369" s="247" t="s">
        <v>979</v>
      </c>
      <c r="D369" s="317">
        <v>42648</v>
      </c>
      <c r="E369" s="318">
        <v>0.53422453703703698</v>
      </c>
      <c r="F369" s="247" t="s">
        <v>702</v>
      </c>
      <c r="G369" s="247" t="s">
        <v>1035</v>
      </c>
      <c r="H369" s="248"/>
      <c r="I369" s="248"/>
      <c r="J369" s="247"/>
      <c r="K369" s="249"/>
      <c r="M369" s="90">
        <v>0</v>
      </c>
      <c r="N369" s="90">
        <v>0</v>
      </c>
      <c r="O369" s="90">
        <v>255</v>
      </c>
    </row>
    <row r="370" spans="1:15" s="90" customFormat="1" ht="12.75" customHeight="1" x14ac:dyDescent="0.2">
      <c r="A370" s="247" t="s">
        <v>1059</v>
      </c>
      <c r="B370" s="316">
        <v>3218</v>
      </c>
      <c r="C370" s="247" t="s">
        <v>979</v>
      </c>
      <c r="D370" s="317">
        <v>42648</v>
      </c>
      <c r="E370" s="318">
        <v>0.53422453703703698</v>
      </c>
      <c r="F370" s="247" t="s">
        <v>702</v>
      </c>
      <c r="G370" s="247" t="s">
        <v>1035</v>
      </c>
      <c r="H370" s="248"/>
      <c r="I370" s="248"/>
      <c r="J370" s="247"/>
      <c r="K370" s="249"/>
      <c r="M370" s="90">
        <v>0</v>
      </c>
      <c r="N370" s="90">
        <v>0</v>
      </c>
      <c r="O370" s="90">
        <v>255</v>
      </c>
    </row>
    <row r="371" spans="1:15" s="90" customFormat="1" ht="12.75" customHeight="1" x14ac:dyDescent="0.2">
      <c r="A371" s="247" t="s">
        <v>1059</v>
      </c>
      <c r="B371" s="316">
        <v>3218</v>
      </c>
      <c r="C371" s="247" t="s">
        <v>979</v>
      </c>
      <c r="D371" s="317">
        <v>42648</v>
      </c>
      <c r="E371" s="318">
        <v>0.53445601851851854</v>
      </c>
      <c r="F371" s="247" t="s">
        <v>702</v>
      </c>
      <c r="G371" s="247" t="s">
        <v>1035</v>
      </c>
      <c r="H371" s="248"/>
      <c r="I371" s="248"/>
      <c r="J371" s="247"/>
      <c r="K371" s="249"/>
      <c r="M371" s="90">
        <v>0</v>
      </c>
      <c r="N371" s="90">
        <v>0</v>
      </c>
      <c r="O371" s="90">
        <v>255</v>
      </c>
    </row>
    <row r="372" spans="1:15" s="90" customFormat="1" ht="12.75" customHeight="1" x14ac:dyDescent="0.2">
      <c r="A372" s="247" t="s">
        <v>1250</v>
      </c>
      <c r="B372" s="316">
        <v>4068</v>
      </c>
      <c r="C372" s="247" t="s">
        <v>979</v>
      </c>
      <c r="D372" s="317">
        <v>42648</v>
      </c>
      <c r="E372" s="318">
        <v>0.53445601851851854</v>
      </c>
      <c r="F372" s="247" t="s">
        <v>976</v>
      </c>
      <c r="G372" s="247" t="s">
        <v>1035</v>
      </c>
      <c r="H372" s="248"/>
      <c r="I372" s="248"/>
      <c r="J372" s="247"/>
      <c r="K372" s="249"/>
      <c r="M372" s="90">
        <v>0</v>
      </c>
      <c r="N372" s="90">
        <v>0</v>
      </c>
      <c r="O372" s="90">
        <v>255</v>
      </c>
    </row>
    <row r="373" spans="1:15" s="90" customFormat="1" ht="12.75" customHeight="1" x14ac:dyDescent="0.2">
      <c r="A373" s="247" t="s">
        <v>1031</v>
      </c>
      <c r="B373" s="316">
        <v>3046</v>
      </c>
      <c r="C373" s="247" t="s">
        <v>975</v>
      </c>
      <c r="D373" s="317">
        <v>42648</v>
      </c>
      <c r="E373" s="318">
        <v>0.53454861111111118</v>
      </c>
      <c r="F373" s="247" t="s">
        <v>976</v>
      </c>
      <c r="G373" s="247" t="s">
        <v>1035</v>
      </c>
      <c r="H373" s="248" t="s">
        <v>404</v>
      </c>
      <c r="I373" s="248" t="s">
        <v>404</v>
      </c>
      <c r="J373" s="247" t="s">
        <v>809</v>
      </c>
      <c r="K373" s="249">
        <v>0</v>
      </c>
      <c r="M373" s="90">
        <v>0</v>
      </c>
      <c r="N373" s="90">
        <v>0</v>
      </c>
      <c r="O373" s="90">
        <v>255</v>
      </c>
    </row>
    <row r="374" spans="1:15" s="90" customFormat="1" ht="12.75" customHeight="1" x14ac:dyDescent="0.2">
      <c r="A374" s="247" t="s">
        <v>1059</v>
      </c>
      <c r="B374" s="316">
        <v>3218</v>
      </c>
      <c r="C374" s="247" t="s">
        <v>979</v>
      </c>
      <c r="D374" s="317">
        <v>42648</v>
      </c>
      <c r="E374" s="318">
        <v>0.53460648148148149</v>
      </c>
      <c r="F374" s="247" t="s">
        <v>702</v>
      </c>
      <c r="G374" s="247" t="s">
        <v>1035</v>
      </c>
      <c r="H374" s="248"/>
      <c r="I374" s="248"/>
      <c r="J374" s="247"/>
      <c r="K374" s="249"/>
      <c r="M374" s="90">
        <v>0</v>
      </c>
      <c r="N374" s="90">
        <v>0</v>
      </c>
      <c r="O374" s="90">
        <v>255</v>
      </c>
    </row>
    <row r="375" spans="1:15" s="90" customFormat="1" ht="12.75" customHeight="1" x14ac:dyDescent="0.2">
      <c r="A375" s="247" t="s">
        <v>1250</v>
      </c>
      <c r="B375" s="316">
        <v>4068</v>
      </c>
      <c r="C375" s="247" t="s">
        <v>979</v>
      </c>
      <c r="D375" s="317">
        <v>42648</v>
      </c>
      <c r="E375" s="318">
        <v>0.53460648148148149</v>
      </c>
      <c r="F375" s="247" t="s">
        <v>976</v>
      </c>
      <c r="G375" s="247" t="s">
        <v>1035</v>
      </c>
      <c r="H375" s="248"/>
      <c r="I375" s="248"/>
      <c r="J375" s="247"/>
      <c r="K375" s="249"/>
      <c r="M375" s="90">
        <v>0</v>
      </c>
      <c r="N375" s="90">
        <v>0</v>
      </c>
      <c r="O375" s="90">
        <v>255</v>
      </c>
    </row>
    <row r="376" spans="1:15" s="90" customFormat="1" ht="12.75" customHeight="1" x14ac:dyDescent="0.2">
      <c r="A376" s="247" t="s">
        <v>1251</v>
      </c>
      <c r="B376" s="316">
        <v>3024</v>
      </c>
      <c r="C376" s="247" t="s">
        <v>996</v>
      </c>
      <c r="D376" s="317">
        <v>42648</v>
      </c>
      <c r="E376" s="318">
        <v>0.53465277777777775</v>
      </c>
      <c r="F376" s="247" t="s">
        <v>702</v>
      </c>
      <c r="G376" s="247" t="s">
        <v>1035</v>
      </c>
      <c r="H376" s="248" t="s">
        <v>234</v>
      </c>
      <c r="I376" s="248" t="s">
        <v>702</v>
      </c>
      <c r="J376" s="247" t="s">
        <v>809</v>
      </c>
      <c r="K376" s="249">
        <v>0</v>
      </c>
      <c r="M376" s="90">
        <v>0</v>
      </c>
      <c r="N376" s="90">
        <v>0</v>
      </c>
      <c r="O376" s="90">
        <v>255</v>
      </c>
    </row>
    <row r="377" spans="1:15" s="90" customFormat="1" ht="12.75" customHeight="1" x14ac:dyDescent="0.2">
      <c r="A377" s="247" t="s">
        <v>1032</v>
      </c>
      <c r="B377" s="316">
        <v>3046</v>
      </c>
      <c r="C377" s="247" t="s">
        <v>975</v>
      </c>
      <c r="D377" s="317">
        <v>42648</v>
      </c>
      <c r="E377" s="318">
        <v>0.53465277777777775</v>
      </c>
      <c r="F377" s="247" t="s">
        <v>976</v>
      </c>
      <c r="G377" s="247" t="s">
        <v>1035</v>
      </c>
      <c r="H377" s="248" t="s">
        <v>404</v>
      </c>
      <c r="I377" s="248" t="s">
        <v>404</v>
      </c>
      <c r="J377" s="247" t="s">
        <v>809</v>
      </c>
      <c r="K377" s="249">
        <v>0</v>
      </c>
      <c r="M377" s="90">
        <v>0</v>
      </c>
      <c r="N377" s="90">
        <v>0</v>
      </c>
      <c r="O377" s="90">
        <v>255</v>
      </c>
    </row>
    <row r="378" spans="1:15" s="90" customFormat="1" ht="12.75" customHeight="1" x14ac:dyDescent="0.2">
      <c r="A378" s="247" t="s">
        <v>1031</v>
      </c>
      <c r="B378" s="316">
        <v>3046</v>
      </c>
      <c r="C378" s="247" t="s">
        <v>975</v>
      </c>
      <c r="D378" s="317">
        <v>42648</v>
      </c>
      <c r="E378" s="318">
        <v>0.53640046296296295</v>
      </c>
      <c r="F378" s="247" t="s">
        <v>976</v>
      </c>
      <c r="G378" s="247" t="s">
        <v>1035</v>
      </c>
      <c r="H378" s="248" t="s">
        <v>404</v>
      </c>
      <c r="I378" s="248" t="s">
        <v>404</v>
      </c>
      <c r="J378" s="247" t="s">
        <v>809</v>
      </c>
      <c r="K378" s="249">
        <v>0</v>
      </c>
      <c r="M378" s="90">
        <v>0</v>
      </c>
      <c r="N378" s="90">
        <v>0</v>
      </c>
      <c r="O378" s="90">
        <v>255</v>
      </c>
    </row>
    <row r="379" spans="1:15" s="90" customFormat="1" ht="12.75" customHeight="1" x14ac:dyDescent="0.2">
      <c r="A379" s="247" t="s">
        <v>1032</v>
      </c>
      <c r="B379" s="316">
        <v>3046</v>
      </c>
      <c r="C379" s="247" t="s">
        <v>975</v>
      </c>
      <c r="D379" s="317">
        <v>42648</v>
      </c>
      <c r="E379" s="318">
        <v>0.53641203703703699</v>
      </c>
      <c r="F379" s="247" t="s">
        <v>976</v>
      </c>
      <c r="G379" s="247" t="s">
        <v>1035</v>
      </c>
      <c r="H379" s="248" t="s">
        <v>404</v>
      </c>
      <c r="I379" s="248" t="s">
        <v>404</v>
      </c>
      <c r="J379" s="247" t="s">
        <v>809</v>
      </c>
      <c r="K379" s="249">
        <v>0</v>
      </c>
      <c r="M379" s="90">
        <v>0</v>
      </c>
      <c r="N379" s="90">
        <v>0</v>
      </c>
      <c r="O379" s="90">
        <v>255</v>
      </c>
    </row>
    <row r="380" spans="1:15" s="90" customFormat="1" ht="12.75" customHeight="1" x14ac:dyDescent="0.2">
      <c r="A380" s="247" t="s">
        <v>1031</v>
      </c>
      <c r="B380" s="316">
        <v>3046</v>
      </c>
      <c r="C380" s="247" t="s">
        <v>975</v>
      </c>
      <c r="D380" s="317">
        <v>42648</v>
      </c>
      <c r="E380" s="318">
        <v>0.5367939814814815</v>
      </c>
      <c r="F380" s="247" t="s">
        <v>976</v>
      </c>
      <c r="G380" s="247" t="s">
        <v>1035</v>
      </c>
      <c r="H380" s="248" t="s">
        <v>404</v>
      </c>
      <c r="I380" s="248" t="s">
        <v>404</v>
      </c>
      <c r="J380" s="247" t="s">
        <v>809</v>
      </c>
      <c r="K380" s="249">
        <v>0</v>
      </c>
      <c r="M380" s="90">
        <v>0</v>
      </c>
      <c r="N380" s="90">
        <v>0</v>
      </c>
      <c r="O380" s="90">
        <v>255</v>
      </c>
    </row>
    <row r="381" spans="1:15" s="90" customFormat="1" ht="12.75" customHeight="1" x14ac:dyDescent="0.2">
      <c r="A381" s="247" t="s">
        <v>1032</v>
      </c>
      <c r="B381" s="316">
        <v>3046</v>
      </c>
      <c r="C381" s="247" t="s">
        <v>975</v>
      </c>
      <c r="D381" s="317">
        <v>42648</v>
      </c>
      <c r="E381" s="318">
        <v>0.54783564814814811</v>
      </c>
      <c r="F381" s="247" t="s">
        <v>976</v>
      </c>
      <c r="G381" s="247" t="s">
        <v>1035</v>
      </c>
      <c r="H381" s="248" t="s">
        <v>404</v>
      </c>
      <c r="I381" s="248" t="s">
        <v>404</v>
      </c>
      <c r="J381" s="247" t="s">
        <v>809</v>
      </c>
      <c r="K381" s="249">
        <v>0</v>
      </c>
      <c r="M381" s="90">
        <v>0</v>
      </c>
      <c r="N381" s="90">
        <v>0</v>
      </c>
      <c r="O381" s="90">
        <v>255</v>
      </c>
    </row>
    <row r="382" spans="1:15" s="90" customFormat="1" ht="12.75" customHeight="1" x14ac:dyDescent="0.2">
      <c r="A382" s="247" t="s">
        <v>989</v>
      </c>
      <c r="B382" s="316">
        <v>3046</v>
      </c>
      <c r="C382" s="247" t="s">
        <v>975</v>
      </c>
      <c r="D382" s="317">
        <v>42648</v>
      </c>
      <c r="E382" s="318">
        <v>0.54783564814814811</v>
      </c>
      <c r="F382" s="247" t="s">
        <v>976</v>
      </c>
      <c r="G382" s="247" t="s">
        <v>1035</v>
      </c>
      <c r="H382" s="248" t="s">
        <v>404</v>
      </c>
      <c r="I382" s="248" t="s">
        <v>404</v>
      </c>
      <c r="J382" s="247" t="s">
        <v>809</v>
      </c>
      <c r="K382" s="249">
        <v>0</v>
      </c>
      <c r="M382" s="90">
        <v>0</v>
      </c>
      <c r="N382" s="90">
        <v>0</v>
      </c>
      <c r="O382" s="90">
        <v>255</v>
      </c>
    </row>
    <row r="383" spans="1:15" s="90" customFormat="1" ht="12.75" customHeight="1" x14ac:dyDescent="0.2">
      <c r="A383" s="247" t="s">
        <v>1033</v>
      </c>
      <c r="B383" s="316">
        <v>3217</v>
      </c>
      <c r="C383" s="247" t="s">
        <v>975</v>
      </c>
      <c r="D383" s="317">
        <v>42648</v>
      </c>
      <c r="E383" s="318">
        <v>0.54895833333333333</v>
      </c>
      <c r="F383" s="247" t="s">
        <v>235</v>
      </c>
      <c r="G383" s="247" t="s">
        <v>1035</v>
      </c>
      <c r="H383" s="248" t="s">
        <v>234</v>
      </c>
      <c r="I383" s="248" t="s">
        <v>235</v>
      </c>
      <c r="J383" s="247" t="s">
        <v>809</v>
      </c>
      <c r="K383" s="249">
        <v>0</v>
      </c>
      <c r="M383" s="90">
        <v>0</v>
      </c>
      <c r="N383" s="90">
        <v>0</v>
      </c>
      <c r="O383" s="90">
        <v>255</v>
      </c>
    </row>
    <row r="384" spans="1:15" s="90" customFormat="1" ht="12.75" customHeight="1" x14ac:dyDescent="0.2">
      <c r="A384" s="247" t="s">
        <v>990</v>
      </c>
      <c r="B384" s="316">
        <v>3046</v>
      </c>
      <c r="C384" s="247" t="s">
        <v>975</v>
      </c>
      <c r="D384" s="317">
        <v>42648</v>
      </c>
      <c r="E384" s="318">
        <v>0.54896990740740736</v>
      </c>
      <c r="F384" s="247" t="s">
        <v>976</v>
      </c>
      <c r="G384" s="247" t="s">
        <v>1035</v>
      </c>
      <c r="H384" s="248" t="s">
        <v>404</v>
      </c>
      <c r="I384" s="248" t="s">
        <v>404</v>
      </c>
      <c r="J384" s="247" t="s">
        <v>809</v>
      </c>
      <c r="K384" s="249">
        <v>0</v>
      </c>
      <c r="M384" s="90">
        <v>0</v>
      </c>
      <c r="N384" s="90">
        <v>0</v>
      </c>
      <c r="O384" s="90">
        <v>255</v>
      </c>
    </row>
    <row r="385" spans="1:15" s="90" customFormat="1" ht="12.75" customHeight="1" x14ac:dyDescent="0.2">
      <c r="A385" s="247" t="s">
        <v>1129</v>
      </c>
      <c r="B385" s="316">
        <v>3001</v>
      </c>
      <c r="C385" s="247" t="s">
        <v>996</v>
      </c>
      <c r="D385" s="317">
        <v>42648</v>
      </c>
      <c r="E385" s="318">
        <v>0.55094907407407401</v>
      </c>
      <c r="F385" s="247" t="s">
        <v>702</v>
      </c>
      <c r="G385" s="247" t="s">
        <v>1035</v>
      </c>
      <c r="H385" s="248" t="s">
        <v>121</v>
      </c>
      <c r="I385" s="248" t="s">
        <v>122</v>
      </c>
      <c r="J385" s="247" t="s">
        <v>809</v>
      </c>
      <c r="K385" s="249">
        <v>0</v>
      </c>
      <c r="M385" s="90">
        <v>0</v>
      </c>
      <c r="N385" s="90">
        <v>0</v>
      </c>
      <c r="O385" s="90">
        <v>255</v>
      </c>
    </row>
    <row r="386" spans="1:15" s="90" customFormat="1" ht="12.75" customHeight="1" x14ac:dyDescent="0.2">
      <c r="A386" s="247" t="s">
        <v>1208</v>
      </c>
      <c r="B386" s="316">
        <v>3004</v>
      </c>
      <c r="C386" s="247" t="s">
        <v>979</v>
      </c>
      <c r="D386" s="317">
        <v>42648</v>
      </c>
      <c r="E386" s="318">
        <v>0.55094907407407401</v>
      </c>
      <c r="F386" s="247" t="s">
        <v>702</v>
      </c>
      <c r="G386" s="247" t="s">
        <v>1035</v>
      </c>
      <c r="H386" s="248" t="s">
        <v>234</v>
      </c>
      <c r="I386" s="248" t="s">
        <v>702</v>
      </c>
      <c r="J386" s="247" t="s">
        <v>809</v>
      </c>
      <c r="K386" s="249">
        <v>0</v>
      </c>
      <c r="M386" s="90">
        <v>0</v>
      </c>
      <c r="N386" s="90">
        <v>0</v>
      </c>
      <c r="O386" s="90">
        <v>255</v>
      </c>
    </row>
    <row r="387" spans="1:15" s="90" customFormat="1" ht="12.75" customHeight="1" x14ac:dyDescent="0.2">
      <c r="A387" s="247" t="s">
        <v>1238</v>
      </c>
      <c r="B387" s="316">
        <v>3218</v>
      </c>
      <c r="C387" s="247" t="s">
        <v>979</v>
      </c>
      <c r="D387" s="317">
        <v>42648</v>
      </c>
      <c r="E387" s="318">
        <v>0.55115740740740737</v>
      </c>
      <c r="F387" s="247" t="s">
        <v>702</v>
      </c>
      <c r="G387" s="247" t="s">
        <v>1035</v>
      </c>
      <c r="H387" s="248"/>
      <c r="I387" s="248"/>
      <c r="J387" s="247"/>
      <c r="K387" s="249"/>
      <c r="M387" s="90">
        <v>0</v>
      </c>
      <c r="N387" s="90">
        <v>0</v>
      </c>
      <c r="O387" s="90">
        <v>255</v>
      </c>
    </row>
    <row r="388" spans="1:15" s="90" customFormat="1" ht="12.75" customHeight="1" x14ac:dyDescent="0.2">
      <c r="A388" s="247" t="s">
        <v>1239</v>
      </c>
      <c r="B388" s="316">
        <v>3218</v>
      </c>
      <c r="C388" s="247" t="s">
        <v>979</v>
      </c>
      <c r="D388" s="317">
        <v>42648</v>
      </c>
      <c r="E388" s="318">
        <v>0.55115740740740737</v>
      </c>
      <c r="F388" s="247" t="s">
        <v>702</v>
      </c>
      <c r="G388" s="247" t="s">
        <v>1035</v>
      </c>
      <c r="H388" s="248"/>
      <c r="I388" s="248"/>
      <c r="J388" s="247"/>
      <c r="K388" s="249"/>
      <c r="M388" s="90">
        <v>0</v>
      </c>
      <c r="N388" s="90">
        <v>0</v>
      </c>
      <c r="O388" s="90">
        <v>255</v>
      </c>
    </row>
    <row r="389" spans="1:15" s="90" customFormat="1" ht="12.75" customHeight="1" x14ac:dyDescent="0.2">
      <c r="A389" s="247" t="s">
        <v>1240</v>
      </c>
      <c r="B389" s="316">
        <v>3218</v>
      </c>
      <c r="C389" s="247" t="s">
        <v>979</v>
      </c>
      <c r="D389" s="317">
        <v>42648</v>
      </c>
      <c r="E389" s="318">
        <v>0.55115740740740737</v>
      </c>
      <c r="F389" s="247" t="s">
        <v>702</v>
      </c>
      <c r="G389" s="247" t="s">
        <v>1035</v>
      </c>
      <c r="H389" s="248"/>
      <c r="I389" s="248"/>
      <c r="J389" s="247"/>
      <c r="K389" s="249"/>
      <c r="M389" s="90">
        <v>0</v>
      </c>
      <c r="N389" s="90">
        <v>0</v>
      </c>
      <c r="O389" s="90">
        <v>255</v>
      </c>
    </row>
    <row r="390" spans="1:15" s="90" customFormat="1" ht="12.75" customHeight="1" x14ac:dyDescent="0.2">
      <c r="A390" s="247" t="s">
        <v>1241</v>
      </c>
      <c r="B390" s="316">
        <v>3218</v>
      </c>
      <c r="C390" s="247" t="s">
        <v>979</v>
      </c>
      <c r="D390" s="317">
        <v>42648</v>
      </c>
      <c r="E390" s="318">
        <v>0.55115740740740737</v>
      </c>
      <c r="F390" s="247" t="s">
        <v>702</v>
      </c>
      <c r="G390" s="247" t="s">
        <v>1035</v>
      </c>
      <c r="H390" s="248"/>
      <c r="I390" s="248"/>
      <c r="J390" s="247"/>
      <c r="K390" s="249"/>
      <c r="M390" s="90">
        <v>0</v>
      </c>
      <c r="N390" s="90">
        <v>0</v>
      </c>
      <c r="O390" s="90">
        <v>255</v>
      </c>
    </row>
    <row r="391" spans="1:15" s="90" customFormat="1" ht="12.75" customHeight="1" x14ac:dyDescent="0.2">
      <c r="A391" s="247" t="s">
        <v>1242</v>
      </c>
      <c r="B391" s="316">
        <v>3218</v>
      </c>
      <c r="C391" s="247" t="s">
        <v>979</v>
      </c>
      <c r="D391" s="317">
        <v>42648</v>
      </c>
      <c r="E391" s="318">
        <v>0.55115740740740737</v>
      </c>
      <c r="F391" s="247" t="s">
        <v>702</v>
      </c>
      <c r="G391" s="247" t="s">
        <v>1035</v>
      </c>
      <c r="H391" s="248"/>
      <c r="I391" s="248"/>
      <c r="J391" s="247"/>
      <c r="K391" s="249"/>
      <c r="M391" s="90">
        <v>0</v>
      </c>
      <c r="N391" s="90">
        <v>0</v>
      </c>
      <c r="O391" s="90">
        <v>255</v>
      </c>
    </row>
    <row r="392" spans="1:15" s="90" customFormat="1" ht="12.75" customHeight="1" x14ac:dyDescent="0.2">
      <c r="A392" s="247" t="s">
        <v>1243</v>
      </c>
      <c r="B392" s="316">
        <v>3218</v>
      </c>
      <c r="C392" s="247" t="s">
        <v>979</v>
      </c>
      <c r="D392" s="317">
        <v>42648</v>
      </c>
      <c r="E392" s="318">
        <v>0.55115740740740737</v>
      </c>
      <c r="F392" s="247" t="s">
        <v>702</v>
      </c>
      <c r="G392" s="247" t="s">
        <v>1035</v>
      </c>
      <c r="H392" s="248"/>
      <c r="I392" s="248"/>
      <c r="J392" s="247"/>
      <c r="K392" s="249"/>
      <c r="M392" s="90">
        <v>0</v>
      </c>
      <c r="N392" s="90">
        <v>0</v>
      </c>
      <c r="O392" s="90">
        <v>255</v>
      </c>
    </row>
    <row r="393" spans="1:15" s="90" customFormat="1" ht="12.75" customHeight="1" x14ac:dyDescent="0.2">
      <c r="A393" s="247" t="s">
        <v>1136</v>
      </c>
      <c r="B393" s="316">
        <v>3001</v>
      </c>
      <c r="C393" s="247" t="s">
        <v>996</v>
      </c>
      <c r="D393" s="317">
        <v>42648</v>
      </c>
      <c r="E393" s="318">
        <v>0.55151620370370369</v>
      </c>
      <c r="F393" s="247" t="s">
        <v>702</v>
      </c>
      <c r="G393" s="247" t="s">
        <v>1035</v>
      </c>
      <c r="H393" s="248" t="s">
        <v>121</v>
      </c>
      <c r="I393" s="248" t="s">
        <v>122</v>
      </c>
      <c r="J393" s="247" t="s">
        <v>809</v>
      </c>
      <c r="K393" s="249">
        <v>0</v>
      </c>
      <c r="M393" s="90">
        <v>0</v>
      </c>
      <c r="N393" s="90">
        <v>0</v>
      </c>
      <c r="O393" s="90">
        <v>255</v>
      </c>
    </row>
    <row r="394" spans="1:15" s="90" customFormat="1" ht="12.75" customHeight="1" x14ac:dyDescent="0.2">
      <c r="A394" s="247" t="s">
        <v>1031</v>
      </c>
      <c r="B394" s="316">
        <v>3046</v>
      </c>
      <c r="C394" s="247" t="s">
        <v>975</v>
      </c>
      <c r="D394" s="317">
        <v>42648</v>
      </c>
      <c r="E394" s="318">
        <v>0.55166666666666664</v>
      </c>
      <c r="F394" s="247" t="s">
        <v>976</v>
      </c>
      <c r="G394" s="247" t="s">
        <v>1035</v>
      </c>
      <c r="H394" s="248" t="s">
        <v>404</v>
      </c>
      <c r="I394" s="248" t="s">
        <v>404</v>
      </c>
      <c r="J394" s="247" t="s">
        <v>809</v>
      </c>
      <c r="K394" s="249">
        <v>0</v>
      </c>
      <c r="M394" s="90">
        <v>0</v>
      </c>
      <c r="N394" s="90">
        <v>0</v>
      </c>
      <c r="O394" s="90">
        <v>255</v>
      </c>
    </row>
    <row r="395" spans="1:15" s="90" customFormat="1" ht="12.75" customHeight="1" x14ac:dyDescent="0.2">
      <c r="A395" s="247" t="s">
        <v>1252</v>
      </c>
      <c r="B395" s="316">
        <v>3024</v>
      </c>
      <c r="C395" s="247" t="s">
        <v>996</v>
      </c>
      <c r="D395" s="317">
        <v>42648</v>
      </c>
      <c r="E395" s="318">
        <v>0.55167824074074068</v>
      </c>
      <c r="F395" s="247" t="s">
        <v>702</v>
      </c>
      <c r="G395" s="247" t="s">
        <v>1035</v>
      </c>
      <c r="H395" s="248" t="s">
        <v>234</v>
      </c>
      <c r="I395" s="248" t="s">
        <v>702</v>
      </c>
      <c r="J395" s="247" t="s">
        <v>809</v>
      </c>
      <c r="K395" s="249">
        <v>0</v>
      </c>
      <c r="M395" s="90">
        <v>0</v>
      </c>
      <c r="N395" s="90">
        <v>0</v>
      </c>
      <c r="O395" s="90">
        <v>255</v>
      </c>
    </row>
    <row r="396" spans="1:15" s="90" customFormat="1" ht="12.75" customHeight="1" x14ac:dyDescent="0.2">
      <c r="A396" s="247" t="s">
        <v>1032</v>
      </c>
      <c r="B396" s="316">
        <v>3046</v>
      </c>
      <c r="C396" s="247" t="s">
        <v>975</v>
      </c>
      <c r="D396" s="317">
        <v>42648</v>
      </c>
      <c r="E396" s="318">
        <v>0.55172453703703705</v>
      </c>
      <c r="F396" s="247" t="s">
        <v>976</v>
      </c>
      <c r="G396" s="247" t="s">
        <v>1035</v>
      </c>
      <c r="H396" s="248" t="s">
        <v>404</v>
      </c>
      <c r="I396" s="248" t="s">
        <v>404</v>
      </c>
      <c r="J396" s="247" t="s">
        <v>809</v>
      </c>
      <c r="K396" s="249">
        <v>0</v>
      </c>
      <c r="M396" s="90">
        <v>0</v>
      </c>
      <c r="N396" s="90">
        <v>0</v>
      </c>
      <c r="O396" s="90">
        <v>255</v>
      </c>
    </row>
    <row r="397" spans="1:15" s="90" customFormat="1" ht="12.75" customHeight="1" x14ac:dyDescent="0.2">
      <c r="A397" s="247" t="s">
        <v>1031</v>
      </c>
      <c r="B397" s="316">
        <v>3046</v>
      </c>
      <c r="C397" s="247" t="s">
        <v>975</v>
      </c>
      <c r="D397" s="317">
        <v>42648</v>
      </c>
      <c r="E397" s="318">
        <v>0.5543055555555555</v>
      </c>
      <c r="F397" s="247" t="s">
        <v>976</v>
      </c>
      <c r="G397" s="247" t="s">
        <v>1035</v>
      </c>
      <c r="H397" s="248" t="s">
        <v>404</v>
      </c>
      <c r="I397" s="248" t="s">
        <v>404</v>
      </c>
      <c r="J397" s="247" t="s">
        <v>809</v>
      </c>
      <c r="K397" s="249">
        <v>0</v>
      </c>
      <c r="M397" s="90">
        <v>0</v>
      </c>
      <c r="N397" s="90">
        <v>0</v>
      </c>
      <c r="O397" s="90">
        <v>255</v>
      </c>
    </row>
    <row r="398" spans="1:15" s="90" customFormat="1" ht="12.75" customHeight="1" x14ac:dyDescent="0.2">
      <c r="A398" s="247" t="s">
        <v>1208</v>
      </c>
      <c r="B398" s="316">
        <v>3004</v>
      </c>
      <c r="C398" s="247" t="s">
        <v>979</v>
      </c>
      <c r="D398" s="317">
        <v>42648</v>
      </c>
      <c r="E398" s="318">
        <v>0.5583217592592592</v>
      </c>
      <c r="F398" s="247" t="s">
        <v>702</v>
      </c>
      <c r="G398" s="247" t="s">
        <v>1035</v>
      </c>
      <c r="H398" s="248" t="s">
        <v>234</v>
      </c>
      <c r="I398" s="248" t="s">
        <v>702</v>
      </c>
      <c r="J398" s="247" t="s">
        <v>809</v>
      </c>
      <c r="K398" s="249">
        <v>0</v>
      </c>
      <c r="M398" s="90">
        <v>0</v>
      </c>
      <c r="N398" s="90">
        <v>0</v>
      </c>
      <c r="O398" s="90">
        <v>255</v>
      </c>
    </row>
    <row r="399" spans="1:15" s="90" customFormat="1" ht="12.75" customHeight="1" x14ac:dyDescent="0.2">
      <c r="A399" s="247" t="s">
        <v>1032</v>
      </c>
      <c r="B399" s="316">
        <v>3046</v>
      </c>
      <c r="C399" s="247" t="s">
        <v>975</v>
      </c>
      <c r="D399" s="317">
        <v>42648</v>
      </c>
      <c r="E399" s="318">
        <v>0.56719907407407411</v>
      </c>
      <c r="F399" s="247" t="s">
        <v>976</v>
      </c>
      <c r="G399" s="247" t="s">
        <v>1035</v>
      </c>
      <c r="H399" s="248" t="s">
        <v>404</v>
      </c>
      <c r="I399" s="248" t="s">
        <v>404</v>
      </c>
      <c r="J399" s="247" t="s">
        <v>809</v>
      </c>
      <c r="K399" s="249">
        <v>0</v>
      </c>
      <c r="M399" s="90">
        <v>0</v>
      </c>
      <c r="N399" s="90">
        <v>0</v>
      </c>
      <c r="O399" s="90">
        <v>255</v>
      </c>
    </row>
    <row r="400" spans="1:15" s="90" customFormat="1" ht="12.75" customHeight="1" x14ac:dyDescent="0.2">
      <c r="A400" s="247" t="s">
        <v>989</v>
      </c>
      <c r="B400" s="316">
        <v>3046</v>
      </c>
      <c r="C400" s="247" t="s">
        <v>975</v>
      </c>
      <c r="D400" s="317">
        <v>42648</v>
      </c>
      <c r="E400" s="318">
        <v>0.56719907407407411</v>
      </c>
      <c r="F400" s="247" t="s">
        <v>976</v>
      </c>
      <c r="G400" s="247" t="s">
        <v>1035</v>
      </c>
      <c r="H400" s="248" t="s">
        <v>404</v>
      </c>
      <c r="I400" s="248" t="s">
        <v>404</v>
      </c>
      <c r="J400" s="247" t="s">
        <v>809</v>
      </c>
      <c r="K400" s="249">
        <v>0</v>
      </c>
      <c r="M400" s="90">
        <v>0</v>
      </c>
      <c r="N400" s="90">
        <v>0</v>
      </c>
      <c r="O400" s="90">
        <v>255</v>
      </c>
    </row>
    <row r="401" spans="1:15" s="90" customFormat="1" ht="12.75" customHeight="1" x14ac:dyDescent="0.2">
      <c r="A401" s="247" t="s">
        <v>990</v>
      </c>
      <c r="B401" s="316">
        <v>3046</v>
      </c>
      <c r="C401" s="247" t="s">
        <v>975</v>
      </c>
      <c r="D401" s="317">
        <v>42648</v>
      </c>
      <c r="E401" s="318">
        <v>0.5675</v>
      </c>
      <c r="F401" s="247" t="s">
        <v>976</v>
      </c>
      <c r="G401" s="247" t="s">
        <v>1035</v>
      </c>
      <c r="H401" s="248" t="s">
        <v>404</v>
      </c>
      <c r="I401" s="248" t="s">
        <v>404</v>
      </c>
      <c r="J401" s="247" t="s">
        <v>809</v>
      </c>
      <c r="K401" s="249">
        <v>0</v>
      </c>
      <c r="M401" s="90">
        <v>0</v>
      </c>
      <c r="N401" s="90">
        <v>0</v>
      </c>
      <c r="O401" s="90">
        <v>255</v>
      </c>
    </row>
    <row r="402" spans="1:15" s="90" customFormat="1" ht="12.75" customHeight="1" x14ac:dyDescent="0.2">
      <c r="A402" s="247" t="s">
        <v>1033</v>
      </c>
      <c r="B402" s="316">
        <v>3217</v>
      </c>
      <c r="C402" s="247" t="s">
        <v>975</v>
      </c>
      <c r="D402" s="317">
        <v>42648</v>
      </c>
      <c r="E402" s="318">
        <v>0.5675</v>
      </c>
      <c r="F402" s="247" t="s">
        <v>235</v>
      </c>
      <c r="G402" s="247" t="s">
        <v>1035</v>
      </c>
      <c r="H402" s="248" t="s">
        <v>234</v>
      </c>
      <c r="I402" s="248" t="s">
        <v>235</v>
      </c>
      <c r="J402" s="247" t="s">
        <v>809</v>
      </c>
      <c r="K402" s="249">
        <v>0</v>
      </c>
      <c r="M402" s="90">
        <v>0</v>
      </c>
      <c r="N402" s="90">
        <v>0</v>
      </c>
      <c r="O402" s="90">
        <v>255</v>
      </c>
    </row>
    <row r="403" spans="1:15" s="90" customFormat="1" ht="12.75" customHeight="1" x14ac:dyDescent="0.2">
      <c r="A403" s="247" t="s">
        <v>1253</v>
      </c>
      <c r="B403" s="316">
        <v>3218</v>
      </c>
      <c r="C403" s="247" t="s">
        <v>979</v>
      </c>
      <c r="D403" s="317">
        <v>42648</v>
      </c>
      <c r="E403" s="318">
        <v>0.56938657407407411</v>
      </c>
      <c r="F403" s="247" t="s">
        <v>702</v>
      </c>
      <c r="G403" s="247" t="s">
        <v>1035</v>
      </c>
      <c r="H403" s="248"/>
      <c r="I403" s="248"/>
      <c r="J403" s="247"/>
      <c r="K403" s="249"/>
      <c r="M403" s="90">
        <v>0</v>
      </c>
      <c r="N403" s="90">
        <v>0</v>
      </c>
      <c r="O403" s="90">
        <v>255</v>
      </c>
    </row>
    <row r="404" spans="1:15" s="90" customFormat="1" ht="12.75" customHeight="1" x14ac:dyDescent="0.2">
      <c r="A404" s="247" t="s">
        <v>1031</v>
      </c>
      <c r="B404" s="316">
        <v>3046</v>
      </c>
      <c r="C404" s="247" t="s">
        <v>975</v>
      </c>
      <c r="D404" s="317">
        <v>42648</v>
      </c>
      <c r="E404" s="318">
        <v>0.56956018518518514</v>
      </c>
      <c r="F404" s="247" t="s">
        <v>976</v>
      </c>
      <c r="G404" s="247" t="s">
        <v>1035</v>
      </c>
      <c r="H404" s="248" t="s">
        <v>404</v>
      </c>
      <c r="I404" s="248" t="s">
        <v>404</v>
      </c>
      <c r="J404" s="247" t="s">
        <v>809</v>
      </c>
      <c r="K404" s="249">
        <v>0</v>
      </c>
      <c r="M404" s="90">
        <v>0</v>
      </c>
      <c r="N404" s="90">
        <v>0</v>
      </c>
      <c r="O404" s="90">
        <v>255</v>
      </c>
    </row>
    <row r="405" spans="1:15" s="90" customFormat="1" ht="12.75" customHeight="1" x14ac:dyDescent="0.2">
      <c r="A405" s="247" t="s">
        <v>1251</v>
      </c>
      <c r="B405" s="316">
        <v>3024</v>
      </c>
      <c r="C405" s="247" t="s">
        <v>996</v>
      </c>
      <c r="D405" s="317">
        <v>42648</v>
      </c>
      <c r="E405" s="318">
        <v>0.56981481481481489</v>
      </c>
      <c r="F405" s="247" t="s">
        <v>702</v>
      </c>
      <c r="G405" s="247" t="s">
        <v>1035</v>
      </c>
      <c r="H405" s="248" t="s">
        <v>234</v>
      </c>
      <c r="I405" s="248" t="s">
        <v>702</v>
      </c>
      <c r="J405" s="247" t="s">
        <v>809</v>
      </c>
      <c r="K405" s="249">
        <v>0</v>
      </c>
      <c r="M405" s="90">
        <v>0</v>
      </c>
      <c r="N405" s="90">
        <v>0</v>
      </c>
      <c r="O405" s="90">
        <v>255</v>
      </c>
    </row>
    <row r="406" spans="1:15" s="90" customFormat="1" ht="12.75" customHeight="1" x14ac:dyDescent="0.2">
      <c r="A406" s="247" t="s">
        <v>1032</v>
      </c>
      <c r="B406" s="316">
        <v>3046</v>
      </c>
      <c r="C406" s="247" t="s">
        <v>975</v>
      </c>
      <c r="D406" s="317">
        <v>42648</v>
      </c>
      <c r="E406" s="318">
        <v>0.56981481481481489</v>
      </c>
      <c r="F406" s="247" t="s">
        <v>976</v>
      </c>
      <c r="G406" s="247" t="s">
        <v>1035</v>
      </c>
      <c r="H406" s="248" t="s">
        <v>404</v>
      </c>
      <c r="I406" s="248" t="s">
        <v>404</v>
      </c>
      <c r="J406" s="247" t="s">
        <v>809</v>
      </c>
      <c r="K406" s="249">
        <v>0</v>
      </c>
      <c r="M406" s="90">
        <v>0</v>
      </c>
      <c r="N406" s="90">
        <v>0</v>
      </c>
      <c r="O406" s="90">
        <v>255</v>
      </c>
    </row>
    <row r="407" spans="1:15" s="90" customFormat="1" ht="12.75" customHeight="1" x14ac:dyDescent="0.2">
      <c r="A407" s="247" t="s">
        <v>1031</v>
      </c>
      <c r="B407" s="316">
        <v>3046</v>
      </c>
      <c r="C407" s="247" t="s">
        <v>975</v>
      </c>
      <c r="D407" s="317">
        <v>42648</v>
      </c>
      <c r="E407" s="318">
        <v>0.57071759259259258</v>
      </c>
      <c r="F407" s="247" t="s">
        <v>976</v>
      </c>
      <c r="G407" s="247" t="s">
        <v>1035</v>
      </c>
      <c r="H407" s="248" t="s">
        <v>404</v>
      </c>
      <c r="I407" s="248" t="s">
        <v>404</v>
      </c>
      <c r="J407" s="247" t="s">
        <v>809</v>
      </c>
      <c r="K407" s="249">
        <v>0</v>
      </c>
      <c r="M407" s="90">
        <v>0</v>
      </c>
      <c r="N407" s="90">
        <v>0</v>
      </c>
      <c r="O407" s="90">
        <v>255</v>
      </c>
    </row>
    <row r="408" spans="1:15" s="90" customFormat="1" ht="12.75" customHeight="1" x14ac:dyDescent="0.2">
      <c r="A408" s="247" t="s">
        <v>1137</v>
      </c>
      <c r="B408" s="316">
        <v>3088</v>
      </c>
      <c r="C408" s="247" t="s">
        <v>979</v>
      </c>
      <c r="D408" s="317">
        <v>42648</v>
      </c>
      <c r="E408" s="318">
        <v>0.57278935185185187</v>
      </c>
      <c r="F408" s="247" t="s">
        <v>656</v>
      </c>
      <c r="G408" s="247" t="s">
        <v>1035</v>
      </c>
      <c r="H408" s="248" t="s">
        <v>234</v>
      </c>
      <c r="I408" s="248" t="s">
        <v>702</v>
      </c>
      <c r="J408" s="247" t="s">
        <v>809</v>
      </c>
      <c r="K408" s="249">
        <v>0</v>
      </c>
      <c r="M408" s="90">
        <v>0</v>
      </c>
      <c r="N408" s="90">
        <v>0</v>
      </c>
      <c r="O408" s="90">
        <v>255</v>
      </c>
    </row>
    <row r="409" spans="1:15" s="90" customFormat="1" ht="12.75" customHeight="1" x14ac:dyDescent="0.2">
      <c r="A409" s="247" t="s">
        <v>1032</v>
      </c>
      <c r="B409" s="316">
        <v>3046</v>
      </c>
      <c r="C409" s="247" t="s">
        <v>975</v>
      </c>
      <c r="D409" s="317">
        <v>42648</v>
      </c>
      <c r="E409" s="318">
        <v>0.57280092592592591</v>
      </c>
      <c r="F409" s="247" t="s">
        <v>976</v>
      </c>
      <c r="G409" s="247" t="s">
        <v>1035</v>
      </c>
      <c r="H409" s="248" t="s">
        <v>404</v>
      </c>
      <c r="I409" s="248" t="s">
        <v>404</v>
      </c>
      <c r="J409" s="247" t="s">
        <v>809</v>
      </c>
      <c r="K409" s="249">
        <v>0</v>
      </c>
      <c r="M409" s="90">
        <v>0</v>
      </c>
      <c r="N409" s="90">
        <v>0</v>
      </c>
      <c r="O409" s="90">
        <v>255</v>
      </c>
    </row>
    <row r="410" spans="1:15" s="90" customFormat="1" ht="12.75" customHeight="1" x14ac:dyDescent="0.2">
      <c r="A410" s="247" t="s">
        <v>989</v>
      </c>
      <c r="B410" s="316">
        <v>3046</v>
      </c>
      <c r="C410" s="247" t="s">
        <v>975</v>
      </c>
      <c r="D410" s="317">
        <v>42648</v>
      </c>
      <c r="E410" s="318">
        <v>0.57280092592592591</v>
      </c>
      <c r="F410" s="247" t="s">
        <v>976</v>
      </c>
      <c r="G410" s="247" t="s">
        <v>1035</v>
      </c>
      <c r="H410" s="248" t="s">
        <v>404</v>
      </c>
      <c r="I410" s="248" t="s">
        <v>404</v>
      </c>
      <c r="J410" s="247" t="s">
        <v>809</v>
      </c>
      <c r="K410" s="249">
        <v>0</v>
      </c>
      <c r="M410" s="90">
        <v>0</v>
      </c>
      <c r="N410" s="90">
        <v>0</v>
      </c>
      <c r="O410" s="90">
        <v>255</v>
      </c>
    </row>
    <row r="411" spans="1:15" s="90" customFormat="1" ht="12.75" customHeight="1" x14ac:dyDescent="0.2">
      <c r="A411" s="247" t="s">
        <v>1033</v>
      </c>
      <c r="B411" s="316">
        <v>3217</v>
      </c>
      <c r="C411" s="247" t="s">
        <v>975</v>
      </c>
      <c r="D411" s="317">
        <v>42648</v>
      </c>
      <c r="E411" s="318">
        <v>0.57309027777777777</v>
      </c>
      <c r="F411" s="247" t="s">
        <v>235</v>
      </c>
      <c r="G411" s="247" t="s">
        <v>1035</v>
      </c>
      <c r="H411" s="248" t="s">
        <v>234</v>
      </c>
      <c r="I411" s="248" t="s">
        <v>235</v>
      </c>
      <c r="J411" s="247" t="s">
        <v>809</v>
      </c>
      <c r="K411" s="249">
        <v>0</v>
      </c>
      <c r="M411" s="90">
        <v>0</v>
      </c>
      <c r="N411" s="90">
        <v>0</v>
      </c>
      <c r="O411" s="90">
        <v>255</v>
      </c>
    </row>
    <row r="412" spans="1:15" s="90" customFormat="1" ht="12.75" customHeight="1" x14ac:dyDescent="0.2">
      <c r="A412" s="247" t="s">
        <v>990</v>
      </c>
      <c r="B412" s="316">
        <v>3046</v>
      </c>
      <c r="C412" s="247" t="s">
        <v>975</v>
      </c>
      <c r="D412" s="317">
        <v>42648</v>
      </c>
      <c r="E412" s="318">
        <v>0.57310185185185192</v>
      </c>
      <c r="F412" s="247" t="s">
        <v>976</v>
      </c>
      <c r="G412" s="247" t="s">
        <v>1035</v>
      </c>
      <c r="H412" s="248" t="s">
        <v>404</v>
      </c>
      <c r="I412" s="248" t="s">
        <v>404</v>
      </c>
      <c r="J412" s="247" t="s">
        <v>809</v>
      </c>
      <c r="K412" s="249">
        <v>0</v>
      </c>
      <c r="M412" s="90">
        <v>0</v>
      </c>
      <c r="N412" s="90">
        <v>0</v>
      </c>
      <c r="O412" s="90">
        <v>255</v>
      </c>
    </row>
    <row r="413" spans="1:15" s="90" customFormat="1" ht="12.75" customHeight="1" x14ac:dyDescent="0.2">
      <c r="A413" s="247" t="s">
        <v>1031</v>
      </c>
      <c r="B413" s="316">
        <v>3046</v>
      </c>
      <c r="C413" s="247" t="s">
        <v>975</v>
      </c>
      <c r="D413" s="317">
        <v>42648</v>
      </c>
      <c r="E413" s="318">
        <v>0.57429398148148147</v>
      </c>
      <c r="F413" s="247" t="s">
        <v>976</v>
      </c>
      <c r="G413" s="247" t="s">
        <v>1035</v>
      </c>
      <c r="H413" s="248" t="s">
        <v>404</v>
      </c>
      <c r="I413" s="248" t="s">
        <v>404</v>
      </c>
      <c r="J413" s="247" t="s">
        <v>809</v>
      </c>
      <c r="K413" s="249">
        <v>0</v>
      </c>
      <c r="M413" s="90">
        <v>0</v>
      </c>
      <c r="N413" s="90">
        <v>0</v>
      </c>
      <c r="O413" s="90">
        <v>255</v>
      </c>
    </row>
    <row r="414" spans="1:15" s="90" customFormat="1" ht="12.75" customHeight="1" x14ac:dyDescent="0.2">
      <c r="A414" s="247" t="s">
        <v>1254</v>
      </c>
      <c r="B414" s="316">
        <v>3001</v>
      </c>
      <c r="C414" s="247" t="s">
        <v>996</v>
      </c>
      <c r="D414" s="317">
        <v>42648</v>
      </c>
      <c r="E414" s="318">
        <v>0.57537037037037042</v>
      </c>
      <c r="F414" s="247" t="s">
        <v>702</v>
      </c>
      <c r="G414" s="247" t="s">
        <v>1035</v>
      </c>
      <c r="H414" s="248" t="s">
        <v>121</v>
      </c>
      <c r="I414" s="248" t="s">
        <v>122</v>
      </c>
      <c r="J414" s="247" t="s">
        <v>809</v>
      </c>
      <c r="K414" s="249">
        <v>0</v>
      </c>
      <c r="M414" s="90">
        <v>0</v>
      </c>
      <c r="N414" s="90">
        <v>0</v>
      </c>
      <c r="O414" s="90">
        <v>255</v>
      </c>
    </row>
    <row r="415" spans="1:15" s="90" customFormat="1" ht="12.75" customHeight="1" x14ac:dyDescent="0.2">
      <c r="A415" s="247" t="s">
        <v>1032</v>
      </c>
      <c r="B415" s="316">
        <v>3046</v>
      </c>
      <c r="C415" s="247" t="s">
        <v>975</v>
      </c>
      <c r="D415" s="317">
        <v>42648</v>
      </c>
      <c r="E415" s="318">
        <v>0.57939814814814816</v>
      </c>
      <c r="F415" s="247" t="s">
        <v>976</v>
      </c>
      <c r="G415" s="247" t="s">
        <v>1035</v>
      </c>
      <c r="H415" s="248" t="s">
        <v>404</v>
      </c>
      <c r="I415" s="248" t="s">
        <v>404</v>
      </c>
      <c r="J415" s="247" t="s">
        <v>809</v>
      </c>
      <c r="K415" s="249">
        <v>0</v>
      </c>
      <c r="M415" s="90">
        <v>0</v>
      </c>
      <c r="N415" s="90">
        <v>0</v>
      </c>
      <c r="O415" s="90">
        <v>255</v>
      </c>
    </row>
    <row r="416" spans="1:15" s="90" customFormat="1" ht="12.75" customHeight="1" x14ac:dyDescent="0.2">
      <c r="A416" s="247" t="s">
        <v>989</v>
      </c>
      <c r="B416" s="316">
        <v>3046</v>
      </c>
      <c r="C416" s="247" t="s">
        <v>975</v>
      </c>
      <c r="D416" s="317">
        <v>42648</v>
      </c>
      <c r="E416" s="318">
        <v>0.57939814814814816</v>
      </c>
      <c r="F416" s="247" t="s">
        <v>976</v>
      </c>
      <c r="G416" s="247" t="s">
        <v>1035</v>
      </c>
      <c r="H416" s="248" t="s">
        <v>404</v>
      </c>
      <c r="I416" s="248" t="s">
        <v>404</v>
      </c>
      <c r="J416" s="247" t="s">
        <v>809</v>
      </c>
      <c r="K416" s="249">
        <v>0</v>
      </c>
      <c r="M416" s="90">
        <v>0</v>
      </c>
      <c r="N416" s="90">
        <v>0</v>
      </c>
      <c r="O416" s="90">
        <v>255</v>
      </c>
    </row>
    <row r="417" spans="1:15" s="90" customFormat="1" ht="12.75" customHeight="1" x14ac:dyDescent="0.2">
      <c r="A417" s="247" t="s">
        <v>990</v>
      </c>
      <c r="B417" s="316">
        <v>3046</v>
      </c>
      <c r="C417" s="247" t="s">
        <v>975</v>
      </c>
      <c r="D417" s="317">
        <v>42648</v>
      </c>
      <c r="E417" s="318">
        <v>0.57969907407407406</v>
      </c>
      <c r="F417" s="247" t="s">
        <v>976</v>
      </c>
      <c r="G417" s="247" t="s">
        <v>1035</v>
      </c>
      <c r="H417" s="248" t="s">
        <v>404</v>
      </c>
      <c r="I417" s="248" t="s">
        <v>404</v>
      </c>
      <c r="J417" s="247" t="s">
        <v>809</v>
      </c>
      <c r="K417" s="249">
        <v>0</v>
      </c>
      <c r="M417" s="90">
        <v>0</v>
      </c>
      <c r="N417" s="90">
        <v>0</v>
      </c>
      <c r="O417" s="90">
        <v>255</v>
      </c>
    </row>
    <row r="418" spans="1:15" s="90" customFormat="1" ht="12.75" customHeight="1" x14ac:dyDescent="0.2">
      <c r="A418" s="247" t="s">
        <v>1033</v>
      </c>
      <c r="B418" s="316">
        <v>3217</v>
      </c>
      <c r="C418" s="247" t="s">
        <v>975</v>
      </c>
      <c r="D418" s="317">
        <v>42648</v>
      </c>
      <c r="E418" s="318">
        <v>0.57969907407407406</v>
      </c>
      <c r="F418" s="247" t="s">
        <v>235</v>
      </c>
      <c r="G418" s="247" t="s">
        <v>1035</v>
      </c>
      <c r="H418" s="248" t="s">
        <v>234</v>
      </c>
      <c r="I418" s="248" t="s">
        <v>235</v>
      </c>
      <c r="J418" s="247" t="s">
        <v>809</v>
      </c>
      <c r="K418" s="249">
        <v>0</v>
      </c>
      <c r="M418" s="90">
        <v>0</v>
      </c>
      <c r="N418" s="90">
        <v>0</v>
      </c>
      <c r="O418" s="90">
        <v>255</v>
      </c>
    </row>
    <row r="419" spans="1:15" s="90" customFormat="1" ht="12.75" customHeight="1" x14ac:dyDescent="0.2">
      <c r="A419" s="247" t="s">
        <v>1197</v>
      </c>
      <c r="B419" s="316">
        <v>3218</v>
      </c>
      <c r="C419" s="247" t="s">
        <v>979</v>
      </c>
      <c r="D419" s="317">
        <v>42648</v>
      </c>
      <c r="E419" s="318">
        <v>0.59471064814814811</v>
      </c>
      <c r="F419" s="247" t="s">
        <v>702</v>
      </c>
      <c r="G419" s="247" t="s">
        <v>1035</v>
      </c>
      <c r="H419" s="248"/>
      <c r="I419" s="248"/>
      <c r="J419" s="247"/>
      <c r="K419" s="249"/>
      <c r="M419" s="90">
        <v>0</v>
      </c>
      <c r="N419" s="90">
        <v>0</v>
      </c>
      <c r="O419" s="90">
        <v>255</v>
      </c>
    </row>
    <row r="420" spans="1:15" s="90" customFormat="1" ht="12.75" customHeight="1" x14ac:dyDescent="0.2">
      <c r="A420" s="247" t="s">
        <v>1198</v>
      </c>
      <c r="B420" s="316">
        <v>3218</v>
      </c>
      <c r="C420" s="247" t="s">
        <v>979</v>
      </c>
      <c r="D420" s="317">
        <v>42648</v>
      </c>
      <c r="E420" s="318">
        <v>0.59471064814814811</v>
      </c>
      <c r="F420" s="247" t="s">
        <v>702</v>
      </c>
      <c r="G420" s="247" t="s">
        <v>1035</v>
      </c>
      <c r="H420" s="248"/>
      <c r="I420" s="248"/>
      <c r="J420" s="247"/>
      <c r="K420" s="249"/>
      <c r="M420" s="90">
        <v>0</v>
      </c>
      <c r="N420" s="90">
        <v>0</v>
      </c>
      <c r="O420" s="90">
        <v>255</v>
      </c>
    </row>
    <row r="421" spans="1:15" s="90" customFormat="1" ht="12.75" customHeight="1" x14ac:dyDescent="0.2">
      <c r="A421" s="247" t="s">
        <v>1199</v>
      </c>
      <c r="B421" s="316">
        <v>3218</v>
      </c>
      <c r="C421" s="247" t="s">
        <v>979</v>
      </c>
      <c r="D421" s="317">
        <v>42648</v>
      </c>
      <c r="E421" s="318">
        <v>0.59471064814814811</v>
      </c>
      <c r="F421" s="247" t="s">
        <v>702</v>
      </c>
      <c r="G421" s="247" t="s">
        <v>1035</v>
      </c>
      <c r="H421" s="248"/>
      <c r="I421" s="248"/>
      <c r="J421" s="247"/>
      <c r="K421" s="249"/>
      <c r="M421" s="90">
        <v>0</v>
      </c>
      <c r="N421" s="90">
        <v>0</v>
      </c>
      <c r="O421" s="90">
        <v>255</v>
      </c>
    </row>
    <row r="422" spans="1:15" s="90" customFormat="1" ht="12.75" customHeight="1" x14ac:dyDescent="0.2">
      <c r="A422" s="247" t="s">
        <v>1200</v>
      </c>
      <c r="B422" s="316">
        <v>3218</v>
      </c>
      <c r="C422" s="247" t="s">
        <v>979</v>
      </c>
      <c r="D422" s="317">
        <v>42648</v>
      </c>
      <c r="E422" s="318">
        <v>0.59471064814814811</v>
      </c>
      <c r="F422" s="247" t="s">
        <v>702</v>
      </c>
      <c r="G422" s="247" t="s">
        <v>1035</v>
      </c>
      <c r="H422" s="248"/>
      <c r="I422" s="248"/>
      <c r="J422" s="247"/>
      <c r="K422" s="249"/>
      <c r="M422" s="90">
        <v>0</v>
      </c>
      <c r="N422" s="90">
        <v>0</v>
      </c>
      <c r="O422" s="90">
        <v>255</v>
      </c>
    </row>
    <row r="423" spans="1:15" s="90" customFormat="1" ht="12.75" customHeight="1" x14ac:dyDescent="0.2">
      <c r="A423" s="247" t="s">
        <v>1201</v>
      </c>
      <c r="B423" s="316">
        <v>3218</v>
      </c>
      <c r="C423" s="247" t="s">
        <v>979</v>
      </c>
      <c r="D423" s="317">
        <v>42648</v>
      </c>
      <c r="E423" s="318">
        <v>0.59471064814814811</v>
      </c>
      <c r="F423" s="247" t="s">
        <v>702</v>
      </c>
      <c r="G423" s="247" t="s">
        <v>1035</v>
      </c>
      <c r="H423" s="248"/>
      <c r="I423" s="248"/>
      <c r="J423" s="247"/>
      <c r="K423" s="249"/>
      <c r="M423" s="90">
        <v>0</v>
      </c>
      <c r="N423" s="90">
        <v>0</v>
      </c>
      <c r="O423" s="90">
        <v>255</v>
      </c>
    </row>
    <row r="424" spans="1:15" s="90" customFormat="1" ht="12.75" customHeight="1" x14ac:dyDescent="0.2">
      <c r="A424" s="247" t="s">
        <v>1216</v>
      </c>
      <c r="B424" s="316">
        <v>3218</v>
      </c>
      <c r="C424" s="247" t="s">
        <v>979</v>
      </c>
      <c r="D424" s="317">
        <v>42648</v>
      </c>
      <c r="E424" s="318">
        <v>0.59575231481481483</v>
      </c>
      <c r="F424" s="247" t="s">
        <v>702</v>
      </c>
      <c r="G424" s="247" t="s">
        <v>1035</v>
      </c>
      <c r="H424" s="248"/>
      <c r="I424" s="248"/>
      <c r="J424" s="247"/>
      <c r="K424" s="249"/>
      <c r="M424" s="90">
        <v>0</v>
      </c>
      <c r="N424" s="90">
        <v>0</v>
      </c>
      <c r="O424" s="90">
        <v>255</v>
      </c>
    </row>
    <row r="425" spans="1:15" s="90" customFormat="1" ht="12.75" customHeight="1" x14ac:dyDescent="0.2">
      <c r="A425" s="247" t="s">
        <v>1255</v>
      </c>
      <c r="B425" s="316">
        <v>3218</v>
      </c>
      <c r="C425" s="247" t="s">
        <v>979</v>
      </c>
      <c r="D425" s="317">
        <v>42648</v>
      </c>
      <c r="E425" s="318">
        <v>0.59575231481481483</v>
      </c>
      <c r="F425" s="247" t="s">
        <v>702</v>
      </c>
      <c r="G425" s="247" t="s">
        <v>1035</v>
      </c>
      <c r="H425" s="248"/>
      <c r="I425" s="248"/>
      <c r="J425" s="247"/>
      <c r="K425" s="249"/>
      <c r="M425" s="90">
        <v>0</v>
      </c>
      <c r="N425" s="90">
        <v>0</v>
      </c>
      <c r="O425" s="90">
        <v>255</v>
      </c>
    </row>
    <row r="426" spans="1:15" s="90" customFormat="1" ht="12.75" customHeight="1" x14ac:dyDescent="0.2">
      <c r="A426" s="247" t="s">
        <v>1256</v>
      </c>
      <c r="B426" s="316">
        <v>3218</v>
      </c>
      <c r="C426" s="247" t="s">
        <v>979</v>
      </c>
      <c r="D426" s="317">
        <v>42648</v>
      </c>
      <c r="E426" s="318">
        <v>0.59575231481481483</v>
      </c>
      <c r="F426" s="247" t="s">
        <v>702</v>
      </c>
      <c r="G426" s="247" t="s">
        <v>1035</v>
      </c>
      <c r="H426" s="248"/>
      <c r="I426" s="248"/>
      <c r="J426" s="247"/>
      <c r="K426" s="249"/>
      <c r="M426" s="90">
        <v>0</v>
      </c>
      <c r="N426" s="90">
        <v>0</v>
      </c>
      <c r="O426" s="90">
        <v>255</v>
      </c>
    </row>
    <row r="427" spans="1:15" s="90" customFormat="1" ht="12.75" customHeight="1" x14ac:dyDescent="0.2">
      <c r="A427" s="247" t="s">
        <v>1257</v>
      </c>
      <c r="B427" s="316">
        <v>3218</v>
      </c>
      <c r="C427" s="247" t="s">
        <v>979</v>
      </c>
      <c r="D427" s="317">
        <v>42648</v>
      </c>
      <c r="E427" s="318">
        <v>0.59575231481481483</v>
      </c>
      <c r="F427" s="247" t="s">
        <v>702</v>
      </c>
      <c r="G427" s="247" t="s">
        <v>1035</v>
      </c>
      <c r="H427" s="248"/>
      <c r="I427" s="248"/>
      <c r="J427" s="247"/>
      <c r="K427" s="249"/>
      <c r="M427" s="90">
        <v>0</v>
      </c>
      <c r="N427" s="90">
        <v>0</v>
      </c>
      <c r="O427" s="90">
        <v>255</v>
      </c>
    </row>
    <row r="428" spans="1:15" s="90" customFormat="1" ht="12.75" customHeight="1" x14ac:dyDescent="0.2">
      <c r="A428" s="247" t="s">
        <v>1258</v>
      </c>
      <c r="B428" s="316">
        <v>3218</v>
      </c>
      <c r="C428" s="247" t="s">
        <v>979</v>
      </c>
      <c r="D428" s="317">
        <v>42648</v>
      </c>
      <c r="E428" s="318">
        <v>0.59575231481481483</v>
      </c>
      <c r="F428" s="247" t="s">
        <v>702</v>
      </c>
      <c r="G428" s="247" t="s">
        <v>1035</v>
      </c>
      <c r="H428" s="248"/>
      <c r="I428" s="248"/>
      <c r="J428" s="247"/>
      <c r="K428" s="249"/>
      <c r="M428" s="90">
        <v>0</v>
      </c>
      <c r="N428" s="90">
        <v>0</v>
      </c>
      <c r="O428" s="90">
        <v>255</v>
      </c>
    </row>
    <row r="429" spans="1:15" s="90" customFormat="1" ht="12.75" customHeight="1" x14ac:dyDescent="0.2">
      <c r="A429" s="247" t="s">
        <v>1259</v>
      </c>
      <c r="B429" s="316">
        <v>3218</v>
      </c>
      <c r="C429" s="247" t="s">
        <v>979</v>
      </c>
      <c r="D429" s="317">
        <v>42648</v>
      </c>
      <c r="E429" s="318">
        <v>0.59575231481481483</v>
      </c>
      <c r="F429" s="247" t="s">
        <v>702</v>
      </c>
      <c r="G429" s="247" t="s">
        <v>1035</v>
      </c>
      <c r="H429" s="248"/>
      <c r="I429" s="248"/>
      <c r="J429" s="247"/>
      <c r="K429" s="249"/>
      <c r="M429" s="90">
        <v>0</v>
      </c>
      <c r="N429" s="90">
        <v>0</v>
      </c>
      <c r="O429" s="90">
        <v>255</v>
      </c>
    </row>
    <row r="430" spans="1:15" s="90" customFormat="1" ht="12.75" customHeight="1" x14ac:dyDescent="0.2">
      <c r="A430" s="247" t="s">
        <v>1260</v>
      </c>
      <c r="B430" s="316">
        <v>3004</v>
      </c>
      <c r="C430" s="247" t="s">
        <v>979</v>
      </c>
      <c r="D430" s="317">
        <v>42648</v>
      </c>
      <c r="E430" s="318">
        <v>0.59582175925925929</v>
      </c>
      <c r="F430" s="247" t="s">
        <v>702</v>
      </c>
      <c r="G430" s="247" t="s">
        <v>1035</v>
      </c>
      <c r="H430" s="248" t="s">
        <v>234</v>
      </c>
      <c r="I430" s="248" t="s">
        <v>702</v>
      </c>
      <c r="J430" s="247" t="s">
        <v>809</v>
      </c>
      <c r="K430" s="249">
        <v>0</v>
      </c>
      <c r="M430" s="90">
        <v>0</v>
      </c>
      <c r="N430" s="90">
        <v>0</v>
      </c>
      <c r="O430" s="90">
        <v>255</v>
      </c>
    </row>
    <row r="431" spans="1:15" s="90" customFormat="1" ht="12.75" customHeight="1" x14ac:dyDescent="0.2">
      <c r="A431" s="247" t="s">
        <v>1031</v>
      </c>
      <c r="B431" s="316">
        <v>3046</v>
      </c>
      <c r="C431" s="247" t="s">
        <v>975</v>
      </c>
      <c r="D431" s="317">
        <v>42648</v>
      </c>
      <c r="E431" s="318">
        <v>0.59634259259259259</v>
      </c>
      <c r="F431" s="247" t="s">
        <v>976</v>
      </c>
      <c r="G431" s="247" t="s">
        <v>1035</v>
      </c>
      <c r="H431" s="248" t="s">
        <v>404</v>
      </c>
      <c r="I431" s="248" t="s">
        <v>404</v>
      </c>
      <c r="J431" s="247" t="s">
        <v>809</v>
      </c>
      <c r="K431" s="249">
        <v>0</v>
      </c>
      <c r="M431" s="90">
        <v>0</v>
      </c>
      <c r="N431" s="90">
        <v>0</v>
      </c>
      <c r="O431" s="90">
        <v>255</v>
      </c>
    </row>
    <row r="432" spans="1:15" s="90" customFormat="1" ht="12.75" customHeight="1" x14ac:dyDescent="0.2">
      <c r="A432" s="247" t="s">
        <v>1107</v>
      </c>
      <c r="B432" s="316">
        <v>3001</v>
      </c>
      <c r="C432" s="247" t="s">
        <v>996</v>
      </c>
      <c r="D432" s="317">
        <v>42648</v>
      </c>
      <c r="E432" s="318">
        <v>0.60424768518518512</v>
      </c>
      <c r="F432" s="247" t="s">
        <v>702</v>
      </c>
      <c r="G432" s="247" t="s">
        <v>1035</v>
      </c>
      <c r="H432" s="248" t="s">
        <v>121</v>
      </c>
      <c r="I432" s="248" t="s">
        <v>122</v>
      </c>
      <c r="J432" s="247" t="s">
        <v>809</v>
      </c>
      <c r="K432" s="249">
        <v>0</v>
      </c>
      <c r="M432" s="90">
        <v>0</v>
      </c>
      <c r="N432" s="90">
        <v>0</v>
      </c>
      <c r="O432" s="90">
        <v>255</v>
      </c>
    </row>
    <row r="433" spans="1:15" s="90" customFormat="1" ht="12.75" customHeight="1" x14ac:dyDescent="0.2">
      <c r="A433" s="247" t="s">
        <v>1032</v>
      </c>
      <c r="B433" s="316">
        <v>3046</v>
      </c>
      <c r="C433" s="247" t="s">
        <v>975</v>
      </c>
      <c r="D433" s="317">
        <v>42648</v>
      </c>
      <c r="E433" s="318">
        <v>0.60601851851851851</v>
      </c>
      <c r="F433" s="247" t="s">
        <v>976</v>
      </c>
      <c r="G433" s="247" t="s">
        <v>1035</v>
      </c>
      <c r="H433" s="248" t="s">
        <v>404</v>
      </c>
      <c r="I433" s="248" t="s">
        <v>404</v>
      </c>
      <c r="J433" s="247" t="s">
        <v>809</v>
      </c>
      <c r="K433" s="249">
        <v>0</v>
      </c>
      <c r="M433" s="90">
        <v>0</v>
      </c>
      <c r="N433" s="90">
        <v>0</v>
      </c>
      <c r="O433" s="90">
        <v>255</v>
      </c>
    </row>
    <row r="434" spans="1:15" s="90" customFormat="1" ht="12.75" customHeight="1" x14ac:dyDescent="0.2">
      <c r="A434" s="247" t="s">
        <v>989</v>
      </c>
      <c r="B434" s="316">
        <v>3046</v>
      </c>
      <c r="C434" s="247" t="s">
        <v>975</v>
      </c>
      <c r="D434" s="317">
        <v>42648</v>
      </c>
      <c r="E434" s="318">
        <v>0.60601851851851851</v>
      </c>
      <c r="F434" s="247" t="s">
        <v>976</v>
      </c>
      <c r="G434" s="247" t="s">
        <v>1035</v>
      </c>
      <c r="H434" s="248" t="s">
        <v>404</v>
      </c>
      <c r="I434" s="248" t="s">
        <v>404</v>
      </c>
      <c r="J434" s="247" t="s">
        <v>809</v>
      </c>
      <c r="K434" s="249">
        <v>0</v>
      </c>
      <c r="M434" s="90">
        <v>0</v>
      </c>
      <c r="N434" s="90">
        <v>0</v>
      </c>
      <c r="O434" s="90">
        <v>255</v>
      </c>
    </row>
    <row r="435" spans="1:15" s="90" customFormat="1" ht="12.75" customHeight="1" x14ac:dyDescent="0.2">
      <c r="A435" s="247" t="s">
        <v>990</v>
      </c>
      <c r="B435" s="316">
        <v>3046</v>
      </c>
      <c r="C435" s="247" t="s">
        <v>975</v>
      </c>
      <c r="D435" s="317">
        <v>42648</v>
      </c>
      <c r="E435" s="318">
        <v>0.60625000000000007</v>
      </c>
      <c r="F435" s="247" t="s">
        <v>976</v>
      </c>
      <c r="G435" s="247" t="s">
        <v>1035</v>
      </c>
      <c r="H435" s="248" t="s">
        <v>404</v>
      </c>
      <c r="I435" s="248" t="s">
        <v>404</v>
      </c>
      <c r="J435" s="247" t="s">
        <v>809</v>
      </c>
      <c r="K435" s="249">
        <v>0</v>
      </c>
      <c r="M435" s="90">
        <v>0</v>
      </c>
      <c r="N435" s="90">
        <v>0</v>
      </c>
      <c r="O435" s="90">
        <v>255</v>
      </c>
    </row>
    <row r="436" spans="1:15" s="90" customFormat="1" ht="12.75" customHeight="1" x14ac:dyDescent="0.2">
      <c r="A436" s="247" t="s">
        <v>1033</v>
      </c>
      <c r="B436" s="316">
        <v>3217</v>
      </c>
      <c r="C436" s="247" t="s">
        <v>975</v>
      </c>
      <c r="D436" s="317">
        <v>42648</v>
      </c>
      <c r="E436" s="318">
        <v>0.60625000000000007</v>
      </c>
      <c r="F436" s="247" t="s">
        <v>235</v>
      </c>
      <c r="G436" s="247" t="s">
        <v>1035</v>
      </c>
      <c r="H436" s="248" t="s">
        <v>234</v>
      </c>
      <c r="I436" s="248" t="s">
        <v>235</v>
      </c>
      <c r="J436" s="247" t="s">
        <v>809</v>
      </c>
      <c r="K436" s="249">
        <v>0</v>
      </c>
      <c r="M436" s="90">
        <v>0</v>
      </c>
      <c r="N436" s="90">
        <v>0</v>
      </c>
      <c r="O436" s="90">
        <v>255</v>
      </c>
    </row>
    <row r="437" spans="1:15" s="90" customFormat="1" ht="12.75" customHeight="1" x14ac:dyDescent="0.2">
      <c r="A437" s="247" t="s">
        <v>1261</v>
      </c>
      <c r="B437" s="316">
        <v>3112</v>
      </c>
      <c r="C437" s="247" t="s">
        <v>975</v>
      </c>
      <c r="D437" s="317">
        <v>42648</v>
      </c>
      <c r="E437" s="318">
        <v>0.61245370370370367</v>
      </c>
      <c r="F437" s="247" t="s">
        <v>981</v>
      </c>
      <c r="G437" s="247" t="s">
        <v>1035</v>
      </c>
      <c r="H437" s="248" t="s">
        <v>234</v>
      </c>
      <c r="I437" s="248" t="s">
        <v>677</v>
      </c>
      <c r="J437" s="247" t="s">
        <v>809</v>
      </c>
      <c r="K437" s="249">
        <v>0</v>
      </c>
      <c r="M437" s="90">
        <v>0</v>
      </c>
      <c r="N437" s="90">
        <v>0</v>
      </c>
      <c r="O437" s="90">
        <v>255</v>
      </c>
    </row>
    <row r="438" spans="1:15" s="90" customFormat="1" ht="12.75" customHeight="1" x14ac:dyDescent="0.2">
      <c r="A438" s="247" t="s">
        <v>989</v>
      </c>
      <c r="B438" s="316">
        <v>3046</v>
      </c>
      <c r="C438" s="247" t="s">
        <v>975</v>
      </c>
      <c r="D438" s="317">
        <v>42648</v>
      </c>
      <c r="E438" s="318">
        <v>0.6479166666666667</v>
      </c>
      <c r="F438" s="247" t="s">
        <v>976</v>
      </c>
      <c r="G438" s="247" t="s">
        <v>1035</v>
      </c>
      <c r="H438" s="248" t="s">
        <v>404</v>
      </c>
      <c r="I438" s="248" t="s">
        <v>404</v>
      </c>
      <c r="J438" s="247" t="s">
        <v>809</v>
      </c>
      <c r="K438" s="249">
        <v>0</v>
      </c>
      <c r="M438" s="90">
        <v>0</v>
      </c>
      <c r="N438" s="90">
        <v>0</v>
      </c>
      <c r="O438" s="90">
        <v>255</v>
      </c>
    </row>
    <row r="439" spans="1:15" s="90" customFormat="1" ht="12.75" customHeight="1" x14ac:dyDescent="0.2">
      <c r="A439" s="247" t="s">
        <v>990</v>
      </c>
      <c r="B439" s="316">
        <v>3046</v>
      </c>
      <c r="C439" s="247" t="s">
        <v>975</v>
      </c>
      <c r="D439" s="317">
        <v>42648</v>
      </c>
      <c r="E439" s="318">
        <v>0.64817129629629633</v>
      </c>
      <c r="F439" s="247" t="s">
        <v>976</v>
      </c>
      <c r="G439" s="247" t="s">
        <v>1035</v>
      </c>
      <c r="H439" s="248" t="s">
        <v>404</v>
      </c>
      <c r="I439" s="248" t="s">
        <v>404</v>
      </c>
      <c r="J439" s="247" t="s">
        <v>809</v>
      </c>
      <c r="K439" s="249">
        <v>0</v>
      </c>
      <c r="M439" s="90">
        <v>0</v>
      </c>
      <c r="N439" s="90">
        <v>0</v>
      </c>
      <c r="O439" s="90">
        <v>255</v>
      </c>
    </row>
    <row r="440" spans="1:15" s="90" customFormat="1" ht="12.75" customHeight="1" x14ac:dyDescent="0.2">
      <c r="A440" s="247" t="s">
        <v>993</v>
      </c>
      <c r="B440" s="316">
        <v>3217</v>
      </c>
      <c r="C440" s="247" t="s">
        <v>975</v>
      </c>
      <c r="D440" s="317">
        <v>42648</v>
      </c>
      <c r="E440" s="318">
        <v>0.64817129629629633</v>
      </c>
      <c r="F440" s="247" t="s">
        <v>235</v>
      </c>
      <c r="G440" s="247" t="s">
        <v>1035</v>
      </c>
      <c r="H440" s="248" t="s">
        <v>234</v>
      </c>
      <c r="I440" s="248" t="s">
        <v>235</v>
      </c>
      <c r="J440" s="247" t="s">
        <v>809</v>
      </c>
      <c r="K440" s="249">
        <v>0</v>
      </c>
      <c r="M440" s="90">
        <v>0</v>
      </c>
      <c r="N440" s="90">
        <v>0</v>
      </c>
      <c r="O440" s="90">
        <v>255</v>
      </c>
    </row>
    <row r="441" spans="1:15" s="90" customFormat="1" ht="12.75" customHeight="1" x14ac:dyDescent="0.2">
      <c r="A441" s="247" t="s">
        <v>989</v>
      </c>
      <c r="B441" s="316">
        <v>3046</v>
      </c>
      <c r="C441" s="247" t="s">
        <v>975</v>
      </c>
      <c r="D441" s="317">
        <v>42648</v>
      </c>
      <c r="E441" s="318">
        <v>0.68983796296296296</v>
      </c>
      <c r="F441" s="247" t="s">
        <v>976</v>
      </c>
      <c r="G441" s="247" t="s">
        <v>1035</v>
      </c>
      <c r="H441" s="248" t="s">
        <v>404</v>
      </c>
      <c r="I441" s="248" t="s">
        <v>404</v>
      </c>
      <c r="J441" s="247" t="s">
        <v>809</v>
      </c>
      <c r="K441" s="249">
        <v>0</v>
      </c>
      <c r="M441" s="90">
        <v>0</v>
      </c>
      <c r="N441" s="90">
        <v>0</v>
      </c>
      <c r="O441" s="90">
        <v>255</v>
      </c>
    </row>
    <row r="442" spans="1:15" s="90" customFormat="1" ht="12.75" customHeight="1" x14ac:dyDescent="0.2">
      <c r="A442" s="247" t="s">
        <v>990</v>
      </c>
      <c r="B442" s="316">
        <v>3046</v>
      </c>
      <c r="C442" s="247" t="s">
        <v>975</v>
      </c>
      <c r="D442" s="317">
        <v>42648</v>
      </c>
      <c r="E442" s="318">
        <v>0.69009259259259259</v>
      </c>
      <c r="F442" s="247" t="s">
        <v>976</v>
      </c>
      <c r="G442" s="247" t="s">
        <v>1035</v>
      </c>
      <c r="H442" s="248" t="s">
        <v>404</v>
      </c>
      <c r="I442" s="248" t="s">
        <v>404</v>
      </c>
      <c r="J442" s="247" t="s">
        <v>809</v>
      </c>
      <c r="K442" s="249">
        <v>0</v>
      </c>
      <c r="M442" s="90">
        <v>0</v>
      </c>
      <c r="N442" s="90">
        <v>0</v>
      </c>
      <c r="O442" s="90">
        <v>255</v>
      </c>
    </row>
    <row r="443" spans="1:15" s="90" customFormat="1" ht="12.75" customHeight="1" x14ac:dyDescent="0.2">
      <c r="A443" s="247" t="s">
        <v>993</v>
      </c>
      <c r="B443" s="316">
        <v>3217</v>
      </c>
      <c r="C443" s="247" t="s">
        <v>975</v>
      </c>
      <c r="D443" s="317">
        <v>42648</v>
      </c>
      <c r="E443" s="318">
        <v>0.69009259259259259</v>
      </c>
      <c r="F443" s="247" t="s">
        <v>235</v>
      </c>
      <c r="G443" s="247" t="s">
        <v>1035</v>
      </c>
      <c r="H443" s="248" t="s">
        <v>234</v>
      </c>
      <c r="I443" s="248" t="s">
        <v>235</v>
      </c>
      <c r="J443" s="247" t="s">
        <v>809</v>
      </c>
      <c r="K443" s="249">
        <v>0</v>
      </c>
      <c r="M443" s="90">
        <v>0</v>
      </c>
      <c r="N443" s="90">
        <v>0</v>
      </c>
      <c r="O443" s="90">
        <v>255</v>
      </c>
    </row>
    <row r="444" spans="1:15" s="90" customFormat="1" ht="12.75" customHeight="1" x14ac:dyDescent="0.2">
      <c r="A444" s="247" t="s">
        <v>989</v>
      </c>
      <c r="B444" s="316">
        <v>3046</v>
      </c>
      <c r="C444" s="247" t="s">
        <v>975</v>
      </c>
      <c r="D444" s="317">
        <v>42648</v>
      </c>
      <c r="E444" s="318">
        <v>0.73175925925925922</v>
      </c>
      <c r="F444" s="247" t="s">
        <v>976</v>
      </c>
      <c r="G444" s="247" t="s">
        <v>1035</v>
      </c>
      <c r="H444" s="248" t="s">
        <v>404</v>
      </c>
      <c r="I444" s="248" t="s">
        <v>404</v>
      </c>
      <c r="J444" s="247" t="s">
        <v>809</v>
      </c>
      <c r="K444" s="249">
        <v>0</v>
      </c>
      <c r="M444" s="90">
        <v>0</v>
      </c>
      <c r="N444" s="90">
        <v>0</v>
      </c>
      <c r="O444" s="90">
        <v>255</v>
      </c>
    </row>
    <row r="445" spans="1:15" s="90" customFormat="1" ht="12.75" customHeight="1" x14ac:dyDescent="0.2">
      <c r="A445" s="247" t="s">
        <v>993</v>
      </c>
      <c r="B445" s="316">
        <v>3217</v>
      </c>
      <c r="C445" s="247" t="s">
        <v>975</v>
      </c>
      <c r="D445" s="317">
        <v>42648</v>
      </c>
      <c r="E445" s="318">
        <v>0.73200231481481481</v>
      </c>
      <c r="F445" s="247" t="s">
        <v>235</v>
      </c>
      <c r="G445" s="247" t="s">
        <v>1035</v>
      </c>
      <c r="H445" s="248" t="s">
        <v>234</v>
      </c>
      <c r="I445" s="248" t="s">
        <v>235</v>
      </c>
      <c r="J445" s="247" t="s">
        <v>809</v>
      </c>
      <c r="K445" s="249">
        <v>0</v>
      </c>
      <c r="M445" s="90">
        <v>0</v>
      </c>
      <c r="N445" s="90">
        <v>0</v>
      </c>
      <c r="O445" s="90">
        <v>255</v>
      </c>
    </row>
    <row r="446" spans="1:15" s="90" customFormat="1" ht="12.75" customHeight="1" x14ac:dyDescent="0.2">
      <c r="A446" s="247" t="s">
        <v>990</v>
      </c>
      <c r="B446" s="316">
        <v>3046</v>
      </c>
      <c r="C446" s="247" t="s">
        <v>975</v>
      </c>
      <c r="D446" s="317">
        <v>42648</v>
      </c>
      <c r="E446" s="318">
        <v>0.73201388888888896</v>
      </c>
      <c r="F446" s="247" t="s">
        <v>976</v>
      </c>
      <c r="G446" s="247" t="s">
        <v>1035</v>
      </c>
      <c r="H446" s="248" t="s">
        <v>404</v>
      </c>
      <c r="I446" s="248" t="s">
        <v>404</v>
      </c>
      <c r="J446" s="247" t="s">
        <v>809</v>
      </c>
      <c r="K446" s="249">
        <v>0</v>
      </c>
      <c r="M446" s="90">
        <v>0</v>
      </c>
      <c r="N446" s="90">
        <v>0</v>
      </c>
      <c r="O446" s="90">
        <v>255</v>
      </c>
    </row>
    <row r="447" spans="1:15" s="90" customFormat="1" ht="12.75" customHeight="1" x14ac:dyDescent="0.2">
      <c r="A447" s="247" t="s">
        <v>989</v>
      </c>
      <c r="B447" s="316">
        <v>3046</v>
      </c>
      <c r="C447" s="247" t="s">
        <v>975</v>
      </c>
      <c r="D447" s="317">
        <v>42648</v>
      </c>
      <c r="E447" s="318">
        <v>0.77368055555555559</v>
      </c>
      <c r="F447" s="247" t="s">
        <v>976</v>
      </c>
      <c r="G447" s="247" t="s">
        <v>1035</v>
      </c>
      <c r="H447" s="248" t="s">
        <v>404</v>
      </c>
      <c r="I447" s="248" t="s">
        <v>404</v>
      </c>
      <c r="J447" s="247" t="s">
        <v>809</v>
      </c>
      <c r="K447" s="249">
        <v>0</v>
      </c>
      <c r="M447" s="90">
        <v>0</v>
      </c>
      <c r="N447" s="90">
        <v>0</v>
      </c>
      <c r="O447" s="90">
        <v>255</v>
      </c>
    </row>
    <row r="448" spans="1:15" s="90" customFormat="1" ht="12.75" customHeight="1" x14ac:dyDescent="0.2">
      <c r="A448" s="247" t="s">
        <v>990</v>
      </c>
      <c r="B448" s="316">
        <v>3046</v>
      </c>
      <c r="C448" s="247" t="s">
        <v>975</v>
      </c>
      <c r="D448" s="317">
        <v>42648</v>
      </c>
      <c r="E448" s="318">
        <v>0.77392361111111108</v>
      </c>
      <c r="F448" s="247" t="s">
        <v>976</v>
      </c>
      <c r="G448" s="247" t="s">
        <v>1035</v>
      </c>
      <c r="H448" s="248" t="s">
        <v>404</v>
      </c>
      <c r="I448" s="248" t="s">
        <v>404</v>
      </c>
      <c r="J448" s="247" t="s">
        <v>809</v>
      </c>
      <c r="K448" s="249">
        <v>0</v>
      </c>
      <c r="M448" s="90">
        <v>0</v>
      </c>
      <c r="N448" s="90">
        <v>0</v>
      </c>
      <c r="O448" s="90">
        <v>255</v>
      </c>
    </row>
    <row r="449" spans="1:15" s="90" customFormat="1" ht="12.75" customHeight="1" x14ac:dyDescent="0.2">
      <c r="A449" s="247" t="s">
        <v>993</v>
      </c>
      <c r="B449" s="316">
        <v>3217</v>
      </c>
      <c r="C449" s="247" t="s">
        <v>975</v>
      </c>
      <c r="D449" s="317">
        <v>42648</v>
      </c>
      <c r="E449" s="318">
        <v>0.77392361111111108</v>
      </c>
      <c r="F449" s="247" t="s">
        <v>235</v>
      </c>
      <c r="G449" s="247" t="s">
        <v>1035</v>
      </c>
      <c r="H449" s="248" t="s">
        <v>234</v>
      </c>
      <c r="I449" s="248" t="s">
        <v>235</v>
      </c>
      <c r="J449" s="247" t="s">
        <v>809</v>
      </c>
      <c r="K449" s="249">
        <v>0</v>
      </c>
      <c r="M449" s="90">
        <v>0</v>
      </c>
      <c r="N449" s="90">
        <v>0</v>
      </c>
      <c r="O449" s="90">
        <v>255</v>
      </c>
    </row>
    <row r="450" spans="1:15" s="90" customFormat="1" ht="12.75" customHeight="1" x14ac:dyDescent="0.2">
      <c r="A450" s="247" t="s">
        <v>989</v>
      </c>
      <c r="B450" s="316">
        <v>3046</v>
      </c>
      <c r="C450" s="247" t="s">
        <v>975</v>
      </c>
      <c r="D450" s="317">
        <v>42648</v>
      </c>
      <c r="E450" s="318">
        <v>0.81559027777777782</v>
      </c>
      <c r="F450" s="247" t="s">
        <v>976</v>
      </c>
      <c r="G450" s="247" t="s">
        <v>1035</v>
      </c>
      <c r="H450" s="248" t="s">
        <v>404</v>
      </c>
      <c r="I450" s="248" t="s">
        <v>404</v>
      </c>
      <c r="J450" s="247" t="s">
        <v>809</v>
      </c>
      <c r="K450" s="249">
        <v>0</v>
      </c>
      <c r="M450" s="90">
        <v>0</v>
      </c>
      <c r="N450" s="90">
        <v>0</v>
      </c>
      <c r="O450" s="90">
        <v>255</v>
      </c>
    </row>
    <row r="451" spans="1:15" s="90" customFormat="1" ht="12.75" customHeight="1" x14ac:dyDescent="0.2">
      <c r="A451" s="247" t="s">
        <v>990</v>
      </c>
      <c r="B451" s="316">
        <v>3046</v>
      </c>
      <c r="C451" s="247" t="s">
        <v>975</v>
      </c>
      <c r="D451" s="317">
        <v>42648</v>
      </c>
      <c r="E451" s="318">
        <v>0.81584490740740734</v>
      </c>
      <c r="F451" s="247" t="s">
        <v>976</v>
      </c>
      <c r="G451" s="247" t="s">
        <v>1035</v>
      </c>
      <c r="H451" s="248" t="s">
        <v>404</v>
      </c>
      <c r="I451" s="248" t="s">
        <v>404</v>
      </c>
      <c r="J451" s="247" t="s">
        <v>809</v>
      </c>
      <c r="K451" s="249">
        <v>0</v>
      </c>
      <c r="M451" s="90">
        <v>0</v>
      </c>
      <c r="N451" s="90">
        <v>0</v>
      </c>
      <c r="O451" s="90">
        <v>255</v>
      </c>
    </row>
    <row r="452" spans="1:15" s="90" customFormat="1" ht="12.75" customHeight="1" x14ac:dyDescent="0.2">
      <c r="A452" s="247" t="s">
        <v>993</v>
      </c>
      <c r="B452" s="316">
        <v>3217</v>
      </c>
      <c r="C452" s="247" t="s">
        <v>975</v>
      </c>
      <c r="D452" s="317">
        <v>42648</v>
      </c>
      <c r="E452" s="318">
        <v>0.81584490740740734</v>
      </c>
      <c r="F452" s="247" t="s">
        <v>235</v>
      </c>
      <c r="G452" s="247" t="s">
        <v>1035</v>
      </c>
      <c r="H452" s="248" t="s">
        <v>234</v>
      </c>
      <c r="I452" s="248" t="s">
        <v>235</v>
      </c>
      <c r="J452" s="247" t="s">
        <v>809</v>
      </c>
      <c r="K452" s="249">
        <v>0</v>
      </c>
      <c r="M452" s="90">
        <v>0</v>
      </c>
      <c r="N452" s="90">
        <v>0</v>
      </c>
      <c r="O452" s="90">
        <v>255</v>
      </c>
    </row>
    <row r="453" spans="1:15" s="90" customFormat="1" ht="12.75" customHeight="1" x14ac:dyDescent="0.2">
      <c r="A453" s="247" t="s">
        <v>989</v>
      </c>
      <c r="B453" s="316">
        <v>3046</v>
      </c>
      <c r="C453" s="247" t="s">
        <v>975</v>
      </c>
      <c r="D453" s="317">
        <v>42648</v>
      </c>
      <c r="E453" s="318">
        <v>0.85751157407407408</v>
      </c>
      <c r="F453" s="247" t="s">
        <v>976</v>
      </c>
      <c r="G453" s="247" t="s">
        <v>1035</v>
      </c>
      <c r="H453" s="248" t="s">
        <v>404</v>
      </c>
      <c r="I453" s="248" t="s">
        <v>404</v>
      </c>
      <c r="J453" s="247" t="s">
        <v>809</v>
      </c>
      <c r="K453" s="249">
        <v>0</v>
      </c>
      <c r="M453" s="90">
        <v>0</v>
      </c>
      <c r="N453" s="90">
        <v>0</v>
      </c>
      <c r="O453" s="90">
        <v>255</v>
      </c>
    </row>
    <row r="454" spans="1:15" s="90" customFormat="1" ht="12.75" customHeight="1" x14ac:dyDescent="0.2">
      <c r="A454" s="247" t="s">
        <v>990</v>
      </c>
      <c r="B454" s="316">
        <v>3046</v>
      </c>
      <c r="C454" s="247" t="s">
        <v>975</v>
      </c>
      <c r="D454" s="317">
        <v>42648</v>
      </c>
      <c r="E454" s="318">
        <v>0.8577662037037036</v>
      </c>
      <c r="F454" s="247" t="s">
        <v>976</v>
      </c>
      <c r="G454" s="247" t="s">
        <v>1035</v>
      </c>
      <c r="H454" s="248" t="s">
        <v>404</v>
      </c>
      <c r="I454" s="248" t="s">
        <v>404</v>
      </c>
      <c r="J454" s="247" t="s">
        <v>809</v>
      </c>
      <c r="K454" s="249">
        <v>0</v>
      </c>
      <c r="M454" s="90">
        <v>0</v>
      </c>
      <c r="N454" s="90">
        <v>0</v>
      </c>
      <c r="O454" s="90">
        <v>255</v>
      </c>
    </row>
    <row r="455" spans="1:15" s="90" customFormat="1" ht="12.75" customHeight="1" x14ac:dyDescent="0.2">
      <c r="A455" s="247" t="s">
        <v>993</v>
      </c>
      <c r="B455" s="316">
        <v>3217</v>
      </c>
      <c r="C455" s="247" t="s">
        <v>975</v>
      </c>
      <c r="D455" s="317">
        <v>42648</v>
      </c>
      <c r="E455" s="318">
        <v>0.8577662037037036</v>
      </c>
      <c r="F455" s="247" t="s">
        <v>235</v>
      </c>
      <c r="G455" s="247" t="s">
        <v>1035</v>
      </c>
      <c r="H455" s="248" t="s">
        <v>234</v>
      </c>
      <c r="I455" s="248" t="s">
        <v>235</v>
      </c>
      <c r="J455" s="247" t="s">
        <v>809</v>
      </c>
      <c r="K455" s="249">
        <v>0</v>
      </c>
      <c r="M455" s="90">
        <v>0</v>
      </c>
      <c r="N455" s="90">
        <v>0</v>
      </c>
      <c r="O455" s="90">
        <v>255</v>
      </c>
    </row>
    <row r="456" spans="1:15" s="90" customFormat="1" ht="12.75" customHeight="1" x14ac:dyDescent="0.2">
      <c r="A456" s="247" t="s">
        <v>989</v>
      </c>
      <c r="B456" s="316">
        <v>3046</v>
      </c>
      <c r="C456" s="247" t="s">
        <v>975</v>
      </c>
      <c r="D456" s="317">
        <v>42648</v>
      </c>
      <c r="E456" s="318">
        <v>0.89943287037037034</v>
      </c>
      <c r="F456" s="247" t="s">
        <v>976</v>
      </c>
      <c r="G456" s="247" t="s">
        <v>1035</v>
      </c>
      <c r="H456" s="248" t="s">
        <v>404</v>
      </c>
      <c r="I456" s="248" t="s">
        <v>404</v>
      </c>
      <c r="J456" s="247" t="s">
        <v>809</v>
      </c>
      <c r="K456" s="249">
        <v>0</v>
      </c>
      <c r="M456" s="90">
        <v>0</v>
      </c>
      <c r="N456" s="90">
        <v>0</v>
      </c>
      <c r="O456" s="90">
        <v>255</v>
      </c>
    </row>
    <row r="457" spans="1:15" s="90" customFormat="1" ht="12.75" customHeight="1" x14ac:dyDescent="0.2">
      <c r="A457" s="247" t="s">
        <v>990</v>
      </c>
      <c r="B457" s="316">
        <v>3046</v>
      </c>
      <c r="C457" s="247" t="s">
        <v>975</v>
      </c>
      <c r="D457" s="317">
        <v>42648</v>
      </c>
      <c r="E457" s="318">
        <v>0.89968750000000008</v>
      </c>
      <c r="F457" s="247" t="s">
        <v>976</v>
      </c>
      <c r="G457" s="247" t="s">
        <v>1035</v>
      </c>
      <c r="H457" s="248" t="s">
        <v>404</v>
      </c>
      <c r="I457" s="248" t="s">
        <v>404</v>
      </c>
      <c r="J457" s="247" t="s">
        <v>809</v>
      </c>
      <c r="K457" s="249">
        <v>0</v>
      </c>
      <c r="M457" s="90">
        <v>0</v>
      </c>
      <c r="N457" s="90">
        <v>0</v>
      </c>
      <c r="O457" s="90">
        <v>255</v>
      </c>
    </row>
    <row r="458" spans="1:15" s="90" customFormat="1" ht="12.75" customHeight="1" x14ac:dyDescent="0.2">
      <c r="A458" s="247" t="s">
        <v>993</v>
      </c>
      <c r="B458" s="316">
        <v>3217</v>
      </c>
      <c r="C458" s="247" t="s">
        <v>975</v>
      </c>
      <c r="D458" s="317">
        <v>42648</v>
      </c>
      <c r="E458" s="318">
        <v>0.89968750000000008</v>
      </c>
      <c r="F458" s="247" t="s">
        <v>235</v>
      </c>
      <c r="G458" s="247" t="s">
        <v>1035</v>
      </c>
      <c r="H458" s="248" t="s">
        <v>234</v>
      </c>
      <c r="I458" s="248" t="s">
        <v>235</v>
      </c>
      <c r="J458" s="247" t="s">
        <v>809</v>
      </c>
      <c r="K458" s="249">
        <v>0</v>
      </c>
      <c r="M458" s="90">
        <v>0</v>
      </c>
      <c r="N458" s="90">
        <v>0</v>
      </c>
      <c r="O458" s="90">
        <v>255</v>
      </c>
    </row>
    <row r="459" spans="1:15" s="90" customFormat="1" ht="12.75" customHeight="1" x14ac:dyDescent="0.2">
      <c r="A459" s="247" t="s">
        <v>989</v>
      </c>
      <c r="B459" s="316">
        <v>3046</v>
      </c>
      <c r="C459" s="247" t="s">
        <v>975</v>
      </c>
      <c r="D459" s="317">
        <v>42648</v>
      </c>
      <c r="E459" s="318">
        <v>0.94135416666666671</v>
      </c>
      <c r="F459" s="247" t="s">
        <v>976</v>
      </c>
      <c r="G459" s="247" t="s">
        <v>1035</v>
      </c>
      <c r="H459" s="248" t="s">
        <v>404</v>
      </c>
      <c r="I459" s="248" t="s">
        <v>404</v>
      </c>
      <c r="J459" s="247" t="s">
        <v>809</v>
      </c>
      <c r="K459" s="249">
        <v>0</v>
      </c>
      <c r="M459" s="90">
        <v>0</v>
      </c>
      <c r="N459" s="90">
        <v>0</v>
      </c>
      <c r="O459" s="90">
        <v>255</v>
      </c>
    </row>
    <row r="460" spans="1:15" s="90" customFormat="1" ht="12.75" customHeight="1" x14ac:dyDescent="0.2">
      <c r="A460" s="247" t="s">
        <v>990</v>
      </c>
      <c r="B460" s="316">
        <v>3046</v>
      </c>
      <c r="C460" s="247" t="s">
        <v>975</v>
      </c>
      <c r="D460" s="317">
        <v>42648</v>
      </c>
      <c r="E460" s="318">
        <v>0.94160879629629635</v>
      </c>
      <c r="F460" s="247" t="s">
        <v>976</v>
      </c>
      <c r="G460" s="247" t="s">
        <v>1035</v>
      </c>
      <c r="H460" s="248" t="s">
        <v>404</v>
      </c>
      <c r="I460" s="248" t="s">
        <v>404</v>
      </c>
      <c r="J460" s="247" t="s">
        <v>809</v>
      </c>
      <c r="K460" s="249">
        <v>0</v>
      </c>
      <c r="M460" s="90">
        <v>0</v>
      </c>
      <c r="N460" s="90">
        <v>0</v>
      </c>
      <c r="O460" s="90">
        <v>255</v>
      </c>
    </row>
    <row r="461" spans="1:15" s="90" customFormat="1" ht="12.75" customHeight="1" x14ac:dyDescent="0.2">
      <c r="A461" s="247" t="s">
        <v>993</v>
      </c>
      <c r="B461" s="316">
        <v>3217</v>
      </c>
      <c r="C461" s="247" t="s">
        <v>975</v>
      </c>
      <c r="D461" s="317">
        <v>42648</v>
      </c>
      <c r="E461" s="318">
        <v>0.94160879629629635</v>
      </c>
      <c r="F461" s="247" t="s">
        <v>235</v>
      </c>
      <c r="G461" s="247" t="s">
        <v>1035</v>
      </c>
      <c r="H461" s="248" t="s">
        <v>234</v>
      </c>
      <c r="I461" s="248" t="s">
        <v>235</v>
      </c>
      <c r="J461" s="247" t="s">
        <v>809</v>
      </c>
      <c r="K461" s="249">
        <v>0</v>
      </c>
      <c r="M461" s="90">
        <v>0</v>
      </c>
      <c r="N461" s="90">
        <v>0</v>
      </c>
      <c r="O461" s="90">
        <v>255</v>
      </c>
    </row>
    <row r="462" spans="1:15" s="90" customFormat="1" ht="12.75" customHeight="1" x14ac:dyDescent="0.2">
      <c r="A462" s="247" t="s">
        <v>989</v>
      </c>
      <c r="B462" s="316">
        <v>3046</v>
      </c>
      <c r="C462" s="247" t="s">
        <v>975</v>
      </c>
      <c r="D462" s="317">
        <v>42648</v>
      </c>
      <c r="E462" s="318">
        <v>0.98327546296296298</v>
      </c>
      <c r="F462" s="247" t="s">
        <v>976</v>
      </c>
      <c r="G462" s="247" t="s">
        <v>1035</v>
      </c>
      <c r="H462" s="248" t="s">
        <v>404</v>
      </c>
      <c r="I462" s="248" t="s">
        <v>404</v>
      </c>
      <c r="J462" s="247" t="s">
        <v>809</v>
      </c>
      <c r="K462" s="249">
        <v>0</v>
      </c>
      <c r="M462" s="90">
        <v>0</v>
      </c>
      <c r="N462" s="90">
        <v>0</v>
      </c>
      <c r="O462" s="90">
        <v>255</v>
      </c>
    </row>
    <row r="463" spans="1:15" s="90" customFormat="1" ht="12.75" customHeight="1" x14ac:dyDescent="0.2">
      <c r="A463" s="247" t="s">
        <v>993</v>
      </c>
      <c r="B463" s="316">
        <v>3217</v>
      </c>
      <c r="C463" s="247" t="s">
        <v>975</v>
      </c>
      <c r="D463" s="317">
        <v>42648</v>
      </c>
      <c r="E463" s="318">
        <v>0.98351851851851846</v>
      </c>
      <c r="F463" s="247" t="s">
        <v>235</v>
      </c>
      <c r="G463" s="247" t="s">
        <v>1035</v>
      </c>
      <c r="H463" s="248" t="s">
        <v>234</v>
      </c>
      <c r="I463" s="248" t="s">
        <v>235</v>
      </c>
      <c r="J463" s="247" t="s">
        <v>809</v>
      </c>
      <c r="K463" s="249">
        <v>0</v>
      </c>
      <c r="M463" s="90">
        <v>0</v>
      </c>
      <c r="N463" s="90">
        <v>0</v>
      </c>
      <c r="O463" s="90">
        <v>255</v>
      </c>
    </row>
    <row r="464" spans="1:15" s="90" customFormat="1" ht="12.75" customHeight="1" x14ac:dyDescent="0.2">
      <c r="A464" s="247" t="s">
        <v>990</v>
      </c>
      <c r="B464" s="316">
        <v>3046</v>
      </c>
      <c r="C464" s="247" t="s">
        <v>975</v>
      </c>
      <c r="D464" s="317">
        <v>42648</v>
      </c>
      <c r="E464" s="318">
        <v>0.98353009259259261</v>
      </c>
      <c r="F464" s="247" t="s">
        <v>976</v>
      </c>
      <c r="G464" s="247" t="s">
        <v>1035</v>
      </c>
      <c r="H464" s="248" t="s">
        <v>404</v>
      </c>
      <c r="I464" s="248" t="s">
        <v>404</v>
      </c>
      <c r="J464" s="247" t="s">
        <v>809</v>
      </c>
      <c r="K464" s="249">
        <v>0</v>
      </c>
      <c r="M464" s="90">
        <v>0</v>
      </c>
      <c r="N464" s="90">
        <v>0</v>
      </c>
      <c r="O464" s="90">
        <v>255</v>
      </c>
    </row>
    <row r="465" spans="1:15" s="90" customFormat="1" ht="12.75" customHeight="1" x14ac:dyDescent="0.2">
      <c r="A465" s="247" t="s">
        <v>989</v>
      </c>
      <c r="B465" s="316">
        <v>3046</v>
      </c>
      <c r="C465" s="247" t="s">
        <v>975</v>
      </c>
      <c r="D465" s="317">
        <v>42649</v>
      </c>
      <c r="E465" s="318">
        <v>2.5196759259259256E-2</v>
      </c>
      <c r="F465" s="247" t="s">
        <v>976</v>
      </c>
      <c r="G465" s="247" t="s">
        <v>1035</v>
      </c>
      <c r="H465" s="248" t="s">
        <v>404</v>
      </c>
      <c r="I465" s="248" t="s">
        <v>404</v>
      </c>
      <c r="J465" s="247" t="s">
        <v>809</v>
      </c>
      <c r="K465" s="249">
        <v>0</v>
      </c>
      <c r="M465" s="90">
        <v>0</v>
      </c>
      <c r="N465" s="90">
        <v>0</v>
      </c>
      <c r="O465" s="90">
        <v>255</v>
      </c>
    </row>
    <row r="466" spans="1:15" s="90" customFormat="1" ht="12.75" customHeight="1" x14ac:dyDescent="0.2">
      <c r="A466" s="247" t="s">
        <v>993</v>
      </c>
      <c r="B466" s="316">
        <v>3217</v>
      </c>
      <c r="C466" s="247" t="s">
        <v>975</v>
      </c>
      <c r="D466" s="317">
        <v>42649</v>
      </c>
      <c r="E466" s="318">
        <v>2.5439814814814814E-2</v>
      </c>
      <c r="F466" s="247" t="s">
        <v>235</v>
      </c>
      <c r="G466" s="247" t="s">
        <v>1035</v>
      </c>
      <c r="H466" s="248" t="s">
        <v>234</v>
      </c>
      <c r="I466" s="248" t="s">
        <v>235</v>
      </c>
      <c r="J466" s="247" t="s">
        <v>809</v>
      </c>
      <c r="K466" s="249">
        <v>0</v>
      </c>
      <c r="M466" s="90">
        <v>0</v>
      </c>
      <c r="N466" s="90">
        <v>0</v>
      </c>
      <c r="O466" s="90">
        <v>255</v>
      </c>
    </row>
    <row r="467" spans="1:15" s="90" customFormat="1" ht="12.75" customHeight="1" x14ac:dyDescent="0.2">
      <c r="A467" s="247" t="s">
        <v>990</v>
      </c>
      <c r="B467" s="316">
        <v>3046</v>
      </c>
      <c r="C467" s="247" t="s">
        <v>975</v>
      </c>
      <c r="D467" s="317">
        <v>42649</v>
      </c>
      <c r="E467" s="318">
        <v>2.5451388888888888E-2</v>
      </c>
      <c r="F467" s="247" t="s">
        <v>976</v>
      </c>
      <c r="G467" s="247" t="s">
        <v>1035</v>
      </c>
      <c r="H467" s="248" t="s">
        <v>404</v>
      </c>
      <c r="I467" s="248" t="s">
        <v>404</v>
      </c>
      <c r="J467" s="247" t="s">
        <v>809</v>
      </c>
      <c r="K467" s="249">
        <v>0</v>
      </c>
      <c r="M467" s="90">
        <v>0</v>
      </c>
      <c r="N467" s="90">
        <v>0</v>
      </c>
      <c r="O467" s="90">
        <v>255</v>
      </c>
    </row>
    <row r="468" spans="1:15" s="90" customFormat="1" ht="12.75" customHeight="1" x14ac:dyDescent="0.2">
      <c r="A468" s="247" t="s">
        <v>989</v>
      </c>
      <c r="B468" s="316">
        <v>3046</v>
      </c>
      <c r="C468" s="247" t="s">
        <v>975</v>
      </c>
      <c r="D468" s="317">
        <v>42649</v>
      </c>
      <c r="E468" s="318">
        <v>6.7118055555555556E-2</v>
      </c>
      <c r="F468" s="247" t="s">
        <v>976</v>
      </c>
      <c r="G468" s="247" t="s">
        <v>1035</v>
      </c>
      <c r="H468" s="248" t="s">
        <v>404</v>
      </c>
      <c r="I468" s="248" t="s">
        <v>404</v>
      </c>
      <c r="J468" s="247" t="s">
        <v>809</v>
      </c>
      <c r="K468" s="249">
        <v>0</v>
      </c>
      <c r="M468" s="90">
        <v>0</v>
      </c>
      <c r="N468" s="90">
        <v>0</v>
      </c>
      <c r="O468" s="90">
        <v>255</v>
      </c>
    </row>
    <row r="469" spans="1:15" s="90" customFormat="1" ht="12.75" customHeight="1" x14ac:dyDescent="0.2">
      <c r="A469" s="247" t="s">
        <v>993</v>
      </c>
      <c r="B469" s="316">
        <v>3217</v>
      </c>
      <c r="C469" s="247" t="s">
        <v>975</v>
      </c>
      <c r="D469" s="317">
        <v>42649</v>
      </c>
      <c r="E469" s="318">
        <v>6.7361111111111108E-2</v>
      </c>
      <c r="F469" s="247" t="s">
        <v>235</v>
      </c>
      <c r="G469" s="247" t="s">
        <v>1035</v>
      </c>
      <c r="H469" s="248" t="s">
        <v>234</v>
      </c>
      <c r="I469" s="248" t="s">
        <v>235</v>
      </c>
      <c r="J469" s="247" t="s">
        <v>809</v>
      </c>
      <c r="K469" s="249">
        <v>0</v>
      </c>
      <c r="M469" s="90">
        <v>0</v>
      </c>
      <c r="N469" s="90">
        <v>0</v>
      </c>
      <c r="O469" s="90">
        <v>255</v>
      </c>
    </row>
    <row r="470" spans="1:15" s="90" customFormat="1" ht="12.75" customHeight="1" x14ac:dyDescent="0.2">
      <c r="A470" s="247" t="s">
        <v>990</v>
      </c>
      <c r="B470" s="316">
        <v>3046</v>
      </c>
      <c r="C470" s="247" t="s">
        <v>975</v>
      </c>
      <c r="D470" s="317">
        <v>42649</v>
      </c>
      <c r="E470" s="318">
        <v>6.7372685185185188E-2</v>
      </c>
      <c r="F470" s="247" t="s">
        <v>976</v>
      </c>
      <c r="G470" s="247" t="s">
        <v>1035</v>
      </c>
      <c r="H470" s="248" t="s">
        <v>404</v>
      </c>
      <c r="I470" s="248" t="s">
        <v>404</v>
      </c>
      <c r="J470" s="247" t="s">
        <v>809</v>
      </c>
      <c r="K470" s="249">
        <v>0</v>
      </c>
      <c r="M470" s="90">
        <v>0</v>
      </c>
      <c r="N470" s="90">
        <v>0</v>
      </c>
      <c r="O470" s="90">
        <v>255</v>
      </c>
    </row>
    <row r="471" spans="1:15" s="90" customFormat="1" ht="12.75" customHeight="1" x14ac:dyDescent="0.2">
      <c r="A471" s="247" t="s">
        <v>989</v>
      </c>
      <c r="B471" s="316">
        <v>3046</v>
      </c>
      <c r="C471" s="247" t="s">
        <v>975</v>
      </c>
      <c r="D471" s="317">
        <v>42649</v>
      </c>
      <c r="E471" s="318">
        <v>0.10903935185185186</v>
      </c>
      <c r="F471" s="247" t="s">
        <v>976</v>
      </c>
      <c r="G471" s="247" t="s">
        <v>1035</v>
      </c>
      <c r="H471" s="248" t="s">
        <v>404</v>
      </c>
      <c r="I471" s="248" t="s">
        <v>404</v>
      </c>
      <c r="J471" s="247" t="s">
        <v>809</v>
      </c>
      <c r="K471" s="249">
        <v>0</v>
      </c>
      <c r="M471" s="90">
        <v>0</v>
      </c>
      <c r="N471" s="90">
        <v>0</v>
      </c>
      <c r="O471" s="90">
        <v>255</v>
      </c>
    </row>
    <row r="472" spans="1:15" s="90" customFormat="1" ht="12.75" customHeight="1" x14ac:dyDescent="0.2">
      <c r="A472" s="247" t="s">
        <v>990</v>
      </c>
      <c r="B472" s="316">
        <v>3046</v>
      </c>
      <c r="C472" s="247" t="s">
        <v>975</v>
      </c>
      <c r="D472" s="317">
        <v>42649</v>
      </c>
      <c r="E472" s="318">
        <v>0.10928240740740741</v>
      </c>
      <c r="F472" s="247" t="s">
        <v>976</v>
      </c>
      <c r="G472" s="247" t="s">
        <v>1035</v>
      </c>
      <c r="H472" s="248" t="s">
        <v>404</v>
      </c>
      <c r="I472" s="248" t="s">
        <v>404</v>
      </c>
      <c r="J472" s="247" t="s">
        <v>809</v>
      </c>
      <c r="K472" s="249">
        <v>0</v>
      </c>
      <c r="M472" s="90">
        <v>0</v>
      </c>
      <c r="N472" s="90">
        <v>0</v>
      </c>
      <c r="O472" s="90">
        <v>255</v>
      </c>
    </row>
    <row r="473" spans="1:15" s="90" customFormat="1" ht="12.75" customHeight="1" x14ac:dyDescent="0.2">
      <c r="A473" s="247" t="s">
        <v>993</v>
      </c>
      <c r="B473" s="316">
        <v>3217</v>
      </c>
      <c r="C473" s="247" t="s">
        <v>975</v>
      </c>
      <c r="D473" s="317">
        <v>42649</v>
      </c>
      <c r="E473" s="318">
        <v>0.10928240740740741</v>
      </c>
      <c r="F473" s="247" t="s">
        <v>235</v>
      </c>
      <c r="G473" s="247" t="s">
        <v>1035</v>
      </c>
      <c r="H473" s="248" t="s">
        <v>234</v>
      </c>
      <c r="I473" s="248" t="s">
        <v>235</v>
      </c>
      <c r="J473" s="247" t="s">
        <v>809</v>
      </c>
      <c r="K473" s="249">
        <v>0</v>
      </c>
      <c r="M473" s="90">
        <v>0</v>
      </c>
      <c r="N473" s="90">
        <v>0</v>
      </c>
      <c r="O473" s="90">
        <v>255</v>
      </c>
    </row>
    <row r="474" spans="1:15" s="90" customFormat="1" ht="12.75" customHeight="1" x14ac:dyDescent="0.2">
      <c r="A474" s="247" t="s">
        <v>989</v>
      </c>
      <c r="B474" s="316">
        <v>3046</v>
      </c>
      <c r="C474" s="247" t="s">
        <v>975</v>
      </c>
      <c r="D474" s="317">
        <v>42649</v>
      </c>
      <c r="E474" s="318">
        <v>0.15096064814814816</v>
      </c>
      <c r="F474" s="247" t="s">
        <v>976</v>
      </c>
      <c r="G474" s="247" t="s">
        <v>1035</v>
      </c>
      <c r="H474" s="248" t="s">
        <v>404</v>
      </c>
      <c r="I474" s="248" t="s">
        <v>404</v>
      </c>
      <c r="J474" s="247" t="s">
        <v>809</v>
      </c>
      <c r="K474" s="249">
        <v>0</v>
      </c>
      <c r="M474" s="90">
        <v>0</v>
      </c>
      <c r="N474" s="90">
        <v>0</v>
      </c>
      <c r="O474" s="90">
        <v>255</v>
      </c>
    </row>
    <row r="475" spans="1:15" s="90" customFormat="1" ht="12.75" customHeight="1" x14ac:dyDescent="0.2">
      <c r="A475" s="247" t="s">
        <v>990</v>
      </c>
      <c r="B475" s="316">
        <v>3046</v>
      </c>
      <c r="C475" s="247" t="s">
        <v>975</v>
      </c>
      <c r="D475" s="317">
        <v>42649</v>
      </c>
      <c r="E475" s="318">
        <v>0.1512037037037037</v>
      </c>
      <c r="F475" s="247" t="s">
        <v>976</v>
      </c>
      <c r="G475" s="247" t="s">
        <v>1035</v>
      </c>
      <c r="H475" s="248" t="s">
        <v>404</v>
      </c>
      <c r="I475" s="248" t="s">
        <v>404</v>
      </c>
      <c r="J475" s="247" t="s">
        <v>809</v>
      </c>
      <c r="K475" s="249">
        <v>0</v>
      </c>
      <c r="M475" s="90">
        <v>0</v>
      </c>
      <c r="N475" s="90">
        <v>0</v>
      </c>
      <c r="O475" s="90">
        <v>255</v>
      </c>
    </row>
    <row r="476" spans="1:15" s="90" customFormat="1" ht="12.75" customHeight="1" x14ac:dyDescent="0.2">
      <c r="A476" s="247" t="s">
        <v>993</v>
      </c>
      <c r="B476" s="316">
        <v>3217</v>
      </c>
      <c r="C476" s="247" t="s">
        <v>975</v>
      </c>
      <c r="D476" s="317">
        <v>42649</v>
      </c>
      <c r="E476" s="318">
        <v>0.1512037037037037</v>
      </c>
      <c r="F476" s="247" t="s">
        <v>235</v>
      </c>
      <c r="G476" s="247" t="s">
        <v>1035</v>
      </c>
      <c r="H476" s="248" t="s">
        <v>234</v>
      </c>
      <c r="I476" s="248" t="s">
        <v>235</v>
      </c>
      <c r="J476" s="247" t="s">
        <v>809</v>
      </c>
      <c r="K476" s="249">
        <v>0</v>
      </c>
      <c r="M476" s="90">
        <v>0</v>
      </c>
      <c r="N476" s="90">
        <v>0</v>
      </c>
      <c r="O476" s="90">
        <v>255</v>
      </c>
    </row>
    <row r="477" spans="1:15" s="90" customFormat="1" ht="12.75" customHeight="1" x14ac:dyDescent="0.2">
      <c r="A477" s="247" t="s">
        <v>989</v>
      </c>
      <c r="B477" s="316">
        <v>3046</v>
      </c>
      <c r="C477" s="247" t="s">
        <v>975</v>
      </c>
      <c r="D477" s="317">
        <v>42649</v>
      </c>
      <c r="E477" s="318">
        <v>0.19288194444444443</v>
      </c>
      <c r="F477" s="247" t="s">
        <v>976</v>
      </c>
      <c r="G477" s="247" t="s">
        <v>1035</v>
      </c>
      <c r="H477" s="248" t="s">
        <v>404</v>
      </c>
      <c r="I477" s="248" t="s">
        <v>404</v>
      </c>
      <c r="J477" s="247" t="s">
        <v>809</v>
      </c>
      <c r="K477" s="249">
        <v>0</v>
      </c>
      <c r="M477" s="90">
        <v>0</v>
      </c>
      <c r="N477" s="90">
        <v>0</v>
      </c>
      <c r="O477" s="90">
        <v>255</v>
      </c>
    </row>
    <row r="478" spans="1:15" s="90" customFormat="1" ht="12.75" customHeight="1" x14ac:dyDescent="0.2">
      <c r="A478" s="247" t="s">
        <v>990</v>
      </c>
      <c r="B478" s="316">
        <v>3046</v>
      </c>
      <c r="C478" s="247" t="s">
        <v>975</v>
      </c>
      <c r="D478" s="317">
        <v>42649</v>
      </c>
      <c r="E478" s="318">
        <v>0.19312499999999999</v>
      </c>
      <c r="F478" s="247" t="s">
        <v>976</v>
      </c>
      <c r="G478" s="247" t="s">
        <v>1035</v>
      </c>
      <c r="H478" s="248" t="s">
        <v>404</v>
      </c>
      <c r="I478" s="248" t="s">
        <v>404</v>
      </c>
      <c r="J478" s="247" t="s">
        <v>809</v>
      </c>
      <c r="K478" s="249">
        <v>0</v>
      </c>
      <c r="M478" s="90">
        <v>0</v>
      </c>
      <c r="N478" s="90">
        <v>0</v>
      </c>
      <c r="O478" s="90">
        <v>255</v>
      </c>
    </row>
    <row r="479" spans="1:15" s="90" customFormat="1" ht="12.75" customHeight="1" x14ac:dyDescent="0.2">
      <c r="A479" s="247" t="s">
        <v>993</v>
      </c>
      <c r="B479" s="316">
        <v>3217</v>
      </c>
      <c r="C479" s="247" t="s">
        <v>975</v>
      </c>
      <c r="D479" s="317">
        <v>42649</v>
      </c>
      <c r="E479" s="318">
        <v>0.19312499999999999</v>
      </c>
      <c r="F479" s="247" t="s">
        <v>235</v>
      </c>
      <c r="G479" s="247" t="s">
        <v>1035</v>
      </c>
      <c r="H479" s="248" t="s">
        <v>234</v>
      </c>
      <c r="I479" s="248" t="s">
        <v>235</v>
      </c>
      <c r="J479" s="247" t="s">
        <v>809</v>
      </c>
      <c r="K479" s="249">
        <v>0</v>
      </c>
      <c r="M479" s="90">
        <v>0</v>
      </c>
      <c r="N479" s="90">
        <v>0</v>
      </c>
      <c r="O479" s="90">
        <v>255</v>
      </c>
    </row>
    <row r="480" spans="1:15" s="90" customFormat="1" ht="12.75" customHeight="1" x14ac:dyDescent="0.2">
      <c r="A480" s="247" t="s">
        <v>989</v>
      </c>
      <c r="B480" s="316">
        <v>3046</v>
      </c>
      <c r="C480" s="247" t="s">
        <v>975</v>
      </c>
      <c r="D480" s="317">
        <v>42649</v>
      </c>
      <c r="E480" s="318">
        <v>0.23479166666666665</v>
      </c>
      <c r="F480" s="247" t="s">
        <v>976</v>
      </c>
      <c r="G480" s="247" t="s">
        <v>1035</v>
      </c>
      <c r="H480" s="248" t="s">
        <v>404</v>
      </c>
      <c r="I480" s="248" t="s">
        <v>404</v>
      </c>
      <c r="J480" s="247" t="s">
        <v>809</v>
      </c>
      <c r="K480" s="249">
        <v>0</v>
      </c>
      <c r="M480" s="90">
        <v>0</v>
      </c>
      <c r="N480" s="90">
        <v>0</v>
      </c>
      <c r="O480" s="90">
        <v>255</v>
      </c>
    </row>
    <row r="481" spans="1:15" s="90" customFormat="1" ht="12.75" customHeight="1" x14ac:dyDescent="0.2">
      <c r="A481" s="247" t="s">
        <v>990</v>
      </c>
      <c r="B481" s="316">
        <v>3046</v>
      </c>
      <c r="C481" s="247" t="s">
        <v>975</v>
      </c>
      <c r="D481" s="317">
        <v>42649</v>
      </c>
      <c r="E481" s="318">
        <v>0.23504629629629628</v>
      </c>
      <c r="F481" s="247" t="s">
        <v>976</v>
      </c>
      <c r="G481" s="247" t="s">
        <v>1035</v>
      </c>
      <c r="H481" s="248" t="s">
        <v>404</v>
      </c>
      <c r="I481" s="248" t="s">
        <v>404</v>
      </c>
      <c r="J481" s="247" t="s">
        <v>809</v>
      </c>
      <c r="K481" s="249">
        <v>0</v>
      </c>
      <c r="M481" s="90">
        <v>0</v>
      </c>
      <c r="N481" s="90">
        <v>0</v>
      </c>
      <c r="O481" s="90">
        <v>255</v>
      </c>
    </row>
    <row r="482" spans="1:15" s="90" customFormat="1" ht="12.75" customHeight="1" x14ac:dyDescent="0.2">
      <c r="A482" s="247" t="s">
        <v>993</v>
      </c>
      <c r="B482" s="316">
        <v>3217</v>
      </c>
      <c r="C482" s="247" t="s">
        <v>975</v>
      </c>
      <c r="D482" s="317">
        <v>42649</v>
      </c>
      <c r="E482" s="318">
        <v>0.23504629629629628</v>
      </c>
      <c r="F482" s="247" t="s">
        <v>235</v>
      </c>
      <c r="G482" s="247" t="s">
        <v>1035</v>
      </c>
      <c r="H482" s="248" t="s">
        <v>234</v>
      </c>
      <c r="I482" s="248" t="s">
        <v>235</v>
      </c>
      <c r="J482" s="247" t="s">
        <v>809</v>
      </c>
      <c r="K482" s="249">
        <v>0</v>
      </c>
      <c r="M482" s="90">
        <v>0</v>
      </c>
      <c r="N482" s="90">
        <v>0</v>
      </c>
      <c r="O482" s="90">
        <v>255</v>
      </c>
    </row>
    <row r="483" spans="1:15" s="90" customFormat="1" ht="12.75" customHeight="1" x14ac:dyDescent="0.2">
      <c r="A483" s="247" t="s">
        <v>989</v>
      </c>
      <c r="B483" s="316">
        <v>3046</v>
      </c>
      <c r="C483" s="247" t="s">
        <v>975</v>
      </c>
      <c r="D483" s="317">
        <v>42649</v>
      </c>
      <c r="E483" s="318">
        <v>0.27671296296296294</v>
      </c>
      <c r="F483" s="247" t="s">
        <v>976</v>
      </c>
      <c r="G483" s="247" t="s">
        <v>1035</v>
      </c>
      <c r="H483" s="248" t="s">
        <v>404</v>
      </c>
      <c r="I483" s="248" t="s">
        <v>404</v>
      </c>
      <c r="J483" s="247" t="s">
        <v>809</v>
      </c>
      <c r="K483" s="249">
        <v>0</v>
      </c>
      <c r="M483" s="90">
        <v>0</v>
      </c>
      <c r="N483" s="90">
        <v>0</v>
      </c>
      <c r="O483" s="90">
        <v>255</v>
      </c>
    </row>
    <row r="484" spans="1:15" s="90" customFormat="1" ht="12.75" customHeight="1" x14ac:dyDescent="0.2">
      <c r="A484" s="247" t="s">
        <v>990</v>
      </c>
      <c r="B484" s="316">
        <v>3046</v>
      </c>
      <c r="C484" s="247" t="s">
        <v>975</v>
      </c>
      <c r="D484" s="317">
        <v>42649</v>
      </c>
      <c r="E484" s="318">
        <v>0.27696759259259257</v>
      </c>
      <c r="F484" s="247" t="s">
        <v>976</v>
      </c>
      <c r="G484" s="247" t="s">
        <v>1035</v>
      </c>
      <c r="H484" s="248" t="s">
        <v>404</v>
      </c>
      <c r="I484" s="248" t="s">
        <v>404</v>
      </c>
      <c r="J484" s="247" t="s">
        <v>809</v>
      </c>
      <c r="K484" s="249">
        <v>0</v>
      </c>
      <c r="M484" s="90">
        <v>0</v>
      </c>
      <c r="N484" s="90">
        <v>0</v>
      </c>
      <c r="O484" s="90">
        <v>255</v>
      </c>
    </row>
    <row r="485" spans="1:15" s="90" customFormat="1" ht="12.75" customHeight="1" x14ac:dyDescent="0.2">
      <c r="A485" s="247" t="s">
        <v>993</v>
      </c>
      <c r="B485" s="316">
        <v>3217</v>
      </c>
      <c r="C485" s="247" t="s">
        <v>975</v>
      </c>
      <c r="D485" s="317">
        <v>42649</v>
      </c>
      <c r="E485" s="318">
        <v>0.27696759259259257</v>
      </c>
      <c r="F485" s="247" t="s">
        <v>235</v>
      </c>
      <c r="G485" s="247" t="s">
        <v>1035</v>
      </c>
      <c r="H485" s="248" t="s">
        <v>234</v>
      </c>
      <c r="I485" s="248" t="s">
        <v>235</v>
      </c>
      <c r="J485" s="247" t="s">
        <v>809</v>
      </c>
      <c r="K485" s="249">
        <v>0</v>
      </c>
      <c r="M485" s="90">
        <v>0</v>
      </c>
      <c r="N485" s="90">
        <v>0</v>
      </c>
      <c r="O485" s="90">
        <v>255</v>
      </c>
    </row>
    <row r="486" spans="1:15" s="90" customFormat="1" ht="12.75" customHeight="1" x14ac:dyDescent="0.2">
      <c r="A486" s="247" t="s">
        <v>989</v>
      </c>
      <c r="B486" s="316">
        <v>3046</v>
      </c>
      <c r="C486" s="247" t="s">
        <v>975</v>
      </c>
      <c r="D486" s="317">
        <v>42649</v>
      </c>
      <c r="E486" s="318">
        <v>0.30589120370370371</v>
      </c>
      <c r="F486" s="247" t="s">
        <v>976</v>
      </c>
      <c r="G486" s="247" t="s">
        <v>1035</v>
      </c>
      <c r="H486" s="248" t="s">
        <v>404</v>
      </c>
      <c r="I486" s="248" t="s">
        <v>404</v>
      </c>
      <c r="J486" s="247" t="s">
        <v>809</v>
      </c>
      <c r="K486" s="249">
        <v>0</v>
      </c>
      <c r="M486" s="90">
        <v>0</v>
      </c>
      <c r="N486" s="90">
        <v>0</v>
      </c>
      <c r="O486" s="90">
        <v>255</v>
      </c>
    </row>
    <row r="487" spans="1:15" s="90" customFormat="1" ht="12.75" customHeight="1" x14ac:dyDescent="0.2">
      <c r="A487" s="247" t="s">
        <v>990</v>
      </c>
      <c r="B487" s="316">
        <v>3046</v>
      </c>
      <c r="C487" s="247" t="s">
        <v>975</v>
      </c>
      <c r="D487" s="317">
        <v>42649</v>
      </c>
      <c r="E487" s="318">
        <v>0.30831018518518521</v>
      </c>
      <c r="F487" s="247" t="s">
        <v>976</v>
      </c>
      <c r="G487" s="247" t="s">
        <v>1035</v>
      </c>
      <c r="H487" s="248" t="s">
        <v>404</v>
      </c>
      <c r="I487" s="248" t="s">
        <v>404</v>
      </c>
      <c r="J487" s="247" t="s">
        <v>809</v>
      </c>
      <c r="K487" s="249">
        <v>0</v>
      </c>
      <c r="M487" s="90">
        <v>0</v>
      </c>
      <c r="N487" s="90">
        <v>0</v>
      </c>
      <c r="O487" s="90">
        <v>255</v>
      </c>
    </row>
    <row r="488" spans="1:15" s="90" customFormat="1" ht="12.75" customHeight="1" x14ac:dyDescent="0.2">
      <c r="A488" s="247" t="s">
        <v>1027</v>
      </c>
      <c r="B488" s="316">
        <v>3051</v>
      </c>
      <c r="C488" s="247" t="s">
        <v>975</v>
      </c>
      <c r="D488" s="317">
        <v>42649</v>
      </c>
      <c r="E488" s="318">
        <v>0.30831018518518521</v>
      </c>
      <c r="F488" s="247" t="s">
        <v>235</v>
      </c>
      <c r="G488" s="247" t="s">
        <v>1035</v>
      </c>
      <c r="H488" s="248" t="s">
        <v>234</v>
      </c>
      <c r="I488" s="248" t="s">
        <v>235</v>
      </c>
      <c r="J488" s="247" t="s">
        <v>809</v>
      </c>
      <c r="K488" s="249">
        <v>0</v>
      </c>
      <c r="M488" s="90">
        <v>0</v>
      </c>
      <c r="N488" s="90">
        <v>0</v>
      </c>
      <c r="O488" s="90">
        <v>255</v>
      </c>
    </row>
    <row r="489" spans="1:15" s="90" customFormat="1" ht="12.75" customHeight="1" x14ac:dyDescent="0.2">
      <c r="A489" s="247" t="s">
        <v>1028</v>
      </c>
      <c r="B489" s="316">
        <v>3051</v>
      </c>
      <c r="C489" s="247" t="s">
        <v>975</v>
      </c>
      <c r="D489" s="317">
        <v>42649</v>
      </c>
      <c r="E489" s="318">
        <v>0.30831018518518521</v>
      </c>
      <c r="F489" s="247" t="s">
        <v>235</v>
      </c>
      <c r="G489" s="247" t="s">
        <v>1035</v>
      </c>
      <c r="H489" s="248" t="s">
        <v>234</v>
      </c>
      <c r="I489" s="248" t="s">
        <v>235</v>
      </c>
      <c r="J489" s="247" t="s">
        <v>809</v>
      </c>
      <c r="K489" s="249">
        <v>0</v>
      </c>
      <c r="M489" s="90">
        <v>0</v>
      </c>
      <c r="N489" s="90">
        <v>0</v>
      </c>
      <c r="O489" s="90">
        <v>255</v>
      </c>
    </row>
    <row r="490" spans="1:15" s="90" customFormat="1" ht="12.75" customHeight="1" x14ac:dyDescent="0.2">
      <c r="A490" s="247" t="s">
        <v>1026</v>
      </c>
      <c r="B490" s="316">
        <v>3216</v>
      </c>
      <c r="C490" s="247" t="s">
        <v>975</v>
      </c>
      <c r="D490" s="317">
        <v>42649</v>
      </c>
      <c r="E490" s="318">
        <v>0.30831018518518521</v>
      </c>
      <c r="F490" s="247" t="s">
        <v>235</v>
      </c>
      <c r="G490" s="247" t="s">
        <v>1035</v>
      </c>
      <c r="H490" s="248" t="s">
        <v>234</v>
      </c>
      <c r="I490" s="248" t="s">
        <v>235</v>
      </c>
      <c r="J490" s="247" t="s">
        <v>809</v>
      </c>
      <c r="K490" s="249">
        <v>0</v>
      </c>
      <c r="M490" s="90">
        <v>0</v>
      </c>
      <c r="N490" s="90">
        <v>0</v>
      </c>
      <c r="O490" s="90">
        <v>255</v>
      </c>
    </row>
    <row r="491" spans="1:15" s="90" customFormat="1" ht="12.75" customHeight="1" x14ac:dyDescent="0.2">
      <c r="A491" s="247" t="s">
        <v>989</v>
      </c>
      <c r="B491" s="316">
        <v>3046</v>
      </c>
      <c r="C491" s="247" t="s">
        <v>975</v>
      </c>
      <c r="D491" s="317">
        <v>42649</v>
      </c>
      <c r="E491" s="318">
        <v>0.30987268518518518</v>
      </c>
      <c r="F491" s="247" t="s">
        <v>976</v>
      </c>
      <c r="G491" s="247" t="s">
        <v>1035</v>
      </c>
      <c r="H491" s="248" t="s">
        <v>404</v>
      </c>
      <c r="I491" s="248" t="s">
        <v>404</v>
      </c>
      <c r="J491" s="247" t="s">
        <v>809</v>
      </c>
      <c r="K491" s="249">
        <v>0</v>
      </c>
      <c r="M491" s="90">
        <v>0</v>
      </c>
      <c r="N491" s="90">
        <v>0</v>
      </c>
      <c r="O491" s="90">
        <v>255</v>
      </c>
    </row>
    <row r="492" spans="1:15" s="90" customFormat="1" ht="12.75" customHeight="1" x14ac:dyDescent="0.2">
      <c r="A492" s="247" t="s">
        <v>1029</v>
      </c>
      <c r="B492" s="316">
        <v>3046</v>
      </c>
      <c r="C492" s="247" t="s">
        <v>975</v>
      </c>
      <c r="D492" s="317">
        <v>42649</v>
      </c>
      <c r="E492" s="318">
        <v>0.3102199074074074</v>
      </c>
      <c r="F492" s="247" t="s">
        <v>976</v>
      </c>
      <c r="G492" s="247" t="s">
        <v>1035</v>
      </c>
      <c r="H492" s="248" t="s">
        <v>404</v>
      </c>
      <c r="I492" s="248" t="s">
        <v>404</v>
      </c>
      <c r="J492" s="247" t="s">
        <v>809</v>
      </c>
      <c r="K492" s="249">
        <v>0</v>
      </c>
      <c r="M492" s="90">
        <v>0</v>
      </c>
      <c r="N492" s="90">
        <v>0</v>
      </c>
      <c r="O492" s="90">
        <v>255</v>
      </c>
    </row>
    <row r="493" spans="1:15" s="90" customFormat="1" ht="12.75" customHeight="1" x14ac:dyDescent="0.2">
      <c r="A493" s="247" t="s">
        <v>977</v>
      </c>
      <c r="B493" s="316">
        <v>3046</v>
      </c>
      <c r="C493" s="247" t="s">
        <v>975</v>
      </c>
      <c r="D493" s="317">
        <v>42649</v>
      </c>
      <c r="E493" s="318">
        <v>0.3102199074074074</v>
      </c>
      <c r="F493" s="247" t="s">
        <v>976</v>
      </c>
      <c r="G493" s="247" t="s">
        <v>1035</v>
      </c>
      <c r="H493" s="248" t="s">
        <v>404</v>
      </c>
      <c r="I493" s="248" t="s">
        <v>404</v>
      </c>
      <c r="J493" s="247" t="s">
        <v>809</v>
      </c>
      <c r="K493" s="249">
        <v>0</v>
      </c>
      <c r="M493" s="90">
        <v>0</v>
      </c>
      <c r="N493" s="90">
        <v>0</v>
      </c>
      <c r="O493" s="90">
        <v>255</v>
      </c>
    </row>
    <row r="494" spans="1:15" s="90" customFormat="1" ht="12.75" customHeight="1" x14ac:dyDescent="0.2">
      <c r="A494" s="247" t="s">
        <v>1143</v>
      </c>
      <c r="B494" s="316">
        <v>3051</v>
      </c>
      <c r="C494" s="247" t="s">
        <v>975</v>
      </c>
      <c r="D494" s="317">
        <v>42649</v>
      </c>
      <c r="E494" s="318">
        <v>0.3102314814814815</v>
      </c>
      <c r="F494" s="247" t="s">
        <v>235</v>
      </c>
      <c r="G494" s="247" t="s">
        <v>1035</v>
      </c>
      <c r="H494" s="248" t="s">
        <v>234</v>
      </c>
      <c r="I494" s="248" t="s">
        <v>235</v>
      </c>
      <c r="J494" s="247" t="s">
        <v>809</v>
      </c>
      <c r="K494" s="249">
        <v>0</v>
      </c>
      <c r="M494" s="90">
        <v>0</v>
      </c>
      <c r="N494" s="90">
        <v>0</v>
      </c>
      <c r="O494" s="90">
        <v>255</v>
      </c>
    </row>
    <row r="495" spans="1:15" s="90" customFormat="1" ht="12.75" customHeight="1" x14ac:dyDescent="0.2">
      <c r="A495" s="247" t="s">
        <v>1030</v>
      </c>
      <c r="B495" s="316">
        <v>3051</v>
      </c>
      <c r="C495" s="247" t="s">
        <v>975</v>
      </c>
      <c r="D495" s="317">
        <v>42649</v>
      </c>
      <c r="E495" s="318">
        <v>0.3102314814814815</v>
      </c>
      <c r="F495" s="247" t="s">
        <v>235</v>
      </c>
      <c r="G495" s="247" t="s">
        <v>1035</v>
      </c>
      <c r="H495" s="248" t="s">
        <v>234</v>
      </c>
      <c r="I495" s="248" t="s">
        <v>235</v>
      </c>
      <c r="J495" s="247" t="s">
        <v>809</v>
      </c>
      <c r="K495" s="249">
        <v>0</v>
      </c>
      <c r="M495" s="90">
        <v>0</v>
      </c>
      <c r="N495" s="90">
        <v>0</v>
      </c>
      <c r="O495" s="90">
        <v>255</v>
      </c>
    </row>
    <row r="496" spans="1:15" s="90" customFormat="1" ht="12.75" customHeight="1" x14ac:dyDescent="0.2">
      <c r="A496" s="247" t="s">
        <v>1036</v>
      </c>
      <c r="B496" s="316">
        <v>3051</v>
      </c>
      <c r="C496" s="247" t="s">
        <v>975</v>
      </c>
      <c r="D496" s="317">
        <v>42649</v>
      </c>
      <c r="E496" s="318">
        <v>0.3102314814814815</v>
      </c>
      <c r="F496" s="247" t="s">
        <v>235</v>
      </c>
      <c r="G496" s="247" t="s">
        <v>1035</v>
      </c>
      <c r="H496" s="248" t="s">
        <v>234</v>
      </c>
      <c r="I496" s="248" t="s">
        <v>235</v>
      </c>
      <c r="J496" s="247" t="s">
        <v>809</v>
      </c>
      <c r="K496" s="249">
        <v>0</v>
      </c>
      <c r="M496" s="90">
        <v>0</v>
      </c>
      <c r="N496" s="90">
        <v>0</v>
      </c>
      <c r="O496" s="90">
        <v>255</v>
      </c>
    </row>
    <row r="497" spans="1:15" s="90" customFormat="1" ht="12.75" customHeight="1" x14ac:dyDescent="0.2">
      <c r="A497" s="247" t="s">
        <v>1104</v>
      </c>
      <c r="B497" s="316">
        <v>3052</v>
      </c>
      <c r="C497" s="247" t="s">
        <v>975</v>
      </c>
      <c r="D497" s="317">
        <v>42649</v>
      </c>
      <c r="E497" s="318">
        <v>0.3102314814814815</v>
      </c>
      <c r="F497" s="247" t="s">
        <v>235</v>
      </c>
      <c r="G497" s="247" t="s">
        <v>1035</v>
      </c>
      <c r="H497" s="248" t="s">
        <v>234</v>
      </c>
      <c r="I497" s="248" t="s">
        <v>235</v>
      </c>
      <c r="J497" s="247" t="s">
        <v>809</v>
      </c>
      <c r="K497" s="249">
        <v>0</v>
      </c>
      <c r="M497" s="90">
        <v>0</v>
      </c>
      <c r="N497" s="90">
        <v>0</v>
      </c>
      <c r="O497" s="90">
        <v>255</v>
      </c>
    </row>
    <row r="498" spans="1:15" s="90" customFormat="1" ht="12.75" customHeight="1" x14ac:dyDescent="0.2">
      <c r="A498" s="247" t="s">
        <v>983</v>
      </c>
      <c r="B498" s="316">
        <v>3046</v>
      </c>
      <c r="C498" s="247" t="s">
        <v>975</v>
      </c>
      <c r="D498" s="317">
        <v>42649</v>
      </c>
      <c r="E498" s="318">
        <v>0.31069444444444444</v>
      </c>
      <c r="F498" s="247" t="s">
        <v>976</v>
      </c>
      <c r="G498" s="247" t="s">
        <v>1035</v>
      </c>
      <c r="H498" s="248" t="s">
        <v>404</v>
      </c>
      <c r="I498" s="248" t="s">
        <v>404</v>
      </c>
      <c r="J498" s="247" t="s">
        <v>809</v>
      </c>
      <c r="K498" s="249">
        <v>0</v>
      </c>
      <c r="M498" s="90">
        <v>0</v>
      </c>
      <c r="N498" s="90">
        <v>0</v>
      </c>
      <c r="O498" s="90">
        <v>255</v>
      </c>
    </row>
    <row r="499" spans="1:15" s="90" customFormat="1" ht="12.75" customHeight="1" x14ac:dyDescent="0.2">
      <c r="A499" s="247" t="s">
        <v>991</v>
      </c>
      <c r="B499" s="316">
        <v>3046</v>
      </c>
      <c r="C499" s="247" t="s">
        <v>975</v>
      </c>
      <c r="D499" s="317">
        <v>42649</v>
      </c>
      <c r="E499" s="318">
        <v>0.31081018518518516</v>
      </c>
      <c r="F499" s="247" t="s">
        <v>976</v>
      </c>
      <c r="G499" s="247" t="s">
        <v>1035</v>
      </c>
      <c r="H499" s="248" t="s">
        <v>404</v>
      </c>
      <c r="I499" s="248" t="s">
        <v>404</v>
      </c>
      <c r="J499" s="247" t="s">
        <v>809</v>
      </c>
      <c r="K499" s="249">
        <v>0</v>
      </c>
      <c r="M499" s="90">
        <v>0</v>
      </c>
      <c r="N499" s="90">
        <v>0</v>
      </c>
      <c r="O499" s="90">
        <v>255</v>
      </c>
    </row>
    <row r="500" spans="1:15" s="90" customFormat="1" ht="12.75" customHeight="1" x14ac:dyDescent="0.2">
      <c r="A500" s="247" t="s">
        <v>787</v>
      </c>
      <c r="B500" s="316">
        <v>2025</v>
      </c>
      <c r="C500" s="247" t="s">
        <v>979</v>
      </c>
      <c r="D500" s="317">
        <v>42649</v>
      </c>
      <c r="E500" s="318">
        <v>0.31143518518518515</v>
      </c>
      <c r="F500" s="247" t="s">
        <v>702</v>
      </c>
      <c r="G500" s="247" t="s">
        <v>1035</v>
      </c>
      <c r="H500" s="248" t="s">
        <v>860</v>
      </c>
      <c r="I500" s="248" t="s">
        <v>30</v>
      </c>
      <c r="J500" s="247" t="s">
        <v>809</v>
      </c>
      <c r="K500" s="249">
        <v>0</v>
      </c>
      <c r="L500" s="90" t="s">
        <v>1778</v>
      </c>
      <c r="M500" s="90">
        <v>374</v>
      </c>
      <c r="N500" s="90">
        <v>3</v>
      </c>
      <c r="O500" s="90">
        <v>0</v>
      </c>
    </row>
    <row r="501" spans="1:15" s="90" customFormat="1" ht="12.75" customHeight="1" x14ac:dyDescent="0.2">
      <c r="A501" s="247" t="s">
        <v>1262</v>
      </c>
      <c r="B501" s="316">
        <v>3046</v>
      </c>
      <c r="C501" s="247" t="s">
        <v>975</v>
      </c>
      <c r="D501" s="317">
        <v>42649</v>
      </c>
      <c r="E501" s="318">
        <v>0.31143518518518515</v>
      </c>
      <c r="F501" s="247" t="s">
        <v>976</v>
      </c>
      <c r="G501" s="247" t="s">
        <v>1035</v>
      </c>
      <c r="H501" s="248" t="s">
        <v>404</v>
      </c>
      <c r="I501" s="248" t="s">
        <v>404</v>
      </c>
      <c r="J501" s="247" t="s">
        <v>809</v>
      </c>
      <c r="K501" s="249">
        <v>0</v>
      </c>
      <c r="M501" s="90">
        <v>0</v>
      </c>
      <c r="N501" s="90">
        <v>0</v>
      </c>
      <c r="O501" s="90">
        <v>255</v>
      </c>
    </row>
    <row r="502" spans="1:15" s="90" customFormat="1" ht="12.75" customHeight="1" x14ac:dyDescent="0.2">
      <c r="A502" s="247" t="s">
        <v>1263</v>
      </c>
      <c r="B502" s="316">
        <v>3046</v>
      </c>
      <c r="C502" s="247" t="s">
        <v>975</v>
      </c>
      <c r="D502" s="317">
        <v>42649</v>
      </c>
      <c r="E502" s="318">
        <v>0.31158564814814815</v>
      </c>
      <c r="F502" s="247" t="s">
        <v>976</v>
      </c>
      <c r="G502" s="247" t="s">
        <v>1035</v>
      </c>
      <c r="H502" s="248" t="s">
        <v>404</v>
      </c>
      <c r="I502" s="248" t="s">
        <v>404</v>
      </c>
      <c r="J502" s="247" t="s">
        <v>809</v>
      </c>
      <c r="K502" s="249">
        <v>0</v>
      </c>
      <c r="M502" s="90">
        <v>0</v>
      </c>
      <c r="N502" s="90">
        <v>0</v>
      </c>
      <c r="O502" s="90">
        <v>255</v>
      </c>
    </row>
    <row r="503" spans="1:15" s="90" customFormat="1" ht="12.75" customHeight="1" x14ac:dyDescent="0.2">
      <c r="A503" s="247" t="s">
        <v>992</v>
      </c>
      <c r="B503" s="316">
        <v>3046</v>
      </c>
      <c r="C503" s="247" t="s">
        <v>975</v>
      </c>
      <c r="D503" s="317">
        <v>42649</v>
      </c>
      <c r="E503" s="318">
        <v>0.31208333333333332</v>
      </c>
      <c r="F503" s="247" t="s">
        <v>976</v>
      </c>
      <c r="G503" s="247" t="s">
        <v>1035</v>
      </c>
      <c r="H503" s="248" t="s">
        <v>404</v>
      </c>
      <c r="I503" s="248" t="s">
        <v>404</v>
      </c>
      <c r="J503" s="247" t="s">
        <v>809</v>
      </c>
      <c r="K503" s="249">
        <v>0</v>
      </c>
      <c r="M503" s="90">
        <v>0</v>
      </c>
      <c r="N503" s="90">
        <v>0</v>
      </c>
      <c r="O503" s="90">
        <v>255</v>
      </c>
    </row>
    <row r="504" spans="1:15" s="90" customFormat="1" ht="12.75" customHeight="1" x14ac:dyDescent="0.2">
      <c r="A504" s="247" t="s">
        <v>988</v>
      </c>
      <c r="B504" s="316">
        <v>3046</v>
      </c>
      <c r="C504" s="247" t="s">
        <v>975</v>
      </c>
      <c r="D504" s="317">
        <v>42649</v>
      </c>
      <c r="E504" s="318">
        <v>0.31375000000000003</v>
      </c>
      <c r="F504" s="247" t="s">
        <v>976</v>
      </c>
      <c r="G504" s="247" t="s">
        <v>1035</v>
      </c>
      <c r="H504" s="248" t="s">
        <v>404</v>
      </c>
      <c r="I504" s="248" t="s">
        <v>404</v>
      </c>
      <c r="J504" s="247" t="s">
        <v>809</v>
      </c>
      <c r="K504" s="249">
        <v>0</v>
      </c>
      <c r="M504" s="90">
        <v>0</v>
      </c>
      <c r="N504" s="90">
        <v>0</v>
      </c>
      <c r="O504" s="90">
        <v>255</v>
      </c>
    </row>
    <row r="505" spans="1:15" s="90" customFormat="1" ht="12.75" customHeight="1" x14ac:dyDescent="0.2">
      <c r="A505" s="247" t="s">
        <v>989</v>
      </c>
      <c r="B505" s="316">
        <v>3046</v>
      </c>
      <c r="C505" s="247" t="s">
        <v>975</v>
      </c>
      <c r="D505" s="317">
        <v>42649</v>
      </c>
      <c r="E505" s="318">
        <v>0.31375000000000003</v>
      </c>
      <c r="F505" s="247" t="s">
        <v>976</v>
      </c>
      <c r="G505" s="247" t="s">
        <v>1035</v>
      </c>
      <c r="H505" s="248" t="s">
        <v>404</v>
      </c>
      <c r="I505" s="248" t="s">
        <v>404</v>
      </c>
      <c r="J505" s="247" t="s">
        <v>809</v>
      </c>
      <c r="K505" s="249">
        <v>0</v>
      </c>
      <c r="M505" s="90">
        <v>0</v>
      </c>
      <c r="N505" s="90">
        <v>0</v>
      </c>
      <c r="O505" s="90">
        <v>255</v>
      </c>
    </row>
    <row r="506" spans="1:15" s="90" customFormat="1" ht="12.75" customHeight="1" x14ac:dyDescent="0.2">
      <c r="A506" s="247" t="s">
        <v>990</v>
      </c>
      <c r="B506" s="316">
        <v>3046</v>
      </c>
      <c r="C506" s="247" t="s">
        <v>975</v>
      </c>
      <c r="D506" s="317">
        <v>42649</v>
      </c>
      <c r="E506" s="318">
        <v>0.31459490740740742</v>
      </c>
      <c r="F506" s="247" t="s">
        <v>976</v>
      </c>
      <c r="G506" s="247" t="s">
        <v>1035</v>
      </c>
      <c r="H506" s="248" t="s">
        <v>404</v>
      </c>
      <c r="I506" s="248" t="s">
        <v>404</v>
      </c>
      <c r="J506" s="247" t="s">
        <v>809</v>
      </c>
      <c r="K506" s="249">
        <v>0</v>
      </c>
      <c r="M506" s="90">
        <v>0</v>
      </c>
      <c r="N506" s="90">
        <v>0</v>
      </c>
      <c r="O506" s="90">
        <v>255</v>
      </c>
    </row>
    <row r="507" spans="1:15" s="90" customFormat="1" ht="12.75" customHeight="1" x14ac:dyDescent="0.2">
      <c r="A507" s="247" t="s">
        <v>989</v>
      </c>
      <c r="B507" s="316">
        <v>3046</v>
      </c>
      <c r="C507" s="247" t="s">
        <v>975</v>
      </c>
      <c r="D507" s="317">
        <v>42649</v>
      </c>
      <c r="E507" s="318">
        <v>0.31516203703703705</v>
      </c>
      <c r="F507" s="247" t="s">
        <v>976</v>
      </c>
      <c r="G507" s="247" t="s">
        <v>1035</v>
      </c>
      <c r="H507" s="248" t="s">
        <v>404</v>
      </c>
      <c r="I507" s="248" t="s">
        <v>404</v>
      </c>
      <c r="J507" s="247" t="s">
        <v>809</v>
      </c>
      <c r="K507" s="249">
        <v>0</v>
      </c>
      <c r="M507" s="90">
        <v>0</v>
      </c>
      <c r="N507" s="90">
        <v>0</v>
      </c>
      <c r="O507" s="90">
        <v>255</v>
      </c>
    </row>
    <row r="508" spans="1:15" s="90" customFormat="1" ht="12.75" customHeight="1" x14ac:dyDescent="0.2">
      <c r="A508" s="247" t="s">
        <v>990</v>
      </c>
      <c r="B508" s="316">
        <v>3046</v>
      </c>
      <c r="C508" s="247" t="s">
        <v>975</v>
      </c>
      <c r="D508" s="317">
        <v>42649</v>
      </c>
      <c r="E508" s="318">
        <v>0.31519675925925927</v>
      </c>
      <c r="F508" s="247" t="s">
        <v>976</v>
      </c>
      <c r="G508" s="247" t="s">
        <v>1035</v>
      </c>
      <c r="H508" s="248" t="s">
        <v>404</v>
      </c>
      <c r="I508" s="248" t="s">
        <v>404</v>
      </c>
      <c r="J508" s="247" t="s">
        <v>809</v>
      </c>
      <c r="K508" s="249">
        <v>0</v>
      </c>
      <c r="M508" s="90">
        <v>0</v>
      </c>
      <c r="N508" s="90">
        <v>0</v>
      </c>
      <c r="O508" s="90">
        <v>255</v>
      </c>
    </row>
    <row r="509" spans="1:15" s="90" customFormat="1" ht="12.75" customHeight="1" x14ac:dyDescent="0.2">
      <c r="A509" s="247" t="s">
        <v>1010</v>
      </c>
      <c r="B509" s="316">
        <v>3051</v>
      </c>
      <c r="C509" s="247" t="s">
        <v>975</v>
      </c>
      <c r="D509" s="317">
        <v>42649</v>
      </c>
      <c r="E509" s="318">
        <v>0.31519675925925927</v>
      </c>
      <c r="F509" s="247" t="s">
        <v>235</v>
      </c>
      <c r="G509" s="247" t="s">
        <v>1035</v>
      </c>
      <c r="H509" s="248" t="s">
        <v>234</v>
      </c>
      <c r="I509" s="248" t="s">
        <v>235</v>
      </c>
      <c r="J509" s="247" t="s">
        <v>809</v>
      </c>
      <c r="K509" s="249">
        <v>0</v>
      </c>
      <c r="M509" s="90">
        <v>0</v>
      </c>
      <c r="N509" s="90">
        <v>0</v>
      </c>
      <c r="O509" s="90">
        <v>255</v>
      </c>
    </row>
    <row r="510" spans="1:15" s="90" customFormat="1" ht="12.75" customHeight="1" x14ac:dyDescent="0.2">
      <c r="A510" s="247" t="s">
        <v>1009</v>
      </c>
      <c r="B510" s="316">
        <v>3052</v>
      </c>
      <c r="C510" s="247" t="s">
        <v>975</v>
      </c>
      <c r="D510" s="317">
        <v>42649</v>
      </c>
      <c r="E510" s="318">
        <v>0.31519675925925927</v>
      </c>
      <c r="F510" s="247" t="s">
        <v>235</v>
      </c>
      <c r="G510" s="247" t="s">
        <v>1035</v>
      </c>
      <c r="H510" s="248" t="s">
        <v>234</v>
      </c>
      <c r="I510" s="248" t="s">
        <v>235</v>
      </c>
      <c r="J510" s="247" t="s">
        <v>809</v>
      </c>
      <c r="K510" s="249">
        <v>0</v>
      </c>
      <c r="M510" s="90">
        <v>0</v>
      </c>
      <c r="N510" s="90">
        <v>0</v>
      </c>
      <c r="O510" s="90">
        <v>255</v>
      </c>
    </row>
    <row r="511" spans="1:15" s="90" customFormat="1" ht="12.75" customHeight="1" x14ac:dyDescent="0.2">
      <c r="A511" s="247" t="s">
        <v>989</v>
      </c>
      <c r="B511" s="316">
        <v>3046</v>
      </c>
      <c r="C511" s="247" t="s">
        <v>975</v>
      </c>
      <c r="D511" s="317">
        <v>42649</v>
      </c>
      <c r="E511" s="318">
        <v>0.33057870370370374</v>
      </c>
      <c r="F511" s="247" t="s">
        <v>976</v>
      </c>
      <c r="G511" s="247" t="s">
        <v>1035</v>
      </c>
      <c r="H511" s="248" t="s">
        <v>404</v>
      </c>
      <c r="I511" s="248" t="s">
        <v>404</v>
      </c>
      <c r="J511" s="247" t="s">
        <v>809</v>
      </c>
      <c r="K511" s="249">
        <v>0</v>
      </c>
      <c r="M511" s="90">
        <v>0</v>
      </c>
      <c r="N511" s="90">
        <v>0</v>
      </c>
      <c r="O511" s="90">
        <v>255</v>
      </c>
    </row>
    <row r="512" spans="1:15" s="90" customFormat="1" ht="12.75" customHeight="1" x14ac:dyDescent="0.2">
      <c r="A512" s="247" t="s">
        <v>990</v>
      </c>
      <c r="B512" s="316">
        <v>3046</v>
      </c>
      <c r="C512" s="247" t="s">
        <v>975</v>
      </c>
      <c r="D512" s="317">
        <v>42649</v>
      </c>
      <c r="E512" s="318">
        <v>0.33060185185185187</v>
      </c>
      <c r="F512" s="247" t="s">
        <v>976</v>
      </c>
      <c r="G512" s="247" t="s">
        <v>1035</v>
      </c>
      <c r="H512" s="248" t="s">
        <v>404</v>
      </c>
      <c r="I512" s="248" t="s">
        <v>404</v>
      </c>
      <c r="J512" s="247" t="s">
        <v>809</v>
      </c>
      <c r="K512" s="249">
        <v>0</v>
      </c>
      <c r="M512" s="90">
        <v>0</v>
      </c>
      <c r="N512" s="90">
        <v>0</v>
      </c>
      <c r="O512" s="90">
        <v>255</v>
      </c>
    </row>
    <row r="513" spans="1:15" s="90" customFormat="1" ht="12.75" customHeight="1" x14ac:dyDescent="0.2">
      <c r="A513" s="247" t="s">
        <v>1005</v>
      </c>
      <c r="B513" s="316">
        <v>3051</v>
      </c>
      <c r="C513" s="247" t="s">
        <v>975</v>
      </c>
      <c r="D513" s="317">
        <v>42649</v>
      </c>
      <c r="E513" s="318">
        <v>0.33060185185185187</v>
      </c>
      <c r="F513" s="247" t="s">
        <v>235</v>
      </c>
      <c r="G513" s="247" t="s">
        <v>1035</v>
      </c>
      <c r="H513" s="248" t="s">
        <v>234</v>
      </c>
      <c r="I513" s="248" t="s">
        <v>235</v>
      </c>
      <c r="J513" s="247" t="s">
        <v>809</v>
      </c>
      <c r="K513" s="249">
        <v>0</v>
      </c>
      <c r="M513" s="90">
        <v>0</v>
      </c>
      <c r="N513" s="90">
        <v>0</v>
      </c>
      <c r="O513" s="90">
        <v>255</v>
      </c>
    </row>
    <row r="514" spans="1:15" s="90" customFormat="1" ht="12.75" customHeight="1" x14ac:dyDescent="0.2">
      <c r="A514" s="247" t="s">
        <v>1066</v>
      </c>
      <c r="B514" s="316">
        <v>3052</v>
      </c>
      <c r="C514" s="247" t="s">
        <v>975</v>
      </c>
      <c r="D514" s="317">
        <v>42649</v>
      </c>
      <c r="E514" s="318">
        <v>0.33060185185185187</v>
      </c>
      <c r="F514" s="247" t="s">
        <v>235</v>
      </c>
      <c r="G514" s="247" t="s">
        <v>1035</v>
      </c>
      <c r="H514" s="248" t="s">
        <v>234</v>
      </c>
      <c r="I514" s="248" t="s">
        <v>235</v>
      </c>
      <c r="J514" s="247" t="s">
        <v>809</v>
      </c>
      <c r="K514" s="249">
        <v>0</v>
      </c>
      <c r="M514" s="90">
        <v>0</v>
      </c>
      <c r="N514" s="90">
        <v>0</v>
      </c>
      <c r="O514" s="90">
        <v>255</v>
      </c>
    </row>
    <row r="515" spans="1:15" s="90" customFormat="1" ht="12.75" customHeight="1" x14ac:dyDescent="0.2">
      <c r="A515" s="247" t="s">
        <v>1188</v>
      </c>
      <c r="B515" s="316">
        <v>3004</v>
      </c>
      <c r="C515" s="247" t="s">
        <v>979</v>
      </c>
      <c r="D515" s="317">
        <v>42649</v>
      </c>
      <c r="E515" s="318">
        <v>0.35195601851851849</v>
      </c>
      <c r="F515" s="247" t="s">
        <v>702</v>
      </c>
      <c r="G515" s="247" t="s">
        <v>1035</v>
      </c>
      <c r="H515" s="248" t="s">
        <v>234</v>
      </c>
      <c r="I515" s="248" t="s">
        <v>702</v>
      </c>
      <c r="J515" s="247" t="s">
        <v>809</v>
      </c>
      <c r="K515" s="249">
        <v>0</v>
      </c>
      <c r="M515" s="90">
        <v>0</v>
      </c>
      <c r="N515" s="90">
        <v>0</v>
      </c>
      <c r="O515" s="90">
        <v>255</v>
      </c>
    </row>
    <row r="516" spans="1:15" s="90" customFormat="1" ht="12.75" customHeight="1" x14ac:dyDescent="0.2">
      <c r="A516" s="247" t="s">
        <v>989</v>
      </c>
      <c r="B516" s="316">
        <v>3046</v>
      </c>
      <c r="C516" s="247" t="s">
        <v>975</v>
      </c>
      <c r="D516" s="317">
        <v>42649</v>
      </c>
      <c r="E516" s="318">
        <v>0.35202546296296294</v>
      </c>
      <c r="F516" s="247" t="s">
        <v>976</v>
      </c>
      <c r="G516" s="247" t="s">
        <v>1035</v>
      </c>
      <c r="H516" s="248" t="s">
        <v>404</v>
      </c>
      <c r="I516" s="248" t="s">
        <v>404</v>
      </c>
      <c r="J516" s="247" t="s">
        <v>809</v>
      </c>
      <c r="K516" s="249">
        <v>0</v>
      </c>
      <c r="M516" s="90">
        <v>0</v>
      </c>
      <c r="N516" s="90">
        <v>0</v>
      </c>
      <c r="O516" s="90">
        <v>255</v>
      </c>
    </row>
    <row r="517" spans="1:15" s="90" customFormat="1" ht="12.75" customHeight="1" x14ac:dyDescent="0.2">
      <c r="A517" s="247" t="s">
        <v>990</v>
      </c>
      <c r="B517" s="316">
        <v>3046</v>
      </c>
      <c r="C517" s="247" t="s">
        <v>975</v>
      </c>
      <c r="D517" s="317">
        <v>42649</v>
      </c>
      <c r="E517" s="318">
        <v>0.3520833333333333</v>
      </c>
      <c r="F517" s="247" t="s">
        <v>976</v>
      </c>
      <c r="G517" s="247" t="s">
        <v>1035</v>
      </c>
      <c r="H517" s="248" t="s">
        <v>404</v>
      </c>
      <c r="I517" s="248" t="s">
        <v>404</v>
      </c>
      <c r="J517" s="247" t="s">
        <v>809</v>
      </c>
      <c r="K517" s="249">
        <v>0</v>
      </c>
      <c r="M517" s="90">
        <v>0</v>
      </c>
      <c r="N517" s="90">
        <v>0</v>
      </c>
      <c r="O517" s="90">
        <v>255</v>
      </c>
    </row>
    <row r="518" spans="1:15" s="90" customFormat="1" ht="12.75" customHeight="1" x14ac:dyDescent="0.2">
      <c r="A518" s="247" t="s">
        <v>1006</v>
      </c>
      <c r="B518" s="316">
        <v>3051</v>
      </c>
      <c r="C518" s="247" t="s">
        <v>975</v>
      </c>
      <c r="D518" s="317">
        <v>42649</v>
      </c>
      <c r="E518" s="318">
        <v>0.3520833333333333</v>
      </c>
      <c r="F518" s="247" t="s">
        <v>235</v>
      </c>
      <c r="G518" s="247" t="s">
        <v>1035</v>
      </c>
      <c r="H518" s="248" t="s">
        <v>234</v>
      </c>
      <c r="I518" s="248" t="s">
        <v>235</v>
      </c>
      <c r="J518" s="247" t="s">
        <v>809</v>
      </c>
      <c r="K518" s="249">
        <v>0</v>
      </c>
      <c r="M518" s="90">
        <v>0</v>
      </c>
      <c r="N518" s="90">
        <v>0</v>
      </c>
      <c r="O518" s="90">
        <v>255</v>
      </c>
    </row>
    <row r="519" spans="1:15" s="90" customFormat="1" ht="12.75" customHeight="1" x14ac:dyDescent="0.2">
      <c r="A519" s="247" t="s">
        <v>1065</v>
      </c>
      <c r="B519" s="316">
        <v>3052</v>
      </c>
      <c r="C519" s="247" t="s">
        <v>975</v>
      </c>
      <c r="D519" s="317">
        <v>42649</v>
      </c>
      <c r="E519" s="318">
        <v>0.3520833333333333</v>
      </c>
      <c r="F519" s="247" t="s">
        <v>235</v>
      </c>
      <c r="G519" s="247" t="s">
        <v>1035</v>
      </c>
      <c r="H519" s="248" t="s">
        <v>234</v>
      </c>
      <c r="I519" s="248" t="s">
        <v>235</v>
      </c>
      <c r="J519" s="247" t="s">
        <v>809</v>
      </c>
      <c r="K519" s="249">
        <v>0</v>
      </c>
      <c r="M519" s="90">
        <v>0</v>
      </c>
      <c r="N519" s="90">
        <v>0</v>
      </c>
      <c r="O519" s="90">
        <v>255</v>
      </c>
    </row>
    <row r="520" spans="1:15" s="90" customFormat="1" ht="12.75" customHeight="1" x14ac:dyDescent="0.2">
      <c r="A520" s="247" t="s">
        <v>1264</v>
      </c>
      <c r="B520" s="316">
        <v>3047</v>
      </c>
      <c r="C520" s="247" t="s">
        <v>996</v>
      </c>
      <c r="D520" s="317">
        <v>42649</v>
      </c>
      <c r="E520" s="318">
        <v>0.36093749999999997</v>
      </c>
      <c r="F520" s="247" t="s">
        <v>235</v>
      </c>
      <c r="G520" s="247" t="s">
        <v>1035</v>
      </c>
      <c r="H520" s="248" t="s">
        <v>234</v>
      </c>
      <c r="I520" s="248" t="s">
        <v>235</v>
      </c>
      <c r="J520" s="247" t="s">
        <v>809</v>
      </c>
      <c r="K520" s="249">
        <v>0</v>
      </c>
      <c r="M520" s="90">
        <v>0</v>
      </c>
      <c r="N520" s="90">
        <v>0</v>
      </c>
      <c r="O520" s="90">
        <v>255</v>
      </c>
    </row>
    <row r="521" spans="1:15" s="90" customFormat="1" ht="12.75" customHeight="1" x14ac:dyDescent="0.2">
      <c r="A521" s="247" t="s">
        <v>1265</v>
      </c>
      <c r="B521" s="316">
        <v>3047</v>
      </c>
      <c r="C521" s="247" t="s">
        <v>996</v>
      </c>
      <c r="D521" s="317">
        <v>42649</v>
      </c>
      <c r="E521" s="318">
        <v>0.36163194444444446</v>
      </c>
      <c r="F521" s="247" t="s">
        <v>235</v>
      </c>
      <c r="G521" s="247" t="s">
        <v>1035</v>
      </c>
      <c r="H521" s="248" t="s">
        <v>234</v>
      </c>
      <c r="I521" s="248" t="s">
        <v>235</v>
      </c>
      <c r="J521" s="247" t="s">
        <v>809</v>
      </c>
      <c r="K521" s="249">
        <v>0</v>
      </c>
      <c r="M521" s="90">
        <v>0</v>
      </c>
      <c r="N521" s="90">
        <v>0</v>
      </c>
      <c r="O521" s="90">
        <v>255</v>
      </c>
    </row>
    <row r="522" spans="1:15" s="90" customFormat="1" ht="12.75" customHeight="1" x14ac:dyDescent="0.2">
      <c r="A522" s="247" t="s">
        <v>1106</v>
      </c>
      <c r="B522" s="316">
        <v>3001</v>
      </c>
      <c r="C522" s="247" t="s">
        <v>996</v>
      </c>
      <c r="D522" s="317">
        <v>42649</v>
      </c>
      <c r="E522" s="318">
        <v>0.37658564814814816</v>
      </c>
      <c r="F522" s="247" t="s">
        <v>702</v>
      </c>
      <c r="G522" s="247" t="s">
        <v>1035</v>
      </c>
      <c r="H522" s="248" t="s">
        <v>121</v>
      </c>
      <c r="I522" s="248" t="s">
        <v>122</v>
      </c>
      <c r="J522" s="247" t="s">
        <v>809</v>
      </c>
      <c r="K522" s="249">
        <v>0</v>
      </c>
      <c r="M522" s="90">
        <v>0</v>
      </c>
      <c r="N522" s="90">
        <v>0</v>
      </c>
      <c r="O522" s="90">
        <v>255</v>
      </c>
    </row>
    <row r="523" spans="1:15" s="90" customFormat="1" ht="12.75" customHeight="1" x14ac:dyDescent="0.2">
      <c r="A523" s="247" t="s">
        <v>1266</v>
      </c>
      <c r="B523" s="316">
        <v>3001</v>
      </c>
      <c r="C523" s="247" t="s">
        <v>996</v>
      </c>
      <c r="D523" s="317">
        <v>42649</v>
      </c>
      <c r="E523" s="318">
        <v>0.37665509259259261</v>
      </c>
      <c r="F523" s="247" t="s">
        <v>702</v>
      </c>
      <c r="G523" s="247" t="s">
        <v>1035</v>
      </c>
      <c r="H523" s="248" t="s">
        <v>121</v>
      </c>
      <c r="I523" s="248" t="s">
        <v>122</v>
      </c>
      <c r="J523" s="247" t="s">
        <v>809</v>
      </c>
      <c r="K523" s="249">
        <v>0</v>
      </c>
      <c r="M523" s="90">
        <v>0</v>
      </c>
      <c r="N523" s="90">
        <v>0</v>
      </c>
      <c r="O523" s="90">
        <v>255</v>
      </c>
    </row>
    <row r="524" spans="1:15" s="90" customFormat="1" ht="12.75" customHeight="1" x14ac:dyDescent="0.2">
      <c r="A524" s="247" t="s">
        <v>1031</v>
      </c>
      <c r="B524" s="316">
        <v>3046</v>
      </c>
      <c r="C524" s="247" t="s">
        <v>975</v>
      </c>
      <c r="D524" s="317">
        <v>42649</v>
      </c>
      <c r="E524" s="318">
        <v>0.37693287037037032</v>
      </c>
      <c r="F524" s="247" t="s">
        <v>976</v>
      </c>
      <c r="G524" s="247" t="s">
        <v>1035</v>
      </c>
      <c r="H524" s="248" t="s">
        <v>404</v>
      </c>
      <c r="I524" s="248" t="s">
        <v>404</v>
      </c>
      <c r="J524" s="247" t="s">
        <v>809</v>
      </c>
      <c r="K524" s="249">
        <v>0</v>
      </c>
      <c r="M524" s="90">
        <v>0</v>
      </c>
      <c r="N524" s="90">
        <v>0</v>
      </c>
      <c r="O524" s="90">
        <v>255</v>
      </c>
    </row>
    <row r="525" spans="1:15" s="90" customFormat="1" ht="12.75" customHeight="1" x14ac:dyDescent="0.2">
      <c r="A525" s="247" t="s">
        <v>1032</v>
      </c>
      <c r="B525" s="316">
        <v>3046</v>
      </c>
      <c r="C525" s="247" t="s">
        <v>975</v>
      </c>
      <c r="D525" s="317">
        <v>42649</v>
      </c>
      <c r="E525" s="318">
        <v>0.3866087962962963</v>
      </c>
      <c r="F525" s="247" t="s">
        <v>976</v>
      </c>
      <c r="G525" s="247" t="s">
        <v>1035</v>
      </c>
      <c r="H525" s="248" t="s">
        <v>404</v>
      </c>
      <c r="I525" s="248" t="s">
        <v>404</v>
      </c>
      <c r="J525" s="247" t="s">
        <v>809</v>
      </c>
      <c r="K525" s="249">
        <v>0</v>
      </c>
      <c r="M525" s="90">
        <v>0</v>
      </c>
      <c r="N525" s="90">
        <v>0</v>
      </c>
      <c r="O525" s="90">
        <v>255</v>
      </c>
    </row>
    <row r="526" spans="1:15" s="90" customFormat="1" ht="12.75" customHeight="1" x14ac:dyDescent="0.2">
      <c r="A526" s="247" t="s">
        <v>989</v>
      </c>
      <c r="B526" s="316">
        <v>3046</v>
      </c>
      <c r="C526" s="247" t="s">
        <v>975</v>
      </c>
      <c r="D526" s="317">
        <v>42649</v>
      </c>
      <c r="E526" s="318">
        <v>0.3866087962962963</v>
      </c>
      <c r="F526" s="247" t="s">
        <v>976</v>
      </c>
      <c r="G526" s="247" t="s">
        <v>1035</v>
      </c>
      <c r="H526" s="248" t="s">
        <v>404</v>
      </c>
      <c r="I526" s="248" t="s">
        <v>404</v>
      </c>
      <c r="J526" s="247" t="s">
        <v>809</v>
      </c>
      <c r="K526" s="249">
        <v>0</v>
      </c>
      <c r="M526" s="90">
        <v>0</v>
      </c>
      <c r="N526" s="90">
        <v>0</v>
      </c>
      <c r="O526" s="90">
        <v>255</v>
      </c>
    </row>
    <row r="527" spans="1:15" s="90" customFormat="1" ht="12.75" customHeight="1" x14ac:dyDescent="0.2">
      <c r="A527" s="247" t="s">
        <v>990</v>
      </c>
      <c r="B527" s="316">
        <v>3046</v>
      </c>
      <c r="C527" s="247" t="s">
        <v>975</v>
      </c>
      <c r="D527" s="317">
        <v>42649</v>
      </c>
      <c r="E527" s="318">
        <v>0.38702546296296297</v>
      </c>
      <c r="F527" s="247" t="s">
        <v>976</v>
      </c>
      <c r="G527" s="247" t="s">
        <v>1035</v>
      </c>
      <c r="H527" s="248" t="s">
        <v>404</v>
      </c>
      <c r="I527" s="248" t="s">
        <v>404</v>
      </c>
      <c r="J527" s="247" t="s">
        <v>809</v>
      </c>
      <c r="K527" s="249">
        <v>0</v>
      </c>
      <c r="M527" s="90">
        <v>0</v>
      </c>
      <c r="N527" s="90">
        <v>0</v>
      </c>
      <c r="O527" s="90">
        <v>255</v>
      </c>
    </row>
    <row r="528" spans="1:15" s="90" customFormat="1" ht="12.75" customHeight="1" x14ac:dyDescent="0.2">
      <c r="A528" s="247" t="s">
        <v>1033</v>
      </c>
      <c r="B528" s="316">
        <v>3217</v>
      </c>
      <c r="C528" s="247" t="s">
        <v>975</v>
      </c>
      <c r="D528" s="317">
        <v>42649</v>
      </c>
      <c r="E528" s="318">
        <v>0.38702546296296297</v>
      </c>
      <c r="F528" s="247" t="s">
        <v>235</v>
      </c>
      <c r="G528" s="247" t="s">
        <v>1035</v>
      </c>
      <c r="H528" s="248" t="s">
        <v>234</v>
      </c>
      <c r="I528" s="248" t="s">
        <v>235</v>
      </c>
      <c r="J528" s="247" t="s">
        <v>809</v>
      </c>
      <c r="K528" s="249">
        <v>0</v>
      </c>
      <c r="M528" s="90">
        <v>0</v>
      </c>
      <c r="N528" s="90">
        <v>0</v>
      </c>
      <c r="O528" s="90">
        <v>255</v>
      </c>
    </row>
    <row r="529" spans="1:15" s="90" customFormat="1" ht="12.75" customHeight="1" x14ac:dyDescent="0.2">
      <c r="A529" s="247" t="s">
        <v>1267</v>
      </c>
      <c r="B529" s="316">
        <v>3004</v>
      </c>
      <c r="C529" s="247" t="s">
        <v>979</v>
      </c>
      <c r="D529" s="317">
        <v>42649</v>
      </c>
      <c r="E529" s="318">
        <v>0.41555555555555551</v>
      </c>
      <c r="F529" s="247" t="s">
        <v>702</v>
      </c>
      <c r="G529" s="247" t="s">
        <v>1035</v>
      </c>
      <c r="H529" s="248" t="s">
        <v>234</v>
      </c>
      <c r="I529" s="248" t="s">
        <v>702</v>
      </c>
      <c r="J529" s="247" t="s">
        <v>809</v>
      </c>
      <c r="K529" s="249">
        <v>0</v>
      </c>
      <c r="M529" s="90">
        <v>0</v>
      </c>
      <c r="N529" s="90">
        <v>0</v>
      </c>
      <c r="O529" s="90">
        <v>255</v>
      </c>
    </row>
    <row r="530" spans="1:15" s="90" customFormat="1" ht="12.75" customHeight="1" x14ac:dyDescent="0.2">
      <c r="A530" s="247" t="s">
        <v>1268</v>
      </c>
      <c r="B530" s="316">
        <v>3004</v>
      </c>
      <c r="C530" s="247" t="s">
        <v>979</v>
      </c>
      <c r="D530" s="317">
        <v>42649</v>
      </c>
      <c r="E530" s="318">
        <v>0.41606481481481478</v>
      </c>
      <c r="F530" s="247" t="s">
        <v>702</v>
      </c>
      <c r="G530" s="247" t="s">
        <v>1035</v>
      </c>
      <c r="H530" s="248" t="s">
        <v>234</v>
      </c>
      <c r="I530" s="248" t="s">
        <v>702</v>
      </c>
      <c r="J530" s="247" t="s">
        <v>809</v>
      </c>
      <c r="K530" s="249">
        <v>0</v>
      </c>
      <c r="M530" s="90">
        <v>0</v>
      </c>
      <c r="N530" s="90">
        <v>0</v>
      </c>
      <c r="O530" s="90">
        <v>255</v>
      </c>
    </row>
    <row r="531" spans="1:15" s="90" customFormat="1" ht="12.75" customHeight="1" x14ac:dyDescent="0.2">
      <c r="A531" s="247" t="s">
        <v>1269</v>
      </c>
      <c r="B531" s="316">
        <v>3004</v>
      </c>
      <c r="C531" s="247" t="s">
        <v>979</v>
      </c>
      <c r="D531" s="317">
        <v>42649</v>
      </c>
      <c r="E531" s="318">
        <v>0.4196064814814815</v>
      </c>
      <c r="F531" s="247" t="s">
        <v>702</v>
      </c>
      <c r="G531" s="247" t="s">
        <v>1035</v>
      </c>
      <c r="H531" s="248" t="s">
        <v>234</v>
      </c>
      <c r="I531" s="248" t="s">
        <v>702</v>
      </c>
      <c r="J531" s="247" t="s">
        <v>809</v>
      </c>
      <c r="K531" s="249">
        <v>0</v>
      </c>
      <c r="M531" s="90">
        <v>0</v>
      </c>
      <c r="N531" s="90">
        <v>0</v>
      </c>
      <c r="O531" s="90">
        <v>255</v>
      </c>
    </row>
    <row r="532" spans="1:15" s="90" customFormat="1" ht="12.75" customHeight="1" x14ac:dyDescent="0.2">
      <c r="A532" s="247" t="s">
        <v>1267</v>
      </c>
      <c r="B532" s="316">
        <v>3004</v>
      </c>
      <c r="C532" s="247" t="s">
        <v>979</v>
      </c>
      <c r="D532" s="317">
        <v>42649</v>
      </c>
      <c r="E532" s="318">
        <v>0.42052083333333329</v>
      </c>
      <c r="F532" s="247" t="s">
        <v>702</v>
      </c>
      <c r="G532" s="247" t="s">
        <v>1035</v>
      </c>
      <c r="H532" s="248" t="s">
        <v>234</v>
      </c>
      <c r="I532" s="248" t="s">
        <v>702</v>
      </c>
      <c r="J532" s="247" t="s">
        <v>809</v>
      </c>
      <c r="K532" s="249">
        <v>0</v>
      </c>
      <c r="M532" s="90">
        <v>0</v>
      </c>
      <c r="N532" s="90">
        <v>0</v>
      </c>
      <c r="O532" s="90">
        <v>255</v>
      </c>
    </row>
    <row r="533" spans="1:15" s="90" customFormat="1" ht="12.75" customHeight="1" x14ac:dyDescent="0.2">
      <c r="A533" s="247" t="s">
        <v>1191</v>
      </c>
      <c r="B533" s="316">
        <v>3004</v>
      </c>
      <c r="C533" s="247" t="s">
        <v>979</v>
      </c>
      <c r="D533" s="317">
        <v>42649</v>
      </c>
      <c r="E533" s="318">
        <v>0.42052083333333329</v>
      </c>
      <c r="F533" s="247" t="s">
        <v>702</v>
      </c>
      <c r="G533" s="247" t="s">
        <v>1035</v>
      </c>
      <c r="H533" s="248" t="s">
        <v>234</v>
      </c>
      <c r="I533" s="248" t="s">
        <v>702</v>
      </c>
      <c r="J533" s="247" t="s">
        <v>809</v>
      </c>
      <c r="K533" s="249">
        <v>0</v>
      </c>
      <c r="M533" s="90">
        <v>0</v>
      </c>
      <c r="N533" s="90">
        <v>0</v>
      </c>
      <c r="O533" s="90">
        <v>255</v>
      </c>
    </row>
    <row r="534" spans="1:15" s="90" customFormat="1" ht="12.75" customHeight="1" x14ac:dyDescent="0.2">
      <c r="A534" s="247" t="s">
        <v>989</v>
      </c>
      <c r="B534" s="316">
        <v>3046</v>
      </c>
      <c r="C534" s="247" t="s">
        <v>975</v>
      </c>
      <c r="D534" s="317">
        <v>42649</v>
      </c>
      <c r="E534" s="318">
        <v>0.4286921296296296</v>
      </c>
      <c r="F534" s="247" t="s">
        <v>976</v>
      </c>
      <c r="G534" s="247" t="s">
        <v>1035</v>
      </c>
      <c r="H534" s="248" t="s">
        <v>404</v>
      </c>
      <c r="I534" s="248" t="s">
        <v>404</v>
      </c>
      <c r="J534" s="247" t="s">
        <v>809</v>
      </c>
      <c r="K534" s="249">
        <v>0</v>
      </c>
      <c r="M534" s="90">
        <v>0</v>
      </c>
      <c r="N534" s="90">
        <v>0</v>
      </c>
      <c r="O534" s="90">
        <v>255</v>
      </c>
    </row>
    <row r="535" spans="1:15" s="90" customFormat="1" ht="12.75" customHeight="1" x14ac:dyDescent="0.2">
      <c r="A535" s="247" t="s">
        <v>993</v>
      </c>
      <c r="B535" s="316">
        <v>3217</v>
      </c>
      <c r="C535" s="247" t="s">
        <v>975</v>
      </c>
      <c r="D535" s="317">
        <v>42649</v>
      </c>
      <c r="E535" s="318">
        <v>0.4289351851851852</v>
      </c>
      <c r="F535" s="247" t="s">
        <v>235</v>
      </c>
      <c r="G535" s="247" t="s">
        <v>1035</v>
      </c>
      <c r="H535" s="248" t="s">
        <v>234</v>
      </c>
      <c r="I535" s="248" t="s">
        <v>235</v>
      </c>
      <c r="J535" s="247" t="s">
        <v>809</v>
      </c>
      <c r="K535" s="249">
        <v>0</v>
      </c>
      <c r="M535" s="90">
        <v>0</v>
      </c>
      <c r="N535" s="90">
        <v>0</v>
      </c>
      <c r="O535" s="90">
        <v>255</v>
      </c>
    </row>
    <row r="536" spans="1:15" s="90" customFormat="1" ht="12.75" customHeight="1" x14ac:dyDescent="0.2">
      <c r="A536" s="247" t="s">
        <v>990</v>
      </c>
      <c r="B536" s="316">
        <v>3046</v>
      </c>
      <c r="C536" s="247" t="s">
        <v>975</v>
      </c>
      <c r="D536" s="317">
        <v>42649</v>
      </c>
      <c r="E536" s="318">
        <v>0.42894675925925929</v>
      </c>
      <c r="F536" s="247" t="s">
        <v>976</v>
      </c>
      <c r="G536" s="247" t="s">
        <v>1035</v>
      </c>
      <c r="H536" s="248" t="s">
        <v>404</v>
      </c>
      <c r="I536" s="248" t="s">
        <v>404</v>
      </c>
      <c r="J536" s="247" t="s">
        <v>809</v>
      </c>
      <c r="K536" s="249">
        <v>0</v>
      </c>
      <c r="M536" s="90">
        <v>0</v>
      </c>
      <c r="N536" s="90">
        <v>0</v>
      </c>
      <c r="O536" s="90">
        <v>255</v>
      </c>
    </row>
    <row r="537" spans="1:15" s="90" customFormat="1" ht="12.75" customHeight="1" x14ac:dyDescent="0.2">
      <c r="A537" s="247" t="s">
        <v>1057</v>
      </c>
      <c r="B537" s="316">
        <v>3218</v>
      </c>
      <c r="C537" s="247" t="s">
        <v>979</v>
      </c>
      <c r="D537" s="317">
        <v>42649</v>
      </c>
      <c r="E537" s="318">
        <v>0.44013888888888886</v>
      </c>
      <c r="F537" s="247" t="s">
        <v>702</v>
      </c>
      <c r="G537" s="247" t="s">
        <v>1035</v>
      </c>
      <c r="H537" s="248"/>
      <c r="I537" s="248"/>
      <c r="J537" s="247"/>
      <c r="K537" s="249"/>
      <c r="M537" s="90">
        <v>0</v>
      </c>
      <c r="N537" s="90">
        <v>0</v>
      </c>
      <c r="O537" s="90">
        <v>255</v>
      </c>
    </row>
    <row r="538" spans="1:15" s="90" customFormat="1" ht="12.75" customHeight="1" x14ac:dyDescent="0.2">
      <c r="A538" s="247" t="s">
        <v>1058</v>
      </c>
      <c r="B538" s="316">
        <v>3218</v>
      </c>
      <c r="C538" s="247" t="s">
        <v>979</v>
      </c>
      <c r="D538" s="317">
        <v>42649</v>
      </c>
      <c r="E538" s="318">
        <v>0.44013888888888886</v>
      </c>
      <c r="F538" s="247" t="s">
        <v>702</v>
      </c>
      <c r="G538" s="247" t="s">
        <v>1035</v>
      </c>
      <c r="H538" s="248"/>
      <c r="I538" s="248"/>
      <c r="J538" s="247"/>
      <c r="K538" s="249"/>
      <c r="M538" s="90">
        <v>0</v>
      </c>
      <c r="N538" s="90">
        <v>0</v>
      </c>
      <c r="O538" s="90">
        <v>255</v>
      </c>
    </row>
    <row r="539" spans="1:15" s="90" customFormat="1" ht="12.75" customHeight="1" x14ac:dyDescent="0.2">
      <c r="A539" s="247" t="s">
        <v>1059</v>
      </c>
      <c r="B539" s="316">
        <v>3218</v>
      </c>
      <c r="C539" s="247" t="s">
        <v>979</v>
      </c>
      <c r="D539" s="317">
        <v>42649</v>
      </c>
      <c r="E539" s="318">
        <v>0.44013888888888886</v>
      </c>
      <c r="F539" s="247" t="s">
        <v>702</v>
      </c>
      <c r="G539" s="247" t="s">
        <v>1035</v>
      </c>
      <c r="H539" s="248"/>
      <c r="I539" s="248"/>
      <c r="J539" s="247"/>
      <c r="K539" s="249"/>
      <c r="M539" s="90">
        <v>0</v>
      </c>
      <c r="N539" s="90">
        <v>0</v>
      </c>
      <c r="O539" s="90">
        <v>255</v>
      </c>
    </row>
    <row r="540" spans="1:15" s="90" customFormat="1" ht="12.75" customHeight="1" x14ac:dyDescent="0.2">
      <c r="A540" s="247" t="s">
        <v>1060</v>
      </c>
      <c r="B540" s="316">
        <v>3218</v>
      </c>
      <c r="C540" s="247" t="s">
        <v>979</v>
      </c>
      <c r="D540" s="317">
        <v>42649</v>
      </c>
      <c r="E540" s="318">
        <v>0.44013888888888886</v>
      </c>
      <c r="F540" s="247" t="s">
        <v>702</v>
      </c>
      <c r="G540" s="247" t="s">
        <v>1035</v>
      </c>
      <c r="H540" s="248"/>
      <c r="I540" s="248"/>
      <c r="J540" s="247"/>
      <c r="K540" s="249"/>
      <c r="M540" s="90">
        <v>0</v>
      </c>
      <c r="N540" s="90">
        <v>0</v>
      </c>
      <c r="O540" s="90">
        <v>255</v>
      </c>
    </row>
    <row r="541" spans="1:15" s="90" customFormat="1" ht="12.75" customHeight="1" x14ac:dyDescent="0.2">
      <c r="A541" s="247" t="s">
        <v>1061</v>
      </c>
      <c r="B541" s="316">
        <v>3218</v>
      </c>
      <c r="C541" s="247" t="s">
        <v>979</v>
      </c>
      <c r="D541" s="317">
        <v>42649</v>
      </c>
      <c r="E541" s="318">
        <v>0.44013888888888886</v>
      </c>
      <c r="F541" s="247" t="s">
        <v>702</v>
      </c>
      <c r="G541" s="247" t="s">
        <v>1035</v>
      </c>
      <c r="H541" s="248"/>
      <c r="I541" s="248"/>
      <c r="J541" s="247"/>
      <c r="K541" s="249"/>
      <c r="M541" s="90">
        <v>0</v>
      </c>
      <c r="N541" s="90">
        <v>0</v>
      </c>
      <c r="O541" s="90">
        <v>255</v>
      </c>
    </row>
    <row r="542" spans="1:15" s="90" customFormat="1" ht="12.75" customHeight="1" x14ac:dyDescent="0.2">
      <c r="A542" s="247" t="s">
        <v>1062</v>
      </c>
      <c r="B542" s="316">
        <v>3218</v>
      </c>
      <c r="C542" s="247" t="s">
        <v>979</v>
      </c>
      <c r="D542" s="317">
        <v>42649</v>
      </c>
      <c r="E542" s="318">
        <v>0.44013888888888886</v>
      </c>
      <c r="F542" s="247" t="s">
        <v>702</v>
      </c>
      <c r="G542" s="247" t="s">
        <v>1035</v>
      </c>
      <c r="H542" s="248"/>
      <c r="I542" s="248"/>
      <c r="J542" s="247"/>
      <c r="K542" s="249"/>
      <c r="M542" s="90">
        <v>0</v>
      </c>
      <c r="N542" s="90">
        <v>0</v>
      </c>
      <c r="O542" s="90">
        <v>255</v>
      </c>
    </row>
    <row r="543" spans="1:15" s="90" customFormat="1" ht="12.75" customHeight="1" x14ac:dyDescent="0.2">
      <c r="A543" s="247" t="s">
        <v>1063</v>
      </c>
      <c r="B543" s="316">
        <v>3218</v>
      </c>
      <c r="C543" s="247" t="s">
        <v>979</v>
      </c>
      <c r="D543" s="317">
        <v>42649</v>
      </c>
      <c r="E543" s="318">
        <v>0.44013888888888886</v>
      </c>
      <c r="F543" s="247" t="s">
        <v>702</v>
      </c>
      <c r="G543" s="247" t="s">
        <v>1035</v>
      </c>
      <c r="H543" s="248"/>
      <c r="I543" s="248"/>
      <c r="J543" s="247"/>
      <c r="K543" s="249"/>
      <c r="M543" s="90">
        <v>0</v>
      </c>
      <c r="N543" s="90">
        <v>0</v>
      </c>
      <c r="O543" s="90">
        <v>255</v>
      </c>
    </row>
    <row r="544" spans="1:15" s="90" customFormat="1" ht="12.75" customHeight="1" x14ac:dyDescent="0.2">
      <c r="A544" s="247" t="s">
        <v>1031</v>
      </c>
      <c r="B544" s="316">
        <v>3046</v>
      </c>
      <c r="C544" s="247" t="s">
        <v>975</v>
      </c>
      <c r="D544" s="317">
        <v>42649</v>
      </c>
      <c r="E544" s="318">
        <v>0.44124999999999998</v>
      </c>
      <c r="F544" s="247" t="s">
        <v>976</v>
      </c>
      <c r="G544" s="247" t="s">
        <v>1035</v>
      </c>
      <c r="H544" s="248" t="s">
        <v>404</v>
      </c>
      <c r="I544" s="248" t="s">
        <v>404</v>
      </c>
      <c r="J544" s="247" t="s">
        <v>809</v>
      </c>
      <c r="K544" s="249">
        <v>0</v>
      </c>
      <c r="M544" s="90">
        <v>0</v>
      </c>
      <c r="N544" s="90">
        <v>0</v>
      </c>
      <c r="O544" s="90">
        <v>255</v>
      </c>
    </row>
    <row r="545" spans="1:15" s="90" customFormat="1" ht="12.75" customHeight="1" x14ac:dyDescent="0.2">
      <c r="A545" s="247" t="s">
        <v>1032</v>
      </c>
      <c r="B545" s="316">
        <v>3046</v>
      </c>
      <c r="C545" s="247" t="s">
        <v>975</v>
      </c>
      <c r="D545" s="317">
        <v>42649</v>
      </c>
      <c r="E545" s="318">
        <v>0.44949074074074075</v>
      </c>
      <c r="F545" s="247" t="s">
        <v>976</v>
      </c>
      <c r="G545" s="247" t="s">
        <v>1035</v>
      </c>
      <c r="H545" s="248" t="s">
        <v>404</v>
      </c>
      <c r="I545" s="248" t="s">
        <v>404</v>
      </c>
      <c r="J545" s="247" t="s">
        <v>809</v>
      </c>
      <c r="K545" s="249">
        <v>0</v>
      </c>
      <c r="M545" s="90">
        <v>0</v>
      </c>
      <c r="N545" s="90">
        <v>0</v>
      </c>
      <c r="O545" s="90">
        <v>255</v>
      </c>
    </row>
    <row r="546" spans="1:15" s="90" customFormat="1" ht="12.75" customHeight="1" x14ac:dyDescent="0.2">
      <c r="A546" s="247" t="s">
        <v>989</v>
      </c>
      <c r="B546" s="316">
        <v>3046</v>
      </c>
      <c r="C546" s="247" t="s">
        <v>975</v>
      </c>
      <c r="D546" s="317">
        <v>42649</v>
      </c>
      <c r="E546" s="318">
        <v>0.44949074074074075</v>
      </c>
      <c r="F546" s="247" t="s">
        <v>976</v>
      </c>
      <c r="G546" s="247" t="s">
        <v>1035</v>
      </c>
      <c r="H546" s="248" t="s">
        <v>404</v>
      </c>
      <c r="I546" s="248" t="s">
        <v>404</v>
      </c>
      <c r="J546" s="247" t="s">
        <v>809</v>
      </c>
      <c r="K546" s="249">
        <v>0</v>
      </c>
      <c r="M546" s="90">
        <v>0</v>
      </c>
      <c r="N546" s="90">
        <v>0</v>
      </c>
      <c r="O546" s="90">
        <v>255</v>
      </c>
    </row>
    <row r="547" spans="1:15" s="90" customFormat="1" ht="12.75" customHeight="1" x14ac:dyDescent="0.2">
      <c r="A547" s="247" t="s">
        <v>990</v>
      </c>
      <c r="B547" s="316">
        <v>3046</v>
      </c>
      <c r="C547" s="247" t="s">
        <v>975</v>
      </c>
      <c r="D547" s="317">
        <v>42649</v>
      </c>
      <c r="E547" s="318">
        <v>0.44981481481481483</v>
      </c>
      <c r="F547" s="247" t="s">
        <v>976</v>
      </c>
      <c r="G547" s="247" t="s">
        <v>1035</v>
      </c>
      <c r="H547" s="248" t="s">
        <v>404</v>
      </c>
      <c r="I547" s="248" t="s">
        <v>404</v>
      </c>
      <c r="J547" s="247" t="s">
        <v>809</v>
      </c>
      <c r="K547" s="249">
        <v>0</v>
      </c>
      <c r="M547" s="90">
        <v>0</v>
      </c>
      <c r="N547" s="90">
        <v>0</v>
      </c>
      <c r="O547" s="90">
        <v>255</v>
      </c>
    </row>
    <row r="548" spans="1:15" s="90" customFormat="1" ht="12.75" customHeight="1" x14ac:dyDescent="0.2">
      <c r="A548" s="247" t="s">
        <v>1033</v>
      </c>
      <c r="B548" s="316">
        <v>3217</v>
      </c>
      <c r="C548" s="247" t="s">
        <v>975</v>
      </c>
      <c r="D548" s="317">
        <v>42649</v>
      </c>
      <c r="E548" s="318">
        <v>0.44981481481481483</v>
      </c>
      <c r="F548" s="247" t="s">
        <v>235</v>
      </c>
      <c r="G548" s="247" t="s">
        <v>1035</v>
      </c>
      <c r="H548" s="248" t="s">
        <v>234</v>
      </c>
      <c r="I548" s="248" t="s">
        <v>235</v>
      </c>
      <c r="J548" s="247" t="s">
        <v>809</v>
      </c>
      <c r="K548" s="249">
        <v>0</v>
      </c>
      <c r="M548" s="90">
        <v>0</v>
      </c>
      <c r="N548" s="90">
        <v>0</v>
      </c>
      <c r="O548" s="90">
        <v>255</v>
      </c>
    </row>
    <row r="549" spans="1:15" s="90" customFormat="1" ht="12.75" customHeight="1" x14ac:dyDescent="0.2">
      <c r="A549" s="247" t="s">
        <v>1159</v>
      </c>
      <c r="B549" s="316">
        <v>3218</v>
      </c>
      <c r="C549" s="247" t="s">
        <v>979</v>
      </c>
      <c r="D549" s="317">
        <v>42649</v>
      </c>
      <c r="E549" s="318">
        <v>0.45122685185185185</v>
      </c>
      <c r="F549" s="247" t="s">
        <v>702</v>
      </c>
      <c r="G549" s="247" t="s">
        <v>1035</v>
      </c>
      <c r="H549" s="248"/>
      <c r="I549" s="248"/>
      <c r="J549" s="247"/>
      <c r="K549" s="249"/>
      <c r="M549" s="90">
        <v>0</v>
      </c>
      <c r="N549" s="90">
        <v>0</v>
      </c>
      <c r="O549" s="90">
        <v>255</v>
      </c>
    </row>
    <row r="550" spans="1:15" s="90" customFormat="1" ht="12.75" customHeight="1" x14ac:dyDescent="0.2">
      <c r="A550" s="247" t="s">
        <v>1160</v>
      </c>
      <c r="B550" s="316">
        <v>3218</v>
      </c>
      <c r="C550" s="247" t="s">
        <v>979</v>
      </c>
      <c r="D550" s="317">
        <v>42649</v>
      </c>
      <c r="E550" s="318">
        <v>0.45122685185185185</v>
      </c>
      <c r="F550" s="247" t="s">
        <v>702</v>
      </c>
      <c r="G550" s="247" t="s">
        <v>1035</v>
      </c>
      <c r="H550" s="248"/>
      <c r="I550" s="248"/>
      <c r="J550" s="247"/>
      <c r="K550" s="249"/>
      <c r="M550" s="90">
        <v>0</v>
      </c>
      <c r="N550" s="90">
        <v>0</v>
      </c>
      <c r="O550" s="90">
        <v>255</v>
      </c>
    </row>
    <row r="551" spans="1:15" s="90" customFormat="1" ht="12.75" customHeight="1" x14ac:dyDescent="0.2">
      <c r="A551" s="247" t="s">
        <v>1161</v>
      </c>
      <c r="B551" s="316">
        <v>3218</v>
      </c>
      <c r="C551" s="247" t="s">
        <v>979</v>
      </c>
      <c r="D551" s="317">
        <v>42649</v>
      </c>
      <c r="E551" s="318">
        <v>0.45122685185185185</v>
      </c>
      <c r="F551" s="247" t="s">
        <v>702</v>
      </c>
      <c r="G551" s="247" t="s">
        <v>1035</v>
      </c>
      <c r="H551" s="248"/>
      <c r="I551" s="248"/>
      <c r="J551" s="247"/>
      <c r="K551" s="249"/>
      <c r="M551" s="90">
        <v>0</v>
      </c>
      <c r="N551" s="90">
        <v>0</v>
      </c>
      <c r="O551" s="90">
        <v>255</v>
      </c>
    </row>
    <row r="552" spans="1:15" s="90" customFormat="1" ht="12.75" customHeight="1" x14ac:dyDescent="0.2">
      <c r="A552" s="247" t="s">
        <v>1162</v>
      </c>
      <c r="B552" s="316">
        <v>3218</v>
      </c>
      <c r="C552" s="247" t="s">
        <v>979</v>
      </c>
      <c r="D552" s="317">
        <v>42649</v>
      </c>
      <c r="E552" s="318">
        <v>0.45122685185185185</v>
      </c>
      <c r="F552" s="247" t="s">
        <v>702</v>
      </c>
      <c r="G552" s="247" t="s">
        <v>1035</v>
      </c>
      <c r="H552" s="248"/>
      <c r="I552" s="248"/>
      <c r="J552" s="247"/>
      <c r="K552" s="249"/>
      <c r="M552" s="90">
        <v>0</v>
      </c>
      <c r="N552" s="90">
        <v>0</v>
      </c>
      <c r="O552" s="90">
        <v>255</v>
      </c>
    </row>
    <row r="553" spans="1:15" s="90" customFormat="1" ht="12.75" customHeight="1" x14ac:dyDescent="0.2">
      <c r="A553" s="247" t="s">
        <v>1031</v>
      </c>
      <c r="B553" s="316">
        <v>3046</v>
      </c>
      <c r="C553" s="247" t="s">
        <v>975</v>
      </c>
      <c r="D553" s="317">
        <v>42649</v>
      </c>
      <c r="E553" s="318">
        <v>0.4518287037037037</v>
      </c>
      <c r="F553" s="247" t="s">
        <v>976</v>
      </c>
      <c r="G553" s="247" t="s">
        <v>1035</v>
      </c>
      <c r="H553" s="248" t="s">
        <v>404</v>
      </c>
      <c r="I553" s="248" t="s">
        <v>404</v>
      </c>
      <c r="J553" s="247" t="s">
        <v>809</v>
      </c>
      <c r="K553" s="249">
        <v>0</v>
      </c>
      <c r="M553" s="90">
        <v>0</v>
      </c>
      <c r="N553" s="90">
        <v>0</v>
      </c>
      <c r="O553" s="90">
        <v>255</v>
      </c>
    </row>
    <row r="554" spans="1:15" s="90" customFormat="1" ht="12.75" customHeight="1" x14ac:dyDescent="0.2">
      <c r="A554" s="247" t="s">
        <v>1032</v>
      </c>
      <c r="B554" s="316">
        <v>3046</v>
      </c>
      <c r="C554" s="247" t="s">
        <v>975</v>
      </c>
      <c r="D554" s="317">
        <v>42649</v>
      </c>
      <c r="E554" s="318">
        <v>0.45776620370370374</v>
      </c>
      <c r="F554" s="247" t="s">
        <v>976</v>
      </c>
      <c r="G554" s="247" t="s">
        <v>1035</v>
      </c>
      <c r="H554" s="248" t="s">
        <v>404</v>
      </c>
      <c r="I554" s="248" t="s">
        <v>404</v>
      </c>
      <c r="J554" s="247" t="s">
        <v>809</v>
      </c>
      <c r="K554" s="249">
        <v>0</v>
      </c>
      <c r="M554" s="90">
        <v>0</v>
      </c>
      <c r="N554" s="90">
        <v>0</v>
      </c>
      <c r="O554" s="90">
        <v>255</v>
      </c>
    </row>
    <row r="555" spans="1:15" s="90" customFormat="1" ht="12.75" customHeight="1" x14ac:dyDescent="0.2">
      <c r="A555" s="247" t="s">
        <v>989</v>
      </c>
      <c r="B555" s="316">
        <v>3046</v>
      </c>
      <c r="C555" s="247" t="s">
        <v>975</v>
      </c>
      <c r="D555" s="317">
        <v>42649</v>
      </c>
      <c r="E555" s="318">
        <v>0.45776620370370374</v>
      </c>
      <c r="F555" s="247" t="s">
        <v>976</v>
      </c>
      <c r="G555" s="247" t="s">
        <v>1035</v>
      </c>
      <c r="H555" s="248" t="s">
        <v>404</v>
      </c>
      <c r="I555" s="248" t="s">
        <v>404</v>
      </c>
      <c r="J555" s="247" t="s">
        <v>809</v>
      </c>
      <c r="K555" s="249">
        <v>0</v>
      </c>
      <c r="M555" s="90">
        <v>0</v>
      </c>
      <c r="N555" s="90">
        <v>0</v>
      </c>
      <c r="O555" s="90">
        <v>255</v>
      </c>
    </row>
    <row r="556" spans="1:15" s="90" customFormat="1" ht="12.75" customHeight="1" x14ac:dyDescent="0.2">
      <c r="A556" s="247" t="s">
        <v>990</v>
      </c>
      <c r="B556" s="316">
        <v>3046</v>
      </c>
      <c r="C556" s="247" t="s">
        <v>975</v>
      </c>
      <c r="D556" s="317">
        <v>42649</v>
      </c>
      <c r="E556" s="318">
        <v>0.45807870370370374</v>
      </c>
      <c r="F556" s="247" t="s">
        <v>976</v>
      </c>
      <c r="G556" s="247" t="s">
        <v>1035</v>
      </c>
      <c r="H556" s="248" t="s">
        <v>404</v>
      </c>
      <c r="I556" s="248" t="s">
        <v>404</v>
      </c>
      <c r="J556" s="247" t="s">
        <v>809</v>
      </c>
      <c r="K556" s="249">
        <v>0</v>
      </c>
      <c r="M556" s="90">
        <v>0</v>
      </c>
      <c r="N556" s="90">
        <v>0</v>
      </c>
      <c r="O556" s="90">
        <v>255</v>
      </c>
    </row>
    <row r="557" spans="1:15" s="90" customFormat="1" ht="12.75" customHeight="1" x14ac:dyDescent="0.2">
      <c r="A557" s="247" t="s">
        <v>1033</v>
      </c>
      <c r="B557" s="316">
        <v>3217</v>
      </c>
      <c r="C557" s="247" t="s">
        <v>975</v>
      </c>
      <c r="D557" s="317">
        <v>42649</v>
      </c>
      <c r="E557" s="318">
        <v>0.45807870370370374</v>
      </c>
      <c r="F557" s="247" t="s">
        <v>235</v>
      </c>
      <c r="G557" s="247" t="s">
        <v>1035</v>
      </c>
      <c r="H557" s="248" t="s">
        <v>234</v>
      </c>
      <c r="I557" s="248" t="s">
        <v>235</v>
      </c>
      <c r="J557" s="247" t="s">
        <v>809</v>
      </c>
      <c r="K557" s="249">
        <v>0</v>
      </c>
      <c r="M557" s="90">
        <v>0</v>
      </c>
      <c r="N557" s="90">
        <v>0</v>
      </c>
      <c r="O557" s="90">
        <v>255</v>
      </c>
    </row>
    <row r="558" spans="1:15" s="90" customFormat="1" ht="12.75" customHeight="1" x14ac:dyDescent="0.2">
      <c r="A558" s="247" t="s">
        <v>1269</v>
      </c>
      <c r="B558" s="316">
        <v>3004</v>
      </c>
      <c r="C558" s="247" t="s">
        <v>979</v>
      </c>
      <c r="D558" s="317">
        <v>42649</v>
      </c>
      <c r="E558" s="318">
        <v>0.46043981481481483</v>
      </c>
      <c r="F558" s="247" t="s">
        <v>702</v>
      </c>
      <c r="G558" s="247" t="s">
        <v>1035</v>
      </c>
      <c r="H558" s="248" t="s">
        <v>234</v>
      </c>
      <c r="I558" s="248" t="s">
        <v>702</v>
      </c>
      <c r="J558" s="247" t="s">
        <v>809</v>
      </c>
      <c r="K558" s="249">
        <v>0</v>
      </c>
      <c r="M558" s="90">
        <v>0</v>
      </c>
      <c r="N558" s="90">
        <v>0</v>
      </c>
      <c r="O558" s="90">
        <v>255</v>
      </c>
    </row>
    <row r="559" spans="1:15" s="90" customFormat="1" ht="12.75" customHeight="1" x14ac:dyDescent="0.2">
      <c r="A559" s="247" t="s">
        <v>1267</v>
      </c>
      <c r="B559" s="316">
        <v>3004</v>
      </c>
      <c r="C559" s="247" t="s">
        <v>979</v>
      </c>
      <c r="D559" s="317">
        <v>42649</v>
      </c>
      <c r="E559" s="318">
        <v>0.46074074074074073</v>
      </c>
      <c r="F559" s="247" t="s">
        <v>702</v>
      </c>
      <c r="G559" s="247" t="s">
        <v>1035</v>
      </c>
      <c r="H559" s="248" t="s">
        <v>234</v>
      </c>
      <c r="I559" s="248" t="s">
        <v>702</v>
      </c>
      <c r="J559" s="247" t="s">
        <v>809</v>
      </c>
      <c r="K559" s="249">
        <v>0</v>
      </c>
      <c r="M559" s="90">
        <v>0</v>
      </c>
      <c r="N559" s="90">
        <v>0</v>
      </c>
      <c r="O559" s="90">
        <v>255</v>
      </c>
    </row>
    <row r="560" spans="1:15" s="90" customFormat="1" ht="12.75" customHeight="1" x14ac:dyDescent="0.2">
      <c r="A560" s="247" t="s">
        <v>1191</v>
      </c>
      <c r="B560" s="316">
        <v>3004</v>
      </c>
      <c r="C560" s="247" t="s">
        <v>979</v>
      </c>
      <c r="D560" s="317">
        <v>42649</v>
      </c>
      <c r="E560" s="318">
        <v>0.46074074074074073</v>
      </c>
      <c r="F560" s="247" t="s">
        <v>702</v>
      </c>
      <c r="G560" s="247" t="s">
        <v>1035</v>
      </c>
      <c r="H560" s="248" t="s">
        <v>234</v>
      </c>
      <c r="I560" s="248" t="s">
        <v>702</v>
      </c>
      <c r="J560" s="247" t="s">
        <v>809</v>
      </c>
      <c r="K560" s="249">
        <v>0</v>
      </c>
      <c r="M560" s="90">
        <v>0</v>
      </c>
      <c r="N560" s="90">
        <v>0</v>
      </c>
      <c r="O560" s="90">
        <v>255</v>
      </c>
    </row>
    <row r="561" spans="1:15" s="90" customFormat="1" ht="12.75" customHeight="1" x14ac:dyDescent="0.2">
      <c r="A561" s="247" t="s">
        <v>1269</v>
      </c>
      <c r="B561" s="316">
        <v>3004</v>
      </c>
      <c r="C561" s="247" t="s">
        <v>979</v>
      </c>
      <c r="D561" s="317">
        <v>42649</v>
      </c>
      <c r="E561" s="318">
        <v>0.46133101851851849</v>
      </c>
      <c r="F561" s="247" t="s">
        <v>702</v>
      </c>
      <c r="G561" s="247" t="s">
        <v>1035</v>
      </c>
      <c r="H561" s="248" t="s">
        <v>234</v>
      </c>
      <c r="I561" s="248" t="s">
        <v>702</v>
      </c>
      <c r="J561" s="247" t="s">
        <v>809</v>
      </c>
      <c r="K561" s="249">
        <v>0</v>
      </c>
      <c r="M561" s="90">
        <v>0</v>
      </c>
      <c r="N561" s="90">
        <v>0</v>
      </c>
      <c r="O561" s="90">
        <v>255</v>
      </c>
    </row>
    <row r="562" spans="1:15" s="90" customFormat="1" ht="12.75" customHeight="1" x14ac:dyDescent="0.2">
      <c r="A562" s="247" t="s">
        <v>1031</v>
      </c>
      <c r="B562" s="316">
        <v>3046</v>
      </c>
      <c r="C562" s="247" t="s">
        <v>975</v>
      </c>
      <c r="D562" s="317">
        <v>42649</v>
      </c>
      <c r="E562" s="318">
        <v>0.46197916666666666</v>
      </c>
      <c r="F562" s="247" t="s">
        <v>976</v>
      </c>
      <c r="G562" s="247" t="s">
        <v>1035</v>
      </c>
      <c r="H562" s="248" t="s">
        <v>404</v>
      </c>
      <c r="I562" s="248" t="s">
        <v>404</v>
      </c>
      <c r="J562" s="247" t="s">
        <v>809</v>
      </c>
      <c r="K562" s="249">
        <v>0</v>
      </c>
      <c r="M562" s="90">
        <v>0</v>
      </c>
      <c r="N562" s="90">
        <v>0</v>
      </c>
      <c r="O562" s="90">
        <v>255</v>
      </c>
    </row>
    <row r="563" spans="1:15" s="90" customFormat="1" ht="12.75" customHeight="1" x14ac:dyDescent="0.2">
      <c r="A563" s="247" t="s">
        <v>1032</v>
      </c>
      <c r="B563" s="316">
        <v>3046</v>
      </c>
      <c r="C563" s="247" t="s">
        <v>975</v>
      </c>
      <c r="D563" s="317">
        <v>42649</v>
      </c>
      <c r="E563" s="318">
        <v>0.46423611111111113</v>
      </c>
      <c r="F563" s="247" t="s">
        <v>976</v>
      </c>
      <c r="G563" s="247" t="s">
        <v>1035</v>
      </c>
      <c r="H563" s="248" t="s">
        <v>404</v>
      </c>
      <c r="I563" s="248" t="s">
        <v>404</v>
      </c>
      <c r="J563" s="247" t="s">
        <v>809</v>
      </c>
      <c r="K563" s="249">
        <v>0</v>
      </c>
      <c r="M563" s="90">
        <v>0</v>
      </c>
      <c r="N563" s="90">
        <v>0</v>
      </c>
      <c r="O563" s="90">
        <v>255</v>
      </c>
    </row>
    <row r="564" spans="1:15" s="90" customFormat="1" ht="12.75" customHeight="1" x14ac:dyDescent="0.2">
      <c r="A564" s="247" t="s">
        <v>989</v>
      </c>
      <c r="B564" s="316">
        <v>3046</v>
      </c>
      <c r="C564" s="247" t="s">
        <v>975</v>
      </c>
      <c r="D564" s="317">
        <v>42649</v>
      </c>
      <c r="E564" s="318">
        <v>0.46423611111111113</v>
      </c>
      <c r="F564" s="247" t="s">
        <v>976</v>
      </c>
      <c r="G564" s="247" t="s">
        <v>1035</v>
      </c>
      <c r="H564" s="248" t="s">
        <v>404</v>
      </c>
      <c r="I564" s="248" t="s">
        <v>404</v>
      </c>
      <c r="J564" s="247" t="s">
        <v>809</v>
      </c>
      <c r="K564" s="249">
        <v>0</v>
      </c>
      <c r="M564" s="90">
        <v>0</v>
      </c>
      <c r="N564" s="90">
        <v>0</v>
      </c>
      <c r="O564" s="90">
        <v>255</v>
      </c>
    </row>
    <row r="565" spans="1:15" s="90" customFormat="1" ht="12.75" customHeight="1" x14ac:dyDescent="0.2">
      <c r="A565" s="247" t="s">
        <v>990</v>
      </c>
      <c r="B565" s="316">
        <v>3046</v>
      </c>
      <c r="C565" s="247" t="s">
        <v>975</v>
      </c>
      <c r="D565" s="317">
        <v>42649</v>
      </c>
      <c r="E565" s="318">
        <v>0.46453703703703703</v>
      </c>
      <c r="F565" s="247" t="s">
        <v>976</v>
      </c>
      <c r="G565" s="247" t="s">
        <v>1035</v>
      </c>
      <c r="H565" s="248" t="s">
        <v>404</v>
      </c>
      <c r="I565" s="248" t="s">
        <v>404</v>
      </c>
      <c r="J565" s="247" t="s">
        <v>809</v>
      </c>
      <c r="K565" s="249">
        <v>0</v>
      </c>
      <c r="M565" s="90">
        <v>0</v>
      </c>
      <c r="N565" s="90">
        <v>0</v>
      </c>
      <c r="O565" s="90">
        <v>255</v>
      </c>
    </row>
    <row r="566" spans="1:15" s="90" customFormat="1" ht="12.75" customHeight="1" x14ac:dyDescent="0.2">
      <c r="A566" s="247" t="s">
        <v>1033</v>
      </c>
      <c r="B566" s="316">
        <v>3217</v>
      </c>
      <c r="C566" s="247" t="s">
        <v>975</v>
      </c>
      <c r="D566" s="317">
        <v>42649</v>
      </c>
      <c r="E566" s="318">
        <v>0.46453703703703703</v>
      </c>
      <c r="F566" s="247" t="s">
        <v>235</v>
      </c>
      <c r="G566" s="247" t="s">
        <v>1035</v>
      </c>
      <c r="H566" s="248" t="s">
        <v>234</v>
      </c>
      <c r="I566" s="248" t="s">
        <v>235</v>
      </c>
      <c r="J566" s="247" t="s">
        <v>809</v>
      </c>
      <c r="K566" s="249">
        <v>0</v>
      </c>
      <c r="M566" s="90">
        <v>0</v>
      </c>
      <c r="N566" s="90">
        <v>0</v>
      </c>
      <c r="O566" s="90">
        <v>255</v>
      </c>
    </row>
    <row r="567" spans="1:15" s="90" customFormat="1" ht="12.75" customHeight="1" x14ac:dyDescent="0.2">
      <c r="A567" s="247" t="s">
        <v>1057</v>
      </c>
      <c r="B567" s="316">
        <v>3218</v>
      </c>
      <c r="C567" s="247" t="s">
        <v>979</v>
      </c>
      <c r="D567" s="317">
        <v>42649</v>
      </c>
      <c r="E567" s="318">
        <v>0.46894675925925927</v>
      </c>
      <c r="F567" s="247" t="s">
        <v>702</v>
      </c>
      <c r="G567" s="247" t="s">
        <v>1035</v>
      </c>
      <c r="H567" s="248"/>
      <c r="I567" s="248"/>
      <c r="J567" s="247"/>
      <c r="K567" s="249"/>
      <c r="M567" s="90">
        <v>0</v>
      </c>
      <c r="N567" s="90">
        <v>0</v>
      </c>
      <c r="O567" s="90">
        <v>255</v>
      </c>
    </row>
    <row r="568" spans="1:15" s="90" customFormat="1" ht="12.75" customHeight="1" x14ac:dyDescent="0.2">
      <c r="A568" s="247" t="s">
        <v>1058</v>
      </c>
      <c r="B568" s="316">
        <v>3218</v>
      </c>
      <c r="C568" s="247" t="s">
        <v>979</v>
      </c>
      <c r="D568" s="317">
        <v>42649</v>
      </c>
      <c r="E568" s="318">
        <v>0.46894675925925927</v>
      </c>
      <c r="F568" s="247" t="s">
        <v>702</v>
      </c>
      <c r="G568" s="247" t="s">
        <v>1035</v>
      </c>
      <c r="H568" s="248"/>
      <c r="I568" s="248"/>
      <c r="J568" s="247"/>
      <c r="K568" s="249"/>
      <c r="M568" s="90">
        <v>0</v>
      </c>
      <c r="N568" s="90">
        <v>0</v>
      </c>
      <c r="O568" s="90">
        <v>255</v>
      </c>
    </row>
    <row r="569" spans="1:15" s="90" customFormat="1" ht="12.75" customHeight="1" x14ac:dyDescent="0.2">
      <c r="A569" s="247" t="s">
        <v>1059</v>
      </c>
      <c r="B569" s="316">
        <v>3218</v>
      </c>
      <c r="C569" s="247" t="s">
        <v>979</v>
      </c>
      <c r="D569" s="317">
        <v>42649</v>
      </c>
      <c r="E569" s="318">
        <v>0.46894675925925927</v>
      </c>
      <c r="F569" s="247" t="s">
        <v>702</v>
      </c>
      <c r="G569" s="247" t="s">
        <v>1035</v>
      </c>
      <c r="H569" s="248"/>
      <c r="I569" s="248"/>
      <c r="J569" s="247"/>
      <c r="K569" s="249"/>
      <c r="M569" s="90">
        <v>0</v>
      </c>
      <c r="N569" s="90">
        <v>0</v>
      </c>
      <c r="O569" s="90">
        <v>255</v>
      </c>
    </row>
    <row r="570" spans="1:15" s="90" customFormat="1" ht="12.75" customHeight="1" x14ac:dyDescent="0.2">
      <c r="A570" s="247" t="s">
        <v>1060</v>
      </c>
      <c r="B570" s="316">
        <v>3218</v>
      </c>
      <c r="C570" s="247" t="s">
        <v>979</v>
      </c>
      <c r="D570" s="317">
        <v>42649</v>
      </c>
      <c r="E570" s="318">
        <v>0.46894675925925927</v>
      </c>
      <c r="F570" s="247" t="s">
        <v>702</v>
      </c>
      <c r="G570" s="247" t="s">
        <v>1035</v>
      </c>
      <c r="H570" s="248"/>
      <c r="I570" s="248"/>
      <c r="J570" s="247"/>
      <c r="K570" s="249"/>
      <c r="M570" s="90">
        <v>0</v>
      </c>
      <c r="N570" s="90">
        <v>0</v>
      </c>
      <c r="O570" s="90">
        <v>255</v>
      </c>
    </row>
    <row r="571" spans="1:15" s="90" customFormat="1" ht="12.75" customHeight="1" x14ac:dyDescent="0.2">
      <c r="A571" s="247" t="s">
        <v>1061</v>
      </c>
      <c r="B571" s="316">
        <v>3218</v>
      </c>
      <c r="C571" s="247" t="s">
        <v>979</v>
      </c>
      <c r="D571" s="317">
        <v>42649</v>
      </c>
      <c r="E571" s="318">
        <v>0.46894675925925927</v>
      </c>
      <c r="F571" s="247" t="s">
        <v>702</v>
      </c>
      <c r="G571" s="247" t="s">
        <v>1035</v>
      </c>
      <c r="H571" s="248"/>
      <c r="I571" s="248"/>
      <c r="J571" s="247"/>
      <c r="K571" s="249"/>
      <c r="M571" s="90">
        <v>0</v>
      </c>
      <c r="N571" s="90">
        <v>0</v>
      </c>
      <c r="O571" s="90">
        <v>255</v>
      </c>
    </row>
    <row r="572" spans="1:15" s="90" customFormat="1" ht="12.75" customHeight="1" x14ac:dyDescent="0.2">
      <c r="A572" s="247" t="s">
        <v>1062</v>
      </c>
      <c r="B572" s="316">
        <v>3218</v>
      </c>
      <c r="C572" s="247" t="s">
        <v>979</v>
      </c>
      <c r="D572" s="317">
        <v>42649</v>
      </c>
      <c r="E572" s="318">
        <v>0.46894675925925927</v>
      </c>
      <c r="F572" s="247" t="s">
        <v>702</v>
      </c>
      <c r="G572" s="247" t="s">
        <v>1035</v>
      </c>
      <c r="H572" s="248"/>
      <c r="I572" s="248"/>
      <c r="J572" s="247"/>
      <c r="K572" s="249"/>
      <c r="M572" s="90">
        <v>0</v>
      </c>
      <c r="N572" s="90">
        <v>0</v>
      </c>
      <c r="O572" s="90">
        <v>255</v>
      </c>
    </row>
    <row r="573" spans="1:15" s="90" customFormat="1" ht="12.75" customHeight="1" x14ac:dyDescent="0.2">
      <c r="A573" s="247" t="s">
        <v>1063</v>
      </c>
      <c r="B573" s="316">
        <v>3218</v>
      </c>
      <c r="C573" s="247" t="s">
        <v>979</v>
      </c>
      <c r="D573" s="317">
        <v>42649</v>
      </c>
      <c r="E573" s="318">
        <v>0.46894675925925927</v>
      </c>
      <c r="F573" s="247" t="s">
        <v>702</v>
      </c>
      <c r="G573" s="247" t="s">
        <v>1035</v>
      </c>
      <c r="H573" s="248"/>
      <c r="I573" s="248"/>
      <c r="J573" s="247"/>
      <c r="K573" s="249"/>
      <c r="M573" s="90">
        <v>0</v>
      </c>
      <c r="N573" s="90">
        <v>0</v>
      </c>
      <c r="O573" s="90">
        <v>255</v>
      </c>
    </row>
    <row r="574" spans="1:15" s="90" customFormat="1" ht="12.75" customHeight="1" x14ac:dyDescent="0.2">
      <c r="A574" s="247" t="s">
        <v>1210</v>
      </c>
      <c r="B574" s="316">
        <v>3024</v>
      </c>
      <c r="C574" s="247" t="s">
        <v>996</v>
      </c>
      <c r="D574" s="317">
        <v>42649</v>
      </c>
      <c r="E574" s="318">
        <v>0.46949074074074071</v>
      </c>
      <c r="F574" s="247" t="s">
        <v>702</v>
      </c>
      <c r="G574" s="247" t="s">
        <v>1035</v>
      </c>
      <c r="H574" s="248" t="s">
        <v>234</v>
      </c>
      <c r="I574" s="248" t="s">
        <v>702</v>
      </c>
      <c r="J574" s="247" t="s">
        <v>809</v>
      </c>
      <c r="K574" s="249">
        <v>0</v>
      </c>
      <c r="M574" s="90">
        <v>0</v>
      </c>
      <c r="N574" s="90">
        <v>0</v>
      </c>
      <c r="O574" s="90">
        <v>255</v>
      </c>
    </row>
    <row r="575" spans="1:15" s="90" customFormat="1" ht="12.75" customHeight="1" x14ac:dyDescent="0.2">
      <c r="A575" s="247" t="s">
        <v>1270</v>
      </c>
      <c r="B575" s="316">
        <v>3024</v>
      </c>
      <c r="C575" s="247" t="s">
        <v>996</v>
      </c>
      <c r="D575" s="317">
        <v>42649</v>
      </c>
      <c r="E575" s="318">
        <v>0.46949074074074071</v>
      </c>
      <c r="F575" s="247" t="s">
        <v>702</v>
      </c>
      <c r="G575" s="247" t="s">
        <v>1035</v>
      </c>
      <c r="H575" s="248" t="s">
        <v>234</v>
      </c>
      <c r="I575" s="248" t="s">
        <v>702</v>
      </c>
      <c r="J575" s="247" t="s">
        <v>809</v>
      </c>
      <c r="K575" s="249">
        <v>0</v>
      </c>
      <c r="M575" s="90">
        <v>0</v>
      </c>
      <c r="N575" s="90">
        <v>0</v>
      </c>
      <c r="O575" s="90">
        <v>255</v>
      </c>
    </row>
    <row r="576" spans="1:15" s="90" customFormat="1" ht="12.75" customHeight="1" x14ac:dyDescent="0.2">
      <c r="A576" s="247" t="s">
        <v>1031</v>
      </c>
      <c r="B576" s="316">
        <v>3046</v>
      </c>
      <c r="C576" s="247" t="s">
        <v>975</v>
      </c>
      <c r="D576" s="317">
        <v>42649</v>
      </c>
      <c r="E576" s="318">
        <v>0.46949074074074071</v>
      </c>
      <c r="F576" s="247" t="s">
        <v>976</v>
      </c>
      <c r="G576" s="247" t="s">
        <v>1035</v>
      </c>
      <c r="H576" s="248" t="s">
        <v>404</v>
      </c>
      <c r="I576" s="248" t="s">
        <v>404</v>
      </c>
      <c r="J576" s="247" t="s">
        <v>809</v>
      </c>
      <c r="K576" s="249">
        <v>0</v>
      </c>
      <c r="M576" s="90">
        <v>0</v>
      </c>
      <c r="N576" s="90">
        <v>0</v>
      </c>
      <c r="O576" s="90">
        <v>255</v>
      </c>
    </row>
    <row r="577" spans="1:15" s="90" customFormat="1" ht="12.75" customHeight="1" x14ac:dyDescent="0.2">
      <c r="A577" s="247" t="s">
        <v>1152</v>
      </c>
      <c r="B577" s="316">
        <v>3218</v>
      </c>
      <c r="C577" s="247" t="s">
        <v>979</v>
      </c>
      <c r="D577" s="317">
        <v>42649</v>
      </c>
      <c r="E577" s="318">
        <v>0.47245370370370371</v>
      </c>
      <c r="F577" s="247" t="s">
        <v>702</v>
      </c>
      <c r="G577" s="247" t="s">
        <v>1035</v>
      </c>
      <c r="H577" s="248"/>
      <c r="I577" s="248"/>
      <c r="J577" s="247"/>
      <c r="K577" s="249"/>
      <c r="M577" s="90">
        <v>0</v>
      </c>
      <c r="N577" s="90">
        <v>0</v>
      </c>
      <c r="O577" s="90">
        <v>255</v>
      </c>
    </row>
    <row r="578" spans="1:15" s="90" customFormat="1" ht="12.75" customHeight="1" x14ac:dyDescent="0.2">
      <c r="A578" s="247" t="s">
        <v>1153</v>
      </c>
      <c r="B578" s="316">
        <v>3218</v>
      </c>
      <c r="C578" s="247" t="s">
        <v>979</v>
      </c>
      <c r="D578" s="317">
        <v>42649</v>
      </c>
      <c r="E578" s="318">
        <v>0.47245370370370371</v>
      </c>
      <c r="F578" s="247" t="s">
        <v>702</v>
      </c>
      <c r="G578" s="247" t="s">
        <v>1035</v>
      </c>
      <c r="H578" s="248"/>
      <c r="I578" s="248"/>
      <c r="J578" s="247"/>
      <c r="K578" s="249"/>
      <c r="M578" s="90">
        <v>0</v>
      </c>
      <c r="N578" s="90">
        <v>0</v>
      </c>
      <c r="O578" s="90">
        <v>255</v>
      </c>
    </row>
    <row r="579" spans="1:15" s="90" customFormat="1" ht="12.75" customHeight="1" x14ac:dyDescent="0.2">
      <c r="A579" s="247" t="s">
        <v>1154</v>
      </c>
      <c r="B579" s="316">
        <v>3218</v>
      </c>
      <c r="C579" s="247" t="s">
        <v>979</v>
      </c>
      <c r="D579" s="317">
        <v>42649</v>
      </c>
      <c r="E579" s="318">
        <v>0.47245370370370371</v>
      </c>
      <c r="F579" s="247" t="s">
        <v>702</v>
      </c>
      <c r="G579" s="247" t="s">
        <v>1035</v>
      </c>
      <c r="H579" s="248"/>
      <c r="I579" s="248"/>
      <c r="J579" s="247"/>
      <c r="K579" s="249"/>
      <c r="M579" s="90">
        <v>0</v>
      </c>
      <c r="N579" s="90">
        <v>0</v>
      </c>
      <c r="O579" s="90">
        <v>255</v>
      </c>
    </row>
    <row r="580" spans="1:15" s="90" customFormat="1" ht="12.75" customHeight="1" x14ac:dyDescent="0.2">
      <c r="A580" s="247" t="s">
        <v>1155</v>
      </c>
      <c r="B580" s="316">
        <v>3218</v>
      </c>
      <c r="C580" s="247" t="s">
        <v>979</v>
      </c>
      <c r="D580" s="317">
        <v>42649</v>
      </c>
      <c r="E580" s="318">
        <v>0.47245370370370371</v>
      </c>
      <c r="F580" s="247" t="s">
        <v>702</v>
      </c>
      <c r="G580" s="247" t="s">
        <v>1035</v>
      </c>
      <c r="H580" s="248"/>
      <c r="I580" s="248"/>
      <c r="J580" s="247"/>
      <c r="K580" s="249"/>
      <c r="M580" s="90">
        <v>0</v>
      </c>
      <c r="N580" s="90">
        <v>0</v>
      </c>
      <c r="O580" s="90">
        <v>255</v>
      </c>
    </row>
    <row r="581" spans="1:15" s="90" customFormat="1" ht="12.75" customHeight="1" x14ac:dyDescent="0.2">
      <c r="A581" s="247" t="s">
        <v>1156</v>
      </c>
      <c r="B581" s="316">
        <v>3218</v>
      </c>
      <c r="C581" s="247" t="s">
        <v>979</v>
      </c>
      <c r="D581" s="317">
        <v>42649</v>
      </c>
      <c r="E581" s="318">
        <v>0.47245370370370371</v>
      </c>
      <c r="F581" s="247" t="s">
        <v>702</v>
      </c>
      <c r="G581" s="247" t="s">
        <v>1035</v>
      </c>
      <c r="H581" s="248"/>
      <c r="I581" s="248"/>
      <c r="J581" s="247"/>
      <c r="K581" s="249"/>
      <c r="M581" s="90">
        <v>0</v>
      </c>
      <c r="N581" s="90">
        <v>0</v>
      </c>
      <c r="O581" s="90">
        <v>255</v>
      </c>
    </row>
    <row r="582" spans="1:15" s="90" customFormat="1" ht="12.75" customHeight="1" x14ac:dyDescent="0.2">
      <c r="A582" s="247" t="s">
        <v>1127</v>
      </c>
      <c r="B582" s="316">
        <v>3024</v>
      </c>
      <c r="C582" s="247" t="s">
        <v>996</v>
      </c>
      <c r="D582" s="317">
        <v>42649</v>
      </c>
      <c r="E582" s="318">
        <v>0.47309027777777773</v>
      </c>
      <c r="F582" s="247" t="s">
        <v>702</v>
      </c>
      <c r="G582" s="247" t="s">
        <v>1035</v>
      </c>
      <c r="H582" s="248" t="s">
        <v>234</v>
      </c>
      <c r="I582" s="248" t="s">
        <v>702</v>
      </c>
      <c r="J582" s="247" t="s">
        <v>809</v>
      </c>
      <c r="K582" s="249">
        <v>0</v>
      </c>
      <c r="M582" s="90">
        <v>0</v>
      </c>
      <c r="N582" s="90">
        <v>0</v>
      </c>
      <c r="O582" s="90">
        <v>255</v>
      </c>
    </row>
    <row r="583" spans="1:15" s="90" customFormat="1" ht="12.75" customHeight="1" x14ac:dyDescent="0.2">
      <c r="A583" s="247" t="s">
        <v>1271</v>
      </c>
      <c r="B583" s="316">
        <v>3218</v>
      </c>
      <c r="C583" s="247" t="s">
        <v>979</v>
      </c>
      <c r="D583" s="317">
        <v>42649</v>
      </c>
      <c r="E583" s="318">
        <v>0.47460648148148149</v>
      </c>
      <c r="F583" s="247" t="s">
        <v>702</v>
      </c>
      <c r="G583" s="247" t="s">
        <v>1035</v>
      </c>
      <c r="H583" s="248"/>
      <c r="I583" s="248"/>
      <c r="J583" s="247"/>
      <c r="K583" s="249"/>
      <c r="M583" s="90">
        <v>0</v>
      </c>
      <c r="N583" s="90">
        <v>0</v>
      </c>
      <c r="O583" s="90">
        <v>255</v>
      </c>
    </row>
    <row r="584" spans="1:15" s="90" customFormat="1" ht="12.75" customHeight="1" x14ac:dyDescent="0.2">
      <c r="A584" s="247" t="s">
        <v>1267</v>
      </c>
      <c r="B584" s="316">
        <v>3004</v>
      </c>
      <c r="C584" s="247" t="s">
        <v>979</v>
      </c>
      <c r="D584" s="317">
        <v>42649</v>
      </c>
      <c r="E584" s="318">
        <v>0.47894675925925928</v>
      </c>
      <c r="F584" s="247" t="s">
        <v>702</v>
      </c>
      <c r="G584" s="247" t="s">
        <v>1035</v>
      </c>
      <c r="H584" s="248" t="s">
        <v>234</v>
      </c>
      <c r="I584" s="248" t="s">
        <v>702</v>
      </c>
      <c r="J584" s="247" t="s">
        <v>809</v>
      </c>
      <c r="K584" s="249">
        <v>0</v>
      </c>
      <c r="M584" s="90">
        <v>0</v>
      </c>
      <c r="N584" s="90">
        <v>0</v>
      </c>
      <c r="O584" s="90">
        <v>255</v>
      </c>
    </row>
    <row r="585" spans="1:15" s="90" customFormat="1" ht="12.75" customHeight="1" x14ac:dyDescent="0.2">
      <c r="A585" s="247" t="s">
        <v>1191</v>
      </c>
      <c r="B585" s="316">
        <v>3004</v>
      </c>
      <c r="C585" s="247" t="s">
        <v>979</v>
      </c>
      <c r="D585" s="317">
        <v>42649</v>
      </c>
      <c r="E585" s="318">
        <v>0.47895833333333332</v>
      </c>
      <c r="F585" s="247" t="s">
        <v>702</v>
      </c>
      <c r="G585" s="247" t="s">
        <v>1035</v>
      </c>
      <c r="H585" s="248" t="s">
        <v>234</v>
      </c>
      <c r="I585" s="248" t="s">
        <v>702</v>
      </c>
      <c r="J585" s="247" t="s">
        <v>809</v>
      </c>
      <c r="K585" s="249">
        <v>0</v>
      </c>
      <c r="M585" s="90">
        <v>0</v>
      </c>
      <c r="N585" s="90">
        <v>0</v>
      </c>
      <c r="O585" s="90">
        <v>255</v>
      </c>
    </row>
    <row r="586" spans="1:15" s="90" customFormat="1" ht="12.75" customHeight="1" x14ac:dyDescent="0.2">
      <c r="A586" s="247" t="s">
        <v>1272</v>
      </c>
      <c r="B586" s="316">
        <v>2055</v>
      </c>
      <c r="C586" s="247" t="s">
        <v>979</v>
      </c>
      <c r="D586" s="317">
        <v>42649</v>
      </c>
      <c r="E586" s="318">
        <v>0.48335648148148147</v>
      </c>
      <c r="F586" s="247" t="s">
        <v>702</v>
      </c>
      <c r="G586" s="247" t="s">
        <v>1035</v>
      </c>
      <c r="H586" s="248" t="s">
        <v>121</v>
      </c>
      <c r="I586" s="248" t="s">
        <v>122</v>
      </c>
      <c r="J586" s="247" t="s">
        <v>809</v>
      </c>
      <c r="K586" s="249">
        <v>0</v>
      </c>
      <c r="L586" s="90" t="s">
        <v>1777</v>
      </c>
      <c r="M586" s="90">
        <v>1118</v>
      </c>
      <c r="N586" s="90">
        <v>4</v>
      </c>
      <c r="O586" s="90">
        <v>0</v>
      </c>
    </row>
    <row r="587" spans="1:15" s="90" customFormat="1" ht="12.75" customHeight="1" x14ac:dyDescent="0.2">
      <c r="A587" s="247" t="s">
        <v>1273</v>
      </c>
      <c r="B587" s="316">
        <v>2055</v>
      </c>
      <c r="C587" s="247" t="s">
        <v>979</v>
      </c>
      <c r="D587" s="317">
        <v>42649</v>
      </c>
      <c r="E587" s="318">
        <v>0.48422453703703705</v>
      </c>
      <c r="F587" s="247" t="s">
        <v>702</v>
      </c>
      <c r="G587" s="247" t="s">
        <v>1035</v>
      </c>
      <c r="H587" s="248" t="s">
        <v>121</v>
      </c>
      <c r="I587" s="248" t="s">
        <v>122</v>
      </c>
      <c r="J587" s="247" t="s">
        <v>809</v>
      </c>
      <c r="K587" s="249">
        <v>0</v>
      </c>
      <c r="L587" s="90" t="s">
        <v>1777</v>
      </c>
      <c r="M587" s="90">
        <v>1118</v>
      </c>
      <c r="N587" s="90">
        <v>4</v>
      </c>
      <c r="O587" s="90">
        <v>0</v>
      </c>
    </row>
    <row r="588" spans="1:15" s="90" customFormat="1" ht="12.75" customHeight="1" x14ac:dyDescent="0.2">
      <c r="A588" s="247" t="s">
        <v>1032</v>
      </c>
      <c r="B588" s="316">
        <v>3046</v>
      </c>
      <c r="C588" s="247" t="s">
        <v>975</v>
      </c>
      <c r="D588" s="317">
        <v>42649</v>
      </c>
      <c r="E588" s="318">
        <v>0.4924884259259259</v>
      </c>
      <c r="F588" s="247" t="s">
        <v>976</v>
      </c>
      <c r="G588" s="247" t="s">
        <v>1035</v>
      </c>
      <c r="H588" s="248" t="s">
        <v>404</v>
      </c>
      <c r="I588" s="248" t="s">
        <v>404</v>
      </c>
      <c r="J588" s="247" t="s">
        <v>809</v>
      </c>
      <c r="K588" s="249">
        <v>0</v>
      </c>
      <c r="M588" s="90">
        <v>0</v>
      </c>
      <c r="N588" s="90">
        <v>0</v>
      </c>
      <c r="O588" s="90">
        <v>255</v>
      </c>
    </row>
    <row r="589" spans="1:15" s="90" customFormat="1" ht="12.75" customHeight="1" x14ac:dyDescent="0.2">
      <c r="A589" s="247" t="s">
        <v>989</v>
      </c>
      <c r="B589" s="316">
        <v>3046</v>
      </c>
      <c r="C589" s="247" t="s">
        <v>975</v>
      </c>
      <c r="D589" s="317">
        <v>42649</v>
      </c>
      <c r="E589" s="318">
        <v>0.4924884259259259</v>
      </c>
      <c r="F589" s="247" t="s">
        <v>976</v>
      </c>
      <c r="G589" s="247" t="s">
        <v>1035</v>
      </c>
      <c r="H589" s="248" t="s">
        <v>404</v>
      </c>
      <c r="I589" s="248" t="s">
        <v>404</v>
      </c>
      <c r="J589" s="247" t="s">
        <v>809</v>
      </c>
      <c r="K589" s="249">
        <v>0</v>
      </c>
      <c r="M589" s="90">
        <v>0</v>
      </c>
      <c r="N589" s="90">
        <v>0</v>
      </c>
      <c r="O589" s="90">
        <v>255</v>
      </c>
    </row>
    <row r="590" spans="1:15" s="90" customFormat="1" ht="12.75" customHeight="1" x14ac:dyDescent="0.2">
      <c r="A590" s="247" t="s">
        <v>990</v>
      </c>
      <c r="B590" s="316">
        <v>3046</v>
      </c>
      <c r="C590" s="247" t="s">
        <v>975</v>
      </c>
      <c r="D590" s="317">
        <v>42649</v>
      </c>
      <c r="E590" s="318">
        <v>0.49278935185185185</v>
      </c>
      <c r="F590" s="247" t="s">
        <v>976</v>
      </c>
      <c r="G590" s="247" t="s">
        <v>1035</v>
      </c>
      <c r="H590" s="248" t="s">
        <v>404</v>
      </c>
      <c r="I590" s="248" t="s">
        <v>404</v>
      </c>
      <c r="J590" s="247" t="s">
        <v>809</v>
      </c>
      <c r="K590" s="249">
        <v>0</v>
      </c>
      <c r="M590" s="90">
        <v>0</v>
      </c>
      <c r="N590" s="90">
        <v>0</v>
      </c>
      <c r="O590" s="90">
        <v>255</v>
      </c>
    </row>
    <row r="591" spans="1:15" s="90" customFormat="1" ht="12.75" customHeight="1" x14ac:dyDescent="0.2">
      <c r="A591" s="247" t="s">
        <v>1033</v>
      </c>
      <c r="B591" s="316">
        <v>3217</v>
      </c>
      <c r="C591" s="247" t="s">
        <v>975</v>
      </c>
      <c r="D591" s="317">
        <v>42649</v>
      </c>
      <c r="E591" s="318">
        <v>0.49278935185185185</v>
      </c>
      <c r="F591" s="247" t="s">
        <v>235</v>
      </c>
      <c r="G591" s="247" t="s">
        <v>1035</v>
      </c>
      <c r="H591" s="248" t="s">
        <v>234</v>
      </c>
      <c r="I591" s="248" t="s">
        <v>235</v>
      </c>
      <c r="J591" s="247" t="s">
        <v>809</v>
      </c>
      <c r="K591" s="249">
        <v>0</v>
      </c>
      <c r="M591" s="90">
        <v>0</v>
      </c>
      <c r="N591" s="90">
        <v>0</v>
      </c>
      <c r="O591" s="90">
        <v>255</v>
      </c>
    </row>
    <row r="592" spans="1:15" s="90" customFormat="1" ht="12.75" customHeight="1" x14ac:dyDescent="0.2">
      <c r="A592" s="247" t="s">
        <v>1267</v>
      </c>
      <c r="B592" s="316">
        <v>3004</v>
      </c>
      <c r="C592" s="247" t="s">
        <v>979</v>
      </c>
      <c r="D592" s="317">
        <v>42649</v>
      </c>
      <c r="E592" s="318">
        <v>0.50429398148148141</v>
      </c>
      <c r="F592" s="247" t="s">
        <v>702</v>
      </c>
      <c r="G592" s="247" t="s">
        <v>1035</v>
      </c>
      <c r="H592" s="248" t="s">
        <v>234</v>
      </c>
      <c r="I592" s="248" t="s">
        <v>702</v>
      </c>
      <c r="J592" s="247" t="s">
        <v>809</v>
      </c>
      <c r="K592" s="249">
        <v>0</v>
      </c>
      <c r="M592" s="90">
        <v>0</v>
      </c>
      <c r="N592" s="90">
        <v>0</v>
      </c>
      <c r="O592" s="90">
        <v>255</v>
      </c>
    </row>
    <row r="593" spans="1:15" s="90" customFormat="1" ht="12.75" customHeight="1" x14ac:dyDescent="0.2">
      <c r="A593" s="247" t="s">
        <v>1274</v>
      </c>
      <c r="B593" s="316">
        <v>3218</v>
      </c>
      <c r="C593" s="247" t="s">
        <v>979</v>
      </c>
      <c r="D593" s="317">
        <v>42649</v>
      </c>
      <c r="E593" s="318">
        <v>0.51527777777777783</v>
      </c>
      <c r="F593" s="247" t="s">
        <v>702</v>
      </c>
      <c r="G593" s="247" t="s">
        <v>1035</v>
      </c>
      <c r="H593" s="248"/>
      <c r="I593" s="248"/>
      <c r="J593" s="247"/>
      <c r="K593" s="249"/>
      <c r="M593" s="90">
        <v>0</v>
      </c>
      <c r="N593" s="90">
        <v>0</v>
      </c>
      <c r="O593" s="90">
        <v>255</v>
      </c>
    </row>
    <row r="594" spans="1:15" s="90" customFormat="1" ht="12.75" customHeight="1" x14ac:dyDescent="0.2">
      <c r="A594" s="247" t="s">
        <v>1275</v>
      </c>
      <c r="B594" s="316">
        <v>3218</v>
      </c>
      <c r="C594" s="247" t="s">
        <v>979</v>
      </c>
      <c r="D594" s="317">
        <v>42649</v>
      </c>
      <c r="E594" s="318">
        <v>0.51527777777777783</v>
      </c>
      <c r="F594" s="247" t="s">
        <v>702</v>
      </c>
      <c r="G594" s="247" t="s">
        <v>1035</v>
      </c>
      <c r="H594" s="248"/>
      <c r="I594" s="248"/>
      <c r="J594" s="247"/>
      <c r="K594" s="249"/>
      <c r="M594" s="90">
        <v>0</v>
      </c>
      <c r="N594" s="90">
        <v>0</v>
      </c>
      <c r="O594" s="90">
        <v>255</v>
      </c>
    </row>
    <row r="595" spans="1:15" s="90" customFormat="1" ht="12.75" customHeight="1" x14ac:dyDescent="0.2">
      <c r="A595" s="247" t="s">
        <v>1031</v>
      </c>
      <c r="B595" s="316">
        <v>3046</v>
      </c>
      <c r="C595" s="247" t="s">
        <v>975</v>
      </c>
      <c r="D595" s="317">
        <v>42649</v>
      </c>
      <c r="E595" s="318">
        <v>0.51557870370370373</v>
      </c>
      <c r="F595" s="247" t="s">
        <v>976</v>
      </c>
      <c r="G595" s="247" t="s">
        <v>1035</v>
      </c>
      <c r="H595" s="248" t="s">
        <v>404</v>
      </c>
      <c r="I595" s="248" t="s">
        <v>404</v>
      </c>
      <c r="J595" s="247" t="s">
        <v>809</v>
      </c>
      <c r="K595" s="249">
        <v>0</v>
      </c>
      <c r="M595" s="90">
        <v>0</v>
      </c>
      <c r="N595" s="90">
        <v>0</v>
      </c>
      <c r="O595" s="90">
        <v>255</v>
      </c>
    </row>
    <row r="596" spans="1:15" s="90" customFormat="1" ht="12.75" customHeight="1" x14ac:dyDescent="0.2">
      <c r="A596" s="247" t="s">
        <v>1032</v>
      </c>
      <c r="B596" s="316">
        <v>3046</v>
      </c>
      <c r="C596" s="247" t="s">
        <v>975</v>
      </c>
      <c r="D596" s="317">
        <v>42649</v>
      </c>
      <c r="E596" s="318">
        <v>0.51836805555555554</v>
      </c>
      <c r="F596" s="247" t="s">
        <v>976</v>
      </c>
      <c r="G596" s="247" t="s">
        <v>1035</v>
      </c>
      <c r="H596" s="248" t="s">
        <v>404</v>
      </c>
      <c r="I596" s="248" t="s">
        <v>404</v>
      </c>
      <c r="J596" s="247" t="s">
        <v>809</v>
      </c>
      <c r="K596" s="249">
        <v>0</v>
      </c>
      <c r="M596" s="90">
        <v>0</v>
      </c>
      <c r="N596" s="90">
        <v>0</v>
      </c>
      <c r="O596" s="90">
        <v>255</v>
      </c>
    </row>
    <row r="597" spans="1:15" s="90" customFormat="1" ht="12.75" customHeight="1" x14ac:dyDescent="0.2">
      <c r="A597" s="247" t="s">
        <v>989</v>
      </c>
      <c r="B597" s="316">
        <v>3046</v>
      </c>
      <c r="C597" s="247" t="s">
        <v>975</v>
      </c>
      <c r="D597" s="317">
        <v>42649</v>
      </c>
      <c r="E597" s="318">
        <v>0.51836805555555554</v>
      </c>
      <c r="F597" s="247" t="s">
        <v>976</v>
      </c>
      <c r="G597" s="247" t="s">
        <v>1035</v>
      </c>
      <c r="H597" s="248" t="s">
        <v>404</v>
      </c>
      <c r="I597" s="248" t="s">
        <v>404</v>
      </c>
      <c r="J597" s="247" t="s">
        <v>809</v>
      </c>
      <c r="K597" s="249">
        <v>0</v>
      </c>
      <c r="M597" s="90">
        <v>0</v>
      </c>
      <c r="N597" s="90">
        <v>0</v>
      </c>
      <c r="O597" s="90">
        <v>255</v>
      </c>
    </row>
    <row r="598" spans="1:15" s="90" customFormat="1" ht="12.75" customHeight="1" x14ac:dyDescent="0.2">
      <c r="A598" s="247" t="s">
        <v>1033</v>
      </c>
      <c r="B598" s="316">
        <v>3217</v>
      </c>
      <c r="C598" s="247" t="s">
        <v>975</v>
      </c>
      <c r="D598" s="317">
        <v>42649</v>
      </c>
      <c r="E598" s="318">
        <v>0.5186574074074074</v>
      </c>
      <c r="F598" s="247" t="s">
        <v>235</v>
      </c>
      <c r="G598" s="247" t="s">
        <v>1035</v>
      </c>
      <c r="H598" s="248" t="s">
        <v>234</v>
      </c>
      <c r="I598" s="248" t="s">
        <v>235</v>
      </c>
      <c r="J598" s="247" t="s">
        <v>809</v>
      </c>
      <c r="K598" s="249">
        <v>0</v>
      </c>
      <c r="M598" s="90">
        <v>0</v>
      </c>
      <c r="N598" s="90">
        <v>0</v>
      </c>
      <c r="O598" s="90">
        <v>255</v>
      </c>
    </row>
    <row r="599" spans="1:15" s="90" customFormat="1" ht="12.75" customHeight="1" x14ac:dyDescent="0.2">
      <c r="A599" s="247" t="s">
        <v>990</v>
      </c>
      <c r="B599" s="316">
        <v>3046</v>
      </c>
      <c r="C599" s="247" t="s">
        <v>975</v>
      </c>
      <c r="D599" s="317">
        <v>42649</v>
      </c>
      <c r="E599" s="318">
        <v>0.51866898148148144</v>
      </c>
      <c r="F599" s="247" t="s">
        <v>976</v>
      </c>
      <c r="G599" s="247" t="s">
        <v>1035</v>
      </c>
      <c r="H599" s="248" t="s">
        <v>404</v>
      </c>
      <c r="I599" s="248" t="s">
        <v>404</v>
      </c>
      <c r="J599" s="247" t="s">
        <v>809</v>
      </c>
      <c r="K599" s="249">
        <v>0</v>
      </c>
      <c r="M599" s="90">
        <v>0</v>
      </c>
      <c r="N599" s="90">
        <v>0</v>
      </c>
      <c r="O599" s="90">
        <v>255</v>
      </c>
    </row>
    <row r="600" spans="1:15" s="90" customFormat="1" ht="12.75" customHeight="1" x14ac:dyDescent="0.2">
      <c r="A600" s="247" t="s">
        <v>1144</v>
      </c>
      <c r="B600" s="316">
        <v>3218</v>
      </c>
      <c r="C600" s="247" t="s">
        <v>979</v>
      </c>
      <c r="D600" s="317">
        <v>42649</v>
      </c>
      <c r="E600" s="318">
        <v>0.53074074074074074</v>
      </c>
      <c r="F600" s="247" t="s">
        <v>702</v>
      </c>
      <c r="G600" s="247" t="s">
        <v>1035</v>
      </c>
      <c r="H600" s="248"/>
      <c r="I600" s="248"/>
      <c r="J600" s="247"/>
      <c r="K600" s="249"/>
      <c r="M600" s="90">
        <v>0</v>
      </c>
      <c r="N600" s="90">
        <v>0</v>
      </c>
      <c r="O600" s="90">
        <v>255</v>
      </c>
    </row>
    <row r="601" spans="1:15" s="90" customFormat="1" ht="12.75" customHeight="1" x14ac:dyDescent="0.2">
      <c r="A601" s="247" t="s">
        <v>1145</v>
      </c>
      <c r="B601" s="316">
        <v>3218</v>
      </c>
      <c r="C601" s="247" t="s">
        <v>979</v>
      </c>
      <c r="D601" s="317">
        <v>42649</v>
      </c>
      <c r="E601" s="318">
        <v>0.53074074074074074</v>
      </c>
      <c r="F601" s="247" t="s">
        <v>702</v>
      </c>
      <c r="G601" s="247" t="s">
        <v>1035</v>
      </c>
      <c r="H601" s="248"/>
      <c r="I601" s="248"/>
      <c r="J601" s="247"/>
      <c r="K601" s="249"/>
      <c r="M601" s="90">
        <v>0</v>
      </c>
      <c r="N601" s="90">
        <v>0</v>
      </c>
      <c r="O601" s="90">
        <v>255</v>
      </c>
    </row>
    <row r="602" spans="1:15" s="90" customFormat="1" ht="12.75" customHeight="1" x14ac:dyDescent="0.2">
      <c r="A602" s="247" t="s">
        <v>1146</v>
      </c>
      <c r="B602" s="316">
        <v>3218</v>
      </c>
      <c r="C602" s="247" t="s">
        <v>979</v>
      </c>
      <c r="D602" s="317">
        <v>42649</v>
      </c>
      <c r="E602" s="318">
        <v>0.53074074074074074</v>
      </c>
      <c r="F602" s="247" t="s">
        <v>702</v>
      </c>
      <c r="G602" s="247" t="s">
        <v>1035</v>
      </c>
      <c r="H602" s="248"/>
      <c r="I602" s="248"/>
      <c r="J602" s="247"/>
      <c r="K602" s="249"/>
      <c r="M602" s="90">
        <v>0</v>
      </c>
      <c r="N602" s="90">
        <v>0</v>
      </c>
      <c r="O602" s="90">
        <v>255</v>
      </c>
    </row>
    <row r="603" spans="1:15" s="90" customFormat="1" ht="12.75" customHeight="1" x14ac:dyDescent="0.2">
      <c r="A603" s="247" t="s">
        <v>1147</v>
      </c>
      <c r="B603" s="316">
        <v>3218</v>
      </c>
      <c r="C603" s="247" t="s">
        <v>979</v>
      </c>
      <c r="D603" s="317">
        <v>42649</v>
      </c>
      <c r="E603" s="318">
        <v>0.53074074074074074</v>
      </c>
      <c r="F603" s="247" t="s">
        <v>702</v>
      </c>
      <c r="G603" s="247" t="s">
        <v>1035</v>
      </c>
      <c r="H603" s="248"/>
      <c r="I603" s="248"/>
      <c r="J603" s="247"/>
      <c r="K603" s="249"/>
      <c r="M603" s="90">
        <v>0</v>
      </c>
      <c r="N603" s="90">
        <v>0</v>
      </c>
      <c r="O603" s="90">
        <v>255</v>
      </c>
    </row>
    <row r="604" spans="1:15" s="90" customFormat="1" ht="12.75" customHeight="1" x14ac:dyDescent="0.2">
      <c r="A604" s="247" t="s">
        <v>1148</v>
      </c>
      <c r="B604" s="316">
        <v>3218</v>
      </c>
      <c r="C604" s="247" t="s">
        <v>979</v>
      </c>
      <c r="D604" s="317">
        <v>42649</v>
      </c>
      <c r="E604" s="318">
        <v>0.53074074074074074</v>
      </c>
      <c r="F604" s="247" t="s">
        <v>702</v>
      </c>
      <c r="G604" s="247" t="s">
        <v>1035</v>
      </c>
      <c r="H604" s="248"/>
      <c r="I604" s="248"/>
      <c r="J604" s="247"/>
      <c r="K604" s="249"/>
      <c r="M604" s="90">
        <v>0</v>
      </c>
      <c r="N604" s="90">
        <v>0</v>
      </c>
      <c r="O604" s="90">
        <v>255</v>
      </c>
    </row>
    <row r="605" spans="1:15" s="90" customFormat="1" ht="12.75" customHeight="1" x14ac:dyDescent="0.2">
      <c r="A605" s="247" t="s">
        <v>1149</v>
      </c>
      <c r="B605" s="316">
        <v>3218</v>
      </c>
      <c r="C605" s="247" t="s">
        <v>979</v>
      </c>
      <c r="D605" s="317">
        <v>42649</v>
      </c>
      <c r="E605" s="318">
        <v>0.53074074074074074</v>
      </c>
      <c r="F605" s="247" t="s">
        <v>702</v>
      </c>
      <c r="G605" s="247" t="s">
        <v>1035</v>
      </c>
      <c r="H605" s="248"/>
      <c r="I605" s="248"/>
      <c r="J605" s="247"/>
      <c r="K605" s="249"/>
      <c r="M605" s="90">
        <v>0</v>
      </c>
      <c r="N605" s="90">
        <v>0</v>
      </c>
      <c r="O605" s="90">
        <v>255</v>
      </c>
    </row>
    <row r="606" spans="1:15" s="90" customFormat="1" ht="12.75" customHeight="1" x14ac:dyDescent="0.2">
      <c r="A606" s="247" t="s">
        <v>1150</v>
      </c>
      <c r="B606" s="316">
        <v>3218</v>
      </c>
      <c r="C606" s="247" t="s">
        <v>979</v>
      </c>
      <c r="D606" s="317">
        <v>42649</v>
      </c>
      <c r="E606" s="318">
        <v>0.53074074074074074</v>
      </c>
      <c r="F606" s="247" t="s">
        <v>702</v>
      </c>
      <c r="G606" s="247" t="s">
        <v>1035</v>
      </c>
      <c r="H606" s="248"/>
      <c r="I606" s="248"/>
      <c r="J606" s="247"/>
      <c r="K606" s="249"/>
      <c r="M606" s="90">
        <v>0</v>
      </c>
      <c r="N606" s="90">
        <v>0</v>
      </c>
      <c r="O606" s="90">
        <v>255</v>
      </c>
    </row>
    <row r="607" spans="1:15" s="90" customFormat="1" ht="12.75" customHeight="1" x14ac:dyDescent="0.2">
      <c r="A607" s="247" t="s">
        <v>1151</v>
      </c>
      <c r="B607" s="316">
        <v>3218</v>
      </c>
      <c r="C607" s="247" t="s">
        <v>979</v>
      </c>
      <c r="D607" s="317">
        <v>42649</v>
      </c>
      <c r="E607" s="318">
        <v>0.53074074074074074</v>
      </c>
      <c r="F607" s="247" t="s">
        <v>702</v>
      </c>
      <c r="G607" s="247" t="s">
        <v>1035</v>
      </c>
      <c r="H607" s="248"/>
      <c r="I607" s="248"/>
      <c r="J607" s="247"/>
      <c r="K607" s="249"/>
      <c r="M607" s="90">
        <v>0</v>
      </c>
      <c r="N607" s="90">
        <v>0</v>
      </c>
      <c r="O607" s="90">
        <v>255</v>
      </c>
    </row>
    <row r="608" spans="1:15" s="90" customFormat="1" ht="12.75" customHeight="1" x14ac:dyDescent="0.2">
      <c r="A608" s="247" t="s">
        <v>1031</v>
      </c>
      <c r="B608" s="316">
        <v>3046</v>
      </c>
      <c r="C608" s="247" t="s">
        <v>975</v>
      </c>
      <c r="D608" s="317">
        <v>42649</v>
      </c>
      <c r="E608" s="318">
        <v>0.5310300925925926</v>
      </c>
      <c r="F608" s="247" t="s">
        <v>976</v>
      </c>
      <c r="G608" s="247" t="s">
        <v>1035</v>
      </c>
      <c r="H608" s="248" t="s">
        <v>404</v>
      </c>
      <c r="I608" s="248" t="s">
        <v>404</v>
      </c>
      <c r="J608" s="247" t="s">
        <v>809</v>
      </c>
      <c r="K608" s="249">
        <v>0</v>
      </c>
      <c r="M608" s="90">
        <v>0</v>
      </c>
      <c r="N608" s="90">
        <v>0</v>
      </c>
      <c r="O608" s="90">
        <v>255</v>
      </c>
    </row>
    <row r="609" spans="1:15" s="90" customFormat="1" ht="12.75" customHeight="1" x14ac:dyDescent="0.2">
      <c r="A609" s="247" t="s">
        <v>1135</v>
      </c>
      <c r="B609" s="316">
        <v>3001</v>
      </c>
      <c r="C609" s="247" t="s">
        <v>996</v>
      </c>
      <c r="D609" s="317">
        <v>42649</v>
      </c>
      <c r="E609" s="318">
        <v>0.53303240740740743</v>
      </c>
      <c r="F609" s="247" t="s">
        <v>702</v>
      </c>
      <c r="G609" s="247" t="s">
        <v>1035</v>
      </c>
      <c r="H609" s="248" t="s">
        <v>121</v>
      </c>
      <c r="I609" s="248" t="s">
        <v>122</v>
      </c>
      <c r="J609" s="247" t="s">
        <v>809</v>
      </c>
      <c r="K609" s="249">
        <v>0</v>
      </c>
      <c r="M609" s="90">
        <v>0</v>
      </c>
      <c r="N609" s="90">
        <v>0</v>
      </c>
      <c r="O609" s="90">
        <v>255</v>
      </c>
    </row>
    <row r="610" spans="1:15" s="90" customFormat="1" ht="12.75" customHeight="1" x14ac:dyDescent="0.2">
      <c r="A610" s="247" t="s">
        <v>611</v>
      </c>
      <c r="B610" s="316">
        <v>4030</v>
      </c>
      <c r="C610" s="247" t="s">
        <v>996</v>
      </c>
      <c r="D610" s="317">
        <v>42649</v>
      </c>
      <c r="E610" s="318">
        <v>0.53378472222222217</v>
      </c>
      <c r="F610" s="247" t="s">
        <v>702</v>
      </c>
      <c r="G610" s="247" t="s">
        <v>1035</v>
      </c>
      <c r="H610" s="248" t="s">
        <v>4</v>
      </c>
      <c r="I610" s="248" t="s">
        <v>14</v>
      </c>
      <c r="J610" s="247" t="s">
        <v>809</v>
      </c>
      <c r="K610" s="249">
        <v>0</v>
      </c>
      <c r="L610" s="90" t="s">
        <v>1780</v>
      </c>
      <c r="M610" s="90">
        <v>327</v>
      </c>
      <c r="N610" s="90">
        <v>-1</v>
      </c>
      <c r="O610" s="90">
        <v>0</v>
      </c>
    </row>
    <row r="611" spans="1:15" s="90" customFormat="1" ht="12.75" customHeight="1" x14ac:dyDescent="0.2">
      <c r="A611" s="247" t="s">
        <v>1032</v>
      </c>
      <c r="B611" s="316">
        <v>3046</v>
      </c>
      <c r="C611" s="247" t="s">
        <v>975</v>
      </c>
      <c r="D611" s="317">
        <v>42649</v>
      </c>
      <c r="E611" s="318">
        <v>0.53457175925925926</v>
      </c>
      <c r="F611" s="247" t="s">
        <v>976</v>
      </c>
      <c r="G611" s="247" t="s">
        <v>1035</v>
      </c>
      <c r="H611" s="248" t="s">
        <v>404</v>
      </c>
      <c r="I611" s="248" t="s">
        <v>404</v>
      </c>
      <c r="J611" s="247" t="s">
        <v>809</v>
      </c>
      <c r="K611" s="249">
        <v>0</v>
      </c>
      <c r="M611" s="90">
        <v>0</v>
      </c>
      <c r="N611" s="90">
        <v>0</v>
      </c>
      <c r="O611" s="90">
        <v>255</v>
      </c>
    </row>
    <row r="612" spans="1:15" s="90" customFormat="1" ht="12.75" customHeight="1" x14ac:dyDescent="0.2">
      <c r="A612" s="247" t="s">
        <v>989</v>
      </c>
      <c r="B612" s="316">
        <v>3046</v>
      </c>
      <c r="C612" s="247" t="s">
        <v>975</v>
      </c>
      <c r="D612" s="317">
        <v>42649</v>
      </c>
      <c r="E612" s="318">
        <v>0.5345833333333333</v>
      </c>
      <c r="F612" s="247" t="s">
        <v>976</v>
      </c>
      <c r="G612" s="247" t="s">
        <v>1035</v>
      </c>
      <c r="H612" s="248" t="s">
        <v>404</v>
      </c>
      <c r="I612" s="248" t="s">
        <v>404</v>
      </c>
      <c r="J612" s="247" t="s">
        <v>809</v>
      </c>
      <c r="K612" s="249">
        <v>0</v>
      </c>
      <c r="M612" s="90">
        <v>0</v>
      </c>
      <c r="N612" s="90">
        <v>0</v>
      </c>
      <c r="O612" s="90">
        <v>255</v>
      </c>
    </row>
    <row r="613" spans="1:15" s="90" customFormat="1" ht="12.75" customHeight="1" x14ac:dyDescent="0.2">
      <c r="A613" s="247" t="s">
        <v>1033</v>
      </c>
      <c r="B613" s="316">
        <v>3217</v>
      </c>
      <c r="C613" s="247" t="s">
        <v>975</v>
      </c>
      <c r="D613" s="317">
        <v>42649</v>
      </c>
      <c r="E613" s="318">
        <v>0.53487268518518516</v>
      </c>
      <c r="F613" s="247" t="s">
        <v>235</v>
      </c>
      <c r="G613" s="247" t="s">
        <v>1035</v>
      </c>
      <c r="H613" s="248" t="s">
        <v>234</v>
      </c>
      <c r="I613" s="248" t="s">
        <v>235</v>
      </c>
      <c r="J613" s="247" t="s">
        <v>809</v>
      </c>
      <c r="K613" s="249">
        <v>0</v>
      </c>
      <c r="M613" s="90">
        <v>0</v>
      </c>
      <c r="N613" s="90">
        <v>0</v>
      </c>
      <c r="O613" s="90">
        <v>255</v>
      </c>
    </row>
    <row r="614" spans="1:15" s="90" customFormat="1" ht="12.75" customHeight="1" x14ac:dyDescent="0.2">
      <c r="A614" s="247" t="s">
        <v>990</v>
      </c>
      <c r="B614" s="316">
        <v>3046</v>
      </c>
      <c r="C614" s="247" t="s">
        <v>975</v>
      </c>
      <c r="D614" s="317">
        <v>42649</v>
      </c>
      <c r="E614" s="318">
        <v>0.5348842592592592</v>
      </c>
      <c r="F614" s="247" t="s">
        <v>976</v>
      </c>
      <c r="G614" s="247" t="s">
        <v>1035</v>
      </c>
      <c r="H614" s="248" t="s">
        <v>404</v>
      </c>
      <c r="I614" s="248" t="s">
        <v>404</v>
      </c>
      <c r="J614" s="247" t="s">
        <v>809</v>
      </c>
      <c r="K614" s="249">
        <v>0</v>
      </c>
      <c r="M614" s="90">
        <v>0</v>
      </c>
      <c r="N614" s="90">
        <v>0</v>
      </c>
      <c r="O614" s="90">
        <v>255</v>
      </c>
    </row>
    <row r="615" spans="1:15" s="90" customFormat="1" ht="12.75" customHeight="1" x14ac:dyDescent="0.2">
      <c r="A615" s="247" t="s">
        <v>1267</v>
      </c>
      <c r="B615" s="316">
        <v>3004</v>
      </c>
      <c r="C615" s="247" t="s">
        <v>979</v>
      </c>
      <c r="D615" s="317">
        <v>42649</v>
      </c>
      <c r="E615" s="318">
        <v>0.57287037037037036</v>
      </c>
      <c r="F615" s="247" t="s">
        <v>702</v>
      </c>
      <c r="G615" s="247" t="s">
        <v>1035</v>
      </c>
      <c r="H615" s="248" t="s">
        <v>234</v>
      </c>
      <c r="I615" s="248" t="s">
        <v>702</v>
      </c>
      <c r="J615" s="247" t="s">
        <v>809</v>
      </c>
      <c r="K615" s="249">
        <v>0</v>
      </c>
      <c r="M615" s="90">
        <v>0</v>
      </c>
      <c r="N615" s="90">
        <v>0</v>
      </c>
      <c r="O615" s="90">
        <v>255</v>
      </c>
    </row>
    <row r="616" spans="1:15" s="90" customFormat="1" ht="12.75" customHeight="1" x14ac:dyDescent="0.2">
      <c r="A616" s="247" t="s">
        <v>1276</v>
      </c>
      <c r="B616" s="316">
        <v>3004</v>
      </c>
      <c r="C616" s="247" t="s">
        <v>979</v>
      </c>
      <c r="D616" s="317">
        <v>42649</v>
      </c>
      <c r="E616" s="318">
        <v>0.57336805555555559</v>
      </c>
      <c r="F616" s="247" t="s">
        <v>702</v>
      </c>
      <c r="G616" s="247" t="s">
        <v>1035</v>
      </c>
      <c r="H616" s="248" t="s">
        <v>234</v>
      </c>
      <c r="I616" s="248" t="s">
        <v>702</v>
      </c>
      <c r="J616" s="247" t="s">
        <v>809</v>
      </c>
      <c r="K616" s="249">
        <v>0</v>
      </c>
      <c r="M616" s="90">
        <v>0</v>
      </c>
      <c r="N616" s="90">
        <v>0</v>
      </c>
      <c r="O616" s="90">
        <v>255</v>
      </c>
    </row>
    <row r="617" spans="1:15" s="90" customFormat="1" ht="12.75" customHeight="1" x14ac:dyDescent="0.2">
      <c r="A617" s="247" t="s">
        <v>989</v>
      </c>
      <c r="B617" s="316">
        <v>3046</v>
      </c>
      <c r="C617" s="247" t="s">
        <v>975</v>
      </c>
      <c r="D617" s="317">
        <v>42649</v>
      </c>
      <c r="E617" s="318">
        <v>0.57655092592592594</v>
      </c>
      <c r="F617" s="247" t="s">
        <v>976</v>
      </c>
      <c r="G617" s="247" t="s">
        <v>1035</v>
      </c>
      <c r="H617" s="248" t="s">
        <v>404</v>
      </c>
      <c r="I617" s="248" t="s">
        <v>404</v>
      </c>
      <c r="J617" s="247" t="s">
        <v>809</v>
      </c>
      <c r="K617" s="249">
        <v>0</v>
      </c>
      <c r="M617" s="90">
        <v>0</v>
      </c>
      <c r="N617" s="90">
        <v>0</v>
      </c>
      <c r="O617" s="90">
        <v>255</v>
      </c>
    </row>
    <row r="618" spans="1:15" s="90" customFormat="1" ht="12.75" customHeight="1" x14ac:dyDescent="0.2">
      <c r="A618" s="247" t="s">
        <v>990</v>
      </c>
      <c r="B618" s="316">
        <v>3046</v>
      </c>
      <c r="C618" s="247" t="s">
        <v>975</v>
      </c>
      <c r="D618" s="317">
        <v>42649</v>
      </c>
      <c r="E618" s="318">
        <v>0.57679398148148142</v>
      </c>
      <c r="F618" s="247" t="s">
        <v>976</v>
      </c>
      <c r="G618" s="247" t="s">
        <v>1035</v>
      </c>
      <c r="H618" s="248" t="s">
        <v>404</v>
      </c>
      <c r="I618" s="248" t="s">
        <v>404</v>
      </c>
      <c r="J618" s="247" t="s">
        <v>809</v>
      </c>
      <c r="K618" s="249">
        <v>0</v>
      </c>
      <c r="M618" s="90">
        <v>0</v>
      </c>
      <c r="N618" s="90">
        <v>0</v>
      </c>
      <c r="O618" s="90">
        <v>255</v>
      </c>
    </row>
    <row r="619" spans="1:15" s="90" customFormat="1" ht="12.75" customHeight="1" x14ac:dyDescent="0.2">
      <c r="A619" s="247" t="s">
        <v>993</v>
      </c>
      <c r="B619" s="316">
        <v>3217</v>
      </c>
      <c r="C619" s="247" t="s">
        <v>975</v>
      </c>
      <c r="D619" s="317">
        <v>42649</v>
      </c>
      <c r="E619" s="318">
        <v>0.57679398148148142</v>
      </c>
      <c r="F619" s="247" t="s">
        <v>235</v>
      </c>
      <c r="G619" s="247" t="s">
        <v>1035</v>
      </c>
      <c r="H619" s="248" t="s">
        <v>234</v>
      </c>
      <c r="I619" s="248" t="s">
        <v>235</v>
      </c>
      <c r="J619" s="247" t="s">
        <v>809</v>
      </c>
      <c r="K619" s="249">
        <v>0</v>
      </c>
      <c r="M619" s="90">
        <v>0</v>
      </c>
      <c r="N619" s="90">
        <v>0</v>
      </c>
      <c r="O619" s="90">
        <v>255</v>
      </c>
    </row>
    <row r="620" spans="1:15" s="90" customFormat="1" ht="12.75" customHeight="1" x14ac:dyDescent="0.2">
      <c r="A620" s="247" t="s">
        <v>1277</v>
      </c>
      <c r="B620" s="316">
        <v>3004</v>
      </c>
      <c r="C620" s="247" t="s">
        <v>979</v>
      </c>
      <c r="D620" s="317">
        <v>42649</v>
      </c>
      <c r="E620" s="318">
        <v>0.58003472222222219</v>
      </c>
      <c r="F620" s="247" t="s">
        <v>702</v>
      </c>
      <c r="G620" s="247" t="s">
        <v>1035</v>
      </c>
      <c r="H620" s="248" t="s">
        <v>234</v>
      </c>
      <c r="I620" s="248" t="s">
        <v>702</v>
      </c>
      <c r="J620" s="247" t="s">
        <v>809</v>
      </c>
      <c r="K620" s="249">
        <v>0</v>
      </c>
      <c r="M620" s="90">
        <v>0</v>
      </c>
      <c r="N620" s="90">
        <v>0</v>
      </c>
      <c r="O620" s="90">
        <v>255</v>
      </c>
    </row>
    <row r="621" spans="1:15" s="90" customFormat="1" ht="12.75" customHeight="1" x14ac:dyDescent="0.2">
      <c r="A621" s="247" t="s">
        <v>1253</v>
      </c>
      <c r="B621" s="316">
        <v>3218</v>
      </c>
      <c r="C621" s="247" t="s">
        <v>979</v>
      </c>
      <c r="D621" s="317">
        <v>42649</v>
      </c>
      <c r="E621" s="318">
        <v>0.58038194444444446</v>
      </c>
      <c r="F621" s="247" t="s">
        <v>702</v>
      </c>
      <c r="G621" s="247" t="s">
        <v>1035</v>
      </c>
      <c r="H621" s="248"/>
      <c r="I621" s="248"/>
      <c r="J621" s="247"/>
      <c r="K621" s="249"/>
      <c r="M621" s="90">
        <v>0</v>
      </c>
      <c r="N621" s="90">
        <v>0</v>
      </c>
      <c r="O621" s="90">
        <v>255</v>
      </c>
    </row>
    <row r="622" spans="1:15" s="90" customFormat="1" ht="12.75" customHeight="1" x14ac:dyDescent="0.2">
      <c r="A622" s="247" t="s">
        <v>1031</v>
      </c>
      <c r="B622" s="316">
        <v>3046</v>
      </c>
      <c r="C622" s="247" t="s">
        <v>975</v>
      </c>
      <c r="D622" s="317">
        <v>42649</v>
      </c>
      <c r="E622" s="318">
        <v>0.58059027777777772</v>
      </c>
      <c r="F622" s="247" t="s">
        <v>976</v>
      </c>
      <c r="G622" s="247" t="s">
        <v>1035</v>
      </c>
      <c r="H622" s="248" t="s">
        <v>404</v>
      </c>
      <c r="I622" s="248" t="s">
        <v>404</v>
      </c>
      <c r="J622" s="247" t="s">
        <v>809</v>
      </c>
      <c r="K622" s="249">
        <v>0</v>
      </c>
      <c r="M622" s="90">
        <v>0</v>
      </c>
      <c r="N622" s="90">
        <v>0</v>
      </c>
      <c r="O622" s="90">
        <v>255</v>
      </c>
    </row>
    <row r="623" spans="1:15" s="90" customFormat="1" ht="12.75" customHeight="1" x14ac:dyDescent="0.2">
      <c r="A623" s="247" t="s">
        <v>1032</v>
      </c>
      <c r="B623" s="316">
        <v>3046</v>
      </c>
      <c r="C623" s="247" t="s">
        <v>975</v>
      </c>
      <c r="D623" s="317">
        <v>42649</v>
      </c>
      <c r="E623" s="318">
        <v>0.58432870370370371</v>
      </c>
      <c r="F623" s="247" t="s">
        <v>976</v>
      </c>
      <c r="G623" s="247" t="s">
        <v>1035</v>
      </c>
      <c r="H623" s="248" t="s">
        <v>404</v>
      </c>
      <c r="I623" s="248" t="s">
        <v>404</v>
      </c>
      <c r="J623" s="247" t="s">
        <v>809</v>
      </c>
      <c r="K623" s="249">
        <v>0</v>
      </c>
      <c r="M623" s="90">
        <v>0</v>
      </c>
      <c r="N623" s="90">
        <v>0</v>
      </c>
      <c r="O623" s="90">
        <v>255</v>
      </c>
    </row>
    <row r="624" spans="1:15" s="90" customFormat="1" ht="12.75" customHeight="1" x14ac:dyDescent="0.2">
      <c r="A624" s="247" t="s">
        <v>989</v>
      </c>
      <c r="B624" s="316">
        <v>3046</v>
      </c>
      <c r="C624" s="247" t="s">
        <v>975</v>
      </c>
      <c r="D624" s="317">
        <v>42649</v>
      </c>
      <c r="E624" s="318">
        <v>0.58432870370370371</v>
      </c>
      <c r="F624" s="247" t="s">
        <v>976</v>
      </c>
      <c r="G624" s="247" t="s">
        <v>1035</v>
      </c>
      <c r="H624" s="248" t="s">
        <v>404</v>
      </c>
      <c r="I624" s="248" t="s">
        <v>404</v>
      </c>
      <c r="J624" s="247" t="s">
        <v>809</v>
      </c>
      <c r="K624" s="249">
        <v>0</v>
      </c>
      <c r="M624" s="90">
        <v>0</v>
      </c>
      <c r="N624" s="90">
        <v>0</v>
      </c>
      <c r="O624" s="90">
        <v>255</v>
      </c>
    </row>
    <row r="625" spans="1:15" s="90" customFormat="1" ht="12.75" customHeight="1" x14ac:dyDescent="0.2">
      <c r="A625" s="247" t="s">
        <v>990</v>
      </c>
      <c r="B625" s="316">
        <v>3046</v>
      </c>
      <c r="C625" s="247" t="s">
        <v>975</v>
      </c>
      <c r="D625" s="317">
        <v>42649</v>
      </c>
      <c r="E625" s="318">
        <v>0.58461805555555557</v>
      </c>
      <c r="F625" s="247" t="s">
        <v>976</v>
      </c>
      <c r="G625" s="247" t="s">
        <v>1035</v>
      </c>
      <c r="H625" s="248" t="s">
        <v>404</v>
      </c>
      <c r="I625" s="248" t="s">
        <v>404</v>
      </c>
      <c r="J625" s="247" t="s">
        <v>809</v>
      </c>
      <c r="K625" s="249">
        <v>0</v>
      </c>
      <c r="M625" s="90">
        <v>0</v>
      </c>
      <c r="N625" s="90">
        <v>0</v>
      </c>
      <c r="O625" s="90">
        <v>255</v>
      </c>
    </row>
    <row r="626" spans="1:15" s="90" customFormat="1" ht="12.75" customHeight="1" x14ac:dyDescent="0.2">
      <c r="A626" s="247" t="s">
        <v>1033</v>
      </c>
      <c r="B626" s="316">
        <v>3217</v>
      </c>
      <c r="C626" s="247" t="s">
        <v>975</v>
      </c>
      <c r="D626" s="317">
        <v>42649</v>
      </c>
      <c r="E626" s="318">
        <v>0.58461805555555557</v>
      </c>
      <c r="F626" s="247" t="s">
        <v>235</v>
      </c>
      <c r="G626" s="247" t="s">
        <v>1035</v>
      </c>
      <c r="H626" s="248" t="s">
        <v>234</v>
      </c>
      <c r="I626" s="248" t="s">
        <v>235</v>
      </c>
      <c r="J626" s="247" t="s">
        <v>809</v>
      </c>
      <c r="K626" s="249">
        <v>0</v>
      </c>
      <c r="M626" s="90">
        <v>0</v>
      </c>
      <c r="N626" s="90">
        <v>0</v>
      </c>
      <c r="O626" s="90">
        <v>255</v>
      </c>
    </row>
    <row r="627" spans="1:15" s="90" customFormat="1" ht="12.75" customHeight="1" x14ac:dyDescent="0.2">
      <c r="A627" s="247" t="s">
        <v>989</v>
      </c>
      <c r="B627" s="316">
        <v>3046</v>
      </c>
      <c r="C627" s="247" t="s">
        <v>975</v>
      </c>
      <c r="D627" s="317">
        <v>42649</v>
      </c>
      <c r="E627" s="318">
        <v>0.6262847222222222</v>
      </c>
      <c r="F627" s="247" t="s">
        <v>976</v>
      </c>
      <c r="G627" s="247" t="s">
        <v>1035</v>
      </c>
      <c r="H627" s="248" t="s">
        <v>404</v>
      </c>
      <c r="I627" s="248" t="s">
        <v>404</v>
      </c>
      <c r="J627" s="247" t="s">
        <v>809</v>
      </c>
      <c r="K627" s="249">
        <v>0</v>
      </c>
      <c r="M627" s="90">
        <v>0</v>
      </c>
      <c r="N627" s="90">
        <v>0</v>
      </c>
      <c r="O627" s="90">
        <v>255</v>
      </c>
    </row>
    <row r="628" spans="1:15" s="90" customFormat="1" ht="12.75" customHeight="1" x14ac:dyDescent="0.2">
      <c r="A628" s="247" t="s">
        <v>993</v>
      </c>
      <c r="B628" s="316">
        <v>3217</v>
      </c>
      <c r="C628" s="247" t="s">
        <v>975</v>
      </c>
      <c r="D628" s="317">
        <v>42649</v>
      </c>
      <c r="E628" s="318">
        <v>0.62652777777777779</v>
      </c>
      <c r="F628" s="247" t="s">
        <v>235</v>
      </c>
      <c r="G628" s="247" t="s">
        <v>1035</v>
      </c>
      <c r="H628" s="248" t="s">
        <v>234</v>
      </c>
      <c r="I628" s="248" t="s">
        <v>235</v>
      </c>
      <c r="J628" s="247" t="s">
        <v>809</v>
      </c>
      <c r="K628" s="249">
        <v>0</v>
      </c>
      <c r="M628" s="90">
        <v>0</v>
      </c>
      <c r="N628" s="90">
        <v>0</v>
      </c>
      <c r="O628" s="90">
        <v>255</v>
      </c>
    </row>
    <row r="629" spans="1:15" s="90" customFormat="1" ht="12.75" customHeight="1" x14ac:dyDescent="0.2">
      <c r="A629" s="247" t="s">
        <v>990</v>
      </c>
      <c r="B629" s="316">
        <v>3046</v>
      </c>
      <c r="C629" s="247" t="s">
        <v>975</v>
      </c>
      <c r="D629" s="317">
        <v>42649</v>
      </c>
      <c r="E629" s="318">
        <v>0.62653935185185183</v>
      </c>
      <c r="F629" s="247" t="s">
        <v>976</v>
      </c>
      <c r="G629" s="247" t="s">
        <v>1035</v>
      </c>
      <c r="H629" s="248" t="s">
        <v>404</v>
      </c>
      <c r="I629" s="248" t="s">
        <v>404</v>
      </c>
      <c r="J629" s="247" t="s">
        <v>809</v>
      </c>
      <c r="K629" s="249">
        <v>0</v>
      </c>
      <c r="M629" s="90">
        <v>0</v>
      </c>
      <c r="N629" s="90">
        <v>0</v>
      </c>
      <c r="O629" s="90">
        <v>255</v>
      </c>
    </row>
    <row r="630" spans="1:15" s="90" customFormat="1" ht="12.75" customHeight="1" x14ac:dyDescent="0.2">
      <c r="A630" s="247" t="s">
        <v>989</v>
      </c>
      <c r="B630" s="316">
        <v>3046</v>
      </c>
      <c r="C630" s="247" t="s">
        <v>975</v>
      </c>
      <c r="D630" s="317">
        <v>42649</v>
      </c>
      <c r="E630" s="318">
        <v>0.66820601851851846</v>
      </c>
      <c r="F630" s="247" t="s">
        <v>976</v>
      </c>
      <c r="G630" s="247" t="s">
        <v>1035</v>
      </c>
      <c r="H630" s="248" t="s">
        <v>404</v>
      </c>
      <c r="I630" s="248" t="s">
        <v>404</v>
      </c>
      <c r="J630" s="247" t="s">
        <v>809</v>
      </c>
      <c r="K630" s="249">
        <v>0</v>
      </c>
      <c r="M630" s="90">
        <v>0</v>
      </c>
      <c r="N630" s="90">
        <v>0</v>
      </c>
      <c r="O630" s="90">
        <v>255</v>
      </c>
    </row>
    <row r="631" spans="1:15" s="90" customFormat="1" ht="12.75" customHeight="1" x14ac:dyDescent="0.2">
      <c r="A631" s="247" t="s">
        <v>993</v>
      </c>
      <c r="B631" s="316">
        <v>3217</v>
      </c>
      <c r="C631" s="247" t="s">
        <v>975</v>
      </c>
      <c r="D631" s="317">
        <v>42649</v>
      </c>
      <c r="E631" s="318">
        <v>0.66844907407407417</v>
      </c>
      <c r="F631" s="247" t="s">
        <v>235</v>
      </c>
      <c r="G631" s="247" t="s">
        <v>1035</v>
      </c>
      <c r="H631" s="248" t="s">
        <v>234</v>
      </c>
      <c r="I631" s="248" t="s">
        <v>235</v>
      </c>
      <c r="J631" s="247" t="s">
        <v>809</v>
      </c>
      <c r="K631" s="249">
        <v>0</v>
      </c>
      <c r="M631" s="90">
        <v>0</v>
      </c>
      <c r="N631" s="90">
        <v>0</v>
      </c>
      <c r="O631" s="90">
        <v>255</v>
      </c>
    </row>
    <row r="632" spans="1:15" s="90" customFormat="1" ht="12.75" customHeight="1" x14ac:dyDescent="0.2">
      <c r="A632" s="247" t="s">
        <v>990</v>
      </c>
      <c r="B632" s="316">
        <v>3046</v>
      </c>
      <c r="C632" s="247" t="s">
        <v>975</v>
      </c>
      <c r="D632" s="317">
        <v>42649</v>
      </c>
      <c r="E632" s="318">
        <v>0.6684606481481481</v>
      </c>
      <c r="F632" s="247" t="s">
        <v>976</v>
      </c>
      <c r="G632" s="247" t="s">
        <v>1035</v>
      </c>
      <c r="H632" s="248" t="s">
        <v>404</v>
      </c>
      <c r="I632" s="248" t="s">
        <v>404</v>
      </c>
      <c r="J632" s="247" t="s">
        <v>809</v>
      </c>
      <c r="K632" s="249">
        <v>0</v>
      </c>
      <c r="M632" s="90">
        <v>0</v>
      </c>
      <c r="N632" s="90">
        <v>0</v>
      </c>
      <c r="O632" s="90">
        <v>255</v>
      </c>
    </row>
    <row r="633" spans="1:15" s="90" customFormat="1" ht="12.75" customHeight="1" x14ac:dyDescent="0.2">
      <c r="A633" s="247" t="s">
        <v>989</v>
      </c>
      <c r="B633" s="316">
        <v>3046</v>
      </c>
      <c r="C633" s="247" t="s">
        <v>975</v>
      </c>
      <c r="D633" s="317">
        <v>42649</v>
      </c>
      <c r="E633" s="318">
        <v>0.71012731481481473</v>
      </c>
      <c r="F633" s="247" t="s">
        <v>976</v>
      </c>
      <c r="G633" s="247" t="s">
        <v>1035</v>
      </c>
      <c r="H633" s="248" t="s">
        <v>404</v>
      </c>
      <c r="I633" s="248" t="s">
        <v>404</v>
      </c>
      <c r="J633" s="247" t="s">
        <v>809</v>
      </c>
      <c r="K633" s="249">
        <v>0</v>
      </c>
      <c r="M633" s="90">
        <v>0</v>
      </c>
      <c r="N633" s="90">
        <v>0</v>
      </c>
      <c r="O633" s="90">
        <v>255</v>
      </c>
    </row>
    <row r="634" spans="1:15" s="90" customFormat="1" ht="12.75" customHeight="1" x14ac:dyDescent="0.2">
      <c r="A634" s="247" t="s">
        <v>993</v>
      </c>
      <c r="B634" s="316">
        <v>3217</v>
      </c>
      <c r="C634" s="247" t="s">
        <v>975</v>
      </c>
      <c r="D634" s="317">
        <v>42649</v>
      </c>
      <c r="E634" s="318">
        <v>0.71037037037037043</v>
      </c>
      <c r="F634" s="247" t="s">
        <v>235</v>
      </c>
      <c r="G634" s="247" t="s">
        <v>1035</v>
      </c>
      <c r="H634" s="248" t="s">
        <v>234</v>
      </c>
      <c r="I634" s="248" t="s">
        <v>235</v>
      </c>
      <c r="J634" s="247" t="s">
        <v>809</v>
      </c>
      <c r="K634" s="249">
        <v>0</v>
      </c>
      <c r="M634" s="90">
        <v>0</v>
      </c>
      <c r="N634" s="90">
        <v>0</v>
      </c>
      <c r="O634" s="90">
        <v>255</v>
      </c>
    </row>
    <row r="635" spans="1:15" s="90" customFormat="1" ht="12.75" customHeight="1" x14ac:dyDescent="0.2">
      <c r="A635" s="247" t="s">
        <v>990</v>
      </c>
      <c r="B635" s="316">
        <v>3046</v>
      </c>
      <c r="C635" s="247" t="s">
        <v>975</v>
      </c>
      <c r="D635" s="317">
        <v>42649</v>
      </c>
      <c r="E635" s="318">
        <v>0.71038194444444447</v>
      </c>
      <c r="F635" s="247" t="s">
        <v>976</v>
      </c>
      <c r="G635" s="247" t="s">
        <v>1035</v>
      </c>
      <c r="H635" s="248" t="s">
        <v>404</v>
      </c>
      <c r="I635" s="248" t="s">
        <v>404</v>
      </c>
      <c r="J635" s="247" t="s">
        <v>809</v>
      </c>
      <c r="K635" s="249">
        <v>0</v>
      </c>
      <c r="M635" s="90">
        <v>0</v>
      </c>
      <c r="N635" s="90">
        <v>0</v>
      </c>
      <c r="O635" s="90">
        <v>255</v>
      </c>
    </row>
    <row r="636" spans="1:15" s="90" customFormat="1" ht="12.75" customHeight="1" x14ac:dyDescent="0.2">
      <c r="A636" s="247" t="s">
        <v>989</v>
      </c>
      <c r="B636" s="316">
        <v>3046</v>
      </c>
      <c r="C636" s="247" t="s">
        <v>975</v>
      </c>
      <c r="D636" s="317">
        <v>42649</v>
      </c>
      <c r="E636" s="318">
        <v>0.75204861111111121</v>
      </c>
      <c r="F636" s="247" t="s">
        <v>976</v>
      </c>
      <c r="G636" s="247" t="s">
        <v>1035</v>
      </c>
      <c r="H636" s="248" t="s">
        <v>404</v>
      </c>
      <c r="I636" s="248" t="s">
        <v>404</v>
      </c>
      <c r="J636" s="247" t="s">
        <v>809</v>
      </c>
      <c r="K636" s="249">
        <v>0</v>
      </c>
      <c r="M636" s="90">
        <v>0</v>
      </c>
      <c r="N636" s="90">
        <v>0</v>
      </c>
      <c r="O636" s="90">
        <v>255</v>
      </c>
    </row>
    <row r="637" spans="1:15" s="90" customFormat="1" ht="12.75" customHeight="1" x14ac:dyDescent="0.2">
      <c r="A637" s="247" t="s">
        <v>993</v>
      </c>
      <c r="B637" s="316">
        <v>3217</v>
      </c>
      <c r="C637" s="247" t="s">
        <v>975</v>
      </c>
      <c r="D637" s="317">
        <v>42649</v>
      </c>
      <c r="E637" s="318">
        <v>0.75229166666666669</v>
      </c>
      <c r="F637" s="247" t="s">
        <v>235</v>
      </c>
      <c r="G637" s="247" t="s">
        <v>1035</v>
      </c>
      <c r="H637" s="248" t="s">
        <v>234</v>
      </c>
      <c r="I637" s="248" t="s">
        <v>235</v>
      </c>
      <c r="J637" s="247" t="s">
        <v>809</v>
      </c>
      <c r="K637" s="249">
        <v>0</v>
      </c>
      <c r="M637" s="90">
        <v>0</v>
      </c>
      <c r="N637" s="90">
        <v>0</v>
      </c>
      <c r="O637" s="90">
        <v>255</v>
      </c>
    </row>
    <row r="638" spans="1:15" s="90" customFormat="1" ht="12.75" customHeight="1" x14ac:dyDescent="0.2">
      <c r="A638" s="247" t="s">
        <v>990</v>
      </c>
      <c r="B638" s="316">
        <v>3046</v>
      </c>
      <c r="C638" s="247" t="s">
        <v>975</v>
      </c>
      <c r="D638" s="317">
        <v>42649</v>
      </c>
      <c r="E638" s="318">
        <v>0.75230324074074073</v>
      </c>
      <c r="F638" s="247" t="s">
        <v>976</v>
      </c>
      <c r="G638" s="247" t="s">
        <v>1035</v>
      </c>
      <c r="H638" s="248" t="s">
        <v>404</v>
      </c>
      <c r="I638" s="248" t="s">
        <v>404</v>
      </c>
      <c r="J638" s="247" t="s">
        <v>809</v>
      </c>
      <c r="K638" s="249">
        <v>0</v>
      </c>
      <c r="M638" s="90">
        <v>0</v>
      </c>
      <c r="N638" s="90">
        <v>0</v>
      </c>
      <c r="O638" s="90">
        <v>255</v>
      </c>
    </row>
    <row r="639" spans="1:15" s="90" customFormat="1" ht="12.75" customHeight="1" x14ac:dyDescent="0.2">
      <c r="A639" s="247" t="s">
        <v>989</v>
      </c>
      <c r="B639" s="316">
        <v>3046</v>
      </c>
      <c r="C639" s="247" t="s">
        <v>975</v>
      </c>
      <c r="D639" s="317">
        <v>42649</v>
      </c>
      <c r="E639" s="318">
        <v>0.79396990740740747</v>
      </c>
      <c r="F639" s="247" t="s">
        <v>976</v>
      </c>
      <c r="G639" s="247" t="s">
        <v>1035</v>
      </c>
      <c r="H639" s="248" t="s">
        <v>404</v>
      </c>
      <c r="I639" s="248" t="s">
        <v>404</v>
      </c>
      <c r="J639" s="247" t="s">
        <v>809</v>
      </c>
      <c r="K639" s="249">
        <v>0</v>
      </c>
      <c r="M639" s="90">
        <v>0</v>
      </c>
      <c r="N639" s="90">
        <v>0</v>
      </c>
      <c r="O639" s="90">
        <v>255</v>
      </c>
    </row>
    <row r="640" spans="1:15" s="90" customFormat="1" ht="12.75" customHeight="1" x14ac:dyDescent="0.2">
      <c r="A640" s="247" t="s">
        <v>990</v>
      </c>
      <c r="B640" s="316">
        <v>3046</v>
      </c>
      <c r="C640" s="247" t="s">
        <v>975</v>
      </c>
      <c r="D640" s="317">
        <v>42649</v>
      </c>
      <c r="E640" s="318">
        <v>0.79421296296296295</v>
      </c>
      <c r="F640" s="247" t="s">
        <v>976</v>
      </c>
      <c r="G640" s="247" t="s">
        <v>1035</v>
      </c>
      <c r="H640" s="248" t="s">
        <v>404</v>
      </c>
      <c r="I640" s="248" t="s">
        <v>404</v>
      </c>
      <c r="J640" s="247" t="s">
        <v>809</v>
      </c>
      <c r="K640" s="249">
        <v>0</v>
      </c>
      <c r="M640" s="90">
        <v>0</v>
      </c>
      <c r="N640" s="90">
        <v>0</v>
      </c>
      <c r="O640" s="90">
        <v>255</v>
      </c>
    </row>
    <row r="641" spans="1:15" s="90" customFormat="1" ht="12.75" customHeight="1" x14ac:dyDescent="0.2">
      <c r="A641" s="247" t="s">
        <v>993</v>
      </c>
      <c r="B641" s="316">
        <v>3217</v>
      </c>
      <c r="C641" s="247" t="s">
        <v>975</v>
      </c>
      <c r="D641" s="317">
        <v>42649</v>
      </c>
      <c r="E641" s="318">
        <v>0.79421296296296295</v>
      </c>
      <c r="F641" s="247" t="s">
        <v>235</v>
      </c>
      <c r="G641" s="247" t="s">
        <v>1035</v>
      </c>
      <c r="H641" s="248" t="s">
        <v>234</v>
      </c>
      <c r="I641" s="248" t="s">
        <v>235</v>
      </c>
      <c r="J641" s="247" t="s">
        <v>809</v>
      </c>
      <c r="K641" s="249">
        <v>0</v>
      </c>
      <c r="M641" s="90">
        <v>0</v>
      </c>
      <c r="N641" s="90">
        <v>0</v>
      </c>
      <c r="O641" s="90">
        <v>255</v>
      </c>
    </row>
    <row r="642" spans="1:15" s="90" customFormat="1" ht="12.75" customHeight="1" x14ac:dyDescent="0.2">
      <c r="A642" s="247" t="s">
        <v>989</v>
      </c>
      <c r="B642" s="316">
        <v>3046</v>
      </c>
      <c r="C642" s="247" t="s">
        <v>975</v>
      </c>
      <c r="D642" s="317">
        <v>42649</v>
      </c>
      <c r="E642" s="318">
        <v>0.83589120370370373</v>
      </c>
      <c r="F642" s="247" t="s">
        <v>976</v>
      </c>
      <c r="G642" s="247" t="s">
        <v>1035</v>
      </c>
      <c r="H642" s="248" t="s">
        <v>404</v>
      </c>
      <c r="I642" s="248" t="s">
        <v>404</v>
      </c>
      <c r="J642" s="247" t="s">
        <v>809</v>
      </c>
      <c r="K642" s="249">
        <v>0</v>
      </c>
      <c r="M642" s="90">
        <v>0</v>
      </c>
      <c r="N642" s="90">
        <v>0</v>
      </c>
      <c r="O642" s="90">
        <v>255</v>
      </c>
    </row>
    <row r="643" spans="1:15" s="90" customFormat="1" ht="12.75" customHeight="1" x14ac:dyDescent="0.2">
      <c r="A643" s="247" t="s">
        <v>990</v>
      </c>
      <c r="B643" s="316">
        <v>3046</v>
      </c>
      <c r="C643" s="247" t="s">
        <v>975</v>
      </c>
      <c r="D643" s="317">
        <v>42649</v>
      </c>
      <c r="E643" s="318">
        <v>0.83613425925925933</v>
      </c>
      <c r="F643" s="247" t="s">
        <v>976</v>
      </c>
      <c r="G643" s="247" t="s">
        <v>1035</v>
      </c>
      <c r="H643" s="248" t="s">
        <v>404</v>
      </c>
      <c r="I643" s="248" t="s">
        <v>404</v>
      </c>
      <c r="J643" s="247" t="s">
        <v>809</v>
      </c>
      <c r="K643" s="249">
        <v>0</v>
      </c>
      <c r="M643" s="90">
        <v>0</v>
      </c>
      <c r="N643" s="90">
        <v>0</v>
      </c>
      <c r="O643" s="90">
        <v>255</v>
      </c>
    </row>
    <row r="644" spans="1:15" s="90" customFormat="1" ht="12.75" customHeight="1" x14ac:dyDescent="0.2">
      <c r="A644" s="247" t="s">
        <v>993</v>
      </c>
      <c r="B644" s="316">
        <v>3217</v>
      </c>
      <c r="C644" s="247" t="s">
        <v>975</v>
      </c>
      <c r="D644" s="317">
        <v>42649</v>
      </c>
      <c r="E644" s="318">
        <v>0.83613425925925933</v>
      </c>
      <c r="F644" s="247" t="s">
        <v>235</v>
      </c>
      <c r="G644" s="247" t="s">
        <v>1035</v>
      </c>
      <c r="H644" s="248" t="s">
        <v>234</v>
      </c>
      <c r="I644" s="248" t="s">
        <v>235</v>
      </c>
      <c r="J644" s="247" t="s">
        <v>809</v>
      </c>
      <c r="K644" s="249">
        <v>0</v>
      </c>
      <c r="M644" s="90">
        <v>0</v>
      </c>
      <c r="N644" s="90">
        <v>0</v>
      </c>
      <c r="O644" s="90">
        <v>255</v>
      </c>
    </row>
    <row r="645" spans="1:15" s="90" customFormat="1" ht="12.75" customHeight="1" x14ac:dyDescent="0.2">
      <c r="A645" s="247" t="s">
        <v>989</v>
      </c>
      <c r="B645" s="316">
        <v>3046</v>
      </c>
      <c r="C645" s="247" t="s">
        <v>975</v>
      </c>
      <c r="D645" s="317">
        <v>42649</v>
      </c>
      <c r="E645" s="318">
        <v>0.87780092592592596</v>
      </c>
      <c r="F645" s="247" t="s">
        <v>976</v>
      </c>
      <c r="G645" s="247" t="s">
        <v>1035</v>
      </c>
      <c r="H645" s="248" t="s">
        <v>404</v>
      </c>
      <c r="I645" s="248" t="s">
        <v>404</v>
      </c>
      <c r="J645" s="247" t="s">
        <v>809</v>
      </c>
      <c r="K645" s="249">
        <v>0</v>
      </c>
      <c r="M645" s="90">
        <v>0</v>
      </c>
      <c r="N645" s="90">
        <v>0</v>
      </c>
      <c r="O645" s="90">
        <v>255</v>
      </c>
    </row>
    <row r="646" spans="1:15" s="90" customFormat="1" ht="12.75" customHeight="1" x14ac:dyDescent="0.2">
      <c r="A646" s="247" t="s">
        <v>990</v>
      </c>
      <c r="B646" s="316">
        <v>3046</v>
      </c>
      <c r="C646" s="247" t="s">
        <v>975</v>
      </c>
      <c r="D646" s="317">
        <v>42649</v>
      </c>
      <c r="E646" s="318">
        <v>0.87805555555555559</v>
      </c>
      <c r="F646" s="247" t="s">
        <v>976</v>
      </c>
      <c r="G646" s="247" t="s">
        <v>1035</v>
      </c>
      <c r="H646" s="248" t="s">
        <v>404</v>
      </c>
      <c r="I646" s="248" t="s">
        <v>404</v>
      </c>
      <c r="J646" s="247" t="s">
        <v>809</v>
      </c>
      <c r="K646" s="249">
        <v>0</v>
      </c>
      <c r="M646" s="90">
        <v>0</v>
      </c>
      <c r="N646" s="90">
        <v>0</v>
      </c>
      <c r="O646" s="90">
        <v>255</v>
      </c>
    </row>
    <row r="647" spans="1:15" s="90" customFormat="1" ht="12.75" customHeight="1" x14ac:dyDescent="0.2">
      <c r="A647" s="247" t="s">
        <v>993</v>
      </c>
      <c r="B647" s="316">
        <v>3217</v>
      </c>
      <c r="C647" s="247" t="s">
        <v>975</v>
      </c>
      <c r="D647" s="317">
        <v>42649</v>
      </c>
      <c r="E647" s="318">
        <v>0.87805555555555559</v>
      </c>
      <c r="F647" s="247" t="s">
        <v>235</v>
      </c>
      <c r="G647" s="247" t="s">
        <v>1035</v>
      </c>
      <c r="H647" s="248" t="s">
        <v>234</v>
      </c>
      <c r="I647" s="248" t="s">
        <v>235</v>
      </c>
      <c r="J647" s="247" t="s">
        <v>809</v>
      </c>
      <c r="K647" s="249">
        <v>0</v>
      </c>
      <c r="M647" s="90">
        <v>0</v>
      </c>
      <c r="N647" s="90">
        <v>0</v>
      </c>
      <c r="O647" s="90">
        <v>255</v>
      </c>
    </row>
    <row r="648" spans="1:15" s="90" customFormat="1" ht="12.75" customHeight="1" x14ac:dyDescent="0.2">
      <c r="A648" s="247" t="s">
        <v>989</v>
      </c>
      <c r="B648" s="316">
        <v>3046</v>
      </c>
      <c r="C648" s="247" t="s">
        <v>975</v>
      </c>
      <c r="D648" s="317">
        <v>42649</v>
      </c>
      <c r="E648" s="318">
        <v>0.91972222222222222</v>
      </c>
      <c r="F648" s="247" t="s">
        <v>976</v>
      </c>
      <c r="G648" s="247" t="s">
        <v>1035</v>
      </c>
      <c r="H648" s="248" t="s">
        <v>404</v>
      </c>
      <c r="I648" s="248" t="s">
        <v>404</v>
      </c>
      <c r="J648" s="247" t="s">
        <v>809</v>
      </c>
      <c r="K648" s="249">
        <v>0</v>
      </c>
      <c r="M648" s="90">
        <v>0</v>
      </c>
      <c r="N648" s="90">
        <v>0</v>
      </c>
      <c r="O648" s="90">
        <v>255</v>
      </c>
    </row>
    <row r="649" spans="1:15" s="90" customFormat="1" ht="12.75" customHeight="1" x14ac:dyDescent="0.2">
      <c r="A649" s="247" t="s">
        <v>990</v>
      </c>
      <c r="B649" s="316">
        <v>3046</v>
      </c>
      <c r="C649" s="247" t="s">
        <v>975</v>
      </c>
      <c r="D649" s="317">
        <v>42649</v>
      </c>
      <c r="E649" s="318">
        <v>0.91997685185185185</v>
      </c>
      <c r="F649" s="247" t="s">
        <v>976</v>
      </c>
      <c r="G649" s="247" t="s">
        <v>1035</v>
      </c>
      <c r="H649" s="248" t="s">
        <v>404</v>
      </c>
      <c r="I649" s="248" t="s">
        <v>404</v>
      </c>
      <c r="J649" s="247" t="s">
        <v>809</v>
      </c>
      <c r="K649" s="249">
        <v>0</v>
      </c>
      <c r="M649" s="90">
        <v>0</v>
      </c>
      <c r="N649" s="90">
        <v>0</v>
      </c>
      <c r="O649" s="90">
        <v>255</v>
      </c>
    </row>
    <row r="650" spans="1:15" s="90" customFormat="1" ht="12.75" customHeight="1" x14ac:dyDescent="0.2">
      <c r="A650" s="247" t="s">
        <v>993</v>
      </c>
      <c r="B650" s="316">
        <v>3217</v>
      </c>
      <c r="C650" s="247" t="s">
        <v>975</v>
      </c>
      <c r="D650" s="317">
        <v>42649</v>
      </c>
      <c r="E650" s="318">
        <v>0.91997685185185185</v>
      </c>
      <c r="F650" s="247" t="s">
        <v>235</v>
      </c>
      <c r="G650" s="247" t="s">
        <v>1035</v>
      </c>
      <c r="H650" s="248" t="s">
        <v>234</v>
      </c>
      <c r="I650" s="248" t="s">
        <v>235</v>
      </c>
      <c r="J650" s="247" t="s">
        <v>809</v>
      </c>
      <c r="K650" s="249">
        <v>0</v>
      </c>
      <c r="M650" s="90">
        <v>0</v>
      </c>
      <c r="N650" s="90">
        <v>0</v>
      </c>
      <c r="O650" s="90">
        <v>255</v>
      </c>
    </row>
    <row r="651" spans="1:15" s="90" customFormat="1" ht="12.75" customHeight="1" x14ac:dyDescent="0.2">
      <c r="A651" s="247" t="s">
        <v>989</v>
      </c>
      <c r="B651" s="316">
        <v>3046</v>
      </c>
      <c r="C651" s="247" t="s">
        <v>975</v>
      </c>
      <c r="D651" s="317">
        <v>42649</v>
      </c>
      <c r="E651" s="318">
        <v>0.96164351851851848</v>
      </c>
      <c r="F651" s="247" t="s">
        <v>976</v>
      </c>
      <c r="G651" s="247" t="s">
        <v>1035</v>
      </c>
      <c r="H651" s="248" t="s">
        <v>404</v>
      </c>
      <c r="I651" s="248" t="s">
        <v>404</v>
      </c>
      <c r="J651" s="247" t="s">
        <v>809</v>
      </c>
      <c r="K651" s="249">
        <v>0</v>
      </c>
      <c r="M651" s="90">
        <v>0</v>
      </c>
      <c r="N651" s="90">
        <v>0</v>
      </c>
      <c r="O651" s="90">
        <v>255</v>
      </c>
    </row>
    <row r="652" spans="1:15" s="90" customFormat="1" ht="12.75" customHeight="1" x14ac:dyDescent="0.2">
      <c r="A652" s="247" t="s">
        <v>990</v>
      </c>
      <c r="B652" s="316">
        <v>3046</v>
      </c>
      <c r="C652" s="247" t="s">
        <v>975</v>
      </c>
      <c r="D652" s="317">
        <v>42649</v>
      </c>
      <c r="E652" s="318">
        <v>0.96189814814814811</v>
      </c>
      <c r="F652" s="247" t="s">
        <v>976</v>
      </c>
      <c r="G652" s="247" t="s">
        <v>1035</v>
      </c>
      <c r="H652" s="248" t="s">
        <v>404</v>
      </c>
      <c r="I652" s="248" t="s">
        <v>404</v>
      </c>
      <c r="J652" s="247" t="s">
        <v>809</v>
      </c>
      <c r="K652" s="249">
        <v>0</v>
      </c>
      <c r="M652" s="90">
        <v>0</v>
      </c>
      <c r="N652" s="90">
        <v>0</v>
      </c>
      <c r="O652" s="90">
        <v>255</v>
      </c>
    </row>
    <row r="653" spans="1:15" s="90" customFormat="1" ht="12.75" customHeight="1" x14ac:dyDescent="0.2">
      <c r="A653" s="247" t="s">
        <v>993</v>
      </c>
      <c r="B653" s="316">
        <v>3217</v>
      </c>
      <c r="C653" s="247" t="s">
        <v>975</v>
      </c>
      <c r="D653" s="317">
        <v>42649</v>
      </c>
      <c r="E653" s="318">
        <v>0.96189814814814811</v>
      </c>
      <c r="F653" s="247" t="s">
        <v>235</v>
      </c>
      <c r="G653" s="247" t="s">
        <v>1035</v>
      </c>
      <c r="H653" s="248" t="s">
        <v>234</v>
      </c>
      <c r="I653" s="248" t="s">
        <v>235</v>
      </c>
      <c r="J653" s="247" t="s">
        <v>809</v>
      </c>
      <c r="K653" s="249">
        <v>0</v>
      </c>
      <c r="M653" s="90">
        <v>0</v>
      </c>
      <c r="N653" s="90">
        <v>0</v>
      </c>
      <c r="O653" s="90">
        <v>255</v>
      </c>
    </row>
    <row r="654" spans="1:15" s="90" customFormat="1" ht="12.75" customHeight="1" x14ac:dyDescent="0.2">
      <c r="A654" s="247" t="s">
        <v>989</v>
      </c>
      <c r="B654" s="316">
        <v>3046</v>
      </c>
      <c r="C654" s="247" t="s">
        <v>975</v>
      </c>
      <c r="D654" s="317">
        <v>42650</v>
      </c>
      <c r="E654" s="318">
        <v>3.5648148148148154E-3</v>
      </c>
      <c r="F654" s="247" t="s">
        <v>976</v>
      </c>
      <c r="G654" s="247" t="s">
        <v>1035</v>
      </c>
      <c r="H654" s="248" t="s">
        <v>404</v>
      </c>
      <c r="I654" s="248" t="s">
        <v>404</v>
      </c>
      <c r="J654" s="247" t="s">
        <v>809</v>
      </c>
      <c r="K654" s="249">
        <v>0</v>
      </c>
      <c r="M654" s="90">
        <v>0</v>
      </c>
      <c r="N654" s="90">
        <v>0</v>
      </c>
      <c r="O654" s="90">
        <v>255</v>
      </c>
    </row>
    <row r="655" spans="1:15" s="90" customFormat="1" ht="12.75" customHeight="1" x14ac:dyDescent="0.2">
      <c r="A655" s="247" t="s">
        <v>993</v>
      </c>
      <c r="B655" s="316">
        <v>3217</v>
      </c>
      <c r="C655" s="247" t="s">
        <v>975</v>
      </c>
      <c r="D655" s="317">
        <v>42650</v>
      </c>
      <c r="E655" s="318">
        <v>3.8078703703703707E-3</v>
      </c>
      <c r="F655" s="247" t="s">
        <v>235</v>
      </c>
      <c r="G655" s="247" t="s">
        <v>1035</v>
      </c>
      <c r="H655" s="248" t="s">
        <v>234</v>
      </c>
      <c r="I655" s="248" t="s">
        <v>235</v>
      </c>
      <c r="J655" s="247" t="s">
        <v>809</v>
      </c>
      <c r="K655" s="249">
        <v>0</v>
      </c>
      <c r="M655" s="90">
        <v>0</v>
      </c>
      <c r="N655" s="90">
        <v>0</v>
      </c>
      <c r="O655" s="90">
        <v>255</v>
      </c>
    </row>
    <row r="656" spans="1:15" s="90" customFormat="1" ht="12.75" customHeight="1" x14ac:dyDescent="0.2">
      <c r="A656" s="247" t="s">
        <v>990</v>
      </c>
      <c r="B656" s="316">
        <v>3046</v>
      </c>
      <c r="C656" s="247" t="s">
        <v>975</v>
      </c>
      <c r="D656" s="317">
        <v>42650</v>
      </c>
      <c r="E656" s="318">
        <v>3.8194444444444443E-3</v>
      </c>
      <c r="F656" s="247" t="s">
        <v>976</v>
      </c>
      <c r="G656" s="247" t="s">
        <v>1035</v>
      </c>
      <c r="H656" s="248" t="s">
        <v>404</v>
      </c>
      <c r="I656" s="248" t="s">
        <v>404</v>
      </c>
      <c r="J656" s="247" t="s">
        <v>809</v>
      </c>
      <c r="K656" s="249">
        <v>0</v>
      </c>
      <c r="M656" s="90">
        <v>0</v>
      </c>
      <c r="N656" s="90">
        <v>0</v>
      </c>
      <c r="O656" s="90">
        <v>255</v>
      </c>
    </row>
    <row r="657" spans="1:15" s="90" customFormat="1" ht="12.75" customHeight="1" x14ac:dyDescent="0.2">
      <c r="A657" s="247" t="s">
        <v>989</v>
      </c>
      <c r="B657" s="316">
        <v>3046</v>
      </c>
      <c r="C657" s="247" t="s">
        <v>975</v>
      </c>
      <c r="D657" s="317">
        <v>42650</v>
      </c>
      <c r="E657" s="318">
        <v>4.5486111111111109E-2</v>
      </c>
      <c r="F657" s="247" t="s">
        <v>976</v>
      </c>
      <c r="G657" s="247" t="s">
        <v>1035</v>
      </c>
      <c r="H657" s="248" t="s">
        <v>404</v>
      </c>
      <c r="I657" s="248" t="s">
        <v>404</v>
      </c>
      <c r="J657" s="247" t="s">
        <v>809</v>
      </c>
      <c r="K657" s="249">
        <v>0</v>
      </c>
      <c r="M657" s="90">
        <v>0</v>
      </c>
      <c r="N657" s="90">
        <v>0</v>
      </c>
      <c r="O657" s="90">
        <v>255</v>
      </c>
    </row>
    <row r="658" spans="1:15" s="90" customFormat="1" ht="12.75" customHeight="1" x14ac:dyDescent="0.2">
      <c r="A658" s="247" t="s">
        <v>993</v>
      </c>
      <c r="B658" s="316">
        <v>3217</v>
      </c>
      <c r="C658" s="247" t="s">
        <v>975</v>
      </c>
      <c r="D658" s="317">
        <v>42650</v>
      </c>
      <c r="E658" s="318">
        <v>4.5729166666666661E-2</v>
      </c>
      <c r="F658" s="247" t="s">
        <v>235</v>
      </c>
      <c r="G658" s="247" t="s">
        <v>1035</v>
      </c>
      <c r="H658" s="248" t="s">
        <v>234</v>
      </c>
      <c r="I658" s="248" t="s">
        <v>235</v>
      </c>
      <c r="J658" s="247" t="s">
        <v>809</v>
      </c>
      <c r="K658" s="249">
        <v>0</v>
      </c>
      <c r="M658" s="90">
        <v>0</v>
      </c>
      <c r="N658" s="90">
        <v>0</v>
      </c>
      <c r="O658" s="90">
        <v>255</v>
      </c>
    </row>
    <row r="659" spans="1:15" s="90" customFormat="1" ht="12.75" customHeight="1" x14ac:dyDescent="0.2">
      <c r="A659" s="247" t="s">
        <v>990</v>
      </c>
      <c r="B659" s="316">
        <v>3046</v>
      </c>
      <c r="C659" s="247" t="s">
        <v>975</v>
      </c>
      <c r="D659" s="317">
        <v>42650</v>
      </c>
      <c r="E659" s="318">
        <v>4.5740740740740742E-2</v>
      </c>
      <c r="F659" s="247" t="s">
        <v>976</v>
      </c>
      <c r="G659" s="247" t="s">
        <v>1035</v>
      </c>
      <c r="H659" s="248" t="s">
        <v>404</v>
      </c>
      <c r="I659" s="248" t="s">
        <v>404</v>
      </c>
      <c r="J659" s="247" t="s">
        <v>809</v>
      </c>
      <c r="K659" s="249">
        <v>0</v>
      </c>
      <c r="M659" s="90">
        <v>0</v>
      </c>
      <c r="N659" s="90">
        <v>0</v>
      </c>
      <c r="O659" s="90">
        <v>255</v>
      </c>
    </row>
    <row r="660" spans="1:15" s="90" customFormat="1" ht="12.75" customHeight="1" x14ac:dyDescent="0.2">
      <c r="A660" s="247" t="s">
        <v>989</v>
      </c>
      <c r="B660" s="316">
        <v>3046</v>
      </c>
      <c r="C660" s="247" t="s">
        <v>975</v>
      </c>
      <c r="D660" s="317">
        <v>42650</v>
      </c>
      <c r="E660" s="318">
        <v>8.740740740740742E-2</v>
      </c>
      <c r="F660" s="247" t="s">
        <v>976</v>
      </c>
      <c r="G660" s="247" t="s">
        <v>1035</v>
      </c>
      <c r="H660" s="248" t="s">
        <v>404</v>
      </c>
      <c r="I660" s="248" t="s">
        <v>404</v>
      </c>
      <c r="J660" s="247" t="s">
        <v>809</v>
      </c>
      <c r="K660" s="249">
        <v>0</v>
      </c>
      <c r="M660" s="90">
        <v>0</v>
      </c>
      <c r="N660" s="90">
        <v>0</v>
      </c>
      <c r="O660" s="90">
        <v>255</v>
      </c>
    </row>
    <row r="661" spans="1:15" s="90" customFormat="1" ht="12.75" customHeight="1" x14ac:dyDescent="0.2">
      <c r="A661" s="247" t="s">
        <v>990</v>
      </c>
      <c r="B661" s="316">
        <v>3046</v>
      </c>
      <c r="C661" s="247" t="s">
        <v>975</v>
      </c>
      <c r="D661" s="317">
        <v>42650</v>
      </c>
      <c r="E661" s="318">
        <v>8.7650462962962972E-2</v>
      </c>
      <c r="F661" s="247" t="s">
        <v>976</v>
      </c>
      <c r="G661" s="247" t="s">
        <v>1035</v>
      </c>
      <c r="H661" s="248" t="s">
        <v>404</v>
      </c>
      <c r="I661" s="248" t="s">
        <v>404</v>
      </c>
      <c r="J661" s="247" t="s">
        <v>809</v>
      </c>
      <c r="K661" s="249">
        <v>0</v>
      </c>
      <c r="M661" s="90">
        <v>0</v>
      </c>
      <c r="N661" s="90">
        <v>0</v>
      </c>
      <c r="O661" s="90">
        <v>255</v>
      </c>
    </row>
    <row r="662" spans="1:15" s="90" customFormat="1" ht="12.75" customHeight="1" x14ac:dyDescent="0.2">
      <c r="A662" s="247" t="s">
        <v>993</v>
      </c>
      <c r="B662" s="316">
        <v>3217</v>
      </c>
      <c r="C662" s="247" t="s">
        <v>975</v>
      </c>
      <c r="D662" s="317">
        <v>42650</v>
      </c>
      <c r="E662" s="318">
        <v>8.7650462962962972E-2</v>
      </c>
      <c r="F662" s="247" t="s">
        <v>235</v>
      </c>
      <c r="G662" s="247" t="s">
        <v>1035</v>
      </c>
      <c r="H662" s="248" t="s">
        <v>234</v>
      </c>
      <c r="I662" s="248" t="s">
        <v>235</v>
      </c>
      <c r="J662" s="247" t="s">
        <v>809</v>
      </c>
      <c r="K662" s="249">
        <v>0</v>
      </c>
      <c r="M662" s="90">
        <v>0</v>
      </c>
      <c r="N662" s="90">
        <v>0</v>
      </c>
      <c r="O662" s="90">
        <v>255</v>
      </c>
    </row>
    <row r="663" spans="1:15" s="90" customFormat="1" ht="12.75" customHeight="1" x14ac:dyDescent="0.2">
      <c r="A663" s="247" t="s">
        <v>989</v>
      </c>
      <c r="B663" s="316">
        <v>3046</v>
      </c>
      <c r="C663" s="247" t="s">
        <v>975</v>
      </c>
      <c r="D663" s="317">
        <v>42650</v>
      </c>
      <c r="E663" s="318">
        <v>0.1293287037037037</v>
      </c>
      <c r="F663" s="247" t="s">
        <v>976</v>
      </c>
      <c r="G663" s="247" t="s">
        <v>1035</v>
      </c>
      <c r="H663" s="248" t="s">
        <v>404</v>
      </c>
      <c r="I663" s="248" t="s">
        <v>404</v>
      </c>
      <c r="J663" s="247" t="s">
        <v>809</v>
      </c>
      <c r="K663" s="249">
        <v>0</v>
      </c>
      <c r="M663" s="90">
        <v>0</v>
      </c>
      <c r="N663" s="90">
        <v>0</v>
      </c>
      <c r="O663" s="90">
        <v>255</v>
      </c>
    </row>
    <row r="664" spans="1:15" s="90" customFormat="1" ht="12.75" customHeight="1" x14ac:dyDescent="0.2">
      <c r="A664" s="247" t="s">
        <v>990</v>
      </c>
      <c r="B664" s="316">
        <v>3046</v>
      </c>
      <c r="C664" s="247" t="s">
        <v>975</v>
      </c>
      <c r="D664" s="317">
        <v>42650</v>
      </c>
      <c r="E664" s="318">
        <v>0.12957175925925926</v>
      </c>
      <c r="F664" s="247" t="s">
        <v>976</v>
      </c>
      <c r="G664" s="247" t="s">
        <v>1035</v>
      </c>
      <c r="H664" s="248" t="s">
        <v>404</v>
      </c>
      <c r="I664" s="248" t="s">
        <v>404</v>
      </c>
      <c r="J664" s="247" t="s">
        <v>809</v>
      </c>
      <c r="K664" s="249">
        <v>0</v>
      </c>
      <c r="M664" s="90">
        <v>0</v>
      </c>
      <c r="N664" s="90">
        <v>0</v>
      </c>
      <c r="O664" s="90">
        <v>255</v>
      </c>
    </row>
    <row r="665" spans="1:15" s="90" customFormat="1" ht="12.75" customHeight="1" x14ac:dyDescent="0.2">
      <c r="A665" s="247" t="s">
        <v>993</v>
      </c>
      <c r="B665" s="316">
        <v>3217</v>
      </c>
      <c r="C665" s="247" t="s">
        <v>975</v>
      </c>
      <c r="D665" s="317">
        <v>42650</v>
      </c>
      <c r="E665" s="318">
        <v>0.12957175925925926</v>
      </c>
      <c r="F665" s="247" t="s">
        <v>235</v>
      </c>
      <c r="G665" s="247" t="s">
        <v>1035</v>
      </c>
      <c r="H665" s="248" t="s">
        <v>234</v>
      </c>
      <c r="I665" s="248" t="s">
        <v>235</v>
      </c>
      <c r="J665" s="247" t="s">
        <v>809</v>
      </c>
      <c r="K665" s="249">
        <v>0</v>
      </c>
      <c r="M665" s="90">
        <v>0</v>
      </c>
      <c r="N665" s="90">
        <v>0</v>
      </c>
      <c r="O665" s="90">
        <v>255</v>
      </c>
    </row>
    <row r="666" spans="1:15" s="90" customFormat="1" ht="12.75" customHeight="1" x14ac:dyDescent="0.2">
      <c r="A666" s="247" t="s">
        <v>989</v>
      </c>
      <c r="B666" s="316">
        <v>3046</v>
      </c>
      <c r="C666" s="247" t="s">
        <v>975</v>
      </c>
      <c r="D666" s="317">
        <v>42650</v>
      </c>
      <c r="E666" s="318">
        <v>0.17125000000000001</v>
      </c>
      <c r="F666" s="247" t="s">
        <v>976</v>
      </c>
      <c r="G666" s="247" t="s">
        <v>1035</v>
      </c>
      <c r="H666" s="248" t="s">
        <v>404</v>
      </c>
      <c r="I666" s="248" t="s">
        <v>404</v>
      </c>
      <c r="J666" s="247" t="s">
        <v>809</v>
      </c>
      <c r="K666" s="249">
        <v>0</v>
      </c>
      <c r="M666" s="90">
        <v>0</v>
      </c>
      <c r="N666" s="90">
        <v>0</v>
      </c>
      <c r="O666" s="90">
        <v>255</v>
      </c>
    </row>
    <row r="667" spans="1:15" s="90" customFormat="1" ht="12.75" customHeight="1" x14ac:dyDescent="0.2">
      <c r="A667" s="247" t="s">
        <v>990</v>
      </c>
      <c r="B667" s="316">
        <v>3046</v>
      </c>
      <c r="C667" s="247" t="s">
        <v>975</v>
      </c>
      <c r="D667" s="317">
        <v>42650</v>
      </c>
      <c r="E667" s="318">
        <v>0.17149305555555558</v>
      </c>
      <c r="F667" s="247" t="s">
        <v>976</v>
      </c>
      <c r="G667" s="247" t="s">
        <v>1035</v>
      </c>
      <c r="H667" s="248" t="s">
        <v>404</v>
      </c>
      <c r="I667" s="248" t="s">
        <v>404</v>
      </c>
      <c r="J667" s="247" t="s">
        <v>809</v>
      </c>
      <c r="K667" s="249">
        <v>0</v>
      </c>
      <c r="M667" s="90">
        <v>0</v>
      </c>
      <c r="N667" s="90">
        <v>0</v>
      </c>
      <c r="O667" s="90">
        <v>255</v>
      </c>
    </row>
    <row r="668" spans="1:15" s="90" customFormat="1" ht="12.75" customHeight="1" x14ac:dyDescent="0.2">
      <c r="A668" s="247" t="s">
        <v>993</v>
      </c>
      <c r="B668" s="316">
        <v>3217</v>
      </c>
      <c r="C668" s="247" t="s">
        <v>975</v>
      </c>
      <c r="D668" s="317">
        <v>42650</v>
      </c>
      <c r="E668" s="318">
        <v>0.17149305555555558</v>
      </c>
      <c r="F668" s="247" t="s">
        <v>235</v>
      </c>
      <c r="G668" s="247" t="s">
        <v>1035</v>
      </c>
      <c r="H668" s="248" t="s">
        <v>234</v>
      </c>
      <c r="I668" s="248" t="s">
        <v>235</v>
      </c>
      <c r="J668" s="247" t="s">
        <v>809</v>
      </c>
      <c r="K668" s="249">
        <v>0</v>
      </c>
      <c r="M668" s="90">
        <v>0</v>
      </c>
      <c r="N668" s="90">
        <v>0</v>
      </c>
      <c r="O668" s="90">
        <v>255</v>
      </c>
    </row>
    <row r="669" spans="1:15" s="90" customFormat="1" ht="12.75" customHeight="1" x14ac:dyDescent="0.2">
      <c r="A669" s="247" t="s">
        <v>989</v>
      </c>
      <c r="B669" s="316">
        <v>3046</v>
      </c>
      <c r="C669" s="247" t="s">
        <v>975</v>
      </c>
      <c r="D669" s="317">
        <v>42650</v>
      </c>
      <c r="E669" s="318">
        <v>0.2131712962962963</v>
      </c>
      <c r="F669" s="247" t="s">
        <v>976</v>
      </c>
      <c r="G669" s="247" t="s">
        <v>1035</v>
      </c>
      <c r="H669" s="248" t="s">
        <v>404</v>
      </c>
      <c r="I669" s="248" t="s">
        <v>404</v>
      </c>
      <c r="J669" s="247" t="s">
        <v>809</v>
      </c>
      <c r="K669" s="249">
        <v>0</v>
      </c>
      <c r="M669" s="90">
        <v>0</v>
      </c>
      <c r="N669" s="90">
        <v>0</v>
      </c>
      <c r="O669" s="90">
        <v>255</v>
      </c>
    </row>
    <row r="670" spans="1:15" s="90" customFormat="1" ht="12.75" customHeight="1" x14ac:dyDescent="0.2">
      <c r="A670" s="247" t="s">
        <v>990</v>
      </c>
      <c r="B670" s="316">
        <v>3046</v>
      </c>
      <c r="C670" s="247" t="s">
        <v>975</v>
      </c>
      <c r="D670" s="317">
        <v>42650</v>
      </c>
      <c r="E670" s="318">
        <v>0.21341435185185187</v>
      </c>
      <c r="F670" s="247" t="s">
        <v>976</v>
      </c>
      <c r="G670" s="247" t="s">
        <v>1035</v>
      </c>
      <c r="H670" s="248" t="s">
        <v>404</v>
      </c>
      <c r="I670" s="248" t="s">
        <v>404</v>
      </c>
      <c r="J670" s="247" t="s">
        <v>809</v>
      </c>
      <c r="K670" s="249">
        <v>0</v>
      </c>
      <c r="M670" s="90">
        <v>0</v>
      </c>
      <c r="N670" s="90">
        <v>0</v>
      </c>
      <c r="O670" s="90">
        <v>255</v>
      </c>
    </row>
    <row r="671" spans="1:15" s="90" customFormat="1" ht="12.75" customHeight="1" x14ac:dyDescent="0.2">
      <c r="A671" s="247" t="s">
        <v>993</v>
      </c>
      <c r="B671" s="316">
        <v>3217</v>
      </c>
      <c r="C671" s="247" t="s">
        <v>975</v>
      </c>
      <c r="D671" s="317">
        <v>42650</v>
      </c>
      <c r="E671" s="318">
        <v>0.21341435185185187</v>
      </c>
      <c r="F671" s="247" t="s">
        <v>235</v>
      </c>
      <c r="G671" s="247" t="s">
        <v>1035</v>
      </c>
      <c r="H671" s="248" t="s">
        <v>234</v>
      </c>
      <c r="I671" s="248" t="s">
        <v>235</v>
      </c>
      <c r="J671" s="247" t="s">
        <v>809</v>
      </c>
      <c r="K671" s="249">
        <v>0</v>
      </c>
      <c r="M671" s="90">
        <v>0</v>
      </c>
      <c r="N671" s="90">
        <v>0</v>
      </c>
      <c r="O671" s="90">
        <v>255</v>
      </c>
    </row>
    <row r="672" spans="1:15" s="90" customFormat="1" ht="12.75" customHeight="1" x14ac:dyDescent="0.2">
      <c r="A672" s="247" t="s">
        <v>989</v>
      </c>
      <c r="B672" s="316">
        <v>3046</v>
      </c>
      <c r="C672" s="247" t="s">
        <v>975</v>
      </c>
      <c r="D672" s="317">
        <v>42650</v>
      </c>
      <c r="E672" s="318">
        <v>0.25508101851851855</v>
      </c>
      <c r="F672" s="247" t="s">
        <v>976</v>
      </c>
      <c r="G672" s="247" t="s">
        <v>1035</v>
      </c>
      <c r="H672" s="248" t="s">
        <v>404</v>
      </c>
      <c r="I672" s="248" t="s">
        <v>404</v>
      </c>
      <c r="J672" s="247" t="s">
        <v>809</v>
      </c>
      <c r="K672" s="249">
        <v>0</v>
      </c>
      <c r="M672" s="90">
        <v>0</v>
      </c>
      <c r="N672" s="90">
        <v>0</v>
      </c>
      <c r="O672" s="90">
        <v>255</v>
      </c>
    </row>
    <row r="673" spans="1:15" s="90" customFormat="1" ht="12.75" customHeight="1" x14ac:dyDescent="0.2">
      <c r="A673" s="247" t="s">
        <v>990</v>
      </c>
      <c r="B673" s="316">
        <v>3046</v>
      </c>
      <c r="C673" s="247" t="s">
        <v>975</v>
      </c>
      <c r="D673" s="317">
        <v>42650</v>
      </c>
      <c r="E673" s="318">
        <v>0.25533564814814813</v>
      </c>
      <c r="F673" s="247" t="s">
        <v>976</v>
      </c>
      <c r="G673" s="247" t="s">
        <v>1035</v>
      </c>
      <c r="H673" s="248" t="s">
        <v>404</v>
      </c>
      <c r="I673" s="248" t="s">
        <v>404</v>
      </c>
      <c r="J673" s="247" t="s">
        <v>809</v>
      </c>
      <c r="K673" s="249">
        <v>0</v>
      </c>
      <c r="M673" s="90">
        <v>0</v>
      </c>
      <c r="N673" s="90">
        <v>0</v>
      </c>
      <c r="O673" s="90">
        <v>255</v>
      </c>
    </row>
    <row r="674" spans="1:15" s="90" customFormat="1" ht="12.75" customHeight="1" x14ac:dyDescent="0.2">
      <c r="A674" s="247" t="s">
        <v>993</v>
      </c>
      <c r="B674" s="316">
        <v>3217</v>
      </c>
      <c r="C674" s="247" t="s">
        <v>975</v>
      </c>
      <c r="D674" s="317">
        <v>42650</v>
      </c>
      <c r="E674" s="318">
        <v>0.25533564814814813</v>
      </c>
      <c r="F674" s="247" t="s">
        <v>235</v>
      </c>
      <c r="G674" s="247" t="s">
        <v>1035</v>
      </c>
      <c r="H674" s="248" t="s">
        <v>234</v>
      </c>
      <c r="I674" s="248" t="s">
        <v>235</v>
      </c>
      <c r="J674" s="247" t="s">
        <v>809</v>
      </c>
      <c r="K674" s="249">
        <v>0</v>
      </c>
      <c r="M674" s="90">
        <v>0</v>
      </c>
      <c r="N674" s="90">
        <v>0</v>
      </c>
      <c r="O674" s="90">
        <v>255</v>
      </c>
    </row>
    <row r="675" spans="1:15" s="90" customFormat="1" ht="12.75" customHeight="1" x14ac:dyDescent="0.2">
      <c r="A675" s="247" t="s">
        <v>1080</v>
      </c>
      <c r="B675" s="316">
        <v>3047</v>
      </c>
      <c r="C675" s="247" t="s">
        <v>996</v>
      </c>
      <c r="D675" s="317">
        <v>42650</v>
      </c>
      <c r="E675" s="318">
        <v>0.26664351851851853</v>
      </c>
      <c r="F675" s="247" t="s">
        <v>235</v>
      </c>
      <c r="G675" s="247" t="s">
        <v>1035</v>
      </c>
      <c r="H675" s="248" t="s">
        <v>234</v>
      </c>
      <c r="I675" s="248" t="s">
        <v>235</v>
      </c>
      <c r="J675" s="247" t="s">
        <v>809</v>
      </c>
      <c r="K675" s="249">
        <v>0</v>
      </c>
      <c r="M675" s="90">
        <v>0</v>
      </c>
      <c r="N675" s="90">
        <v>0</v>
      </c>
      <c r="O675" s="90">
        <v>255</v>
      </c>
    </row>
    <row r="676" spans="1:15" s="90" customFormat="1" ht="12.75" customHeight="1" x14ac:dyDescent="0.2">
      <c r="A676" s="247" t="s">
        <v>1079</v>
      </c>
      <c r="B676" s="316">
        <v>3047</v>
      </c>
      <c r="C676" s="247" t="s">
        <v>996</v>
      </c>
      <c r="D676" s="317">
        <v>42650</v>
      </c>
      <c r="E676" s="318">
        <v>0.26664351851851853</v>
      </c>
      <c r="F676" s="247" t="s">
        <v>235</v>
      </c>
      <c r="G676" s="247" t="s">
        <v>1035</v>
      </c>
      <c r="H676" s="248" t="s">
        <v>234</v>
      </c>
      <c r="I676" s="248" t="s">
        <v>235</v>
      </c>
      <c r="J676" s="247" t="s">
        <v>809</v>
      </c>
      <c r="K676" s="249">
        <v>0</v>
      </c>
      <c r="M676" s="90">
        <v>0</v>
      </c>
      <c r="N676" s="90">
        <v>0</v>
      </c>
      <c r="O676" s="90">
        <v>255</v>
      </c>
    </row>
    <row r="677" spans="1:15" s="90" customFormat="1" ht="12.75" customHeight="1" x14ac:dyDescent="0.2">
      <c r="A677" s="247" t="s">
        <v>1081</v>
      </c>
      <c r="B677" s="316">
        <v>3047</v>
      </c>
      <c r="C677" s="247" t="s">
        <v>996</v>
      </c>
      <c r="D677" s="317">
        <v>42650</v>
      </c>
      <c r="E677" s="318">
        <v>0.28893518518518518</v>
      </c>
      <c r="F677" s="247" t="s">
        <v>235</v>
      </c>
      <c r="G677" s="247" t="s">
        <v>1035</v>
      </c>
      <c r="H677" s="248" t="s">
        <v>234</v>
      </c>
      <c r="I677" s="248" t="s">
        <v>235</v>
      </c>
      <c r="J677" s="247" t="s">
        <v>809</v>
      </c>
      <c r="K677" s="249">
        <v>0</v>
      </c>
      <c r="M677" s="90">
        <v>0</v>
      </c>
      <c r="N677" s="90">
        <v>0</v>
      </c>
      <c r="O677" s="90">
        <v>255</v>
      </c>
    </row>
    <row r="678" spans="1:15" s="90" customFormat="1" ht="12.75" customHeight="1" x14ac:dyDescent="0.2">
      <c r="A678" s="247" t="s">
        <v>989</v>
      </c>
      <c r="B678" s="316">
        <v>3046</v>
      </c>
      <c r="C678" s="247" t="s">
        <v>975</v>
      </c>
      <c r="D678" s="317">
        <v>42650</v>
      </c>
      <c r="E678" s="318">
        <v>0.29597222222222225</v>
      </c>
      <c r="F678" s="247" t="s">
        <v>976</v>
      </c>
      <c r="G678" s="247" t="s">
        <v>1035</v>
      </c>
      <c r="H678" s="248" t="s">
        <v>404</v>
      </c>
      <c r="I678" s="248" t="s">
        <v>404</v>
      </c>
      <c r="J678" s="247" t="s">
        <v>809</v>
      </c>
      <c r="K678" s="249">
        <v>0</v>
      </c>
      <c r="M678" s="90">
        <v>0</v>
      </c>
      <c r="N678" s="90">
        <v>0</v>
      </c>
      <c r="O678" s="90">
        <v>255</v>
      </c>
    </row>
    <row r="679" spans="1:15" s="90" customFormat="1" ht="12.75" customHeight="1" x14ac:dyDescent="0.2">
      <c r="A679" s="247" t="s">
        <v>1007</v>
      </c>
      <c r="B679" s="316">
        <v>3051</v>
      </c>
      <c r="C679" s="247" t="s">
        <v>975</v>
      </c>
      <c r="D679" s="317">
        <v>42650</v>
      </c>
      <c r="E679" s="318">
        <v>0.29601851851851851</v>
      </c>
      <c r="F679" s="247" t="s">
        <v>235</v>
      </c>
      <c r="G679" s="247" t="s">
        <v>1035</v>
      </c>
      <c r="H679" s="248" t="s">
        <v>234</v>
      </c>
      <c r="I679" s="248" t="s">
        <v>235</v>
      </c>
      <c r="J679" s="247" t="s">
        <v>809</v>
      </c>
      <c r="K679" s="249">
        <v>0</v>
      </c>
      <c r="M679" s="90">
        <v>0</v>
      </c>
      <c r="N679" s="90">
        <v>0</v>
      </c>
      <c r="O679" s="90">
        <v>255</v>
      </c>
    </row>
    <row r="680" spans="1:15" s="90" customFormat="1" ht="12.75" customHeight="1" x14ac:dyDescent="0.2">
      <c r="A680" s="247" t="s">
        <v>1278</v>
      </c>
      <c r="B680" s="316">
        <v>3052</v>
      </c>
      <c r="C680" s="247" t="s">
        <v>975</v>
      </c>
      <c r="D680" s="317">
        <v>42650</v>
      </c>
      <c r="E680" s="318">
        <v>0.29601851851851851</v>
      </c>
      <c r="F680" s="247" t="s">
        <v>235</v>
      </c>
      <c r="G680" s="247" t="s">
        <v>1035</v>
      </c>
      <c r="H680" s="248" t="s">
        <v>234</v>
      </c>
      <c r="I680" s="248" t="s">
        <v>235</v>
      </c>
      <c r="J680" s="247" t="s">
        <v>809</v>
      </c>
      <c r="K680" s="249">
        <v>0</v>
      </c>
      <c r="M680" s="90">
        <v>0</v>
      </c>
      <c r="N680" s="90">
        <v>0</v>
      </c>
      <c r="O680" s="90">
        <v>255</v>
      </c>
    </row>
    <row r="681" spans="1:15" s="90" customFormat="1" ht="12.75" customHeight="1" x14ac:dyDescent="0.2">
      <c r="A681" s="247" t="s">
        <v>990</v>
      </c>
      <c r="B681" s="316">
        <v>3046</v>
      </c>
      <c r="C681" s="247" t="s">
        <v>975</v>
      </c>
      <c r="D681" s="317">
        <v>42650</v>
      </c>
      <c r="E681" s="318">
        <v>0.29606481481481478</v>
      </c>
      <c r="F681" s="247" t="s">
        <v>976</v>
      </c>
      <c r="G681" s="247" t="s">
        <v>1035</v>
      </c>
      <c r="H681" s="248" t="s">
        <v>404</v>
      </c>
      <c r="I681" s="248" t="s">
        <v>404</v>
      </c>
      <c r="J681" s="247" t="s">
        <v>809</v>
      </c>
      <c r="K681" s="249">
        <v>0</v>
      </c>
      <c r="M681" s="90">
        <v>0</v>
      </c>
      <c r="N681" s="90">
        <v>0</v>
      </c>
      <c r="O681" s="90">
        <v>255</v>
      </c>
    </row>
    <row r="682" spans="1:15" s="90" customFormat="1" ht="12.75" customHeight="1" x14ac:dyDescent="0.2">
      <c r="A682" s="247" t="s">
        <v>989</v>
      </c>
      <c r="B682" s="316">
        <v>3046</v>
      </c>
      <c r="C682" s="247" t="s">
        <v>975</v>
      </c>
      <c r="D682" s="317">
        <v>42650</v>
      </c>
      <c r="E682" s="318">
        <v>0.29678240740740741</v>
      </c>
      <c r="F682" s="247" t="s">
        <v>976</v>
      </c>
      <c r="G682" s="247" t="s">
        <v>1035</v>
      </c>
      <c r="H682" s="248" t="s">
        <v>404</v>
      </c>
      <c r="I682" s="248" t="s">
        <v>404</v>
      </c>
      <c r="J682" s="247" t="s">
        <v>809</v>
      </c>
      <c r="K682" s="249">
        <v>0</v>
      </c>
      <c r="M682" s="90">
        <v>0</v>
      </c>
      <c r="N682" s="90">
        <v>0</v>
      </c>
      <c r="O682" s="90">
        <v>255</v>
      </c>
    </row>
    <row r="683" spans="1:15" s="90" customFormat="1" ht="12.75" customHeight="1" x14ac:dyDescent="0.2">
      <c r="A683" s="247" t="s">
        <v>1280</v>
      </c>
      <c r="B683" s="316">
        <v>3051</v>
      </c>
      <c r="C683" s="247" t="s">
        <v>975</v>
      </c>
      <c r="D683" s="317">
        <v>42650</v>
      </c>
      <c r="E683" s="318">
        <v>0.29680555555555554</v>
      </c>
      <c r="F683" s="247" t="s">
        <v>235</v>
      </c>
      <c r="G683" s="247" t="s">
        <v>1035</v>
      </c>
      <c r="H683" s="248" t="s">
        <v>234</v>
      </c>
      <c r="I683" s="248" t="s">
        <v>235</v>
      </c>
      <c r="J683" s="247" t="s">
        <v>809</v>
      </c>
      <c r="K683" s="249">
        <v>0</v>
      </c>
      <c r="M683" s="90">
        <v>0</v>
      </c>
      <c r="N683" s="90">
        <v>0</v>
      </c>
      <c r="O683" s="90">
        <v>255</v>
      </c>
    </row>
    <row r="684" spans="1:15" s="90" customFormat="1" ht="12.75" customHeight="1" x14ac:dyDescent="0.2">
      <c r="A684" s="247" t="s">
        <v>1279</v>
      </c>
      <c r="B684" s="316">
        <v>3052</v>
      </c>
      <c r="C684" s="247" t="s">
        <v>975</v>
      </c>
      <c r="D684" s="317">
        <v>42650</v>
      </c>
      <c r="E684" s="318">
        <v>0.29680555555555554</v>
      </c>
      <c r="F684" s="247" t="s">
        <v>235</v>
      </c>
      <c r="G684" s="247" t="s">
        <v>1035</v>
      </c>
      <c r="H684" s="248" t="s">
        <v>234</v>
      </c>
      <c r="I684" s="248" t="s">
        <v>235</v>
      </c>
      <c r="J684" s="247" t="s">
        <v>809</v>
      </c>
      <c r="K684" s="249">
        <v>0</v>
      </c>
      <c r="M684" s="90">
        <v>0</v>
      </c>
      <c r="N684" s="90">
        <v>0</v>
      </c>
      <c r="O684" s="90">
        <v>255</v>
      </c>
    </row>
    <row r="685" spans="1:15" s="90" customFormat="1" ht="12.75" customHeight="1" x14ac:dyDescent="0.2">
      <c r="A685" s="247" t="s">
        <v>990</v>
      </c>
      <c r="B685" s="316">
        <v>3046</v>
      </c>
      <c r="C685" s="247" t="s">
        <v>975</v>
      </c>
      <c r="D685" s="317">
        <v>42650</v>
      </c>
      <c r="E685" s="318">
        <v>0.29681712962962964</v>
      </c>
      <c r="F685" s="247" t="s">
        <v>976</v>
      </c>
      <c r="G685" s="247" t="s">
        <v>1035</v>
      </c>
      <c r="H685" s="248" t="s">
        <v>404</v>
      </c>
      <c r="I685" s="248" t="s">
        <v>404</v>
      </c>
      <c r="J685" s="247" t="s">
        <v>809</v>
      </c>
      <c r="K685" s="249">
        <v>0</v>
      </c>
      <c r="M685" s="90">
        <v>0</v>
      </c>
      <c r="N685" s="90">
        <v>0</v>
      </c>
      <c r="O685" s="90">
        <v>255</v>
      </c>
    </row>
    <row r="686" spans="1:15" s="90" customFormat="1" ht="12.75" customHeight="1" x14ac:dyDescent="0.2">
      <c r="A686" s="247" t="s">
        <v>989</v>
      </c>
      <c r="B686" s="316">
        <v>3046</v>
      </c>
      <c r="C686" s="247" t="s">
        <v>975</v>
      </c>
      <c r="D686" s="317">
        <v>42650</v>
      </c>
      <c r="E686" s="318">
        <v>0.29686342592592591</v>
      </c>
      <c r="F686" s="247" t="s">
        <v>976</v>
      </c>
      <c r="G686" s="247" t="s">
        <v>1035</v>
      </c>
      <c r="H686" s="248" t="s">
        <v>404</v>
      </c>
      <c r="I686" s="248" t="s">
        <v>404</v>
      </c>
      <c r="J686" s="247" t="s">
        <v>809</v>
      </c>
      <c r="K686" s="249">
        <v>0</v>
      </c>
      <c r="M686" s="90">
        <v>0</v>
      </c>
      <c r="N686" s="90">
        <v>0</v>
      </c>
      <c r="O686" s="90">
        <v>255</v>
      </c>
    </row>
    <row r="687" spans="1:15" s="90" customFormat="1" ht="12.75" customHeight="1" x14ac:dyDescent="0.2">
      <c r="A687" s="247" t="s">
        <v>990</v>
      </c>
      <c r="B687" s="316">
        <v>3046</v>
      </c>
      <c r="C687" s="247" t="s">
        <v>975</v>
      </c>
      <c r="D687" s="317">
        <v>42650</v>
      </c>
      <c r="E687" s="318">
        <v>0.30024305555555558</v>
      </c>
      <c r="F687" s="247" t="s">
        <v>976</v>
      </c>
      <c r="G687" s="247" t="s">
        <v>1035</v>
      </c>
      <c r="H687" s="248" t="s">
        <v>404</v>
      </c>
      <c r="I687" s="248" t="s">
        <v>404</v>
      </c>
      <c r="J687" s="247" t="s">
        <v>809</v>
      </c>
      <c r="K687" s="249">
        <v>0</v>
      </c>
      <c r="M687" s="90">
        <v>0</v>
      </c>
      <c r="N687" s="90">
        <v>0</v>
      </c>
      <c r="O687" s="90">
        <v>255</v>
      </c>
    </row>
    <row r="688" spans="1:15" s="90" customFormat="1" ht="12.75" customHeight="1" x14ac:dyDescent="0.2">
      <c r="A688" s="247" t="s">
        <v>1028</v>
      </c>
      <c r="B688" s="316">
        <v>3051</v>
      </c>
      <c r="C688" s="247" t="s">
        <v>975</v>
      </c>
      <c r="D688" s="317">
        <v>42650</v>
      </c>
      <c r="E688" s="318">
        <v>0.30024305555555558</v>
      </c>
      <c r="F688" s="247" t="s">
        <v>235</v>
      </c>
      <c r="G688" s="247" t="s">
        <v>1035</v>
      </c>
      <c r="H688" s="248" t="s">
        <v>234</v>
      </c>
      <c r="I688" s="248" t="s">
        <v>235</v>
      </c>
      <c r="J688" s="247" t="s">
        <v>809</v>
      </c>
      <c r="K688" s="249">
        <v>0</v>
      </c>
      <c r="M688" s="90">
        <v>0</v>
      </c>
      <c r="N688" s="90">
        <v>0</v>
      </c>
      <c r="O688" s="90">
        <v>255</v>
      </c>
    </row>
    <row r="689" spans="1:15" s="90" customFormat="1" ht="12.75" customHeight="1" x14ac:dyDescent="0.2">
      <c r="A689" s="247" t="s">
        <v>1087</v>
      </c>
      <c r="B689" s="316">
        <v>3216</v>
      </c>
      <c r="C689" s="247" t="s">
        <v>975</v>
      </c>
      <c r="D689" s="317">
        <v>42650</v>
      </c>
      <c r="E689" s="318">
        <v>0.30024305555555558</v>
      </c>
      <c r="F689" s="247" t="s">
        <v>235</v>
      </c>
      <c r="G689" s="247" t="s">
        <v>1035</v>
      </c>
      <c r="H689" s="248" t="s">
        <v>234</v>
      </c>
      <c r="I689" s="248" t="s">
        <v>235</v>
      </c>
      <c r="J689" s="247" t="s">
        <v>809</v>
      </c>
      <c r="K689" s="249">
        <v>0</v>
      </c>
      <c r="M689" s="90">
        <v>0</v>
      </c>
      <c r="N689" s="90">
        <v>0</v>
      </c>
      <c r="O689" s="90">
        <v>255</v>
      </c>
    </row>
    <row r="690" spans="1:15" s="90" customFormat="1" ht="12.75" customHeight="1" x14ac:dyDescent="0.2">
      <c r="A690" s="247" t="s">
        <v>989</v>
      </c>
      <c r="B690" s="316">
        <v>3046</v>
      </c>
      <c r="C690" s="247" t="s">
        <v>975</v>
      </c>
      <c r="D690" s="317">
        <v>42650</v>
      </c>
      <c r="E690" s="318">
        <v>0.30131944444444442</v>
      </c>
      <c r="F690" s="247" t="s">
        <v>976</v>
      </c>
      <c r="G690" s="247" t="s">
        <v>1035</v>
      </c>
      <c r="H690" s="248" t="s">
        <v>404</v>
      </c>
      <c r="I690" s="248" t="s">
        <v>404</v>
      </c>
      <c r="J690" s="247" t="s">
        <v>809</v>
      </c>
      <c r="K690" s="249">
        <v>0</v>
      </c>
      <c r="M690" s="90">
        <v>0</v>
      </c>
      <c r="N690" s="90">
        <v>0</v>
      </c>
      <c r="O690" s="90">
        <v>255</v>
      </c>
    </row>
    <row r="691" spans="1:15" s="90" customFormat="1" ht="12.75" customHeight="1" x14ac:dyDescent="0.2">
      <c r="A691" s="247" t="s">
        <v>1005</v>
      </c>
      <c r="B691" s="316">
        <v>3051</v>
      </c>
      <c r="C691" s="247" t="s">
        <v>975</v>
      </c>
      <c r="D691" s="317">
        <v>42650</v>
      </c>
      <c r="E691" s="318">
        <v>0.30134259259259261</v>
      </c>
      <c r="F691" s="247" t="s">
        <v>235</v>
      </c>
      <c r="G691" s="247" t="s">
        <v>1035</v>
      </c>
      <c r="H691" s="248" t="s">
        <v>234</v>
      </c>
      <c r="I691" s="248" t="s">
        <v>235</v>
      </c>
      <c r="J691" s="247" t="s">
        <v>809</v>
      </c>
      <c r="K691" s="249">
        <v>0</v>
      </c>
      <c r="M691" s="90">
        <v>0</v>
      </c>
      <c r="N691" s="90">
        <v>0</v>
      </c>
      <c r="O691" s="90">
        <v>255</v>
      </c>
    </row>
    <row r="692" spans="1:15" s="90" customFormat="1" ht="12.75" customHeight="1" x14ac:dyDescent="0.2">
      <c r="A692" s="247" t="s">
        <v>1066</v>
      </c>
      <c r="B692" s="316">
        <v>3052</v>
      </c>
      <c r="C692" s="247" t="s">
        <v>975</v>
      </c>
      <c r="D692" s="317">
        <v>42650</v>
      </c>
      <c r="E692" s="318">
        <v>0.30134259259259261</v>
      </c>
      <c r="F692" s="247" t="s">
        <v>235</v>
      </c>
      <c r="G692" s="247" t="s">
        <v>1035</v>
      </c>
      <c r="H692" s="248" t="s">
        <v>234</v>
      </c>
      <c r="I692" s="248" t="s">
        <v>235</v>
      </c>
      <c r="J692" s="247" t="s">
        <v>809</v>
      </c>
      <c r="K692" s="249">
        <v>0</v>
      </c>
      <c r="M692" s="90">
        <v>0</v>
      </c>
      <c r="N692" s="90">
        <v>0</v>
      </c>
      <c r="O692" s="90">
        <v>255</v>
      </c>
    </row>
    <row r="693" spans="1:15" s="90" customFormat="1" ht="12.75" customHeight="1" x14ac:dyDescent="0.2">
      <c r="A693" s="247" t="s">
        <v>990</v>
      </c>
      <c r="B693" s="316">
        <v>3046</v>
      </c>
      <c r="C693" s="247" t="s">
        <v>975</v>
      </c>
      <c r="D693" s="317">
        <v>42650</v>
      </c>
      <c r="E693" s="318">
        <v>0.30153935185185182</v>
      </c>
      <c r="F693" s="247" t="s">
        <v>976</v>
      </c>
      <c r="G693" s="247" t="s">
        <v>1035</v>
      </c>
      <c r="H693" s="248" t="s">
        <v>404</v>
      </c>
      <c r="I693" s="248" t="s">
        <v>404</v>
      </c>
      <c r="J693" s="247" t="s">
        <v>809</v>
      </c>
      <c r="K693" s="249">
        <v>0</v>
      </c>
      <c r="M693" s="90">
        <v>0</v>
      </c>
      <c r="N693" s="90">
        <v>0</v>
      </c>
      <c r="O693" s="90">
        <v>255</v>
      </c>
    </row>
    <row r="694" spans="1:15" s="90" customFormat="1" ht="12.75" customHeight="1" x14ac:dyDescent="0.2">
      <c r="A694" s="247" t="s">
        <v>1281</v>
      </c>
      <c r="B694" s="316">
        <v>3016</v>
      </c>
      <c r="C694" s="247" t="s">
        <v>979</v>
      </c>
      <c r="D694" s="317">
        <v>42650</v>
      </c>
      <c r="E694" s="318">
        <v>0.30185185185185187</v>
      </c>
      <c r="F694" s="247" t="s">
        <v>702</v>
      </c>
      <c r="G694" s="247" t="s">
        <v>1035</v>
      </c>
      <c r="H694" s="248" t="s">
        <v>234</v>
      </c>
      <c r="I694" s="248" t="s">
        <v>702</v>
      </c>
      <c r="J694" s="247" t="s">
        <v>809</v>
      </c>
      <c r="K694" s="249">
        <v>0</v>
      </c>
      <c r="M694" s="90">
        <v>0</v>
      </c>
      <c r="N694" s="90">
        <v>0</v>
      </c>
      <c r="O694" s="90">
        <v>255</v>
      </c>
    </row>
    <row r="695" spans="1:15" s="90" customFormat="1" ht="12.75" customHeight="1" x14ac:dyDescent="0.2">
      <c r="A695" s="247" t="s">
        <v>989</v>
      </c>
      <c r="B695" s="316">
        <v>3046</v>
      </c>
      <c r="C695" s="247" t="s">
        <v>975</v>
      </c>
      <c r="D695" s="317">
        <v>42650</v>
      </c>
      <c r="E695" s="318">
        <v>0.30244212962962963</v>
      </c>
      <c r="F695" s="247" t="s">
        <v>976</v>
      </c>
      <c r="G695" s="247" t="s">
        <v>1035</v>
      </c>
      <c r="H695" s="248" t="s">
        <v>404</v>
      </c>
      <c r="I695" s="248" t="s">
        <v>404</v>
      </c>
      <c r="J695" s="247" t="s">
        <v>809</v>
      </c>
      <c r="K695" s="249">
        <v>0</v>
      </c>
      <c r="M695" s="90">
        <v>0</v>
      </c>
      <c r="N695" s="90">
        <v>0</v>
      </c>
      <c r="O695" s="90">
        <v>255</v>
      </c>
    </row>
    <row r="696" spans="1:15" s="90" customFormat="1" ht="12.75" customHeight="1" x14ac:dyDescent="0.2">
      <c r="A696" s="247" t="s">
        <v>1097</v>
      </c>
      <c r="B696" s="316">
        <v>3001</v>
      </c>
      <c r="C696" s="247" t="s">
        <v>996</v>
      </c>
      <c r="D696" s="317">
        <v>42650</v>
      </c>
      <c r="E696" s="318">
        <v>0.30312500000000003</v>
      </c>
      <c r="F696" s="247" t="s">
        <v>702</v>
      </c>
      <c r="G696" s="247" t="s">
        <v>1035</v>
      </c>
      <c r="H696" s="248" t="s">
        <v>121</v>
      </c>
      <c r="I696" s="248" t="s">
        <v>122</v>
      </c>
      <c r="J696" s="247" t="s">
        <v>809</v>
      </c>
      <c r="K696" s="249">
        <v>0</v>
      </c>
      <c r="M696" s="90">
        <v>0</v>
      </c>
      <c r="N696" s="90">
        <v>0</v>
      </c>
      <c r="O696" s="90">
        <v>255</v>
      </c>
    </row>
    <row r="697" spans="1:15" s="90" customFormat="1" ht="12.75" customHeight="1" x14ac:dyDescent="0.2">
      <c r="A697" s="247" t="s">
        <v>1098</v>
      </c>
      <c r="B697" s="316">
        <v>2083</v>
      </c>
      <c r="C697" s="247" t="s">
        <v>979</v>
      </c>
      <c r="D697" s="317">
        <v>42650</v>
      </c>
      <c r="E697" s="318">
        <v>0.30384259259259261</v>
      </c>
      <c r="F697" s="247" t="s">
        <v>702</v>
      </c>
      <c r="G697" s="247" t="s">
        <v>1035</v>
      </c>
      <c r="H697" s="248" t="s">
        <v>121</v>
      </c>
      <c r="I697" s="248" t="s">
        <v>122</v>
      </c>
      <c r="J697" s="247" t="s">
        <v>809</v>
      </c>
      <c r="K697" s="249">
        <v>0</v>
      </c>
      <c r="M697" s="90">
        <v>0</v>
      </c>
      <c r="N697" s="90">
        <v>0</v>
      </c>
      <c r="O697" s="90">
        <v>255</v>
      </c>
    </row>
    <row r="698" spans="1:15" s="90" customFormat="1" ht="12.75" customHeight="1" x14ac:dyDescent="0.2">
      <c r="A698" s="247" t="s">
        <v>1027</v>
      </c>
      <c r="B698" s="316">
        <v>3051</v>
      </c>
      <c r="C698" s="247" t="s">
        <v>975</v>
      </c>
      <c r="D698" s="317">
        <v>42650</v>
      </c>
      <c r="E698" s="318">
        <v>0.30524305555555559</v>
      </c>
      <c r="F698" s="247" t="s">
        <v>235</v>
      </c>
      <c r="G698" s="247" t="s">
        <v>1035</v>
      </c>
      <c r="H698" s="248" t="s">
        <v>234</v>
      </c>
      <c r="I698" s="248" t="s">
        <v>235</v>
      </c>
      <c r="J698" s="247" t="s">
        <v>809</v>
      </c>
      <c r="K698" s="249">
        <v>0</v>
      </c>
      <c r="M698" s="90">
        <v>0</v>
      </c>
      <c r="N698" s="90">
        <v>0</v>
      </c>
      <c r="O698" s="90">
        <v>255</v>
      </c>
    </row>
    <row r="699" spans="1:15" s="90" customFormat="1" ht="12.75" customHeight="1" x14ac:dyDescent="0.2">
      <c r="A699" s="247" t="s">
        <v>1026</v>
      </c>
      <c r="B699" s="316">
        <v>3216</v>
      </c>
      <c r="C699" s="247" t="s">
        <v>975</v>
      </c>
      <c r="D699" s="317">
        <v>42650</v>
      </c>
      <c r="E699" s="318">
        <v>0.30524305555555559</v>
      </c>
      <c r="F699" s="247" t="s">
        <v>235</v>
      </c>
      <c r="G699" s="247" t="s">
        <v>1035</v>
      </c>
      <c r="H699" s="248" t="s">
        <v>234</v>
      </c>
      <c r="I699" s="248" t="s">
        <v>235</v>
      </c>
      <c r="J699" s="247" t="s">
        <v>809</v>
      </c>
      <c r="K699" s="249">
        <v>0</v>
      </c>
      <c r="M699" s="90">
        <v>0</v>
      </c>
      <c r="N699" s="90">
        <v>0</v>
      </c>
      <c r="O699" s="90">
        <v>255</v>
      </c>
    </row>
    <row r="700" spans="1:15" s="90" customFormat="1" ht="12.75" customHeight="1" x14ac:dyDescent="0.2">
      <c r="A700" s="247" t="s">
        <v>990</v>
      </c>
      <c r="B700" s="316">
        <v>3046</v>
      </c>
      <c r="C700" s="247" t="s">
        <v>975</v>
      </c>
      <c r="D700" s="317">
        <v>42650</v>
      </c>
      <c r="E700" s="318">
        <v>0.30525462962962963</v>
      </c>
      <c r="F700" s="247" t="s">
        <v>976</v>
      </c>
      <c r="G700" s="247" t="s">
        <v>1035</v>
      </c>
      <c r="H700" s="248" t="s">
        <v>404</v>
      </c>
      <c r="I700" s="248" t="s">
        <v>404</v>
      </c>
      <c r="J700" s="247" t="s">
        <v>809</v>
      </c>
      <c r="K700" s="249">
        <v>0</v>
      </c>
      <c r="M700" s="90">
        <v>0</v>
      </c>
      <c r="N700" s="90">
        <v>0</v>
      </c>
      <c r="O700" s="90">
        <v>255</v>
      </c>
    </row>
    <row r="701" spans="1:15" s="90" customFormat="1" ht="12.75" customHeight="1" x14ac:dyDescent="0.2">
      <c r="A701" s="247" t="s">
        <v>1082</v>
      </c>
      <c r="B701" s="316">
        <v>3047</v>
      </c>
      <c r="C701" s="247" t="s">
        <v>996</v>
      </c>
      <c r="D701" s="317">
        <v>42650</v>
      </c>
      <c r="E701" s="318">
        <v>0.31041666666666667</v>
      </c>
      <c r="F701" s="247" t="s">
        <v>235</v>
      </c>
      <c r="G701" s="247" t="s">
        <v>1035</v>
      </c>
      <c r="H701" s="248" t="s">
        <v>234</v>
      </c>
      <c r="I701" s="248" t="s">
        <v>235</v>
      </c>
      <c r="J701" s="247" t="s">
        <v>809</v>
      </c>
      <c r="K701" s="249">
        <v>0</v>
      </c>
      <c r="M701" s="90">
        <v>0</v>
      </c>
      <c r="N701" s="90">
        <v>0</v>
      </c>
      <c r="O701" s="90">
        <v>255</v>
      </c>
    </row>
    <row r="702" spans="1:15" s="90" customFormat="1" ht="12.75" customHeight="1" x14ac:dyDescent="0.2">
      <c r="A702" s="247" t="s">
        <v>989</v>
      </c>
      <c r="B702" s="316">
        <v>3046</v>
      </c>
      <c r="C702" s="247" t="s">
        <v>975</v>
      </c>
      <c r="D702" s="317">
        <v>42650</v>
      </c>
      <c r="E702" s="318">
        <v>0.3122685185185185</v>
      </c>
      <c r="F702" s="247" t="s">
        <v>976</v>
      </c>
      <c r="G702" s="247" t="s">
        <v>1035</v>
      </c>
      <c r="H702" s="248" t="s">
        <v>404</v>
      </c>
      <c r="I702" s="248" t="s">
        <v>404</v>
      </c>
      <c r="J702" s="247" t="s">
        <v>809</v>
      </c>
      <c r="K702" s="249">
        <v>0</v>
      </c>
      <c r="M702" s="90">
        <v>0</v>
      </c>
      <c r="N702" s="90">
        <v>0</v>
      </c>
      <c r="O702" s="90">
        <v>255</v>
      </c>
    </row>
    <row r="703" spans="1:15" s="90" customFormat="1" ht="12.75" customHeight="1" x14ac:dyDescent="0.2">
      <c r="A703" s="247" t="s">
        <v>1006</v>
      </c>
      <c r="B703" s="316">
        <v>3051</v>
      </c>
      <c r="C703" s="247" t="s">
        <v>975</v>
      </c>
      <c r="D703" s="317">
        <v>42650</v>
      </c>
      <c r="E703" s="318">
        <v>0.31229166666666669</v>
      </c>
      <c r="F703" s="247" t="s">
        <v>235</v>
      </c>
      <c r="G703" s="247" t="s">
        <v>1035</v>
      </c>
      <c r="H703" s="248" t="s">
        <v>234</v>
      </c>
      <c r="I703" s="248" t="s">
        <v>235</v>
      </c>
      <c r="J703" s="247" t="s">
        <v>809</v>
      </c>
      <c r="K703" s="249">
        <v>0</v>
      </c>
      <c r="M703" s="90">
        <v>0</v>
      </c>
      <c r="N703" s="90">
        <v>0</v>
      </c>
      <c r="O703" s="90">
        <v>255</v>
      </c>
    </row>
    <row r="704" spans="1:15" s="90" customFormat="1" ht="12.75" customHeight="1" x14ac:dyDescent="0.2">
      <c r="A704" s="247" t="s">
        <v>1065</v>
      </c>
      <c r="B704" s="316">
        <v>3052</v>
      </c>
      <c r="C704" s="247" t="s">
        <v>975</v>
      </c>
      <c r="D704" s="317">
        <v>42650</v>
      </c>
      <c r="E704" s="318">
        <v>0.31229166666666669</v>
      </c>
      <c r="F704" s="247" t="s">
        <v>235</v>
      </c>
      <c r="G704" s="247" t="s">
        <v>1035</v>
      </c>
      <c r="H704" s="248" t="s">
        <v>234</v>
      </c>
      <c r="I704" s="248" t="s">
        <v>235</v>
      </c>
      <c r="J704" s="247" t="s">
        <v>809</v>
      </c>
      <c r="K704" s="249">
        <v>0</v>
      </c>
      <c r="M704" s="90">
        <v>0</v>
      </c>
      <c r="N704" s="90">
        <v>0</v>
      </c>
      <c r="O704" s="90">
        <v>255</v>
      </c>
    </row>
    <row r="705" spans="1:15" s="90" customFormat="1" ht="12.75" customHeight="1" x14ac:dyDescent="0.2">
      <c r="A705" s="247" t="s">
        <v>990</v>
      </c>
      <c r="B705" s="316">
        <v>3046</v>
      </c>
      <c r="C705" s="247" t="s">
        <v>975</v>
      </c>
      <c r="D705" s="317">
        <v>42650</v>
      </c>
      <c r="E705" s="318">
        <v>0.31230324074074073</v>
      </c>
      <c r="F705" s="247" t="s">
        <v>976</v>
      </c>
      <c r="G705" s="247" t="s">
        <v>1035</v>
      </c>
      <c r="H705" s="248" t="s">
        <v>404</v>
      </c>
      <c r="I705" s="248" t="s">
        <v>404</v>
      </c>
      <c r="J705" s="247" t="s">
        <v>809</v>
      </c>
      <c r="K705" s="249">
        <v>0</v>
      </c>
      <c r="M705" s="90">
        <v>0</v>
      </c>
      <c r="N705" s="90">
        <v>0</v>
      </c>
      <c r="O705" s="90">
        <v>255</v>
      </c>
    </row>
    <row r="706" spans="1:15" s="90" customFormat="1" ht="12.75" customHeight="1" x14ac:dyDescent="0.2">
      <c r="A706" s="247" t="s">
        <v>1106</v>
      </c>
      <c r="B706" s="316">
        <v>3001</v>
      </c>
      <c r="C706" s="247" t="s">
        <v>996</v>
      </c>
      <c r="D706" s="317">
        <v>42650</v>
      </c>
      <c r="E706" s="318">
        <v>0.32313657407407409</v>
      </c>
      <c r="F706" s="247" t="s">
        <v>702</v>
      </c>
      <c r="G706" s="247" t="s">
        <v>1035</v>
      </c>
      <c r="H706" s="248" t="s">
        <v>121</v>
      </c>
      <c r="I706" s="248" t="s">
        <v>122</v>
      </c>
      <c r="J706" s="247" t="s">
        <v>809</v>
      </c>
      <c r="K706" s="249">
        <v>0</v>
      </c>
      <c r="M706" s="90">
        <v>0</v>
      </c>
      <c r="N706" s="90">
        <v>0</v>
      </c>
      <c r="O706" s="90">
        <v>255</v>
      </c>
    </row>
    <row r="707" spans="1:15" s="90" customFormat="1" ht="12.75" customHeight="1" x14ac:dyDescent="0.2">
      <c r="A707" s="247" t="s">
        <v>1031</v>
      </c>
      <c r="B707" s="316">
        <v>3046</v>
      </c>
      <c r="C707" s="247" t="s">
        <v>975</v>
      </c>
      <c r="D707" s="317">
        <v>42650</v>
      </c>
      <c r="E707" s="318">
        <v>0.32347222222222222</v>
      </c>
      <c r="F707" s="247" t="s">
        <v>976</v>
      </c>
      <c r="G707" s="247" t="s">
        <v>1035</v>
      </c>
      <c r="H707" s="248" t="s">
        <v>404</v>
      </c>
      <c r="I707" s="248" t="s">
        <v>404</v>
      </c>
      <c r="J707" s="247" t="s">
        <v>809</v>
      </c>
      <c r="K707" s="249">
        <v>0</v>
      </c>
      <c r="M707" s="90">
        <v>0</v>
      </c>
      <c r="N707" s="90">
        <v>0</v>
      </c>
      <c r="O707" s="90">
        <v>255</v>
      </c>
    </row>
    <row r="708" spans="1:15" s="90" customFormat="1" ht="12.75" customHeight="1" x14ac:dyDescent="0.2">
      <c r="A708" s="247" t="s">
        <v>1140</v>
      </c>
      <c r="B708" s="316">
        <v>3088</v>
      </c>
      <c r="C708" s="247" t="s">
        <v>979</v>
      </c>
      <c r="D708" s="317">
        <v>42650</v>
      </c>
      <c r="E708" s="318">
        <v>0.32575231481481481</v>
      </c>
      <c r="F708" s="247" t="s">
        <v>656</v>
      </c>
      <c r="G708" s="247" t="s">
        <v>1035</v>
      </c>
      <c r="H708" s="248" t="s">
        <v>234</v>
      </c>
      <c r="I708" s="248" t="s">
        <v>702</v>
      </c>
      <c r="J708" s="247" t="s">
        <v>809</v>
      </c>
      <c r="K708" s="249">
        <v>0</v>
      </c>
      <c r="M708" s="90">
        <v>0</v>
      </c>
      <c r="N708" s="90">
        <v>0</v>
      </c>
      <c r="O708" s="90">
        <v>255</v>
      </c>
    </row>
    <row r="709" spans="1:15" s="90" customFormat="1" ht="12.75" customHeight="1" x14ac:dyDescent="0.2">
      <c r="A709" s="247" t="s">
        <v>1032</v>
      </c>
      <c r="B709" s="316">
        <v>3046</v>
      </c>
      <c r="C709" s="247" t="s">
        <v>975</v>
      </c>
      <c r="D709" s="317">
        <v>42650</v>
      </c>
      <c r="E709" s="318">
        <v>0.32576388888888891</v>
      </c>
      <c r="F709" s="247" t="s">
        <v>976</v>
      </c>
      <c r="G709" s="247" t="s">
        <v>1035</v>
      </c>
      <c r="H709" s="248" t="s">
        <v>404</v>
      </c>
      <c r="I709" s="248" t="s">
        <v>404</v>
      </c>
      <c r="J709" s="247" t="s">
        <v>809</v>
      </c>
      <c r="K709" s="249">
        <v>0</v>
      </c>
      <c r="M709" s="90">
        <v>0</v>
      </c>
      <c r="N709" s="90">
        <v>0</v>
      </c>
      <c r="O709" s="90">
        <v>255</v>
      </c>
    </row>
    <row r="710" spans="1:15" s="90" customFormat="1" ht="12.75" customHeight="1" x14ac:dyDescent="0.2">
      <c r="A710" s="247" t="s">
        <v>989</v>
      </c>
      <c r="B710" s="316">
        <v>3046</v>
      </c>
      <c r="C710" s="247" t="s">
        <v>975</v>
      </c>
      <c r="D710" s="317">
        <v>42650</v>
      </c>
      <c r="E710" s="318">
        <v>0.32576388888888891</v>
      </c>
      <c r="F710" s="247" t="s">
        <v>976</v>
      </c>
      <c r="G710" s="247" t="s">
        <v>1035</v>
      </c>
      <c r="H710" s="248" t="s">
        <v>404</v>
      </c>
      <c r="I710" s="248" t="s">
        <v>404</v>
      </c>
      <c r="J710" s="247" t="s">
        <v>809</v>
      </c>
      <c r="K710" s="249">
        <v>0</v>
      </c>
      <c r="M710" s="90">
        <v>0</v>
      </c>
      <c r="N710" s="90">
        <v>0</v>
      </c>
      <c r="O710" s="90">
        <v>255</v>
      </c>
    </row>
    <row r="711" spans="1:15" s="90" customFormat="1" ht="12.75" customHeight="1" x14ac:dyDescent="0.2">
      <c r="A711" s="247" t="s">
        <v>1106</v>
      </c>
      <c r="B711" s="316">
        <v>3001</v>
      </c>
      <c r="C711" s="247" t="s">
        <v>996</v>
      </c>
      <c r="D711" s="317">
        <v>42650</v>
      </c>
      <c r="E711" s="318">
        <v>0.32655092592592594</v>
      </c>
      <c r="F711" s="247" t="s">
        <v>702</v>
      </c>
      <c r="G711" s="247" t="s">
        <v>1035</v>
      </c>
      <c r="H711" s="248" t="s">
        <v>121</v>
      </c>
      <c r="I711" s="248" t="s">
        <v>122</v>
      </c>
      <c r="J711" s="247" t="s">
        <v>809</v>
      </c>
      <c r="K711" s="249">
        <v>0</v>
      </c>
      <c r="M711" s="90">
        <v>0</v>
      </c>
      <c r="N711" s="90">
        <v>0</v>
      </c>
      <c r="O711" s="90">
        <v>255</v>
      </c>
    </row>
    <row r="712" spans="1:15" s="90" customFormat="1" ht="12.75" customHeight="1" x14ac:dyDescent="0.2">
      <c r="A712" s="247" t="s">
        <v>990</v>
      </c>
      <c r="B712" s="316">
        <v>3046</v>
      </c>
      <c r="C712" s="247" t="s">
        <v>975</v>
      </c>
      <c r="D712" s="317">
        <v>42650</v>
      </c>
      <c r="E712" s="318">
        <v>0.32732638888888888</v>
      </c>
      <c r="F712" s="247" t="s">
        <v>976</v>
      </c>
      <c r="G712" s="247" t="s">
        <v>1035</v>
      </c>
      <c r="H712" s="248" t="s">
        <v>404</v>
      </c>
      <c r="I712" s="248" t="s">
        <v>404</v>
      </c>
      <c r="J712" s="247" t="s">
        <v>809</v>
      </c>
      <c r="K712" s="249">
        <v>0</v>
      </c>
      <c r="M712" s="90">
        <v>0</v>
      </c>
      <c r="N712" s="90">
        <v>0</v>
      </c>
      <c r="O712" s="90">
        <v>255</v>
      </c>
    </row>
    <row r="713" spans="1:15" s="90" customFormat="1" ht="12.75" customHeight="1" x14ac:dyDescent="0.2">
      <c r="A713" s="247" t="s">
        <v>1033</v>
      </c>
      <c r="B713" s="316">
        <v>3217</v>
      </c>
      <c r="C713" s="247" t="s">
        <v>975</v>
      </c>
      <c r="D713" s="317">
        <v>42650</v>
      </c>
      <c r="E713" s="318">
        <v>0.32732638888888888</v>
      </c>
      <c r="F713" s="247" t="s">
        <v>235</v>
      </c>
      <c r="G713" s="247" t="s">
        <v>1035</v>
      </c>
      <c r="H713" s="248" t="s">
        <v>234</v>
      </c>
      <c r="I713" s="248" t="s">
        <v>235</v>
      </c>
      <c r="J713" s="247" t="s">
        <v>809</v>
      </c>
      <c r="K713" s="249">
        <v>0</v>
      </c>
      <c r="M713" s="90">
        <v>0</v>
      </c>
      <c r="N713" s="90">
        <v>0</v>
      </c>
      <c r="O713" s="90">
        <v>255</v>
      </c>
    </row>
    <row r="714" spans="1:15" s="90" customFormat="1" ht="12.75" customHeight="1" x14ac:dyDescent="0.2">
      <c r="A714" s="247" t="s">
        <v>1031</v>
      </c>
      <c r="B714" s="316">
        <v>3046</v>
      </c>
      <c r="C714" s="247" t="s">
        <v>975</v>
      </c>
      <c r="D714" s="317">
        <v>42650</v>
      </c>
      <c r="E714" s="318">
        <v>0.32957175925925924</v>
      </c>
      <c r="F714" s="247" t="s">
        <v>976</v>
      </c>
      <c r="G714" s="247" t="s">
        <v>1035</v>
      </c>
      <c r="H714" s="248" t="s">
        <v>404</v>
      </c>
      <c r="I714" s="248" t="s">
        <v>404</v>
      </c>
      <c r="J714" s="247" t="s">
        <v>809</v>
      </c>
      <c r="K714" s="249">
        <v>0</v>
      </c>
      <c r="M714" s="90">
        <v>0</v>
      </c>
      <c r="N714" s="90">
        <v>0</v>
      </c>
      <c r="O714" s="90">
        <v>255</v>
      </c>
    </row>
    <row r="715" spans="1:15" s="90" customFormat="1" ht="12.75" customHeight="1" x14ac:dyDescent="0.2">
      <c r="A715" s="247" t="s">
        <v>1140</v>
      </c>
      <c r="B715" s="316">
        <v>3088</v>
      </c>
      <c r="C715" s="247" t="s">
        <v>979</v>
      </c>
      <c r="D715" s="317">
        <v>42650</v>
      </c>
      <c r="E715" s="318">
        <v>0.33153935185185185</v>
      </c>
      <c r="F715" s="247" t="s">
        <v>656</v>
      </c>
      <c r="G715" s="247" t="s">
        <v>1035</v>
      </c>
      <c r="H715" s="248" t="s">
        <v>234</v>
      </c>
      <c r="I715" s="248" t="s">
        <v>702</v>
      </c>
      <c r="J715" s="247" t="s">
        <v>809</v>
      </c>
      <c r="K715" s="249">
        <v>0</v>
      </c>
      <c r="M715" s="90">
        <v>0</v>
      </c>
      <c r="N715" s="90">
        <v>0</v>
      </c>
      <c r="O715" s="90">
        <v>255</v>
      </c>
    </row>
    <row r="716" spans="1:15" s="90" customFormat="1" ht="12.75" customHeight="1" x14ac:dyDescent="0.2">
      <c r="A716" s="247" t="s">
        <v>1032</v>
      </c>
      <c r="B716" s="316">
        <v>3046</v>
      </c>
      <c r="C716" s="247" t="s">
        <v>975</v>
      </c>
      <c r="D716" s="317">
        <v>42650</v>
      </c>
      <c r="E716" s="318">
        <v>0.33155092592592594</v>
      </c>
      <c r="F716" s="247" t="s">
        <v>976</v>
      </c>
      <c r="G716" s="247" t="s">
        <v>1035</v>
      </c>
      <c r="H716" s="248" t="s">
        <v>404</v>
      </c>
      <c r="I716" s="248" t="s">
        <v>404</v>
      </c>
      <c r="J716" s="247" t="s">
        <v>809</v>
      </c>
      <c r="K716" s="249">
        <v>0</v>
      </c>
      <c r="M716" s="90">
        <v>0</v>
      </c>
      <c r="N716" s="90">
        <v>0</v>
      </c>
      <c r="O716" s="90">
        <v>255</v>
      </c>
    </row>
    <row r="717" spans="1:15" s="90" customFormat="1" ht="12.75" customHeight="1" x14ac:dyDescent="0.2">
      <c r="A717" s="247" t="s">
        <v>989</v>
      </c>
      <c r="B717" s="316">
        <v>3046</v>
      </c>
      <c r="C717" s="247" t="s">
        <v>975</v>
      </c>
      <c r="D717" s="317">
        <v>42650</v>
      </c>
      <c r="E717" s="318">
        <v>0.33155092592592594</v>
      </c>
      <c r="F717" s="247" t="s">
        <v>976</v>
      </c>
      <c r="G717" s="247" t="s">
        <v>1035</v>
      </c>
      <c r="H717" s="248" t="s">
        <v>404</v>
      </c>
      <c r="I717" s="248" t="s">
        <v>404</v>
      </c>
      <c r="J717" s="247" t="s">
        <v>809</v>
      </c>
      <c r="K717" s="249">
        <v>0</v>
      </c>
      <c r="M717" s="90">
        <v>0</v>
      </c>
      <c r="N717" s="90">
        <v>0</v>
      </c>
      <c r="O717" s="90">
        <v>255</v>
      </c>
    </row>
    <row r="718" spans="1:15" s="90" customFormat="1" ht="12.75" customHeight="1" x14ac:dyDescent="0.2">
      <c r="A718" s="247" t="s">
        <v>990</v>
      </c>
      <c r="B718" s="316">
        <v>3046</v>
      </c>
      <c r="C718" s="247" t="s">
        <v>975</v>
      </c>
      <c r="D718" s="317">
        <v>42650</v>
      </c>
      <c r="E718" s="318">
        <v>0.33185185185185184</v>
      </c>
      <c r="F718" s="247" t="s">
        <v>976</v>
      </c>
      <c r="G718" s="247" t="s">
        <v>1035</v>
      </c>
      <c r="H718" s="248" t="s">
        <v>404</v>
      </c>
      <c r="I718" s="248" t="s">
        <v>404</v>
      </c>
      <c r="J718" s="247" t="s">
        <v>809</v>
      </c>
      <c r="K718" s="249">
        <v>0</v>
      </c>
      <c r="M718" s="90">
        <v>0</v>
      </c>
      <c r="N718" s="90">
        <v>0</v>
      </c>
      <c r="O718" s="90">
        <v>255</v>
      </c>
    </row>
    <row r="719" spans="1:15" s="90" customFormat="1" ht="12.75" customHeight="1" x14ac:dyDescent="0.2">
      <c r="A719" s="247" t="s">
        <v>1033</v>
      </c>
      <c r="B719" s="316">
        <v>3217</v>
      </c>
      <c r="C719" s="247" t="s">
        <v>975</v>
      </c>
      <c r="D719" s="317">
        <v>42650</v>
      </c>
      <c r="E719" s="318">
        <v>0.33185185185185184</v>
      </c>
      <c r="F719" s="247" t="s">
        <v>235</v>
      </c>
      <c r="G719" s="247" t="s">
        <v>1035</v>
      </c>
      <c r="H719" s="248" t="s">
        <v>234</v>
      </c>
      <c r="I719" s="248" t="s">
        <v>235</v>
      </c>
      <c r="J719" s="247" t="s">
        <v>809</v>
      </c>
      <c r="K719" s="249">
        <v>0</v>
      </c>
      <c r="M719" s="90">
        <v>0</v>
      </c>
      <c r="N719" s="90">
        <v>0</v>
      </c>
      <c r="O719" s="90">
        <v>255</v>
      </c>
    </row>
    <row r="720" spans="1:15" s="90" customFormat="1" ht="12.75" customHeight="1" x14ac:dyDescent="0.2">
      <c r="A720" s="247" t="s">
        <v>1167</v>
      </c>
      <c r="B720" s="316">
        <v>3078</v>
      </c>
      <c r="C720" s="247" t="s">
        <v>975</v>
      </c>
      <c r="D720" s="317">
        <v>42650</v>
      </c>
      <c r="E720" s="318">
        <v>0.33259259259259261</v>
      </c>
      <c r="F720" s="247" t="s">
        <v>981</v>
      </c>
      <c r="G720" s="247" t="s">
        <v>1035</v>
      </c>
      <c r="H720" s="248" t="s">
        <v>234</v>
      </c>
      <c r="I720" s="248" t="s">
        <v>656</v>
      </c>
      <c r="J720" s="247" t="s">
        <v>809</v>
      </c>
      <c r="K720" s="249">
        <v>0</v>
      </c>
      <c r="M720" s="90">
        <v>0</v>
      </c>
      <c r="N720" s="90">
        <v>0</v>
      </c>
      <c r="O720" s="90">
        <v>255</v>
      </c>
    </row>
    <row r="721" spans="1:15" s="90" customFormat="1" ht="12.75" customHeight="1" x14ac:dyDescent="0.2">
      <c r="A721" s="247" t="s">
        <v>1106</v>
      </c>
      <c r="B721" s="316">
        <v>3001</v>
      </c>
      <c r="C721" s="247" t="s">
        <v>996</v>
      </c>
      <c r="D721" s="317">
        <v>42650</v>
      </c>
      <c r="E721" s="318">
        <v>0.33266203703703706</v>
      </c>
      <c r="F721" s="247" t="s">
        <v>702</v>
      </c>
      <c r="G721" s="247" t="s">
        <v>1035</v>
      </c>
      <c r="H721" s="248" t="s">
        <v>121</v>
      </c>
      <c r="I721" s="248" t="s">
        <v>122</v>
      </c>
      <c r="J721" s="247" t="s">
        <v>809</v>
      </c>
      <c r="K721" s="249">
        <v>0</v>
      </c>
      <c r="M721" s="90">
        <v>0</v>
      </c>
      <c r="N721" s="90">
        <v>0</v>
      </c>
      <c r="O721" s="90">
        <v>255</v>
      </c>
    </row>
    <row r="722" spans="1:15" s="90" customFormat="1" ht="12.75" customHeight="1" x14ac:dyDescent="0.2">
      <c r="A722" s="247" t="s">
        <v>1031</v>
      </c>
      <c r="B722" s="316">
        <v>3046</v>
      </c>
      <c r="C722" s="247" t="s">
        <v>975</v>
      </c>
      <c r="D722" s="317">
        <v>42650</v>
      </c>
      <c r="E722" s="318">
        <v>0.3329050925925926</v>
      </c>
      <c r="F722" s="247" t="s">
        <v>976</v>
      </c>
      <c r="G722" s="247" t="s">
        <v>1035</v>
      </c>
      <c r="H722" s="248" t="s">
        <v>404</v>
      </c>
      <c r="I722" s="248" t="s">
        <v>404</v>
      </c>
      <c r="J722" s="247" t="s">
        <v>809</v>
      </c>
      <c r="K722" s="249">
        <v>0</v>
      </c>
      <c r="M722" s="90">
        <v>0</v>
      </c>
      <c r="N722" s="90">
        <v>0</v>
      </c>
      <c r="O722" s="90">
        <v>255</v>
      </c>
    </row>
    <row r="723" spans="1:15" s="90" customFormat="1" ht="12.75" customHeight="1" x14ac:dyDescent="0.2">
      <c r="A723" s="247" t="s">
        <v>1112</v>
      </c>
      <c r="B723" s="316">
        <v>3218</v>
      </c>
      <c r="C723" s="247" t="s">
        <v>979</v>
      </c>
      <c r="D723" s="317">
        <v>42650</v>
      </c>
      <c r="E723" s="318">
        <v>0.33414351851851848</v>
      </c>
      <c r="F723" s="247" t="s">
        <v>702</v>
      </c>
      <c r="G723" s="247" t="s">
        <v>1035</v>
      </c>
      <c r="H723" s="248"/>
      <c r="I723" s="248"/>
      <c r="J723" s="247"/>
      <c r="K723" s="249"/>
      <c r="M723" s="90">
        <v>0</v>
      </c>
      <c r="N723" s="90">
        <v>0</v>
      </c>
      <c r="O723" s="90">
        <v>255</v>
      </c>
    </row>
    <row r="724" spans="1:15" s="90" customFormat="1" ht="12.75" customHeight="1" x14ac:dyDescent="0.2">
      <c r="A724" s="247" t="s">
        <v>1113</v>
      </c>
      <c r="B724" s="316">
        <v>3218</v>
      </c>
      <c r="C724" s="247" t="s">
        <v>979</v>
      </c>
      <c r="D724" s="317">
        <v>42650</v>
      </c>
      <c r="E724" s="318">
        <v>0.33414351851851848</v>
      </c>
      <c r="F724" s="247" t="s">
        <v>702</v>
      </c>
      <c r="G724" s="247" t="s">
        <v>1035</v>
      </c>
      <c r="H724" s="248"/>
      <c r="I724" s="248"/>
      <c r="J724" s="247"/>
      <c r="K724" s="249"/>
      <c r="M724" s="90">
        <v>0</v>
      </c>
      <c r="N724" s="90">
        <v>0</v>
      </c>
      <c r="O724" s="90">
        <v>255</v>
      </c>
    </row>
    <row r="725" spans="1:15" s="90" customFormat="1" ht="12.75" customHeight="1" x14ac:dyDescent="0.2">
      <c r="A725" s="247" t="s">
        <v>1114</v>
      </c>
      <c r="B725" s="316">
        <v>3218</v>
      </c>
      <c r="C725" s="247" t="s">
        <v>979</v>
      </c>
      <c r="D725" s="317">
        <v>42650</v>
      </c>
      <c r="E725" s="318">
        <v>0.33414351851851848</v>
      </c>
      <c r="F725" s="247" t="s">
        <v>702</v>
      </c>
      <c r="G725" s="247" t="s">
        <v>1035</v>
      </c>
      <c r="H725" s="248"/>
      <c r="I725" s="248"/>
      <c r="J725" s="247"/>
      <c r="K725" s="249"/>
      <c r="M725" s="90">
        <v>0</v>
      </c>
      <c r="N725" s="90">
        <v>0</v>
      </c>
      <c r="O725" s="90">
        <v>255</v>
      </c>
    </row>
    <row r="726" spans="1:15" s="90" customFormat="1" ht="12.75" customHeight="1" x14ac:dyDescent="0.2">
      <c r="A726" s="247" t="s">
        <v>1115</v>
      </c>
      <c r="B726" s="316">
        <v>3218</v>
      </c>
      <c r="C726" s="247" t="s">
        <v>979</v>
      </c>
      <c r="D726" s="317">
        <v>42650</v>
      </c>
      <c r="E726" s="318">
        <v>0.33414351851851848</v>
      </c>
      <c r="F726" s="247" t="s">
        <v>702</v>
      </c>
      <c r="G726" s="247" t="s">
        <v>1035</v>
      </c>
      <c r="H726" s="248"/>
      <c r="I726" s="248"/>
      <c r="J726" s="247"/>
      <c r="K726" s="249"/>
      <c r="M726" s="90">
        <v>0</v>
      </c>
      <c r="N726" s="90">
        <v>0</v>
      </c>
      <c r="O726" s="90">
        <v>255</v>
      </c>
    </row>
    <row r="727" spans="1:15" s="90" customFormat="1" ht="12.75" customHeight="1" x14ac:dyDescent="0.2">
      <c r="A727" s="247" t="s">
        <v>1188</v>
      </c>
      <c r="B727" s="316">
        <v>3004</v>
      </c>
      <c r="C727" s="247" t="s">
        <v>979</v>
      </c>
      <c r="D727" s="317">
        <v>42650</v>
      </c>
      <c r="E727" s="318">
        <v>0.33422453703703708</v>
      </c>
      <c r="F727" s="247" t="s">
        <v>702</v>
      </c>
      <c r="G727" s="247" t="s">
        <v>1035</v>
      </c>
      <c r="H727" s="248" t="s">
        <v>234</v>
      </c>
      <c r="I727" s="248" t="s">
        <v>702</v>
      </c>
      <c r="J727" s="247" t="s">
        <v>809</v>
      </c>
      <c r="K727" s="249">
        <v>0</v>
      </c>
      <c r="M727" s="90">
        <v>0</v>
      </c>
      <c r="N727" s="90">
        <v>0</v>
      </c>
      <c r="O727" s="90">
        <v>255</v>
      </c>
    </row>
    <row r="728" spans="1:15" s="90" customFormat="1" ht="12.75" customHeight="1" x14ac:dyDescent="0.2">
      <c r="A728" s="247" t="s">
        <v>1032</v>
      </c>
      <c r="B728" s="316">
        <v>3046</v>
      </c>
      <c r="C728" s="247" t="s">
        <v>975</v>
      </c>
      <c r="D728" s="317">
        <v>42650</v>
      </c>
      <c r="E728" s="318">
        <v>0.33509259259259255</v>
      </c>
      <c r="F728" s="247" t="s">
        <v>976</v>
      </c>
      <c r="G728" s="247" t="s">
        <v>1035</v>
      </c>
      <c r="H728" s="248" t="s">
        <v>404</v>
      </c>
      <c r="I728" s="248" t="s">
        <v>404</v>
      </c>
      <c r="J728" s="247" t="s">
        <v>809</v>
      </c>
      <c r="K728" s="249">
        <v>0</v>
      </c>
      <c r="M728" s="90">
        <v>0</v>
      </c>
      <c r="N728" s="90">
        <v>0</v>
      </c>
      <c r="O728" s="90">
        <v>255</v>
      </c>
    </row>
    <row r="729" spans="1:15" s="90" customFormat="1" ht="12.75" customHeight="1" x14ac:dyDescent="0.2">
      <c r="A729" s="247" t="s">
        <v>989</v>
      </c>
      <c r="B729" s="316">
        <v>3046</v>
      </c>
      <c r="C729" s="247" t="s">
        <v>975</v>
      </c>
      <c r="D729" s="317">
        <v>42650</v>
      </c>
      <c r="E729" s="318">
        <v>0.33509259259259255</v>
      </c>
      <c r="F729" s="247" t="s">
        <v>976</v>
      </c>
      <c r="G729" s="247" t="s">
        <v>1035</v>
      </c>
      <c r="H729" s="248" t="s">
        <v>404</v>
      </c>
      <c r="I729" s="248" t="s">
        <v>404</v>
      </c>
      <c r="J729" s="247" t="s">
        <v>809</v>
      </c>
      <c r="K729" s="249">
        <v>0</v>
      </c>
      <c r="M729" s="90">
        <v>0</v>
      </c>
      <c r="N729" s="90">
        <v>0</v>
      </c>
      <c r="O729" s="90">
        <v>255</v>
      </c>
    </row>
    <row r="730" spans="1:15" s="90" customFormat="1" ht="12.75" customHeight="1" x14ac:dyDescent="0.2">
      <c r="A730" s="247" t="s">
        <v>1282</v>
      </c>
      <c r="B730" s="316">
        <v>3076</v>
      </c>
      <c r="C730" s="247" t="s">
        <v>975</v>
      </c>
      <c r="D730" s="317">
        <v>42650</v>
      </c>
      <c r="E730" s="318">
        <v>0.33513888888888888</v>
      </c>
      <c r="F730" s="247" t="s">
        <v>981</v>
      </c>
      <c r="G730" s="247" t="s">
        <v>1035</v>
      </c>
      <c r="H730" s="248" t="s">
        <v>234</v>
      </c>
      <c r="I730" s="248" t="s">
        <v>656</v>
      </c>
      <c r="J730" s="247" t="s">
        <v>809</v>
      </c>
      <c r="K730" s="249">
        <v>0</v>
      </c>
      <c r="M730" s="90">
        <v>0</v>
      </c>
      <c r="N730" s="90">
        <v>0</v>
      </c>
      <c r="O730" s="90">
        <v>255</v>
      </c>
    </row>
    <row r="731" spans="1:15" s="90" customFormat="1" ht="12.75" customHeight="1" x14ac:dyDescent="0.2">
      <c r="A731" s="247" t="s">
        <v>990</v>
      </c>
      <c r="B731" s="316">
        <v>3046</v>
      </c>
      <c r="C731" s="247" t="s">
        <v>975</v>
      </c>
      <c r="D731" s="317">
        <v>42650</v>
      </c>
      <c r="E731" s="318">
        <v>0.33538194444444441</v>
      </c>
      <c r="F731" s="247" t="s">
        <v>976</v>
      </c>
      <c r="G731" s="247" t="s">
        <v>1035</v>
      </c>
      <c r="H731" s="248" t="s">
        <v>404</v>
      </c>
      <c r="I731" s="248" t="s">
        <v>404</v>
      </c>
      <c r="J731" s="247" t="s">
        <v>809</v>
      </c>
      <c r="K731" s="249">
        <v>0</v>
      </c>
      <c r="M731" s="90">
        <v>0</v>
      </c>
      <c r="N731" s="90">
        <v>0</v>
      </c>
      <c r="O731" s="90">
        <v>255</v>
      </c>
    </row>
    <row r="732" spans="1:15" s="90" customFormat="1" ht="12.75" customHeight="1" x14ac:dyDescent="0.2">
      <c r="A732" s="247" t="s">
        <v>1033</v>
      </c>
      <c r="B732" s="316">
        <v>3217</v>
      </c>
      <c r="C732" s="247" t="s">
        <v>975</v>
      </c>
      <c r="D732" s="317">
        <v>42650</v>
      </c>
      <c r="E732" s="318">
        <v>0.33538194444444441</v>
      </c>
      <c r="F732" s="247" t="s">
        <v>235</v>
      </c>
      <c r="G732" s="247" t="s">
        <v>1035</v>
      </c>
      <c r="H732" s="248" t="s">
        <v>234</v>
      </c>
      <c r="I732" s="248" t="s">
        <v>235</v>
      </c>
      <c r="J732" s="247" t="s">
        <v>809</v>
      </c>
      <c r="K732" s="249">
        <v>0</v>
      </c>
      <c r="M732" s="90">
        <v>0</v>
      </c>
      <c r="N732" s="90">
        <v>0</v>
      </c>
      <c r="O732" s="90">
        <v>255</v>
      </c>
    </row>
    <row r="733" spans="1:15" s="90" customFormat="1" ht="12.75" customHeight="1" x14ac:dyDescent="0.2">
      <c r="A733" s="247" t="s">
        <v>1283</v>
      </c>
      <c r="B733" s="316">
        <v>3076</v>
      </c>
      <c r="C733" s="247" t="s">
        <v>975</v>
      </c>
      <c r="D733" s="317">
        <v>42650</v>
      </c>
      <c r="E733" s="318">
        <v>0.33555555555555555</v>
      </c>
      <c r="F733" s="247" t="s">
        <v>981</v>
      </c>
      <c r="G733" s="247" t="s">
        <v>1035</v>
      </c>
      <c r="H733" s="248" t="s">
        <v>234</v>
      </c>
      <c r="I733" s="248" t="s">
        <v>656</v>
      </c>
      <c r="J733" s="247" t="s">
        <v>809</v>
      </c>
      <c r="K733" s="249">
        <v>0</v>
      </c>
      <c r="M733" s="90">
        <v>0</v>
      </c>
      <c r="N733" s="90">
        <v>0</v>
      </c>
      <c r="O733" s="90">
        <v>255</v>
      </c>
    </row>
    <row r="734" spans="1:15" s="90" customFormat="1" ht="12.75" customHeight="1" x14ac:dyDescent="0.2">
      <c r="A734" s="247" t="s">
        <v>1284</v>
      </c>
      <c r="B734" s="316">
        <v>3076</v>
      </c>
      <c r="C734" s="247" t="s">
        <v>975</v>
      </c>
      <c r="D734" s="317">
        <v>42650</v>
      </c>
      <c r="E734" s="318">
        <v>0.33589120370370368</v>
      </c>
      <c r="F734" s="247" t="s">
        <v>981</v>
      </c>
      <c r="G734" s="247" t="s">
        <v>1035</v>
      </c>
      <c r="H734" s="248" t="s">
        <v>234</v>
      </c>
      <c r="I734" s="248" t="s">
        <v>656</v>
      </c>
      <c r="J734" s="247" t="s">
        <v>809</v>
      </c>
      <c r="K734" s="249">
        <v>0</v>
      </c>
      <c r="M734" s="90">
        <v>0</v>
      </c>
      <c r="N734" s="90">
        <v>0</v>
      </c>
      <c r="O734" s="90">
        <v>255</v>
      </c>
    </row>
    <row r="735" spans="1:15" s="90" customFormat="1" ht="12.75" customHeight="1" x14ac:dyDescent="0.2">
      <c r="A735" s="247" t="s">
        <v>1285</v>
      </c>
      <c r="B735" s="316">
        <v>3076</v>
      </c>
      <c r="C735" s="247" t="s">
        <v>975</v>
      </c>
      <c r="D735" s="317">
        <v>42650</v>
      </c>
      <c r="E735" s="318">
        <v>0.33613425925925927</v>
      </c>
      <c r="F735" s="247" t="s">
        <v>981</v>
      </c>
      <c r="G735" s="247" t="s">
        <v>1035</v>
      </c>
      <c r="H735" s="248" t="s">
        <v>234</v>
      </c>
      <c r="I735" s="248" t="s">
        <v>656</v>
      </c>
      <c r="J735" s="247" t="s">
        <v>809</v>
      </c>
      <c r="K735" s="249">
        <v>0</v>
      </c>
      <c r="M735" s="90">
        <v>0</v>
      </c>
      <c r="N735" s="90">
        <v>0</v>
      </c>
      <c r="O735" s="90">
        <v>255</v>
      </c>
    </row>
    <row r="736" spans="1:15" s="90" customFormat="1" ht="12.75" customHeight="1" x14ac:dyDescent="0.2">
      <c r="A736" s="247" t="s">
        <v>1286</v>
      </c>
      <c r="B736" s="316">
        <v>3080</v>
      </c>
      <c r="C736" s="247" t="s">
        <v>975</v>
      </c>
      <c r="D736" s="317">
        <v>42650</v>
      </c>
      <c r="E736" s="318">
        <v>0.33620370370370373</v>
      </c>
      <c r="F736" s="247" t="s">
        <v>981</v>
      </c>
      <c r="G736" s="247" t="s">
        <v>1035</v>
      </c>
      <c r="H736" s="248" t="s">
        <v>234</v>
      </c>
      <c r="I736" s="248" t="s">
        <v>656</v>
      </c>
      <c r="J736" s="247" t="s">
        <v>809</v>
      </c>
      <c r="K736" s="249">
        <v>0</v>
      </c>
      <c r="M736" s="90">
        <v>0</v>
      </c>
      <c r="N736" s="90">
        <v>0</v>
      </c>
      <c r="O736" s="90">
        <v>255</v>
      </c>
    </row>
    <row r="737" spans="1:15" s="90" customFormat="1" ht="12.75" customHeight="1" x14ac:dyDescent="0.2">
      <c r="A737" s="247" t="s">
        <v>1287</v>
      </c>
      <c r="B737" s="316">
        <v>3081</v>
      </c>
      <c r="C737" s="247" t="s">
        <v>975</v>
      </c>
      <c r="D737" s="317">
        <v>42650</v>
      </c>
      <c r="E737" s="318">
        <v>0.33620370370370373</v>
      </c>
      <c r="F737" s="247" t="s">
        <v>981</v>
      </c>
      <c r="G737" s="247" t="s">
        <v>1035</v>
      </c>
      <c r="H737" s="248" t="s">
        <v>234</v>
      </c>
      <c r="I737" s="248" t="s">
        <v>656</v>
      </c>
      <c r="J737" s="247" t="s">
        <v>809</v>
      </c>
      <c r="K737" s="249">
        <v>0</v>
      </c>
      <c r="M737" s="90">
        <v>0</v>
      </c>
      <c r="N737" s="90">
        <v>0</v>
      </c>
      <c r="O737" s="90">
        <v>255</v>
      </c>
    </row>
    <row r="738" spans="1:15" s="90" customFormat="1" ht="12.75" customHeight="1" x14ac:dyDescent="0.2">
      <c r="A738" s="247" t="s">
        <v>1288</v>
      </c>
      <c r="B738" s="316">
        <v>3076</v>
      </c>
      <c r="C738" s="247" t="s">
        <v>975</v>
      </c>
      <c r="D738" s="317">
        <v>42650</v>
      </c>
      <c r="E738" s="318">
        <v>0.33653935185185185</v>
      </c>
      <c r="F738" s="247" t="s">
        <v>981</v>
      </c>
      <c r="G738" s="247" t="s">
        <v>1035</v>
      </c>
      <c r="H738" s="248" t="s">
        <v>234</v>
      </c>
      <c r="I738" s="248" t="s">
        <v>656</v>
      </c>
      <c r="J738" s="247" t="s">
        <v>809</v>
      </c>
      <c r="K738" s="249">
        <v>0</v>
      </c>
      <c r="M738" s="90">
        <v>0</v>
      </c>
      <c r="N738" s="90">
        <v>0</v>
      </c>
      <c r="O738" s="90">
        <v>255</v>
      </c>
    </row>
    <row r="739" spans="1:15" s="90" customFormat="1" ht="12.75" customHeight="1" x14ac:dyDescent="0.2">
      <c r="A739" s="247" t="s">
        <v>1289</v>
      </c>
      <c r="B739" s="316">
        <v>3076</v>
      </c>
      <c r="C739" s="247" t="s">
        <v>975</v>
      </c>
      <c r="D739" s="317">
        <v>42650</v>
      </c>
      <c r="E739" s="318">
        <v>0.33704861111111112</v>
      </c>
      <c r="F739" s="247" t="s">
        <v>981</v>
      </c>
      <c r="G739" s="247" t="s">
        <v>1035</v>
      </c>
      <c r="H739" s="248" t="s">
        <v>234</v>
      </c>
      <c r="I739" s="248" t="s">
        <v>656</v>
      </c>
      <c r="J739" s="247" t="s">
        <v>809</v>
      </c>
      <c r="K739" s="249">
        <v>0</v>
      </c>
      <c r="M739" s="90">
        <v>0</v>
      </c>
      <c r="N739" s="90">
        <v>0</v>
      </c>
      <c r="O739" s="90">
        <v>255</v>
      </c>
    </row>
    <row r="740" spans="1:15" s="90" customFormat="1" ht="12.75" customHeight="1" x14ac:dyDescent="0.2">
      <c r="A740" s="247" t="s">
        <v>1031</v>
      </c>
      <c r="B740" s="316">
        <v>3046</v>
      </c>
      <c r="C740" s="247" t="s">
        <v>975</v>
      </c>
      <c r="D740" s="317">
        <v>42650</v>
      </c>
      <c r="E740" s="318">
        <v>0.33741898148148147</v>
      </c>
      <c r="F740" s="247" t="s">
        <v>976</v>
      </c>
      <c r="G740" s="247" t="s">
        <v>1035</v>
      </c>
      <c r="H740" s="248" t="s">
        <v>404</v>
      </c>
      <c r="I740" s="248" t="s">
        <v>404</v>
      </c>
      <c r="J740" s="247" t="s">
        <v>809</v>
      </c>
      <c r="K740" s="249">
        <v>0</v>
      </c>
      <c r="M740" s="90">
        <v>0</v>
      </c>
      <c r="N740" s="90">
        <v>0</v>
      </c>
      <c r="O740" s="90">
        <v>255</v>
      </c>
    </row>
    <row r="741" spans="1:15" s="90" customFormat="1" ht="12.75" customHeight="1" x14ac:dyDescent="0.2">
      <c r="A741" s="247" t="s">
        <v>1032</v>
      </c>
      <c r="B741" s="316">
        <v>3046</v>
      </c>
      <c r="C741" s="247" t="s">
        <v>975</v>
      </c>
      <c r="D741" s="317">
        <v>42650</v>
      </c>
      <c r="E741" s="318">
        <v>0.34325231481481483</v>
      </c>
      <c r="F741" s="247" t="s">
        <v>976</v>
      </c>
      <c r="G741" s="247" t="s">
        <v>1035</v>
      </c>
      <c r="H741" s="248" t="s">
        <v>404</v>
      </c>
      <c r="I741" s="248" t="s">
        <v>404</v>
      </c>
      <c r="J741" s="247" t="s">
        <v>809</v>
      </c>
      <c r="K741" s="249">
        <v>0</v>
      </c>
      <c r="M741" s="90">
        <v>0</v>
      </c>
      <c r="N741" s="90">
        <v>0</v>
      </c>
      <c r="O741" s="90">
        <v>255</v>
      </c>
    </row>
    <row r="742" spans="1:15" s="90" customFormat="1" ht="12.75" customHeight="1" x14ac:dyDescent="0.2">
      <c r="A742" s="247" t="s">
        <v>989</v>
      </c>
      <c r="B742" s="316">
        <v>3046</v>
      </c>
      <c r="C742" s="247" t="s">
        <v>975</v>
      </c>
      <c r="D742" s="317">
        <v>42650</v>
      </c>
      <c r="E742" s="318">
        <v>0.34325231481481483</v>
      </c>
      <c r="F742" s="247" t="s">
        <v>976</v>
      </c>
      <c r="G742" s="247" t="s">
        <v>1035</v>
      </c>
      <c r="H742" s="248" t="s">
        <v>404</v>
      </c>
      <c r="I742" s="248" t="s">
        <v>404</v>
      </c>
      <c r="J742" s="247" t="s">
        <v>809</v>
      </c>
      <c r="K742" s="249">
        <v>0</v>
      </c>
      <c r="M742" s="90">
        <v>0</v>
      </c>
      <c r="N742" s="90">
        <v>0</v>
      </c>
      <c r="O742" s="90">
        <v>255</v>
      </c>
    </row>
    <row r="743" spans="1:15" s="90" customFormat="1" ht="12.75" customHeight="1" x14ac:dyDescent="0.2">
      <c r="A743" s="247" t="s">
        <v>990</v>
      </c>
      <c r="B743" s="316">
        <v>3046</v>
      </c>
      <c r="C743" s="247" t="s">
        <v>975</v>
      </c>
      <c r="D743" s="317">
        <v>42650</v>
      </c>
      <c r="E743" s="318">
        <v>0.34356481481481477</v>
      </c>
      <c r="F743" s="247" t="s">
        <v>976</v>
      </c>
      <c r="G743" s="247" t="s">
        <v>1035</v>
      </c>
      <c r="H743" s="248" t="s">
        <v>404</v>
      </c>
      <c r="I743" s="248" t="s">
        <v>404</v>
      </c>
      <c r="J743" s="247" t="s">
        <v>809</v>
      </c>
      <c r="K743" s="249">
        <v>0</v>
      </c>
      <c r="M743" s="90">
        <v>0</v>
      </c>
      <c r="N743" s="90">
        <v>0</v>
      </c>
      <c r="O743" s="90">
        <v>255</v>
      </c>
    </row>
    <row r="744" spans="1:15" s="90" customFormat="1" ht="12.75" customHeight="1" x14ac:dyDescent="0.2">
      <c r="A744" s="247" t="s">
        <v>1033</v>
      </c>
      <c r="B744" s="316">
        <v>3217</v>
      </c>
      <c r="C744" s="247" t="s">
        <v>975</v>
      </c>
      <c r="D744" s="317">
        <v>42650</v>
      </c>
      <c r="E744" s="318">
        <v>0.34356481481481477</v>
      </c>
      <c r="F744" s="247" t="s">
        <v>235</v>
      </c>
      <c r="G744" s="247" t="s">
        <v>1035</v>
      </c>
      <c r="H744" s="248" t="s">
        <v>234</v>
      </c>
      <c r="I744" s="248" t="s">
        <v>235</v>
      </c>
      <c r="J744" s="247" t="s">
        <v>809</v>
      </c>
      <c r="K744" s="249">
        <v>0</v>
      </c>
      <c r="M744" s="90">
        <v>0</v>
      </c>
      <c r="N744" s="90">
        <v>0</v>
      </c>
      <c r="O744" s="90">
        <v>255</v>
      </c>
    </row>
    <row r="745" spans="1:15" s="90" customFormat="1" ht="12.75" customHeight="1" x14ac:dyDescent="0.2">
      <c r="A745" s="247" t="s">
        <v>989</v>
      </c>
      <c r="B745" s="316">
        <v>3046</v>
      </c>
      <c r="C745" s="247" t="s">
        <v>975</v>
      </c>
      <c r="D745" s="317">
        <v>42650</v>
      </c>
      <c r="E745" s="318">
        <v>0.38524305555555555</v>
      </c>
      <c r="F745" s="247" t="s">
        <v>976</v>
      </c>
      <c r="G745" s="247" t="s">
        <v>1035</v>
      </c>
      <c r="H745" s="248" t="s">
        <v>404</v>
      </c>
      <c r="I745" s="248" t="s">
        <v>404</v>
      </c>
      <c r="J745" s="247" t="s">
        <v>809</v>
      </c>
      <c r="K745" s="249">
        <v>0</v>
      </c>
      <c r="M745" s="90">
        <v>0</v>
      </c>
      <c r="N745" s="90">
        <v>0</v>
      </c>
      <c r="O745" s="90">
        <v>255</v>
      </c>
    </row>
    <row r="746" spans="1:15" s="90" customFormat="1" ht="12.75" customHeight="1" x14ac:dyDescent="0.2">
      <c r="A746" s="247" t="s">
        <v>990</v>
      </c>
      <c r="B746" s="316">
        <v>3046</v>
      </c>
      <c r="C746" s="247" t="s">
        <v>975</v>
      </c>
      <c r="D746" s="317">
        <v>42650</v>
      </c>
      <c r="E746" s="318">
        <v>0.38548611111111114</v>
      </c>
      <c r="F746" s="247" t="s">
        <v>976</v>
      </c>
      <c r="G746" s="247" t="s">
        <v>1035</v>
      </c>
      <c r="H746" s="248" t="s">
        <v>404</v>
      </c>
      <c r="I746" s="248" t="s">
        <v>404</v>
      </c>
      <c r="J746" s="247" t="s">
        <v>809</v>
      </c>
      <c r="K746" s="249">
        <v>0</v>
      </c>
      <c r="M746" s="90">
        <v>0</v>
      </c>
      <c r="N746" s="90">
        <v>0</v>
      </c>
      <c r="O746" s="90">
        <v>255</v>
      </c>
    </row>
    <row r="747" spans="1:15" s="90" customFormat="1" ht="12.75" customHeight="1" x14ac:dyDescent="0.2">
      <c r="A747" s="247" t="s">
        <v>993</v>
      </c>
      <c r="B747" s="316">
        <v>3217</v>
      </c>
      <c r="C747" s="247" t="s">
        <v>975</v>
      </c>
      <c r="D747" s="317">
        <v>42650</v>
      </c>
      <c r="E747" s="318">
        <v>0.38548611111111114</v>
      </c>
      <c r="F747" s="247" t="s">
        <v>235</v>
      </c>
      <c r="G747" s="247" t="s">
        <v>1035</v>
      </c>
      <c r="H747" s="248" t="s">
        <v>234</v>
      </c>
      <c r="I747" s="248" t="s">
        <v>235</v>
      </c>
      <c r="J747" s="247" t="s">
        <v>809</v>
      </c>
      <c r="K747" s="249">
        <v>0</v>
      </c>
      <c r="M747" s="90">
        <v>0</v>
      </c>
      <c r="N747" s="90">
        <v>0</v>
      </c>
      <c r="O747" s="90">
        <v>255</v>
      </c>
    </row>
    <row r="748" spans="1:15" s="90" customFormat="1" ht="12.75" customHeight="1" x14ac:dyDescent="0.2">
      <c r="A748" s="247" t="s">
        <v>1188</v>
      </c>
      <c r="B748" s="316">
        <v>3004</v>
      </c>
      <c r="C748" s="247" t="s">
        <v>979</v>
      </c>
      <c r="D748" s="317">
        <v>42650</v>
      </c>
      <c r="E748" s="318">
        <v>0.40327546296296296</v>
      </c>
      <c r="F748" s="247" t="s">
        <v>702</v>
      </c>
      <c r="G748" s="247" t="s">
        <v>1035</v>
      </c>
      <c r="H748" s="248" t="s">
        <v>234</v>
      </c>
      <c r="I748" s="248" t="s">
        <v>702</v>
      </c>
      <c r="J748" s="247" t="s">
        <v>809</v>
      </c>
      <c r="K748" s="249">
        <v>0</v>
      </c>
      <c r="M748" s="90">
        <v>0</v>
      </c>
      <c r="N748" s="90">
        <v>0</v>
      </c>
      <c r="O748" s="90">
        <v>255</v>
      </c>
    </row>
    <row r="749" spans="1:15" s="90" customFormat="1" ht="12.75" customHeight="1" x14ac:dyDescent="0.2">
      <c r="A749" s="247" t="s">
        <v>1128</v>
      </c>
      <c r="B749" s="316">
        <v>2083</v>
      </c>
      <c r="C749" s="247" t="s">
        <v>979</v>
      </c>
      <c r="D749" s="317">
        <v>42650</v>
      </c>
      <c r="E749" s="318">
        <v>0.40408564814814812</v>
      </c>
      <c r="F749" s="247" t="s">
        <v>702</v>
      </c>
      <c r="G749" s="247" t="s">
        <v>1035</v>
      </c>
      <c r="H749" s="248" t="s">
        <v>121</v>
      </c>
      <c r="I749" s="248" t="s">
        <v>122</v>
      </c>
      <c r="J749" s="247" t="s">
        <v>809</v>
      </c>
      <c r="K749" s="249">
        <v>0</v>
      </c>
      <c r="M749" s="90">
        <v>0</v>
      </c>
      <c r="N749" s="90">
        <v>0</v>
      </c>
      <c r="O749" s="90">
        <v>255</v>
      </c>
    </row>
    <row r="750" spans="1:15" s="90" customFormat="1" ht="12.75" customHeight="1" x14ac:dyDescent="0.2">
      <c r="A750" s="247" t="s">
        <v>1031</v>
      </c>
      <c r="B750" s="316">
        <v>3046</v>
      </c>
      <c r="C750" s="247" t="s">
        <v>975</v>
      </c>
      <c r="D750" s="317">
        <v>42650</v>
      </c>
      <c r="E750" s="318">
        <v>0.40469907407407407</v>
      </c>
      <c r="F750" s="247" t="s">
        <v>976</v>
      </c>
      <c r="G750" s="247" t="s">
        <v>1035</v>
      </c>
      <c r="H750" s="248" t="s">
        <v>404</v>
      </c>
      <c r="I750" s="248" t="s">
        <v>404</v>
      </c>
      <c r="J750" s="247" t="s">
        <v>809</v>
      </c>
      <c r="K750" s="249">
        <v>0</v>
      </c>
      <c r="M750" s="90">
        <v>0</v>
      </c>
      <c r="N750" s="90">
        <v>0</v>
      </c>
      <c r="O750" s="90">
        <v>255</v>
      </c>
    </row>
    <row r="751" spans="1:15" s="90" customFormat="1" ht="12.75" customHeight="1" x14ac:dyDescent="0.2">
      <c r="A751" s="247" t="s">
        <v>1071</v>
      </c>
      <c r="B751" s="316">
        <v>3218</v>
      </c>
      <c r="C751" s="247" t="s">
        <v>979</v>
      </c>
      <c r="D751" s="317">
        <v>42650</v>
      </c>
      <c r="E751" s="318">
        <v>0.40500000000000003</v>
      </c>
      <c r="F751" s="247" t="s">
        <v>702</v>
      </c>
      <c r="G751" s="247" t="s">
        <v>1035</v>
      </c>
      <c r="H751" s="248"/>
      <c r="I751" s="248"/>
      <c r="J751" s="247"/>
      <c r="K751" s="249"/>
      <c r="M751" s="90">
        <v>0</v>
      </c>
      <c r="N751" s="90">
        <v>0</v>
      </c>
      <c r="O751" s="90">
        <v>255</v>
      </c>
    </row>
    <row r="752" spans="1:15" s="90" customFormat="1" ht="12.75" customHeight="1" x14ac:dyDescent="0.2">
      <c r="A752" s="247" t="s">
        <v>1170</v>
      </c>
      <c r="B752" s="316">
        <v>3218</v>
      </c>
      <c r="C752" s="247" t="s">
        <v>979</v>
      </c>
      <c r="D752" s="317">
        <v>42650</v>
      </c>
      <c r="E752" s="318">
        <v>0.40500000000000003</v>
      </c>
      <c r="F752" s="247" t="s">
        <v>702</v>
      </c>
      <c r="G752" s="247" t="s">
        <v>1035</v>
      </c>
      <c r="H752" s="248"/>
      <c r="I752" s="248"/>
      <c r="J752" s="247"/>
      <c r="K752" s="249"/>
      <c r="M752" s="90">
        <v>0</v>
      </c>
      <c r="N752" s="90">
        <v>0</v>
      </c>
      <c r="O752" s="90">
        <v>255</v>
      </c>
    </row>
    <row r="753" spans="1:15" s="90" customFormat="1" ht="12.75" customHeight="1" x14ac:dyDescent="0.2">
      <c r="A753" s="247" t="s">
        <v>1192</v>
      </c>
      <c r="B753" s="316">
        <v>3218</v>
      </c>
      <c r="C753" s="247" t="s">
        <v>979</v>
      </c>
      <c r="D753" s="317">
        <v>42650</v>
      </c>
      <c r="E753" s="318">
        <v>0.40500000000000003</v>
      </c>
      <c r="F753" s="247" t="s">
        <v>702</v>
      </c>
      <c r="G753" s="247" t="s">
        <v>1035</v>
      </c>
      <c r="H753" s="248"/>
      <c r="I753" s="248"/>
      <c r="J753" s="247"/>
      <c r="K753" s="249"/>
      <c r="M753" s="90">
        <v>0</v>
      </c>
      <c r="N753" s="90">
        <v>0</v>
      </c>
      <c r="O753" s="90">
        <v>255</v>
      </c>
    </row>
    <row r="754" spans="1:15" s="90" customFormat="1" ht="12.75" customHeight="1" x14ac:dyDescent="0.2">
      <c r="A754" s="247" t="s">
        <v>1193</v>
      </c>
      <c r="B754" s="316">
        <v>3218</v>
      </c>
      <c r="C754" s="247" t="s">
        <v>979</v>
      </c>
      <c r="D754" s="317">
        <v>42650</v>
      </c>
      <c r="E754" s="318">
        <v>0.40500000000000003</v>
      </c>
      <c r="F754" s="247" t="s">
        <v>702</v>
      </c>
      <c r="G754" s="247" t="s">
        <v>1035</v>
      </c>
      <c r="H754" s="248"/>
      <c r="I754" s="248"/>
      <c r="J754" s="247"/>
      <c r="K754" s="249"/>
      <c r="M754" s="90">
        <v>0</v>
      </c>
      <c r="N754" s="90">
        <v>0</v>
      </c>
      <c r="O754" s="90">
        <v>255</v>
      </c>
    </row>
    <row r="755" spans="1:15" s="90" customFormat="1" ht="12.75" customHeight="1" x14ac:dyDescent="0.2">
      <c r="A755" s="247" t="s">
        <v>1194</v>
      </c>
      <c r="B755" s="316">
        <v>3218</v>
      </c>
      <c r="C755" s="247" t="s">
        <v>979</v>
      </c>
      <c r="D755" s="317">
        <v>42650</v>
      </c>
      <c r="E755" s="318">
        <v>0.40500000000000003</v>
      </c>
      <c r="F755" s="247" t="s">
        <v>702</v>
      </c>
      <c r="G755" s="247" t="s">
        <v>1035</v>
      </c>
      <c r="H755" s="248"/>
      <c r="I755" s="248"/>
      <c r="J755" s="247"/>
      <c r="K755" s="249"/>
      <c r="M755" s="90">
        <v>0</v>
      </c>
      <c r="N755" s="90">
        <v>0</v>
      </c>
      <c r="O755" s="90">
        <v>255</v>
      </c>
    </row>
    <row r="756" spans="1:15" s="90" customFormat="1" ht="12.75" customHeight="1" x14ac:dyDescent="0.2">
      <c r="A756" s="247" t="s">
        <v>1195</v>
      </c>
      <c r="B756" s="316">
        <v>3218</v>
      </c>
      <c r="C756" s="247" t="s">
        <v>979</v>
      </c>
      <c r="D756" s="317">
        <v>42650</v>
      </c>
      <c r="E756" s="318">
        <v>0.40500000000000003</v>
      </c>
      <c r="F756" s="247" t="s">
        <v>702</v>
      </c>
      <c r="G756" s="247" t="s">
        <v>1035</v>
      </c>
      <c r="H756" s="248"/>
      <c r="I756" s="248"/>
      <c r="J756" s="247"/>
      <c r="K756" s="249"/>
      <c r="M756" s="90">
        <v>0</v>
      </c>
      <c r="N756" s="90">
        <v>0</v>
      </c>
      <c r="O756" s="90">
        <v>255</v>
      </c>
    </row>
    <row r="757" spans="1:15" s="90" customFormat="1" ht="12.75" customHeight="1" x14ac:dyDescent="0.2">
      <c r="A757" s="247" t="s">
        <v>1032</v>
      </c>
      <c r="B757" s="316">
        <v>3046</v>
      </c>
      <c r="C757" s="247" t="s">
        <v>975</v>
      </c>
      <c r="D757" s="317">
        <v>42650</v>
      </c>
      <c r="E757" s="318">
        <v>0.41312499999999996</v>
      </c>
      <c r="F757" s="247" t="s">
        <v>976</v>
      </c>
      <c r="G757" s="247" t="s">
        <v>1035</v>
      </c>
      <c r="H757" s="248" t="s">
        <v>404</v>
      </c>
      <c r="I757" s="248" t="s">
        <v>404</v>
      </c>
      <c r="J757" s="247" t="s">
        <v>809</v>
      </c>
      <c r="K757" s="249">
        <v>0</v>
      </c>
      <c r="M757" s="90">
        <v>0</v>
      </c>
      <c r="N757" s="90">
        <v>0</v>
      </c>
      <c r="O757" s="90">
        <v>255</v>
      </c>
    </row>
    <row r="758" spans="1:15" s="90" customFormat="1" ht="12.75" customHeight="1" x14ac:dyDescent="0.2">
      <c r="A758" s="247" t="s">
        <v>989</v>
      </c>
      <c r="B758" s="316">
        <v>3046</v>
      </c>
      <c r="C758" s="247" t="s">
        <v>975</v>
      </c>
      <c r="D758" s="317">
        <v>42650</v>
      </c>
      <c r="E758" s="318">
        <v>0.41312499999999996</v>
      </c>
      <c r="F758" s="247" t="s">
        <v>976</v>
      </c>
      <c r="G758" s="247" t="s">
        <v>1035</v>
      </c>
      <c r="H758" s="248" t="s">
        <v>404</v>
      </c>
      <c r="I758" s="248" t="s">
        <v>404</v>
      </c>
      <c r="J758" s="247" t="s">
        <v>809</v>
      </c>
      <c r="K758" s="249">
        <v>0</v>
      </c>
      <c r="M758" s="90">
        <v>0</v>
      </c>
      <c r="N758" s="90">
        <v>0</v>
      </c>
      <c r="O758" s="90">
        <v>255</v>
      </c>
    </row>
    <row r="759" spans="1:15" s="90" customFormat="1" ht="12.75" customHeight="1" x14ac:dyDescent="0.2">
      <c r="A759" s="247" t="s">
        <v>990</v>
      </c>
      <c r="B759" s="316">
        <v>3046</v>
      </c>
      <c r="C759" s="247" t="s">
        <v>975</v>
      </c>
      <c r="D759" s="317">
        <v>42650</v>
      </c>
      <c r="E759" s="318">
        <v>0.41343749999999996</v>
      </c>
      <c r="F759" s="247" t="s">
        <v>976</v>
      </c>
      <c r="G759" s="247" t="s">
        <v>1035</v>
      </c>
      <c r="H759" s="248" t="s">
        <v>404</v>
      </c>
      <c r="I759" s="248" t="s">
        <v>404</v>
      </c>
      <c r="J759" s="247" t="s">
        <v>809</v>
      </c>
      <c r="K759" s="249">
        <v>0</v>
      </c>
      <c r="M759" s="90">
        <v>0</v>
      </c>
      <c r="N759" s="90">
        <v>0</v>
      </c>
      <c r="O759" s="90">
        <v>255</v>
      </c>
    </row>
    <row r="760" spans="1:15" s="90" customFormat="1" ht="12.75" customHeight="1" x14ac:dyDescent="0.2">
      <c r="A760" s="247" t="s">
        <v>1033</v>
      </c>
      <c r="B760" s="316">
        <v>3217</v>
      </c>
      <c r="C760" s="247" t="s">
        <v>975</v>
      </c>
      <c r="D760" s="317">
        <v>42650</v>
      </c>
      <c r="E760" s="318">
        <v>0.41343749999999996</v>
      </c>
      <c r="F760" s="247" t="s">
        <v>235</v>
      </c>
      <c r="G760" s="247" t="s">
        <v>1035</v>
      </c>
      <c r="H760" s="248" t="s">
        <v>234</v>
      </c>
      <c r="I760" s="248" t="s">
        <v>235</v>
      </c>
      <c r="J760" s="247" t="s">
        <v>809</v>
      </c>
      <c r="K760" s="249">
        <v>0</v>
      </c>
      <c r="M760" s="90">
        <v>0</v>
      </c>
      <c r="N760" s="90">
        <v>0</v>
      </c>
      <c r="O760" s="90">
        <v>255</v>
      </c>
    </row>
    <row r="761" spans="1:15" s="90" customFormat="1" ht="12.75" customHeight="1" x14ac:dyDescent="0.2">
      <c r="A761" s="247" t="s">
        <v>989</v>
      </c>
      <c r="B761" s="316">
        <v>3046</v>
      </c>
      <c r="C761" s="247" t="s">
        <v>975</v>
      </c>
      <c r="D761" s="317">
        <v>42650</v>
      </c>
      <c r="E761" s="318">
        <v>0.45510416666666664</v>
      </c>
      <c r="F761" s="247" t="s">
        <v>976</v>
      </c>
      <c r="G761" s="247" t="s">
        <v>1035</v>
      </c>
      <c r="H761" s="248" t="s">
        <v>404</v>
      </c>
      <c r="I761" s="248" t="s">
        <v>404</v>
      </c>
      <c r="J761" s="247" t="s">
        <v>809</v>
      </c>
      <c r="K761" s="249">
        <v>0</v>
      </c>
      <c r="M761" s="90">
        <v>0</v>
      </c>
      <c r="N761" s="90">
        <v>0</v>
      </c>
      <c r="O761" s="90">
        <v>255</v>
      </c>
    </row>
    <row r="762" spans="1:15" s="90" customFormat="1" ht="12.75" customHeight="1" x14ac:dyDescent="0.2">
      <c r="A762" s="247" t="s">
        <v>990</v>
      </c>
      <c r="B762" s="316">
        <v>3046</v>
      </c>
      <c r="C762" s="247" t="s">
        <v>975</v>
      </c>
      <c r="D762" s="317">
        <v>42650</v>
      </c>
      <c r="E762" s="318">
        <v>0.45535879629629633</v>
      </c>
      <c r="F762" s="247" t="s">
        <v>976</v>
      </c>
      <c r="G762" s="247" t="s">
        <v>1035</v>
      </c>
      <c r="H762" s="248" t="s">
        <v>404</v>
      </c>
      <c r="I762" s="248" t="s">
        <v>404</v>
      </c>
      <c r="J762" s="247" t="s">
        <v>809</v>
      </c>
      <c r="K762" s="249">
        <v>0</v>
      </c>
      <c r="M762" s="90">
        <v>0</v>
      </c>
      <c r="N762" s="90">
        <v>0</v>
      </c>
      <c r="O762" s="90">
        <v>255</v>
      </c>
    </row>
    <row r="763" spans="1:15" s="90" customFormat="1" ht="12.75" customHeight="1" x14ac:dyDescent="0.2">
      <c r="A763" s="247" t="s">
        <v>993</v>
      </c>
      <c r="B763" s="316">
        <v>3217</v>
      </c>
      <c r="C763" s="247" t="s">
        <v>975</v>
      </c>
      <c r="D763" s="317">
        <v>42650</v>
      </c>
      <c r="E763" s="318">
        <v>0.45535879629629633</v>
      </c>
      <c r="F763" s="247" t="s">
        <v>235</v>
      </c>
      <c r="G763" s="247" t="s">
        <v>1035</v>
      </c>
      <c r="H763" s="248" t="s">
        <v>234</v>
      </c>
      <c r="I763" s="248" t="s">
        <v>235</v>
      </c>
      <c r="J763" s="247" t="s">
        <v>809</v>
      </c>
      <c r="K763" s="249">
        <v>0</v>
      </c>
      <c r="M763" s="90">
        <v>0</v>
      </c>
      <c r="N763" s="90">
        <v>0</v>
      </c>
      <c r="O763" s="90">
        <v>255</v>
      </c>
    </row>
    <row r="764" spans="1:15" s="90" customFormat="1" ht="12.75" customHeight="1" x14ac:dyDescent="0.2">
      <c r="A764" s="247" t="s">
        <v>1031</v>
      </c>
      <c r="B764" s="316">
        <v>3046</v>
      </c>
      <c r="C764" s="247" t="s">
        <v>975</v>
      </c>
      <c r="D764" s="317">
        <v>42650</v>
      </c>
      <c r="E764" s="318">
        <v>0.47569444444444442</v>
      </c>
      <c r="F764" s="247" t="s">
        <v>976</v>
      </c>
      <c r="G764" s="247" t="s">
        <v>1035</v>
      </c>
      <c r="H764" s="248" t="s">
        <v>404</v>
      </c>
      <c r="I764" s="248" t="s">
        <v>404</v>
      </c>
      <c r="J764" s="247" t="s">
        <v>809</v>
      </c>
      <c r="K764" s="249">
        <v>0</v>
      </c>
      <c r="M764" s="90">
        <v>0</v>
      </c>
      <c r="N764" s="90">
        <v>0</v>
      </c>
      <c r="O764" s="90">
        <v>255</v>
      </c>
    </row>
    <row r="765" spans="1:15" s="90" customFormat="1" ht="12.75" customHeight="1" x14ac:dyDescent="0.2">
      <c r="A765" s="247" t="s">
        <v>1032</v>
      </c>
      <c r="B765" s="316">
        <v>3046</v>
      </c>
      <c r="C765" s="247" t="s">
        <v>975</v>
      </c>
      <c r="D765" s="317">
        <v>42650</v>
      </c>
      <c r="E765" s="318">
        <v>0.48465277777777777</v>
      </c>
      <c r="F765" s="247" t="s">
        <v>976</v>
      </c>
      <c r="G765" s="247" t="s">
        <v>1035</v>
      </c>
      <c r="H765" s="248" t="s">
        <v>404</v>
      </c>
      <c r="I765" s="248" t="s">
        <v>404</v>
      </c>
      <c r="J765" s="247" t="s">
        <v>809</v>
      </c>
      <c r="K765" s="249">
        <v>0</v>
      </c>
      <c r="M765" s="90">
        <v>0</v>
      </c>
      <c r="N765" s="90">
        <v>0</v>
      </c>
      <c r="O765" s="90">
        <v>255</v>
      </c>
    </row>
    <row r="766" spans="1:15" s="90" customFormat="1" ht="12.75" customHeight="1" x14ac:dyDescent="0.2">
      <c r="A766" s="247" t="s">
        <v>989</v>
      </c>
      <c r="B766" s="316">
        <v>3046</v>
      </c>
      <c r="C766" s="247" t="s">
        <v>975</v>
      </c>
      <c r="D766" s="317">
        <v>42650</v>
      </c>
      <c r="E766" s="318">
        <v>0.48465277777777777</v>
      </c>
      <c r="F766" s="247" t="s">
        <v>976</v>
      </c>
      <c r="G766" s="247" t="s">
        <v>1035</v>
      </c>
      <c r="H766" s="248" t="s">
        <v>404</v>
      </c>
      <c r="I766" s="248" t="s">
        <v>404</v>
      </c>
      <c r="J766" s="247" t="s">
        <v>809</v>
      </c>
      <c r="K766" s="249">
        <v>0</v>
      </c>
      <c r="M766" s="90">
        <v>0</v>
      </c>
      <c r="N766" s="90">
        <v>0</v>
      </c>
      <c r="O766" s="90">
        <v>255</v>
      </c>
    </row>
    <row r="767" spans="1:15" s="90" customFormat="1" ht="12.75" customHeight="1" x14ac:dyDescent="0.2">
      <c r="A767" s="247" t="s">
        <v>990</v>
      </c>
      <c r="B767" s="316">
        <v>3046</v>
      </c>
      <c r="C767" s="247" t="s">
        <v>975</v>
      </c>
      <c r="D767" s="317">
        <v>42650</v>
      </c>
      <c r="E767" s="318">
        <v>0.48494212962962963</v>
      </c>
      <c r="F767" s="247" t="s">
        <v>976</v>
      </c>
      <c r="G767" s="247" t="s">
        <v>1035</v>
      </c>
      <c r="H767" s="248" t="s">
        <v>404</v>
      </c>
      <c r="I767" s="248" t="s">
        <v>404</v>
      </c>
      <c r="J767" s="247" t="s">
        <v>809</v>
      </c>
      <c r="K767" s="249">
        <v>0</v>
      </c>
      <c r="M767" s="90">
        <v>0</v>
      </c>
      <c r="N767" s="90">
        <v>0</v>
      </c>
      <c r="O767" s="90">
        <v>255</v>
      </c>
    </row>
    <row r="768" spans="1:15" s="90" customFormat="1" ht="12.75" customHeight="1" x14ac:dyDescent="0.2">
      <c r="A768" s="247" t="s">
        <v>1033</v>
      </c>
      <c r="B768" s="316">
        <v>3217</v>
      </c>
      <c r="C768" s="247" t="s">
        <v>975</v>
      </c>
      <c r="D768" s="317">
        <v>42650</v>
      </c>
      <c r="E768" s="318">
        <v>0.48494212962962963</v>
      </c>
      <c r="F768" s="247" t="s">
        <v>235</v>
      </c>
      <c r="G768" s="247" t="s">
        <v>1035</v>
      </c>
      <c r="H768" s="248" t="s">
        <v>234</v>
      </c>
      <c r="I768" s="248" t="s">
        <v>235</v>
      </c>
      <c r="J768" s="247" t="s">
        <v>809</v>
      </c>
      <c r="K768" s="249">
        <v>0</v>
      </c>
      <c r="M768" s="90">
        <v>0</v>
      </c>
      <c r="N768" s="90">
        <v>0</v>
      </c>
      <c r="O768" s="90">
        <v>255</v>
      </c>
    </row>
    <row r="769" spans="1:15" s="90" customFormat="1" ht="12.75" customHeight="1" x14ac:dyDescent="0.2">
      <c r="A769" s="247" t="s">
        <v>1208</v>
      </c>
      <c r="B769" s="316">
        <v>3004</v>
      </c>
      <c r="C769" s="247" t="s">
        <v>979</v>
      </c>
      <c r="D769" s="317">
        <v>42650</v>
      </c>
      <c r="E769" s="318">
        <v>0.50233796296296296</v>
      </c>
      <c r="F769" s="247" t="s">
        <v>702</v>
      </c>
      <c r="G769" s="247" t="s">
        <v>1035</v>
      </c>
      <c r="H769" s="248" t="s">
        <v>234</v>
      </c>
      <c r="I769" s="248" t="s">
        <v>702</v>
      </c>
      <c r="J769" s="247" t="s">
        <v>809</v>
      </c>
      <c r="K769" s="249">
        <v>0</v>
      </c>
      <c r="M769" s="90">
        <v>0</v>
      </c>
      <c r="N769" s="90">
        <v>0</v>
      </c>
      <c r="O769" s="90">
        <v>255</v>
      </c>
    </row>
    <row r="770" spans="1:15" s="90" customFormat="1" ht="12.75" customHeight="1" x14ac:dyDescent="0.2">
      <c r="A770" s="247" t="s">
        <v>989</v>
      </c>
      <c r="B770" s="316">
        <v>3046</v>
      </c>
      <c r="C770" s="247" t="s">
        <v>975</v>
      </c>
      <c r="D770" s="317">
        <v>42650</v>
      </c>
      <c r="E770" s="318">
        <v>0.52660879629629631</v>
      </c>
      <c r="F770" s="247" t="s">
        <v>976</v>
      </c>
      <c r="G770" s="247" t="s">
        <v>1035</v>
      </c>
      <c r="H770" s="248" t="s">
        <v>404</v>
      </c>
      <c r="I770" s="248" t="s">
        <v>404</v>
      </c>
      <c r="J770" s="247" t="s">
        <v>809</v>
      </c>
      <c r="K770" s="249">
        <v>0</v>
      </c>
      <c r="M770" s="90">
        <v>0</v>
      </c>
      <c r="N770" s="90">
        <v>0</v>
      </c>
      <c r="O770" s="90">
        <v>255</v>
      </c>
    </row>
    <row r="771" spans="1:15" s="90" customFormat="1" ht="12.75" customHeight="1" x14ac:dyDescent="0.2">
      <c r="A771" s="247" t="s">
        <v>990</v>
      </c>
      <c r="B771" s="316">
        <v>3046</v>
      </c>
      <c r="C771" s="247" t="s">
        <v>975</v>
      </c>
      <c r="D771" s="317">
        <v>42650</v>
      </c>
      <c r="E771" s="318">
        <v>0.52686342592592594</v>
      </c>
      <c r="F771" s="247" t="s">
        <v>976</v>
      </c>
      <c r="G771" s="247" t="s">
        <v>1035</v>
      </c>
      <c r="H771" s="248" t="s">
        <v>404</v>
      </c>
      <c r="I771" s="248" t="s">
        <v>404</v>
      </c>
      <c r="J771" s="247" t="s">
        <v>809</v>
      </c>
      <c r="K771" s="249">
        <v>0</v>
      </c>
      <c r="M771" s="90">
        <v>0</v>
      </c>
      <c r="N771" s="90">
        <v>0</v>
      </c>
      <c r="O771" s="90">
        <v>255</v>
      </c>
    </row>
    <row r="772" spans="1:15" s="90" customFormat="1" ht="12.75" customHeight="1" x14ac:dyDescent="0.2">
      <c r="A772" s="247" t="s">
        <v>993</v>
      </c>
      <c r="B772" s="316">
        <v>3217</v>
      </c>
      <c r="C772" s="247" t="s">
        <v>975</v>
      </c>
      <c r="D772" s="317">
        <v>42650</v>
      </c>
      <c r="E772" s="318">
        <v>0.52686342592592594</v>
      </c>
      <c r="F772" s="247" t="s">
        <v>235</v>
      </c>
      <c r="G772" s="247" t="s">
        <v>1035</v>
      </c>
      <c r="H772" s="248" t="s">
        <v>234</v>
      </c>
      <c r="I772" s="248" t="s">
        <v>235</v>
      </c>
      <c r="J772" s="247" t="s">
        <v>809</v>
      </c>
      <c r="K772" s="249">
        <v>0</v>
      </c>
      <c r="M772" s="90">
        <v>0</v>
      </c>
      <c r="N772" s="90">
        <v>0</v>
      </c>
      <c r="O772" s="90">
        <v>255</v>
      </c>
    </row>
    <row r="773" spans="1:15" s="90" customFormat="1" ht="12.75" customHeight="1" x14ac:dyDescent="0.2">
      <c r="A773" s="247" t="s">
        <v>1185</v>
      </c>
      <c r="B773" s="316">
        <v>3023</v>
      </c>
      <c r="C773" s="247" t="s">
        <v>996</v>
      </c>
      <c r="D773" s="317">
        <v>42650</v>
      </c>
      <c r="E773" s="318">
        <v>0.56540509259259253</v>
      </c>
      <c r="F773" s="247" t="s">
        <v>976</v>
      </c>
      <c r="G773" s="247" t="s">
        <v>1035</v>
      </c>
      <c r="H773" s="248" t="s">
        <v>863</v>
      </c>
      <c r="I773" s="248" t="s">
        <v>319</v>
      </c>
      <c r="J773" s="247" t="s">
        <v>809</v>
      </c>
      <c r="K773" s="249">
        <v>0</v>
      </c>
      <c r="M773" s="90">
        <v>0</v>
      </c>
      <c r="N773" s="90">
        <v>0</v>
      </c>
      <c r="O773" s="90">
        <v>255</v>
      </c>
    </row>
    <row r="774" spans="1:15" s="90" customFormat="1" ht="12.75" customHeight="1" x14ac:dyDescent="0.2">
      <c r="A774" s="247" t="s">
        <v>1290</v>
      </c>
      <c r="B774" s="316">
        <v>3004</v>
      </c>
      <c r="C774" s="247" t="s">
        <v>979</v>
      </c>
      <c r="D774" s="317">
        <v>42650</v>
      </c>
      <c r="E774" s="318">
        <v>0.56565972222222227</v>
      </c>
      <c r="F774" s="247" t="s">
        <v>702</v>
      </c>
      <c r="G774" s="247" t="s">
        <v>1035</v>
      </c>
      <c r="H774" s="248" t="s">
        <v>234</v>
      </c>
      <c r="I774" s="248" t="s">
        <v>702</v>
      </c>
      <c r="J774" s="247" t="s">
        <v>809</v>
      </c>
      <c r="K774" s="249">
        <v>0</v>
      </c>
      <c r="M774" s="90">
        <v>0</v>
      </c>
      <c r="N774" s="90">
        <v>0</v>
      </c>
      <c r="O774" s="90">
        <v>255</v>
      </c>
    </row>
    <row r="775" spans="1:15" s="90" customFormat="1" ht="12.75" customHeight="1" x14ac:dyDescent="0.2">
      <c r="A775" s="247" t="s">
        <v>1291</v>
      </c>
      <c r="B775" s="316">
        <v>3001</v>
      </c>
      <c r="C775" s="247" t="s">
        <v>996</v>
      </c>
      <c r="D775" s="317">
        <v>42650</v>
      </c>
      <c r="E775" s="318">
        <v>0.56609953703703708</v>
      </c>
      <c r="F775" s="247" t="s">
        <v>702</v>
      </c>
      <c r="G775" s="247" t="s">
        <v>1035</v>
      </c>
      <c r="H775" s="248" t="s">
        <v>121</v>
      </c>
      <c r="I775" s="248" t="s">
        <v>122</v>
      </c>
      <c r="J775" s="247" t="s">
        <v>809</v>
      </c>
      <c r="K775" s="249">
        <v>0</v>
      </c>
      <c r="M775" s="90">
        <v>0</v>
      </c>
      <c r="N775" s="90">
        <v>0</v>
      </c>
      <c r="O775" s="90">
        <v>255</v>
      </c>
    </row>
    <row r="776" spans="1:15" s="90" customFormat="1" ht="12.75" customHeight="1" x14ac:dyDescent="0.2">
      <c r="A776" s="247" t="s">
        <v>1106</v>
      </c>
      <c r="B776" s="316">
        <v>3001</v>
      </c>
      <c r="C776" s="247" t="s">
        <v>996</v>
      </c>
      <c r="D776" s="317">
        <v>42650</v>
      </c>
      <c r="E776" s="318">
        <v>0.56616898148148154</v>
      </c>
      <c r="F776" s="247" t="s">
        <v>702</v>
      </c>
      <c r="G776" s="247" t="s">
        <v>1035</v>
      </c>
      <c r="H776" s="248" t="s">
        <v>121</v>
      </c>
      <c r="I776" s="248" t="s">
        <v>122</v>
      </c>
      <c r="J776" s="247" t="s">
        <v>809</v>
      </c>
      <c r="K776" s="249">
        <v>0</v>
      </c>
      <c r="M776" s="90">
        <v>0</v>
      </c>
      <c r="N776" s="90">
        <v>0</v>
      </c>
      <c r="O776" s="90">
        <v>255</v>
      </c>
    </row>
    <row r="777" spans="1:15" s="90" customFormat="1" ht="12.75" customHeight="1" x14ac:dyDescent="0.2">
      <c r="A777" s="247" t="s">
        <v>1190</v>
      </c>
      <c r="B777" s="316">
        <v>3001</v>
      </c>
      <c r="C777" s="247" t="s">
        <v>996</v>
      </c>
      <c r="D777" s="317">
        <v>42650</v>
      </c>
      <c r="E777" s="318">
        <v>0.56633101851851853</v>
      </c>
      <c r="F777" s="247" t="s">
        <v>702</v>
      </c>
      <c r="G777" s="247" t="s">
        <v>1035</v>
      </c>
      <c r="H777" s="248" t="s">
        <v>121</v>
      </c>
      <c r="I777" s="248" t="s">
        <v>122</v>
      </c>
      <c r="J777" s="247" t="s">
        <v>809</v>
      </c>
      <c r="K777" s="249">
        <v>0</v>
      </c>
      <c r="M777" s="90">
        <v>0</v>
      </c>
      <c r="N777" s="90">
        <v>0</v>
      </c>
      <c r="O777" s="90">
        <v>255</v>
      </c>
    </row>
    <row r="778" spans="1:15" s="90" customFormat="1" ht="12.75" customHeight="1" x14ac:dyDescent="0.2">
      <c r="A778" s="247" t="s">
        <v>1189</v>
      </c>
      <c r="B778" s="316">
        <v>3001</v>
      </c>
      <c r="C778" s="247" t="s">
        <v>996</v>
      </c>
      <c r="D778" s="317">
        <v>42650</v>
      </c>
      <c r="E778" s="318">
        <v>0.56640046296296298</v>
      </c>
      <c r="F778" s="247" t="s">
        <v>702</v>
      </c>
      <c r="G778" s="247" t="s">
        <v>1035</v>
      </c>
      <c r="H778" s="248" t="s">
        <v>121</v>
      </c>
      <c r="I778" s="248" t="s">
        <v>122</v>
      </c>
      <c r="J778" s="247" t="s">
        <v>809</v>
      </c>
      <c r="K778" s="249">
        <v>0</v>
      </c>
      <c r="M778" s="90">
        <v>0</v>
      </c>
      <c r="N778" s="90">
        <v>0</v>
      </c>
      <c r="O778" s="90">
        <v>255</v>
      </c>
    </row>
    <row r="779" spans="1:15" s="90" customFormat="1" ht="12.75" customHeight="1" x14ac:dyDescent="0.2">
      <c r="A779" s="247" t="s">
        <v>1253</v>
      </c>
      <c r="B779" s="316">
        <v>3218</v>
      </c>
      <c r="C779" s="247" t="s">
        <v>979</v>
      </c>
      <c r="D779" s="317">
        <v>42650</v>
      </c>
      <c r="E779" s="318">
        <v>0.56642361111111106</v>
      </c>
      <c r="F779" s="247" t="s">
        <v>702</v>
      </c>
      <c r="G779" s="247" t="s">
        <v>1035</v>
      </c>
      <c r="H779" s="248"/>
      <c r="I779" s="248"/>
      <c r="J779" s="247"/>
      <c r="K779" s="249"/>
      <c r="M779" s="90">
        <v>0</v>
      </c>
      <c r="N779" s="90">
        <v>0</v>
      </c>
      <c r="O779" s="90">
        <v>255</v>
      </c>
    </row>
    <row r="780" spans="1:15" s="90" customFormat="1" ht="12.75" customHeight="1" x14ac:dyDescent="0.2">
      <c r="A780" s="247" t="s">
        <v>1292</v>
      </c>
      <c r="B780" s="316">
        <v>3218</v>
      </c>
      <c r="C780" s="247" t="s">
        <v>979</v>
      </c>
      <c r="D780" s="317">
        <v>42650</v>
      </c>
      <c r="E780" s="318">
        <v>0.56642361111111106</v>
      </c>
      <c r="F780" s="247" t="s">
        <v>702</v>
      </c>
      <c r="G780" s="247" t="s">
        <v>1035</v>
      </c>
      <c r="H780" s="248"/>
      <c r="I780" s="248"/>
      <c r="J780" s="247"/>
      <c r="K780" s="249"/>
      <c r="M780" s="90">
        <v>0</v>
      </c>
      <c r="N780" s="90">
        <v>0</v>
      </c>
      <c r="O780" s="90">
        <v>255</v>
      </c>
    </row>
    <row r="781" spans="1:15" s="90" customFormat="1" ht="12.75" customHeight="1" x14ac:dyDescent="0.2">
      <c r="A781" s="247" t="s">
        <v>1293</v>
      </c>
      <c r="B781" s="316">
        <v>3218</v>
      </c>
      <c r="C781" s="247" t="s">
        <v>979</v>
      </c>
      <c r="D781" s="317">
        <v>42650</v>
      </c>
      <c r="E781" s="318">
        <v>0.56642361111111106</v>
      </c>
      <c r="F781" s="247" t="s">
        <v>702</v>
      </c>
      <c r="G781" s="247" t="s">
        <v>1035</v>
      </c>
      <c r="H781" s="248"/>
      <c r="I781" s="248"/>
      <c r="J781" s="247"/>
      <c r="K781" s="249"/>
      <c r="M781" s="90">
        <v>0</v>
      </c>
      <c r="N781" s="90">
        <v>0</v>
      </c>
      <c r="O781" s="90">
        <v>255</v>
      </c>
    </row>
    <row r="782" spans="1:15" s="90" customFormat="1" ht="12.75" customHeight="1" x14ac:dyDescent="0.2">
      <c r="A782" s="247" t="s">
        <v>1294</v>
      </c>
      <c r="B782" s="316">
        <v>3218</v>
      </c>
      <c r="C782" s="247" t="s">
        <v>979</v>
      </c>
      <c r="D782" s="317">
        <v>42650</v>
      </c>
      <c r="E782" s="318">
        <v>0.56642361111111106</v>
      </c>
      <c r="F782" s="247" t="s">
        <v>702</v>
      </c>
      <c r="G782" s="247" t="s">
        <v>1035</v>
      </c>
      <c r="H782" s="248"/>
      <c r="I782" s="248"/>
      <c r="J782" s="247"/>
      <c r="K782" s="249"/>
      <c r="M782" s="90">
        <v>0</v>
      </c>
      <c r="N782" s="90">
        <v>0</v>
      </c>
      <c r="O782" s="90">
        <v>255</v>
      </c>
    </row>
    <row r="783" spans="1:15" s="90" customFormat="1" ht="12.75" customHeight="1" x14ac:dyDescent="0.2">
      <c r="A783" s="247" t="s">
        <v>1295</v>
      </c>
      <c r="B783" s="316">
        <v>3218</v>
      </c>
      <c r="C783" s="247" t="s">
        <v>979</v>
      </c>
      <c r="D783" s="317">
        <v>42650</v>
      </c>
      <c r="E783" s="318">
        <v>0.56642361111111106</v>
      </c>
      <c r="F783" s="247" t="s">
        <v>702</v>
      </c>
      <c r="G783" s="247" t="s">
        <v>1035</v>
      </c>
      <c r="H783" s="248"/>
      <c r="I783" s="248"/>
      <c r="J783" s="247"/>
      <c r="K783" s="249"/>
      <c r="M783" s="90">
        <v>0</v>
      </c>
      <c r="N783" s="90">
        <v>0</v>
      </c>
      <c r="O783" s="90">
        <v>255</v>
      </c>
    </row>
    <row r="784" spans="1:15" s="90" customFormat="1" ht="12.75" customHeight="1" x14ac:dyDescent="0.2">
      <c r="A784" s="247" t="s">
        <v>1296</v>
      </c>
      <c r="B784" s="316">
        <v>3218</v>
      </c>
      <c r="C784" s="247" t="s">
        <v>979</v>
      </c>
      <c r="D784" s="317">
        <v>42650</v>
      </c>
      <c r="E784" s="318">
        <v>0.56642361111111106</v>
      </c>
      <c r="F784" s="247" t="s">
        <v>702</v>
      </c>
      <c r="G784" s="247" t="s">
        <v>1035</v>
      </c>
      <c r="H784" s="248"/>
      <c r="I784" s="248"/>
      <c r="J784" s="247"/>
      <c r="K784" s="249"/>
      <c r="M784" s="90">
        <v>0</v>
      </c>
      <c r="N784" s="90">
        <v>0</v>
      </c>
      <c r="O784" s="90">
        <v>255</v>
      </c>
    </row>
    <row r="785" spans="1:15" s="90" customFormat="1" ht="12.75" customHeight="1" x14ac:dyDescent="0.2">
      <c r="A785" s="247" t="s">
        <v>1297</v>
      </c>
      <c r="B785" s="316">
        <v>3218</v>
      </c>
      <c r="C785" s="247" t="s">
        <v>979</v>
      </c>
      <c r="D785" s="317">
        <v>42650</v>
      </c>
      <c r="E785" s="318">
        <v>0.56642361111111106</v>
      </c>
      <c r="F785" s="247" t="s">
        <v>702</v>
      </c>
      <c r="G785" s="247" t="s">
        <v>1035</v>
      </c>
      <c r="H785" s="248"/>
      <c r="I785" s="248"/>
      <c r="J785" s="247"/>
      <c r="K785" s="249"/>
      <c r="M785" s="90">
        <v>0</v>
      </c>
      <c r="N785" s="90">
        <v>0</v>
      </c>
      <c r="O785" s="90">
        <v>255</v>
      </c>
    </row>
    <row r="786" spans="1:15" s="90" customFormat="1" ht="12.75" customHeight="1" x14ac:dyDescent="0.2">
      <c r="A786" s="247" t="s">
        <v>1298</v>
      </c>
      <c r="B786" s="316">
        <v>3218</v>
      </c>
      <c r="C786" s="247" t="s">
        <v>979</v>
      </c>
      <c r="D786" s="317">
        <v>42650</v>
      </c>
      <c r="E786" s="318">
        <v>0.56642361111111106</v>
      </c>
      <c r="F786" s="247" t="s">
        <v>702</v>
      </c>
      <c r="G786" s="247" t="s">
        <v>1035</v>
      </c>
      <c r="H786" s="248"/>
      <c r="I786" s="248"/>
      <c r="J786" s="247"/>
      <c r="K786" s="249"/>
      <c r="M786" s="90">
        <v>0</v>
      </c>
      <c r="N786" s="90">
        <v>0</v>
      </c>
      <c r="O786" s="90">
        <v>255</v>
      </c>
    </row>
    <row r="787" spans="1:15" s="90" customFormat="1" ht="12.75" customHeight="1" x14ac:dyDescent="0.2">
      <c r="A787" s="247" t="s">
        <v>1203</v>
      </c>
      <c r="B787" s="316">
        <v>3024</v>
      </c>
      <c r="C787" s="247" t="s">
        <v>996</v>
      </c>
      <c r="D787" s="317">
        <v>42650</v>
      </c>
      <c r="E787" s="318">
        <v>0.56717592592592592</v>
      </c>
      <c r="F787" s="247" t="s">
        <v>702</v>
      </c>
      <c r="G787" s="247" t="s">
        <v>1035</v>
      </c>
      <c r="H787" s="248" t="s">
        <v>234</v>
      </c>
      <c r="I787" s="248" t="s">
        <v>702</v>
      </c>
      <c r="J787" s="247" t="s">
        <v>809</v>
      </c>
      <c r="K787" s="249">
        <v>0</v>
      </c>
      <c r="M787" s="90">
        <v>0</v>
      </c>
      <c r="N787" s="90">
        <v>0</v>
      </c>
      <c r="O787" s="90">
        <v>255</v>
      </c>
    </row>
    <row r="788" spans="1:15" s="90" customFormat="1" ht="12.75" customHeight="1" x14ac:dyDescent="0.2">
      <c r="A788" s="247" t="s">
        <v>1299</v>
      </c>
      <c r="B788" s="316">
        <v>3024</v>
      </c>
      <c r="C788" s="247" t="s">
        <v>996</v>
      </c>
      <c r="D788" s="317">
        <v>42650</v>
      </c>
      <c r="E788" s="318">
        <v>0.56717592592592592</v>
      </c>
      <c r="F788" s="247" t="s">
        <v>702</v>
      </c>
      <c r="G788" s="247" t="s">
        <v>1035</v>
      </c>
      <c r="H788" s="248" t="s">
        <v>234</v>
      </c>
      <c r="I788" s="248" t="s">
        <v>702</v>
      </c>
      <c r="J788" s="247" t="s">
        <v>809</v>
      </c>
      <c r="K788" s="249">
        <v>0</v>
      </c>
      <c r="M788" s="90">
        <v>0</v>
      </c>
      <c r="N788" s="90">
        <v>0</v>
      </c>
      <c r="O788" s="90">
        <v>255</v>
      </c>
    </row>
    <row r="789" spans="1:15" s="90" customFormat="1" ht="12.75" customHeight="1" x14ac:dyDescent="0.2">
      <c r="A789" s="247" t="s">
        <v>1300</v>
      </c>
      <c r="B789" s="316">
        <v>3024</v>
      </c>
      <c r="C789" s="247" t="s">
        <v>996</v>
      </c>
      <c r="D789" s="317">
        <v>42650</v>
      </c>
      <c r="E789" s="318">
        <v>0.56717592592592592</v>
      </c>
      <c r="F789" s="247" t="s">
        <v>702</v>
      </c>
      <c r="G789" s="247" t="s">
        <v>1035</v>
      </c>
      <c r="H789" s="248" t="s">
        <v>234</v>
      </c>
      <c r="I789" s="248" t="s">
        <v>702</v>
      </c>
      <c r="J789" s="247" t="s">
        <v>809</v>
      </c>
      <c r="K789" s="249">
        <v>0</v>
      </c>
      <c r="M789" s="90">
        <v>0</v>
      </c>
      <c r="N789" s="90">
        <v>0</v>
      </c>
      <c r="O789" s="90">
        <v>255</v>
      </c>
    </row>
    <row r="790" spans="1:15" s="90" customFormat="1" ht="12.75" customHeight="1" x14ac:dyDescent="0.2">
      <c r="A790" s="247" t="s">
        <v>1301</v>
      </c>
      <c r="B790" s="316">
        <v>3024</v>
      </c>
      <c r="C790" s="247" t="s">
        <v>996</v>
      </c>
      <c r="D790" s="317">
        <v>42650</v>
      </c>
      <c r="E790" s="318">
        <v>0.56717592592592592</v>
      </c>
      <c r="F790" s="247" t="s">
        <v>702</v>
      </c>
      <c r="G790" s="247" t="s">
        <v>1035</v>
      </c>
      <c r="H790" s="248" t="s">
        <v>234</v>
      </c>
      <c r="I790" s="248" t="s">
        <v>702</v>
      </c>
      <c r="J790" s="247" t="s">
        <v>809</v>
      </c>
      <c r="K790" s="249">
        <v>0</v>
      </c>
      <c r="M790" s="90">
        <v>0</v>
      </c>
      <c r="N790" s="90">
        <v>0</v>
      </c>
      <c r="O790" s="90">
        <v>255</v>
      </c>
    </row>
    <row r="791" spans="1:15" s="90" customFormat="1" ht="12.75" customHeight="1" x14ac:dyDescent="0.2">
      <c r="A791" s="247" t="s">
        <v>1302</v>
      </c>
      <c r="B791" s="316">
        <v>3024</v>
      </c>
      <c r="C791" s="247" t="s">
        <v>996</v>
      </c>
      <c r="D791" s="317">
        <v>42650</v>
      </c>
      <c r="E791" s="318">
        <v>0.56717592592592592</v>
      </c>
      <c r="F791" s="247" t="s">
        <v>702</v>
      </c>
      <c r="G791" s="247" t="s">
        <v>1035</v>
      </c>
      <c r="H791" s="248" t="s">
        <v>234</v>
      </c>
      <c r="I791" s="248" t="s">
        <v>702</v>
      </c>
      <c r="J791" s="247" t="s">
        <v>809</v>
      </c>
      <c r="K791" s="249">
        <v>0</v>
      </c>
      <c r="M791" s="90">
        <v>0</v>
      </c>
      <c r="N791" s="90">
        <v>0</v>
      </c>
      <c r="O791" s="90">
        <v>255</v>
      </c>
    </row>
    <row r="792" spans="1:15" s="90" customFormat="1" ht="12.75" customHeight="1" x14ac:dyDescent="0.2">
      <c r="A792" s="247" t="s">
        <v>1303</v>
      </c>
      <c r="B792" s="316">
        <v>3024</v>
      </c>
      <c r="C792" s="247" t="s">
        <v>996</v>
      </c>
      <c r="D792" s="317">
        <v>42650</v>
      </c>
      <c r="E792" s="318">
        <v>0.56717592592592592</v>
      </c>
      <c r="F792" s="247" t="s">
        <v>702</v>
      </c>
      <c r="G792" s="247" t="s">
        <v>1035</v>
      </c>
      <c r="H792" s="248" t="s">
        <v>234</v>
      </c>
      <c r="I792" s="248" t="s">
        <v>702</v>
      </c>
      <c r="J792" s="247" t="s">
        <v>809</v>
      </c>
      <c r="K792" s="249">
        <v>0</v>
      </c>
      <c r="M792" s="90">
        <v>0</v>
      </c>
      <c r="N792" s="90">
        <v>0</v>
      </c>
      <c r="O792" s="90">
        <v>255</v>
      </c>
    </row>
    <row r="793" spans="1:15" s="90" customFormat="1" ht="12.75" customHeight="1" x14ac:dyDescent="0.2">
      <c r="A793" s="247" t="s">
        <v>1304</v>
      </c>
      <c r="B793" s="316">
        <v>3024</v>
      </c>
      <c r="C793" s="247" t="s">
        <v>996</v>
      </c>
      <c r="D793" s="317">
        <v>42650</v>
      </c>
      <c r="E793" s="318">
        <v>0.56717592592592592</v>
      </c>
      <c r="F793" s="247" t="s">
        <v>702</v>
      </c>
      <c r="G793" s="247" t="s">
        <v>1035</v>
      </c>
      <c r="H793" s="248" t="s">
        <v>234</v>
      </c>
      <c r="I793" s="248" t="s">
        <v>702</v>
      </c>
      <c r="J793" s="247" t="s">
        <v>809</v>
      </c>
      <c r="K793" s="249">
        <v>0</v>
      </c>
      <c r="M793" s="90">
        <v>0</v>
      </c>
      <c r="N793" s="90">
        <v>0</v>
      </c>
      <c r="O793" s="90">
        <v>255</v>
      </c>
    </row>
    <row r="794" spans="1:15" s="90" customFormat="1" ht="12.75" customHeight="1" x14ac:dyDescent="0.2">
      <c r="A794" s="247" t="s">
        <v>1305</v>
      </c>
      <c r="B794" s="316">
        <v>3024</v>
      </c>
      <c r="C794" s="247" t="s">
        <v>996</v>
      </c>
      <c r="D794" s="317">
        <v>42650</v>
      </c>
      <c r="E794" s="318">
        <v>0.56717592592592592</v>
      </c>
      <c r="F794" s="247" t="s">
        <v>702</v>
      </c>
      <c r="G794" s="247" t="s">
        <v>1035</v>
      </c>
      <c r="H794" s="248" t="s">
        <v>234</v>
      </c>
      <c r="I794" s="248" t="s">
        <v>702</v>
      </c>
      <c r="J794" s="247" t="s">
        <v>809</v>
      </c>
      <c r="K794" s="249">
        <v>0</v>
      </c>
      <c r="M794" s="90">
        <v>0</v>
      </c>
      <c r="N794" s="90">
        <v>0</v>
      </c>
      <c r="O794" s="90">
        <v>255</v>
      </c>
    </row>
    <row r="795" spans="1:15" s="90" customFormat="1" ht="12.75" customHeight="1" x14ac:dyDescent="0.2">
      <c r="A795" s="247" t="s">
        <v>1031</v>
      </c>
      <c r="B795" s="316">
        <v>3046</v>
      </c>
      <c r="C795" s="247" t="s">
        <v>975</v>
      </c>
      <c r="D795" s="317">
        <v>42650</v>
      </c>
      <c r="E795" s="318">
        <v>0.56717592592592592</v>
      </c>
      <c r="F795" s="247" t="s">
        <v>976</v>
      </c>
      <c r="G795" s="247" t="s">
        <v>1035</v>
      </c>
      <c r="H795" s="248" t="s">
        <v>404</v>
      </c>
      <c r="I795" s="248" t="s">
        <v>404</v>
      </c>
      <c r="J795" s="247" t="s">
        <v>809</v>
      </c>
      <c r="K795" s="249">
        <v>0</v>
      </c>
      <c r="M795" s="90">
        <v>0</v>
      </c>
      <c r="N795" s="90">
        <v>0</v>
      </c>
      <c r="O795" s="90">
        <v>255</v>
      </c>
    </row>
    <row r="796" spans="1:15" s="90" customFormat="1" ht="12.75" customHeight="1" x14ac:dyDescent="0.2">
      <c r="A796" s="247" t="s">
        <v>1306</v>
      </c>
      <c r="B796" s="316">
        <v>3024</v>
      </c>
      <c r="C796" s="247" t="s">
        <v>996</v>
      </c>
      <c r="D796" s="317">
        <v>42650</v>
      </c>
      <c r="E796" s="318">
        <v>0.56718750000000007</v>
      </c>
      <c r="F796" s="247" t="s">
        <v>702</v>
      </c>
      <c r="G796" s="247" t="s">
        <v>1035</v>
      </c>
      <c r="H796" s="248" t="s">
        <v>234</v>
      </c>
      <c r="I796" s="248" t="s">
        <v>702</v>
      </c>
      <c r="J796" s="247" t="s">
        <v>809</v>
      </c>
      <c r="K796" s="249">
        <v>0</v>
      </c>
      <c r="M796" s="90">
        <v>0</v>
      </c>
      <c r="N796" s="90">
        <v>0</v>
      </c>
      <c r="O796" s="90">
        <v>255</v>
      </c>
    </row>
    <row r="797" spans="1:15" s="90" customFormat="1" ht="12.75" customHeight="1" x14ac:dyDescent="0.2">
      <c r="A797" s="247" t="s">
        <v>613</v>
      </c>
      <c r="B797" s="316">
        <v>4035</v>
      </c>
      <c r="C797" s="247" t="s">
        <v>996</v>
      </c>
      <c r="D797" s="317">
        <v>42650</v>
      </c>
      <c r="E797" s="318">
        <v>0.56751157407407404</v>
      </c>
      <c r="F797" s="247" t="s">
        <v>702</v>
      </c>
      <c r="G797" s="247" t="s">
        <v>1035</v>
      </c>
      <c r="H797" s="248" t="s">
        <v>860</v>
      </c>
      <c r="I797" s="248" t="s">
        <v>40</v>
      </c>
      <c r="J797" s="247" t="s">
        <v>809</v>
      </c>
      <c r="K797" s="249">
        <v>0</v>
      </c>
      <c r="L797" s="90" t="s">
        <v>1775</v>
      </c>
      <c r="M797" s="90">
        <v>258</v>
      </c>
      <c r="N797" s="90">
        <v>1</v>
      </c>
      <c r="O797" s="90">
        <v>0</v>
      </c>
    </row>
    <row r="798" spans="1:15" s="90" customFormat="1" ht="12.75" customHeight="1" x14ac:dyDescent="0.2">
      <c r="A798" s="247" t="s">
        <v>1190</v>
      </c>
      <c r="B798" s="316">
        <v>3001</v>
      </c>
      <c r="C798" s="247" t="s">
        <v>996</v>
      </c>
      <c r="D798" s="317">
        <v>42650</v>
      </c>
      <c r="E798" s="318">
        <v>0.57664351851851847</v>
      </c>
      <c r="F798" s="247" t="s">
        <v>702</v>
      </c>
      <c r="G798" s="247" t="s">
        <v>1035</v>
      </c>
      <c r="H798" s="248" t="s">
        <v>121</v>
      </c>
      <c r="I798" s="248" t="s">
        <v>122</v>
      </c>
      <c r="J798" s="247" t="s">
        <v>809</v>
      </c>
      <c r="K798" s="249">
        <v>0</v>
      </c>
      <c r="M798" s="90">
        <v>0</v>
      </c>
      <c r="N798" s="90">
        <v>0</v>
      </c>
      <c r="O798" s="90">
        <v>255</v>
      </c>
    </row>
    <row r="799" spans="1:15" s="90" customFormat="1" ht="12.75" customHeight="1" x14ac:dyDescent="0.2">
      <c r="A799" s="247" t="s">
        <v>1189</v>
      </c>
      <c r="B799" s="316">
        <v>3001</v>
      </c>
      <c r="C799" s="247" t="s">
        <v>996</v>
      </c>
      <c r="D799" s="317">
        <v>42650</v>
      </c>
      <c r="E799" s="318">
        <v>0.57674768518518515</v>
      </c>
      <c r="F799" s="247" t="s">
        <v>702</v>
      </c>
      <c r="G799" s="247" t="s">
        <v>1035</v>
      </c>
      <c r="H799" s="248" t="s">
        <v>121</v>
      </c>
      <c r="I799" s="248" t="s">
        <v>122</v>
      </c>
      <c r="J799" s="247" t="s">
        <v>809</v>
      </c>
      <c r="K799" s="249">
        <v>0</v>
      </c>
      <c r="M799" s="90">
        <v>0</v>
      </c>
      <c r="N799" s="90">
        <v>0</v>
      </c>
      <c r="O799" s="90">
        <v>255</v>
      </c>
    </row>
    <row r="800" spans="1:15" s="90" customFormat="1" ht="12.75" customHeight="1" x14ac:dyDescent="0.2">
      <c r="A800" s="247" t="s">
        <v>1108</v>
      </c>
      <c r="B800" s="316">
        <v>2055</v>
      </c>
      <c r="C800" s="247" t="s">
        <v>979</v>
      </c>
      <c r="D800" s="317">
        <v>42650</v>
      </c>
      <c r="E800" s="318">
        <v>0.57951388888888888</v>
      </c>
      <c r="F800" s="247" t="s">
        <v>702</v>
      </c>
      <c r="G800" s="247" t="s">
        <v>1035</v>
      </c>
      <c r="H800" s="248" t="s">
        <v>121</v>
      </c>
      <c r="I800" s="248" t="s">
        <v>122</v>
      </c>
      <c r="J800" s="247" t="s">
        <v>809</v>
      </c>
      <c r="K800" s="249">
        <v>0</v>
      </c>
      <c r="L800" s="90" t="s">
        <v>1777</v>
      </c>
      <c r="M800" s="90">
        <v>1118</v>
      </c>
      <c r="N800" s="90">
        <v>4</v>
      </c>
      <c r="O800" s="90">
        <v>0</v>
      </c>
    </row>
    <row r="801" spans="1:15" s="90" customFormat="1" ht="12.75" customHeight="1" x14ac:dyDescent="0.2">
      <c r="A801" s="247" t="s">
        <v>1307</v>
      </c>
      <c r="B801" s="316">
        <v>3088</v>
      </c>
      <c r="C801" s="247" t="s">
        <v>979</v>
      </c>
      <c r="D801" s="317">
        <v>42650</v>
      </c>
      <c r="E801" s="318">
        <v>0.58337962962962964</v>
      </c>
      <c r="F801" s="247" t="s">
        <v>656</v>
      </c>
      <c r="G801" s="247" t="s">
        <v>1035</v>
      </c>
      <c r="H801" s="248" t="s">
        <v>234</v>
      </c>
      <c r="I801" s="248" t="s">
        <v>702</v>
      </c>
      <c r="J801" s="247" t="s">
        <v>809</v>
      </c>
      <c r="K801" s="249">
        <v>0</v>
      </c>
      <c r="M801" s="90">
        <v>0</v>
      </c>
      <c r="N801" s="90">
        <v>0</v>
      </c>
      <c r="O801" s="90">
        <v>255</v>
      </c>
    </row>
    <row r="802" spans="1:15" s="90" customFormat="1" ht="12.75" customHeight="1" x14ac:dyDescent="0.2">
      <c r="A802" s="247" t="s">
        <v>1308</v>
      </c>
      <c r="B802" s="316">
        <v>3088</v>
      </c>
      <c r="C802" s="247" t="s">
        <v>979</v>
      </c>
      <c r="D802" s="317">
        <v>42650</v>
      </c>
      <c r="E802" s="318">
        <v>0.58347222222222228</v>
      </c>
      <c r="F802" s="247" t="s">
        <v>656</v>
      </c>
      <c r="G802" s="247" t="s">
        <v>1035</v>
      </c>
      <c r="H802" s="248" t="s">
        <v>234</v>
      </c>
      <c r="I802" s="248" t="s">
        <v>702</v>
      </c>
      <c r="J802" s="247" t="s">
        <v>809</v>
      </c>
      <c r="K802" s="249">
        <v>0</v>
      </c>
      <c r="M802" s="90">
        <v>0</v>
      </c>
      <c r="N802" s="90">
        <v>0</v>
      </c>
      <c r="O802" s="90">
        <v>255</v>
      </c>
    </row>
    <row r="803" spans="1:15" s="90" customFormat="1" ht="12.75" customHeight="1" x14ac:dyDescent="0.2">
      <c r="A803" s="247" t="s">
        <v>1202</v>
      </c>
      <c r="B803" s="316">
        <v>3001</v>
      </c>
      <c r="C803" s="247" t="s">
        <v>996</v>
      </c>
      <c r="D803" s="317">
        <v>42650</v>
      </c>
      <c r="E803" s="318">
        <v>0.5836689814814815</v>
      </c>
      <c r="F803" s="247" t="s">
        <v>702</v>
      </c>
      <c r="G803" s="247" t="s">
        <v>1035</v>
      </c>
      <c r="H803" s="248" t="s">
        <v>121</v>
      </c>
      <c r="I803" s="248" t="s">
        <v>122</v>
      </c>
      <c r="J803" s="247" t="s">
        <v>809</v>
      </c>
      <c r="K803" s="249">
        <v>0</v>
      </c>
      <c r="M803" s="90">
        <v>0</v>
      </c>
      <c r="N803" s="90">
        <v>0</v>
      </c>
      <c r="O803" s="90">
        <v>255</v>
      </c>
    </row>
    <row r="804" spans="1:15" s="90" customFormat="1" ht="12.75" customHeight="1" x14ac:dyDescent="0.2">
      <c r="A804" s="247" t="s">
        <v>1204</v>
      </c>
      <c r="B804" s="316">
        <v>2083</v>
      </c>
      <c r="C804" s="247" t="s">
        <v>979</v>
      </c>
      <c r="D804" s="317">
        <v>42650</v>
      </c>
      <c r="E804" s="318">
        <v>0.58391203703703709</v>
      </c>
      <c r="F804" s="247" t="s">
        <v>702</v>
      </c>
      <c r="G804" s="247" t="s">
        <v>1035</v>
      </c>
      <c r="H804" s="248" t="s">
        <v>121</v>
      </c>
      <c r="I804" s="248" t="s">
        <v>122</v>
      </c>
      <c r="J804" s="247" t="s">
        <v>809</v>
      </c>
      <c r="K804" s="249">
        <v>0</v>
      </c>
      <c r="M804" s="90">
        <v>0</v>
      </c>
      <c r="N804" s="90">
        <v>0</v>
      </c>
      <c r="O804" s="90">
        <v>255</v>
      </c>
    </row>
    <row r="805" spans="1:15" s="90" customFormat="1" ht="12.75" customHeight="1" x14ac:dyDescent="0.2">
      <c r="A805" s="247" t="s">
        <v>1032</v>
      </c>
      <c r="B805" s="316">
        <v>3046</v>
      </c>
      <c r="C805" s="247" t="s">
        <v>975</v>
      </c>
      <c r="D805" s="317">
        <v>42650</v>
      </c>
      <c r="E805" s="318">
        <v>0.59094907407407404</v>
      </c>
      <c r="F805" s="247" t="s">
        <v>976</v>
      </c>
      <c r="G805" s="247" t="s">
        <v>1035</v>
      </c>
      <c r="H805" s="248" t="s">
        <v>404</v>
      </c>
      <c r="I805" s="248" t="s">
        <v>404</v>
      </c>
      <c r="J805" s="247" t="s">
        <v>809</v>
      </c>
      <c r="K805" s="249">
        <v>0</v>
      </c>
      <c r="M805" s="90">
        <v>0</v>
      </c>
      <c r="N805" s="90">
        <v>0</v>
      </c>
      <c r="O805" s="90">
        <v>255</v>
      </c>
    </row>
    <row r="806" spans="1:15" s="90" customFormat="1" ht="12.75" customHeight="1" x14ac:dyDescent="0.2">
      <c r="A806" s="247" t="s">
        <v>989</v>
      </c>
      <c r="B806" s="316">
        <v>3046</v>
      </c>
      <c r="C806" s="247" t="s">
        <v>975</v>
      </c>
      <c r="D806" s="317">
        <v>42650</v>
      </c>
      <c r="E806" s="318">
        <v>0.59094907407407404</v>
      </c>
      <c r="F806" s="247" t="s">
        <v>976</v>
      </c>
      <c r="G806" s="247" t="s">
        <v>1035</v>
      </c>
      <c r="H806" s="248" t="s">
        <v>404</v>
      </c>
      <c r="I806" s="248" t="s">
        <v>404</v>
      </c>
      <c r="J806" s="247" t="s">
        <v>809</v>
      </c>
      <c r="K806" s="249">
        <v>0</v>
      </c>
      <c r="M806" s="90">
        <v>0</v>
      </c>
      <c r="N806" s="90">
        <v>0</v>
      </c>
      <c r="O806" s="90">
        <v>255</v>
      </c>
    </row>
    <row r="807" spans="1:15" s="90" customFormat="1" ht="12.75" customHeight="1" x14ac:dyDescent="0.2">
      <c r="A807" s="247" t="s">
        <v>990</v>
      </c>
      <c r="B807" s="316">
        <v>3046</v>
      </c>
      <c r="C807" s="247" t="s">
        <v>975</v>
      </c>
      <c r="D807" s="317">
        <v>42650</v>
      </c>
      <c r="E807" s="318">
        <v>0.59127314814814813</v>
      </c>
      <c r="F807" s="247" t="s">
        <v>976</v>
      </c>
      <c r="G807" s="247" t="s">
        <v>1035</v>
      </c>
      <c r="H807" s="248" t="s">
        <v>404</v>
      </c>
      <c r="I807" s="248" t="s">
        <v>404</v>
      </c>
      <c r="J807" s="247" t="s">
        <v>809</v>
      </c>
      <c r="K807" s="249">
        <v>0</v>
      </c>
      <c r="M807" s="90">
        <v>0</v>
      </c>
      <c r="N807" s="90">
        <v>0</v>
      </c>
      <c r="O807" s="90">
        <v>255</v>
      </c>
    </row>
    <row r="808" spans="1:15" s="90" customFormat="1" ht="12.75" customHeight="1" x14ac:dyDescent="0.2">
      <c r="A808" s="247" t="s">
        <v>1033</v>
      </c>
      <c r="B808" s="316">
        <v>3217</v>
      </c>
      <c r="C808" s="247" t="s">
        <v>975</v>
      </c>
      <c r="D808" s="317">
        <v>42650</v>
      </c>
      <c r="E808" s="318">
        <v>0.59127314814814813</v>
      </c>
      <c r="F808" s="247" t="s">
        <v>235</v>
      </c>
      <c r="G808" s="247" t="s">
        <v>1035</v>
      </c>
      <c r="H808" s="248" t="s">
        <v>234</v>
      </c>
      <c r="I808" s="248" t="s">
        <v>235</v>
      </c>
      <c r="J808" s="247" t="s">
        <v>809</v>
      </c>
      <c r="K808" s="249">
        <v>0</v>
      </c>
      <c r="M808" s="90">
        <v>0</v>
      </c>
      <c r="N808" s="90">
        <v>0</v>
      </c>
      <c r="O808" s="90">
        <v>255</v>
      </c>
    </row>
    <row r="809" spans="1:15" s="90" customFormat="1" ht="12.75" customHeight="1" x14ac:dyDescent="0.2">
      <c r="A809" s="247" t="s">
        <v>1204</v>
      </c>
      <c r="B809" s="316">
        <v>2083</v>
      </c>
      <c r="C809" s="247" t="s">
        <v>979</v>
      </c>
      <c r="D809" s="317">
        <v>42650</v>
      </c>
      <c r="E809" s="318">
        <v>0.59222222222222221</v>
      </c>
      <c r="F809" s="247" t="s">
        <v>702</v>
      </c>
      <c r="G809" s="247" t="s">
        <v>1035</v>
      </c>
      <c r="H809" s="248" t="s">
        <v>121</v>
      </c>
      <c r="I809" s="248" t="s">
        <v>122</v>
      </c>
      <c r="J809" s="247" t="s">
        <v>809</v>
      </c>
      <c r="K809" s="249">
        <v>0</v>
      </c>
      <c r="M809" s="90">
        <v>0</v>
      </c>
      <c r="N809" s="90">
        <v>0</v>
      </c>
      <c r="O809" s="90">
        <v>255</v>
      </c>
    </row>
    <row r="810" spans="1:15" s="90" customFormat="1" ht="12.75" customHeight="1" x14ac:dyDescent="0.2">
      <c r="A810" s="247" t="s">
        <v>1031</v>
      </c>
      <c r="B810" s="316">
        <v>3046</v>
      </c>
      <c r="C810" s="247" t="s">
        <v>975</v>
      </c>
      <c r="D810" s="317">
        <v>42650</v>
      </c>
      <c r="E810" s="318">
        <v>0.59282407407407411</v>
      </c>
      <c r="F810" s="247" t="s">
        <v>976</v>
      </c>
      <c r="G810" s="247" t="s">
        <v>1035</v>
      </c>
      <c r="H810" s="248" t="s">
        <v>404</v>
      </c>
      <c r="I810" s="248" t="s">
        <v>404</v>
      </c>
      <c r="J810" s="247" t="s">
        <v>809</v>
      </c>
      <c r="K810" s="249">
        <v>0</v>
      </c>
      <c r="M810" s="90">
        <v>0</v>
      </c>
      <c r="N810" s="90">
        <v>0</v>
      </c>
      <c r="O810" s="90">
        <v>255</v>
      </c>
    </row>
    <row r="811" spans="1:15" s="90" customFormat="1" ht="12.75" customHeight="1" x14ac:dyDescent="0.2">
      <c r="A811" s="247" t="s">
        <v>1309</v>
      </c>
      <c r="B811" s="316">
        <v>3187</v>
      </c>
      <c r="C811" s="247" t="s">
        <v>996</v>
      </c>
      <c r="D811" s="317">
        <v>42650</v>
      </c>
      <c r="E811" s="318">
        <v>0.59283564814814815</v>
      </c>
      <c r="F811" s="247" t="s">
        <v>702</v>
      </c>
      <c r="G811" s="247" t="s">
        <v>1035</v>
      </c>
      <c r="H811" s="248" t="s">
        <v>234</v>
      </c>
      <c r="I811" s="248" t="s">
        <v>702</v>
      </c>
      <c r="J811" s="247" t="s">
        <v>809</v>
      </c>
      <c r="K811" s="249">
        <v>0</v>
      </c>
      <c r="M811" s="90">
        <v>0</v>
      </c>
      <c r="N811" s="90">
        <v>0</v>
      </c>
      <c r="O811" s="90">
        <v>255</v>
      </c>
    </row>
    <row r="812" spans="1:15" s="90" customFormat="1" ht="12.75" customHeight="1" x14ac:dyDescent="0.2">
      <c r="A812" s="247" t="s">
        <v>1032</v>
      </c>
      <c r="B812" s="316">
        <v>3046</v>
      </c>
      <c r="C812" s="247" t="s">
        <v>975</v>
      </c>
      <c r="D812" s="317">
        <v>42650</v>
      </c>
      <c r="E812" s="318">
        <v>0.59291666666666665</v>
      </c>
      <c r="F812" s="247" t="s">
        <v>976</v>
      </c>
      <c r="G812" s="247" t="s">
        <v>1035</v>
      </c>
      <c r="H812" s="248" t="s">
        <v>404</v>
      </c>
      <c r="I812" s="248" t="s">
        <v>404</v>
      </c>
      <c r="J812" s="247" t="s">
        <v>809</v>
      </c>
      <c r="K812" s="249">
        <v>0</v>
      </c>
      <c r="M812" s="90">
        <v>0</v>
      </c>
      <c r="N812" s="90">
        <v>0</v>
      </c>
      <c r="O812" s="90">
        <v>255</v>
      </c>
    </row>
    <row r="813" spans="1:15" s="90" customFormat="1" ht="12.75" customHeight="1" x14ac:dyDescent="0.2">
      <c r="A813" s="247" t="s">
        <v>1031</v>
      </c>
      <c r="B813" s="316">
        <v>3046</v>
      </c>
      <c r="C813" s="247" t="s">
        <v>975</v>
      </c>
      <c r="D813" s="317">
        <v>42650</v>
      </c>
      <c r="E813" s="318">
        <v>0.59363425925925928</v>
      </c>
      <c r="F813" s="247" t="s">
        <v>976</v>
      </c>
      <c r="G813" s="247" t="s">
        <v>1035</v>
      </c>
      <c r="H813" s="248" t="s">
        <v>404</v>
      </c>
      <c r="I813" s="248" t="s">
        <v>404</v>
      </c>
      <c r="J813" s="247" t="s">
        <v>809</v>
      </c>
      <c r="K813" s="249">
        <v>0</v>
      </c>
      <c r="M813" s="90">
        <v>0</v>
      </c>
      <c r="N813" s="90">
        <v>0</v>
      </c>
      <c r="O813" s="90">
        <v>255</v>
      </c>
    </row>
    <row r="814" spans="1:15" s="90" customFormat="1" ht="12.75" customHeight="1" x14ac:dyDescent="0.2">
      <c r="A814" s="247" t="s">
        <v>1032</v>
      </c>
      <c r="B814" s="316">
        <v>3046</v>
      </c>
      <c r="C814" s="247" t="s">
        <v>975</v>
      </c>
      <c r="D814" s="317">
        <v>42650</v>
      </c>
      <c r="E814" s="318">
        <v>0.59870370370370374</v>
      </c>
      <c r="F814" s="247" t="s">
        <v>976</v>
      </c>
      <c r="G814" s="247" t="s">
        <v>1035</v>
      </c>
      <c r="H814" s="248" t="s">
        <v>404</v>
      </c>
      <c r="I814" s="248" t="s">
        <v>404</v>
      </c>
      <c r="J814" s="247" t="s">
        <v>809</v>
      </c>
      <c r="K814" s="249">
        <v>0</v>
      </c>
      <c r="M814" s="90">
        <v>0</v>
      </c>
      <c r="N814" s="90">
        <v>0</v>
      </c>
      <c r="O814" s="90">
        <v>255</v>
      </c>
    </row>
    <row r="815" spans="1:15" s="90" customFormat="1" ht="12.75" customHeight="1" x14ac:dyDescent="0.2">
      <c r="A815" s="247" t="s">
        <v>989</v>
      </c>
      <c r="B815" s="316">
        <v>3046</v>
      </c>
      <c r="C815" s="247" t="s">
        <v>975</v>
      </c>
      <c r="D815" s="317">
        <v>42650</v>
      </c>
      <c r="E815" s="318">
        <v>0.59870370370370374</v>
      </c>
      <c r="F815" s="247" t="s">
        <v>976</v>
      </c>
      <c r="G815" s="247" t="s">
        <v>1035</v>
      </c>
      <c r="H815" s="248" t="s">
        <v>404</v>
      </c>
      <c r="I815" s="248" t="s">
        <v>404</v>
      </c>
      <c r="J815" s="247" t="s">
        <v>809</v>
      </c>
      <c r="K815" s="249">
        <v>0</v>
      </c>
      <c r="M815" s="90">
        <v>0</v>
      </c>
      <c r="N815" s="90">
        <v>0</v>
      </c>
      <c r="O815" s="90">
        <v>255</v>
      </c>
    </row>
    <row r="816" spans="1:15" s="90" customFormat="1" ht="12.75" customHeight="1" x14ac:dyDescent="0.2">
      <c r="A816" s="247" t="s">
        <v>990</v>
      </c>
      <c r="B816" s="316">
        <v>3046</v>
      </c>
      <c r="C816" s="247" t="s">
        <v>975</v>
      </c>
      <c r="D816" s="317">
        <v>42650</v>
      </c>
      <c r="E816" s="318">
        <v>0.59899305555555549</v>
      </c>
      <c r="F816" s="247" t="s">
        <v>976</v>
      </c>
      <c r="G816" s="247" t="s">
        <v>1035</v>
      </c>
      <c r="H816" s="248" t="s">
        <v>404</v>
      </c>
      <c r="I816" s="248" t="s">
        <v>404</v>
      </c>
      <c r="J816" s="247" t="s">
        <v>809</v>
      </c>
      <c r="K816" s="249">
        <v>0</v>
      </c>
      <c r="M816" s="90">
        <v>0</v>
      </c>
      <c r="N816" s="90">
        <v>0</v>
      </c>
      <c r="O816" s="90">
        <v>255</v>
      </c>
    </row>
    <row r="817" spans="1:15" s="90" customFormat="1" ht="12.75" customHeight="1" x14ac:dyDescent="0.2">
      <c r="A817" s="247" t="s">
        <v>1033</v>
      </c>
      <c r="B817" s="316">
        <v>3217</v>
      </c>
      <c r="C817" s="247" t="s">
        <v>975</v>
      </c>
      <c r="D817" s="317">
        <v>42650</v>
      </c>
      <c r="E817" s="318">
        <v>0.59899305555555549</v>
      </c>
      <c r="F817" s="247" t="s">
        <v>235</v>
      </c>
      <c r="G817" s="247" t="s">
        <v>1035</v>
      </c>
      <c r="H817" s="248" t="s">
        <v>234</v>
      </c>
      <c r="I817" s="248" t="s">
        <v>235</v>
      </c>
      <c r="J817" s="247" t="s">
        <v>809</v>
      </c>
      <c r="K817" s="249">
        <v>0</v>
      </c>
      <c r="M817" s="90">
        <v>0</v>
      </c>
      <c r="N817" s="90">
        <v>0</v>
      </c>
      <c r="O817" s="90">
        <v>255</v>
      </c>
    </row>
    <row r="818" spans="1:15" s="90" customFormat="1" ht="12.75" customHeight="1" x14ac:dyDescent="0.2">
      <c r="A818" s="247" t="s">
        <v>1088</v>
      </c>
      <c r="B818" s="316">
        <v>3046</v>
      </c>
      <c r="C818" s="247" t="s">
        <v>975</v>
      </c>
      <c r="D818" s="317">
        <v>42650</v>
      </c>
      <c r="E818" s="318">
        <v>0.61596064814814822</v>
      </c>
      <c r="F818" s="247" t="s">
        <v>976</v>
      </c>
      <c r="G818" s="247" t="s">
        <v>1035</v>
      </c>
      <c r="H818" s="248" t="s">
        <v>404</v>
      </c>
      <c r="I818" s="248" t="s">
        <v>404</v>
      </c>
      <c r="J818" s="247" t="s">
        <v>809</v>
      </c>
      <c r="K818" s="249">
        <v>0</v>
      </c>
      <c r="M818" s="90">
        <v>0</v>
      </c>
      <c r="N818" s="90">
        <v>0</v>
      </c>
      <c r="O818" s="90">
        <v>255</v>
      </c>
    </row>
    <row r="819" spans="1:15" s="90" customFormat="1" ht="12.75" customHeight="1" x14ac:dyDescent="0.2">
      <c r="A819" s="247" t="s">
        <v>1037</v>
      </c>
      <c r="B819" s="316">
        <v>3108</v>
      </c>
      <c r="C819" s="247" t="s">
        <v>975</v>
      </c>
      <c r="D819" s="317">
        <v>42650</v>
      </c>
      <c r="E819" s="318">
        <v>0.61658564814814809</v>
      </c>
      <c r="F819" s="247" t="s">
        <v>978</v>
      </c>
      <c r="G819" s="247" t="s">
        <v>1035</v>
      </c>
      <c r="H819" s="248" t="s">
        <v>234</v>
      </c>
      <c r="I819" s="248" t="s">
        <v>677</v>
      </c>
      <c r="J819" s="247" t="s">
        <v>809</v>
      </c>
      <c r="K819" s="249">
        <v>0</v>
      </c>
      <c r="M819" s="90">
        <v>0</v>
      </c>
      <c r="N819" s="90">
        <v>0</v>
      </c>
      <c r="O819" s="90">
        <v>255</v>
      </c>
    </row>
    <row r="820" spans="1:15" s="90" customFormat="1" ht="12.75" customHeight="1" x14ac:dyDescent="0.2">
      <c r="A820" s="247" t="s">
        <v>1089</v>
      </c>
      <c r="B820" s="316">
        <v>3046</v>
      </c>
      <c r="C820" s="247" t="s">
        <v>975</v>
      </c>
      <c r="D820" s="317">
        <v>42650</v>
      </c>
      <c r="E820" s="318">
        <v>0.62061342592592594</v>
      </c>
      <c r="F820" s="247" t="s">
        <v>976</v>
      </c>
      <c r="G820" s="247"/>
      <c r="H820" s="248" t="s">
        <v>404</v>
      </c>
      <c r="I820" s="248" t="s">
        <v>404</v>
      </c>
      <c r="J820" s="247" t="s">
        <v>809</v>
      </c>
      <c r="K820" s="249">
        <v>0</v>
      </c>
      <c r="M820" s="90">
        <v>0</v>
      </c>
      <c r="N820" s="90">
        <v>0</v>
      </c>
      <c r="O820" s="90">
        <v>255</v>
      </c>
    </row>
    <row r="821" spans="1:15" s="90" customFormat="1" ht="12.75" customHeight="1" x14ac:dyDescent="0.2">
      <c r="A821" s="247" t="s">
        <v>493</v>
      </c>
      <c r="B821" s="316">
        <v>4059</v>
      </c>
      <c r="C821" s="247" t="s">
        <v>979</v>
      </c>
      <c r="D821" s="317">
        <v>42650</v>
      </c>
      <c r="E821" s="318">
        <v>0.62061342592592594</v>
      </c>
      <c r="F821" s="247" t="s">
        <v>980</v>
      </c>
      <c r="G821" s="247"/>
      <c r="H821" s="248" t="s">
        <v>234</v>
      </c>
      <c r="I821" s="248" t="s">
        <v>494</v>
      </c>
      <c r="J821" s="247" t="s">
        <v>809</v>
      </c>
      <c r="K821" s="249">
        <v>0</v>
      </c>
      <c r="M821" s="90">
        <v>0</v>
      </c>
      <c r="N821" s="90">
        <v>0</v>
      </c>
      <c r="O821" s="90">
        <v>255</v>
      </c>
    </row>
    <row r="822" spans="1:15" s="90" customFormat="1" ht="12.75" customHeight="1" x14ac:dyDescent="0.2">
      <c r="A822" s="247" t="s">
        <v>1034</v>
      </c>
      <c r="B822" s="316">
        <v>3106</v>
      </c>
      <c r="C822" s="247" t="s">
        <v>975</v>
      </c>
      <c r="D822" s="317">
        <v>42650</v>
      </c>
      <c r="E822" s="318">
        <v>0.6207407407407407</v>
      </c>
      <c r="F822" s="247" t="s">
        <v>978</v>
      </c>
      <c r="G822" s="247" t="s">
        <v>1035</v>
      </c>
      <c r="H822" s="248" t="s">
        <v>234</v>
      </c>
      <c r="I822" s="248" t="s">
        <v>677</v>
      </c>
      <c r="J822" s="247" t="s">
        <v>809</v>
      </c>
      <c r="K822" s="249">
        <v>0</v>
      </c>
      <c r="M822" s="90">
        <v>0</v>
      </c>
      <c r="N822" s="90">
        <v>0</v>
      </c>
      <c r="O822" s="90">
        <v>255</v>
      </c>
    </row>
    <row r="823" spans="1:15" s="90" customFormat="1" ht="12.75" customHeight="1" x14ac:dyDescent="0.2">
      <c r="A823" s="247" t="s">
        <v>977</v>
      </c>
      <c r="B823" s="316">
        <v>3046</v>
      </c>
      <c r="C823" s="247" t="s">
        <v>975</v>
      </c>
      <c r="D823" s="317">
        <v>42650</v>
      </c>
      <c r="E823" s="318">
        <v>0.62081018518518516</v>
      </c>
      <c r="F823" s="247" t="s">
        <v>976</v>
      </c>
      <c r="G823" s="247" t="s">
        <v>1035</v>
      </c>
      <c r="H823" s="248" t="s">
        <v>404</v>
      </c>
      <c r="I823" s="248" t="s">
        <v>404</v>
      </c>
      <c r="J823" s="247" t="s">
        <v>809</v>
      </c>
      <c r="K823" s="249">
        <v>0</v>
      </c>
      <c r="M823" s="90">
        <v>0</v>
      </c>
      <c r="N823" s="90">
        <v>0</v>
      </c>
      <c r="O823" s="90">
        <v>255</v>
      </c>
    </row>
    <row r="824" spans="1:15" s="90" customFormat="1" ht="12.75" customHeight="1" x14ac:dyDescent="0.2">
      <c r="A824" s="247" t="s">
        <v>983</v>
      </c>
      <c r="B824" s="316">
        <v>3046</v>
      </c>
      <c r="C824" s="247" t="s">
        <v>975</v>
      </c>
      <c r="D824" s="317">
        <v>42650</v>
      </c>
      <c r="E824" s="318">
        <v>0.62135416666666665</v>
      </c>
      <c r="F824" s="247" t="s">
        <v>976</v>
      </c>
      <c r="G824" s="247" t="s">
        <v>1035</v>
      </c>
      <c r="H824" s="248" t="s">
        <v>404</v>
      </c>
      <c r="I824" s="248" t="s">
        <v>404</v>
      </c>
      <c r="J824" s="247" t="s">
        <v>809</v>
      </c>
      <c r="K824" s="249">
        <v>0</v>
      </c>
      <c r="M824" s="90">
        <v>0</v>
      </c>
      <c r="N824" s="90">
        <v>0</v>
      </c>
      <c r="O824" s="90">
        <v>255</v>
      </c>
    </row>
    <row r="825" spans="1:15" s="90" customFormat="1" ht="12.75" customHeight="1" x14ac:dyDescent="0.2">
      <c r="A825" s="247" t="s">
        <v>1189</v>
      </c>
      <c r="B825" s="316">
        <v>3001</v>
      </c>
      <c r="C825" s="247" t="s">
        <v>996</v>
      </c>
      <c r="D825" s="317">
        <v>42650</v>
      </c>
      <c r="E825" s="318">
        <v>0.62137731481481484</v>
      </c>
      <c r="F825" s="247" t="s">
        <v>702</v>
      </c>
      <c r="G825" s="247" t="s">
        <v>1035</v>
      </c>
      <c r="H825" s="248" t="s">
        <v>121</v>
      </c>
      <c r="I825" s="248" t="s">
        <v>122</v>
      </c>
      <c r="J825" s="247" t="s">
        <v>809</v>
      </c>
      <c r="K825" s="249">
        <v>0</v>
      </c>
      <c r="M825" s="90">
        <v>0</v>
      </c>
      <c r="N825" s="90">
        <v>0</v>
      </c>
      <c r="O825" s="90">
        <v>255</v>
      </c>
    </row>
    <row r="826" spans="1:15" s="90" customFormat="1" ht="12.75" customHeight="1" x14ac:dyDescent="0.2">
      <c r="A826" s="247" t="s">
        <v>1266</v>
      </c>
      <c r="B826" s="316">
        <v>3001</v>
      </c>
      <c r="C826" s="247" t="s">
        <v>996</v>
      </c>
      <c r="D826" s="317">
        <v>42650</v>
      </c>
      <c r="E826" s="318">
        <v>0.62137731481481484</v>
      </c>
      <c r="F826" s="247" t="s">
        <v>702</v>
      </c>
      <c r="G826" s="247" t="s">
        <v>1035</v>
      </c>
      <c r="H826" s="248" t="s">
        <v>121</v>
      </c>
      <c r="I826" s="248" t="s">
        <v>122</v>
      </c>
      <c r="J826" s="247" t="s">
        <v>809</v>
      </c>
      <c r="K826" s="249">
        <v>0</v>
      </c>
      <c r="M826" s="90">
        <v>0</v>
      </c>
      <c r="N826" s="90">
        <v>0</v>
      </c>
      <c r="O826" s="90">
        <v>255</v>
      </c>
    </row>
    <row r="827" spans="1:15" s="90" customFormat="1" ht="12.75" customHeight="1" x14ac:dyDescent="0.2">
      <c r="A827" s="247" t="s">
        <v>1190</v>
      </c>
      <c r="B827" s="316">
        <v>3001</v>
      </c>
      <c r="C827" s="247" t="s">
        <v>996</v>
      </c>
      <c r="D827" s="317">
        <v>42650</v>
      </c>
      <c r="E827" s="318">
        <v>0.62137731481481484</v>
      </c>
      <c r="F827" s="247" t="s">
        <v>702</v>
      </c>
      <c r="G827" s="247" t="s">
        <v>1035</v>
      </c>
      <c r="H827" s="248" t="s">
        <v>121</v>
      </c>
      <c r="I827" s="248" t="s">
        <v>122</v>
      </c>
      <c r="J827" s="247" t="s">
        <v>809</v>
      </c>
      <c r="K827" s="249">
        <v>0</v>
      </c>
      <c r="M827" s="90">
        <v>0</v>
      </c>
      <c r="N827" s="90">
        <v>0</v>
      </c>
      <c r="O827" s="90">
        <v>255</v>
      </c>
    </row>
    <row r="828" spans="1:15" s="90" customFormat="1" ht="12.75" customHeight="1" x14ac:dyDescent="0.2">
      <c r="A828" s="247" t="s">
        <v>991</v>
      </c>
      <c r="B828" s="316">
        <v>3046</v>
      </c>
      <c r="C828" s="247" t="s">
        <v>975</v>
      </c>
      <c r="D828" s="317">
        <v>42650</v>
      </c>
      <c r="E828" s="318">
        <v>0.62146990740740737</v>
      </c>
      <c r="F828" s="247" t="s">
        <v>976</v>
      </c>
      <c r="G828" s="247" t="s">
        <v>1035</v>
      </c>
      <c r="H828" s="248" t="s">
        <v>404</v>
      </c>
      <c r="I828" s="248" t="s">
        <v>404</v>
      </c>
      <c r="J828" s="247" t="s">
        <v>809</v>
      </c>
      <c r="K828" s="249">
        <v>0</v>
      </c>
      <c r="M828" s="90">
        <v>0</v>
      </c>
      <c r="N828" s="90">
        <v>0</v>
      </c>
      <c r="O828" s="90">
        <v>255</v>
      </c>
    </row>
    <row r="829" spans="1:15" s="90" customFormat="1" ht="12.75" customHeight="1" x14ac:dyDescent="0.2">
      <c r="A829" s="247" t="s">
        <v>992</v>
      </c>
      <c r="B829" s="316">
        <v>3046</v>
      </c>
      <c r="C829" s="247" t="s">
        <v>975</v>
      </c>
      <c r="D829" s="317">
        <v>42650</v>
      </c>
      <c r="E829" s="318">
        <v>0.6227314814814815</v>
      </c>
      <c r="F829" s="247" t="s">
        <v>976</v>
      </c>
      <c r="G829" s="247" t="s">
        <v>1035</v>
      </c>
      <c r="H829" s="248" t="s">
        <v>404</v>
      </c>
      <c r="I829" s="248" t="s">
        <v>404</v>
      </c>
      <c r="J829" s="247" t="s">
        <v>809</v>
      </c>
      <c r="K829" s="249">
        <v>0</v>
      </c>
      <c r="M829" s="90">
        <v>0</v>
      </c>
      <c r="N829" s="90">
        <v>0</v>
      </c>
      <c r="O829" s="90">
        <v>255</v>
      </c>
    </row>
    <row r="830" spans="1:15" s="90" customFormat="1" ht="12.75" customHeight="1" x14ac:dyDescent="0.2">
      <c r="A830" s="247" t="s">
        <v>988</v>
      </c>
      <c r="B830" s="316">
        <v>3046</v>
      </c>
      <c r="C830" s="247" t="s">
        <v>975</v>
      </c>
      <c r="D830" s="317">
        <v>42650</v>
      </c>
      <c r="E830" s="318">
        <v>0.6251620370370371</v>
      </c>
      <c r="F830" s="247" t="s">
        <v>976</v>
      </c>
      <c r="G830" s="247" t="s">
        <v>1035</v>
      </c>
      <c r="H830" s="248" t="s">
        <v>404</v>
      </c>
      <c r="I830" s="248" t="s">
        <v>404</v>
      </c>
      <c r="J830" s="247" t="s">
        <v>809</v>
      </c>
      <c r="K830" s="249">
        <v>0</v>
      </c>
      <c r="M830" s="90">
        <v>0</v>
      </c>
      <c r="N830" s="90">
        <v>0</v>
      </c>
      <c r="O830" s="90">
        <v>255</v>
      </c>
    </row>
    <row r="831" spans="1:15" s="90" customFormat="1" ht="12.75" customHeight="1" x14ac:dyDescent="0.2">
      <c r="A831" s="247" t="s">
        <v>989</v>
      </c>
      <c r="B831" s="316">
        <v>3046</v>
      </c>
      <c r="C831" s="247" t="s">
        <v>975</v>
      </c>
      <c r="D831" s="317">
        <v>42650</v>
      </c>
      <c r="E831" s="318">
        <v>0.6251620370370371</v>
      </c>
      <c r="F831" s="247" t="s">
        <v>976</v>
      </c>
      <c r="G831" s="247" t="s">
        <v>1035</v>
      </c>
      <c r="H831" s="248" t="s">
        <v>404</v>
      </c>
      <c r="I831" s="248" t="s">
        <v>404</v>
      </c>
      <c r="J831" s="247" t="s">
        <v>809</v>
      </c>
      <c r="K831" s="249">
        <v>0</v>
      </c>
      <c r="M831" s="90">
        <v>0</v>
      </c>
      <c r="N831" s="90">
        <v>0</v>
      </c>
      <c r="O831" s="90">
        <v>255</v>
      </c>
    </row>
    <row r="832" spans="1:15" s="90" customFormat="1" ht="12.75" customHeight="1" x14ac:dyDescent="0.2">
      <c r="A832" s="247" t="s">
        <v>990</v>
      </c>
      <c r="B832" s="316">
        <v>3046</v>
      </c>
      <c r="C832" s="247" t="s">
        <v>975</v>
      </c>
      <c r="D832" s="317">
        <v>42650</v>
      </c>
      <c r="E832" s="318">
        <v>0.62600694444444438</v>
      </c>
      <c r="F832" s="247" t="s">
        <v>976</v>
      </c>
      <c r="G832" s="247" t="s">
        <v>1035</v>
      </c>
      <c r="H832" s="248" t="s">
        <v>404</v>
      </c>
      <c r="I832" s="248" t="s">
        <v>404</v>
      </c>
      <c r="J832" s="247" t="s">
        <v>809</v>
      </c>
      <c r="K832" s="249">
        <v>0</v>
      </c>
      <c r="M832" s="90">
        <v>0</v>
      </c>
      <c r="N832" s="90">
        <v>0</v>
      </c>
      <c r="O832" s="90">
        <v>255</v>
      </c>
    </row>
    <row r="833" spans="1:15" s="90" customFormat="1" ht="12.75" customHeight="1" x14ac:dyDescent="0.2">
      <c r="A833" s="247" t="s">
        <v>989</v>
      </c>
      <c r="B833" s="316">
        <v>3046</v>
      </c>
      <c r="C833" s="247" t="s">
        <v>975</v>
      </c>
      <c r="D833" s="317">
        <v>42650</v>
      </c>
      <c r="E833" s="318">
        <v>0.66768518518518516</v>
      </c>
      <c r="F833" s="247" t="s">
        <v>976</v>
      </c>
      <c r="G833" s="247" t="s">
        <v>1035</v>
      </c>
      <c r="H833" s="248" t="s">
        <v>404</v>
      </c>
      <c r="I833" s="248" t="s">
        <v>404</v>
      </c>
      <c r="J833" s="247" t="s">
        <v>809</v>
      </c>
      <c r="K833" s="249">
        <v>0</v>
      </c>
      <c r="M833" s="90">
        <v>0</v>
      </c>
      <c r="N833" s="90">
        <v>0</v>
      </c>
      <c r="O833" s="90">
        <v>255</v>
      </c>
    </row>
    <row r="834" spans="1:15" s="90" customFormat="1" ht="12.75" customHeight="1" x14ac:dyDescent="0.2">
      <c r="A834" s="247" t="s">
        <v>990</v>
      </c>
      <c r="B834" s="316">
        <v>3046</v>
      </c>
      <c r="C834" s="247" t="s">
        <v>975</v>
      </c>
      <c r="D834" s="317">
        <v>42650</v>
      </c>
      <c r="E834" s="318">
        <v>0.66792824074074064</v>
      </c>
      <c r="F834" s="247" t="s">
        <v>976</v>
      </c>
      <c r="G834" s="247" t="s">
        <v>1035</v>
      </c>
      <c r="H834" s="248" t="s">
        <v>404</v>
      </c>
      <c r="I834" s="248" t="s">
        <v>404</v>
      </c>
      <c r="J834" s="247" t="s">
        <v>809</v>
      </c>
      <c r="K834" s="249">
        <v>0</v>
      </c>
      <c r="M834" s="90">
        <v>0</v>
      </c>
      <c r="N834" s="90">
        <v>0</v>
      </c>
      <c r="O834" s="90">
        <v>255</v>
      </c>
    </row>
    <row r="835" spans="1:15" s="90" customFormat="1" ht="12.75" customHeight="1" x14ac:dyDescent="0.2">
      <c r="A835" s="247" t="s">
        <v>993</v>
      </c>
      <c r="B835" s="316">
        <v>3217</v>
      </c>
      <c r="C835" s="247" t="s">
        <v>975</v>
      </c>
      <c r="D835" s="317">
        <v>42650</v>
      </c>
      <c r="E835" s="318">
        <v>0.66792824074074064</v>
      </c>
      <c r="F835" s="247" t="s">
        <v>235</v>
      </c>
      <c r="G835" s="247" t="s">
        <v>1035</v>
      </c>
      <c r="H835" s="248" t="s">
        <v>234</v>
      </c>
      <c r="I835" s="248" t="s">
        <v>235</v>
      </c>
      <c r="J835" s="247" t="s">
        <v>809</v>
      </c>
      <c r="K835" s="249">
        <v>0</v>
      </c>
      <c r="M835" s="90">
        <v>0</v>
      </c>
      <c r="N835" s="90">
        <v>0</v>
      </c>
      <c r="O835" s="90">
        <v>255</v>
      </c>
    </row>
    <row r="836" spans="1:15" s="90" customFormat="1" ht="12.75" customHeight="1" x14ac:dyDescent="0.2">
      <c r="A836" s="247" t="s">
        <v>989</v>
      </c>
      <c r="B836" s="316">
        <v>3046</v>
      </c>
      <c r="C836" s="247" t="s">
        <v>975</v>
      </c>
      <c r="D836" s="317">
        <v>42650</v>
      </c>
      <c r="E836" s="318">
        <v>0.70960648148148142</v>
      </c>
      <c r="F836" s="247" t="s">
        <v>976</v>
      </c>
      <c r="G836" s="247" t="s">
        <v>1035</v>
      </c>
      <c r="H836" s="248" t="s">
        <v>404</v>
      </c>
      <c r="I836" s="248" t="s">
        <v>404</v>
      </c>
      <c r="J836" s="247" t="s">
        <v>809</v>
      </c>
      <c r="K836" s="249">
        <v>0</v>
      </c>
      <c r="M836" s="90">
        <v>0</v>
      </c>
      <c r="N836" s="90">
        <v>0</v>
      </c>
      <c r="O836" s="90">
        <v>255</v>
      </c>
    </row>
    <row r="837" spans="1:15" s="90" customFormat="1" ht="12.75" customHeight="1" x14ac:dyDescent="0.2">
      <c r="A837" s="247" t="s">
        <v>990</v>
      </c>
      <c r="B837" s="316">
        <v>3046</v>
      </c>
      <c r="C837" s="247" t="s">
        <v>975</v>
      </c>
      <c r="D837" s="317">
        <v>42650</v>
      </c>
      <c r="E837" s="318">
        <v>0.70984953703703713</v>
      </c>
      <c r="F837" s="247" t="s">
        <v>976</v>
      </c>
      <c r="G837" s="247" t="s">
        <v>1035</v>
      </c>
      <c r="H837" s="248" t="s">
        <v>404</v>
      </c>
      <c r="I837" s="248" t="s">
        <v>404</v>
      </c>
      <c r="J837" s="247" t="s">
        <v>809</v>
      </c>
      <c r="K837" s="249">
        <v>0</v>
      </c>
      <c r="M837" s="90">
        <v>0</v>
      </c>
      <c r="N837" s="90">
        <v>0</v>
      </c>
      <c r="O837" s="90">
        <v>255</v>
      </c>
    </row>
    <row r="838" spans="1:15" s="90" customFormat="1" ht="12.75" customHeight="1" x14ac:dyDescent="0.2">
      <c r="A838" s="247" t="s">
        <v>993</v>
      </c>
      <c r="B838" s="316">
        <v>3217</v>
      </c>
      <c r="C838" s="247" t="s">
        <v>975</v>
      </c>
      <c r="D838" s="317">
        <v>42650</v>
      </c>
      <c r="E838" s="318">
        <v>0.70984953703703713</v>
      </c>
      <c r="F838" s="247" t="s">
        <v>235</v>
      </c>
      <c r="G838" s="247" t="s">
        <v>1035</v>
      </c>
      <c r="H838" s="248" t="s">
        <v>234</v>
      </c>
      <c r="I838" s="248" t="s">
        <v>235</v>
      </c>
      <c r="J838" s="247" t="s">
        <v>809</v>
      </c>
      <c r="K838" s="249">
        <v>0</v>
      </c>
      <c r="M838" s="90">
        <v>0</v>
      </c>
      <c r="N838" s="90">
        <v>0</v>
      </c>
      <c r="O838" s="90">
        <v>255</v>
      </c>
    </row>
    <row r="839" spans="1:15" s="90" customFormat="1" ht="12.75" customHeight="1" x14ac:dyDescent="0.2">
      <c r="A839" s="247" t="s">
        <v>989</v>
      </c>
      <c r="B839" s="316">
        <v>3046</v>
      </c>
      <c r="C839" s="247" t="s">
        <v>975</v>
      </c>
      <c r="D839" s="317">
        <v>42650</v>
      </c>
      <c r="E839" s="318">
        <v>0.75152777777777768</v>
      </c>
      <c r="F839" s="247" t="s">
        <v>976</v>
      </c>
      <c r="G839" s="247" t="s">
        <v>1035</v>
      </c>
      <c r="H839" s="248" t="s">
        <v>404</v>
      </c>
      <c r="I839" s="248" t="s">
        <v>404</v>
      </c>
      <c r="J839" s="247" t="s">
        <v>809</v>
      </c>
      <c r="K839" s="249">
        <v>0</v>
      </c>
      <c r="M839" s="90">
        <v>0</v>
      </c>
      <c r="N839" s="90">
        <v>0</v>
      </c>
      <c r="O839" s="90">
        <v>255</v>
      </c>
    </row>
    <row r="840" spans="1:15" s="90" customFormat="1" ht="12.75" customHeight="1" x14ac:dyDescent="0.2">
      <c r="A840" s="247" t="s">
        <v>990</v>
      </c>
      <c r="B840" s="316">
        <v>3046</v>
      </c>
      <c r="C840" s="247" t="s">
        <v>975</v>
      </c>
      <c r="D840" s="317">
        <v>42650</v>
      </c>
      <c r="E840" s="318">
        <v>0.75177083333333339</v>
      </c>
      <c r="F840" s="247" t="s">
        <v>976</v>
      </c>
      <c r="G840" s="247" t="s">
        <v>1035</v>
      </c>
      <c r="H840" s="248" t="s">
        <v>404</v>
      </c>
      <c r="I840" s="248" t="s">
        <v>404</v>
      </c>
      <c r="J840" s="247" t="s">
        <v>809</v>
      </c>
      <c r="K840" s="249">
        <v>0</v>
      </c>
      <c r="M840" s="90">
        <v>0</v>
      </c>
      <c r="N840" s="90">
        <v>0</v>
      </c>
      <c r="O840" s="90">
        <v>255</v>
      </c>
    </row>
    <row r="841" spans="1:15" s="90" customFormat="1" ht="12.75" customHeight="1" x14ac:dyDescent="0.2">
      <c r="A841" s="247" t="s">
        <v>993</v>
      </c>
      <c r="B841" s="316">
        <v>3217</v>
      </c>
      <c r="C841" s="247" t="s">
        <v>975</v>
      </c>
      <c r="D841" s="317">
        <v>42650</v>
      </c>
      <c r="E841" s="318">
        <v>0.75177083333333339</v>
      </c>
      <c r="F841" s="247" t="s">
        <v>235</v>
      </c>
      <c r="G841" s="247" t="s">
        <v>1035</v>
      </c>
      <c r="H841" s="248" t="s">
        <v>234</v>
      </c>
      <c r="I841" s="248" t="s">
        <v>235</v>
      </c>
      <c r="J841" s="247" t="s">
        <v>809</v>
      </c>
      <c r="K841" s="249">
        <v>0</v>
      </c>
      <c r="M841" s="90">
        <v>0</v>
      </c>
      <c r="N841" s="90">
        <v>0</v>
      </c>
      <c r="O841" s="90">
        <v>255</v>
      </c>
    </row>
    <row r="842" spans="1:15" s="90" customFormat="1" ht="12.75" customHeight="1" x14ac:dyDescent="0.2">
      <c r="A842" s="247" t="s">
        <v>989</v>
      </c>
      <c r="B842" s="316">
        <v>3046</v>
      </c>
      <c r="C842" s="247" t="s">
        <v>975</v>
      </c>
      <c r="D842" s="317">
        <v>42650</v>
      </c>
      <c r="E842" s="318">
        <v>0.79344907407407417</v>
      </c>
      <c r="F842" s="247" t="s">
        <v>976</v>
      </c>
      <c r="G842" s="247" t="s">
        <v>1035</v>
      </c>
      <c r="H842" s="248" t="s">
        <v>404</v>
      </c>
      <c r="I842" s="248" t="s">
        <v>404</v>
      </c>
      <c r="J842" s="247" t="s">
        <v>809</v>
      </c>
      <c r="K842" s="249">
        <v>0</v>
      </c>
      <c r="M842" s="90">
        <v>0</v>
      </c>
      <c r="N842" s="90">
        <v>0</v>
      </c>
      <c r="O842" s="90">
        <v>255</v>
      </c>
    </row>
    <row r="843" spans="1:15" s="90" customFormat="1" ht="12.75" customHeight="1" x14ac:dyDescent="0.2">
      <c r="A843" s="247" t="s">
        <v>993</v>
      </c>
      <c r="B843" s="316">
        <v>3217</v>
      </c>
      <c r="C843" s="247" t="s">
        <v>975</v>
      </c>
      <c r="D843" s="317">
        <v>42650</v>
      </c>
      <c r="E843" s="318">
        <v>0.79369212962962965</v>
      </c>
      <c r="F843" s="247" t="s">
        <v>235</v>
      </c>
      <c r="G843" s="247" t="s">
        <v>1035</v>
      </c>
      <c r="H843" s="248" t="s">
        <v>234</v>
      </c>
      <c r="I843" s="248" t="s">
        <v>235</v>
      </c>
      <c r="J843" s="247" t="s">
        <v>809</v>
      </c>
      <c r="K843" s="249">
        <v>0</v>
      </c>
      <c r="M843" s="90">
        <v>0</v>
      </c>
      <c r="N843" s="90">
        <v>0</v>
      </c>
      <c r="O843" s="90">
        <v>255</v>
      </c>
    </row>
    <row r="844" spans="1:15" s="90" customFormat="1" ht="12.75" customHeight="1" x14ac:dyDescent="0.2">
      <c r="A844" s="247" t="s">
        <v>990</v>
      </c>
      <c r="B844" s="316">
        <v>3046</v>
      </c>
      <c r="C844" s="247" t="s">
        <v>975</v>
      </c>
      <c r="D844" s="317">
        <v>42650</v>
      </c>
      <c r="E844" s="318">
        <v>0.79370370370370369</v>
      </c>
      <c r="F844" s="247" t="s">
        <v>976</v>
      </c>
      <c r="G844" s="247" t="s">
        <v>1035</v>
      </c>
      <c r="H844" s="248" t="s">
        <v>404</v>
      </c>
      <c r="I844" s="248" t="s">
        <v>404</v>
      </c>
      <c r="J844" s="247" t="s">
        <v>809</v>
      </c>
      <c r="K844" s="249">
        <v>0</v>
      </c>
      <c r="M844" s="90">
        <v>0</v>
      </c>
      <c r="N844" s="90">
        <v>0</v>
      </c>
      <c r="O844" s="90">
        <v>255</v>
      </c>
    </row>
    <row r="845" spans="1:15" s="90" customFormat="1" ht="12.75" customHeight="1" x14ac:dyDescent="0.2">
      <c r="A845" s="247" t="s">
        <v>989</v>
      </c>
      <c r="B845" s="316">
        <v>3046</v>
      </c>
      <c r="C845" s="247" t="s">
        <v>975</v>
      </c>
      <c r="D845" s="317">
        <v>42650</v>
      </c>
      <c r="E845" s="318">
        <v>0.83537037037037043</v>
      </c>
      <c r="F845" s="247" t="s">
        <v>976</v>
      </c>
      <c r="G845" s="247" t="s">
        <v>1035</v>
      </c>
      <c r="H845" s="248" t="s">
        <v>404</v>
      </c>
      <c r="I845" s="248" t="s">
        <v>404</v>
      </c>
      <c r="J845" s="247" t="s">
        <v>809</v>
      </c>
      <c r="K845" s="249">
        <v>0</v>
      </c>
      <c r="M845" s="90">
        <v>0</v>
      </c>
      <c r="N845" s="90">
        <v>0</v>
      </c>
      <c r="O845" s="90">
        <v>255</v>
      </c>
    </row>
    <row r="846" spans="1:15" s="90" customFormat="1" ht="12.75" customHeight="1" x14ac:dyDescent="0.2">
      <c r="A846" s="247" t="s">
        <v>990</v>
      </c>
      <c r="B846" s="316">
        <v>3046</v>
      </c>
      <c r="C846" s="247" t="s">
        <v>975</v>
      </c>
      <c r="D846" s="317">
        <v>42650</v>
      </c>
      <c r="E846" s="318">
        <v>0.83561342592592591</v>
      </c>
      <c r="F846" s="247" t="s">
        <v>976</v>
      </c>
      <c r="G846" s="247" t="s">
        <v>1035</v>
      </c>
      <c r="H846" s="248" t="s">
        <v>404</v>
      </c>
      <c r="I846" s="248" t="s">
        <v>404</v>
      </c>
      <c r="J846" s="247" t="s">
        <v>809</v>
      </c>
      <c r="K846" s="249">
        <v>0</v>
      </c>
      <c r="M846" s="90">
        <v>0</v>
      </c>
      <c r="N846" s="90">
        <v>0</v>
      </c>
      <c r="O846" s="90">
        <v>255</v>
      </c>
    </row>
    <row r="847" spans="1:15" s="90" customFormat="1" ht="12.75" customHeight="1" x14ac:dyDescent="0.2">
      <c r="A847" s="247" t="s">
        <v>993</v>
      </c>
      <c r="B847" s="316">
        <v>3217</v>
      </c>
      <c r="C847" s="247" t="s">
        <v>975</v>
      </c>
      <c r="D847" s="317">
        <v>42650</v>
      </c>
      <c r="E847" s="318">
        <v>0.83561342592592591</v>
      </c>
      <c r="F847" s="247" t="s">
        <v>235</v>
      </c>
      <c r="G847" s="247" t="s">
        <v>1035</v>
      </c>
      <c r="H847" s="248" t="s">
        <v>234</v>
      </c>
      <c r="I847" s="248" t="s">
        <v>235</v>
      </c>
      <c r="J847" s="247" t="s">
        <v>809</v>
      </c>
      <c r="K847" s="249">
        <v>0</v>
      </c>
      <c r="M847" s="90">
        <v>0</v>
      </c>
      <c r="N847" s="90">
        <v>0</v>
      </c>
      <c r="O847" s="90">
        <v>255</v>
      </c>
    </row>
    <row r="848" spans="1:15" s="90" customFormat="1" ht="12.75" customHeight="1" x14ac:dyDescent="0.2">
      <c r="A848" s="247" t="s">
        <v>989</v>
      </c>
      <c r="B848" s="316">
        <v>3046</v>
      </c>
      <c r="C848" s="247" t="s">
        <v>975</v>
      </c>
      <c r="D848" s="317">
        <v>42650</v>
      </c>
      <c r="E848" s="318">
        <v>0.87729166666666669</v>
      </c>
      <c r="F848" s="247" t="s">
        <v>976</v>
      </c>
      <c r="G848" s="247" t="s">
        <v>1035</v>
      </c>
      <c r="H848" s="248" t="s">
        <v>404</v>
      </c>
      <c r="I848" s="248" t="s">
        <v>404</v>
      </c>
      <c r="J848" s="247" t="s">
        <v>809</v>
      </c>
      <c r="K848" s="249">
        <v>0</v>
      </c>
      <c r="M848" s="90">
        <v>0</v>
      </c>
      <c r="N848" s="90">
        <v>0</v>
      </c>
      <c r="O848" s="90">
        <v>255</v>
      </c>
    </row>
    <row r="849" spans="1:15" s="90" customFormat="1" ht="12.75" customHeight="1" x14ac:dyDescent="0.2">
      <c r="A849" s="247" t="s">
        <v>990</v>
      </c>
      <c r="B849" s="316">
        <v>3046</v>
      </c>
      <c r="C849" s="247" t="s">
        <v>975</v>
      </c>
      <c r="D849" s="317">
        <v>42650</v>
      </c>
      <c r="E849" s="318">
        <v>0.87753472222222229</v>
      </c>
      <c r="F849" s="247" t="s">
        <v>976</v>
      </c>
      <c r="G849" s="247" t="s">
        <v>1035</v>
      </c>
      <c r="H849" s="248" t="s">
        <v>404</v>
      </c>
      <c r="I849" s="248" t="s">
        <v>404</v>
      </c>
      <c r="J849" s="247" t="s">
        <v>809</v>
      </c>
      <c r="K849" s="249">
        <v>0</v>
      </c>
      <c r="M849" s="90">
        <v>0</v>
      </c>
      <c r="N849" s="90">
        <v>0</v>
      </c>
      <c r="O849" s="90">
        <v>255</v>
      </c>
    </row>
    <row r="850" spans="1:15" s="90" customFormat="1" ht="12.75" customHeight="1" x14ac:dyDescent="0.2">
      <c r="A850" s="247" t="s">
        <v>993</v>
      </c>
      <c r="B850" s="316">
        <v>3217</v>
      </c>
      <c r="C850" s="247" t="s">
        <v>975</v>
      </c>
      <c r="D850" s="317">
        <v>42650</v>
      </c>
      <c r="E850" s="318">
        <v>0.87753472222222229</v>
      </c>
      <c r="F850" s="247" t="s">
        <v>235</v>
      </c>
      <c r="G850" s="247" t="s">
        <v>1035</v>
      </c>
      <c r="H850" s="248" t="s">
        <v>234</v>
      </c>
      <c r="I850" s="248" t="s">
        <v>235</v>
      </c>
      <c r="J850" s="247" t="s">
        <v>809</v>
      </c>
      <c r="K850" s="249">
        <v>0</v>
      </c>
      <c r="M850" s="90">
        <v>0</v>
      </c>
      <c r="N850" s="90">
        <v>0</v>
      </c>
      <c r="O850" s="90">
        <v>255</v>
      </c>
    </row>
    <row r="851" spans="1:15" s="90" customFormat="1" ht="12.75" customHeight="1" x14ac:dyDescent="0.2">
      <c r="A851" s="247" t="s">
        <v>989</v>
      </c>
      <c r="B851" s="316">
        <v>3046</v>
      </c>
      <c r="C851" s="247" t="s">
        <v>975</v>
      </c>
      <c r="D851" s="317">
        <v>42650</v>
      </c>
      <c r="E851" s="318">
        <v>0.91920138888888892</v>
      </c>
      <c r="F851" s="247" t="s">
        <v>976</v>
      </c>
      <c r="G851" s="247" t="s">
        <v>1035</v>
      </c>
      <c r="H851" s="248" t="s">
        <v>404</v>
      </c>
      <c r="I851" s="248" t="s">
        <v>404</v>
      </c>
      <c r="J851" s="247" t="s">
        <v>809</v>
      </c>
      <c r="K851" s="249">
        <v>0</v>
      </c>
      <c r="M851" s="90">
        <v>0</v>
      </c>
      <c r="N851" s="90">
        <v>0</v>
      </c>
      <c r="O851" s="90">
        <v>255</v>
      </c>
    </row>
    <row r="852" spans="1:15" s="90" customFormat="1" ht="12.75" customHeight="1" x14ac:dyDescent="0.2">
      <c r="A852" s="247" t="s">
        <v>990</v>
      </c>
      <c r="B852" s="316">
        <v>3046</v>
      </c>
      <c r="C852" s="247" t="s">
        <v>975</v>
      </c>
      <c r="D852" s="317">
        <v>42650</v>
      </c>
      <c r="E852" s="318">
        <v>0.91945601851851855</v>
      </c>
      <c r="F852" s="247" t="s">
        <v>976</v>
      </c>
      <c r="G852" s="247" t="s">
        <v>1035</v>
      </c>
      <c r="H852" s="248" t="s">
        <v>404</v>
      </c>
      <c r="I852" s="248" t="s">
        <v>404</v>
      </c>
      <c r="J852" s="247" t="s">
        <v>809</v>
      </c>
      <c r="K852" s="249">
        <v>0</v>
      </c>
      <c r="M852" s="90">
        <v>0</v>
      </c>
      <c r="N852" s="90">
        <v>0</v>
      </c>
      <c r="O852" s="90">
        <v>255</v>
      </c>
    </row>
    <row r="853" spans="1:15" s="90" customFormat="1" ht="12.75" customHeight="1" x14ac:dyDescent="0.2">
      <c r="A853" s="247" t="s">
        <v>993</v>
      </c>
      <c r="B853" s="316">
        <v>3217</v>
      </c>
      <c r="C853" s="247" t="s">
        <v>975</v>
      </c>
      <c r="D853" s="317">
        <v>42650</v>
      </c>
      <c r="E853" s="318">
        <v>0.91945601851851855</v>
      </c>
      <c r="F853" s="247" t="s">
        <v>235</v>
      </c>
      <c r="G853" s="247" t="s">
        <v>1035</v>
      </c>
      <c r="H853" s="248" t="s">
        <v>234</v>
      </c>
      <c r="I853" s="248" t="s">
        <v>235</v>
      </c>
      <c r="J853" s="247" t="s">
        <v>809</v>
      </c>
      <c r="K853" s="249">
        <v>0</v>
      </c>
      <c r="M853" s="90">
        <v>0</v>
      </c>
      <c r="N853" s="90">
        <v>0</v>
      </c>
      <c r="O853" s="90">
        <v>255</v>
      </c>
    </row>
    <row r="854" spans="1:15" s="90" customFormat="1" ht="12.75" customHeight="1" x14ac:dyDescent="0.2">
      <c r="A854" s="247" t="s">
        <v>989</v>
      </c>
      <c r="B854" s="316">
        <v>3046</v>
      </c>
      <c r="C854" s="247" t="s">
        <v>975</v>
      </c>
      <c r="D854" s="317">
        <v>42650</v>
      </c>
      <c r="E854" s="318">
        <v>0.96112268518518518</v>
      </c>
      <c r="F854" s="247" t="s">
        <v>976</v>
      </c>
      <c r="G854" s="247" t="s">
        <v>1035</v>
      </c>
      <c r="H854" s="248" t="s">
        <v>404</v>
      </c>
      <c r="I854" s="248" t="s">
        <v>404</v>
      </c>
      <c r="J854" s="247" t="s">
        <v>809</v>
      </c>
      <c r="K854" s="249">
        <v>0</v>
      </c>
      <c r="M854" s="90">
        <v>0</v>
      </c>
      <c r="N854" s="90">
        <v>0</v>
      </c>
      <c r="O854" s="90">
        <v>255</v>
      </c>
    </row>
    <row r="855" spans="1:15" s="90" customFormat="1" ht="12.75" customHeight="1" x14ac:dyDescent="0.2">
      <c r="A855" s="247" t="s">
        <v>990</v>
      </c>
      <c r="B855" s="316">
        <v>3046</v>
      </c>
      <c r="C855" s="247" t="s">
        <v>975</v>
      </c>
      <c r="D855" s="317">
        <v>42650</v>
      </c>
      <c r="E855" s="318">
        <v>0.96137731481481481</v>
      </c>
      <c r="F855" s="247" t="s">
        <v>976</v>
      </c>
      <c r="G855" s="247" t="s">
        <v>1035</v>
      </c>
      <c r="H855" s="248" t="s">
        <v>404</v>
      </c>
      <c r="I855" s="248" t="s">
        <v>404</v>
      </c>
      <c r="J855" s="247" t="s">
        <v>809</v>
      </c>
      <c r="K855" s="249">
        <v>0</v>
      </c>
      <c r="M855" s="90">
        <v>0</v>
      </c>
      <c r="N855" s="90">
        <v>0</v>
      </c>
      <c r="O855" s="90">
        <v>255</v>
      </c>
    </row>
    <row r="856" spans="1:15" s="90" customFormat="1" ht="12.75" customHeight="1" x14ac:dyDescent="0.2">
      <c r="A856" s="247" t="s">
        <v>993</v>
      </c>
      <c r="B856" s="316">
        <v>3217</v>
      </c>
      <c r="C856" s="247" t="s">
        <v>975</v>
      </c>
      <c r="D856" s="317">
        <v>42650</v>
      </c>
      <c r="E856" s="318">
        <v>0.96137731481481481</v>
      </c>
      <c r="F856" s="247" t="s">
        <v>235</v>
      </c>
      <c r="G856" s="247" t="s">
        <v>1035</v>
      </c>
      <c r="H856" s="248" t="s">
        <v>234</v>
      </c>
      <c r="I856" s="248" t="s">
        <v>235</v>
      </c>
      <c r="J856" s="247" t="s">
        <v>809</v>
      </c>
      <c r="K856" s="249">
        <v>0</v>
      </c>
      <c r="M856" s="90">
        <v>0</v>
      </c>
      <c r="N856" s="90">
        <v>0</v>
      </c>
      <c r="O856" s="90">
        <v>255</v>
      </c>
    </row>
    <row r="857" spans="1:15" s="90" customFormat="1" ht="12.75" customHeight="1" x14ac:dyDescent="0.2">
      <c r="A857" s="247" t="s">
        <v>989</v>
      </c>
      <c r="B857" s="316">
        <v>3046</v>
      </c>
      <c r="C857" s="247" t="s">
        <v>975</v>
      </c>
      <c r="D857" s="317">
        <v>42651</v>
      </c>
      <c r="E857" s="318">
        <v>3.0439814814814821E-3</v>
      </c>
      <c r="F857" s="247" t="s">
        <v>976</v>
      </c>
      <c r="G857" s="247" t="s">
        <v>1035</v>
      </c>
      <c r="H857" s="248" t="s">
        <v>404</v>
      </c>
      <c r="I857" s="248" t="s">
        <v>404</v>
      </c>
      <c r="J857" s="247" t="s">
        <v>809</v>
      </c>
      <c r="K857" s="249">
        <v>0</v>
      </c>
      <c r="M857" s="90">
        <v>0</v>
      </c>
      <c r="N857" s="90">
        <v>0</v>
      </c>
      <c r="O857" s="90">
        <v>255</v>
      </c>
    </row>
    <row r="858" spans="1:15" s="90" customFormat="1" ht="12.75" customHeight="1" x14ac:dyDescent="0.2">
      <c r="A858" s="247" t="s">
        <v>990</v>
      </c>
      <c r="B858" s="316">
        <v>3046</v>
      </c>
      <c r="C858" s="247" t="s">
        <v>975</v>
      </c>
      <c r="D858" s="317">
        <v>42651</v>
      </c>
      <c r="E858" s="318">
        <v>3.2986111111111111E-3</v>
      </c>
      <c r="F858" s="247" t="s">
        <v>976</v>
      </c>
      <c r="G858" s="247" t="s">
        <v>1035</v>
      </c>
      <c r="H858" s="248" t="s">
        <v>404</v>
      </c>
      <c r="I858" s="248" t="s">
        <v>404</v>
      </c>
      <c r="J858" s="247" t="s">
        <v>809</v>
      </c>
      <c r="K858" s="249">
        <v>0</v>
      </c>
      <c r="M858" s="90">
        <v>0</v>
      </c>
      <c r="N858" s="90">
        <v>0</v>
      </c>
      <c r="O858" s="90">
        <v>255</v>
      </c>
    </row>
    <row r="859" spans="1:15" s="90" customFormat="1" ht="12.75" customHeight="1" x14ac:dyDescent="0.2">
      <c r="A859" s="247" t="s">
        <v>993</v>
      </c>
      <c r="B859" s="316">
        <v>3217</v>
      </c>
      <c r="C859" s="247" t="s">
        <v>975</v>
      </c>
      <c r="D859" s="317">
        <v>42651</v>
      </c>
      <c r="E859" s="318">
        <v>3.2986111111111111E-3</v>
      </c>
      <c r="F859" s="247" t="s">
        <v>235</v>
      </c>
      <c r="G859" s="247" t="s">
        <v>1035</v>
      </c>
      <c r="H859" s="248" t="s">
        <v>234</v>
      </c>
      <c r="I859" s="248" t="s">
        <v>235</v>
      </c>
      <c r="J859" s="247" t="s">
        <v>809</v>
      </c>
      <c r="K859" s="249">
        <v>0</v>
      </c>
      <c r="M859" s="90">
        <v>0</v>
      </c>
      <c r="N859" s="90">
        <v>0</v>
      </c>
      <c r="O859" s="90">
        <v>255</v>
      </c>
    </row>
    <row r="860" spans="1:15" s="90" customFormat="1" ht="12.75" customHeight="1" x14ac:dyDescent="0.2">
      <c r="A860" s="247" t="s">
        <v>989</v>
      </c>
      <c r="B860" s="316">
        <v>3046</v>
      </c>
      <c r="C860" s="247" t="s">
        <v>975</v>
      </c>
      <c r="D860" s="317">
        <v>42651</v>
      </c>
      <c r="E860" s="318">
        <v>4.4965277777777778E-2</v>
      </c>
      <c r="F860" s="247" t="s">
        <v>976</v>
      </c>
      <c r="G860" s="247" t="s">
        <v>1035</v>
      </c>
      <c r="H860" s="248" t="s">
        <v>404</v>
      </c>
      <c r="I860" s="248" t="s">
        <v>404</v>
      </c>
      <c r="J860" s="247" t="s">
        <v>809</v>
      </c>
      <c r="K860" s="249">
        <v>0</v>
      </c>
      <c r="M860" s="90">
        <v>0</v>
      </c>
      <c r="N860" s="90">
        <v>0</v>
      </c>
      <c r="O860" s="90">
        <v>255</v>
      </c>
    </row>
    <row r="861" spans="1:15" s="90" customFormat="1" ht="12.75" customHeight="1" x14ac:dyDescent="0.2">
      <c r="A861" s="247" t="s">
        <v>990</v>
      </c>
      <c r="B861" s="316">
        <v>3046</v>
      </c>
      <c r="C861" s="247" t="s">
        <v>975</v>
      </c>
      <c r="D861" s="317">
        <v>42651</v>
      </c>
      <c r="E861" s="318">
        <v>4.521990740740741E-2</v>
      </c>
      <c r="F861" s="247" t="s">
        <v>976</v>
      </c>
      <c r="G861" s="247" t="s">
        <v>1035</v>
      </c>
      <c r="H861" s="248" t="s">
        <v>404</v>
      </c>
      <c r="I861" s="248" t="s">
        <v>404</v>
      </c>
      <c r="J861" s="247" t="s">
        <v>809</v>
      </c>
      <c r="K861" s="249">
        <v>0</v>
      </c>
      <c r="M861" s="90">
        <v>0</v>
      </c>
      <c r="N861" s="90">
        <v>0</v>
      </c>
      <c r="O861" s="90">
        <v>255</v>
      </c>
    </row>
    <row r="862" spans="1:15" s="90" customFormat="1" ht="12.75" customHeight="1" x14ac:dyDescent="0.2">
      <c r="A862" s="247" t="s">
        <v>993</v>
      </c>
      <c r="B862" s="316">
        <v>3217</v>
      </c>
      <c r="C862" s="247" t="s">
        <v>975</v>
      </c>
      <c r="D862" s="317">
        <v>42651</v>
      </c>
      <c r="E862" s="318">
        <v>4.521990740740741E-2</v>
      </c>
      <c r="F862" s="247" t="s">
        <v>235</v>
      </c>
      <c r="G862" s="247" t="s">
        <v>1035</v>
      </c>
      <c r="H862" s="248" t="s">
        <v>234</v>
      </c>
      <c r="I862" s="248" t="s">
        <v>235</v>
      </c>
      <c r="J862" s="247" t="s">
        <v>809</v>
      </c>
      <c r="K862" s="249">
        <v>0</v>
      </c>
      <c r="M862" s="90">
        <v>0</v>
      </c>
      <c r="N862" s="90">
        <v>0</v>
      </c>
      <c r="O862" s="90">
        <v>255</v>
      </c>
    </row>
    <row r="863" spans="1:15" s="90" customFormat="1" ht="12.75" customHeight="1" x14ac:dyDescent="0.2">
      <c r="A863" s="247" t="s">
        <v>989</v>
      </c>
      <c r="B863" s="316">
        <v>3046</v>
      </c>
      <c r="C863" s="247" t="s">
        <v>975</v>
      </c>
      <c r="D863" s="317">
        <v>42651</v>
      </c>
      <c r="E863" s="318">
        <v>8.6886574074074074E-2</v>
      </c>
      <c r="F863" s="247" t="s">
        <v>976</v>
      </c>
      <c r="G863" s="247" t="s">
        <v>1035</v>
      </c>
      <c r="H863" s="248" t="s">
        <v>404</v>
      </c>
      <c r="I863" s="248" t="s">
        <v>404</v>
      </c>
      <c r="J863" s="247" t="s">
        <v>809</v>
      </c>
      <c r="K863" s="249">
        <v>0</v>
      </c>
      <c r="M863" s="90">
        <v>0</v>
      </c>
      <c r="N863" s="90">
        <v>0</v>
      </c>
      <c r="O863" s="90">
        <v>255</v>
      </c>
    </row>
    <row r="864" spans="1:15" s="90" customFormat="1" ht="12.75" customHeight="1" x14ac:dyDescent="0.2">
      <c r="A864" s="247" t="s">
        <v>990</v>
      </c>
      <c r="B864" s="316">
        <v>3046</v>
      </c>
      <c r="C864" s="247" t="s">
        <v>975</v>
      </c>
      <c r="D864" s="317">
        <v>42651</v>
      </c>
      <c r="E864" s="318">
        <v>8.7141203703703707E-2</v>
      </c>
      <c r="F864" s="247" t="s">
        <v>976</v>
      </c>
      <c r="G864" s="247" t="s">
        <v>1035</v>
      </c>
      <c r="H864" s="248" t="s">
        <v>404</v>
      </c>
      <c r="I864" s="248" t="s">
        <v>404</v>
      </c>
      <c r="J864" s="247" t="s">
        <v>809</v>
      </c>
      <c r="K864" s="249">
        <v>0</v>
      </c>
      <c r="M864" s="90">
        <v>0</v>
      </c>
      <c r="N864" s="90">
        <v>0</v>
      </c>
      <c r="O864" s="90">
        <v>255</v>
      </c>
    </row>
    <row r="865" spans="1:15" s="90" customFormat="1" ht="12.75" customHeight="1" x14ac:dyDescent="0.2">
      <c r="A865" s="247" t="s">
        <v>993</v>
      </c>
      <c r="B865" s="316">
        <v>3217</v>
      </c>
      <c r="C865" s="247" t="s">
        <v>975</v>
      </c>
      <c r="D865" s="317">
        <v>42651</v>
      </c>
      <c r="E865" s="318">
        <v>8.7141203703703707E-2</v>
      </c>
      <c r="F865" s="247" t="s">
        <v>235</v>
      </c>
      <c r="G865" s="247" t="s">
        <v>1035</v>
      </c>
      <c r="H865" s="248" t="s">
        <v>234</v>
      </c>
      <c r="I865" s="248" t="s">
        <v>235</v>
      </c>
      <c r="J865" s="247" t="s">
        <v>809</v>
      </c>
      <c r="K865" s="249">
        <v>0</v>
      </c>
      <c r="M865" s="90">
        <v>0</v>
      </c>
      <c r="N865" s="90">
        <v>0</v>
      </c>
      <c r="O865" s="90">
        <v>255</v>
      </c>
    </row>
    <row r="866" spans="1:15" s="90" customFormat="1" ht="12.75" customHeight="1" x14ac:dyDescent="0.2">
      <c r="A866" s="247" t="s">
        <v>989</v>
      </c>
      <c r="B866" s="316">
        <v>3046</v>
      </c>
      <c r="C866" s="247" t="s">
        <v>975</v>
      </c>
      <c r="D866" s="317">
        <v>42651</v>
      </c>
      <c r="E866" s="318">
        <v>0.12880787037037036</v>
      </c>
      <c r="F866" s="247" t="s">
        <v>976</v>
      </c>
      <c r="G866" s="247" t="s">
        <v>1035</v>
      </c>
      <c r="H866" s="248" t="s">
        <v>404</v>
      </c>
      <c r="I866" s="248" t="s">
        <v>404</v>
      </c>
      <c r="J866" s="247" t="s">
        <v>809</v>
      </c>
      <c r="K866" s="249">
        <v>0</v>
      </c>
      <c r="M866" s="90">
        <v>0</v>
      </c>
      <c r="N866" s="90">
        <v>0</v>
      </c>
      <c r="O866" s="90">
        <v>255</v>
      </c>
    </row>
    <row r="867" spans="1:15" s="90" customFormat="1" ht="12.75" customHeight="1" x14ac:dyDescent="0.2">
      <c r="A867" s="247" t="s">
        <v>990</v>
      </c>
      <c r="B867" s="316">
        <v>3046</v>
      </c>
      <c r="C867" s="247" t="s">
        <v>975</v>
      </c>
      <c r="D867" s="317">
        <v>42651</v>
      </c>
      <c r="E867" s="318">
        <v>0.1290625</v>
      </c>
      <c r="F867" s="247" t="s">
        <v>976</v>
      </c>
      <c r="G867" s="247" t="s">
        <v>1035</v>
      </c>
      <c r="H867" s="248" t="s">
        <v>404</v>
      </c>
      <c r="I867" s="248" t="s">
        <v>404</v>
      </c>
      <c r="J867" s="247" t="s">
        <v>809</v>
      </c>
      <c r="K867" s="249">
        <v>0</v>
      </c>
      <c r="M867" s="90">
        <v>0</v>
      </c>
      <c r="N867" s="90">
        <v>0</v>
      </c>
      <c r="O867" s="90">
        <v>255</v>
      </c>
    </row>
    <row r="868" spans="1:15" s="90" customFormat="1" ht="12.75" customHeight="1" x14ac:dyDescent="0.2">
      <c r="A868" s="247" t="s">
        <v>993</v>
      </c>
      <c r="B868" s="316">
        <v>3217</v>
      </c>
      <c r="C868" s="247" t="s">
        <v>975</v>
      </c>
      <c r="D868" s="317">
        <v>42651</v>
      </c>
      <c r="E868" s="318">
        <v>0.1290625</v>
      </c>
      <c r="F868" s="247" t="s">
        <v>235</v>
      </c>
      <c r="G868" s="247" t="s">
        <v>1035</v>
      </c>
      <c r="H868" s="248" t="s">
        <v>234</v>
      </c>
      <c r="I868" s="248" t="s">
        <v>235</v>
      </c>
      <c r="J868" s="247" t="s">
        <v>809</v>
      </c>
      <c r="K868" s="249">
        <v>0</v>
      </c>
      <c r="M868" s="90">
        <v>0</v>
      </c>
      <c r="N868" s="90">
        <v>0</v>
      </c>
      <c r="O868" s="90">
        <v>255</v>
      </c>
    </row>
    <row r="869" spans="1:15" s="90" customFormat="1" ht="12.75" customHeight="1" x14ac:dyDescent="0.2">
      <c r="A869" s="247" t="s">
        <v>989</v>
      </c>
      <c r="B869" s="316">
        <v>3046</v>
      </c>
      <c r="C869" s="247" t="s">
        <v>975</v>
      </c>
      <c r="D869" s="317">
        <v>42651</v>
      </c>
      <c r="E869" s="318">
        <v>0.17072916666666668</v>
      </c>
      <c r="F869" s="247" t="s">
        <v>976</v>
      </c>
      <c r="G869" s="247" t="s">
        <v>1035</v>
      </c>
      <c r="H869" s="248" t="s">
        <v>404</v>
      </c>
      <c r="I869" s="248" t="s">
        <v>404</v>
      </c>
      <c r="J869" s="247" t="s">
        <v>809</v>
      </c>
      <c r="K869" s="249">
        <v>0</v>
      </c>
      <c r="M869" s="90">
        <v>0</v>
      </c>
      <c r="N869" s="90">
        <v>0</v>
      </c>
      <c r="O869" s="90">
        <v>255</v>
      </c>
    </row>
    <row r="870" spans="1:15" s="90" customFormat="1" ht="12.75" customHeight="1" x14ac:dyDescent="0.2">
      <c r="A870" s="247" t="s">
        <v>990</v>
      </c>
      <c r="B870" s="316">
        <v>3046</v>
      </c>
      <c r="C870" s="247" t="s">
        <v>975</v>
      </c>
      <c r="D870" s="317">
        <v>42651</v>
      </c>
      <c r="E870" s="318">
        <v>0.17098379629629631</v>
      </c>
      <c r="F870" s="247" t="s">
        <v>976</v>
      </c>
      <c r="G870" s="247" t="s">
        <v>1035</v>
      </c>
      <c r="H870" s="248" t="s">
        <v>404</v>
      </c>
      <c r="I870" s="248" t="s">
        <v>404</v>
      </c>
      <c r="J870" s="247" t="s">
        <v>809</v>
      </c>
      <c r="K870" s="249">
        <v>0</v>
      </c>
      <c r="M870" s="90">
        <v>0</v>
      </c>
      <c r="N870" s="90">
        <v>0</v>
      </c>
      <c r="O870" s="90">
        <v>255</v>
      </c>
    </row>
    <row r="871" spans="1:15" s="90" customFormat="1" ht="12.75" customHeight="1" x14ac:dyDescent="0.2">
      <c r="A871" s="247" t="s">
        <v>993</v>
      </c>
      <c r="B871" s="316">
        <v>3217</v>
      </c>
      <c r="C871" s="247" t="s">
        <v>975</v>
      </c>
      <c r="D871" s="317">
        <v>42651</v>
      </c>
      <c r="E871" s="318">
        <v>0.17098379629629631</v>
      </c>
      <c r="F871" s="247" t="s">
        <v>235</v>
      </c>
      <c r="G871" s="247" t="s">
        <v>1035</v>
      </c>
      <c r="H871" s="248" t="s">
        <v>234</v>
      </c>
      <c r="I871" s="248" t="s">
        <v>235</v>
      </c>
      <c r="J871" s="247" t="s">
        <v>809</v>
      </c>
      <c r="K871" s="249">
        <v>0</v>
      </c>
      <c r="M871" s="90">
        <v>0</v>
      </c>
      <c r="N871" s="90">
        <v>0</v>
      </c>
      <c r="O871" s="90">
        <v>255</v>
      </c>
    </row>
    <row r="872" spans="1:15" s="90" customFormat="1" ht="12.75" customHeight="1" x14ac:dyDescent="0.2">
      <c r="A872" s="247" t="s">
        <v>989</v>
      </c>
      <c r="B872" s="316">
        <v>3046</v>
      </c>
      <c r="C872" s="247" t="s">
        <v>975</v>
      </c>
      <c r="D872" s="317">
        <v>42651</v>
      </c>
      <c r="E872" s="318">
        <v>0.21265046296296297</v>
      </c>
      <c r="F872" s="247" t="s">
        <v>976</v>
      </c>
      <c r="G872" s="247" t="s">
        <v>1035</v>
      </c>
      <c r="H872" s="248" t="s">
        <v>404</v>
      </c>
      <c r="I872" s="248" t="s">
        <v>404</v>
      </c>
      <c r="J872" s="247" t="s">
        <v>809</v>
      </c>
      <c r="K872" s="249">
        <v>0</v>
      </c>
      <c r="M872" s="90">
        <v>0</v>
      </c>
      <c r="N872" s="90">
        <v>0</v>
      </c>
      <c r="O872" s="90">
        <v>255</v>
      </c>
    </row>
    <row r="873" spans="1:15" s="90" customFormat="1" ht="12.75" customHeight="1" x14ac:dyDescent="0.2">
      <c r="A873" s="247" t="s">
        <v>993</v>
      </c>
      <c r="B873" s="316">
        <v>3217</v>
      </c>
      <c r="C873" s="247" t="s">
        <v>975</v>
      </c>
      <c r="D873" s="317">
        <v>42651</v>
      </c>
      <c r="E873" s="318">
        <v>0.21289351851851854</v>
      </c>
      <c r="F873" s="247" t="s">
        <v>235</v>
      </c>
      <c r="G873" s="247" t="s">
        <v>1035</v>
      </c>
      <c r="H873" s="248" t="s">
        <v>234</v>
      </c>
      <c r="I873" s="248" t="s">
        <v>235</v>
      </c>
      <c r="J873" s="247" t="s">
        <v>809</v>
      </c>
      <c r="K873" s="249">
        <v>0</v>
      </c>
      <c r="M873" s="90">
        <v>0</v>
      </c>
      <c r="N873" s="90">
        <v>0</v>
      </c>
      <c r="O873" s="90">
        <v>255</v>
      </c>
    </row>
    <row r="874" spans="1:15" s="90" customFormat="1" ht="12.75" customHeight="1" x14ac:dyDescent="0.2">
      <c r="A874" s="247" t="s">
        <v>990</v>
      </c>
      <c r="B874" s="316">
        <v>3046</v>
      </c>
      <c r="C874" s="247" t="s">
        <v>975</v>
      </c>
      <c r="D874" s="317">
        <v>42651</v>
      </c>
      <c r="E874" s="318">
        <v>0.2129050925925926</v>
      </c>
      <c r="F874" s="247" t="s">
        <v>976</v>
      </c>
      <c r="G874" s="247" t="s">
        <v>1035</v>
      </c>
      <c r="H874" s="248" t="s">
        <v>404</v>
      </c>
      <c r="I874" s="248" t="s">
        <v>404</v>
      </c>
      <c r="J874" s="247" t="s">
        <v>809</v>
      </c>
      <c r="K874" s="249">
        <v>0</v>
      </c>
      <c r="M874" s="90">
        <v>0</v>
      </c>
      <c r="N874" s="90">
        <v>0</v>
      </c>
      <c r="O874" s="90">
        <v>255</v>
      </c>
    </row>
    <row r="875" spans="1:15" s="90" customFormat="1" ht="12.75" customHeight="1" x14ac:dyDescent="0.2">
      <c r="A875" s="247" t="s">
        <v>989</v>
      </c>
      <c r="B875" s="316">
        <v>3046</v>
      </c>
      <c r="C875" s="247" t="s">
        <v>975</v>
      </c>
      <c r="D875" s="317">
        <v>42651</v>
      </c>
      <c r="E875" s="318">
        <v>0.25457175925925929</v>
      </c>
      <c r="F875" s="247" t="s">
        <v>976</v>
      </c>
      <c r="G875" s="247" t="s">
        <v>1035</v>
      </c>
      <c r="H875" s="248" t="s">
        <v>404</v>
      </c>
      <c r="I875" s="248" t="s">
        <v>404</v>
      </c>
      <c r="J875" s="247" t="s">
        <v>809</v>
      </c>
      <c r="K875" s="249">
        <v>0</v>
      </c>
      <c r="M875" s="90">
        <v>0</v>
      </c>
      <c r="N875" s="90">
        <v>0</v>
      </c>
      <c r="O875" s="90">
        <v>255</v>
      </c>
    </row>
    <row r="876" spans="1:15" s="90" customFormat="1" ht="12.75" customHeight="1" x14ac:dyDescent="0.2">
      <c r="A876" s="247" t="s">
        <v>990</v>
      </c>
      <c r="B876" s="316">
        <v>3046</v>
      </c>
      <c r="C876" s="247" t="s">
        <v>975</v>
      </c>
      <c r="D876" s="317">
        <v>42651</v>
      </c>
      <c r="E876" s="318">
        <v>0.25481481481481483</v>
      </c>
      <c r="F876" s="247" t="s">
        <v>976</v>
      </c>
      <c r="G876" s="247" t="s">
        <v>1035</v>
      </c>
      <c r="H876" s="248" t="s">
        <v>404</v>
      </c>
      <c r="I876" s="248" t="s">
        <v>404</v>
      </c>
      <c r="J876" s="247" t="s">
        <v>809</v>
      </c>
      <c r="K876" s="249">
        <v>0</v>
      </c>
      <c r="M876" s="90">
        <v>0</v>
      </c>
      <c r="N876" s="90">
        <v>0</v>
      </c>
      <c r="O876" s="90">
        <v>255</v>
      </c>
    </row>
    <row r="877" spans="1:15" s="90" customFormat="1" ht="12.75" customHeight="1" x14ac:dyDescent="0.2">
      <c r="A877" s="247" t="s">
        <v>993</v>
      </c>
      <c r="B877" s="316">
        <v>3217</v>
      </c>
      <c r="C877" s="247" t="s">
        <v>975</v>
      </c>
      <c r="D877" s="317">
        <v>42651</v>
      </c>
      <c r="E877" s="318">
        <v>0.25481481481481483</v>
      </c>
      <c r="F877" s="247" t="s">
        <v>235</v>
      </c>
      <c r="G877" s="247" t="s">
        <v>1035</v>
      </c>
      <c r="H877" s="248" t="s">
        <v>234</v>
      </c>
      <c r="I877" s="248" t="s">
        <v>235</v>
      </c>
      <c r="J877" s="247" t="s">
        <v>809</v>
      </c>
      <c r="K877" s="249">
        <v>0</v>
      </c>
      <c r="M877" s="90">
        <v>0</v>
      </c>
      <c r="N877" s="90">
        <v>0</v>
      </c>
      <c r="O877" s="90">
        <v>255</v>
      </c>
    </row>
    <row r="878" spans="1:15" s="90" customFormat="1" ht="12.75" customHeight="1" x14ac:dyDescent="0.2">
      <c r="A878" s="247" t="s">
        <v>1081</v>
      </c>
      <c r="B878" s="316">
        <v>3047</v>
      </c>
      <c r="C878" s="247" t="s">
        <v>996</v>
      </c>
      <c r="D878" s="317">
        <v>42651</v>
      </c>
      <c r="E878" s="318">
        <v>0.26018518518518519</v>
      </c>
      <c r="F878" s="247" t="s">
        <v>235</v>
      </c>
      <c r="G878" s="247" t="s">
        <v>1035</v>
      </c>
      <c r="H878" s="248" t="s">
        <v>234</v>
      </c>
      <c r="I878" s="248" t="s">
        <v>235</v>
      </c>
      <c r="J878" s="247" t="s">
        <v>809</v>
      </c>
      <c r="K878" s="249">
        <v>0</v>
      </c>
      <c r="M878" s="90">
        <v>0</v>
      </c>
      <c r="N878" s="90">
        <v>0</v>
      </c>
      <c r="O878" s="90">
        <v>255</v>
      </c>
    </row>
    <row r="879" spans="1:15" s="90" customFormat="1" ht="12.75" customHeight="1" x14ac:dyDescent="0.2">
      <c r="A879" s="247" t="s">
        <v>1079</v>
      </c>
      <c r="B879" s="316">
        <v>3047</v>
      </c>
      <c r="C879" s="247" t="s">
        <v>996</v>
      </c>
      <c r="D879" s="317">
        <v>42651</v>
      </c>
      <c r="E879" s="318">
        <v>0.2636574074074074</v>
      </c>
      <c r="F879" s="247" t="s">
        <v>235</v>
      </c>
      <c r="G879" s="247" t="s">
        <v>1035</v>
      </c>
      <c r="H879" s="248" t="s">
        <v>234</v>
      </c>
      <c r="I879" s="248" t="s">
        <v>235</v>
      </c>
      <c r="J879" s="247" t="s">
        <v>809</v>
      </c>
      <c r="K879" s="249">
        <v>0</v>
      </c>
      <c r="M879" s="90">
        <v>0</v>
      </c>
      <c r="N879" s="90">
        <v>0</v>
      </c>
      <c r="O879" s="90">
        <v>255</v>
      </c>
    </row>
    <row r="880" spans="1:15" s="90" customFormat="1" ht="12.75" customHeight="1" x14ac:dyDescent="0.2">
      <c r="A880" s="247" t="s">
        <v>1080</v>
      </c>
      <c r="B880" s="316">
        <v>3047</v>
      </c>
      <c r="C880" s="247" t="s">
        <v>996</v>
      </c>
      <c r="D880" s="317">
        <v>42651</v>
      </c>
      <c r="E880" s="318">
        <v>0.2636574074074074</v>
      </c>
      <c r="F880" s="247" t="s">
        <v>235</v>
      </c>
      <c r="G880" s="247" t="s">
        <v>1035</v>
      </c>
      <c r="H880" s="248" t="s">
        <v>234</v>
      </c>
      <c r="I880" s="248" t="s">
        <v>235</v>
      </c>
      <c r="J880" s="247" t="s">
        <v>809</v>
      </c>
      <c r="K880" s="249">
        <v>0</v>
      </c>
      <c r="M880" s="90">
        <v>0</v>
      </c>
      <c r="N880" s="90">
        <v>0</v>
      </c>
      <c r="O880" s="90">
        <v>255</v>
      </c>
    </row>
    <row r="881" spans="1:15" s="90" customFormat="1" ht="12.75" customHeight="1" x14ac:dyDescent="0.2">
      <c r="A881" s="247" t="s">
        <v>1082</v>
      </c>
      <c r="B881" s="316">
        <v>3047</v>
      </c>
      <c r="C881" s="247" t="s">
        <v>996</v>
      </c>
      <c r="D881" s="317">
        <v>42651</v>
      </c>
      <c r="E881" s="318">
        <v>0.27129629629629631</v>
      </c>
      <c r="F881" s="247" t="s">
        <v>235</v>
      </c>
      <c r="G881" s="247" t="s">
        <v>1035</v>
      </c>
      <c r="H881" s="248" t="s">
        <v>234</v>
      </c>
      <c r="I881" s="248" t="s">
        <v>235</v>
      </c>
      <c r="J881" s="247" t="s">
        <v>809</v>
      </c>
      <c r="K881" s="249">
        <v>0</v>
      </c>
      <c r="M881" s="90">
        <v>0</v>
      </c>
      <c r="N881" s="90">
        <v>0</v>
      </c>
      <c r="O881" s="90">
        <v>255</v>
      </c>
    </row>
    <row r="882" spans="1:15" s="90" customFormat="1" ht="12.75" customHeight="1" x14ac:dyDescent="0.2">
      <c r="A882" s="247" t="s">
        <v>989</v>
      </c>
      <c r="B882" s="316">
        <v>3046</v>
      </c>
      <c r="C882" s="247" t="s">
        <v>975</v>
      </c>
      <c r="D882" s="317">
        <v>42651</v>
      </c>
      <c r="E882" s="318">
        <v>0.29649305555555555</v>
      </c>
      <c r="F882" s="247" t="s">
        <v>976</v>
      </c>
      <c r="G882" s="247" t="s">
        <v>1035</v>
      </c>
      <c r="H882" s="248" t="s">
        <v>404</v>
      </c>
      <c r="I882" s="248" t="s">
        <v>404</v>
      </c>
      <c r="J882" s="247" t="s">
        <v>809</v>
      </c>
      <c r="K882" s="249">
        <v>0</v>
      </c>
      <c r="M882" s="90">
        <v>0</v>
      </c>
      <c r="N882" s="90">
        <v>0</v>
      </c>
      <c r="O882" s="90">
        <v>255</v>
      </c>
    </row>
    <row r="883" spans="1:15" s="90" customFormat="1" ht="12.75" customHeight="1" x14ac:dyDescent="0.2">
      <c r="A883" s="247" t="s">
        <v>990</v>
      </c>
      <c r="B883" s="316">
        <v>3046</v>
      </c>
      <c r="C883" s="247" t="s">
        <v>975</v>
      </c>
      <c r="D883" s="317">
        <v>42651</v>
      </c>
      <c r="E883" s="318">
        <v>0.29673611111111114</v>
      </c>
      <c r="F883" s="247" t="s">
        <v>976</v>
      </c>
      <c r="G883" s="247" t="s">
        <v>1035</v>
      </c>
      <c r="H883" s="248" t="s">
        <v>404</v>
      </c>
      <c r="I883" s="248" t="s">
        <v>404</v>
      </c>
      <c r="J883" s="247" t="s">
        <v>809</v>
      </c>
      <c r="K883" s="249">
        <v>0</v>
      </c>
      <c r="M883" s="90">
        <v>0</v>
      </c>
      <c r="N883" s="90">
        <v>0</v>
      </c>
      <c r="O883" s="90">
        <v>255</v>
      </c>
    </row>
    <row r="884" spans="1:15" s="90" customFormat="1" ht="12.75" customHeight="1" x14ac:dyDescent="0.2">
      <c r="A884" s="247" t="s">
        <v>993</v>
      </c>
      <c r="B884" s="316">
        <v>3217</v>
      </c>
      <c r="C884" s="247" t="s">
        <v>975</v>
      </c>
      <c r="D884" s="317">
        <v>42651</v>
      </c>
      <c r="E884" s="318">
        <v>0.29673611111111114</v>
      </c>
      <c r="F884" s="247" t="s">
        <v>235</v>
      </c>
      <c r="G884" s="247" t="s">
        <v>1035</v>
      </c>
      <c r="H884" s="248" t="s">
        <v>234</v>
      </c>
      <c r="I884" s="248" t="s">
        <v>235</v>
      </c>
      <c r="J884" s="247" t="s">
        <v>809</v>
      </c>
      <c r="K884" s="249">
        <v>0</v>
      </c>
      <c r="M884" s="90">
        <v>0</v>
      </c>
      <c r="N884" s="90">
        <v>0</v>
      </c>
      <c r="O884" s="90">
        <v>255</v>
      </c>
    </row>
    <row r="885" spans="1:15" s="90" customFormat="1" ht="12.75" customHeight="1" x14ac:dyDescent="0.2">
      <c r="A885" s="247" t="s">
        <v>1085</v>
      </c>
      <c r="B885" s="316">
        <v>3089</v>
      </c>
      <c r="C885" s="247" t="s">
        <v>996</v>
      </c>
      <c r="D885" s="317">
        <v>42651</v>
      </c>
      <c r="E885" s="318">
        <v>0.30185185185185187</v>
      </c>
      <c r="F885" s="247" t="s">
        <v>235</v>
      </c>
      <c r="G885" s="247" t="s">
        <v>1035</v>
      </c>
      <c r="H885" s="248" t="s">
        <v>234</v>
      </c>
      <c r="I885" s="248" t="s">
        <v>235</v>
      </c>
      <c r="J885" s="247" t="s">
        <v>809</v>
      </c>
      <c r="K885" s="249">
        <v>0</v>
      </c>
      <c r="M885" s="90">
        <v>0</v>
      </c>
      <c r="N885" s="90">
        <v>0</v>
      </c>
      <c r="O885" s="90">
        <v>255</v>
      </c>
    </row>
    <row r="886" spans="1:15" s="90" customFormat="1" ht="12.75" customHeight="1" x14ac:dyDescent="0.2">
      <c r="A886" s="247" t="s">
        <v>1083</v>
      </c>
      <c r="B886" s="316">
        <v>3089</v>
      </c>
      <c r="C886" s="247" t="s">
        <v>996</v>
      </c>
      <c r="D886" s="317">
        <v>42651</v>
      </c>
      <c r="E886" s="318">
        <v>0.30532407407407408</v>
      </c>
      <c r="F886" s="247" t="s">
        <v>235</v>
      </c>
      <c r="G886" s="247" t="s">
        <v>1035</v>
      </c>
      <c r="H886" s="248" t="s">
        <v>234</v>
      </c>
      <c r="I886" s="248" t="s">
        <v>235</v>
      </c>
      <c r="J886" s="247" t="s">
        <v>809</v>
      </c>
      <c r="K886" s="249">
        <v>0</v>
      </c>
      <c r="M886" s="90">
        <v>0</v>
      </c>
      <c r="N886" s="90">
        <v>0</v>
      </c>
      <c r="O886" s="90">
        <v>255</v>
      </c>
    </row>
    <row r="887" spans="1:15" s="90" customFormat="1" ht="12.75" customHeight="1" x14ac:dyDescent="0.2">
      <c r="A887" s="247" t="s">
        <v>1084</v>
      </c>
      <c r="B887" s="316">
        <v>3089</v>
      </c>
      <c r="C887" s="247" t="s">
        <v>996</v>
      </c>
      <c r="D887" s="317">
        <v>42651</v>
      </c>
      <c r="E887" s="318">
        <v>0.30532407407407408</v>
      </c>
      <c r="F887" s="247" t="s">
        <v>235</v>
      </c>
      <c r="G887" s="247" t="s">
        <v>1035</v>
      </c>
      <c r="H887" s="248" t="s">
        <v>234</v>
      </c>
      <c r="I887" s="248" t="s">
        <v>235</v>
      </c>
      <c r="J887" s="247" t="s">
        <v>809</v>
      </c>
      <c r="K887" s="249">
        <v>0</v>
      </c>
      <c r="M887" s="90">
        <v>0</v>
      </c>
      <c r="N887" s="90">
        <v>0</v>
      </c>
      <c r="O887" s="90">
        <v>255</v>
      </c>
    </row>
    <row r="888" spans="1:15" s="90" customFormat="1" ht="12.75" customHeight="1" x14ac:dyDescent="0.2">
      <c r="A888" s="247" t="s">
        <v>1086</v>
      </c>
      <c r="B888" s="316">
        <v>3089</v>
      </c>
      <c r="C888" s="247" t="s">
        <v>996</v>
      </c>
      <c r="D888" s="317">
        <v>42651</v>
      </c>
      <c r="E888" s="318">
        <v>0.31296296296296294</v>
      </c>
      <c r="F888" s="247" t="s">
        <v>235</v>
      </c>
      <c r="G888" s="247" t="s">
        <v>1035</v>
      </c>
      <c r="H888" s="248" t="s">
        <v>234</v>
      </c>
      <c r="I888" s="248" t="s">
        <v>235</v>
      </c>
      <c r="J888" s="247" t="s">
        <v>809</v>
      </c>
      <c r="K888" s="249">
        <v>0</v>
      </c>
      <c r="M888" s="90">
        <v>0</v>
      </c>
      <c r="N888" s="90">
        <v>0</v>
      </c>
      <c r="O888" s="90">
        <v>255</v>
      </c>
    </row>
    <row r="889" spans="1:15" s="90" customFormat="1" ht="12.75" customHeight="1" x14ac:dyDescent="0.2">
      <c r="A889" s="247" t="s">
        <v>989</v>
      </c>
      <c r="B889" s="316">
        <v>3046</v>
      </c>
      <c r="C889" s="247" t="s">
        <v>975</v>
      </c>
      <c r="D889" s="317">
        <v>42651</v>
      </c>
      <c r="E889" s="318">
        <v>0.33841435185185187</v>
      </c>
      <c r="F889" s="247" t="s">
        <v>976</v>
      </c>
      <c r="G889" s="247" t="s">
        <v>1035</v>
      </c>
      <c r="H889" s="248" t="s">
        <v>404</v>
      </c>
      <c r="I889" s="248" t="s">
        <v>404</v>
      </c>
      <c r="J889" s="247" t="s">
        <v>809</v>
      </c>
      <c r="K889" s="249">
        <v>0</v>
      </c>
      <c r="M889" s="90">
        <v>0</v>
      </c>
      <c r="N889" s="90">
        <v>0</v>
      </c>
      <c r="O889" s="90">
        <v>255</v>
      </c>
    </row>
    <row r="890" spans="1:15" s="90" customFormat="1" ht="12.75" customHeight="1" x14ac:dyDescent="0.2">
      <c r="A890" s="247" t="s">
        <v>990</v>
      </c>
      <c r="B890" s="316">
        <v>3046</v>
      </c>
      <c r="C890" s="247" t="s">
        <v>975</v>
      </c>
      <c r="D890" s="317">
        <v>42651</v>
      </c>
      <c r="E890" s="318">
        <v>0.33865740740740741</v>
      </c>
      <c r="F890" s="247" t="s">
        <v>976</v>
      </c>
      <c r="G890" s="247" t="s">
        <v>1035</v>
      </c>
      <c r="H890" s="248" t="s">
        <v>404</v>
      </c>
      <c r="I890" s="248" t="s">
        <v>404</v>
      </c>
      <c r="J890" s="247" t="s">
        <v>809</v>
      </c>
      <c r="K890" s="249">
        <v>0</v>
      </c>
      <c r="M890" s="90">
        <v>0</v>
      </c>
      <c r="N890" s="90">
        <v>0</v>
      </c>
      <c r="O890" s="90">
        <v>255</v>
      </c>
    </row>
    <row r="891" spans="1:15" s="90" customFormat="1" ht="12.75" customHeight="1" x14ac:dyDescent="0.2">
      <c r="A891" s="247" t="s">
        <v>993</v>
      </c>
      <c r="B891" s="316">
        <v>3217</v>
      </c>
      <c r="C891" s="247" t="s">
        <v>975</v>
      </c>
      <c r="D891" s="317">
        <v>42651</v>
      </c>
      <c r="E891" s="318">
        <v>0.33865740740740741</v>
      </c>
      <c r="F891" s="247" t="s">
        <v>235</v>
      </c>
      <c r="G891" s="247" t="s">
        <v>1035</v>
      </c>
      <c r="H891" s="248" t="s">
        <v>234</v>
      </c>
      <c r="I891" s="248" t="s">
        <v>235</v>
      </c>
      <c r="J891" s="247" t="s">
        <v>809</v>
      </c>
      <c r="K891" s="249">
        <v>0</v>
      </c>
      <c r="M891" s="90">
        <v>0</v>
      </c>
      <c r="N891" s="90">
        <v>0</v>
      </c>
      <c r="O891" s="90">
        <v>255</v>
      </c>
    </row>
    <row r="892" spans="1:15" s="90" customFormat="1" ht="12.75" customHeight="1" x14ac:dyDescent="0.2">
      <c r="A892" s="247" t="s">
        <v>1310</v>
      </c>
      <c r="B892" s="316">
        <v>3002</v>
      </c>
      <c r="C892" s="247" t="s">
        <v>996</v>
      </c>
      <c r="D892" s="317">
        <v>42651</v>
      </c>
      <c r="E892" s="318">
        <v>0.36313657407407413</v>
      </c>
      <c r="F892" s="247" t="s">
        <v>702</v>
      </c>
      <c r="G892" s="247" t="s">
        <v>1035</v>
      </c>
      <c r="H892" s="248" t="s">
        <v>234</v>
      </c>
      <c r="I892" s="248" t="s">
        <v>702</v>
      </c>
      <c r="J892" s="247" t="s">
        <v>809</v>
      </c>
      <c r="K892" s="249">
        <v>0</v>
      </c>
      <c r="M892" s="90">
        <v>0</v>
      </c>
      <c r="N892" s="90">
        <v>0</v>
      </c>
      <c r="O892" s="90">
        <v>255</v>
      </c>
    </row>
    <row r="893" spans="1:15" s="90" customFormat="1" ht="12.75" customHeight="1" x14ac:dyDescent="0.2">
      <c r="A893" s="247" t="s">
        <v>989</v>
      </c>
      <c r="B893" s="316">
        <v>3046</v>
      </c>
      <c r="C893" s="247" t="s">
        <v>975</v>
      </c>
      <c r="D893" s="317">
        <v>42651</v>
      </c>
      <c r="E893" s="318">
        <v>0.38033564814814813</v>
      </c>
      <c r="F893" s="247" t="s">
        <v>976</v>
      </c>
      <c r="G893" s="247" t="s">
        <v>1035</v>
      </c>
      <c r="H893" s="248" t="s">
        <v>404</v>
      </c>
      <c r="I893" s="248" t="s">
        <v>404</v>
      </c>
      <c r="J893" s="247" t="s">
        <v>809</v>
      </c>
      <c r="K893" s="249">
        <v>0</v>
      </c>
      <c r="M893" s="90">
        <v>0</v>
      </c>
      <c r="N893" s="90">
        <v>0</v>
      </c>
      <c r="O893" s="90">
        <v>255</v>
      </c>
    </row>
    <row r="894" spans="1:15" s="90" customFormat="1" ht="12.75" customHeight="1" x14ac:dyDescent="0.2">
      <c r="A894" s="247" t="s">
        <v>990</v>
      </c>
      <c r="B894" s="316">
        <v>3046</v>
      </c>
      <c r="C894" s="247" t="s">
        <v>975</v>
      </c>
      <c r="D894" s="317">
        <v>42651</v>
      </c>
      <c r="E894" s="318">
        <v>0.38057870370370367</v>
      </c>
      <c r="F894" s="247" t="s">
        <v>976</v>
      </c>
      <c r="G894" s="247" t="s">
        <v>1035</v>
      </c>
      <c r="H894" s="248" t="s">
        <v>404</v>
      </c>
      <c r="I894" s="248" t="s">
        <v>404</v>
      </c>
      <c r="J894" s="247" t="s">
        <v>809</v>
      </c>
      <c r="K894" s="249">
        <v>0</v>
      </c>
      <c r="M894" s="90">
        <v>0</v>
      </c>
      <c r="N894" s="90">
        <v>0</v>
      </c>
      <c r="O894" s="90">
        <v>255</v>
      </c>
    </row>
    <row r="895" spans="1:15" s="90" customFormat="1" ht="12.75" customHeight="1" x14ac:dyDescent="0.2">
      <c r="A895" s="247" t="s">
        <v>993</v>
      </c>
      <c r="B895" s="316">
        <v>3217</v>
      </c>
      <c r="C895" s="247" t="s">
        <v>975</v>
      </c>
      <c r="D895" s="317">
        <v>42651</v>
      </c>
      <c r="E895" s="318">
        <v>0.38057870370370367</v>
      </c>
      <c r="F895" s="247" t="s">
        <v>235</v>
      </c>
      <c r="G895" s="247" t="s">
        <v>1035</v>
      </c>
      <c r="H895" s="248" t="s">
        <v>234</v>
      </c>
      <c r="I895" s="248" t="s">
        <v>235</v>
      </c>
      <c r="J895" s="247" t="s">
        <v>809</v>
      </c>
      <c r="K895" s="249">
        <v>0</v>
      </c>
      <c r="M895" s="90">
        <v>0</v>
      </c>
      <c r="N895" s="90">
        <v>0</v>
      </c>
      <c r="O895" s="90">
        <v>255</v>
      </c>
    </row>
    <row r="896" spans="1:15" s="90" customFormat="1" ht="12.75" customHeight="1" x14ac:dyDescent="0.2">
      <c r="A896" s="247" t="s">
        <v>1311</v>
      </c>
      <c r="B896" s="316">
        <v>3084</v>
      </c>
      <c r="C896" s="247" t="s">
        <v>979</v>
      </c>
      <c r="D896" s="317">
        <v>42651</v>
      </c>
      <c r="E896" s="318">
        <v>0.40341435185185182</v>
      </c>
      <c r="F896" s="247" t="s">
        <v>702</v>
      </c>
      <c r="G896" s="247" t="s">
        <v>1035</v>
      </c>
      <c r="H896" s="248" t="s">
        <v>234</v>
      </c>
      <c r="I896" s="248" t="s">
        <v>702</v>
      </c>
      <c r="J896" s="247" t="s">
        <v>809</v>
      </c>
      <c r="K896" s="249">
        <v>0</v>
      </c>
      <c r="M896" s="90">
        <v>0</v>
      </c>
      <c r="N896" s="90">
        <v>0</v>
      </c>
      <c r="O896" s="90">
        <v>255</v>
      </c>
    </row>
    <row r="897" spans="1:15" s="90" customFormat="1" ht="12.75" customHeight="1" x14ac:dyDescent="0.2">
      <c r="A897" s="247" t="s">
        <v>1312</v>
      </c>
      <c r="B897" s="316">
        <v>3084</v>
      </c>
      <c r="C897" s="247" t="s">
        <v>979</v>
      </c>
      <c r="D897" s="317">
        <v>42651</v>
      </c>
      <c r="E897" s="318">
        <v>0.40410879629629631</v>
      </c>
      <c r="F897" s="247" t="s">
        <v>702</v>
      </c>
      <c r="G897" s="247" t="s">
        <v>1035</v>
      </c>
      <c r="H897" s="248" t="s">
        <v>234</v>
      </c>
      <c r="I897" s="248" t="s">
        <v>702</v>
      </c>
      <c r="J897" s="247" t="s">
        <v>809</v>
      </c>
      <c r="K897" s="249">
        <v>0</v>
      </c>
      <c r="M897" s="90">
        <v>0</v>
      </c>
      <c r="N897" s="90">
        <v>0</v>
      </c>
      <c r="O897" s="90">
        <v>255</v>
      </c>
    </row>
    <row r="898" spans="1:15" s="90" customFormat="1" ht="12.75" customHeight="1" x14ac:dyDescent="0.2">
      <c r="A898" s="247" t="s">
        <v>989</v>
      </c>
      <c r="B898" s="316">
        <v>3046</v>
      </c>
      <c r="C898" s="247" t="s">
        <v>975</v>
      </c>
      <c r="D898" s="317">
        <v>42651</v>
      </c>
      <c r="E898" s="318">
        <v>0.42224537037037035</v>
      </c>
      <c r="F898" s="247" t="s">
        <v>976</v>
      </c>
      <c r="G898" s="247" t="s">
        <v>1035</v>
      </c>
      <c r="H898" s="248" t="s">
        <v>404</v>
      </c>
      <c r="I898" s="248" t="s">
        <v>404</v>
      </c>
      <c r="J898" s="247" t="s">
        <v>809</v>
      </c>
      <c r="K898" s="249">
        <v>0</v>
      </c>
      <c r="M898" s="90">
        <v>0</v>
      </c>
      <c r="N898" s="90">
        <v>0</v>
      </c>
      <c r="O898" s="90">
        <v>255</v>
      </c>
    </row>
    <row r="899" spans="1:15" s="90" customFormat="1" ht="12.75" customHeight="1" x14ac:dyDescent="0.2">
      <c r="A899" s="247" t="s">
        <v>990</v>
      </c>
      <c r="B899" s="316">
        <v>3046</v>
      </c>
      <c r="C899" s="247" t="s">
        <v>975</v>
      </c>
      <c r="D899" s="317">
        <v>42651</v>
      </c>
      <c r="E899" s="318">
        <v>0.42250000000000004</v>
      </c>
      <c r="F899" s="247" t="s">
        <v>976</v>
      </c>
      <c r="G899" s="247" t="s">
        <v>1035</v>
      </c>
      <c r="H899" s="248" t="s">
        <v>404</v>
      </c>
      <c r="I899" s="248" t="s">
        <v>404</v>
      </c>
      <c r="J899" s="247" t="s">
        <v>809</v>
      </c>
      <c r="K899" s="249">
        <v>0</v>
      </c>
      <c r="M899" s="90">
        <v>0</v>
      </c>
      <c r="N899" s="90">
        <v>0</v>
      </c>
      <c r="O899" s="90">
        <v>255</v>
      </c>
    </row>
    <row r="900" spans="1:15" s="90" customFormat="1" ht="12.75" customHeight="1" x14ac:dyDescent="0.2">
      <c r="A900" s="247" t="s">
        <v>993</v>
      </c>
      <c r="B900" s="316">
        <v>3217</v>
      </c>
      <c r="C900" s="247" t="s">
        <v>975</v>
      </c>
      <c r="D900" s="317">
        <v>42651</v>
      </c>
      <c r="E900" s="318">
        <v>0.42250000000000004</v>
      </c>
      <c r="F900" s="247" t="s">
        <v>235</v>
      </c>
      <c r="G900" s="247" t="s">
        <v>1035</v>
      </c>
      <c r="H900" s="248" t="s">
        <v>234</v>
      </c>
      <c r="I900" s="248" t="s">
        <v>235</v>
      </c>
      <c r="J900" s="247" t="s">
        <v>809</v>
      </c>
      <c r="K900" s="249">
        <v>0</v>
      </c>
      <c r="M900" s="90">
        <v>0</v>
      </c>
      <c r="N900" s="90">
        <v>0</v>
      </c>
      <c r="O900" s="90">
        <v>255</v>
      </c>
    </row>
    <row r="901" spans="1:15" s="90" customFormat="1" ht="12.75" customHeight="1" x14ac:dyDescent="0.2">
      <c r="A901" s="247" t="s">
        <v>989</v>
      </c>
      <c r="B901" s="316">
        <v>3046</v>
      </c>
      <c r="C901" s="247" t="s">
        <v>975</v>
      </c>
      <c r="D901" s="317">
        <v>42651</v>
      </c>
      <c r="E901" s="318">
        <v>0.46417824074074071</v>
      </c>
      <c r="F901" s="247" t="s">
        <v>976</v>
      </c>
      <c r="G901" s="247" t="s">
        <v>1035</v>
      </c>
      <c r="H901" s="248" t="s">
        <v>404</v>
      </c>
      <c r="I901" s="248" t="s">
        <v>404</v>
      </c>
      <c r="J901" s="247" t="s">
        <v>809</v>
      </c>
      <c r="K901" s="249">
        <v>0</v>
      </c>
      <c r="M901" s="90">
        <v>0</v>
      </c>
      <c r="N901" s="90">
        <v>0</v>
      </c>
      <c r="O901" s="90">
        <v>255</v>
      </c>
    </row>
    <row r="902" spans="1:15" s="90" customFormat="1" ht="12.75" customHeight="1" x14ac:dyDescent="0.2">
      <c r="A902" s="247" t="s">
        <v>990</v>
      </c>
      <c r="B902" s="316">
        <v>3046</v>
      </c>
      <c r="C902" s="247" t="s">
        <v>975</v>
      </c>
      <c r="D902" s="317">
        <v>42651</v>
      </c>
      <c r="E902" s="318">
        <v>0.4644212962962963</v>
      </c>
      <c r="F902" s="247" t="s">
        <v>976</v>
      </c>
      <c r="G902" s="247" t="s">
        <v>1035</v>
      </c>
      <c r="H902" s="248" t="s">
        <v>404</v>
      </c>
      <c r="I902" s="248" t="s">
        <v>404</v>
      </c>
      <c r="J902" s="247" t="s">
        <v>809</v>
      </c>
      <c r="K902" s="249">
        <v>0</v>
      </c>
      <c r="M902" s="90">
        <v>0</v>
      </c>
      <c r="N902" s="90">
        <v>0</v>
      </c>
      <c r="O902" s="90">
        <v>255</v>
      </c>
    </row>
    <row r="903" spans="1:15" s="90" customFormat="1" ht="12.75" customHeight="1" x14ac:dyDescent="0.2">
      <c r="A903" s="247" t="s">
        <v>993</v>
      </c>
      <c r="B903" s="316">
        <v>3217</v>
      </c>
      <c r="C903" s="247" t="s">
        <v>975</v>
      </c>
      <c r="D903" s="317">
        <v>42651</v>
      </c>
      <c r="E903" s="318">
        <v>0.4644212962962963</v>
      </c>
      <c r="F903" s="247" t="s">
        <v>235</v>
      </c>
      <c r="G903" s="247" t="s">
        <v>1035</v>
      </c>
      <c r="H903" s="248" t="s">
        <v>234</v>
      </c>
      <c r="I903" s="248" t="s">
        <v>235</v>
      </c>
      <c r="J903" s="247" t="s">
        <v>809</v>
      </c>
      <c r="K903" s="249">
        <v>0</v>
      </c>
      <c r="M903" s="90">
        <v>0</v>
      </c>
      <c r="N903" s="90">
        <v>0</v>
      </c>
      <c r="O903" s="90">
        <v>255</v>
      </c>
    </row>
    <row r="904" spans="1:15" s="90" customFormat="1" ht="12.75" customHeight="1" x14ac:dyDescent="0.2">
      <c r="A904" s="247" t="s">
        <v>989</v>
      </c>
      <c r="B904" s="316">
        <v>3046</v>
      </c>
      <c r="C904" s="247" t="s">
        <v>975</v>
      </c>
      <c r="D904" s="317">
        <v>42651</v>
      </c>
      <c r="E904" s="318">
        <v>0.50608796296296299</v>
      </c>
      <c r="F904" s="247" t="s">
        <v>976</v>
      </c>
      <c r="G904" s="247" t="s">
        <v>1035</v>
      </c>
      <c r="H904" s="248" t="s">
        <v>404</v>
      </c>
      <c r="I904" s="248" t="s">
        <v>404</v>
      </c>
      <c r="J904" s="247" t="s">
        <v>809</v>
      </c>
      <c r="K904" s="249">
        <v>0</v>
      </c>
      <c r="M904" s="90">
        <v>0</v>
      </c>
      <c r="N904" s="90">
        <v>0</v>
      </c>
      <c r="O904" s="90">
        <v>255</v>
      </c>
    </row>
    <row r="905" spans="1:15" s="90" customFormat="1" ht="12.75" customHeight="1" x14ac:dyDescent="0.2">
      <c r="A905" s="247" t="s">
        <v>990</v>
      </c>
      <c r="B905" s="316">
        <v>3046</v>
      </c>
      <c r="C905" s="247" t="s">
        <v>975</v>
      </c>
      <c r="D905" s="317">
        <v>42651</v>
      </c>
      <c r="E905" s="318">
        <v>0.50634259259259262</v>
      </c>
      <c r="F905" s="247" t="s">
        <v>976</v>
      </c>
      <c r="G905" s="247" t="s">
        <v>1035</v>
      </c>
      <c r="H905" s="248" t="s">
        <v>404</v>
      </c>
      <c r="I905" s="248" t="s">
        <v>404</v>
      </c>
      <c r="J905" s="247" t="s">
        <v>809</v>
      </c>
      <c r="K905" s="249">
        <v>0</v>
      </c>
      <c r="M905" s="90">
        <v>0</v>
      </c>
      <c r="N905" s="90">
        <v>0</v>
      </c>
      <c r="O905" s="90">
        <v>255</v>
      </c>
    </row>
    <row r="906" spans="1:15" s="90" customFormat="1" ht="12.75" customHeight="1" x14ac:dyDescent="0.2">
      <c r="A906" s="247" t="s">
        <v>993</v>
      </c>
      <c r="B906" s="316">
        <v>3217</v>
      </c>
      <c r="C906" s="247" t="s">
        <v>975</v>
      </c>
      <c r="D906" s="317">
        <v>42651</v>
      </c>
      <c r="E906" s="318">
        <v>0.50634259259259262</v>
      </c>
      <c r="F906" s="247" t="s">
        <v>235</v>
      </c>
      <c r="G906" s="247" t="s">
        <v>1035</v>
      </c>
      <c r="H906" s="248" t="s">
        <v>234</v>
      </c>
      <c r="I906" s="248" t="s">
        <v>235</v>
      </c>
      <c r="J906" s="247" t="s">
        <v>809</v>
      </c>
      <c r="K906" s="249">
        <v>0</v>
      </c>
      <c r="M906" s="90">
        <v>0</v>
      </c>
      <c r="N906" s="90">
        <v>0</v>
      </c>
      <c r="O906" s="90">
        <v>255</v>
      </c>
    </row>
    <row r="907" spans="1:15" s="90" customFormat="1" ht="12.75" customHeight="1" x14ac:dyDescent="0.2">
      <c r="A907" s="247" t="s">
        <v>989</v>
      </c>
      <c r="B907" s="316">
        <v>3046</v>
      </c>
      <c r="C907" s="247" t="s">
        <v>975</v>
      </c>
      <c r="D907" s="317">
        <v>42651</v>
      </c>
      <c r="E907" s="318">
        <v>0.54802083333333329</v>
      </c>
      <c r="F907" s="247" t="s">
        <v>976</v>
      </c>
      <c r="G907" s="247" t="s">
        <v>1035</v>
      </c>
      <c r="H907" s="248" t="s">
        <v>404</v>
      </c>
      <c r="I907" s="248" t="s">
        <v>404</v>
      </c>
      <c r="J907" s="247" t="s">
        <v>809</v>
      </c>
      <c r="K907" s="249">
        <v>0</v>
      </c>
      <c r="M907" s="90">
        <v>0</v>
      </c>
      <c r="N907" s="90">
        <v>0</v>
      </c>
      <c r="O907" s="90">
        <v>255</v>
      </c>
    </row>
    <row r="908" spans="1:15" s="90" customFormat="1" ht="12.75" customHeight="1" x14ac:dyDescent="0.2">
      <c r="A908" s="247" t="s">
        <v>990</v>
      </c>
      <c r="B908" s="316">
        <v>3046</v>
      </c>
      <c r="C908" s="247" t="s">
        <v>975</v>
      </c>
      <c r="D908" s="317">
        <v>42651</v>
      </c>
      <c r="E908" s="318">
        <v>0.54826388888888888</v>
      </c>
      <c r="F908" s="247" t="s">
        <v>976</v>
      </c>
      <c r="G908" s="247" t="s">
        <v>1035</v>
      </c>
      <c r="H908" s="248" t="s">
        <v>404</v>
      </c>
      <c r="I908" s="248" t="s">
        <v>404</v>
      </c>
      <c r="J908" s="247" t="s">
        <v>809</v>
      </c>
      <c r="K908" s="249">
        <v>0</v>
      </c>
      <c r="M908" s="90">
        <v>0</v>
      </c>
      <c r="N908" s="90">
        <v>0</v>
      </c>
      <c r="O908" s="90">
        <v>255</v>
      </c>
    </row>
    <row r="909" spans="1:15" s="90" customFormat="1" ht="12.75" customHeight="1" x14ac:dyDescent="0.2">
      <c r="A909" s="247" t="s">
        <v>993</v>
      </c>
      <c r="B909" s="316">
        <v>3217</v>
      </c>
      <c r="C909" s="247" t="s">
        <v>975</v>
      </c>
      <c r="D909" s="317">
        <v>42651</v>
      </c>
      <c r="E909" s="318">
        <v>0.54826388888888888</v>
      </c>
      <c r="F909" s="247" t="s">
        <v>235</v>
      </c>
      <c r="G909" s="247" t="s">
        <v>1035</v>
      </c>
      <c r="H909" s="248" t="s">
        <v>234</v>
      </c>
      <c r="I909" s="248" t="s">
        <v>235</v>
      </c>
      <c r="J909" s="247" t="s">
        <v>809</v>
      </c>
      <c r="K909" s="249">
        <v>0</v>
      </c>
      <c r="M909" s="90">
        <v>0</v>
      </c>
      <c r="N909" s="90">
        <v>0</v>
      </c>
      <c r="O909" s="90">
        <v>255</v>
      </c>
    </row>
    <row r="910" spans="1:15" s="90" customFormat="1" ht="12.75" customHeight="1" x14ac:dyDescent="0.2">
      <c r="A910" s="247" t="s">
        <v>1313</v>
      </c>
      <c r="B910" s="316">
        <v>3084</v>
      </c>
      <c r="C910" s="247" t="s">
        <v>979</v>
      </c>
      <c r="D910" s="317">
        <v>42651</v>
      </c>
      <c r="E910" s="318">
        <v>0.56734953703703705</v>
      </c>
      <c r="F910" s="247" t="s">
        <v>702</v>
      </c>
      <c r="G910" s="247" t="s">
        <v>1035</v>
      </c>
      <c r="H910" s="248" t="s">
        <v>234</v>
      </c>
      <c r="I910" s="248" t="s">
        <v>702</v>
      </c>
      <c r="J910" s="247" t="s">
        <v>809</v>
      </c>
      <c r="K910" s="249">
        <v>0</v>
      </c>
      <c r="M910" s="90">
        <v>0</v>
      </c>
      <c r="N910" s="90">
        <v>0</v>
      </c>
      <c r="O910" s="90">
        <v>255</v>
      </c>
    </row>
    <row r="911" spans="1:15" s="90" customFormat="1" ht="12.75" customHeight="1" x14ac:dyDescent="0.2">
      <c r="A911" s="247" t="s">
        <v>1314</v>
      </c>
      <c r="B911" s="316">
        <v>3084</v>
      </c>
      <c r="C911" s="247" t="s">
        <v>979</v>
      </c>
      <c r="D911" s="317">
        <v>42651</v>
      </c>
      <c r="E911" s="318">
        <v>0.56734953703703705</v>
      </c>
      <c r="F911" s="247" t="s">
        <v>702</v>
      </c>
      <c r="G911" s="247" t="s">
        <v>1035</v>
      </c>
      <c r="H911" s="248" t="s">
        <v>234</v>
      </c>
      <c r="I911" s="248" t="s">
        <v>702</v>
      </c>
      <c r="J911" s="247" t="s">
        <v>809</v>
      </c>
      <c r="K911" s="249">
        <v>0</v>
      </c>
      <c r="M911" s="90">
        <v>0</v>
      </c>
      <c r="N911" s="90">
        <v>0</v>
      </c>
      <c r="O911" s="90">
        <v>255</v>
      </c>
    </row>
    <row r="912" spans="1:15" s="90" customFormat="1" ht="12.75" customHeight="1" x14ac:dyDescent="0.2">
      <c r="A912" s="247" t="s">
        <v>989</v>
      </c>
      <c r="B912" s="316">
        <v>3046</v>
      </c>
      <c r="C912" s="247" t="s">
        <v>975</v>
      </c>
      <c r="D912" s="317">
        <v>42651</v>
      </c>
      <c r="E912" s="318">
        <v>0.58993055555555551</v>
      </c>
      <c r="F912" s="247" t="s">
        <v>976</v>
      </c>
      <c r="G912" s="247" t="s">
        <v>1035</v>
      </c>
      <c r="H912" s="248" t="s">
        <v>404</v>
      </c>
      <c r="I912" s="248" t="s">
        <v>404</v>
      </c>
      <c r="J912" s="247" t="s">
        <v>809</v>
      </c>
      <c r="K912" s="249">
        <v>0</v>
      </c>
      <c r="M912" s="90">
        <v>0</v>
      </c>
      <c r="N912" s="90">
        <v>0</v>
      </c>
      <c r="O912" s="90">
        <v>255</v>
      </c>
    </row>
    <row r="913" spans="1:15" s="90" customFormat="1" ht="12.75" customHeight="1" x14ac:dyDescent="0.2">
      <c r="A913" s="247" t="s">
        <v>990</v>
      </c>
      <c r="B913" s="316">
        <v>3046</v>
      </c>
      <c r="C913" s="247" t="s">
        <v>975</v>
      </c>
      <c r="D913" s="317">
        <v>42651</v>
      </c>
      <c r="E913" s="318">
        <v>0.59018518518518526</v>
      </c>
      <c r="F913" s="247" t="s">
        <v>976</v>
      </c>
      <c r="G913" s="247" t="s">
        <v>1035</v>
      </c>
      <c r="H913" s="248" t="s">
        <v>404</v>
      </c>
      <c r="I913" s="248" t="s">
        <v>404</v>
      </c>
      <c r="J913" s="247" t="s">
        <v>809</v>
      </c>
      <c r="K913" s="249">
        <v>0</v>
      </c>
      <c r="M913" s="90">
        <v>0</v>
      </c>
      <c r="N913" s="90">
        <v>0</v>
      </c>
      <c r="O913" s="90">
        <v>255</v>
      </c>
    </row>
    <row r="914" spans="1:15" s="90" customFormat="1" ht="12.75" customHeight="1" x14ac:dyDescent="0.2">
      <c r="A914" s="247" t="s">
        <v>993</v>
      </c>
      <c r="B914" s="316">
        <v>3217</v>
      </c>
      <c r="C914" s="247" t="s">
        <v>975</v>
      </c>
      <c r="D914" s="317">
        <v>42651</v>
      </c>
      <c r="E914" s="318">
        <v>0.59018518518518526</v>
      </c>
      <c r="F914" s="247" t="s">
        <v>235</v>
      </c>
      <c r="G914" s="247" t="s">
        <v>1035</v>
      </c>
      <c r="H914" s="248" t="s">
        <v>234</v>
      </c>
      <c r="I914" s="248" t="s">
        <v>235</v>
      </c>
      <c r="J914" s="247" t="s">
        <v>809</v>
      </c>
      <c r="K914" s="249">
        <v>0</v>
      </c>
      <c r="M914" s="90">
        <v>0</v>
      </c>
      <c r="N914" s="90">
        <v>0</v>
      </c>
      <c r="O914" s="90">
        <v>255</v>
      </c>
    </row>
    <row r="915" spans="1:15" s="90" customFormat="1" ht="12.75" customHeight="1" x14ac:dyDescent="0.2">
      <c r="A915" s="247" t="s">
        <v>617</v>
      </c>
      <c r="B915" s="316">
        <v>4050</v>
      </c>
      <c r="C915" s="247" t="s">
        <v>996</v>
      </c>
      <c r="D915" s="317">
        <v>42651</v>
      </c>
      <c r="E915" s="318">
        <v>0.59394675925925922</v>
      </c>
      <c r="F915" s="247" t="s">
        <v>702</v>
      </c>
      <c r="G915" s="247" t="s">
        <v>1035</v>
      </c>
      <c r="H915" s="248" t="s">
        <v>4</v>
      </c>
      <c r="I915" s="248" t="s">
        <v>18</v>
      </c>
      <c r="J915" s="247" t="s">
        <v>809</v>
      </c>
      <c r="K915" s="249">
        <v>0</v>
      </c>
      <c r="L915" s="90" t="s">
        <v>1776</v>
      </c>
      <c r="M915" s="90">
        <v>539</v>
      </c>
      <c r="N915" s="90">
        <v>-1</v>
      </c>
      <c r="O915" s="90">
        <v>0</v>
      </c>
    </row>
    <row r="916" spans="1:15" s="90" customFormat="1" ht="12.75" customHeight="1" x14ac:dyDescent="0.2">
      <c r="A916" s="247" t="s">
        <v>989</v>
      </c>
      <c r="B916" s="316">
        <v>3046</v>
      </c>
      <c r="C916" s="247" t="s">
        <v>975</v>
      </c>
      <c r="D916" s="317">
        <v>42651</v>
      </c>
      <c r="E916" s="318">
        <v>0.63185185185185189</v>
      </c>
      <c r="F916" s="247" t="s">
        <v>976</v>
      </c>
      <c r="G916" s="247" t="s">
        <v>1035</v>
      </c>
      <c r="H916" s="248" t="s">
        <v>404</v>
      </c>
      <c r="I916" s="248" t="s">
        <v>404</v>
      </c>
      <c r="J916" s="247" t="s">
        <v>809</v>
      </c>
      <c r="K916" s="249">
        <v>0</v>
      </c>
      <c r="M916" s="90">
        <v>0</v>
      </c>
      <c r="N916" s="90">
        <v>0</v>
      </c>
      <c r="O916" s="90">
        <v>255</v>
      </c>
    </row>
    <row r="917" spans="1:15" s="90" customFormat="1" ht="12.75" customHeight="1" x14ac:dyDescent="0.2">
      <c r="A917" s="247" t="s">
        <v>990</v>
      </c>
      <c r="B917" s="316">
        <v>3046</v>
      </c>
      <c r="C917" s="247" t="s">
        <v>975</v>
      </c>
      <c r="D917" s="317">
        <v>42651</v>
      </c>
      <c r="E917" s="318">
        <v>0.63295138888888891</v>
      </c>
      <c r="F917" s="247" t="s">
        <v>976</v>
      </c>
      <c r="G917" s="247" t="s">
        <v>1035</v>
      </c>
      <c r="H917" s="248" t="s">
        <v>404</v>
      </c>
      <c r="I917" s="248" t="s">
        <v>404</v>
      </c>
      <c r="J917" s="247" t="s">
        <v>809</v>
      </c>
      <c r="K917" s="249">
        <v>0</v>
      </c>
      <c r="M917" s="90">
        <v>0</v>
      </c>
      <c r="N917" s="90">
        <v>0</v>
      </c>
      <c r="O917" s="90">
        <v>255</v>
      </c>
    </row>
    <row r="918" spans="1:15" s="90" customFormat="1" ht="12.75" customHeight="1" x14ac:dyDescent="0.2">
      <c r="A918" s="247" t="s">
        <v>993</v>
      </c>
      <c r="B918" s="316">
        <v>3217</v>
      </c>
      <c r="C918" s="247" t="s">
        <v>975</v>
      </c>
      <c r="D918" s="317">
        <v>42651</v>
      </c>
      <c r="E918" s="318">
        <v>0.63295138888888891</v>
      </c>
      <c r="F918" s="247" t="s">
        <v>235</v>
      </c>
      <c r="G918" s="247" t="s">
        <v>1035</v>
      </c>
      <c r="H918" s="248" t="s">
        <v>234</v>
      </c>
      <c r="I918" s="248" t="s">
        <v>235</v>
      </c>
      <c r="J918" s="247" t="s">
        <v>809</v>
      </c>
      <c r="K918" s="249">
        <v>0</v>
      </c>
      <c r="M918" s="90">
        <v>0</v>
      </c>
      <c r="N918" s="90">
        <v>0</v>
      </c>
      <c r="O918" s="90">
        <v>255</v>
      </c>
    </row>
    <row r="919" spans="1:15" s="90" customFormat="1" ht="12.75" customHeight="1" x14ac:dyDescent="0.2">
      <c r="A919" s="247" t="s">
        <v>617</v>
      </c>
      <c r="B919" s="316">
        <v>4050</v>
      </c>
      <c r="C919" s="247" t="s">
        <v>996</v>
      </c>
      <c r="D919" s="317">
        <v>42651</v>
      </c>
      <c r="E919" s="318">
        <v>0.63406249999999997</v>
      </c>
      <c r="F919" s="247" t="s">
        <v>702</v>
      </c>
      <c r="G919" s="247" t="s">
        <v>1035</v>
      </c>
      <c r="H919" s="248" t="s">
        <v>4</v>
      </c>
      <c r="I919" s="248" t="s">
        <v>18</v>
      </c>
      <c r="J919" s="247" t="s">
        <v>809</v>
      </c>
      <c r="K919" s="249">
        <v>0</v>
      </c>
      <c r="L919" s="90" t="s">
        <v>1776</v>
      </c>
      <c r="M919" s="90">
        <v>539</v>
      </c>
      <c r="N919" s="90">
        <v>-1</v>
      </c>
      <c r="O919" s="90">
        <v>0</v>
      </c>
    </row>
    <row r="920" spans="1:15" s="90" customFormat="1" ht="12.75" customHeight="1" x14ac:dyDescent="0.2">
      <c r="A920" s="247" t="s">
        <v>617</v>
      </c>
      <c r="B920" s="316">
        <v>4050</v>
      </c>
      <c r="C920" s="247" t="s">
        <v>996</v>
      </c>
      <c r="D920" s="317">
        <v>42651</v>
      </c>
      <c r="E920" s="318">
        <v>0.63548611111111108</v>
      </c>
      <c r="F920" s="247" t="s">
        <v>702</v>
      </c>
      <c r="G920" s="247" t="s">
        <v>1035</v>
      </c>
      <c r="H920" s="248" t="s">
        <v>4</v>
      </c>
      <c r="I920" s="248" t="s">
        <v>18</v>
      </c>
      <c r="J920" s="247" t="s">
        <v>809</v>
      </c>
      <c r="K920" s="249">
        <v>0</v>
      </c>
      <c r="L920" s="90" t="s">
        <v>1776</v>
      </c>
      <c r="M920" s="90">
        <v>539</v>
      </c>
      <c r="N920" s="90">
        <v>-1</v>
      </c>
      <c r="O920" s="90">
        <v>0</v>
      </c>
    </row>
    <row r="921" spans="1:15" s="90" customFormat="1" ht="12.75" customHeight="1" x14ac:dyDescent="0.2">
      <c r="A921" s="247" t="s">
        <v>989</v>
      </c>
      <c r="B921" s="316">
        <v>3046</v>
      </c>
      <c r="C921" s="247" t="s">
        <v>975</v>
      </c>
      <c r="D921" s="317">
        <v>42651</v>
      </c>
      <c r="E921" s="318">
        <v>0.67461805555555554</v>
      </c>
      <c r="F921" s="247" t="s">
        <v>976</v>
      </c>
      <c r="G921" s="247" t="s">
        <v>1035</v>
      </c>
      <c r="H921" s="248" t="s">
        <v>404</v>
      </c>
      <c r="I921" s="248" t="s">
        <v>404</v>
      </c>
      <c r="J921" s="247" t="s">
        <v>809</v>
      </c>
      <c r="K921" s="249">
        <v>0</v>
      </c>
      <c r="M921" s="90">
        <v>0</v>
      </c>
      <c r="N921" s="90">
        <v>0</v>
      </c>
      <c r="O921" s="90">
        <v>255</v>
      </c>
    </row>
    <row r="922" spans="1:15" s="90" customFormat="1" ht="12.75" customHeight="1" x14ac:dyDescent="0.2">
      <c r="A922" s="247" t="s">
        <v>993</v>
      </c>
      <c r="B922" s="316">
        <v>3217</v>
      </c>
      <c r="C922" s="247" t="s">
        <v>975</v>
      </c>
      <c r="D922" s="317">
        <v>42651</v>
      </c>
      <c r="E922" s="318">
        <v>0.67486111111111102</v>
      </c>
      <c r="F922" s="247" t="s">
        <v>235</v>
      </c>
      <c r="G922" s="247" t="s">
        <v>1035</v>
      </c>
      <c r="H922" s="248" t="s">
        <v>234</v>
      </c>
      <c r="I922" s="248" t="s">
        <v>235</v>
      </c>
      <c r="J922" s="247" t="s">
        <v>809</v>
      </c>
      <c r="K922" s="249">
        <v>0</v>
      </c>
      <c r="M922" s="90">
        <v>0</v>
      </c>
      <c r="N922" s="90">
        <v>0</v>
      </c>
      <c r="O922" s="90">
        <v>255</v>
      </c>
    </row>
    <row r="923" spans="1:15" s="90" customFormat="1" ht="12.75" customHeight="1" x14ac:dyDescent="0.2">
      <c r="A923" s="247" t="s">
        <v>990</v>
      </c>
      <c r="B923" s="316">
        <v>3046</v>
      </c>
      <c r="C923" s="247" t="s">
        <v>975</v>
      </c>
      <c r="D923" s="317">
        <v>42651</v>
      </c>
      <c r="E923" s="318">
        <v>0.67487268518518517</v>
      </c>
      <c r="F923" s="247" t="s">
        <v>976</v>
      </c>
      <c r="G923" s="247" t="s">
        <v>1035</v>
      </c>
      <c r="H923" s="248" t="s">
        <v>404</v>
      </c>
      <c r="I923" s="248" t="s">
        <v>404</v>
      </c>
      <c r="J923" s="247" t="s">
        <v>809</v>
      </c>
      <c r="K923" s="249">
        <v>0</v>
      </c>
      <c r="M923" s="90">
        <v>0</v>
      </c>
      <c r="N923" s="90">
        <v>0</v>
      </c>
      <c r="O923" s="90">
        <v>255</v>
      </c>
    </row>
    <row r="924" spans="1:15" s="90" customFormat="1" ht="12.75" customHeight="1" x14ac:dyDescent="0.2">
      <c r="A924" s="247" t="s">
        <v>617</v>
      </c>
      <c r="B924" s="316">
        <v>4050</v>
      </c>
      <c r="C924" s="247" t="s">
        <v>996</v>
      </c>
      <c r="D924" s="317">
        <v>42651</v>
      </c>
      <c r="E924" s="318">
        <v>0.67582175925925936</v>
      </c>
      <c r="F924" s="247" t="s">
        <v>702</v>
      </c>
      <c r="G924" s="247" t="s">
        <v>1035</v>
      </c>
      <c r="H924" s="248" t="s">
        <v>4</v>
      </c>
      <c r="I924" s="248" t="s">
        <v>18</v>
      </c>
      <c r="J924" s="247" t="s">
        <v>809</v>
      </c>
      <c r="K924" s="249">
        <v>0</v>
      </c>
      <c r="L924" s="90" t="s">
        <v>1776</v>
      </c>
      <c r="M924" s="90">
        <v>539</v>
      </c>
      <c r="N924" s="90">
        <v>-1</v>
      </c>
      <c r="O924" s="90">
        <v>0</v>
      </c>
    </row>
    <row r="925" spans="1:15" s="90" customFormat="1" ht="12.75" customHeight="1" x14ac:dyDescent="0.2">
      <c r="A925" s="247" t="s">
        <v>617</v>
      </c>
      <c r="B925" s="316">
        <v>4050</v>
      </c>
      <c r="C925" s="247" t="s">
        <v>996</v>
      </c>
      <c r="D925" s="317">
        <v>42651</v>
      </c>
      <c r="E925" s="318">
        <v>0.68013888888888896</v>
      </c>
      <c r="F925" s="247" t="s">
        <v>702</v>
      </c>
      <c r="G925" s="247" t="s">
        <v>1035</v>
      </c>
      <c r="H925" s="248" t="s">
        <v>4</v>
      </c>
      <c r="I925" s="248" t="s">
        <v>18</v>
      </c>
      <c r="J925" s="247" t="s">
        <v>809</v>
      </c>
      <c r="K925" s="249">
        <v>0</v>
      </c>
      <c r="L925" s="90" t="s">
        <v>1776</v>
      </c>
      <c r="M925" s="90">
        <v>539</v>
      </c>
      <c r="N925" s="90">
        <v>-1</v>
      </c>
      <c r="O925" s="90">
        <v>0</v>
      </c>
    </row>
    <row r="926" spans="1:15" s="90" customFormat="1" ht="12.75" customHeight="1" x14ac:dyDescent="0.2">
      <c r="A926" s="247" t="s">
        <v>989</v>
      </c>
      <c r="B926" s="316">
        <v>3046</v>
      </c>
      <c r="C926" s="247" t="s">
        <v>975</v>
      </c>
      <c r="D926" s="317">
        <v>42651</v>
      </c>
      <c r="E926" s="318">
        <v>0.7165393518518518</v>
      </c>
      <c r="F926" s="247" t="s">
        <v>976</v>
      </c>
      <c r="G926" s="247" t="s">
        <v>1035</v>
      </c>
      <c r="H926" s="248" t="s">
        <v>404</v>
      </c>
      <c r="I926" s="248" t="s">
        <v>404</v>
      </c>
      <c r="J926" s="247" t="s">
        <v>809</v>
      </c>
      <c r="K926" s="249">
        <v>0</v>
      </c>
      <c r="M926" s="90">
        <v>0</v>
      </c>
      <c r="N926" s="90">
        <v>0</v>
      </c>
      <c r="O926" s="90">
        <v>255</v>
      </c>
    </row>
    <row r="927" spans="1:15" s="90" customFormat="1" ht="12.75" customHeight="1" x14ac:dyDescent="0.2">
      <c r="A927" s="247" t="s">
        <v>990</v>
      </c>
      <c r="B927" s="316">
        <v>3046</v>
      </c>
      <c r="C927" s="247" t="s">
        <v>975</v>
      </c>
      <c r="D927" s="317">
        <v>42651</v>
      </c>
      <c r="E927" s="318">
        <v>0.71678240740740751</v>
      </c>
      <c r="F927" s="247" t="s">
        <v>976</v>
      </c>
      <c r="G927" s="247" t="s">
        <v>1035</v>
      </c>
      <c r="H927" s="248" t="s">
        <v>404</v>
      </c>
      <c r="I927" s="248" t="s">
        <v>404</v>
      </c>
      <c r="J927" s="247" t="s">
        <v>809</v>
      </c>
      <c r="K927" s="249">
        <v>0</v>
      </c>
      <c r="M927" s="90">
        <v>0</v>
      </c>
      <c r="N927" s="90">
        <v>0</v>
      </c>
      <c r="O927" s="90">
        <v>255</v>
      </c>
    </row>
    <row r="928" spans="1:15" s="90" customFormat="1" ht="12.75" customHeight="1" x14ac:dyDescent="0.2">
      <c r="A928" s="247" t="s">
        <v>993</v>
      </c>
      <c r="B928" s="316">
        <v>3217</v>
      </c>
      <c r="C928" s="247" t="s">
        <v>975</v>
      </c>
      <c r="D928" s="317">
        <v>42651</v>
      </c>
      <c r="E928" s="318">
        <v>0.71678240740740751</v>
      </c>
      <c r="F928" s="247" t="s">
        <v>235</v>
      </c>
      <c r="G928" s="247" t="s">
        <v>1035</v>
      </c>
      <c r="H928" s="248" t="s">
        <v>234</v>
      </c>
      <c r="I928" s="248" t="s">
        <v>235</v>
      </c>
      <c r="J928" s="247" t="s">
        <v>809</v>
      </c>
      <c r="K928" s="249">
        <v>0</v>
      </c>
      <c r="M928" s="90">
        <v>0</v>
      </c>
      <c r="N928" s="90">
        <v>0</v>
      </c>
      <c r="O928" s="90">
        <v>255</v>
      </c>
    </row>
    <row r="929" spans="1:15" s="90" customFormat="1" ht="12.75" customHeight="1" x14ac:dyDescent="0.2">
      <c r="A929" s="247" t="s">
        <v>617</v>
      </c>
      <c r="B929" s="316">
        <v>4050</v>
      </c>
      <c r="C929" s="247" t="s">
        <v>996</v>
      </c>
      <c r="D929" s="317">
        <v>42651</v>
      </c>
      <c r="E929" s="318">
        <v>0.71759259259259256</v>
      </c>
      <c r="F929" s="247" t="s">
        <v>702</v>
      </c>
      <c r="G929" s="247" t="s">
        <v>1035</v>
      </c>
      <c r="H929" s="248" t="s">
        <v>4</v>
      </c>
      <c r="I929" s="248" t="s">
        <v>18</v>
      </c>
      <c r="J929" s="247" t="s">
        <v>809</v>
      </c>
      <c r="K929" s="249">
        <v>0</v>
      </c>
      <c r="L929" s="90" t="s">
        <v>1776</v>
      </c>
      <c r="M929" s="90">
        <v>539</v>
      </c>
      <c r="N929" s="90">
        <v>-1</v>
      </c>
      <c r="O929" s="90">
        <v>0</v>
      </c>
    </row>
    <row r="930" spans="1:15" s="90" customFormat="1" ht="12.75" customHeight="1" x14ac:dyDescent="0.2">
      <c r="A930" s="247" t="s">
        <v>989</v>
      </c>
      <c r="B930" s="316">
        <v>3046</v>
      </c>
      <c r="C930" s="247" t="s">
        <v>975</v>
      </c>
      <c r="D930" s="317">
        <v>42651</v>
      </c>
      <c r="E930" s="318">
        <v>0.75846064814814806</v>
      </c>
      <c r="F930" s="247" t="s">
        <v>976</v>
      </c>
      <c r="G930" s="247" t="s">
        <v>1035</v>
      </c>
      <c r="H930" s="248" t="s">
        <v>404</v>
      </c>
      <c r="I930" s="248" t="s">
        <v>404</v>
      </c>
      <c r="J930" s="247" t="s">
        <v>809</v>
      </c>
      <c r="K930" s="249">
        <v>0</v>
      </c>
      <c r="M930" s="90">
        <v>0</v>
      </c>
      <c r="N930" s="90">
        <v>0</v>
      </c>
      <c r="O930" s="90">
        <v>255</v>
      </c>
    </row>
    <row r="931" spans="1:15" s="90" customFormat="1" ht="12.75" customHeight="1" x14ac:dyDescent="0.2">
      <c r="A931" s="247" t="s">
        <v>990</v>
      </c>
      <c r="B931" s="316">
        <v>3046</v>
      </c>
      <c r="C931" s="247" t="s">
        <v>975</v>
      </c>
      <c r="D931" s="317">
        <v>42651</v>
      </c>
      <c r="E931" s="318">
        <v>0.75870370370370377</v>
      </c>
      <c r="F931" s="247" t="s">
        <v>976</v>
      </c>
      <c r="G931" s="247" t="s">
        <v>1035</v>
      </c>
      <c r="H931" s="248" t="s">
        <v>404</v>
      </c>
      <c r="I931" s="248" t="s">
        <v>404</v>
      </c>
      <c r="J931" s="247" t="s">
        <v>809</v>
      </c>
      <c r="K931" s="249">
        <v>0</v>
      </c>
      <c r="M931" s="90">
        <v>0</v>
      </c>
      <c r="N931" s="90">
        <v>0</v>
      </c>
      <c r="O931" s="90">
        <v>255</v>
      </c>
    </row>
    <row r="932" spans="1:15" s="90" customFormat="1" ht="12.75" customHeight="1" x14ac:dyDescent="0.2">
      <c r="A932" s="247" t="s">
        <v>993</v>
      </c>
      <c r="B932" s="316">
        <v>3217</v>
      </c>
      <c r="C932" s="247" t="s">
        <v>975</v>
      </c>
      <c r="D932" s="317">
        <v>42651</v>
      </c>
      <c r="E932" s="318">
        <v>0.75870370370370377</v>
      </c>
      <c r="F932" s="247" t="s">
        <v>235</v>
      </c>
      <c r="G932" s="247" t="s">
        <v>1035</v>
      </c>
      <c r="H932" s="248" t="s">
        <v>234</v>
      </c>
      <c r="I932" s="248" t="s">
        <v>235</v>
      </c>
      <c r="J932" s="247" t="s">
        <v>809</v>
      </c>
      <c r="K932" s="249">
        <v>0</v>
      </c>
      <c r="M932" s="90">
        <v>0</v>
      </c>
      <c r="N932" s="90">
        <v>0</v>
      </c>
      <c r="O932" s="90">
        <v>255</v>
      </c>
    </row>
    <row r="933" spans="1:15" s="90" customFormat="1" ht="12.75" customHeight="1" x14ac:dyDescent="0.2">
      <c r="A933" s="247" t="s">
        <v>617</v>
      </c>
      <c r="B933" s="316">
        <v>4050</v>
      </c>
      <c r="C933" s="247" t="s">
        <v>996</v>
      </c>
      <c r="D933" s="317">
        <v>42651</v>
      </c>
      <c r="E933" s="318">
        <v>0.75951388888888882</v>
      </c>
      <c r="F933" s="247" t="s">
        <v>702</v>
      </c>
      <c r="G933" s="247" t="s">
        <v>1035</v>
      </c>
      <c r="H933" s="248" t="s">
        <v>4</v>
      </c>
      <c r="I933" s="248" t="s">
        <v>18</v>
      </c>
      <c r="J933" s="247" t="s">
        <v>809</v>
      </c>
      <c r="K933" s="249">
        <v>0</v>
      </c>
      <c r="L933" s="90" t="s">
        <v>1776</v>
      </c>
      <c r="M933" s="90">
        <v>539</v>
      </c>
      <c r="N933" s="90">
        <v>-1</v>
      </c>
      <c r="O933" s="90">
        <v>0</v>
      </c>
    </row>
    <row r="934" spans="1:15" s="90" customFormat="1" ht="12.75" customHeight="1" x14ac:dyDescent="0.2">
      <c r="A934" s="247" t="s">
        <v>989</v>
      </c>
      <c r="B934" s="316">
        <v>3046</v>
      </c>
      <c r="C934" s="247" t="s">
        <v>975</v>
      </c>
      <c r="D934" s="317">
        <v>42651</v>
      </c>
      <c r="E934" s="318">
        <v>0.80038194444444455</v>
      </c>
      <c r="F934" s="247" t="s">
        <v>976</v>
      </c>
      <c r="G934" s="247" t="s">
        <v>1035</v>
      </c>
      <c r="H934" s="248" t="s">
        <v>404</v>
      </c>
      <c r="I934" s="248" t="s">
        <v>404</v>
      </c>
      <c r="J934" s="247" t="s">
        <v>809</v>
      </c>
      <c r="K934" s="249">
        <v>0</v>
      </c>
      <c r="M934" s="90">
        <v>0</v>
      </c>
      <c r="N934" s="90">
        <v>0</v>
      </c>
      <c r="O934" s="90">
        <v>255</v>
      </c>
    </row>
    <row r="935" spans="1:15" s="90" customFormat="1" ht="12.75" customHeight="1" x14ac:dyDescent="0.2">
      <c r="A935" s="247" t="s">
        <v>990</v>
      </c>
      <c r="B935" s="316">
        <v>3046</v>
      </c>
      <c r="C935" s="247" t="s">
        <v>975</v>
      </c>
      <c r="D935" s="317">
        <v>42651</v>
      </c>
      <c r="E935" s="318">
        <v>0.80062500000000003</v>
      </c>
      <c r="F935" s="247" t="s">
        <v>976</v>
      </c>
      <c r="G935" s="247" t="s">
        <v>1035</v>
      </c>
      <c r="H935" s="248" t="s">
        <v>404</v>
      </c>
      <c r="I935" s="248" t="s">
        <v>404</v>
      </c>
      <c r="J935" s="247" t="s">
        <v>809</v>
      </c>
      <c r="K935" s="249">
        <v>0</v>
      </c>
      <c r="M935" s="90">
        <v>0</v>
      </c>
      <c r="N935" s="90">
        <v>0</v>
      </c>
      <c r="O935" s="90">
        <v>255</v>
      </c>
    </row>
    <row r="936" spans="1:15" s="90" customFormat="1" ht="12.75" customHeight="1" x14ac:dyDescent="0.2">
      <c r="A936" s="247" t="s">
        <v>993</v>
      </c>
      <c r="B936" s="316">
        <v>3217</v>
      </c>
      <c r="C936" s="247" t="s">
        <v>975</v>
      </c>
      <c r="D936" s="317">
        <v>42651</v>
      </c>
      <c r="E936" s="318">
        <v>0.80062500000000003</v>
      </c>
      <c r="F936" s="247" t="s">
        <v>235</v>
      </c>
      <c r="G936" s="247" t="s">
        <v>1035</v>
      </c>
      <c r="H936" s="248" t="s">
        <v>234</v>
      </c>
      <c r="I936" s="248" t="s">
        <v>235</v>
      </c>
      <c r="J936" s="247" t="s">
        <v>809</v>
      </c>
      <c r="K936" s="249">
        <v>0</v>
      </c>
      <c r="M936" s="90">
        <v>0</v>
      </c>
      <c r="N936" s="90">
        <v>0</v>
      </c>
      <c r="O936" s="90">
        <v>255</v>
      </c>
    </row>
    <row r="937" spans="1:15" s="90" customFormat="1" ht="12.75" customHeight="1" x14ac:dyDescent="0.2">
      <c r="A937" s="247" t="s">
        <v>617</v>
      </c>
      <c r="B937" s="316">
        <v>4050</v>
      </c>
      <c r="C937" s="247" t="s">
        <v>996</v>
      </c>
      <c r="D937" s="317">
        <v>42651</v>
      </c>
      <c r="E937" s="318">
        <v>0.80143518518518519</v>
      </c>
      <c r="F937" s="247" t="s">
        <v>702</v>
      </c>
      <c r="G937" s="247" t="s">
        <v>1035</v>
      </c>
      <c r="H937" s="248" t="s">
        <v>4</v>
      </c>
      <c r="I937" s="248" t="s">
        <v>18</v>
      </c>
      <c r="J937" s="247" t="s">
        <v>809</v>
      </c>
      <c r="K937" s="249">
        <v>0</v>
      </c>
      <c r="L937" s="90" t="s">
        <v>1776</v>
      </c>
      <c r="M937" s="90">
        <v>539</v>
      </c>
      <c r="N937" s="90">
        <v>-1</v>
      </c>
      <c r="O937" s="90">
        <v>0</v>
      </c>
    </row>
    <row r="938" spans="1:15" s="90" customFormat="1" ht="12.75" customHeight="1" x14ac:dyDescent="0.2">
      <c r="A938" s="247" t="s">
        <v>989</v>
      </c>
      <c r="B938" s="316">
        <v>3046</v>
      </c>
      <c r="C938" s="247" t="s">
        <v>975</v>
      </c>
      <c r="D938" s="317">
        <v>42651</v>
      </c>
      <c r="E938" s="318">
        <v>0.84230324074074081</v>
      </c>
      <c r="F938" s="247" t="s">
        <v>976</v>
      </c>
      <c r="G938" s="247" t="s">
        <v>1035</v>
      </c>
      <c r="H938" s="248" t="s">
        <v>404</v>
      </c>
      <c r="I938" s="248" t="s">
        <v>404</v>
      </c>
      <c r="J938" s="247" t="s">
        <v>809</v>
      </c>
      <c r="K938" s="249">
        <v>0</v>
      </c>
      <c r="M938" s="90">
        <v>0</v>
      </c>
      <c r="N938" s="90">
        <v>0</v>
      </c>
      <c r="O938" s="90">
        <v>255</v>
      </c>
    </row>
    <row r="939" spans="1:15" s="90" customFormat="1" ht="12.75" customHeight="1" x14ac:dyDescent="0.2">
      <c r="A939" s="247" t="s">
        <v>993</v>
      </c>
      <c r="B939" s="316">
        <v>3217</v>
      </c>
      <c r="C939" s="247" t="s">
        <v>975</v>
      </c>
      <c r="D939" s="317">
        <v>42651</v>
      </c>
      <c r="E939" s="318">
        <v>0.84254629629629629</v>
      </c>
      <c r="F939" s="247" t="s">
        <v>235</v>
      </c>
      <c r="G939" s="247" t="s">
        <v>1035</v>
      </c>
      <c r="H939" s="248" t="s">
        <v>234</v>
      </c>
      <c r="I939" s="248" t="s">
        <v>235</v>
      </c>
      <c r="J939" s="247" t="s">
        <v>809</v>
      </c>
      <c r="K939" s="249">
        <v>0</v>
      </c>
      <c r="M939" s="90">
        <v>0</v>
      </c>
      <c r="N939" s="90">
        <v>0</v>
      </c>
      <c r="O939" s="90">
        <v>255</v>
      </c>
    </row>
    <row r="940" spans="1:15" s="90" customFormat="1" ht="12.75" customHeight="1" x14ac:dyDescent="0.2">
      <c r="A940" s="247" t="s">
        <v>990</v>
      </c>
      <c r="B940" s="316">
        <v>3046</v>
      </c>
      <c r="C940" s="247" t="s">
        <v>975</v>
      </c>
      <c r="D940" s="317">
        <v>42651</v>
      </c>
      <c r="E940" s="318">
        <v>0.84255787037037033</v>
      </c>
      <c r="F940" s="247" t="s">
        <v>976</v>
      </c>
      <c r="G940" s="247" t="s">
        <v>1035</v>
      </c>
      <c r="H940" s="248" t="s">
        <v>404</v>
      </c>
      <c r="I940" s="248" t="s">
        <v>404</v>
      </c>
      <c r="J940" s="247" t="s">
        <v>809</v>
      </c>
      <c r="K940" s="249">
        <v>0</v>
      </c>
      <c r="M940" s="90">
        <v>0</v>
      </c>
      <c r="N940" s="90">
        <v>0</v>
      </c>
      <c r="O940" s="90">
        <v>255</v>
      </c>
    </row>
    <row r="941" spans="1:15" s="90" customFormat="1" ht="12.75" customHeight="1" x14ac:dyDescent="0.2">
      <c r="A941" s="247" t="s">
        <v>617</v>
      </c>
      <c r="B941" s="316">
        <v>4050</v>
      </c>
      <c r="C941" s="247" t="s">
        <v>996</v>
      </c>
      <c r="D941" s="317">
        <v>42651</v>
      </c>
      <c r="E941" s="318">
        <v>0.84335648148148146</v>
      </c>
      <c r="F941" s="247" t="s">
        <v>702</v>
      </c>
      <c r="G941" s="247" t="s">
        <v>1035</v>
      </c>
      <c r="H941" s="248" t="s">
        <v>4</v>
      </c>
      <c r="I941" s="248" t="s">
        <v>18</v>
      </c>
      <c r="J941" s="247" t="s">
        <v>809</v>
      </c>
      <c r="K941" s="249">
        <v>0</v>
      </c>
      <c r="L941" s="90" t="s">
        <v>1776</v>
      </c>
      <c r="M941" s="90">
        <v>539</v>
      </c>
      <c r="N941" s="90">
        <v>-1</v>
      </c>
      <c r="O941" s="90">
        <v>0</v>
      </c>
    </row>
    <row r="942" spans="1:15" s="90" customFormat="1" ht="12.75" customHeight="1" x14ac:dyDescent="0.2">
      <c r="A942" s="247" t="s">
        <v>989</v>
      </c>
      <c r="B942" s="316">
        <v>3046</v>
      </c>
      <c r="C942" s="247" t="s">
        <v>975</v>
      </c>
      <c r="D942" s="317">
        <v>42651</v>
      </c>
      <c r="E942" s="318">
        <v>0.88422453703703707</v>
      </c>
      <c r="F942" s="247" t="s">
        <v>976</v>
      </c>
      <c r="G942" s="247" t="s">
        <v>1035</v>
      </c>
      <c r="H942" s="248" t="s">
        <v>404</v>
      </c>
      <c r="I942" s="248" t="s">
        <v>404</v>
      </c>
      <c r="J942" s="247" t="s">
        <v>809</v>
      </c>
      <c r="K942" s="249">
        <v>0</v>
      </c>
      <c r="M942" s="90">
        <v>0</v>
      </c>
      <c r="N942" s="90">
        <v>0</v>
      </c>
      <c r="O942" s="90">
        <v>255</v>
      </c>
    </row>
    <row r="943" spans="1:15" s="90" customFormat="1" ht="12.75" customHeight="1" x14ac:dyDescent="0.2">
      <c r="A943" s="247" t="s">
        <v>990</v>
      </c>
      <c r="B943" s="316">
        <v>3046</v>
      </c>
      <c r="C943" s="247" t="s">
        <v>975</v>
      </c>
      <c r="D943" s="317">
        <v>42651</v>
      </c>
      <c r="E943" s="318">
        <v>0.88446759259259267</v>
      </c>
      <c r="F943" s="247" t="s">
        <v>976</v>
      </c>
      <c r="G943" s="247" t="s">
        <v>1035</v>
      </c>
      <c r="H943" s="248" t="s">
        <v>404</v>
      </c>
      <c r="I943" s="248" t="s">
        <v>404</v>
      </c>
      <c r="J943" s="247" t="s">
        <v>809</v>
      </c>
      <c r="K943" s="249">
        <v>0</v>
      </c>
      <c r="M943" s="90">
        <v>0</v>
      </c>
      <c r="N943" s="90">
        <v>0</v>
      </c>
      <c r="O943" s="90">
        <v>255</v>
      </c>
    </row>
    <row r="944" spans="1:15" s="90" customFormat="1" ht="12.75" customHeight="1" x14ac:dyDescent="0.2">
      <c r="A944" s="247" t="s">
        <v>993</v>
      </c>
      <c r="B944" s="316">
        <v>3217</v>
      </c>
      <c r="C944" s="247" t="s">
        <v>975</v>
      </c>
      <c r="D944" s="317">
        <v>42651</v>
      </c>
      <c r="E944" s="318">
        <v>0.88446759259259267</v>
      </c>
      <c r="F944" s="247" t="s">
        <v>235</v>
      </c>
      <c r="G944" s="247" t="s">
        <v>1035</v>
      </c>
      <c r="H944" s="248" t="s">
        <v>234</v>
      </c>
      <c r="I944" s="248" t="s">
        <v>235</v>
      </c>
      <c r="J944" s="247" t="s">
        <v>809</v>
      </c>
      <c r="K944" s="249">
        <v>0</v>
      </c>
      <c r="M944" s="90">
        <v>0</v>
      </c>
      <c r="N944" s="90">
        <v>0</v>
      </c>
      <c r="O944" s="90">
        <v>255</v>
      </c>
    </row>
    <row r="945" spans="1:15" s="90" customFormat="1" ht="12.75" customHeight="1" x14ac:dyDescent="0.2">
      <c r="A945" s="247" t="s">
        <v>989</v>
      </c>
      <c r="B945" s="316">
        <v>3046</v>
      </c>
      <c r="C945" s="247" t="s">
        <v>975</v>
      </c>
      <c r="D945" s="317">
        <v>42651</v>
      </c>
      <c r="E945" s="318">
        <v>0.92614583333333333</v>
      </c>
      <c r="F945" s="247" t="s">
        <v>976</v>
      </c>
      <c r="G945" s="247" t="s">
        <v>1035</v>
      </c>
      <c r="H945" s="248" t="s">
        <v>404</v>
      </c>
      <c r="I945" s="248" t="s">
        <v>404</v>
      </c>
      <c r="J945" s="247" t="s">
        <v>809</v>
      </c>
      <c r="K945" s="249">
        <v>0</v>
      </c>
      <c r="M945" s="90">
        <v>0</v>
      </c>
      <c r="N945" s="90">
        <v>0</v>
      </c>
      <c r="O945" s="90">
        <v>255</v>
      </c>
    </row>
    <row r="946" spans="1:15" s="90" customFormat="1" ht="12.75" customHeight="1" x14ac:dyDescent="0.2">
      <c r="A946" s="247" t="s">
        <v>990</v>
      </c>
      <c r="B946" s="316">
        <v>3046</v>
      </c>
      <c r="C946" s="247" t="s">
        <v>975</v>
      </c>
      <c r="D946" s="317">
        <v>42651</v>
      </c>
      <c r="E946" s="318">
        <v>0.92638888888888893</v>
      </c>
      <c r="F946" s="247" t="s">
        <v>976</v>
      </c>
      <c r="G946" s="247" t="s">
        <v>1035</v>
      </c>
      <c r="H946" s="248" t="s">
        <v>404</v>
      </c>
      <c r="I946" s="248" t="s">
        <v>404</v>
      </c>
      <c r="J946" s="247" t="s">
        <v>809</v>
      </c>
      <c r="K946" s="249">
        <v>0</v>
      </c>
      <c r="M946" s="90">
        <v>0</v>
      </c>
      <c r="N946" s="90">
        <v>0</v>
      </c>
      <c r="O946" s="90">
        <v>255</v>
      </c>
    </row>
    <row r="947" spans="1:15" s="90" customFormat="1" ht="12.75" customHeight="1" x14ac:dyDescent="0.2">
      <c r="A947" s="247" t="s">
        <v>993</v>
      </c>
      <c r="B947" s="316">
        <v>3217</v>
      </c>
      <c r="C947" s="247" t="s">
        <v>975</v>
      </c>
      <c r="D947" s="317">
        <v>42651</v>
      </c>
      <c r="E947" s="318">
        <v>0.92638888888888893</v>
      </c>
      <c r="F947" s="247" t="s">
        <v>235</v>
      </c>
      <c r="G947" s="247" t="s">
        <v>1035</v>
      </c>
      <c r="H947" s="248" t="s">
        <v>234</v>
      </c>
      <c r="I947" s="248" t="s">
        <v>235</v>
      </c>
      <c r="J947" s="247" t="s">
        <v>809</v>
      </c>
      <c r="K947" s="249">
        <v>0</v>
      </c>
      <c r="M947" s="90">
        <v>0</v>
      </c>
      <c r="N947" s="90">
        <v>0</v>
      </c>
      <c r="O947" s="90">
        <v>255</v>
      </c>
    </row>
    <row r="948" spans="1:15" s="90" customFormat="1" ht="12.75" customHeight="1" x14ac:dyDescent="0.2">
      <c r="A948" s="247" t="s">
        <v>779</v>
      </c>
      <c r="B948" s="316">
        <v>2005</v>
      </c>
      <c r="C948" s="247" t="s">
        <v>979</v>
      </c>
      <c r="D948" s="317">
        <v>42651</v>
      </c>
      <c r="E948" s="318">
        <v>0.92754629629629637</v>
      </c>
      <c r="F948" s="247" t="s">
        <v>702</v>
      </c>
      <c r="G948" s="247" t="s">
        <v>1035</v>
      </c>
      <c r="H948" s="248" t="s">
        <v>4</v>
      </c>
      <c r="I948" s="248" t="s">
        <v>18</v>
      </c>
      <c r="J948" s="247" t="s">
        <v>809</v>
      </c>
      <c r="K948" s="249">
        <v>0</v>
      </c>
      <c r="L948" s="90" t="s">
        <v>1776</v>
      </c>
      <c r="M948" s="90">
        <v>553</v>
      </c>
      <c r="N948" s="90">
        <v>-1</v>
      </c>
      <c r="O948" s="90">
        <v>0</v>
      </c>
    </row>
    <row r="949" spans="1:15" s="90" customFormat="1" ht="12.75" customHeight="1" x14ac:dyDescent="0.2">
      <c r="A949" s="247" t="s">
        <v>1064</v>
      </c>
      <c r="B949" s="316">
        <v>3046</v>
      </c>
      <c r="C949" s="247" t="s">
        <v>975</v>
      </c>
      <c r="D949" s="317">
        <v>42651</v>
      </c>
      <c r="E949" s="318">
        <v>0.92754629629629637</v>
      </c>
      <c r="F949" s="247" t="s">
        <v>976</v>
      </c>
      <c r="G949" s="247" t="s">
        <v>1035</v>
      </c>
      <c r="H949" s="248" t="s">
        <v>404</v>
      </c>
      <c r="I949" s="248" t="s">
        <v>404</v>
      </c>
      <c r="J949" s="247" t="s">
        <v>809</v>
      </c>
      <c r="K949" s="249">
        <v>0</v>
      </c>
      <c r="M949" s="90">
        <v>0</v>
      </c>
      <c r="N949" s="90">
        <v>0</v>
      </c>
      <c r="O949" s="90">
        <v>255</v>
      </c>
    </row>
    <row r="950" spans="1:15" s="90" customFormat="1" ht="12.75" customHeight="1" x14ac:dyDescent="0.2">
      <c r="A950" s="247" t="s">
        <v>1315</v>
      </c>
      <c r="B950" s="316">
        <v>3002</v>
      </c>
      <c r="C950" s="247" t="s">
        <v>996</v>
      </c>
      <c r="D950" s="317">
        <v>42653</v>
      </c>
      <c r="E950" s="318">
        <v>0.52473379629629624</v>
      </c>
      <c r="F950" s="247" t="s">
        <v>702</v>
      </c>
      <c r="G950" s="247" t="s">
        <v>1035</v>
      </c>
      <c r="H950" s="248" t="s">
        <v>234</v>
      </c>
      <c r="I950" s="248" t="s">
        <v>702</v>
      </c>
      <c r="J950" s="247" t="s">
        <v>809</v>
      </c>
      <c r="K950" s="249">
        <v>0</v>
      </c>
      <c r="M950" s="90">
        <v>0</v>
      </c>
      <c r="N950" s="90">
        <v>0</v>
      </c>
      <c r="O950" s="90">
        <v>255</v>
      </c>
    </row>
    <row r="951" spans="1:15" s="90" customFormat="1" ht="12.75" customHeight="1" x14ac:dyDescent="0.2">
      <c r="A951" s="247" t="s">
        <v>1316</v>
      </c>
      <c r="B951" s="316">
        <v>3084</v>
      </c>
      <c r="C951" s="247" t="s">
        <v>979</v>
      </c>
      <c r="D951" s="317">
        <v>42653</v>
      </c>
      <c r="E951" s="318">
        <v>0.56571759259259258</v>
      </c>
      <c r="F951" s="247" t="s">
        <v>702</v>
      </c>
      <c r="G951" s="247" t="s">
        <v>1035</v>
      </c>
      <c r="H951" s="248" t="s">
        <v>234</v>
      </c>
      <c r="I951" s="248" t="s">
        <v>702</v>
      </c>
      <c r="J951" s="247" t="s">
        <v>809</v>
      </c>
      <c r="K951" s="249">
        <v>0</v>
      </c>
      <c r="M951" s="90">
        <v>0</v>
      </c>
      <c r="N951" s="90">
        <v>0</v>
      </c>
      <c r="O951" s="90">
        <v>255</v>
      </c>
    </row>
    <row r="952" spans="1:15" s="90" customFormat="1" ht="12.75" customHeight="1" x14ac:dyDescent="0.2">
      <c r="A952" s="247" t="s">
        <v>385</v>
      </c>
      <c r="B952" s="316">
        <v>4056</v>
      </c>
      <c r="C952" s="247" t="s">
        <v>979</v>
      </c>
      <c r="D952" s="317">
        <v>42654</v>
      </c>
      <c r="E952" s="318">
        <v>0.28844907407407411</v>
      </c>
      <c r="F952" s="247" t="s">
        <v>702</v>
      </c>
      <c r="G952" s="247" t="s">
        <v>1035</v>
      </c>
      <c r="H952" s="248" t="s">
        <v>4</v>
      </c>
      <c r="I952" s="248" t="s">
        <v>18</v>
      </c>
      <c r="J952" s="247" t="s">
        <v>809</v>
      </c>
      <c r="K952" s="249">
        <v>0</v>
      </c>
      <c r="L952" s="90" t="s">
        <v>1776</v>
      </c>
      <c r="M952" s="90">
        <v>569</v>
      </c>
      <c r="N952" s="90">
        <v>-1</v>
      </c>
      <c r="O952" s="90">
        <v>0</v>
      </c>
    </row>
    <row r="953" spans="1:15" s="90" customFormat="1" ht="12.75" customHeight="1" x14ac:dyDescent="0.2">
      <c r="A953" s="247" t="s">
        <v>1000</v>
      </c>
      <c r="B953" s="316">
        <v>3046</v>
      </c>
      <c r="C953" s="247" t="s">
        <v>975</v>
      </c>
      <c r="D953" s="317">
        <v>42654</v>
      </c>
      <c r="E953" s="318">
        <v>0.28993055555555552</v>
      </c>
      <c r="F953" s="247" t="s">
        <v>976</v>
      </c>
      <c r="G953" s="247" t="s">
        <v>1035</v>
      </c>
      <c r="H953" s="248" t="s">
        <v>404</v>
      </c>
      <c r="I953" s="248" t="s">
        <v>404</v>
      </c>
      <c r="J953" s="247" t="s">
        <v>809</v>
      </c>
      <c r="K953" s="249">
        <v>0</v>
      </c>
      <c r="M953" s="90">
        <v>0</v>
      </c>
      <c r="N953" s="90">
        <v>0</v>
      </c>
      <c r="O953" s="90">
        <v>255</v>
      </c>
    </row>
    <row r="954" spans="1:15" s="90" customFormat="1" ht="12.75" customHeight="1" x14ac:dyDescent="0.2">
      <c r="A954" s="247" t="s">
        <v>1317</v>
      </c>
      <c r="B954" s="316">
        <v>1294</v>
      </c>
      <c r="C954" s="247" t="s">
        <v>979</v>
      </c>
      <c r="D954" s="317">
        <v>42654</v>
      </c>
      <c r="E954" s="318">
        <v>0.30137731481481483</v>
      </c>
      <c r="F954" s="247" t="s">
        <v>702</v>
      </c>
      <c r="G954" s="247" t="s">
        <v>1035</v>
      </c>
      <c r="H954" s="248" t="s">
        <v>121</v>
      </c>
      <c r="I954" s="248" t="s">
        <v>122</v>
      </c>
      <c r="J954" s="247" t="s">
        <v>405</v>
      </c>
      <c r="K954" s="249">
        <v>1</v>
      </c>
      <c r="L954" s="90" t="s">
        <v>1777</v>
      </c>
      <c r="M954" s="90">
        <v>2174</v>
      </c>
      <c r="N954" s="90">
        <v>34</v>
      </c>
      <c r="O954" s="90">
        <v>0</v>
      </c>
    </row>
    <row r="955" spans="1:15" s="90" customFormat="1" ht="12.75" customHeight="1" x14ac:dyDescent="0.2">
      <c r="A955" s="247" t="s">
        <v>1318</v>
      </c>
      <c r="B955" s="316">
        <v>2076</v>
      </c>
      <c r="C955" s="247" t="s">
        <v>979</v>
      </c>
      <c r="D955" s="317">
        <v>42654</v>
      </c>
      <c r="E955" s="318">
        <v>0.30138888888888887</v>
      </c>
      <c r="F955" s="247" t="s">
        <v>702</v>
      </c>
      <c r="G955" s="247" t="s">
        <v>1035</v>
      </c>
      <c r="H955" s="248" t="s">
        <v>4</v>
      </c>
      <c r="I955" s="248" t="s">
        <v>5</v>
      </c>
      <c r="J955" s="247" t="s">
        <v>412</v>
      </c>
      <c r="K955" s="249">
        <v>0.5</v>
      </c>
      <c r="L955" s="90" t="s">
        <v>1777</v>
      </c>
      <c r="M955" s="90">
        <v>4329</v>
      </c>
      <c r="N955" s="90">
        <v>1</v>
      </c>
      <c r="O955" s="90">
        <v>0</v>
      </c>
    </row>
    <row r="956" spans="1:15" s="90" customFormat="1" ht="12.75" customHeight="1" x14ac:dyDescent="0.2">
      <c r="A956" s="247" t="s">
        <v>989</v>
      </c>
      <c r="B956" s="316">
        <v>3046</v>
      </c>
      <c r="C956" s="247" t="s">
        <v>975</v>
      </c>
      <c r="D956" s="317">
        <v>42654</v>
      </c>
      <c r="E956" s="318">
        <v>0.30171296296296296</v>
      </c>
      <c r="F956" s="247" t="s">
        <v>976</v>
      </c>
      <c r="G956" s="247" t="s">
        <v>1035</v>
      </c>
      <c r="H956" s="248" t="s">
        <v>404</v>
      </c>
      <c r="I956" s="248" t="s">
        <v>404</v>
      </c>
      <c r="J956" s="247" t="s">
        <v>809</v>
      </c>
      <c r="K956" s="249">
        <v>0</v>
      </c>
      <c r="M956" s="90">
        <v>0</v>
      </c>
      <c r="N956" s="90">
        <v>0</v>
      </c>
      <c r="O956" s="90">
        <v>255</v>
      </c>
    </row>
    <row r="957" spans="1:15" s="90" customFormat="1" ht="12.75" customHeight="1" x14ac:dyDescent="0.2">
      <c r="A957" s="247" t="s">
        <v>990</v>
      </c>
      <c r="B957" s="316">
        <v>3046</v>
      </c>
      <c r="C957" s="247" t="s">
        <v>975</v>
      </c>
      <c r="D957" s="317">
        <v>42654</v>
      </c>
      <c r="E957" s="318">
        <v>0.3071875</v>
      </c>
      <c r="F957" s="247" t="s">
        <v>976</v>
      </c>
      <c r="G957" s="247" t="s">
        <v>1035</v>
      </c>
      <c r="H957" s="248" t="s">
        <v>404</v>
      </c>
      <c r="I957" s="248" t="s">
        <v>404</v>
      </c>
      <c r="J957" s="247" t="s">
        <v>809</v>
      </c>
      <c r="K957" s="249">
        <v>0</v>
      </c>
      <c r="M957" s="90">
        <v>0</v>
      </c>
      <c r="N957" s="90">
        <v>0</v>
      </c>
      <c r="O957" s="90">
        <v>255</v>
      </c>
    </row>
    <row r="958" spans="1:15" s="90" customFormat="1" ht="12.75" customHeight="1" x14ac:dyDescent="0.2">
      <c r="A958" s="247" t="s">
        <v>1027</v>
      </c>
      <c r="B958" s="316">
        <v>3051</v>
      </c>
      <c r="C958" s="247" t="s">
        <v>975</v>
      </c>
      <c r="D958" s="317">
        <v>42654</v>
      </c>
      <c r="E958" s="318">
        <v>0.3071875</v>
      </c>
      <c r="F958" s="247" t="s">
        <v>235</v>
      </c>
      <c r="G958" s="247" t="s">
        <v>1035</v>
      </c>
      <c r="H958" s="248" t="s">
        <v>234</v>
      </c>
      <c r="I958" s="248" t="s">
        <v>235</v>
      </c>
      <c r="J958" s="247" t="s">
        <v>809</v>
      </c>
      <c r="K958" s="249">
        <v>0</v>
      </c>
      <c r="M958" s="90">
        <v>0</v>
      </c>
      <c r="N958" s="90">
        <v>0</v>
      </c>
      <c r="O958" s="90">
        <v>255</v>
      </c>
    </row>
    <row r="959" spans="1:15" s="90" customFormat="1" ht="12.75" customHeight="1" x14ac:dyDescent="0.2">
      <c r="A959" s="247" t="s">
        <v>1028</v>
      </c>
      <c r="B959" s="316">
        <v>3051</v>
      </c>
      <c r="C959" s="247" t="s">
        <v>975</v>
      </c>
      <c r="D959" s="317">
        <v>42654</v>
      </c>
      <c r="E959" s="318">
        <v>0.3071875</v>
      </c>
      <c r="F959" s="247" t="s">
        <v>235</v>
      </c>
      <c r="G959" s="247" t="s">
        <v>1035</v>
      </c>
      <c r="H959" s="248" t="s">
        <v>234</v>
      </c>
      <c r="I959" s="248" t="s">
        <v>235</v>
      </c>
      <c r="J959" s="247" t="s">
        <v>809</v>
      </c>
      <c r="K959" s="249">
        <v>0</v>
      </c>
      <c r="M959" s="90">
        <v>0</v>
      </c>
      <c r="N959" s="90">
        <v>0</v>
      </c>
      <c r="O959" s="90">
        <v>255</v>
      </c>
    </row>
    <row r="960" spans="1:15" s="90" customFormat="1" ht="12.75" customHeight="1" x14ac:dyDescent="0.2">
      <c r="A960" s="247" t="s">
        <v>1026</v>
      </c>
      <c r="B960" s="316">
        <v>3216</v>
      </c>
      <c r="C960" s="247" t="s">
        <v>975</v>
      </c>
      <c r="D960" s="317">
        <v>42654</v>
      </c>
      <c r="E960" s="318">
        <v>0.3071875</v>
      </c>
      <c r="F960" s="247" t="s">
        <v>235</v>
      </c>
      <c r="G960" s="247" t="s">
        <v>1035</v>
      </c>
      <c r="H960" s="248" t="s">
        <v>234</v>
      </c>
      <c r="I960" s="248" t="s">
        <v>235</v>
      </c>
      <c r="J960" s="247" t="s">
        <v>809</v>
      </c>
      <c r="K960" s="249">
        <v>0</v>
      </c>
      <c r="M960" s="90">
        <v>0</v>
      </c>
      <c r="N960" s="90">
        <v>0</v>
      </c>
      <c r="O960" s="90">
        <v>255</v>
      </c>
    </row>
    <row r="961" spans="1:15" s="90" customFormat="1" ht="12.75" customHeight="1" x14ac:dyDescent="0.2">
      <c r="A961" s="247" t="s">
        <v>989</v>
      </c>
      <c r="B961" s="316">
        <v>3046</v>
      </c>
      <c r="C961" s="247" t="s">
        <v>975</v>
      </c>
      <c r="D961" s="317">
        <v>42654</v>
      </c>
      <c r="E961" s="318">
        <v>0.30805555555555558</v>
      </c>
      <c r="F961" s="247" t="s">
        <v>976</v>
      </c>
      <c r="G961" s="247" t="s">
        <v>1035</v>
      </c>
      <c r="H961" s="248" t="s">
        <v>404</v>
      </c>
      <c r="I961" s="248" t="s">
        <v>404</v>
      </c>
      <c r="J961" s="247" t="s">
        <v>809</v>
      </c>
      <c r="K961" s="249">
        <v>0</v>
      </c>
      <c r="M961" s="90">
        <v>0</v>
      </c>
      <c r="N961" s="90">
        <v>0</v>
      </c>
      <c r="O961" s="90">
        <v>255</v>
      </c>
    </row>
    <row r="962" spans="1:15" s="90" customFormat="1" ht="12.75" customHeight="1" x14ac:dyDescent="0.2">
      <c r="A962" s="247" t="s">
        <v>1006</v>
      </c>
      <c r="B962" s="316">
        <v>3051</v>
      </c>
      <c r="C962" s="247" t="s">
        <v>975</v>
      </c>
      <c r="D962" s="317">
        <v>42654</v>
      </c>
      <c r="E962" s="318">
        <v>0.30807870370370372</v>
      </c>
      <c r="F962" s="247" t="s">
        <v>235</v>
      </c>
      <c r="G962" s="247" t="s">
        <v>1035</v>
      </c>
      <c r="H962" s="248" t="s">
        <v>234</v>
      </c>
      <c r="I962" s="248" t="s">
        <v>235</v>
      </c>
      <c r="J962" s="247" t="s">
        <v>809</v>
      </c>
      <c r="K962" s="249">
        <v>0</v>
      </c>
      <c r="M962" s="90">
        <v>0</v>
      </c>
      <c r="N962" s="90">
        <v>0</v>
      </c>
      <c r="O962" s="90">
        <v>255</v>
      </c>
    </row>
    <row r="963" spans="1:15" s="90" customFormat="1" ht="12.75" customHeight="1" x14ac:dyDescent="0.2">
      <c r="A963" s="247" t="s">
        <v>1065</v>
      </c>
      <c r="B963" s="316">
        <v>3052</v>
      </c>
      <c r="C963" s="247" t="s">
        <v>975</v>
      </c>
      <c r="D963" s="317">
        <v>42654</v>
      </c>
      <c r="E963" s="318">
        <v>0.30807870370370372</v>
      </c>
      <c r="F963" s="247" t="s">
        <v>235</v>
      </c>
      <c r="G963" s="247" t="s">
        <v>1035</v>
      </c>
      <c r="H963" s="248" t="s">
        <v>234</v>
      </c>
      <c r="I963" s="248" t="s">
        <v>235</v>
      </c>
      <c r="J963" s="247" t="s">
        <v>809</v>
      </c>
      <c r="K963" s="249">
        <v>0</v>
      </c>
      <c r="M963" s="90">
        <v>0</v>
      </c>
      <c r="N963" s="90">
        <v>0</v>
      </c>
      <c r="O963" s="90">
        <v>255</v>
      </c>
    </row>
    <row r="964" spans="1:15" s="90" customFormat="1" ht="12.75" customHeight="1" x14ac:dyDescent="0.2">
      <c r="A964" s="247" t="s">
        <v>990</v>
      </c>
      <c r="B964" s="316">
        <v>3046</v>
      </c>
      <c r="C964" s="247" t="s">
        <v>975</v>
      </c>
      <c r="D964" s="317">
        <v>42654</v>
      </c>
      <c r="E964" s="318">
        <v>0.30809027777777781</v>
      </c>
      <c r="F964" s="247" t="s">
        <v>976</v>
      </c>
      <c r="G964" s="247" t="s">
        <v>1035</v>
      </c>
      <c r="H964" s="248" t="s">
        <v>404</v>
      </c>
      <c r="I964" s="248" t="s">
        <v>404</v>
      </c>
      <c r="J964" s="247" t="s">
        <v>809</v>
      </c>
      <c r="K964" s="249">
        <v>0</v>
      </c>
      <c r="M964" s="90">
        <v>0</v>
      </c>
      <c r="N964" s="90">
        <v>0</v>
      </c>
      <c r="O964" s="90">
        <v>255</v>
      </c>
    </row>
    <row r="965" spans="1:15" s="90" customFormat="1" ht="12.75" customHeight="1" x14ac:dyDescent="0.2">
      <c r="A965" s="247" t="s">
        <v>989</v>
      </c>
      <c r="B965" s="316">
        <v>3046</v>
      </c>
      <c r="C965" s="247" t="s">
        <v>975</v>
      </c>
      <c r="D965" s="317">
        <v>42654</v>
      </c>
      <c r="E965" s="318">
        <v>0.30833333333333335</v>
      </c>
      <c r="F965" s="247" t="s">
        <v>976</v>
      </c>
      <c r="G965" s="247" t="s">
        <v>1035</v>
      </c>
      <c r="H965" s="248" t="s">
        <v>404</v>
      </c>
      <c r="I965" s="248" t="s">
        <v>404</v>
      </c>
      <c r="J965" s="247" t="s">
        <v>809</v>
      </c>
      <c r="K965" s="249">
        <v>0</v>
      </c>
      <c r="M965" s="90">
        <v>0</v>
      </c>
      <c r="N965" s="90">
        <v>0</v>
      </c>
      <c r="O965" s="90">
        <v>255</v>
      </c>
    </row>
    <row r="966" spans="1:15" s="90" customFormat="1" ht="12.75" customHeight="1" x14ac:dyDescent="0.2">
      <c r="A966" s="247" t="s">
        <v>1005</v>
      </c>
      <c r="B966" s="316">
        <v>3051</v>
      </c>
      <c r="C966" s="247" t="s">
        <v>975</v>
      </c>
      <c r="D966" s="317">
        <v>42654</v>
      </c>
      <c r="E966" s="318">
        <v>0.30835648148148148</v>
      </c>
      <c r="F966" s="247" t="s">
        <v>235</v>
      </c>
      <c r="G966" s="247" t="s">
        <v>1035</v>
      </c>
      <c r="H966" s="248" t="s">
        <v>234</v>
      </c>
      <c r="I966" s="248" t="s">
        <v>235</v>
      </c>
      <c r="J966" s="247" t="s">
        <v>809</v>
      </c>
      <c r="K966" s="249">
        <v>0</v>
      </c>
      <c r="M966" s="90">
        <v>0</v>
      </c>
      <c r="N966" s="90">
        <v>0</v>
      </c>
      <c r="O966" s="90">
        <v>255</v>
      </c>
    </row>
    <row r="967" spans="1:15" s="90" customFormat="1" ht="12.75" customHeight="1" x14ac:dyDescent="0.2">
      <c r="A967" s="247" t="s">
        <v>1066</v>
      </c>
      <c r="B967" s="316">
        <v>3052</v>
      </c>
      <c r="C967" s="247" t="s">
        <v>975</v>
      </c>
      <c r="D967" s="317">
        <v>42654</v>
      </c>
      <c r="E967" s="318">
        <v>0.30835648148148148</v>
      </c>
      <c r="F967" s="247" t="s">
        <v>235</v>
      </c>
      <c r="G967" s="247" t="s">
        <v>1035</v>
      </c>
      <c r="H967" s="248" t="s">
        <v>234</v>
      </c>
      <c r="I967" s="248" t="s">
        <v>235</v>
      </c>
      <c r="J967" s="247" t="s">
        <v>809</v>
      </c>
      <c r="K967" s="249">
        <v>0</v>
      </c>
      <c r="M967" s="90">
        <v>0</v>
      </c>
      <c r="N967" s="90">
        <v>0</v>
      </c>
      <c r="O967" s="90">
        <v>255</v>
      </c>
    </row>
    <row r="968" spans="1:15" s="90" customFormat="1" ht="12.75" customHeight="1" x14ac:dyDescent="0.2">
      <c r="A968" s="247" t="s">
        <v>990</v>
      </c>
      <c r="B968" s="316">
        <v>3046</v>
      </c>
      <c r="C968" s="247" t="s">
        <v>975</v>
      </c>
      <c r="D968" s="317">
        <v>42654</v>
      </c>
      <c r="E968" s="318">
        <v>0.30855324074074075</v>
      </c>
      <c r="F968" s="247" t="s">
        <v>976</v>
      </c>
      <c r="G968" s="247" t="s">
        <v>1035</v>
      </c>
      <c r="H968" s="248" t="s">
        <v>404</v>
      </c>
      <c r="I968" s="248" t="s">
        <v>404</v>
      </c>
      <c r="J968" s="247" t="s">
        <v>809</v>
      </c>
      <c r="K968" s="249">
        <v>0</v>
      </c>
      <c r="M968" s="90">
        <v>0</v>
      </c>
      <c r="N968" s="90">
        <v>0</v>
      </c>
      <c r="O968" s="90">
        <v>255</v>
      </c>
    </row>
    <row r="969" spans="1:15" s="90" customFormat="1" ht="12.75" customHeight="1" x14ac:dyDescent="0.2">
      <c r="A969" s="247" t="s">
        <v>1248</v>
      </c>
      <c r="B969" s="316">
        <v>3010</v>
      </c>
      <c r="C969" s="247" t="s">
        <v>979</v>
      </c>
      <c r="D969" s="317">
        <v>42654</v>
      </c>
      <c r="E969" s="318">
        <v>0.32256944444444446</v>
      </c>
      <c r="F969" s="247" t="s">
        <v>702</v>
      </c>
      <c r="G969" s="247" t="s">
        <v>1035</v>
      </c>
      <c r="H969" s="248" t="s">
        <v>234</v>
      </c>
      <c r="I969" s="248" t="s">
        <v>702</v>
      </c>
      <c r="J969" s="247" t="s">
        <v>809</v>
      </c>
      <c r="K969" s="249">
        <v>0</v>
      </c>
      <c r="M969" s="90">
        <v>0</v>
      </c>
      <c r="N969" s="90">
        <v>0</v>
      </c>
      <c r="O969" s="90">
        <v>255</v>
      </c>
    </row>
    <row r="970" spans="1:15" s="90" customFormat="1" ht="12.75" customHeight="1" x14ac:dyDescent="0.2">
      <c r="A970" s="247" t="s">
        <v>1249</v>
      </c>
      <c r="B970" s="316">
        <v>3010</v>
      </c>
      <c r="C970" s="247" t="s">
        <v>979</v>
      </c>
      <c r="D970" s="317">
        <v>42654</v>
      </c>
      <c r="E970" s="318">
        <v>0.32256944444444446</v>
      </c>
      <c r="F970" s="247" t="s">
        <v>702</v>
      </c>
      <c r="G970" s="247" t="s">
        <v>1035</v>
      </c>
      <c r="H970" s="248" t="s">
        <v>234</v>
      </c>
      <c r="I970" s="248" t="s">
        <v>702</v>
      </c>
      <c r="J970" s="247" t="s">
        <v>809</v>
      </c>
      <c r="K970" s="249">
        <v>0</v>
      </c>
      <c r="M970" s="90">
        <v>0</v>
      </c>
      <c r="N970" s="90">
        <v>0</v>
      </c>
      <c r="O970" s="90">
        <v>255</v>
      </c>
    </row>
    <row r="971" spans="1:15" s="90" customFormat="1" ht="12.75" customHeight="1" x14ac:dyDescent="0.2">
      <c r="A971" s="247" t="s">
        <v>1031</v>
      </c>
      <c r="B971" s="316">
        <v>3046</v>
      </c>
      <c r="C971" s="247" t="s">
        <v>975</v>
      </c>
      <c r="D971" s="317">
        <v>42654</v>
      </c>
      <c r="E971" s="318">
        <v>0.32302083333333331</v>
      </c>
      <c r="F971" s="247" t="s">
        <v>976</v>
      </c>
      <c r="G971" s="247" t="s">
        <v>1035</v>
      </c>
      <c r="H971" s="248" t="s">
        <v>404</v>
      </c>
      <c r="I971" s="248" t="s">
        <v>404</v>
      </c>
      <c r="J971" s="247" t="s">
        <v>809</v>
      </c>
      <c r="K971" s="249">
        <v>0</v>
      </c>
      <c r="M971" s="90">
        <v>0</v>
      </c>
      <c r="N971" s="90">
        <v>0</v>
      </c>
      <c r="O971" s="90">
        <v>255</v>
      </c>
    </row>
    <row r="972" spans="1:15" s="90" customFormat="1" ht="12.75" customHeight="1" x14ac:dyDescent="0.2">
      <c r="A972" s="247" t="s">
        <v>1032</v>
      </c>
      <c r="B972" s="316">
        <v>3046</v>
      </c>
      <c r="C972" s="247" t="s">
        <v>975</v>
      </c>
      <c r="D972" s="317">
        <v>42654</v>
      </c>
      <c r="E972" s="318">
        <v>0.32723379629629629</v>
      </c>
      <c r="F972" s="247" t="s">
        <v>976</v>
      </c>
      <c r="G972" s="247" t="s">
        <v>1035</v>
      </c>
      <c r="H972" s="248" t="s">
        <v>404</v>
      </c>
      <c r="I972" s="248" t="s">
        <v>404</v>
      </c>
      <c r="J972" s="247" t="s">
        <v>809</v>
      </c>
      <c r="K972" s="249">
        <v>0</v>
      </c>
      <c r="M972" s="90">
        <v>0</v>
      </c>
      <c r="N972" s="90">
        <v>0</v>
      </c>
      <c r="O972" s="90">
        <v>255</v>
      </c>
    </row>
    <row r="973" spans="1:15" s="90" customFormat="1" ht="12.75" customHeight="1" x14ac:dyDescent="0.2">
      <c r="A973" s="247" t="s">
        <v>989</v>
      </c>
      <c r="B973" s="316">
        <v>3046</v>
      </c>
      <c r="C973" s="247" t="s">
        <v>975</v>
      </c>
      <c r="D973" s="317">
        <v>42654</v>
      </c>
      <c r="E973" s="318">
        <v>0.32723379629629629</v>
      </c>
      <c r="F973" s="247" t="s">
        <v>976</v>
      </c>
      <c r="G973" s="247" t="s">
        <v>1035</v>
      </c>
      <c r="H973" s="248" t="s">
        <v>404</v>
      </c>
      <c r="I973" s="248" t="s">
        <v>404</v>
      </c>
      <c r="J973" s="247" t="s">
        <v>809</v>
      </c>
      <c r="K973" s="249">
        <v>0</v>
      </c>
      <c r="M973" s="90">
        <v>0</v>
      </c>
      <c r="N973" s="90">
        <v>0</v>
      </c>
      <c r="O973" s="90">
        <v>255</v>
      </c>
    </row>
    <row r="974" spans="1:15" s="90" customFormat="1" ht="12.75" customHeight="1" x14ac:dyDescent="0.2">
      <c r="A974" s="247" t="s">
        <v>984</v>
      </c>
      <c r="B974" s="316">
        <v>1294</v>
      </c>
      <c r="C974" s="247" t="s">
        <v>979</v>
      </c>
      <c r="D974" s="317">
        <v>42654</v>
      </c>
      <c r="E974" s="318">
        <v>0.32784722222222223</v>
      </c>
      <c r="F974" s="247" t="s">
        <v>702</v>
      </c>
      <c r="G974" s="247" t="s">
        <v>1035</v>
      </c>
      <c r="H974" s="248" t="s">
        <v>121</v>
      </c>
      <c r="I974" s="248" t="s">
        <v>122</v>
      </c>
      <c r="J974" s="247" t="s">
        <v>405</v>
      </c>
      <c r="K974" s="249">
        <v>1</v>
      </c>
      <c r="L974" s="90" t="s">
        <v>1777</v>
      </c>
      <c r="M974" s="90">
        <v>2174</v>
      </c>
      <c r="N974" s="90">
        <v>34</v>
      </c>
      <c r="O974" s="90">
        <v>0</v>
      </c>
    </row>
    <row r="975" spans="1:15" s="90" customFormat="1" ht="12.75" customHeight="1" x14ac:dyDescent="0.2">
      <c r="A975" s="247" t="s">
        <v>986</v>
      </c>
      <c r="B975" s="316">
        <v>1294</v>
      </c>
      <c r="C975" s="247" t="s">
        <v>979</v>
      </c>
      <c r="D975" s="317">
        <v>42654</v>
      </c>
      <c r="E975" s="318">
        <v>0.32784722222222223</v>
      </c>
      <c r="F975" s="247" t="s">
        <v>702</v>
      </c>
      <c r="G975" s="247" t="s">
        <v>1035</v>
      </c>
      <c r="H975" s="248" t="s">
        <v>121</v>
      </c>
      <c r="I975" s="248" t="s">
        <v>122</v>
      </c>
      <c r="J975" s="247" t="s">
        <v>405</v>
      </c>
      <c r="K975" s="249">
        <v>1</v>
      </c>
      <c r="L975" s="90" t="s">
        <v>1777</v>
      </c>
      <c r="M975" s="90">
        <v>2174</v>
      </c>
      <c r="N975" s="90">
        <v>35</v>
      </c>
      <c r="O975" s="90">
        <v>0</v>
      </c>
    </row>
    <row r="976" spans="1:15" s="90" customFormat="1" ht="12.75" customHeight="1" x14ac:dyDescent="0.2">
      <c r="A976" s="247" t="s">
        <v>985</v>
      </c>
      <c r="B976" s="316">
        <v>2076</v>
      </c>
      <c r="C976" s="247" t="s">
        <v>979</v>
      </c>
      <c r="D976" s="317">
        <v>42654</v>
      </c>
      <c r="E976" s="318">
        <v>0.32785879629629627</v>
      </c>
      <c r="F976" s="247" t="s">
        <v>702</v>
      </c>
      <c r="G976" s="247" t="s">
        <v>1035</v>
      </c>
      <c r="H976" s="248" t="s">
        <v>4</v>
      </c>
      <c r="I976" s="248" t="s">
        <v>5</v>
      </c>
      <c r="J976" s="247" t="s">
        <v>412</v>
      </c>
      <c r="K976" s="249">
        <v>0.5</v>
      </c>
      <c r="L976" s="90" t="s">
        <v>1777</v>
      </c>
      <c r="M976" s="90">
        <v>4329</v>
      </c>
      <c r="N976" s="90">
        <v>1</v>
      </c>
      <c r="O976" s="90">
        <v>0</v>
      </c>
    </row>
    <row r="977" spans="1:15" s="90" customFormat="1" ht="12.75" customHeight="1" x14ac:dyDescent="0.2">
      <c r="A977" s="247" t="s">
        <v>987</v>
      </c>
      <c r="B977" s="316">
        <v>2076</v>
      </c>
      <c r="C977" s="247" t="s">
        <v>979</v>
      </c>
      <c r="D977" s="317">
        <v>42654</v>
      </c>
      <c r="E977" s="318">
        <v>0.32785879629629627</v>
      </c>
      <c r="F977" s="247" t="s">
        <v>702</v>
      </c>
      <c r="G977" s="247" t="s">
        <v>1035</v>
      </c>
      <c r="H977" s="248" t="s">
        <v>4</v>
      </c>
      <c r="I977" s="248" t="s">
        <v>5</v>
      </c>
      <c r="J977" s="247" t="s">
        <v>412</v>
      </c>
      <c r="K977" s="249">
        <v>0.5</v>
      </c>
      <c r="L977" s="90" t="s">
        <v>1777</v>
      </c>
      <c r="M977" s="90">
        <v>4329</v>
      </c>
      <c r="N977" s="90">
        <v>1</v>
      </c>
      <c r="O977" s="90">
        <v>0</v>
      </c>
    </row>
    <row r="978" spans="1:15" s="90" customFormat="1" ht="12.75" customHeight="1" x14ac:dyDescent="0.2">
      <c r="A978" s="247" t="s">
        <v>1033</v>
      </c>
      <c r="B978" s="316">
        <v>3217</v>
      </c>
      <c r="C978" s="247" t="s">
        <v>975</v>
      </c>
      <c r="D978" s="317">
        <v>42654</v>
      </c>
      <c r="E978" s="318">
        <v>0.32877314814814812</v>
      </c>
      <c r="F978" s="247" t="s">
        <v>235</v>
      </c>
      <c r="G978" s="247" t="s">
        <v>1035</v>
      </c>
      <c r="H978" s="248" t="s">
        <v>234</v>
      </c>
      <c r="I978" s="248" t="s">
        <v>235</v>
      </c>
      <c r="J978" s="247" t="s">
        <v>809</v>
      </c>
      <c r="K978" s="249">
        <v>0</v>
      </c>
      <c r="M978" s="90">
        <v>0</v>
      </c>
      <c r="N978" s="90">
        <v>0</v>
      </c>
      <c r="O978" s="90">
        <v>255</v>
      </c>
    </row>
    <row r="979" spans="1:15" s="90" customFormat="1" ht="12.75" customHeight="1" x14ac:dyDescent="0.2">
      <c r="A979" s="247" t="s">
        <v>990</v>
      </c>
      <c r="B979" s="316">
        <v>3046</v>
      </c>
      <c r="C979" s="247" t="s">
        <v>975</v>
      </c>
      <c r="D979" s="317">
        <v>42654</v>
      </c>
      <c r="E979" s="318">
        <v>0.32878472222222221</v>
      </c>
      <c r="F979" s="247" t="s">
        <v>976</v>
      </c>
      <c r="G979" s="247" t="s">
        <v>1035</v>
      </c>
      <c r="H979" s="248" t="s">
        <v>404</v>
      </c>
      <c r="I979" s="248" t="s">
        <v>404</v>
      </c>
      <c r="J979" s="247" t="s">
        <v>809</v>
      </c>
      <c r="K979" s="249">
        <v>0</v>
      </c>
      <c r="M979" s="90">
        <v>0</v>
      </c>
      <c r="N979" s="90">
        <v>0</v>
      </c>
      <c r="O979" s="90">
        <v>255</v>
      </c>
    </row>
    <row r="980" spans="1:15" s="90" customFormat="1" ht="12.75" customHeight="1" x14ac:dyDescent="0.2">
      <c r="A980" s="247" t="s">
        <v>989</v>
      </c>
      <c r="B980" s="316">
        <v>3046</v>
      </c>
      <c r="C980" s="247" t="s">
        <v>975</v>
      </c>
      <c r="D980" s="317">
        <v>42654</v>
      </c>
      <c r="E980" s="318">
        <v>0.33071759259259259</v>
      </c>
      <c r="F980" s="247" t="s">
        <v>976</v>
      </c>
      <c r="G980" s="247" t="s">
        <v>1035</v>
      </c>
      <c r="H980" s="248" t="s">
        <v>404</v>
      </c>
      <c r="I980" s="248" t="s">
        <v>404</v>
      </c>
      <c r="J980" s="247" t="s">
        <v>809</v>
      </c>
      <c r="K980" s="249">
        <v>0</v>
      </c>
      <c r="M980" s="90">
        <v>0</v>
      </c>
      <c r="N980" s="90">
        <v>0</v>
      </c>
      <c r="O980" s="90">
        <v>255</v>
      </c>
    </row>
    <row r="981" spans="1:15" s="90" customFormat="1" ht="12.75" customHeight="1" x14ac:dyDescent="0.2">
      <c r="A981" s="247" t="s">
        <v>990</v>
      </c>
      <c r="B981" s="316">
        <v>3046</v>
      </c>
      <c r="C981" s="247" t="s">
        <v>975</v>
      </c>
      <c r="D981" s="317">
        <v>42654</v>
      </c>
      <c r="E981" s="318">
        <v>0.33120370370370372</v>
      </c>
      <c r="F981" s="247" t="s">
        <v>976</v>
      </c>
      <c r="G981" s="247" t="s">
        <v>1035</v>
      </c>
      <c r="H981" s="248" t="s">
        <v>404</v>
      </c>
      <c r="I981" s="248" t="s">
        <v>404</v>
      </c>
      <c r="J981" s="247" t="s">
        <v>809</v>
      </c>
      <c r="K981" s="249">
        <v>0</v>
      </c>
      <c r="M981" s="90">
        <v>0</v>
      </c>
      <c r="N981" s="90">
        <v>0</v>
      </c>
      <c r="O981" s="90">
        <v>255</v>
      </c>
    </row>
    <row r="982" spans="1:15" s="90" customFormat="1" ht="12.75" customHeight="1" x14ac:dyDescent="0.2">
      <c r="A982" s="247" t="s">
        <v>1319</v>
      </c>
      <c r="B982" s="316">
        <v>3216</v>
      </c>
      <c r="C982" s="247" t="s">
        <v>975</v>
      </c>
      <c r="D982" s="317">
        <v>42654</v>
      </c>
      <c r="E982" s="318">
        <v>0.33120370370370372</v>
      </c>
      <c r="F982" s="247" t="s">
        <v>235</v>
      </c>
      <c r="G982" s="247" t="s">
        <v>1035</v>
      </c>
      <c r="H982" s="248" t="s">
        <v>234</v>
      </c>
      <c r="I982" s="248" t="s">
        <v>235</v>
      </c>
      <c r="J982" s="247" t="s">
        <v>809</v>
      </c>
      <c r="K982" s="249">
        <v>0</v>
      </c>
      <c r="M982" s="90">
        <v>0</v>
      </c>
      <c r="N982" s="90">
        <v>0</v>
      </c>
      <c r="O982" s="90">
        <v>255</v>
      </c>
    </row>
    <row r="983" spans="1:15" s="90" customFormat="1" ht="12.75" customHeight="1" x14ac:dyDescent="0.2">
      <c r="A983" s="247" t="s">
        <v>1024</v>
      </c>
      <c r="B983" s="316">
        <v>3061</v>
      </c>
      <c r="C983" s="247" t="s">
        <v>975</v>
      </c>
      <c r="D983" s="317">
        <v>42654</v>
      </c>
      <c r="E983" s="318">
        <v>0.33526620370370369</v>
      </c>
      <c r="F983" s="247" t="s">
        <v>981</v>
      </c>
      <c r="G983" s="247" t="s">
        <v>1035</v>
      </c>
      <c r="H983" s="248" t="s">
        <v>234</v>
      </c>
      <c r="I983" s="248" t="s">
        <v>677</v>
      </c>
      <c r="J983" s="247" t="s">
        <v>809</v>
      </c>
      <c r="K983" s="249">
        <v>0</v>
      </c>
      <c r="M983" s="90">
        <v>0</v>
      </c>
      <c r="N983" s="90">
        <v>0</v>
      </c>
      <c r="O983" s="90">
        <v>255</v>
      </c>
    </row>
    <row r="984" spans="1:15" s="90" customFormat="1" ht="12.75" customHeight="1" x14ac:dyDescent="0.2">
      <c r="A984" s="247" t="s">
        <v>1040</v>
      </c>
      <c r="B984" s="316">
        <v>3061</v>
      </c>
      <c r="C984" s="247" t="s">
        <v>975</v>
      </c>
      <c r="D984" s="317">
        <v>42654</v>
      </c>
      <c r="E984" s="318">
        <v>0.33527777777777779</v>
      </c>
      <c r="F984" s="247" t="s">
        <v>981</v>
      </c>
      <c r="G984" s="247" t="s">
        <v>1035</v>
      </c>
      <c r="H984" s="248" t="s">
        <v>234</v>
      </c>
      <c r="I984" s="248" t="s">
        <v>677</v>
      </c>
      <c r="J984" s="247" t="s">
        <v>809</v>
      </c>
      <c r="K984" s="249">
        <v>0</v>
      </c>
      <c r="M984" s="90">
        <v>0</v>
      </c>
      <c r="N984" s="90">
        <v>0</v>
      </c>
      <c r="O984" s="90">
        <v>255</v>
      </c>
    </row>
    <row r="985" spans="1:15" s="90" customFormat="1" ht="12.75" customHeight="1" x14ac:dyDescent="0.2">
      <c r="A985" s="247" t="s">
        <v>1023</v>
      </c>
      <c r="B985" s="316">
        <v>3061</v>
      </c>
      <c r="C985" s="247" t="s">
        <v>975</v>
      </c>
      <c r="D985" s="317">
        <v>42654</v>
      </c>
      <c r="E985" s="318">
        <v>0.33528935185185182</v>
      </c>
      <c r="F985" s="247" t="s">
        <v>981</v>
      </c>
      <c r="G985" s="247" t="s">
        <v>1035</v>
      </c>
      <c r="H985" s="248" t="s">
        <v>234</v>
      </c>
      <c r="I985" s="248" t="s">
        <v>677</v>
      </c>
      <c r="J985" s="247" t="s">
        <v>809</v>
      </c>
      <c r="K985" s="249">
        <v>0</v>
      </c>
      <c r="M985" s="90">
        <v>0</v>
      </c>
      <c r="N985" s="90">
        <v>0</v>
      </c>
      <c r="O985" s="90">
        <v>255</v>
      </c>
    </row>
    <row r="986" spans="1:15" s="90" customFormat="1" ht="12.75" customHeight="1" x14ac:dyDescent="0.2">
      <c r="A986" s="247" t="s">
        <v>1024</v>
      </c>
      <c r="B986" s="316">
        <v>3061</v>
      </c>
      <c r="C986" s="247" t="s">
        <v>975</v>
      </c>
      <c r="D986" s="317">
        <v>42654</v>
      </c>
      <c r="E986" s="318">
        <v>0.33528935185185182</v>
      </c>
      <c r="F986" s="247" t="s">
        <v>981</v>
      </c>
      <c r="G986" s="247" t="s">
        <v>1035</v>
      </c>
      <c r="H986" s="248" t="s">
        <v>234</v>
      </c>
      <c r="I986" s="248" t="s">
        <v>677</v>
      </c>
      <c r="J986" s="247" t="s">
        <v>809</v>
      </c>
      <c r="K986" s="249">
        <v>0</v>
      </c>
      <c r="M986" s="90">
        <v>0</v>
      </c>
      <c r="N986" s="90">
        <v>0</v>
      </c>
      <c r="O986" s="90">
        <v>255</v>
      </c>
    </row>
    <row r="987" spans="1:15" s="90" customFormat="1" ht="12.75" customHeight="1" x14ac:dyDescent="0.2">
      <c r="A987" s="247" t="s">
        <v>1025</v>
      </c>
      <c r="B987" s="316">
        <v>3061</v>
      </c>
      <c r="C987" s="247" t="s">
        <v>975</v>
      </c>
      <c r="D987" s="317">
        <v>42654</v>
      </c>
      <c r="E987" s="318">
        <v>0.33572916666666663</v>
      </c>
      <c r="F987" s="247" t="s">
        <v>981</v>
      </c>
      <c r="G987" s="247" t="s">
        <v>1035</v>
      </c>
      <c r="H987" s="248" t="s">
        <v>234</v>
      </c>
      <c r="I987" s="248" t="s">
        <v>677</v>
      </c>
      <c r="J987" s="247" t="s">
        <v>809</v>
      </c>
      <c r="K987" s="249">
        <v>0</v>
      </c>
      <c r="M987" s="90">
        <v>0</v>
      </c>
      <c r="N987" s="90">
        <v>0</v>
      </c>
      <c r="O987" s="90">
        <v>255</v>
      </c>
    </row>
    <row r="988" spans="1:15" s="90" customFormat="1" ht="12.75" customHeight="1" x14ac:dyDescent="0.2">
      <c r="A988" s="247" t="s">
        <v>1320</v>
      </c>
      <c r="B988" s="316">
        <v>3111</v>
      </c>
      <c r="C988" s="247" t="s">
        <v>975</v>
      </c>
      <c r="D988" s="317">
        <v>42654</v>
      </c>
      <c r="E988" s="318">
        <v>0.33708333333333335</v>
      </c>
      <c r="F988" s="247" t="s">
        <v>981</v>
      </c>
      <c r="G988" s="247" t="s">
        <v>1035</v>
      </c>
      <c r="H988" s="248" t="s">
        <v>234</v>
      </c>
      <c r="I988" s="248" t="s">
        <v>677</v>
      </c>
      <c r="J988" s="247" t="s">
        <v>809</v>
      </c>
      <c r="K988" s="249">
        <v>0</v>
      </c>
      <c r="M988" s="90">
        <v>0</v>
      </c>
      <c r="N988" s="90">
        <v>0</v>
      </c>
      <c r="O988" s="90">
        <v>255</v>
      </c>
    </row>
    <row r="989" spans="1:15" s="90" customFormat="1" ht="12.75" customHeight="1" x14ac:dyDescent="0.2">
      <c r="A989" s="247" t="s">
        <v>1321</v>
      </c>
      <c r="B989" s="316">
        <v>3111</v>
      </c>
      <c r="C989" s="247" t="s">
        <v>975</v>
      </c>
      <c r="D989" s="317">
        <v>42654</v>
      </c>
      <c r="E989" s="318">
        <v>0.3371527777777778</v>
      </c>
      <c r="F989" s="247" t="s">
        <v>981</v>
      </c>
      <c r="G989" s="247" t="s">
        <v>1035</v>
      </c>
      <c r="H989" s="248" t="s">
        <v>234</v>
      </c>
      <c r="I989" s="248" t="s">
        <v>677</v>
      </c>
      <c r="J989" s="247" t="s">
        <v>809</v>
      </c>
      <c r="K989" s="249">
        <v>0</v>
      </c>
      <c r="M989" s="90">
        <v>0</v>
      </c>
      <c r="N989" s="90">
        <v>0</v>
      </c>
      <c r="O989" s="90">
        <v>255</v>
      </c>
    </row>
    <row r="990" spans="1:15" s="90" customFormat="1" ht="12.75" customHeight="1" x14ac:dyDescent="0.2">
      <c r="A990" s="247" t="s">
        <v>1188</v>
      </c>
      <c r="B990" s="316">
        <v>3004</v>
      </c>
      <c r="C990" s="247" t="s">
        <v>979</v>
      </c>
      <c r="D990" s="317">
        <v>42654</v>
      </c>
      <c r="E990" s="318">
        <v>0.35256944444444444</v>
      </c>
      <c r="F990" s="247" t="s">
        <v>702</v>
      </c>
      <c r="G990" s="247" t="s">
        <v>1035</v>
      </c>
      <c r="H990" s="248" t="s">
        <v>234</v>
      </c>
      <c r="I990" s="248" t="s">
        <v>702</v>
      </c>
      <c r="J990" s="247" t="s">
        <v>809</v>
      </c>
      <c r="K990" s="249">
        <v>0</v>
      </c>
      <c r="M990" s="90">
        <v>0</v>
      </c>
      <c r="N990" s="90">
        <v>0</v>
      </c>
      <c r="O990" s="90">
        <v>255</v>
      </c>
    </row>
    <row r="991" spans="1:15" s="90" customFormat="1" ht="12.75" customHeight="1" x14ac:dyDescent="0.2">
      <c r="A991" s="247" t="s">
        <v>1031</v>
      </c>
      <c r="B991" s="316">
        <v>3046</v>
      </c>
      <c r="C991" s="247" t="s">
        <v>975</v>
      </c>
      <c r="D991" s="317">
        <v>42654</v>
      </c>
      <c r="E991" s="318">
        <v>0.35290509259259256</v>
      </c>
      <c r="F991" s="247" t="s">
        <v>976</v>
      </c>
      <c r="G991" s="247" t="s">
        <v>1035</v>
      </c>
      <c r="H991" s="248" t="s">
        <v>404</v>
      </c>
      <c r="I991" s="248" t="s">
        <v>404</v>
      </c>
      <c r="J991" s="247" t="s">
        <v>809</v>
      </c>
      <c r="K991" s="249">
        <v>0</v>
      </c>
      <c r="M991" s="90">
        <v>0</v>
      </c>
      <c r="N991" s="90">
        <v>0</v>
      </c>
      <c r="O991" s="90">
        <v>255</v>
      </c>
    </row>
    <row r="992" spans="1:15" s="90" customFormat="1" ht="12.75" customHeight="1" x14ac:dyDescent="0.2">
      <c r="A992" s="247" t="s">
        <v>1106</v>
      </c>
      <c r="B992" s="316">
        <v>3001</v>
      </c>
      <c r="C992" s="247" t="s">
        <v>996</v>
      </c>
      <c r="D992" s="317">
        <v>42654</v>
      </c>
      <c r="E992" s="318">
        <v>0.35731481481481481</v>
      </c>
      <c r="F992" s="247" t="s">
        <v>702</v>
      </c>
      <c r="G992" s="247" t="s">
        <v>1035</v>
      </c>
      <c r="H992" s="248" t="s">
        <v>121</v>
      </c>
      <c r="I992" s="248" t="s">
        <v>122</v>
      </c>
      <c r="J992" s="247" t="s">
        <v>809</v>
      </c>
      <c r="K992" s="249">
        <v>0</v>
      </c>
      <c r="M992" s="90">
        <v>0</v>
      </c>
      <c r="N992" s="90">
        <v>0</v>
      </c>
      <c r="O992" s="90">
        <v>255</v>
      </c>
    </row>
    <row r="993" spans="1:15" s="90" customFormat="1" ht="12.75" customHeight="1" x14ac:dyDescent="0.2">
      <c r="A993" s="247" t="s">
        <v>1266</v>
      </c>
      <c r="B993" s="316">
        <v>3001</v>
      </c>
      <c r="C993" s="247" t="s">
        <v>996</v>
      </c>
      <c r="D993" s="317">
        <v>42654</v>
      </c>
      <c r="E993" s="318">
        <v>0.35777777777777775</v>
      </c>
      <c r="F993" s="247" t="s">
        <v>702</v>
      </c>
      <c r="G993" s="247" t="s">
        <v>1035</v>
      </c>
      <c r="H993" s="248" t="s">
        <v>121</v>
      </c>
      <c r="I993" s="248" t="s">
        <v>122</v>
      </c>
      <c r="J993" s="247" t="s">
        <v>809</v>
      </c>
      <c r="K993" s="249">
        <v>0</v>
      </c>
      <c r="M993" s="90">
        <v>0</v>
      </c>
      <c r="N993" s="90">
        <v>0</v>
      </c>
      <c r="O993" s="90">
        <v>255</v>
      </c>
    </row>
    <row r="994" spans="1:15" s="90" customFormat="1" ht="12.75" customHeight="1" x14ac:dyDescent="0.2">
      <c r="A994" s="247" t="s">
        <v>1209</v>
      </c>
      <c r="B994" s="316">
        <v>2083</v>
      </c>
      <c r="C994" s="247" t="s">
        <v>979</v>
      </c>
      <c r="D994" s="317">
        <v>42654</v>
      </c>
      <c r="E994" s="318">
        <v>0.35895833333333332</v>
      </c>
      <c r="F994" s="247" t="s">
        <v>702</v>
      </c>
      <c r="G994" s="247" t="s">
        <v>1035</v>
      </c>
      <c r="H994" s="248" t="s">
        <v>121</v>
      </c>
      <c r="I994" s="248" t="s">
        <v>122</v>
      </c>
      <c r="J994" s="247" t="s">
        <v>809</v>
      </c>
      <c r="K994" s="249">
        <v>0</v>
      </c>
      <c r="M994" s="90">
        <v>0</v>
      </c>
      <c r="N994" s="90">
        <v>0</v>
      </c>
      <c r="O994" s="90">
        <v>255</v>
      </c>
    </row>
    <row r="995" spans="1:15" s="90" customFormat="1" ht="12.75" customHeight="1" x14ac:dyDescent="0.2">
      <c r="A995" s="247" t="s">
        <v>1032</v>
      </c>
      <c r="B995" s="316">
        <v>3046</v>
      </c>
      <c r="C995" s="247" t="s">
        <v>975</v>
      </c>
      <c r="D995" s="317">
        <v>42654</v>
      </c>
      <c r="E995" s="318">
        <v>0.36256944444444444</v>
      </c>
      <c r="F995" s="247" t="s">
        <v>976</v>
      </c>
      <c r="G995" s="247" t="s">
        <v>1035</v>
      </c>
      <c r="H995" s="248" t="s">
        <v>404</v>
      </c>
      <c r="I995" s="248" t="s">
        <v>404</v>
      </c>
      <c r="J995" s="247" t="s">
        <v>809</v>
      </c>
      <c r="K995" s="249">
        <v>0</v>
      </c>
      <c r="M995" s="90">
        <v>0</v>
      </c>
      <c r="N995" s="90">
        <v>0</v>
      </c>
      <c r="O995" s="90">
        <v>255</v>
      </c>
    </row>
    <row r="996" spans="1:15" s="90" customFormat="1" ht="12.75" customHeight="1" x14ac:dyDescent="0.2">
      <c r="A996" s="247" t="s">
        <v>989</v>
      </c>
      <c r="B996" s="316">
        <v>3046</v>
      </c>
      <c r="C996" s="247" t="s">
        <v>975</v>
      </c>
      <c r="D996" s="317">
        <v>42654</v>
      </c>
      <c r="E996" s="318">
        <v>0.36256944444444444</v>
      </c>
      <c r="F996" s="247" t="s">
        <v>976</v>
      </c>
      <c r="G996" s="247" t="s">
        <v>1035</v>
      </c>
      <c r="H996" s="248" t="s">
        <v>404</v>
      </c>
      <c r="I996" s="248" t="s">
        <v>404</v>
      </c>
      <c r="J996" s="247" t="s">
        <v>809</v>
      </c>
      <c r="K996" s="249">
        <v>0</v>
      </c>
      <c r="M996" s="90">
        <v>0</v>
      </c>
      <c r="N996" s="90">
        <v>0</v>
      </c>
      <c r="O996" s="90">
        <v>255</v>
      </c>
    </row>
    <row r="997" spans="1:15" s="90" customFormat="1" ht="12.75" customHeight="1" x14ac:dyDescent="0.2">
      <c r="A997" s="247" t="s">
        <v>990</v>
      </c>
      <c r="B997" s="316">
        <v>3046</v>
      </c>
      <c r="C997" s="247" t="s">
        <v>975</v>
      </c>
      <c r="D997" s="317">
        <v>42654</v>
      </c>
      <c r="E997" s="318">
        <v>0.3628703703703704</v>
      </c>
      <c r="F997" s="247" t="s">
        <v>976</v>
      </c>
      <c r="G997" s="247" t="s">
        <v>1035</v>
      </c>
      <c r="H997" s="248" t="s">
        <v>404</v>
      </c>
      <c r="I997" s="248" t="s">
        <v>404</v>
      </c>
      <c r="J997" s="247" t="s">
        <v>809</v>
      </c>
      <c r="K997" s="249">
        <v>0</v>
      </c>
      <c r="M997" s="90">
        <v>0</v>
      </c>
      <c r="N997" s="90">
        <v>0</v>
      </c>
      <c r="O997" s="90">
        <v>255</v>
      </c>
    </row>
    <row r="998" spans="1:15" s="90" customFormat="1" ht="12.75" customHeight="1" x14ac:dyDescent="0.2">
      <c r="A998" s="247" t="s">
        <v>1033</v>
      </c>
      <c r="B998" s="316">
        <v>3217</v>
      </c>
      <c r="C998" s="247" t="s">
        <v>975</v>
      </c>
      <c r="D998" s="317">
        <v>42654</v>
      </c>
      <c r="E998" s="318">
        <v>0.3628703703703704</v>
      </c>
      <c r="F998" s="247" t="s">
        <v>235</v>
      </c>
      <c r="G998" s="247" t="s">
        <v>1035</v>
      </c>
      <c r="H998" s="248" t="s">
        <v>234</v>
      </c>
      <c r="I998" s="248" t="s">
        <v>235</v>
      </c>
      <c r="J998" s="247" t="s">
        <v>809</v>
      </c>
      <c r="K998" s="249">
        <v>0</v>
      </c>
      <c r="M998" s="90">
        <v>0</v>
      </c>
      <c r="N998" s="90">
        <v>0</v>
      </c>
      <c r="O998" s="90">
        <v>255</v>
      </c>
    </row>
    <row r="999" spans="1:15" s="90" customFormat="1" ht="12.75" customHeight="1" x14ac:dyDescent="0.2">
      <c r="A999" s="247" t="s">
        <v>1188</v>
      </c>
      <c r="B999" s="316">
        <v>3004</v>
      </c>
      <c r="C999" s="247" t="s">
        <v>979</v>
      </c>
      <c r="D999" s="317">
        <v>42654</v>
      </c>
      <c r="E999" s="318">
        <v>0.39614583333333336</v>
      </c>
      <c r="F999" s="247" t="s">
        <v>702</v>
      </c>
      <c r="G999" s="247" t="s">
        <v>1035</v>
      </c>
      <c r="H999" s="248" t="s">
        <v>234</v>
      </c>
      <c r="I999" s="248" t="s">
        <v>702</v>
      </c>
      <c r="J999" s="247" t="s">
        <v>809</v>
      </c>
      <c r="K999" s="249">
        <v>0</v>
      </c>
      <c r="M999" s="90">
        <v>0</v>
      </c>
      <c r="N999" s="90">
        <v>0</v>
      </c>
      <c r="O999" s="90">
        <v>255</v>
      </c>
    </row>
    <row r="1000" spans="1:15" s="90" customFormat="1" ht="12.75" customHeight="1" x14ac:dyDescent="0.2">
      <c r="A1000" s="247" t="s">
        <v>1031</v>
      </c>
      <c r="B1000" s="316">
        <v>3046</v>
      </c>
      <c r="C1000" s="247" t="s">
        <v>975</v>
      </c>
      <c r="D1000" s="317">
        <v>42654</v>
      </c>
      <c r="E1000" s="318">
        <v>0.39644675925925926</v>
      </c>
      <c r="F1000" s="247" t="s">
        <v>976</v>
      </c>
      <c r="G1000" s="247" t="s">
        <v>1035</v>
      </c>
      <c r="H1000" s="248" t="s">
        <v>404</v>
      </c>
      <c r="I1000" s="248" t="s">
        <v>404</v>
      </c>
      <c r="J1000" s="247" t="s">
        <v>809</v>
      </c>
      <c r="K1000" s="249">
        <v>0</v>
      </c>
      <c r="M1000" s="90">
        <v>0</v>
      </c>
      <c r="N1000" s="90">
        <v>0</v>
      </c>
      <c r="O1000" s="90">
        <v>255</v>
      </c>
    </row>
    <row r="1001" spans="1:15" s="90" customFormat="1" ht="12.75" customHeight="1" x14ac:dyDescent="0.2">
      <c r="A1001" s="247" t="s">
        <v>1032</v>
      </c>
      <c r="B1001" s="316">
        <v>3046</v>
      </c>
      <c r="C1001" s="247" t="s">
        <v>975</v>
      </c>
      <c r="D1001" s="317">
        <v>42654</v>
      </c>
      <c r="E1001" s="318">
        <v>0.40052083333333338</v>
      </c>
      <c r="F1001" s="247" t="s">
        <v>976</v>
      </c>
      <c r="G1001" s="247" t="s">
        <v>1035</v>
      </c>
      <c r="H1001" s="248" t="s">
        <v>404</v>
      </c>
      <c r="I1001" s="248" t="s">
        <v>404</v>
      </c>
      <c r="J1001" s="247" t="s">
        <v>809</v>
      </c>
      <c r="K1001" s="249">
        <v>0</v>
      </c>
      <c r="M1001" s="90">
        <v>0</v>
      </c>
      <c r="N1001" s="90">
        <v>0</v>
      </c>
      <c r="O1001" s="90">
        <v>255</v>
      </c>
    </row>
    <row r="1002" spans="1:15" s="90" customFormat="1" ht="12.75" customHeight="1" x14ac:dyDescent="0.2">
      <c r="A1002" s="247" t="s">
        <v>989</v>
      </c>
      <c r="B1002" s="316">
        <v>3046</v>
      </c>
      <c r="C1002" s="247" t="s">
        <v>975</v>
      </c>
      <c r="D1002" s="317">
        <v>42654</v>
      </c>
      <c r="E1002" s="318">
        <v>0.40052083333333338</v>
      </c>
      <c r="F1002" s="247" t="s">
        <v>976</v>
      </c>
      <c r="G1002" s="247" t="s">
        <v>1035</v>
      </c>
      <c r="H1002" s="248" t="s">
        <v>404</v>
      </c>
      <c r="I1002" s="248" t="s">
        <v>404</v>
      </c>
      <c r="J1002" s="247" t="s">
        <v>809</v>
      </c>
      <c r="K1002" s="249">
        <v>0</v>
      </c>
      <c r="M1002" s="90">
        <v>0</v>
      </c>
      <c r="N1002" s="90">
        <v>0</v>
      </c>
      <c r="O1002" s="90">
        <v>255</v>
      </c>
    </row>
    <row r="1003" spans="1:15" s="90" customFormat="1" ht="12.75" customHeight="1" x14ac:dyDescent="0.2">
      <c r="A1003" s="247" t="s">
        <v>1033</v>
      </c>
      <c r="B1003" s="316">
        <v>3217</v>
      </c>
      <c r="C1003" s="247" t="s">
        <v>975</v>
      </c>
      <c r="D1003" s="317">
        <v>42654</v>
      </c>
      <c r="E1003" s="318">
        <v>0.40082175925925928</v>
      </c>
      <c r="F1003" s="247" t="s">
        <v>235</v>
      </c>
      <c r="G1003" s="247" t="s">
        <v>1035</v>
      </c>
      <c r="H1003" s="248" t="s">
        <v>234</v>
      </c>
      <c r="I1003" s="248" t="s">
        <v>235</v>
      </c>
      <c r="J1003" s="247" t="s">
        <v>809</v>
      </c>
      <c r="K1003" s="249">
        <v>0</v>
      </c>
      <c r="M1003" s="90">
        <v>0</v>
      </c>
      <c r="N1003" s="90">
        <v>0</v>
      </c>
      <c r="O1003" s="90">
        <v>255</v>
      </c>
    </row>
    <row r="1004" spans="1:15" s="90" customFormat="1" ht="12.75" customHeight="1" x14ac:dyDescent="0.2">
      <c r="A1004" s="247" t="s">
        <v>990</v>
      </c>
      <c r="B1004" s="316">
        <v>3046</v>
      </c>
      <c r="C1004" s="247" t="s">
        <v>975</v>
      </c>
      <c r="D1004" s="317">
        <v>42654</v>
      </c>
      <c r="E1004" s="318">
        <v>0.40083333333333332</v>
      </c>
      <c r="F1004" s="247" t="s">
        <v>976</v>
      </c>
      <c r="G1004" s="247" t="s">
        <v>1035</v>
      </c>
      <c r="H1004" s="248" t="s">
        <v>404</v>
      </c>
      <c r="I1004" s="248" t="s">
        <v>404</v>
      </c>
      <c r="J1004" s="247" t="s">
        <v>809</v>
      </c>
      <c r="K1004" s="249">
        <v>0</v>
      </c>
      <c r="M1004" s="90">
        <v>0</v>
      </c>
      <c r="N1004" s="90">
        <v>0</v>
      </c>
      <c r="O1004" s="90">
        <v>255</v>
      </c>
    </row>
    <row r="1005" spans="1:15" s="90" customFormat="1" ht="12.75" customHeight="1" x14ac:dyDescent="0.2">
      <c r="A1005" s="247" t="s">
        <v>989</v>
      </c>
      <c r="B1005" s="316">
        <v>3046</v>
      </c>
      <c r="C1005" s="247" t="s">
        <v>975</v>
      </c>
      <c r="D1005" s="317">
        <v>42654</v>
      </c>
      <c r="E1005" s="318">
        <v>0.44249999999999995</v>
      </c>
      <c r="F1005" s="247" t="s">
        <v>976</v>
      </c>
      <c r="G1005" s="247" t="s">
        <v>1035</v>
      </c>
      <c r="H1005" s="248" t="s">
        <v>404</v>
      </c>
      <c r="I1005" s="248" t="s">
        <v>404</v>
      </c>
      <c r="J1005" s="247" t="s">
        <v>809</v>
      </c>
      <c r="K1005" s="249">
        <v>0</v>
      </c>
      <c r="M1005" s="90">
        <v>0</v>
      </c>
      <c r="N1005" s="90">
        <v>0</v>
      </c>
      <c r="O1005" s="90">
        <v>255</v>
      </c>
    </row>
    <row r="1006" spans="1:15" s="90" customFormat="1" ht="12.75" customHeight="1" x14ac:dyDescent="0.2">
      <c r="A1006" s="247" t="s">
        <v>993</v>
      </c>
      <c r="B1006" s="316">
        <v>3217</v>
      </c>
      <c r="C1006" s="247" t="s">
        <v>975</v>
      </c>
      <c r="D1006" s="317">
        <v>42654</v>
      </c>
      <c r="E1006" s="318">
        <v>0.44274305555555554</v>
      </c>
      <c r="F1006" s="247" t="s">
        <v>235</v>
      </c>
      <c r="G1006" s="247" t="s">
        <v>1035</v>
      </c>
      <c r="H1006" s="248" t="s">
        <v>234</v>
      </c>
      <c r="I1006" s="248" t="s">
        <v>235</v>
      </c>
      <c r="J1006" s="247" t="s">
        <v>809</v>
      </c>
      <c r="K1006" s="249">
        <v>0</v>
      </c>
      <c r="M1006" s="90">
        <v>0</v>
      </c>
      <c r="N1006" s="90">
        <v>0</v>
      </c>
      <c r="O1006" s="90">
        <v>255</v>
      </c>
    </row>
    <row r="1007" spans="1:15" s="90" customFormat="1" ht="12.75" customHeight="1" x14ac:dyDescent="0.2">
      <c r="A1007" s="247" t="s">
        <v>990</v>
      </c>
      <c r="B1007" s="316">
        <v>3046</v>
      </c>
      <c r="C1007" s="247" t="s">
        <v>975</v>
      </c>
      <c r="D1007" s="317">
        <v>42654</v>
      </c>
      <c r="E1007" s="318">
        <v>0.44275462962962964</v>
      </c>
      <c r="F1007" s="247" t="s">
        <v>976</v>
      </c>
      <c r="G1007" s="247" t="s">
        <v>1035</v>
      </c>
      <c r="H1007" s="248" t="s">
        <v>404</v>
      </c>
      <c r="I1007" s="248" t="s">
        <v>404</v>
      </c>
      <c r="J1007" s="247" t="s">
        <v>809</v>
      </c>
      <c r="K1007" s="249">
        <v>0</v>
      </c>
      <c r="M1007" s="90">
        <v>0</v>
      </c>
      <c r="N1007" s="90">
        <v>0</v>
      </c>
      <c r="O1007" s="90">
        <v>255</v>
      </c>
    </row>
    <row r="1008" spans="1:15" s="90" customFormat="1" ht="12.75" customHeight="1" x14ac:dyDescent="0.2">
      <c r="A1008" s="247" t="s">
        <v>1188</v>
      </c>
      <c r="B1008" s="316">
        <v>3004</v>
      </c>
      <c r="C1008" s="247" t="s">
        <v>979</v>
      </c>
      <c r="D1008" s="317">
        <v>42654</v>
      </c>
      <c r="E1008" s="318">
        <v>0.46776620370370375</v>
      </c>
      <c r="F1008" s="247" t="s">
        <v>702</v>
      </c>
      <c r="G1008" s="247" t="s">
        <v>1035</v>
      </c>
      <c r="H1008" s="248" t="s">
        <v>234</v>
      </c>
      <c r="I1008" s="248" t="s">
        <v>702</v>
      </c>
      <c r="J1008" s="247" t="s">
        <v>809</v>
      </c>
      <c r="K1008" s="249">
        <v>0</v>
      </c>
      <c r="M1008" s="90">
        <v>0</v>
      </c>
      <c r="N1008" s="90">
        <v>0</v>
      </c>
      <c r="O1008" s="90">
        <v>255</v>
      </c>
    </row>
    <row r="1009" spans="1:15" s="90" customFormat="1" ht="12.75" customHeight="1" x14ac:dyDescent="0.2">
      <c r="A1009" s="247" t="s">
        <v>1238</v>
      </c>
      <c r="B1009" s="316">
        <v>3218</v>
      </c>
      <c r="C1009" s="247" t="s">
        <v>979</v>
      </c>
      <c r="D1009" s="317">
        <v>42654</v>
      </c>
      <c r="E1009" s="318">
        <v>0.46839120370370368</v>
      </c>
      <c r="F1009" s="247" t="s">
        <v>702</v>
      </c>
      <c r="G1009" s="247" t="s">
        <v>1035</v>
      </c>
      <c r="H1009" s="248"/>
      <c r="I1009" s="248"/>
      <c r="J1009" s="247"/>
      <c r="K1009" s="249"/>
      <c r="M1009" s="90">
        <v>0</v>
      </c>
      <c r="N1009" s="90">
        <v>0</v>
      </c>
      <c r="O1009" s="90">
        <v>255</v>
      </c>
    </row>
    <row r="1010" spans="1:15" s="90" customFormat="1" ht="12.75" customHeight="1" x14ac:dyDescent="0.2">
      <c r="A1010" s="247" t="s">
        <v>1239</v>
      </c>
      <c r="B1010" s="316">
        <v>3218</v>
      </c>
      <c r="C1010" s="247" t="s">
        <v>979</v>
      </c>
      <c r="D1010" s="317">
        <v>42654</v>
      </c>
      <c r="E1010" s="318">
        <v>0.46839120370370368</v>
      </c>
      <c r="F1010" s="247" t="s">
        <v>702</v>
      </c>
      <c r="G1010" s="247" t="s">
        <v>1035</v>
      </c>
      <c r="H1010" s="248"/>
      <c r="I1010" s="248"/>
      <c r="J1010" s="247"/>
      <c r="K1010" s="249"/>
      <c r="M1010" s="90">
        <v>0</v>
      </c>
      <c r="N1010" s="90">
        <v>0</v>
      </c>
      <c r="O1010" s="90">
        <v>255</v>
      </c>
    </row>
    <row r="1011" spans="1:15" s="90" customFormat="1" ht="12.75" customHeight="1" x14ac:dyDescent="0.2">
      <c r="A1011" s="247" t="s">
        <v>1031</v>
      </c>
      <c r="B1011" s="316">
        <v>3046</v>
      </c>
      <c r="C1011" s="247" t="s">
        <v>975</v>
      </c>
      <c r="D1011" s="317">
        <v>42654</v>
      </c>
      <c r="E1011" s="318">
        <v>0.46846064814814814</v>
      </c>
      <c r="F1011" s="247" t="s">
        <v>976</v>
      </c>
      <c r="G1011" s="247" t="s">
        <v>1035</v>
      </c>
      <c r="H1011" s="248" t="s">
        <v>404</v>
      </c>
      <c r="I1011" s="248" t="s">
        <v>404</v>
      </c>
      <c r="J1011" s="247" t="s">
        <v>809</v>
      </c>
      <c r="K1011" s="249">
        <v>0</v>
      </c>
      <c r="M1011" s="90">
        <v>0</v>
      </c>
      <c r="N1011" s="90">
        <v>0</v>
      </c>
      <c r="O1011" s="90">
        <v>255</v>
      </c>
    </row>
    <row r="1012" spans="1:15" s="90" customFormat="1" ht="12.75" customHeight="1" x14ac:dyDescent="0.2">
      <c r="A1012" s="247" t="s">
        <v>1322</v>
      </c>
      <c r="B1012" s="316">
        <v>3024</v>
      </c>
      <c r="C1012" s="247" t="s">
        <v>996</v>
      </c>
      <c r="D1012" s="317">
        <v>42654</v>
      </c>
      <c r="E1012" s="318">
        <v>0.46881944444444446</v>
      </c>
      <c r="F1012" s="247" t="s">
        <v>702</v>
      </c>
      <c r="G1012" s="247" t="s">
        <v>1035</v>
      </c>
      <c r="H1012" s="248" t="s">
        <v>234</v>
      </c>
      <c r="I1012" s="248" t="s">
        <v>702</v>
      </c>
      <c r="J1012" s="247" t="s">
        <v>809</v>
      </c>
      <c r="K1012" s="249">
        <v>0</v>
      </c>
      <c r="M1012" s="90">
        <v>0</v>
      </c>
      <c r="N1012" s="90">
        <v>0</v>
      </c>
      <c r="O1012" s="90">
        <v>255</v>
      </c>
    </row>
    <row r="1013" spans="1:15" s="90" customFormat="1" ht="12.75" customHeight="1" x14ac:dyDescent="0.2">
      <c r="A1013" s="247" t="s">
        <v>1209</v>
      </c>
      <c r="B1013" s="316">
        <v>2083</v>
      </c>
      <c r="C1013" s="247" t="s">
        <v>979</v>
      </c>
      <c r="D1013" s="317">
        <v>42654</v>
      </c>
      <c r="E1013" s="318">
        <v>0.46910879629629632</v>
      </c>
      <c r="F1013" s="247" t="s">
        <v>702</v>
      </c>
      <c r="G1013" s="247" t="s">
        <v>1035</v>
      </c>
      <c r="H1013" s="248" t="s">
        <v>121</v>
      </c>
      <c r="I1013" s="248" t="s">
        <v>122</v>
      </c>
      <c r="J1013" s="247" t="s">
        <v>809</v>
      </c>
      <c r="K1013" s="249">
        <v>0</v>
      </c>
      <c r="M1013" s="90">
        <v>0</v>
      </c>
      <c r="N1013" s="90">
        <v>0</v>
      </c>
      <c r="O1013" s="90">
        <v>255</v>
      </c>
    </row>
    <row r="1014" spans="1:15" s="90" customFormat="1" ht="12.75" customHeight="1" x14ac:dyDescent="0.2">
      <c r="A1014" s="247" t="s">
        <v>1188</v>
      </c>
      <c r="B1014" s="316">
        <v>3004</v>
      </c>
      <c r="C1014" s="247" t="s">
        <v>979</v>
      </c>
      <c r="D1014" s="317">
        <v>42654</v>
      </c>
      <c r="E1014" s="318">
        <v>0.47015046296296298</v>
      </c>
      <c r="F1014" s="247" t="s">
        <v>702</v>
      </c>
      <c r="G1014" s="247" t="s">
        <v>1035</v>
      </c>
      <c r="H1014" s="248" t="s">
        <v>234</v>
      </c>
      <c r="I1014" s="248" t="s">
        <v>702</v>
      </c>
      <c r="J1014" s="247" t="s">
        <v>809</v>
      </c>
      <c r="K1014" s="249">
        <v>0</v>
      </c>
      <c r="M1014" s="90">
        <v>0</v>
      </c>
      <c r="N1014" s="90">
        <v>0</v>
      </c>
      <c r="O1014" s="90">
        <v>255</v>
      </c>
    </row>
    <row r="1015" spans="1:15" s="90" customFormat="1" ht="12.75" customHeight="1" x14ac:dyDescent="0.2">
      <c r="A1015" s="247" t="s">
        <v>1191</v>
      </c>
      <c r="B1015" s="316">
        <v>3004</v>
      </c>
      <c r="C1015" s="247" t="s">
        <v>979</v>
      </c>
      <c r="D1015" s="317">
        <v>42654</v>
      </c>
      <c r="E1015" s="318">
        <v>0.47015046296296298</v>
      </c>
      <c r="F1015" s="247" t="s">
        <v>702</v>
      </c>
      <c r="G1015" s="247" t="s">
        <v>1035</v>
      </c>
      <c r="H1015" s="248" t="s">
        <v>234</v>
      </c>
      <c r="I1015" s="248" t="s">
        <v>702</v>
      </c>
      <c r="J1015" s="247" t="s">
        <v>809</v>
      </c>
      <c r="K1015" s="249">
        <v>0</v>
      </c>
      <c r="M1015" s="90">
        <v>0</v>
      </c>
      <c r="N1015" s="90">
        <v>0</v>
      </c>
      <c r="O1015" s="90">
        <v>255</v>
      </c>
    </row>
    <row r="1016" spans="1:15" s="90" customFormat="1" ht="12.75" customHeight="1" x14ac:dyDescent="0.2">
      <c r="A1016" s="247" t="s">
        <v>1209</v>
      </c>
      <c r="B1016" s="316">
        <v>2083</v>
      </c>
      <c r="C1016" s="247" t="s">
        <v>979</v>
      </c>
      <c r="D1016" s="317">
        <v>42654</v>
      </c>
      <c r="E1016" s="318">
        <v>0.47021990740740738</v>
      </c>
      <c r="F1016" s="247" t="s">
        <v>702</v>
      </c>
      <c r="G1016" s="247" t="s">
        <v>1035</v>
      </c>
      <c r="H1016" s="248" t="s">
        <v>121</v>
      </c>
      <c r="I1016" s="248" t="s">
        <v>122</v>
      </c>
      <c r="J1016" s="247" t="s">
        <v>809</v>
      </c>
      <c r="K1016" s="249">
        <v>0</v>
      </c>
      <c r="M1016" s="90">
        <v>0</v>
      </c>
      <c r="N1016" s="90">
        <v>0</v>
      </c>
      <c r="O1016" s="90">
        <v>255</v>
      </c>
    </row>
    <row r="1017" spans="1:15" s="90" customFormat="1" ht="12.75" customHeight="1" x14ac:dyDescent="0.2">
      <c r="A1017" s="247" t="s">
        <v>1032</v>
      </c>
      <c r="B1017" s="316">
        <v>3046</v>
      </c>
      <c r="C1017" s="247" t="s">
        <v>975</v>
      </c>
      <c r="D1017" s="317">
        <v>42654</v>
      </c>
      <c r="E1017" s="318">
        <v>0.47333333333333333</v>
      </c>
      <c r="F1017" s="247" t="s">
        <v>976</v>
      </c>
      <c r="G1017" s="247" t="s">
        <v>1035</v>
      </c>
      <c r="H1017" s="248" t="s">
        <v>404</v>
      </c>
      <c r="I1017" s="248" t="s">
        <v>404</v>
      </c>
      <c r="J1017" s="247" t="s">
        <v>809</v>
      </c>
      <c r="K1017" s="249">
        <v>0</v>
      </c>
      <c r="M1017" s="90">
        <v>0</v>
      </c>
      <c r="N1017" s="90">
        <v>0</v>
      </c>
      <c r="O1017" s="90">
        <v>255</v>
      </c>
    </row>
    <row r="1018" spans="1:15" s="90" customFormat="1" ht="12.75" customHeight="1" x14ac:dyDescent="0.2">
      <c r="A1018" s="247" t="s">
        <v>989</v>
      </c>
      <c r="B1018" s="316">
        <v>3046</v>
      </c>
      <c r="C1018" s="247" t="s">
        <v>975</v>
      </c>
      <c r="D1018" s="317">
        <v>42654</v>
      </c>
      <c r="E1018" s="318">
        <v>0.47333333333333333</v>
      </c>
      <c r="F1018" s="247" t="s">
        <v>976</v>
      </c>
      <c r="G1018" s="247" t="s">
        <v>1035</v>
      </c>
      <c r="H1018" s="248" t="s">
        <v>404</v>
      </c>
      <c r="I1018" s="248" t="s">
        <v>404</v>
      </c>
      <c r="J1018" s="247" t="s">
        <v>809</v>
      </c>
      <c r="K1018" s="249">
        <v>0</v>
      </c>
      <c r="M1018" s="90">
        <v>0</v>
      </c>
      <c r="N1018" s="90">
        <v>0</v>
      </c>
      <c r="O1018" s="90">
        <v>255</v>
      </c>
    </row>
    <row r="1019" spans="1:15" s="90" customFormat="1" ht="12.75" customHeight="1" x14ac:dyDescent="0.2">
      <c r="A1019" s="247" t="s">
        <v>990</v>
      </c>
      <c r="B1019" s="316">
        <v>3046</v>
      </c>
      <c r="C1019" s="247" t="s">
        <v>975</v>
      </c>
      <c r="D1019" s="317">
        <v>42654</v>
      </c>
      <c r="E1019" s="318">
        <v>0.47362268518518519</v>
      </c>
      <c r="F1019" s="247" t="s">
        <v>976</v>
      </c>
      <c r="G1019" s="247" t="s">
        <v>1035</v>
      </c>
      <c r="H1019" s="248" t="s">
        <v>404</v>
      </c>
      <c r="I1019" s="248" t="s">
        <v>404</v>
      </c>
      <c r="J1019" s="247" t="s">
        <v>809</v>
      </c>
      <c r="K1019" s="249">
        <v>0</v>
      </c>
      <c r="M1019" s="90">
        <v>0</v>
      </c>
      <c r="N1019" s="90">
        <v>0</v>
      </c>
      <c r="O1019" s="90">
        <v>255</v>
      </c>
    </row>
    <row r="1020" spans="1:15" s="90" customFormat="1" ht="12.75" customHeight="1" x14ac:dyDescent="0.2">
      <c r="A1020" s="247" t="s">
        <v>1033</v>
      </c>
      <c r="B1020" s="316">
        <v>3217</v>
      </c>
      <c r="C1020" s="247" t="s">
        <v>975</v>
      </c>
      <c r="D1020" s="317">
        <v>42654</v>
      </c>
      <c r="E1020" s="318">
        <v>0.47362268518518519</v>
      </c>
      <c r="F1020" s="247" t="s">
        <v>235</v>
      </c>
      <c r="G1020" s="247" t="s">
        <v>1035</v>
      </c>
      <c r="H1020" s="248" t="s">
        <v>234</v>
      </c>
      <c r="I1020" s="248" t="s">
        <v>235</v>
      </c>
      <c r="J1020" s="247" t="s">
        <v>809</v>
      </c>
      <c r="K1020" s="249">
        <v>0</v>
      </c>
      <c r="M1020" s="90">
        <v>0</v>
      </c>
      <c r="N1020" s="90">
        <v>0</v>
      </c>
      <c r="O1020" s="90">
        <v>255</v>
      </c>
    </row>
    <row r="1021" spans="1:15" s="90" customFormat="1" ht="12.75" customHeight="1" x14ac:dyDescent="0.2">
      <c r="A1021" s="247" t="s">
        <v>1205</v>
      </c>
      <c r="B1021" s="316">
        <v>3218</v>
      </c>
      <c r="C1021" s="247" t="s">
        <v>979</v>
      </c>
      <c r="D1021" s="317">
        <v>42654</v>
      </c>
      <c r="E1021" s="318">
        <v>0.49490740740740741</v>
      </c>
      <c r="F1021" s="247" t="s">
        <v>702</v>
      </c>
      <c r="G1021" s="247" t="s">
        <v>1035</v>
      </c>
      <c r="H1021" s="248"/>
      <c r="I1021" s="248"/>
      <c r="J1021" s="247"/>
      <c r="K1021" s="249"/>
      <c r="M1021" s="90">
        <v>0</v>
      </c>
      <c r="N1021" s="90">
        <v>0</v>
      </c>
      <c r="O1021" s="90">
        <v>255</v>
      </c>
    </row>
    <row r="1022" spans="1:15" s="90" customFormat="1" ht="12.75" customHeight="1" x14ac:dyDescent="0.2">
      <c r="A1022" s="247" t="s">
        <v>1206</v>
      </c>
      <c r="B1022" s="316">
        <v>3218</v>
      </c>
      <c r="C1022" s="247" t="s">
        <v>979</v>
      </c>
      <c r="D1022" s="317">
        <v>42654</v>
      </c>
      <c r="E1022" s="318">
        <v>0.49490740740740741</v>
      </c>
      <c r="F1022" s="247" t="s">
        <v>702</v>
      </c>
      <c r="G1022" s="247" t="s">
        <v>1035</v>
      </c>
      <c r="H1022" s="248"/>
      <c r="I1022" s="248"/>
      <c r="J1022" s="247"/>
      <c r="K1022" s="249"/>
      <c r="M1022" s="90">
        <v>0</v>
      </c>
      <c r="N1022" s="90">
        <v>0</v>
      </c>
      <c r="O1022" s="90">
        <v>255</v>
      </c>
    </row>
    <row r="1023" spans="1:15" s="90" customFormat="1" ht="12.75" customHeight="1" x14ac:dyDescent="0.2">
      <c r="A1023" s="247" t="s">
        <v>1207</v>
      </c>
      <c r="B1023" s="316">
        <v>3218</v>
      </c>
      <c r="C1023" s="247" t="s">
        <v>979</v>
      </c>
      <c r="D1023" s="317">
        <v>42654</v>
      </c>
      <c r="E1023" s="318">
        <v>0.49490740740740741</v>
      </c>
      <c r="F1023" s="247" t="s">
        <v>702</v>
      </c>
      <c r="G1023" s="247" t="s">
        <v>1035</v>
      </c>
      <c r="H1023" s="248"/>
      <c r="I1023" s="248"/>
      <c r="J1023" s="247"/>
      <c r="K1023" s="249"/>
      <c r="M1023" s="90">
        <v>0</v>
      </c>
      <c r="N1023" s="90">
        <v>0</v>
      </c>
      <c r="O1023" s="90">
        <v>255</v>
      </c>
    </row>
    <row r="1024" spans="1:15" s="90" customFormat="1" ht="12.75" customHeight="1" x14ac:dyDescent="0.2">
      <c r="A1024" s="247" t="s">
        <v>1323</v>
      </c>
      <c r="B1024" s="316">
        <v>3218</v>
      </c>
      <c r="C1024" s="247" t="s">
        <v>979</v>
      </c>
      <c r="D1024" s="317">
        <v>42654</v>
      </c>
      <c r="E1024" s="318">
        <v>0.49490740740740741</v>
      </c>
      <c r="F1024" s="247" t="s">
        <v>702</v>
      </c>
      <c r="G1024" s="247" t="s">
        <v>1035</v>
      </c>
      <c r="H1024" s="248"/>
      <c r="I1024" s="248"/>
      <c r="J1024" s="247"/>
      <c r="K1024" s="249"/>
      <c r="M1024" s="90">
        <v>0</v>
      </c>
      <c r="N1024" s="90">
        <v>0</v>
      </c>
      <c r="O1024" s="90">
        <v>255</v>
      </c>
    </row>
    <row r="1025" spans="1:15" s="90" customFormat="1" ht="12.75" customHeight="1" x14ac:dyDescent="0.2">
      <c r="A1025" s="247" t="s">
        <v>1324</v>
      </c>
      <c r="B1025" s="316">
        <v>3218</v>
      </c>
      <c r="C1025" s="247" t="s">
        <v>979</v>
      </c>
      <c r="D1025" s="317">
        <v>42654</v>
      </c>
      <c r="E1025" s="318">
        <v>0.49490740740740741</v>
      </c>
      <c r="F1025" s="247" t="s">
        <v>702</v>
      </c>
      <c r="G1025" s="247" t="s">
        <v>1035</v>
      </c>
      <c r="H1025" s="248"/>
      <c r="I1025" s="248"/>
      <c r="J1025" s="247"/>
      <c r="K1025" s="249"/>
      <c r="M1025" s="90">
        <v>0</v>
      </c>
      <c r="N1025" s="90">
        <v>0</v>
      </c>
      <c r="O1025" s="90">
        <v>255</v>
      </c>
    </row>
    <row r="1026" spans="1:15" s="90" customFormat="1" ht="12.75" customHeight="1" x14ac:dyDescent="0.2">
      <c r="A1026" s="247" t="s">
        <v>1325</v>
      </c>
      <c r="B1026" s="316">
        <v>3218</v>
      </c>
      <c r="C1026" s="247" t="s">
        <v>979</v>
      </c>
      <c r="D1026" s="317">
        <v>42654</v>
      </c>
      <c r="E1026" s="318">
        <v>0.49490740740740741</v>
      </c>
      <c r="F1026" s="247" t="s">
        <v>702</v>
      </c>
      <c r="G1026" s="247" t="s">
        <v>1035</v>
      </c>
      <c r="H1026" s="248"/>
      <c r="I1026" s="248"/>
      <c r="J1026" s="247"/>
      <c r="K1026" s="249"/>
      <c r="M1026" s="90">
        <v>0</v>
      </c>
      <c r="N1026" s="90">
        <v>0</v>
      </c>
      <c r="O1026" s="90">
        <v>255</v>
      </c>
    </row>
    <row r="1027" spans="1:15" s="90" customFormat="1" ht="12.75" customHeight="1" x14ac:dyDescent="0.2">
      <c r="A1027" s="247" t="s">
        <v>1326</v>
      </c>
      <c r="B1027" s="316">
        <v>3218</v>
      </c>
      <c r="C1027" s="247" t="s">
        <v>979</v>
      </c>
      <c r="D1027" s="317">
        <v>42654</v>
      </c>
      <c r="E1027" s="318">
        <v>0.49490740740740741</v>
      </c>
      <c r="F1027" s="247" t="s">
        <v>702</v>
      </c>
      <c r="G1027" s="247" t="s">
        <v>1035</v>
      </c>
      <c r="H1027" s="248"/>
      <c r="I1027" s="248"/>
      <c r="J1027" s="247"/>
      <c r="K1027" s="249"/>
      <c r="M1027" s="90">
        <v>0</v>
      </c>
      <c r="N1027" s="90">
        <v>0</v>
      </c>
      <c r="O1027" s="90">
        <v>255</v>
      </c>
    </row>
    <row r="1028" spans="1:15" s="90" customFormat="1" ht="12.75" customHeight="1" x14ac:dyDescent="0.2">
      <c r="A1028" s="247" t="s">
        <v>1327</v>
      </c>
      <c r="B1028" s="316">
        <v>3218</v>
      </c>
      <c r="C1028" s="247" t="s">
        <v>979</v>
      </c>
      <c r="D1028" s="317">
        <v>42654</v>
      </c>
      <c r="E1028" s="318">
        <v>0.49490740740740741</v>
      </c>
      <c r="F1028" s="247" t="s">
        <v>702</v>
      </c>
      <c r="G1028" s="247" t="s">
        <v>1035</v>
      </c>
      <c r="H1028" s="248"/>
      <c r="I1028" s="248"/>
      <c r="J1028" s="247"/>
      <c r="K1028" s="249"/>
      <c r="M1028" s="90">
        <v>0</v>
      </c>
      <c r="N1028" s="90">
        <v>0</v>
      </c>
      <c r="O1028" s="90">
        <v>255</v>
      </c>
    </row>
    <row r="1029" spans="1:15" s="90" customFormat="1" ht="12.75" customHeight="1" x14ac:dyDescent="0.2">
      <c r="A1029" s="247" t="s">
        <v>1328</v>
      </c>
      <c r="B1029" s="316">
        <v>3218</v>
      </c>
      <c r="C1029" s="247" t="s">
        <v>979</v>
      </c>
      <c r="D1029" s="317">
        <v>42654</v>
      </c>
      <c r="E1029" s="318">
        <v>0.49490740740740741</v>
      </c>
      <c r="F1029" s="247" t="s">
        <v>702</v>
      </c>
      <c r="G1029" s="247" t="s">
        <v>1035</v>
      </c>
      <c r="H1029" s="248"/>
      <c r="I1029" s="248"/>
      <c r="J1029" s="247"/>
      <c r="K1029" s="249"/>
      <c r="M1029" s="90">
        <v>0</v>
      </c>
      <c r="N1029" s="90">
        <v>0</v>
      </c>
      <c r="O1029" s="90">
        <v>255</v>
      </c>
    </row>
    <row r="1030" spans="1:15" s="90" customFormat="1" ht="12.75" customHeight="1" x14ac:dyDescent="0.2">
      <c r="A1030" s="247" t="s">
        <v>1329</v>
      </c>
      <c r="B1030" s="316">
        <v>3218</v>
      </c>
      <c r="C1030" s="247" t="s">
        <v>979</v>
      </c>
      <c r="D1030" s="317">
        <v>42654</v>
      </c>
      <c r="E1030" s="318">
        <v>0.49490740740740741</v>
      </c>
      <c r="F1030" s="247" t="s">
        <v>702</v>
      </c>
      <c r="G1030" s="247" t="s">
        <v>1035</v>
      </c>
      <c r="H1030" s="248"/>
      <c r="I1030" s="248"/>
      <c r="J1030" s="247"/>
      <c r="K1030" s="249"/>
      <c r="M1030" s="90">
        <v>0</v>
      </c>
      <c r="N1030" s="90">
        <v>0</v>
      </c>
      <c r="O1030" s="90">
        <v>255</v>
      </c>
    </row>
    <row r="1031" spans="1:15" s="90" customFormat="1" ht="12.75" customHeight="1" x14ac:dyDescent="0.2">
      <c r="A1031" s="247" t="s">
        <v>1031</v>
      </c>
      <c r="B1031" s="316">
        <v>3046</v>
      </c>
      <c r="C1031" s="247" t="s">
        <v>975</v>
      </c>
      <c r="D1031" s="317">
        <v>42654</v>
      </c>
      <c r="E1031" s="318">
        <v>0.49606481481481479</v>
      </c>
      <c r="F1031" s="247" t="s">
        <v>976</v>
      </c>
      <c r="G1031" s="247" t="s">
        <v>1035</v>
      </c>
      <c r="H1031" s="248" t="s">
        <v>404</v>
      </c>
      <c r="I1031" s="248" t="s">
        <v>404</v>
      </c>
      <c r="J1031" s="247" t="s">
        <v>809</v>
      </c>
      <c r="K1031" s="249">
        <v>0</v>
      </c>
      <c r="M1031" s="90">
        <v>0</v>
      </c>
      <c r="N1031" s="90">
        <v>0</v>
      </c>
      <c r="O1031" s="90">
        <v>255</v>
      </c>
    </row>
    <row r="1032" spans="1:15" s="90" customFormat="1" ht="12.75" customHeight="1" x14ac:dyDescent="0.2">
      <c r="A1032" s="247" t="s">
        <v>1032</v>
      </c>
      <c r="B1032" s="316">
        <v>3046</v>
      </c>
      <c r="C1032" s="247" t="s">
        <v>975</v>
      </c>
      <c r="D1032" s="317">
        <v>42654</v>
      </c>
      <c r="E1032" s="318">
        <v>0.51262731481481483</v>
      </c>
      <c r="F1032" s="247" t="s">
        <v>976</v>
      </c>
      <c r="G1032" s="247" t="s">
        <v>1035</v>
      </c>
      <c r="H1032" s="248" t="s">
        <v>404</v>
      </c>
      <c r="I1032" s="248" t="s">
        <v>404</v>
      </c>
      <c r="J1032" s="247" t="s">
        <v>809</v>
      </c>
      <c r="K1032" s="249">
        <v>0</v>
      </c>
      <c r="M1032" s="90">
        <v>0</v>
      </c>
      <c r="N1032" s="90">
        <v>0</v>
      </c>
      <c r="O1032" s="90">
        <v>255</v>
      </c>
    </row>
    <row r="1033" spans="1:15" s="90" customFormat="1" ht="12.75" customHeight="1" x14ac:dyDescent="0.2">
      <c r="A1033" s="247" t="s">
        <v>989</v>
      </c>
      <c r="B1033" s="316">
        <v>3046</v>
      </c>
      <c r="C1033" s="247" t="s">
        <v>975</v>
      </c>
      <c r="D1033" s="317">
        <v>42654</v>
      </c>
      <c r="E1033" s="318">
        <v>0.51262731481481483</v>
      </c>
      <c r="F1033" s="247" t="s">
        <v>976</v>
      </c>
      <c r="G1033" s="247" t="s">
        <v>1035</v>
      </c>
      <c r="H1033" s="248" t="s">
        <v>404</v>
      </c>
      <c r="I1033" s="248" t="s">
        <v>404</v>
      </c>
      <c r="J1033" s="247" t="s">
        <v>809</v>
      </c>
      <c r="K1033" s="249">
        <v>0</v>
      </c>
      <c r="M1033" s="90">
        <v>0</v>
      </c>
      <c r="N1033" s="90">
        <v>0</v>
      </c>
      <c r="O1033" s="90">
        <v>255</v>
      </c>
    </row>
    <row r="1034" spans="1:15" s="90" customFormat="1" ht="12.75" customHeight="1" x14ac:dyDescent="0.2">
      <c r="A1034" s="247" t="s">
        <v>990</v>
      </c>
      <c r="B1034" s="316">
        <v>3046</v>
      </c>
      <c r="C1034" s="247" t="s">
        <v>975</v>
      </c>
      <c r="D1034" s="317">
        <v>42654</v>
      </c>
      <c r="E1034" s="318">
        <v>0.51292824074074073</v>
      </c>
      <c r="F1034" s="247" t="s">
        <v>976</v>
      </c>
      <c r="G1034" s="247" t="s">
        <v>1035</v>
      </c>
      <c r="H1034" s="248" t="s">
        <v>404</v>
      </c>
      <c r="I1034" s="248" t="s">
        <v>404</v>
      </c>
      <c r="J1034" s="247" t="s">
        <v>809</v>
      </c>
      <c r="K1034" s="249">
        <v>0</v>
      </c>
      <c r="M1034" s="90">
        <v>0</v>
      </c>
      <c r="N1034" s="90">
        <v>0</v>
      </c>
      <c r="O1034" s="90">
        <v>255</v>
      </c>
    </row>
    <row r="1035" spans="1:15" s="90" customFormat="1" ht="12.75" customHeight="1" x14ac:dyDescent="0.2">
      <c r="A1035" s="247" t="s">
        <v>1033</v>
      </c>
      <c r="B1035" s="316">
        <v>3217</v>
      </c>
      <c r="C1035" s="247" t="s">
        <v>975</v>
      </c>
      <c r="D1035" s="317">
        <v>42654</v>
      </c>
      <c r="E1035" s="318">
        <v>0.51292824074074073</v>
      </c>
      <c r="F1035" s="247" t="s">
        <v>235</v>
      </c>
      <c r="G1035" s="247" t="s">
        <v>1035</v>
      </c>
      <c r="H1035" s="248" t="s">
        <v>234</v>
      </c>
      <c r="I1035" s="248" t="s">
        <v>235</v>
      </c>
      <c r="J1035" s="247" t="s">
        <v>809</v>
      </c>
      <c r="K1035" s="249">
        <v>0</v>
      </c>
      <c r="M1035" s="90">
        <v>0</v>
      </c>
      <c r="N1035" s="90">
        <v>0</v>
      </c>
      <c r="O1035" s="90">
        <v>255</v>
      </c>
    </row>
    <row r="1036" spans="1:15" s="90" customFormat="1" ht="12.75" customHeight="1" x14ac:dyDescent="0.2">
      <c r="A1036" s="247" t="s">
        <v>989</v>
      </c>
      <c r="B1036" s="316">
        <v>3046</v>
      </c>
      <c r="C1036" s="247" t="s">
        <v>975</v>
      </c>
      <c r="D1036" s="317">
        <v>42654</v>
      </c>
      <c r="E1036" s="318">
        <v>0.55459490740740736</v>
      </c>
      <c r="F1036" s="247" t="s">
        <v>976</v>
      </c>
      <c r="G1036" s="247" t="s">
        <v>1035</v>
      </c>
      <c r="H1036" s="248" t="s">
        <v>404</v>
      </c>
      <c r="I1036" s="248" t="s">
        <v>404</v>
      </c>
      <c r="J1036" s="247" t="s">
        <v>809</v>
      </c>
      <c r="K1036" s="249">
        <v>0</v>
      </c>
      <c r="M1036" s="90">
        <v>0</v>
      </c>
      <c r="N1036" s="90">
        <v>0</v>
      </c>
      <c r="O1036" s="90">
        <v>255</v>
      </c>
    </row>
    <row r="1037" spans="1:15" s="90" customFormat="1" ht="12.75" customHeight="1" x14ac:dyDescent="0.2">
      <c r="A1037" s="247" t="s">
        <v>993</v>
      </c>
      <c r="B1037" s="316">
        <v>3217</v>
      </c>
      <c r="C1037" s="247" t="s">
        <v>975</v>
      </c>
      <c r="D1037" s="317">
        <v>42654</v>
      </c>
      <c r="E1037" s="318">
        <v>0.55483796296296295</v>
      </c>
      <c r="F1037" s="247" t="s">
        <v>235</v>
      </c>
      <c r="G1037" s="247" t="s">
        <v>1035</v>
      </c>
      <c r="H1037" s="248" t="s">
        <v>234</v>
      </c>
      <c r="I1037" s="248" t="s">
        <v>235</v>
      </c>
      <c r="J1037" s="247" t="s">
        <v>809</v>
      </c>
      <c r="K1037" s="249">
        <v>0</v>
      </c>
      <c r="M1037" s="90">
        <v>0</v>
      </c>
      <c r="N1037" s="90">
        <v>0</v>
      </c>
      <c r="O1037" s="90">
        <v>255</v>
      </c>
    </row>
    <row r="1038" spans="1:15" s="90" customFormat="1" ht="12.75" customHeight="1" x14ac:dyDescent="0.2">
      <c r="A1038" s="247" t="s">
        <v>990</v>
      </c>
      <c r="B1038" s="316">
        <v>3046</v>
      </c>
      <c r="C1038" s="247" t="s">
        <v>975</v>
      </c>
      <c r="D1038" s="317">
        <v>42654</v>
      </c>
      <c r="E1038" s="318">
        <v>0.5548495370370371</v>
      </c>
      <c r="F1038" s="247" t="s">
        <v>976</v>
      </c>
      <c r="G1038" s="247" t="s">
        <v>1035</v>
      </c>
      <c r="H1038" s="248" t="s">
        <v>404</v>
      </c>
      <c r="I1038" s="248" t="s">
        <v>404</v>
      </c>
      <c r="J1038" s="247" t="s">
        <v>809</v>
      </c>
      <c r="K1038" s="249">
        <v>0</v>
      </c>
      <c r="M1038" s="90">
        <v>0</v>
      </c>
      <c r="N1038" s="90">
        <v>0</v>
      </c>
      <c r="O1038" s="90">
        <v>255</v>
      </c>
    </row>
    <row r="1039" spans="1:15" s="90" customFormat="1" ht="12.75" customHeight="1" x14ac:dyDescent="0.2">
      <c r="A1039" s="247" t="s">
        <v>1238</v>
      </c>
      <c r="B1039" s="316">
        <v>3218</v>
      </c>
      <c r="C1039" s="247" t="s">
        <v>979</v>
      </c>
      <c r="D1039" s="317">
        <v>42654</v>
      </c>
      <c r="E1039" s="318">
        <v>0.57341435185185186</v>
      </c>
      <c r="F1039" s="247" t="s">
        <v>702</v>
      </c>
      <c r="G1039" s="247" t="s">
        <v>1035</v>
      </c>
      <c r="H1039" s="248"/>
      <c r="I1039" s="248"/>
      <c r="J1039" s="247"/>
      <c r="K1039" s="249"/>
      <c r="M1039" s="90">
        <v>0</v>
      </c>
      <c r="N1039" s="90">
        <v>0</v>
      </c>
      <c r="O1039" s="90">
        <v>255</v>
      </c>
    </row>
    <row r="1040" spans="1:15" s="90" customFormat="1" ht="12.75" customHeight="1" x14ac:dyDescent="0.2">
      <c r="A1040" s="247" t="s">
        <v>1031</v>
      </c>
      <c r="B1040" s="316">
        <v>3046</v>
      </c>
      <c r="C1040" s="247" t="s">
        <v>975</v>
      </c>
      <c r="D1040" s="317">
        <v>42654</v>
      </c>
      <c r="E1040" s="318">
        <v>0.57348379629629631</v>
      </c>
      <c r="F1040" s="247" t="s">
        <v>976</v>
      </c>
      <c r="G1040" s="247" t="s">
        <v>1035</v>
      </c>
      <c r="H1040" s="248" t="s">
        <v>404</v>
      </c>
      <c r="I1040" s="248" t="s">
        <v>404</v>
      </c>
      <c r="J1040" s="247" t="s">
        <v>809</v>
      </c>
      <c r="K1040" s="249">
        <v>0</v>
      </c>
      <c r="M1040" s="90">
        <v>0</v>
      </c>
      <c r="N1040" s="90">
        <v>0</v>
      </c>
      <c r="O1040" s="90">
        <v>255</v>
      </c>
    </row>
    <row r="1041" spans="1:15" s="90" customFormat="1" ht="12.75" customHeight="1" x14ac:dyDescent="0.2">
      <c r="A1041" s="247" t="s">
        <v>1208</v>
      </c>
      <c r="B1041" s="316">
        <v>3004</v>
      </c>
      <c r="C1041" s="247" t="s">
        <v>979</v>
      </c>
      <c r="D1041" s="317">
        <v>42654</v>
      </c>
      <c r="E1041" s="318">
        <v>0.57353009259259258</v>
      </c>
      <c r="F1041" s="247" t="s">
        <v>702</v>
      </c>
      <c r="G1041" s="247" t="s">
        <v>1035</v>
      </c>
      <c r="H1041" s="248" t="s">
        <v>234</v>
      </c>
      <c r="I1041" s="248" t="s">
        <v>702</v>
      </c>
      <c r="J1041" s="247" t="s">
        <v>809</v>
      </c>
      <c r="K1041" s="249">
        <v>0</v>
      </c>
      <c r="M1041" s="90">
        <v>0</v>
      </c>
      <c r="N1041" s="90">
        <v>0</v>
      </c>
      <c r="O1041" s="90">
        <v>255</v>
      </c>
    </row>
    <row r="1042" spans="1:15" s="90" customFormat="1" ht="12.75" customHeight="1" x14ac:dyDescent="0.2">
      <c r="A1042" s="247" t="s">
        <v>1032</v>
      </c>
      <c r="B1042" s="316">
        <v>3046</v>
      </c>
      <c r="C1042" s="247" t="s">
        <v>975</v>
      </c>
      <c r="D1042" s="317">
        <v>42654</v>
      </c>
      <c r="E1042" s="318">
        <v>0.5785069444444445</v>
      </c>
      <c r="F1042" s="247" t="s">
        <v>976</v>
      </c>
      <c r="G1042" s="247" t="s">
        <v>1035</v>
      </c>
      <c r="H1042" s="248" t="s">
        <v>404</v>
      </c>
      <c r="I1042" s="248" t="s">
        <v>404</v>
      </c>
      <c r="J1042" s="247" t="s">
        <v>809</v>
      </c>
      <c r="K1042" s="249">
        <v>0</v>
      </c>
      <c r="M1042" s="90">
        <v>0</v>
      </c>
      <c r="N1042" s="90">
        <v>0</v>
      </c>
      <c r="O1042" s="90">
        <v>255</v>
      </c>
    </row>
    <row r="1043" spans="1:15" s="90" customFormat="1" ht="12.75" customHeight="1" x14ac:dyDescent="0.2">
      <c r="A1043" s="247" t="s">
        <v>989</v>
      </c>
      <c r="B1043" s="316">
        <v>3046</v>
      </c>
      <c r="C1043" s="247" t="s">
        <v>975</v>
      </c>
      <c r="D1043" s="317">
        <v>42654</v>
      </c>
      <c r="E1043" s="318">
        <v>0.5785069444444445</v>
      </c>
      <c r="F1043" s="247" t="s">
        <v>976</v>
      </c>
      <c r="G1043" s="247" t="s">
        <v>1035</v>
      </c>
      <c r="H1043" s="248" t="s">
        <v>404</v>
      </c>
      <c r="I1043" s="248" t="s">
        <v>404</v>
      </c>
      <c r="J1043" s="247" t="s">
        <v>809</v>
      </c>
      <c r="K1043" s="249">
        <v>0</v>
      </c>
      <c r="M1043" s="90">
        <v>0</v>
      </c>
      <c r="N1043" s="90">
        <v>0</v>
      </c>
      <c r="O1043" s="90">
        <v>255</v>
      </c>
    </row>
    <row r="1044" spans="1:15" s="90" customFormat="1" ht="12.75" customHeight="1" x14ac:dyDescent="0.2">
      <c r="A1044" s="247" t="s">
        <v>990</v>
      </c>
      <c r="B1044" s="316">
        <v>3046</v>
      </c>
      <c r="C1044" s="247" t="s">
        <v>975</v>
      </c>
      <c r="D1044" s="317">
        <v>42654</v>
      </c>
      <c r="E1044" s="318">
        <v>0.57878472222222221</v>
      </c>
      <c r="F1044" s="247" t="s">
        <v>976</v>
      </c>
      <c r="G1044" s="247" t="s">
        <v>1035</v>
      </c>
      <c r="H1044" s="248" t="s">
        <v>404</v>
      </c>
      <c r="I1044" s="248" t="s">
        <v>404</v>
      </c>
      <c r="J1044" s="247" t="s">
        <v>809</v>
      </c>
      <c r="K1044" s="249">
        <v>0</v>
      </c>
      <c r="M1044" s="90">
        <v>0</v>
      </c>
      <c r="N1044" s="90">
        <v>0</v>
      </c>
      <c r="O1044" s="90">
        <v>255</v>
      </c>
    </row>
    <row r="1045" spans="1:15" s="90" customFormat="1" ht="12.75" customHeight="1" x14ac:dyDescent="0.2">
      <c r="A1045" s="247" t="s">
        <v>1033</v>
      </c>
      <c r="B1045" s="316">
        <v>3217</v>
      </c>
      <c r="C1045" s="247" t="s">
        <v>975</v>
      </c>
      <c r="D1045" s="317">
        <v>42654</v>
      </c>
      <c r="E1045" s="318">
        <v>0.57878472222222221</v>
      </c>
      <c r="F1045" s="247" t="s">
        <v>235</v>
      </c>
      <c r="G1045" s="247" t="s">
        <v>1035</v>
      </c>
      <c r="H1045" s="248" t="s">
        <v>234</v>
      </c>
      <c r="I1045" s="248" t="s">
        <v>235</v>
      </c>
      <c r="J1045" s="247" t="s">
        <v>809</v>
      </c>
      <c r="K1045" s="249">
        <v>0</v>
      </c>
      <c r="M1045" s="90">
        <v>0</v>
      </c>
      <c r="N1045" s="90">
        <v>0</v>
      </c>
      <c r="O1045" s="90">
        <v>255</v>
      </c>
    </row>
    <row r="1046" spans="1:15" s="90" customFormat="1" ht="12.75" customHeight="1" x14ac:dyDescent="0.2">
      <c r="A1046" s="247" t="s">
        <v>301</v>
      </c>
      <c r="B1046" s="316">
        <v>3042</v>
      </c>
      <c r="C1046" s="247" t="s">
        <v>979</v>
      </c>
      <c r="D1046" s="317">
        <v>42654</v>
      </c>
      <c r="E1046" s="318">
        <v>0.61870370370370364</v>
      </c>
      <c r="F1046" s="247" t="s">
        <v>980</v>
      </c>
      <c r="G1046" s="247" t="s">
        <v>1035</v>
      </c>
      <c r="H1046" s="248" t="s">
        <v>234</v>
      </c>
      <c r="I1046" s="248" t="s">
        <v>263</v>
      </c>
      <c r="J1046" s="247" t="s">
        <v>809</v>
      </c>
      <c r="K1046" s="249">
        <v>0</v>
      </c>
      <c r="M1046" s="90">
        <v>0</v>
      </c>
      <c r="N1046" s="90">
        <v>0</v>
      </c>
      <c r="O1046" s="90">
        <v>255</v>
      </c>
    </row>
    <row r="1047" spans="1:15" s="90" customFormat="1" ht="12.75" customHeight="1" x14ac:dyDescent="0.2">
      <c r="A1047" s="247" t="s">
        <v>989</v>
      </c>
      <c r="B1047" s="316">
        <v>3046</v>
      </c>
      <c r="C1047" s="247" t="s">
        <v>975</v>
      </c>
      <c r="D1047" s="317">
        <v>42654</v>
      </c>
      <c r="E1047" s="318">
        <v>0.62046296296296299</v>
      </c>
      <c r="F1047" s="247" t="s">
        <v>976</v>
      </c>
      <c r="G1047" s="247" t="s">
        <v>1035</v>
      </c>
      <c r="H1047" s="248" t="s">
        <v>404</v>
      </c>
      <c r="I1047" s="248" t="s">
        <v>404</v>
      </c>
      <c r="J1047" s="247" t="s">
        <v>809</v>
      </c>
      <c r="K1047" s="249">
        <v>0</v>
      </c>
      <c r="M1047" s="90">
        <v>0</v>
      </c>
      <c r="N1047" s="90">
        <v>0</v>
      </c>
      <c r="O1047" s="90">
        <v>255</v>
      </c>
    </row>
    <row r="1048" spans="1:15" s="90" customFormat="1" ht="12.75" customHeight="1" x14ac:dyDescent="0.2">
      <c r="A1048" s="247" t="s">
        <v>990</v>
      </c>
      <c r="B1048" s="316">
        <v>3046</v>
      </c>
      <c r="C1048" s="247" t="s">
        <v>975</v>
      </c>
      <c r="D1048" s="317">
        <v>42654</v>
      </c>
      <c r="E1048" s="318">
        <v>0.62070601851851859</v>
      </c>
      <c r="F1048" s="247" t="s">
        <v>976</v>
      </c>
      <c r="G1048" s="247" t="s">
        <v>1035</v>
      </c>
      <c r="H1048" s="248" t="s">
        <v>404</v>
      </c>
      <c r="I1048" s="248" t="s">
        <v>404</v>
      </c>
      <c r="J1048" s="247" t="s">
        <v>809</v>
      </c>
      <c r="K1048" s="249">
        <v>0</v>
      </c>
      <c r="M1048" s="90">
        <v>0</v>
      </c>
      <c r="N1048" s="90">
        <v>0</v>
      </c>
      <c r="O1048" s="90">
        <v>255</v>
      </c>
    </row>
    <row r="1049" spans="1:15" s="90" customFormat="1" ht="12.75" customHeight="1" x14ac:dyDescent="0.2">
      <c r="A1049" s="247" t="s">
        <v>993</v>
      </c>
      <c r="B1049" s="316">
        <v>3217</v>
      </c>
      <c r="C1049" s="247" t="s">
        <v>975</v>
      </c>
      <c r="D1049" s="317">
        <v>42654</v>
      </c>
      <c r="E1049" s="318">
        <v>0.62070601851851859</v>
      </c>
      <c r="F1049" s="247" t="s">
        <v>235</v>
      </c>
      <c r="G1049" s="247" t="s">
        <v>1035</v>
      </c>
      <c r="H1049" s="248" t="s">
        <v>234</v>
      </c>
      <c r="I1049" s="248" t="s">
        <v>235</v>
      </c>
      <c r="J1049" s="247" t="s">
        <v>809</v>
      </c>
      <c r="K1049" s="249">
        <v>0</v>
      </c>
      <c r="M1049" s="90">
        <v>0</v>
      </c>
      <c r="N1049" s="90">
        <v>0</v>
      </c>
      <c r="O1049" s="90">
        <v>255</v>
      </c>
    </row>
    <row r="1050" spans="1:15" s="90" customFormat="1" ht="12.75" customHeight="1" x14ac:dyDescent="0.2">
      <c r="A1050" s="247" t="s">
        <v>989</v>
      </c>
      <c r="B1050" s="316">
        <v>3046</v>
      </c>
      <c r="C1050" s="247" t="s">
        <v>975</v>
      </c>
      <c r="D1050" s="317">
        <v>42654</v>
      </c>
      <c r="E1050" s="318">
        <v>0.66238425925925926</v>
      </c>
      <c r="F1050" s="247" t="s">
        <v>976</v>
      </c>
      <c r="G1050" s="247" t="s">
        <v>1035</v>
      </c>
      <c r="H1050" s="248" t="s">
        <v>404</v>
      </c>
      <c r="I1050" s="248" t="s">
        <v>404</v>
      </c>
      <c r="J1050" s="247" t="s">
        <v>809</v>
      </c>
      <c r="K1050" s="249">
        <v>0</v>
      </c>
      <c r="M1050" s="90">
        <v>0</v>
      </c>
      <c r="N1050" s="90">
        <v>0</v>
      </c>
      <c r="O1050" s="90">
        <v>255</v>
      </c>
    </row>
    <row r="1051" spans="1:15" s="90" customFormat="1" ht="12.75" customHeight="1" x14ac:dyDescent="0.2">
      <c r="A1051" s="247" t="s">
        <v>990</v>
      </c>
      <c r="B1051" s="316">
        <v>3046</v>
      </c>
      <c r="C1051" s="247" t="s">
        <v>975</v>
      </c>
      <c r="D1051" s="317">
        <v>42654</v>
      </c>
      <c r="E1051" s="318">
        <v>0.66262731481481485</v>
      </c>
      <c r="F1051" s="247" t="s">
        <v>976</v>
      </c>
      <c r="G1051" s="247" t="s">
        <v>1035</v>
      </c>
      <c r="H1051" s="248" t="s">
        <v>404</v>
      </c>
      <c r="I1051" s="248" t="s">
        <v>404</v>
      </c>
      <c r="J1051" s="247" t="s">
        <v>809</v>
      </c>
      <c r="K1051" s="249">
        <v>0</v>
      </c>
      <c r="M1051" s="90">
        <v>0</v>
      </c>
      <c r="N1051" s="90">
        <v>0</v>
      </c>
      <c r="O1051" s="90">
        <v>255</v>
      </c>
    </row>
    <row r="1052" spans="1:15" s="90" customFormat="1" ht="12.75" customHeight="1" x14ac:dyDescent="0.2">
      <c r="A1052" s="247" t="s">
        <v>993</v>
      </c>
      <c r="B1052" s="316">
        <v>3217</v>
      </c>
      <c r="C1052" s="247" t="s">
        <v>975</v>
      </c>
      <c r="D1052" s="317">
        <v>42654</v>
      </c>
      <c r="E1052" s="318">
        <v>0.66262731481481485</v>
      </c>
      <c r="F1052" s="247" t="s">
        <v>235</v>
      </c>
      <c r="G1052" s="247" t="s">
        <v>1035</v>
      </c>
      <c r="H1052" s="248" t="s">
        <v>234</v>
      </c>
      <c r="I1052" s="248" t="s">
        <v>235</v>
      </c>
      <c r="J1052" s="247" t="s">
        <v>809</v>
      </c>
      <c r="K1052" s="249">
        <v>0</v>
      </c>
      <c r="M1052" s="90">
        <v>0</v>
      </c>
      <c r="N1052" s="90">
        <v>0</v>
      </c>
      <c r="O1052" s="90">
        <v>255</v>
      </c>
    </row>
    <row r="1053" spans="1:15" s="90" customFormat="1" ht="12.75" customHeight="1" x14ac:dyDescent="0.2">
      <c r="A1053" s="247" t="s">
        <v>989</v>
      </c>
      <c r="B1053" s="316">
        <v>3046</v>
      </c>
      <c r="C1053" s="247" t="s">
        <v>975</v>
      </c>
      <c r="D1053" s="317">
        <v>42654</v>
      </c>
      <c r="E1053" s="318">
        <v>0.70429398148148137</v>
      </c>
      <c r="F1053" s="247" t="s">
        <v>976</v>
      </c>
      <c r="G1053" s="247" t="s">
        <v>1035</v>
      </c>
      <c r="H1053" s="248" t="s">
        <v>404</v>
      </c>
      <c r="I1053" s="248" t="s">
        <v>404</v>
      </c>
      <c r="J1053" s="247" t="s">
        <v>809</v>
      </c>
      <c r="K1053" s="249">
        <v>0</v>
      </c>
      <c r="M1053" s="90">
        <v>0</v>
      </c>
      <c r="N1053" s="90">
        <v>0</v>
      </c>
      <c r="O1053" s="90">
        <v>255</v>
      </c>
    </row>
    <row r="1054" spans="1:15" s="90" customFormat="1" ht="12.75" customHeight="1" x14ac:dyDescent="0.2">
      <c r="A1054" s="247" t="s">
        <v>990</v>
      </c>
      <c r="B1054" s="316">
        <v>3046</v>
      </c>
      <c r="C1054" s="247" t="s">
        <v>975</v>
      </c>
      <c r="D1054" s="317">
        <v>42654</v>
      </c>
      <c r="E1054" s="318">
        <v>0.70454861111111111</v>
      </c>
      <c r="F1054" s="247" t="s">
        <v>976</v>
      </c>
      <c r="G1054" s="247" t="s">
        <v>1035</v>
      </c>
      <c r="H1054" s="248" t="s">
        <v>404</v>
      </c>
      <c r="I1054" s="248" t="s">
        <v>404</v>
      </c>
      <c r="J1054" s="247" t="s">
        <v>809</v>
      </c>
      <c r="K1054" s="249">
        <v>0</v>
      </c>
      <c r="M1054" s="90">
        <v>0</v>
      </c>
      <c r="N1054" s="90">
        <v>0</v>
      </c>
      <c r="O1054" s="90">
        <v>255</v>
      </c>
    </row>
    <row r="1055" spans="1:15" s="90" customFormat="1" ht="12.75" customHeight="1" x14ac:dyDescent="0.2">
      <c r="A1055" s="247" t="s">
        <v>993</v>
      </c>
      <c r="B1055" s="316">
        <v>3217</v>
      </c>
      <c r="C1055" s="247" t="s">
        <v>975</v>
      </c>
      <c r="D1055" s="317">
        <v>42654</v>
      </c>
      <c r="E1055" s="318">
        <v>0.70454861111111111</v>
      </c>
      <c r="F1055" s="247" t="s">
        <v>235</v>
      </c>
      <c r="G1055" s="247" t="s">
        <v>1035</v>
      </c>
      <c r="H1055" s="248" t="s">
        <v>234</v>
      </c>
      <c r="I1055" s="248" t="s">
        <v>235</v>
      </c>
      <c r="J1055" s="247" t="s">
        <v>809</v>
      </c>
      <c r="K1055" s="249">
        <v>0</v>
      </c>
      <c r="M1055" s="90">
        <v>0</v>
      </c>
      <c r="N1055" s="90">
        <v>0</v>
      </c>
      <c r="O1055" s="90">
        <v>255</v>
      </c>
    </row>
    <row r="1056" spans="1:15" s="90" customFormat="1" ht="12.75" customHeight="1" x14ac:dyDescent="0.2">
      <c r="A1056" s="247" t="s">
        <v>989</v>
      </c>
      <c r="B1056" s="316">
        <v>3046</v>
      </c>
      <c r="C1056" s="247" t="s">
        <v>975</v>
      </c>
      <c r="D1056" s="317">
        <v>42654</v>
      </c>
      <c r="E1056" s="318">
        <v>0.74621527777777785</v>
      </c>
      <c r="F1056" s="247" t="s">
        <v>976</v>
      </c>
      <c r="G1056" s="247" t="s">
        <v>1035</v>
      </c>
      <c r="H1056" s="248" t="s">
        <v>404</v>
      </c>
      <c r="I1056" s="248" t="s">
        <v>404</v>
      </c>
      <c r="J1056" s="247" t="s">
        <v>809</v>
      </c>
      <c r="K1056" s="249">
        <v>0</v>
      </c>
      <c r="M1056" s="90">
        <v>0</v>
      </c>
      <c r="N1056" s="90">
        <v>0</v>
      </c>
      <c r="O1056" s="90">
        <v>255</v>
      </c>
    </row>
    <row r="1057" spans="1:15" s="90" customFormat="1" ht="12.75" customHeight="1" x14ac:dyDescent="0.2">
      <c r="A1057" s="247" t="s">
        <v>990</v>
      </c>
      <c r="B1057" s="316">
        <v>3046</v>
      </c>
      <c r="C1057" s="247" t="s">
        <v>975</v>
      </c>
      <c r="D1057" s="317">
        <v>42654</v>
      </c>
      <c r="E1057" s="318">
        <v>0.74646990740740737</v>
      </c>
      <c r="F1057" s="247" t="s">
        <v>976</v>
      </c>
      <c r="G1057" s="247" t="s">
        <v>1035</v>
      </c>
      <c r="H1057" s="248" t="s">
        <v>404</v>
      </c>
      <c r="I1057" s="248" t="s">
        <v>404</v>
      </c>
      <c r="J1057" s="247" t="s">
        <v>809</v>
      </c>
      <c r="K1057" s="249">
        <v>0</v>
      </c>
      <c r="M1057" s="90">
        <v>0</v>
      </c>
      <c r="N1057" s="90">
        <v>0</v>
      </c>
      <c r="O1057" s="90">
        <v>255</v>
      </c>
    </row>
    <row r="1058" spans="1:15" s="90" customFormat="1" ht="12.75" customHeight="1" x14ac:dyDescent="0.2">
      <c r="A1058" s="247" t="s">
        <v>993</v>
      </c>
      <c r="B1058" s="316">
        <v>3217</v>
      </c>
      <c r="C1058" s="247" t="s">
        <v>975</v>
      </c>
      <c r="D1058" s="317">
        <v>42654</v>
      </c>
      <c r="E1058" s="318">
        <v>0.74646990740740737</v>
      </c>
      <c r="F1058" s="247" t="s">
        <v>235</v>
      </c>
      <c r="G1058" s="247" t="s">
        <v>1035</v>
      </c>
      <c r="H1058" s="248" t="s">
        <v>234</v>
      </c>
      <c r="I1058" s="248" t="s">
        <v>235</v>
      </c>
      <c r="J1058" s="247" t="s">
        <v>809</v>
      </c>
      <c r="K1058" s="249">
        <v>0</v>
      </c>
      <c r="M1058" s="90">
        <v>0</v>
      </c>
      <c r="N1058" s="90">
        <v>0</v>
      </c>
      <c r="O1058" s="90">
        <v>255</v>
      </c>
    </row>
    <row r="1059" spans="1:15" s="90" customFormat="1" ht="12.75" customHeight="1" x14ac:dyDescent="0.2">
      <c r="A1059" s="247" t="s">
        <v>989</v>
      </c>
      <c r="B1059" s="316">
        <v>3046</v>
      </c>
      <c r="C1059" s="247" t="s">
        <v>975</v>
      </c>
      <c r="D1059" s="317">
        <v>42654</v>
      </c>
      <c r="E1059" s="318">
        <v>0.78813657407407411</v>
      </c>
      <c r="F1059" s="247" t="s">
        <v>976</v>
      </c>
      <c r="G1059" s="247" t="s">
        <v>1035</v>
      </c>
      <c r="H1059" s="248" t="s">
        <v>404</v>
      </c>
      <c r="I1059" s="248" t="s">
        <v>404</v>
      </c>
      <c r="J1059" s="247" t="s">
        <v>809</v>
      </c>
      <c r="K1059" s="249">
        <v>0</v>
      </c>
      <c r="M1059" s="90">
        <v>0</v>
      </c>
      <c r="N1059" s="90">
        <v>0</v>
      </c>
      <c r="O1059" s="90">
        <v>255</v>
      </c>
    </row>
    <row r="1060" spans="1:15" s="90" customFormat="1" ht="12.75" customHeight="1" x14ac:dyDescent="0.2">
      <c r="A1060" s="247" t="s">
        <v>990</v>
      </c>
      <c r="B1060" s="316">
        <v>3046</v>
      </c>
      <c r="C1060" s="247" t="s">
        <v>975</v>
      </c>
      <c r="D1060" s="317">
        <v>42654</v>
      </c>
      <c r="E1060" s="318">
        <v>0.78839120370370364</v>
      </c>
      <c r="F1060" s="247" t="s">
        <v>976</v>
      </c>
      <c r="G1060" s="247" t="s">
        <v>1035</v>
      </c>
      <c r="H1060" s="248" t="s">
        <v>404</v>
      </c>
      <c r="I1060" s="248" t="s">
        <v>404</v>
      </c>
      <c r="J1060" s="247" t="s">
        <v>809</v>
      </c>
      <c r="K1060" s="249">
        <v>0</v>
      </c>
      <c r="M1060" s="90">
        <v>0</v>
      </c>
      <c r="N1060" s="90">
        <v>0</v>
      </c>
      <c r="O1060" s="90">
        <v>255</v>
      </c>
    </row>
    <row r="1061" spans="1:15" s="90" customFormat="1" ht="12.75" customHeight="1" x14ac:dyDescent="0.2">
      <c r="A1061" s="247" t="s">
        <v>993</v>
      </c>
      <c r="B1061" s="316">
        <v>3217</v>
      </c>
      <c r="C1061" s="247" t="s">
        <v>975</v>
      </c>
      <c r="D1061" s="317">
        <v>42654</v>
      </c>
      <c r="E1061" s="318">
        <v>0.78839120370370364</v>
      </c>
      <c r="F1061" s="247" t="s">
        <v>235</v>
      </c>
      <c r="G1061" s="247" t="s">
        <v>1035</v>
      </c>
      <c r="H1061" s="248" t="s">
        <v>234</v>
      </c>
      <c r="I1061" s="248" t="s">
        <v>235</v>
      </c>
      <c r="J1061" s="247" t="s">
        <v>809</v>
      </c>
      <c r="K1061" s="249">
        <v>0</v>
      </c>
      <c r="M1061" s="90">
        <v>0</v>
      </c>
      <c r="N1061" s="90">
        <v>0</v>
      </c>
      <c r="O1061" s="90">
        <v>255</v>
      </c>
    </row>
    <row r="1062" spans="1:15" s="90" customFormat="1" ht="12.75" customHeight="1" x14ac:dyDescent="0.2">
      <c r="A1062" s="247" t="s">
        <v>989</v>
      </c>
      <c r="B1062" s="316">
        <v>3046</v>
      </c>
      <c r="C1062" s="247" t="s">
        <v>975</v>
      </c>
      <c r="D1062" s="317">
        <v>42654</v>
      </c>
      <c r="E1062" s="318">
        <v>0.83005787037037038</v>
      </c>
      <c r="F1062" s="247" t="s">
        <v>976</v>
      </c>
      <c r="G1062" s="247" t="s">
        <v>1035</v>
      </c>
      <c r="H1062" s="248" t="s">
        <v>404</v>
      </c>
      <c r="I1062" s="248" t="s">
        <v>404</v>
      </c>
      <c r="J1062" s="247" t="s">
        <v>809</v>
      </c>
      <c r="K1062" s="249">
        <v>0</v>
      </c>
      <c r="M1062" s="90">
        <v>0</v>
      </c>
      <c r="N1062" s="90">
        <v>0</v>
      </c>
      <c r="O1062" s="90">
        <v>255</v>
      </c>
    </row>
    <row r="1063" spans="1:15" s="90" customFormat="1" ht="12.75" customHeight="1" x14ac:dyDescent="0.2">
      <c r="A1063" s="247" t="s">
        <v>993</v>
      </c>
      <c r="B1063" s="316">
        <v>3217</v>
      </c>
      <c r="C1063" s="247" t="s">
        <v>975</v>
      </c>
      <c r="D1063" s="317">
        <v>42654</v>
      </c>
      <c r="E1063" s="318">
        <v>0.83030092592592597</v>
      </c>
      <c r="F1063" s="247" t="s">
        <v>235</v>
      </c>
      <c r="G1063" s="247" t="s">
        <v>1035</v>
      </c>
      <c r="H1063" s="248" t="s">
        <v>234</v>
      </c>
      <c r="I1063" s="248" t="s">
        <v>235</v>
      </c>
      <c r="J1063" s="247" t="s">
        <v>809</v>
      </c>
      <c r="K1063" s="249">
        <v>0</v>
      </c>
      <c r="M1063" s="90">
        <v>0</v>
      </c>
      <c r="N1063" s="90">
        <v>0</v>
      </c>
      <c r="O1063" s="90">
        <v>255</v>
      </c>
    </row>
    <row r="1064" spans="1:15" s="90" customFormat="1" ht="12.75" customHeight="1" x14ac:dyDescent="0.2">
      <c r="A1064" s="247" t="s">
        <v>990</v>
      </c>
      <c r="B1064" s="316">
        <v>3046</v>
      </c>
      <c r="C1064" s="247" t="s">
        <v>975</v>
      </c>
      <c r="D1064" s="317">
        <v>42654</v>
      </c>
      <c r="E1064" s="318">
        <v>0.8303124999999999</v>
      </c>
      <c r="F1064" s="247" t="s">
        <v>976</v>
      </c>
      <c r="G1064" s="247" t="s">
        <v>1035</v>
      </c>
      <c r="H1064" s="248" t="s">
        <v>404</v>
      </c>
      <c r="I1064" s="248" t="s">
        <v>404</v>
      </c>
      <c r="J1064" s="247" t="s">
        <v>809</v>
      </c>
      <c r="K1064" s="249">
        <v>0</v>
      </c>
      <c r="M1064" s="90">
        <v>0</v>
      </c>
      <c r="N1064" s="90">
        <v>0</v>
      </c>
      <c r="O1064" s="90">
        <v>255</v>
      </c>
    </row>
    <row r="1065" spans="1:15" s="90" customFormat="1" ht="12.75" customHeight="1" x14ac:dyDescent="0.2">
      <c r="A1065" s="247" t="s">
        <v>989</v>
      </c>
      <c r="B1065" s="316">
        <v>3046</v>
      </c>
      <c r="C1065" s="247" t="s">
        <v>975</v>
      </c>
      <c r="D1065" s="317">
        <v>42654</v>
      </c>
      <c r="E1065" s="318">
        <v>0.87197916666666664</v>
      </c>
      <c r="F1065" s="247" t="s">
        <v>976</v>
      </c>
      <c r="G1065" s="247" t="s">
        <v>1035</v>
      </c>
      <c r="H1065" s="248" t="s">
        <v>404</v>
      </c>
      <c r="I1065" s="248" t="s">
        <v>404</v>
      </c>
      <c r="J1065" s="247" t="s">
        <v>809</v>
      </c>
      <c r="K1065" s="249">
        <v>0</v>
      </c>
      <c r="M1065" s="90">
        <v>0</v>
      </c>
      <c r="N1065" s="90">
        <v>0</v>
      </c>
      <c r="O1065" s="90">
        <v>255</v>
      </c>
    </row>
    <row r="1066" spans="1:15" s="90" customFormat="1" ht="12.75" customHeight="1" x14ac:dyDescent="0.2">
      <c r="A1066" s="247" t="s">
        <v>993</v>
      </c>
      <c r="B1066" s="316">
        <v>3217</v>
      </c>
      <c r="C1066" s="247" t="s">
        <v>975</v>
      </c>
      <c r="D1066" s="317">
        <v>42654</v>
      </c>
      <c r="E1066" s="318">
        <v>0.87222222222222223</v>
      </c>
      <c r="F1066" s="247" t="s">
        <v>235</v>
      </c>
      <c r="G1066" s="247" t="s">
        <v>1035</v>
      </c>
      <c r="H1066" s="248" t="s">
        <v>234</v>
      </c>
      <c r="I1066" s="248" t="s">
        <v>235</v>
      </c>
      <c r="J1066" s="247" t="s">
        <v>809</v>
      </c>
      <c r="K1066" s="249">
        <v>0</v>
      </c>
      <c r="M1066" s="90">
        <v>0</v>
      </c>
      <c r="N1066" s="90">
        <v>0</v>
      </c>
      <c r="O1066" s="90">
        <v>255</v>
      </c>
    </row>
    <row r="1067" spans="1:15" s="90" customFormat="1" ht="12.75" customHeight="1" x14ac:dyDescent="0.2">
      <c r="A1067" s="247" t="s">
        <v>990</v>
      </c>
      <c r="B1067" s="316">
        <v>3046</v>
      </c>
      <c r="C1067" s="247" t="s">
        <v>975</v>
      </c>
      <c r="D1067" s="317">
        <v>42654</v>
      </c>
      <c r="E1067" s="318">
        <v>0.87223379629629638</v>
      </c>
      <c r="F1067" s="247" t="s">
        <v>976</v>
      </c>
      <c r="G1067" s="247" t="s">
        <v>1035</v>
      </c>
      <c r="H1067" s="248" t="s">
        <v>404</v>
      </c>
      <c r="I1067" s="248" t="s">
        <v>404</v>
      </c>
      <c r="J1067" s="247" t="s">
        <v>809</v>
      </c>
      <c r="K1067" s="249">
        <v>0</v>
      </c>
      <c r="M1067" s="90">
        <v>0</v>
      </c>
      <c r="N1067" s="90">
        <v>0</v>
      </c>
      <c r="O1067" s="90">
        <v>255</v>
      </c>
    </row>
    <row r="1068" spans="1:15" s="90" customFormat="1" ht="12.75" customHeight="1" x14ac:dyDescent="0.2">
      <c r="A1068" s="247" t="s">
        <v>989</v>
      </c>
      <c r="B1068" s="316">
        <v>3046</v>
      </c>
      <c r="C1068" s="247" t="s">
        <v>975</v>
      </c>
      <c r="D1068" s="317">
        <v>42654</v>
      </c>
      <c r="E1068" s="318">
        <v>0.91390046296296301</v>
      </c>
      <c r="F1068" s="247" t="s">
        <v>976</v>
      </c>
      <c r="G1068" s="247" t="s">
        <v>1035</v>
      </c>
      <c r="H1068" s="248" t="s">
        <v>404</v>
      </c>
      <c r="I1068" s="248" t="s">
        <v>404</v>
      </c>
      <c r="J1068" s="247" t="s">
        <v>809</v>
      </c>
      <c r="K1068" s="249">
        <v>0</v>
      </c>
      <c r="M1068" s="90">
        <v>0</v>
      </c>
      <c r="N1068" s="90">
        <v>0</v>
      </c>
      <c r="O1068" s="90">
        <v>255</v>
      </c>
    </row>
    <row r="1069" spans="1:15" s="90" customFormat="1" ht="12.75" customHeight="1" x14ac:dyDescent="0.2">
      <c r="A1069" s="247" t="s">
        <v>990</v>
      </c>
      <c r="B1069" s="316">
        <v>3046</v>
      </c>
      <c r="C1069" s="247" t="s">
        <v>975</v>
      </c>
      <c r="D1069" s="317">
        <v>42654</v>
      </c>
      <c r="E1069" s="318">
        <v>0.91414351851851849</v>
      </c>
      <c r="F1069" s="247" t="s">
        <v>976</v>
      </c>
      <c r="G1069" s="247" t="s">
        <v>1035</v>
      </c>
      <c r="H1069" s="248" t="s">
        <v>404</v>
      </c>
      <c r="I1069" s="248" t="s">
        <v>404</v>
      </c>
      <c r="J1069" s="247" t="s">
        <v>809</v>
      </c>
      <c r="K1069" s="249">
        <v>0</v>
      </c>
      <c r="M1069" s="90">
        <v>0</v>
      </c>
      <c r="N1069" s="90">
        <v>0</v>
      </c>
      <c r="O1069" s="90">
        <v>255</v>
      </c>
    </row>
    <row r="1070" spans="1:15" s="90" customFormat="1" ht="12.75" customHeight="1" x14ac:dyDescent="0.2">
      <c r="A1070" s="247" t="s">
        <v>993</v>
      </c>
      <c r="B1070" s="316">
        <v>3217</v>
      </c>
      <c r="C1070" s="247" t="s">
        <v>975</v>
      </c>
      <c r="D1070" s="317">
        <v>42654</v>
      </c>
      <c r="E1070" s="318">
        <v>0.91414351851851849</v>
      </c>
      <c r="F1070" s="247" t="s">
        <v>235</v>
      </c>
      <c r="G1070" s="247" t="s">
        <v>1035</v>
      </c>
      <c r="H1070" s="248" t="s">
        <v>234</v>
      </c>
      <c r="I1070" s="248" t="s">
        <v>235</v>
      </c>
      <c r="J1070" s="247" t="s">
        <v>809</v>
      </c>
      <c r="K1070" s="249">
        <v>0</v>
      </c>
      <c r="M1070" s="90">
        <v>0</v>
      </c>
      <c r="N1070" s="90">
        <v>0</v>
      </c>
      <c r="O1070" s="90">
        <v>255</v>
      </c>
    </row>
    <row r="1071" spans="1:15" s="90" customFormat="1" ht="12.75" customHeight="1" x14ac:dyDescent="0.2">
      <c r="A1071" s="247" t="s">
        <v>989</v>
      </c>
      <c r="B1071" s="316">
        <v>3046</v>
      </c>
      <c r="C1071" s="247" t="s">
        <v>975</v>
      </c>
      <c r="D1071" s="317">
        <v>42654</v>
      </c>
      <c r="E1071" s="318">
        <v>0.95582175925925927</v>
      </c>
      <c r="F1071" s="247" t="s">
        <v>976</v>
      </c>
      <c r="G1071" s="247" t="s">
        <v>1035</v>
      </c>
      <c r="H1071" s="248" t="s">
        <v>404</v>
      </c>
      <c r="I1071" s="248" t="s">
        <v>404</v>
      </c>
      <c r="J1071" s="247" t="s">
        <v>809</v>
      </c>
      <c r="K1071" s="249">
        <v>0</v>
      </c>
      <c r="M1071" s="90">
        <v>0</v>
      </c>
      <c r="N1071" s="90">
        <v>0</v>
      </c>
      <c r="O1071" s="90">
        <v>255</v>
      </c>
    </row>
    <row r="1072" spans="1:15" s="90" customFormat="1" ht="12.75" customHeight="1" x14ac:dyDescent="0.2">
      <c r="A1072" s="247" t="s">
        <v>990</v>
      </c>
      <c r="B1072" s="316">
        <v>3046</v>
      </c>
      <c r="C1072" s="247" t="s">
        <v>975</v>
      </c>
      <c r="D1072" s="317">
        <v>42654</v>
      </c>
      <c r="E1072" s="318">
        <v>0.95606481481481476</v>
      </c>
      <c r="F1072" s="247" t="s">
        <v>976</v>
      </c>
      <c r="G1072" s="247" t="s">
        <v>1035</v>
      </c>
      <c r="H1072" s="248" t="s">
        <v>404</v>
      </c>
      <c r="I1072" s="248" t="s">
        <v>404</v>
      </c>
      <c r="J1072" s="247" t="s">
        <v>809</v>
      </c>
      <c r="K1072" s="249">
        <v>0</v>
      </c>
      <c r="M1072" s="90">
        <v>0</v>
      </c>
      <c r="N1072" s="90">
        <v>0</v>
      </c>
      <c r="O1072" s="90">
        <v>255</v>
      </c>
    </row>
    <row r="1073" spans="1:15" s="90" customFormat="1" ht="12.75" customHeight="1" x14ac:dyDescent="0.2">
      <c r="A1073" s="247" t="s">
        <v>993</v>
      </c>
      <c r="B1073" s="316">
        <v>3217</v>
      </c>
      <c r="C1073" s="247" t="s">
        <v>975</v>
      </c>
      <c r="D1073" s="317">
        <v>42654</v>
      </c>
      <c r="E1073" s="318">
        <v>0.95606481481481476</v>
      </c>
      <c r="F1073" s="247" t="s">
        <v>235</v>
      </c>
      <c r="G1073" s="247" t="s">
        <v>1035</v>
      </c>
      <c r="H1073" s="248" t="s">
        <v>234</v>
      </c>
      <c r="I1073" s="248" t="s">
        <v>235</v>
      </c>
      <c r="J1073" s="247" t="s">
        <v>809</v>
      </c>
      <c r="K1073" s="249">
        <v>0</v>
      </c>
      <c r="M1073" s="90">
        <v>0</v>
      </c>
      <c r="N1073" s="90">
        <v>0</v>
      </c>
      <c r="O1073" s="90">
        <v>255</v>
      </c>
    </row>
    <row r="1074" spans="1:15" s="90" customFormat="1" ht="12.75" customHeight="1" x14ac:dyDescent="0.2">
      <c r="A1074" s="247" t="s">
        <v>989</v>
      </c>
      <c r="B1074" s="316">
        <v>3046</v>
      </c>
      <c r="C1074" s="247" t="s">
        <v>975</v>
      </c>
      <c r="D1074" s="317">
        <v>42654</v>
      </c>
      <c r="E1074" s="318">
        <v>0.99774305555555554</v>
      </c>
      <c r="F1074" s="247" t="s">
        <v>976</v>
      </c>
      <c r="G1074" s="247" t="s">
        <v>1035</v>
      </c>
      <c r="H1074" s="248" t="s">
        <v>404</v>
      </c>
      <c r="I1074" s="248" t="s">
        <v>404</v>
      </c>
      <c r="J1074" s="247" t="s">
        <v>809</v>
      </c>
      <c r="K1074" s="249">
        <v>0</v>
      </c>
      <c r="M1074" s="90">
        <v>0</v>
      </c>
      <c r="N1074" s="90">
        <v>0</v>
      </c>
      <c r="O1074" s="90">
        <v>255</v>
      </c>
    </row>
    <row r="1075" spans="1:15" s="90" customFormat="1" ht="12.75" customHeight="1" x14ac:dyDescent="0.2">
      <c r="A1075" s="247" t="s">
        <v>990</v>
      </c>
      <c r="B1075" s="316">
        <v>3046</v>
      </c>
      <c r="C1075" s="247" t="s">
        <v>975</v>
      </c>
      <c r="D1075" s="317">
        <v>42654</v>
      </c>
      <c r="E1075" s="318">
        <v>0.99798611111111113</v>
      </c>
      <c r="F1075" s="247" t="s">
        <v>976</v>
      </c>
      <c r="G1075" s="247" t="s">
        <v>1035</v>
      </c>
      <c r="H1075" s="248" t="s">
        <v>404</v>
      </c>
      <c r="I1075" s="248" t="s">
        <v>404</v>
      </c>
      <c r="J1075" s="247" t="s">
        <v>809</v>
      </c>
      <c r="K1075" s="249">
        <v>0</v>
      </c>
      <c r="M1075" s="90">
        <v>0</v>
      </c>
      <c r="N1075" s="90">
        <v>0</v>
      </c>
      <c r="O1075" s="90">
        <v>255</v>
      </c>
    </row>
    <row r="1076" spans="1:15" s="90" customFormat="1" ht="12.75" customHeight="1" x14ac:dyDescent="0.2">
      <c r="A1076" s="247" t="s">
        <v>993</v>
      </c>
      <c r="B1076" s="316">
        <v>3217</v>
      </c>
      <c r="C1076" s="247" t="s">
        <v>975</v>
      </c>
      <c r="D1076" s="317">
        <v>42654</v>
      </c>
      <c r="E1076" s="318">
        <v>0.99798611111111113</v>
      </c>
      <c r="F1076" s="247" t="s">
        <v>235</v>
      </c>
      <c r="G1076" s="247" t="s">
        <v>1035</v>
      </c>
      <c r="H1076" s="248" t="s">
        <v>234</v>
      </c>
      <c r="I1076" s="248" t="s">
        <v>235</v>
      </c>
      <c r="J1076" s="247" t="s">
        <v>809</v>
      </c>
      <c r="K1076" s="249">
        <v>0</v>
      </c>
      <c r="M1076" s="90">
        <v>0</v>
      </c>
      <c r="N1076" s="90">
        <v>0</v>
      </c>
      <c r="O1076" s="90">
        <v>255</v>
      </c>
    </row>
    <row r="1077" spans="1:15" s="90" customFormat="1" ht="12.75" customHeight="1" x14ac:dyDescent="0.2">
      <c r="A1077" s="247" t="s">
        <v>611</v>
      </c>
      <c r="B1077" s="316">
        <v>4030</v>
      </c>
      <c r="C1077" s="247" t="s">
        <v>996</v>
      </c>
      <c r="D1077" s="317">
        <v>42654</v>
      </c>
      <c r="E1077" s="318">
        <v>0.99804398148148143</v>
      </c>
      <c r="F1077" s="247" t="s">
        <v>702</v>
      </c>
      <c r="G1077" s="247" t="s">
        <v>1035</v>
      </c>
      <c r="H1077" s="248" t="s">
        <v>4</v>
      </c>
      <c r="I1077" s="248" t="s">
        <v>14</v>
      </c>
      <c r="J1077" s="247" t="s">
        <v>809</v>
      </c>
      <c r="K1077" s="249">
        <v>0</v>
      </c>
      <c r="L1077" s="90" t="s">
        <v>1780</v>
      </c>
      <c r="M1077" s="90">
        <v>327</v>
      </c>
      <c r="N1077" s="90">
        <v>-1</v>
      </c>
      <c r="O1077" s="90">
        <v>0</v>
      </c>
    </row>
    <row r="1078" spans="1:15" s="90" customFormat="1" ht="12.75" customHeight="1" x14ac:dyDescent="0.2">
      <c r="A1078" s="247" t="s">
        <v>989</v>
      </c>
      <c r="B1078" s="316">
        <v>3046</v>
      </c>
      <c r="C1078" s="247" t="s">
        <v>975</v>
      </c>
      <c r="D1078" s="317">
        <v>42655</v>
      </c>
      <c r="E1078" s="318">
        <v>3.965277777777778E-2</v>
      </c>
      <c r="F1078" s="247" t="s">
        <v>976</v>
      </c>
      <c r="G1078" s="247" t="s">
        <v>1035</v>
      </c>
      <c r="H1078" s="248" t="s">
        <v>404</v>
      </c>
      <c r="I1078" s="248" t="s">
        <v>404</v>
      </c>
      <c r="J1078" s="247" t="s">
        <v>809</v>
      </c>
      <c r="K1078" s="249">
        <v>0</v>
      </c>
      <c r="M1078" s="90">
        <v>0</v>
      </c>
      <c r="N1078" s="90">
        <v>0</v>
      </c>
      <c r="O1078" s="90">
        <v>255</v>
      </c>
    </row>
    <row r="1079" spans="1:15" s="90" customFormat="1" ht="12.75" customHeight="1" x14ac:dyDescent="0.2">
      <c r="A1079" s="247" t="s">
        <v>990</v>
      </c>
      <c r="B1079" s="316">
        <v>3046</v>
      </c>
      <c r="C1079" s="247" t="s">
        <v>975</v>
      </c>
      <c r="D1079" s="317">
        <v>42655</v>
      </c>
      <c r="E1079" s="318">
        <v>3.9907407407407412E-2</v>
      </c>
      <c r="F1079" s="247" t="s">
        <v>976</v>
      </c>
      <c r="G1079" s="247" t="s">
        <v>1035</v>
      </c>
      <c r="H1079" s="248" t="s">
        <v>404</v>
      </c>
      <c r="I1079" s="248" t="s">
        <v>404</v>
      </c>
      <c r="J1079" s="247" t="s">
        <v>809</v>
      </c>
      <c r="K1079" s="249">
        <v>0</v>
      </c>
      <c r="M1079" s="90">
        <v>0</v>
      </c>
      <c r="N1079" s="90">
        <v>0</v>
      </c>
      <c r="O1079" s="90">
        <v>255</v>
      </c>
    </row>
    <row r="1080" spans="1:15" s="90" customFormat="1" ht="12.75" customHeight="1" x14ac:dyDescent="0.2">
      <c r="A1080" s="247" t="s">
        <v>993</v>
      </c>
      <c r="B1080" s="316">
        <v>3217</v>
      </c>
      <c r="C1080" s="247" t="s">
        <v>975</v>
      </c>
      <c r="D1080" s="317">
        <v>42655</v>
      </c>
      <c r="E1080" s="318">
        <v>3.9907407407407412E-2</v>
      </c>
      <c r="F1080" s="247" t="s">
        <v>235</v>
      </c>
      <c r="G1080" s="247" t="s">
        <v>1035</v>
      </c>
      <c r="H1080" s="248" t="s">
        <v>234</v>
      </c>
      <c r="I1080" s="248" t="s">
        <v>235</v>
      </c>
      <c r="J1080" s="247" t="s">
        <v>809</v>
      </c>
      <c r="K1080" s="249">
        <v>0</v>
      </c>
      <c r="M1080" s="90">
        <v>0</v>
      </c>
      <c r="N1080" s="90">
        <v>0</v>
      </c>
      <c r="O1080" s="90">
        <v>255</v>
      </c>
    </row>
    <row r="1081" spans="1:15" s="90" customFormat="1" ht="12.75" customHeight="1" x14ac:dyDescent="0.2">
      <c r="A1081" s="247" t="s">
        <v>989</v>
      </c>
      <c r="B1081" s="316">
        <v>3046</v>
      </c>
      <c r="C1081" s="247" t="s">
        <v>975</v>
      </c>
      <c r="D1081" s="317">
        <v>42655</v>
      </c>
      <c r="E1081" s="318">
        <v>8.1574074074074077E-2</v>
      </c>
      <c r="F1081" s="247" t="s">
        <v>976</v>
      </c>
      <c r="G1081" s="247" t="s">
        <v>1035</v>
      </c>
      <c r="H1081" s="248" t="s">
        <v>404</v>
      </c>
      <c r="I1081" s="248" t="s">
        <v>404</v>
      </c>
      <c r="J1081" s="247" t="s">
        <v>809</v>
      </c>
      <c r="K1081" s="249">
        <v>0</v>
      </c>
      <c r="M1081" s="90">
        <v>0</v>
      </c>
      <c r="N1081" s="90">
        <v>0</v>
      </c>
      <c r="O1081" s="90">
        <v>255</v>
      </c>
    </row>
    <row r="1082" spans="1:15" s="90" customFormat="1" ht="12.75" customHeight="1" x14ac:dyDescent="0.2">
      <c r="A1082" s="247" t="s">
        <v>990</v>
      </c>
      <c r="B1082" s="316">
        <v>3046</v>
      </c>
      <c r="C1082" s="247" t="s">
        <v>975</v>
      </c>
      <c r="D1082" s="317">
        <v>42655</v>
      </c>
      <c r="E1082" s="318">
        <v>8.1828703703703709E-2</v>
      </c>
      <c r="F1082" s="247" t="s">
        <v>976</v>
      </c>
      <c r="G1082" s="247" t="s">
        <v>1035</v>
      </c>
      <c r="H1082" s="248" t="s">
        <v>404</v>
      </c>
      <c r="I1082" s="248" t="s">
        <v>404</v>
      </c>
      <c r="J1082" s="247" t="s">
        <v>809</v>
      </c>
      <c r="K1082" s="249">
        <v>0</v>
      </c>
      <c r="M1082" s="90">
        <v>0</v>
      </c>
      <c r="N1082" s="90">
        <v>0</v>
      </c>
      <c r="O1082" s="90">
        <v>255</v>
      </c>
    </row>
    <row r="1083" spans="1:15" s="90" customFormat="1" ht="12.75" customHeight="1" x14ac:dyDescent="0.2">
      <c r="A1083" s="247" t="s">
        <v>993</v>
      </c>
      <c r="B1083" s="316">
        <v>3217</v>
      </c>
      <c r="C1083" s="247" t="s">
        <v>975</v>
      </c>
      <c r="D1083" s="317">
        <v>42655</v>
      </c>
      <c r="E1083" s="318">
        <v>8.1828703703703709E-2</v>
      </c>
      <c r="F1083" s="247" t="s">
        <v>235</v>
      </c>
      <c r="G1083" s="247" t="s">
        <v>1035</v>
      </c>
      <c r="H1083" s="248" t="s">
        <v>234</v>
      </c>
      <c r="I1083" s="248" t="s">
        <v>235</v>
      </c>
      <c r="J1083" s="247" t="s">
        <v>809</v>
      </c>
      <c r="K1083" s="249">
        <v>0</v>
      </c>
      <c r="M1083" s="90">
        <v>0</v>
      </c>
      <c r="N1083" s="90">
        <v>0</v>
      </c>
      <c r="O1083" s="90">
        <v>255</v>
      </c>
    </row>
    <row r="1084" spans="1:15" s="90" customFormat="1" ht="12.75" customHeight="1" x14ac:dyDescent="0.2">
      <c r="A1084" s="247" t="s">
        <v>989</v>
      </c>
      <c r="B1084" s="316">
        <v>3046</v>
      </c>
      <c r="C1084" s="247" t="s">
        <v>975</v>
      </c>
      <c r="D1084" s="317">
        <v>42655</v>
      </c>
      <c r="E1084" s="318">
        <v>0.12349537037037038</v>
      </c>
      <c r="F1084" s="247" t="s">
        <v>976</v>
      </c>
      <c r="G1084" s="247" t="s">
        <v>1035</v>
      </c>
      <c r="H1084" s="248" t="s">
        <v>404</v>
      </c>
      <c r="I1084" s="248" t="s">
        <v>404</v>
      </c>
      <c r="J1084" s="247" t="s">
        <v>809</v>
      </c>
      <c r="K1084" s="249">
        <v>0</v>
      </c>
      <c r="M1084" s="90">
        <v>0</v>
      </c>
      <c r="N1084" s="90">
        <v>0</v>
      </c>
      <c r="O1084" s="90">
        <v>255</v>
      </c>
    </row>
    <row r="1085" spans="1:15" s="90" customFormat="1" ht="12.75" customHeight="1" x14ac:dyDescent="0.2">
      <c r="A1085" s="247" t="s">
        <v>990</v>
      </c>
      <c r="B1085" s="316">
        <v>3046</v>
      </c>
      <c r="C1085" s="247" t="s">
        <v>975</v>
      </c>
      <c r="D1085" s="317">
        <v>42655</v>
      </c>
      <c r="E1085" s="318">
        <v>0.12375000000000001</v>
      </c>
      <c r="F1085" s="247" t="s">
        <v>976</v>
      </c>
      <c r="G1085" s="247" t="s">
        <v>1035</v>
      </c>
      <c r="H1085" s="248" t="s">
        <v>404</v>
      </c>
      <c r="I1085" s="248" t="s">
        <v>404</v>
      </c>
      <c r="J1085" s="247" t="s">
        <v>809</v>
      </c>
      <c r="K1085" s="249">
        <v>0</v>
      </c>
      <c r="M1085" s="90">
        <v>0</v>
      </c>
      <c r="N1085" s="90">
        <v>0</v>
      </c>
      <c r="O1085" s="90">
        <v>255</v>
      </c>
    </row>
    <row r="1086" spans="1:15" s="90" customFormat="1" ht="12.75" customHeight="1" x14ac:dyDescent="0.2">
      <c r="A1086" s="247" t="s">
        <v>993</v>
      </c>
      <c r="B1086" s="316">
        <v>3217</v>
      </c>
      <c r="C1086" s="247" t="s">
        <v>975</v>
      </c>
      <c r="D1086" s="317">
        <v>42655</v>
      </c>
      <c r="E1086" s="318">
        <v>0.12375000000000001</v>
      </c>
      <c r="F1086" s="247" t="s">
        <v>235</v>
      </c>
      <c r="G1086" s="247" t="s">
        <v>1035</v>
      </c>
      <c r="H1086" s="248" t="s">
        <v>234</v>
      </c>
      <c r="I1086" s="248" t="s">
        <v>235</v>
      </c>
      <c r="J1086" s="247" t="s">
        <v>809</v>
      </c>
      <c r="K1086" s="249">
        <v>0</v>
      </c>
      <c r="M1086" s="90">
        <v>0</v>
      </c>
      <c r="N1086" s="90">
        <v>0</v>
      </c>
      <c r="O1086" s="90">
        <v>255</v>
      </c>
    </row>
    <row r="1087" spans="1:15" s="90" customFormat="1" ht="12.75" customHeight="1" x14ac:dyDescent="0.2">
      <c r="A1087" s="247" t="s">
        <v>989</v>
      </c>
      <c r="B1087" s="316">
        <v>3046</v>
      </c>
      <c r="C1087" s="247" t="s">
        <v>975</v>
      </c>
      <c r="D1087" s="317">
        <v>42655</v>
      </c>
      <c r="E1087" s="318">
        <v>0.16541666666666668</v>
      </c>
      <c r="F1087" s="247" t="s">
        <v>976</v>
      </c>
      <c r="G1087" s="247" t="s">
        <v>1035</v>
      </c>
      <c r="H1087" s="248" t="s">
        <v>404</v>
      </c>
      <c r="I1087" s="248" t="s">
        <v>404</v>
      </c>
      <c r="J1087" s="247" t="s">
        <v>809</v>
      </c>
      <c r="K1087" s="249">
        <v>0</v>
      </c>
      <c r="M1087" s="90">
        <v>0</v>
      </c>
      <c r="N1087" s="90">
        <v>0</v>
      </c>
      <c r="O1087" s="90">
        <v>255</v>
      </c>
    </row>
    <row r="1088" spans="1:15" s="90" customFormat="1" ht="12.75" customHeight="1" x14ac:dyDescent="0.2">
      <c r="A1088" s="247" t="s">
        <v>993</v>
      </c>
      <c r="B1088" s="316">
        <v>3217</v>
      </c>
      <c r="C1088" s="247" t="s">
        <v>975</v>
      </c>
      <c r="D1088" s="317">
        <v>42655</v>
      </c>
      <c r="E1088" s="318">
        <v>0.16565972222222222</v>
      </c>
      <c r="F1088" s="247" t="s">
        <v>235</v>
      </c>
      <c r="G1088" s="247" t="s">
        <v>1035</v>
      </c>
      <c r="H1088" s="248" t="s">
        <v>234</v>
      </c>
      <c r="I1088" s="248" t="s">
        <v>235</v>
      </c>
      <c r="J1088" s="247" t="s">
        <v>809</v>
      </c>
      <c r="K1088" s="249">
        <v>0</v>
      </c>
      <c r="M1088" s="90">
        <v>0</v>
      </c>
      <c r="N1088" s="90">
        <v>0</v>
      </c>
      <c r="O1088" s="90">
        <v>255</v>
      </c>
    </row>
    <row r="1089" spans="1:15" s="90" customFormat="1" ht="12.75" customHeight="1" x14ac:dyDescent="0.2">
      <c r="A1089" s="247" t="s">
        <v>990</v>
      </c>
      <c r="B1089" s="316">
        <v>3046</v>
      </c>
      <c r="C1089" s="247" t="s">
        <v>975</v>
      </c>
      <c r="D1089" s="317">
        <v>42655</v>
      </c>
      <c r="E1089" s="318">
        <v>0.16567129629629629</v>
      </c>
      <c r="F1089" s="247" t="s">
        <v>976</v>
      </c>
      <c r="G1089" s="247" t="s">
        <v>1035</v>
      </c>
      <c r="H1089" s="248" t="s">
        <v>404</v>
      </c>
      <c r="I1089" s="248" t="s">
        <v>404</v>
      </c>
      <c r="J1089" s="247" t="s">
        <v>809</v>
      </c>
      <c r="K1089" s="249">
        <v>0</v>
      </c>
      <c r="M1089" s="90">
        <v>0</v>
      </c>
      <c r="N1089" s="90">
        <v>0</v>
      </c>
      <c r="O1089" s="90">
        <v>255</v>
      </c>
    </row>
    <row r="1090" spans="1:15" s="90" customFormat="1" ht="12.75" customHeight="1" x14ac:dyDescent="0.2">
      <c r="A1090" s="247" t="s">
        <v>989</v>
      </c>
      <c r="B1090" s="316">
        <v>3046</v>
      </c>
      <c r="C1090" s="247" t="s">
        <v>975</v>
      </c>
      <c r="D1090" s="317">
        <v>42655</v>
      </c>
      <c r="E1090" s="318">
        <v>0.20733796296296295</v>
      </c>
      <c r="F1090" s="247" t="s">
        <v>976</v>
      </c>
      <c r="G1090" s="247" t="s">
        <v>1035</v>
      </c>
      <c r="H1090" s="248" t="s">
        <v>404</v>
      </c>
      <c r="I1090" s="248" t="s">
        <v>404</v>
      </c>
      <c r="J1090" s="247" t="s">
        <v>809</v>
      </c>
      <c r="K1090" s="249">
        <v>0</v>
      </c>
      <c r="M1090" s="90">
        <v>0</v>
      </c>
      <c r="N1090" s="90">
        <v>0</v>
      </c>
      <c r="O1090" s="90">
        <v>255</v>
      </c>
    </row>
    <row r="1091" spans="1:15" s="90" customFormat="1" ht="12.75" customHeight="1" x14ac:dyDescent="0.2">
      <c r="A1091" s="247" t="s">
        <v>993</v>
      </c>
      <c r="B1091" s="316">
        <v>3217</v>
      </c>
      <c r="C1091" s="247" t="s">
        <v>975</v>
      </c>
      <c r="D1091" s="317">
        <v>42655</v>
      </c>
      <c r="E1091" s="318">
        <v>0.20758101851851851</v>
      </c>
      <c r="F1091" s="247" t="s">
        <v>235</v>
      </c>
      <c r="G1091" s="247" t="s">
        <v>1035</v>
      </c>
      <c r="H1091" s="248" t="s">
        <v>234</v>
      </c>
      <c r="I1091" s="248" t="s">
        <v>235</v>
      </c>
      <c r="J1091" s="247" t="s">
        <v>809</v>
      </c>
      <c r="K1091" s="249">
        <v>0</v>
      </c>
      <c r="M1091" s="90">
        <v>0</v>
      </c>
      <c r="N1091" s="90">
        <v>0</v>
      </c>
      <c r="O1091" s="90">
        <v>255</v>
      </c>
    </row>
    <row r="1092" spans="1:15" s="90" customFormat="1" ht="12.75" customHeight="1" x14ac:dyDescent="0.2">
      <c r="A1092" s="247" t="s">
        <v>990</v>
      </c>
      <c r="B1092" s="316">
        <v>3046</v>
      </c>
      <c r="C1092" s="247" t="s">
        <v>975</v>
      </c>
      <c r="D1092" s="317">
        <v>42655</v>
      </c>
      <c r="E1092" s="318">
        <v>0.20759259259259258</v>
      </c>
      <c r="F1092" s="247" t="s">
        <v>976</v>
      </c>
      <c r="G1092" s="247" t="s">
        <v>1035</v>
      </c>
      <c r="H1092" s="248" t="s">
        <v>404</v>
      </c>
      <c r="I1092" s="248" t="s">
        <v>404</v>
      </c>
      <c r="J1092" s="247" t="s">
        <v>809</v>
      </c>
      <c r="K1092" s="249">
        <v>0</v>
      </c>
      <c r="M1092" s="90">
        <v>0</v>
      </c>
      <c r="N1092" s="90">
        <v>0</v>
      </c>
      <c r="O1092" s="90">
        <v>255</v>
      </c>
    </row>
    <row r="1093" spans="1:15" s="90" customFormat="1" ht="12.75" customHeight="1" x14ac:dyDescent="0.2">
      <c r="A1093" s="247" t="s">
        <v>989</v>
      </c>
      <c r="B1093" s="316">
        <v>3046</v>
      </c>
      <c r="C1093" s="247" t="s">
        <v>975</v>
      </c>
      <c r="D1093" s="317">
        <v>42655</v>
      </c>
      <c r="E1093" s="318">
        <v>0.24925925925925926</v>
      </c>
      <c r="F1093" s="247" t="s">
        <v>976</v>
      </c>
      <c r="G1093" s="247" t="s">
        <v>1035</v>
      </c>
      <c r="H1093" s="248" t="s">
        <v>404</v>
      </c>
      <c r="I1093" s="248" t="s">
        <v>404</v>
      </c>
      <c r="J1093" s="247" t="s">
        <v>809</v>
      </c>
      <c r="K1093" s="249">
        <v>0</v>
      </c>
      <c r="M1093" s="90">
        <v>0</v>
      </c>
      <c r="N1093" s="90">
        <v>0</v>
      </c>
      <c r="O1093" s="90">
        <v>255</v>
      </c>
    </row>
    <row r="1094" spans="1:15" s="90" customFormat="1" ht="12.75" customHeight="1" x14ac:dyDescent="0.2">
      <c r="A1094" s="247" t="s">
        <v>990</v>
      </c>
      <c r="B1094" s="316">
        <v>3046</v>
      </c>
      <c r="C1094" s="247" t="s">
        <v>975</v>
      </c>
      <c r="D1094" s="317">
        <v>42655</v>
      </c>
      <c r="E1094" s="318">
        <v>0.2495023148148148</v>
      </c>
      <c r="F1094" s="247" t="s">
        <v>976</v>
      </c>
      <c r="G1094" s="247" t="s">
        <v>1035</v>
      </c>
      <c r="H1094" s="248" t="s">
        <v>404</v>
      </c>
      <c r="I1094" s="248" t="s">
        <v>404</v>
      </c>
      <c r="J1094" s="247" t="s">
        <v>809</v>
      </c>
      <c r="K1094" s="249">
        <v>0</v>
      </c>
      <c r="M1094" s="90">
        <v>0</v>
      </c>
      <c r="N1094" s="90">
        <v>0</v>
      </c>
      <c r="O1094" s="90">
        <v>255</v>
      </c>
    </row>
    <row r="1095" spans="1:15" s="90" customFormat="1" ht="12.75" customHeight="1" x14ac:dyDescent="0.2">
      <c r="A1095" s="247" t="s">
        <v>993</v>
      </c>
      <c r="B1095" s="316">
        <v>3217</v>
      </c>
      <c r="C1095" s="247" t="s">
        <v>975</v>
      </c>
      <c r="D1095" s="317">
        <v>42655</v>
      </c>
      <c r="E1095" s="318">
        <v>0.2495023148148148</v>
      </c>
      <c r="F1095" s="247" t="s">
        <v>235</v>
      </c>
      <c r="G1095" s="247" t="s">
        <v>1035</v>
      </c>
      <c r="H1095" s="248" t="s">
        <v>234</v>
      </c>
      <c r="I1095" s="248" t="s">
        <v>235</v>
      </c>
      <c r="J1095" s="247" t="s">
        <v>809</v>
      </c>
      <c r="K1095" s="249">
        <v>0</v>
      </c>
      <c r="M1095" s="90">
        <v>0</v>
      </c>
      <c r="N1095" s="90">
        <v>0</v>
      </c>
      <c r="O1095" s="90">
        <v>255</v>
      </c>
    </row>
    <row r="1096" spans="1:15" s="90" customFormat="1" ht="12.75" customHeight="1" x14ac:dyDescent="0.2">
      <c r="A1096" s="247" t="s">
        <v>1080</v>
      </c>
      <c r="B1096" s="316">
        <v>3047</v>
      </c>
      <c r="C1096" s="247" t="s">
        <v>996</v>
      </c>
      <c r="D1096" s="317">
        <v>42655</v>
      </c>
      <c r="E1096" s="318">
        <v>0.26552083333333332</v>
      </c>
      <c r="F1096" s="247" t="s">
        <v>235</v>
      </c>
      <c r="G1096" s="247" t="s">
        <v>1035</v>
      </c>
      <c r="H1096" s="248" t="s">
        <v>234</v>
      </c>
      <c r="I1096" s="248" t="s">
        <v>235</v>
      </c>
      <c r="J1096" s="247" t="s">
        <v>809</v>
      </c>
      <c r="K1096" s="249">
        <v>0</v>
      </c>
      <c r="M1096" s="90">
        <v>0</v>
      </c>
      <c r="N1096" s="90">
        <v>0</v>
      </c>
      <c r="O1096" s="90">
        <v>255</v>
      </c>
    </row>
    <row r="1097" spans="1:15" s="90" customFormat="1" ht="12.75" customHeight="1" x14ac:dyDescent="0.2">
      <c r="A1097" s="247" t="s">
        <v>1079</v>
      </c>
      <c r="B1097" s="316">
        <v>3047</v>
      </c>
      <c r="C1097" s="247" t="s">
        <v>996</v>
      </c>
      <c r="D1097" s="317">
        <v>42655</v>
      </c>
      <c r="E1097" s="318">
        <v>0.26552083333333332</v>
      </c>
      <c r="F1097" s="247" t="s">
        <v>235</v>
      </c>
      <c r="G1097" s="247" t="s">
        <v>1035</v>
      </c>
      <c r="H1097" s="248" t="s">
        <v>234</v>
      </c>
      <c r="I1097" s="248" t="s">
        <v>235</v>
      </c>
      <c r="J1097" s="247" t="s">
        <v>809</v>
      </c>
      <c r="K1097" s="249">
        <v>0</v>
      </c>
      <c r="M1097" s="90">
        <v>0</v>
      </c>
      <c r="N1097" s="90">
        <v>0</v>
      </c>
      <c r="O1097" s="90">
        <v>255</v>
      </c>
    </row>
    <row r="1098" spans="1:15" s="90" customFormat="1" ht="12.75" customHeight="1" x14ac:dyDescent="0.2">
      <c r="A1098" s="247" t="s">
        <v>1082</v>
      </c>
      <c r="B1098" s="316">
        <v>3047</v>
      </c>
      <c r="C1098" s="247" t="s">
        <v>996</v>
      </c>
      <c r="D1098" s="317">
        <v>42655</v>
      </c>
      <c r="E1098" s="318">
        <v>0.26641203703703703</v>
      </c>
      <c r="F1098" s="247" t="s">
        <v>235</v>
      </c>
      <c r="G1098" s="247" t="s">
        <v>1035</v>
      </c>
      <c r="H1098" s="248" t="s">
        <v>234</v>
      </c>
      <c r="I1098" s="248" t="s">
        <v>235</v>
      </c>
      <c r="J1098" s="247" t="s">
        <v>809</v>
      </c>
      <c r="K1098" s="249">
        <v>0</v>
      </c>
      <c r="M1098" s="90">
        <v>0</v>
      </c>
      <c r="N1098" s="90">
        <v>0</v>
      </c>
      <c r="O1098" s="90">
        <v>255</v>
      </c>
    </row>
    <row r="1099" spans="1:15" s="90" customFormat="1" ht="12.75" customHeight="1" x14ac:dyDescent="0.2">
      <c r="A1099" s="247" t="s">
        <v>1081</v>
      </c>
      <c r="B1099" s="316">
        <v>3047</v>
      </c>
      <c r="C1099" s="247" t="s">
        <v>996</v>
      </c>
      <c r="D1099" s="317">
        <v>42655</v>
      </c>
      <c r="E1099" s="318">
        <v>0.26668981481481485</v>
      </c>
      <c r="F1099" s="247" t="s">
        <v>235</v>
      </c>
      <c r="G1099" s="247" t="s">
        <v>1035</v>
      </c>
      <c r="H1099" s="248" t="s">
        <v>234</v>
      </c>
      <c r="I1099" s="248" t="s">
        <v>235</v>
      </c>
      <c r="J1099" s="247" t="s">
        <v>809</v>
      </c>
      <c r="K1099" s="249">
        <v>0</v>
      </c>
      <c r="M1099" s="90">
        <v>0</v>
      </c>
      <c r="N1099" s="90">
        <v>0</v>
      </c>
      <c r="O1099" s="90">
        <v>255</v>
      </c>
    </row>
    <row r="1100" spans="1:15" s="90" customFormat="1" ht="12.75" customHeight="1" x14ac:dyDescent="0.2">
      <c r="A1100" s="247" t="s">
        <v>989</v>
      </c>
      <c r="B1100" s="316">
        <v>3046</v>
      </c>
      <c r="C1100" s="247" t="s">
        <v>975</v>
      </c>
      <c r="D1100" s="317">
        <v>42655</v>
      </c>
      <c r="E1100" s="318">
        <v>0.29118055555555555</v>
      </c>
      <c r="F1100" s="247" t="s">
        <v>976</v>
      </c>
      <c r="G1100" s="247" t="s">
        <v>1035</v>
      </c>
      <c r="H1100" s="248" t="s">
        <v>404</v>
      </c>
      <c r="I1100" s="248" t="s">
        <v>404</v>
      </c>
      <c r="J1100" s="247" t="s">
        <v>809</v>
      </c>
      <c r="K1100" s="249">
        <v>0</v>
      </c>
      <c r="M1100" s="90">
        <v>0</v>
      </c>
      <c r="N1100" s="90">
        <v>0</v>
      </c>
      <c r="O1100" s="90">
        <v>255</v>
      </c>
    </row>
    <row r="1101" spans="1:15" s="90" customFormat="1" ht="12.75" customHeight="1" x14ac:dyDescent="0.2">
      <c r="A1101" s="247" t="s">
        <v>990</v>
      </c>
      <c r="B1101" s="316">
        <v>3046</v>
      </c>
      <c r="C1101" s="247" t="s">
        <v>975</v>
      </c>
      <c r="D1101" s="317">
        <v>42655</v>
      </c>
      <c r="E1101" s="318">
        <v>0.29142361111111109</v>
      </c>
      <c r="F1101" s="247" t="s">
        <v>976</v>
      </c>
      <c r="G1101" s="247" t="s">
        <v>1035</v>
      </c>
      <c r="H1101" s="248" t="s">
        <v>404</v>
      </c>
      <c r="I1101" s="248" t="s">
        <v>404</v>
      </c>
      <c r="J1101" s="247" t="s">
        <v>809</v>
      </c>
      <c r="K1101" s="249">
        <v>0</v>
      </c>
      <c r="M1101" s="90">
        <v>0</v>
      </c>
      <c r="N1101" s="90">
        <v>0</v>
      </c>
      <c r="O1101" s="90">
        <v>255</v>
      </c>
    </row>
    <row r="1102" spans="1:15" s="90" customFormat="1" ht="12.75" customHeight="1" x14ac:dyDescent="0.2">
      <c r="A1102" s="247" t="s">
        <v>993</v>
      </c>
      <c r="B1102" s="316">
        <v>3217</v>
      </c>
      <c r="C1102" s="247" t="s">
        <v>975</v>
      </c>
      <c r="D1102" s="317">
        <v>42655</v>
      </c>
      <c r="E1102" s="318">
        <v>0.29142361111111109</v>
      </c>
      <c r="F1102" s="247" t="s">
        <v>235</v>
      </c>
      <c r="G1102" s="247" t="s">
        <v>1035</v>
      </c>
      <c r="H1102" s="248" t="s">
        <v>234</v>
      </c>
      <c r="I1102" s="248" t="s">
        <v>235</v>
      </c>
      <c r="J1102" s="247" t="s">
        <v>809</v>
      </c>
      <c r="K1102" s="249">
        <v>0</v>
      </c>
      <c r="M1102" s="90">
        <v>0</v>
      </c>
      <c r="N1102" s="90">
        <v>0</v>
      </c>
      <c r="O1102" s="90">
        <v>255</v>
      </c>
    </row>
    <row r="1103" spans="1:15" s="90" customFormat="1" ht="12.75" customHeight="1" x14ac:dyDescent="0.2">
      <c r="A1103" s="247" t="s">
        <v>1084</v>
      </c>
      <c r="B1103" s="316">
        <v>3089</v>
      </c>
      <c r="C1103" s="247" t="s">
        <v>996</v>
      </c>
      <c r="D1103" s="317">
        <v>42655</v>
      </c>
      <c r="E1103" s="318">
        <v>0.3071875</v>
      </c>
      <c r="F1103" s="247" t="s">
        <v>235</v>
      </c>
      <c r="G1103" s="247" t="s">
        <v>1035</v>
      </c>
      <c r="H1103" s="248" t="s">
        <v>234</v>
      </c>
      <c r="I1103" s="248" t="s">
        <v>235</v>
      </c>
      <c r="J1103" s="247" t="s">
        <v>809</v>
      </c>
      <c r="K1103" s="249">
        <v>0</v>
      </c>
      <c r="M1103" s="90">
        <v>0</v>
      </c>
      <c r="N1103" s="90">
        <v>0</v>
      </c>
      <c r="O1103" s="90">
        <v>255</v>
      </c>
    </row>
    <row r="1104" spans="1:15" s="90" customFormat="1" ht="12.75" customHeight="1" x14ac:dyDescent="0.2">
      <c r="A1104" s="247" t="s">
        <v>1083</v>
      </c>
      <c r="B1104" s="316">
        <v>3089</v>
      </c>
      <c r="C1104" s="247" t="s">
        <v>996</v>
      </c>
      <c r="D1104" s="317">
        <v>42655</v>
      </c>
      <c r="E1104" s="318">
        <v>0.3071875</v>
      </c>
      <c r="F1104" s="247" t="s">
        <v>235</v>
      </c>
      <c r="G1104" s="247" t="s">
        <v>1035</v>
      </c>
      <c r="H1104" s="248" t="s">
        <v>234</v>
      </c>
      <c r="I1104" s="248" t="s">
        <v>235</v>
      </c>
      <c r="J1104" s="247" t="s">
        <v>809</v>
      </c>
      <c r="K1104" s="249">
        <v>0</v>
      </c>
      <c r="M1104" s="90">
        <v>0</v>
      </c>
      <c r="N1104" s="90">
        <v>0</v>
      </c>
      <c r="O1104" s="90">
        <v>255</v>
      </c>
    </row>
    <row r="1105" spans="1:15" s="90" customFormat="1" ht="12.75" customHeight="1" x14ac:dyDescent="0.2">
      <c r="A1105" s="247" t="s">
        <v>1086</v>
      </c>
      <c r="B1105" s="316">
        <v>3089</v>
      </c>
      <c r="C1105" s="247" t="s">
        <v>996</v>
      </c>
      <c r="D1105" s="317">
        <v>42655</v>
      </c>
      <c r="E1105" s="318">
        <v>0.30807870370370372</v>
      </c>
      <c r="F1105" s="247" t="s">
        <v>235</v>
      </c>
      <c r="G1105" s="247" t="s">
        <v>1035</v>
      </c>
      <c r="H1105" s="248" t="s">
        <v>234</v>
      </c>
      <c r="I1105" s="248" t="s">
        <v>235</v>
      </c>
      <c r="J1105" s="247" t="s">
        <v>809</v>
      </c>
      <c r="K1105" s="249">
        <v>0</v>
      </c>
      <c r="M1105" s="90">
        <v>0</v>
      </c>
      <c r="N1105" s="90">
        <v>0</v>
      </c>
      <c r="O1105" s="90">
        <v>255</v>
      </c>
    </row>
    <row r="1106" spans="1:15" s="90" customFormat="1" ht="12.75" customHeight="1" x14ac:dyDescent="0.2">
      <c r="A1106" s="247" t="s">
        <v>1085</v>
      </c>
      <c r="B1106" s="316">
        <v>3089</v>
      </c>
      <c r="C1106" s="247" t="s">
        <v>996</v>
      </c>
      <c r="D1106" s="317">
        <v>42655</v>
      </c>
      <c r="E1106" s="318">
        <v>0.30835648148148148</v>
      </c>
      <c r="F1106" s="247" t="s">
        <v>235</v>
      </c>
      <c r="G1106" s="247" t="s">
        <v>1035</v>
      </c>
      <c r="H1106" s="248" t="s">
        <v>234</v>
      </c>
      <c r="I1106" s="248" t="s">
        <v>235</v>
      </c>
      <c r="J1106" s="247" t="s">
        <v>809</v>
      </c>
      <c r="K1106" s="249">
        <v>0</v>
      </c>
      <c r="M1106" s="90">
        <v>0</v>
      </c>
      <c r="N1106" s="90">
        <v>0</v>
      </c>
      <c r="O1106" s="90">
        <v>255</v>
      </c>
    </row>
    <row r="1107" spans="1:15" s="90" customFormat="1" ht="12.75" customHeight="1" x14ac:dyDescent="0.2">
      <c r="A1107" s="247" t="s">
        <v>1142</v>
      </c>
      <c r="B1107" s="316">
        <v>3047</v>
      </c>
      <c r="C1107" s="247" t="s">
        <v>996</v>
      </c>
      <c r="D1107" s="317">
        <v>42655</v>
      </c>
      <c r="E1107" s="318">
        <v>0.31087962962962962</v>
      </c>
      <c r="F1107" s="247" t="s">
        <v>235</v>
      </c>
      <c r="G1107" s="247" t="s">
        <v>1035</v>
      </c>
      <c r="H1107" s="248" t="s">
        <v>234</v>
      </c>
      <c r="I1107" s="248" t="s">
        <v>235</v>
      </c>
      <c r="J1107" s="247" t="s">
        <v>809</v>
      </c>
      <c r="K1107" s="249">
        <v>0</v>
      </c>
      <c r="M1107" s="90">
        <v>0</v>
      </c>
      <c r="N1107" s="90">
        <v>0</v>
      </c>
      <c r="O1107" s="90">
        <v>255</v>
      </c>
    </row>
    <row r="1108" spans="1:15" s="90" customFormat="1" ht="12.75" customHeight="1" x14ac:dyDescent="0.2">
      <c r="A1108" s="247" t="s">
        <v>1102</v>
      </c>
      <c r="B1108" s="316">
        <v>3047</v>
      </c>
      <c r="C1108" s="247" t="s">
        <v>996</v>
      </c>
      <c r="D1108" s="317">
        <v>42655</v>
      </c>
      <c r="E1108" s="318">
        <v>0.31087962962962962</v>
      </c>
      <c r="F1108" s="247" t="s">
        <v>235</v>
      </c>
      <c r="G1108" s="247" t="s">
        <v>1035</v>
      </c>
      <c r="H1108" s="248" t="s">
        <v>234</v>
      </c>
      <c r="I1108" s="248" t="s">
        <v>235</v>
      </c>
      <c r="J1108" s="247" t="s">
        <v>809</v>
      </c>
      <c r="K1108" s="249">
        <v>0</v>
      </c>
      <c r="M1108" s="90">
        <v>0</v>
      </c>
      <c r="N1108" s="90">
        <v>0</v>
      </c>
      <c r="O1108" s="90">
        <v>255</v>
      </c>
    </row>
    <row r="1109" spans="1:15" s="90" customFormat="1" ht="12.75" customHeight="1" x14ac:dyDescent="0.2">
      <c r="A1109" s="247" t="s">
        <v>1141</v>
      </c>
      <c r="B1109" s="316">
        <v>3047</v>
      </c>
      <c r="C1109" s="247" t="s">
        <v>996</v>
      </c>
      <c r="D1109" s="317">
        <v>42655</v>
      </c>
      <c r="E1109" s="318">
        <v>0.31087962962962962</v>
      </c>
      <c r="F1109" s="247" t="s">
        <v>235</v>
      </c>
      <c r="G1109" s="247" t="s">
        <v>1035</v>
      </c>
      <c r="H1109" s="248" t="s">
        <v>234</v>
      </c>
      <c r="I1109" s="248" t="s">
        <v>235</v>
      </c>
      <c r="J1109" s="247" t="s">
        <v>809</v>
      </c>
      <c r="K1109" s="249">
        <v>0</v>
      </c>
      <c r="M1109" s="90">
        <v>0</v>
      </c>
      <c r="N1109" s="90">
        <v>0</v>
      </c>
      <c r="O1109" s="90">
        <v>255</v>
      </c>
    </row>
    <row r="1110" spans="1:15" s="90" customFormat="1" ht="12.75" customHeight="1" x14ac:dyDescent="0.2">
      <c r="A1110" s="247" t="s">
        <v>1099</v>
      </c>
      <c r="B1110" s="316">
        <v>3047</v>
      </c>
      <c r="C1110" s="247" t="s">
        <v>996</v>
      </c>
      <c r="D1110" s="317">
        <v>42655</v>
      </c>
      <c r="E1110" s="318">
        <v>0.31574074074074071</v>
      </c>
      <c r="F1110" s="247" t="s">
        <v>235</v>
      </c>
      <c r="G1110" s="247" t="s">
        <v>1035</v>
      </c>
      <c r="H1110" s="248" t="s">
        <v>234</v>
      </c>
      <c r="I1110" s="248" t="s">
        <v>235</v>
      </c>
      <c r="J1110" s="247" t="s">
        <v>809</v>
      </c>
      <c r="K1110" s="249">
        <v>0</v>
      </c>
      <c r="M1110" s="90">
        <v>0</v>
      </c>
      <c r="N1110" s="90">
        <v>0</v>
      </c>
      <c r="O1110" s="90">
        <v>255</v>
      </c>
    </row>
    <row r="1111" spans="1:15" s="90" customFormat="1" ht="12.75" customHeight="1" x14ac:dyDescent="0.2">
      <c r="A1111" s="247" t="s">
        <v>989</v>
      </c>
      <c r="B1111" s="316">
        <v>3046</v>
      </c>
      <c r="C1111" s="247" t="s">
        <v>975</v>
      </c>
      <c r="D1111" s="317">
        <v>42655</v>
      </c>
      <c r="E1111" s="318">
        <v>0.33309027777777778</v>
      </c>
      <c r="F1111" s="247" t="s">
        <v>976</v>
      </c>
      <c r="G1111" s="247" t="s">
        <v>1035</v>
      </c>
      <c r="H1111" s="248" t="s">
        <v>404</v>
      </c>
      <c r="I1111" s="248" t="s">
        <v>404</v>
      </c>
      <c r="J1111" s="247" t="s">
        <v>809</v>
      </c>
      <c r="K1111" s="249">
        <v>0</v>
      </c>
      <c r="M1111" s="90">
        <v>0</v>
      </c>
      <c r="N1111" s="90">
        <v>0</v>
      </c>
      <c r="O1111" s="90">
        <v>255</v>
      </c>
    </row>
    <row r="1112" spans="1:15" s="90" customFormat="1" ht="12.75" customHeight="1" x14ac:dyDescent="0.2">
      <c r="A1112" s="247" t="s">
        <v>990</v>
      </c>
      <c r="B1112" s="316">
        <v>3046</v>
      </c>
      <c r="C1112" s="247" t="s">
        <v>975</v>
      </c>
      <c r="D1112" s="317">
        <v>42655</v>
      </c>
      <c r="E1112" s="318">
        <v>0.33384259259259258</v>
      </c>
      <c r="F1112" s="247" t="s">
        <v>976</v>
      </c>
      <c r="G1112" s="247" t="s">
        <v>1035</v>
      </c>
      <c r="H1112" s="248" t="s">
        <v>404</v>
      </c>
      <c r="I1112" s="248" t="s">
        <v>404</v>
      </c>
      <c r="J1112" s="247" t="s">
        <v>809</v>
      </c>
      <c r="K1112" s="249">
        <v>0</v>
      </c>
      <c r="M1112" s="90">
        <v>0</v>
      </c>
      <c r="N1112" s="90">
        <v>0</v>
      </c>
      <c r="O1112" s="90">
        <v>255</v>
      </c>
    </row>
    <row r="1113" spans="1:15" s="90" customFormat="1" ht="12.75" customHeight="1" x14ac:dyDescent="0.2">
      <c r="A1113" s="247" t="s">
        <v>993</v>
      </c>
      <c r="B1113" s="316">
        <v>3217</v>
      </c>
      <c r="C1113" s="247" t="s">
        <v>975</v>
      </c>
      <c r="D1113" s="317">
        <v>42655</v>
      </c>
      <c r="E1113" s="318">
        <v>0.33384259259259258</v>
      </c>
      <c r="F1113" s="247" t="s">
        <v>235</v>
      </c>
      <c r="G1113" s="247" t="s">
        <v>1035</v>
      </c>
      <c r="H1113" s="248" t="s">
        <v>234</v>
      </c>
      <c r="I1113" s="248" t="s">
        <v>235</v>
      </c>
      <c r="J1113" s="247" t="s">
        <v>809</v>
      </c>
      <c r="K1113" s="249">
        <v>0</v>
      </c>
      <c r="M1113" s="90">
        <v>0</v>
      </c>
      <c r="N1113" s="90">
        <v>0</v>
      </c>
      <c r="O1113" s="90">
        <v>255</v>
      </c>
    </row>
    <row r="1114" spans="1:15" s="90" customFormat="1" ht="12.75" customHeight="1" x14ac:dyDescent="0.2">
      <c r="A1114" s="247" t="s">
        <v>989</v>
      </c>
      <c r="B1114" s="316">
        <v>3046</v>
      </c>
      <c r="C1114" s="247" t="s">
        <v>975</v>
      </c>
      <c r="D1114" s="317">
        <v>42655</v>
      </c>
      <c r="E1114" s="318">
        <v>0.37550925925925926</v>
      </c>
      <c r="F1114" s="247" t="s">
        <v>976</v>
      </c>
      <c r="G1114" s="247" t="s">
        <v>1035</v>
      </c>
      <c r="H1114" s="248" t="s">
        <v>404</v>
      </c>
      <c r="I1114" s="248" t="s">
        <v>404</v>
      </c>
      <c r="J1114" s="247" t="s">
        <v>809</v>
      </c>
      <c r="K1114" s="249">
        <v>0</v>
      </c>
      <c r="M1114" s="90">
        <v>0</v>
      </c>
      <c r="N1114" s="90">
        <v>0</v>
      </c>
      <c r="O1114" s="90">
        <v>255</v>
      </c>
    </row>
    <row r="1115" spans="1:15" s="90" customFormat="1" ht="12.75" customHeight="1" x14ac:dyDescent="0.2">
      <c r="A1115" s="247" t="s">
        <v>990</v>
      </c>
      <c r="B1115" s="316">
        <v>3046</v>
      </c>
      <c r="C1115" s="247" t="s">
        <v>975</v>
      </c>
      <c r="D1115" s="317">
        <v>42655</v>
      </c>
      <c r="E1115" s="318">
        <v>0.37622685185185184</v>
      </c>
      <c r="F1115" s="247" t="s">
        <v>976</v>
      </c>
      <c r="G1115" s="247" t="s">
        <v>1035</v>
      </c>
      <c r="H1115" s="248" t="s">
        <v>404</v>
      </c>
      <c r="I1115" s="248" t="s">
        <v>404</v>
      </c>
      <c r="J1115" s="247" t="s">
        <v>809</v>
      </c>
      <c r="K1115" s="249">
        <v>0</v>
      </c>
      <c r="M1115" s="90">
        <v>0</v>
      </c>
      <c r="N1115" s="90">
        <v>0</v>
      </c>
      <c r="O1115" s="90">
        <v>255</v>
      </c>
    </row>
    <row r="1116" spans="1:15" s="90" customFormat="1" ht="12.75" customHeight="1" x14ac:dyDescent="0.2">
      <c r="A1116" s="247" t="s">
        <v>993</v>
      </c>
      <c r="B1116" s="316">
        <v>3217</v>
      </c>
      <c r="C1116" s="247" t="s">
        <v>975</v>
      </c>
      <c r="D1116" s="317">
        <v>42655</v>
      </c>
      <c r="E1116" s="318">
        <v>0.37622685185185184</v>
      </c>
      <c r="F1116" s="247" t="s">
        <v>235</v>
      </c>
      <c r="G1116" s="247" t="s">
        <v>1035</v>
      </c>
      <c r="H1116" s="248" t="s">
        <v>234</v>
      </c>
      <c r="I1116" s="248" t="s">
        <v>235</v>
      </c>
      <c r="J1116" s="247" t="s">
        <v>809</v>
      </c>
      <c r="K1116" s="249">
        <v>0</v>
      </c>
      <c r="M1116" s="90">
        <v>0</v>
      </c>
      <c r="N1116" s="90">
        <v>0</v>
      </c>
      <c r="O1116" s="90">
        <v>255</v>
      </c>
    </row>
    <row r="1117" spans="1:15" s="90" customFormat="1" ht="12.75" customHeight="1" x14ac:dyDescent="0.2">
      <c r="A1117" s="247" t="s">
        <v>1330</v>
      </c>
      <c r="B1117" s="316">
        <v>3218</v>
      </c>
      <c r="C1117" s="247" t="s">
        <v>979</v>
      </c>
      <c r="D1117" s="317">
        <v>42655</v>
      </c>
      <c r="E1117" s="318">
        <v>0.41053240740740743</v>
      </c>
      <c r="F1117" s="247" t="s">
        <v>702</v>
      </c>
      <c r="G1117" s="247" t="s">
        <v>1035</v>
      </c>
      <c r="H1117" s="248"/>
      <c r="I1117" s="248"/>
      <c r="J1117" s="247"/>
      <c r="K1117" s="249"/>
      <c r="M1117" s="90">
        <v>0</v>
      </c>
      <c r="N1117" s="90">
        <v>0</v>
      </c>
      <c r="O1117" s="90">
        <v>255</v>
      </c>
    </row>
    <row r="1118" spans="1:15" s="90" customFormat="1" ht="12.75" customHeight="1" x14ac:dyDescent="0.2">
      <c r="A1118" s="247" t="s">
        <v>1331</v>
      </c>
      <c r="B1118" s="316">
        <v>3218</v>
      </c>
      <c r="C1118" s="247" t="s">
        <v>979</v>
      </c>
      <c r="D1118" s="317">
        <v>42655</v>
      </c>
      <c r="E1118" s="318">
        <v>0.41053240740740743</v>
      </c>
      <c r="F1118" s="247" t="s">
        <v>702</v>
      </c>
      <c r="G1118" s="247" t="s">
        <v>1035</v>
      </c>
      <c r="H1118" s="248"/>
      <c r="I1118" s="248"/>
      <c r="J1118" s="247"/>
      <c r="K1118" s="249"/>
      <c r="M1118" s="90">
        <v>0</v>
      </c>
      <c r="N1118" s="90">
        <v>0</v>
      </c>
      <c r="O1118" s="90">
        <v>255</v>
      </c>
    </row>
    <row r="1119" spans="1:15" s="90" customFormat="1" ht="12.75" customHeight="1" x14ac:dyDescent="0.2">
      <c r="A1119" s="247" t="s">
        <v>1332</v>
      </c>
      <c r="B1119" s="316">
        <v>3218</v>
      </c>
      <c r="C1119" s="247" t="s">
        <v>979</v>
      </c>
      <c r="D1119" s="317">
        <v>42655</v>
      </c>
      <c r="E1119" s="318">
        <v>0.41053240740740743</v>
      </c>
      <c r="F1119" s="247" t="s">
        <v>702</v>
      </c>
      <c r="G1119" s="247" t="s">
        <v>1035</v>
      </c>
      <c r="H1119" s="248"/>
      <c r="I1119" s="248"/>
      <c r="J1119" s="247"/>
      <c r="K1119" s="249"/>
      <c r="M1119" s="90">
        <v>0</v>
      </c>
      <c r="N1119" s="90">
        <v>0</v>
      </c>
      <c r="O1119" s="90">
        <v>255</v>
      </c>
    </row>
    <row r="1120" spans="1:15" s="90" customFormat="1" ht="12.75" customHeight="1" x14ac:dyDescent="0.2">
      <c r="A1120" s="247" t="s">
        <v>1333</v>
      </c>
      <c r="B1120" s="316">
        <v>3218</v>
      </c>
      <c r="C1120" s="247" t="s">
        <v>979</v>
      </c>
      <c r="D1120" s="317">
        <v>42655</v>
      </c>
      <c r="E1120" s="318">
        <v>0.41053240740740743</v>
      </c>
      <c r="F1120" s="247" t="s">
        <v>702</v>
      </c>
      <c r="G1120" s="247" t="s">
        <v>1035</v>
      </c>
      <c r="H1120" s="248"/>
      <c r="I1120" s="248"/>
      <c r="J1120" s="247"/>
      <c r="K1120" s="249"/>
      <c r="M1120" s="90">
        <v>0</v>
      </c>
      <c r="N1120" s="90">
        <v>0</v>
      </c>
      <c r="O1120" s="90">
        <v>255</v>
      </c>
    </row>
    <row r="1121" spans="1:15" s="90" customFormat="1" ht="12.75" customHeight="1" x14ac:dyDescent="0.2">
      <c r="A1121" s="247" t="s">
        <v>1334</v>
      </c>
      <c r="B1121" s="316">
        <v>3218</v>
      </c>
      <c r="C1121" s="247" t="s">
        <v>979</v>
      </c>
      <c r="D1121" s="317">
        <v>42655</v>
      </c>
      <c r="E1121" s="318">
        <v>0.41053240740740743</v>
      </c>
      <c r="F1121" s="247" t="s">
        <v>702</v>
      </c>
      <c r="G1121" s="247" t="s">
        <v>1035</v>
      </c>
      <c r="H1121" s="248"/>
      <c r="I1121" s="248"/>
      <c r="J1121" s="247"/>
      <c r="K1121" s="249"/>
      <c r="M1121" s="90">
        <v>0</v>
      </c>
      <c r="N1121" s="90">
        <v>0</v>
      </c>
      <c r="O1121" s="90">
        <v>255</v>
      </c>
    </row>
    <row r="1122" spans="1:15" s="90" customFormat="1" ht="12.75" customHeight="1" x14ac:dyDescent="0.2">
      <c r="A1122" s="247" t="s">
        <v>989</v>
      </c>
      <c r="B1122" s="316">
        <v>3046</v>
      </c>
      <c r="C1122" s="247" t="s">
        <v>975</v>
      </c>
      <c r="D1122" s="317">
        <v>42655</v>
      </c>
      <c r="E1122" s="318">
        <v>0.4120138888888889</v>
      </c>
      <c r="F1122" s="247" t="s">
        <v>976</v>
      </c>
      <c r="G1122" s="247" t="s">
        <v>1035</v>
      </c>
      <c r="H1122" s="248" t="s">
        <v>404</v>
      </c>
      <c r="I1122" s="248" t="s">
        <v>404</v>
      </c>
      <c r="J1122" s="247" t="s">
        <v>809</v>
      </c>
      <c r="K1122" s="249">
        <v>0</v>
      </c>
      <c r="M1122" s="90">
        <v>0</v>
      </c>
      <c r="N1122" s="90">
        <v>0</v>
      </c>
      <c r="O1122" s="90">
        <v>255</v>
      </c>
    </row>
    <row r="1123" spans="1:15" s="90" customFormat="1" ht="12.75" customHeight="1" x14ac:dyDescent="0.2">
      <c r="A1123" s="247" t="s">
        <v>990</v>
      </c>
      <c r="B1123" s="316">
        <v>3046</v>
      </c>
      <c r="C1123" s="247" t="s">
        <v>975</v>
      </c>
      <c r="D1123" s="317">
        <v>42655</v>
      </c>
      <c r="E1123" s="318">
        <v>0.41203703703703703</v>
      </c>
      <c r="F1123" s="247" t="s">
        <v>976</v>
      </c>
      <c r="G1123" s="247" t="s">
        <v>1035</v>
      </c>
      <c r="H1123" s="248" t="s">
        <v>404</v>
      </c>
      <c r="I1123" s="248" t="s">
        <v>404</v>
      </c>
      <c r="J1123" s="247" t="s">
        <v>809</v>
      </c>
      <c r="K1123" s="249">
        <v>0</v>
      </c>
      <c r="M1123" s="90">
        <v>0</v>
      </c>
      <c r="N1123" s="90">
        <v>0</v>
      </c>
      <c r="O1123" s="90">
        <v>255</v>
      </c>
    </row>
    <row r="1124" spans="1:15" s="90" customFormat="1" ht="12.75" customHeight="1" x14ac:dyDescent="0.2">
      <c r="A1124" s="247" t="s">
        <v>1006</v>
      </c>
      <c r="B1124" s="316">
        <v>3051</v>
      </c>
      <c r="C1124" s="247" t="s">
        <v>975</v>
      </c>
      <c r="D1124" s="317">
        <v>42655</v>
      </c>
      <c r="E1124" s="318">
        <v>0.41203703703703703</v>
      </c>
      <c r="F1124" s="247" t="s">
        <v>235</v>
      </c>
      <c r="G1124" s="247" t="s">
        <v>1035</v>
      </c>
      <c r="H1124" s="248" t="s">
        <v>234</v>
      </c>
      <c r="I1124" s="248" t="s">
        <v>235</v>
      </c>
      <c r="J1124" s="247" t="s">
        <v>809</v>
      </c>
      <c r="K1124" s="249">
        <v>0</v>
      </c>
      <c r="M1124" s="90">
        <v>0</v>
      </c>
      <c r="N1124" s="90">
        <v>0</v>
      </c>
      <c r="O1124" s="90">
        <v>255</v>
      </c>
    </row>
    <row r="1125" spans="1:15" s="90" customFormat="1" ht="12.75" customHeight="1" x14ac:dyDescent="0.2">
      <c r="A1125" s="247" t="s">
        <v>1065</v>
      </c>
      <c r="B1125" s="316">
        <v>3052</v>
      </c>
      <c r="C1125" s="247" t="s">
        <v>975</v>
      </c>
      <c r="D1125" s="317">
        <v>42655</v>
      </c>
      <c r="E1125" s="318">
        <v>0.41203703703703703</v>
      </c>
      <c r="F1125" s="247" t="s">
        <v>235</v>
      </c>
      <c r="G1125" s="247" t="s">
        <v>1035</v>
      </c>
      <c r="H1125" s="248" t="s">
        <v>234</v>
      </c>
      <c r="I1125" s="248" t="s">
        <v>235</v>
      </c>
      <c r="J1125" s="247" t="s">
        <v>809</v>
      </c>
      <c r="K1125" s="249">
        <v>0</v>
      </c>
      <c r="M1125" s="90">
        <v>0</v>
      </c>
      <c r="N1125" s="90">
        <v>0</v>
      </c>
      <c r="O1125" s="90">
        <v>255</v>
      </c>
    </row>
    <row r="1126" spans="1:15" s="90" customFormat="1" ht="12.75" customHeight="1" x14ac:dyDescent="0.2">
      <c r="A1126" s="247" t="s">
        <v>989</v>
      </c>
      <c r="B1126" s="316">
        <v>3046</v>
      </c>
      <c r="C1126" s="247" t="s">
        <v>975</v>
      </c>
      <c r="D1126" s="317">
        <v>42655</v>
      </c>
      <c r="E1126" s="318">
        <v>0.41210648148148149</v>
      </c>
      <c r="F1126" s="247" t="s">
        <v>976</v>
      </c>
      <c r="G1126" s="247" t="s">
        <v>1035</v>
      </c>
      <c r="H1126" s="248" t="s">
        <v>404</v>
      </c>
      <c r="I1126" s="248" t="s">
        <v>404</v>
      </c>
      <c r="J1126" s="247" t="s">
        <v>809</v>
      </c>
      <c r="K1126" s="249">
        <v>0</v>
      </c>
      <c r="M1126" s="90">
        <v>0</v>
      </c>
      <c r="N1126" s="90">
        <v>0</v>
      </c>
      <c r="O1126" s="90">
        <v>255</v>
      </c>
    </row>
    <row r="1127" spans="1:15" s="90" customFormat="1" ht="12.75" customHeight="1" x14ac:dyDescent="0.2">
      <c r="A1127" s="247" t="s">
        <v>1010</v>
      </c>
      <c r="B1127" s="316">
        <v>3051</v>
      </c>
      <c r="C1127" s="247" t="s">
        <v>975</v>
      </c>
      <c r="D1127" s="317">
        <v>42655</v>
      </c>
      <c r="E1127" s="318">
        <v>0.41212962962962968</v>
      </c>
      <c r="F1127" s="247" t="s">
        <v>235</v>
      </c>
      <c r="G1127" s="247" t="s">
        <v>1035</v>
      </c>
      <c r="H1127" s="248" t="s">
        <v>234</v>
      </c>
      <c r="I1127" s="248" t="s">
        <v>235</v>
      </c>
      <c r="J1127" s="247" t="s">
        <v>809</v>
      </c>
      <c r="K1127" s="249">
        <v>0</v>
      </c>
      <c r="M1127" s="90">
        <v>0</v>
      </c>
      <c r="N1127" s="90">
        <v>0</v>
      </c>
      <c r="O1127" s="90">
        <v>255</v>
      </c>
    </row>
    <row r="1128" spans="1:15" s="90" customFormat="1" ht="12.75" customHeight="1" x14ac:dyDescent="0.2">
      <c r="A1128" s="247" t="s">
        <v>1009</v>
      </c>
      <c r="B1128" s="316">
        <v>3052</v>
      </c>
      <c r="C1128" s="247" t="s">
        <v>975</v>
      </c>
      <c r="D1128" s="317">
        <v>42655</v>
      </c>
      <c r="E1128" s="318">
        <v>0.41212962962962968</v>
      </c>
      <c r="F1128" s="247" t="s">
        <v>235</v>
      </c>
      <c r="G1128" s="247" t="s">
        <v>1035</v>
      </c>
      <c r="H1128" s="248" t="s">
        <v>234</v>
      </c>
      <c r="I1128" s="248" t="s">
        <v>235</v>
      </c>
      <c r="J1128" s="247" t="s">
        <v>809</v>
      </c>
      <c r="K1128" s="249">
        <v>0</v>
      </c>
      <c r="M1128" s="90">
        <v>0</v>
      </c>
      <c r="N1128" s="90">
        <v>0</v>
      </c>
      <c r="O1128" s="90">
        <v>255</v>
      </c>
    </row>
    <row r="1129" spans="1:15" s="90" customFormat="1" ht="12.75" customHeight="1" x14ac:dyDescent="0.2">
      <c r="A1129" s="247" t="s">
        <v>990</v>
      </c>
      <c r="B1129" s="316">
        <v>3046</v>
      </c>
      <c r="C1129" s="247" t="s">
        <v>975</v>
      </c>
      <c r="D1129" s="317">
        <v>42655</v>
      </c>
      <c r="E1129" s="318">
        <v>0.41214120370370372</v>
      </c>
      <c r="F1129" s="247" t="s">
        <v>976</v>
      </c>
      <c r="G1129" s="247" t="s">
        <v>1035</v>
      </c>
      <c r="H1129" s="248" t="s">
        <v>404</v>
      </c>
      <c r="I1129" s="248" t="s">
        <v>404</v>
      </c>
      <c r="J1129" s="247" t="s">
        <v>809</v>
      </c>
      <c r="K1129" s="249">
        <v>0</v>
      </c>
      <c r="M1129" s="90">
        <v>0</v>
      </c>
      <c r="N1129" s="90">
        <v>0</v>
      </c>
      <c r="O1129" s="90">
        <v>255</v>
      </c>
    </row>
    <row r="1130" spans="1:15" s="90" customFormat="1" ht="12.75" customHeight="1" x14ac:dyDescent="0.2">
      <c r="A1130" s="247" t="s">
        <v>989</v>
      </c>
      <c r="B1130" s="316">
        <v>3046</v>
      </c>
      <c r="C1130" s="247" t="s">
        <v>975</v>
      </c>
      <c r="D1130" s="317">
        <v>42655</v>
      </c>
      <c r="E1130" s="318">
        <v>0.41363425925925923</v>
      </c>
      <c r="F1130" s="247" t="s">
        <v>976</v>
      </c>
      <c r="G1130" s="247" t="s">
        <v>1035</v>
      </c>
      <c r="H1130" s="248" t="s">
        <v>404</v>
      </c>
      <c r="I1130" s="248" t="s">
        <v>404</v>
      </c>
      <c r="J1130" s="247" t="s">
        <v>809</v>
      </c>
      <c r="K1130" s="249">
        <v>0</v>
      </c>
      <c r="M1130" s="90">
        <v>0</v>
      </c>
      <c r="N1130" s="90">
        <v>0</v>
      </c>
      <c r="O1130" s="90">
        <v>255</v>
      </c>
    </row>
    <row r="1131" spans="1:15" s="90" customFormat="1" ht="12.75" customHeight="1" x14ac:dyDescent="0.2">
      <c r="A1131" s="247" t="s">
        <v>1029</v>
      </c>
      <c r="B1131" s="316">
        <v>3046</v>
      </c>
      <c r="C1131" s="247" t="s">
        <v>975</v>
      </c>
      <c r="D1131" s="317">
        <v>42655</v>
      </c>
      <c r="E1131" s="318">
        <v>0.41385416666666663</v>
      </c>
      <c r="F1131" s="247" t="s">
        <v>976</v>
      </c>
      <c r="G1131" s="247" t="s">
        <v>1035</v>
      </c>
      <c r="H1131" s="248" t="s">
        <v>404</v>
      </c>
      <c r="I1131" s="248" t="s">
        <v>404</v>
      </c>
      <c r="J1131" s="247" t="s">
        <v>809</v>
      </c>
      <c r="K1131" s="249">
        <v>0</v>
      </c>
      <c r="M1131" s="90">
        <v>0</v>
      </c>
      <c r="N1131" s="90">
        <v>0</v>
      </c>
      <c r="O1131" s="90">
        <v>255</v>
      </c>
    </row>
    <row r="1132" spans="1:15" s="90" customFormat="1" ht="12.75" customHeight="1" x14ac:dyDescent="0.2">
      <c r="A1132" s="247" t="s">
        <v>977</v>
      </c>
      <c r="B1132" s="316">
        <v>3046</v>
      </c>
      <c r="C1132" s="247" t="s">
        <v>975</v>
      </c>
      <c r="D1132" s="317">
        <v>42655</v>
      </c>
      <c r="E1132" s="318">
        <v>0.41385416666666663</v>
      </c>
      <c r="F1132" s="247" t="s">
        <v>976</v>
      </c>
      <c r="G1132" s="247" t="s">
        <v>1035</v>
      </c>
      <c r="H1132" s="248" t="s">
        <v>404</v>
      </c>
      <c r="I1132" s="248" t="s">
        <v>404</v>
      </c>
      <c r="J1132" s="247" t="s">
        <v>809</v>
      </c>
      <c r="K1132" s="249">
        <v>0</v>
      </c>
      <c r="M1132" s="90">
        <v>0</v>
      </c>
      <c r="N1132" s="90">
        <v>0</v>
      </c>
      <c r="O1132" s="90">
        <v>255</v>
      </c>
    </row>
    <row r="1133" spans="1:15" s="90" customFormat="1" ht="12.75" customHeight="1" x14ac:dyDescent="0.2">
      <c r="A1133" s="247" t="s">
        <v>1143</v>
      </c>
      <c r="B1133" s="316">
        <v>3051</v>
      </c>
      <c r="C1133" s="247" t="s">
        <v>975</v>
      </c>
      <c r="D1133" s="317">
        <v>42655</v>
      </c>
      <c r="E1133" s="318">
        <v>0.41390046296296296</v>
      </c>
      <c r="F1133" s="247" t="s">
        <v>235</v>
      </c>
      <c r="G1133" s="247" t="s">
        <v>1035</v>
      </c>
      <c r="H1133" s="248" t="s">
        <v>234</v>
      </c>
      <c r="I1133" s="248" t="s">
        <v>235</v>
      </c>
      <c r="J1133" s="247" t="s">
        <v>809</v>
      </c>
      <c r="K1133" s="249">
        <v>0</v>
      </c>
      <c r="M1133" s="90">
        <v>0</v>
      </c>
      <c r="N1133" s="90">
        <v>0</v>
      </c>
      <c r="O1133" s="90">
        <v>255</v>
      </c>
    </row>
    <row r="1134" spans="1:15" s="90" customFormat="1" ht="12.75" customHeight="1" x14ac:dyDescent="0.2">
      <c r="A1134" s="247" t="s">
        <v>1030</v>
      </c>
      <c r="B1134" s="316">
        <v>3051</v>
      </c>
      <c r="C1134" s="247" t="s">
        <v>975</v>
      </c>
      <c r="D1134" s="317">
        <v>42655</v>
      </c>
      <c r="E1134" s="318">
        <v>0.41390046296296296</v>
      </c>
      <c r="F1134" s="247" t="s">
        <v>235</v>
      </c>
      <c r="G1134" s="247" t="s">
        <v>1035</v>
      </c>
      <c r="H1134" s="248" t="s">
        <v>234</v>
      </c>
      <c r="I1134" s="248" t="s">
        <v>235</v>
      </c>
      <c r="J1134" s="247" t="s">
        <v>809</v>
      </c>
      <c r="K1134" s="249">
        <v>0</v>
      </c>
      <c r="M1134" s="90">
        <v>0</v>
      </c>
      <c r="N1134" s="90">
        <v>0</v>
      </c>
      <c r="O1134" s="90">
        <v>255</v>
      </c>
    </row>
    <row r="1135" spans="1:15" s="90" customFormat="1" ht="12.75" customHeight="1" x14ac:dyDescent="0.2">
      <c r="A1135" s="247" t="s">
        <v>1036</v>
      </c>
      <c r="B1135" s="316">
        <v>3051</v>
      </c>
      <c r="C1135" s="247" t="s">
        <v>975</v>
      </c>
      <c r="D1135" s="317">
        <v>42655</v>
      </c>
      <c r="E1135" s="318">
        <v>0.41390046296296296</v>
      </c>
      <c r="F1135" s="247" t="s">
        <v>235</v>
      </c>
      <c r="G1135" s="247" t="s">
        <v>1035</v>
      </c>
      <c r="H1135" s="248" t="s">
        <v>234</v>
      </c>
      <c r="I1135" s="248" t="s">
        <v>235</v>
      </c>
      <c r="J1135" s="247" t="s">
        <v>809</v>
      </c>
      <c r="K1135" s="249">
        <v>0</v>
      </c>
      <c r="M1135" s="90">
        <v>0</v>
      </c>
      <c r="N1135" s="90">
        <v>0</v>
      </c>
      <c r="O1135" s="90">
        <v>255</v>
      </c>
    </row>
    <row r="1136" spans="1:15" s="90" customFormat="1" ht="12.75" customHeight="1" x14ac:dyDescent="0.2">
      <c r="A1136" s="247" t="s">
        <v>1104</v>
      </c>
      <c r="B1136" s="316">
        <v>3052</v>
      </c>
      <c r="C1136" s="247" t="s">
        <v>975</v>
      </c>
      <c r="D1136" s="317">
        <v>42655</v>
      </c>
      <c r="E1136" s="318">
        <v>0.41390046296296296</v>
      </c>
      <c r="F1136" s="247" t="s">
        <v>235</v>
      </c>
      <c r="G1136" s="247" t="s">
        <v>1035</v>
      </c>
      <c r="H1136" s="248" t="s">
        <v>234</v>
      </c>
      <c r="I1136" s="248" t="s">
        <v>235</v>
      </c>
      <c r="J1136" s="247" t="s">
        <v>809</v>
      </c>
      <c r="K1136" s="249">
        <v>0</v>
      </c>
      <c r="M1136" s="90">
        <v>0</v>
      </c>
      <c r="N1136" s="90">
        <v>0</v>
      </c>
      <c r="O1136" s="90">
        <v>255</v>
      </c>
    </row>
    <row r="1137" spans="1:15" s="90" customFormat="1" ht="12.75" customHeight="1" x14ac:dyDescent="0.2">
      <c r="A1137" s="247" t="s">
        <v>983</v>
      </c>
      <c r="B1137" s="316">
        <v>3046</v>
      </c>
      <c r="C1137" s="247" t="s">
        <v>975</v>
      </c>
      <c r="D1137" s="317">
        <v>42655</v>
      </c>
      <c r="E1137" s="318">
        <v>0.41434027777777777</v>
      </c>
      <c r="F1137" s="247" t="s">
        <v>976</v>
      </c>
      <c r="G1137" s="247" t="s">
        <v>1035</v>
      </c>
      <c r="H1137" s="248" t="s">
        <v>404</v>
      </c>
      <c r="I1137" s="248" t="s">
        <v>404</v>
      </c>
      <c r="J1137" s="247" t="s">
        <v>809</v>
      </c>
      <c r="K1137" s="249">
        <v>0</v>
      </c>
      <c r="M1137" s="90">
        <v>0</v>
      </c>
      <c r="N1137" s="90">
        <v>0</v>
      </c>
      <c r="O1137" s="90">
        <v>255</v>
      </c>
    </row>
    <row r="1138" spans="1:15" s="90" customFormat="1" ht="12.75" customHeight="1" x14ac:dyDescent="0.2">
      <c r="A1138" s="247" t="s">
        <v>611</v>
      </c>
      <c r="B1138" s="316">
        <v>4030</v>
      </c>
      <c r="C1138" s="247" t="s">
        <v>996</v>
      </c>
      <c r="D1138" s="317">
        <v>42655</v>
      </c>
      <c r="E1138" s="318">
        <v>0.41438657407407403</v>
      </c>
      <c r="F1138" s="247" t="s">
        <v>702</v>
      </c>
      <c r="G1138" s="247" t="s">
        <v>1035</v>
      </c>
      <c r="H1138" s="248" t="s">
        <v>4</v>
      </c>
      <c r="I1138" s="248" t="s">
        <v>14</v>
      </c>
      <c r="J1138" s="247" t="s">
        <v>809</v>
      </c>
      <c r="K1138" s="249">
        <v>0</v>
      </c>
      <c r="L1138" s="90" t="s">
        <v>1780</v>
      </c>
      <c r="M1138" s="90">
        <v>327</v>
      </c>
      <c r="N1138" s="90">
        <v>-1</v>
      </c>
      <c r="O1138" s="90">
        <v>0</v>
      </c>
    </row>
    <row r="1139" spans="1:15" s="90" customFormat="1" ht="12.75" customHeight="1" x14ac:dyDescent="0.2">
      <c r="A1139" s="247" t="s">
        <v>991</v>
      </c>
      <c r="B1139" s="316">
        <v>3046</v>
      </c>
      <c r="C1139" s="247" t="s">
        <v>975</v>
      </c>
      <c r="D1139" s="317">
        <v>42655</v>
      </c>
      <c r="E1139" s="318">
        <v>0.41445601851851849</v>
      </c>
      <c r="F1139" s="247" t="s">
        <v>976</v>
      </c>
      <c r="G1139" s="247" t="s">
        <v>1035</v>
      </c>
      <c r="H1139" s="248" t="s">
        <v>404</v>
      </c>
      <c r="I1139" s="248" t="s">
        <v>404</v>
      </c>
      <c r="J1139" s="247" t="s">
        <v>809</v>
      </c>
      <c r="K1139" s="249">
        <v>0</v>
      </c>
      <c r="M1139" s="90">
        <v>0</v>
      </c>
      <c r="N1139" s="90">
        <v>0</v>
      </c>
      <c r="O1139" s="90">
        <v>255</v>
      </c>
    </row>
    <row r="1140" spans="1:15" s="90" customFormat="1" ht="12.75" customHeight="1" x14ac:dyDescent="0.2">
      <c r="A1140" s="247" t="s">
        <v>992</v>
      </c>
      <c r="B1140" s="316">
        <v>3046</v>
      </c>
      <c r="C1140" s="247" t="s">
        <v>975</v>
      </c>
      <c r="D1140" s="317">
        <v>42655</v>
      </c>
      <c r="E1140" s="318">
        <v>0.41571759259259261</v>
      </c>
      <c r="F1140" s="247" t="s">
        <v>976</v>
      </c>
      <c r="G1140" s="247" t="s">
        <v>1035</v>
      </c>
      <c r="H1140" s="248" t="s">
        <v>404</v>
      </c>
      <c r="I1140" s="248" t="s">
        <v>404</v>
      </c>
      <c r="J1140" s="247" t="s">
        <v>809</v>
      </c>
      <c r="K1140" s="249">
        <v>0</v>
      </c>
      <c r="M1140" s="90">
        <v>0</v>
      </c>
      <c r="N1140" s="90">
        <v>0</v>
      </c>
      <c r="O1140" s="90">
        <v>255</v>
      </c>
    </row>
    <row r="1141" spans="1:15" s="90" customFormat="1" ht="12.75" customHeight="1" x14ac:dyDescent="0.2">
      <c r="A1141" s="247" t="s">
        <v>988</v>
      </c>
      <c r="B1141" s="316">
        <v>3046</v>
      </c>
      <c r="C1141" s="247" t="s">
        <v>975</v>
      </c>
      <c r="D1141" s="317">
        <v>42655</v>
      </c>
      <c r="E1141" s="318">
        <v>0.4173842592592592</v>
      </c>
      <c r="F1141" s="247" t="s">
        <v>976</v>
      </c>
      <c r="G1141" s="247" t="s">
        <v>1035</v>
      </c>
      <c r="H1141" s="248" t="s">
        <v>404</v>
      </c>
      <c r="I1141" s="248" t="s">
        <v>404</v>
      </c>
      <c r="J1141" s="247" t="s">
        <v>809</v>
      </c>
      <c r="K1141" s="249">
        <v>0</v>
      </c>
      <c r="M1141" s="90">
        <v>0</v>
      </c>
      <c r="N1141" s="90">
        <v>0</v>
      </c>
      <c r="O1141" s="90">
        <v>255</v>
      </c>
    </row>
    <row r="1142" spans="1:15" s="90" customFormat="1" ht="12.75" customHeight="1" x14ac:dyDescent="0.2">
      <c r="A1142" s="247" t="s">
        <v>989</v>
      </c>
      <c r="B1142" s="316">
        <v>3046</v>
      </c>
      <c r="C1142" s="247" t="s">
        <v>975</v>
      </c>
      <c r="D1142" s="317">
        <v>42655</v>
      </c>
      <c r="E1142" s="318">
        <v>0.4173842592592592</v>
      </c>
      <c r="F1142" s="247" t="s">
        <v>976</v>
      </c>
      <c r="G1142" s="247" t="s">
        <v>1035</v>
      </c>
      <c r="H1142" s="248" t="s">
        <v>404</v>
      </c>
      <c r="I1142" s="248" t="s">
        <v>404</v>
      </c>
      <c r="J1142" s="247" t="s">
        <v>809</v>
      </c>
      <c r="K1142" s="249">
        <v>0</v>
      </c>
      <c r="M1142" s="90">
        <v>0</v>
      </c>
      <c r="N1142" s="90">
        <v>0</v>
      </c>
      <c r="O1142" s="90">
        <v>255</v>
      </c>
    </row>
    <row r="1143" spans="1:15" s="90" customFormat="1" ht="12.75" customHeight="1" x14ac:dyDescent="0.2">
      <c r="A1143" s="247" t="s">
        <v>990</v>
      </c>
      <c r="B1143" s="316">
        <v>3046</v>
      </c>
      <c r="C1143" s="247" t="s">
        <v>975</v>
      </c>
      <c r="D1143" s="317">
        <v>42655</v>
      </c>
      <c r="E1143" s="318">
        <v>0.41824074074074075</v>
      </c>
      <c r="F1143" s="247" t="s">
        <v>976</v>
      </c>
      <c r="G1143" s="247" t="s">
        <v>1035</v>
      </c>
      <c r="H1143" s="248" t="s">
        <v>404</v>
      </c>
      <c r="I1143" s="248" t="s">
        <v>404</v>
      </c>
      <c r="J1143" s="247" t="s">
        <v>809</v>
      </c>
      <c r="K1143" s="249">
        <v>0</v>
      </c>
      <c r="M1143" s="90">
        <v>0</v>
      </c>
      <c r="N1143" s="90">
        <v>0</v>
      </c>
      <c r="O1143" s="90">
        <v>255</v>
      </c>
    </row>
    <row r="1144" spans="1:15" s="90" customFormat="1" ht="12.75" customHeight="1" x14ac:dyDescent="0.2">
      <c r="A1144" s="247" t="s">
        <v>989</v>
      </c>
      <c r="B1144" s="316">
        <v>3046</v>
      </c>
      <c r="C1144" s="247" t="s">
        <v>975</v>
      </c>
      <c r="D1144" s="317">
        <v>42655</v>
      </c>
      <c r="E1144" s="318">
        <v>0.41856481481481483</v>
      </c>
      <c r="F1144" s="247" t="s">
        <v>976</v>
      </c>
      <c r="G1144" s="247" t="s">
        <v>1035</v>
      </c>
      <c r="H1144" s="248" t="s">
        <v>404</v>
      </c>
      <c r="I1144" s="248" t="s">
        <v>404</v>
      </c>
      <c r="J1144" s="247" t="s">
        <v>809</v>
      </c>
      <c r="K1144" s="249">
        <v>0</v>
      </c>
      <c r="M1144" s="90">
        <v>0</v>
      </c>
      <c r="N1144" s="90">
        <v>0</v>
      </c>
      <c r="O1144" s="90">
        <v>255</v>
      </c>
    </row>
    <row r="1145" spans="1:15" s="90" customFormat="1" ht="12.75" customHeight="1" x14ac:dyDescent="0.2">
      <c r="A1145" s="247" t="s">
        <v>1027</v>
      </c>
      <c r="B1145" s="316">
        <v>3051</v>
      </c>
      <c r="C1145" s="247" t="s">
        <v>975</v>
      </c>
      <c r="D1145" s="317">
        <v>42655</v>
      </c>
      <c r="E1145" s="318">
        <v>0.42097222222222225</v>
      </c>
      <c r="F1145" s="247" t="s">
        <v>235</v>
      </c>
      <c r="G1145" s="247" t="s">
        <v>1035</v>
      </c>
      <c r="H1145" s="248" t="s">
        <v>234</v>
      </c>
      <c r="I1145" s="248" t="s">
        <v>235</v>
      </c>
      <c r="J1145" s="247" t="s">
        <v>809</v>
      </c>
      <c r="K1145" s="249">
        <v>0</v>
      </c>
      <c r="M1145" s="90">
        <v>0</v>
      </c>
      <c r="N1145" s="90">
        <v>0</v>
      </c>
      <c r="O1145" s="90">
        <v>255</v>
      </c>
    </row>
    <row r="1146" spans="1:15" s="90" customFormat="1" ht="12.75" customHeight="1" x14ac:dyDescent="0.2">
      <c r="A1146" s="247" t="s">
        <v>1028</v>
      </c>
      <c r="B1146" s="316">
        <v>3051</v>
      </c>
      <c r="C1146" s="247" t="s">
        <v>975</v>
      </c>
      <c r="D1146" s="317">
        <v>42655</v>
      </c>
      <c r="E1146" s="318">
        <v>0.42097222222222225</v>
      </c>
      <c r="F1146" s="247" t="s">
        <v>235</v>
      </c>
      <c r="G1146" s="247" t="s">
        <v>1035</v>
      </c>
      <c r="H1146" s="248" t="s">
        <v>234</v>
      </c>
      <c r="I1146" s="248" t="s">
        <v>235</v>
      </c>
      <c r="J1146" s="247" t="s">
        <v>809</v>
      </c>
      <c r="K1146" s="249">
        <v>0</v>
      </c>
      <c r="M1146" s="90">
        <v>0</v>
      </c>
      <c r="N1146" s="90">
        <v>0</v>
      </c>
      <c r="O1146" s="90">
        <v>255</v>
      </c>
    </row>
    <row r="1147" spans="1:15" s="90" customFormat="1" ht="12.75" customHeight="1" x14ac:dyDescent="0.2">
      <c r="A1147" s="247" t="s">
        <v>1026</v>
      </c>
      <c r="B1147" s="316">
        <v>3216</v>
      </c>
      <c r="C1147" s="247" t="s">
        <v>975</v>
      </c>
      <c r="D1147" s="317">
        <v>42655</v>
      </c>
      <c r="E1147" s="318">
        <v>0.42097222222222225</v>
      </c>
      <c r="F1147" s="247" t="s">
        <v>235</v>
      </c>
      <c r="G1147" s="247" t="s">
        <v>1035</v>
      </c>
      <c r="H1147" s="248" t="s">
        <v>234</v>
      </c>
      <c r="I1147" s="248" t="s">
        <v>235</v>
      </c>
      <c r="J1147" s="247" t="s">
        <v>809</v>
      </c>
      <c r="K1147" s="249">
        <v>0</v>
      </c>
      <c r="M1147" s="90">
        <v>0</v>
      </c>
      <c r="N1147" s="90">
        <v>0</v>
      </c>
      <c r="O1147" s="90">
        <v>255</v>
      </c>
    </row>
    <row r="1148" spans="1:15" s="90" customFormat="1" ht="12.75" customHeight="1" x14ac:dyDescent="0.2">
      <c r="A1148" s="247" t="s">
        <v>990</v>
      </c>
      <c r="B1148" s="316">
        <v>3046</v>
      </c>
      <c r="C1148" s="247" t="s">
        <v>975</v>
      </c>
      <c r="D1148" s="317">
        <v>42655</v>
      </c>
      <c r="E1148" s="318">
        <v>0.42098379629629629</v>
      </c>
      <c r="F1148" s="247" t="s">
        <v>976</v>
      </c>
      <c r="G1148" s="247" t="s">
        <v>1035</v>
      </c>
      <c r="H1148" s="248" t="s">
        <v>404</v>
      </c>
      <c r="I1148" s="248" t="s">
        <v>404</v>
      </c>
      <c r="J1148" s="247" t="s">
        <v>809</v>
      </c>
      <c r="K1148" s="249">
        <v>0</v>
      </c>
      <c r="M1148" s="90">
        <v>0</v>
      </c>
      <c r="N1148" s="90">
        <v>0</v>
      </c>
      <c r="O1148" s="90">
        <v>255</v>
      </c>
    </row>
    <row r="1149" spans="1:15" s="90" customFormat="1" ht="12.75" customHeight="1" x14ac:dyDescent="0.2">
      <c r="A1149" s="247" t="s">
        <v>989</v>
      </c>
      <c r="B1149" s="316">
        <v>3046</v>
      </c>
      <c r="C1149" s="247" t="s">
        <v>975</v>
      </c>
      <c r="D1149" s="317">
        <v>42655</v>
      </c>
      <c r="E1149" s="318">
        <v>0.42113425925925929</v>
      </c>
      <c r="F1149" s="247" t="s">
        <v>976</v>
      </c>
      <c r="G1149" s="247" t="s">
        <v>1035</v>
      </c>
      <c r="H1149" s="248" t="s">
        <v>404</v>
      </c>
      <c r="I1149" s="248" t="s">
        <v>404</v>
      </c>
      <c r="J1149" s="247" t="s">
        <v>809</v>
      </c>
      <c r="K1149" s="249">
        <v>0</v>
      </c>
      <c r="M1149" s="90">
        <v>0</v>
      </c>
      <c r="N1149" s="90">
        <v>0</v>
      </c>
      <c r="O1149" s="90">
        <v>255</v>
      </c>
    </row>
    <row r="1150" spans="1:15" s="90" customFormat="1" ht="12.75" customHeight="1" x14ac:dyDescent="0.2">
      <c r="A1150" s="247" t="s">
        <v>990</v>
      </c>
      <c r="B1150" s="316">
        <v>3046</v>
      </c>
      <c r="C1150" s="247" t="s">
        <v>975</v>
      </c>
      <c r="D1150" s="317">
        <v>42655</v>
      </c>
      <c r="E1150" s="318">
        <v>0.42115740740740742</v>
      </c>
      <c r="F1150" s="247" t="s">
        <v>976</v>
      </c>
      <c r="G1150" s="247" t="s">
        <v>1035</v>
      </c>
      <c r="H1150" s="248" t="s">
        <v>404</v>
      </c>
      <c r="I1150" s="248" t="s">
        <v>404</v>
      </c>
      <c r="J1150" s="247" t="s">
        <v>809</v>
      </c>
      <c r="K1150" s="249">
        <v>0</v>
      </c>
      <c r="M1150" s="90">
        <v>0</v>
      </c>
      <c r="N1150" s="90">
        <v>0</v>
      </c>
      <c r="O1150" s="90">
        <v>255</v>
      </c>
    </row>
    <row r="1151" spans="1:15" s="90" customFormat="1" ht="12.75" customHeight="1" x14ac:dyDescent="0.2">
      <c r="A1151" s="247" t="s">
        <v>1005</v>
      </c>
      <c r="B1151" s="316">
        <v>3051</v>
      </c>
      <c r="C1151" s="247" t="s">
        <v>975</v>
      </c>
      <c r="D1151" s="317">
        <v>42655</v>
      </c>
      <c r="E1151" s="318">
        <v>0.42115740740740742</v>
      </c>
      <c r="F1151" s="247" t="s">
        <v>235</v>
      </c>
      <c r="G1151" s="247" t="s">
        <v>1035</v>
      </c>
      <c r="H1151" s="248" t="s">
        <v>234</v>
      </c>
      <c r="I1151" s="248" t="s">
        <v>235</v>
      </c>
      <c r="J1151" s="247" t="s">
        <v>809</v>
      </c>
      <c r="K1151" s="249">
        <v>0</v>
      </c>
      <c r="M1151" s="90">
        <v>0</v>
      </c>
      <c r="N1151" s="90">
        <v>0</v>
      </c>
      <c r="O1151" s="90">
        <v>255</v>
      </c>
    </row>
    <row r="1152" spans="1:15" s="90" customFormat="1" ht="12.75" customHeight="1" x14ac:dyDescent="0.2">
      <c r="A1152" s="247" t="s">
        <v>1066</v>
      </c>
      <c r="B1152" s="316">
        <v>3052</v>
      </c>
      <c r="C1152" s="247" t="s">
        <v>975</v>
      </c>
      <c r="D1152" s="317">
        <v>42655</v>
      </c>
      <c r="E1152" s="318">
        <v>0.42115740740740742</v>
      </c>
      <c r="F1152" s="247" t="s">
        <v>235</v>
      </c>
      <c r="G1152" s="247" t="s">
        <v>1035</v>
      </c>
      <c r="H1152" s="248" t="s">
        <v>234</v>
      </c>
      <c r="I1152" s="248" t="s">
        <v>235</v>
      </c>
      <c r="J1152" s="247" t="s">
        <v>809</v>
      </c>
      <c r="K1152" s="249">
        <v>0</v>
      </c>
      <c r="M1152" s="90">
        <v>0</v>
      </c>
      <c r="N1152" s="90">
        <v>0</v>
      </c>
      <c r="O1152" s="90">
        <v>255</v>
      </c>
    </row>
    <row r="1153" spans="1:15" s="90" customFormat="1" ht="12.75" customHeight="1" x14ac:dyDescent="0.2">
      <c r="A1153" s="247" t="s">
        <v>1031</v>
      </c>
      <c r="B1153" s="316">
        <v>3046</v>
      </c>
      <c r="C1153" s="247" t="s">
        <v>975</v>
      </c>
      <c r="D1153" s="317">
        <v>42655</v>
      </c>
      <c r="E1153" s="318">
        <v>0.42197916666666663</v>
      </c>
      <c r="F1153" s="247" t="s">
        <v>976</v>
      </c>
      <c r="G1153" s="247" t="s">
        <v>1035</v>
      </c>
      <c r="H1153" s="248" t="s">
        <v>404</v>
      </c>
      <c r="I1153" s="248" t="s">
        <v>404</v>
      </c>
      <c r="J1153" s="247" t="s">
        <v>809</v>
      </c>
      <c r="K1153" s="249">
        <v>0</v>
      </c>
      <c r="M1153" s="90">
        <v>0</v>
      </c>
      <c r="N1153" s="90">
        <v>0</v>
      </c>
      <c r="O1153" s="90">
        <v>255</v>
      </c>
    </row>
    <row r="1154" spans="1:15" s="90" customFormat="1" ht="12.75" customHeight="1" x14ac:dyDescent="0.2">
      <c r="A1154" s="247" t="s">
        <v>1330</v>
      </c>
      <c r="B1154" s="316">
        <v>3218</v>
      </c>
      <c r="C1154" s="247" t="s">
        <v>979</v>
      </c>
      <c r="D1154" s="317">
        <v>42655</v>
      </c>
      <c r="E1154" s="318">
        <v>0.42212962962962958</v>
      </c>
      <c r="F1154" s="247" t="s">
        <v>702</v>
      </c>
      <c r="G1154" s="247" t="s">
        <v>1035</v>
      </c>
      <c r="H1154" s="248"/>
      <c r="I1154" s="248"/>
      <c r="J1154" s="247"/>
      <c r="K1154" s="249"/>
      <c r="M1154" s="90">
        <v>0</v>
      </c>
      <c r="N1154" s="90">
        <v>0</v>
      </c>
      <c r="O1154" s="90">
        <v>255</v>
      </c>
    </row>
    <row r="1155" spans="1:15" s="90" customFormat="1" ht="12.75" customHeight="1" x14ac:dyDescent="0.2">
      <c r="A1155" s="247" t="s">
        <v>1331</v>
      </c>
      <c r="B1155" s="316">
        <v>3218</v>
      </c>
      <c r="C1155" s="247" t="s">
        <v>979</v>
      </c>
      <c r="D1155" s="317">
        <v>42655</v>
      </c>
      <c r="E1155" s="318">
        <v>0.42212962962962958</v>
      </c>
      <c r="F1155" s="247" t="s">
        <v>702</v>
      </c>
      <c r="G1155" s="247" t="s">
        <v>1035</v>
      </c>
      <c r="H1155" s="248"/>
      <c r="I1155" s="248"/>
      <c r="J1155" s="247"/>
      <c r="K1155" s="249"/>
      <c r="M1155" s="90">
        <v>0</v>
      </c>
      <c r="N1155" s="90">
        <v>0</v>
      </c>
      <c r="O1155" s="90">
        <v>255</v>
      </c>
    </row>
    <row r="1156" spans="1:15" s="90" customFormat="1" ht="12.75" customHeight="1" x14ac:dyDescent="0.2">
      <c r="A1156" s="247" t="s">
        <v>1332</v>
      </c>
      <c r="B1156" s="316">
        <v>3218</v>
      </c>
      <c r="C1156" s="247" t="s">
        <v>979</v>
      </c>
      <c r="D1156" s="317">
        <v>42655</v>
      </c>
      <c r="E1156" s="318">
        <v>0.42212962962962958</v>
      </c>
      <c r="F1156" s="247" t="s">
        <v>702</v>
      </c>
      <c r="G1156" s="247" t="s">
        <v>1035</v>
      </c>
      <c r="H1156" s="248"/>
      <c r="I1156" s="248"/>
      <c r="J1156" s="247"/>
      <c r="K1156" s="249"/>
      <c r="M1156" s="90">
        <v>0</v>
      </c>
      <c r="N1156" s="90">
        <v>0</v>
      </c>
      <c r="O1156" s="90">
        <v>255</v>
      </c>
    </row>
    <row r="1157" spans="1:15" s="90" customFormat="1" ht="12.75" customHeight="1" x14ac:dyDescent="0.2">
      <c r="A1157" s="247" t="s">
        <v>1333</v>
      </c>
      <c r="B1157" s="316">
        <v>3218</v>
      </c>
      <c r="C1157" s="247" t="s">
        <v>979</v>
      </c>
      <c r="D1157" s="317">
        <v>42655</v>
      </c>
      <c r="E1157" s="318">
        <v>0.42212962962962958</v>
      </c>
      <c r="F1157" s="247" t="s">
        <v>702</v>
      </c>
      <c r="G1157" s="247" t="s">
        <v>1035</v>
      </c>
      <c r="H1157" s="248"/>
      <c r="I1157" s="248"/>
      <c r="J1157" s="247"/>
      <c r="K1157" s="249"/>
      <c r="M1157" s="90">
        <v>0</v>
      </c>
      <c r="N1157" s="90">
        <v>0</v>
      </c>
      <c r="O1157" s="90">
        <v>255</v>
      </c>
    </row>
    <row r="1158" spans="1:15" s="90" customFormat="1" ht="12.75" customHeight="1" x14ac:dyDescent="0.2">
      <c r="A1158" s="247" t="s">
        <v>1334</v>
      </c>
      <c r="B1158" s="316">
        <v>3218</v>
      </c>
      <c r="C1158" s="247" t="s">
        <v>979</v>
      </c>
      <c r="D1158" s="317">
        <v>42655</v>
      </c>
      <c r="E1158" s="318">
        <v>0.42212962962962958</v>
      </c>
      <c r="F1158" s="247" t="s">
        <v>702</v>
      </c>
      <c r="G1158" s="247" t="s">
        <v>1035</v>
      </c>
      <c r="H1158" s="248"/>
      <c r="I1158" s="248"/>
      <c r="J1158" s="247"/>
      <c r="K1158" s="249"/>
      <c r="M1158" s="90">
        <v>0</v>
      </c>
      <c r="N1158" s="90">
        <v>0</v>
      </c>
      <c r="O1158" s="90">
        <v>255</v>
      </c>
    </row>
    <row r="1159" spans="1:15" s="90" customFormat="1" ht="12.75" customHeight="1" x14ac:dyDescent="0.2">
      <c r="A1159" s="247" t="s">
        <v>1335</v>
      </c>
      <c r="B1159" s="316">
        <v>3088</v>
      </c>
      <c r="C1159" s="247" t="s">
        <v>979</v>
      </c>
      <c r="D1159" s="317">
        <v>42655</v>
      </c>
      <c r="E1159" s="318">
        <v>0.42917824074074074</v>
      </c>
      <c r="F1159" s="247" t="s">
        <v>656</v>
      </c>
      <c r="G1159" s="247" t="s">
        <v>1035</v>
      </c>
      <c r="H1159" s="248" t="s">
        <v>234</v>
      </c>
      <c r="I1159" s="248" t="s">
        <v>702</v>
      </c>
      <c r="J1159" s="247" t="s">
        <v>809</v>
      </c>
      <c r="K1159" s="249">
        <v>0</v>
      </c>
      <c r="M1159" s="90">
        <v>0</v>
      </c>
      <c r="N1159" s="90">
        <v>0</v>
      </c>
      <c r="O1159" s="90">
        <v>255</v>
      </c>
    </row>
    <row r="1160" spans="1:15" s="90" customFormat="1" ht="12.75" customHeight="1" x14ac:dyDescent="0.2">
      <c r="A1160" s="247" t="s">
        <v>1106</v>
      </c>
      <c r="B1160" s="316">
        <v>3001</v>
      </c>
      <c r="C1160" s="247" t="s">
        <v>996</v>
      </c>
      <c r="D1160" s="317">
        <v>42655</v>
      </c>
      <c r="E1160" s="318">
        <v>0.43131944444444442</v>
      </c>
      <c r="F1160" s="247" t="s">
        <v>702</v>
      </c>
      <c r="G1160" s="247" t="s">
        <v>1035</v>
      </c>
      <c r="H1160" s="248" t="s">
        <v>121</v>
      </c>
      <c r="I1160" s="248" t="s">
        <v>122</v>
      </c>
      <c r="J1160" s="247" t="s">
        <v>809</v>
      </c>
      <c r="K1160" s="249">
        <v>0</v>
      </c>
      <c r="M1160" s="90">
        <v>0</v>
      </c>
      <c r="N1160" s="90">
        <v>0</v>
      </c>
      <c r="O1160" s="90">
        <v>255</v>
      </c>
    </row>
    <row r="1161" spans="1:15" s="90" customFormat="1" ht="12.75" customHeight="1" x14ac:dyDescent="0.2">
      <c r="A1161" s="247" t="s">
        <v>1032</v>
      </c>
      <c r="B1161" s="316">
        <v>3046</v>
      </c>
      <c r="C1161" s="247" t="s">
        <v>975</v>
      </c>
      <c r="D1161" s="317">
        <v>42655</v>
      </c>
      <c r="E1161" s="318">
        <v>0.43594907407407407</v>
      </c>
      <c r="F1161" s="247" t="s">
        <v>976</v>
      </c>
      <c r="G1161" s="247" t="s">
        <v>1035</v>
      </c>
      <c r="H1161" s="248" t="s">
        <v>404</v>
      </c>
      <c r="I1161" s="248" t="s">
        <v>404</v>
      </c>
      <c r="J1161" s="247" t="s">
        <v>809</v>
      </c>
      <c r="K1161" s="249">
        <v>0</v>
      </c>
      <c r="M1161" s="90">
        <v>0</v>
      </c>
      <c r="N1161" s="90">
        <v>0</v>
      </c>
      <c r="O1161" s="90">
        <v>255</v>
      </c>
    </row>
    <row r="1162" spans="1:15" s="90" customFormat="1" ht="12.75" customHeight="1" x14ac:dyDescent="0.2">
      <c r="A1162" s="247" t="s">
        <v>989</v>
      </c>
      <c r="B1162" s="316">
        <v>3046</v>
      </c>
      <c r="C1162" s="247" t="s">
        <v>975</v>
      </c>
      <c r="D1162" s="317">
        <v>42655</v>
      </c>
      <c r="E1162" s="318">
        <v>0.43594907407407407</v>
      </c>
      <c r="F1162" s="247" t="s">
        <v>976</v>
      </c>
      <c r="G1162" s="247" t="s">
        <v>1035</v>
      </c>
      <c r="H1162" s="248" t="s">
        <v>404</v>
      </c>
      <c r="I1162" s="248" t="s">
        <v>404</v>
      </c>
      <c r="J1162" s="247" t="s">
        <v>809</v>
      </c>
      <c r="K1162" s="249">
        <v>0</v>
      </c>
      <c r="M1162" s="90">
        <v>0</v>
      </c>
      <c r="N1162" s="90">
        <v>0</v>
      </c>
      <c r="O1162" s="90">
        <v>255</v>
      </c>
    </row>
    <row r="1163" spans="1:15" s="90" customFormat="1" ht="12.75" customHeight="1" x14ac:dyDescent="0.2">
      <c r="A1163" s="247" t="s">
        <v>990</v>
      </c>
      <c r="B1163" s="316">
        <v>3046</v>
      </c>
      <c r="C1163" s="247" t="s">
        <v>975</v>
      </c>
      <c r="D1163" s="317">
        <v>42655</v>
      </c>
      <c r="E1163" s="318">
        <v>0.43625000000000003</v>
      </c>
      <c r="F1163" s="247" t="s">
        <v>976</v>
      </c>
      <c r="G1163" s="247" t="s">
        <v>1035</v>
      </c>
      <c r="H1163" s="248" t="s">
        <v>404</v>
      </c>
      <c r="I1163" s="248" t="s">
        <v>404</v>
      </c>
      <c r="J1163" s="247" t="s">
        <v>809</v>
      </c>
      <c r="K1163" s="249">
        <v>0</v>
      </c>
      <c r="M1163" s="90">
        <v>0</v>
      </c>
      <c r="N1163" s="90">
        <v>0</v>
      </c>
      <c r="O1163" s="90">
        <v>255</v>
      </c>
    </row>
    <row r="1164" spans="1:15" s="90" customFormat="1" ht="12.75" customHeight="1" x14ac:dyDescent="0.2">
      <c r="A1164" s="247" t="s">
        <v>1033</v>
      </c>
      <c r="B1164" s="316">
        <v>3217</v>
      </c>
      <c r="C1164" s="247" t="s">
        <v>975</v>
      </c>
      <c r="D1164" s="317">
        <v>42655</v>
      </c>
      <c r="E1164" s="318">
        <v>0.43625000000000003</v>
      </c>
      <c r="F1164" s="247" t="s">
        <v>235</v>
      </c>
      <c r="G1164" s="247" t="s">
        <v>1035</v>
      </c>
      <c r="H1164" s="248" t="s">
        <v>234</v>
      </c>
      <c r="I1164" s="248" t="s">
        <v>235</v>
      </c>
      <c r="J1164" s="247" t="s">
        <v>809</v>
      </c>
      <c r="K1164" s="249">
        <v>0</v>
      </c>
      <c r="M1164" s="90">
        <v>0</v>
      </c>
      <c r="N1164" s="90">
        <v>0</v>
      </c>
      <c r="O1164" s="90">
        <v>255</v>
      </c>
    </row>
    <row r="1165" spans="1:15" s="90" customFormat="1" ht="12.75" customHeight="1" x14ac:dyDescent="0.2">
      <c r="A1165" s="247" t="s">
        <v>1068</v>
      </c>
      <c r="B1165" s="316">
        <v>3002</v>
      </c>
      <c r="C1165" s="247" t="s">
        <v>996</v>
      </c>
      <c r="D1165" s="317">
        <v>42655</v>
      </c>
      <c r="E1165" s="318">
        <v>0.43763888888888891</v>
      </c>
      <c r="F1165" s="247" t="s">
        <v>702</v>
      </c>
      <c r="G1165" s="247" t="s">
        <v>1035</v>
      </c>
      <c r="H1165" s="248" t="s">
        <v>234</v>
      </c>
      <c r="I1165" s="248" t="s">
        <v>702</v>
      </c>
      <c r="J1165" s="247" t="s">
        <v>809</v>
      </c>
      <c r="K1165" s="249">
        <v>0</v>
      </c>
      <c r="M1165" s="90">
        <v>0</v>
      </c>
      <c r="N1165" s="90">
        <v>0</v>
      </c>
      <c r="O1165" s="90">
        <v>255</v>
      </c>
    </row>
    <row r="1166" spans="1:15" s="90" customFormat="1" ht="12.75" customHeight="1" x14ac:dyDescent="0.2">
      <c r="A1166" s="247" t="s">
        <v>1069</v>
      </c>
      <c r="B1166" s="316">
        <v>3002</v>
      </c>
      <c r="C1166" s="247" t="s">
        <v>996</v>
      </c>
      <c r="D1166" s="317">
        <v>42655</v>
      </c>
      <c r="E1166" s="318">
        <v>0.43763888888888891</v>
      </c>
      <c r="F1166" s="247" t="s">
        <v>702</v>
      </c>
      <c r="G1166" s="247" t="s">
        <v>1035</v>
      </c>
      <c r="H1166" s="248" t="s">
        <v>234</v>
      </c>
      <c r="I1166" s="248" t="s">
        <v>702</v>
      </c>
      <c r="J1166" s="247" t="s">
        <v>809</v>
      </c>
      <c r="K1166" s="249">
        <v>0</v>
      </c>
      <c r="M1166" s="90">
        <v>0</v>
      </c>
      <c r="N1166" s="90">
        <v>0</v>
      </c>
      <c r="O1166" s="90">
        <v>255</v>
      </c>
    </row>
    <row r="1167" spans="1:15" s="90" customFormat="1" ht="12.75" customHeight="1" x14ac:dyDescent="0.2">
      <c r="A1167" s="247" t="s">
        <v>1269</v>
      </c>
      <c r="B1167" s="316">
        <v>3004</v>
      </c>
      <c r="C1167" s="247" t="s">
        <v>979</v>
      </c>
      <c r="D1167" s="317">
        <v>42655</v>
      </c>
      <c r="E1167" s="318">
        <v>0.44891203703703703</v>
      </c>
      <c r="F1167" s="247" t="s">
        <v>702</v>
      </c>
      <c r="G1167" s="247" t="s">
        <v>1035</v>
      </c>
      <c r="H1167" s="248" t="s">
        <v>234</v>
      </c>
      <c r="I1167" s="248" t="s">
        <v>702</v>
      </c>
      <c r="J1167" s="247" t="s">
        <v>809</v>
      </c>
      <c r="K1167" s="249">
        <v>0</v>
      </c>
      <c r="M1167" s="90">
        <v>0</v>
      </c>
      <c r="N1167" s="90">
        <v>0</v>
      </c>
      <c r="O1167" s="90">
        <v>255</v>
      </c>
    </row>
    <row r="1168" spans="1:15" s="90" customFormat="1" ht="12.75" customHeight="1" x14ac:dyDescent="0.2">
      <c r="A1168" s="247" t="s">
        <v>1330</v>
      </c>
      <c r="B1168" s="316">
        <v>3218</v>
      </c>
      <c r="C1168" s="247" t="s">
        <v>979</v>
      </c>
      <c r="D1168" s="317">
        <v>42655</v>
      </c>
      <c r="E1168" s="318">
        <v>0.44899305555555552</v>
      </c>
      <c r="F1168" s="247" t="s">
        <v>702</v>
      </c>
      <c r="G1168" s="247" t="s">
        <v>1035</v>
      </c>
      <c r="H1168" s="248"/>
      <c r="I1168" s="248"/>
      <c r="J1168" s="247"/>
      <c r="K1168" s="249"/>
      <c r="M1168" s="90">
        <v>0</v>
      </c>
      <c r="N1168" s="90">
        <v>0</v>
      </c>
      <c r="O1168" s="90">
        <v>255</v>
      </c>
    </row>
    <row r="1169" spans="1:15" s="90" customFormat="1" ht="12.75" customHeight="1" x14ac:dyDescent="0.2">
      <c r="A1169" s="247" t="s">
        <v>1331</v>
      </c>
      <c r="B1169" s="316">
        <v>3218</v>
      </c>
      <c r="C1169" s="247" t="s">
        <v>979</v>
      </c>
      <c r="D1169" s="317">
        <v>42655</v>
      </c>
      <c r="E1169" s="318">
        <v>0.44899305555555552</v>
      </c>
      <c r="F1169" s="247" t="s">
        <v>702</v>
      </c>
      <c r="G1169" s="247" t="s">
        <v>1035</v>
      </c>
      <c r="H1169" s="248"/>
      <c r="I1169" s="248"/>
      <c r="J1169" s="247"/>
      <c r="K1169" s="249"/>
      <c r="M1169" s="90">
        <v>0</v>
      </c>
      <c r="N1169" s="90">
        <v>0</v>
      </c>
      <c r="O1169" s="90">
        <v>255</v>
      </c>
    </row>
    <row r="1170" spans="1:15" s="90" customFormat="1" ht="12.75" customHeight="1" x14ac:dyDescent="0.2">
      <c r="A1170" s="247" t="s">
        <v>1332</v>
      </c>
      <c r="B1170" s="316">
        <v>3218</v>
      </c>
      <c r="C1170" s="247" t="s">
        <v>979</v>
      </c>
      <c r="D1170" s="317">
        <v>42655</v>
      </c>
      <c r="E1170" s="318">
        <v>0.44899305555555552</v>
      </c>
      <c r="F1170" s="247" t="s">
        <v>702</v>
      </c>
      <c r="G1170" s="247" t="s">
        <v>1035</v>
      </c>
      <c r="H1170" s="248"/>
      <c r="I1170" s="248"/>
      <c r="J1170" s="247"/>
      <c r="K1170" s="249"/>
      <c r="M1170" s="90">
        <v>0</v>
      </c>
      <c r="N1170" s="90">
        <v>0</v>
      </c>
      <c r="O1170" s="90">
        <v>255</v>
      </c>
    </row>
    <row r="1171" spans="1:15" s="90" customFormat="1" ht="12.75" customHeight="1" x14ac:dyDescent="0.2">
      <c r="A1171" s="247" t="s">
        <v>1333</v>
      </c>
      <c r="B1171" s="316">
        <v>3218</v>
      </c>
      <c r="C1171" s="247" t="s">
        <v>979</v>
      </c>
      <c r="D1171" s="317">
        <v>42655</v>
      </c>
      <c r="E1171" s="318">
        <v>0.44899305555555552</v>
      </c>
      <c r="F1171" s="247" t="s">
        <v>702</v>
      </c>
      <c r="G1171" s="247" t="s">
        <v>1035</v>
      </c>
      <c r="H1171" s="248"/>
      <c r="I1171" s="248"/>
      <c r="J1171" s="247"/>
      <c r="K1171" s="249"/>
      <c r="M1171" s="90">
        <v>0</v>
      </c>
      <c r="N1171" s="90">
        <v>0</v>
      </c>
      <c r="O1171" s="90">
        <v>255</v>
      </c>
    </row>
    <row r="1172" spans="1:15" s="90" customFormat="1" ht="12.75" customHeight="1" x14ac:dyDescent="0.2">
      <c r="A1172" s="247" t="s">
        <v>1334</v>
      </c>
      <c r="B1172" s="316">
        <v>3218</v>
      </c>
      <c r="C1172" s="247" t="s">
        <v>979</v>
      </c>
      <c r="D1172" s="317">
        <v>42655</v>
      </c>
      <c r="E1172" s="318">
        <v>0.44899305555555552</v>
      </c>
      <c r="F1172" s="247" t="s">
        <v>702</v>
      </c>
      <c r="G1172" s="247" t="s">
        <v>1035</v>
      </c>
      <c r="H1172" s="248"/>
      <c r="I1172" s="248"/>
      <c r="J1172" s="247"/>
      <c r="K1172" s="249"/>
      <c r="M1172" s="90">
        <v>0</v>
      </c>
      <c r="N1172" s="90">
        <v>0</v>
      </c>
      <c r="O1172" s="90">
        <v>255</v>
      </c>
    </row>
    <row r="1173" spans="1:15" s="90" customFormat="1" ht="12.75" customHeight="1" x14ac:dyDescent="0.2">
      <c r="A1173" s="247" t="s">
        <v>1330</v>
      </c>
      <c r="B1173" s="316">
        <v>3218</v>
      </c>
      <c r="C1173" s="247" t="s">
        <v>979</v>
      </c>
      <c r="D1173" s="317">
        <v>42655</v>
      </c>
      <c r="E1173" s="318">
        <v>0.47716435185185185</v>
      </c>
      <c r="F1173" s="247" t="s">
        <v>702</v>
      </c>
      <c r="G1173" s="247" t="s">
        <v>1035</v>
      </c>
      <c r="H1173" s="248"/>
      <c r="I1173" s="248"/>
      <c r="J1173" s="247"/>
      <c r="K1173" s="249"/>
      <c r="M1173" s="90">
        <v>0</v>
      </c>
      <c r="N1173" s="90">
        <v>0</v>
      </c>
      <c r="O1173" s="90">
        <v>255</v>
      </c>
    </row>
    <row r="1174" spans="1:15" s="90" customFormat="1" ht="12.75" customHeight="1" x14ac:dyDescent="0.2">
      <c r="A1174" s="247" t="s">
        <v>1331</v>
      </c>
      <c r="B1174" s="316">
        <v>3218</v>
      </c>
      <c r="C1174" s="247" t="s">
        <v>979</v>
      </c>
      <c r="D1174" s="317">
        <v>42655</v>
      </c>
      <c r="E1174" s="318">
        <v>0.47716435185185185</v>
      </c>
      <c r="F1174" s="247" t="s">
        <v>702</v>
      </c>
      <c r="G1174" s="247" t="s">
        <v>1035</v>
      </c>
      <c r="H1174" s="248"/>
      <c r="I1174" s="248"/>
      <c r="J1174" s="247"/>
      <c r="K1174" s="249"/>
      <c r="M1174" s="90">
        <v>0</v>
      </c>
      <c r="N1174" s="90">
        <v>0</v>
      </c>
      <c r="O1174" s="90">
        <v>255</v>
      </c>
    </row>
    <row r="1175" spans="1:15" s="90" customFormat="1" ht="12.75" customHeight="1" x14ac:dyDescent="0.2">
      <c r="A1175" s="247" t="s">
        <v>1332</v>
      </c>
      <c r="B1175" s="316">
        <v>3218</v>
      </c>
      <c r="C1175" s="247" t="s">
        <v>979</v>
      </c>
      <c r="D1175" s="317">
        <v>42655</v>
      </c>
      <c r="E1175" s="318">
        <v>0.47716435185185185</v>
      </c>
      <c r="F1175" s="247" t="s">
        <v>702</v>
      </c>
      <c r="G1175" s="247" t="s">
        <v>1035</v>
      </c>
      <c r="H1175" s="248"/>
      <c r="I1175" s="248"/>
      <c r="J1175" s="247"/>
      <c r="K1175" s="249"/>
      <c r="M1175" s="90">
        <v>0</v>
      </c>
      <c r="N1175" s="90">
        <v>0</v>
      </c>
      <c r="O1175" s="90">
        <v>255</v>
      </c>
    </row>
    <row r="1176" spans="1:15" s="90" customFormat="1" ht="12.75" customHeight="1" x14ac:dyDescent="0.2">
      <c r="A1176" s="247" t="s">
        <v>1333</v>
      </c>
      <c r="B1176" s="316">
        <v>3218</v>
      </c>
      <c r="C1176" s="247" t="s">
        <v>979</v>
      </c>
      <c r="D1176" s="317">
        <v>42655</v>
      </c>
      <c r="E1176" s="318">
        <v>0.47716435185185185</v>
      </c>
      <c r="F1176" s="247" t="s">
        <v>702</v>
      </c>
      <c r="G1176" s="247" t="s">
        <v>1035</v>
      </c>
      <c r="H1176" s="248"/>
      <c r="I1176" s="248"/>
      <c r="J1176" s="247"/>
      <c r="K1176" s="249"/>
      <c r="M1176" s="90">
        <v>0</v>
      </c>
      <c r="N1176" s="90">
        <v>0</v>
      </c>
      <c r="O1176" s="90">
        <v>255</v>
      </c>
    </row>
    <row r="1177" spans="1:15" s="90" customFormat="1" ht="12.75" customHeight="1" x14ac:dyDescent="0.2">
      <c r="A1177" s="247" t="s">
        <v>1334</v>
      </c>
      <c r="B1177" s="316">
        <v>3218</v>
      </c>
      <c r="C1177" s="247" t="s">
        <v>979</v>
      </c>
      <c r="D1177" s="317">
        <v>42655</v>
      </c>
      <c r="E1177" s="318">
        <v>0.47716435185185185</v>
      </c>
      <c r="F1177" s="247" t="s">
        <v>702</v>
      </c>
      <c r="G1177" s="247" t="s">
        <v>1035</v>
      </c>
      <c r="H1177" s="248"/>
      <c r="I1177" s="248"/>
      <c r="J1177" s="247"/>
      <c r="K1177" s="249"/>
      <c r="M1177" s="90">
        <v>0</v>
      </c>
      <c r="N1177" s="90">
        <v>0</v>
      </c>
      <c r="O1177" s="90">
        <v>255</v>
      </c>
    </row>
    <row r="1178" spans="1:15" s="90" customFormat="1" ht="12.75" customHeight="1" x14ac:dyDescent="0.2">
      <c r="A1178" s="247" t="s">
        <v>1336</v>
      </c>
      <c r="B1178" s="316">
        <v>3218</v>
      </c>
      <c r="C1178" s="247" t="s">
        <v>979</v>
      </c>
      <c r="D1178" s="317">
        <v>42655</v>
      </c>
      <c r="E1178" s="318">
        <v>0.47716435185185185</v>
      </c>
      <c r="F1178" s="247" t="s">
        <v>702</v>
      </c>
      <c r="G1178" s="247" t="s">
        <v>1035</v>
      </c>
      <c r="H1178" s="248"/>
      <c r="I1178" s="248"/>
      <c r="J1178" s="247"/>
      <c r="K1178" s="249"/>
      <c r="M1178" s="90">
        <v>0</v>
      </c>
      <c r="N1178" s="90">
        <v>0</v>
      </c>
      <c r="O1178" s="90">
        <v>255</v>
      </c>
    </row>
    <row r="1179" spans="1:15" s="90" customFormat="1" ht="12.75" customHeight="1" x14ac:dyDescent="0.2">
      <c r="A1179" s="247" t="s">
        <v>1031</v>
      </c>
      <c r="B1179" s="316">
        <v>3046</v>
      </c>
      <c r="C1179" s="247" t="s">
        <v>975</v>
      </c>
      <c r="D1179" s="317">
        <v>42655</v>
      </c>
      <c r="E1179" s="318">
        <v>0.47723379629629631</v>
      </c>
      <c r="F1179" s="247" t="s">
        <v>976</v>
      </c>
      <c r="G1179" s="247" t="s">
        <v>1035</v>
      </c>
      <c r="H1179" s="248" t="s">
        <v>404</v>
      </c>
      <c r="I1179" s="248" t="s">
        <v>404</v>
      </c>
      <c r="J1179" s="247" t="s">
        <v>809</v>
      </c>
      <c r="K1179" s="249">
        <v>0</v>
      </c>
      <c r="M1179" s="90">
        <v>0</v>
      </c>
      <c r="N1179" s="90">
        <v>0</v>
      </c>
      <c r="O1179" s="90">
        <v>255</v>
      </c>
    </row>
    <row r="1180" spans="1:15" s="90" customFormat="1" ht="12.75" customHeight="1" x14ac:dyDescent="0.2">
      <c r="A1180" s="247" t="s">
        <v>1032</v>
      </c>
      <c r="B1180" s="316">
        <v>3046</v>
      </c>
      <c r="C1180" s="247" t="s">
        <v>975</v>
      </c>
      <c r="D1180" s="317">
        <v>42655</v>
      </c>
      <c r="E1180" s="318">
        <v>0.48314814814814816</v>
      </c>
      <c r="F1180" s="247" t="s">
        <v>976</v>
      </c>
      <c r="G1180" s="247" t="s">
        <v>1035</v>
      </c>
      <c r="H1180" s="248" t="s">
        <v>404</v>
      </c>
      <c r="I1180" s="248" t="s">
        <v>404</v>
      </c>
      <c r="J1180" s="247" t="s">
        <v>809</v>
      </c>
      <c r="K1180" s="249">
        <v>0</v>
      </c>
      <c r="M1180" s="90">
        <v>0</v>
      </c>
      <c r="N1180" s="90">
        <v>0</v>
      </c>
      <c r="O1180" s="90">
        <v>255</v>
      </c>
    </row>
    <row r="1181" spans="1:15" s="90" customFormat="1" ht="12.75" customHeight="1" x14ac:dyDescent="0.2">
      <c r="A1181" s="247" t="s">
        <v>989</v>
      </c>
      <c r="B1181" s="316">
        <v>3046</v>
      </c>
      <c r="C1181" s="247" t="s">
        <v>975</v>
      </c>
      <c r="D1181" s="317">
        <v>42655</v>
      </c>
      <c r="E1181" s="318">
        <v>0.4831597222222222</v>
      </c>
      <c r="F1181" s="247" t="s">
        <v>976</v>
      </c>
      <c r="G1181" s="247" t="s">
        <v>1035</v>
      </c>
      <c r="H1181" s="248" t="s">
        <v>404</v>
      </c>
      <c r="I1181" s="248" t="s">
        <v>404</v>
      </c>
      <c r="J1181" s="247" t="s">
        <v>809</v>
      </c>
      <c r="K1181" s="249">
        <v>0</v>
      </c>
      <c r="M1181" s="90">
        <v>0</v>
      </c>
      <c r="N1181" s="90">
        <v>0</v>
      </c>
      <c r="O1181" s="90">
        <v>255</v>
      </c>
    </row>
    <row r="1182" spans="1:15" s="90" customFormat="1" ht="12.75" customHeight="1" x14ac:dyDescent="0.2">
      <c r="A1182" s="247" t="s">
        <v>990</v>
      </c>
      <c r="B1182" s="316">
        <v>3046</v>
      </c>
      <c r="C1182" s="247" t="s">
        <v>975</v>
      </c>
      <c r="D1182" s="317">
        <v>42655</v>
      </c>
      <c r="E1182" s="318">
        <v>0.48347222222222225</v>
      </c>
      <c r="F1182" s="247" t="s">
        <v>976</v>
      </c>
      <c r="G1182" s="247" t="s">
        <v>1035</v>
      </c>
      <c r="H1182" s="248" t="s">
        <v>404</v>
      </c>
      <c r="I1182" s="248" t="s">
        <v>404</v>
      </c>
      <c r="J1182" s="247" t="s">
        <v>809</v>
      </c>
      <c r="K1182" s="249">
        <v>0</v>
      </c>
      <c r="M1182" s="90">
        <v>0</v>
      </c>
      <c r="N1182" s="90">
        <v>0</v>
      </c>
      <c r="O1182" s="90">
        <v>255</v>
      </c>
    </row>
    <row r="1183" spans="1:15" s="90" customFormat="1" ht="12.75" customHeight="1" x14ac:dyDescent="0.2">
      <c r="A1183" s="247" t="s">
        <v>1033</v>
      </c>
      <c r="B1183" s="316">
        <v>3217</v>
      </c>
      <c r="C1183" s="247" t="s">
        <v>975</v>
      </c>
      <c r="D1183" s="317">
        <v>42655</v>
      </c>
      <c r="E1183" s="318">
        <v>0.48347222222222225</v>
      </c>
      <c r="F1183" s="247" t="s">
        <v>235</v>
      </c>
      <c r="G1183" s="247" t="s">
        <v>1035</v>
      </c>
      <c r="H1183" s="248" t="s">
        <v>234</v>
      </c>
      <c r="I1183" s="248" t="s">
        <v>235</v>
      </c>
      <c r="J1183" s="247" t="s">
        <v>809</v>
      </c>
      <c r="K1183" s="249">
        <v>0</v>
      </c>
      <c r="M1183" s="90">
        <v>0</v>
      </c>
      <c r="N1183" s="90">
        <v>0</v>
      </c>
      <c r="O1183" s="90">
        <v>255</v>
      </c>
    </row>
    <row r="1184" spans="1:15" s="90" customFormat="1" ht="12.75" customHeight="1" x14ac:dyDescent="0.2">
      <c r="A1184" s="247" t="s">
        <v>1330</v>
      </c>
      <c r="B1184" s="316">
        <v>3218</v>
      </c>
      <c r="C1184" s="247" t="s">
        <v>979</v>
      </c>
      <c r="D1184" s="317">
        <v>42655</v>
      </c>
      <c r="E1184" s="318">
        <v>0.49876157407407407</v>
      </c>
      <c r="F1184" s="247" t="s">
        <v>702</v>
      </c>
      <c r="G1184" s="247" t="s">
        <v>1035</v>
      </c>
      <c r="H1184" s="248"/>
      <c r="I1184" s="248"/>
      <c r="J1184" s="247"/>
      <c r="K1184" s="249"/>
      <c r="M1184" s="90">
        <v>0</v>
      </c>
      <c r="N1184" s="90">
        <v>0</v>
      </c>
      <c r="O1184" s="90">
        <v>255</v>
      </c>
    </row>
    <row r="1185" spans="1:15" s="90" customFormat="1" ht="12.75" customHeight="1" x14ac:dyDescent="0.2">
      <c r="A1185" s="247" t="s">
        <v>1331</v>
      </c>
      <c r="B1185" s="316">
        <v>3218</v>
      </c>
      <c r="C1185" s="247" t="s">
        <v>979</v>
      </c>
      <c r="D1185" s="317">
        <v>42655</v>
      </c>
      <c r="E1185" s="318">
        <v>0.49876157407407407</v>
      </c>
      <c r="F1185" s="247" t="s">
        <v>702</v>
      </c>
      <c r="G1185" s="247" t="s">
        <v>1035</v>
      </c>
      <c r="H1185" s="248"/>
      <c r="I1185" s="248"/>
      <c r="J1185" s="247"/>
      <c r="K1185" s="249"/>
      <c r="M1185" s="90">
        <v>0</v>
      </c>
      <c r="N1185" s="90">
        <v>0</v>
      </c>
      <c r="O1185" s="90">
        <v>255</v>
      </c>
    </row>
    <row r="1186" spans="1:15" s="90" customFormat="1" ht="12.75" customHeight="1" x14ac:dyDescent="0.2">
      <c r="A1186" s="247" t="s">
        <v>1332</v>
      </c>
      <c r="B1186" s="316">
        <v>3218</v>
      </c>
      <c r="C1186" s="247" t="s">
        <v>979</v>
      </c>
      <c r="D1186" s="317">
        <v>42655</v>
      </c>
      <c r="E1186" s="318">
        <v>0.49876157407407407</v>
      </c>
      <c r="F1186" s="247" t="s">
        <v>702</v>
      </c>
      <c r="G1186" s="247" t="s">
        <v>1035</v>
      </c>
      <c r="H1186" s="248"/>
      <c r="I1186" s="248"/>
      <c r="J1186" s="247"/>
      <c r="K1186" s="249"/>
      <c r="M1186" s="90">
        <v>0</v>
      </c>
      <c r="N1186" s="90">
        <v>0</v>
      </c>
      <c r="O1186" s="90">
        <v>255</v>
      </c>
    </row>
    <row r="1187" spans="1:15" s="90" customFormat="1" ht="12.75" customHeight="1" x14ac:dyDescent="0.2">
      <c r="A1187" s="247" t="s">
        <v>1333</v>
      </c>
      <c r="B1187" s="316">
        <v>3218</v>
      </c>
      <c r="C1187" s="247" t="s">
        <v>979</v>
      </c>
      <c r="D1187" s="317">
        <v>42655</v>
      </c>
      <c r="E1187" s="318">
        <v>0.49876157407407407</v>
      </c>
      <c r="F1187" s="247" t="s">
        <v>702</v>
      </c>
      <c r="G1187" s="247" t="s">
        <v>1035</v>
      </c>
      <c r="H1187" s="248"/>
      <c r="I1187" s="248"/>
      <c r="J1187" s="247"/>
      <c r="K1187" s="249"/>
      <c r="M1187" s="90">
        <v>0</v>
      </c>
      <c r="N1187" s="90">
        <v>0</v>
      </c>
      <c r="O1187" s="90">
        <v>255</v>
      </c>
    </row>
    <row r="1188" spans="1:15" s="90" customFormat="1" ht="12.75" customHeight="1" x14ac:dyDescent="0.2">
      <c r="A1188" s="247" t="s">
        <v>1334</v>
      </c>
      <c r="B1188" s="316">
        <v>3218</v>
      </c>
      <c r="C1188" s="247" t="s">
        <v>979</v>
      </c>
      <c r="D1188" s="317">
        <v>42655</v>
      </c>
      <c r="E1188" s="318">
        <v>0.49876157407407407</v>
      </c>
      <c r="F1188" s="247" t="s">
        <v>702</v>
      </c>
      <c r="G1188" s="247" t="s">
        <v>1035</v>
      </c>
      <c r="H1188" s="248"/>
      <c r="I1188" s="248"/>
      <c r="J1188" s="247"/>
      <c r="K1188" s="249"/>
      <c r="M1188" s="90">
        <v>0</v>
      </c>
      <c r="N1188" s="90">
        <v>0</v>
      </c>
      <c r="O1188" s="90">
        <v>255</v>
      </c>
    </row>
    <row r="1189" spans="1:15" s="90" customFormat="1" ht="12.75" customHeight="1" x14ac:dyDescent="0.2">
      <c r="A1189" s="247" t="s">
        <v>1336</v>
      </c>
      <c r="B1189" s="316">
        <v>3218</v>
      </c>
      <c r="C1189" s="247" t="s">
        <v>979</v>
      </c>
      <c r="D1189" s="317">
        <v>42655</v>
      </c>
      <c r="E1189" s="318">
        <v>0.49876157407407407</v>
      </c>
      <c r="F1189" s="247" t="s">
        <v>702</v>
      </c>
      <c r="G1189" s="247" t="s">
        <v>1035</v>
      </c>
      <c r="H1189" s="248"/>
      <c r="I1189" s="248"/>
      <c r="J1189" s="247"/>
      <c r="K1189" s="249"/>
      <c r="M1189" s="90">
        <v>0</v>
      </c>
      <c r="N1189" s="90">
        <v>0</v>
      </c>
      <c r="O1189" s="90">
        <v>255</v>
      </c>
    </row>
    <row r="1190" spans="1:15" s="90" customFormat="1" ht="12.75" customHeight="1" x14ac:dyDescent="0.2">
      <c r="A1190" s="247" t="s">
        <v>1031</v>
      </c>
      <c r="B1190" s="316">
        <v>3046</v>
      </c>
      <c r="C1190" s="247" t="s">
        <v>975</v>
      </c>
      <c r="D1190" s="317">
        <v>42655</v>
      </c>
      <c r="E1190" s="318">
        <v>0.49891203703703701</v>
      </c>
      <c r="F1190" s="247" t="s">
        <v>976</v>
      </c>
      <c r="G1190" s="247" t="s">
        <v>1035</v>
      </c>
      <c r="H1190" s="248" t="s">
        <v>404</v>
      </c>
      <c r="I1190" s="248" t="s">
        <v>404</v>
      </c>
      <c r="J1190" s="247" t="s">
        <v>809</v>
      </c>
      <c r="K1190" s="249">
        <v>0</v>
      </c>
      <c r="M1190" s="90">
        <v>0</v>
      </c>
      <c r="N1190" s="90">
        <v>0</v>
      </c>
      <c r="O1190" s="90">
        <v>255</v>
      </c>
    </row>
    <row r="1191" spans="1:15" s="90" customFormat="1" ht="12.75" customHeight="1" x14ac:dyDescent="0.2">
      <c r="A1191" s="247" t="s">
        <v>1032</v>
      </c>
      <c r="B1191" s="316">
        <v>3046</v>
      </c>
      <c r="C1191" s="247" t="s">
        <v>975</v>
      </c>
      <c r="D1191" s="317">
        <v>42655</v>
      </c>
      <c r="E1191" s="318">
        <v>0.50372685185185184</v>
      </c>
      <c r="F1191" s="247" t="s">
        <v>976</v>
      </c>
      <c r="G1191" s="247" t="s">
        <v>1035</v>
      </c>
      <c r="H1191" s="248" t="s">
        <v>404</v>
      </c>
      <c r="I1191" s="248" t="s">
        <v>404</v>
      </c>
      <c r="J1191" s="247" t="s">
        <v>809</v>
      </c>
      <c r="K1191" s="249">
        <v>0</v>
      </c>
      <c r="M1191" s="90">
        <v>0</v>
      </c>
      <c r="N1191" s="90">
        <v>0</v>
      </c>
      <c r="O1191" s="90">
        <v>255</v>
      </c>
    </row>
    <row r="1192" spans="1:15" s="90" customFormat="1" ht="12.75" customHeight="1" x14ac:dyDescent="0.2">
      <c r="A1192" s="247" t="s">
        <v>989</v>
      </c>
      <c r="B1192" s="316">
        <v>3046</v>
      </c>
      <c r="C1192" s="247" t="s">
        <v>975</v>
      </c>
      <c r="D1192" s="317">
        <v>42655</v>
      </c>
      <c r="E1192" s="318">
        <v>0.50372685185185184</v>
      </c>
      <c r="F1192" s="247" t="s">
        <v>976</v>
      </c>
      <c r="G1192" s="247" t="s">
        <v>1035</v>
      </c>
      <c r="H1192" s="248" t="s">
        <v>404</v>
      </c>
      <c r="I1192" s="248" t="s">
        <v>404</v>
      </c>
      <c r="J1192" s="247" t="s">
        <v>809</v>
      </c>
      <c r="K1192" s="249">
        <v>0</v>
      </c>
      <c r="M1192" s="90">
        <v>0</v>
      </c>
      <c r="N1192" s="90">
        <v>0</v>
      </c>
      <c r="O1192" s="90">
        <v>255</v>
      </c>
    </row>
    <row r="1193" spans="1:15" s="90" customFormat="1" ht="12.75" customHeight="1" x14ac:dyDescent="0.2">
      <c r="A1193" s="247" t="s">
        <v>1033</v>
      </c>
      <c r="B1193" s="316">
        <v>3217</v>
      </c>
      <c r="C1193" s="247" t="s">
        <v>975</v>
      </c>
      <c r="D1193" s="317">
        <v>42655</v>
      </c>
      <c r="E1193" s="318">
        <v>0.50408564814814816</v>
      </c>
      <c r="F1193" s="247" t="s">
        <v>235</v>
      </c>
      <c r="G1193" s="247" t="s">
        <v>1035</v>
      </c>
      <c r="H1193" s="248" t="s">
        <v>234</v>
      </c>
      <c r="I1193" s="248" t="s">
        <v>235</v>
      </c>
      <c r="J1193" s="247" t="s">
        <v>809</v>
      </c>
      <c r="K1193" s="249">
        <v>0</v>
      </c>
      <c r="M1193" s="90">
        <v>0</v>
      </c>
      <c r="N1193" s="90">
        <v>0</v>
      </c>
      <c r="O1193" s="90">
        <v>255</v>
      </c>
    </row>
    <row r="1194" spans="1:15" s="90" customFormat="1" ht="12.75" customHeight="1" x14ac:dyDescent="0.2">
      <c r="A1194" s="247" t="s">
        <v>990</v>
      </c>
      <c r="B1194" s="316">
        <v>3046</v>
      </c>
      <c r="C1194" s="247" t="s">
        <v>975</v>
      </c>
      <c r="D1194" s="317">
        <v>42655</v>
      </c>
      <c r="E1194" s="318">
        <v>0.5040972222222222</v>
      </c>
      <c r="F1194" s="247" t="s">
        <v>976</v>
      </c>
      <c r="G1194" s="247" t="s">
        <v>1035</v>
      </c>
      <c r="H1194" s="248" t="s">
        <v>404</v>
      </c>
      <c r="I1194" s="248" t="s">
        <v>404</v>
      </c>
      <c r="J1194" s="247" t="s">
        <v>809</v>
      </c>
      <c r="K1194" s="249">
        <v>0</v>
      </c>
      <c r="M1194" s="90">
        <v>0</v>
      </c>
      <c r="N1194" s="90">
        <v>0</v>
      </c>
      <c r="O1194" s="90">
        <v>255</v>
      </c>
    </row>
    <row r="1195" spans="1:15" s="90" customFormat="1" ht="12.75" customHeight="1" x14ac:dyDescent="0.2">
      <c r="A1195" s="247" t="s">
        <v>989</v>
      </c>
      <c r="B1195" s="316">
        <v>3046</v>
      </c>
      <c r="C1195" s="247" t="s">
        <v>975</v>
      </c>
      <c r="D1195" s="317">
        <v>42655</v>
      </c>
      <c r="E1195" s="318">
        <v>0.54576388888888883</v>
      </c>
      <c r="F1195" s="247" t="s">
        <v>976</v>
      </c>
      <c r="G1195" s="247" t="s">
        <v>1035</v>
      </c>
      <c r="H1195" s="248" t="s">
        <v>404</v>
      </c>
      <c r="I1195" s="248" t="s">
        <v>404</v>
      </c>
      <c r="J1195" s="247" t="s">
        <v>809</v>
      </c>
      <c r="K1195" s="249">
        <v>0</v>
      </c>
      <c r="M1195" s="90">
        <v>0</v>
      </c>
      <c r="N1195" s="90">
        <v>0</v>
      </c>
      <c r="O1195" s="90">
        <v>255</v>
      </c>
    </row>
    <row r="1196" spans="1:15" s="90" customFormat="1" ht="12.75" customHeight="1" x14ac:dyDescent="0.2">
      <c r="A1196" s="247" t="s">
        <v>993</v>
      </c>
      <c r="B1196" s="316">
        <v>3217</v>
      </c>
      <c r="C1196" s="247" t="s">
        <v>975</v>
      </c>
      <c r="D1196" s="317">
        <v>42655</v>
      </c>
      <c r="E1196" s="318">
        <v>0.54600694444444442</v>
      </c>
      <c r="F1196" s="247" t="s">
        <v>235</v>
      </c>
      <c r="G1196" s="247" t="s">
        <v>1035</v>
      </c>
      <c r="H1196" s="248" t="s">
        <v>234</v>
      </c>
      <c r="I1196" s="248" t="s">
        <v>235</v>
      </c>
      <c r="J1196" s="247" t="s">
        <v>809</v>
      </c>
      <c r="K1196" s="249">
        <v>0</v>
      </c>
      <c r="M1196" s="90">
        <v>0</v>
      </c>
      <c r="N1196" s="90">
        <v>0</v>
      </c>
      <c r="O1196" s="90">
        <v>255</v>
      </c>
    </row>
    <row r="1197" spans="1:15" s="90" customFormat="1" ht="12.75" customHeight="1" x14ac:dyDescent="0.2">
      <c r="A1197" s="247" t="s">
        <v>990</v>
      </c>
      <c r="B1197" s="316">
        <v>3046</v>
      </c>
      <c r="C1197" s="247" t="s">
        <v>975</v>
      </c>
      <c r="D1197" s="317">
        <v>42655</v>
      </c>
      <c r="E1197" s="318">
        <v>0.54601851851851857</v>
      </c>
      <c r="F1197" s="247" t="s">
        <v>976</v>
      </c>
      <c r="G1197" s="247" t="s">
        <v>1035</v>
      </c>
      <c r="H1197" s="248" t="s">
        <v>404</v>
      </c>
      <c r="I1197" s="248" t="s">
        <v>404</v>
      </c>
      <c r="J1197" s="247" t="s">
        <v>809</v>
      </c>
      <c r="K1197" s="249">
        <v>0</v>
      </c>
      <c r="M1197" s="90">
        <v>0</v>
      </c>
      <c r="N1197" s="90">
        <v>0</v>
      </c>
      <c r="O1197" s="90">
        <v>255</v>
      </c>
    </row>
    <row r="1198" spans="1:15" s="90" customFormat="1" ht="12.75" customHeight="1" x14ac:dyDescent="0.2">
      <c r="A1198" s="247" t="s">
        <v>989</v>
      </c>
      <c r="B1198" s="316">
        <v>3046</v>
      </c>
      <c r="C1198" s="247" t="s">
        <v>975</v>
      </c>
      <c r="D1198" s="317">
        <v>42655</v>
      </c>
      <c r="E1198" s="318">
        <v>0.5876851851851852</v>
      </c>
      <c r="F1198" s="247" t="s">
        <v>976</v>
      </c>
      <c r="G1198" s="247" t="s">
        <v>1035</v>
      </c>
      <c r="H1198" s="248" t="s">
        <v>404</v>
      </c>
      <c r="I1198" s="248" t="s">
        <v>404</v>
      </c>
      <c r="J1198" s="247" t="s">
        <v>809</v>
      </c>
      <c r="K1198" s="249">
        <v>0</v>
      </c>
      <c r="M1198" s="90">
        <v>0</v>
      </c>
      <c r="N1198" s="90">
        <v>0</v>
      </c>
      <c r="O1198" s="90">
        <v>255</v>
      </c>
    </row>
    <row r="1199" spans="1:15" s="90" customFormat="1" ht="12.75" customHeight="1" x14ac:dyDescent="0.2">
      <c r="A1199" s="247" t="s">
        <v>990</v>
      </c>
      <c r="B1199" s="316">
        <v>3046</v>
      </c>
      <c r="C1199" s="247" t="s">
        <v>975</v>
      </c>
      <c r="D1199" s="317">
        <v>42655</v>
      </c>
      <c r="E1199" s="318">
        <v>0.58792824074074079</v>
      </c>
      <c r="F1199" s="247" t="s">
        <v>976</v>
      </c>
      <c r="G1199" s="247" t="s">
        <v>1035</v>
      </c>
      <c r="H1199" s="248" t="s">
        <v>404</v>
      </c>
      <c r="I1199" s="248" t="s">
        <v>404</v>
      </c>
      <c r="J1199" s="247" t="s">
        <v>809</v>
      </c>
      <c r="K1199" s="249">
        <v>0</v>
      </c>
      <c r="M1199" s="90">
        <v>0</v>
      </c>
      <c r="N1199" s="90">
        <v>0</v>
      </c>
      <c r="O1199" s="90">
        <v>255</v>
      </c>
    </row>
    <row r="1200" spans="1:15" s="90" customFormat="1" ht="12.75" customHeight="1" x14ac:dyDescent="0.2">
      <c r="A1200" s="247" t="s">
        <v>993</v>
      </c>
      <c r="B1200" s="316">
        <v>3217</v>
      </c>
      <c r="C1200" s="247" t="s">
        <v>975</v>
      </c>
      <c r="D1200" s="317">
        <v>42655</v>
      </c>
      <c r="E1200" s="318">
        <v>0.58792824074074079</v>
      </c>
      <c r="F1200" s="247" t="s">
        <v>235</v>
      </c>
      <c r="G1200" s="247" t="s">
        <v>1035</v>
      </c>
      <c r="H1200" s="248" t="s">
        <v>234</v>
      </c>
      <c r="I1200" s="248" t="s">
        <v>235</v>
      </c>
      <c r="J1200" s="247" t="s">
        <v>809</v>
      </c>
      <c r="K1200" s="249">
        <v>0</v>
      </c>
      <c r="M1200" s="90">
        <v>0</v>
      </c>
      <c r="N1200" s="90">
        <v>0</v>
      </c>
      <c r="O1200" s="90">
        <v>255</v>
      </c>
    </row>
    <row r="1201" spans="1:15" s="90" customFormat="1" ht="12.75" customHeight="1" x14ac:dyDescent="0.2">
      <c r="A1201" s="247" t="s">
        <v>989</v>
      </c>
      <c r="B1201" s="316">
        <v>3046</v>
      </c>
      <c r="C1201" s="247" t="s">
        <v>975</v>
      </c>
      <c r="D1201" s="317">
        <v>42655</v>
      </c>
      <c r="E1201" s="318">
        <v>0.62960648148148146</v>
      </c>
      <c r="F1201" s="247" t="s">
        <v>976</v>
      </c>
      <c r="G1201" s="247" t="s">
        <v>1035</v>
      </c>
      <c r="H1201" s="248" t="s">
        <v>404</v>
      </c>
      <c r="I1201" s="248" t="s">
        <v>404</v>
      </c>
      <c r="J1201" s="247" t="s">
        <v>809</v>
      </c>
      <c r="K1201" s="249">
        <v>0</v>
      </c>
      <c r="M1201" s="90">
        <v>0</v>
      </c>
      <c r="N1201" s="90">
        <v>0</v>
      </c>
      <c r="O1201" s="90">
        <v>255</v>
      </c>
    </row>
    <row r="1202" spans="1:15" s="90" customFormat="1" ht="12.75" customHeight="1" x14ac:dyDescent="0.2">
      <c r="A1202" s="247" t="s">
        <v>990</v>
      </c>
      <c r="B1202" s="316">
        <v>3046</v>
      </c>
      <c r="C1202" s="247" t="s">
        <v>975</v>
      </c>
      <c r="D1202" s="317">
        <v>42655</v>
      </c>
      <c r="E1202" s="318">
        <v>0.62984953703703705</v>
      </c>
      <c r="F1202" s="247" t="s">
        <v>976</v>
      </c>
      <c r="G1202" s="247" t="s">
        <v>1035</v>
      </c>
      <c r="H1202" s="248" t="s">
        <v>404</v>
      </c>
      <c r="I1202" s="248" t="s">
        <v>404</v>
      </c>
      <c r="J1202" s="247" t="s">
        <v>809</v>
      </c>
      <c r="K1202" s="249">
        <v>0</v>
      </c>
      <c r="M1202" s="90">
        <v>0</v>
      </c>
      <c r="N1202" s="90">
        <v>0</v>
      </c>
      <c r="O1202" s="90">
        <v>255</v>
      </c>
    </row>
    <row r="1203" spans="1:15" s="90" customFormat="1" ht="12.75" customHeight="1" x14ac:dyDescent="0.2">
      <c r="A1203" s="247" t="s">
        <v>993</v>
      </c>
      <c r="B1203" s="316">
        <v>3217</v>
      </c>
      <c r="C1203" s="247" t="s">
        <v>975</v>
      </c>
      <c r="D1203" s="317">
        <v>42655</v>
      </c>
      <c r="E1203" s="318">
        <v>0.62984953703703705</v>
      </c>
      <c r="F1203" s="247" t="s">
        <v>235</v>
      </c>
      <c r="G1203" s="247" t="s">
        <v>1035</v>
      </c>
      <c r="H1203" s="248" t="s">
        <v>234</v>
      </c>
      <c r="I1203" s="248" t="s">
        <v>235</v>
      </c>
      <c r="J1203" s="247" t="s">
        <v>809</v>
      </c>
      <c r="K1203" s="249">
        <v>0</v>
      </c>
      <c r="M1203" s="90">
        <v>0</v>
      </c>
      <c r="N1203" s="90">
        <v>0</v>
      </c>
      <c r="O1203" s="90">
        <v>255</v>
      </c>
    </row>
    <row r="1204" spans="1:15" s="90" customFormat="1" ht="12.75" customHeight="1" x14ac:dyDescent="0.2">
      <c r="A1204" s="247" t="s">
        <v>989</v>
      </c>
      <c r="B1204" s="316">
        <v>3046</v>
      </c>
      <c r="C1204" s="247" t="s">
        <v>975</v>
      </c>
      <c r="D1204" s="317">
        <v>42655</v>
      </c>
      <c r="E1204" s="318">
        <v>0.67152777777777783</v>
      </c>
      <c r="F1204" s="247" t="s">
        <v>976</v>
      </c>
      <c r="G1204" s="247" t="s">
        <v>1035</v>
      </c>
      <c r="H1204" s="248" t="s">
        <v>404</v>
      </c>
      <c r="I1204" s="248" t="s">
        <v>404</v>
      </c>
      <c r="J1204" s="247" t="s">
        <v>809</v>
      </c>
      <c r="K1204" s="249">
        <v>0</v>
      </c>
      <c r="M1204" s="90">
        <v>0</v>
      </c>
      <c r="N1204" s="90">
        <v>0</v>
      </c>
      <c r="O1204" s="90">
        <v>255</v>
      </c>
    </row>
    <row r="1205" spans="1:15" s="90" customFormat="1" ht="12.75" customHeight="1" x14ac:dyDescent="0.2">
      <c r="A1205" s="247" t="s">
        <v>990</v>
      </c>
      <c r="B1205" s="316">
        <v>3046</v>
      </c>
      <c r="C1205" s="247" t="s">
        <v>975</v>
      </c>
      <c r="D1205" s="317">
        <v>42655</v>
      </c>
      <c r="E1205" s="318">
        <v>0.67177083333333332</v>
      </c>
      <c r="F1205" s="247" t="s">
        <v>976</v>
      </c>
      <c r="G1205" s="247" t="s">
        <v>1035</v>
      </c>
      <c r="H1205" s="248" t="s">
        <v>404</v>
      </c>
      <c r="I1205" s="248" t="s">
        <v>404</v>
      </c>
      <c r="J1205" s="247" t="s">
        <v>809</v>
      </c>
      <c r="K1205" s="249">
        <v>0</v>
      </c>
      <c r="M1205" s="90">
        <v>0</v>
      </c>
      <c r="N1205" s="90">
        <v>0</v>
      </c>
      <c r="O1205" s="90">
        <v>255</v>
      </c>
    </row>
    <row r="1206" spans="1:15" s="90" customFormat="1" ht="12.75" customHeight="1" x14ac:dyDescent="0.2">
      <c r="A1206" s="247" t="s">
        <v>993</v>
      </c>
      <c r="B1206" s="316">
        <v>3217</v>
      </c>
      <c r="C1206" s="247" t="s">
        <v>975</v>
      </c>
      <c r="D1206" s="317">
        <v>42655</v>
      </c>
      <c r="E1206" s="318">
        <v>0.67177083333333332</v>
      </c>
      <c r="F1206" s="247" t="s">
        <v>235</v>
      </c>
      <c r="G1206" s="247" t="s">
        <v>1035</v>
      </c>
      <c r="H1206" s="248" t="s">
        <v>234</v>
      </c>
      <c r="I1206" s="248" t="s">
        <v>235</v>
      </c>
      <c r="J1206" s="247" t="s">
        <v>809</v>
      </c>
      <c r="K1206" s="249">
        <v>0</v>
      </c>
      <c r="M1206" s="90">
        <v>0</v>
      </c>
      <c r="N1206" s="90">
        <v>0</v>
      </c>
      <c r="O1206" s="90">
        <v>255</v>
      </c>
    </row>
    <row r="1207" spans="1:15" s="90" customFormat="1" ht="12.75" customHeight="1" x14ac:dyDescent="0.2">
      <c r="A1207" s="247" t="s">
        <v>989</v>
      </c>
      <c r="B1207" s="316">
        <v>3046</v>
      </c>
      <c r="C1207" s="247" t="s">
        <v>975</v>
      </c>
      <c r="D1207" s="317">
        <v>42655</v>
      </c>
      <c r="E1207" s="318">
        <v>0.71343749999999995</v>
      </c>
      <c r="F1207" s="247" t="s">
        <v>976</v>
      </c>
      <c r="G1207" s="247" t="s">
        <v>1035</v>
      </c>
      <c r="H1207" s="248" t="s">
        <v>404</v>
      </c>
      <c r="I1207" s="248" t="s">
        <v>404</v>
      </c>
      <c r="J1207" s="247" t="s">
        <v>809</v>
      </c>
      <c r="K1207" s="249">
        <v>0</v>
      </c>
      <c r="M1207" s="90">
        <v>0</v>
      </c>
      <c r="N1207" s="90">
        <v>0</v>
      </c>
      <c r="O1207" s="90">
        <v>255</v>
      </c>
    </row>
    <row r="1208" spans="1:15" s="90" customFormat="1" ht="12.75" customHeight="1" x14ac:dyDescent="0.2">
      <c r="A1208" s="247" t="s">
        <v>990</v>
      </c>
      <c r="B1208" s="316">
        <v>3046</v>
      </c>
      <c r="C1208" s="247" t="s">
        <v>975</v>
      </c>
      <c r="D1208" s="317">
        <v>42655</v>
      </c>
      <c r="E1208" s="318">
        <v>0.71369212962962969</v>
      </c>
      <c r="F1208" s="247" t="s">
        <v>976</v>
      </c>
      <c r="G1208" s="247" t="s">
        <v>1035</v>
      </c>
      <c r="H1208" s="248" t="s">
        <v>404</v>
      </c>
      <c r="I1208" s="248" t="s">
        <v>404</v>
      </c>
      <c r="J1208" s="247" t="s">
        <v>809</v>
      </c>
      <c r="K1208" s="249">
        <v>0</v>
      </c>
      <c r="M1208" s="90">
        <v>0</v>
      </c>
      <c r="N1208" s="90">
        <v>0</v>
      </c>
      <c r="O1208" s="90">
        <v>255</v>
      </c>
    </row>
    <row r="1209" spans="1:15" s="90" customFormat="1" ht="12.75" customHeight="1" x14ac:dyDescent="0.2">
      <c r="A1209" s="247" t="s">
        <v>993</v>
      </c>
      <c r="B1209" s="316">
        <v>3217</v>
      </c>
      <c r="C1209" s="247" t="s">
        <v>975</v>
      </c>
      <c r="D1209" s="317">
        <v>42655</v>
      </c>
      <c r="E1209" s="318">
        <v>0.71369212962962969</v>
      </c>
      <c r="F1209" s="247" t="s">
        <v>235</v>
      </c>
      <c r="G1209" s="247" t="s">
        <v>1035</v>
      </c>
      <c r="H1209" s="248" t="s">
        <v>234</v>
      </c>
      <c r="I1209" s="248" t="s">
        <v>235</v>
      </c>
      <c r="J1209" s="247" t="s">
        <v>809</v>
      </c>
      <c r="K1209" s="249">
        <v>0</v>
      </c>
      <c r="M1209" s="90">
        <v>0</v>
      </c>
      <c r="N1209" s="90">
        <v>0</v>
      </c>
      <c r="O1209" s="90">
        <v>255</v>
      </c>
    </row>
    <row r="1210" spans="1:15" s="90" customFormat="1" ht="12.75" customHeight="1" x14ac:dyDescent="0.2">
      <c r="A1210" s="247" t="s">
        <v>989</v>
      </c>
      <c r="B1210" s="316">
        <v>3046</v>
      </c>
      <c r="C1210" s="247" t="s">
        <v>975</v>
      </c>
      <c r="D1210" s="317">
        <v>42655</v>
      </c>
      <c r="E1210" s="318">
        <v>0.75535879629629632</v>
      </c>
      <c r="F1210" s="247" t="s">
        <v>976</v>
      </c>
      <c r="G1210" s="247" t="s">
        <v>1035</v>
      </c>
      <c r="H1210" s="248" t="s">
        <v>404</v>
      </c>
      <c r="I1210" s="248" t="s">
        <v>404</v>
      </c>
      <c r="J1210" s="247" t="s">
        <v>809</v>
      </c>
      <c r="K1210" s="249">
        <v>0</v>
      </c>
      <c r="M1210" s="90">
        <v>0</v>
      </c>
      <c r="N1210" s="90">
        <v>0</v>
      </c>
      <c r="O1210" s="90">
        <v>255</v>
      </c>
    </row>
    <row r="1211" spans="1:15" s="90" customFormat="1" ht="12.75" customHeight="1" x14ac:dyDescent="0.2">
      <c r="A1211" s="247" t="s">
        <v>990</v>
      </c>
      <c r="B1211" s="316">
        <v>3046</v>
      </c>
      <c r="C1211" s="247" t="s">
        <v>975</v>
      </c>
      <c r="D1211" s="317">
        <v>42655</v>
      </c>
      <c r="E1211" s="318">
        <v>0.75561342592592595</v>
      </c>
      <c r="F1211" s="247" t="s">
        <v>976</v>
      </c>
      <c r="G1211" s="247" t="s">
        <v>1035</v>
      </c>
      <c r="H1211" s="248" t="s">
        <v>404</v>
      </c>
      <c r="I1211" s="248" t="s">
        <v>404</v>
      </c>
      <c r="J1211" s="247" t="s">
        <v>809</v>
      </c>
      <c r="K1211" s="249">
        <v>0</v>
      </c>
      <c r="M1211" s="90">
        <v>0</v>
      </c>
      <c r="N1211" s="90">
        <v>0</v>
      </c>
      <c r="O1211" s="90">
        <v>255</v>
      </c>
    </row>
    <row r="1212" spans="1:15" s="90" customFormat="1" ht="12.75" customHeight="1" x14ac:dyDescent="0.2">
      <c r="A1212" s="247" t="s">
        <v>993</v>
      </c>
      <c r="B1212" s="316">
        <v>3217</v>
      </c>
      <c r="C1212" s="247" t="s">
        <v>975</v>
      </c>
      <c r="D1212" s="317">
        <v>42655</v>
      </c>
      <c r="E1212" s="318">
        <v>0.75561342592592595</v>
      </c>
      <c r="F1212" s="247" t="s">
        <v>235</v>
      </c>
      <c r="G1212" s="247" t="s">
        <v>1035</v>
      </c>
      <c r="H1212" s="248" t="s">
        <v>234</v>
      </c>
      <c r="I1212" s="248" t="s">
        <v>235</v>
      </c>
      <c r="J1212" s="247" t="s">
        <v>809</v>
      </c>
      <c r="K1212" s="249">
        <v>0</v>
      </c>
      <c r="M1212" s="90">
        <v>0</v>
      </c>
      <c r="N1212" s="90">
        <v>0</v>
      </c>
      <c r="O1212" s="90">
        <v>255</v>
      </c>
    </row>
    <row r="1213" spans="1:15" s="90" customFormat="1" ht="12.75" customHeight="1" x14ac:dyDescent="0.2">
      <c r="A1213" s="247" t="s">
        <v>989</v>
      </c>
      <c r="B1213" s="316">
        <v>3046</v>
      </c>
      <c r="C1213" s="247" t="s">
        <v>975</v>
      </c>
      <c r="D1213" s="317">
        <v>42655</v>
      </c>
      <c r="E1213" s="318">
        <v>0.79728009259259258</v>
      </c>
      <c r="F1213" s="247" t="s">
        <v>976</v>
      </c>
      <c r="G1213" s="247" t="s">
        <v>1035</v>
      </c>
      <c r="H1213" s="248" t="s">
        <v>404</v>
      </c>
      <c r="I1213" s="248" t="s">
        <v>404</v>
      </c>
      <c r="J1213" s="247" t="s">
        <v>809</v>
      </c>
      <c r="K1213" s="249">
        <v>0</v>
      </c>
      <c r="M1213" s="90">
        <v>0</v>
      </c>
      <c r="N1213" s="90">
        <v>0</v>
      </c>
      <c r="O1213" s="90">
        <v>255</v>
      </c>
    </row>
    <row r="1214" spans="1:15" s="90" customFormat="1" ht="12.75" customHeight="1" x14ac:dyDescent="0.2">
      <c r="A1214" s="247" t="s">
        <v>990</v>
      </c>
      <c r="B1214" s="316">
        <v>3046</v>
      </c>
      <c r="C1214" s="247" t="s">
        <v>975</v>
      </c>
      <c r="D1214" s="317">
        <v>42655</v>
      </c>
      <c r="E1214" s="318">
        <v>0.79753472222222221</v>
      </c>
      <c r="F1214" s="247" t="s">
        <v>976</v>
      </c>
      <c r="G1214" s="247" t="s">
        <v>1035</v>
      </c>
      <c r="H1214" s="248" t="s">
        <v>404</v>
      </c>
      <c r="I1214" s="248" t="s">
        <v>404</v>
      </c>
      <c r="J1214" s="247" t="s">
        <v>809</v>
      </c>
      <c r="K1214" s="249">
        <v>0</v>
      </c>
      <c r="M1214" s="90">
        <v>0</v>
      </c>
      <c r="N1214" s="90">
        <v>0</v>
      </c>
      <c r="O1214" s="90">
        <v>255</v>
      </c>
    </row>
    <row r="1215" spans="1:15" s="90" customFormat="1" ht="12.75" customHeight="1" x14ac:dyDescent="0.2">
      <c r="A1215" s="247" t="s">
        <v>993</v>
      </c>
      <c r="B1215" s="316">
        <v>3217</v>
      </c>
      <c r="C1215" s="247" t="s">
        <v>975</v>
      </c>
      <c r="D1215" s="317">
        <v>42655</v>
      </c>
      <c r="E1215" s="318">
        <v>0.79753472222222221</v>
      </c>
      <c r="F1215" s="247" t="s">
        <v>235</v>
      </c>
      <c r="G1215" s="247" t="s">
        <v>1035</v>
      </c>
      <c r="H1215" s="248" t="s">
        <v>234</v>
      </c>
      <c r="I1215" s="248" t="s">
        <v>235</v>
      </c>
      <c r="J1215" s="247" t="s">
        <v>809</v>
      </c>
      <c r="K1215" s="249">
        <v>0</v>
      </c>
      <c r="M1215" s="90">
        <v>0</v>
      </c>
      <c r="N1215" s="90">
        <v>0</v>
      </c>
      <c r="O1215" s="90">
        <v>255</v>
      </c>
    </row>
    <row r="1216" spans="1:15" s="90" customFormat="1" ht="12.75" customHeight="1" x14ac:dyDescent="0.2">
      <c r="A1216" s="247" t="s">
        <v>989</v>
      </c>
      <c r="B1216" s="316">
        <v>3046</v>
      </c>
      <c r="C1216" s="247" t="s">
        <v>975</v>
      </c>
      <c r="D1216" s="317">
        <v>42655</v>
      </c>
      <c r="E1216" s="318">
        <v>0.83920138888888884</v>
      </c>
      <c r="F1216" s="247" t="s">
        <v>976</v>
      </c>
      <c r="G1216" s="247" t="s">
        <v>1035</v>
      </c>
      <c r="H1216" s="248" t="s">
        <v>404</v>
      </c>
      <c r="I1216" s="248" t="s">
        <v>404</v>
      </c>
      <c r="J1216" s="247" t="s">
        <v>809</v>
      </c>
      <c r="K1216" s="249">
        <v>0</v>
      </c>
      <c r="M1216" s="90">
        <v>0</v>
      </c>
      <c r="N1216" s="90">
        <v>0</v>
      </c>
      <c r="O1216" s="90">
        <v>255</v>
      </c>
    </row>
    <row r="1217" spans="1:15" s="90" customFormat="1" ht="12.75" customHeight="1" x14ac:dyDescent="0.2">
      <c r="A1217" s="247" t="s">
        <v>990</v>
      </c>
      <c r="B1217" s="316">
        <v>3046</v>
      </c>
      <c r="C1217" s="247" t="s">
        <v>975</v>
      </c>
      <c r="D1217" s="317">
        <v>42655</v>
      </c>
      <c r="E1217" s="318">
        <v>0.83945601851851848</v>
      </c>
      <c r="F1217" s="247" t="s">
        <v>976</v>
      </c>
      <c r="G1217" s="247" t="s">
        <v>1035</v>
      </c>
      <c r="H1217" s="248" t="s">
        <v>404</v>
      </c>
      <c r="I1217" s="248" t="s">
        <v>404</v>
      </c>
      <c r="J1217" s="247" t="s">
        <v>809</v>
      </c>
      <c r="K1217" s="249">
        <v>0</v>
      </c>
      <c r="M1217" s="90">
        <v>0</v>
      </c>
      <c r="N1217" s="90">
        <v>0</v>
      </c>
      <c r="O1217" s="90">
        <v>255</v>
      </c>
    </row>
    <row r="1218" spans="1:15" s="90" customFormat="1" ht="12.75" customHeight="1" x14ac:dyDescent="0.2">
      <c r="A1218" s="247" t="s">
        <v>993</v>
      </c>
      <c r="B1218" s="316">
        <v>3217</v>
      </c>
      <c r="C1218" s="247" t="s">
        <v>975</v>
      </c>
      <c r="D1218" s="317">
        <v>42655</v>
      </c>
      <c r="E1218" s="318">
        <v>0.83945601851851848</v>
      </c>
      <c r="F1218" s="247" t="s">
        <v>235</v>
      </c>
      <c r="G1218" s="247" t="s">
        <v>1035</v>
      </c>
      <c r="H1218" s="248" t="s">
        <v>234</v>
      </c>
      <c r="I1218" s="248" t="s">
        <v>235</v>
      </c>
      <c r="J1218" s="247" t="s">
        <v>809</v>
      </c>
      <c r="K1218" s="249">
        <v>0</v>
      </c>
      <c r="M1218" s="90">
        <v>0</v>
      </c>
      <c r="N1218" s="90">
        <v>0</v>
      </c>
      <c r="O1218" s="90">
        <v>255</v>
      </c>
    </row>
    <row r="1219" spans="1:15" s="90" customFormat="1" ht="12.75" customHeight="1" x14ac:dyDescent="0.2">
      <c r="A1219" s="247" t="s">
        <v>989</v>
      </c>
      <c r="B1219" s="316">
        <v>3046</v>
      </c>
      <c r="C1219" s="247" t="s">
        <v>975</v>
      </c>
      <c r="D1219" s="317">
        <v>42655</v>
      </c>
      <c r="E1219" s="318">
        <v>0.88112268518518511</v>
      </c>
      <c r="F1219" s="247" t="s">
        <v>976</v>
      </c>
      <c r="G1219" s="247" t="s">
        <v>1035</v>
      </c>
      <c r="H1219" s="248" t="s">
        <v>404</v>
      </c>
      <c r="I1219" s="248" t="s">
        <v>404</v>
      </c>
      <c r="J1219" s="247" t="s">
        <v>809</v>
      </c>
      <c r="K1219" s="249">
        <v>0</v>
      </c>
      <c r="M1219" s="90">
        <v>0</v>
      </c>
      <c r="N1219" s="90">
        <v>0</v>
      </c>
      <c r="O1219" s="90">
        <v>255</v>
      </c>
    </row>
    <row r="1220" spans="1:15" s="90" customFormat="1" ht="12.75" customHeight="1" x14ac:dyDescent="0.2">
      <c r="A1220" s="247" t="s">
        <v>990</v>
      </c>
      <c r="B1220" s="316">
        <v>3046</v>
      </c>
      <c r="C1220" s="247" t="s">
        <v>975</v>
      </c>
      <c r="D1220" s="317">
        <v>42655</v>
      </c>
      <c r="E1220" s="318">
        <v>0.88137731481481485</v>
      </c>
      <c r="F1220" s="247" t="s">
        <v>976</v>
      </c>
      <c r="G1220" s="247" t="s">
        <v>1035</v>
      </c>
      <c r="H1220" s="248" t="s">
        <v>404</v>
      </c>
      <c r="I1220" s="248" t="s">
        <v>404</v>
      </c>
      <c r="J1220" s="247" t="s">
        <v>809</v>
      </c>
      <c r="K1220" s="249">
        <v>0</v>
      </c>
      <c r="M1220" s="90">
        <v>0</v>
      </c>
      <c r="N1220" s="90">
        <v>0</v>
      </c>
      <c r="O1220" s="90">
        <v>255</v>
      </c>
    </row>
    <row r="1221" spans="1:15" s="90" customFormat="1" ht="12.75" customHeight="1" x14ac:dyDescent="0.2">
      <c r="A1221" s="247" t="s">
        <v>993</v>
      </c>
      <c r="B1221" s="316">
        <v>3217</v>
      </c>
      <c r="C1221" s="247" t="s">
        <v>975</v>
      </c>
      <c r="D1221" s="317">
        <v>42655</v>
      </c>
      <c r="E1221" s="318">
        <v>0.88137731481481485</v>
      </c>
      <c r="F1221" s="247" t="s">
        <v>235</v>
      </c>
      <c r="G1221" s="247" t="s">
        <v>1035</v>
      </c>
      <c r="H1221" s="248" t="s">
        <v>234</v>
      </c>
      <c r="I1221" s="248" t="s">
        <v>235</v>
      </c>
      <c r="J1221" s="247" t="s">
        <v>809</v>
      </c>
      <c r="K1221" s="249">
        <v>0</v>
      </c>
      <c r="M1221" s="90">
        <v>0</v>
      </c>
      <c r="N1221" s="90">
        <v>0</v>
      </c>
      <c r="O1221" s="90">
        <v>255</v>
      </c>
    </row>
    <row r="1222" spans="1:15" s="90" customFormat="1" ht="12.75" customHeight="1" x14ac:dyDescent="0.2">
      <c r="A1222" s="247" t="s">
        <v>989</v>
      </c>
      <c r="B1222" s="316">
        <v>3046</v>
      </c>
      <c r="C1222" s="247" t="s">
        <v>975</v>
      </c>
      <c r="D1222" s="317">
        <v>42655</v>
      </c>
      <c r="E1222" s="318">
        <v>0.92304398148148159</v>
      </c>
      <c r="F1222" s="247" t="s">
        <v>976</v>
      </c>
      <c r="G1222" s="247" t="s">
        <v>1035</v>
      </c>
      <c r="H1222" s="248" t="s">
        <v>404</v>
      </c>
      <c r="I1222" s="248" t="s">
        <v>404</v>
      </c>
      <c r="J1222" s="247" t="s">
        <v>809</v>
      </c>
      <c r="K1222" s="249">
        <v>0</v>
      </c>
      <c r="M1222" s="90">
        <v>0</v>
      </c>
      <c r="N1222" s="90">
        <v>0</v>
      </c>
      <c r="O1222" s="90">
        <v>255</v>
      </c>
    </row>
    <row r="1223" spans="1:15" s="90" customFormat="1" ht="12.75" customHeight="1" x14ac:dyDescent="0.2">
      <c r="A1223" s="247" t="s">
        <v>990</v>
      </c>
      <c r="B1223" s="316">
        <v>3046</v>
      </c>
      <c r="C1223" s="247" t="s">
        <v>975</v>
      </c>
      <c r="D1223" s="317">
        <v>42655</v>
      </c>
      <c r="E1223" s="318">
        <v>0.92329861111111111</v>
      </c>
      <c r="F1223" s="247" t="s">
        <v>976</v>
      </c>
      <c r="G1223" s="247" t="s">
        <v>1035</v>
      </c>
      <c r="H1223" s="248" t="s">
        <v>404</v>
      </c>
      <c r="I1223" s="248" t="s">
        <v>404</v>
      </c>
      <c r="J1223" s="247" t="s">
        <v>809</v>
      </c>
      <c r="K1223" s="249">
        <v>0</v>
      </c>
      <c r="M1223" s="90">
        <v>0</v>
      </c>
      <c r="N1223" s="90">
        <v>0</v>
      </c>
      <c r="O1223" s="90">
        <v>255</v>
      </c>
    </row>
    <row r="1224" spans="1:15" s="90" customFormat="1" ht="12.75" customHeight="1" x14ac:dyDescent="0.2">
      <c r="A1224" s="247" t="s">
        <v>993</v>
      </c>
      <c r="B1224" s="316">
        <v>3217</v>
      </c>
      <c r="C1224" s="247" t="s">
        <v>975</v>
      </c>
      <c r="D1224" s="317">
        <v>42655</v>
      </c>
      <c r="E1224" s="318">
        <v>0.92329861111111111</v>
      </c>
      <c r="F1224" s="247" t="s">
        <v>235</v>
      </c>
      <c r="G1224" s="247" t="s">
        <v>1035</v>
      </c>
      <c r="H1224" s="248" t="s">
        <v>234</v>
      </c>
      <c r="I1224" s="248" t="s">
        <v>235</v>
      </c>
      <c r="J1224" s="247" t="s">
        <v>809</v>
      </c>
      <c r="K1224" s="249">
        <v>0</v>
      </c>
      <c r="M1224" s="90">
        <v>0</v>
      </c>
      <c r="N1224" s="90">
        <v>0</v>
      </c>
      <c r="O1224" s="90">
        <v>255</v>
      </c>
    </row>
    <row r="1225" spans="1:15" s="90" customFormat="1" ht="12.75" customHeight="1" x14ac:dyDescent="0.2">
      <c r="A1225" s="247" t="s">
        <v>989</v>
      </c>
      <c r="B1225" s="316">
        <v>3046</v>
      </c>
      <c r="C1225" s="247" t="s">
        <v>975</v>
      </c>
      <c r="D1225" s="317">
        <v>42655</v>
      </c>
      <c r="E1225" s="318">
        <v>0.96496527777777785</v>
      </c>
      <c r="F1225" s="247" t="s">
        <v>976</v>
      </c>
      <c r="G1225" s="247" t="s">
        <v>1035</v>
      </c>
      <c r="H1225" s="248" t="s">
        <v>404</v>
      </c>
      <c r="I1225" s="248" t="s">
        <v>404</v>
      </c>
      <c r="J1225" s="247" t="s">
        <v>809</v>
      </c>
      <c r="K1225" s="249">
        <v>0</v>
      </c>
      <c r="M1225" s="90">
        <v>0</v>
      </c>
      <c r="N1225" s="90">
        <v>0</v>
      </c>
      <c r="O1225" s="90">
        <v>255</v>
      </c>
    </row>
    <row r="1226" spans="1:15" s="90" customFormat="1" ht="12.75" customHeight="1" x14ac:dyDescent="0.2">
      <c r="A1226" s="247" t="s">
        <v>990</v>
      </c>
      <c r="B1226" s="316">
        <v>3046</v>
      </c>
      <c r="C1226" s="247" t="s">
        <v>975</v>
      </c>
      <c r="D1226" s="317">
        <v>42655</v>
      </c>
      <c r="E1226" s="318">
        <v>0.96521990740740737</v>
      </c>
      <c r="F1226" s="247" t="s">
        <v>976</v>
      </c>
      <c r="G1226" s="247" t="s">
        <v>1035</v>
      </c>
      <c r="H1226" s="248" t="s">
        <v>404</v>
      </c>
      <c r="I1226" s="248" t="s">
        <v>404</v>
      </c>
      <c r="J1226" s="247" t="s">
        <v>809</v>
      </c>
      <c r="K1226" s="249">
        <v>0</v>
      </c>
      <c r="M1226" s="90">
        <v>0</v>
      </c>
      <c r="N1226" s="90">
        <v>0</v>
      </c>
      <c r="O1226" s="90">
        <v>255</v>
      </c>
    </row>
    <row r="1227" spans="1:15" s="90" customFormat="1" ht="12.75" customHeight="1" x14ac:dyDescent="0.2">
      <c r="A1227" s="247" t="s">
        <v>993</v>
      </c>
      <c r="B1227" s="316">
        <v>3217</v>
      </c>
      <c r="C1227" s="247" t="s">
        <v>975</v>
      </c>
      <c r="D1227" s="317">
        <v>42655</v>
      </c>
      <c r="E1227" s="318">
        <v>0.96521990740740737</v>
      </c>
      <c r="F1227" s="247" t="s">
        <v>235</v>
      </c>
      <c r="G1227" s="247" t="s">
        <v>1035</v>
      </c>
      <c r="H1227" s="248" t="s">
        <v>234</v>
      </c>
      <c r="I1227" s="248" t="s">
        <v>235</v>
      </c>
      <c r="J1227" s="247" t="s">
        <v>809</v>
      </c>
      <c r="K1227" s="249">
        <v>0</v>
      </c>
      <c r="M1227" s="90">
        <v>0</v>
      </c>
      <c r="N1227" s="90">
        <v>0</v>
      </c>
      <c r="O1227" s="90">
        <v>255</v>
      </c>
    </row>
    <row r="1228" spans="1:15" s="90" customFormat="1" ht="12.75" customHeight="1" x14ac:dyDescent="0.2">
      <c r="A1228" s="247" t="s">
        <v>989</v>
      </c>
      <c r="B1228" s="316">
        <v>3046</v>
      </c>
      <c r="C1228" s="247" t="s">
        <v>975</v>
      </c>
      <c r="D1228" s="317">
        <v>42656</v>
      </c>
      <c r="E1228" s="318">
        <v>6.8865740740740736E-3</v>
      </c>
      <c r="F1228" s="247" t="s">
        <v>976</v>
      </c>
      <c r="G1228" s="247" t="s">
        <v>1035</v>
      </c>
      <c r="H1228" s="248" t="s">
        <v>404</v>
      </c>
      <c r="I1228" s="248" t="s">
        <v>404</v>
      </c>
      <c r="J1228" s="247" t="s">
        <v>809</v>
      </c>
      <c r="K1228" s="249">
        <v>0</v>
      </c>
      <c r="M1228" s="90">
        <v>0</v>
      </c>
      <c r="N1228" s="90">
        <v>0</v>
      </c>
      <c r="O1228" s="90">
        <v>255</v>
      </c>
    </row>
    <row r="1229" spans="1:15" s="90" customFormat="1" ht="12.75" customHeight="1" x14ac:dyDescent="0.2">
      <c r="A1229" s="247" t="s">
        <v>993</v>
      </c>
      <c r="B1229" s="316">
        <v>3217</v>
      </c>
      <c r="C1229" s="247" t="s">
        <v>975</v>
      </c>
      <c r="D1229" s="317">
        <v>42656</v>
      </c>
      <c r="E1229" s="318">
        <v>7.1296296296296307E-3</v>
      </c>
      <c r="F1229" s="247" t="s">
        <v>235</v>
      </c>
      <c r="G1229" s="247" t="s">
        <v>1035</v>
      </c>
      <c r="H1229" s="248" t="s">
        <v>234</v>
      </c>
      <c r="I1229" s="248" t="s">
        <v>235</v>
      </c>
      <c r="J1229" s="247" t="s">
        <v>809</v>
      </c>
      <c r="K1229" s="249">
        <v>0</v>
      </c>
      <c r="M1229" s="90">
        <v>0</v>
      </c>
      <c r="N1229" s="90">
        <v>0</v>
      </c>
      <c r="O1229" s="90">
        <v>255</v>
      </c>
    </row>
    <row r="1230" spans="1:15" s="90" customFormat="1" ht="12.75" customHeight="1" x14ac:dyDescent="0.2">
      <c r="A1230" s="247" t="s">
        <v>990</v>
      </c>
      <c r="B1230" s="316">
        <v>3046</v>
      </c>
      <c r="C1230" s="247" t="s">
        <v>975</v>
      </c>
      <c r="D1230" s="317">
        <v>42656</v>
      </c>
      <c r="E1230" s="318">
        <v>7.1412037037037043E-3</v>
      </c>
      <c r="F1230" s="247" t="s">
        <v>976</v>
      </c>
      <c r="G1230" s="247" t="s">
        <v>1035</v>
      </c>
      <c r="H1230" s="248" t="s">
        <v>404</v>
      </c>
      <c r="I1230" s="248" t="s">
        <v>404</v>
      </c>
      <c r="J1230" s="247" t="s">
        <v>809</v>
      </c>
      <c r="K1230" s="249">
        <v>0</v>
      </c>
      <c r="M1230" s="90">
        <v>0</v>
      </c>
      <c r="N1230" s="90">
        <v>0</v>
      </c>
      <c r="O1230" s="90">
        <v>255</v>
      </c>
    </row>
    <row r="1231" spans="1:15" s="90" customFormat="1" ht="12.75" customHeight="1" x14ac:dyDescent="0.2">
      <c r="A1231" s="247" t="s">
        <v>989</v>
      </c>
      <c r="B1231" s="316">
        <v>3046</v>
      </c>
      <c r="C1231" s="247" t="s">
        <v>975</v>
      </c>
      <c r="D1231" s="317">
        <v>42656</v>
      </c>
      <c r="E1231" s="318">
        <v>4.880787037037037E-2</v>
      </c>
      <c r="F1231" s="247" t="s">
        <v>976</v>
      </c>
      <c r="G1231" s="247" t="s">
        <v>1035</v>
      </c>
      <c r="H1231" s="248" t="s">
        <v>404</v>
      </c>
      <c r="I1231" s="248" t="s">
        <v>404</v>
      </c>
      <c r="J1231" s="247" t="s">
        <v>809</v>
      </c>
      <c r="K1231" s="249">
        <v>0</v>
      </c>
      <c r="M1231" s="90">
        <v>0</v>
      </c>
      <c r="N1231" s="90">
        <v>0</v>
      </c>
      <c r="O1231" s="90">
        <v>255</v>
      </c>
    </row>
    <row r="1232" spans="1:15" s="90" customFormat="1" ht="12.75" customHeight="1" x14ac:dyDescent="0.2">
      <c r="A1232" s="247" t="s">
        <v>993</v>
      </c>
      <c r="B1232" s="316">
        <v>3217</v>
      </c>
      <c r="C1232" s="247" t="s">
        <v>975</v>
      </c>
      <c r="D1232" s="317">
        <v>42656</v>
      </c>
      <c r="E1232" s="318">
        <v>4.9050925925925921E-2</v>
      </c>
      <c r="F1232" s="247" t="s">
        <v>235</v>
      </c>
      <c r="G1232" s="247" t="s">
        <v>1035</v>
      </c>
      <c r="H1232" s="248" t="s">
        <v>234</v>
      </c>
      <c r="I1232" s="248" t="s">
        <v>235</v>
      </c>
      <c r="J1232" s="247" t="s">
        <v>809</v>
      </c>
      <c r="K1232" s="249">
        <v>0</v>
      </c>
      <c r="M1232" s="90">
        <v>0</v>
      </c>
      <c r="N1232" s="90">
        <v>0</v>
      </c>
      <c r="O1232" s="90">
        <v>255</v>
      </c>
    </row>
    <row r="1233" spans="1:15" s="90" customFormat="1" ht="12.75" customHeight="1" x14ac:dyDescent="0.2">
      <c r="A1233" s="247" t="s">
        <v>990</v>
      </c>
      <c r="B1233" s="316">
        <v>3046</v>
      </c>
      <c r="C1233" s="247" t="s">
        <v>975</v>
      </c>
      <c r="D1233" s="317">
        <v>42656</v>
      </c>
      <c r="E1233" s="318">
        <v>4.9062500000000002E-2</v>
      </c>
      <c r="F1233" s="247" t="s">
        <v>976</v>
      </c>
      <c r="G1233" s="247" t="s">
        <v>1035</v>
      </c>
      <c r="H1233" s="248" t="s">
        <v>404</v>
      </c>
      <c r="I1233" s="248" t="s">
        <v>404</v>
      </c>
      <c r="J1233" s="247" t="s">
        <v>809</v>
      </c>
      <c r="K1233" s="249">
        <v>0</v>
      </c>
      <c r="M1233" s="90">
        <v>0</v>
      </c>
      <c r="N1233" s="90">
        <v>0</v>
      </c>
      <c r="O1233" s="90">
        <v>255</v>
      </c>
    </row>
    <row r="1234" spans="1:15" s="90" customFormat="1" ht="12.75" customHeight="1" x14ac:dyDescent="0.2">
      <c r="A1234" s="247" t="s">
        <v>989</v>
      </c>
      <c r="B1234" s="316">
        <v>3046</v>
      </c>
      <c r="C1234" s="247" t="s">
        <v>975</v>
      </c>
      <c r="D1234" s="317">
        <v>42656</v>
      </c>
      <c r="E1234" s="318">
        <v>9.072916666666668E-2</v>
      </c>
      <c r="F1234" s="247" t="s">
        <v>976</v>
      </c>
      <c r="G1234" s="247" t="s">
        <v>1035</v>
      </c>
      <c r="H1234" s="248" t="s">
        <v>404</v>
      </c>
      <c r="I1234" s="248" t="s">
        <v>404</v>
      </c>
      <c r="J1234" s="247" t="s">
        <v>809</v>
      </c>
      <c r="K1234" s="249">
        <v>0</v>
      </c>
      <c r="M1234" s="90">
        <v>0</v>
      </c>
      <c r="N1234" s="90">
        <v>0</v>
      </c>
      <c r="O1234" s="90">
        <v>255</v>
      </c>
    </row>
    <row r="1235" spans="1:15" s="90" customFormat="1" ht="12.75" customHeight="1" x14ac:dyDescent="0.2">
      <c r="A1235" s="247" t="s">
        <v>990</v>
      </c>
      <c r="B1235" s="316">
        <v>3046</v>
      </c>
      <c r="C1235" s="247" t="s">
        <v>975</v>
      </c>
      <c r="D1235" s="317">
        <v>42656</v>
      </c>
      <c r="E1235" s="318">
        <v>9.0972222222222218E-2</v>
      </c>
      <c r="F1235" s="247" t="s">
        <v>976</v>
      </c>
      <c r="G1235" s="247" t="s">
        <v>1035</v>
      </c>
      <c r="H1235" s="248" t="s">
        <v>404</v>
      </c>
      <c r="I1235" s="248" t="s">
        <v>404</v>
      </c>
      <c r="J1235" s="247" t="s">
        <v>809</v>
      </c>
      <c r="K1235" s="249">
        <v>0</v>
      </c>
      <c r="M1235" s="90">
        <v>0</v>
      </c>
      <c r="N1235" s="90">
        <v>0</v>
      </c>
      <c r="O1235" s="90">
        <v>255</v>
      </c>
    </row>
    <row r="1236" spans="1:15" s="90" customFormat="1" ht="12.75" customHeight="1" x14ac:dyDescent="0.2">
      <c r="A1236" s="247" t="s">
        <v>993</v>
      </c>
      <c r="B1236" s="316">
        <v>3217</v>
      </c>
      <c r="C1236" s="247" t="s">
        <v>975</v>
      </c>
      <c r="D1236" s="317">
        <v>42656</v>
      </c>
      <c r="E1236" s="318">
        <v>9.0972222222222218E-2</v>
      </c>
      <c r="F1236" s="247" t="s">
        <v>235</v>
      </c>
      <c r="G1236" s="247" t="s">
        <v>1035</v>
      </c>
      <c r="H1236" s="248" t="s">
        <v>234</v>
      </c>
      <c r="I1236" s="248" t="s">
        <v>235</v>
      </c>
      <c r="J1236" s="247" t="s">
        <v>809</v>
      </c>
      <c r="K1236" s="249">
        <v>0</v>
      </c>
      <c r="M1236" s="90">
        <v>0</v>
      </c>
      <c r="N1236" s="90">
        <v>0</v>
      </c>
      <c r="O1236" s="90">
        <v>255</v>
      </c>
    </row>
    <row r="1237" spans="1:15" s="90" customFormat="1" ht="12.75" customHeight="1" x14ac:dyDescent="0.2">
      <c r="A1237" s="247" t="s">
        <v>989</v>
      </c>
      <c r="B1237" s="316">
        <v>3046</v>
      </c>
      <c r="C1237" s="247" t="s">
        <v>975</v>
      </c>
      <c r="D1237" s="317">
        <v>42656</v>
      </c>
      <c r="E1237" s="318">
        <v>0.13265046296296296</v>
      </c>
      <c r="F1237" s="247" t="s">
        <v>976</v>
      </c>
      <c r="G1237" s="247" t="s">
        <v>1035</v>
      </c>
      <c r="H1237" s="248" t="s">
        <v>404</v>
      </c>
      <c r="I1237" s="248" t="s">
        <v>404</v>
      </c>
      <c r="J1237" s="247" t="s">
        <v>809</v>
      </c>
      <c r="K1237" s="249">
        <v>0</v>
      </c>
      <c r="M1237" s="90">
        <v>0</v>
      </c>
      <c r="N1237" s="90">
        <v>0</v>
      </c>
      <c r="O1237" s="90">
        <v>255</v>
      </c>
    </row>
    <row r="1238" spans="1:15" s="90" customFormat="1" ht="12.75" customHeight="1" x14ac:dyDescent="0.2">
      <c r="A1238" s="247" t="s">
        <v>990</v>
      </c>
      <c r="B1238" s="316">
        <v>3046</v>
      </c>
      <c r="C1238" s="247" t="s">
        <v>975</v>
      </c>
      <c r="D1238" s="317">
        <v>42656</v>
      </c>
      <c r="E1238" s="318">
        <v>0.13289351851851852</v>
      </c>
      <c r="F1238" s="247" t="s">
        <v>976</v>
      </c>
      <c r="G1238" s="247" t="s">
        <v>1035</v>
      </c>
      <c r="H1238" s="248" t="s">
        <v>404</v>
      </c>
      <c r="I1238" s="248" t="s">
        <v>404</v>
      </c>
      <c r="J1238" s="247" t="s">
        <v>809</v>
      </c>
      <c r="K1238" s="249">
        <v>0</v>
      </c>
      <c r="M1238" s="90">
        <v>0</v>
      </c>
      <c r="N1238" s="90">
        <v>0</v>
      </c>
      <c r="O1238" s="90">
        <v>255</v>
      </c>
    </row>
    <row r="1239" spans="1:15" s="90" customFormat="1" ht="12.75" customHeight="1" x14ac:dyDescent="0.2">
      <c r="A1239" s="247" t="s">
        <v>993</v>
      </c>
      <c r="B1239" s="316">
        <v>3217</v>
      </c>
      <c r="C1239" s="247" t="s">
        <v>975</v>
      </c>
      <c r="D1239" s="317">
        <v>42656</v>
      </c>
      <c r="E1239" s="318">
        <v>0.13289351851851852</v>
      </c>
      <c r="F1239" s="247" t="s">
        <v>235</v>
      </c>
      <c r="G1239" s="247" t="s">
        <v>1035</v>
      </c>
      <c r="H1239" s="248" t="s">
        <v>234</v>
      </c>
      <c r="I1239" s="248" t="s">
        <v>235</v>
      </c>
      <c r="J1239" s="247" t="s">
        <v>809</v>
      </c>
      <c r="K1239" s="249">
        <v>0</v>
      </c>
      <c r="M1239" s="90">
        <v>0</v>
      </c>
      <c r="N1239" s="90">
        <v>0</v>
      </c>
      <c r="O1239" s="90">
        <v>255</v>
      </c>
    </row>
    <row r="1240" spans="1:15" s="90" customFormat="1" ht="12.75" customHeight="1" x14ac:dyDescent="0.2">
      <c r="A1240" s="247" t="s">
        <v>989</v>
      </c>
      <c r="B1240" s="316">
        <v>3046</v>
      </c>
      <c r="C1240" s="247" t="s">
        <v>975</v>
      </c>
      <c r="D1240" s="317">
        <v>42656</v>
      </c>
      <c r="E1240" s="318">
        <v>0.17456018518518521</v>
      </c>
      <c r="F1240" s="247" t="s">
        <v>976</v>
      </c>
      <c r="G1240" s="247" t="s">
        <v>1035</v>
      </c>
      <c r="H1240" s="248" t="s">
        <v>404</v>
      </c>
      <c r="I1240" s="248" t="s">
        <v>404</v>
      </c>
      <c r="J1240" s="247" t="s">
        <v>809</v>
      </c>
      <c r="K1240" s="249">
        <v>0</v>
      </c>
      <c r="M1240" s="90">
        <v>0</v>
      </c>
      <c r="N1240" s="90">
        <v>0</v>
      </c>
      <c r="O1240" s="90">
        <v>255</v>
      </c>
    </row>
    <row r="1241" spans="1:15" s="90" customFormat="1" ht="12.75" customHeight="1" x14ac:dyDescent="0.2">
      <c r="A1241" s="247" t="s">
        <v>990</v>
      </c>
      <c r="B1241" s="316">
        <v>3046</v>
      </c>
      <c r="C1241" s="247" t="s">
        <v>975</v>
      </c>
      <c r="D1241" s="317">
        <v>42656</v>
      </c>
      <c r="E1241" s="318">
        <v>0.17481481481481484</v>
      </c>
      <c r="F1241" s="247" t="s">
        <v>976</v>
      </c>
      <c r="G1241" s="247" t="s">
        <v>1035</v>
      </c>
      <c r="H1241" s="248" t="s">
        <v>404</v>
      </c>
      <c r="I1241" s="248" t="s">
        <v>404</v>
      </c>
      <c r="J1241" s="247" t="s">
        <v>809</v>
      </c>
      <c r="K1241" s="249">
        <v>0</v>
      </c>
      <c r="M1241" s="90">
        <v>0</v>
      </c>
      <c r="N1241" s="90">
        <v>0</v>
      </c>
      <c r="O1241" s="90">
        <v>255</v>
      </c>
    </row>
    <row r="1242" spans="1:15" s="90" customFormat="1" ht="12.75" customHeight="1" x14ac:dyDescent="0.2">
      <c r="A1242" s="247" t="s">
        <v>993</v>
      </c>
      <c r="B1242" s="316">
        <v>3217</v>
      </c>
      <c r="C1242" s="247" t="s">
        <v>975</v>
      </c>
      <c r="D1242" s="317">
        <v>42656</v>
      </c>
      <c r="E1242" s="318">
        <v>0.17481481481481484</v>
      </c>
      <c r="F1242" s="247" t="s">
        <v>235</v>
      </c>
      <c r="G1242" s="247" t="s">
        <v>1035</v>
      </c>
      <c r="H1242" s="248" t="s">
        <v>234</v>
      </c>
      <c r="I1242" s="248" t="s">
        <v>235</v>
      </c>
      <c r="J1242" s="247" t="s">
        <v>809</v>
      </c>
      <c r="K1242" s="249">
        <v>0</v>
      </c>
      <c r="M1242" s="90">
        <v>0</v>
      </c>
      <c r="N1242" s="90">
        <v>0</v>
      </c>
      <c r="O1242" s="90">
        <v>255</v>
      </c>
    </row>
    <row r="1243" spans="1:15" s="90" customFormat="1" ht="12.75" customHeight="1" x14ac:dyDescent="0.2">
      <c r="A1243" s="247" t="s">
        <v>989</v>
      </c>
      <c r="B1243" s="316">
        <v>3046</v>
      </c>
      <c r="C1243" s="247" t="s">
        <v>975</v>
      </c>
      <c r="D1243" s="317">
        <v>42656</v>
      </c>
      <c r="E1243" s="318">
        <v>0.21649305555555556</v>
      </c>
      <c r="F1243" s="247" t="s">
        <v>976</v>
      </c>
      <c r="G1243" s="247" t="s">
        <v>1035</v>
      </c>
      <c r="H1243" s="248" t="s">
        <v>404</v>
      </c>
      <c r="I1243" s="248" t="s">
        <v>404</v>
      </c>
      <c r="J1243" s="247" t="s">
        <v>809</v>
      </c>
      <c r="K1243" s="249">
        <v>0</v>
      </c>
      <c r="M1243" s="90">
        <v>0</v>
      </c>
      <c r="N1243" s="90">
        <v>0</v>
      </c>
      <c r="O1243" s="90">
        <v>255</v>
      </c>
    </row>
    <row r="1244" spans="1:15" s="90" customFormat="1" ht="12.75" customHeight="1" x14ac:dyDescent="0.2">
      <c r="A1244" s="247" t="s">
        <v>990</v>
      </c>
      <c r="B1244" s="316">
        <v>3046</v>
      </c>
      <c r="C1244" s="247" t="s">
        <v>975</v>
      </c>
      <c r="D1244" s="317">
        <v>42656</v>
      </c>
      <c r="E1244" s="318">
        <v>0.2167361111111111</v>
      </c>
      <c r="F1244" s="247" t="s">
        <v>976</v>
      </c>
      <c r="G1244" s="247" t="s">
        <v>1035</v>
      </c>
      <c r="H1244" s="248" t="s">
        <v>404</v>
      </c>
      <c r="I1244" s="248" t="s">
        <v>404</v>
      </c>
      <c r="J1244" s="247" t="s">
        <v>809</v>
      </c>
      <c r="K1244" s="249">
        <v>0</v>
      </c>
      <c r="M1244" s="90">
        <v>0</v>
      </c>
      <c r="N1244" s="90">
        <v>0</v>
      </c>
      <c r="O1244" s="90">
        <v>255</v>
      </c>
    </row>
    <row r="1245" spans="1:15" s="90" customFormat="1" ht="12.75" customHeight="1" x14ac:dyDescent="0.2">
      <c r="A1245" s="247" t="s">
        <v>993</v>
      </c>
      <c r="B1245" s="316">
        <v>3217</v>
      </c>
      <c r="C1245" s="247" t="s">
        <v>975</v>
      </c>
      <c r="D1245" s="317">
        <v>42656</v>
      </c>
      <c r="E1245" s="318">
        <v>0.2167361111111111</v>
      </c>
      <c r="F1245" s="247" t="s">
        <v>235</v>
      </c>
      <c r="G1245" s="247" t="s">
        <v>1035</v>
      </c>
      <c r="H1245" s="248" t="s">
        <v>234</v>
      </c>
      <c r="I1245" s="248" t="s">
        <v>235</v>
      </c>
      <c r="J1245" s="247" t="s">
        <v>809</v>
      </c>
      <c r="K1245" s="249">
        <v>0</v>
      </c>
      <c r="M1245" s="90">
        <v>0</v>
      </c>
      <c r="N1245" s="90">
        <v>0</v>
      </c>
      <c r="O1245" s="90">
        <v>255</v>
      </c>
    </row>
    <row r="1246" spans="1:15" s="90" customFormat="1" ht="12.75" customHeight="1" x14ac:dyDescent="0.2">
      <c r="A1246" s="247" t="s">
        <v>989</v>
      </c>
      <c r="B1246" s="316">
        <v>3046</v>
      </c>
      <c r="C1246" s="247" t="s">
        <v>975</v>
      </c>
      <c r="D1246" s="317">
        <v>42656</v>
      </c>
      <c r="E1246" s="318">
        <v>0.25841435185185185</v>
      </c>
      <c r="F1246" s="247" t="s">
        <v>976</v>
      </c>
      <c r="G1246" s="247" t="s">
        <v>1035</v>
      </c>
      <c r="H1246" s="248" t="s">
        <v>404</v>
      </c>
      <c r="I1246" s="248" t="s">
        <v>404</v>
      </c>
      <c r="J1246" s="247" t="s">
        <v>809</v>
      </c>
      <c r="K1246" s="249">
        <v>0</v>
      </c>
      <c r="M1246" s="90">
        <v>0</v>
      </c>
      <c r="N1246" s="90">
        <v>0</v>
      </c>
      <c r="O1246" s="90">
        <v>255</v>
      </c>
    </row>
    <row r="1247" spans="1:15" s="90" customFormat="1" ht="12.75" customHeight="1" x14ac:dyDescent="0.2">
      <c r="A1247" s="247" t="s">
        <v>990</v>
      </c>
      <c r="B1247" s="316">
        <v>3046</v>
      </c>
      <c r="C1247" s="247" t="s">
        <v>975</v>
      </c>
      <c r="D1247" s="317">
        <v>42656</v>
      </c>
      <c r="E1247" s="318">
        <v>0.25865740740740739</v>
      </c>
      <c r="F1247" s="247" t="s">
        <v>976</v>
      </c>
      <c r="G1247" s="247" t="s">
        <v>1035</v>
      </c>
      <c r="H1247" s="248" t="s">
        <v>404</v>
      </c>
      <c r="I1247" s="248" t="s">
        <v>404</v>
      </c>
      <c r="J1247" s="247" t="s">
        <v>809</v>
      </c>
      <c r="K1247" s="249">
        <v>0</v>
      </c>
      <c r="M1247" s="90">
        <v>0</v>
      </c>
      <c r="N1247" s="90">
        <v>0</v>
      </c>
      <c r="O1247" s="90">
        <v>255</v>
      </c>
    </row>
    <row r="1248" spans="1:15" s="90" customFormat="1" ht="12.75" customHeight="1" x14ac:dyDescent="0.2">
      <c r="A1248" s="247" t="s">
        <v>993</v>
      </c>
      <c r="B1248" s="316">
        <v>3217</v>
      </c>
      <c r="C1248" s="247" t="s">
        <v>975</v>
      </c>
      <c r="D1248" s="317">
        <v>42656</v>
      </c>
      <c r="E1248" s="318">
        <v>0.25865740740740739</v>
      </c>
      <c r="F1248" s="247" t="s">
        <v>235</v>
      </c>
      <c r="G1248" s="247" t="s">
        <v>1035</v>
      </c>
      <c r="H1248" s="248" t="s">
        <v>234</v>
      </c>
      <c r="I1248" s="248" t="s">
        <v>235</v>
      </c>
      <c r="J1248" s="247" t="s">
        <v>809</v>
      </c>
      <c r="K1248" s="249">
        <v>0</v>
      </c>
      <c r="M1248" s="90">
        <v>0</v>
      </c>
      <c r="N1248" s="90">
        <v>0</v>
      </c>
      <c r="O1248" s="90">
        <v>255</v>
      </c>
    </row>
    <row r="1249" spans="1:15" s="90" customFormat="1" ht="12.75" customHeight="1" x14ac:dyDescent="0.2">
      <c r="A1249" s="247" t="s">
        <v>989</v>
      </c>
      <c r="B1249" s="316">
        <v>3046</v>
      </c>
      <c r="C1249" s="247" t="s">
        <v>975</v>
      </c>
      <c r="D1249" s="317">
        <v>42656</v>
      </c>
      <c r="E1249" s="318">
        <v>0.30032407407407408</v>
      </c>
      <c r="F1249" s="247" t="s">
        <v>976</v>
      </c>
      <c r="G1249" s="247" t="s">
        <v>1035</v>
      </c>
      <c r="H1249" s="248" t="s">
        <v>404</v>
      </c>
      <c r="I1249" s="248" t="s">
        <v>404</v>
      </c>
      <c r="J1249" s="247" t="s">
        <v>809</v>
      </c>
      <c r="K1249" s="249">
        <v>0</v>
      </c>
      <c r="M1249" s="90">
        <v>0</v>
      </c>
      <c r="N1249" s="90">
        <v>0</v>
      </c>
      <c r="O1249" s="90">
        <v>255</v>
      </c>
    </row>
    <row r="1250" spans="1:15" s="90" customFormat="1" ht="12.75" customHeight="1" x14ac:dyDescent="0.2">
      <c r="A1250" s="247" t="s">
        <v>990</v>
      </c>
      <c r="B1250" s="316">
        <v>3046</v>
      </c>
      <c r="C1250" s="247" t="s">
        <v>975</v>
      </c>
      <c r="D1250" s="317">
        <v>42656</v>
      </c>
      <c r="E1250" s="318">
        <v>0.30057870370370371</v>
      </c>
      <c r="F1250" s="247" t="s">
        <v>976</v>
      </c>
      <c r="G1250" s="247" t="s">
        <v>1035</v>
      </c>
      <c r="H1250" s="248" t="s">
        <v>404</v>
      </c>
      <c r="I1250" s="248" t="s">
        <v>404</v>
      </c>
      <c r="J1250" s="247" t="s">
        <v>809</v>
      </c>
      <c r="K1250" s="249">
        <v>0</v>
      </c>
      <c r="M1250" s="90">
        <v>0</v>
      </c>
      <c r="N1250" s="90">
        <v>0</v>
      </c>
      <c r="O1250" s="90">
        <v>255</v>
      </c>
    </row>
    <row r="1251" spans="1:15" s="90" customFormat="1" ht="12.75" customHeight="1" x14ac:dyDescent="0.2">
      <c r="A1251" s="247" t="s">
        <v>993</v>
      </c>
      <c r="B1251" s="316">
        <v>3217</v>
      </c>
      <c r="C1251" s="247" t="s">
        <v>975</v>
      </c>
      <c r="D1251" s="317">
        <v>42656</v>
      </c>
      <c r="E1251" s="318">
        <v>0.30057870370370371</v>
      </c>
      <c r="F1251" s="247" t="s">
        <v>235</v>
      </c>
      <c r="G1251" s="247" t="s">
        <v>1035</v>
      </c>
      <c r="H1251" s="248" t="s">
        <v>234</v>
      </c>
      <c r="I1251" s="248" t="s">
        <v>235</v>
      </c>
      <c r="J1251" s="247" t="s">
        <v>809</v>
      </c>
      <c r="K1251" s="249">
        <v>0</v>
      </c>
      <c r="M1251" s="90">
        <v>0</v>
      </c>
      <c r="N1251" s="90">
        <v>0</v>
      </c>
      <c r="O1251" s="90">
        <v>255</v>
      </c>
    </row>
    <row r="1252" spans="1:15" s="90" customFormat="1" ht="12.75" customHeight="1" x14ac:dyDescent="0.2">
      <c r="A1252" s="247" t="s">
        <v>989</v>
      </c>
      <c r="B1252" s="316">
        <v>3046</v>
      </c>
      <c r="C1252" s="247" t="s">
        <v>975</v>
      </c>
      <c r="D1252" s="317">
        <v>42656</v>
      </c>
      <c r="E1252" s="318">
        <v>0.33568287037037042</v>
      </c>
      <c r="F1252" s="247" t="s">
        <v>976</v>
      </c>
      <c r="G1252" s="247" t="s">
        <v>1035</v>
      </c>
      <c r="H1252" s="248" t="s">
        <v>404</v>
      </c>
      <c r="I1252" s="248" t="s">
        <v>404</v>
      </c>
      <c r="J1252" s="247" t="s">
        <v>809</v>
      </c>
      <c r="K1252" s="249">
        <v>0</v>
      </c>
      <c r="M1252" s="90">
        <v>0</v>
      </c>
      <c r="N1252" s="90">
        <v>0</v>
      </c>
      <c r="O1252" s="90">
        <v>255</v>
      </c>
    </row>
    <row r="1253" spans="1:15" s="90" customFormat="1" ht="12.75" customHeight="1" x14ac:dyDescent="0.2">
      <c r="A1253" s="247" t="s">
        <v>990</v>
      </c>
      <c r="B1253" s="316">
        <v>3046</v>
      </c>
      <c r="C1253" s="247" t="s">
        <v>975</v>
      </c>
      <c r="D1253" s="317">
        <v>42656</v>
      </c>
      <c r="E1253" s="318">
        <v>0.34408564814814818</v>
      </c>
      <c r="F1253" s="247" t="s">
        <v>976</v>
      </c>
      <c r="G1253" s="247" t="s">
        <v>1035</v>
      </c>
      <c r="H1253" s="248" t="s">
        <v>404</v>
      </c>
      <c r="I1253" s="248" t="s">
        <v>404</v>
      </c>
      <c r="J1253" s="247" t="s">
        <v>809</v>
      </c>
      <c r="K1253" s="249">
        <v>0</v>
      </c>
      <c r="M1253" s="90">
        <v>0</v>
      </c>
      <c r="N1253" s="90">
        <v>0</v>
      </c>
      <c r="O1253" s="90">
        <v>255</v>
      </c>
    </row>
    <row r="1254" spans="1:15" s="90" customFormat="1" ht="12.75" customHeight="1" x14ac:dyDescent="0.2">
      <c r="A1254" s="247" t="s">
        <v>1026</v>
      </c>
      <c r="B1254" s="316">
        <v>3216</v>
      </c>
      <c r="C1254" s="247" t="s">
        <v>975</v>
      </c>
      <c r="D1254" s="317">
        <v>42656</v>
      </c>
      <c r="E1254" s="318">
        <v>0.34408564814814818</v>
      </c>
      <c r="F1254" s="247" t="s">
        <v>235</v>
      </c>
      <c r="G1254" s="247" t="s">
        <v>1035</v>
      </c>
      <c r="H1254" s="248" t="s">
        <v>234</v>
      </c>
      <c r="I1254" s="248" t="s">
        <v>235</v>
      </c>
      <c r="J1254" s="247" t="s">
        <v>809</v>
      </c>
      <c r="K1254" s="249">
        <v>0</v>
      </c>
      <c r="M1254" s="90">
        <v>0</v>
      </c>
      <c r="N1254" s="90">
        <v>0</v>
      </c>
      <c r="O1254" s="90">
        <v>255</v>
      </c>
    </row>
    <row r="1255" spans="1:15" s="90" customFormat="1" ht="12.75" customHeight="1" x14ac:dyDescent="0.2">
      <c r="A1255" s="247" t="s">
        <v>989</v>
      </c>
      <c r="B1255" s="316">
        <v>3046</v>
      </c>
      <c r="C1255" s="247" t="s">
        <v>975</v>
      </c>
      <c r="D1255" s="317">
        <v>42656</v>
      </c>
      <c r="E1255" s="318">
        <v>0.34451388888888884</v>
      </c>
      <c r="F1255" s="247" t="s">
        <v>976</v>
      </c>
      <c r="G1255" s="247" t="s">
        <v>1035</v>
      </c>
      <c r="H1255" s="248" t="s">
        <v>404</v>
      </c>
      <c r="I1255" s="248" t="s">
        <v>404</v>
      </c>
      <c r="J1255" s="247" t="s">
        <v>809</v>
      </c>
      <c r="K1255" s="249">
        <v>0</v>
      </c>
      <c r="M1255" s="90">
        <v>0</v>
      </c>
      <c r="N1255" s="90">
        <v>0</v>
      </c>
      <c r="O1255" s="90">
        <v>255</v>
      </c>
    </row>
    <row r="1256" spans="1:15" s="90" customFormat="1" ht="12.75" customHeight="1" x14ac:dyDescent="0.2">
      <c r="A1256" s="247" t="s">
        <v>1065</v>
      </c>
      <c r="B1256" s="316">
        <v>3052</v>
      </c>
      <c r="C1256" s="247" t="s">
        <v>975</v>
      </c>
      <c r="D1256" s="317">
        <v>42656</v>
      </c>
      <c r="E1256" s="318">
        <v>0.34453703703703703</v>
      </c>
      <c r="F1256" s="247" t="s">
        <v>235</v>
      </c>
      <c r="G1256" s="247" t="s">
        <v>1035</v>
      </c>
      <c r="H1256" s="248" t="s">
        <v>234</v>
      </c>
      <c r="I1256" s="248" t="s">
        <v>235</v>
      </c>
      <c r="J1256" s="247" t="s">
        <v>809</v>
      </c>
      <c r="K1256" s="249">
        <v>0</v>
      </c>
      <c r="M1256" s="90">
        <v>0</v>
      </c>
      <c r="N1256" s="90">
        <v>0</v>
      </c>
      <c r="O1256" s="90">
        <v>255</v>
      </c>
    </row>
    <row r="1257" spans="1:15" s="90" customFormat="1" ht="12.75" customHeight="1" x14ac:dyDescent="0.2">
      <c r="A1257" s="247" t="s">
        <v>990</v>
      </c>
      <c r="B1257" s="316">
        <v>3046</v>
      </c>
      <c r="C1257" s="247" t="s">
        <v>975</v>
      </c>
      <c r="D1257" s="317">
        <v>42656</v>
      </c>
      <c r="E1257" s="318">
        <v>0.34454861111111112</v>
      </c>
      <c r="F1257" s="247" t="s">
        <v>976</v>
      </c>
      <c r="G1257" s="247" t="s">
        <v>1035</v>
      </c>
      <c r="H1257" s="248" t="s">
        <v>404</v>
      </c>
      <c r="I1257" s="248" t="s">
        <v>404</v>
      </c>
      <c r="J1257" s="247" t="s">
        <v>809</v>
      </c>
      <c r="K1257" s="249">
        <v>0</v>
      </c>
      <c r="M1257" s="90">
        <v>0</v>
      </c>
      <c r="N1257" s="90">
        <v>0</v>
      </c>
      <c r="O1257" s="90">
        <v>255</v>
      </c>
    </row>
    <row r="1258" spans="1:15" s="90" customFormat="1" ht="12.75" customHeight="1" x14ac:dyDescent="0.2">
      <c r="A1258" s="247" t="s">
        <v>989</v>
      </c>
      <c r="B1258" s="316">
        <v>3046</v>
      </c>
      <c r="C1258" s="247" t="s">
        <v>975</v>
      </c>
      <c r="D1258" s="317">
        <v>42656</v>
      </c>
      <c r="E1258" s="318">
        <v>0.34459490740740745</v>
      </c>
      <c r="F1258" s="247" t="s">
        <v>976</v>
      </c>
      <c r="G1258" s="247" t="s">
        <v>1035</v>
      </c>
      <c r="H1258" s="248" t="s">
        <v>404</v>
      </c>
      <c r="I1258" s="248" t="s">
        <v>404</v>
      </c>
      <c r="J1258" s="247" t="s">
        <v>809</v>
      </c>
      <c r="K1258" s="249">
        <v>0</v>
      </c>
      <c r="M1258" s="90">
        <v>0</v>
      </c>
      <c r="N1258" s="90">
        <v>0</v>
      </c>
      <c r="O1258" s="90">
        <v>255</v>
      </c>
    </row>
    <row r="1259" spans="1:15" s="90" customFormat="1" ht="12.75" customHeight="1" x14ac:dyDescent="0.2">
      <c r="A1259" s="247" t="s">
        <v>990</v>
      </c>
      <c r="B1259" s="316">
        <v>3046</v>
      </c>
      <c r="C1259" s="247" t="s">
        <v>975</v>
      </c>
      <c r="D1259" s="317">
        <v>42656</v>
      </c>
      <c r="E1259" s="318">
        <v>0.34462962962962962</v>
      </c>
      <c r="F1259" s="247" t="s">
        <v>976</v>
      </c>
      <c r="G1259" s="247" t="s">
        <v>1035</v>
      </c>
      <c r="H1259" s="248" t="s">
        <v>404</v>
      </c>
      <c r="I1259" s="248" t="s">
        <v>404</v>
      </c>
      <c r="J1259" s="247" t="s">
        <v>809</v>
      </c>
      <c r="K1259" s="249">
        <v>0</v>
      </c>
      <c r="M1259" s="90">
        <v>0</v>
      </c>
      <c r="N1259" s="90">
        <v>0</v>
      </c>
      <c r="O1259" s="90">
        <v>255</v>
      </c>
    </row>
    <row r="1260" spans="1:15" s="90" customFormat="1" ht="12.75" customHeight="1" x14ac:dyDescent="0.2">
      <c r="A1260" s="247" t="s">
        <v>1066</v>
      </c>
      <c r="B1260" s="316">
        <v>3052</v>
      </c>
      <c r="C1260" s="247" t="s">
        <v>975</v>
      </c>
      <c r="D1260" s="317">
        <v>42656</v>
      </c>
      <c r="E1260" s="318">
        <v>0.34462962962962962</v>
      </c>
      <c r="F1260" s="247" t="s">
        <v>235</v>
      </c>
      <c r="G1260" s="247" t="s">
        <v>1035</v>
      </c>
      <c r="H1260" s="248" t="s">
        <v>234</v>
      </c>
      <c r="I1260" s="248" t="s">
        <v>235</v>
      </c>
      <c r="J1260" s="247" t="s">
        <v>809</v>
      </c>
      <c r="K1260" s="249">
        <v>0</v>
      </c>
      <c r="M1260" s="90">
        <v>0</v>
      </c>
      <c r="N1260" s="90">
        <v>0</v>
      </c>
      <c r="O1260" s="90">
        <v>255</v>
      </c>
    </row>
    <row r="1261" spans="1:15" s="90" customFormat="1" ht="12.75" customHeight="1" x14ac:dyDescent="0.2">
      <c r="A1261" s="247" t="s">
        <v>1238</v>
      </c>
      <c r="B1261" s="316">
        <v>3218</v>
      </c>
      <c r="C1261" s="247" t="s">
        <v>979</v>
      </c>
      <c r="D1261" s="317">
        <v>42656</v>
      </c>
      <c r="E1261" s="318">
        <v>0.3460185185185185</v>
      </c>
      <c r="F1261" s="247" t="s">
        <v>702</v>
      </c>
      <c r="G1261" s="247" t="s">
        <v>1035</v>
      </c>
      <c r="H1261" s="248"/>
      <c r="I1261" s="248"/>
      <c r="J1261" s="247"/>
      <c r="K1261" s="249"/>
      <c r="M1261" s="90">
        <v>0</v>
      </c>
      <c r="N1261" s="90">
        <v>0</v>
      </c>
      <c r="O1261" s="90">
        <v>255</v>
      </c>
    </row>
    <row r="1262" spans="1:15" s="90" customFormat="1" ht="12.75" customHeight="1" x14ac:dyDescent="0.2">
      <c r="A1262" s="247" t="s">
        <v>1239</v>
      </c>
      <c r="B1262" s="316">
        <v>3218</v>
      </c>
      <c r="C1262" s="247" t="s">
        <v>979</v>
      </c>
      <c r="D1262" s="317">
        <v>42656</v>
      </c>
      <c r="E1262" s="318">
        <v>0.3460185185185185</v>
      </c>
      <c r="F1262" s="247" t="s">
        <v>702</v>
      </c>
      <c r="G1262" s="247" t="s">
        <v>1035</v>
      </c>
      <c r="H1262" s="248"/>
      <c r="I1262" s="248"/>
      <c r="J1262" s="247"/>
      <c r="K1262" s="249"/>
      <c r="M1262" s="90">
        <v>0</v>
      </c>
      <c r="N1262" s="90">
        <v>0</v>
      </c>
      <c r="O1262" s="90">
        <v>255</v>
      </c>
    </row>
    <row r="1263" spans="1:15" s="90" customFormat="1" ht="12.75" customHeight="1" x14ac:dyDescent="0.2">
      <c r="A1263" s="247" t="s">
        <v>1240</v>
      </c>
      <c r="B1263" s="316">
        <v>3218</v>
      </c>
      <c r="C1263" s="247" t="s">
        <v>979</v>
      </c>
      <c r="D1263" s="317">
        <v>42656</v>
      </c>
      <c r="E1263" s="318">
        <v>0.3460185185185185</v>
      </c>
      <c r="F1263" s="247" t="s">
        <v>702</v>
      </c>
      <c r="G1263" s="247" t="s">
        <v>1035</v>
      </c>
      <c r="H1263" s="248"/>
      <c r="I1263" s="248"/>
      <c r="J1263" s="247"/>
      <c r="K1263" s="249"/>
      <c r="M1263" s="90">
        <v>0</v>
      </c>
      <c r="N1263" s="90">
        <v>0</v>
      </c>
      <c r="O1263" s="90">
        <v>255</v>
      </c>
    </row>
    <row r="1264" spans="1:15" s="90" customFormat="1" ht="12.75" customHeight="1" x14ac:dyDescent="0.2">
      <c r="A1264" s="247" t="s">
        <v>1241</v>
      </c>
      <c r="B1264" s="316">
        <v>3218</v>
      </c>
      <c r="C1264" s="247" t="s">
        <v>979</v>
      </c>
      <c r="D1264" s="317">
        <v>42656</v>
      </c>
      <c r="E1264" s="318">
        <v>0.3460185185185185</v>
      </c>
      <c r="F1264" s="247" t="s">
        <v>702</v>
      </c>
      <c r="G1264" s="247" t="s">
        <v>1035</v>
      </c>
      <c r="H1264" s="248"/>
      <c r="I1264" s="248"/>
      <c r="J1264" s="247"/>
      <c r="K1264" s="249"/>
      <c r="M1264" s="90">
        <v>0</v>
      </c>
      <c r="N1264" s="90">
        <v>0</v>
      </c>
      <c r="O1264" s="90">
        <v>255</v>
      </c>
    </row>
    <row r="1265" spans="1:15" s="90" customFormat="1" ht="12.75" customHeight="1" x14ac:dyDescent="0.2">
      <c r="A1265" s="247" t="s">
        <v>1242</v>
      </c>
      <c r="B1265" s="316">
        <v>3218</v>
      </c>
      <c r="C1265" s="247" t="s">
        <v>979</v>
      </c>
      <c r="D1265" s="317">
        <v>42656</v>
      </c>
      <c r="E1265" s="318">
        <v>0.3460185185185185</v>
      </c>
      <c r="F1265" s="247" t="s">
        <v>702</v>
      </c>
      <c r="G1265" s="247" t="s">
        <v>1035</v>
      </c>
      <c r="H1265" s="248"/>
      <c r="I1265" s="248"/>
      <c r="J1265" s="247"/>
      <c r="K1265" s="249"/>
      <c r="M1265" s="90">
        <v>0</v>
      </c>
      <c r="N1265" s="90">
        <v>0</v>
      </c>
      <c r="O1265" s="90">
        <v>255</v>
      </c>
    </row>
    <row r="1266" spans="1:15" s="90" customFormat="1" ht="12.75" customHeight="1" x14ac:dyDescent="0.2">
      <c r="A1266" s="247" t="s">
        <v>1031</v>
      </c>
      <c r="B1266" s="316">
        <v>3046</v>
      </c>
      <c r="C1266" s="247" t="s">
        <v>975</v>
      </c>
      <c r="D1266" s="317">
        <v>42656</v>
      </c>
      <c r="E1266" s="318">
        <v>0.34634259259259265</v>
      </c>
      <c r="F1266" s="247" t="s">
        <v>976</v>
      </c>
      <c r="G1266" s="247" t="s">
        <v>1035</v>
      </c>
      <c r="H1266" s="248" t="s">
        <v>404</v>
      </c>
      <c r="I1266" s="248" t="s">
        <v>404</v>
      </c>
      <c r="J1266" s="247" t="s">
        <v>809</v>
      </c>
      <c r="K1266" s="249">
        <v>0</v>
      </c>
      <c r="M1266" s="90">
        <v>0</v>
      </c>
      <c r="N1266" s="90">
        <v>0</v>
      </c>
      <c r="O1266" s="90">
        <v>255</v>
      </c>
    </row>
    <row r="1267" spans="1:15" s="90" customFormat="1" ht="12.75" customHeight="1" x14ac:dyDescent="0.2">
      <c r="A1267" s="247" t="s">
        <v>1032</v>
      </c>
      <c r="B1267" s="316">
        <v>3046</v>
      </c>
      <c r="C1267" s="247" t="s">
        <v>975</v>
      </c>
      <c r="D1267" s="317">
        <v>42656</v>
      </c>
      <c r="E1267" s="318">
        <v>0.3558796296296296</v>
      </c>
      <c r="F1267" s="247" t="s">
        <v>976</v>
      </c>
      <c r="G1267" s="247" t="s">
        <v>1035</v>
      </c>
      <c r="H1267" s="248" t="s">
        <v>404</v>
      </c>
      <c r="I1267" s="248" t="s">
        <v>404</v>
      </c>
      <c r="J1267" s="247" t="s">
        <v>809</v>
      </c>
      <c r="K1267" s="249">
        <v>0</v>
      </c>
      <c r="M1267" s="90">
        <v>0</v>
      </c>
      <c r="N1267" s="90">
        <v>0</v>
      </c>
      <c r="O1267" s="90">
        <v>255</v>
      </c>
    </row>
    <row r="1268" spans="1:15" s="90" customFormat="1" ht="12.75" customHeight="1" x14ac:dyDescent="0.2">
      <c r="A1268" s="247" t="s">
        <v>989</v>
      </c>
      <c r="B1268" s="316">
        <v>3046</v>
      </c>
      <c r="C1268" s="247" t="s">
        <v>975</v>
      </c>
      <c r="D1268" s="317">
        <v>42656</v>
      </c>
      <c r="E1268" s="318">
        <v>0.3558912037037037</v>
      </c>
      <c r="F1268" s="247" t="s">
        <v>976</v>
      </c>
      <c r="G1268" s="247" t="s">
        <v>1035</v>
      </c>
      <c r="H1268" s="248" t="s">
        <v>404</v>
      </c>
      <c r="I1268" s="248" t="s">
        <v>404</v>
      </c>
      <c r="J1268" s="247" t="s">
        <v>809</v>
      </c>
      <c r="K1268" s="249">
        <v>0</v>
      </c>
      <c r="M1268" s="90">
        <v>0</v>
      </c>
      <c r="N1268" s="90">
        <v>0</v>
      </c>
      <c r="O1268" s="90">
        <v>255</v>
      </c>
    </row>
    <row r="1269" spans="1:15" s="90" customFormat="1" ht="12.75" customHeight="1" x14ac:dyDescent="0.2">
      <c r="A1269" s="247" t="s">
        <v>1033</v>
      </c>
      <c r="B1269" s="316">
        <v>3217</v>
      </c>
      <c r="C1269" s="247" t="s">
        <v>975</v>
      </c>
      <c r="D1269" s="317">
        <v>42656</v>
      </c>
      <c r="E1269" s="318">
        <v>0.3566319444444444</v>
      </c>
      <c r="F1269" s="247" t="s">
        <v>235</v>
      </c>
      <c r="G1269" s="247" t="s">
        <v>1035</v>
      </c>
      <c r="H1269" s="248" t="s">
        <v>234</v>
      </c>
      <c r="I1269" s="248" t="s">
        <v>235</v>
      </c>
      <c r="J1269" s="247" t="s">
        <v>809</v>
      </c>
      <c r="K1269" s="249">
        <v>0</v>
      </c>
      <c r="M1269" s="90">
        <v>0</v>
      </c>
      <c r="N1269" s="90">
        <v>0</v>
      </c>
      <c r="O1269" s="90">
        <v>255</v>
      </c>
    </row>
    <row r="1270" spans="1:15" s="90" customFormat="1" ht="12.75" customHeight="1" x14ac:dyDescent="0.2">
      <c r="A1270" s="247" t="s">
        <v>990</v>
      </c>
      <c r="B1270" s="316">
        <v>3046</v>
      </c>
      <c r="C1270" s="247" t="s">
        <v>975</v>
      </c>
      <c r="D1270" s="317">
        <v>42656</v>
      </c>
      <c r="E1270" s="318">
        <v>0.35664351851851855</v>
      </c>
      <c r="F1270" s="247" t="s">
        <v>976</v>
      </c>
      <c r="G1270" s="247" t="s">
        <v>1035</v>
      </c>
      <c r="H1270" s="248" t="s">
        <v>404</v>
      </c>
      <c r="I1270" s="248" t="s">
        <v>404</v>
      </c>
      <c r="J1270" s="247" t="s">
        <v>809</v>
      </c>
      <c r="K1270" s="249">
        <v>0</v>
      </c>
      <c r="M1270" s="90">
        <v>0</v>
      </c>
      <c r="N1270" s="90">
        <v>0</v>
      </c>
      <c r="O1270" s="90">
        <v>255</v>
      </c>
    </row>
    <row r="1271" spans="1:15" s="90" customFormat="1" ht="12.75" customHeight="1" x14ac:dyDescent="0.2">
      <c r="A1271" s="247" t="s">
        <v>1008</v>
      </c>
      <c r="B1271" s="316">
        <v>3046</v>
      </c>
      <c r="C1271" s="247" t="s">
        <v>975</v>
      </c>
      <c r="D1271" s="317">
        <v>42656</v>
      </c>
      <c r="E1271" s="318">
        <v>0.39541666666666669</v>
      </c>
      <c r="F1271" s="247" t="s">
        <v>976</v>
      </c>
      <c r="G1271" s="247" t="s">
        <v>1035</v>
      </c>
      <c r="H1271" s="248" t="s">
        <v>404</v>
      </c>
      <c r="I1271" s="248" t="s">
        <v>404</v>
      </c>
      <c r="J1271" s="247" t="s">
        <v>809</v>
      </c>
      <c r="K1271" s="249">
        <v>0</v>
      </c>
      <c r="M1271" s="90">
        <v>0</v>
      </c>
      <c r="N1271" s="90">
        <v>0</v>
      </c>
      <c r="O1271" s="90">
        <v>255</v>
      </c>
    </row>
    <row r="1272" spans="1:15" s="90" customFormat="1" ht="12.75" customHeight="1" x14ac:dyDescent="0.2">
      <c r="A1272" s="247" t="s">
        <v>974</v>
      </c>
      <c r="B1272" s="316">
        <v>3046</v>
      </c>
      <c r="C1272" s="247" t="s">
        <v>975</v>
      </c>
      <c r="D1272" s="317">
        <v>42656</v>
      </c>
      <c r="E1272" s="318">
        <v>0.40082175925925928</v>
      </c>
      <c r="F1272" s="247" t="s">
        <v>976</v>
      </c>
      <c r="G1272" s="247" t="s">
        <v>1035</v>
      </c>
      <c r="H1272" s="248" t="s">
        <v>404</v>
      </c>
      <c r="I1272" s="248" t="s">
        <v>404</v>
      </c>
      <c r="J1272" s="247" t="s">
        <v>809</v>
      </c>
      <c r="K1272" s="249">
        <v>0</v>
      </c>
      <c r="M1272" s="90">
        <v>0</v>
      </c>
      <c r="N1272" s="90">
        <v>0</v>
      </c>
      <c r="O1272" s="90">
        <v>255</v>
      </c>
    </row>
    <row r="1273" spans="1:15" s="90" customFormat="1" ht="12.75" customHeight="1" x14ac:dyDescent="0.2">
      <c r="A1273" s="247" t="s">
        <v>977</v>
      </c>
      <c r="B1273" s="316">
        <v>3046</v>
      </c>
      <c r="C1273" s="247" t="s">
        <v>975</v>
      </c>
      <c r="D1273" s="317">
        <v>42656</v>
      </c>
      <c r="E1273" s="318">
        <v>0.40082175925925928</v>
      </c>
      <c r="F1273" s="247" t="s">
        <v>976</v>
      </c>
      <c r="G1273" s="247" t="s">
        <v>1035</v>
      </c>
      <c r="H1273" s="248" t="s">
        <v>404</v>
      </c>
      <c r="I1273" s="248" t="s">
        <v>404</v>
      </c>
      <c r="J1273" s="247" t="s">
        <v>809</v>
      </c>
      <c r="K1273" s="249">
        <v>0</v>
      </c>
      <c r="M1273" s="90">
        <v>0</v>
      </c>
      <c r="N1273" s="90">
        <v>0</v>
      </c>
      <c r="O1273" s="90">
        <v>255</v>
      </c>
    </row>
    <row r="1274" spans="1:15" s="90" customFormat="1" ht="12.75" customHeight="1" x14ac:dyDescent="0.2">
      <c r="A1274" s="247" t="s">
        <v>983</v>
      </c>
      <c r="B1274" s="316">
        <v>3046</v>
      </c>
      <c r="C1274" s="247" t="s">
        <v>975</v>
      </c>
      <c r="D1274" s="317">
        <v>42656</v>
      </c>
      <c r="E1274" s="318">
        <v>0.40130787037037036</v>
      </c>
      <c r="F1274" s="247" t="s">
        <v>976</v>
      </c>
      <c r="G1274" s="247" t="s">
        <v>1035</v>
      </c>
      <c r="H1274" s="248" t="s">
        <v>404</v>
      </c>
      <c r="I1274" s="248" t="s">
        <v>404</v>
      </c>
      <c r="J1274" s="247" t="s">
        <v>809</v>
      </c>
      <c r="K1274" s="249">
        <v>0</v>
      </c>
      <c r="M1274" s="90">
        <v>0</v>
      </c>
      <c r="N1274" s="90">
        <v>0</v>
      </c>
      <c r="O1274" s="90">
        <v>255</v>
      </c>
    </row>
    <row r="1275" spans="1:15" s="90" customFormat="1" ht="12.75" customHeight="1" x14ac:dyDescent="0.2">
      <c r="A1275" s="247" t="s">
        <v>991</v>
      </c>
      <c r="B1275" s="316">
        <v>3046</v>
      </c>
      <c r="C1275" s="247" t="s">
        <v>975</v>
      </c>
      <c r="D1275" s="317">
        <v>42656</v>
      </c>
      <c r="E1275" s="318">
        <v>0.40142361111111113</v>
      </c>
      <c r="F1275" s="247" t="s">
        <v>976</v>
      </c>
      <c r="G1275" s="247" t="s">
        <v>1035</v>
      </c>
      <c r="H1275" s="248" t="s">
        <v>404</v>
      </c>
      <c r="I1275" s="248" t="s">
        <v>404</v>
      </c>
      <c r="J1275" s="247" t="s">
        <v>809</v>
      </c>
      <c r="K1275" s="249">
        <v>0</v>
      </c>
      <c r="M1275" s="90">
        <v>0</v>
      </c>
      <c r="N1275" s="90">
        <v>0</v>
      </c>
      <c r="O1275" s="90">
        <v>255</v>
      </c>
    </row>
    <row r="1276" spans="1:15" s="90" customFormat="1" ht="12.75" customHeight="1" x14ac:dyDescent="0.2">
      <c r="A1276" s="247" t="s">
        <v>992</v>
      </c>
      <c r="B1276" s="316">
        <v>3046</v>
      </c>
      <c r="C1276" s="247" t="s">
        <v>975</v>
      </c>
      <c r="D1276" s="317">
        <v>42656</v>
      </c>
      <c r="E1276" s="318">
        <v>0.40265046296296297</v>
      </c>
      <c r="F1276" s="247" t="s">
        <v>976</v>
      </c>
      <c r="G1276" s="247" t="s">
        <v>1035</v>
      </c>
      <c r="H1276" s="248" t="s">
        <v>404</v>
      </c>
      <c r="I1276" s="248" t="s">
        <v>404</v>
      </c>
      <c r="J1276" s="247" t="s">
        <v>809</v>
      </c>
      <c r="K1276" s="249">
        <v>0</v>
      </c>
      <c r="M1276" s="90">
        <v>0</v>
      </c>
      <c r="N1276" s="90">
        <v>0</v>
      </c>
      <c r="O1276" s="90">
        <v>255</v>
      </c>
    </row>
    <row r="1277" spans="1:15" s="90" customFormat="1" ht="12.75" customHeight="1" x14ac:dyDescent="0.2">
      <c r="A1277" s="247" t="s">
        <v>988</v>
      </c>
      <c r="B1277" s="316">
        <v>3046</v>
      </c>
      <c r="C1277" s="247" t="s">
        <v>975</v>
      </c>
      <c r="D1277" s="317">
        <v>42656</v>
      </c>
      <c r="E1277" s="318">
        <v>0.40435185185185185</v>
      </c>
      <c r="F1277" s="247" t="s">
        <v>976</v>
      </c>
      <c r="G1277" s="247" t="s">
        <v>1035</v>
      </c>
      <c r="H1277" s="248" t="s">
        <v>404</v>
      </c>
      <c r="I1277" s="248" t="s">
        <v>404</v>
      </c>
      <c r="J1277" s="247" t="s">
        <v>809</v>
      </c>
      <c r="K1277" s="249">
        <v>0</v>
      </c>
      <c r="M1277" s="90">
        <v>0</v>
      </c>
      <c r="N1277" s="90">
        <v>0</v>
      </c>
      <c r="O1277" s="90">
        <v>255</v>
      </c>
    </row>
    <row r="1278" spans="1:15" s="90" customFormat="1" ht="12.75" customHeight="1" x14ac:dyDescent="0.2">
      <c r="A1278" s="247" t="s">
        <v>989</v>
      </c>
      <c r="B1278" s="316">
        <v>3046</v>
      </c>
      <c r="C1278" s="247" t="s">
        <v>975</v>
      </c>
      <c r="D1278" s="317">
        <v>42656</v>
      </c>
      <c r="E1278" s="318">
        <v>0.40435185185185185</v>
      </c>
      <c r="F1278" s="247" t="s">
        <v>976</v>
      </c>
      <c r="G1278" s="247" t="s">
        <v>1035</v>
      </c>
      <c r="H1278" s="248" t="s">
        <v>404</v>
      </c>
      <c r="I1278" s="248" t="s">
        <v>404</v>
      </c>
      <c r="J1278" s="247" t="s">
        <v>809</v>
      </c>
      <c r="K1278" s="249">
        <v>0</v>
      </c>
      <c r="M1278" s="90">
        <v>0</v>
      </c>
      <c r="N1278" s="90">
        <v>0</v>
      </c>
      <c r="O1278" s="90">
        <v>255</v>
      </c>
    </row>
    <row r="1279" spans="1:15" s="90" customFormat="1" ht="12.75" customHeight="1" x14ac:dyDescent="0.2">
      <c r="A1279" s="247" t="s">
        <v>990</v>
      </c>
      <c r="B1279" s="316">
        <v>3046</v>
      </c>
      <c r="C1279" s="247" t="s">
        <v>975</v>
      </c>
      <c r="D1279" s="317">
        <v>42656</v>
      </c>
      <c r="E1279" s="318">
        <v>0.4051967592592593</v>
      </c>
      <c r="F1279" s="247" t="s">
        <v>976</v>
      </c>
      <c r="G1279" s="247" t="s">
        <v>1035</v>
      </c>
      <c r="H1279" s="248" t="s">
        <v>404</v>
      </c>
      <c r="I1279" s="248" t="s">
        <v>404</v>
      </c>
      <c r="J1279" s="247" t="s">
        <v>809</v>
      </c>
      <c r="K1279" s="249">
        <v>0</v>
      </c>
      <c r="M1279" s="90">
        <v>0</v>
      </c>
      <c r="N1279" s="90">
        <v>0</v>
      </c>
      <c r="O1279" s="90">
        <v>255</v>
      </c>
    </row>
    <row r="1280" spans="1:15" s="90" customFormat="1" ht="12.75" customHeight="1" x14ac:dyDescent="0.2">
      <c r="A1280" s="247" t="s">
        <v>1008</v>
      </c>
      <c r="B1280" s="316">
        <v>3046</v>
      </c>
      <c r="C1280" s="247" t="s">
        <v>975</v>
      </c>
      <c r="D1280" s="317">
        <v>42656</v>
      </c>
      <c r="E1280" s="318">
        <v>0.41403935185185187</v>
      </c>
      <c r="F1280" s="247" t="s">
        <v>976</v>
      </c>
      <c r="G1280" s="247" t="s">
        <v>1035</v>
      </c>
      <c r="H1280" s="248" t="s">
        <v>404</v>
      </c>
      <c r="I1280" s="248" t="s">
        <v>404</v>
      </c>
      <c r="J1280" s="247" t="s">
        <v>809</v>
      </c>
      <c r="K1280" s="249">
        <v>0</v>
      </c>
      <c r="M1280" s="90">
        <v>0</v>
      </c>
      <c r="N1280" s="90">
        <v>0</v>
      </c>
      <c r="O1280" s="90">
        <v>255</v>
      </c>
    </row>
    <row r="1281" spans="1:15" s="90" customFormat="1" ht="12.75" customHeight="1" x14ac:dyDescent="0.2">
      <c r="A1281" s="247" t="s">
        <v>974</v>
      </c>
      <c r="B1281" s="316">
        <v>3046</v>
      </c>
      <c r="C1281" s="247" t="s">
        <v>975</v>
      </c>
      <c r="D1281" s="317">
        <v>42656</v>
      </c>
      <c r="E1281" s="318">
        <v>0.4173263888888889</v>
      </c>
      <c r="F1281" s="247" t="s">
        <v>976</v>
      </c>
      <c r="G1281" s="247" t="s">
        <v>1035</v>
      </c>
      <c r="H1281" s="248" t="s">
        <v>404</v>
      </c>
      <c r="I1281" s="248" t="s">
        <v>404</v>
      </c>
      <c r="J1281" s="247" t="s">
        <v>809</v>
      </c>
      <c r="K1281" s="249">
        <v>0</v>
      </c>
      <c r="M1281" s="90">
        <v>0</v>
      </c>
      <c r="N1281" s="90">
        <v>0</v>
      </c>
      <c r="O1281" s="90">
        <v>255</v>
      </c>
    </row>
    <row r="1282" spans="1:15" s="90" customFormat="1" ht="12.75" customHeight="1" x14ac:dyDescent="0.2">
      <c r="A1282" s="247" t="s">
        <v>977</v>
      </c>
      <c r="B1282" s="316">
        <v>3046</v>
      </c>
      <c r="C1282" s="247" t="s">
        <v>975</v>
      </c>
      <c r="D1282" s="317">
        <v>42656</v>
      </c>
      <c r="E1282" s="318">
        <v>0.4173263888888889</v>
      </c>
      <c r="F1282" s="247" t="s">
        <v>976</v>
      </c>
      <c r="G1282" s="247" t="s">
        <v>1035</v>
      </c>
      <c r="H1282" s="248" t="s">
        <v>404</v>
      </c>
      <c r="I1282" s="248" t="s">
        <v>404</v>
      </c>
      <c r="J1282" s="247" t="s">
        <v>809</v>
      </c>
      <c r="K1282" s="249">
        <v>0</v>
      </c>
      <c r="M1282" s="90">
        <v>0</v>
      </c>
      <c r="N1282" s="90">
        <v>0</v>
      </c>
      <c r="O1282" s="90">
        <v>255</v>
      </c>
    </row>
    <row r="1283" spans="1:15" s="90" customFormat="1" ht="12.75" customHeight="1" x14ac:dyDescent="0.2">
      <c r="A1283" s="247" t="s">
        <v>983</v>
      </c>
      <c r="B1283" s="316">
        <v>3046</v>
      </c>
      <c r="C1283" s="247" t="s">
        <v>975</v>
      </c>
      <c r="D1283" s="317">
        <v>42656</v>
      </c>
      <c r="E1283" s="318">
        <v>0.41787037037037034</v>
      </c>
      <c r="F1283" s="247" t="s">
        <v>976</v>
      </c>
      <c r="G1283" s="247" t="s">
        <v>1035</v>
      </c>
      <c r="H1283" s="248" t="s">
        <v>404</v>
      </c>
      <c r="I1283" s="248" t="s">
        <v>404</v>
      </c>
      <c r="J1283" s="247" t="s">
        <v>809</v>
      </c>
      <c r="K1283" s="249">
        <v>0</v>
      </c>
      <c r="M1283" s="90">
        <v>0</v>
      </c>
      <c r="N1283" s="90">
        <v>0</v>
      </c>
      <c r="O1283" s="90">
        <v>255</v>
      </c>
    </row>
    <row r="1284" spans="1:15" s="90" customFormat="1" ht="12.75" customHeight="1" x14ac:dyDescent="0.2">
      <c r="A1284" s="247" t="s">
        <v>991</v>
      </c>
      <c r="B1284" s="316">
        <v>3046</v>
      </c>
      <c r="C1284" s="247" t="s">
        <v>975</v>
      </c>
      <c r="D1284" s="317">
        <v>42656</v>
      </c>
      <c r="E1284" s="318">
        <v>0.41798611111111111</v>
      </c>
      <c r="F1284" s="247" t="s">
        <v>976</v>
      </c>
      <c r="G1284" s="247" t="s">
        <v>1035</v>
      </c>
      <c r="H1284" s="248" t="s">
        <v>404</v>
      </c>
      <c r="I1284" s="248" t="s">
        <v>404</v>
      </c>
      <c r="J1284" s="247" t="s">
        <v>809</v>
      </c>
      <c r="K1284" s="249">
        <v>0</v>
      </c>
      <c r="M1284" s="90">
        <v>0</v>
      </c>
      <c r="N1284" s="90">
        <v>0</v>
      </c>
      <c r="O1284" s="90">
        <v>255</v>
      </c>
    </row>
    <row r="1285" spans="1:15" s="90" customFormat="1" ht="12.75" customHeight="1" x14ac:dyDescent="0.2">
      <c r="A1285" s="247" t="s">
        <v>992</v>
      </c>
      <c r="B1285" s="316">
        <v>3046</v>
      </c>
      <c r="C1285" s="247" t="s">
        <v>975</v>
      </c>
      <c r="D1285" s="317">
        <v>42656</v>
      </c>
      <c r="E1285" s="318">
        <v>0.41922453703703705</v>
      </c>
      <c r="F1285" s="247" t="s">
        <v>976</v>
      </c>
      <c r="G1285" s="247" t="s">
        <v>1035</v>
      </c>
      <c r="H1285" s="248" t="s">
        <v>404</v>
      </c>
      <c r="I1285" s="248" t="s">
        <v>404</v>
      </c>
      <c r="J1285" s="247" t="s">
        <v>809</v>
      </c>
      <c r="K1285" s="249">
        <v>0</v>
      </c>
      <c r="M1285" s="90">
        <v>0</v>
      </c>
      <c r="N1285" s="90">
        <v>0</v>
      </c>
      <c r="O1285" s="90">
        <v>255</v>
      </c>
    </row>
    <row r="1286" spans="1:15" s="90" customFormat="1" ht="12.75" customHeight="1" x14ac:dyDescent="0.2">
      <c r="A1286" s="247" t="s">
        <v>988</v>
      </c>
      <c r="B1286" s="316">
        <v>3046</v>
      </c>
      <c r="C1286" s="247" t="s">
        <v>975</v>
      </c>
      <c r="D1286" s="317">
        <v>42656</v>
      </c>
      <c r="E1286" s="318">
        <v>0.42085648148148147</v>
      </c>
      <c r="F1286" s="247" t="s">
        <v>976</v>
      </c>
      <c r="G1286" s="247" t="s">
        <v>1035</v>
      </c>
      <c r="H1286" s="248" t="s">
        <v>404</v>
      </c>
      <c r="I1286" s="248" t="s">
        <v>404</v>
      </c>
      <c r="J1286" s="247" t="s">
        <v>809</v>
      </c>
      <c r="K1286" s="249">
        <v>0</v>
      </c>
      <c r="M1286" s="90">
        <v>0</v>
      </c>
      <c r="N1286" s="90">
        <v>0</v>
      </c>
      <c r="O1286" s="90">
        <v>255</v>
      </c>
    </row>
    <row r="1287" spans="1:15" s="90" customFormat="1" ht="12.75" customHeight="1" x14ac:dyDescent="0.2">
      <c r="A1287" s="247" t="s">
        <v>989</v>
      </c>
      <c r="B1287" s="316">
        <v>3046</v>
      </c>
      <c r="C1287" s="247" t="s">
        <v>975</v>
      </c>
      <c r="D1287" s="317">
        <v>42656</v>
      </c>
      <c r="E1287" s="318">
        <v>0.42085648148148147</v>
      </c>
      <c r="F1287" s="247" t="s">
        <v>976</v>
      </c>
      <c r="G1287" s="247" t="s">
        <v>1035</v>
      </c>
      <c r="H1287" s="248" t="s">
        <v>404</v>
      </c>
      <c r="I1287" s="248" t="s">
        <v>404</v>
      </c>
      <c r="J1287" s="247" t="s">
        <v>809</v>
      </c>
      <c r="K1287" s="249">
        <v>0</v>
      </c>
      <c r="M1287" s="90">
        <v>0</v>
      </c>
      <c r="N1287" s="90">
        <v>0</v>
      </c>
      <c r="O1287" s="90">
        <v>255</v>
      </c>
    </row>
    <row r="1288" spans="1:15" s="90" customFormat="1" ht="12.75" customHeight="1" x14ac:dyDescent="0.2">
      <c r="A1288" s="247" t="s">
        <v>990</v>
      </c>
      <c r="B1288" s="316">
        <v>3046</v>
      </c>
      <c r="C1288" s="247" t="s">
        <v>975</v>
      </c>
      <c r="D1288" s="317">
        <v>42656</v>
      </c>
      <c r="E1288" s="318">
        <v>0.42170138888888892</v>
      </c>
      <c r="F1288" s="247" t="s">
        <v>976</v>
      </c>
      <c r="G1288" s="247" t="s">
        <v>1035</v>
      </c>
      <c r="H1288" s="248" t="s">
        <v>404</v>
      </c>
      <c r="I1288" s="248" t="s">
        <v>404</v>
      </c>
      <c r="J1288" s="247" t="s">
        <v>809</v>
      </c>
      <c r="K1288" s="249">
        <v>0</v>
      </c>
      <c r="M1288" s="90">
        <v>0</v>
      </c>
      <c r="N1288" s="90">
        <v>0</v>
      </c>
      <c r="O1288" s="90">
        <v>255</v>
      </c>
    </row>
    <row r="1289" spans="1:15" s="90" customFormat="1" ht="12.75" customHeight="1" x14ac:dyDescent="0.2">
      <c r="A1289" s="247" t="s">
        <v>1330</v>
      </c>
      <c r="B1289" s="316">
        <v>3218</v>
      </c>
      <c r="C1289" s="247" t="s">
        <v>979</v>
      </c>
      <c r="D1289" s="317">
        <v>42656</v>
      </c>
      <c r="E1289" s="318">
        <v>0.42221064814814818</v>
      </c>
      <c r="F1289" s="247" t="s">
        <v>702</v>
      </c>
      <c r="G1289" s="247" t="s">
        <v>1035</v>
      </c>
      <c r="H1289" s="248"/>
      <c r="I1289" s="248"/>
      <c r="J1289" s="247"/>
      <c r="K1289" s="249"/>
      <c r="M1289" s="90">
        <v>0</v>
      </c>
      <c r="N1289" s="90">
        <v>0</v>
      </c>
      <c r="O1289" s="90">
        <v>255</v>
      </c>
    </row>
    <row r="1290" spans="1:15" s="90" customFormat="1" ht="12.75" customHeight="1" x14ac:dyDescent="0.2">
      <c r="A1290" s="247" t="s">
        <v>1031</v>
      </c>
      <c r="B1290" s="316">
        <v>3046</v>
      </c>
      <c r="C1290" s="247" t="s">
        <v>975</v>
      </c>
      <c r="D1290" s="317">
        <v>42656</v>
      </c>
      <c r="E1290" s="318">
        <v>0.42226851851851849</v>
      </c>
      <c r="F1290" s="247" t="s">
        <v>976</v>
      </c>
      <c r="G1290" s="247" t="s">
        <v>1035</v>
      </c>
      <c r="H1290" s="248" t="s">
        <v>404</v>
      </c>
      <c r="I1290" s="248" t="s">
        <v>404</v>
      </c>
      <c r="J1290" s="247" t="s">
        <v>809</v>
      </c>
      <c r="K1290" s="249">
        <v>0</v>
      </c>
      <c r="M1290" s="90">
        <v>0</v>
      </c>
      <c r="N1290" s="90">
        <v>0</v>
      </c>
      <c r="O1290" s="90">
        <v>255</v>
      </c>
    </row>
    <row r="1291" spans="1:15" s="90" customFormat="1" ht="12.75" customHeight="1" x14ac:dyDescent="0.2">
      <c r="A1291" s="247" t="s">
        <v>1337</v>
      </c>
      <c r="B1291" s="316">
        <v>3024</v>
      </c>
      <c r="C1291" s="247" t="s">
        <v>996</v>
      </c>
      <c r="D1291" s="317">
        <v>42656</v>
      </c>
      <c r="E1291" s="318">
        <v>0.42263888888888884</v>
      </c>
      <c r="F1291" s="247" t="s">
        <v>702</v>
      </c>
      <c r="G1291" s="247" t="s">
        <v>1035</v>
      </c>
      <c r="H1291" s="248" t="s">
        <v>234</v>
      </c>
      <c r="I1291" s="248" t="s">
        <v>702</v>
      </c>
      <c r="J1291" s="247" t="s">
        <v>809</v>
      </c>
      <c r="K1291" s="249">
        <v>0</v>
      </c>
      <c r="M1291" s="90">
        <v>0</v>
      </c>
      <c r="N1291" s="90">
        <v>0</v>
      </c>
      <c r="O1291" s="90">
        <v>255</v>
      </c>
    </row>
    <row r="1292" spans="1:15" s="90" customFormat="1" ht="12.75" customHeight="1" x14ac:dyDescent="0.2">
      <c r="A1292" s="247" t="s">
        <v>1338</v>
      </c>
      <c r="B1292" s="316">
        <v>3024</v>
      </c>
      <c r="C1292" s="247" t="s">
        <v>996</v>
      </c>
      <c r="D1292" s="317">
        <v>42656</v>
      </c>
      <c r="E1292" s="318">
        <v>0.42263888888888884</v>
      </c>
      <c r="F1292" s="247" t="s">
        <v>702</v>
      </c>
      <c r="G1292" s="247" t="s">
        <v>1035</v>
      </c>
      <c r="H1292" s="248" t="s">
        <v>234</v>
      </c>
      <c r="I1292" s="248" t="s">
        <v>702</v>
      </c>
      <c r="J1292" s="247" t="s">
        <v>809</v>
      </c>
      <c r="K1292" s="249">
        <v>0</v>
      </c>
      <c r="M1292" s="90">
        <v>0</v>
      </c>
      <c r="N1292" s="90">
        <v>0</v>
      </c>
      <c r="O1292" s="90">
        <v>255</v>
      </c>
    </row>
    <row r="1293" spans="1:15" s="90" customFormat="1" ht="12.75" customHeight="1" x14ac:dyDescent="0.2">
      <c r="A1293" s="247" t="s">
        <v>1339</v>
      </c>
      <c r="B1293" s="316">
        <v>3024</v>
      </c>
      <c r="C1293" s="247" t="s">
        <v>996</v>
      </c>
      <c r="D1293" s="317">
        <v>42656</v>
      </c>
      <c r="E1293" s="318">
        <v>0.42263888888888884</v>
      </c>
      <c r="F1293" s="247" t="s">
        <v>702</v>
      </c>
      <c r="G1293" s="247" t="s">
        <v>1035</v>
      </c>
      <c r="H1293" s="248" t="s">
        <v>234</v>
      </c>
      <c r="I1293" s="248" t="s">
        <v>702</v>
      </c>
      <c r="J1293" s="247" t="s">
        <v>809</v>
      </c>
      <c r="K1293" s="249">
        <v>0</v>
      </c>
      <c r="M1293" s="90">
        <v>0</v>
      </c>
      <c r="N1293" s="90">
        <v>0</v>
      </c>
      <c r="O1293" s="90">
        <v>255</v>
      </c>
    </row>
    <row r="1294" spans="1:15" s="90" customFormat="1" ht="12.75" customHeight="1" x14ac:dyDescent="0.2">
      <c r="A1294" s="247" t="s">
        <v>1032</v>
      </c>
      <c r="B1294" s="316">
        <v>3046</v>
      </c>
      <c r="C1294" s="247" t="s">
        <v>975</v>
      </c>
      <c r="D1294" s="317">
        <v>42656</v>
      </c>
      <c r="E1294" s="318">
        <v>0.42263888888888884</v>
      </c>
      <c r="F1294" s="247" t="s">
        <v>976</v>
      </c>
      <c r="G1294" s="247" t="s">
        <v>1035</v>
      </c>
      <c r="H1294" s="248" t="s">
        <v>404</v>
      </c>
      <c r="I1294" s="248" t="s">
        <v>404</v>
      </c>
      <c r="J1294" s="247" t="s">
        <v>809</v>
      </c>
      <c r="K1294" s="249">
        <v>0</v>
      </c>
      <c r="M1294" s="90">
        <v>0</v>
      </c>
      <c r="N1294" s="90">
        <v>0</v>
      </c>
      <c r="O1294" s="90">
        <v>255</v>
      </c>
    </row>
    <row r="1295" spans="1:15" s="90" customFormat="1" ht="12.75" customHeight="1" x14ac:dyDescent="0.2">
      <c r="A1295" s="247" t="s">
        <v>1340</v>
      </c>
      <c r="B1295" s="316">
        <v>3187</v>
      </c>
      <c r="C1295" s="247" t="s">
        <v>996</v>
      </c>
      <c r="D1295" s="317">
        <v>42656</v>
      </c>
      <c r="E1295" s="318">
        <v>0.42263888888888884</v>
      </c>
      <c r="F1295" s="247" t="s">
        <v>702</v>
      </c>
      <c r="G1295" s="247" t="s">
        <v>1035</v>
      </c>
      <c r="H1295" s="248" t="s">
        <v>234</v>
      </c>
      <c r="I1295" s="248" t="s">
        <v>702</v>
      </c>
      <c r="J1295" s="247" t="s">
        <v>809</v>
      </c>
      <c r="K1295" s="249">
        <v>0</v>
      </c>
      <c r="M1295" s="90">
        <v>0</v>
      </c>
      <c r="N1295" s="90">
        <v>0</v>
      </c>
      <c r="O1295" s="90">
        <v>255</v>
      </c>
    </row>
    <row r="1296" spans="1:15" s="90" customFormat="1" ht="12.75" customHeight="1" x14ac:dyDescent="0.2">
      <c r="A1296" s="247" t="s">
        <v>989</v>
      </c>
      <c r="B1296" s="316">
        <v>3046</v>
      </c>
      <c r="C1296" s="247" t="s">
        <v>975</v>
      </c>
      <c r="D1296" s="317">
        <v>42656</v>
      </c>
      <c r="E1296" s="318">
        <v>0.46431712962962962</v>
      </c>
      <c r="F1296" s="247" t="s">
        <v>976</v>
      </c>
      <c r="G1296" s="247" t="s">
        <v>1035</v>
      </c>
      <c r="H1296" s="248" t="s">
        <v>404</v>
      </c>
      <c r="I1296" s="248" t="s">
        <v>404</v>
      </c>
      <c r="J1296" s="247" t="s">
        <v>809</v>
      </c>
      <c r="K1296" s="249">
        <v>0</v>
      </c>
      <c r="M1296" s="90">
        <v>0</v>
      </c>
      <c r="N1296" s="90">
        <v>0</v>
      </c>
      <c r="O1296" s="90">
        <v>255</v>
      </c>
    </row>
    <row r="1297" spans="1:15" s="90" customFormat="1" ht="12.75" customHeight="1" x14ac:dyDescent="0.2">
      <c r="A1297" s="247" t="s">
        <v>990</v>
      </c>
      <c r="B1297" s="316">
        <v>3046</v>
      </c>
      <c r="C1297" s="247" t="s">
        <v>975</v>
      </c>
      <c r="D1297" s="317">
        <v>42656</v>
      </c>
      <c r="E1297" s="318">
        <v>0.46456018518518521</v>
      </c>
      <c r="F1297" s="247" t="s">
        <v>976</v>
      </c>
      <c r="G1297" s="247" t="s">
        <v>1035</v>
      </c>
      <c r="H1297" s="248" t="s">
        <v>404</v>
      </c>
      <c r="I1297" s="248" t="s">
        <v>404</v>
      </c>
      <c r="J1297" s="247" t="s">
        <v>809</v>
      </c>
      <c r="K1297" s="249">
        <v>0</v>
      </c>
      <c r="M1297" s="90">
        <v>0</v>
      </c>
      <c r="N1297" s="90">
        <v>0</v>
      </c>
      <c r="O1297" s="90">
        <v>255</v>
      </c>
    </row>
    <row r="1298" spans="1:15" s="90" customFormat="1" ht="12.75" customHeight="1" x14ac:dyDescent="0.2">
      <c r="A1298" s="247" t="s">
        <v>993</v>
      </c>
      <c r="B1298" s="316">
        <v>3217</v>
      </c>
      <c r="C1298" s="247" t="s">
        <v>975</v>
      </c>
      <c r="D1298" s="317">
        <v>42656</v>
      </c>
      <c r="E1298" s="318">
        <v>0.46456018518518521</v>
      </c>
      <c r="F1298" s="247" t="s">
        <v>235</v>
      </c>
      <c r="G1298" s="247" t="s">
        <v>1035</v>
      </c>
      <c r="H1298" s="248" t="s">
        <v>234</v>
      </c>
      <c r="I1298" s="248" t="s">
        <v>235</v>
      </c>
      <c r="J1298" s="247" t="s">
        <v>809</v>
      </c>
      <c r="K1298" s="249">
        <v>0</v>
      </c>
      <c r="M1298" s="90">
        <v>0</v>
      </c>
      <c r="N1298" s="90">
        <v>0</v>
      </c>
      <c r="O1298" s="90">
        <v>255</v>
      </c>
    </row>
    <row r="1299" spans="1:15" s="90" customFormat="1" ht="12.75" customHeight="1" x14ac:dyDescent="0.2">
      <c r="A1299" s="247" t="s">
        <v>989</v>
      </c>
      <c r="B1299" s="316">
        <v>3046</v>
      </c>
      <c r="C1299" s="247" t="s">
        <v>975</v>
      </c>
      <c r="D1299" s="317">
        <v>42656</v>
      </c>
      <c r="E1299" s="318">
        <v>0.50623842592592594</v>
      </c>
      <c r="F1299" s="247" t="s">
        <v>976</v>
      </c>
      <c r="G1299" s="247" t="s">
        <v>1035</v>
      </c>
      <c r="H1299" s="248" t="s">
        <v>404</v>
      </c>
      <c r="I1299" s="248" t="s">
        <v>404</v>
      </c>
      <c r="J1299" s="247" t="s">
        <v>809</v>
      </c>
      <c r="K1299" s="249">
        <v>0</v>
      </c>
      <c r="M1299" s="90">
        <v>0</v>
      </c>
      <c r="N1299" s="90">
        <v>0</v>
      </c>
      <c r="O1299" s="90">
        <v>255</v>
      </c>
    </row>
    <row r="1300" spans="1:15" s="90" customFormat="1" ht="12.75" customHeight="1" x14ac:dyDescent="0.2">
      <c r="A1300" s="247" t="s">
        <v>990</v>
      </c>
      <c r="B1300" s="316">
        <v>3046</v>
      </c>
      <c r="C1300" s="247" t="s">
        <v>975</v>
      </c>
      <c r="D1300" s="317">
        <v>42656</v>
      </c>
      <c r="E1300" s="318">
        <v>0.50648148148148142</v>
      </c>
      <c r="F1300" s="247" t="s">
        <v>976</v>
      </c>
      <c r="G1300" s="247" t="s">
        <v>1035</v>
      </c>
      <c r="H1300" s="248" t="s">
        <v>404</v>
      </c>
      <c r="I1300" s="248" t="s">
        <v>404</v>
      </c>
      <c r="J1300" s="247" t="s">
        <v>809</v>
      </c>
      <c r="K1300" s="249">
        <v>0</v>
      </c>
      <c r="M1300" s="90">
        <v>0</v>
      </c>
      <c r="N1300" s="90">
        <v>0</v>
      </c>
      <c r="O1300" s="90">
        <v>255</v>
      </c>
    </row>
    <row r="1301" spans="1:15" s="90" customFormat="1" ht="12.75" customHeight="1" x14ac:dyDescent="0.2">
      <c r="A1301" s="247" t="s">
        <v>993</v>
      </c>
      <c r="B1301" s="316">
        <v>3217</v>
      </c>
      <c r="C1301" s="247" t="s">
        <v>975</v>
      </c>
      <c r="D1301" s="317">
        <v>42656</v>
      </c>
      <c r="E1301" s="318">
        <v>0.50648148148148142</v>
      </c>
      <c r="F1301" s="247" t="s">
        <v>235</v>
      </c>
      <c r="G1301" s="247" t="s">
        <v>1035</v>
      </c>
      <c r="H1301" s="248" t="s">
        <v>234</v>
      </c>
      <c r="I1301" s="248" t="s">
        <v>235</v>
      </c>
      <c r="J1301" s="247" t="s">
        <v>809</v>
      </c>
      <c r="K1301" s="249">
        <v>0</v>
      </c>
      <c r="M1301" s="90">
        <v>0</v>
      </c>
      <c r="N1301" s="90">
        <v>0</v>
      </c>
      <c r="O1301" s="90">
        <v>255</v>
      </c>
    </row>
    <row r="1302" spans="1:15" s="90" customFormat="1" ht="12.75" customHeight="1" x14ac:dyDescent="0.2">
      <c r="A1302" s="247" t="s">
        <v>989</v>
      </c>
      <c r="B1302" s="316">
        <v>3046</v>
      </c>
      <c r="C1302" s="247" t="s">
        <v>975</v>
      </c>
      <c r="D1302" s="317">
        <v>42656</v>
      </c>
      <c r="E1302" s="318">
        <v>0.5481597222222222</v>
      </c>
      <c r="F1302" s="247" t="s">
        <v>976</v>
      </c>
      <c r="G1302" s="247" t="s">
        <v>1035</v>
      </c>
      <c r="H1302" s="248" t="s">
        <v>404</v>
      </c>
      <c r="I1302" s="248" t="s">
        <v>404</v>
      </c>
      <c r="J1302" s="247" t="s">
        <v>809</v>
      </c>
      <c r="K1302" s="249">
        <v>0</v>
      </c>
      <c r="M1302" s="90">
        <v>0</v>
      </c>
      <c r="N1302" s="90">
        <v>0</v>
      </c>
      <c r="O1302" s="90">
        <v>255</v>
      </c>
    </row>
    <row r="1303" spans="1:15" s="90" customFormat="1" ht="12.75" customHeight="1" x14ac:dyDescent="0.2">
      <c r="A1303" s="247" t="s">
        <v>990</v>
      </c>
      <c r="B1303" s="316">
        <v>3046</v>
      </c>
      <c r="C1303" s="247" t="s">
        <v>975</v>
      </c>
      <c r="D1303" s="317">
        <v>42656</v>
      </c>
      <c r="E1303" s="318">
        <v>0.54840277777777779</v>
      </c>
      <c r="F1303" s="247" t="s">
        <v>976</v>
      </c>
      <c r="G1303" s="247" t="s">
        <v>1035</v>
      </c>
      <c r="H1303" s="248" t="s">
        <v>404</v>
      </c>
      <c r="I1303" s="248" t="s">
        <v>404</v>
      </c>
      <c r="J1303" s="247" t="s">
        <v>809</v>
      </c>
      <c r="K1303" s="249">
        <v>0</v>
      </c>
      <c r="M1303" s="90">
        <v>0</v>
      </c>
      <c r="N1303" s="90">
        <v>0</v>
      </c>
      <c r="O1303" s="90">
        <v>255</v>
      </c>
    </row>
    <row r="1304" spans="1:15" s="90" customFormat="1" ht="12.75" customHeight="1" x14ac:dyDescent="0.2">
      <c r="A1304" s="247" t="s">
        <v>993</v>
      </c>
      <c r="B1304" s="316">
        <v>3217</v>
      </c>
      <c r="C1304" s="247" t="s">
        <v>975</v>
      </c>
      <c r="D1304" s="317">
        <v>42656</v>
      </c>
      <c r="E1304" s="318">
        <v>0.54840277777777779</v>
      </c>
      <c r="F1304" s="247" t="s">
        <v>235</v>
      </c>
      <c r="G1304" s="247" t="s">
        <v>1035</v>
      </c>
      <c r="H1304" s="248" t="s">
        <v>234</v>
      </c>
      <c r="I1304" s="248" t="s">
        <v>235</v>
      </c>
      <c r="J1304" s="247" t="s">
        <v>809</v>
      </c>
      <c r="K1304" s="249">
        <v>0</v>
      </c>
      <c r="M1304" s="90">
        <v>0</v>
      </c>
      <c r="N1304" s="90">
        <v>0</v>
      </c>
      <c r="O1304" s="90">
        <v>255</v>
      </c>
    </row>
    <row r="1305" spans="1:15" s="90" customFormat="1" ht="12.75" customHeight="1" x14ac:dyDescent="0.2">
      <c r="A1305" s="247" t="s">
        <v>989</v>
      </c>
      <c r="B1305" s="316">
        <v>3046</v>
      </c>
      <c r="C1305" s="247" t="s">
        <v>975</v>
      </c>
      <c r="D1305" s="317">
        <v>42656</v>
      </c>
      <c r="E1305" s="318">
        <v>0.59008101851851846</v>
      </c>
      <c r="F1305" s="247" t="s">
        <v>976</v>
      </c>
      <c r="G1305" s="247" t="s">
        <v>1035</v>
      </c>
      <c r="H1305" s="248" t="s">
        <v>404</v>
      </c>
      <c r="I1305" s="248" t="s">
        <v>404</v>
      </c>
      <c r="J1305" s="247" t="s">
        <v>809</v>
      </c>
      <c r="K1305" s="249">
        <v>0</v>
      </c>
      <c r="M1305" s="90">
        <v>0</v>
      </c>
      <c r="N1305" s="90">
        <v>0</v>
      </c>
      <c r="O1305" s="90">
        <v>255</v>
      </c>
    </row>
    <row r="1306" spans="1:15" s="90" customFormat="1" ht="12.75" customHeight="1" x14ac:dyDescent="0.2">
      <c r="A1306" s="247" t="s">
        <v>990</v>
      </c>
      <c r="B1306" s="316">
        <v>3046</v>
      </c>
      <c r="C1306" s="247" t="s">
        <v>975</v>
      </c>
      <c r="D1306" s="317">
        <v>42656</v>
      </c>
      <c r="E1306" s="318">
        <v>0.59032407407407406</v>
      </c>
      <c r="F1306" s="247" t="s">
        <v>976</v>
      </c>
      <c r="G1306" s="247" t="s">
        <v>1035</v>
      </c>
      <c r="H1306" s="248" t="s">
        <v>404</v>
      </c>
      <c r="I1306" s="248" t="s">
        <v>404</v>
      </c>
      <c r="J1306" s="247" t="s">
        <v>809</v>
      </c>
      <c r="K1306" s="249">
        <v>0</v>
      </c>
      <c r="M1306" s="90">
        <v>0</v>
      </c>
      <c r="N1306" s="90">
        <v>0</v>
      </c>
      <c r="O1306" s="90">
        <v>255</v>
      </c>
    </row>
    <row r="1307" spans="1:15" s="90" customFormat="1" ht="12.75" customHeight="1" x14ac:dyDescent="0.2">
      <c r="A1307" s="247" t="s">
        <v>993</v>
      </c>
      <c r="B1307" s="316">
        <v>3217</v>
      </c>
      <c r="C1307" s="247" t="s">
        <v>975</v>
      </c>
      <c r="D1307" s="317">
        <v>42656</v>
      </c>
      <c r="E1307" s="318">
        <v>0.59032407407407406</v>
      </c>
      <c r="F1307" s="247" t="s">
        <v>235</v>
      </c>
      <c r="G1307" s="247" t="s">
        <v>1035</v>
      </c>
      <c r="H1307" s="248" t="s">
        <v>234</v>
      </c>
      <c r="I1307" s="248" t="s">
        <v>235</v>
      </c>
      <c r="J1307" s="247" t="s">
        <v>809</v>
      </c>
      <c r="K1307" s="249">
        <v>0</v>
      </c>
      <c r="M1307" s="90">
        <v>0</v>
      </c>
      <c r="N1307" s="90">
        <v>0</v>
      </c>
      <c r="O1307" s="90">
        <v>255</v>
      </c>
    </row>
    <row r="1308" spans="1:15" s="90" customFormat="1" ht="12.75" customHeight="1" x14ac:dyDescent="0.2">
      <c r="A1308" s="247" t="s">
        <v>989</v>
      </c>
      <c r="B1308" s="316">
        <v>3046</v>
      </c>
      <c r="C1308" s="247" t="s">
        <v>975</v>
      </c>
      <c r="D1308" s="317">
        <v>42656</v>
      </c>
      <c r="E1308" s="318">
        <v>0.63199074074074069</v>
      </c>
      <c r="F1308" s="247" t="s">
        <v>976</v>
      </c>
      <c r="G1308" s="247" t="s">
        <v>1035</v>
      </c>
      <c r="H1308" s="248" t="s">
        <v>404</v>
      </c>
      <c r="I1308" s="248" t="s">
        <v>404</v>
      </c>
      <c r="J1308" s="247" t="s">
        <v>809</v>
      </c>
      <c r="K1308" s="249">
        <v>0</v>
      </c>
      <c r="M1308" s="90">
        <v>0</v>
      </c>
      <c r="N1308" s="90">
        <v>0</v>
      </c>
      <c r="O1308" s="90">
        <v>255</v>
      </c>
    </row>
    <row r="1309" spans="1:15" s="90" customFormat="1" ht="12.75" customHeight="1" x14ac:dyDescent="0.2">
      <c r="A1309" s="247" t="s">
        <v>990</v>
      </c>
      <c r="B1309" s="316">
        <v>3046</v>
      </c>
      <c r="C1309" s="247" t="s">
        <v>975</v>
      </c>
      <c r="D1309" s="317">
        <v>42656</v>
      </c>
      <c r="E1309" s="318">
        <v>0.63224537037037043</v>
      </c>
      <c r="F1309" s="247" t="s">
        <v>976</v>
      </c>
      <c r="G1309" s="247" t="s">
        <v>1035</v>
      </c>
      <c r="H1309" s="248" t="s">
        <v>404</v>
      </c>
      <c r="I1309" s="248" t="s">
        <v>404</v>
      </c>
      <c r="J1309" s="247" t="s">
        <v>809</v>
      </c>
      <c r="K1309" s="249">
        <v>0</v>
      </c>
      <c r="M1309" s="90">
        <v>0</v>
      </c>
      <c r="N1309" s="90">
        <v>0</v>
      </c>
      <c r="O1309" s="90">
        <v>255</v>
      </c>
    </row>
    <row r="1310" spans="1:15" s="90" customFormat="1" ht="12.75" customHeight="1" x14ac:dyDescent="0.2">
      <c r="A1310" s="247" t="s">
        <v>993</v>
      </c>
      <c r="B1310" s="316">
        <v>3217</v>
      </c>
      <c r="C1310" s="247" t="s">
        <v>975</v>
      </c>
      <c r="D1310" s="317">
        <v>42656</v>
      </c>
      <c r="E1310" s="318">
        <v>0.63224537037037043</v>
      </c>
      <c r="F1310" s="247" t="s">
        <v>235</v>
      </c>
      <c r="G1310" s="247" t="s">
        <v>1035</v>
      </c>
      <c r="H1310" s="248" t="s">
        <v>234</v>
      </c>
      <c r="I1310" s="248" t="s">
        <v>235</v>
      </c>
      <c r="J1310" s="247" t="s">
        <v>809</v>
      </c>
      <c r="K1310" s="249">
        <v>0</v>
      </c>
      <c r="M1310" s="90">
        <v>0</v>
      </c>
      <c r="N1310" s="90">
        <v>0</v>
      </c>
      <c r="O1310" s="90">
        <v>255</v>
      </c>
    </row>
    <row r="1311" spans="1:15" s="90" customFormat="1" ht="12.75" customHeight="1" x14ac:dyDescent="0.2">
      <c r="A1311" s="247" t="s">
        <v>989</v>
      </c>
      <c r="B1311" s="316">
        <v>3046</v>
      </c>
      <c r="C1311" s="247" t="s">
        <v>975</v>
      </c>
      <c r="D1311" s="317">
        <v>42656</v>
      </c>
      <c r="E1311" s="318">
        <v>0.67391203703703706</v>
      </c>
      <c r="F1311" s="247" t="s">
        <v>976</v>
      </c>
      <c r="G1311" s="247" t="s">
        <v>1035</v>
      </c>
      <c r="H1311" s="248" t="s">
        <v>404</v>
      </c>
      <c r="I1311" s="248" t="s">
        <v>404</v>
      </c>
      <c r="J1311" s="247" t="s">
        <v>809</v>
      </c>
      <c r="K1311" s="249">
        <v>0</v>
      </c>
      <c r="M1311" s="90">
        <v>0</v>
      </c>
      <c r="N1311" s="90">
        <v>0</v>
      </c>
      <c r="O1311" s="90">
        <v>255</v>
      </c>
    </row>
    <row r="1312" spans="1:15" s="90" customFormat="1" ht="12.75" customHeight="1" x14ac:dyDescent="0.2">
      <c r="A1312" s="247" t="s">
        <v>990</v>
      </c>
      <c r="B1312" s="316">
        <v>3046</v>
      </c>
      <c r="C1312" s="247" t="s">
        <v>975</v>
      </c>
      <c r="D1312" s="317">
        <v>42656</v>
      </c>
      <c r="E1312" s="318">
        <v>0.67416666666666669</v>
      </c>
      <c r="F1312" s="247" t="s">
        <v>976</v>
      </c>
      <c r="G1312" s="247" t="s">
        <v>1035</v>
      </c>
      <c r="H1312" s="248" t="s">
        <v>404</v>
      </c>
      <c r="I1312" s="248" t="s">
        <v>404</v>
      </c>
      <c r="J1312" s="247" t="s">
        <v>809</v>
      </c>
      <c r="K1312" s="249">
        <v>0</v>
      </c>
      <c r="M1312" s="90">
        <v>0</v>
      </c>
      <c r="N1312" s="90">
        <v>0</v>
      </c>
      <c r="O1312" s="90">
        <v>255</v>
      </c>
    </row>
    <row r="1313" spans="1:15" s="90" customFormat="1" ht="12.75" customHeight="1" x14ac:dyDescent="0.2">
      <c r="A1313" s="247" t="s">
        <v>993</v>
      </c>
      <c r="B1313" s="316">
        <v>3217</v>
      </c>
      <c r="C1313" s="247" t="s">
        <v>975</v>
      </c>
      <c r="D1313" s="317">
        <v>42656</v>
      </c>
      <c r="E1313" s="318">
        <v>0.67416666666666669</v>
      </c>
      <c r="F1313" s="247" t="s">
        <v>235</v>
      </c>
      <c r="G1313" s="247" t="s">
        <v>1035</v>
      </c>
      <c r="H1313" s="248" t="s">
        <v>234</v>
      </c>
      <c r="I1313" s="248" t="s">
        <v>235</v>
      </c>
      <c r="J1313" s="247" t="s">
        <v>809</v>
      </c>
      <c r="K1313" s="249">
        <v>0</v>
      </c>
      <c r="M1313" s="90">
        <v>0</v>
      </c>
      <c r="N1313" s="90">
        <v>0</v>
      </c>
      <c r="O1313" s="90">
        <v>255</v>
      </c>
    </row>
    <row r="1314" spans="1:15" s="90" customFormat="1" ht="12.75" customHeight="1" x14ac:dyDescent="0.2">
      <c r="A1314" s="247" t="s">
        <v>989</v>
      </c>
      <c r="B1314" s="316">
        <v>3046</v>
      </c>
      <c r="C1314" s="247" t="s">
        <v>975</v>
      </c>
      <c r="D1314" s="317">
        <v>42656</v>
      </c>
      <c r="E1314" s="318">
        <v>0.71583333333333332</v>
      </c>
      <c r="F1314" s="247" t="s">
        <v>976</v>
      </c>
      <c r="G1314" s="247" t="s">
        <v>1035</v>
      </c>
      <c r="H1314" s="248" t="s">
        <v>404</v>
      </c>
      <c r="I1314" s="248" t="s">
        <v>404</v>
      </c>
      <c r="J1314" s="247" t="s">
        <v>809</v>
      </c>
      <c r="K1314" s="249">
        <v>0</v>
      </c>
      <c r="M1314" s="90">
        <v>0</v>
      </c>
      <c r="N1314" s="90">
        <v>0</v>
      </c>
      <c r="O1314" s="90">
        <v>255</v>
      </c>
    </row>
    <row r="1315" spans="1:15" s="90" customFormat="1" ht="12.75" customHeight="1" x14ac:dyDescent="0.2">
      <c r="A1315" s="247" t="s">
        <v>990</v>
      </c>
      <c r="B1315" s="316">
        <v>3046</v>
      </c>
      <c r="C1315" s="247" t="s">
        <v>975</v>
      </c>
      <c r="D1315" s="317">
        <v>42656</v>
      </c>
      <c r="E1315" s="318">
        <v>0.71608796296296295</v>
      </c>
      <c r="F1315" s="247" t="s">
        <v>976</v>
      </c>
      <c r="G1315" s="247" t="s">
        <v>1035</v>
      </c>
      <c r="H1315" s="248" t="s">
        <v>404</v>
      </c>
      <c r="I1315" s="248" t="s">
        <v>404</v>
      </c>
      <c r="J1315" s="247" t="s">
        <v>809</v>
      </c>
      <c r="K1315" s="249">
        <v>0</v>
      </c>
      <c r="M1315" s="90">
        <v>0</v>
      </c>
      <c r="N1315" s="90">
        <v>0</v>
      </c>
      <c r="O1315" s="90">
        <v>255</v>
      </c>
    </row>
    <row r="1316" spans="1:15" s="90" customFormat="1" ht="12.75" customHeight="1" x14ac:dyDescent="0.2">
      <c r="A1316" s="247" t="s">
        <v>993</v>
      </c>
      <c r="B1316" s="316">
        <v>3217</v>
      </c>
      <c r="C1316" s="247" t="s">
        <v>975</v>
      </c>
      <c r="D1316" s="317">
        <v>42656</v>
      </c>
      <c r="E1316" s="318">
        <v>0.71608796296296295</v>
      </c>
      <c r="F1316" s="247" t="s">
        <v>235</v>
      </c>
      <c r="G1316" s="247" t="s">
        <v>1035</v>
      </c>
      <c r="H1316" s="248" t="s">
        <v>234</v>
      </c>
      <c r="I1316" s="248" t="s">
        <v>235</v>
      </c>
      <c r="J1316" s="247" t="s">
        <v>809</v>
      </c>
      <c r="K1316" s="249">
        <v>0</v>
      </c>
      <c r="M1316" s="90">
        <v>0</v>
      </c>
      <c r="N1316" s="90">
        <v>0</v>
      </c>
      <c r="O1316" s="90">
        <v>255</v>
      </c>
    </row>
    <row r="1317" spans="1:15" s="90" customFormat="1" ht="12.75" customHeight="1" x14ac:dyDescent="0.2">
      <c r="A1317" s="247" t="s">
        <v>989</v>
      </c>
      <c r="B1317" s="316">
        <v>3046</v>
      </c>
      <c r="C1317" s="247" t="s">
        <v>975</v>
      </c>
      <c r="D1317" s="317">
        <v>42656</v>
      </c>
      <c r="E1317" s="318">
        <v>0.75775462962962958</v>
      </c>
      <c r="F1317" s="247" t="s">
        <v>976</v>
      </c>
      <c r="G1317" s="247" t="s">
        <v>1035</v>
      </c>
      <c r="H1317" s="248" t="s">
        <v>404</v>
      </c>
      <c r="I1317" s="248" t="s">
        <v>404</v>
      </c>
      <c r="J1317" s="247" t="s">
        <v>809</v>
      </c>
      <c r="K1317" s="249">
        <v>0</v>
      </c>
      <c r="M1317" s="90">
        <v>0</v>
      </c>
      <c r="N1317" s="90">
        <v>0</v>
      </c>
      <c r="O1317" s="90">
        <v>255</v>
      </c>
    </row>
    <row r="1318" spans="1:15" s="90" customFormat="1" ht="12.75" customHeight="1" x14ac:dyDescent="0.2">
      <c r="A1318" s="247" t="s">
        <v>990</v>
      </c>
      <c r="B1318" s="316">
        <v>3046</v>
      </c>
      <c r="C1318" s="247" t="s">
        <v>975</v>
      </c>
      <c r="D1318" s="317">
        <v>42656</v>
      </c>
      <c r="E1318" s="318">
        <v>0.75800925925925933</v>
      </c>
      <c r="F1318" s="247" t="s">
        <v>976</v>
      </c>
      <c r="G1318" s="247" t="s">
        <v>1035</v>
      </c>
      <c r="H1318" s="248" t="s">
        <v>404</v>
      </c>
      <c r="I1318" s="248" t="s">
        <v>404</v>
      </c>
      <c r="J1318" s="247" t="s">
        <v>809</v>
      </c>
      <c r="K1318" s="249">
        <v>0</v>
      </c>
      <c r="M1318" s="90">
        <v>0</v>
      </c>
      <c r="N1318" s="90">
        <v>0</v>
      </c>
      <c r="O1318" s="90">
        <v>255</v>
      </c>
    </row>
    <row r="1319" spans="1:15" s="90" customFormat="1" ht="12.75" customHeight="1" x14ac:dyDescent="0.2">
      <c r="A1319" s="247" t="s">
        <v>993</v>
      </c>
      <c r="B1319" s="316">
        <v>3217</v>
      </c>
      <c r="C1319" s="247" t="s">
        <v>975</v>
      </c>
      <c r="D1319" s="317">
        <v>42656</v>
      </c>
      <c r="E1319" s="318">
        <v>0.75800925925925933</v>
      </c>
      <c r="F1319" s="247" t="s">
        <v>235</v>
      </c>
      <c r="G1319" s="247" t="s">
        <v>1035</v>
      </c>
      <c r="H1319" s="248" t="s">
        <v>234</v>
      </c>
      <c r="I1319" s="248" t="s">
        <v>235</v>
      </c>
      <c r="J1319" s="247" t="s">
        <v>809</v>
      </c>
      <c r="K1319" s="249">
        <v>0</v>
      </c>
      <c r="M1319" s="90">
        <v>0</v>
      </c>
      <c r="N1319" s="90">
        <v>0</v>
      </c>
      <c r="O1319" s="90">
        <v>255</v>
      </c>
    </row>
    <row r="1320" spans="1:15" s="90" customFormat="1" ht="12.75" customHeight="1" x14ac:dyDescent="0.2">
      <c r="A1320" s="247" t="s">
        <v>989</v>
      </c>
      <c r="B1320" s="316">
        <v>3046</v>
      </c>
      <c r="C1320" s="247" t="s">
        <v>975</v>
      </c>
      <c r="D1320" s="317">
        <v>42656</v>
      </c>
      <c r="E1320" s="318">
        <v>0.79967592592592596</v>
      </c>
      <c r="F1320" s="247" t="s">
        <v>976</v>
      </c>
      <c r="G1320" s="247" t="s">
        <v>1035</v>
      </c>
      <c r="H1320" s="248" t="s">
        <v>404</v>
      </c>
      <c r="I1320" s="248" t="s">
        <v>404</v>
      </c>
      <c r="J1320" s="247" t="s">
        <v>809</v>
      </c>
      <c r="K1320" s="249">
        <v>0</v>
      </c>
      <c r="M1320" s="90">
        <v>0</v>
      </c>
      <c r="N1320" s="90">
        <v>0</v>
      </c>
      <c r="O1320" s="90">
        <v>255</v>
      </c>
    </row>
    <row r="1321" spans="1:15" s="90" customFormat="1" ht="12.75" customHeight="1" x14ac:dyDescent="0.2">
      <c r="A1321" s="247" t="s">
        <v>990</v>
      </c>
      <c r="B1321" s="316">
        <v>3046</v>
      </c>
      <c r="C1321" s="247" t="s">
        <v>975</v>
      </c>
      <c r="D1321" s="317">
        <v>42656</v>
      </c>
      <c r="E1321" s="318">
        <v>0.79993055555555559</v>
      </c>
      <c r="F1321" s="247" t="s">
        <v>976</v>
      </c>
      <c r="G1321" s="247" t="s">
        <v>1035</v>
      </c>
      <c r="H1321" s="248" t="s">
        <v>404</v>
      </c>
      <c r="I1321" s="248" t="s">
        <v>404</v>
      </c>
      <c r="J1321" s="247" t="s">
        <v>809</v>
      </c>
      <c r="K1321" s="249">
        <v>0</v>
      </c>
      <c r="M1321" s="90">
        <v>0</v>
      </c>
      <c r="N1321" s="90">
        <v>0</v>
      </c>
      <c r="O1321" s="90">
        <v>255</v>
      </c>
    </row>
    <row r="1322" spans="1:15" s="90" customFormat="1" ht="12.75" customHeight="1" x14ac:dyDescent="0.2">
      <c r="A1322" s="247" t="s">
        <v>993</v>
      </c>
      <c r="B1322" s="316">
        <v>3217</v>
      </c>
      <c r="C1322" s="247" t="s">
        <v>975</v>
      </c>
      <c r="D1322" s="317">
        <v>42656</v>
      </c>
      <c r="E1322" s="318">
        <v>0.79993055555555559</v>
      </c>
      <c r="F1322" s="247" t="s">
        <v>235</v>
      </c>
      <c r="G1322" s="247" t="s">
        <v>1035</v>
      </c>
      <c r="H1322" s="248" t="s">
        <v>234</v>
      </c>
      <c r="I1322" s="248" t="s">
        <v>235</v>
      </c>
      <c r="J1322" s="247" t="s">
        <v>809</v>
      </c>
      <c r="K1322" s="249">
        <v>0</v>
      </c>
      <c r="M1322" s="90">
        <v>0</v>
      </c>
      <c r="N1322" s="90">
        <v>0</v>
      </c>
      <c r="O1322" s="90">
        <v>255</v>
      </c>
    </row>
    <row r="1323" spans="1:15" s="90" customFormat="1" ht="12.75" customHeight="1" x14ac:dyDescent="0.2">
      <c r="A1323" s="247" t="s">
        <v>989</v>
      </c>
      <c r="B1323" s="316">
        <v>3046</v>
      </c>
      <c r="C1323" s="247" t="s">
        <v>975</v>
      </c>
      <c r="D1323" s="317">
        <v>42656</v>
      </c>
      <c r="E1323" s="318">
        <v>0.84159722222222222</v>
      </c>
      <c r="F1323" s="247" t="s">
        <v>976</v>
      </c>
      <c r="G1323" s="247" t="s">
        <v>1035</v>
      </c>
      <c r="H1323" s="248" t="s">
        <v>404</v>
      </c>
      <c r="I1323" s="248" t="s">
        <v>404</v>
      </c>
      <c r="J1323" s="247" t="s">
        <v>809</v>
      </c>
      <c r="K1323" s="249">
        <v>0</v>
      </c>
      <c r="M1323" s="90">
        <v>0</v>
      </c>
      <c r="N1323" s="90">
        <v>0</v>
      </c>
      <c r="O1323" s="90">
        <v>255</v>
      </c>
    </row>
    <row r="1324" spans="1:15" s="90" customFormat="1" ht="12.75" customHeight="1" x14ac:dyDescent="0.2">
      <c r="A1324" s="247" t="s">
        <v>993</v>
      </c>
      <c r="B1324" s="316">
        <v>3217</v>
      </c>
      <c r="C1324" s="247" t="s">
        <v>975</v>
      </c>
      <c r="D1324" s="317">
        <v>42656</v>
      </c>
      <c r="E1324" s="318">
        <v>0.8418402777777777</v>
      </c>
      <c r="F1324" s="247" t="s">
        <v>235</v>
      </c>
      <c r="G1324" s="247" t="s">
        <v>1035</v>
      </c>
      <c r="H1324" s="248" t="s">
        <v>234</v>
      </c>
      <c r="I1324" s="248" t="s">
        <v>235</v>
      </c>
      <c r="J1324" s="247" t="s">
        <v>809</v>
      </c>
      <c r="K1324" s="249">
        <v>0</v>
      </c>
      <c r="M1324" s="90">
        <v>0</v>
      </c>
      <c r="N1324" s="90">
        <v>0</v>
      </c>
      <c r="O1324" s="90">
        <v>255</v>
      </c>
    </row>
    <row r="1325" spans="1:15" s="90" customFormat="1" ht="12.75" customHeight="1" x14ac:dyDescent="0.2">
      <c r="A1325" s="247" t="s">
        <v>990</v>
      </c>
      <c r="B1325" s="316">
        <v>3046</v>
      </c>
      <c r="C1325" s="247" t="s">
        <v>975</v>
      </c>
      <c r="D1325" s="317">
        <v>42656</v>
      </c>
      <c r="E1325" s="318">
        <v>0.84185185185185185</v>
      </c>
      <c r="F1325" s="247" t="s">
        <v>976</v>
      </c>
      <c r="G1325" s="247" t="s">
        <v>1035</v>
      </c>
      <c r="H1325" s="248" t="s">
        <v>404</v>
      </c>
      <c r="I1325" s="248" t="s">
        <v>404</v>
      </c>
      <c r="J1325" s="247" t="s">
        <v>809</v>
      </c>
      <c r="K1325" s="249">
        <v>0</v>
      </c>
      <c r="M1325" s="90">
        <v>0</v>
      </c>
      <c r="N1325" s="90">
        <v>0</v>
      </c>
      <c r="O1325" s="90">
        <v>255</v>
      </c>
    </row>
    <row r="1326" spans="1:15" s="90" customFormat="1" ht="12.75" customHeight="1" x14ac:dyDescent="0.2">
      <c r="A1326" s="247" t="s">
        <v>989</v>
      </c>
      <c r="B1326" s="316">
        <v>3046</v>
      </c>
      <c r="C1326" s="247" t="s">
        <v>975</v>
      </c>
      <c r="D1326" s="317">
        <v>42656</v>
      </c>
      <c r="E1326" s="318">
        <v>0.88351851851851848</v>
      </c>
      <c r="F1326" s="247" t="s">
        <v>976</v>
      </c>
      <c r="G1326" s="247" t="s">
        <v>1035</v>
      </c>
      <c r="H1326" s="248" t="s">
        <v>404</v>
      </c>
      <c r="I1326" s="248" t="s">
        <v>404</v>
      </c>
      <c r="J1326" s="247" t="s">
        <v>809</v>
      </c>
      <c r="K1326" s="249">
        <v>0</v>
      </c>
      <c r="M1326" s="90">
        <v>0</v>
      </c>
      <c r="N1326" s="90">
        <v>0</v>
      </c>
      <c r="O1326" s="90">
        <v>255</v>
      </c>
    </row>
    <row r="1327" spans="1:15" s="90" customFormat="1" ht="12.75" customHeight="1" x14ac:dyDescent="0.2">
      <c r="A1327" s="247" t="s">
        <v>990</v>
      </c>
      <c r="B1327" s="316">
        <v>3046</v>
      </c>
      <c r="C1327" s="247" t="s">
        <v>975</v>
      </c>
      <c r="D1327" s="317">
        <v>42656</v>
      </c>
      <c r="E1327" s="318">
        <v>0.88376157407407396</v>
      </c>
      <c r="F1327" s="247" t="s">
        <v>976</v>
      </c>
      <c r="G1327" s="247" t="s">
        <v>1035</v>
      </c>
      <c r="H1327" s="248" t="s">
        <v>404</v>
      </c>
      <c r="I1327" s="248" t="s">
        <v>404</v>
      </c>
      <c r="J1327" s="247" t="s">
        <v>809</v>
      </c>
      <c r="K1327" s="249">
        <v>0</v>
      </c>
      <c r="M1327" s="90">
        <v>0</v>
      </c>
      <c r="N1327" s="90">
        <v>0</v>
      </c>
      <c r="O1327" s="90">
        <v>255</v>
      </c>
    </row>
    <row r="1328" spans="1:15" s="90" customFormat="1" ht="12.75" customHeight="1" x14ac:dyDescent="0.2">
      <c r="A1328" s="247" t="s">
        <v>993</v>
      </c>
      <c r="B1328" s="316">
        <v>3217</v>
      </c>
      <c r="C1328" s="247" t="s">
        <v>975</v>
      </c>
      <c r="D1328" s="317">
        <v>42656</v>
      </c>
      <c r="E1328" s="318">
        <v>0.88376157407407396</v>
      </c>
      <c r="F1328" s="247" t="s">
        <v>235</v>
      </c>
      <c r="G1328" s="247" t="s">
        <v>1035</v>
      </c>
      <c r="H1328" s="248" t="s">
        <v>234</v>
      </c>
      <c r="I1328" s="248" t="s">
        <v>235</v>
      </c>
      <c r="J1328" s="247" t="s">
        <v>809</v>
      </c>
      <c r="K1328" s="249">
        <v>0</v>
      </c>
      <c r="M1328" s="90">
        <v>0</v>
      </c>
      <c r="N1328" s="90">
        <v>0</v>
      </c>
      <c r="O1328" s="90">
        <v>255</v>
      </c>
    </row>
    <row r="1329" spans="1:15" s="90" customFormat="1" ht="12.75" customHeight="1" x14ac:dyDescent="0.2">
      <c r="A1329" s="247" t="s">
        <v>989</v>
      </c>
      <c r="B1329" s="316">
        <v>3046</v>
      </c>
      <c r="C1329" s="247" t="s">
        <v>975</v>
      </c>
      <c r="D1329" s="317">
        <v>42656</v>
      </c>
      <c r="E1329" s="318">
        <v>0.92543981481481474</v>
      </c>
      <c r="F1329" s="247" t="s">
        <v>976</v>
      </c>
      <c r="G1329" s="247" t="s">
        <v>1035</v>
      </c>
      <c r="H1329" s="248" t="s">
        <v>404</v>
      </c>
      <c r="I1329" s="248" t="s">
        <v>404</v>
      </c>
      <c r="J1329" s="247" t="s">
        <v>809</v>
      </c>
      <c r="K1329" s="249">
        <v>0</v>
      </c>
      <c r="M1329" s="90">
        <v>0</v>
      </c>
      <c r="N1329" s="90">
        <v>0</v>
      </c>
      <c r="O1329" s="90">
        <v>255</v>
      </c>
    </row>
    <row r="1330" spans="1:15" s="90" customFormat="1" ht="12.75" customHeight="1" x14ac:dyDescent="0.2">
      <c r="A1330" s="247" t="s">
        <v>990</v>
      </c>
      <c r="B1330" s="316">
        <v>3046</v>
      </c>
      <c r="C1330" s="247" t="s">
        <v>975</v>
      </c>
      <c r="D1330" s="317">
        <v>42656</v>
      </c>
      <c r="E1330" s="318">
        <v>0.92568287037037045</v>
      </c>
      <c r="F1330" s="247" t="s">
        <v>976</v>
      </c>
      <c r="G1330" s="247" t="s">
        <v>1035</v>
      </c>
      <c r="H1330" s="248" t="s">
        <v>404</v>
      </c>
      <c r="I1330" s="248" t="s">
        <v>404</v>
      </c>
      <c r="J1330" s="247" t="s">
        <v>809</v>
      </c>
      <c r="K1330" s="249">
        <v>0</v>
      </c>
      <c r="M1330" s="90">
        <v>0</v>
      </c>
      <c r="N1330" s="90">
        <v>0</v>
      </c>
      <c r="O1330" s="90">
        <v>255</v>
      </c>
    </row>
    <row r="1331" spans="1:15" s="90" customFormat="1" ht="12.75" customHeight="1" x14ac:dyDescent="0.2">
      <c r="A1331" s="247" t="s">
        <v>993</v>
      </c>
      <c r="B1331" s="316">
        <v>3217</v>
      </c>
      <c r="C1331" s="247" t="s">
        <v>975</v>
      </c>
      <c r="D1331" s="317">
        <v>42656</v>
      </c>
      <c r="E1331" s="318">
        <v>0.92568287037037045</v>
      </c>
      <c r="F1331" s="247" t="s">
        <v>235</v>
      </c>
      <c r="G1331" s="247" t="s">
        <v>1035</v>
      </c>
      <c r="H1331" s="248" t="s">
        <v>234</v>
      </c>
      <c r="I1331" s="248" t="s">
        <v>235</v>
      </c>
      <c r="J1331" s="247" t="s">
        <v>809</v>
      </c>
      <c r="K1331" s="249">
        <v>0</v>
      </c>
      <c r="M1331" s="90">
        <v>0</v>
      </c>
      <c r="N1331" s="90">
        <v>0</v>
      </c>
      <c r="O1331" s="90">
        <v>255</v>
      </c>
    </row>
    <row r="1332" spans="1:15" s="90" customFormat="1" ht="12.75" customHeight="1" x14ac:dyDescent="0.2">
      <c r="A1332" s="247" t="s">
        <v>989</v>
      </c>
      <c r="B1332" s="316">
        <v>3046</v>
      </c>
      <c r="C1332" s="247" t="s">
        <v>975</v>
      </c>
      <c r="D1332" s="317">
        <v>42656</v>
      </c>
      <c r="E1332" s="318">
        <v>0.96736111111111101</v>
      </c>
      <c r="F1332" s="247" t="s">
        <v>976</v>
      </c>
      <c r="G1332" s="247" t="s">
        <v>1035</v>
      </c>
      <c r="H1332" s="248" t="s">
        <v>404</v>
      </c>
      <c r="I1332" s="248" t="s">
        <v>404</v>
      </c>
      <c r="J1332" s="247" t="s">
        <v>809</v>
      </c>
      <c r="K1332" s="249">
        <v>0</v>
      </c>
      <c r="M1332" s="90">
        <v>0</v>
      </c>
      <c r="N1332" s="90">
        <v>0</v>
      </c>
      <c r="O1332" s="90">
        <v>255</v>
      </c>
    </row>
    <row r="1333" spans="1:15" s="90" customFormat="1" ht="12.75" customHeight="1" x14ac:dyDescent="0.2">
      <c r="A1333" s="247" t="s">
        <v>993</v>
      </c>
      <c r="B1333" s="316">
        <v>3217</v>
      </c>
      <c r="C1333" s="247" t="s">
        <v>975</v>
      </c>
      <c r="D1333" s="317">
        <v>42656</v>
      </c>
      <c r="E1333" s="318">
        <v>0.96760416666666671</v>
      </c>
      <c r="F1333" s="247" t="s">
        <v>235</v>
      </c>
      <c r="G1333" s="247" t="s">
        <v>1035</v>
      </c>
      <c r="H1333" s="248" t="s">
        <v>234</v>
      </c>
      <c r="I1333" s="248" t="s">
        <v>235</v>
      </c>
      <c r="J1333" s="247" t="s">
        <v>809</v>
      </c>
      <c r="K1333" s="249">
        <v>0</v>
      </c>
      <c r="M1333" s="90">
        <v>0</v>
      </c>
      <c r="N1333" s="90">
        <v>0</v>
      </c>
      <c r="O1333" s="90">
        <v>255</v>
      </c>
    </row>
    <row r="1334" spans="1:15" s="90" customFormat="1" ht="12.75" customHeight="1" x14ac:dyDescent="0.2">
      <c r="A1334" s="247" t="s">
        <v>990</v>
      </c>
      <c r="B1334" s="316">
        <v>3046</v>
      </c>
      <c r="C1334" s="247" t="s">
        <v>975</v>
      </c>
      <c r="D1334" s="317">
        <v>42656</v>
      </c>
      <c r="E1334" s="318">
        <v>0.96761574074074075</v>
      </c>
      <c r="F1334" s="247" t="s">
        <v>976</v>
      </c>
      <c r="G1334" s="247" t="s">
        <v>1035</v>
      </c>
      <c r="H1334" s="248" t="s">
        <v>404</v>
      </c>
      <c r="I1334" s="248" t="s">
        <v>404</v>
      </c>
      <c r="J1334" s="247" t="s">
        <v>809</v>
      </c>
      <c r="K1334" s="249">
        <v>0</v>
      </c>
      <c r="M1334" s="90">
        <v>0</v>
      </c>
      <c r="N1334" s="90">
        <v>0</v>
      </c>
      <c r="O1334" s="90">
        <v>255</v>
      </c>
    </row>
    <row r="1335" spans="1:15" s="90" customFormat="1" ht="12.75" customHeight="1" x14ac:dyDescent="0.2">
      <c r="A1335" s="247" t="s">
        <v>989</v>
      </c>
      <c r="B1335" s="316">
        <v>3046</v>
      </c>
      <c r="C1335" s="247" t="s">
        <v>975</v>
      </c>
      <c r="D1335" s="317">
        <v>42657</v>
      </c>
      <c r="E1335" s="318">
        <v>9.2824074074074076E-3</v>
      </c>
      <c r="F1335" s="247" t="s">
        <v>976</v>
      </c>
      <c r="G1335" s="247" t="s">
        <v>1035</v>
      </c>
      <c r="H1335" s="248" t="s">
        <v>404</v>
      </c>
      <c r="I1335" s="248" t="s">
        <v>404</v>
      </c>
      <c r="J1335" s="247" t="s">
        <v>809</v>
      </c>
      <c r="K1335" s="249">
        <v>0</v>
      </c>
      <c r="M1335" s="90">
        <v>0</v>
      </c>
      <c r="N1335" s="90">
        <v>0</v>
      </c>
      <c r="O1335" s="90">
        <v>255</v>
      </c>
    </row>
    <row r="1336" spans="1:15" s="90" customFormat="1" ht="12.75" customHeight="1" x14ac:dyDescent="0.2">
      <c r="A1336" s="247" t="s">
        <v>990</v>
      </c>
      <c r="B1336" s="316">
        <v>3046</v>
      </c>
      <c r="C1336" s="247" t="s">
        <v>975</v>
      </c>
      <c r="D1336" s="317">
        <v>42657</v>
      </c>
      <c r="E1336" s="318">
        <v>9.525462962962963E-3</v>
      </c>
      <c r="F1336" s="247" t="s">
        <v>976</v>
      </c>
      <c r="G1336" s="247" t="s">
        <v>1035</v>
      </c>
      <c r="H1336" s="248" t="s">
        <v>404</v>
      </c>
      <c r="I1336" s="248" t="s">
        <v>404</v>
      </c>
      <c r="J1336" s="247" t="s">
        <v>809</v>
      </c>
      <c r="K1336" s="249">
        <v>0</v>
      </c>
      <c r="M1336" s="90">
        <v>0</v>
      </c>
      <c r="N1336" s="90">
        <v>0</v>
      </c>
      <c r="O1336" s="90">
        <v>255</v>
      </c>
    </row>
    <row r="1337" spans="1:15" s="90" customFormat="1" ht="12.75" customHeight="1" x14ac:dyDescent="0.2">
      <c r="A1337" s="247" t="s">
        <v>993</v>
      </c>
      <c r="B1337" s="316">
        <v>3217</v>
      </c>
      <c r="C1337" s="247" t="s">
        <v>975</v>
      </c>
      <c r="D1337" s="317">
        <v>42657</v>
      </c>
      <c r="E1337" s="318">
        <v>9.525462962962963E-3</v>
      </c>
      <c r="F1337" s="247" t="s">
        <v>235</v>
      </c>
      <c r="G1337" s="247" t="s">
        <v>1035</v>
      </c>
      <c r="H1337" s="248" t="s">
        <v>234</v>
      </c>
      <c r="I1337" s="248" t="s">
        <v>235</v>
      </c>
      <c r="J1337" s="247" t="s">
        <v>809</v>
      </c>
      <c r="K1337" s="249">
        <v>0</v>
      </c>
      <c r="M1337" s="90">
        <v>0</v>
      </c>
      <c r="N1337" s="90">
        <v>0</v>
      </c>
      <c r="O1337" s="90">
        <v>255</v>
      </c>
    </row>
    <row r="1338" spans="1:15" s="90" customFormat="1" ht="12.75" customHeight="1" x14ac:dyDescent="0.2">
      <c r="A1338" s="247" t="s">
        <v>989</v>
      </c>
      <c r="B1338" s="316">
        <v>3046</v>
      </c>
      <c r="C1338" s="247" t="s">
        <v>975</v>
      </c>
      <c r="D1338" s="317">
        <v>42657</v>
      </c>
      <c r="E1338" s="318">
        <v>5.1203703703703703E-2</v>
      </c>
      <c r="F1338" s="247" t="s">
        <v>976</v>
      </c>
      <c r="G1338" s="247" t="s">
        <v>1035</v>
      </c>
      <c r="H1338" s="248" t="s">
        <v>404</v>
      </c>
      <c r="I1338" s="248" t="s">
        <v>404</v>
      </c>
      <c r="J1338" s="247" t="s">
        <v>809</v>
      </c>
      <c r="K1338" s="249">
        <v>0</v>
      </c>
      <c r="M1338" s="90">
        <v>0</v>
      </c>
      <c r="N1338" s="90">
        <v>0</v>
      </c>
      <c r="O1338" s="90">
        <v>255</v>
      </c>
    </row>
    <row r="1339" spans="1:15" s="90" customFormat="1" ht="12.75" customHeight="1" x14ac:dyDescent="0.2">
      <c r="A1339" s="247" t="s">
        <v>990</v>
      </c>
      <c r="B1339" s="316">
        <v>3046</v>
      </c>
      <c r="C1339" s="247" t="s">
        <v>975</v>
      </c>
      <c r="D1339" s="317">
        <v>42657</v>
      </c>
      <c r="E1339" s="318">
        <v>5.1446759259259262E-2</v>
      </c>
      <c r="F1339" s="247" t="s">
        <v>976</v>
      </c>
      <c r="G1339" s="247" t="s">
        <v>1035</v>
      </c>
      <c r="H1339" s="248" t="s">
        <v>404</v>
      </c>
      <c r="I1339" s="248" t="s">
        <v>404</v>
      </c>
      <c r="J1339" s="247" t="s">
        <v>809</v>
      </c>
      <c r="K1339" s="249">
        <v>0</v>
      </c>
      <c r="M1339" s="90">
        <v>0</v>
      </c>
      <c r="N1339" s="90">
        <v>0</v>
      </c>
      <c r="O1339" s="90">
        <v>255</v>
      </c>
    </row>
    <row r="1340" spans="1:15" s="90" customFormat="1" ht="12.75" customHeight="1" x14ac:dyDescent="0.2">
      <c r="A1340" s="247" t="s">
        <v>993</v>
      </c>
      <c r="B1340" s="316">
        <v>3217</v>
      </c>
      <c r="C1340" s="247" t="s">
        <v>975</v>
      </c>
      <c r="D1340" s="317">
        <v>42657</v>
      </c>
      <c r="E1340" s="318">
        <v>5.1446759259259262E-2</v>
      </c>
      <c r="F1340" s="247" t="s">
        <v>235</v>
      </c>
      <c r="G1340" s="247" t="s">
        <v>1035</v>
      </c>
      <c r="H1340" s="248" t="s">
        <v>234</v>
      </c>
      <c r="I1340" s="248" t="s">
        <v>235</v>
      </c>
      <c r="J1340" s="247" t="s">
        <v>809</v>
      </c>
      <c r="K1340" s="249">
        <v>0</v>
      </c>
      <c r="M1340" s="90">
        <v>0</v>
      </c>
      <c r="N1340" s="90">
        <v>0</v>
      </c>
      <c r="O1340" s="90">
        <v>255</v>
      </c>
    </row>
    <row r="1341" spans="1:15" s="90" customFormat="1" ht="12.75" customHeight="1" x14ac:dyDescent="0.2">
      <c r="A1341" s="247" t="s">
        <v>989</v>
      </c>
      <c r="B1341" s="316">
        <v>3046</v>
      </c>
      <c r="C1341" s="247" t="s">
        <v>975</v>
      </c>
      <c r="D1341" s="317">
        <v>42657</v>
      </c>
      <c r="E1341" s="318">
        <v>9.3124999999999999E-2</v>
      </c>
      <c r="F1341" s="247" t="s">
        <v>976</v>
      </c>
      <c r="G1341" s="247" t="s">
        <v>1035</v>
      </c>
      <c r="H1341" s="248" t="s">
        <v>404</v>
      </c>
      <c r="I1341" s="248" t="s">
        <v>404</v>
      </c>
      <c r="J1341" s="247" t="s">
        <v>809</v>
      </c>
      <c r="K1341" s="249">
        <v>0</v>
      </c>
      <c r="M1341" s="90">
        <v>0</v>
      </c>
      <c r="N1341" s="90">
        <v>0</v>
      </c>
      <c r="O1341" s="90">
        <v>255</v>
      </c>
    </row>
    <row r="1342" spans="1:15" s="90" customFormat="1" ht="12.75" customHeight="1" x14ac:dyDescent="0.2">
      <c r="A1342" s="247" t="s">
        <v>990</v>
      </c>
      <c r="B1342" s="316">
        <v>3046</v>
      </c>
      <c r="C1342" s="247" t="s">
        <v>975</v>
      </c>
      <c r="D1342" s="317">
        <v>42657</v>
      </c>
      <c r="E1342" s="318">
        <v>9.3368055555555551E-2</v>
      </c>
      <c r="F1342" s="247" t="s">
        <v>976</v>
      </c>
      <c r="G1342" s="247" t="s">
        <v>1035</v>
      </c>
      <c r="H1342" s="248" t="s">
        <v>404</v>
      </c>
      <c r="I1342" s="248" t="s">
        <v>404</v>
      </c>
      <c r="J1342" s="247" t="s">
        <v>809</v>
      </c>
      <c r="K1342" s="249">
        <v>0</v>
      </c>
      <c r="M1342" s="90">
        <v>0</v>
      </c>
      <c r="N1342" s="90">
        <v>0</v>
      </c>
      <c r="O1342" s="90">
        <v>255</v>
      </c>
    </row>
    <row r="1343" spans="1:15" s="90" customFormat="1" ht="12.75" customHeight="1" x14ac:dyDescent="0.2">
      <c r="A1343" s="247" t="s">
        <v>993</v>
      </c>
      <c r="B1343" s="316">
        <v>3217</v>
      </c>
      <c r="C1343" s="247" t="s">
        <v>975</v>
      </c>
      <c r="D1343" s="317">
        <v>42657</v>
      </c>
      <c r="E1343" s="318">
        <v>9.3368055555555551E-2</v>
      </c>
      <c r="F1343" s="247" t="s">
        <v>235</v>
      </c>
      <c r="G1343" s="247" t="s">
        <v>1035</v>
      </c>
      <c r="H1343" s="248" t="s">
        <v>234</v>
      </c>
      <c r="I1343" s="248" t="s">
        <v>235</v>
      </c>
      <c r="J1343" s="247" t="s">
        <v>809</v>
      </c>
      <c r="K1343" s="249">
        <v>0</v>
      </c>
      <c r="M1343" s="90">
        <v>0</v>
      </c>
      <c r="N1343" s="90">
        <v>0</v>
      </c>
      <c r="O1343" s="90">
        <v>255</v>
      </c>
    </row>
    <row r="1344" spans="1:15" s="90" customFormat="1" ht="12.75" customHeight="1" x14ac:dyDescent="0.2">
      <c r="A1344" s="247" t="s">
        <v>989</v>
      </c>
      <c r="B1344" s="316">
        <v>3046</v>
      </c>
      <c r="C1344" s="247" t="s">
        <v>975</v>
      </c>
      <c r="D1344" s="317">
        <v>42657</v>
      </c>
      <c r="E1344" s="318">
        <v>0.13503472222222221</v>
      </c>
      <c r="F1344" s="247" t="s">
        <v>976</v>
      </c>
      <c r="G1344" s="247" t="s">
        <v>1035</v>
      </c>
      <c r="H1344" s="248" t="s">
        <v>404</v>
      </c>
      <c r="I1344" s="248" t="s">
        <v>404</v>
      </c>
      <c r="J1344" s="247" t="s">
        <v>809</v>
      </c>
      <c r="K1344" s="249">
        <v>0</v>
      </c>
      <c r="M1344" s="90">
        <v>0</v>
      </c>
      <c r="N1344" s="90">
        <v>0</v>
      </c>
      <c r="O1344" s="90">
        <v>255</v>
      </c>
    </row>
    <row r="1345" spans="1:15" s="90" customFormat="1" ht="12.75" customHeight="1" x14ac:dyDescent="0.2">
      <c r="A1345" s="247" t="s">
        <v>990</v>
      </c>
      <c r="B1345" s="316">
        <v>3046</v>
      </c>
      <c r="C1345" s="247" t="s">
        <v>975</v>
      </c>
      <c r="D1345" s="317">
        <v>42657</v>
      </c>
      <c r="E1345" s="318">
        <v>0.13528935185185184</v>
      </c>
      <c r="F1345" s="247" t="s">
        <v>976</v>
      </c>
      <c r="G1345" s="247" t="s">
        <v>1035</v>
      </c>
      <c r="H1345" s="248" t="s">
        <v>404</v>
      </c>
      <c r="I1345" s="248" t="s">
        <v>404</v>
      </c>
      <c r="J1345" s="247" t="s">
        <v>809</v>
      </c>
      <c r="K1345" s="249">
        <v>0</v>
      </c>
      <c r="M1345" s="90">
        <v>0</v>
      </c>
      <c r="N1345" s="90">
        <v>0</v>
      </c>
      <c r="O1345" s="90">
        <v>255</v>
      </c>
    </row>
    <row r="1346" spans="1:15" s="90" customFormat="1" ht="12.75" customHeight="1" x14ac:dyDescent="0.2">
      <c r="A1346" s="247" t="s">
        <v>993</v>
      </c>
      <c r="B1346" s="316">
        <v>3217</v>
      </c>
      <c r="C1346" s="247" t="s">
        <v>975</v>
      </c>
      <c r="D1346" s="317">
        <v>42657</v>
      </c>
      <c r="E1346" s="318">
        <v>0.13528935185185184</v>
      </c>
      <c r="F1346" s="247" t="s">
        <v>235</v>
      </c>
      <c r="G1346" s="247" t="s">
        <v>1035</v>
      </c>
      <c r="H1346" s="248" t="s">
        <v>234</v>
      </c>
      <c r="I1346" s="248" t="s">
        <v>235</v>
      </c>
      <c r="J1346" s="247" t="s">
        <v>809</v>
      </c>
      <c r="K1346" s="249">
        <v>0</v>
      </c>
      <c r="M1346" s="90">
        <v>0</v>
      </c>
      <c r="N1346" s="90">
        <v>0</v>
      </c>
      <c r="O1346" s="90">
        <v>255</v>
      </c>
    </row>
    <row r="1347" spans="1:15" s="90" customFormat="1" ht="12.75" customHeight="1" x14ac:dyDescent="0.2">
      <c r="A1347" s="247" t="s">
        <v>989</v>
      </c>
      <c r="B1347" s="316">
        <v>3046</v>
      </c>
      <c r="C1347" s="247" t="s">
        <v>975</v>
      </c>
      <c r="D1347" s="317">
        <v>42657</v>
      </c>
      <c r="E1347" s="318">
        <v>0.17695601851851853</v>
      </c>
      <c r="F1347" s="247" t="s">
        <v>976</v>
      </c>
      <c r="G1347" s="247" t="s">
        <v>1035</v>
      </c>
      <c r="H1347" s="248" t="s">
        <v>404</v>
      </c>
      <c r="I1347" s="248" t="s">
        <v>404</v>
      </c>
      <c r="J1347" s="247" t="s">
        <v>809</v>
      </c>
      <c r="K1347" s="249">
        <v>0</v>
      </c>
      <c r="M1347" s="90">
        <v>0</v>
      </c>
      <c r="N1347" s="90">
        <v>0</v>
      </c>
      <c r="O1347" s="90">
        <v>255</v>
      </c>
    </row>
    <row r="1348" spans="1:15" s="90" customFormat="1" ht="12.75" customHeight="1" x14ac:dyDescent="0.2">
      <c r="A1348" s="247" t="s">
        <v>990</v>
      </c>
      <c r="B1348" s="316">
        <v>3046</v>
      </c>
      <c r="C1348" s="247" t="s">
        <v>975</v>
      </c>
      <c r="D1348" s="317">
        <v>42657</v>
      </c>
      <c r="E1348" s="318">
        <v>0.17721064814814813</v>
      </c>
      <c r="F1348" s="247" t="s">
        <v>976</v>
      </c>
      <c r="G1348" s="247" t="s">
        <v>1035</v>
      </c>
      <c r="H1348" s="248" t="s">
        <v>404</v>
      </c>
      <c r="I1348" s="248" t="s">
        <v>404</v>
      </c>
      <c r="J1348" s="247" t="s">
        <v>809</v>
      </c>
      <c r="K1348" s="249">
        <v>0</v>
      </c>
      <c r="M1348" s="90">
        <v>0</v>
      </c>
      <c r="N1348" s="90">
        <v>0</v>
      </c>
      <c r="O1348" s="90">
        <v>255</v>
      </c>
    </row>
    <row r="1349" spans="1:15" s="90" customFormat="1" ht="12.75" customHeight="1" x14ac:dyDescent="0.2">
      <c r="A1349" s="247" t="s">
        <v>993</v>
      </c>
      <c r="B1349" s="316">
        <v>3217</v>
      </c>
      <c r="C1349" s="247" t="s">
        <v>975</v>
      </c>
      <c r="D1349" s="317">
        <v>42657</v>
      </c>
      <c r="E1349" s="318">
        <v>0.17721064814814813</v>
      </c>
      <c r="F1349" s="247" t="s">
        <v>235</v>
      </c>
      <c r="G1349" s="247" t="s">
        <v>1035</v>
      </c>
      <c r="H1349" s="248" t="s">
        <v>234</v>
      </c>
      <c r="I1349" s="248" t="s">
        <v>235</v>
      </c>
      <c r="J1349" s="247" t="s">
        <v>809</v>
      </c>
      <c r="K1349" s="249">
        <v>0</v>
      </c>
      <c r="M1349" s="90">
        <v>0</v>
      </c>
      <c r="N1349" s="90">
        <v>0</v>
      </c>
      <c r="O1349" s="90">
        <v>255</v>
      </c>
    </row>
    <row r="1350" spans="1:15" s="90" customFormat="1" ht="12.75" customHeight="1" x14ac:dyDescent="0.2">
      <c r="A1350" s="247" t="s">
        <v>989</v>
      </c>
      <c r="B1350" s="316">
        <v>3046</v>
      </c>
      <c r="C1350" s="247" t="s">
        <v>975</v>
      </c>
      <c r="D1350" s="317">
        <v>42657</v>
      </c>
      <c r="E1350" s="318">
        <v>0.21887731481481479</v>
      </c>
      <c r="F1350" s="247" t="s">
        <v>976</v>
      </c>
      <c r="G1350" s="247" t="s">
        <v>1035</v>
      </c>
      <c r="H1350" s="248" t="s">
        <v>404</v>
      </c>
      <c r="I1350" s="248" t="s">
        <v>404</v>
      </c>
      <c r="J1350" s="247" t="s">
        <v>809</v>
      </c>
      <c r="K1350" s="249">
        <v>0</v>
      </c>
      <c r="M1350" s="90">
        <v>0</v>
      </c>
      <c r="N1350" s="90">
        <v>0</v>
      </c>
      <c r="O1350" s="90">
        <v>255</v>
      </c>
    </row>
    <row r="1351" spans="1:15" s="90" customFormat="1" ht="12.75" customHeight="1" x14ac:dyDescent="0.2">
      <c r="A1351" s="247" t="s">
        <v>990</v>
      </c>
      <c r="B1351" s="316">
        <v>3046</v>
      </c>
      <c r="C1351" s="247" t="s">
        <v>975</v>
      </c>
      <c r="D1351" s="317">
        <v>42657</v>
      </c>
      <c r="E1351" s="318">
        <v>0.21913194444444442</v>
      </c>
      <c r="F1351" s="247" t="s">
        <v>976</v>
      </c>
      <c r="G1351" s="247" t="s">
        <v>1035</v>
      </c>
      <c r="H1351" s="248" t="s">
        <v>404</v>
      </c>
      <c r="I1351" s="248" t="s">
        <v>404</v>
      </c>
      <c r="J1351" s="247" t="s">
        <v>809</v>
      </c>
      <c r="K1351" s="249">
        <v>0</v>
      </c>
      <c r="M1351" s="90">
        <v>0</v>
      </c>
      <c r="N1351" s="90">
        <v>0</v>
      </c>
      <c r="O1351" s="90">
        <v>255</v>
      </c>
    </row>
    <row r="1352" spans="1:15" s="90" customFormat="1" ht="12.75" customHeight="1" x14ac:dyDescent="0.2">
      <c r="A1352" s="247" t="s">
        <v>993</v>
      </c>
      <c r="B1352" s="316">
        <v>3217</v>
      </c>
      <c r="C1352" s="247" t="s">
        <v>975</v>
      </c>
      <c r="D1352" s="317">
        <v>42657</v>
      </c>
      <c r="E1352" s="318">
        <v>0.21913194444444442</v>
      </c>
      <c r="F1352" s="247" t="s">
        <v>235</v>
      </c>
      <c r="G1352" s="247" t="s">
        <v>1035</v>
      </c>
      <c r="H1352" s="248" t="s">
        <v>234</v>
      </c>
      <c r="I1352" s="248" t="s">
        <v>235</v>
      </c>
      <c r="J1352" s="247" t="s">
        <v>809</v>
      </c>
      <c r="K1352" s="249">
        <v>0</v>
      </c>
      <c r="M1352" s="90">
        <v>0</v>
      </c>
      <c r="N1352" s="90">
        <v>0</v>
      </c>
      <c r="O1352" s="90">
        <v>255</v>
      </c>
    </row>
    <row r="1353" spans="1:15" s="90" customFormat="1" ht="12.75" customHeight="1" x14ac:dyDescent="0.2">
      <c r="A1353" s="247" t="s">
        <v>989</v>
      </c>
      <c r="B1353" s="316">
        <v>3046</v>
      </c>
      <c r="C1353" s="247" t="s">
        <v>975</v>
      </c>
      <c r="D1353" s="317">
        <v>42657</v>
      </c>
      <c r="E1353" s="318">
        <v>0.26079861111111108</v>
      </c>
      <c r="F1353" s="247" t="s">
        <v>976</v>
      </c>
      <c r="G1353" s="247" t="s">
        <v>1035</v>
      </c>
      <c r="H1353" s="248" t="s">
        <v>404</v>
      </c>
      <c r="I1353" s="248" t="s">
        <v>404</v>
      </c>
      <c r="J1353" s="247" t="s">
        <v>809</v>
      </c>
      <c r="K1353" s="249">
        <v>0</v>
      </c>
      <c r="M1353" s="90">
        <v>0</v>
      </c>
      <c r="N1353" s="90">
        <v>0</v>
      </c>
      <c r="O1353" s="90">
        <v>255</v>
      </c>
    </row>
    <row r="1354" spans="1:15" s="90" customFormat="1" ht="12.75" customHeight="1" x14ac:dyDescent="0.2">
      <c r="A1354" s="247" t="s">
        <v>990</v>
      </c>
      <c r="B1354" s="316">
        <v>3046</v>
      </c>
      <c r="C1354" s="247" t="s">
        <v>975</v>
      </c>
      <c r="D1354" s="317">
        <v>42657</v>
      </c>
      <c r="E1354" s="318">
        <v>0.26105324074074071</v>
      </c>
      <c r="F1354" s="247" t="s">
        <v>976</v>
      </c>
      <c r="G1354" s="247" t="s">
        <v>1035</v>
      </c>
      <c r="H1354" s="248" t="s">
        <v>404</v>
      </c>
      <c r="I1354" s="248" t="s">
        <v>404</v>
      </c>
      <c r="J1354" s="247" t="s">
        <v>809</v>
      </c>
      <c r="K1354" s="249">
        <v>0</v>
      </c>
      <c r="M1354" s="90">
        <v>0</v>
      </c>
      <c r="N1354" s="90">
        <v>0</v>
      </c>
      <c r="O1354" s="90">
        <v>255</v>
      </c>
    </row>
    <row r="1355" spans="1:15" s="90" customFormat="1" ht="12.75" customHeight="1" x14ac:dyDescent="0.2">
      <c r="A1355" s="247" t="s">
        <v>993</v>
      </c>
      <c r="B1355" s="316">
        <v>3217</v>
      </c>
      <c r="C1355" s="247" t="s">
        <v>975</v>
      </c>
      <c r="D1355" s="317">
        <v>42657</v>
      </c>
      <c r="E1355" s="318">
        <v>0.26105324074074071</v>
      </c>
      <c r="F1355" s="247" t="s">
        <v>235</v>
      </c>
      <c r="G1355" s="247" t="s">
        <v>1035</v>
      </c>
      <c r="H1355" s="248" t="s">
        <v>234</v>
      </c>
      <c r="I1355" s="248" t="s">
        <v>235</v>
      </c>
      <c r="J1355" s="247" t="s">
        <v>809</v>
      </c>
      <c r="K1355" s="249">
        <v>0</v>
      </c>
      <c r="M1355" s="90">
        <v>0</v>
      </c>
      <c r="N1355" s="90">
        <v>0</v>
      </c>
      <c r="O1355" s="90">
        <v>255</v>
      </c>
    </row>
    <row r="1356" spans="1:15" s="90" customFormat="1" ht="12.75" customHeight="1" x14ac:dyDescent="0.2">
      <c r="A1356" s="247" t="s">
        <v>1080</v>
      </c>
      <c r="B1356" s="316">
        <v>3047</v>
      </c>
      <c r="C1356" s="247" t="s">
        <v>996</v>
      </c>
      <c r="D1356" s="317">
        <v>42657</v>
      </c>
      <c r="E1356" s="318">
        <v>0.3024189814814815</v>
      </c>
      <c r="F1356" s="247" t="s">
        <v>235</v>
      </c>
      <c r="G1356" s="247" t="s">
        <v>1035</v>
      </c>
      <c r="H1356" s="248" t="s">
        <v>234</v>
      </c>
      <c r="I1356" s="248" t="s">
        <v>235</v>
      </c>
      <c r="J1356" s="247" t="s">
        <v>809</v>
      </c>
      <c r="K1356" s="249">
        <v>0</v>
      </c>
      <c r="M1356" s="90">
        <v>0</v>
      </c>
      <c r="N1356" s="90">
        <v>0</v>
      </c>
      <c r="O1356" s="90">
        <v>255</v>
      </c>
    </row>
    <row r="1357" spans="1:15" s="90" customFormat="1" ht="12.75" customHeight="1" x14ac:dyDescent="0.2">
      <c r="A1357" s="247" t="s">
        <v>1079</v>
      </c>
      <c r="B1357" s="316">
        <v>3047</v>
      </c>
      <c r="C1357" s="247" t="s">
        <v>996</v>
      </c>
      <c r="D1357" s="317">
        <v>42657</v>
      </c>
      <c r="E1357" s="318">
        <v>0.3024189814814815</v>
      </c>
      <c r="F1357" s="247" t="s">
        <v>235</v>
      </c>
      <c r="G1357" s="247" t="s">
        <v>1035</v>
      </c>
      <c r="H1357" s="248" t="s">
        <v>234</v>
      </c>
      <c r="I1357" s="248" t="s">
        <v>235</v>
      </c>
      <c r="J1357" s="247" t="s">
        <v>809</v>
      </c>
      <c r="K1357" s="249">
        <v>0</v>
      </c>
      <c r="M1357" s="90">
        <v>0</v>
      </c>
      <c r="N1357" s="90">
        <v>0</v>
      </c>
      <c r="O1357" s="90">
        <v>255</v>
      </c>
    </row>
    <row r="1358" spans="1:15" s="90" customFormat="1" ht="12.75" customHeight="1" x14ac:dyDescent="0.2">
      <c r="A1358" s="247" t="s">
        <v>989</v>
      </c>
      <c r="B1358" s="316">
        <v>3046</v>
      </c>
      <c r="C1358" s="247" t="s">
        <v>975</v>
      </c>
      <c r="D1358" s="317">
        <v>42657</v>
      </c>
      <c r="E1358" s="318">
        <v>0.3027199074074074</v>
      </c>
      <c r="F1358" s="247" t="s">
        <v>976</v>
      </c>
      <c r="G1358" s="247" t="s">
        <v>1035</v>
      </c>
      <c r="H1358" s="248" t="s">
        <v>404</v>
      </c>
      <c r="I1358" s="248" t="s">
        <v>404</v>
      </c>
      <c r="J1358" s="247" t="s">
        <v>809</v>
      </c>
      <c r="K1358" s="249">
        <v>0</v>
      </c>
      <c r="M1358" s="90">
        <v>0</v>
      </c>
      <c r="N1358" s="90">
        <v>0</v>
      </c>
      <c r="O1358" s="90">
        <v>255</v>
      </c>
    </row>
    <row r="1359" spans="1:15" s="90" customFormat="1" ht="12.75" customHeight="1" x14ac:dyDescent="0.2">
      <c r="A1359" s="247" t="s">
        <v>1082</v>
      </c>
      <c r="B1359" s="316">
        <v>3047</v>
      </c>
      <c r="C1359" s="247" t="s">
        <v>996</v>
      </c>
      <c r="D1359" s="317">
        <v>42657</v>
      </c>
      <c r="E1359" s="318">
        <v>0.3028703703703704</v>
      </c>
      <c r="F1359" s="247" t="s">
        <v>235</v>
      </c>
      <c r="G1359" s="247" t="s">
        <v>1035</v>
      </c>
      <c r="H1359" s="248" t="s">
        <v>234</v>
      </c>
      <c r="I1359" s="248" t="s">
        <v>235</v>
      </c>
      <c r="J1359" s="247" t="s">
        <v>809</v>
      </c>
      <c r="K1359" s="249">
        <v>0</v>
      </c>
      <c r="M1359" s="90">
        <v>0</v>
      </c>
      <c r="N1359" s="90">
        <v>0</v>
      </c>
      <c r="O1359" s="90">
        <v>255</v>
      </c>
    </row>
    <row r="1360" spans="1:15" s="90" customFormat="1" ht="12.75" customHeight="1" x14ac:dyDescent="0.2">
      <c r="A1360" s="247" t="s">
        <v>1081</v>
      </c>
      <c r="B1360" s="316">
        <v>3047</v>
      </c>
      <c r="C1360" s="247" t="s">
        <v>996</v>
      </c>
      <c r="D1360" s="317">
        <v>42657</v>
      </c>
      <c r="E1360" s="318">
        <v>0.30296296296296293</v>
      </c>
      <c r="F1360" s="247" t="s">
        <v>235</v>
      </c>
      <c r="G1360" s="247" t="s">
        <v>1035</v>
      </c>
      <c r="H1360" s="248" t="s">
        <v>234</v>
      </c>
      <c r="I1360" s="248" t="s">
        <v>235</v>
      </c>
      <c r="J1360" s="247" t="s">
        <v>809</v>
      </c>
      <c r="K1360" s="249">
        <v>0</v>
      </c>
      <c r="M1360" s="90">
        <v>0</v>
      </c>
      <c r="N1360" s="90">
        <v>0</v>
      </c>
      <c r="O1360" s="90">
        <v>255</v>
      </c>
    </row>
    <row r="1361" spans="1:15" s="90" customFormat="1" ht="12.75" customHeight="1" x14ac:dyDescent="0.2">
      <c r="A1361" s="247" t="s">
        <v>990</v>
      </c>
      <c r="B1361" s="316">
        <v>3046</v>
      </c>
      <c r="C1361" s="247" t="s">
        <v>975</v>
      </c>
      <c r="D1361" s="317">
        <v>42657</v>
      </c>
      <c r="E1361" s="318">
        <v>0.30297453703703703</v>
      </c>
      <c r="F1361" s="247" t="s">
        <v>976</v>
      </c>
      <c r="G1361" s="247" t="s">
        <v>1035</v>
      </c>
      <c r="H1361" s="248" t="s">
        <v>404</v>
      </c>
      <c r="I1361" s="248" t="s">
        <v>404</v>
      </c>
      <c r="J1361" s="247" t="s">
        <v>809</v>
      </c>
      <c r="K1361" s="249">
        <v>0</v>
      </c>
      <c r="M1361" s="90">
        <v>0</v>
      </c>
      <c r="N1361" s="90">
        <v>0</v>
      </c>
      <c r="O1361" s="90">
        <v>255</v>
      </c>
    </row>
    <row r="1362" spans="1:15" s="90" customFormat="1" ht="12.75" customHeight="1" x14ac:dyDescent="0.2">
      <c r="A1362" s="247" t="s">
        <v>993</v>
      </c>
      <c r="B1362" s="316">
        <v>3217</v>
      </c>
      <c r="C1362" s="247" t="s">
        <v>975</v>
      </c>
      <c r="D1362" s="317">
        <v>42657</v>
      </c>
      <c r="E1362" s="318">
        <v>0.30297453703703703</v>
      </c>
      <c r="F1362" s="247" t="s">
        <v>235</v>
      </c>
      <c r="G1362" s="247" t="s">
        <v>1035</v>
      </c>
      <c r="H1362" s="248" t="s">
        <v>234</v>
      </c>
      <c r="I1362" s="248" t="s">
        <v>235</v>
      </c>
      <c r="J1362" s="247" t="s">
        <v>809</v>
      </c>
      <c r="K1362" s="249">
        <v>0</v>
      </c>
      <c r="M1362" s="90">
        <v>0</v>
      </c>
      <c r="N1362" s="90">
        <v>0</v>
      </c>
      <c r="O1362" s="90">
        <v>255</v>
      </c>
    </row>
    <row r="1363" spans="1:15" s="90" customFormat="1" ht="12.75" customHeight="1" x14ac:dyDescent="0.2">
      <c r="A1363" s="247" t="s">
        <v>1084</v>
      </c>
      <c r="B1363" s="316">
        <v>3089</v>
      </c>
      <c r="C1363" s="247" t="s">
        <v>996</v>
      </c>
      <c r="D1363" s="317">
        <v>42657</v>
      </c>
      <c r="E1363" s="318">
        <v>0.34408564814814818</v>
      </c>
      <c r="F1363" s="247" t="s">
        <v>235</v>
      </c>
      <c r="G1363" s="247" t="s">
        <v>1035</v>
      </c>
      <c r="H1363" s="248" t="s">
        <v>234</v>
      </c>
      <c r="I1363" s="248" t="s">
        <v>235</v>
      </c>
      <c r="J1363" s="247" t="s">
        <v>809</v>
      </c>
      <c r="K1363" s="249">
        <v>0</v>
      </c>
      <c r="M1363" s="90">
        <v>0</v>
      </c>
      <c r="N1363" s="90">
        <v>0</v>
      </c>
      <c r="O1363" s="90">
        <v>255</v>
      </c>
    </row>
    <row r="1364" spans="1:15" s="90" customFormat="1" ht="12.75" customHeight="1" x14ac:dyDescent="0.2">
      <c r="A1364" s="247" t="s">
        <v>1083</v>
      </c>
      <c r="B1364" s="316">
        <v>3089</v>
      </c>
      <c r="C1364" s="247" t="s">
        <v>996</v>
      </c>
      <c r="D1364" s="317">
        <v>42657</v>
      </c>
      <c r="E1364" s="318">
        <v>0.34408564814814818</v>
      </c>
      <c r="F1364" s="247" t="s">
        <v>235</v>
      </c>
      <c r="G1364" s="247" t="s">
        <v>1035</v>
      </c>
      <c r="H1364" s="248" t="s">
        <v>234</v>
      </c>
      <c r="I1364" s="248" t="s">
        <v>235</v>
      </c>
      <c r="J1364" s="247" t="s">
        <v>809</v>
      </c>
      <c r="K1364" s="249">
        <v>0</v>
      </c>
      <c r="M1364" s="90">
        <v>0</v>
      </c>
      <c r="N1364" s="90">
        <v>0</v>
      </c>
      <c r="O1364" s="90">
        <v>255</v>
      </c>
    </row>
    <row r="1365" spans="1:15" s="90" customFormat="1" ht="12.75" customHeight="1" x14ac:dyDescent="0.2">
      <c r="A1365" s="247" t="s">
        <v>1086</v>
      </c>
      <c r="B1365" s="316">
        <v>3089</v>
      </c>
      <c r="C1365" s="247" t="s">
        <v>996</v>
      </c>
      <c r="D1365" s="317">
        <v>42657</v>
      </c>
      <c r="E1365" s="318">
        <v>0.34453703703703703</v>
      </c>
      <c r="F1365" s="247" t="s">
        <v>235</v>
      </c>
      <c r="G1365" s="247" t="s">
        <v>1035</v>
      </c>
      <c r="H1365" s="248" t="s">
        <v>234</v>
      </c>
      <c r="I1365" s="248" t="s">
        <v>235</v>
      </c>
      <c r="J1365" s="247" t="s">
        <v>809</v>
      </c>
      <c r="K1365" s="249">
        <v>0</v>
      </c>
      <c r="M1365" s="90">
        <v>0</v>
      </c>
      <c r="N1365" s="90">
        <v>0</v>
      </c>
      <c r="O1365" s="90">
        <v>255</v>
      </c>
    </row>
    <row r="1366" spans="1:15" s="90" customFormat="1" ht="12.75" customHeight="1" x14ac:dyDescent="0.2">
      <c r="A1366" s="247" t="s">
        <v>1085</v>
      </c>
      <c r="B1366" s="316">
        <v>3089</v>
      </c>
      <c r="C1366" s="247" t="s">
        <v>996</v>
      </c>
      <c r="D1366" s="317">
        <v>42657</v>
      </c>
      <c r="E1366" s="318">
        <v>0.34462962962962962</v>
      </c>
      <c r="F1366" s="247" t="s">
        <v>235</v>
      </c>
      <c r="G1366" s="247" t="s">
        <v>1035</v>
      </c>
      <c r="H1366" s="248" t="s">
        <v>234</v>
      </c>
      <c r="I1366" s="248" t="s">
        <v>235</v>
      </c>
      <c r="J1366" s="247" t="s">
        <v>809</v>
      </c>
      <c r="K1366" s="249">
        <v>0</v>
      </c>
      <c r="M1366" s="90">
        <v>0</v>
      </c>
      <c r="N1366" s="90">
        <v>0</v>
      </c>
      <c r="O1366" s="90">
        <v>255</v>
      </c>
    </row>
    <row r="1367" spans="1:15" s="90" customFormat="1" ht="12.75" customHeight="1" x14ac:dyDescent="0.2">
      <c r="A1367" s="247" t="s">
        <v>989</v>
      </c>
      <c r="B1367" s="316">
        <v>3046</v>
      </c>
      <c r="C1367" s="247" t="s">
        <v>975</v>
      </c>
      <c r="D1367" s="317">
        <v>42657</v>
      </c>
      <c r="E1367" s="318">
        <v>0.34464120370370371</v>
      </c>
      <c r="F1367" s="247" t="s">
        <v>976</v>
      </c>
      <c r="G1367" s="247" t="s">
        <v>1035</v>
      </c>
      <c r="H1367" s="248" t="s">
        <v>404</v>
      </c>
      <c r="I1367" s="248" t="s">
        <v>404</v>
      </c>
      <c r="J1367" s="247" t="s">
        <v>809</v>
      </c>
      <c r="K1367" s="249">
        <v>0</v>
      </c>
      <c r="M1367" s="90">
        <v>0</v>
      </c>
      <c r="N1367" s="90">
        <v>0</v>
      </c>
      <c r="O1367" s="90">
        <v>255</v>
      </c>
    </row>
    <row r="1368" spans="1:15" s="90" customFormat="1" ht="12.75" customHeight="1" x14ac:dyDescent="0.2">
      <c r="A1368" s="247" t="s">
        <v>990</v>
      </c>
      <c r="B1368" s="316">
        <v>3046</v>
      </c>
      <c r="C1368" s="247" t="s">
        <v>975</v>
      </c>
      <c r="D1368" s="317">
        <v>42657</v>
      </c>
      <c r="E1368" s="318">
        <v>0.34489583333333335</v>
      </c>
      <c r="F1368" s="247" t="s">
        <v>976</v>
      </c>
      <c r="G1368" s="247" t="s">
        <v>1035</v>
      </c>
      <c r="H1368" s="248" t="s">
        <v>404</v>
      </c>
      <c r="I1368" s="248" t="s">
        <v>404</v>
      </c>
      <c r="J1368" s="247" t="s">
        <v>809</v>
      </c>
      <c r="K1368" s="249">
        <v>0</v>
      </c>
      <c r="M1368" s="90">
        <v>0</v>
      </c>
      <c r="N1368" s="90">
        <v>0</v>
      </c>
      <c r="O1368" s="90">
        <v>255</v>
      </c>
    </row>
    <row r="1369" spans="1:15" s="90" customFormat="1" ht="12.75" customHeight="1" x14ac:dyDescent="0.2">
      <c r="A1369" s="247" t="s">
        <v>993</v>
      </c>
      <c r="B1369" s="316">
        <v>3217</v>
      </c>
      <c r="C1369" s="247" t="s">
        <v>975</v>
      </c>
      <c r="D1369" s="317">
        <v>42657</v>
      </c>
      <c r="E1369" s="318">
        <v>0.34489583333333335</v>
      </c>
      <c r="F1369" s="247" t="s">
        <v>235</v>
      </c>
      <c r="G1369" s="247" t="s">
        <v>1035</v>
      </c>
      <c r="H1369" s="248" t="s">
        <v>234</v>
      </c>
      <c r="I1369" s="248" t="s">
        <v>235</v>
      </c>
      <c r="J1369" s="247" t="s">
        <v>809</v>
      </c>
      <c r="K1369" s="249">
        <v>0</v>
      </c>
      <c r="M1369" s="90">
        <v>0</v>
      </c>
      <c r="N1369" s="90">
        <v>0</v>
      </c>
      <c r="O1369" s="90">
        <v>255</v>
      </c>
    </row>
    <row r="1370" spans="1:15" s="90" customFormat="1" ht="12.75" customHeight="1" x14ac:dyDescent="0.2">
      <c r="A1370" s="247" t="s">
        <v>989</v>
      </c>
      <c r="B1370" s="316">
        <v>3046</v>
      </c>
      <c r="C1370" s="247" t="s">
        <v>975</v>
      </c>
      <c r="D1370" s="317">
        <v>42657</v>
      </c>
      <c r="E1370" s="318">
        <v>0.38656249999999998</v>
      </c>
      <c r="F1370" s="247" t="s">
        <v>976</v>
      </c>
      <c r="G1370" s="247" t="s">
        <v>1035</v>
      </c>
      <c r="H1370" s="248" t="s">
        <v>404</v>
      </c>
      <c r="I1370" s="248" t="s">
        <v>404</v>
      </c>
      <c r="J1370" s="247" t="s">
        <v>809</v>
      </c>
      <c r="K1370" s="249">
        <v>0</v>
      </c>
      <c r="M1370" s="90">
        <v>0</v>
      </c>
      <c r="N1370" s="90">
        <v>0</v>
      </c>
      <c r="O1370" s="90">
        <v>255</v>
      </c>
    </row>
    <row r="1371" spans="1:15" s="90" customFormat="1" ht="12.75" customHeight="1" x14ac:dyDescent="0.2">
      <c r="A1371" s="247" t="s">
        <v>990</v>
      </c>
      <c r="B1371" s="316">
        <v>3046</v>
      </c>
      <c r="C1371" s="247" t="s">
        <v>975</v>
      </c>
      <c r="D1371" s="317">
        <v>42657</v>
      </c>
      <c r="E1371" s="318">
        <v>0.38681712962962966</v>
      </c>
      <c r="F1371" s="247" t="s">
        <v>976</v>
      </c>
      <c r="G1371" s="247" t="s">
        <v>1035</v>
      </c>
      <c r="H1371" s="248" t="s">
        <v>404</v>
      </c>
      <c r="I1371" s="248" t="s">
        <v>404</v>
      </c>
      <c r="J1371" s="247" t="s">
        <v>809</v>
      </c>
      <c r="K1371" s="249">
        <v>0</v>
      </c>
      <c r="M1371" s="90">
        <v>0</v>
      </c>
      <c r="N1371" s="90">
        <v>0</v>
      </c>
      <c r="O1371" s="90">
        <v>255</v>
      </c>
    </row>
    <row r="1372" spans="1:15" s="90" customFormat="1" ht="12.75" customHeight="1" x14ac:dyDescent="0.2">
      <c r="A1372" s="247" t="s">
        <v>993</v>
      </c>
      <c r="B1372" s="316">
        <v>3217</v>
      </c>
      <c r="C1372" s="247" t="s">
        <v>975</v>
      </c>
      <c r="D1372" s="317">
        <v>42657</v>
      </c>
      <c r="E1372" s="318">
        <v>0.38681712962962966</v>
      </c>
      <c r="F1372" s="247" t="s">
        <v>235</v>
      </c>
      <c r="G1372" s="247" t="s">
        <v>1035</v>
      </c>
      <c r="H1372" s="248" t="s">
        <v>234</v>
      </c>
      <c r="I1372" s="248" t="s">
        <v>235</v>
      </c>
      <c r="J1372" s="247" t="s">
        <v>809</v>
      </c>
      <c r="K1372" s="249">
        <v>0</v>
      </c>
      <c r="M1372" s="90">
        <v>0</v>
      </c>
      <c r="N1372" s="90">
        <v>0</v>
      </c>
      <c r="O1372" s="90">
        <v>255</v>
      </c>
    </row>
    <row r="1373" spans="1:15" s="90" customFormat="1" ht="12.75" customHeight="1" x14ac:dyDescent="0.2">
      <c r="A1373" s="247" t="s">
        <v>989</v>
      </c>
      <c r="B1373" s="316">
        <v>3046</v>
      </c>
      <c r="C1373" s="247" t="s">
        <v>975</v>
      </c>
      <c r="D1373" s="317">
        <v>42657</v>
      </c>
      <c r="E1373" s="318">
        <v>0.42848379629629635</v>
      </c>
      <c r="F1373" s="247" t="s">
        <v>976</v>
      </c>
      <c r="G1373" s="247" t="s">
        <v>1035</v>
      </c>
      <c r="H1373" s="248" t="s">
        <v>404</v>
      </c>
      <c r="I1373" s="248" t="s">
        <v>404</v>
      </c>
      <c r="J1373" s="247" t="s">
        <v>809</v>
      </c>
      <c r="K1373" s="249">
        <v>0</v>
      </c>
      <c r="M1373" s="90">
        <v>0</v>
      </c>
      <c r="N1373" s="90">
        <v>0</v>
      </c>
      <c r="O1373" s="90">
        <v>255</v>
      </c>
    </row>
    <row r="1374" spans="1:15" s="90" customFormat="1" ht="12.75" customHeight="1" x14ac:dyDescent="0.2">
      <c r="A1374" s="247" t="s">
        <v>990</v>
      </c>
      <c r="B1374" s="316">
        <v>3046</v>
      </c>
      <c r="C1374" s="247" t="s">
        <v>975</v>
      </c>
      <c r="D1374" s="317">
        <v>42657</v>
      </c>
      <c r="E1374" s="318">
        <v>0.42958333333333337</v>
      </c>
      <c r="F1374" s="247" t="s">
        <v>976</v>
      </c>
      <c r="G1374" s="247" t="s">
        <v>1035</v>
      </c>
      <c r="H1374" s="248" t="s">
        <v>404</v>
      </c>
      <c r="I1374" s="248" t="s">
        <v>404</v>
      </c>
      <c r="J1374" s="247" t="s">
        <v>809</v>
      </c>
      <c r="K1374" s="249">
        <v>0</v>
      </c>
      <c r="M1374" s="90">
        <v>0</v>
      </c>
      <c r="N1374" s="90">
        <v>0</v>
      </c>
      <c r="O1374" s="90">
        <v>255</v>
      </c>
    </row>
    <row r="1375" spans="1:15" s="90" customFormat="1" ht="12.75" customHeight="1" x14ac:dyDescent="0.2">
      <c r="A1375" s="247" t="s">
        <v>993</v>
      </c>
      <c r="B1375" s="316">
        <v>3217</v>
      </c>
      <c r="C1375" s="247" t="s">
        <v>975</v>
      </c>
      <c r="D1375" s="317">
        <v>42657</v>
      </c>
      <c r="E1375" s="318">
        <v>0.42958333333333337</v>
      </c>
      <c r="F1375" s="247" t="s">
        <v>235</v>
      </c>
      <c r="G1375" s="247" t="s">
        <v>1035</v>
      </c>
      <c r="H1375" s="248" t="s">
        <v>234</v>
      </c>
      <c r="I1375" s="248" t="s">
        <v>235</v>
      </c>
      <c r="J1375" s="247" t="s">
        <v>809</v>
      </c>
      <c r="K1375" s="249">
        <v>0</v>
      </c>
      <c r="M1375" s="90">
        <v>0</v>
      </c>
      <c r="N1375" s="90">
        <v>0</v>
      </c>
      <c r="O1375" s="90">
        <v>255</v>
      </c>
    </row>
    <row r="1376" spans="1:15" s="90" customFormat="1" ht="12.75" customHeight="1" x14ac:dyDescent="0.2">
      <c r="A1376" s="247" t="s">
        <v>989</v>
      </c>
      <c r="B1376" s="316">
        <v>3046</v>
      </c>
      <c r="C1376" s="247" t="s">
        <v>975</v>
      </c>
      <c r="D1376" s="317">
        <v>42657</v>
      </c>
      <c r="E1376" s="318">
        <v>0.47125</v>
      </c>
      <c r="F1376" s="247" t="s">
        <v>976</v>
      </c>
      <c r="G1376" s="247" t="s">
        <v>1035</v>
      </c>
      <c r="H1376" s="248" t="s">
        <v>404</v>
      </c>
      <c r="I1376" s="248" t="s">
        <v>404</v>
      </c>
      <c r="J1376" s="247" t="s">
        <v>809</v>
      </c>
      <c r="K1376" s="249">
        <v>0</v>
      </c>
      <c r="M1376" s="90">
        <v>0</v>
      </c>
      <c r="N1376" s="90">
        <v>0</v>
      </c>
      <c r="O1376" s="90">
        <v>255</v>
      </c>
    </row>
    <row r="1377" spans="1:15" s="90" customFormat="1" ht="12.75" customHeight="1" x14ac:dyDescent="0.2">
      <c r="A1377" s="247" t="s">
        <v>993</v>
      </c>
      <c r="B1377" s="316">
        <v>3217</v>
      </c>
      <c r="C1377" s="247" t="s">
        <v>975</v>
      </c>
      <c r="D1377" s="317">
        <v>42657</v>
      </c>
      <c r="E1377" s="318">
        <v>0.4714930555555556</v>
      </c>
      <c r="F1377" s="247" t="s">
        <v>235</v>
      </c>
      <c r="G1377" s="247" t="s">
        <v>1035</v>
      </c>
      <c r="H1377" s="248" t="s">
        <v>234</v>
      </c>
      <c r="I1377" s="248" t="s">
        <v>235</v>
      </c>
      <c r="J1377" s="247" t="s">
        <v>809</v>
      </c>
      <c r="K1377" s="249">
        <v>0</v>
      </c>
      <c r="M1377" s="90">
        <v>0</v>
      </c>
      <c r="N1377" s="90">
        <v>0</v>
      </c>
      <c r="O1377" s="90">
        <v>255</v>
      </c>
    </row>
    <row r="1378" spans="1:15" s="90" customFormat="1" ht="12.75" customHeight="1" x14ac:dyDescent="0.2">
      <c r="A1378" s="247" t="s">
        <v>990</v>
      </c>
      <c r="B1378" s="316">
        <v>3046</v>
      </c>
      <c r="C1378" s="247" t="s">
        <v>975</v>
      </c>
      <c r="D1378" s="317">
        <v>42657</v>
      </c>
      <c r="E1378" s="318">
        <v>0.47150462962962963</v>
      </c>
      <c r="F1378" s="247" t="s">
        <v>976</v>
      </c>
      <c r="G1378" s="247" t="s">
        <v>1035</v>
      </c>
      <c r="H1378" s="248" t="s">
        <v>404</v>
      </c>
      <c r="I1378" s="248" t="s">
        <v>404</v>
      </c>
      <c r="J1378" s="247" t="s">
        <v>809</v>
      </c>
      <c r="K1378" s="249">
        <v>0</v>
      </c>
      <c r="M1378" s="90">
        <v>0</v>
      </c>
      <c r="N1378" s="90">
        <v>0</v>
      </c>
      <c r="O1378" s="90">
        <v>255</v>
      </c>
    </row>
    <row r="1379" spans="1:15" s="90" customFormat="1" ht="12.75" customHeight="1" x14ac:dyDescent="0.2">
      <c r="A1379" s="247" t="s">
        <v>989</v>
      </c>
      <c r="B1379" s="316">
        <v>3046</v>
      </c>
      <c r="C1379" s="247" t="s">
        <v>975</v>
      </c>
      <c r="D1379" s="317">
        <v>42657</v>
      </c>
      <c r="E1379" s="318">
        <v>0.51317129629629632</v>
      </c>
      <c r="F1379" s="247" t="s">
        <v>976</v>
      </c>
      <c r="G1379" s="247" t="s">
        <v>1035</v>
      </c>
      <c r="H1379" s="248" t="s">
        <v>404</v>
      </c>
      <c r="I1379" s="248" t="s">
        <v>404</v>
      </c>
      <c r="J1379" s="247" t="s">
        <v>809</v>
      </c>
      <c r="K1379" s="249">
        <v>0</v>
      </c>
      <c r="M1379" s="90">
        <v>0</v>
      </c>
      <c r="N1379" s="90">
        <v>0</v>
      </c>
      <c r="O1379" s="90">
        <v>255</v>
      </c>
    </row>
    <row r="1380" spans="1:15" s="90" customFormat="1" ht="12.75" customHeight="1" x14ac:dyDescent="0.2">
      <c r="A1380" s="247" t="s">
        <v>993</v>
      </c>
      <c r="B1380" s="316">
        <v>3217</v>
      </c>
      <c r="C1380" s="247" t="s">
        <v>975</v>
      </c>
      <c r="D1380" s="317">
        <v>42657</v>
      </c>
      <c r="E1380" s="318">
        <v>0.5134143518518518</v>
      </c>
      <c r="F1380" s="247" t="s">
        <v>235</v>
      </c>
      <c r="G1380" s="247" t="s">
        <v>1035</v>
      </c>
      <c r="H1380" s="248" t="s">
        <v>234</v>
      </c>
      <c r="I1380" s="248" t="s">
        <v>235</v>
      </c>
      <c r="J1380" s="247" t="s">
        <v>809</v>
      </c>
      <c r="K1380" s="249">
        <v>0</v>
      </c>
      <c r="M1380" s="90">
        <v>0</v>
      </c>
      <c r="N1380" s="90">
        <v>0</v>
      </c>
      <c r="O1380" s="90">
        <v>255</v>
      </c>
    </row>
    <row r="1381" spans="1:15" s="90" customFormat="1" ht="12.75" customHeight="1" x14ac:dyDescent="0.2">
      <c r="A1381" s="247" t="s">
        <v>990</v>
      </c>
      <c r="B1381" s="316">
        <v>3046</v>
      </c>
      <c r="C1381" s="247" t="s">
        <v>975</v>
      </c>
      <c r="D1381" s="317">
        <v>42657</v>
      </c>
      <c r="E1381" s="318">
        <v>0.51342592592592595</v>
      </c>
      <c r="F1381" s="247" t="s">
        <v>976</v>
      </c>
      <c r="G1381" s="247" t="s">
        <v>1035</v>
      </c>
      <c r="H1381" s="248" t="s">
        <v>404</v>
      </c>
      <c r="I1381" s="248" t="s">
        <v>404</v>
      </c>
      <c r="J1381" s="247" t="s">
        <v>809</v>
      </c>
      <c r="K1381" s="249">
        <v>0</v>
      </c>
      <c r="M1381" s="90">
        <v>0</v>
      </c>
      <c r="N1381" s="90">
        <v>0</v>
      </c>
      <c r="O1381" s="90">
        <v>255</v>
      </c>
    </row>
    <row r="1382" spans="1:15" s="90" customFormat="1" ht="12.75" customHeight="1" x14ac:dyDescent="0.2">
      <c r="A1382" s="247" t="s">
        <v>989</v>
      </c>
      <c r="B1382" s="316">
        <v>3046</v>
      </c>
      <c r="C1382" s="247" t="s">
        <v>975</v>
      </c>
      <c r="D1382" s="317">
        <v>42657</v>
      </c>
      <c r="E1382" s="318">
        <v>0.55509259259259258</v>
      </c>
      <c r="F1382" s="247" t="s">
        <v>976</v>
      </c>
      <c r="G1382" s="247" t="s">
        <v>1035</v>
      </c>
      <c r="H1382" s="248" t="s">
        <v>404</v>
      </c>
      <c r="I1382" s="248" t="s">
        <v>404</v>
      </c>
      <c r="J1382" s="247" t="s">
        <v>809</v>
      </c>
      <c r="K1382" s="249">
        <v>0</v>
      </c>
      <c r="M1382" s="90">
        <v>0</v>
      </c>
      <c r="N1382" s="90">
        <v>0</v>
      </c>
      <c r="O1382" s="90">
        <v>255</v>
      </c>
    </row>
    <row r="1383" spans="1:15" s="90" customFormat="1" ht="12.75" customHeight="1" x14ac:dyDescent="0.2">
      <c r="A1383" s="247" t="s">
        <v>993</v>
      </c>
      <c r="B1383" s="316">
        <v>3217</v>
      </c>
      <c r="C1383" s="247" t="s">
        <v>975</v>
      </c>
      <c r="D1383" s="317">
        <v>42657</v>
      </c>
      <c r="E1383" s="318">
        <v>0.55533564814814818</v>
      </c>
      <c r="F1383" s="247" t="s">
        <v>235</v>
      </c>
      <c r="G1383" s="247" t="s">
        <v>1035</v>
      </c>
      <c r="H1383" s="248" t="s">
        <v>234</v>
      </c>
      <c r="I1383" s="248" t="s">
        <v>235</v>
      </c>
      <c r="J1383" s="247" t="s">
        <v>809</v>
      </c>
      <c r="K1383" s="249">
        <v>0</v>
      </c>
      <c r="M1383" s="90">
        <v>0</v>
      </c>
      <c r="N1383" s="90">
        <v>0</v>
      </c>
      <c r="O1383" s="90">
        <v>255</v>
      </c>
    </row>
    <row r="1384" spans="1:15" s="90" customFormat="1" ht="12.75" customHeight="1" x14ac:dyDescent="0.2">
      <c r="A1384" s="247" t="s">
        <v>990</v>
      </c>
      <c r="B1384" s="316">
        <v>3046</v>
      </c>
      <c r="C1384" s="247" t="s">
        <v>975</v>
      </c>
      <c r="D1384" s="317">
        <v>42657</v>
      </c>
      <c r="E1384" s="318">
        <v>0.55534722222222221</v>
      </c>
      <c r="F1384" s="247" t="s">
        <v>976</v>
      </c>
      <c r="G1384" s="247" t="s">
        <v>1035</v>
      </c>
      <c r="H1384" s="248" t="s">
        <v>404</v>
      </c>
      <c r="I1384" s="248" t="s">
        <v>404</v>
      </c>
      <c r="J1384" s="247" t="s">
        <v>809</v>
      </c>
      <c r="K1384" s="249">
        <v>0</v>
      </c>
      <c r="M1384" s="90">
        <v>0</v>
      </c>
      <c r="N1384" s="90">
        <v>0</v>
      </c>
      <c r="O1384" s="90">
        <v>255</v>
      </c>
    </row>
    <row r="1385" spans="1:15" s="90" customFormat="1" ht="12.75" customHeight="1" x14ac:dyDescent="0.2">
      <c r="A1385" s="247" t="s">
        <v>989</v>
      </c>
      <c r="B1385" s="316">
        <v>3046</v>
      </c>
      <c r="C1385" s="247" t="s">
        <v>975</v>
      </c>
      <c r="D1385" s="317">
        <v>42657</v>
      </c>
      <c r="E1385" s="318">
        <v>0.59701388888888884</v>
      </c>
      <c r="F1385" s="247" t="s">
        <v>976</v>
      </c>
      <c r="G1385" s="247" t="s">
        <v>1035</v>
      </c>
      <c r="H1385" s="248" t="s">
        <v>404</v>
      </c>
      <c r="I1385" s="248" t="s">
        <v>404</v>
      </c>
      <c r="J1385" s="247" t="s">
        <v>809</v>
      </c>
      <c r="K1385" s="249">
        <v>0</v>
      </c>
      <c r="M1385" s="90">
        <v>0</v>
      </c>
      <c r="N1385" s="90">
        <v>0</v>
      </c>
      <c r="O1385" s="90">
        <v>255</v>
      </c>
    </row>
    <row r="1386" spans="1:15" s="90" customFormat="1" ht="12.75" customHeight="1" x14ac:dyDescent="0.2">
      <c r="A1386" s="247" t="s">
        <v>990</v>
      </c>
      <c r="B1386" s="316">
        <v>3046</v>
      </c>
      <c r="C1386" s="247" t="s">
        <v>975</v>
      </c>
      <c r="D1386" s="317">
        <v>42657</v>
      </c>
      <c r="E1386" s="318">
        <v>0.59725694444444444</v>
      </c>
      <c r="F1386" s="247" t="s">
        <v>976</v>
      </c>
      <c r="G1386" s="247" t="s">
        <v>1035</v>
      </c>
      <c r="H1386" s="248" t="s">
        <v>404</v>
      </c>
      <c r="I1386" s="248" t="s">
        <v>404</v>
      </c>
      <c r="J1386" s="247" t="s">
        <v>809</v>
      </c>
      <c r="K1386" s="249">
        <v>0</v>
      </c>
      <c r="M1386" s="90">
        <v>0</v>
      </c>
      <c r="N1386" s="90">
        <v>0</v>
      </c>
      <c r="O1386" s="90">
        <v>255</v>
      </c>
    </row>
    <row r="1387" spans="1:15" s="90" customFormat="1" ht="12.75" customHeight="1" x14ac:dyDescent="0.2">
      <c r="A1387" s="247" t="s">
        <v>993</v>
      </c>
      <c r="B1387" s="316">
        <v>3217</v>
      </c>
      <c r="C1387" s="247" t="s">
        <v>975</v>
      </c>
      <c r="D1387" s="317">
        <v>42657</v>
      </c>
      <c r="E1387" s="318">
        <v>0.59725694444444444</v>
      </c>
      <c r="F1387" s="247" t="s">
        <v>235</v>
      </c>
      <c r="G1387" s="247" t="s">
        <v>1035</v>
      </c>
      <c r="H1387" s="248" t="s">
        <v>234</v>
      </c>
      <c r="I1387" s="248" t="s">
        <v>235</v>
      </c>
      <c r="J1387" s="247" t="s">
        <v>809</v>
      </c>
      <c r="K1387" s="249">
        <v>0</v>
      </c>
      <c r="M1387" s="90">
        <v>0</v>
      </c>
      <c r="N1387" s="90">
        <v>0</v>
      </c>
      <c r="O1387" s="90">
        <v>255</v>
      </c>
    </row>
    <row r="1388" spans="1:15" s="90" customFormat="1" ht="12.75" customHeight="1" x14ac:dyDescent="0.2">
      <c r="A1388" s="247" t="s">
        <v>989</v>
      </c>
      <c r="B1388" s="316">
        <v>3046</v>
      </c>
      <c r="C1388" s="247" t="s">
        <v>975</v>
      </c>
      <c r="D1388" s="317">
        <v>42657</v>
      </c>
      <c r="E1388" s="318">
        <v>0.63893518518518522</v>
      </c>
      <c r="F1388" s="247" t="s">
        <v>976</v>
      </c>
      <c r="G1388" s="247" t="s">
        <v>1035</v>
      </c>
      <c r="H1388" s="248" t="s">
        <v>404</v>
      </c>
      <c r="I1388" s="248" t="s">
        <v>404</v>
      </c>
      <c r="J1388" s="247" t="s">
        <v>809</v>
      </c>
      <c r="K1388" s="249">
        <v>0</v>
      </c>
      <c r="M1388" s="90">
        <v>0</v>
      </c>
      <c r="N1388" s="90">
        <v>0</v>
      </c>
      <c r="O1388" s="90">
        <v>255</v>
      </c>
    </row>
    <row r="1389" spans="1:15" s="90" customFormat="1" ht="12.75" customHeight="1" x14ac:dyDescent="0.2">
      <c r="A1389" s="247" t="s">
        <v>990</v>
      </c>
      <c r="B1389" s="316">
        <v>3046</v>
      </c>
      <c r="C1389" s="247" t="s">
        <v>975</v>
      </c>
      <c r="D1389" s="317">
        <v>42657</v>
      </c>
      <c r="E1389" s="318">
        <v>0.63917824074074081</v>
      </c>
      <c r="F1389" s="247" t="s">
        <v>976</v>
      </c>
      <c r="G1389" s="247" t="s">
        <v>1035</v>
      </c>
      <c r="H1389" s="248" t="s">
        <v>404</v>
      </c>
      <c r="I1389" s="248" t="s">
        <v>404</v>
      </c>
      <c r="J1389" s="247" t="s">
        <v>809</v>
      </c>
      <c r="K1389" s="249">
        <v>0</v>
      </c>
      <c r="M1389" s="90">
        <v>0</v>
      </c>
      <c r="N1389" s="90">
        <v>0</v>
      </c>
      <c r="O1389" s="90">
        <v>255</v>
      </c>
    </row>
    <row r="1390" spans="1:15" s="90" customFormat="1" ht="12.75" customHeight="1" x14ac:dyDescent="0.2">
      <c r="A1390" s="247" t="s">
        <v>993</v>
      </c>
      <c r="B1390" s="316">
        <v>3217</v>
      </c>
      <c r="C1390" s="247" t="s">
        <v>975</v>
      </c>
      <c r="D1390" s="317">
        <v>42657</v>
      </c>
      <c r="E1390" s="318">
        <v>0.63917824074074081</v>
      </c>
      <c r="F1390" s="247" t="s">
        <v>235</v>
      </c>
      <c r="G1390" s="247" t="s">
        <v>1035</v>
      </c>
      <c r="H1390" s="248" t="s">
        <v>234</v>
      </c>
      <c r="I1390" s="248" t="s">
        <v>235</v>
      </c>
      <c r="J1390" s="247" t="s">
        <v>809</v>
      </c>
      <c r="K1390" s="249">
        <v>0</v>
      </c>
      <c r="M1390" s="90">
        <v>0</v>
      </c>
      <c r="N1390" s="90">
        <v>0</v>
      </c>
      <c r="O1390" s="90">
        <v>255</v>
      </c>
    </row>
    <row r="1391" spans="1:15" s="90" customFormat="1" ht="12.75" customHeight="1" x14ac:dyDescent="0.2">
      <c r="A1391" s="247" t="s">
        <v>989</v>
      </c>
      <c r="B1391" s="316">
        <v>3046</v>
      </c>
      <c r="C1391" s="247" t="s">
        <v>975</v>
      </c>
      <c r="D1391" s="317">
        <v>42657</v>
      </c>
      <c r="E1391" s="318">
        <v>0.68084490740740744</v>
      </c>
      <c r="F1391" s="247" t="s">
        <v>976</v>
      </c>
      <c r="G1391" s="247" t="s">
        <v>1035</v>
      </c>
      <c r="H1391" s="248" t="s">
        <v>404</v>
      </c>
      <c r="I1391" s="248" t="s">
        <v>404</v>
      </c>
      <c r="J1391" s="247" t="s">
        <v>809</v>
      </c>
      <c r="K1391" s="249">
        <v>0</v>
      </c>
      <c r="M1391" s="90">
        <v>0</v>
      </c>
      <c r="N1391" s="90">
        <v>0</v>
      </c>
      <c r="O1391" s="90">
        <v>255</v>
      </c>
    </row>
    <row r="1392" spans="1:15" s="90" customFormat="1" ht="12.75" customHeight="1" x14ac:dyDescent="0.2">
      <c r="A1392" s="247" t="s">
        <v>990</v>
      </c>
      <c r="B1392" s="316">
        <v>3046</v>
      </c>
      <c r="C1392" s="247" t="s">
        <v>975</v>
      </c>
      <c r="D1392" s="317">
        <v>42657</v>
      </c>
      <c r="E1392" s="318">
        <v>0.68109953703703707</v>
      </c>
      <c r="F1392" s="247" t="s">
        <v>976</v>
      </c>
      <c r="G1392" s="247" t="s">
        <v>1035</v>
      </c>
      <c r="H1392" s="248" t="s">
        <v>404</v>
      </c>
      <c r="I1392" s="248" t="s">
        <v>404</v>
      </c>
      <c r="J1392" s="247" t="s">
        <v>809</v>
      </c>
      <c r="K1392" s="249">
        <v>0</v>
      </c>
      <c r="M1392" s="90">
        <v>0</v>
      </c>
      <c r="N1392" s="90">
        <v>0</v>
      </c>
      <c r="O1392" s="90">
        <v>255</v>
      </c>
    </row>
    <row r="1393" spans="1:15" s="90" customFormat="1" ht="12.75" customHeight="1" x14ac:dyDescent="0.2">
      <c r="A1393" s="247" t="s">
        <v>993</v>
      </c>
      <c r="B1393" s="316">
        <v>3217</v>
      </c>
      <c r="C1393" s="247" t="s">
        <v>975</v>
      </c>
      <c r="D1393" s="317">
        <v>42657</v>
      </c>
      <c r="E1393" s="318">
        <v>0.68109953703703707</v>
      </c>
      <c r="F1393" s="247" t="s">
        <v>235</v>
      </c>
      <c r="G1393" s="247" t="s">
        <v>1035</v>
      </c>
      <c r="H1393" s="248" t="s">
        <v>234</v>
      </c>
      <c r="I1393" s="248" t="s">
        <v>235</v>
      </c>
      <c r="J1393" s="247" t="s">
        <v>809</v>
      </c>
      <c r="K1393" s="249">
        <v>0</v>
      </c>
      <c r="M1393" s="90">
        <v>0</v>
      </c>
      <c r="N1393" s="90">
        <v>0</v>
      </c>
      <c r="O1393" s="90">
        <v>255</v>
      </c>
    </row>
    <row r="1394" spans="1:15" s="90" customFormat="1" ht="12.75" customHeight="1" x14ac:dyDescent="0.2">
      <c r="A1394" s="247" t="s">
        <v>989</v>
      </c>
      <c r="B1394" s="316">
        <v>3046</v>
      </c>
      <c r="C1394" s="247" t="s">
        <v>975</v>
      </c>
      <c r="D1394" s="317">
        <v>42657</v>
      </c>
      <c r="E1394" s="318">
        <v>0.7227662037037037</v>
      </c>
      <c r="F1394" s="247" t="s">
        <v>976</v>
      </c>
      <c r="G1394" s="247" t="s">
        <v>1035</v>
      </c>
      <c r="H1394" s="248" t="s">
        <v>404</v>
      </c>
      <c r="I1394" s="248" t="s">
        <v>404</v>
      </c>
      <c r="J1394" s="247" t="s">
        <v>809</v>
      </c>
      <c r="K1394" s="249">
        <v>0</v>
      </c>
      <c r="M1394" s="90">
        <v>0</v>
      </c>
      <c r="N1394" s="90">
        <v>0</v>
      </c>
      <c r="O1394" s="90">
        <v>255</v>
      </c>
    </row>
    <row r="1395" spans="1:15" s="90" customFormat="1" ht="12.75" customHeight="1" x14ac:dyDescent="0.2">
      <c r="A1395" s="247" t="s">
        <v>990</v>
      </c>
      <c r="B1395" s="316">
        <v>3046</v>
      </c>
      <c r="C1395" s="247" t="s">
        <v>975</v>
      </c>
      <c r="D1395" s="317">
        <v>42657</v>
      </c>
      <c r="E1395" s="318">
        <v>0.72302083333333333</v>
      </c>
      <c r="F1395" s="247" t="s">
        <v>976</v>
      </c>
      <c r="G1395" s="247" t="s">
        <v>1035</v>
      </c>
      <c r="H1395" s="248" t="s">
        <v>404</v>
      </c>
      <c r="I1395" s="248" t="s">
        <v>404</v>
      </c>
      <c r="J1395" s="247" t="s">
        <v>809</v>
      </c>
      <c r="K1395" s="249">
        <v>0</v>
      </c>
      <c r="M1395" s="90">
        <v>0</v>
      </c>
      <c r="N1395" s="90">
        <v>0</v>
      </c>
      <c r="O1395" s="90">
        <v>255</v>
      </c>
    </row>
    <row r="1396" spans="1:15" s="90" customFormat="1" ht="12.75" customHeight="1" x14ac:dyDescent="0.2">
      <c r="A1396" s="247" t="s">
        <v>993</v>
      </c>
      <c r="B1396" s="316">
        <v>3217</v>
      </c>
      <c r="C1396" s="247" t="s">
        <v>975</v>
      </c>
      <c r="D1396" s="317">
        <v>42657</v>
      </c>
      <c r="E1396" s="318">
        <v>0.72302083333333333</v>
      </c>
      <c r="F1396" s="247" t="s">
        <v>235</v>
      </c>
      <c r="G1396" s="247" t="s">
        <v>1035</v>
      </c>
      <c r="H1396" s="248" t="s">
        <v>234</v>
      </c>
      <c r="I1396" s="248" t="s">
        <v>235</v>
      </c>
      <c r="J1396" s="247" t="s">
        <v>809</v>
      </c>
      <c r="K1396" s="249">
        <v>0</v>
      </c>
      <c r="M1396" s="90">
        <v>0</v>
      </c>
      <c r="N1396" s="90">
        <v>0</v>
      </c>
      <c r="O1396" s="90">
        <v>255</v>
      </c>
    </row>
    <row r="1397" spans="1:15" s="90" customFormat="1" ht="12.75" customHeight="1" x14ac:dyDescent="0.2">
      <c r="A1397" s="247" t="s">
        <v>989</v>
      </c>
      <c r="B1397" s="316">
        <v>3046</v>
      </c>
      <c r="C1397" s="247" t="s">
        <v>975</v>
      </c>
      <c r="D1397" s="317">
        <v>42657</v>
      </c>
      <c r="E1397" s="318">
        <v>0.76468749999999996</v>
      </c>
      <c r="F1397" s="247" t="s">
        <v>976</v>
      </c>
      <c r="G1397" s="247" t="s">
        <v>1035</v>
      </c>
      <c r="H1397" s="248" t="s">
        <v>404</v>
      </c>
      <c r="I1397" s="248" t="s">
        <v>404</v>
      </c>
      <c r="J1397" s="247" t="s">
        <v>809</v>
      </c>
      <c r="K1397" s="249">
        <v>0</v>
      </c>
      <c r="M1397" s="90">
        <v>0</v>
      </c>
      <c r="N1397" s="90">
        <v>0</v>
      </c>
      <c r="O1397" s="90">
        <v>255</v>
      </c>
    </row>
    <row r="1398" spans="1:15" s="90" customFormat="1" ht="12.75" customHeight="1" x14ac:dyDescent="0.2">
      <c r="A1398" s="247" t="s">
        <v>990</v>
      </c>
      <c r="B1398" s="316">
        <v>3046</v>
      </c>
      <c r="C1398" s="247" t="s">
        <v>975</v>
      </c>
      <c r="D1398" s="317">
        <v>42657</v>
      </c>
      <c r="E1398" s="318">
        <v>0.7649421296296296</v>
      </c>
      <c r="F1398" s="247" t="s">
        <v>976</v>
      </c>
      <c r="G1398" s="247" t="s">
        <v>1035</v>
      </c>
      <c r="H1398" s="248" t="s">
        <v>404</v>
      </c>
      <c r="I1398" s="248" t="s">
        <v>404</v>
      </c>
      <c r="J1398" s="247" t="s">
        <v>809</v>
      </c>
      <c r="K1398" s="249">
        <v>0</v>
      </c>
      <c r="M1398" s="90">
        <v>0</v>
      </c>
      <c r="N1398" s="90">
        <v>0</v>
      </c>
      <c r="O1398" s="90">
        <v>255</v>
      </c>
    </row>
    <row r="1399" spans="1:15" s="90" customFormat="1" ht="12.75" customHeight="1" x14ac:dyDescent="0.2">
      <c r="A1399" s="247" t="s">
        <v>993</v>
      </c>
      <c r="B1399" s="316">
        <v>3217</v>
      </c>
      <c r="C1399" s="247" t="s">
        <v>975</v>
      </c>
      <c r="D1399" s="317">
        <v>42657</v>
      </c>
      <c r="E1399" s="318">
        <v>0.7649421296296296</v>
      </c>
      <c r="F1399" s="247" t="s">
        <v>235</v>
      </c>
      <c r="G1399" s="247" t="s">
        <v>1035</v>
      </c>
      <c r="H1399" s="248" t="s">
        <v>234</v>
      </c>
      <c r="I1399" s="248" t="s">
        <v>235</v>
      </c>
      <c r="J1399" s="247" t="s">
        <v>809</v>
      </c>
      <c r="K1399" s="249">
        <v>0</v>
      </c>
      <c r="M1399" s="90">
        <v>0</v>
      </c>
      <c r="N1399" s="90">
        <v>0</v>
      </c>
      <c r="O1399" s="90">
        <v>255</v>
      </c>
    </row>
    <row r="1400" spans="1:15" s="90" customFormat="1" ht="12.75" customHeight="1" x14ac:dyDescent="0.2">
      <c r="A1400" s="247" t="s">
        <v>989</v>
      </c>
      <c r="B1400" s="316">
        <v>3046</v>
      </c>
      <c r="C1400" s="247" t="s">
        <v>975</v>
      </c>
      <c r="D1400" s="317">
        <v>42657</v>
      </c>
      <c r="E1400" s="318">
        <v>0.80660879629629623</v>
      </c>
      <c r="F1400" s="247" t="s">
        <v>976</v>
      </c>
      <c r="G1400" s="247" t="s">
        <v>1035</v>
      </c>
      <c r="H1400" s="248" t="s">
        <v>404</v>
      </c>
      <c r="I1400" s="248" t="s">
        <v>404</v>
      </c>
      <c r="J1400" s="247" t="s">
        <v>809</v>
      </c>
      <c r="K1400" s="249">
        <v>0</v>
      </c>
      <c r="M1400" s="90">
        <v>0</v>
      </c>
      <c r="N1400" s="90">
        <v>0</v>
      </c>
      <c r="O1400" s="90">
        <v>255</v>
      </c>
    </row>
    <row r="1401" spans="1:15" s="90" customFormat="1" ht="12.75" customHeight="1" x14ac:dyDescent="0.2">
      <c r="A1401" s="247" t="s">
        <v>990</v>
      </c>
      <c r="B1401" s="316">
        <v>3046</v>
      </c>
      <c r="C1401" s="247" t="s">
        <v>975</v>
      </c>
      <c r="D1401" s="317">
        <v>42657</v>
      </c>
      <c r="E1401" s="318">
        <v>0.80686342592592597</v>
      </c>
      <c r="F1401" s="247" t="s">
        <v>976</v>
      </c>
      <c r="G1401" s="247" t="s">
        <v>1035</v>
      </c>
      <c r="H1401" s="248" t="s">
        <v>404</v>
      </c>
      <c r="I1401" s="248" t="s">
        <v>404</v>
      </c>
      <c r="J1401" s="247" t="s">
        <v>809</v>
      </c>
      <c r="K1401" s="249">
        <v>0</v>
      </c>
      <c r="M1401" s="90">
        <v>0</v>
      </c>
      <c r="N1401" s="90">
        <v>0</v>
      </c>
      <c r="O1401" s="90">
        <v>255</v>
      </c>
    </row>
    <row r="1402" spans="1:15" s="90" customFormat="1" ht="12.75" customHeight="1" x14ac:dyDescent="0.2">
      <c r="A1402" s="247" t="s">
        <v>993</v>
      </c>
      <c r="B1402" s="316">
        <v>3217</v>
      </c>
      <c r="C1402" s="247" t="s">
        <v>975</v>
      </c>
      <c r="D1402" s="317">
        <v>42657</v>
      </c>
      <c r="E1402" s="318">
        <v>0.80686342592592597</v>
      </c>
      <c r="F1402" s="247" t="s">
        <v>235</v>
      </c>
      <c r="G1402" s="247" t="s">
        <v>1035</v>
      </c>
      <c r="H1402" s="248" t="s">
        <v>234</v>
      </c>
      <c r="I1402" s="248" t="s">
        <v>235</v>
      </c>
      <c r="J1402" s="247" t="s">
        <v>809</v>
      </c>
      <c r="K1402" s="249">
        <v>0</v>
      </c>
      <c r="M1402" s="90">
        <v>0</v>
      </c>
      <c r="N1402" s="90">
        <v>0</v>
      </c>
      <c r="O1402" s="90">
        <v>255</v>
      </c>
    </row>
    <row r="1403" spans="1:15" s="90" customFormat="1" ht="12.75" customHeight="1" x14ac:dyDescent="0.2">
      <c r="A1403" s="247" t="s">
        <v>989</v>
      </c>
      <c r="B1403" s="316">
        <v>3046</v>
      </c>
      <c r="C1403" s="247" t="s">
        <v>975</v>
      </c>
      <c r="D1403" s="317">
        <v>42657</v>
      </c>
      <c r="E1403" s="318">
        <v>0.8485300925925926</v>
      </c>
      <c r="F1403" s="247" t="s">
        <v>976</v>
      </c>
      <c r="G1403" s="247" t="s">
        <v>1035</v>
      </c>
      <c r="H1403" s="248" t="s">
        <v>404</v>
      </c>
      <c r="I1403" s="248" t="s">
        <v>404</v>
      </c>
      <c r="J1403" s="247" t="s">
        <v>809</v>
      </c>
      <c r="K1403" s="249">
        <v>0</v>
      </c>
      <c r="M1403" s="90">
        <v>0</v>
      </c>
      <c r="N1403" s="90">
        <v>0</v>
      </c>
      <c r="O1403" s="90">
        <v>255</v>
      </c>
    </row>
    <row r="1404" spans="1:15" s="90" customFormat="1" ht="12.75" customHeight="1" x14ac:dyDescent="0.2">
      <c r="A1404" s="247" t="s">
        <v>990</v>
      </c>
      <c r="B1404" s="316">
        <v>3046</v>
      </c>
      <c r="C1404" s="247" t="s">
        <v>975</v>
      </c>
      <c r="D1404" s="317">
        <v>42657</v>
      </c>
      <c r="E1404" s="318">
        <v>0.84878472222222223</v>
      </c>
      <c r="F1404" s="247" t="s">
        <v>976</v>
      </c>
      <c r="G1404" s="247" t="s">
        <v>1035</v>
      </c>
      <c r="H1404" s="248" t="s">
        <v>404</v>
      </c>
      <c r="I1404" s="248" t="s">
        <v>404</v>
      </c>
      <c r="J1404" s="247" t="s">
        <v>809</v>
      </c>
      <c r="K1404" s="249">
        <v>0</v>
      </c>
      <c r="M1404" s="90">
        <v>0</v>
      </c>
      <c r="N1404" s="90">
        <v>0</v>
      </c>
      <c r="O1404" s="90">
        <v>255</v>
      </c>
    </row>
    <row r="1405" spans="1:15" s="90" customFormat="1" ht="12.75" customHeight="1" x14ac:dyDescent="0.2">
      <c r="A1405" s="247" t="s">
        <v>993</v>
      </c>
      <c r="B1405" s="316">
        <v>3217</v>
      </c>
      <c r="C1405" s="247" t="s">
        <v>975</v>
      </c>
      <c r="D1405" s="317">
        <v>42657</v>
      </c>
      <c r="E1405" s="318">
        <v>0.84878472222222223</v>
      </c>
      <c r="F1405" s="247" t="s">
        <v>235</v>
      </c>
      <c r="G1405" s="247" t="s">
        <v>1035</v>
      </c>
      <c r="H1405" s="248" t="s">
        <v>234</v>
      </c>
      <c r="I1405" s="248" t="s">
        <v>235</v>
      </c>
      <c r="J1405" s="247" t="s">
        <v>809</v>
      </c>
      <c r="K1405" s="249">
        <v>0</v>
      </c>
      <c r="M1405" s="90">
        <v>0</v>
      </c>
      <c r="N1405" s="90">
        <v>0</v>
      </c>
      <c r="O1405" s="90">
        <v>255</v>
      </c>
    </row>
    <row r="1406" spans="1:15" s="90" customFormat="1" ht="12.75" customHeight="1" x14ac:dyDescent="0.2">
      <c r="A1406" s="247" t="s">
        <v>989</v>
      </c>
      <c r="B1406" s="316">
        <v>3046</v>
      </c>
      <c r="C1406" s="247" t="s">
        <v>975</v>
      </c>
      <c r="D1406" s="317">
        <v>42657</v>
      </c>
      <c r="E1406" s="318">
        <v>0.89045138888888886</v>
      </c>
      <c r="F1406" s="247" t="s">
        <v>976</v>
      </c>
      <c r="G1406" s="247" t="s">
        <v>1035</v>
      </c>
      <c r="H1406" s="248" t="s">
        <v>404</v>
      </c>
      <c r="I1406" s="248" t="s">
        <v>404</v>
      </c>
      <c r="J1406" s="247" t="s">
        <v>809</v>
      </c>
      <c r="K1406" s="249">
        <v>0</v>
      </c>
      <c r="M1406" s="90">
        <v>0</v>
      </c>
      <c r="N1406" s="90">
        <v>0</v>
      </c>
      <c r="O1406" s="90">
        <v>255</v>
      </c>
    </row>
    <row r="1407" spans="1:15" s="90" customFormat="1" ht="12.75" customHeight="1" x14ac:dyDescent="0.2">
      <c r="A1407" s="247" t="s">
        <v>990</v>
      </c>
      <c r="B1407" s="316">
        <v>3046</v>
      </c>
      <c r="C1407" s="247" t="s">
        <v>975</v>
      </c>
      <c r="D1407" s="317">
        <v>42657</v>
      </c>
      <c r="E1407" s="318">
        <v>0.89070601851851849</v>
      </c>
      <c r="F1407" s="247" t="s">
        <v>976</v>
      </c>
      <c r="G1407" s="247" t="s">
        <v>1035</v>
      </c>
      <c r="H1407" s="248" t="s">
        <v>404</v>
      </c>
      <c r="I1407" s="248" t="s">
        <v>404</v>
      </c>
      <c r="J1407" s="247" t="s">
        <v>809</v>
      </c>
      <c r="K1407" s="249">
        <v>0</v>
      </c>
      <c r="M1407" s="90">
        <v>0</v>
      </c>
      <c r="N1407" s="90">
        <v>0</v>
      </c>
      <c r="O1407" s="90">
        <v>255</v>
      </c>
    </row>
    <row r="1408" spans="1:15" s="90" customFormat="1" ht="12.75" customHeight="1" x14ac:dyDescent="0.2">
      <c r="A1408" s="247" t="s">
        <v>993</v>
      </c>
      <c r="B1408" s="316">
        <v>3217</v>
      </c>
      <c r="C1408" s="247" t="s">
        <v>975</v>
      </c>
      <c r="D1408" s="317">
        <v>42657</v>
      </c>
      <c r="E1408" s="318">
        <v>0.89070601851851849</v>
      </c>
      <c r="F1408" s="247" t="s">
        <v>235</v>
      </c>
      <c r="G1408" s="247" t="s">
        <v>1035</v>
      </c>
      <c r="H1408" s="248" t="s">
        <v>234</v>
      </c>
      <c r="I1408" s="248" t="s">
        <v>235</v>
      </c>
      <c r="J1408" s="247" t="s">
        <v>809</v>
      </c>
      <c r="K1408" s="249">
        <v>0</v>
      </c>
      <c r="M1408" s="90">
        <v>0</v>
      </c>
      <c r="N1408" s="90">
        <v>0</v>
      </c>
      <c r="O1408" s="90">
        <v>255</v>
      </c>
    </row>
    <row r="1409" spans="1:15" s="90" customFormat="1" ht="12.75" customHeight="1" x14ac:dyDescent="0.2">
      <c r="A1409" s="247" t="s">
        <v>989</v>
      </c>
      <c r="B1409" s="316">
        <v>3046</v>
      </c>
      <c r="C1409" s="247" t="s">
        <v>975</v>
      </c>
      <c r="D1409" s="317">
        <v>42657</v>
      </c>
      <c r="E1409" s="318">
        <v>0.93238425925925927</v>
      </c>
      <c r="F1409" s="247" t="s">
        <v>976</v>
      </c>
      <c r="G1409" s="247" t="s">
        <v>1035</v>
      </c>
      <c r="H1409" s="248" t="s">
        <v>404</v>
      </c>
      <c r="I1409" s="248" t="s">
        <v>404</v>
      </c>
      <c r="J1409" s="247" t="s">
        <v>809</v>
      </c>
      <c r="K1409" s="249">
        <v>0</v>
      </c>
      <c r="M1409" s="90">
        <v>0</v>
      </c>
      <c r="N1409" s="90">
        <v>0</v>
      </c>
      <c r="O1409" s="90">
        <v>255</v>
      </c>
    </row>
    <row r="1410" spans="1:15" s="90" customFormat="1" ht="12.75" customHeight="1" x14ac:dyDescent="0.2">
      <c r="A1410" s="247" t="s">
        <v>990</v>
      </c>
      <c r="B1410" s="316">
        <v>3046</v>
      </c>
      <c r="C1410" s="247" t="s">
        <v>975</v>
      </c>
      <c r="D1410" s="317">
        <v>42657</v>
      </c>
      <c r="E1410" s="318">
        <v>0.93262731481481476</v>
      </c>
      <c r="F1410" s="247" t="s">
        <v>976</v>
      </c>
      <c r="G1410" s="247" t="s">
        <v>1035</v>
      </c>
      <c r="H1410" s="248" t="s">
        <v>404</v>
      </c>
      <c r="I1410" s="248" t="s">
        <v>404</v>
      </c>
      <c r="J1410" s="247" t="s">
        <v>809</v>
      </c>
      <c r="K1410" s="249">
        <v>0</v>
      </c>
      <c r="M1410" s="90">
        <v>0</v>
      </c>
      <c r="N1410" s="90">
        <v>0</v>
      </c>
      <c r="O1410" s="90">
        <v>255</v>
      </c>
    </row>
    <row r="1411" spans="1:15" s="90" customFormat="1" ht="12.75" customHeight="1" x14ac:dyDescent="0.2">
      <c r="A1411" s="247" t="s">
        <v>993</v>
      </c>
      <c r="B1411" s="316">
        <v>3217</v>
      </c>
      <c r="C1411" s="247" t="s">
        <v>975</v>
      </c>
      <c r="D1411" s="317">
        <v>42657</v>
      </c>
      <c r="E1411" s="318">
        <v>0.93262731481481476</v>
      </c>
      <c r="F1411" s="247" t="s">
        <v>235</v>
      </c>
      <c r="G1411" s="247" t="s">
        <v>1035</v>
      </c>
      <c r="H1411" s="248" t="s">
        <v>234</v>
      </c>
      <c r="I1411" s="248" t="s">
        <v>235</v>
      </c>
      <c r="J1411" s="247" t="s">
        <v>809</v>
      </c>
      <c r="K1411" s="249">
        <v>0</v>
      </c>
      <c r="M1411" s="90">
        <v>0</v>
      </c>
      <c r="N1411" s="90">
        <v>0</v>
      </c>
      <c r="O1411" s="90">
        <v>255</v>
      </c>
    </row>
    <row r="1412" spans="1:15" s="90" customFormat="1" ht="12.75" customHeight="1" x14ac:dyDescent="0.2">
      <c r="A1412" s="247" t="s">
        <v>997</v>
      </c>
      <c r="B1412" s="316">
        <v>4025</v>
      </c>
      <c r="C1412" s="247" t="s">
        <v>996</v>
      </c>
      <c r="D1412" s="317">
        <v>42657</v>
      </c>
      <c r="E1412" s="318">
        <v>0.93269675925925932</v>
      </c>
      <c r="F1412" s="247" t="s">
        <v>702</v>
      </c>
      <c r="G1412" s="247" t="s">
        <v>1035</v>
      </c>
      <c r="H1412" s="248" t="s">
        <v>4</v>
      </c>
      <c r="I1412" s="248" t="s">
        <v>5</v>
      </c>
      <c r="J1412" s="247" t="s">
        <v>809</v>
      </c>
      <c r="K1412" s="249">
        <v>0</v>
      </c>
      <c r="L1412" s="90" t="s">
        <v>1780</v>
      </c>
      <c r="M1412" s="90">
        <v>327</v>
      </c>
      <c r="N1412" s="90">
        <v>-1</v>
      </c>
      <c r="O1412" s="90">
        <v>0</v>
      </c>
    </row>
    <row r="1413" spans="1:15" s="90" customFormat="1" ht="12.75" customHeight="1" x14ac:dyDescent="0.2">
      <c r="A1413" s="247" t="s">
        <v>989</v>
      </c>
      <c r="B1413" s="316">
        <v>3046</v>
      </c>
      <c r="C1413" s="247" t="s">
        <v>975</v>
      </c>
      <c r="D1413" s="317">
        <v>42657</v>
      </c>
      <c r="E1413" s="318">
        <v>0.97430555555555554</v>
      </c>
      <c r="F1413" s="247" t="s">
        <v>976</v>
      </c>
      <c r="G1413" s="247" t="s">
        <v>1035</v>
      </c>
      <c r="H1413" s="248" t="s">
        <v>404</v>
      </c>
      <c r="I1413" s="248" t="s">
        <v>404</v>
      </c>
      <c r="J1413" s="247" t="s">
        <v>809</v>
      </c>
      <c r="K1413" s="249">
        <v>0</v>
      </c>
      <c r="M1413" s="90">
        <v>0</v>
      </c>
      <c r="N1413" s="90">
        <v>0</v>
      </c>
      <c r="O1413" s="90">
        <v>255</v>
      </c>
    </row>
    <row r="1414" spans="1:15" s="90" customFormat="1" ht="12.75" customHeight="1" x14ac:dyDescent="0.2">
      <c r="A1414" s="247" t="s">
        <v>990</v>
      </c>
      <c r="B1414" s="316">
        <v>3046</v>
      </c>
      <c r="C1414" s="247" t="s">
        <v>975</v>
      </c>
      <c r="D1414" s="317">
        <v>42657</v>
      </c>
      <c r="E1414" s="318">
        <v>0.97454861111111113</v>
      </c>
      <c r="F1414" s="247" t="s">
        <v>976</v>
      </c>
      <c r="G1414" s="247" t="s">
        <v>1035</v>
      </c>
      <c r="H1414" s="248" t="s">
        <v>404</v>
      </c>
      <c r="I1414" s="248" t="s">
        <v>404</v>
      </c>
      <c r="J1414" s="247" t="s">
        <v>809</v>
      </c>
      <c r="K1414" s="249">
        <v>0</v>
      </c>
      <c r="M1414" s="90">
        <v>0</v>
      </c>
      <c r="N1414" s="90">
        <v>0</v>
      </c>
      <c r="O1414" s="90">
        <v>255</v>
      </c>
    </row>
    <row r="1415" spans="1:15" s="90" customFormat="1" ht="12.75" customHeight="1" x14ac:dyDescent="0.2">
      <c r="A1415" s="247" t="s">
        <v>993</v>
      </c>
      <c r="B1415" s="316">
        <v>3217</v>
      </c>
      <c r="C1415" s="247" t="s">
        <v>975</v>
      </c>
      <c r="D1415" s="317">
        <v>42657</v>
      </c>
      <c r="E1415" s="318">
        <v>0.97454861111111113</v>
      </c>
      <c r="F1415" s="247" t="s">
        <v>235</v>
      </c>
      <c r="G1415" s="247" t="s">
        <v>1035</v>
      </c>
      <c r="H1415" s="248" t="s">
        <v>234</v>
      </c>
      <c r="I1415" s="248" t="s">
        <v>235</v>
      </c>
      <c r="J1415" s="247" t="s">
        <v>809</v>
      </c>
      <c r="K1415" s="249">
        <v>0</v>
      </c>
      <c r="M1415" s="90">
        <v>0</v>
      </c>
      <c r="N1415" s="90">
        <v>0</v>
      </c>
      <c r="O1415" s="90">
        <v>255</v>
      </c>
    </row>
    <row r="1416" spans="1:15" s="90" customFormat="1" ht="12.75" customHeight="1" x14ac:dyDescent="0.2">
      <c r="A1416" s="247" t="s">
        <v>989</v>
      </c>
      <c r="B1416" s="316">
        <v>3046</v>
      </c>
      <c r="C1416" s="247" t="s">
        <v>975</v>
      </c>
      <c r="D1416" s="317">
        <v>42658</v>
      </c>
      <c r="E1416" s="318">
        <v>1.621527777777778E-2</v>
      </c>
      <c r="F1416" s="247" t="s">
        <v>976</v>
      </c>
      <c r="G1416" s="247" t="s">
        <v>1035</v>
      </c>
      <c r="H1416" s="248" t="s">
        <v>404</v>
      </c>
      <c r="I1416" s="248" t="s">
        <v>404</v>
      </c>
      <c r="J1416" s="247" t="s">
        <v>809</v>
      </c>
      <c r="K1416" s="249">
        <v>0</v>
      </c>
      <c r="M1416" s="90">
        <v>0</v>
      </c>
      <c r="N1416" s="90">
        <v>0</v>
      </c>
      <c r="O1416" s="90">
        <v>255</v>
      </c>
    </row>
    <row r="1417" spans="1:15" s="90" customFormat="1" ht="12.75" customHeight="1" x14ac:dyDescent="0.2">
      <c r="A1417" s="247" t="s">
        <v>990</v>
      </c>
      <c r="B1417" s="316">
        <v>3046</v>
      </c>
      <c r="C1417" s="247" t="s">
        <v>975</v>
      </c>
      <c r="D1417" s="317">
        <v>42658</v>
      </c>
      <c r="E1417" s="318">
        <v>1.6469907407407405E-2</v>
      </c>
      <c r="F1417" s="247" t="s">
        <v>976</v>
      </c>
      <c r="G1417" s="247" t="s">
        <v>1035</v>
      </c>
      <c r="H1417" s="248" t="s">
        <v>404</v>
      </c>
      <c r="I1417" s="248" t="s">
        <v>404</v>
      </c>
      <c r="J1417" s="247" t="s">
        <v>809</v>
      </c>
      <c r="K1417" s="249">
        <v>0</v>
      </c>
      <c r="M1417" s="90">
        <v>0</v>
      </c>
      <c r="N1417" s="90">
        <v>0</v>
      </c>
      <c r="O1417" s="90">
        <v>255</v>
      </c>
    </row>
    <row r="1418" spans="1:15" s="90" customFormat="1" ht="12.75" customHeight="1" x14ac:dyDescent="0.2">
      <c r="A1418" s="247" t="s">
        <v>993</v>
      </c>
      <c r="B1418" s="316">
        <v>3217</v>
      </c>
      <c r="C1418" s="247" t="s">
        <v>975</v>
      </c>
      <c r="D1418" s="317">
        <v>42658</v>
      </c>
      <c r="E1418" s="318">
        <v>1.6469907407407405E-2</v>
      </c>
      <c r="F1418" s="247" t="s">
        <v>235</v>
      </c>
      <c r="G1418" s="247" t="s">
        <v>1035</v>
      </c>
      <c r="H1418" s="248" t="s">
        <v>234</v>
      </c>
      <c r="I1418" s="248" t="s">
        <v>235</v>
      </c>
      <c r="J1418" s="247" t="s">
        <v>809</v>
      </c>
      <c r="K1418" s="249">
        <v>0</v>
      </c>
      <c r="M1418" s="90">
        <v>0</v>
      </c>
      <c r="N1418" s="90">
        <v>0</v>
      </c>
      <c r="O1418" s="90">
        <v>255</v>
      </c>
    </row>
    <row r="1419" spans="1:15" s="90" customFormat="1" ht="12.75" customHeight="1" x14ac:dyDescent="0.2">
      <c r="A1419" s="247" t="s">
        <v>989</v>
      </c>
      <c r="B1419" s="316">
        <v>3046</v>
      </c>
      <c r="C1419" s="247" t="s">
        <v>975</v>
      </c>
      <c r="D1419" s="317">
        <v>42658</v>
      </c>
      <c r="E1419" s="318">
        <v>5.8136574074074077E-2</v>
      </c>
      <c r="F1419" s="247" t="s">
        <v>976</v>
      </c>
      <c r="G1419" s="247" t="s">
        <v>1035</v>
      </c>
      <c r="H1419" s="248" t="s">
        <v>404</v>
      </c>
      <c r="I1419" s="248" t="s">
        <v>404</v>
      </c>
      <c r="J1419" s="247" t="s">
        <v>809</v>
      </c>
      <c r="K1419" s="249">
        <v>0</v>
      </c>
      <c r="M1419" s="90">
        <v>0</v>
      </c>
      <c r="N1419" s="90">
        <v>0</v>
      </c>
      <c r="O1419" s="90">
        <v>255</v>
      </c>
    </row>
    <row r="1420" spans="1:15" s="90" customFormat="1" ht="12.75" customHeight="1" x14ac:dyDescent="0.2">
      <c r="A1420" s="247" t="s">
        <v>993</v>
      </c>
      <c r="B1420" s="316">
        <v>3217</v>
      </c>
      <c r="C1420" s="247" t="s">
        <v>975</v>
      </c>
      <c r="D1420" s="317">
        <v>42658</v>
      </c>
      <c r="E1420" s="318">
        <v>5.8379629629629635E-2</v>
      </c>
      <c r="F1420" s="247" t="s">
        <v>235</v>
      </c>
      <c r="G1420" s="247" t="s">
        <v>1035</v>
      </c>
      <c r="H1420" s="248" t="s">
        <v>234</v>
      </c>
      <c r="I1420" s="248" t="s">
        <v>235</v>
      </c>
      <c r="J1420" s="247" t="s">
        <v>809</v>
      </c>
      <c r="K1420" s="249">
        <v>0</v>
      </c>
      <c r="M1420" s="90">
        <v>0</v>
      </c>
      <c r="N1420" s="90">
        <v>0</v>
      </c>
      <c r="O1420" s="90">
        <v>255</v>
      </c>
    </row>
    <row r="1421" spans="1:15" s="90" customFormat="1" ht="12.75" customHeight="1" x14ac:dyDescent="0.2">
      <c r="A1421" s="247" t="s">
        <v>990</v>
      </c>
      <c r="B1421" s="316">
        <v>3046</v>
      </c>
      <c r="C1421" s="247" t="s">
        <v>975</v>
      </c>
      <c r="D1421" s="317">
        <v>42658</v>
      </c>
      <c r="E1421" s="318">
        <v>5.8391203703703702E-2</v>
      </c>
      <c r="F1421" s="247" t="s">
        <v>976</v>
      </c>
      <c r="G1421" s="247" t="s">
        <v>1035</v>
      </c>
      <c r="H1421" s="248" t="s">
        <v>404</v>
      </c>
      <c r="I1421" s="248" t="s">
        <v>404</v>
      </c>
      <c r="J1421" s="247" t="s">
        <v>809</v>
      </c>
      <c r="K1421" s="249">
        <v>0</v>
      </c>
      <c r="M1421" s="90">
        <v>0</v>
      </c>
      <c r="N1421" s="90">
        <v>0</v>
      </c>
      <c r="O1421" s="90">
        <v>255</v>
      </c>
    </row>
    <row r="1422" spans="1:15" s="90" customFormat="1" ht="12.75" customHeight="1" x14ac:dyDescent="0.2">
      <c r="A1422" s="247" t="s">
        <v>989</v>
      </c>
      <c r="B1422" s="316">
        <v>3046</v>
      </c>
      <c r="C1422" s="247" t="s">
        <v>975</v>
      </c>
      <c r="D1422" s="317">
        <v>42658</v>
      </c>
      <c r="E1422" s="318">
        <v>0.10005787037037038</v>
      </c>
      <c r="F1422" s="247" t="s">
        <v>976</v>
      </c>
      <c r="G1422" s="247" t="s">
        <v>1035</v>
      </c>
      <c r="H1422" s="248" t="s">
        <v>404</v>
      </c>
      <c r="I1422" s="248" t="s">
        <v>404</v>
      </c>
      <c r="J1422" s="247" t="s">
        <v>809</v>
      </c>
      <c r="K1422" s="249">
        <v>0</v>
      </c>
      <c r="M1422" s="90">
        <v>0</v>
      </c>
      <c r="N1422" s="90">
        <v>0</v>
      </c>
      <c r="O1422" s="90">
        <v>255</v>
      </c>
    </row>
    <row r="1423" spans="1:15" s="90" customFormat="1" ht="12.75" customHeight="1" x14ac:dyDescent="0.2">
      <c r="A1423" s="247" t="s">
        <v>990</v>
      </c>
      <c r="B1423" s="316">
        <v>3046</v>
      </c>
      <c r="C1423" s="247" t="s">
        <v>975</v>
      </c>
      <c r="D1423" s="317">
        <v>42658</v>
      </c>
      <c r="E1423" s="318">
        <v>0.10030092592592593</v>
      </c>
      <c r="F1423" s="247" t="s">
        <v>976</v>
      </c>
      <c r="G1423" s="247" t="s">
        <v>1035</v>
      </c>
      <c r="H1423" s="248" t="s">
        <v>404</v>
      </c>
      <c r="I1423" s="248" t="s">
        <v>404</v>
      </c>
      <c r="J1423" s="247" t="s">
        <v>809</v>
      </c>
      <c r="K1423" s="249">
        <v>0</v>
      </c>
      <c r="M1423" s="90">
        <v>0</v>
      </c>
      <c r="N1423" s="90">
        <v>0</v>
      </c>
      <c r="O1423" s="90">
        <v>255</v>
      </c>
    </row>
    <row r="1424" spans="1:15" s="90" customFormat="1" ht="12.75" customHeight="1" x14ac:dyDescent="0.2">
      <c r="A1424" s="247" t="s">
        <v>993</v>
      </c>
      <c r="B1424" s="316">
        <v>3217</v>
      </c>
      <c r="C1424" s="247" t="s">
        <v>975</v>
      </c>
      <c r="D1424" s="317">
        <v>42658</v>
      </c>
      <c r="E1424" s="318">
        <v>0.10030092592592593</v>
      </c>
      <c r="F1424" s="247" t="s">
        <v>235</v>
      </c>
      <c r="G1424" s="247" t="s">
        <v>1035</v>
      </c>
      <c r="H1424" s="248" t="s">
        <v>234</v>
      </c>
      <c r="I1424" s="248" t="s">
        <v>235</v>
      </c>
      <c r="J1424" s="247" t="s">
        <v>809</v>
      </c>
      <c r="K1424" s="249">
        <v>0</v>
      </c>
      <c r="M1424" s="90">
        <v>0</v>
      </c>
      <c r="N1424" s="90">
        <v>0</v>
      </c>
      <c r="O1424" s="90">
        <v>255</v>
      </c>
    </row>
    <row r="1425" spans="1:15" s="90" customFormat="1" ht="12.75" customHeight="1" x14ac:dyDescent="0.2">
      <c r="A1425" s="247" t="s">
        <v>989</v>
      </c>
      <c r="B1425" s="316">
        <v>3046</v>
      </c>
      <c r="C1425" s="247" t="s">
        <v>975</v>
      </c>
      <c r="D1425" s="317">
        <v>42658</v>
      </c>
      <c r="E1425" s="318">
        <v>0.14197916666666666</v>
      </c>
      <c r="F1425" s="247" t="s">
        <v>976</v>
      </c>
      <c r="G1425" s="247" t="s">
        <v>1035</v>
      </c>
      <c r="H1425" s="248" t="s">
        <v>404</v>
      </c>
      <c r="I1425" s="248" t="s">
        <v>404</v>
      </c>
      <c r="J1425" s="247" t="s">
        <v>809</v>
      </c>
      <c r="K1425" s="249">
        <v>0</v>
      </c>
      <c r="M1425" s="90">
        <v>0</v>
      </c>
      <c r="N1425" s="90">
        <v>0</v>
      </c>
      <c r="O1425" s="90">
        <v>255</v>
      </c>
    </row>
    <row r="1426" spans="1:15" s="90" customFormat="1" ht="12.75" customHeight="1" x14ac:dyDescent="0.2">
      <c r="A1426" s="247" t="s">
        <v>990</v>
      </c>
      <c r="B1426" s="316">
        <v>3046</v>
      </c>
      <c r="C1426" s="247" t="s">
        <v>975</v>
      </c>
      <c r="D1426" s="317">
        <v>42658</v>
      </c>
      <c r="E1426" s="318">
        <v>0.14222222222222222</v>
      </c>
      <c r="F1426" s="247" t="s">
        <v>976</v>
      </c>
      <c r="G1426" s="247" t="s">
        <v>1035</v>
      </c>
      <c r="H1426" s="248" t="s">
        <v>404</v>
      </c>
      <c r="I1426" s="248" t="s">
        <v>404</v>
      </c>
      <c r="J1426" s="247" t="s">
        <v>809</v>
      </c>
      <c r="K1426" s="249">
        <v>0</v>
      </c>
      <c r="M1426" s="90">
        <v>0</v>
      </c>
      <c r="N1426" s="90">
        <v>0</v>
      </c>
      <c r="O1426" s="90">
        <v>255</v>
      </c>
    </row>
    <row r="1427" spans="1:15" s="90" customFormat="1" ht="12.75" customHeight="1" x14ac:dyDescent="0.2">
      <c r="A1427" s="247" t="s">
        <v>993</v>
      </c>
      <c r="B1427" s="316">
        <v>3217</v>
      </c>
      <c r="C1427" s="247" t="s">
        <v>975</v>
      </c>
      <c r="D1427" s="317">
        <v>42658</v>
      </c>
      <c r="E1427" s="318">
        <v>0.14222222222222222</v>
      </c>
      <c r="F1427" s="247" t="s">
        <v>235</v>
      </c>
      <c r="G1427" s="247" t="s">
        <v>1035</v>
      </c>
      <c r="H1427" s="248" t="s">
        <v>234</v>
      </c>
      <c r="I1427" s="248" t="s">
        <v>235</v>
      </c>
      <c r="J1427" s="247" t="s">
        <v>809</v>
      </c>
      <c r="K1427" s="249">
        <v>0</v>
      </c>
      <c r="M1427" s="90">
        <v>0</v>
      </c>
      <c r="N1427" s="90">
        <v>0</v>
      </c>
      <c r="O1427" s="90">
        <v>255</v>
      </c>
    </row>
    <row r="1428" spans="1:15" s="90" customFormat="1" ht="12.75" customHeight="1" x14ac:dyDescent="0.2">
      <c r="A1428" s="247" t="s">
        <v>989</v>
      </c>
      <c r="B1428" s="316">
        <v>3046</v>
      </c>
      <c r="C1428" s="247" t="s">
        <v>975</v>
      </c>
      <c r="D1428" s="317">
        <v>42658</v>
      </c>
      <c r="E1428" s="318">
        <v>0.18388888888888888</v>
      </c>
      <c r="F1428" s="247" t="s">
        <v>976</v>
      </c>
      <c r="G1428" s="247" t="s">
        <v>1035</v>
      </c>
      <c r="H1428" s="248" t="s">
        <v>404</v>
      </c>
      <c r="I1428" s="248" t="s">
        <v>404</v>
      </c>
      <c r="J1428" s="247" t="s">
        <v>809</v>
      </c>
      <c r="K1428" s="249">
        <v>0</v>
      </c>
      <c r="M1428" s="90">
        <v>0</v>
      </c>
      <c r="N1428" s="90">
        <v>0</v>
      </c>
      <c r="O1428" s="90">
        <v>255</v>
      </c>
    </row>
    <row r="1429" spans="1:15" s="90" customFormat="1" ht="12.75" customHeight="1" x14ac:dyDescent="0.2">
      <c r="A1429" s="247" t="s">
        <v>990</v>
      </c>
      <c r="B1429" s="316">
        <v>3046</v>
      </c>
      <c r="C1429" s="247" t="s">
        <v>975</v>
      </c>
      <c r="D1429" s="317">
        <v>42658</v>
      </c>
      <c r="E1429" s="318">
        <v>0.18414351851851851</v>
      </c>
      <c r="F1429" s="247" t="s">
        <v>976</v>
      </c>
      <c r="G1429" s="247" t="s">
        <v>1035</v>
      </c>
      <c r="H1429" s="248" t="s">
        <v>404</v>
      </c>
      <c r="I1429" s="248" t="s">
        <v>404</v>
      </c>
      <c r="J1429" s="247" t="s">
        <v>809</v>
      </c>
      <c r="K1429" s="249">
        <v>0</v>
      </c>
      <c r="M1429" s="90">
        <v>0</v>
      </c>
      <c r="N1429" s="90">
        <v>0</v>
      </c>
      <c r="O1429" s="90">
        <v>255</v>
      </c>
    </row>
    <row r="1430" spans="1:15" s="90" customFormat="1" ht="12.75" customHeight="1" x14ac:dyDescent="0.2">
      <c r="A1430" s="247" t="s">
        <v>993</v>
      </c>
      <c r="B1430" s="316">
        <v>3217</v>
      </c>
      <c r="C1430" s="247" t="s">
        <v>975</v>
      </c>
      <c r="D1430" s="317">
        <v>42658</v>
      </c>
      <c r="E1430" s="318">
        <v>0.18414351851851851</v>
      </c>
      <c r="F1430" s="247" t="s">
        <v>235</v>
      </c>
      <c r="G1430" s="247" t="s">
        <v>1035</v>
      </c>
      <c r="H1430" s="248" t="s">
        <v>234</v>
      </c>
      <c r="I1430" s="248" t="s">
        <v>235</v>
      </c>
      <c r="J1430" s="247" t="s">
        <v>809</v>
      </c>
      <c r="K1430" s="249">
        <v>0</v>
      </c>
      <c r="M1430" s="90">
        <v>0</v>
      </c>
      <c r="N1430" s="90">
        <v>0</v>
      </c>
      <c r="O1430" s="90">
        <v>255</v>
      </c>
    </row>
    <row r="1431" spans="1:15" s="90" customFormat="1" ht="12.75" customHeight="1" x14ac:dyDescent="0.2">
      <c r="A1431" s="247" t="s">
        <v>989</v>
      </c>
      <c r="B1431" s="316">
        <v>3046</v>
      </c>
      <c r="C1431" s="247" t="s">
        <v>975</v>
      </c>
      <c r="D1431" s="317">
        <v>42658</v>
      </c>
      <c r="E1431" s="318">
        <v>0.22582175925925926</v>
      </c>
      <c r="F1431" s="247" t="s">
        <v>976</v>
      </c>
      <c r="G1431" s="247" t="s">
        <v>1035</v>
      </c>
      <c r="H1431" s="248" t="s">
        <v>404</v>
      </c>
      <c r="I1431" s="248" t="s">
        <v>404</v>
      </c>
      <c r="J1431" s="247" t="s">
        <v>809</v>
      </c>
      <c r="K1431" s="249">
        <v>0</v>
      </c>
      <c r="M1431" s="90">
        <v>0</v>
      </c>
      <c r="N1431" s="90">
        <v>0</v>
      </c>
      <c r="O1431" s="90">
        <v>255</v>
      </c>
    </row>
    <row r="1432" spans="1:15" s="90" customFormat="1" ht="12.75" customHeight="1" x14ac:dyDescent="0.2">
      <c r="A1432" s="247" t="s">
        <v>990</v>
      </c>
      <c r="B1432" s="316">
        <v>3046</v>
      </c>
      <c r="C1432" s="247" t="s">
        <v>975</v>
      </c>
      <c r="D1432" s="317">
        <v>42658</v>
      </c>
      <c r="E1432" s="318">
        <v>0.2260648148148148</v>
      </c>
      <c r="F1432" s="247" t="s">
        <v>976</v>
      </c>
      <c r="G1432" s="247" t="s">
        <v>1035</v>
      </c>
      <c r="H1432" s="248" t="s">
        <v>404</v>
      </c>
      <c r="I1432" s="248" t="s">
        <v>404</v>
      </c>
      <c r="J1432" s="247" t="s">
        <v>809</v>
      </c>
      <c r="K1432" s="249">
        <v>0</v>
      </c>
      <c r="M1432" s="90">
        <v>0</v>
      </c>
      <c r="N1432" s="90">
        <v>0</v>
      </c>
      <c r="O1432" s="90">
        <v>255</v>
      </c>
    </row>
    <row r="1433" spans="1:15" s="90" customFormat="1" ht="12.75" customHeight="1" x14ac:dyDescent="0.2">
      <c r="A1433" s="247" t="s">
        <v>993</v>
      </c>
      <c r="B1433" s="316">
        <v>3217</v>
      </c>
      <c r="C1433" s="247" t="s">
        <v>975</v>
      </c>
      <c r="D1433" s="317">
        <v>42658</v>
      </c>
      <c r="E1433" s="318">
        <v>0.2260648148148148</v>
      </c>
      <c r="F1433" s="247" t="s">
        <v>235</v>
      </c>
      <c r="G1433" s="247" t="s">
        <v>1035</v>
      </c>
      <c r="H1433" s="248" t="s">
        <v>234</v>
      </c>
      <c r="I1433" s="248" t="s">
        <v>235</v>
      </c>
      <c r="J1433" s="247" t="s">
        <v>809</v>
      </c>
      <c r="K1433" s="249">
        <v>0</v>
      </c>
      <c r="M1433" s="90">
        <v>0</v>
      </c>
      <c r="N1433" s="90">
        <v>0</v>
      </c>
      <c r="O1433" s="90">
        <v>255</v>
      </c>
    </row>
    <row r="1434" spans="1:15" s="90" customFormat="1" ht="12.75" customHeight="1" x14ac:dyDescent="0.2">
      <c r="A1434" s="247" t="s">
        <v>989</v>
      </c>
      <c r="B1434" s="316">
        <v>3046</v>
      </c>
      <c r="C1434" s="247" t="s">
        <v>975</v>
      </c>
      <c r="D1434" s="317">
        <v>42658</v>
      </c>
      <c r="E1434" s="318">
        <v>0.26774305555555555</v>
      </c>
      <c r="F1434" s="247" t="s">
        <v>976</v>
      </c>
      <c r="G1434" s="247" t="s">
        <v>1035</v>
      </c>
      <c r="H1434" s="248" t="s">
        <v>404</v>
      </c>
      <c r="I1434" s="248" t="s">
        <v>404</v>
      </c>
      <c r="J1434" s="247" t="s">
        <v>809</v>
      </c>
      <c r="K1434" s="249">
        <v>0</v>
      </c>
      <c r="M1434" s="90">
        <v>0</v>
      </c>
      <c r="N1434" s="90">
        <v>0</v>
      </c>
      <c r="O1434" s="90">
        <v>255</v>
      </c>
    </row>
    <row r="1435" spans="1:15" s="90" customFormat="1" ht="12.75" customHeight="1" x14ac:dyDescent="0.2">
      <c r="A1435" s="247" t="s">
        <v>990</v>
      </c>
      <c r="B1435" s="316">
        <v>3046</v>
      </c>
      <c r="C1435" s="247" t="s">
        <v>975</v>
      </c>
      <c r="D1435" s="317">
        <v>42658</v>
      </c>
      <c r="E1435" s="318">
        <v>0.26798611111111109</v>
      </c>
      <c r="F1435" s="247" t="s">
        <v>976</v>
      </c>
      <c r="G1435" s="247" t="s">
        <v>1035</v>
      </c>
      <c r="H1435" s="248" t="s">
        <v>404</v>
      </c>
      <c r="I1435" s="248" t="s">
        <v>404</v>
      </c>
      <c r="J1435" s="247" t="s">
        <v>809</v>
      </c>
      <c r="K1435" s="249">
        <v>0</v>
      </c>
      <c r="M1435" s="90">
        <v>0</v>
      </c>
      <c r="N1435" s="90">
        <v>0</v>
      </c>
      <c r="O1435" s="90">
        <v>255</v>
      </c>
    </row>
    <row r="1436" spans="1:15" s="90" customFormat="1" ht="12.75" customHeight="1" x14ac:dyDescent="0.2">
      <c r="A1436" s="247" t="s">
        <v>993</v>
      </c>
      <c r="B1436" s="316">
        <v>3217</v>
      </c>
      <c r="C1436" s="247" t="s">
        <v>975</v>
      </c>
      <c r="D1436" s="317">
        <v>42658</v>
      </c>
      <c r="E1436" s="318">
        <v>0.26798611111111109</v>
      </c>
      <c r="F1436" s="247" t="s">
        <v>235</v>
      </c>
      <c r="G1436" s="247" t="s">
        <v>1035</v>
      </c>
      <c r="H1436" s="248" t="s">
        <v>234</v>
      </c>
      <c r="I1436" s="248" t="s">
        <v>235</v>
      </c>
      <c r="J1436" s="247" t="s">
        <v>809</v>
      </c>
      <c r="K1436" s="249">
        <v>0</v>
      </c>
      <c r="M1436" s="90">
        <v>0</v>
      </c>
      <c r="N1436" s="90">
        <v>0</v>
      </c>
      <c r="O1436" s="90">
        <v>255</v>
      </c>
    </row>
    <row r="1437" spans="1:15" s="90" customFormat="1" ht="12.75" customHeight="1" x14ac:dyDescent="0.2">
      <c r="A1437" s="247" t="s">
        <v>989</v>
      </c>
      <c r="B1437" s="316">
        <v>3046</v>
      </c>
      <c r="C1437" s="247" t="s">
        <v>975</v>
      </c>
      <c r="D1437" s="317">
        <v>42658</v>
      </c>
      <c r="E1437" s="318">
        <v>0.30966435185185187</v>
      </c>
      <c r="F1437" s="247" t="s">
        <v>976</v>
      </c>
      <c r="G1437" s="247" t="s">
        <v>1035</v>
      </c>
      <c r="H1437" s="248" t="s">
        <v>404</v>
      </c>
      <c r="I1437" s="248" t="s">
        <v>404</v>
      </c>
      <c r="J1437" s="247" t="s">
        <v>809</v>
      </c>
      <c r="K1437" s="249">
        <v>0</v>
      </c>
      <c r="M1437" s="90">
        <v>0</v>
      </c>
      <c r="N1437" s="90">
        <v>0</v>
      </c>
      <c r="O1437" s="90">
        <v>255</v>
      </c>
    </row>
    <row r="1438" spans="1:15" s="90" customFormat="1" ht="12.75" customHeight="1" x14ac:dyDescent="0.2">
      <c r="A1438" s="247" t="s">
        <v>990</v>
      </c>
      <c r="B1438" s="316">
        <v>3046</v>
      </c>
      <c r="C1438" s="247" t="s">
        <v>975</v>
      </c>
      <c r="D1438" s="317">
        <v>42658</v>
      </c>
      <c r="E1438" s="318">
        <v>0.30990740740740741</v>
      </c>
      <c r="F1438" s="247" t="s">
        <v>976</v>
      </c>
      <c r="G1438" s="247" t="s">
        <v>1035</v>
      </c>
      <c r="H1438" s="248" t="s">
        <v>404</v>
      </c>
      <c r="I1438" s="248" t="s">
        <v>404</v>
      </c>
      <c r="J1438" s="247" t="s">
        <v>809</v>
      </c>
      <c r="K1438" s="249">
        <v>0</v>
      </c>
      <c r="M1438" s="90">
        <v>0</v>
      </c>
      <c r="N1438" s="90">
        <v>0</v>
      </c>
      <c r="O1438" s="90">
        <v>255</v>
      </c>
    </row>
    <row r="1439" spans="1:15" s="90" customFormat="1" ht="12.75" customHeight="1" x14ac:dyDescent="0.2">
      <c r="A1439" s="247" t="s">
        <v>993</v>
      </c>
      <c r="B1439" s="316">
        <v>3217</v>
      </c>
      <c r="C1439" s="247" t="s">
        <v>975</v>
      </c>
      <c r="D1439" s="317">
        <v>42658</v>
      </c>
      <c r="E1439" s="318">
        <v>0.30990740740740741</v>
      </c>
      <c r="F1439" s="247" t="s">
        <v>235</v>
      </c>
      <c r="G1439" s="247" t="s">
        <v>1035</v>
      </c>
      <c r="H1439" s="248" t="s">
        <v>234</v>
      </c>
      <c r="I1439" s="248" t="s">
        <v>235</v>
      </c>
      <c r="J1439" s="247" t="s">
        <v>809</v>
      </c>
      <c r="K1439" s="249">
        <v>0</v>
      </c>
      <c r="M1439" s="90">
        <v>0</v>
      </c>
      <c r="N1439" s="90">
        <v>0</v>
      </c>
      <c r="O1439" s="90">
        <v>255</v>
      </c>
    </row>
    <row r="1440" spans="1:15" s="90" customFormat="1" ht="12.75" customHeight="1" x14ac:dyDescent="0.2">
      <c r="A1440" s="247" t="s">
        <v>989</v>
      </c>
      <c r="B1440" s="316">
        <v>3046</v>
      </c>
      <c r="C1440" s="247" t="s">
        <v>975</v>
      </c>
      <c r="D1440" s="317">
        <v>42658</v>
      </c>
      <c r="E1440" s="318">
        <v>0.35157407407407404</v>
      </c>
      <c r="F1440" s="247" t="s">
        <v>976</v>
      </c>
      <c r="G1440" s="247" t="s">
        <v>1035</v>
      </c>
      <c r="H1440" s="248" t="s">
        <v>404</v>
      </c>
      <c r="I1440" s="248" t="s">
        <v>404</v>
      </c>
      <c r="J1440" s="247" t="s">
        <v>809</v>
      </c>
      <c r="K1440" s="249">
        <v>0</v>
      </c>
      <c r="M1440" s="90">
        <v>0</v>
      </c>
      <c r="N1440" s="90">
        <v>0</v>
      </c>
      <c r="O1440" s="90">
        <v>255</v>
      </c>
    </row>
    <row r="1441" spans="1:15" s="90" customFormat="1" ht="12.75" customHeight="1" x14ac:dyDescent="0.2">
      <c r="A1441" s="247" t="s">
        <v>990</v>
      </c>
      <c r="B1441" s="316">
        <v>3046</v>
      </c>
      <c r="C1441" s="247" t="s">
        <v>975</v>
      </c>
      <c r="D1441" s="317">
        <v>42658</v>
      </c>
      <c r="E1441" s="318">
        <v>0.35182870370370373</v>
      </c>
      <c r="F1441" s="247" t="s">
        <v>976</v>
      </c>
      <c r="G1441" s="247" t="s">
        <v>1035</v>
      </c>
      <c r="H1441" s="248" t="s">
        <v>404</v>
      </c>
      <c r="I1441" s="248" t="s">
        <v>404</v>
      </c>
      <c r="J1441" s="247" t="s">
        <v>809</v>
      </c>
      <c r="K1441" s="249">
        <v>0</v>
      </c>
      <c r="M1441" s="90">
        <v>0</v>
      </c>
      <c r="N1441" s="90">
        <v>0</v>
      </c>
      <c r="O1441" s="90">
        <v>255</v>
      </c>
    </row>
    <row r="1442" spans="1:15" s="90" customFormat="1" ht="12.75" customHeight="1" x14ac:dyDescent="0.2">
      <c r="A1442" s="247" t="s">
        <v>993</v>
      </c>
      <c r="B1442" s="316">
        <v>3217</v>
      </c>
      <c r="C1442" s="247" t="s">
        <v>975</v>
      </c>
      <c r="D1442" s="317">
        <v>42658</v>
      </c>
      <c r="E1442" s="318">
        <v>0.35182870370370373</v>
      </c>
      <c r="F1442" s="247" t="s">
        <v>235</v>
      </c>
      <c r="G1442" s="247" t="s">
        <v>1035</v>
      </c>
      <c r="H1442" s="248" t="s">
        <v>234</v>
      </c>
      <c r="I1442" s="248" t="s">
        <v>235</v>
      </c>
      <c r="J1442" s="247" t="s">
        <v>809</v>
      </c>
      <c r="K1442" s="249">
        <v>0</v>
      </c>
      <c r="M1442" s="90">
        <v>0</v>
      </c>
      <c r="N1442" s="90">
        <v>0</v>
      </c>
      <c r="O1442" s="90">
        <v>255</v>
      </c>
    </row>
    <row r="1443" spans="1:15" s="90" customFormat="1" ht="12.75" customHeight="1" x14ac:dyDescent="0.2">
      <c r="A1443" s="247" t="s">
        <v>989</v>
      </c>
      <c r="B1443" s="316">
        <v>3046</v>
      </c>
      <c r="C1443" s="247" t="s">
        <v>975</v>
      </c>
      <c r="D1443" s="317">
        <v>42658</v>
      </c>
      <c r="E1443" s="318">
        <v>0.39349537037037036</v>
      </c>
      <c r="F1443" s="247" t="s">
        <v>976</v>
      </c>
      <c r="G1443" s="247" t="s">
        <v>1035</v>
      </c>
      <c r="H1443" s="248" t="s">
        <v>404</v>
      </c>
      <c r="I1443" s="248" t="s">
        <v>404</v>
      </c>
      <c r="J1443" s="247" t="s">
        <v>809</v>
      </c>
      <c r="K1443" s="249">
        <v>0</v>
      </c>
      <c r="M1443" s="90">
        <v>0</v>
      </c>
      <c r="N1443" s="90">
        <v>0</v>
      </c>
      <c r="O1443" s="90">
        <v>255</v>
      </c>
    </row>
    <row r="1444" spans="1:15" s="90" customFormat="1" ht="12.75" customHeight="1" x14ac:dyDescent="0.2">
      <c r="A1444" s="247" t="s">
        <v>990</v>
      </c>
      <c r="B1444" s="316">
        <v>3046</v>
      </c>
      <c r="C1444" s="247" t="s">
        <v>975</v>
      </c>
      <c r="D1444" s="317">
        <v>42658</v>
      </c>
      <c r="E1444" s="318">
        <v>0.39374999999999999</v>
      </c>
      <c r="F1444" s="247" t="s">
        <v>976</v>
      </c>
      <c r="G1444" s="247" t="s">
        <v>1035</v>
      </c>
      <c r="H1444" s="248" t="s">
        <v>404</v>
      </c>
      <c r="I1444" s="248" t="s">
        <v>404</v>
      </c>
      <c r="J1444" s="247" t="s">
        <v>809</v>
      </c>
      <c r="K1444" s="249">
        <v>0</v>
      </c>
      <c r="M1444" s="90">
        <v>0</v>
      </c>
      <c r="N1444" s="90">
        <v>0</v>
      </c>
      <c r="O1444" s="90">
        <v>255</v>
      </c>
    </row>
    <row r="1445" spans="1:15" s="90" customFormat="1" ht="12.75" customHeight="1" x14ac:dyDescent="0.2">
      <c r="A1445" s="247" t="s">
        <v>993</v>
      </c>
      <c r="B1445" s="316">
        <v>3217</v>
      </c>
      <c r="C1445" s="247" t="s">
        <v>975</v>
      </c>
      <c r="D1445" s="317">
        <v>42658</v>
      </c>
      <c r="E1445" s="318">
        <v>0.39374999999999999</v>
      </c>
      <c r="F1445" s="247" t="s">
        <v>235</v>
      </c>
      <c r="G1445" s="247" t="s">
        <v>1035</v>
      </c>
      <c r="H1445" s="248" t="s">
        <v>234</v>
      </c>
      <c r="I1445" s="248" t="s">
        <v>235</v>
      </c>
      <c r="J1445" s="247" t="s">
        <v>809</v>
      </c>
      <c r="K1445" s="249">
        <v>0</v>
      </c>
      <c r="M1445" s="90">
        <v>0</v>
      </c>
      <c r="N1445" s="90">
        <v>0</v>
      </c>
      <c r="O1445" s="90">
        <v>255</v>
      </c>
    </row>
    <row r="1446" spans="1:15" s="90" customFormat="1" ht="12.75" customHeight="1" x14ac:dyDescent="0.2">
      <c r="A1446" s="247" t="s">
        <v>989</v>
      </c>
      <c r="B1446" s="316">
        <v>3046</v>
      </c>
      <c r="C1446" s="247" t="s">
        <v>975</v>
      </c>
      <c r="D1446" s="317">
        <v>42658</v>
      </c>
      <c r="E1446" s="318">
        <v>0.43541666666666662</v>
      </c>
      <c r="F1446" s="247" t="s">
        <v>976</v>
      </c>
      <c r="G1446" s="247" t="s">
        <v>1035</v>
      </c>
      <c r="H1446" s="248" t="s">
        <v>404</v>
      </c>
      <c r="I1446" s="248" t="s">
        <v>404</v>
      </c>
      <c r="J1446" s="247" t="s">
        <v>809</v>
      </c>
      <c r="K1446" s="249">
        <v>0</v>
      </c>
      <c r="M1446" s="90">
        <v>0</v>
      </c>
      <c r="N1446" s="90">
        <v>0</v>
      </c>
      <c r="O1446" s="90">
        <v>255</v>
      </c>
    </row>
    <row r="1447" spans="1:15" s="90" customFormat="1" ht="12.75" customHeight="1" x14ac:dyDescent="0.2">
      <c r="A1447" s="247" t="s">
        <v>990</v>
      </c>
      <c r="B1447" s="316">
        <v>3046</v>
      </c>
      <c r="C1447" s="247" t="s">
        <v>975</v>
      </c>
      <c r="D1447" s="317">
        <v>42658</v>
      </c>
      <c r="E1447" s="318">
        <v>0.43651620370370375</v>
      </c>
      <c r="F1447" s="247" t="s">
        <v>976</v>
      </c>
      <c r="G1447" s="247" t="s">
        <v>1035</v>
      </c>
      <c r="H1447" s="248" t="s">
        <v>404</v>
      </c>
      <c r="I1447" s="248" t="s">
        <v>404</v>
      </c>
      <c r="J1447" s="247" t="s">
        <v>809</v>
      </c>
      <c r="K1447" s="249">
        <v>0</v>
      </c>
      <c r="M1447" s="90">
        <v>0</v>
      </c>
      <c r="N1447" s="90">
        <v>0</v>
      </c>
      <c r="O1447" s="90">
        <v>255</v>
      </c>
    </row>
    <row r="1448" spans="1:15" s="90" customFormat="1" ht="12.75" customHeight="1" x14ac:dyDescent="0.2">
      <c r="A1448" s="247" t="s">
        <v>993</v>
      </c>
      <c r="B1448" s="316">
        <v>3217</v>
      </c>
      <c r="C1448" s="247" t="s">
        <v>975</v>
      </c>
      <c r="D1448" s="317">
        <v>42658</v>
      </c>
      <c r="E1448" s="318">
        <v>0.43651620370370375</v>
      </c>
      <c r="F1448" s="247" t="s">
        <v>235</v>
      </c>
      <c r="G1448" s="247" t="s">
        <v>1035</v>
      </c>
      <c r="H1448" s="248" t="s">
        <v>234</v>
      </c>
      <c r="I1448" s="248" t="s">
        <v>235</v>
      </c>
      <c r="J1448" s="247" t="s">
        <v>809</v>
      </c>
      <c r="K1448" s="249">
        <v>0</v>
      </c>
      <c r="M1448" s="90">
        <v>0</v>
      </c>
      <c r="N1448" s="90">
        <v>0</v>
      </c>
      <c r="O1448" s="90">
        <v>255</v>
      </c>
    </row>
    <row r="1449" spans="1:15" s="90" customFormat="1" ht="12.75" customHeight="1" x14ac:dyDescent="0.2">
      <c r="A1449" s="247" t="s">
        <v>989</v>
      </c>
      <c r="B1449" s="316">
        <v>3046</v>
      </c>
      <c r="C1449" s="247" t="s">
        <v>975</v>
      </c>
      <c r="D1449" s="317">
        <v>42658</v>
      </c>
      <c r="E1449" s="318">
        <v>0.47818287037037038</v>
      </c>
      <c r="F1449" s="247" t="s">
        <v>976</v>
      </c>
      <c r="G1449" s="247" t="s">
        <v>1035</v>
      </c>
      <c r="H1449" s="248" t="s">
        <v>404</v>
      </c>
      <c r="I1449" s="248" t="s">
        <v>404</v>
      </c>
      <c r="J1449" s="247" t="s">
        <v>809</v>
      </c>
      <c r="K1449" s="249">
        <v>0</v>
      </c>
      <c r="M1449" s="90">
        <v>0</v>
      </c>
      <c r="N1449" s="90">
        <v>0</v>
      </c>
      <c r="O1449" s="90">
        <v>255</v>
      </c>
    </row>
    <row r="1450" spans="1:15" s="90" customFormat="1" ht="12.75" customHeight="1" x14ac:dyDescent="0.2">
      <c r="A1450" s="247" t="s">
        <v>990</v>
      </c>
      <c r="B1450" s="316">
        <v>3046</v>
      </c>
      <c r="C1450" s="247" t="s">
        <v>975</v>
      </c>
      <c r="D1450" s="317">
        <v>42658</v>
      </c>
      <c r="E1450" s="318">
        <v>0.47843750000000002</v>
      </c>
      <c r="F1450" s="247" t="s">
        <v>976</v>
      </c>
      <c r="G1450" s="247" t="s">
        <v>1035</v>
      </c>
      <c r="H1450" s="248" t="s">
        <v>404</v>
      </c>
      <c r="I1450" s="248" t="s">
        <v>404</v>
      </c>
      <c r="J1450" s="247" t="s">
        <v>809</v>
      </c>
      <c r="K1450" s="249">
        <v>0</v>
      </c>
      <c r="M1450" s="90">
        <v>0</v>
      </c>
      <c r="N1450" s="90">
        <v>0</v>
      </c>
      <c r="O1450" s="90">
        <v>255</v>
      </c>
    </row>
    <row r="1451" spans="1:15" s="90" customFormat="1" ht="12.75" customHeight="1" x14ac:dyDescent="0.2">
      <c r="A1451" s="247" t="s">
        <v>993</v>
      </c>
      <c r="B1451" s="316">
        <v>3217</v>
      </c>
      <c r="C1451" s="247" t="s">
        <v>975</v>
      </c>
      <c r="D1451" s="317">
        <v>42658</v>
      </c>
      <c r="E1451" s="318">
        <v>0.47843750000000002</v>
      </c>
      <c r="F1451" s="247" t="s">
        <v>235</v>
      </c>
      <c r="G1451" s="247" t="s">
        <v>1035</v>
      </c>
      <c r="H1451" s="248" t="s">
        <v>234</v>
      </c>
      <c r="I1451" s="248" t="s">
        <v>235</v>
      </c>
      <c r="J1451" s="247" t="s">
        <v>809</v>
      </c>
      <c r="K1451" s="249">
        <v>0</v>
      </c>
      <c r="M1451" s="90">
        <v>0</v>
      </c>
      <c r="N1451" s="90">
        <v>0</v>
      </c>
      <c r="O1451" s="90">
        <v>255</v>
      </c>
    </row>
    <row r="1452" spans="1:15" s="90" customFormat="1" ht="12.75" customHeight="1" x14ac:dyDescent="0.2">
      <c r="A1452" s="247" t="s">
        <v>989</v>
      </c>
      <c r="B1452" s="316">
        <v>3046</v>
      </c>
      <c r="C1452" s="247" t="s">
        <v>975</v>
      </c>
      <c r="D1452" s="317">
        <v>42658</v>
      </c>
      <c r="E1452" s="318">
        <v>0.5201041666666667</v>
      </c>
      <c r="F1452" s="247" t="s">
        <v>976</v>
      </c>
      <c r="G1452" s="247" t="s">
        <v>1035</v>
      </c>
      <c r="H1452" s="248" t="s">
        <v>404</v>
      </c>
      <c r="I1452" s="248" t="s">
        <v>404</v>
      </c>
      <c r="J1452" s="247" t="s">
        <v>809</v>
      </c>
      <c r="K1452" s="249">
        <v>0</v>
      </c>
      <c r="M1452" s="90">
        <v>0</v>
      </c>
      <c r="N1452" s="90">
        <v>0</v>
      </c>
      <c r="O1452" s="90">
        <v>255</v>
      </c>
    </row>
    <row r="1453" spans="1:15" s="90" customFormat="1" ht="12.75" customHeight="1" x14ac:dyDescent="0.2">
      <c r="A1453" s="247" t="s">
        <v>990</v>
      </c>
      <c r="B1453" s="316">
        <v>3046</v>
      </c>
      <c r="C1453" s="247" t="s">
        <v>975</v>
      </c>
      <c r="D1453" s="317">
        <v>42658</v>
      </c>
      <c r="E1453" s="318">
        <v>0.52035879629629633</v>
      </c>
      <c r="F1453" s="247" t="s">
        <v>976</v>
      </c>
      <c r="G1453" s="247" t="s">
        <v>1035</v>
      </c>
      <c r="H1453" s="248" t="s">
        <v>404</v>
      </c>
      <c r="I1453" s="248" t="s">
        <v>404</v>
      </c>
      <c r="J1453" s="247" t="s">
        <v>809</v>
      </c>
      <c r="K1453" s="249">
        <v>0</v>
      </c>
      <c r="M1453" s="90">
        <v>0</v>
      </c>
      <c r="N1453" s="90">
        <v>0</v>
      </c>
      <c r="O1453" s="90">
        <v>255</v>
      </c>
    </row>
    <row r="1454" spans="1:15" s="90" customFormat="1" ht="12.75" customHeight="1" x14ac:dyDescent="0.2">
      <c r="A1454" s="247" t="s">
        <v>993</v>
      </c>
      <c r="B1454" s="316">
        <v>3217</v>
      </c>
      <c r="C1454" s="247" t="s">
        <v>975</v>
      </c>
      <c r="D1454" s="317">
        <v>42658</v>
      </c>
      <c r="E1454" s="318">
        <v>0.52035879629629633</v>
      </c>
      <c r="F1454" s="247" t="s">
        <v>235</v>
      </c>
      <c r="G1454" s="247" t="s">
        <v>1035</v>
      </c>
      <c r="H1454" s="248" t="s">
        <v>234</v>
      </c>
      <c r="I1454" s="248" t="s">
        <v>235</v>
      </c>
      <c r="J1454" s="247" t="s">
        <v>809</v>
      </c>
      <c r="K1454" s="249">
        <v>0</v>
      </c>
      <c r="M1454" s="90">
        <v>0</v>
      </c>
      <c r="N1454" s="90">
        <v>0</v>
      </c>
      <c r="O1454" s="90">
        <v>255</v>
      </c>
    </row>
    <row r="1455" spans="1:15" s="90" customFormat="1" ht="12.75" customHeight="1" x14ac:dyDescent="0.2">
      <c r="A1455" s="247" t="s">
        <v>989</v>
      </c>
      <c r="B1455" s="316">
        <v>3046</v>
      </c>
      <c r="C1455" s="247" t="s">
        <v>975</v>
      </c>
      <c r="D1455" s="317">
        <v>42658</v>
      </c>
      <c r="E1455" s="318">
        <v>0.56202546296296296</v>
      </c>
      <c r="F1455" s="247" t="s">
        <v>976</v>
      </c>
      <c r="G1455" s="247" t="s">
        <v>1035</v>
      </c>
      <c r="H1455" s="248" t="s">
        <v>404</v>
      </c>
      <c r="I1455" s="248" t="s">
        <v>404</v>
      </c>
      <c r="J1455" s="247" t="s">
        <v>809</v>
      </c>
      <c r="K1455" s="249">
        <v>0</v>
      </c>
      <c r="M1455" s="90">
        <v>0</v>
      </c>
      <c r="N1455" s="90">
        <v>0</v>
      </c>
      <c r="O1455" s="90">
        <v>255</v>
      </c>
    </row>
    <row r="1456" spans="1:15" s="90" customFormat="1" ht="12.75" customHeight="1" x14ac:dyDescent="0.2">
      <c r="A1456" s="247" t="s">
        <v>990</v>
      </c>
      <c r="B1456" s="316">
        <v>3046</v>
      </c>
      <c r="C1456" s="247" t="s">
        <v>975</v>
      </c>
      <c r="D1456" s="317">
        <v>42658</v>
      </c>
      <c r="E1456" s="318">
        <v>0.5622800925925926</v>
      </c>
      <c r="F1456" s="247" t="s">
        <v>976</v>
      </c>
      <c r="G1456" s="247" t="s">
        <v>1035</v>
      </c>
      <c r="H1456" s="248" t="s">
        <v>404</v>
      </c>
      <c r="I1456" s="248" t="s">
        <v>404</v>
      </c>
      <c r="J1456" s="247" t="s">
        <v>809</v>
      </c>
      <c r="K1456" s="249">
        <v>0</v>
      </c>
      <c r="M1456" s="90">
        <v>0</v>
      </c>
      <c r="N1456" s="90">
        <v>0</v>
      </c>
      <c r="O1456" s="90">
        <v>255</v>
      </c>
    </row>
    <row r="1457" spans="1:15" s="90" customFormat="1" ht="12.75" customHeight="1" x14ac:dyDescent="0.2">
      <c r="A1457" s="247" t="s">
        <v>993</v>
      </c>
      <c r="B1457" s="316">
        <v>3217</v>
      </c>
      <c r="C1457" s="247" t="s">
        <v>975</v>
      </c>
      <c r="D1457" s="317">
        <v>42658</v>
      </c>
      <c r="E1457" s="318">
        <v>0.5622800925925926</v>
      </c>
      <c r="F1457" s="247" t="s">
        <v>235</v>
      </c>
      <c r="G1457" s="247" t="s">
        <v>1035</v>
      </c>
      <c r="H1457" s="248" t="s">
        <v>234</v>
      </c>
      <c r="I1457" s="248" t="s">
        <v>235</v>
      </c>
      <c r="J1457" s="247" t="s">
        <v>809</v>
      </c>
      <c r="K1457" s="249">
        <v>0</v>
      </c>
      <c r="M1457" s="90">
        <v>0</v>
      </c>
      <c r="N1457" s="90">
        <v>0</v>
      </c>
      <c r="O1457" s="90">
        <v>255</v>
      </c>
    </row>
    <row r="1458" spans="1:15" s="90" customFormat="1" ht="12.75" customHeight="1" x14ac:dyDescent="0.2">
      <c r="A1458" s="247" t="s">
        <v>989</v>
      </c>
      <c r="B1458" s="316">
        <v>3046</v>
      </c>
      <c r="C1458" s="247" t="s">
        <v>975</v>
      </c>
      <c r="D1458" s="317">
        <v>42658</v>
      </c>
      <c r="E1458" s="318">
        <v>0.60394675925925922</v>
      </c>
      <c r="F1458" s="247" t="s">
        <v>976</v>
      </c>
      <c r="G1458" s="247" t="s">
        <v>1035</v>
      </c>
      <c r="H1458" s="248" t="s">
        <v>404</v>
      </c>
      <c r="I1458" s="248" t="s">
        <v>404</v>
      </c>
      <c r="J1458" s="247" t="s">
        <v>809</v>
      </c>
      <c r="K1458" s="249">
        <v>0</v>
      </c>
      <c r="M1458" s="90">
        <v>0</v>
      </c>
      <c r="N1458" s="90">
        <v>0</v>
      </c>
      <c r="O1458" s="90">
        <v>255</v>
      </c>
    </row>
    <row r="1459" spans="1:15" s="90" customFormat="1" ht="12.75" customHeight="1" x14ac:dyDescent="0.2">
      <c r="A1459" s="247" t="s">
        <v>993</v>
      </c>
      <c r="B1459" s="316">
        <v>3217</v>
      </c>
      <c r="C1459" s="247" t="s">
        <v>975</v>
      </c>
      <c r="D1459" s="317">
        <v>42658</v>
      </c>
      <c r="E1459" s="318">
        <v>0.60418981481481482</v>
      </c>
      <c r="F1459" s="247" t="s">
        <v>235</v>
      </c>
      <c r="G1459" s="247" t="s">
        <v>1035</v>
      </c>
      <c r="H1459" s="248" t="s">
        <v>234</v>
      </c>
      <c r="I1459" s="248" t="s">
        <v>235</v>
      </c>
      <c r="J1459" s="247" t="s">
        <v>809</v>
      </c>
      <c r="K1459" s="249">
        <v>0</v>
      </c>
      <c r="M1459" s="90">
        <v>0</v>
      </c>
      <c r="N1459" s="90">
        <v>0</v>
      </c>
      <c r="O1459" s="90">
        <v>255</v>
      </c>
    </row>
    <row r="1460" spans="1:15" s="90" customFormat="1" ht="12.75" customHeight="1" x14ac:dyDescent="0.2">
      <c r="A1460" s="247" t="s">
        <v>990</v>
      </c>
      <c r="B1460" s="316">
        <v>3046</v>
      </c>
      <c r="C1460" s="247" t="s">
        <v>975</v>
      </c>
      <c r="D1460" s="317">
        <v>42658</v>
      </c>
      <c r="E1460" s="318">
        <v>0.60420138888888886</v>
      </c>
      <c r="F1460" s="247" t="s">
        <v>976</v>
      </c>
      <c r="G1460" s="247" t="s">
        <v>1035</v>
      </c>
      <c r="H1460" s="248" t="s">
        <v>404</v>
      </c>
      <c r="I1460" s="248" t="s">
        <v>404</v>
      </c>
      <c r="J1460" s="247" t="s">
        <v>809</v>
      </c>
      <c r="K1460" s="249">
        <v>0</v>
      </c>
      <c r="M1460" s="90">
        <v>0</v>
      </c>
      <c r="N1460" s="90">
        <v>0</v>
      </c>
      <c r="O1460" s="90">
        <v>255</v>
      </c>
    </row>
    <row r="1461" spans="1:15" s="90" customFormat="1" ht="12.75" customHeight="1" x14ac:dyDescent="0.2">
      <c r="A1461" s="247" t="s">
        <v>989</v>
      </c>
      <c r="B1461" s="316">
        <v>3046</v>
      </c>
      <c r="C1461" s="247" t="s">
        <v>975</v>
      </c>
      <c r="D1461" s="317">
        <v>42658</v>
      </c>
      <c r="E1461" s="318">
        <v>0.64586805555555549</v>
      </c>
      <c r="F1461" s="247" t="s">
        <v>976</v>
      </c>
      <c r="G1461" s="247" t="s">
        <v>1035</v>
      </c>
      <c r="H1461" s="248" t="s">
        <v>404</v>
      </c>
      <c r="I1461" s="248" t="s">
        <v>404</v>
      </c>
      <c r="J1461" s="247" t="s">
        <v>809</v>
      </c>
      <c r="K1461" s="249">
        <v>0</v>
      </c>
      <c r="M1461" s="90">
        <v>0</v>
      </c>
      <c r="N1461" s="90">
        <v>0</v>
      </c>
      <c r="O1461" s="90">
        <v>255</v>
      </c>
    </row>
    <row r="1462" spans="1:15" s="90" customFormat="1" ht="12.75" customHeight="1" x14ac:dyDescent="0.2">
      <c r="A1462" s="247" t="s">
        <v>993</v>
      </c>
      <c r="B1462" s="316">
        <v>3217</v>
      </c>
      <c r="C1462" s="247" t="s">
        <v>975</v>
      </c>
      <c r="D1462" s="317">
        <v>42658</v>
      </c>
      <c r="E1462" s="318">
        <v>0.64611111111111108</v>
      </c>
      <c r="F1462" s="247" t="s">
        <v>235</v>
      </c>
      <c r="G1462" s="247" t="s">
        <v>1035</v>
      </c>
      <c r="H1462" s="248" t="s">
        <v>234</v>
      </c>
      <c r="I1462" s="248" t="s">
        <v>235</v>
      </c>
      <c r="J1462" s="247" t="s">
        <v>809</v>
      </c>
      <c r="K1462" s="249">
        <v>0</v>
      </c>
      <c r="M1462" s="90">
        <v>0</v>
      </c>
      <c r="N1462" s="90">
        <v>0</v>
      </c>
      <c r="O1462" s="90">
        <v>255</v>
      </c>
    </row>
    <row r="1463" spans="1:15" s="90" customFormat="1" ht="12.75" customHeight="1" x14ac:dyDescent="0.2">
      <c r="A1463" s="247" t="s">
        <v>990</v>
      </c>
      <c r="B1463" s="316">
        <v>3046</v>
      </c>
      <c r="C1463" s="247" t="s">
        <v>975</v>
      </c>
      <c r="D1463" s="317">
        <v>42658</v>
      </c>
      <c r="E1463" s="318">
        <v>0.64612268518518523</v>
      </c>
      <c r="F1463" s="247" t="s">
        <v>976</v>
      </c>
      <c r="G1463" s="247" t="s">
        <v>1035</v>
      </c>
      <c r="H1463" s="248" t="s">
        <v>404</v>
      </c>
      <c r="I1463" s="248" t="s">
        <v>404</v>
      </c>
      <c r="J1463" s="247" t="s">
        <v>809</v>
      </c>
      <c r="K1463" s="249">
        <v>0</v>
      </c>
      <c r="M1463" s="90">
        <v>0</v>
      </c>
      <c r="N1463" s="90">
        <v>0</v>
      </c>
      <c r="O1463" s="90">
        <v>255</v>
      </c>
    </row>
    <row r="1464" spans="1:15" s="90" customFormat="1" ht="12.75" customHeight="1" x14ac:dyDescent="0.2">
      <c r="A1464" s="247" t="s">
        <v>989</v>
      </c>
      <c r="B1464" s="316">
        <v>3046</v>
      </c>
      <c r="C1464" s="247" t="s">
        <v>975</v>
      </c>
      <c r="D1464" s="317">
        <v>42658</v>
      </c>
      <c r="E1464" s="318">
        <v>0.68778935185185175</v>
      </c>
      <c r="F1464" s="247" t="s">
        <v>976</v>
      </c>
      <c r="G1464" s="247" t="s">
        <v>1035</v>
      </c>
      <c r="H1464" s="248" t="s">
        <v>404</v>
      </c>
      <c r="I1464" s="248" t="s">
        <v>404</v>
      </c>
      <c r="J1464" s="247" t="s">
        <v>809</v>
      </c>
      <c r="K1464" s="249">
        <v>0</v>
      </c>
      <c r="M1464" s="90">
        <v>0</v>
      </c>
      <c r="N1464" s="90">
        <v>0</v>
      </c>
      <c r="O1464" s="90">
        <v>255</v>
      </c>
    </row>
    <row r="1465" spans="1:15" s="90" customFormat="1" ht="12.75" customHeight="1" x14ac:dyDescent="0.2">
      <c r="A1465" s="247" t="s">
        <v>990</v>
      </c>
      <c r="B1465" s="316">
        <v>3046</v>
      </c>
      <c r="C1465" s="247" t="s">
        <v>975</v>
      </c>
      <c r="D1465" s="317">
        <v>42658</v>
      </c>
      <c r="E1465" s="318">
        <v>0.68803240740740745</v>
      </c>
      <c r="F1465" s="247" t="s">
        <v>976</v>
      </c>
      <c r="G1465" s="247" t="s">
        <v>1035</v>
      </c>
      <c r="H1465" s="248" t="s">
        <v>404</v>
      </c>
      <c r="I1465" s="248" t="s">
        <v>404</v>
      </c>
      <c r="J1465" s="247" t="s">
        <v>809</v>
      </c>
      <c r="K1465" s="249">
        <v>0</v>
      </c>
      <c r="M1465" s="90">
        <v>0</v>
      </c>
      <c r="N1465" s="90">
        <v>0</v>
      </c>
      <c r="O1465" s="90">
        <v>255</v>
      </c>
    </row>
    <row r="1466" spans="1:15" s="90" customFormat="1" ht="12.75" customHeight="1" x14ac:dyDescent="0.2">
      <c r="A1466" s="247" t="s">
        <v>993</v>
      </c>
      <c r="B1466" s="316">
        <v>3217</v>
      </c>
      <c r="C1466" s="247" t="s">
        <v>975</v>
      </c>
      <c r="D1466" s="317">
        <v>42658</v>
      </c>
      <c r="E1466" s="318">
        <v>0.68803240740740745</v>
      </c>
      <c r="F1466" s="247" t="s">
        <v>235</v>
      </c>
      <c r="G1466" s="247" t="s">
        <v>1035</v>
      </c>
      <c r="H1466" s="248" t="s">
        <v>234</v>
      </c>
      <c r="I1466" s="248" t="s">
        <v>235</v>
      </c>
      <c r="J1466" s="247" t="s">
        <v>809</v>
      </c>
      <c r="K1466" s="249">
        <v>0</v>
      </c>
      <c r="M1466" s="90">
        <v>0</v>
      </c>
      <c r="N1466" s="90">
        <v>0</v>
      </c>
      <c r="O1466" s="90">
        <v>255</v>
      </c>
    </row>
    <row r="1467" spans="1:15" s="90" customFormat="1" ht="12.75" customHeight="1" x14ac:dyDescent="0.2">
      <c r="A1467" s="247" t="s">
        <v>989</v>
      </c>
      <c r="B1467" s="316">
        <v>3046</v>
      </c>
      <c r="C1467" s="247" t="s">
        <v>975</v>
      </c>
      <c r="D1467" s="317">
        <v>42658</v>
      </c>
      <c r="E1467" s="318">
        <v>0.72969907407407408</v>
      </c>
      <c r="F1467" s="247" t="s">
        <v>976</v>
      </c>
      <c r="G1467" s="247" t="s">
        <v>1035</v>
      </c>
      <c r="H1467" s="248" t="s">
        <v>404</v>
      </c>
      <c r="I1467" s="248" t="s">
        <v>404</v>
      </c>
      <c r="J1467" s="247" t="s">
        <v>809</v>
      </c>
      <c r="K1467" s="249">
        <v>0</v>
      </c>
      <c r="M1467" s="90">
        <v>0</v>
      </c>
      <c r="N1467" s="90">
        <v>0</v>
      </c>
      <c r="O1467" s="90">
        <v>255</v>
      </c>
    </row>
    <row r="1468" spans="1:15" s="90" customFormat="1" ht="12.75" customHeight="1" x14ac:dyDescent="0.2">
      <c r="A1468" s="247" t="s">
        <v>990</v>
      </c>
      <c r="B1468" s="316">
        <v>3046</v>
      </c>
      <c r="C1468" s="247" t="s">
        <v>975</v>
      </c>
      <c r="D1468" s="317">
        <v>42658</v>
      </c>
      <c r="E1468" s="318">
        <v>0.72995370370370372</v>
      </c>
      <c r="F1468" s="247" t="s">
        <v>976</v>
      </c>
      <c r="G1468" s="247" t="s">
        <v>1035</v>
      </c>
      <c r="H1468" s="248" t="s">
        <v>404</v>
      </c>
      <c r="I1468" s="248" t="s">
        <v>404</v>
      </c>
      <c r="J1468" s="247" t="s">
        <v>809</v>
      </c>
      <c r="K1468" s="249">
        <v>0</v>
      </c>
      <c r="M1468" s="90">
        <v>0</v>
      </c>
      <c r="N1468" s="90">
        <v>0</v>
      </c>
      <c r="O1468" s="90">
        <v>255</v>
      </c>
    </row>
    <row r="1469" spans="1:15" s="90" customFormat="1" ht="12.75" customHeight="1" x14ac:dyDescent="0.2">
      <c r="A1469" s="247" t="s">
        <v>993</v>
      </c>
      <c r="B1469" s="316">
        <v>3217</v>
      </c>
      <c r="C1469" s="247" t="s">
        <v>975</v>
      </c>
      <c r="D1469" s="317">
        <v>42658</v>
      </c>
      <c r="E1469" s="318">
        <v>0.72995370370370372</v>
      </c>
      <c r="F1469" s="247" t="s">
        <v>235</v>
      </c>
      <c r="G1469" s="247" t="s">
        <v>1035</v>
      </c>
      <c r="H1469" s="248" t="s">
        <v>234</v>
      </c>
      <c r="I1469" s="248" t="s">
        <v>235</v>
      </c>
      <c r="J1469" s="247" t="s">
        <v>809</v>
      </c>
      <c r="K1469" s="249">
        <v>0</v>
      </c>
      <c r="M1469" s="90">
        <v>0</v>
      </c>
      <c r="N1469" s="90">
        <v>0</v>
      </c>
      <c r="O1469" s="90">
        <v>255</v>
      </c>
    </row>
    <row r="1470" spans="1:15" s="90" customFormat="1" ht="12.75" customHeight="1" x14ac:dyDescent="0.2">
      <c r="A1470" s="247" t="s">
        <v>989</v>
      </c>
      <c r="B1470" s="316">
        <v>3046</v>
      </c>
      <c r="C1470" s="247" t="s">
        <v>975</v>
      </c>
      <c r="D1470" s="317">
        <v>42658</v>
      </c>
      <c r="E1470" s="318">
        <v>0.7716319444444445</v>
      </c>
      <c r="F1470" s="247" t="s">
        <v>976</v>
      </c>
      <c r="G1470" s="247" t="s">
        <v>1035</v>
      </c>
      <c r="H1470" s="248" t="s">
        <v>404</v>
      </c>
      <c r="I1470" s="248" t="s">
        <v>404</v>
      </c>
      <c r="J1470" s="247" t="s">
        <v>809</v>
      </c>
      <c r="K1470" s="249">
        <v>0</v>
      </c>
      <c r="M1470" s="90">
        <v>0</v>
      </c>
      <c r="N1470" s="90">
        <v>0</v>
      </c>
      <c r="O1470" s="90">
        <v>255</v>
      </c>
    </row>
    <row r="1471" spans="1:15" s="90" customFormat="1" ht="12.75" customHeight="1" x14ac:dyDescent="0.2">
      <c r="A1471" s="247" t="s">
        <v>990</v>
      </c>
      <c r="B1471" s="316">
        <v>3046</v>
      </c>
      <c r="C1471" s="247" t="s">
        <v>975</v>
      </c>
      <c r="D1471" s="317">
        <v>42658</v>
      </c>
      <c r="E1471" s="318">
        <v>0.77187499999999998</v>
      </c>
      <c r="F1471" s="247" t="s">
        <v>976</v>
      </c>
      <c r="G1471" s="247" t="s">
        <v>1035</v>
      </c>
      <c r="H1471" s="248" t="s">
        <v>404</v>
      </c>
      <c r="I1471" s="248" t="s">
        <v>404</v>
      </c>
      <c r="J1471" s="247" t="s">
        <v>809</v>
      </c>
      <c r="K1471" s="249">
        <v>0</v>
      </c>
      <c r="M1471" s="90">
        <v>0</v>
      </c>
      <c r="N1471" s="90">
        <v>0</v>
      </c>
      <c r="O1471" s="90">
        <v>255</v>
      </c>
    </row>
    <row r="1472" spans="1:15" s="90" customFormat="1" ht="12.75" customHeight="1" x14ac:dyDescent="0.2">
      <c r="A1472" s="247" t="s">
        <v>993</v>
      </c>
      <c r="B1472" s="316">
        <v>3217</v>
      </c>
      <c r="C1472" s="247" t="s">
        <v>975</v>
      </c>
      <c r="D1472" s="317">
        <v>42658</v>
      </c>
      <c r="E1472" s="318">
        <v>0.77187499999999998</v>
      </c>
      <c r="F1472" s="247" t="s">
        <v>235</v>
      </c>
      <c r="G1472" s="247" t="s">
        <v>1035</v>
      </c>
      <c r="H1472" s="248" t="s">
        <v>234</v>
      </c>
      <c r="I1472" s="248" t="s">
        <v>235</v>
      </c>
      <c r="J1472" s="247" t="s">
        <v>809</v>
      </c>
      <c r="K1472" s="249">
        <v>0</v>
      </c>
      <c r="M1472" s="90">
        <v>0</v>
      </c>
      <c r="N1472" s="90">
        <v>0</v>
      </c>
      <c r="O1472" s="90">
        <v>255</v>
      </c>
    </row>
    <row r="1473" spans="1:15" s="90" customFormat="1" ht="12.75" customHeight="1" x14ac:dyDescent="0.2">
      <c r="A1473" s="247" t="s">
        <v>989</v>
      </c>
      <c r="B1473" s="316">
        <v>3046</v>
      </c>
      <c r="C1473" s="247" t="s">
        <v>975</v>
      </c>
      <c r="D1473" s="317">
        <v>42658</v>
      </c>
      <c r="E1473" s="318">
        <v>0.81354166666666661</v>
      </c>
      <c r="F1473" s="247" t="s">
        <v>976</v>
      </c>
      <c r="G1473" s="247" t="s">
        <v>1035</v>
      </c>
      <c r="H1473" s="248" t="s">
        <v>404</v>
      </c>
      <c r="I1473" s="248" t="s">
        <v>404</v>
      </c>
      <c r="J1473" s="247" t="s">
        <v>809</v>
      </c>
      <c r="K1473" s="249">
        <v>0</v>
      </c>
      <c r="M1473" s="90">
        <v>0</v>
      </c>
      <c r="N1473" s="90">
        <v>0</v>
      </c>
      <c r="O1473" s="90">
        <v>255</v>
      </c>
    </row>
    <row r="1474" spans="1:15" s="90" customFormat="1" ht="12.75" customHeight="1" x14ac:dyDescent="0.2">
      <c r="A1474" s="247" t="s">
        <v>990</v>
      </c>
      <c r="B1474" s="316">
        <v>3046</v>
      </c>
      <c r="C1474" s="247" t="s">
        <v>975</v>
      </c>
      <c r="D1474" s="317">
        <v>42658</v>
      </c>
      <c r="E1474" s="318">
        <v>0.81379629629629635</v>
      </c>
      <c r="F1474" s="247" t="s">
        <v>976</v>
      </c>
      <c r="G1474" s="247" t="s">
        <v>1035</v>
      </c>
      <c r="H1474" s="248" t="s">
        <v>404</v>
      </c>
      <c r="I1474" s="248" t="s">
        <v>404</v>
      </c>
      <c r="J1474" s="247" t="s">
        <v>809</v>
      </c>
      <c r="K1474" s="249">
        <v>0</v>
      </c>
      <c r="M1474" s="90">
        <v>0</v>
      </c>
      <c r="N1474" s="90">
        <v>0</v>
      </c>
      <c r="O1474" s="90">
        <v>255</v>
      </c>
    </row>
    <row r="1475" spans="1:15" s="90" customFormat="1" ht="12.75" customHeight="1" x14ac:dyDescent="0.2">
      <c r="A1475" s="247" t="s">
        <v>993</v>
      </c>
      <c r="B1475" s="316">
        <v>3217</v>
      </c>
      <c r="C1475" s="247" t="s">
        <v>975</v>
      </c>
      <c r="D1475" s="317">
        <v>42658</v>
      </c>
      <c r="E1475" s="318">
        <v>0.81379629629629635</v>
      </c>
      <c r="F1475" s="247" t="s">
        <v>235</v>
      </c>
      <c r="G1475" s="247" t="s">
        <v>1035</v>
      </c>
      <c r="H1475" s="248" t="s">
        <v>234</v>
      </c>
      <c r="I1475" s="248" t="s">
        <v>235</v>
      </c>
      <c r="J1475" s="247" t="s">
        <v>809</v>
      </c>
      <c r="K1475" s="249">
        <v>0</v>
      </c>
      <c r="M1475" s="90">
        <v>0</v>
      </c>
      <c r="N1475" s="90">
        <v>0</v>
      </c>
      <c r="O1475" s="90">
        <v>255</v>
      </c>
    </row>
    <row r="1476" spans="1:15" s="90" customFormat="1" ht="12.75" customHeight="1" x14ac:dyDescent="0.2">
      <c r="A1476" s="247" t="s">
        <v>989</v>
      </c>
      <c r="B1476" s="316">
        <v>3046</v>
      </c>
      <c r="C1476" s="247" t="s">
        <v>975</v>
      </c>
      <c r="D1476" s="317">
        <v>42658</v>
      </c>
      <c r="E1476" s="318">
        <v>0.85546296296296298</v>
      </c>
      <c r="F1476" s="247" t="s">
        <v>976</v>
      </c>
      <c r="G1476" s="247" t="s">
        <v>1035</v>
      </c>
      <c r="H1476" s="248" t="s">
        <v>404</v>
      </c>
      <c r="I1476" s="248" t="s">
        <v>404</v>
      </c>
      <c r="J1476" s="247" t="s">
        <v>809</v>
      </c>
      <c r="K1476" s="249">
        <v>0</v>
      </c>
      <c r="M1476" s="90">
        <v>0</v>
      </c>
      <c r="N1476" s="90">
        <v>0</v>
      </c>
      <c r="O1476" s="90">
        <v>255</v>
      </c>
    </row>
    <row r="1477" spans="1:15" s="90" customFormat="1" ht="12.75" customHeight="1" x14ac:dyDescent="0.2">
      <c r="A1477" s="247" t="s">
        <v>990</v>
      </c>
      <c r="B1477" s="316">
        <v>3046</v>
      </c>
      <c r="C1477" s="247" t="s">
        <v>975</v>
      </c>
      <c r="D1477" s="317">
        <v>42658</v>
      </c>
      <c r="E1477" s="318">
        <v>0.85571759259259261</v>
      </c>
      <c r="F1477" s="247" t="s">
        <v>976</v>
      </c>
      <c r="G1477" s="247" t="s">
        <v>1035</v>
      </c>
      <c r="H1477" s="248" t="s">
        <v>404</v>
      </c>
      <c r="I1477" s="248" t="s">
        <v>404</v>
      </c>
      <c r="J1477" s="247" t="s">
        <v>809</v>
      </c>
      <c r="K1477" s="249">
        <v>0</v>
      </c>
      <c r="M1477" s="90">
        <v>0</v>
      </c>
      <c r="N1477" s="90">
        <v>0</v>
      </c>
      <c r="O1477" s="90">
        <v>255</v>
      </c>
    </row>
    <row r="1478" spans="1:15" s="90" customFormat="1" ht="12.75" customHeight="1" x14ac:dyDescent="0.2">
      <c r="A1478" s="247" t="s">
        <v>993</v>
      </c>
      <c r="B1478" s="316">
        <v>3217</v>
      </c>
      <c r="C1478" s="247" t="s">
        <v>975</v>
      </c>
      <c r="D1478" s="317">
        <v>42658</v>
      </c>
      <c r="E1478" s="318">
        <v>0.85571759259259261</v>
      </c>
      <c r="F1478" s="247" t="s">
        <v>235</v>
      </c>
      <c r="G1478" s="247" t="s">
        <v>1035</v>
      </c>
      <c r="H1478" s="248" t="s">
        <v>234</v>
      </c>
      <c r="I1478" s="248" t="s">
        <v>235</v>
      </c>
      <c r="J1478" s="247" t="s">
        <v>809</v>
      </c>
      <c r="K1478" s="249">
        <v>0</v>
      </c>
      <c r="M1478" s="90">
        <v>0</v>
      </c>
      <c r="N1478" s="90">
        <v>0</v>
      </c>
      <c r="O1478" s="90">
        <v>255</v>
      </c>
    </row>
    <row r="1479" spans="1:15" s="90" customFormat="1" ht="12.75" customHeight="1" x14ac:dyDescent="0.2">
      <c r="A1479" s="247" t="s">
        <v>989</v>
      </c>
      <c r="B1479" s="316">
        <v>3046</v>
      </c>
      <c r="C1479" s="247" t="s">
        <v>975</v>
      </c>
      <c r="D1479" s="317">
        <v>42658</v>
      </c>
      <c r="E1479" s="318">
        <v>0.89738425925925924</v>
      </c>
      <c r="F1479" s="247" t="s">
        <v>976</v>
      </c>
      <c r="G1479" s="247" t="s">
        <v>1035</v>
      </c>
      <c r="H1479" s="248" t="s">
        <v>404</v>
      </c>
      <c r="I1479" s="248" t="s">
        <v>404</v>
      </c>
      <c r="J1479" s="247" t="s">
        <v>809</v>
      </c>
      <c r="K1479" s="249">
        <v>0</v>
      </c>
      <c r="M1479" s="90">
        <v>0</v>
      </c>
      <c r="N1479" s="90">
        <v>0</v>
      </c>
      <c r="O1479" s="90">
        <v>255</v>
      </c>
    </row>
    <row r="1480" spans="1:15" s="90" customFormat="1" ht="12.75" customHeight="1" x14ac:dyDescent="0.2">
      <c r="A1480" s="247" t="s">
        <v>990</v>
      </c>
      <c r="B1480" s="316">
        <v>3046</v>
      </c>
      <c r="C1480" s="247" t="s">
        <v>975</v>
      </c>
      <c r="D1480" s="317">
        <v>42658</v>
      </c>
      <c r="E1480" s="318">
        <v>0.89763888888888888</v>
      </c>
      <c r="F1480" s="247" t="s">
        <v>976</v>
      </c>
      <c r="G1480" s="247" t="s">
        <v>1035</v>
      </c>
      <c r="H1480" s="248" t="s">
        <v>404</v>
      </c>
      <c r="I1480" s="248" t="s">
        <v>404</v>
      </c>
      <c r="J1480" s="247" t="s">
        <v>809</v>
      </c>
      <c r="K1480" s="249">
        <v>0</v>
      </c>
      <c r="M1480" s="90">
        <v>0</v>
      </c>
      <c r="N1480" s="90">
        <v>0</v>
      </c>
      <c r="O1480" s="90">
        <v>255</v>
      </c>
    </row>
    <row r="1481" spans="1:15" s="90" customFormat="1" ht="12.75" customHeight="1" x14ac:dyDescent="0.2">
      <c r="A1481" s="247" t="s">
        <v>993</v>
      </c>
      <c r="B1481" s="316">
        <v>3217</v>
      </c>
      <c r="C1481" s="247" t="s">
        <v>975</v>
      </c>
      <c r="D1481" s="317">
        <v>42658</v>
      </c>
      <c r="E1481" s="318">
        <v>0.89763888888888888</v>
      </c>
      <c r="F1481" s="247" t="s">
        <v>235</v>
      </c>
      <c r="G1481" s="247" t="s">
        <v>1035</v>
      </c>
      <c r="H1481" s="248" t="s">
        <v>234</v>
      </c>
      <c r="I1481" s="248" t="s">
        <v>235</v>
      </c>
      <c r="J1481" s="247" t="s">
        <v>809</v>
      </c>
      <c r="K1481" s="249">
        <v>0</v>
      </c>
      <c r="M1481" s="90">
        <v>0</v>
      </c>
      <c r="N1481" s="90">
        <v>0</v>
      </c>
      <c r="O1481" s="90">
        <v>255</v>
      </c>
    </row>
    <row r="1482" spans="1:15" s="90" customFormat="1" ht="12.75" customHeight="1" x14ac:dyDescent="0.2">
      <c r="A1482" s="247" t="s">
        <v>989</v>
      </c>
      <c r="B1482" s="316">
        <v>3046</v>
      </c>
      <c r="C1482" s="247" t="s">
        <v>975</v>
      </c>
      <c r="D1482" s="317">
        <v>42658</v>
      </c>
      <c r="E1482" s="318">
        <v>0.9393055555555555</v>
      </c>
      <c r="F1482" s="247" t="s">
        <v>976</v>
      </c>
      <c r="G1482" s="247" t="s">
        <v>1035</v>
      </c>
      <c r="H1482" s="248" t="s">
        <v>404</v>
      </c>
      <c r="I1482" s="248" t="s">
        <v>404</v>
      </c>
      <c r="J1482" s="247" t="s">
        <v>809</v>
      </c>
      <c r="K1482" s="249">
        <v>0</v>
      </c>
      <c r="M1482" s="90">
        <v>0</v>
      </c>
      <c r="N1482" s="90">
        <v>0</v>
      </c>
      <c r="O1482" s="90">
        <v>255</v>
      </c>
    </row>
    <row r="1483" spans="1:15" s="90" customFormat="1" ht="12.75" customHeight="1" x14ac:dyDescent="0.2">
      <c r="A1483" s="247" t="s">
        <v>990</v>
      </c>
      <c r="B1483" s="316">
        <v>3046</v>
      </c>
      <c r="C1483" s="247" t="s">
        <v>975</v>
      </c>
      <c r="D1483" s="317">
        <v>42658</v>
      </c>
      <c r="E1483" s="318">
        <v>0.93956018518518514</v>
      </c>
      <c r="F1483" s="247" t="s">
        <v>976</v>
      </c>
      <c r="G1483" s="247" t="s">
        <v>1035</v>
      </c>
      <c r="H1483" s="248" t="s">
        <v>404</v>
      </c>
      <c r="I1483" s="248" t="s">
        <v>404</v>
      </c>
      <c r="J1483" s="247" t="s">
        <v>809</v>
      </c>
      <c r="K1483" s="249">
        <v>0</v>
      </c>
      <c r="M1483" s="90">
        <v>0</v>
      </c>
      <c r="N1483" s="90">
        <v>0</v>
      </c>
      <c r="O1483" s="90">
        <v>255</v>
      </c>
    </row>
    <row r="1484" spans="1:15" s="90" customFormat="1" ht="12.75" customHeight="1" x14ac:dyDescent="0.2">
      <c r="A1484" s="247" t="s">
        <v>993</v>
      </c>
      <c r="B1484" s="316">
        <v>3217</v>
      </c>
      <c r="C1484" s="247" t="s">
        <v>975</v>
      </c>
      <c r="D1484" s="317">
        <v>42658</v>
      </c>
      <c r="E1484" s="318">
        <v>0.93956018518518514</v>
      </c>
      <c r="F1484" s="247" t="s">
        <v>235</v>
      </c>
      <c r="G1484" s="247" t="s">
        <v>1035</v>
      </c>
      <c r="H1484" s="248" t="s">
        <v>234</v>
      </c>
      <c r="I1484" s="248" t="s">
        <v>235</v>
      </c>
      <c r="J1484" s="247" t="s">
        <v>809</v>
      </c>
      <c r="K1484" s="249">
        <v>0</v>
      </c>
      <c r="M1484" s="90">
        <v>0</v>
      </c>
      <c r="N1484" s="90">
        <v>0</v>
      </c>
      <c r="O1484" s="90">
        <v>255</v>
      </c>
    </row>
    <row r="1485" spans="1:15" s="90" customFormat="1" ht="12.75" customHeight="1" x14ac:dyDescent="0.2">
      <c r="A1485" s="247" t="s">
        <v>989</v>
      </c>
      <c r="B1485" s="316">
        <v>3046</v>
      </c>
      <c r="C1485" s="247" t="s">
        <v>975</v>
      </c>
      <c r="D1485" s="317">
        <v>42658</v>
      </c>
      <c r="E1485" s="318">
        <v>0.98122685185185177</v>
      </c>
      <c r="F1485" s="247" t="s">
        <v>976</v>
      </c>
      <c r="G1485" s="247" t="s">
        <v>1035</v>
      </c>
      <c r="H1485" s="248" t="s">
        <v>404</v>
      </c>
      <c r="I1485" s="248" t="s">
        <v>404</v>
      </c>
      <c r="J1485" s="247" t="s">
        <v>809</v>
      </c>
      <c r="K1485" s="249">
        <v>0</v>
      </c>
      <c r="M1485" s="90">
        <v>0</v>
      </c>
      <c r="N1485" s="90">
        <v>0</v>
      </c>
      <c r="O1485" s="90">
        <v>255</v>
      </c>
    </row>
    <row r="1486" spans="1:15" s="90" customFormat="1" ht="12.75" customHeight="1" x14ac:dyDescent="0.2">
      <c r="A1486" s="247" t="s">
        <v>990</v>
      </c>
      <c r="B1486" s="316">
        <v>3046</v>
      </c>
      <c r="C1486" s="247" t="s">
        <v>975</v>
      </c>
      <c r="D1486" s="317">
        <v>42658</v>
      </c>
      <c r="E1486" s="318">
        <v>0.98148148148148151</v>
      </c>
      <c r="F1486" s="247" t="s">
        <v>976</v>
      </c>
      <c r="G1486" s="247" t="s">
        <v>1035</v>
      </c>
      <c r="H1486" s="248" t="s">
        <v>404</v>
      </c>
      <c r="I1486" s="248" t="s">
        <v>404</v>
      </c>
      <c r="J1486" s="247" t="s">
        <v>809</v>
      </c>
      <c r="K1486" s="249">
        <v>0</v>
      </c>
      <c r="M1486" s="90">
        <v>0</v>
      </c>
      <c r="N1486" s="90">
        <v>0</v>
      </c>
      <c r="O1486" s="90">
        <v>255</v>
      </c>
    </row>
    <row r="1487" spans="1:15" s="90" customFormat="1" ht="12.75" customHeight="1" x14ac:dyDescent="0.2">
      <c r="A1487" s="247" t="s">
        <v>993</v>
      </c>
      <c r="B1487" s="316">
        <v>3217</v>
      </c>
      <c r="C1487" s="247" t="s">
        <v>975</v>
      </c>
      <c r="D1487" s="317">
        <v>42658</v>
      </c>
      <c r="E1487" s="318">
        <v>0.98148148148148151</v>
      </c>
      <c r="F1487" s="247" t="s">
        <v>235</v>
      </c>
      <c r="G1487" s="247" t="s">
        <v>1035</v>
      </c>
      <c r="H1487" s="248" t="s">
        <v>234</v>
      </c>
      <c r="I1487" s="248" t="s">
        <v>235</v>
      </c>
      <c r="J1487" s="247" t="s">
        <v>809</v>
      </c>
      <c r="K1487" s="249">
        <v>0</v>
      </c>
      <c r="M1487" s="90">
        <v>0</v>
      </c>
      <c r="N1487" s="90">
        <v>0</v>
      </c>
      <c r="O1487" s="90">
        <v>255</v>
      </c>
    </row>
    <row r="1488" spans="1:15" s="90" customFormat="1" ht="12.75" customHeight="1" x14ac:dyDescent="0.2">
      <c r="A1488" s="247" t="s">
        <v>989</v>
      </c>
      <c r="B1488" s="316">
        <v>3046</v>
      </c>
      <c r="C1488" s="247" t="s">
        <v>975</v>
      </c>
      <c r="D1488" s="317">
        <v>42659</v>
      </c>
      <c r="E1488" s="318">
        <v>2.314814814814815E-2</v>
      </c>
      <c r="F1488" s="247" t="s">
        <v>976</v>
      </c>
      <c r="G1488" s="247" t="s">
        <v>1035</v>
      </c>
      <c r="H1488" s="248" t="s">
        <v>404</v>
      </c>
      <c r="I1488" s="248" t="s">
        <v>404</v>
      </c>
      <c r="J1488" s="247" t="s">
        <v>809</v>
      </c>
      <c r="K1488" s="249">
        <v>0</v>
      </c>
      <c r="M1488" s="90">
        <v>0</v>
      </c>
      <c r="N1488" s="90">
        <v>0</v>
      </c>
      <c r="O1488" s="90">
        <v>255</v>
      </c>
    </row>
    <row r="1489" spans="1:15" s="90" customFormat="1" ht="12.75" customHeight="1" x14ac:dyDescent="0.2">
      <c r="A1489" s="247" t="s">
        <v>990</v>
      </c>
      <c r="B1489" s="316">
        <v>3046</v>
      </c>
      <c r="C1489" s="247" t="s">
        <v>975</v>
      </c>
      <c r="D1489" s="317">
        <v>42659</v>
      </c>
      <c r="E1489" s="318">
        <v>2.3402777777777783E-2</v>
      </c>
      <c r="F1489" s="247" t="s">
        <v>976</v>
      </c>
      <c r="G1489" s="247" t="s">
        <v>1035</v>
      </c>
      <c r="H1489" s="248" t="s">
        <v>404</v>
      </c>
      <c r="I1489" s="248" t="s">
        <v>404</v>
      </c>
      <c r="J1489" s="247" t="s">
        <v>809</v>
      </c>
      <c r="K1489" s="249">
        <v>0</v>
      </c>
      <c r="M1489" s="90">
        <v>0</v>
      </c>
      <c r="N1489" s="90">
        <v>0</v>
      </c>
      <c r="O1489" s="90">
        <v>255</v>
      </c>
    </row>
    <row r="1490" spans="1:15" s="90" customFormat="1" ht="12.75" customHeight="1" x14ac:dyDescent="0.2">
      <c r="A1490" s="247" t="s">
        <v>993</v>
      </c>
      <c r="B1490" s="316">
        <v>3217</v>
      </c>
      <c r="C1490" s="247" t="s">
        <v>975</v>
      </c>
      <c r="D1490" s="317">
        <v>42659</v>
      </c>
      <c r="E1490" s="318">
        <v>2.3402777777777783E-2</v>
      </c>
      <c r="F1490" s="247" t="s">
        <v>235</v>
      </c>
      <c r="G1490" s="247" t="s">
        <v>1035</v>
      </c>
      <c r="H1490" s="248" t="s">
        <v>234</v>
      </c>
      <c r="I1490" s="248" t="s">
        <v>235</v>
      </c>
      <c r="J1490" s="247" t="s">
        <v>809</v>
      </c>
      <c r="K1490" s="249">
        <v>0</v>
      </c>
      <c r="M1490" s="90">
        <v>0</v>
      </c>
      <c r="N1490" s="90">
        <v>0</v>
      </c>
      <c r="O1490" s="90">
        <v>255</v>
      </c>
    </row>
    <row r="1491" spans="1:15" s="90" customFormat="1" ht="12.75" customHeight="1" x14ac:dyDescent="0.2">
      <c r="A1491" s="247" t="s">
        <v>989</v>
      </c>
      <c r="B1491" s="316">
        <v>3046</v>
      </c>
      <c r="C1491" s="247" t="s">
        <v>975</v>
      </c>
      <c r="D1491" s="317">
        <v>42659</v>
      </c>
      <c r="E1491" s="318">
        <v>6.5069444444444444E-2</v>
      </c>
      <c r="F1491" s="247" t="s">
        <v>976</v>
      </c>
      <c r="G1491" s="247" t="s">
        <v>1035</v>
      </c>
      <c r="H1491" s="248" t="s">
        <v>404</v>
      </c>
      <c r="I1491" s="248" t="s">
        <v>404</v>
      </c>
      <c r="J1491" s="247" t="s">
        <v>809</v>
      </c>
      <c r="K1491" s="249">
        <v>0</v>
      </c>
      <c r="M1491" s="90">
        <v>0</v>
      </c>
      <c r="N1491" s="90">
        <v>0</v>
      </c>
      <c r="O1491" s="90">
        <v>255</v>
      </c>
    </row>
    <row r="1492" spans="1:15" s="90" customFormat="1" ht="12.75" customHeight="1" x14ac:dyDescent="0.2">
      <c r="A1492" s="247" t="s">
        <v>990</v>
      </c>
      <c r="B1492" s="316">
        <v>3046</v>
      </c>
      <c r="C1492" s="247" t="s">
        <v>975</v>
      </c>
      <c r="D1492" s="317">
        <v>42659</v>
      </c>
      <c r="E1492" s="318">
        <v>6.5324074074074076E-2</v>
      </c>
      <c r="F1492" s="247" t="s">
        <v>976</v>
      </c>
      <c r="G1492" s="247" t="s">
        <v>1035</v>
      </c>
      <c r="H1492" s="248" t="s">
        <v>404</v>
      </c>
      <c r="I1492" s="248" t="s">
        <v>404</v>
      </c>
      <c r="J1492" s="247" t="s">
        <v>809</v>
      </c>
      <c r="K1492" s="249">
        <v>0</v>
      </c>
      <c r="M1492" s="90">
        <v>0</v>
      </c>
      <c r="N1492" s="90">
        <v>0</v>
      </c>
      <c r="O1492" s="90">
        <v>255</v>
      </c>
    </row>
    <row r="1493" spans="1:15" s="90" customFormat="1" ht="12.75" customHeight="1" x14ac:dyDescent="0.2">
      <c r="A1493" s="247" t="s">
        <v>993</v>
      </c>
      <c r="B1493" s="316">
        <v>3217</v>
      </c>
      <c r="C1493" s="247" t="s">
        <v>975</v>
      </c>
      <c r="D1493" s="317">
        <v>42659</v>
      </c>
      <c r="E1493" s="318">
        <v>6.5324074074074076E-2</v>
      </c>
      <c r="F1493" s="247" t="s">
        <v>235</v>
      </c>
      <c r="G1493" s="247" t="s">
        <v>1035</v>
      </c>
      <c r="H1493" s="248" t="s">
        <v>234</v>
      </c>
      <c r="I1493" s="248" t="s">
        <v>235</v>
      </c>
      <c r="J1493" s="247" t="s">
        <v>809</v>
      </c>
      <c r="K1493" s="249">
        <v>0</v>
      </c>
      <c r="M1493" s="90">
        <v>0</v>
      </c>
      <c r="N1493" s="90">
        <v>0</v>
      </c>
      <c r="O1493" s="90">
        <v>255</v>
      </c>
    </row>
    <row r="1494" spans="1:15" s="90" customFormat="1" ht="12.75" customHeight="1" x14ac:dyDescent="0.2">
      <c r="A1494" s="247" t="s">
        <v>989</v>
      </c>
      <c r="B1494" s="316">
        <v>3046</v>
      </c>
      <c r="C1494" s="247" t="s">
        <v>975</v>
      </c>
      <c r="D1494" s="317">
        <v>42659</v>
      </c>
      <c r="E1494" s="318">
        <v>0.10699074074074073</v>
      </c>
      <c r="F1494" s="247" t="s">
        <v>976</v>
      </c>
      <c r="G1494" s="247" t="s">
        <v>1035</v>
      </c>
      <c r="H1494" s="248" t="s">
        <v>404</v>
      </c>
      <c r="I1494" s="248" t="s">
        <v>404</v>
      </c>
      <c r="J1494" s="247" t="s">
        <v>809</v>
      </c>
      <c r="K1494" s="249">
        <v>0</v>
      </c>
      <c r="M1494" s="90">
        <v>0</v>
      </c>
      <c r="N1494" s="90">
        <v>0</v>
      </c>
      <c r="O1494" s="90">
        <v>255</v>
      </c>
    </row>
    <row r="1495" spans="1:15" s="90" customFormat="1" ht="12.75" customHeight="1" x14ac:dyDescent="0.2">
      <c r="A1495" s="247" t="s">
        <v>990</v>
      </c>
      <c r="B1495" s="316">
        <v>3046</v>
      </c>
      <c r="C1495" s="247" t="s">
        <v>975</v>
      </c>
      <c r="D1495" s="317">
        <v>42659</v>
      </c>
      <c r="E1495" s="318">
        <v>0.10724537037037037</v>
      </c>
      <c r="F1495" s="247" t="s">
        <v>976</v>
      </c>
      <c r="G1495" s="247" t="s">
        <v>1035</v>
      </c>
      <c r="H1495" s="248" t="s">
        <v>404</v>
      </c>
      <c r="I1495" s="248" t="s">
        <v>404</v>
      </c>
      <c r="J1495" s="247" t="s">
        <v>809</v>
      </c>
      <c r="K1495" s="249">
        <v>0</v>
      </c>
      <c r="M1495" s="90">
        <v>0</v>
      </c>
      <c r="N1495" s="90">
        <v>0</v>
      </c>
      <c r="O1495" s="90">
        <v>255</v>
      </c>
    </row>
    <row r="1496" spans="1:15" s="90" customFormat="1" ht="12.75" customHeight="1" x14ac:dyDescent="0.2">
      <c r="A1496" s="247" t="s">
        <v>993</v>
      </c>
      <c r="B1496" s="316">
        <v>3217</v>
      </c>
      <c r="C1496" s="247" t="s">
        <v>975</v>
      </c>
      <c r="D1496" s="317">
        <v>42659</v>
      </c>
      <c r="E1496" s="318">
        <v>0.10724537037037037</v>
      </c>
      <c r="F1496" s="247" t="s">
        <v>235</v>
      </c>
      <c r="G1496" s="247" t="s">
        <v>1035</v>
      </c>
      <c r="H1496" s="248" t="s">
        <v>234</v>
      </c>
      <c r="I1496" s="248" t="s">
        <v>235</v>
      </c>
      <c r="J1496" s="247" t="s">
        <v>809</v>
      </c>
      <c r="K1496" s="249">
        <v>0</v>
      </c>
      <c r="M1496" s="90">
        <v>0</v>
      </c>
      <c r="N1496" s="90">
        <v>0</v>
      </c>
      <c r="O1496" s="90">
        <v>255</v>
      </c>
    </row>
    <row r="1497" spans="1:15" s="90" customFormat="1" ht="12.75" customHeight="1" x14ac:dyDescent="0.2">
      <c r="A1497" s="247" t="s">
        <v>611</v>
      </c>
      <c r="B1497" s="316">
        <v>4030</v>
      </c>
      <c r="C1497" s="247" t="s">
        <v>996</v>
      </c>
      <c r="D1497" s="317">
        <v>42659</v>
      </c>
      <c r="E1497" s="318">
        <v>0.11310185185185184</v>
      </c>
      <c r="F1497" s="247" t="s">
        <v>702</v>
      </c>
      <c r="G1497" s="247" t="s">
        <v>1035</v>
      </c>
      <c r="H1497" s="248" t="s">
        <v>4</v>
      </c>
      <c r="I1497" s="248" t="s">
        <v>14</v>
      </c>
      <c r="J1497" s="247" t="s">
        <v>809</v>
      </c>
      <c r="K1497" s="249">
        <v>0</v>
      </c>
      <c r="L1497" s="90" t="s">
        <v>1780</v>
      </c>
      <c r="M1497" s="90">
        <v>327</v>
      </c>
      <c r="N1497" s="90">
        <v>-1</v>
      </c>
      <c r="O1497" s="90">
        <v>0</v>
      </c>
    </row>
    <row r="1498" spans="1:15" s="90" customFormat="1" ht="12.75" customHeight="1" x14ac:dyDescent="0.2">
      <c r="A1498" s="247" t="s">
        <v>989</v>
      </c>
      <c r="B1498" s="316">
        <v>3046</v>
      </c>
      <c r="C1498" s="247" t="s">
        <v>975</v>
      </c>
      <c r="D1498" s="317">
        <v>42659</v>
      </c>
      <c r="E1498" s="318">
        <v>0.14891203703703704</v>
      </c>
      <c r="F1498" s="247" t="s">
        <v>976</v>
      </c>
      <c r="G1498" s="247" t="s">
        <v>1035</v>
      </c>
      <c r="H1498" s="248" t="s">
        <v>404</v>
      </c>
      <c r="I1498" s="248" t="s">
        <v>404</v>
      </c>
      <c r="J1498" s="247" t="s">
        <v>809</v>
      </c>
      <c r="K1498" s="249">
        <v>0</v>
      </c>
      <c r="M1498" s="90">
        <v>0</v>
      </c>
      <c r="N1498" s="90">
        <v>0</v>
      </c>
      <c r="O1498" s="90">
        <v>255</v>
      </c>
    </row>
    <row r="1499" spans="1:15" s="90" customFormat="1" ht="12.75" customHeight="1" x14ac:dyDescent="0.2">
      <c r="A1499" s="247" t="s">
        <v>990</v>
      </c>
      <c r="B1499" s="316">
        <v>3046</v>
      </c>
      <c r="C1499" s="247" t="s">
        <v>975</v>
      </c>
      <c r="D1499" s="317">
        <v>42659</v>
      </c>
      <c r="E1499" s="318">
        <v>0.14916666666666667</v>
      </c>
      <c r="F1499" s="247" t="s">
        <v>976</v>
      </c>
      <c r="G1499" s="247" t="s">
        <v>1035</v>
      </c>
      <c r="H1499" s="248" t="s">
        <v>404</v>
      </c>
      <c r="I1499" s="248" t="s">
        <v>404</v>
      </c>
      <c r="J1499" s="247" t="s">
        <v>809</v>
      </c>
      <c r="K1499" s="249">
        <v>0</v>
      </c>
      <c r="M1499" s="90">
        <v>0</v>
      </c>
      <c r="N1499" s="90">
        <v>0</v>
      </c>
      <c r="O1499" s="90">
        <v>255</v>
      </c>
    </row>
    <row r="1500" spans="1:15" s="90" customFormat="1" ht="12.75" customHeight="1" x14ac:dyDescent="0.2">
      <c r="A1500" s="247" t="s">
        <v>993</v>
      </c>
      <c r="B1500" s="316">
        <v>3217</v>
      </c>
      <c r="C1500" s="247" t="s">
        <v>975</v>
      </c>
      <c r="D1500" s="317">
        <v>42659</v>
      </c>
      <c r="E1500" s="318">
        <v>0.14916666666666667</v>
      </c>
      <c r="F1500" s="247" t="s">
        <v>235</v>
      </c>
      <c r="G1500" s="247" t="s">
        <v>1035</v>
      </c>
      <c r="H1500" s="248" t="s">
        <v>234</v>
      </c>
      <c r="I1500" s="248" t="s">
        <v>235</v>
      </c>
      <c r="J1500" s="247" t="s">
        <v>809</v>
      </c>
      <c r="K1500" s="249">
        <v>0</v>
      </c>
      <c r="M1500" s="90">
        <v>0</v>
      </c>
      <c r="N1500" s="90">
        <v>0</v>
      </c>
      <c r="O1500" s="90">
        <v>255</v>
      </c>
    </row>
    <row r="1501" spans="1:15" s="90" customFormat="1" ht="12.75" customHeight="1" x14ac:dyDescent="0.2">
      <c r="A1501" s="247" t="s">
        <v>989</v>
      </c>
      <c r="B1501" s="316">
        <v>3046</v>
      </c>
      <c r="C1501" s="247" t="s">
        <v>975</v>
      </c>
      <c r="D1501" s="317">
        <v>42659</v>
      </c>
      <c r="E1501" s="318">
        <v>0.19083333333333333</v>
      </c>
      <c r="F1501" s="247" t="s">
        <v>976</v>
      </c>
      <c r="G1501" s="247" t="s">
        <v>1035</v>
      </c>
      <c r="H1501" s="248" t="s">
        <v>404</v>
      </c>
      <c r="I1501" s="248" t="s">
        <v>404</v>
      </c>
      <c r="J1501" s="247" t="s">
        <v>809</v>
      </c>
      <c r="K1501" s="249">
        <v>0</v>
      </c>
      <c r="M1501" s="90">
        <v>0</v>
      </c>
      <c r="N1501" s="90">
        <v>0</v>
      </c>
      <c r="O1501" s="90">
        <v>255</v>
      </c>
    </row>
    <row r="1502" spans="1:15" s="90" customFormat="1" ht="12.75" customHeight="1" x14ac:dyDescent="0.2">
      <c r="A1502" s="247" t="s">
        <v>990</v>
      </c>
      <c r="B1502" s="316">
        <v>3046</v>
      </c>
      <c r="C1502" s="247" t="s">
        <v>975</v>
      </c>
      <c r="D1502" s="317">
        <v>42659</v>
      </c>
      <c r="E1502" s="318">
        <v>0.19108796296296296</v>
      </c>
      <c r="F1502" s="247" t="s">
        <v>976</v>
      </c>
      <c r="G1502" s="247" t="s">
        <v>1035</v>
      </c>
      <c r="H1502" s="248" t="s">
        <v>404</v>
      </c>
      <c r="I1502" s="248" t="s">
        <v>404</v>
      </c>
      <c r="J1502" s="247" t="s">
        <v>809</v>
      </c>
      <c r="K1502" s="249">
        <v>0</v>
      </c>
      <c r="M1502" s="90">
        <v>0</v>
      </c>
      <c r="N1502" s="90">
        <v>0</v>
      </c>
      <c r="O1502" s="90">
        <v>255</v>
      </c>
    </row>
    <row r="1503" spans="1:15" s="90" customFormat="1" ht="12.75" customHeight="1" x14ac:dyDescent="0.2">
      <c r="A1503" s="247" t="s">
        <v>993</v>
      </c>
      <c r="B1503" s="316">
        <v>3217</v>
      </c>
      <c r="C1503" s="247" t="s">
        <v>975</v>
      </c>
      <c r="D1503" s="317">
        <v>42659</v>
      </c>
      <c r="E1503" s="318">
        <v>0.19108796296296296</v>
      </c>
      <c r="F1503" s="247" t="s">
        <v>235</v>
      </c>
      <c r="G1503" s="247" t="s">
        <v>1035</v>
      </c>
      <c r="H1503" s="248" t="s">
        <v>234</v>
      </c>
      <c r="I1503" s="248" t="s">
        <v>235</v>
      </c>
      <c r="J1503" s="247" t="s">
        <v>809</v>
      </c>
      <c r="K1503" s="249">
        <v>0</v>
      </c>
      <c r="M1503" s="90">
        <v>0</v>
      </c>
      <c r="N1503" s="90">
        <v>0</v>
      </c>
      <c r="O1503" s="90">
        <v>255</v>
      </c>
    </row>
    <row r="1504" spans="1:15" s="90" customFormat="1" ht="12.75" customHeight="1" x14ac:dyDescent="0.2">
      <c r="A1504" s="247" t="s">
        <v>989</v>
      </c>
      <c r="B1504" s="316">
        <v>3046</v>
      </c>
      <c r="C1504" s="247" t="s">
        <v>975</v>
      </c>
      <c r="D1504" s="317">
        <v>42659</v>
      </c>
      <c r="E1504" s="318">
        <v>0.23275462962962964</v>
      </c>
      <c r="F1504" s="247" t="s">
        <v>976</v>
      </c>
      <c r="G1504" s="247" t="s">
        <v>1035</v>
      </c>
      <c r="H1504" s="248" t="s">
        <v>404</v>
      </c>
      <c r="I1504" s="248" t="s">
        <v>404</v>
      </c>
      <c r="J1504" s="247" t="s">
        <v>809</v>
      </c>
      <c r="K1504" s="249">
        <v>0</v>
      </c>
      <c r="M1504" s="90">
        <v>0</v>
      </c>
      <c r="N1504" s="90">
        <v>0</v>
      </c>
      <c r="O1504" s="90">
        <v>255</v>
      </c>
    </row>
    <row r="1505" spans="1:15" s="90" customFormat="1" ht="12.75" customHeight="1" x14ac:dyDescent="0.2">
      <c r="A1505" s="247" t="s">
        <v>783</v>
      </c>
      <c r="B1505" s="316">
        <v>2015</v>
      </c>
      <c r="C1505" s="247" t="s">
        <v>979</v>
      </c>
      <c r="D1505" s="317">
        <v>42659</v>
      </c>
      <c r="E1505" s="318">
        <v>0.23291666666666666</v>
      </c>
      <c r="F1505" s="247" t="s">
        <v>702</v>
      </c>
      <c r="G1505" s="247" t="s">
        <v>1035</v>
      </c>
      <c r="H1505" s="248" t="s">
        <v>4</v>
      </c>
      <c r="I1505" s="248" t="s">
        <v>5</v>
      </c>
      <c r="J1505" s="247" t="s">
        <v>809</v>
      </c>
      <c r="K1505" s="249">
        <v>0</v>
      </c>
      <c r="L1505" s="90" t="s">
        <v>1780</v>
      </c>
      <c r="M1505" s="90">
        <v>338</v>
      </c>
      <c r="N1505" s="90">
        <v>-1</v>
      </c>
      <c r="O1505" s="90">
        <v>0</v>
      </c>
    </row>
    <row r="1506" spans="1:15" s="90" customFormat="1" ht="12.75" customHeight="1" x14ac:dyDescent="0.2">
      <c r="A1506" s="247" t="s">
        <v>998</v>
      </c>
      <c r="B1506" s="316">
        <v>3046</v>
      </c>
      <c r="C1506" s="247" t="s">
        <v>975</v>
      </c>
      <c r="D1506" s="317">
        <v>42659</v>
      </c>
      <c r="E1506" s="318">
        <v>0.23291666666666666</v>
      </c>
      <c r="F1506" s="247" t="s">
        <v>976</v>
      </c>
      <c r="G1506" s="247" t="s">
        <v>1035</v>
      </c>
      <c r="H1506" s="248" t="s">
        <v>404</v>
      </c>
      <c r="I1506" s="248" t="s">
        <v>404</v>
      </c>
      <c r="J1506" s="247" t="s">
        <v>809</v>
      </c>
      <c r="K1506" s="249">
        <v>0</v>
      </c>
      <c r="M1506" s="90">
        <v>0</v>
      </c>
      <c r="N1506" s="90">
        <v>0</v>
      </c>
      <c r="O1506" s="90">
        <v>255</v>
      </c>
    </row>
    <row r="1507" spans="1:15" s="90" customFormat="1" ht="12.75" customHeight="1" x14ac:dyDescent="0.2">
      <c r="A1507" s="247" t="s">
        <v>999</v>
      </c>
      <c r="B1507" s="316">
        <v>2086</v>
      </c>
      <c r="C1507" s="247" t="s">
        <v>979</v>
      </c>
      <c r="D1507" s="317">
        <v>42659</v>
      </c>
      <c r="E1507" s="318">
        <v>0.23300925925925928</v>
      </c>
      <c r="F1507" s="247" t="s">
        <v>235</v>
      </c>
      <c r="G1507" s="247" t="s">
        <v>1035</v>
      </c>
      <c r="H1507" s="248" t="s">
        <v>234</v>
      </c>
      <c r="I1507" s="248" t="s">
        <v>235</v>
      </c>
      <c r="J1507" s="247" t="s">
        <v>809</v>
      </c>
      <c r="K1507" s="249">
        <v>0</v>
      </c>
      <c r="M1507" s="90">
        <v>0</v>
      </c>
      <c r="N1507" s="90">
        <v>0</v>
      </c>
      <c r="O1507" s="90">
        <v>255</v>
      </c>
    </row>
    <row r="1508" spans="1:15" s="90" customFormat="1" ht="12.75" customHeight="1" x14ac:dyDescent="0.2">
      <c r="A1508" s="247" t="s">
        <v>994</v>
      </c>
      <c r="B1508" s="316">
        <v>2010</v>
      </c>
      <c r="C1508" s="247" t="s">
        <v>979</v>
      </c>
      <c r="D1508" s="317">
        <v>42660</v>
      </c>
      <c r="E1508" s="318">
        <v>0.43596064814814817</v>
      </c>
      <c r="F1508" s="247" t="s">
        <v>976</v>
      </c>
      <c r="G1508" s="247" t="s">
        <v>1035</v>
      </c>
      <c r="H1508" s="248" t="s">
        <v>863</v>
      </c>
      <c r="I1508" s="248" t="s">
        <v>319</v>
      </c>
      <c r="J1508" s="247" t="s">
        <v>809</v>
      </c>
      <c r="K1508" s="249">
        <v>0</v>
      </c>
      <c r="L1508" s="90" t="s">
        <v>1779</v>
      </c>
      <c r="M1508" s="90">
        <v>232</v>
      </c>
      <c r="N1508" s="90">
        <v>4</v>
      </c>
      <c r="O1508" s="90">
        <v>0</v>
      </c>
    </row>
    <row r="1509" spans="1:15" s="90" customFormat="1" ht="12.75" customHeight="1" x14ac:dyDescent="0.2">
      <c r="A1509" s="247" t="s">
        <v>1341</v>
      </c>
      <c r="B1509" s="316">
        <v>3046</v>
      </c>
      <c r="C1509" s="247" t="s">
        <v>975</v>
      </c>
      <c r="D1509" s="317">
        <v>42660</v>
      </c>
      <c r="E1509" s="318">
        <v>0.43596064814814817</v>
      </c>
      <c r="F1509" s="247" t="s">
        <v>976</v>
      </c>
      <c r="G1509" s="247" t="s">
        <v>1035</v>
      </c>
      <c r="H1509" s="248" t="s">
        <v>404</v>
      </c>
      <c r="I1509" s="248" t="s">
        <v>404</v>
      </c>
      <c r="J1509" s="247" t="s">
        <v>809</v>
      </c>
      <c r="K1509" s="249">
        <v>0</v>
      </c>
      <c r="M1509" s="90">
        <v>0</v>
      </c>
      <c r="N1509" s="90">
        <v>0</v>
      </c>
      <c r="O1509" s="90">
        <v>255</v>
      </c>
    </row>
    <row r="1510" spans="1:15" s="90" customFormat="1" ht="12.75" customHeight="1" x14ac:dyDescent="0.2">
      <c r="A1510" s="247" t="s">
        <v>977</v>
      </c>
      <c r="B1510" s="316">
        <v>3046</v>
      </c>
      <c r="C1510" s="247" t="s">
        <v>975</v>
      </c>
      <c r="D1510" s="317">
        <v>42660</v>
      </c>
      <c r="E1510" s="318">
        <v>0.59940972222222222</v>
      </c>
      <c r="F1510" s="247" t="s">
        <v>976</v>
      </c>
      <c r="G1510" s="247" t="s">
        <v>1035</v>
      </c>
      <c r="H1510" s="248" t="s">
        <v>404</v>
      </c>
      <c r="I1510" s="248" t="s">
        <v>404</v>
      </c>
      <c r="J1510" s="247" t="s">
        <v>809</v>
      </c>
      <c r="K1510" s="249">
        <v>0</v>
      </c>
      <c r="M1510" s="90">
        <v>0</v>
      </c>
      <c r="N1510" s="90">
        <v>0</v>
      </c>
      <c r="O1510" s="90">
        <v>255</v>
      </c>
    </row>
    <row r="1511" spans="1:15" s="90" customFormat="1" ht="12.75" customHeight="1" x14ac:dyDescent="0.2">
      <c r="A1511" s="247" t="s">
        <v>983</v>
      </c>
      <c r="B1511" s="316">
        <v>3046</v>
      </c>
      <c r="C1511" s="247" t="s">
        <v>975</v>
      </c>
      <c r="D1511" s="317">
        <v>42660</v>
      </c>
      <c r="E1511" s="318">
        <v>0.59996527777777775</v>
      </c>
      <c r="F1511" s="247" t="s">
        <v>976</v>
      </c>
      <c r="G1511" s="247" t="s">
        <v>1035</v>
      </c>
      <c r="H1511" s="248" t="s">
        <v>404</v>
      </c>
      <c r="I1511" s="248" t="s">
        <v>404</v>
      </c>
      <c r="J1511" s="247" t="s">
        <v>809</v>
      </c>
      <c r="K1511" s="249">
        <v>0</v>
      </c>
      <c r="M1511" s="90">
        <v>0</v>
      </c>
      <c r="N1511" s="90">
        <v>0</v>
      </c>
      <c r="O1511" s="90">
        <v>255</v>
      </c>
    </row>
    <row r="1512" spans="1:15" s="90" customFormat="1" ht="12.75" customHeight="1" x14ac:dyDescent="0.2">
      <c r="A1512" s="247" t="s">
        <v>991</v>
      </c>
      <c r="B1512" s="316">
        <v>3046</v>
      </c>
      <c r="C1512" s="247" t="s">
        <v>975</v>
      </c>
      <c r="D1512" s="317">
        <v>42660</v>
      </c>
      <c r="E1512" s="318">
        <v>0.60008101851851847</v>
      </c>
      <c r="F1512" s="247" t="s">
        <v>976</v>
      </c>
      <c r="G1512" s="247" t="s">
        <v>1035</v>
      </c>
      <c r="H1512" s="248" t="s">
        <v>404</v>
      </c>
      <c r="I1512" s="248" t="s">
        <v>404</v>
      </c>
      <c r="J1512" s="247" t="s">
        <v>809</v>
      </c>
      <c r="K1512" s="249">
        <v>0</v>
      </c>
      <c r="M1512" s="90">
        <v>0</v>
      </c>
      <c r="N1512" s="90">
        <v>0</v>
      </c>
      <c r="O1512" s="90">
        <v>255</v>
      </c>
    </row>
    <row r="1513" spans="1:15" s="90" customFormat="1" ht="12.75" customHeight="1" x14ac:dyDescent="0.2">
      <c r="A1513" s="247" t="s">
        <v>992</v>
      </c>
      <c r="B1513" s="316">
        <v>3046</v>
      </c>
      <c r="C1513" s="247" t="s">
        <v>975</v>
      </c>
      <c r="D1513" s="317">
        <v>42660</v>
      </c>
      <c r="E1513" s="318">
        <v>0.60133101851851845</v>
      </c>
      <c r="F1513" s="247" t="s">
        <v>976</v>
      </c>
      <c r="G1513" s="247" t="s">
        <v>1035</v>
      </c>
      <c r="H1513" s="248" t="s">
        <v>404</v>
      </c>
      <c r="I1513" s="248" t="s">
        <v>404</v>
      </c>
      <c r="J1513" s="247" t="s">
        <v>809</v>
      </c>
      <c r="K1513" s="249">
        <v>0</v>
      </c>
      <c r="M1513" s="90">
        <v>0</v>
      </c>
      <c r="N1513" s="90">
        <v>0</v>
      </c>
      <c r="O1513" s="90">
        <v>255</v>
      </c>
    </row>
    <row r="1514" spans="1:15" s="90" customFormat="1" ht="12.75" customHeight="1" x14ac:dyDescent="0.2">
      <c r="A1514" s="247" t="s">
        <v>988</v>
      </c>
      <c r="B1514" s="316">
        <v>3046</v>
      </c>
      <c r="C1514" s="247" t="s">
        <v>975</v>
      </c>
      <c r="D1514" s="317">
        <v>42660</v>
      </c>
      <c r="E1514" s="318">
        <v>0.61009259259259252</v>
      </c>
      <c r="F1514" s="247" t="s">
        <v>976</v>
      </c>
      <c r="G1514" s="247" t="s">
        <v>1035</v>
      </c>
      <c r="H1514" s="248" t="s">
        <v>404</v>
      </c>
      <c r="I1514" s="248" t="s">
        <v>404</v>
      </c>
      <c r="J1514" s="247" t="s">
        <v>809</v>
      </c>
      <c r="K1514" s="249">
        <v>0</v>
      </c>
      <c r="M1514" s="90">
        <v>0</v>
      </c>
      <c r="N1514" s="90">
        <v>0</v>
      </c>
      <c r="O1514" s="90">
        <v>255</v>
      </c>
    </row>
    <row r="1515" spans="1:15" s="90" customFormat="1" ht="12.75" customHeight="1" x14ac:dyDescent="0.2">
      <c r="A1515" s="247" t="s">
        <v>989</v>
      </c>
      <c r="B1515" s="316">
        <v>3046</v>
      </c>
      <c r="C1515" s="247" t="s">
        <v>975</v>
      </c>
      <c r="D1515" s="317">
        <v>42660</v>
      </c>
      <c r="E1515" s="318">
        <v>0.61009259259259252</v>
      </c>
      <c r="F1515" s="247" t="s">
        <v>976</v>
      </c>
      <c r="G1515" s="247" t="s">
        <v>1035</v>
      </c>
      <c r="H1515" s="248" t="s">
        <v>404</v>
      </c>
      <c r="I1515" s="248" t="s">
        <v>404</v>
      </c>
      <c r="J1515" s="247" t="s">
        <v>809</v>
      </c>
      <c r="K1515" s="249">
        <v>0</v>
      </c>
      <c r="M1515" s="90">
        <v>0</v>
      </c>
      <c r="N1515" s="90">
        <v>0</v>
      </c>
      <c r="O1515" s="90">
        <v>255</v>
      </c>
    </row>
    <row r="1516" spans="1:15" s="90" customFormat="1" ht="12.75" customHeight="1" x14ac:dyDescent="0.2">
      <c r="A1516" s="247" t="s">
        <v>993</v>
      </c>
      <c r="B1516" s="316">
        <v>3217</v>
      </c>
      <c r="C1516" s="247" t="s">
        <v>975</v>
      </c>
      <c r="D1516" s="317">
        <v>42660</v>
      </c>
      <c r="E1516" s="318">
        <v>0.6111805555555555</v>
      </c>
      <c r="F1516" s="247" t="s">
        <v>235</v>
      </c>
      <c r="G1516" s="247" t="s">
        <v>1035</v>
      </c>
      <c r="H1516" s="248" t="s">
        <v>234</v>
      </c>
      <c r="I1516" s="248" t="s">
        <v>235</v>
      </c>
      <c r="J1516" s="247" t="s">
        <v>809</v>
      </c>
      <c r="K1516" s="249">
        <v>0</v>
      </c>
      <c r="M1516" s="90">
        <v>0</v>
      </c>
      <c r="N1516" s="90">
        <v>0</v>
      </c>
      <c r="O1516" s="90">
        <v>255</v>
      </c>
    </row>
    <row r="1517" spans="1:15" s="90" customFormat="1" ht="12.75" customHeight="1" x14ac:dyDescent="0.2">
      <c r="A1517" s="247" t="s">
        <v>990</v>
      </c>
      <c r="B1517" s="316">
        <v>3046</v>
      </c>
      <c r="C1517" s="247" t="s">
        <v>975</v>
      </c>
      <c r="D1517" s="317">
        <v>42660</v>
      </c>
      <c r="E1517" s="318">
        <v>0.61119212962962965</v>
      </c>
      <c r="F1517" s="247" t="s">
        <v>976</v>
      </c>
      <c r="G1517" s="247" t="s">
        <v>1035</v>
      </c>
      <c r="H1517" s="248" t="s">
        <v>404</v>
      </c>
      <c r="I1517" s="248" t="s">
        <v>404</v>
      </c>
      <c r="J1517" s="247" t="s">
        <v>809</v>
      </c>
      <c r="K1517" s="249">
        <v>0</v>
      </c>
      <c r="M1517" s="90">
        <v>0</v>
      </c>
      <c r="N1517" s="90">
        <v>0</v>
      </c>
      <c r="O1517" s="90">
        <v>255</v>
      </c>
    </row>
    <row r="1518" spans="1:15" s="90" customFormat="1" ht="12.75" customHeight="1" x14ac:dyDescent="0.2">
      <c r="A1518" s="247" t="s">
        <v>989</v>
      </c>
      <c r="B1518" s="316">
        <v>3046</v>
      </c>
      <c r="C1518" s="247" t="s">
        <v>975</v>
      </c>
      <c r="D1518" s="317">
        <v>42660</v>
      </c>
      <c r="E1518" s="318">
        <v>0.65285879629629628</v>
      </c>
      <c r="F1518" s="247" t="s">
        <v>976</v>
      </c>
      <c r="G1518" s="247" t="s">
        <v>1035</v>
      </c>
      <c r="H1518" s="248" t="s">
        <v>404</v>
      </c>
      <c r="I1518" s="248" t="s">
        <v>404</v>
      </c>
      <c r="J1518" s="247" t="s">
        <v>809</v>
      </c>
      <c r="K1518" s="249">
        <v>0</v>
      </c>
      <c r="M1518" s="90">
        <v>0</v>
      </c>
      <c r="N1518" s="90">
        <v>0</v>
      </c>
      <c r="O1518" s="90">
        <v>255</v>
      </c>
    </row>
    <row r="1519" spans="1:15" s="90" customFormat="1" ht="12.75" customHeight="1" x14ac:dyDescent="0.2">
      <c r="A1519" s="247" t="s">
        <v>990</v>
      </c>
      <c r="B1519" s="316">
        <v>3046</v>
      </c>
      <c r="C1519" s="247" t="s">
        <v>975</v>
      </c>
      <c r="D1519" s="317">
        <v>42660</v>
      </c>
      <c r="E1519" s="318">
        <v>0.65310185185185188</v>
      </c>
      <c r="F1519" s="247" t="s">
        <v>976</v>
      </c>
      <c r="G1519" s="247" t="s">
        <v>1035</v>
      </c>
      <c r="H1519" s="248" t="s">
        <v>404</v>
      </c>
      <c r="I1519" s="248" t="s">
        <v>404</v>
      </c>
      <c r="J1519" s="247" t="s">
        <v>809</v>
      </c>
      <c r="K1519" s="249">
        <v>0</v>
      </c>
      <c r="M1519" s="90">
        <v>0</v>
      </c>
      <c r="N1519" s="90">
        <v>0</v>
      </c>
      <c r="O1519" s="90">
        <v>255</v>
      </c>
    </row>
    <row r="1520" spans="1:15" s="90" customFormat="1" ht="12.75" customHeight="1" x14ac:dyDescent="0.2">
      <c r="A1520" s="247" t="s">
        <v>993</v>
      </c>
      <c r="B1520" s="316">
        <v>3217</v>
      </c>
      <c r="C1520" s="247" t="s">
        <v>975</v>
      </c>
      <c r="D1520" s="317">
        <v>42660</v>
      </c>
      <c r="E1520" s="318">
        <v>0.65310185185185188</v>
      </c>
      <c r="F1520" s="247" t="s">
        <v>235</v>
      </c>
      <c r="G1520" s="247" t="s">
        <v>1035</v>
      </c>
      <c r="H1520" s="248" t="s">
        <v>234</v>
      </c>
      <c r="I1520" s="248" t="s">
        <v>235</v>
      </c>
      <c r="J1520" s="247" t="s">
        <v>809</v>
      </c>
      <c r="K1520" s="249">
        <v>0</v>
      </c>
      <c r="M1520" s="90">
        <v>0</v>
      </c>
      <c r="N1520" s="90">
        <v>0</v>
      </c>
      <c r="O1520" s="90">
        <v>255</v>
      </c>
    </row>
    <row r="1521" spans="1:15" s="90" customFormat="1" ht="12.75" customHeight="1" x14ac:dyDescent="0.2">
      <c r="A1521" s="247" t="s">
        <v>989</v>
      </c>
      <c r="B1521" s="316">
        <v>3046</v>
      </c>
      <c r="C1521" s="247" t="s">
        <v>975</v>
      </c>
      <c r="D1521" s="317">
        <v>42660</v>
      </c>
      <c r="E1521" s="318">
        <v>0.69478009259259255</v>
      </c>
      <c r="F1521" s="247" t="s">
        <v>976</v>
      </c>
      <c r="G1521" s="247" t="s">
        <v>1035</v>
      </c>
      <c r="H1521" s="248" t="s">
        <v>404</v>
      </c>
      <c r="I1521" s="248" t="s">
        <v>404</v>
      </c>
      <c r="J1521" s="247" t="s">
        <v>809</v>
      </c>
      <c r="K1521" s="249">
        <v>0</v>
      </c>
      <c r="M1521" s="90">
        <v>0</v>
      </c>
      <c r="N1521" s="90">
        <v>0</v>
      </c>
      <c r="O1521" s="90">
        <v>255</v>
      </c>
    </row>
    <row r="1522" spans="1:15" s="90" customFormat="1" ht="12.75" customHeight="1" x14ac:dyDescent="0.2">
      <c r="A1522" s="247" t="s">
        <v>990</v>
      </c>
      <c r="B1522" s="316">
        <v>3046</v>
      </c>
      <c r="C1522" s="247" t="s">
        <v>975</v>
      </c>
      <c r="D1522" s="317">
        <v>42660</v>
      </c>
      <c r="E1522" s="318">
        <v>0.69502314814814825</v>
      </c>
      <c r="F1522" s="247" t="s">
        <v>976</v>
      </c>
      <c r="G1522" s="247" t="s">
        <v>1035</v>
      </c>
      <c r="H1522" s="248" t="s">
        <v>404</v>
      </c>
      <c r="I1522" s="248" t="s">
        <v>404</v>
      </c>
      <c r="J1522" s="247" t="s">
        <v>809</v>
      </c>
      <c r="K1522" s="249">
        <v>0</v>
      </c>
      <c r="M1522" s="90">
        <v>0</v>
      </c>
      <c r="N1522" s="90">
        <v>0</v>
      </c>
      <c r="O1522" s="90">
        <v>255</v>
      </c>
    </row>
    <row r="1523" spans="1:15" s="90" customFormat="1" ht="12.75" customHeight="1" x14ac:dyDescent="0.2">
      <c r="A1523" s="247" t="s">
        <v>993</v>
      </c>
      <c r="B1523" s="316">
        <v>3217</v>
      </c>
      <c r="C1523" s="247" t="s">
        <v>975</v>
      </c>
      <c r="D1523" s="317">
        <v>42660</v>
      </c>
      <c r="E1523" s="318">
        <v>0.69502314814814825</v>
      </c>
      <c r="F1523" s="247" t="s">
        <v>235</v>
      </c>
      <c r="G1523" s="247" t="s">
        <v>1035</v>
      </c>
      <c r="H1523" s="248" t="s">
        <v>234</v>
      </c>
      <c r="I1523" s="248" t="s">
        <v>235</v>
      </c>
      <c r="J1523" s="247" t="s">
        <v>809</v>
      </c>
      <c r="K1523" s="249">
        <v>0</v>
      </c>
      <c r="M1523" s="90">
        <v>0</v>
      </c>
      <c r="N1523" s="90">
        <v>0</v>
      </c>
      <c r="O1523" s="90">
        <v>255</v>
      </c>
    </row>
    <row r="1524" spans="1:15" s="90" customFormat="1" ht="12.75" customHeight="1" x14ac:dyDescent="0.2">
      <c r="A1524" s="247" t="s">
        <v>989</v>
      </c>
      <c r="B1524" s="316">
        <v>3046</v>
      </c>
      <c r="C1524" s="247" t="s">
        <v>975</v>
      </c>
      <c r="D1524" s="317">
        <v>42660</v>
      </c>
      <c r="E1524" s="318">
        <v>0.73670138888888881</v>
      </c>
      <c r="F1524" s="247" t="s">
        <v>976</v>
      </c>
      <c r="G1524" s="247" t="s">
        <v>1035</v>
      </c>
      <c r="H1524" s="248" t="s">
        <v>404</v>
      </c>
      <c r="I1524" s="248" t="s">
        <v>404</v>
      </c>
      <c r="J1524" s="247" t="s">
        <v>809</v>
      </c>
      <c r="K1524" s="249">
        <v>0</v>
      </c>
      <c r="M1524" s="90">
        <v>0</v>
      </c>
      <c r="N1524" s="90">
        <v>0</v>
      </c>
      <c r="O1524" s="90">
        <v>255</v>
      </c>
    </row>
    <row r="1525" spans="1:15" s="90" customFormat="1" ht="12.75" customHeight="1" x14ac:dyDescent="0.2">
      <c r="A1525" s="247" t="s">
        <v>990</v>
      </c>
      <c r="B1525" s="316">
        <v>3046</v>
      </c>
      <c r="C1525" s="247" t="s">
        <v>975</v>
      </c>
      <c r="D1525" s="317">
        <v>42660</v>
      </c>
      <c r="E1525" s="318">
        <v>0.73694444444444451</v>
      </c>
      <c r="F1525" s="247" t="s">
        <v>976</v>
      </c>
      <c r="G1525" s="247" t="s">
        <v>1035</v>
      </c>
      <c r="H1525" s="248" t="s">
        <v>404</v>
      </c>
      <c r="I1525" s="248" t="s">
        <v>404</v>
      </c>
      <c r="J1525" s="247" t="s">
        <v>809</v>
      </c>
      <c r="K1525" s="249">
        <v>0</v>
      </c>
      <c r="M1525" s="90">
        <v>0</v>
      </c>
      <c r="N1525" s="90">
        <v>0</v>
      </c>
      <c r="O1525" s="90">
        <v>255</v>
      </c>
    </row>
    <row r="1526" spans="1:15" s="90" customFormat="1" ht="12.75" customHeight="1" x14ac:dyDescent="0.2">
      <c r="A1526" s="247" t="s">
        <v>993</v>
      </c>
      <c r="B1526" s="316">
        <v>3217</v>
      </c>
      <c r="C1526" s="247" t="s">
        <v>975</v>
      </c>
      <c r="D1526" s="317">
        <v>42660</v>
      </c>
      <c r="E1526" s="318">
        <v>0.73694444444444451</v>
      </c>
      <c r="F1526" s="247" t="s">
        <v>235</v>
      </c>
      <c r="G1526" s="247" t="s">
        <v>1035</v>
      </c>
      <c r="H1526" s="248" t="s">
        <v>234</v>
      </c>
      <c r="I1526" s="248" t="s">
        <v>235</v>
      </c>
      <c r="J1526" s="247" t="s">
        <v>809</v>
      </c>
      <c r="K1526" s="249">
        <v>0</v>
      </c>
      <c r="M1526" s="90">
        <v>0</v>
      </c>
      <c r="N1526" s="90">
        <v>0</v>
      </c>
      <c r="O1526" s="90">
        <v>255</v>
      </c>
    </row>
    <row r="1527" spans="1:15" s="90" customFormat="1" ht="12.75" customHeight="1" x14ac:dyDescent="0.2">
      <c r="A1527" s="247" t="s">
        <v>989</v>
      </c>
      <c r="B1527" s="316">
        <v>3046</v>
      </c>
      <c r="C1527" s="247" t="s">
        <v>975</v>
      </c>
      <c r="D1527" s="317">
        <v>42660</v>
      </c>
      <c r="E1527" s="318">
        <v>0.77862268518518529</v>
      </c>
      <c r="F1527" s="247" t="s">
        <v>976</v>
      </c>
      <c r="G1527" s="247" t="s">
        <v>1035</v>
      </c>
      <c r="H1527" s="248" t="s">
        <v>404</v>
      </c>
      <c r="I1527" s="248" t="s">
        <v>404</v>
      </c>
      <c r="J1527" s="247" t="s">
        <v>809</v>
      </c>
      <c r="K1527" s="249">
        <v>0</v>
      </c>
      <c r="M1527" s="90">
        <v>0</v>
      </c>
      <c r="N1527" s="90">
        <v>0</v>
      </c>
      <c r="O1527" s="90">
        <v>255</v>
      </c>
    </row>
    <row r="1528" spans="1:15" s="90" customFormat="1" ht="12.75" customHeight="1" x14ac:dyDescent="0.2">
      <c r="A1528" s="247" t="s">
        <v>990</v>
      </c>
      <c r="B1528" s="316">
        <v>3046</v>
      </c>
      <c r="C1528" s="247" t="s">
        <v>975</v>
      </c>
      <c r="D1528" s="317">
        <v>42660</v>
      </c>
      <c r="E1528" s="318">
        <v>0.77886574074074078</v>
      </c>
      <c r="F1528" s="247" t="s">
        <v>976</v>
      </c>
      <c r="G1528" s="247" t="s">
        <v>1035</v>
      </c>
      <c r="H1528" s="248" t="s">
        <v>404</v>
      </c>
      <c r="I1528" s="248" t="s">
        <v>404</v>
      </c>
      <c r="J1528" s="247" t="s">
        <v>809</v>
      </c>
      <c r="K1528" s="249">
        <v>0</v>
      </c>
      <c r="M1528" s="90">
        <v>0</v>
      </c>
      <c r="N1528" s="90">
        <v>0</v>
      </c>
      <c r="O1528" s="90">
        <v>255</v>
      </c>
    </row>
    <row r="1529" spans="1:15" s="90" customFormat="1" ht="12.75" customHeight="1" x14ac:dyDescent="0.2">
      <c r="A1529" s="247" t="s">
        <v>993</v>
      </c>
      <c r="B1529" s="316">
        <v>3217</v>
      </c>
      <c r="C1529" s="247" t="s">
        <v>975</v>
      </c>
      <c r="D1529" s="317">
        <v>42660</v>
      </c>
      <c r="E1529" s="318">
        <v>0.77886574074074078</v>
      </c>
      <c r="F1529" s="247" t="s">
        <v>235</v>
      </c>
      <c r="G1529" s="247" t="s">
        <v>1035</v>
      </c>
      <c r="H1529" s="248" t="s">
        <v>234</v>
      </c>
      <c r="I1529" s="248" t="s">
        <v>235</v>
      </c>
      <c r="J1529" s="247" t="s">
        <v>809</v>
      </c>
      <c r="K1529" s="249">
        <v>0</v>
      </c>
      <c r="M1529" s="90">
        <v>0</v>
      </c>
      <c r="N1529" s="90">
        <v>0</v>
      </c>
      <c r="O1529" s="90">
        <v>255</v>
      </c>
    </row>
    <row r="1530" spans="1:15" s="90" customFormat="1" ht="12.75" customHeight="1" x14ac:dyDescent="0.2">
      <c r="A1530" s="247" t="s">
        <v>989</v>
      </c>
      <c r="B1530" s="316">
        <v>3046</v>
      </c>
      <c r="C1530" s="247" t="s">
        <v>975</v>
      </c>
      <c r="D1530" s="317">
        <v>42660</v>
      </c>
      <c r="E1530" s="318">
        <v>0.82054398148148155</v>
      </c>
      <c r="F1530" s="247" t="s">
        <v>976</v>
      </c>
      <c r="G1530" s="247" t="s">
        <v>1035</v>
      </c>
      <c r="H1530" s="248" t="s">
        <v>404</v>
      </c>
      <c r="I1530" s="248" t="s">
        <v>404</v>
      </c>
      <c r="J1530" s="247" t="s">
        <v>809</v>
      </c>
      <c r="K1530" s="249">
        <v>0</v>
      </c>
      <c r="M1530" s="90">
        <v>0</v>
      </c>
      <c r="N1530" s="90">
        <v>0</v>
      </c>
      <c r="O1530" s="90">
        <v>255</v>
      </c>
    </row>
    <row r="1531" spans="1:15" s="90" customFormat="1" ht="12.75" customHeight="1" x14ac:dyDescent="0.2">
      <c r="A1531" s="247" t="s">
        <v>990</v>
      </c>
      <c r="B1531" s="316">
        <v>3046</v>
      </c>
      <c r="C1531" s="247" t="s">
        <v>975</v>
      </c>
      <c r="D1531" s="317">
        <v>42660</v>
      </c>
      <c r="E1531" s="318">
        <v>0.82078703703703704</v>
      </c>
      <c r="F1531" s="247" t="s">
        <v>976</v>
      </c>
      <c r="G1531" s="247" t="s">
        <v>1035</v>
      </c>
      <c r="H1531" s="248" t="s">
        <v>404</v>
      </c>
      <c r="I1531" s="248" t="s">
        <v>404</v>
      </c>
      <c r="J1531" s="247" t="s">
        <v>809</v>
      </c>
      <c r="K1531" s="249">
        <v>0</v>
      </c>
      <c r="M1531" s="90">
        <v>0</v>
      </c>
      <c r="N1531" s="90">
        <v>0</v>
      </c>
      <c r="O1531" s="90">
        <v>255</v>
      </c>
    </row>
    <row r="1532" spans="1:15" s="90" customFormat="1" ht="12.75" customHeight="1" x14ac:dyDescent="0.2">
      <c r="A1532" s="247" t="s">
        <v>993</v>
      </c>
      <c r="B1532" s="316">
        <v>3217</v>
      </c>
      <c r="C1532" s="247" t="s">
        <v>975</v>
      </c>
      <c r="D1532" s="317">
        <v>42660</v>
      </c>
      <c r="E1532" s="318">
        <v>0.82078703703703704</v>
      </c>
      <c r="F1532" s="247" t="s">
        <v>235</v>
      </c>
      <c r="G1532" s="247" t="s">
        <v>1035</v>
      </c>
      <c r="H1532" s="248" t="s">
        <v>234</v>
      </c>
      <c r="I1532" s="248" t="s">
        <v>235</v>
      </c>
      <c r="J1532" s="247" t="s">
        <v>809</v>
      </c>
      <c r="K1532" s="249">
        <v>0</v>
      </c>
      <c r="M1532" s="90">
        <v>0</v>
      </c>
      <c r="N1532" s="90">
        <v>0</v>
      </c>
      <c r="O1532" s="90">
        <v>255</v>
      </c>
    </row>
    <row r="1533" spans="1:15" s="90" customFormat="1" ht="12.75" customHeight="1" x14ac:dyDescent="0.2">
      <c r="A1533" s="247" t="s">
        <v>989</v>
      </c>
      <c r="B1533" s="316">
        <v>3046</v>
      </c>
      <c r="C1533" s="247" t="s">
        <v>975</v>
      </c>
      <c r="D1533" s="317">
        <v>42660</v>
      </c>
      <c r="E1533" s="318">
        <v>0.86246527777777782</v>
      </c>
      <c r="F1533" s="247" t="s">
        <v>976</v>
      </c>
      <c r="G1533" s="247" t="s">
        <v>1035</v>
      </c>
      <c r="H1533" s="248" t="s">
        <v>404</v>
      </c>
      <c r="I1533" s="248" t="s">
        <v>404</v>
      </c>
      <c r="J1533" s="247" t="s">
        <v>809</v>
      </c>
      <c r="K1533" s="249">
        <v>0</v>
      </c>
      <c r="M1533" s="90">
        <v>0</v>
      </c>
      <c r="N1533" s="90">
        <v>0</v>
      </c>
      <c r="O1533" s="90">
        <v>255</v>
      </c>
    </row>
    <row r="1534" spans="1:15" s="90" customFormat="1" ht="12.75" customHeight="1" x14ac:dyDescent="0.2">
      <c r="A1534" s="247" t="s">
        <v>990</v>
      </c>
      <c r="B1534" s="316">
        <v>3046</v>
      </c>
      <c r="C1534" s="247" t="s">
        <v>975</v>
      </c>
      <c r="D1534" s="317">
        <v>42660</v>
      </c>
      <c r="E1534" s="318">
        <v>0.8627083333333333</v>
      </c>
      <c r="F1534" s="247" t="s">
        <v>976</v>
      </c>
      <c r="G1534" s="247" t="s">
        <v>1035</v>
      </c>
      <c r="H1534" s="248" t="s">
        <v>404</v>
      </c>
      <c r="I1534" s="248" t="s">
        <v>404</v>
      </c>
      <c r="J1534" s="247" t="s">
        <v>809</v>
      </c>
      <c r="K1534" s="249">
        <v>0</v>
      </c>
      <c r="M1534" s="90">
        <v>0</v>
      </c>
      <c r="N1534" s="90">
        <v>0</v>
      </c>
      <c r="O1534" s="90">
        <v>255</v>
      </c>
    </row>
    <row r="1535" spans="1:15" s="90" customFormat="1" ht="12.75" customHeight="1" x14ac:dyDescent="0.2">
      <c r="A1535" s="247" t="s">
        <v>993</v>
      </c>
      <c r="B1535" s="316">
        <v>3217</v>
      </c>
      <c r="C1535" s="247" t="s">
        <v>975</v>
      </c>
      <c r="D1535" s="317">
        <v>42660</v>
      </c>
      <c r="E1535" s="318">
        <v>0.8627083333333333</v>
      </c>
      <c r="F1535" s="247" t="s">
        <v>235</v>
      </c>
      <c r="G1535" s="247" t="s">
        <v>1035</v>
      </c>
      <c r="H1535" s="248" t="s">
        <v>234</v>
      </c>
      <c r="I1535" s="248" t="s">
        <v>235</v>
      </c>
      <c r="J1535" s="247" t="s">
        <v>809</v>
      </c>
      <c r="K1535" s="249">
        <v>0</v>
      </c>
      <c r="M1535" s="90">
        <v>0</v>
      </c>
      <c r="N1535" s="90">
        <v>0</v>
      </c>
      <c r="O1535" s="90">
        <v>255</v>
      </c>
    </row>
    <row r="1536" spans="1:15" s="90" customFormat="1" ht="12.75" customHeight="1" x14ac:dyDescent="0.2">
      <c r="A1536" s="247" t="s">
        <v>989</v>
      </c>
      <c r="B1536" s="316">
        <v>3046</v>
      </c>
      <c r="C1536" s="247" t="s">
        <v>975</v>
      </c>
      <c r="D1536" s="317">
        <v>42660</v>
      </c>
      <c r="E1536" s="318">
        <v>0.90438657407407408</v>
      </c>
      <c r="F1536" s="247" t="s">
        <v>976</v>
      </c>
      <c r="G1536" s="247" t="s">
        <v>1035</v>
      </c>
      <c r="H1536" s="248" t="s">
        <v>404</v>
      </c>
      <c r="I1536" s="248" t="s">
        <v>404</v>
      </c>
      <c r="J1536" s="247" t="s">
        <v>809</v>
      </c>
      <c r="K1536" s="249">
        <v>0</v>
      </c>
      <c r="M1536" s="90">
        <v>0</v>
      </c>
      <c r="N1536" s="90">
        <v>0</v>
      </c>
      <c r="O1536" s="90">
        <v>255</v>
      </c>
    </row>
    <row r="1537" spans="1:15" s="90" customFormat="1" ht="12.75" customHeight="1" x14ac:dyDescent="0.2">
      <c r="A1537" s="247" t="s">
        <v>990</v>
      </c>
      <c r="B1537" s="316">
        <v>3046</v>
      </c>
      <c r="C1537" s="247" t="s">
        <v>975</v>
      </c>
      <c r="D1537" s="317">
        <v>42660</v>
      </c>
      <c r="E1537" s="318">
        <v>0.90462962962962967</v>
      </c>
      <c r="F1537" s="247" t="s">
        <v>976</v>
      </c>
      <c r="G1537" s="247" t="s">
        <v>1035</v>
      </c>
      <c r="H1537" s="248" t="s">
        <v>404</v>
      </c>
      <c r="I1537" s="248" t="s">
        <v>404</v>
      </c>
      <c r="J1537" s="247" t="s">
        <v>809</v>
      </c>
      <c r="K1537" s="249">
        <v>0</v>
      </c>
      <c r="M1537" s="90">
        <v>0</v>
      </c>
      <c r="N1537" s="90">
        <v>0</v>
      </c>
      <c r="O1537" s="90">
        <v>255</v>
      </c>
    </row>
    <row r="1538" spans="1:15" s="90" customFormat="1" ht="12.75" customHeight="1" x14ac:dyDescent="0.2">
      <c r="A1538" s="247" t="s">
        <v>993</v>
      </c>
      <c r="B1538" s="316">
        <v>3217</v>
      </c>
      <c r="C1538" s="247" t="s">
        <v>975</v>
      </c>
      <c r="D1538" s="317">
        <v>42660</v>
      </c>
      <c r="E1538" s="318">
        <v>0.90462962962962967</v>
      </c>
      <c r="F1538" s="247" t="s">
        <v>235</v>
      </c>
      <c r="G1538" s="247" t="s">
        <v>1035</v>
      </c>
      <c r="H1538" s="248" t="s">
        <v>234</v>
      </c>
      <c r="I1538" s="248" t="s">
        <v>235</v>
      </c>
      <c r="J1538" s="247" t="s">
        <v>809</v>
      </c>
      <c r="K1538" s="249">
        <v>0</v>
      </c>
      <c r="M1538" s="90">
        <v>0</v>
      </c>
      <c r="N1538" s="90">
        <v>0</v>
      </c>
      <c r="O1538" s="90">
        <v>255</v>
      </c>
    </row>
    <row r="1539" spans="1:15" s="90" customFormat="1" ht="12.75" customHeight="1" x14ac:dyDescent="0.2">
      <c r="A1539" s="247" t="s">
        <v>989</v>
      </c>
      <c r="B1539" s="316">
        <v>3046</v>
      </c>
      <c r="C1539" s="247" t="s">
        <v>975</v>
      </c>
      <c r="D1539" s="317">
        <v>42660</v>
      </c>
      <c r="E1539" s="318">
        <v>0.9462962962962963</v>
      </c>
      <c r="F1539" s="247" t="s">
        <v>976</v>
      </c>
      <c r="G1539" s="247" t="s">
        <v>1035</v>
      </c>
      <c r="H1539" s="248" t="s">
        <v>404</v>
      </c>
      <c r="I1539" s="248" t="s">
        <v>404</v>
      </c>
      <c r="J1539" s="247" t="s">
        <v>809</v>
      </c>
      <c r="K1539" s="249">
        <v>0</v>
      </c>
      <c r="M1539" s="90">
        <v>0</v>
      </c>
      <c r="N1539" s="90">
        <v>0</v>
      </c>
      <c r="O1539" s="90">
        <v>255</v>
      </c>
    </row>
    <row r="1540" spans="1:15" s="90" customFormat="1" ht="12.75" customHeight="1" x14ac:dyDescent="0.2">
      <c r="A1540" s="247" t="s">
        <v>990</v>
      </c>
      <c r="B1540" s="316">
        <v>3046</v>
      </c>
      <c r="C1540" s="247" t="s">
        <v>975</v>
      </c>
      <c r="D1540" s="317">
        <v>42660</v>
      </c>
      <c r="E1540" s="318">
        <v>0.94655092592592593</v>
      </c>
      <c r="F1540" s="247" t="s">
        <v>976</v>
      </c>
      <c r="G1540" s="247" t="s">
        <v>1035</v>
      </c>
      <c r="H1540" s="248" t="s">
        <v>404</v>
      </c>
      <c r="I1540" s="248" t="s">
        <v>404</v>
      </c>
      <c r="J1540" s="247" t="s">
        <v>809</v>
      </c>
      <c r="K1540" s="249">
        <v>0</v>
      </c>
      <c r="M1540" s="90">
        <v>0</v>
      </c>
      <c r="N1540" s="90">
        <v>0</v>
      </c>
      <c r="O1540" s="90">
        <v>255</v>
      </c>
    </row>
    <row r="1541" spans="1:15" s="90" customFormat="1" ht="12.75" customHeight="1" x14ac:dyDescent="0.2">
      <c r="A1541" s="247" t="s">
        <v>993</v>
      </c>
      <c r="B1541" s="316">
        <v>3217</v>
      </c>
      <c r="C1541" s="247" t="s">
        <v>975</v>
      </c>
      <c r="D1541" s="317">
        <v>42660</v>
      </c>
      <c r="E1541" s="318">
        <v>0.94655092592592593</v>
      </c>
      <c r="F1541" s="247" t="s">
        <v>235</v>
      </c>
      <c r="G1541" s="247" t="s">
        <v>1035</v>
      </c>
      <c r="H1541" s="248" t="s">
        <v>234</v>
      </c>
      <c r="I1541" s="248" t="s">
        <v>235</v>
      </c>
      <c r="J1541" s="247" t="s">
        <v>809</v>
      </c>
      <c r="K1541" s="249">
        <v>0</v>
      </c>
      <c r="M1541" s="90">
        <v>0</v>
      </c>
      <c r="N1541" s="90">
        <v>0</v>
      </c>
      <c r="O1541" s="90">
        <v>255</v>
      </c>
    </row>
    <row r="1542" spans="1:15" s="90" customFormat="1" ht="12.75" customHeight="1" x14ac:dyDescent="0.2">
      <c r="A1542" s="247" t="s">
        <v>989</v>
      </c>
      <c r="B1542" s="316">
        <v>3046</v>
      </c>
      <c r="C1542" s="247" t="s">
        <v>975</v>
      </c>
      <c r="D1542" s="317">
        <v>42660</v>
      </c>
      <c r="E1542" s="318">
        <v>0.98821759259259256</v>
      </c>
      <c r="F1542" s="247" t="s">
        <v>976</v>
      </c>
      <c r="G1542" s="247" t="s">
        <v>1035</v>
      </c>
      <c r="H1542" s="248" t="s">
        <v>404</v>
      </c>
      <c r="I1542" s="248" t="s">
        <v>404</v>
      </c>
      <c r="J1542" s="247" t="s">
        <v>809</v>
      </c>
      <c r="K1542" s="249">
        <v>0</v>
      </c>
      <c r="M1542" s="90">
        <v>0</v>
      </c>
      <c r="N1542" s="90">
        <v>0</v>
      </c>
      <c r="O1542" s="90">
        <v>255</v>
      </c>
    </row>
    <row r="1543" spans="1:15" s="90" customFormat="1" ht="12.75" customHeight="1" x14ac:dyDescent="0.2">
      <c r="A1543" s="247" t="s">
        <v>990</v>
      </c>
      <c r="B1543" s="316">
        <v>3046</v>
      </c>
      <c r="C1543" s="247" t="s">
        <v>975</v>
      </c>
      <c r="D1543" s="317">
        <v>42660</v>
      </c>
      <c r="E1543" s="318">
        <v>0.9884722222222222</v>
      </c>
      <c r="F1543" s="247" t="s">
        <v>976</v>
      </c>
      <c r="G1543" s="247" t="s">
        <v>1035</v>
      </c>
      <c r="H1543" s="248" t="s">
        <v>404</v>
      </c>
      <c r="I1543" s="248" t="s">
        <v>404</v>
      </c>
      <c r="J1543" s="247" t="s">
        <v>809</v>
      </c>
      <c r="K1543" s="249">
        <v>0</v>
      </c>
      <c r="M1543" s="90">
        <v>0</v>
      </c>
      <c r="N1543" s="90">
        <v>0</v>
      </c>
      <c r="O1543" s="90">
        <v>255</v>
      </c>
    </row>
    <row r="1544" spans="1:15" s="90" customFormat="1" ht="12.75" customHeight="1" x14ac:dyDescent="0.2">
      <c r="A1544" s="247" t="s">
        <v>993</v>
      </c>
      <c r="B1544" s="316">
        <v>3217</v>
      </c>
      <c r="C1544" s="247" t="s">
        <v>975</v>
      </c>
      <c r="D1544" s="317">
        <v>42660</v>
      </c>
      <c r="E1544" s="318">
        <v>0.9884722222222222</v>
      </c>
      <c r="F1544" s="247" t="s">
        <v>235</v>
      </c>
      <c r="G1544" s="247" t="s">
        <v>1035</v>
      </c>
      <c r="H1544" s="248" t="s">
        <v>234</v>
      </c>
      <c r="I1544" s="248" t="s">
        <v>235</v>
      </c>
      <c r="J1544" s="247" t="s">
        <v>809</v>
      </c>
      <c r="K1544" s="249">
        <v>0</v>
      </c>
      <c r="M1544" s="90">
        <v>0</v>
      </c>
      <c r="N1544" s="90">
        <v>0</v>
      </c>
      <c r="O1544" s="90">
        <v>255</v>
      </c>
    </row>
    <row r="1545" spans="1:15" s="90" customFormat="1" ht="12.75" customHeight="1" x14ac:dyDescent="0.2">
      <c r="A1545" s="247" t="s">
        <v>989</v>
      </c>
      <c r="B1545" s="316">
        <v>3046</v>
      </c>
      <c r="C1545" s="247" t="s">
        <v>975</v>
      </c>
      <c r="D1545" s="317">
        <v>42661</v>
      </c>
      <c r="E1545" s="318">
        <v>3.0138888888888885E-2</v>
      </c>
      <c r="F1545" s="247" t="s">
        <v>976</v>
      </c>
      <c r="G1545" s="247" t="s">
        <v>1035</v>
      </c>
      <c r="H1545" s="248" t="s">
        <v>404</v>
      </c>
      <c r="I1545" s="248" t="s">
        <v>404</v>
      </c>
      <c r="J1545" s="247" t="s">
        <v>809</v>
      </c>
      <c r="K1545" s="249">
        <v>0</v>
      </c>
      <c r="M1545" s="90">
        <v>0</v>
      </c>
      <c r="N1545" s="90">
        <v>0</v>
      </c>
      <c r="O1545" s="90">
        <v>255</v>
      </c>
    </row>
    <row r="1546" spans="1:15" s="90" customFormat="1" ht="12.75" customHeight="1" x14ac:dyDescent="0.2">
      <c r="A1546" s="247" t="s">
        <v>990</v>
      </c>
      <c r="B1546" s="316">
        <v>3046</v>
      </c>
      <c r="C1546" s="247" t="s">
        <v>975</v>
      </c>
      <c r="D1546" s="317">
        <v>42661</v>
      </c>
      <c r="E1546" s="318">
        <v>3.0393518518518518E-2</v>
      </c>
      <c r="F1546" s="247" t="s">
        <v>976</v>
      </c>
      <c r="G1546" s="247" t="s">
        <v>1035</v>
      </c>
      <c r="H1546" s="248" t="s">
        <v>404</v>
      </c>
      <c r="I1546" s="248" t="s">
        <v>404</v>
      </c>
      <c r="J1546" s="247" t="s">
        <v>809</v>
      </c>
      <c r="K1546" s="249">
        <v>0</v>
      </c>
      <c r="M1546" s="90">
        <v>0</v>
      </c>
      <c r="N1546" s="90">
        <v>0</v>
      </c>
      <c r="O1546" s="90">
        <v>255</v>
      </c>
    </row>
    <row r="1547" spans="1:15" s="90" customFormat="1" ht="12.75" customHeight="1" x14ac:dyDescent="0.2">
      <c r="A1547" s="247" t="s">
        <v>993</v>
      </c>
      <c r="B1547" s="316">
        <v>3217</v>
      </c>
      <c r="C1547" s="247" t="s">
        <v>975</v>
      </c>
      <c r="D1547" s="317">
        <v>42661</v>
      </c>
      <c r="E1547" s="318">
        <v>3.0393518518518518E-2</v>
      </c>
      <c r="F1547" s="247" t="s">
        <v>235</v>
      </c>
      <c r="G1547" s="247" t="s">
        <v>1035</v>
      </c>
      <c r="H1547" s="248" t="s">
        <v>234</v>
      </c>
      <c r="I1547" s="248" t="s">
        <v>235</v>
      </c>
      <c r="J1547" s="247" t="s">
        <v>809</v>
      </c>
      <c r="K1547" s="249">
        <v>0</v>
      </c>
      <c r="M1547" s="90">
        <v>0</v>
      </c>
      <c r="N1547" s="90">
        <v>0</v>
      </c>
      <c r="O1547" s="90">
        <v>255</v>
      </c>
    </row>
    <row r="1548" spans="1:15" s="90" customFormat="1" ht="12.75" customHeight="1" x14ac:dyDescent="0.2">
      <c r="A1548" s="247" t="s">
        <v>989</v>
      </c>
      <c r="B1548" s="316">
        <v>3046</v>
      </c>
      <c r="C1548" s="247" t="s">
        <v>975</v>
      </c>
      <c r="D1548" s="317">
        <v>42661</v>
      </c>
      <c r="E1548" s="318">
        <v>7.2060185185185185E-2</v>
      </c>
      <c r="F1548" s="247" t="s">
        <v>976</v>
      </c>
      <c r="G1548" s="247" t="s">
        <v>1035</v>
      </c>
      <c r="H1548" s="248" t="s">
        <v>404</v>
      </c>
      <c r="I1548" s="248" t="s">
        <v>404</v>
      </c>
      <c r="J1548" s="247" t="s">
        <v>809</v>
      </c>
      <c r="K1548" s="249">
        <v>0</v>
      </c>
      <c r="M1548" s="90">
        <v>0</v>
      </c>
      <c r="N1548" s="90">
        <v>0</v>
      </c>
      <c r="O1548" s="90">
        <v>255</v>
      </c>
    </row>
    <row r="1549" spans="1:15" s="90" customFormat="1" ht="12.75" customHeight="1" x14ac:dyDescent="0.2">
      <c r="A1549" s="247" t="s">
        <v>990</v>
      </c>
      <c r="B1549" s="316">
        <v>3046</v>
      </c>
      <c r="C1549" s="247" t="s">
        <v>975</v>
      </c>
      <c r="D1549" s="317">
        <v>42661</v>
      </c>
      <c r="E1549" s="318">
        <v>7.2314814814814818E-2</v>
      </c>
      <c r="F1549" s="247" t="s">
        <v>976</v>
      </c>
      <c r="G1549" s="247" t="s">
        <v>1035</v>
      </c>
      <c r="H1549" s="248" t="s">
        <v>404</v>
      </c>
      <c r="I1549" s="248" t="s">
        <v>404</v>
      </c>
      <c r="J1549" s="247" t="s">
        <v>809</v>
      </c>
      <c r="K1549" s="249">
        <v>0</v>
      </c>
      <c r="M1549" s="90">
        <v>0</v>
      </c>
      <c r="N1549" s="90">
        <v>0</v>
      </c>
      <c r="O1549" s="90">
        <v>255</v>
      </c>
    </row>
    <row r="1550" spans="1:15" s="90" customFormat="1" ht="12.75" customHeight="1" x14ac:dyDescent="0.2">
      <c r="A1550" s="247" t="s">
        <v>993</v>
      </c>
      <c r="B1550" s="316">
        <v>3217</v>
      </c>
      <c r="C1550" s="247" t="s">
        <v>975</v>
      </c>
      <c r="D1550" s="317">
        <v>42661</v>
      </c>
      <c r="E1550" s="318">
        <v>7.2314814814814818E-2</v>
      </c>
      <c r="F1550" s="247" t="s">
        <v>235</v>
      </c>
      <c r="G1550" s="247" t="s">
        <v>1035</v>
      </c>
      <c r="H1550" s="248" t="s">
        <v>234</v>
      </c>
      <c r="I1550" s="248" t="s">
        <v>235</v>
      </c>
      <c r="J1550" s="247" t="s">
        <v>809</v>
      </c>
      <c r="K1550" s="249">
        <v>0</v>
      </c>
      <c r="M1550" s="90">
        <v>0</v>
      </c>
      <c r="N1550" s="90">
        <v>0</v>
      </c>
      <c r="O1550" s="90">
        <v>255</v>
      </c>
    </row>
    <row r="1551" spans="1:15" s="90" customFormat="1" ht="12.75" customHeight="1" x14ac:dyDescent="0.2">
      <c r="A1551" s="247" t="s">
        <v>989</v>
      </c>
      <c r="B1551" s="316">
        <v>3046</v>
      </c>
      <c r="C1551" s="247" t="s">
        <v>975</v>
      </c>
      <c r="D1551" s="317">
        <v>42661</v>
      </c>
      <c r="E1551" s="318">
        <v>0.11399305555555556</v>
      </c>
      <c r="F1551" s="247" t="s">
        <v>976</v>
      </c>
      <c r="G1551" s="247" t="s">
        <v>1035</v>
      </c>
      <c r="H1551" s="248" t="s">
        <v>404</v>
      </c>
      <c r="I1551" s="248" t="s">
        <v>404</v>
      </c>
      <c r="J1551" s="247" t="s">
        <v>809</v>
      </c>
      <c r="K1551" s="249">
        <v>0</v>
      </c>
      <c r="M1551" s="90">
        <v>0</v>
      </c>
      <c r="N1551" s="90">
        <v>0</v>
      </c>
      <c r="O1551" s="90">
        <v>255</v>
      </c>
    </row>
    <row r="1552" spans="1:15" s="90" customFormat="1" ht="12.75" customHeight="1" x14ac:dyDescent="0.2">
      <c r="A1552" s="247" t="s">
        <v>990</v>
      </c>
      <c r="B1552" s="316">
        <v>3046</v>
      </c>
      <c r="C1552" s="247" t="s">
        <v>975</v>
      </c>
      <c r="D1552" s="317">
        <v>42661</v>
      </c>
      <c r="E1552" s="318">
        <v>0.11423611111111111</v>
      </c>
      <c r="F1552" s="247" t="s">
        <v>976</v>
      </c>
      <c r="G1552" s="247" t="s">
        <v>1035</v>
      </c>
      <c r="H1552" s="248" t="s">
        <v>404</v>
      </c>
      <c r="I1552" s="248" t="s">
        <v>404</v>
      </c>
      <c r="J1552" s="247" t="s">
        <v>809</v>
      </c>
      <c r="K1552" s="249">
        <v>0</v>
      </c>
      <c r="M1552" s="90">
        <v>0</v>
      </c>
      <c r="N1552" s="90">
        <v>0</v>
      </c>
      <c r="O1552" s="90">
        <v>255</v>
      </c>
    </row>
    <row r="1553" spans="1:15" s="90" customFormat="1" ht="12.75" customHeight="1" x14ac:dyDescent="0.2">
      <c r="A1553" s="247" t="s">
        <v>993</v>
      </c>
      <c r="B1553" s="316">
        <v>3217</v>
      </c>
      <c r="C1553" s="247" t="s">
        <v>975</v>
      </c>
      <c r="D1553" s="317">
        <v>42661</v>
      </c>
      <c r="E1553" s="318">
        <v>0.11423611111111111</v>
      </c>
      <c r="F1553" s="247" t="s">
        <v>235</v>
      </c>
      <c r="G1553" s="247" t="s">
        <v>1035</v>
      </c>
      <c r="H1553" s="248" t="s">
        <v>234</v>
      </c>
      <c r="I1553" s="248" t="s">
        <v>235</v>
      </c>
      <c r="J1553" s="247" t="s">
        <v>809</v>
      </c>
      <c r="K1553" s="249">
        <v>0</v>
      </c>
      <c r="M1553" s="90">
        <v>0</v>
      </c>
      <c r="N1553" s="90">
        <v>0</v>
      </c>
      <c r="O1553" s="90">
        <v>255</v>
      </c>
    </row>
    <row r="1554" spans="1:15" s="90" customFormat="1" ht="12.75" customHeight="1" x14ac:dyDescent="0.2">
      <c r="A1554" s="247" t="s">
        <v>989</v>
      </c>
      <c r="B1554" s="316">
        <v>3046</v>
      </c>
      <c r="C1554" s="247" t="s">
        <v>975</v>
      </c>
      <c r="D1554" s="317">
        <v>42661</v>
      </c>
      <c r="E1554" s="318">
        <v>0.15591435185185185</v>
      </c>
      <c r="F1554" s="247" t="s">
        <v>976</v>
      </c>
      <c r="G1554" s="247" t="s">
        <v>1035</v>
      </c>
      <c r="H1554" s="248" t="s">
        <v>404</v>
      </c>
      <c r="I1554" s="248" t="s">
        <v>404</v>
      </c>
      <c r="J1554" s="247" t="s">
        <v>809</v>
      </c>
      <c r="K1554" s="249">
        <v>0</v>
      </c>
      <c r="M1554" s="90">
        <v>0</v>
      </c>
      <c r="N1554" s="90">
        <v>0</v>
      </c>
      <c r="O1554" s="90">
        <v>255</v>
      </c>
    </row>
    <row r="1555" spans="1:15" s="90" customFormat="1" ht="12.75" customHeight="1" x14ac:dyDescent="0.2">
      <c r="A1555" s="247" t="s">
        <v>990</v>
      </c>
      <c r="B1555" s="316">
        <v>3046</v>
      </c>
      <c r="C1555" s="247" t="s">
        <v>975</v>
      </c>
      <c r="D1555" s="317">
        <v>42661</v>
      </c>
      <c r="E1555" s="318">
        <v>0.15615740740740741</v>
      </c>
      <c r="F1555" s="247" t="s">
        <v>976</v>
      </c>
      <c r="G1555" s="247" t="s">
        <v>1035</v>
      </c>
      <c r="H1555" s="248" t="s">
        <v>404</v>
      </c>
      <c r="I1555" s="248" t="s">
        <v>404</v>
      </c>
      <c r="J1555" s="247" t="s">
        <v>809</v>
      </c>
      <c r="K1555" s="249">
        <v>0</v>
      </c>
      <c r="M1555" s="90">
        <v>0</v>
      </c>
      <c r="N1555" s="90">
        <v>0</v>
      </c>
      <c r="O1555" s="90">
        <v>255</v>
      </c>
    </row>
    <row r="1556" spans="1:15" s="90" customFormat="1" ht="12.75" customHeight="1" x14ac:dyDescent="0.2">
      <c r="A1556" s="247" t="s">
        <v>993</v>
      </c>
      <c r="B1556" s="316">
        <v>3217</v>
      </c>
      <c r="C1556" s="247" t="s">
        <v>975</v>
      </c>
      <c r="D1556" s="317">
        <v>42661</v>
      </c>
      <c r="E1556" s="318">
        <v>0.15615740740740741</v>
      </c>
      <c r="F1556" s="247" t="s">
        <v>235</v>
      </c>
      <c r="G1556" s="247" t="s">
        <v>1035</v>
      </c>
      <c r="H1556" s="248" t="s">
        <v>234</v>
      </c>
      <c r="I1556" s="248" t="s">
        <v>235</v>
      </c>
      <c r="J1556" s="247" t="s">
        <v>809</v>
      </c>
      <c r="K1556" s="249">
        <v>0</v>
      </c>
      <c r="M1556" s="90">
        <v>0</v>
      </c>
      <c r="N1556" s="90">
        <v>0</v>
      </c>
      <c r="O1556" s="90">
        <v>255</v>
      </c>
    </row>
    <row r="1557" spans="1:15" s="90" customFormat="1" ht="12.75" customHeight="1" x14ac:dyDescent="0.2">
      <c r="A1557" s="247" t="s">
        <v>989</v>
      </c>
      <c r="B1557" s="316">
        <v>3046</v>
      </c>
      <c r="C1557" s="247" t="s">
        <v>975</v>
      </c>
      <c r="D1557" s="317">
        <v>42661</v>
      </c>
      <c r="E1557" s="318">
        <v>0.19783564814814814</v>
      </c>
      <c r="F1557" s="247" t="s">
        <v>976</v>
      </c>
      <c r="G1557" s="247" t="s">
        <v>1035</v>
      </c>
      <c r="H1557" s="248" t="s">
        <v>404</v>
      </c>
      <c r="I1557" s="248" t="s">
        <v>404</v>
      </c>
      <c r="J1557" s="247" t="s">
        <v>809</v>
      </c>
      <c r="K1557" s="249">
        <v>0</v>
      </c>
      <c r="M1557" s="90">
        <v>0</v>
      </c>
      <c r="N1557" s="90">
        <v>0</v>
      </c>
      <c r="O1557" s="90">
        <v>255</v>
      </c>
    </row>
    <row r="1558" spans="1:15" s="90" customFormat="1" ht="12.75" customHeight="1" x14ac:dyDescent="0.2">
      <c r="A1558" s="247" t="s">
        <v>990</v>
      </c>
      <c r="B1558" s="316">
        <v>3046</v>
      </c>
      <c r="C1558" s="247" t="s">
        <v>975</v>
      </c>
      <c r="D1558" s="317">
        <v>42661</v>
      </c>
      <c r="E1558" s="318">
        <v>0.1980787037037037</v>
      </c>
      <c r="F1558" s="247" t="s">
        <v>976</v>
      </c>
      <c r="G1558" s="247" t="s">
        <v>1035</v>
      </c>
      <c r="H1558" s="248" t="s">
        <v>404</v>
      </c>
      <c r="I1558" s="248" t="s">
        <v>404</v>
      </c>
      <c r="J1558" s="247" t="s">
        <v>809</v>
      </c>
      <c r="K1558" s="249">
        <v>0</v>
      </c>
      <c r="M1558" s="90">
        <v>0</v>
      </c>
      <c r="N1558" s="90">
        <v>0</v>
      </c>
      <c r="O1558" s="90">
        <v>255</v>
      </c>
    </row>
    <row r="1559" spans="1:15" s="90" customFormat="1" ht="12.75" customHeight="1" x14ac:dyDescent="0.2">
      <c r="A1559" s="247" t="s">
        <v>993</v>
      </c>
      <c r="B1559" s="316">
        <v>3217</v>
      </c>
      <c r="C1559" s="247" t="s">
        <v>975</v>
      </c>
      <c r="D1559" s="317">
        <v>42661</v>
      </c>
      <c r="E1559" s="318">
        <v>0.1980787037037037</v>
      </c>
      <c r="F1559" s="247" t="s">
        <v>235</v>
      </c>
      <c r="G1559" s="247" t="s">
        <v>1035</v>
      </c>
      <c r="H1559" s="248" t="s">
        <v>234</v>
      </c>
      <c r="I1559" s="248" t="s">
        <v>235</v>
      </c>
      <c r="J1559" s="247" t="s">
        <v>809</v>
      </c>
      <c r="K1559" s="249">
        <v>0</v>
      </c>
      <c r="M1559" s="90">
        <v>0</v>
      </c>
      <c r="N1559" s="90">
        <v>0</v>
      </c>
      <c r="O1559" s="90">
        <v>255</v>
      </c>
    </row>
    <row r="1560" spans="1:15" s="90" customFormat="1" ht="12.75" customHeight="1" x14ac:dyDescent="0.2">
      <c r="A1560" s="247" t="s">
        <v>989</v>
      </c>
      <c r="B1560" s="316">
        <v>3046</v>
      </c>
      <c r="C1560" s="247" t="s">
        <v>975</v>
      </c>
      <c r="D1560" s="317">
        <v>42661</v>
      </c>
      <c r="E1560" s="318">
        <v>0.23974537037037036</v>
      </c>
      <c r="F1560" s="247" t="s">
        <v>976</v>
      </c>
      <c r="G1560" s="247" t="s">
        <v>1035</v>
      </c>
      <c r="H1560" s="248" t="s">
        <v>404</v>
      </c>
      <c r="I1560" s="248" t="s">
        <v>404</v>
      </c>
      <c r="J1560" s="247" t="s">
        <v>809</v>
      </c>
      <c r="K1560" s="249">
        <v>0</v>
      </c>
      <c r="M1560" s="90">
        <v>0</v>
      </c>
      <c r="N1560" s="90">
        <v>0</v>
      </c>
      <c r="O1560" s="90">
        <v>255</v>
      </c>
    </row>
    <row r="1561" spans="1:15" s="90" customFormat="1" ht="12.75" customHeight="1" x14ac:dyDescent="0.2">
      <c r="A1561" s="247" t="s">
        <v>990</v>
      </c>
      <c r="B1561" s="316">
        <v>3046</v>
      </c>
      <c r="C1561" s="247" t="s">
        <v>975</v>
      </c>
      <c r="D1561" s="317">
        <v>42661</v>
      </c>
      <c r="E1561" s="318">
        <v>0.24</v>
      </c>
      <c r="F1561" s="247" t="s">
        <v>976</v>
      </c>
      <c r="G1561" s="247" t="s">
        <v>1035</v>
      </c>
      <c r="H1561" s="248" t="s">
        <v>404</v>
      </c>
      <c r="I1561" s="248" t="s">
        <v>404</v>
      </c>
      <c r="J1561" s="247" t="s">
        <v>809</v>
      </c>
      <c r="K1561" s="249">
        <v>0</v>
      </c>
      <c r="M1561" s="90">
        <v>0</v>
      </c>
      <c r="N1561" s="90">
        <v>0</v>
      </c>
      <c r="O1561" s="90">
        <v>255</v>
      </c>
    </row>
    <row r="1562" spans="1:15" s="90" customFormat="1" ht="12.75" customHeight="1" x14ac:dyDescent="0.2">
      <c r="A1562" s="247" t="s">
        <v>993</v>
      </c>
      <c r="B1562" s="316">
        <v>3217</v>
      </c>
      <c r="C1562" s="247" t="s">
        <v>975</v>
      </c>
      <c r="D1562" s="317">
        <v>42661</v>
      </c>
      <c r="E1562" s="318">
        <v>0.24</v>
      </c>
      <c r="F1562" s="247" t="s">
        <v>235</v>
      </c>
      <c r="G1562" s="247" t="s">
        <v>1035</v>
      </c>
      <c r="H1562" s="248" t="s">
        <v>234</v>
      </c>
      <c r="I1562" s="248" t="s">
        <v>235</v>
      </c>
      <c r="J1562" s="247" t="s">
        <v>809</v>
      </c>
      <c r="K1562" s="249">
        <v>0</v>
      </c>
      <c r="M1562" s="90">
        <v>0</v>
      </c>
      <c r="N1562" s="90">
        <v>0</v>
      </c>
      <c r="O1562" s="90">
        <v>255</v>
      </c>
    </row>
    <row r="1563" spans="1:15" s="90" customFormat="1" ht="12.75" customHeight="1" x14ac:dyDescent="0.2">
      <c r="A1563" s="247" t="s">
        <v>989</v>
      </c>
      <c r="B1563" s="316">
        <v>3046</v>
      </c>
      <c r="C1563" s="247" t="s">
        <v>975</v>
      </c>
      <c r="D1563" s="317">
        <v>42661</v>
      </c>
      <c r="E1563" s="318">
        <v>0.28166666666666668</v>
      </c>
      <c r="F1563" s="247" t="s">
        <v>976</v>
      </c>
      <c r="G1563" s="247" t="s">
        <v>1035</v>
      </c>
      <c r="H1563" s="248" t="s">
        <v>404</v>
      </c>
      <c r="I1563" s="248" t="s">
        <v>404</v>
      </c>
      <c r="J1563" s="247" t="s">
        <v>809</v>
      </c>
      <c r="K1563" s="249">
        <v>0</v>
      </c>
      <c r="M1563" s="90">
        <v>0</v>
      </c>
      <c r="N1563" s="90">
        <v>0</v>
      </c>
      <c r="O1563" s="90">
        <v>255</v>
      </c>
    </row>
    <row r="1564" spans="1:15" s="90" customFormat="1" ht="12.75" customHeight="1" x14ac:dyDescent="0.2">
      <c r="A1564" s="247" t="s">
        <v>990</v>
      </c>
      <c r="B1564" s="316">
        <v>3046</v>
      </c>
      <c r="C1564" s="247" t="s">
        <v>975</v>
      </c>
      <c r="D1564" s="317">
        <v>42661</v>
      </c>
      <c r="E1564" s="318">
        <v>0.28192129629629631</v>
      </c>
      <c r="F1564" s="247" t="s">
        <v>976</v>
      </c>
      <c r="G1564" s="247" t="s">
        <v>1035</v>
      </c>
      <c r="H1564" s="248" t="s">
        <v>404</v>
      </c>
      <c r="I1564" s="248" t="s">
        <v>404</v>
      </c>
      <c r="J1564" s="247" t="s">
        <v>809</v>
      </c>
      <c r="K1564" s="249">
        <v>0</v>
      </c>
      <c r="M1564" s="90">
        <v>0</v>
      </c>
      <c r="N1564" s="90">
        <v>0</v>
      </c>
      <c r="O1564" s="90">
        <v>255</v>
      </c>
    </row>
    <row r="1565" spans="1:15" s="90" customFormat="1" ht="12.75" customHeight="1" x14ac:dyDescent="0.2">
      <c r="A1565" s="247" t="s">
        <v>993</v>
      </c>
      <c r="B1565" s="316">
        <v>3217</v>
      </c>
      <c r="C1565" s="247" t="s">
        <v>975</v>
      </c>
      <c r="D1565" s="317">
        <v>42661</v>
      </c>
      <c r="E1565" s="318">
        <v>0.28192129629629631</v>
      </c>
      <c r="F1565" s="247" t="s">
        <v>235</v>
      </c>
      <c r="G1565" s="247" t="s">
        <v>1035</v>
      </c>
      <c r="H1565" s="248" t="s">
        <v>234</v>
      </c>
      <c r="I1565" s="248" t="s">
        <v>235</v>
      </c>
      <c r="J1565" s="247" t="s">
        <v>809</v>
      </c>
      <c r="K1565" s="249">
        <v>0</v>
      </c>
      <c r="M1565" s="90">
        <v>0</v>
      </c>
      <c r="N1565" s="90">
        <v>0</v>
      </c>
      <c r="O1565" s="90">
        <v>255</v>
      </c>
    </row>
    <row r="1566" spans="1:15" s="90" customFormat="1" ht="12.75" customHeight="1" x14ac:dyDescent="0.2">
      <c r="A1566" s="247" t="s">
        <v>1197</v>
      </c>
      <c r="B1566" s="316">
        <v>3218</v>
      </c>
      <c r="C1566" s="247" t="s">
        <v>979</v>
      </c>
      <c r="D1566" s="317">
        <v>42661</v>
      </c>
      <c r="E1566" s="318">
        <v>0.30456018518518518</v>
      </c>
      <c r="F1566" s="247" t="s">
        <v>702</v>
      </c>
      <c r="G1566" s="247" t="s">
        <v>1035</v>
      </c>
      <c r="H1566" s="248"/>
      <c r="I1566" s="248"/>
      <c r="J1566" s="247"/>
      <c r="K1566" s="249"/>
      <c r="M1566" s="90">
        <v>0</v>
      </c>
      <c r="N1566" s="90">
        <v>0</v>
      </c>
      <c r="O1566" s="90">
        <v>255</v>
      </c>
    </row>
    <row r="1567" spans="1:15" s="90" customFormat="1" ht="12.75" customHeight="1" x14ac:dyDescent="0.2">
      <c r="A1567" s="247" t="s">
        <v>989</v>
      </c>
      <c r="B1567" s="316">
        <v>3046</v>
      </c>
      <c r="C1567" s="247" t="s">
        <v>975</v>
      </c>
      <c r="D1567" s="317">
        <v>42661</v>
      </c>
      <c r="E1567" s="318">
        <v>0.32358796296296294</v>
      </c>
      <c r="F1567" s="247" t="s">
        <v>976</v>
      </c>
      <c r="G1567" s="247" t="s">
        <v>1035</v>
      </c>
      <c r="H1567" s="248" t="s">
        <v>404</v>
      </c>
      <c r="I1567" s="248" t="s">
        <v>404</v>
      </c>
      <c r="J1567" s="247" t="s">
        <v>809</v>
      </c>
      <c r="K1567" s="249">
        <v>0</v>
      </c>
      <c r="M1567" s="90">
        <v>0</v>
      </c>
      <c r="N1567" s="90">
        <v>0</v>
      </c>
      <c r="O1567" s="90">
        <v>255</v>
      </c>
    </row>
    <row r="1568" spans="1:15" s="90" customFormat="1" ht="12.75" customHeight="1" x14ac:dyDescent="0.2">
      <c r="A1568" s="247" t="s">
        <v>990</v>
      </c>
      <c r="B1568" s="316">
        <v>3046</v>
      </c>
      <c r="C1568" s="247" t="s">
        <v>975</v>
      </c>
      <c r="D1568" s="317">
        <v>42661</v>
      </c>
      <c r="E1568" s="318">
        <v>0.32384259259259257</v>
      </c>
      <c r="F1568" s="247" t="s">
        <v>976</v>
      </c>
      <c r="G1568" s="247" t="s">
        <v>1035</v>
      </c>
      <c r="H1568" s="248" t="s">
        <v>404</v>
      </c>
      <c r="I1568" s="248" t="s">
        <v>404</v>
      </c>
      <c r="J1568" s="247" t="s">
        <v>809</v>
      </c>
      <c r="K1568" s="249">
        <v>0</v>
      </c>
      <c r="M1568" s="90">
        <v>0</v>
      </c>
      <c r="N1568" s="90">
        <v>0</v>
      </c>
      <c r="O1568" s="90">
        <v>255</v>
      </c>
    </row>
    <row r="1569" spans="1:15" s="90" customFormat="1" ht="12.75" customHeight="1" x14ac:dyDescent="0.2">
      <c r="A1569" s="247" t="s">
        <v>993</v>
      </c>
      <c r="B1569" s="316">
        <v>3217</v>
      </c>
      <c r="C1569" s="247" t="s">
        <v>975</v>
      </c>
      <c r="D1569" s="317">
        <v>42661</v>
      </c>
      <c r="E1569" s="318">
        <v>0.32384259259259257</v>
      </c>
      <c r="F1569" s="247" t="s">
        <v>235</v>
      </c>
      <c r="G1569" s="247" t="s">
        <v>1035</v>
      </c>
      <c r="H1569" s="248" t="s">
        <v>234</v>
      </c>
      <c r="I1569" s="248" t="s">
        <v>235</v>
      </c>
      <c r="J1569" s="247" t="s">
        <v>809</v>
      </c>
      <c r="K1569" s="249">
        <v>0</v>
      </c>
      <c r="M1569" s="90">
        <v>0</v>
      </c>
      <c r="N1569" s="90">
        <v>0</v>
      </c>
      <c r="O1569" s="90">
        <v>255</v>
      </c>
    </row>
    <row r="1570" spans="1:15" s="90" customFormat="1" ht="12.75" customHeight="1" x14ac:dyDescent="0.2">
      <c r="A1570" s="247" t="s">
        <v>989</v>
      </c>
      <c r="B1570" s="316">
        <v>3046</v>
      </c>
      <c r="C1570" s="247" t="s">
        <v>975</v>
      </c>
      <c r="D1570" s="317">
        <v>42661</v>
      </c>
      <c r="E1570" s="318">
        <v>0.36550925925925926</v>
      </c>
      <c r="F1570" s="247" t="s">
        <v>976</v>
      </c>
      <c r="G1570" s="247" t="s">
        <v>1035</v>
      </c>
      <c r="H1570" s="248" t="s">
        <v>404</v>
      </c>
      <c r="I1570" s="248" t="s">
        <v>404</v>
      </c>
      <c r="J1570" s="247" t="s">
        <v>809</v>
      </c>
      <c r="K1570" s="249">
        <v>0</v>
      </c>
      <c r="M1570" s="90">
        <v>0</v>
      </c>
      <c r="N1570" s="90">
        <v>0</v>
      </c>
      <c r="O1570" s="90">
        <v>255</v>
      </c>
    </row>
    <row r="1571" spans="1:15" s="90" customFormat="1" ht="12.75" customHeight="1" x14ac:dyDescent="0.2">
      <c r="A1571" s="247" t="s">
        <v>990</v>
      </c>
      <c r="B1571" s="316">
        <v>3046</v>
      </c>
      <c r="C1571" s="247" t="s">
        <v>975</v>
      </c>
      <c r="D1571" s="317">
        <v>42661</v>
      </c>
      <c r="E1571" s="318">
        <v>0.36576388888888894</v>
      </c>
      <c r="F1571" s="247" t="s">
        <v>976</v>
      </c>
      <c r="G1571" s="247" t="s">
        <v>1035</v>
      </c>
      <c r="H1571" s="248" t="s">
        <v>404</v>
      </c>
      <c r="I1571" s="248" t="s">
        <v>404</v>
      </c>
      <c r="J1571" s="247" t="s">
        <v>809</v>
      </c>
      <c r="K1571" s="249">
        <v>0</v>
      </c>
      <c r="M1571" s="90">
        <v>0</v>
      </c>
      <c r="N1571" s="90">
        <v>0</v>
      </c>
      <c r="O1571" s="90">
        <v>255</v>
      </c>
    </row>
    <row r="1572" spans="1:15" s="90" customFormat="1" ht="12.75" customHeight="1" x14ac:dyDescent="0.2">
      <c r="A1572" s="247" t="s">
        <v>993</v>
      </c>
      <c r="B1572" s="316">
        <v>3217</v>
      </c>
      <c r="C1572" s="247" t="s">
        <v>975</v>
      </c>
      <c r="D1572" s="317">
        <v>42661</v>
      </c>
      <c r="E1572" s="318">
        <v>0.36576388888888894</v>
      </c>
      <c r="F1572" s="247" t="s">
        <v>235</v>
      </c>
      <c r="G1572" s="247" t="s">
        <v>1035</v>
      </c>
      <c r="H1572" s="248" t="s">
        <v>234</v>
      </c>
      <c r="I1572" s="248" t="s">
        <v>235</v>
      </c>
      <c r="J1572" s="247" t="s">
        <v>809</v>
      </c>
      <c r="K1572" s="249">
        <v>0</v>
      </c>
      <c r="M1572" s="90">
        <v>0</v>
      </c>
      <c r="N1572" s="90">
        <v>0</v>
      </c>
      <c r="O1572" s="90">
        <v>255</v>
      </c>
    </row>
    <row r="1573" spans="1:15" s="90" customFormat="1" ht="12.75" customHeight="1" x14ac:dyDescent="0.2">
      <c r="A1573" s="247" t="s">
        <v>989</v>
      </c>
      <c r="B1573" s="316">
        <v>3046</v>
      </c>
      <c r="C1573" s="247" t="s">
        <v>975</v>
      </c>
      <c r="D1573" s="317">
        <v>42661</v>
      </c>
      <c r="E1573" s="318">
        <v>0.40743055555555557</v>
      </c>
      <c r="F1573" s="247" t="s">
        <v>976</v>
      </c>
      <c r="G1573" s="247" t="s">
        <v>1035</v>
      </c>
      <c r="H1573" s="248" t="s">
        <v>404</v>
      </c>
      <c r="I1573" s="248" t="s">
        <v>404</v>
      </c>
      <c r="J1573" s="247" t="s">
        <v>809</v>
      </c>
      <c r="K1573" s="249">
        <v>0</v>
      </c>
      <c r="M1573" s="90">
        <v>0</v>
      </c>
      <c r="N1573" s="90">
        <v>0</v>
      </c>
      <c r="O1573" s="90">
        <v>255</v>
      </c>
    </row>
    <row r="1574" spans="1:15" s="90" customFormat="1" ht="12.75" customHeight="1" x14ac:dyDescent="0.2">
      <c r="A1574" s="247" t="s">
        <v>990</v>
      </c>
      <c r="B1574" s="316">
        <v>3046</v>
      </c>
      <c r="C1574" s="247" t="s">
        <v>975</v>
      </c>
      <c r="D1574" s="317">
        <v>42661</v>
      </c>
      <c r="E1574" s="318">
        <v>0.40768518518518521</v>
      </c>
      <c r="F1574" s="247" t="s">
        <v>976</v>
      </c>
      <c r="G1574" s="247" t="s">
        <v>1035</v>
      </c>
      <c r="H1574" s="248" t="s">
        <v>404</v>
      </c>
      <c r="I1574" s="248" t="s">
        <v>404</v>
      </c>
      <c r="J1574" s="247" t="s">
        <v>809</v>
      </c>
      <c r="K1574" s="249">
        <v>0</v>
      </c>
      <c r="M1574" s="90">
        <v>0</v>
      </c>
      <c r="N1574" s="90">
        <v>0</v>
      </c>
      <c r="O1574" s="90">
        <v>255</v>
      </c>
    </row>
    <row r="1575" spans="1:15" s="90" customFormat="1" ht="12.75" customHeight="1" x14ac:dyDescent="0.2">
      <c r="A1575" s="247" t="s">
        <v>993</v>
      </c>
      <c r="B1575" s="316">
        <v>3217</v>
      </c>
      <c r="C1575" s="247" t="s">
        <v>975</v>
      </c>
      <c r="D1575" s="317">
        <v>42661</v>
      </c>
      <c r="E1575" s="318">
        <v>0.40768518518518521</v>
      </c>
      <c r="F1575" s="247" t="s">
        <v>235</v>
      </c>
      <c r="G1575" s="247" t="s">
        <v>1035</v>
      </c>
      <c r="H1575" s="248" t="s">
        <v>234</v>
      </c>
      <c r="I1575" s="248" t="s">
        <v>235</v>
      </c>
      <c r="J1575" s="247" t="s">
        <v>809</v>
      </c>
      <c r="K1575" s="249">
        <v>0</v>
      </c>
      <c r="M1575" s="90">
        <v>0</v>
      </c>
      <c r="N1575" s="90">
        <v>0</v>
      </c>
      <c r="O1575" s="90">
        <v>255</v>
      </c>
    </row>
    <row r="1576" spans="1:15" s="90" customFormat="1" ht="12.75" customHeight="1" x14ac:dyDescent="0.2">
      <c r="A1576" s="247" t="s">
        <v>1099</v>
      </c>
      <c r="B1576" s="316">
        <v>3047</v>
      </c>
      <c r="C1576" s="247" t="s">
        <v>996</v>
      </c>
      <c r="D1576" s="317">
        <v>42661</v>
      </c>
      <c r="E1576" s="318">
        <v>0.41212962962962968</v>
      </c>
      <c r="F1576" s="247" t="s">
        <v>235</v>
      </c>
      <c r="G1576" s="247" t="s">
        <v>1035</v>
      </c>
      <c r="H1576" s="248" t="s">
        <v>234</v>
      </c>
      <c r="I1576" s="248" t="s">
        <v>235</v>
      </c>
      <c r="J1576" s="247" t="s">
        <v>809</v>
      </c>
      <c r="K1576" s="249">
        <v>0</v>
      </c>
      <c r="M1576" s="90">
        <v>0</v>
      </c>
      <c r="N1576" s="90">
        <v>0</v>
      </c>
      <c r="O1576" s="90">
        <v>255</v>
      </c>
    </row>
    <row r="1577" spans="1:15" s="90" customFormat="1" ht="12.75" customHeight="1" x14ac:dyDescent="0.2">
      <c r="A1577" s="247" t="s">
        <v>1102</v>
      </c>
      <c r="B1577" s="316">
        <v>3047</v>
      </c>
      <c r="C1577" s="247" t="s">
        <v>996</v>
      </c>
      <c r="D1577" s="317">
        <v>42661</v>
      </c>
      <c r="E1577" s="318">
        <v>0.41390046296296296</v>
      </c>
      <c r="F1577" s="247" t="s">
        <v>235</v>
      </c>
      <c r="G1577" s="247" t="s">
        <v>1035</v>
      </c>
      <c r="H1577" s="248" t="s">
        <v>234</v>
      </c>
      <c r="I1577" s="248" t="s">
        <v>235</v>
      </c>
      <c r="J1577" s="247" t="s">
        <v>809</v>
      </c>
      <c r="K1577" s="249">
        <v>0</v>
      </c>
      <c r="M1577" s="90">
        <v>0</v>
      </c>
      <c r="N1577" s="90">
        <v>0</v>
      </c>
      <c r="O1577" s="90">
        <v>255</v>
      </c>
    </row>
    <row r="1578" spans="1:15" s="90" customFormat="1" ht="12.75" customHeight="1" x14ac:dyDescent="0.2">
      <c r="A1578" s="247" t="s">
        <v>1142</v>
      </c>
      <c r="B1578" s="316">
        <v>3047</v>
      </c>
      <c r="C1578" s="247" t="s">
        <v>996</v>
      </c>
      <c r="D1578" s="317">
        <v>42661</v>
      </c>
      <c r="E1578" s="318">
        <v>0.41390046296296296</v>
      </c>
      <c r="F1578" s="247" t="s">
        <v>235</v>
      </c>
      <c r="G1578" s="247" t="s">
        <v>1035</v>
      </c>
      <c r="H1578" s="248" t="s">
        <v>234</v>
      </c>
      <c r="I1578" s="248" t="s">
        <v>235</v>
      </c>
      <c r="J1578" s="247" t="s">
        <v>809</v>
      </c>
      <c r="K1578" s="249">
        <v>0</v>
      </c>
      <c r="M1578" s="90">
        <v>0</v>
      </c>
      <c r="N1578" s="90">
        <v>0</v>
      </c>
      <c r="O1578" s="90">
        <v>255</v>
      </c>
    </row>
    <row r="1579" spans="1:15" s="90" customFormat="1" ht="12.75" customHeight="1" x14ac:dyDescent="0.2">
      <c r="A1579" s="247" t="s">
        <v>1141</v>
      </c>
      <c r="B1579" s="316">
        <v>3047</v>
      </c>
      <c r="C1579" s="247" t="s">
        <v>996</v>
      </c>
      <c r="D1579" s="317">
        <v>42661</v>
      </c>
      <c r="E1579" s="318">
        <v>0.41390046296296296</v>
      </c>
      <c r="F1579" s="247" t="s">
        <v>235</v>
      </c>
      <c r="G1579" s="247" t="s">
        <v>1035</v>
      </c>
      <c r="H1579" s="248" t="s">
        <v>234</v>
      </c>
      <c r="I1579" s="248" t="s">
        <v>235</v>
      </c>
      <c r="J1579" s="247" t="s">
        <v>809</v>
      </c>
      <c r="K1579" s="249">
        <v>0</v>
      </c>
      <c r="M1579" s="90">
        <v>0</v>
      </c>
      <c r="N1579" s="90">
        <v>0</v>
      </c>
      <c r="O1579" s="90">
        <v>255</v>
      </c>
    </row>
    <row r="1580" spans="1:15" s="90" customFormat="1" ht="12.75" customHeight="1" x14ac:dyDescent="0.2">
      <c r="A1580" s="247" t="s">
        <v>1008</v>
      </c>
      <c r="B1580" s="316">
        <v>3046</v>
      </c>
      <c r="C1580" s="247" t="s">
        <v>975</v>
      </c>
      <c r="D1580" s="317">
        <v>42661</v>
      </c>
      <c r="E1580" s="318">
        <v>0.43734953703703705</v>
      </c>
      <c r="F1580" s="247" t="s">
        <v>976</v>
      </c>
      <c r="G1580" s="247" t="s">
        <v>1035</v>
      </c>
      <c r="H1580" s="248" t="s">
        <v>404</v>
      </c>
      <c r="I1580" s="248" t="s">
        <v>404</v>
      </c>
      <c r="J1580" s="247" t="s">
        <v>809</v>
      </c>
      <c r="K1580" s="249">
        <v>0</v>
      </c>
      <c r="M1580" s="90">
        <v>0</v>
      </c>
      <c r="N1580" s="90">
        <v>0</v>
      </c>
      <c r="O1580" s="90">
        <v>255</v>
      </c>
    </row>
    <row r="1581" spans="1:15" s="90" customFormat="1" ht="12.75" customHeight="1" x14ac:dyDescent="0.2">
      <c r="A1581" s="247" t="s">
        <v>974</v>
      </c>
      <c r="B1581" s="316">
        <v>3046</v>
      </c>
      <c r="C1581" s="247" t="s">
        <v>975</v>
      </c>
      <c r="D1581" s="317">
        <v>42661</v>
      </c>
      <c r="E1581" s="318">
        <v>0.46850694444444446</v>
      </c>
      <c r="F1581" s="247" t="s">
        <v>976</v>
      </c>
      <c r="G1581" s="247" t="s">
        <v>1035</v>
      </c>
      <c r="H1581" s="248" t="s">
        <v>404</v>
      </c>
      <c r="I1581" s="248" t="s">
        <v>404</v>
      </c>
      <c r="J1581" s="247" t="s">
        <v>809</v>
      </c>
      <c r="K1581" s="249">
        <v>0</v>
      </c>
      <c r="M1581" s="90">
        <v>0</v>
      </c>
      <c r="N1581" s="90">
        <v>0</v>
      </c>
      <c r="O1581" s="90">
        <v>255</v>
      </c>
    </row>
    <row r="1582" spans="1:15" s="90" customFormat="1" ht="12.75" customHeight="1" x14ac:dyDescent="0.2">
      <c r="A1582" s="247" t="s">
        <v>977</v>
      </c>
      <c r="B1582" s="316">
        <v>3046</v>
      </c>
      <c r="C1582" s="247" t="s">
        <v>975</v>
      </c>
      <c r="D1582" s="317">
        <v>42661</v>
      </c>
      <c r="E1582" s="318">
        <v>0.46850694444444446</v>
      </c>
      <c r="F1582" s="247" t="s">
        <v>976</v>
      </c>
      <c r="G1582" s="247" t="s">
        <v>1035</v>
      </c>
      <c r="H1582" s="248" t="s">
        <v>404</v>
      </c>
      <c r="I1582" s="248" t="s">
        <v>404</v>
      </c>
      <c r="J1582" s="247" t="s">
        <v>809</v>
      </c>
      <c r="K1582" s="249">
        <v>0</v>
      </c>
      <c r="M1582" s="90">
        <v>0</v>
      </c>
      <c r="N1582" s="90">
        <v>0</v>
      </c>
      <c r="O1582" s="90">
        <v>255</v>
      </c>
    </row>
    <row r="1583" spans="1:15" s="90" customFormat="1" ht="12.75" customHeight="1" x14ac:dyDescent="0.2">
      <c r="A1583" s="247" t="s">
        <v>983</v>
      </c>
      <c r="B1583" s="316">
        <v>3046</v>
      </c>
      <c r="C1583" s="247" t="s">
        <v>975</v>
      </c>
      <c r="D1583" s="317">
        <v>42661</v>
      </c>
      <c r="E1583" s="318">
        <v>0.4690509259259259</v>
      </c>
      <c r="F1583" s="247" t="s">
        <v>976</v>
      </c>
      <c r="G1583" s="247" t="s">
        <v>1035</v>
      </c>
      <c r="H1583" s="248" t="s">
        <v>404</v>
      </c>
      <c r="I1583" s="248" t="s">
        <v>404</v>
      </c>
      <c r="J1583" s="247" t="s">
        <v>809</v>
      </c>
      <c r="K1583" s="249">
        <v>0</v>
      </c>
      <c r="M1583" s="90">
        <v>0</v>
      </c>
      <c r="N1583" s="90">
        <v>0</v>
      </c>
      <c r="O1583" s="90">
        <v>255</v>
      </c>
    </row>
    <row r="1584" spans="1:15" s="90" customFormat="1" ht="12.75" customHeight="1" x14ac:dyDescent="0.2">
      <c r="A1584" s="247" t="s">
        <v>991</v>
      </c>
      <c r="B1584" s="316">
        <v>3046</v>
      </c>
      <c r="C1584" s="247" t="s">
        <v>975</v>
      </c>
      <c r="D1584" s="317">
        <v>42661</v>
      </c>
      <c r="E1584" s="318">
        <v>0.46917824074074077</v>
      </c>
      <c r="F1584" s="247" t="s">
        <v>976</v>
      </c>
      <c r="G1584" s="247" t="s">
        <v>1035</v>
      </c>
      <c r="H1584" s="248" t="s">
        <v>404</v>
      </c>
      <c r="I1584" s="248" t="s">
        <v>404</v>
      </c>
      <c r="J1584" s="247" t="s">
        <v>809</v>
      </c>
      <c r="K1584" s="249">
        <v>0</v>
      </c>
      <c r="M1584" s="90">
        <v>0</v>
      </c>
      <c r="N1584" s="90">
        <v>0</v>
      </c>
      <c r="O1584" s="90">
        <v>255</v>
      </c>
    </row>
    <row r="1585" spans="1:15" s="90" customFormat="1" ht="12.75" customHeight="1" x14ac:dyDescent="0.2">
      <c r="A1585" s="247" t="s">
        <v>1342</v>
      </c>
      <c r="B1585" s="316">
        <v>1160</v>
      </c>
      <c r="C1585" s="247" t="s">
        <v>979</v>
      </c>
      <c r="D1585" s="317">
        <v>42661</v>
      </c>
      <c r="E1585" s="318">
        <v>0.47030092592592593</v>
      </c>
      <c r="F1585" s="247" t="s">
        <v>976</v>
      </c>
      <c r="G1585" s="247" t="s">
        <v>1035</v>
      </c>
      <c r="H1585" s="248" t="s">
        <v>821</v>
      </c>
      <c r="I1585" s="248" t="s">
        <v>876</v>
      </c>
      <c r="J1585" s="247" t="s">
        <v>405</v>
      </c>
      <c r="K1585" s="249">
        <v>1</v>
      </c>
      <c r="L1585" s="90" t="s">
        <v>1782</v>
      </c>
      <c r="M1585" s="90">
        <v>2580</v>
      </c>
      <c r="N1585" s="90">
        <v>1</v>
      </c>
      <c r="O1585" s="90">
        <v>0</v>
      </c>
    </row>
    <row r="1586" spans="1:15" s="90" customFormat="1" ht="12.75" customHeight="1" x14ac:dyDescent="0.2">
      <c r="A1586" s="247" t="s">
        <v>1262</v>
      </c>
      <c r="B1586" s="316">
        <v>3046</v>
      </c>
      <c r="C1586" s="247" t="s">
        <v>975</v>
      </c>
      <c r="D1586" s="317">
        <v>42661</v>
      </c>
      <c r="E1586" s="318">
        <v>0.47030092592592593</v>
      </c>
      <c r="F1586" s="247" t="s">
        <v>976</v>
      </c>
      <c r="G1586" s="247" t="s">
        <v>1035</v>
      </c>
      <c r="H1586" s="248" t="s">
        <v>404</v>
      </c>
      <c r="I1586" s="248" t="s">
        <v>404</v>
      </c>
      <c r="J1586" s="247" t="s">
        <v>809</v>
      </c>
      <c r="K1586" s="249">
        <v>0</v>
      </c>
      <c r="M1586" s="90">
        <v>0</v>
      </c>
      <c r="N1586" s="90">
        <v>0</v>
      </c>
      <c r="O1586" s="90">
        <v>255</v>
      </c>
    </row>
    <row r="1587" spans="1:15" s="90" customFormat="1" ht="12.75" customHeight="1" x14ac:dyDescent="0.2">
      <c r="A1587" s="247" t="s">
        <v>982</v>
      </c>
      <c r="B1587" s="316">
        <v>3046</v>
      </c>
      <c r="C1587" s="247" t="s">
        <v>975</v>
      </c>
      <c r="D1587" s="317">
        <v>42661</v>
      </c>
      <c r="E1587" s="318">
        <v>0.62700231481481483</v>
      </c>
      <c r="F1587" s="247" t="s">
        <v>976</v>
      </c>
      <c r="G1587" s="247" t="s">
        <v>1035</v>
      </c>
      <c r="H1587" s="248" t="s">
        <v>404</v>
      </c>
      <c r="I1587" s="248" t="s">
        <v>404</v>
      </c>
      <c r="J1587" s="247" t="s">
        <v>809</v>
      </c>
      <c r="K1587" s="249">
        <v>0</v>
      </c>
      <c r="M1587" s="90">
        <v>0</v>
      </c>
      <c r="N1587" s="90">
        <v>0</v>
      </c>
      <c r="O1587" s="90">
        <v>255</v>
      </c>
    </row>
    <row r="1588" spans="1:15" s="90" customFormat="1" ht="12.75" customHeight="1" x14ac:dyDescent="0.2">
      <c r="A1588" s="247" t="s">
        <v>974</v>
      </c>
      <c r="B1588" s="316">
        <v>3046</v>
      </c>
      <c r="C1588" s="247" t="s">
        <v>975</v>
      </c>
      <c r="D1588" s="317">
        <v>42661</v>
      </c>
      <c r="E1588" s="318">
        <v>0.62815972222222227</v>
      </c>
      <c r="F1588" s="247" t="s">
        <v>976</v>
      </c>
      <c r="G1588" s="247" t="s">
        <v>1035</v>
      </c>
      <c r="H1588" s="248" t="s">
        <v>404</v>
      </c>
      <c r="I1588" s="248" t="s">
        <v>404</v>
      </c>
      <c r="J1588" s="247" t="s">
        <v>809</v>
      </c>
      <c r="K1588" s="249">
        <v>0</v>
      </c>
      <c r="M1588" s="90">
        <v>0</v>
      </c>
      <c r="N1588" s="90">
        <v>0</v>
      </c>
      <c r="O1588" s="90">
        <v>255</v>
      </c>
    </row>
    <row r="1589" spans="1:15" s="90" customFormat="1" ht="12.75" customHeight="1" x14ac:dyDescent="0.2">
      <c r="A1589" s="247" t="s">
        <v>977</v>
      </c>
      <c r="B1589" s="316">
        <v>3046</v>
      </c>
      <c r="C1589" s="247" t="s">
        <v>975</v>
      </c>
      <c r="D1589" s="317">
        <v>42661</v>
      </c>
      <c r="E1589" s="318">
        <v>0.62815972222222227</v>
      </c>
      <c r="F1589" s="247" t="s">
        <v>976</v>
      </c>
      <c r="G1589" s="247" t="s">
        <v>1035</v>
      </c>
      <c r="H1589" s="248" t="s">
        <v>404</v>
      </c>
      <c r="I1589" s="248" t="s">
        <v>404</v>
      </c>
      <c r="J1589" s="247" t="s">
        <v>809</v>
      </c>
      <c r="K1589" s="249">
        <v>0</v>
      </c>
      <c r="M1589" s="90">
        <v>0</v>
      </c>
      <c r="N1589" s="90">
        <v>0</v>
      </c>
      <c r="O1589" s="90">
        <v>255</v>
      </c>
    </row>
    <row r="1590" spans="1:15" s="90" customFormat="1" ht="12.75" customHeight="1" x14ac:dyDescent="0.2">
      <c r="A1590" s="247" t="s">
        <v>983</v>
      </c>
      <c r="B1590" s="316">
        <v>3046</v>
      </c>
      <c r="C1590" s="247" t="s">
        <v>975</v>
      </c>
      <c r="D1590" s="317">
        <v>42661</v>
      </c>
      <c r="E1590" s="318">
        <v>0.62870370370370365</v>
      </c>
      <c r="F1590" s="247" t="s">
        <v>976</v>
      </c>
      <c r="G1590" s="247" t="s">
        <v>1035</v>
      </c>
      <c r="H1590" s="248" t="s">
        <v>404</v>
      </c>
      <c r="I1590" s="248" t="s">
        <v>404</v>
      </c>
      <c r="J1590" s="247" t="s">
        <v>809</v>
      </c>
      <c r="K1590" s="249">
        <v>0</v>
      </c>
      <c r="M1590" s="90">
        <v>0</v>
      </c>
      <c r="N1590" s="90">
        <v>0</v>
      </c>
      <c r="O1590" s="90">
        <v>255</v>
      </c>
    </row>
    <row r="1591" spans="1:15" s="90" customFormat="1" ht="12.75" customHeight="1" x14ac:dyDescent="0.2">
      <c r="A1591" s="247" t="s">
        <v>991</v>
      </c>
      <c r="B1591" s="316">
        <v>3046</v>
      </c>
      <c r="C1591" s="247" t="s">
        <v>975</v>
      </c>
      <c r="D1591" s="317">
        <v>42661</v>
      </c>
      <c r="E1591" s="318">
        <v>0.62881944444444449</v>
      </c>
      <c r="F1591" s="247" t="s">
        <v>976</v>
      </c>
      <c r="G1591" s="247" t="s">
        <v>1035</v>
      </c>
      <c r="H1591" s="248" t="s">
        <v>404</v>
      </c>
      <c r="I1591" s="248" t="s">
        <v>404</v>
      </c>
      <c r="J1591" s="247" t="s">
        <v>809</v>
      </c>
      <c r="K1591" s="249">
        <v>0</v>
      </c>
      <c r="M1591" s="90">
        <v>0</v>
      </c>
      <c r="N1591" s="90">
        <v>0</v>
      </c>
      <c r="O1591" s="90">
        <v>255</v>
      </c>
    </row>
    <row r="1592" spans="1:15" s="90" customFormat="1" ht="12.75" customHeight="1" x14ac:dyDescent="0.2">
      <c r="A1592" s="247" t="s">
        <v>992</v>
      </c>
      <c r="B1592" s="316">
        <v>3046</v>
      </c>
      <c r="C1592" s="247" t="s">
        <v>975</v>
      </c>
      <c r="D1592" s="317">
        <v>42661</v>
      </c>
      <c r="E1592" s="318">
        <v>0.6300810185185185</v>
      </c>
      <c r="F1592" s="247" t="s">
        <v>976</v>
      </c>
      <c r="G1592" s="247" t="s">
        <v>1035</v>
      </c>
      <c r="H1592" s="248" t="s">
        <v>404</v>
      </c>
      <c r="I1592" s="248" t="s">
        <v>404</v>
      </c>
      <c r="J1592" s="247" t="s">
        <v>809</v>
      </c>
      <c r="K1592" s="249">
        <v>0</v>
      </c>
      <c r="M1592" s="90">
        <v>0</v>
      </c>
      <c r="N1592" s="90">
        <v>0</v>
      </c>
      <c r="O1592" s="90">
        <v>255</v>
      </c>
    </row>
    <row r="1593" spans="1:15" s="90" customFormat="1" ht="12.75" customHeight="1" x14ac:dyDescent="0.2">
      <c r="A1593" s="247" t="s">
        <v>988</v>
      </c>
      <c r="B1593" s="316">
        <v>3046</v>
      </c>
      <c r="C1593" s="247" t="s">
        <v>975</v>
      </c>
      <c r="D1593" s="317">
        <v>42661</v>
      </c>
      <c r="E1593" s="318">
        <v>0.63168981481481479</v>
      </c>
      <c r="F1593" s="247" t="s">
        <v>976</v>
      </c>
      <c r="G1593" s="247" t="s">
        <v>1035</v>
      </c>
      <c r="H1593" s="248" t="s">
        <v>404</v>
      </c>
      <c r="I1593" s="248" t="s">
        <v>404</v>
      </c>
      <c r="J1593" s="247" t="s">
        <v>809</v>
      </c>
      <c r="K1593" s="249">
        <v>0</v>
      </c>
      <c r="M1593" s="90">
        <v>0</v>
      </c>
      <c r="N1593" s="90">
        <v>0</v>
      </c>
      <c r="O1593" s="90">
        <v>255</v>
      </c>
    </row>
    <row r="1594" spans="1:15" s="90" customFormat="1" ht="12.75" customHeight="1" x14ac:dyDescent="0.2">
      <c r="A1594" s="247" t="s">
        <v>989</v>
      </c>
      <c r="B1594" s="316">
        <v>3046</v>
      </c>
      <c r="C1594" s="247" t="s">
        <v>975</v>
      </c>
      <c r="D1594" s="317">
        <v>42661</v>
      </c>
      <c r="E1594" s="318">
        <v>0.63168981481481479</v>
      </c>
      <c r="F1594" s="247" t="s">
        <v>976</v>
      </c>
      <c r="G1594" s="247" t="s">
        <v>1035</v>
      </c>
      <c r="H1594" s="248" t="s">
        <v>404</v>
      </c>
      <c r="I1594" s="248" t="s">
        <v>404</v>
      </c>
      <c r="J1594" s="247" t="s">
        <v>809</v>
      </c>
      <c r="K1594" s="249">
        <v>0</v>
      </c>
      <c r="M1594" s="90">
        <v>0</v>
      </c>
      <c r="N1594" s="90">
        <v>0</v>
      </c>
      <c r="O1594" s="90">
        <v>255</v>
      </c>
    </row>
    <row r="1595" spans="1:15" s="90" customFormat="1" ht="12.75" customHeight="1" x14ac:dyDescent="0.2">
      <c r="A1595" s="247" t="s">
        <v>1037</v>
      </c>
      <c r="B1595" s="316">
        <v>3108</v>
      </c>
      <c r="C1595" s="247" t="s">
        <v>975</v>
      </c>
      <c r="D1595" s="317">
        <v>42661</v>
      </c>
      <c r="E1595" s="318">
        <v>0.63240740740740742</v>
      </c>
      <c r="F1595" s="247" t="s">
        <v>978</v>
      </c>
      <c r="G1595" s="247" t="s">
        <v>1035</v>
      </c>
      <c r="H1595" s="248" t="s">
        <v>234</v>
      </c>
      <c r="I1595" s="248" t="s">
        <v>677</v>
      </c>
      <c r="J1595" s="247" t="s">
        <v>809</v>
      </c>
      <c r="K1595" s="249">
        <v>0</v>
      </c>
      <c r="M1595" s="90">
        <v>0</v>
      </c>
      <c r="N1595" s="90">
        <v>0</v>
      </c>
      <c r="O1595" s="90">
        <v>255</v>
      </c>
    </row>
    <row r="1596" spans="1:15" s="90" customFormat="1" ht="12.75" customHeight="1" x14ac:dyDescent="0.2">
      <c r="A1596" s="247" t="s">
        <v>1343</v>
      </c>
      <c r="B1596" s="316">
        <v>3107</v>
      </c>
      <c r="C1596" s="247" t="s">
        <v>975</v>
      </c>
      <c r="D1596" s="317">
        <v>42661</v>
      </c>
      <c r="E1596" s="318">
        <v>0.63249999999999995</v>
      </c>
      <c r="F1596" s="247" t="s">
        <v>978</v>
      </c>
      <c r="G1596" s="247"/>
      <c r="H1596" s="248" t="s">
        <v>234</v>
      </c>
      <c r="I1596" s="248" t="s">
        <v>677</v>
      </c>
      <c r="J1596" s="247" t="s">
        <v>809</v>
      </c>
      <c r="K1596" s="249">
        <v>0</v>
      </c>
      <c r="M1596" s="90">
        <v>0</v>
      </c>
      <c r="N1596" s="90">
        <v>0</v>
      </c>
      <c r="O1596" s="90">
        <v>255</v>
      </c>
    </row>
    <row r="1597" spans="1:15" s="90" customFormat="1" ht="12.75" customHeight="1" x14ac:dyDescent="0.2">
      <c r="A1597" s="247" t="s">
        <v>990</v>
      </c>
      <c r="B1597" s="316">
        <v>3046</v>
      </c>
      <c r="C1597" s="247" t="s">
        <v>975</v>
      </c>
      <c r="D1597" s="317">
        <v>42661</v>
      </c>
      <c r="E1597" s="318">
        <v>0.63253472222222229</v>
      </c>
      <c r="F1597" s="247" t="s">
        <v>976</v>
      </c>
      <c r="G1597" s="247"/>
      <c r="H1597" s="248" t="s">
        <v>404</v>
      </c>
      <c r="I1597" s="248" t="s">
        <v>404</v>
      </c>
      <c r="J1597" s="247" t="s">
        <v>809</v>
      </c>
      <c r="K1597" s="249">
        <v>0</v>
      </c>
      <c r="M1597" s="90">
        <v>0</v>
      </c>
      <c r="N1597" s="90">
        <v>0</v>
      </c>
      <c r="O1597" s="90">
        <v>255</v>
      </c>
    </row>
    <row r="1598" spans="1:15" s="90" customFormat="1" ht="12.75" customHeight="1" x14ac:dyDescent="0.2">
      <c r="A1598" s="247" t="s">
        <v>1132</v>
      </c>
      <c r="B1598" s="316">
        <v>3106</v>
      </c>
      <c r="C1598" s="247" t="s">
        <v>975</v>
      </c>
      <c r="D1598" s="317">
        <v>42661</v>
      </c>
      <c r="E1598" s="318">
        <v>0.63276620370370373</v>
      </c>
      <c r="F1598" s="247" t="s">
        <v>978</v>
      </c>
      <c r="G1598" s="247" t="s">
        <v>1133</v>
      </c>
      <c r="H1598" s="248" t="s">
        <v>234</v>
      </c>
      <c r="I1598" s="248" t="s">
        <v>677</v>
      </c>
      <c r="J1598" s="247" t="s">
        <v>809</v>
      </c>
      <c r="K1598" s="249">
        <v>0</v>
      </c>
      <c r="M1598" s="90">
        <v>0</v>
      </c>
      <c r="N1598" s="90">
        <v>0</v>
      </c>
      <c r="O1598" s="90">
        <v>255</v>
      </c>
    </row>
    <row r="1599" spans="1:15" s="90" customFormat="1" ht="12.75" customHeight="1" x14ac:dyDescent="0.2">
      <c r="A1599" s="247" t="s">
        <v>989</v>
      </c>
      <c r="B1599" s="316">
        <v>3046</v>
      </c>
      <c r="C1599" s="247" t="s">
        <v>975</v>
      </c>
      <c r="D1599" s="317">
        <v>42661</v>
      </c>
      <c r="E1599" s="318">
        <v>0.67420138888888881</v>
      </c>
      <c r="F1599" s="247" t="s">
        <v>976</v>
      </c>
      <c r="G1599" s="247" t="s">
        <v>1133</v>
      </c>
      <c r="H1599" s="248" t="s">
        <v>404</v>
      </c>
      <c r="I1599" s="248" t="s">
        <v>404</v>
      </c>
      <c r="J1599" s="247" t="s">
        <v>809</v>
      </c>
      <c r="K1599" s="249">
        <v>0</v>
      </c>
      <c r="M1599" s="90">
        <v>0</v>
      </c>
      <c r="N1599" s="90">
        <v>0</v>
      </c>
      <c r="O1599" s="90">
        <v>255</v>
      </c>
    </row>
    <row r="1600" spans="1:15" s="90" customFormat="1" ht="12.75" customHeight="1" x14ac:dyDescent="0.2">
      <c r="A1600" s="247" t="s">
        <v>990</v>
      </c>
      <c r="B1600" s="316">
        <v>3046</v>
      </c>
      <c r="C1600" s="247" t="s">
        <v>975</v>
      </c>
      <c r="D1600" s="317">
        <v>42661</v>
      </c>
      <c r="E1600" s="318">
        <v>0.67445601851851855</v>
      </c>
      <c r="F1600" s="247" t="s">
        <v>976</v>
      </c>
      <c r="G1600" s="247" t="s">
        <v>1133</v>
      </c>
      <c r="H1600" s="248" t="s">
        <v>404</v>
      </c>
      <c r="I1600" s="248" t="s">
        <v>404</v>
      </c>
      <c r="J1600" s="247" t="s">
        <v>809</v>
      </c>
      <c r="K1600" s="249">
        <v>0</v>
      </c>
      <c r="M1600" s="90">
        <v>0</v>
      </c>
      <c r="N1600" s="90">
        <v>0</v>
      </c>
      <c r="O1600" s="90">
        <v>255</v>
      </c>
    </row>
    <row r="1601" spans="1:15" s="90" customFormat="1" ht="12.75" customHeight="1" x14ac:dyDescent="0.2">
      <c r="A1601" s="247" t="s">
        <v>993</v>
      </c>
      <c r="B1601" s="316">
        <v>3217</v>
      </c>
      <c r="C1601" s="247" t="s">
        <v>975</v>
      </c>
      <c r="D1601" s="317">
        <v>42661</v>
      </c>
      <c r="E1601" s="318">
        <v>0.67445601851851855</v>
      </c>
      <c r="F1601" s="247" t="s">
        <v>235</v>
      </c>
      <c r="G1601" s="247" t="s">
        <v>1133</v>
      </c>
      <c r="H1601" s="248" t="s">
        <v>234</v>
      </c>
      <c r="I1601" s="248" t="s">
        <v>235</v>
      </c>
      <c r="J1601" s="247" t="s">
        <v>809</v>
      </c>
      <c r="K1601" s="249">
        <v>0</v>
      </c>
      <c r="M1601" s="90">
        <v>0</v>
      </c>
      <c r="N1601" s="90">
        <v>0</v>
      </c>
      <c r="O1601" s="90">
        <v>255</v>
      </c>
    </row>
    <row r="1602" spans="1:15" s="90" customFormat="1" ht="12.75" customHeight="1" x14ac:dyDescent="0.2">
      <c r="A1602" s="247" t="s">
        <v>989</v>
      </c>
      <c r="B1602" s="316">
        <v>3046</v>
      </c>
      <c r="C1602" s="247" t="s">
        <v>975</v>
      </c>
      <c r="D1602" s="317">
        <v>42661</v>
      </c>
      <c r="E1602" s="318">
        <v>0.71612268518518529</v>
      </c>
      <c r="F1602" s="247" t="s">
        <v>976</v>
      </c>
      <c r="G1602" s="247" t="s">
        <v>1133</v>
      </c>
      <c r="H1602" s="248" t="s">
        <v>404</v>
      </c>
      <c r="I1602" s="248" t="s">
        <v>404</v>
      </c>
      <c r="J1602" s="247" t="s">
        <v>809</v>
      </c>
      <c r="K1602" s="249">
        <v>0</v>
      </c>
      <c r="M1602" s="90">
        <v>0</v>
      </c>
      <c r="N1602" s="90">
        <v>0</v>
      </c>
      <c r="O1602" s="90">
        <v>255</v>
      </c>
    </row>
    <row r="1603" spans="1:15" s="90" customFormat="1" ht="12.75" customHeight="1" x14ac:dyDescent="0.2">
      <c r="A1603" s="247" t="s">
        <v>990</v>
      </c>
      <c r="B1603" s="316">
        <v>3046</v>
      </c>
      <c r="C1603" s="247" t="s">
        <v>975</v>
      </c>
      <c r="D1603" s="317">
        <v>42661</v>
      </c>
      <c r="E1603" s="318">
        <v>0.71637731481481481</v>
      </c>
      <c r="F1603" s="247" t="s">
        <v>976</v>
      </c>
      <c r="G1603" s="247" t="s">
        <v>1133</v>
      </c>
      <c r="H1603" s="248" t="s">
        <v>404</v>
      </c>
      <c r="I1603" s="248" t="s">
        <v>404</v>
      </c>
      <c r="J1603" s="247" t="s">
        <v>809</v>
      </c>
      <c r="K1603" s="249">
        <v>0</v>
      </c>
      <c r="M1603" s="90">
        <v>0</v>
      </c>
      <c r="N1603" s="90">
        <v>0</v>
      </c>
      <c r="O1603" s="90">
        <v>255</v>
      </c>
    </row>
    <row r="1604" spans="1:15" s="90" customFormat="1" ht="12.75" customHeight="1" x14ac:dyDescent="0.2">
      <c r="A1604" s="247" t="s">
        <v>993</v>
      </c>
      <c r="B1604" s="316">
        <v>3217</v>
      </c>
      <c r="C1604" s="247" t="s">
        <v>975</v>
      </c>
      <c r="D1604" s="317">
        <v>42661</v>
      </c>
      <c r="E1604" s="318">
        <v>0.71637731481481481</v>
      </c>
      <c r="F1604" s="247" t="s">
        <v>235</v>
      </c>
      <c r="G1604" s="247" t="s">
        <v>1133</v>
      </c>
      <c r="H1604" s="248" t="s">
        <v>234</v>
      </c>
      <c r="I1604" s="248" t="s">
        <v>235</v>
      </c>
      <c r="J1604" s="247" t="s">
        <v>809</v>
      </c>
      <c r="K1604" s="249">
        <v>0</v>
      </c>
      <c r="M1604" s="90">
        <v>0</v>
      </c>
      <c r="N1604" s="90">
        <v>0</v>
      </c>
      <c r="O1604" s="90">
        <v>255</v>
      </c>
    </row>
    <row r="1605" spans="1:15" s="90" customFormat="1" ht="12.75" customHeight="1" x14ac:dyDescent="0.2">
      <c r="A1605" s="247" t="s">
        <v>989</v>
      </c>
      <c r="B1605" s="316">
        <v>3046</v>
      </c>
      <c r="C1605" s="247" t="s">
        <v>975</v>
      </c>
      <c r="D1605" s="317">
        <v>42661</v>
      </c>
      <c r="E1605" s="318">
        <v>0.75804398148148155</v>
      </c>
      <c r="F1605" s="247" t="s">
        <v>976</v>
      </c>
      <c r="G1605" s="247" t="s">
        <v>1133</v>
      </c>
      <c r="H1605" s="248" t="s">
        <v>404</v>
      </c>
      <c r="I1605" s="248" t="s">
        <v>404</v>
      </c>
      <c r="J1605" s="247" t="s">
        <v>809</v>
      </c>
      <c r="K1605" s="249">
        <v>0</v>
      </c>
      <c r="M1605" s="90">
        <v>0</v>
      </c>
      <c r="N1605" s="90">
        <v>0</v>
      </c>
      <c r="O1605" s="90">
        <v>255</v>
      </c>
    </row>
    <row r="1606" spans="1:15" s="90" customFormat="1" ht="12.75" customHeight="1" x14ac:dyDescent="0.2">
      <c r="A1606" s="247" t="s">
        <v>990</v>
      </c>
      <c r="B1606" s="316">
        <v>3046</v>
      </c>
      <c r="C1606" s="247" t="s">
        <v>975</v>
      </c>
      <c r="D1606" s="317">
        <v>42661</v>
      </c>
      <c r="E1606" s="318">
        <v>0.75829861111111108</v>
      </c>
      <c r="F1606" s="247" t="s">
        <v>976</v>
      </c>
      <c r="G1606" s="247" t="s">
        <v>1133</v>
      </c>
      <c r="H1606" s="248" t="s">
        <v>404</v>
      </c>
      <c r="I1606" s="248" t="s">
        <v>404</v>
      </c>
      <c r="J1606" s="247" t="s">
        <v>809</v>
      </c>
      <c r="K1606" s="249">
        <v>0</v>
      </c>
      <c r="M1606" s="90">
        <v>0</v>
      </c>
      <c r="N1606" s="90">
        <v>0</v>
      </c>
      <c r="O1606" s="90">
        <v>255</v>
      </c>
    </row>
    <row r="1607" spans="1:15" s="90" customFormat="1" ht="12.75" customHeight="1" x14ac:dyDescent="0.2">
      <c r="A1607" s="247" t="s">
        <v>993</v>
      </c>
      <c r="B1607" s="316">
        <v>3217</v>
      </c>
      <c r="C1607" s="247" t="s">
        <v>975</v>
      </c>
      <c r="D1607" s="317">
        <v>42661</v>
      </c>
      <c r="E1607" s="318">
        <v>0.75829861111111108</v>
      </c>
      <c r="F1607" s="247" t="s">
        <v>235</v>
      </c>
      <c r="G1607" s="247" t="s">
        <v>1133</v>
      </c>
      <c r="H1607" s="248" t="s">
        <v>234</v>
      </c>
      <c r="I1607" s="248" t="s">
        <v>235</v>
      </c>
      <c r="J1607" s="247" t="s">
        <v>809</v>
      </c>
      <c r="K1607" s="249">
        <v>0</v>
      </c>
      <c r="M1607" s="90">
        <v>0</v>
      </c>
      <c r="N1607" s="90">
        <v>0</v>
      </c>
      <c r="O1607" s="90">
        <v>255</v>
      </c>
    </row>
    <row r="1608" spans="1:15" s="90" customFormat="1" ht="12.75" customHeight="1" x14ac:dyDescent="0.2">
      <c r="A1608" s="247" t="s">
        <v>989</v>
      </c>
      <c r="B1608" s="316">
        <v>3046</v>
      </c>
      <c r="C1608" s="247" t="s">
        <v>975</v>
      </c>
      <c r="D1608" s="317">
        <v>42661</v>
      </c>
      <c r="E1608" s="318">
        <v>0.79996527777777782</v>
      </c>
      <c r="F1608" s="247" t="s">
        <v>976</v>
      </c>
      <c r="G1608" s="247" t="s">
        <v>1133</v>
      </c>
      <c r="H1608" s="248" t="s">
        <v>404</v>
      </c>
      <c r="I1608" s="248" t="s">
        <v>404</v>
      </c>
      <c r="J1608" s="247" t="s">
        <v>809</v>
      </c>
      <c r="K1608" s="249">
        <v>0</v>
      </c>
      <c r="M1608" s="90">
        <v>0</v>
      </c>
      <c r="N1608" s="90">
        <v>0</v>
      </c>
      <c r="O1608" s="90">
        <v>255</v>
      </c>
    </row>
    <row r="1609" spans="1:15" s="90" customFormat="1" ht="12.75" customHeight="1" x14ac:dyDescent="0.2">
      <c r="A1609" s="247" t="s">
        <v>990</v>
      </c>
      <c r="B1609" s="316">
        <v>3046</v>
      </c>
      <c r="C1609" s="247" t="s">
        <v>975</v>
      </c>
      <c r="D1609" s="317">
        <v>42661</v>
      </c>
      <c r="E1609" s="318">
        <v>0.80021990740740734</v>
      </c>
      <c r="F1609" s="247" t="s">
        <v>976</v>
      </c>
      <c r="G1609" s="247" t="s">
        <v>1133</v>
      </c>
      <c r="H1609" s="248" t="s">
        <v>404</v>
      </c>
      <c r="I1609" s="248" t="s">
        <v>404</v>
      </c>
      <c r="J1609" s="247" t="s">
        <v>809</v>
      </c>
      <c r="K1609" s="249">
        <v>0</v>
      </c>
      <c r="M1609" s="90">
        <v>0</v>
      </c>
      <c r="N1609" s="90">
        <v>0</v>
      </c>
      <c r="O1609" s="90">
        <v>255</v>
      </c>
    </row>
    <row r="1610" spans="1:15" s="90" customFormat="1" ht="12.75" customHeight="1" x14ac:dyDescent="0.2">
      <c r="A1610" s="247" t="s">
        <v>993</v>
      </c>
      <c r="B1610" s="316">
        <v>3217</v>
      </c>
      <c r="C1610" s="247" t="s">
        <v>975</v>
      </c>
      <c r="D1610" s="317">
        <v>42661</v>
      </c>
      <c r="E1610" s="318">
        <v>0.80021990740740734</v>
      </c>
      <c r="F1610" s="247" t="s">
        <v>235</v>
      </c>
      <c r="G1610" s="247" t="s">
        <v>1133</v>
      </c>
      <c r="H1610" s="248" t="s">
        <v>234</v>
      </c>
      <c r="I1610" s="248" t="s">
        <v>235</v>
      </c>
      <c r="J1610" s="247" t="s">
        <v>809</v>
      </c>
      <c r="K1610" s="249">
        <v>0</v>
      </c>
      <c r="M1610" s="90">
        <v>0</v>
      </c>
      <c r="N1610" s="90">
        <v>0</v>
      </c>
      <c r="O1610" s="90">
        <v>255</v>
      </c>
    </row>
    <row r="1611" spans="1:15" s="90" customFormat="1" ht="12.75" customHeight="1" x14ac:dyDescent="0.2">
      <c r="A1611" s="247" t="s">
        <v>989</v>
      </c>
      <c r="B1611" s="316">
        <v>3046</v>
      </c>
      <c r="C1611" s="247" t="s">
        <v>975</v>
      </c>
      <c r="D1611" s="317">
        <v>42661</v>
      </c>
      <c r="E1611" s="318">
        <v>0.84188657407407408</v>
      </c>
      <c r="F1611" s="247" t="s">
        <v>976</v>
      </c>
      <c r="G1611" s="247" t="s">
        <v>1133</v>
      </c>
      <c r="H1611" s="248" t="s">
        <v>404</v>
      </c>
      <c r="I1611" s="248" t="s">
        <v>404</v>
      </c>
      <c r="J1611" s="247" t="s">
        <v>809</v>
      </c>
      <c r="K1611" s="249">
        <v>0</v>
      </c>
      <c r="M1611" s="90">
        <v>0</v>
      </c>
      <c r="N1611" s="90">
        <v>0</v>
      </c>
      <c r="O1611" s="90">
        <v>255</v>
      </c>
    </row>
    <row r="1612" spans="1:15" s="90" customFormat="1" ht="12.75" customHeight="1" x14ac:dyDescent="0.2">
      <c r="A1612" s="247" t="s">
        <v>990</v>
      </c>
      <c r="B1612" s="316">
        <v>3046</v>
      </c>
      <c r="C1612" s="247" t="s">
        <v>975</v>
      </c>
      <c r="D1612" s="317">
        <v>42661</v>
      </c>
      <c r="E1612" s="318">
        <v>0.8421412037037036</v>
      </c>
      <c r="F1612" s="247" t="s">
        <v>976</v>
      </c>
      <c r="G1612" s="247" t="s">
        <v>1133</v>
      </c>
      <c r="H1612" s="248" t="s">
        <v>404</v>
      </c>
      <c r="I1612" s="248" t="s">
        <v>404</v>
      </c>
      <c r="J1612" s="247" t="s">
        <v>809</v>
      </c>
      <c r="K1612" s="249">
        <v>0</v>
      </c>
      <c r="M1612" s="90">
        <v>0</v>
      </c>
      <c r="N1612" s="90">
        <v>0</v>
      </c>
      <c r="O1612" s="90">
        <v>255</v>
      </c>
    </row>
    <row r="1613" spans="1:15" s="90" customFormat="1" ht="12.75" customHeight="1" x14ac:dyDescent="0.2">
      <c r="A1613" s="247" t="s">
        <v>993</v>
      </c>
      <c r="B1613" s="316">
        <v>3217</v>
      </c>
      <c r="C1613" s="247" t="s">
        <v>975</v>
      </c>
      <c r="D1613" s="317">
        <v>42661</v>
      </c>
      <c r="E1613" s="318">
        <v>0.8421412037037036</v>
      </c>
      <c r="F1613" s="247" t="s">
        <v>235</v>
      </c>
      <c r="G1613" s="247" t="s">
        <v>1133</v>
      </c>
      <c r="H1613" s="248" t="s">
        <v>234</v>
      </c>
      <c r="I1613" s="248" t="s">
        <v>235</v>
      </c>
      <c r="J1613" s="247" t="s">
        <v>809</v>
      </c>
      <c r="K1613" s="249">
        <v>0</v>
      </c>
      <c r="M1613" s="90">
        <v>0</v>
      </c>
      <c r="N1613" s="90">
        <v>0</v>
      </c>
      <c r="O1613" s="90">
        <v>255</v>
      </c>
    </row>
    <row r="1614" spans="1:15" s="90" customFormat="1" ht="12.75" customHeight="1" x14ac:dyDescent="0.2">
      <c r="A1614" s="247" t="s">
        <v>989</v>
      </c>
      <c r="B1614" s="316">
        <v>3046</v>
      </c>
      <c r="C1614" s="247" t="s">
        <v>975</v>
      </c>
      <c r="D1614" s="317">
        <v>42661</v>
      </c>
      <c r="E1614" s="318">
        <v>0.88380787037037034</v>
      </c>
      <c r="F1614" s="247" t="s">
        <v>976</v>
      </c>
      <c r="G1614" s="247" t="s">
        <v>1133</v>
      </c>
      <c r="H1614" s="248" t="s">
        <v>404</v>
      </c>
      <c r="I1614" s="248" t="s">
        <v>404</v>
      </c>
      <c r="J1614" s="247" t="s">
        <v>809</v>
      </c>
      <c r="K1614" s="249">
        <v>0</v>
      </c>
      <c r="M1614" s="90">
        <v>0</v>
      </c>
      <c r="N1614" s="90">
        <v>0</v>
      </c>
      <c r="O1614" s="90">
        <v>255</v>
      </c>
    </row>
    <row r="1615" spans="1:15" s="90" customFormat="1" ht="12.75" customHeight="1" x14ac:dyDescent="0.2">
      <c r="A1615" s="247" t="s">
        <v>990</v>
      </c>
      <c r="B1615" s="316">
        <v>3046</v>
      </c>
      <c r="C1615" s="247" t="s">
        <v>975</v>
      </c>
      <c r="D1615" s="317">
        <v>42661</v>
      </c>
      <c r="E1615" s="318">
        <v>0.88406250000000008</v>
      </c>
      <c r="F1615" s="247" t="s">
        <v>976</v>
      </c>
      <c r="G1615" s="247" t="s">
        <v>1133</v>
      </c>
      <c r="H1615" s="248" t="s">
        <v>404</v>
      </c>
      <c r="I1615" s="248" t="s">
        <v>404</v>
      </c>
      <c r="J1615" s="247" t="s">
        <v>809</v>
      </c>
      <c r="K1615" s="249">
        <v>0</v>
      </c>
      <c r="M1615" s="90">
        <v>0</v>
      </c>
      <c r="N1615" s="90">
        <v>0</v>
      </c>
      <c r="O1615" s="90">
        <v>255</v>
      </c>
    </row>
    <row r="1616" spans="1:15" s="90" customFormat="1" ht="12.75" customHeight="1" x14ac:dyDescent="0.2">
      <c r="A1616" s="247" t="s">
        <v>993</v>
      </c>
      <c r="B1616" s="316">
        <v>3217</v>
      </c>
      <c r="C1616" s="247" t="s">
        <v>975</v>
      </c>
      <c r="D1616" s="317">
        <v>42661</v>
      </c>
      <c r="E1616" s="318">
        <v>0.88406250000000008</v>
      </c>
      <c r="F1616" s="247" t="s">
        <v>235</v>
      </c>
      <c r="G1616" s="247" t="s">
        <v>1133</v>
      </c>
      <c r="H1616" s="248" t="s">
        <v>234</v>
      </c>
      <c r="I1616" s="248" t="s">
        <v>235</v>
      </c>
      <c r="J1616" s="247" t="s">
        <v>809</v>
      </c>
      <c r="K1616" s="249">
        <v>0</v>
      </c>
      <c r="M1616" s="90">
        <v>0</v>
      </c>
      <c r="N1616" s="90">
        <v>0</v>
      </c>
      <c r="O1616" s="90">
        <v>255</v>
      </c>
    </row>
    <row r="1617" spans="1:15" s="90" customFormat="1" ht="12.75" customHeight="1" x14ac:dyDescent="0.2">
      <c r="A1617" s="247" t="s">
        <v>989</v>
      </c>
      <c r="B1617" s="316">
        <v>3046</v>
      </c>
      <c r="C1617" s="247" t="s">
        <v>975</v>
      </c>
      <c r="D1617" s="317">
        <v>42661</v>
      </c>
      <c r="E1617" s="318">
        <v>0.92572916666666671</v>
      </c>
      <c r="F1617" s="247" t="s">
        <v>976</v>
      </c>
      <c r="G1617" s="247" t="s">
        <v>1133</v>
      </c>
      <c r="H1617" s="248" t="s">
        <v>404</v>
      </c>
      <c r="I1617" s="248" t="s">
        <v>404</v>
      </c>
      <c r="J1617" s="247" t="s">
        <v>809</v>
      </c>
      <c r="K1617" s="249">
        <v>0</v>
      </c>
      <c r="M1617" s="90">
        <v>0</v>
      </c>
      <c r="N1617" s="90">
        <v>0</v>
      </c>
      <c r="O1617" s="90">
        <v>255</v>
      </c>
    </row>
    <row r="1618" spans="1:15" s="90" customFormat="1" ht="12.75" customHeight="1" x14ac:dyDescent="0.2">
      <c r="A1618" s="247" t="s">
        <v>990</v>
      </c>
      <c r="B1618" s="316">
        <v>3046</v>
      </c>
      <c r="C1618" s="247" t="s">
        <v>975</v>
      </c>
      <c r="D1618" s="317">
        <v>42661</v>
      </c>
      <c r="E1618" s="318">
        <v>0.92598379629629635</v>
      </c>
      <c r="F1618" s="247" t="s">
        <v>976</v>
      </c>
      <c r="G1618" s="247" t="s">
        <v>1133</v>
      </c>
      <c r="H1618" s="248" t="s">
        <v>404</v>
      </c>
      <c r="I1618" s="248" t="s">
        <v>404</v>
      </c>
      <c r="J1618" s="247" t="s">
        <v>809</v>
      </c>
      <c r="K1618" s="249">
        <v>0</v>
      </c>
      <c r="M1618" s="90">
        <v>0</v>
      </c>
      <c r="N1618" s="90">
        <v>0</v>
      </c>
      <c r="O1618" s="90">
        <v>255</v>
      </c>
    </row>
    <row r="1619" spans="1:15" s="90" customFormat="1" ht="12.75" customHeight="1" x14ac:dyDescent="0.2">
      <c r="A1619" s="247" t="s">
        <v>993</v>
      </c>
      <c r="B1619" s="316">
        <v>3217</v>
      </c>
      <c r="C1619" s="247" t="s">
        <v>975</v>
      </c>
      <c r="D1619" s="317">
        <v>42661</v>
      </c>
      <c r="E1619" s="318">
        <v>0.92598379629629635</v>
      </c>
      <c r="F1619" s="247" t="s">
        <v>235</v>
      </c>
      <c r="G1619" s="247" t="s">
        <v>1133</v>
      </c>
      <c r="H1619" s="248" t="s">
        <v>234</v>
      </c>
      <c r="I1619" s="248" t="s">
        <v>235</v>
      </c>
      <c r="J1619" s="247" t="s">
        <v>809</v>
      </c>
      <c r="K1619" s="249">
        <v>0</v>
      </c>
      <c r="M1619" s="90">
        <v>0</v>
      </c>
      <c r="N1619" s="90">
        <v>0</v>
      </c>
      <c r="O1619" s="90">
        <v>255</v>
      </c>
    </row>
    <row r="1620" spans="1:15" s="90" customFormat="1" ht="12.75" customHeight="1" x14ac:dyDescent="0.2">
      <c r="A1620" s="247" t="s">
        <v>989</v>
      </c>
      <c r="B1620" s="316">
        <v>3046</v>
      </c>
      <c r="C1620" s="247" t="s">
        <v>975</v>
      </c>
      <c r="D1620" s="317">
        <v>42661</v>
      </c>
      <c r="E1620" s="318">
        <v>0.96765046296296298</v>
      </c>
      <c r="F1620" s="247" t="s">
        <v>976</v>
      </c>
      <c r="G1620" s="247" t="s">
        <v>1133</v>
      </c>
      <c r="H1620" s="248" t="s">
        <v>404</v>
      </c>
      <c r="I1620" s="248" t="s">
        <v>404</v>
      </c>
      <c r="J1620" s="247" t="s">
        <v>809</v>
      </c>
      <c r="K1620" s="249">
        <v>0</v>
      </c>
      <c r="M1620" s="90">
        <v>0</v>
      </c>
      <c r="N1620" s="90">
        <v>0</v>
      </c>
      <c r="O1620" s="90">
        <v>255</v>
      </c>
    </row>
    <row r="1621" spans="1:15" s="90" customFormat="1" ht="12.75" customHeight="1" x14ac:dyDescent="0.2">
      <c r="A1621" s="247" t="s">
        <v>990</v>
      </c>
      <c r="B1621" s="316">
        <v>3046</v>
      </c>
      <c r="C1621" s="247" t="s">
        <v>975</v>
      </c>
      <c r="D1621" s="317">
        <v>42661</v>
      </c>
      <c r="E1621" s="318">
        <v>0.96790509259259261</v>
      </c>
      <c r="F1621" s="247" t="s">
        <v>976</v>
      </c>
      <c r="G1621" s="247" t="s">
        <v>1133</v>
      </c>
      <c r="H1621" s="248" t="s">
        <v>404</v>
      </c>
      <c r="I1621" s="248" t="s">
        <v>404</v>
      </c>
      <c r="J1621" s="247" t="s">
        <v>809</v>
      </c>
      <c r="K1621" s="249">
        <v>0</v>
      </c>
      <c r="M1621" s="90">
        <v>0</v>
      </c>
      <c r="N1621" s="90">
        <v>0</v>
      </c>
      <c r="O1621" s="90">
        <v>255</v>
      </c>
    </row>
    <row r="1622" spans="1:15" s="90" customFormat="1" ht="12.75" customHeight="1" x14ac:dyDescent="0.2">
      <c r="A1622" s="247" t="s">
        <v>993</v>
      </c>
      <c r="B1622" s="316">
        <v>3217</v>
      </c>
      <c r="C1622" s="247" t="s">
        <v>975</v>
      </c>
      <c r="D1622" s="317">
        <v>42661</v>
      </c>
      <c r="E1622" s="318">
        <v>0.96790509259259261</v>
      </c>
      <c r="F1622" s="247" t="s">
        <v>235</v>
      </c>
      <c r="G1622" s="247" t="s">
        <v>1133</v>
      </c>
      <c r="H1622" s="248" t="s">
        <v>234</v>
      </c>
      <c r="I1622" s="248" t="s">
        <v>235</v>
      </c>
      <c r="J1622" s="247" t="s">
        <v>809</v>
      </c>
      <c r="K1622" s="249">
        <v>0</v>
      </c>
      <c r="M1622" s="90">
        <v>0</v>
      </c>
      <c r="N1622" s="90">
        <v>0</v>
      </c>
      <c r="O1622" s="90">
        <v>255</v>
      </c>
    </row>
    <row r="1623" spans="1:15" s="90" customFormat="1" ht="12.75" customHeight="1" x14ac:dyDescent="0.2">
      <c r="A1623" s="247" t="s">
        <v>1008</v>
      </c>
      <c r="B1623" s="316">
        <v>3046</v>
      </c>
      <c r="C1623" s="247" t="s">
        <v>975</v>
      </c>
      <c r="D1623" s="317">
        <v>42661</v>
      </c>
      <c r="E1623" s="318">
        <v>0.97385416666666658</v>
      </c>
      <c r="F1623" s="247" t="s">
        <v>976</v>
      </c>
      <c r="G1623" s="247" t="s">
        <v>1133</v>
      </c>
      <c r="H1623" s="248" t="s">
        <v>404</v>
      </c>
      <c r="I1623" s="248" t="s">
        <v>404</v>
      </c>
      <c r="J1623" s="247" t="s">
        <v>809</v>
      </c>
      <c r="K1623" s="249">
        <v>0</v>
      </c>
      <c r="M1623" s="90">
        <v>0</v>
      </c>
      <c r="N1623" s="90">
        <v>0</v>
      </c>
      <c r="O1623" s="90">
        <v>255</v>
      </c>
    </row>
    <row r="1624" spans="1:15" s="90" customFormat="1" ht="12.75" customHeight="1" x14ac:dyDescent="0.2">
      <c r="A1624" s="247" t="s">
        <v>974</v>
      </c>
      <c r="B1624" s="316">
        <v>3046</v>
      </c>
      <c r="C1624" s="247" t="s">
        <v>975</v>
      </c>
      <c r="D1624" s="317">
        <v>42661</v>
      </c>
      <c r="E1624" s="318">
        <v>0.97490740740740733</v>
      </c>
      <c r="F1624" s="247" t="s">
        <v>976</v>
      </c>
      <c r="G1624" s="247" t="s">
        <v>1133</v>
      </c>
      <c r="H1624" s="248" t="s">
        <v>404</v>
      </c>
      <c r="I1624" s="248" t="s">
        <v>404</v>
      </c>
      <c r="J1624" s="247" t="s">
        <v>809</v>
      </c>
      <c r="K1624" s="249">
        <v>0</v>
      </c>
      <c r="M1624" s="90">
        <v>0</v>
      </c>
      <c r="N1624" s="90">
        <v>0</v>
      </c>
      <c r="O1624" s="90">
        <v>255</v>
      </c>
    </row>
    <row r="1625" spans="1:15" s="90" customFormat="1" ht="12.75" customHeight="1" x14ac:dyDescent="0.2">
      <c r="A1625" s="247" t="s">
        <v>977</v>
      </c>
      <c r="B1625" s="316">
        <v>3046</v>
      </c>
      <c r="C1625" s="247" t="s">
        <v>975</v>
      </c>
      <c r="D1625" s="317">
        <v>42661</v>
      </c>
      <c r="E1625" s="318">
        <v>0.97490740740740733</v>
      </c>
      <c r="F1625" s="247" t="s">
        <v>976</v>
      </c>
      <c r="G1625" s="247" t="s">
        <v>1133</v>
      </c>
      <c r="H1625" s="248" t="s">
        <v>404</v>
      </c>
      <c r="I1625" s="248" t="s">
        <v>404</v>
      </c>
      <c r="J1625" s="247" t="s">
        <v>809</v>
      </c>
      <c r="K1625" s="249">
        <v>0</v>
      </c>
      <c r="M1625" s="90">
        <v>0</v>
      </c>
      <c r="N1625" s="90">
        <v>0</v>
      </c>
      <c r="O1625" s="90">
        <v>255</v>
      </c>
    </row>
    <row r="1626" spans="1:15" s="90" customFormat="1" ht="12.75" customHeight="1" x14ac:dyDescent="0.2">
      <c r="A1626" s="247" t="s">
        <v>983</v>
      </c>
      <c r="B1626" s="316">
        <v>3046</v>
      </c>
      <c r="C1626" s="247" t="s">
        <v>975</v>
      </c>
      <c r="D1626" s="317">
        <v>42661</v>
      </c>
      <c r="E1626" s="318">
        <v>0.97545138888888883</v>
      </c>
      <c r="F1626" s="247" t="s">
        <v>976</v>
      </c>
      <c r="G1626" s="247" t="s">
        <v>1133</v>
      </c>
      <c r="H1626" s="248" t="s">
        <v>404</v>
      </c>
      <c r="I1626" s="248" t="s">
        <v>404</v>
      </c>
      <c r="J1626" s="247" t="s">
        <v>809</v>
      </c>
      <c r="K1626" s="249">
        <v>0</v>
      </c>
      <c r="M1626" s="90">
        <v>0</v>
      </c>
      <c r="N1626" s="90">
        <v>0</v>
      </c>
      <c r="O1626" s="90">
        <v>255</v>
      </c>
    </row>
    <row r="1627" spans="1:15" s="90" customFormat="1" ht="12.75" customHeight="1" x14ac:dyDescent="0.2">
      <c r="A1627" s="247" t="s">
        <v>991</v>
      </c>
      <c r="B1627" s="316">
        <v>3046</v>
      </c>
      <c r="C1627" s="247" t="s">
        <v>975</v>
      </c>
      <c r="D1627" s="317">
        <v>42661</v>
      </c>
      <c r="E1627" s="318">
        <v>0.97556712962962966</v>
      </c>
      <c r="F1627" s="247" t="s">
        <v>976</v>
      </c>
      <c r="G1627" s="247" t="s">
        <v>1133</v>
      </c>
      <c r="H1627" s="248" t="s">
        <v>404</v>
      </c>
      <c r="I1627" s="248" t="s">
        <v>404</v>
      </c>
      <c r="J1627" s="247" t="s">
        <v>809</v>
      </c>
      <c r="K1627" s="249">
        <v>0</v>
      </c>
      <c r="M1627" s="90">
        <v>0</v>
      </c>
      <c r="N1627" s="90">
        <v>0</v>
      </c>
      <c r="O1627" s="90">
        <v>255</v>
      </c>
    </row>
    <row r="1628" spans="1:15" s="90" customFormat="1" ht="12.75" customHeight="1" x14ac:dyDescent="0.2">
      <c r="A1628" s="247" t="s">
        <v>992</v>
      </c>
      <c r="B1628" s="316">
        <v>3046</v>
      </c>
      <c r="C1628" s="247" t="s">
        <v>975</v>
      </c>
      <c r="D1628" s="317">
        <v>42661</v>
      </c>
      <c r="E1628" s="318">
        <v>0.97684027777777782</v>
      </c>
      <c r="F1628" s="247" t="s">
        <v>976</v>
      </c>
      <c r="G1628" s="247" t="s">
        <v>1133</v>
      </c>
      <c r="H1628" s="248" t="s">
        <v>404</v>
      </c>
      <c r="I1628" s="248" t="s">
        <v>404</v>
      </c>
      <c r="J1628" s="247" t="s">
        <v>809</v>
      </c>
      <c r="K1628" s="249">
        <v>0</v>
      </c>
      <c r="M1628" s="90">
        <v>0</v>
      </c>
      <c r="N1628" s="90">
        <v>0</v>
      </c>
      <c r="O1628" s="90">
        <v>255</v>
      </c>
    </row>
    <row r="1629" spans="1:15" s="90" customFormat="1" ht="12.75" customHeight="1" x14ac:dyDescent="0.2">
      <c r="A1629" s="247" t="s">
        <v>1144</v>
      </c>
      <c r="B1629" s="316">
        <v>3218</v>
      </c>
      <c r="C1629" s="247" t="s">
        <v>979</v>
      </c>
      <c r="D1629" s="317">
        <v>42661</v>
      </c>
      <c r="E1629" s="318">
        <v>0.97788194444444443</v>
      </c>
      <c r="F1629" s="247" t="s">
        <v>702</v>
      </c>
      <c r="G1629" s="247" t="s">
        <v>1133</v>
      </c>
      <c r="H1629" s="248"/>
      <c r="I1629" s="248"/>
      <c r="J1629" s="247"/>
      <c r="K1629" s="249"/>
      <c r="M1629" s="90">
        <v>0</v>
      </c>
      <c r="N1629" s="90">
        <v>0</v>
      </c>
      <c r="O1629" s="90">
        <v>255</v>
      </c>
    </row>
    <row r="1630" spans="1:15" s="90" customFormat="1" ht="12.75" customHeight="1" x14ac:dyDescent="0.2">
      <c r="A1630" s="247" t="s">
        <v>988</v>
      </c>
      <c r="B1630" s="316">
        <v>3046</v>
      </c>
      <c r="C1630" s="247" t="s">
        <v>975</v>
      </c>
      <c r="D1630" s="317">
        <v>42661</v>
      </c>
      <c r="E1630" s="318">
        <v>0.97843750000000007</v>
      </c>
      <c r="F1630" s="247" t="s">
        <v>976</v>
      </c>
      <c r="G1630" s="247" t="s">
        <v>1133</v>
      </c>
      <c r="H1630" s="248" t="s">
        <v>404</v>
      </c>
      <c r="I1630" s="248" t="s">
        <v>404</v>
      </c>
      <c r="J1630" s="247" t="s">
        <v>809</v>
      </c>
      <c r="K1630" s="249">
        <v>0</v>
      </c>
      <c r="M1630" s="90">
        <v>0</v>
      </c>
      <c r="N1630" s="90">
        <v>0</v>
      </c>
      <c r="O1630" s="90">
        <v>255</v>
      </c>
    </row>
    <row r="1631" spans="1:15" s="90" customFormat="1" ht="12.75" customHeight="1" x14ac:dyDescent="0.2">
      <c r="A1631" s="247" t="s">
        <v>989</v>
      </c>
      <c r="B1631" s="316">
        <v>3046</v>
      </c>
      <c r="C1631" s="247" t="s">
        <v>975</v>
      </c>
      <c r="D1631" s="317">
        <v>42661</v>
      </c>
      <c r="E1631" s="318">
        <v>0.97843750000000007</v>
      </c>
      <c r="F1631" s="247" t="s">
        <v>976</v>
      </c>
      <c r="G1631" s="247" t="s">
        <v>1133</v>
      </c>
      <c r="H1631" s="248" t="s">
        <v>404</v>
      </c>
      <c r="I1631" s="248" t="s">
        <v>404</v>
      </c>
      <c r="J1631" s="247" t="s">
        <v>809</v>
      </c>
      <c r="K1631" s="249">
        <v>0</v>
      </c>
      <c r="M1631" s="90">
        <v>0</v>
      </c>
      <c r="N1631" s="90">
        <v>0</v>
      </c>
      <c r="O1631" s="90">
        <v>255</v>
      </c>
    </row>
    <row r="1632" spans="1:15" s="90" customFormat="1" ht="12.75" customHeight="1" x14ac:dyDescent="0.2">
      <c r="A1632" s="247" t="s">
        <v>613</v>
      </c>
      <c r="B1632" s="316">
        <v>4035</v>
      </c>
      <c r="C1632" s="247" t="s">
        <v>996</v>
      </c>
      <c r="D1632" s="317">
        <v>42661</v>
      </c>
      <c r="E1632" s="318">
        <v>0.97854166666666664</v>
      </c>
      <c r="F1632" s="247" t="s">
        <v>702</v>
      </c>
      <c r="G1632" s="247" t="s">
        <v>1133</v>
      </c>
      <c r="H1632" s="248" t="s">
        <v>860</v>
      </c>
      <c r="I1632" s="248" t="s">
        <v>40</v>
      </c>
      <c r="J1632" s="247" t="s">
        <v>809</v>
      </c>
      <c r="K1632" s="249">
        <v>0</v>
      </c>
      <c r="L1632" s="90" t="s">
        <v>1775</v>
      </c>
      <c r="M1632" s="90">
        <v>258</v>
      </c>
      <c r="N1632" s="90">
        <v>1</v>
      </c>
      <c r="O1632" s="90">
        <v>0</v>
      </c>
    </row>
    <row r="1633" spans="1:15" s="90" customFormat="1" ht="12.75" customHeight="1" x14ac:dyDescent="0.2">
      <c r="A1633" s="247" t="s">
        <v>1134</v>
      </c>
      <c r="B1633" s="316">
        <v>3108</v>
      </c>
      <c r="C1633" s="247" t="s">
        <v>975</v>
      </c>
      <c r="D1633" s="317">
        <v>42661</v>
      </c>
      <c r="E1633" s="318">
        <v>0.97876157407407405</v>
      </c>
      <c r="F1633" s="247" t="s">
        <v>978</v>
      </c>
      <c r="G1633" s="247" t="s">
        <v>1133</v>
      </c>
      <c r="H1633" s="248" t="s">
        <v>234</v>
      </c>
      <c r="I1633" s="248" t="s">
        <v>677</v>
      </c>
      <c r="J1633" s="247" t="s">
        <v>809</v>
      </c>
      <c r="K1633" s="249">
        <v>0</v>
      </c>
      <c r="M1633" s="90">
        <v>0</v>
      </c>
      <c r="N1633" s="90">
        <v>0</v>
      </c>
      <c r="O1633" s="90">
        <v>255</v>
      </c>
    </row>
    <row r="1634" spans="1:15" s="90" customFormat="1" ht="12.75" customHeight="1" x14ac:dyDescent="0.2">
      <c r="A1634" s="247" t="s">
        <v>1344</v>
      </c>
      <c r="B1634" s="316">
        <v>3106</v>
      </c>
      <c r="C1634" s="247" t="s">
        <v>975</v>
      </c>
      <c r="D1634" s="317">
        <v>42661</v>
      </c>
      <c r="E1634" s="318">
        <v>0.97915509259259259</v>
      </c>
      <c r="F1634" s="247" t="s">
        <v>978</v>
      </c>
      <c r="G1634" s="247" t="s">
        <v>1345</v>
      </c>
      <c r="H1634" s="248" t="s">
        <v>234</v>
      </c>
      <c r="I1634" s="248" t="s">
        <v>677</v>
      </c>
      <c r="J1634" s="247" t="s">
        <v>809</v>
      </c>
      <c r="K1634" s="249">
        <v>0</v>
      </c>
      <c r="M1634" s="90">
        <v>0</v>
      </c>
      <c r="N1634" s="90">
        <v>0</v>
      </c>
      <c r="O1634" s="90">
        <v>255</v>
      </c>
    </row>
    <row r="1635" spans="1:15" s="90" customFormat="1" ht="12.75" customHeight="1" x14ac:dyDescent="0.2">
      <c r="A1635" s="247" t="s">
        <v>990</v>
      </c>
      <c r="B1635" s="316">
        <v>3046</v>
      </c>
      <c r="C1635" s="247" t="s">
        <v>975</v>
      </c>
      <c r="D1635" s="317">
        <v>42661</v>
      </c>
      <c r="E1635" s="318">
        <v>0.97928240740740735</v>
      </c>
      <c r="F1635" s="247" t="s">
        <v>976</v>
      </c>
      <c r="G1635" s="247" t="s">
        <v>1345</v>
      </c>
      <c r="H1635" s="248" t="s">
        <v>404</v>
      </c>
      <c r="I1635" s="248" t="s">
        <v>404</v>
      </c>
      <c r="J1635" s="247" t="s">
        <v>809</v>
      </c>
      <c r="K1635" s="249">
        <v>0</v>
      </c>
      <c r="M1635" s="90">
        <v>0</v>
      </c>
      <c r="N1635" s="90">
        <v>0</v>
      </c>
      <c r="O1635" s="90">
        <v>255</v>
      </c>
    </row>
    <row r="1636" spans="1:15" s="90" customFormat="1" ht="12.75" customHeight="1" x14ac:dyDescent="0.2">
      <c r="A1636" s="247" t="s">
        <v>989</v>
      </c>
      <c r="B1636" s="316">
        <v>3046</v>
      </c>
      <c r="C1636" s="247" t="s">
        <v>975</v>
      </c>
      <c r="D1636" s="317">
        <v>42662</v>
      </c>
      <c r="E1636" s="318">
        <v>2.0949074074074075E-2</v>
      </c>
      <c r="F1636" s="247" t="s">
        <v>976</v>
      </c>
      <c r="G1636" s="247" t="s">
        <v>1345</v>
      </c>
      <c r="H1636" s="248" t="s">
        <v>404</v>
      </c>
      <c r="I1636" s="248" t="s">
        <v>404</v>
      </c>
      <c r="J1636" s="247" t="s">
        <v>809</v>
      </c>
      <c r="K1636" s="249">
        <v>0</v>
      </c>
      <c r="M1636" s="90">
        <v>0</v>
      </c>
      <c r="N1636" s="90">
        <v>0</v>
      </c>
      <c r="O1636" s="90">
        <v>255</v>
      </c>
    </row>
    <row r="1637" spans="1:15" s="90" customFormat="1" ht="12.75" customHeight="1" x14ac:dyDescent="0.2">
      <c r="A1637" s="247" t="s">
        <v>990</v>
      </c>
      <c r="B1637" s="316">
        <v>3046</v>
      </c>
      <c r="C1637" s="247" t="s">
        <v>975</v>
      </c>
      <c r="D1637" s="317">
        <v>42662</v>
      </c>
      <c r="E1637" s="318">
        <v>2.1203703703703707E-2</v>
      </c>
      <c r="F1637" s="247" t="s">
        <v>976</v>
      </c>
      <c r="G1637" s="247" t="s">
        <v>1345</v>
      </c>
      <c r="H1637" s="248" t="s">
        <v>404</v>
      </c>
      <c r="I1637" s="248" t="s">
        <v>404</v>
      </c>
      <c r="J1637" s="247" t="s">
        <v>809</v>
      </c>
      <c r="K1637" s="249">
        <v>0</v>
      </c>
      <c r="M1637" s="90">
        <v>0</v>
      </c>
      <c r="N1637" s="90">
        <v>0</v>
      </c>
      <c r="O1637" s="90">
        <v>255</v>
      </c>
    </row>
    <row r="1638" spans="1:15" s="90" customFormat="1" ht="12.75" customHeight="1" x14ac:dyDescent="0.2">
      <c r="A1638" s="247" t="s">
        <v>993</v>
      </c>
      <c r="B1638" s="316">
        <v>3217</v>
      </c>
      <c r="C1638" s="247" t="s">
        <v>975</v>
      </c>
      <c r="D1638" s="317">
        <v>42662</v>
      </c>
      <c r="E1638" s="318">
        <v>2.1203703703703707E-2</v>
      </c>
      <c r="F1638" s="247" t="s">
        <v>235</v>
      </c>
      <c r="G1638" s="247" t="s">
        <v>1345</v>
      </c>
      <c r="H1638" s="248" t="s">
        <v>234</v>
      </c>
      <c r="I1638" s="248" t="s">
        <v>235</v>
      </c>
      <c r="J1638" s="247" t="s">
        <v>809</v>
      </c>
      <c r="K1638" s="249">
        <v>0</v>
      </c>
      <c r="M1638" s="90">
        <v>0</v>
      </c>
      <c r="N1638" s="90">
        <v>0</v>
      </c>
      <c r="O1638" s="90">
        <v>255</v>
      </c>
    </row>
    <row r="1639" spans="1:15" s="90" customFormat="1" ht="12.75" customHeight="1" x14ac:dyDescent="0.2">
      <c r="A1639" s="247" t="s">
        <v>989</v>
      </c>
      <c r="B1639" s="316">
        <v>3046</v>
      </c>
      <c r="C1639" s="247" t="s">
        <v>975</v>
      </c>
      <c r="D1639" s="317">
        <v>42662</v>
      </c>
      <c r="E1639" s="318">
        <v>6.2870370370370368E-2</v>
      </c>
      <c r="F1639" s="247" t="s">
        <v>976</v>
      </c>
      <c r="G1639" s="247" t="s">
        <v>1345</v>
      </c>
      <c r="H1639" s="248" t="s">
        <v>404</v>
      </c>
      <c r="I1639" s="248" t="s">
        <v>404</v>
      </c>
      <c r="J1639" s="247" t="s">
        <v>809</v>
      </c>
      <c r="K1639" s="249">
        <v>0</v>
      </c>
      <c r="M1639" s="90">
        <v>0</v>
      </c>
      <c r="N1639" s="90">
        <v>0</v>
      </c>
      <c r="O1639" s="90">
        <v>255</v>
      </c>
    </row>
    <row r="1640" spans="1:15" s="90" customFormat="1" ht="12.75" customHeight="1" x14ac:dyDescent="0.2">
      <c r="A1640" s="247" t="s">
        <v>990</v>
      </c>
      <c r="B1640" s="316">
        <v>3046</v>
      </c>
      <c r="C1640" s="247" t="s">
        <v>975</v>
      </c>
      <c r="D1640" s="317">
        <v>42662</v>
      </c>
      <c r="E1640" s="318">
        <v>6.3125000000000001E-2</v>
      </c>
      <c r="F1640" s="247" t="s">
        <v>976</v>
      </c>
      <c r="G1640" s="247" t="s">
        <v>1345</v>
      </c>
      <c r="H1640" s="248" t="s">
        <v>404</v>
      </c>
      <c r="I1640" s="248" t="s">
        <v>404</v>
      </c>
      <c r="J1640" s="247" t="s">
        <v>809</v>
      </c>
      <c r="K1640" s="249">
        <v>0</v>
      </c>
      <c r="M1640" s="90">
        <v>0</v>
      </c>
      <c r="N1640" s="90">
        <v>0</v>
      </c>
      <c r="O1640" s="90">
        <v>255</v>
      </c>
    </row>
    <row r="1641" spans="1:15" s="90" customFormat="1" ht="12.75" customHeight="1" x14ac:dyDescent="0.2">
      <c r="A1641" s="247" t="s">
        <v>993</v>
      </c>
      <c r="B1641" s="316">
        <v>3217</v>
      </c>
      <c r="C1641" s="247" t="s">
        <v>975</v>
      </c>
      <c r="D1641" s="317">
        <v>42662</v>
      </c>
      <c r="E1641" s="318">
        <v>6.3125000000000001E-2</v>
      </c>
      <c r="F1641" s="247" t="s">
        <v>235</v>
      </c>
      <c r="G1641" s="247" t="s">
        <v>1345</v>
      </c>
      <c r="H1641" s="248" t="s">
        <v>234</v>
      </c>
      <c r="I1641" s="248" t="s">
        <v>235</v>
      </c>
      <c r="J1641" s="247" t="s">
        <v>809</v>
      </c>
      <c r="K1641" s="249">
        <v>0</v>
      </c>
      <c r="M1641" s="90">
        <v>0</v>
      </c>
      <c r="N1641" s="90">
        <v>0</v>
      </c>
      <c r="O1641" s="90">
        <v>255</v>
      </c>
    </row>
    <row r="1642" spans="1:15" s="90" customFormat="1" ht="12.75" customHeight="1" x14ac:dyDescent="0.2">
      <c r="A1642" s="247" t="s">
        <v>989</v>
      </c>
      <c r="B1642" s="316">
        <v>3046</v>
      </c>
      <c r="C1642" s="247" t="s">
        <v>975</v>
      </c>
      <c r="D1642" s="317">
        <v>42662</v>
      </c>
      <c r="E1642" s="318">
        <v>0.10479166666666667</v>
      </c>
      <c r="F1642" s="247" t="s">
        <v>976</v>
      </c>
      <c r="G1642" s="247" t="s">
        <v>1345</v>
      </c>
      <c r="H1642" s="248" t="s">
        <v>404</v>
      </c>
      <c r="I1642" s="248" t="s">
        <v>404</v>
      </c>
      <c r="J1642" s="247" t="s">
        <v>809</v>
      </c>
      <c r="K1642" s="249">
        <v>0</v>
      </c>
      <c r="M1642" s="90">
        <v>0</v>
      </c>
      <c r="N1642" s="90">
        <v>0</v>
      </c>
      <c r="O1642" s="90">
        <v>255</v>
      </c>
    </row>
    <row r="1643" spans="1:15" s="90" customFormat="1" ht="12.75" customHeight="1" x14ac:dyDescent="0.2">
      <c r="A1643" s="247" t="s">
        <v>990</v>
      </c>
      <c r="B1643" s="316">
        <v>3046</v>
      </c>
      <c r="C1643" s="247" t="s">
        <v>975</v>
      </c>
      <c r="D1643" s="317">
        <v>42662</v>
      </c>
      <c r="E1643" s="318">
        <v>0.10504629629629629</v>
      </c>
      <c r="F1643" s="247" t="s">
        <v>976</v>
      </c>
      <c r="G1643" s="247" t="s">
        <v>1345</v>
      </c>
      <c r="H1643" s="248" t="s">
        <v>404</v>
      </c>
      <c r="I1643" s="248" t="s">
        <v>404</v>
      </c>
      <c r="J1643" s="247" t="s">
        <v>809</v>
      </c>
      <c r="K1643" s="249">
        <v>0</v>
      </c>
      <c r="M1643" s="90">
        <v>0</v>
      </c>
      <c r="N1643" s="90">
        <v>0</v>
      </c>
      <c r="O1643" s="90">
        <v>255</v>
      </c>
    </row>
    <row r="1644" spans="1:15" s="90" customFormat="1" ht="12.75" customHeight="1" x14ac:dyDescent="0.2">
      <c r="A1644" s="247" t="s">
        <v>993</v>
      </c>
      <c r="B1644" s="316">
        <v>3217</v>
      </c>
      <c r="C1644" s="247" t="s">
        <v>975</v>
      </c>
      <c r="D1644" s="317">
        <v>42662</v>
      </c>
      <c r="E1644" s="318">
        <v>0.10504629629629629</v>
      </c>
      <c r="F1644" s="247" t="s">
        <v>235</v>
      </c>
      <c r="G1644" s="247" t="s">
        <v>1345</v>
      </c>
      <c r="H1644" s="248" t="s">
        <v>234</v>
      </c>
      <c r="I1644" s="248" t="s">
        <v>235</v>
      </c>
      <c r="J1644" s="247" t="s">
        <v>809</v>
      </c>
      <c r="K1644" s="249">
        <v>0</v>
      </c>
      <c r="M1644" s="90">
        <v>0</v>
      </c>
      <c r="N1644" s="90">
        <v>0</v>
      </c>
      <c r="O1644" s="90">
        <v>255</v>
      </c>
    </row>
    <row r="1645" spans="1:15" s="90" customFormat="1" ht="12.75" customHeight="1" x14ac:dyDescent="0.2">
      <c r="A1645" s="247" t="s">
        <v>989</v>
      </c>
      <c r="B1645" s="316">
        <v>3046</v>
      </c>
      <c r="C1645" s="247" t="s">
        <v>975</v>
      </c>
      <c r="D1645" s="317">
        <v>42662</v>
      </c>
      <c r="E1645" s="318">
        <v>0.14671296296296296</v>
      </c>
      <c r="F1645" s="247" t="s">
        <v>976</v>
      </c>
      <c r="G1645" s="247" t="s">
        <v>1345</v>
      </c>
      <c r="H1645" s="248" t="s">
        <v>404</v>
      </c>
      <c r="I1645" s="248" t="s">
        <v>404</v>
      </c>
      <c r="J1645" s="247" t="s">
        <v>809</v>
      </c>
      <c r="K1645" s="249">
        <v>0</v>
      </c>
      <c r="M1645" s="90">
        <v>0</v>
      </c>
      <c r="N1645" s="90">
        <v>0</v>
      </c>
      <c r="O1645" s="90">
        <v>255</v>
      </c>
    </row>
    <row r="1646" spans="1:15" s="90" customFormat="1" ht="12.75" customHeight="1" x14ac:dyDescent="0.2">
      <c r="A1646" s="247" t="s">
        <v>990</v>
      </c>
      <c r="B1646" s="316">
        <v>3046</v>
      </c>
      <c r="C1646" s="247" t="s">
        <v>975</v>
      </c>
      <c r="D1646" s="317">
        <v>42662</v>
      </c>
      <c r="E1646" s="318">
        <v>0.1469560185185185</v>
      </c>
      <c r="F1646" s="247" t="s">
        <v>976</v>
      </c>
      <c r="G1646" s="247" t="s">
        <v>1345</v>
      </c>
      <c r="H1646" s="248" t="s">
        <v>404</v>
      </c>
      <c r="I1646" s="248" t="s">
        <v>404</v>
      </c>
      <c r="J1646" s="247" t="s">
        <v>809</v>
      </c>
      <c r="K1646" s="249">
        <v>0</v>
      </c>
      <c r="M1646" s="90">
        <v>0</v>
      </c>
      <c r="N1646" s="90">
        <v>0</v>
      </c>
      <c r="O1646" s="90">
        <v>255</v>
      </c>
    </row>
    <row r="1647" spans="1:15" s="90" customFormat="1" ht="12.75" customHeight="1" x14ac:dyDescent="0.2">
      <c r="A1647" s="247" t="s">
        <v>993</v>
      </c>
      <c r="B1647" s="316">
        <v>3217</v>
      </c>
      <c r="C1647" s="247" t="s">
        <v>975</v>
      </c>
      <c r="D1647" s="317">
        <v>42662</v>
      </c>
      <c r="E1647" s="318">
        <v>0.1469560185185185</v>
      </c>
      <c r="F1647" s="247" t="s">
        <v>235</v>
      </c>
      <c r="G1647" s="247" t="s">
        <v>1345</v>
      </c>
      <c r="H1647" s="248" t="s">
        <v>234</v>
      </c>
      <c r="I1647" s="248" t="s">
        <v>235</v>
      </c>
      <c r="J1647" s="247" t="s">
        <v>809</v>
      </c>
      <c r="K1647" s="249">
        <v>0</v>
      </c>
      <c r="M1647" s="90">
        <v>0</v>
      </c>
      <c r="N1647" s="90">
        <v>0</v>
      </c>
      <c r="O1647" s="90">
        <v>255</v>
      </c>
    </row>
    <row r="1648" spans="1:15" s="90" customFormat="1" ht="12.75" customHeight="1" x14ac:dyDescent="0.2">
      <c r="A1648" s="247" t="s">
        <v>989</v>
      </c>
      <c r="B1648" s="316">
        <v>3046</v>
      </c>
      <c r="C1648" s="247" t="s">
        <v>975</v>
      </c>
      <c r="D1648" s="317">
        <v>42662</v>
      </c>
      <c r="E1648" s="318">
        <v>0.18863425925925925</v>
      </c>
      <c r="F1648" s="247" t="s">
        <v>976</v>
      </c>
      <c r="G1648" s="247" t="s">
        <v>1345</v>
      </c>
      <c r="H1648" s="248" t="s">
        <v>404</v>
      </c>
      <c r="I1648" s="248" t="s">
        <v>404</v>
      </c>
      <c r="J1648" s="247" t="s">
        <v>809</v>
      </c>
      <c r="K1648" s="249">
        <v>0</v>
      </c>
      <c r="M1648" s="90">
        <v>0</v>
      </c>
      <c r="N1648" s="90">
        <v>0</v>
      </c>
      <c r="O1648" s="90">
        <v>255</v>
      </c>
    </row>
    <row r="1649" spans="1:15" s="90" customFormat="1" ht="12.75" customHeight="1" x14ac:dyDescent="0.2">
      <c r="A1649" s="247" t="s">
        <v>990</v>
      </c>
      <c r="B1649" s="316">
        <v>3046</v>
      </c>
      <c r="C1649" s="247" t="s">
        <v>975</v>
      </c>
      <c r="D1649" s="317">
        <v>42662</v>
      </c>
      <c r="E1649" s="318">
        <v>0.18887731481481482</v>
      </c>
      <c r="F1649" s="247" t="s">
        <v>976</v>
      </c>
      <c r="G1649" s="247" t="s">
        <v>1345</v>
      </c>
      <c r="H1649" s="248" t="s">
        <v>404</v>
      </c>
      <c r="I1649" s="248" t="s">
        <v>404</v>
      </c>
      <c r="J1649" s="247" t="s">
        <v>809</v>
      </c>
      <c r="K1649" s="249">
        <v>0</v>
      </c>
      <c r="M1649" s="90">
        <v>0</v>
      </c>
      <c r="N1649" s="90">
        <v>0</v>
      </c>
      <c r="O1649" s="90">
        <v>255</v>
      </c>
    </row>
    <row r="1650" spans="1:15" s="90" customFormat="1" ht="12.75" customHeight="1" x14ac:dyDescent="0.2">
      <c r="A1650" s="247" t="s">
        <v>993</v>
      </c>
      <c r="B1650" s="316">
        <v>3217</v>
      </c>
      <c r="C1650" s="247" t="s">
        <v>975</v>
      </c>
      <c r="D1650" s="317">
        <v>42662</v>
      </c>
      <c r="E1650" s="318">
        <v>0.18887731481481482</v>
      </c>
      <c r="F1650" s="247" t="s">
        <v>235</v>
      </c>
      <c r="G1650" s="247" t="s">
        <v>1345</v>
      </c>
      <c r="H1650" s="248" t="s">
        <v>234</v>
      </c>
      <c r="I1650" s="248" t="s">
        <v>235</v>
      </c>
      <c r="J1650" s="247" t="s">
        <v>809</v>
      </c>
      <c r="K1650" s="249">
        <v>0</v>
      </c>
      <c r="M1650" s="90">
        <v>0</v>
      </c>
      <c r="N1650" s="90">
        <v>0</v>
      </c>
      <c r="O1650" s="90">
        <v>255</v>
      </c>
    </row>
    <row r="1651" spans="1:15" s="90" customFormat="1" ht="12.75" customHeight="1" x14ac:dyDescent="0.2">
      <c r="A1651" s="247" t="s">
        <v>989</v>
      </c>
      <c r="B1651" s="316">
        <v>3046</v>
      </c>
      <c r="C1651" s="247" t="s">
        <v>975</v>
      </c>
      <c r="D1651" s="317">
        <v>42662</v>
      </c>
      <c r="E1651" s="318">
        <v>0.23055555555555554</v>
      </c>
      <c r="F1651" s="247" t="s">
        <v>976</v>
      </c>
      <c r="G1651" s="247" t="s">
        <v>1345</v>
      </c>
      <c r="H1651" s="248" t="s">
        <v>404</v>
      </c>
      <c r="I1651" s="248" t="s">
        <v>404</v>
      </c>
      <c r="J1651" s="247" t="s">
        <v>809</v>
      </c>
      <c r="K1651" s="249">
        <v>0</v>
      </c>
      <c r="M1651" s="90">
        <v>0</v>
      </c>
      <c r="N1651" s="90">
        <v>0</v>
      </c>
      <c r="O1651" s="90">
        <v>255</v>
      </c>
    </row>
    <row r="1652" spans="1:15" s="90" customFormat="1" ht="12.75" customHeight="1" x14ac:dyDescent="0.2">
      <c r="A1652" s="247" t="s">
        <v>990</v>
      </c>
      <c r="B1652" s="316">
        <v>3046</v>
      </c>
      <c r="C1652" s="247" t="s">
        <v>975</v>
      </c>
      <c r="D1652" s="317">
        <v>42662</v>
      </c>
      <c r="E1652" s="318">
        <v>0.23079861111111111</v>
      </c>
      <c r="F1652" s="247" t="s">
        <v>976</v>
      </c>
      <c r="G1652" s="247" t="s">
        <v>1345</v>
      </c>
      <c r="H1652" s="248" t="s">
        <v>404</v>
      </c>
      <c r="I1652" s="248" t="s">
        <v>404</v>
      </c>
      <c r="J1652" s="247" t="s">
        <v>809</v>
      </c>
      <c r="K1652" s="249">
        <v>0</v>
      </c>
      <c r="M1652" s="90">
        <v>0</v>
      </c>
      <c r="N1652" s="90">
        <v>0</v>
      </c>
      <c r="O1652" s="90">
        <v>255</v>
      </c>
    </row>
    <row r="1653" spans="1:15" s="90" customFormat="1" ht="12.75" customHeight="1" x14ac:dyDescent="0.2">
      <c r="A1653" s="247" t="s">
        <v>993</v>
      </c>
      <c r="B1653" s="316">
        <v>3217</v>
      </c>
      <c r="C1653" s="247" t="s">
        <v>975</v>
      </c>
      <c r="D1653" s="317">
        <v>42662</v>
      </c>
      <c r="E1653" s="318">
        <v>0.23079861111111111</v>
      </c>
      <c r="F1653" s="247" t="s">
        <v>235</v>
      </c>
      <c r="G1653" s="247" t="s">
        <v>1345</v>
      </c>
      <c r="H1653" s="248" t="s">
        <v>234</v>
      </c>
      <c r="I1653" s="248" t="s">
        <v>235</v>
      </c>
      <c r="J1653" s="247" t="s">
        <v>809</v>
      </c>
      <c r="K1653" s="249">
        <v>0</v>
      </c>
      <c r="M1653" s="90">
        <v>0</v>
      </c>
      <c r="N1653" s="90">
        <v>0</v>
      </c>
      <c r="O1653" s="90">
        <v>255</v>
      </c>
    </row>
    <row r="1654" spans="1:15" s="90" customFormat="1" ht="12.75" customHeight="1" x14ac:dyDescent="0.2">
      <c r="A1654" s="247" t="s">
        <v>989</v>
      </c>
      <c r="B1654" s="316">
        <v>3046</v>
      </c>
      <c r="C1654" s="247" t="s">
        <v>975</v>
      </c>
      <c r="D1654" s="317">
        <v>42662</v>
      </c>
      <c r="E1654" s="318">
        <v>0.27247685185185183</v>
      </c>
      <c r="F1654" s="247" t="s">
        <v>976</v>
      </c>
      <c r="G1654" s="247" t="s">
        <v>1345</v>
      </c>
      <c r="H1654" s="248" t="s">
        <v>404</v>
      </c>
      <c r="I1654" s="248" t="s">
        <v>404</v>
      </c>
      <c r="J1654" s="247" t="s">
        <v>809</v>
      </c>
      <c r="K1654" s="249">
        <v>0</v>
      </c>
      <c r="M1654" s="90">
        <v>0</v>
      </c>
      <c r="N1654" s="90">
        <v>0</v>
      </c>
      <c r="O1654" s="90">
        <v>255</v>
      </c>
    </row>
    <row r="1655" spans="1:15" s="90" customFormat="1" ht="12.75" customHeight="1" x14ac:dyDescent="0.2">
      <c r="A1655" s="247" t="s">
        <v>990</v>
      </c>
      <c r="B1655" s="316">
        <v>3046</v>
      </c>
      <c r="C1655" s="247" t="s">
        <v>975</v>
      </c>
      <c r="D1655" s="317">
        <v>42662</v>
      </c>
      <c r="E1655" s="318">
        <v>0.27271990740740742</v>
      </c>
      <c r="F1655" s="247" t="s">
        <v>976</v>
      </c>
      <c r="G1655" s="247" t="s">
        <v>1345</v>
      </c>
      <c r="H1655" s="248" t="s">
        <v>404</v>
      </c>
      <c r="I1655" s="248" t="s">
        <v>404</v>
      </c>
      <c r="J1655" s="247" t="s">
        <v>809</v>
      </c>
      <c r="K1655" s="249">
        <v>0</v>
      </c>
      <c r="M1655" s="90">
        <v>0</v>
      </c>
      <c r="N1655" s="90">
        <v>0</v>
      </c>
      <c r="O1655" s="90">
        <v>255</v>
      </c>
    </row>
    <row r="1656" spans="1:15" s="90" customFormat="1" ht="12.75" customHeight="1" x14ac:dyDescent="0.2">
      <c r="A1656" s="247" t="s">
        <v>993</v>
      </c>
      <c r="B1656" s="316">
        <v>3217</v>
      </c>
      <c r="C1656" s="247" t="s">
        <v>975</v>
      </c>
      <c r="D1656" s="317">
        <v>42662</v>
      </c>
      <c r="E1656" s="318">
        <v>0.27271990740740742</v>
      </c>
      <c r="F1656" s="247" t="s">
        <v>235</v>
      </c>
      <c r="G1656" s="247" t="s">
        <v>1345</v>
      </c>
      <c r="H1656" s="248" t="s">
        <v>234</v>
      </c>
      <c r="I1656" s="248" t="s">
        <v>235</v>
      </c>
      <c r="J1656" s="247" t="s">
        <v>809</v>
      </c>
      <c r="K1656" s="249">
        <v>0</v>
      </c>
      <c r="M1656" s="90">
        <v>0</v>
      </c>
      <c r="N1656" s="90">
        <v>0</v>
      </c>
      <c r="O1656" s="90">
        <v>255</v>
      </c>
    </row>
    <row r="1657" spans="1:15" s="90" customFormat="1" ht="12.75" customHeight="1" x14ac:dyDescent="0.2">
      <c r="A1657" s="247" t="s">
        <v>989</v>
      </c>
      <c r="B1657" s="316">
        <v>3046</v>
      </c>
      <c r="C1657" s="247" t="s">
        <v>975</v>
      </c>
      <c r="D1657" s="317">
        <v>42662</v>
      </c>
      <c r="E1657" s="318">
        <v>0.31439814814814815</v>
      </c>
      <c r="F1657" s="247" t="s">
        <v>976</v>
      </c>
      <c r="G1657" s="247" t="s">
        <v>1345</v>
      </c>
      <c r="H1657" s="248" t="s">
        <v>404</v>
      </c>
      <c r="I1657" s="248" t="s">
        <v>404</v>
      </c>
      <c r="J1657" s="247" t="s">
        <v>809</v>
      </c>
      <c r="K1657" s="249">
        <v>0</v>
      </c>
      <c r="M1657" s="90">
        <v>0</v>
      </c>
      <c r="N1657" s="90">
        <v>0</v>
      </c>
      <c r="O1657" s="90">
        <v>255</v>
      </c>
    </row>
    <row r="1658" spans="1:15" s="90" customFormat="1" ht="12.75" customHeight="1" x14ac:dyDescent="0.2">
      <c r="A1658" s="247" t="s">
        <v>990</v>
      </c>
      <c r="B1658" s="316">
        <v>3046</v>
      </c>
      <c r="C1658" s="247" t="s">
        <v>975</v>
      </c>
      <c r="D1658" s="317">
        <v>42662</v>
      </c>
      <c r="E1658" s="318">
        <v>0.31464120370370369</v>
      </c>
      <c r="F1658" s="247" t="s">
        <v>976</v>
      </c>
      <c r="G1658" s="247" t="s">
        <v>1345</v>
      </c>
      <c r="H1658" s="248" t="s">
        <v>404</v>
      </c>
      <c r="I1658" s="248" t="s">
        <v>404</v>
      </c>
      <c r="J1658" s="247" t="s">
        <v>809</v>
      </c>
      <c r="K1658" s="249">
        <v>0</v>
      </c>
      <c r="M1658" s="90">
        <v>0</v>
      </c>
      <c r="N1658" s="90">
        <v>0</v>
      </c>
      <c r="O1658" s="90">
        <v>255</v>
      </c>
    </row>
    <row r="1659" spans="1:15" s="90" customFormat="1" ht="12.75" customHeight="1" x14ac:dyDescent="0.2">
      <c r="A1659" s="247" t="s">
        <v>993</v>
      </c>
      <c r="B1659" s="316">
        <v>3217</v>
      </c>
      <c r="C1659" s="247" t="s">
        <v>975</v>
      </c>
      <c r="D1659" s="317">
        <v>42662</v>
      </c>
      <c r="E1659" s="318">
        <v>0.31464120370370369</v>
      </c>
      <c r="F1659" s="247" t="s">
        <v>235</v>
      </c>
      <c r="G1659" s="247" t="s">
        <v>1345</v>
      </c>
      <c r="H1659" s="248" t="s">
        <v>234</v>
      </c>
      <c r="I1659" s="248" t="s">
        <v>235</v>
      </c>
      <c r="J1659" s="247" t="s">
        <v>809</v>
      </c>
      <c r="K1659" s="249">
        <v>0</v>
      </c>
      <c r="M1659" s="90">
        <v>0</v>
      </c>
      <c r="N1659" s="90">
        <v>0</v>
      </c>
      <c r="O1659" s="90">
        <v>255</v>
      </c>
    </row>
    <row r="1660" spans="1:15" s="90" customFormat="1" ht="12.75" customHeight="1" x14ac:dyDescent="0.2">
      <c r="A1660" s="247" t="s">
        <v>989</v>
      </c>
      <c r="B1660" s="316">
        <v>3046</v>
      </c>
      <c r="C1660" s="247" t="s">
        <v>975</v>
      </c>
      <c r="D1660" s="317">
        <v>42662</v>
      </c>
      <c r="E1660" s="318">
        <v>0.35631944444444441</v>
      </c>
      <c r="F1660" s="247" t="s">
        <v>976</v>
      </c>
      <c r="G1660" s="247" t="s">
        <v>1345</v>
      </c>
      <c r="H1660" s="248" t="s">
        <v>404</v>
      </c>
      <c r="I1660" s="248" t="s">
        <v>404</v>
      </c>
      <c r="J1660" s="247" t="s">
        <v>809</v>
      </c>
      <c r="K1660" s="249">
        <v>0</v>
      </c>
      <c r="M1660" s="90">
        <v>0</v>
      </c>
      <c r="N1660" s="90">
        <v>0</v>
      </c>
      <c r="O1660" s="90">
        <v>255</v>
      </c>
    </row>
    <row r="1661" spans="1:15" s="90" customFormat="1" ht="12.75" customHeight="1" x14ac:dyDescent="0.2">
      <c r="A1661" s="247" t="s">
        <v>990</v>
      </c>
      <c r="B1661" s="316">
        <v>3046</v>
      </c>
      <c r="C1661" s="247" t="s">
        <v>975</v>
      </c>
      <c r="D1661" s="317">
        <v>42662</v>
      </c>
      <c r="E1661" s="318">
        <v>0.35656249999999995</v>
      </c>
      <c r="F1661" s="247" t="s">
        <v>976</v>
      </c>
      <c r="G1661" s="247" t="s">
        <v>1345</v>
      </c>
      <c r="H1661" s="248" t="s">
        <v>404</v>
      </c>
      <c r="I1661" s="248" t="s">
        <v>404</v>
      </c>
      <c r="J1661" s="247" t="s">
        <v>809</v>
      </c>
      <c r="K1661" s="249">
        <v>0</v>
      </c>
      <c r="M1661" s="90">
        <v>0</v>
      </c>
      <c r="N1661" s="90">
        <v>0</v>
      </c>
      <c r="O1661" s="90">
        <v>255</v>
      </c>
    </row>
    <row r="1662" spans="1:15" s="90" customFormat="1" ht="12.75" customHeight="1" x14ac:dyDescent="0.2">
      <c r="A1662" s="247" t="s">
        <v>993</v>
      </c>
      <c r="B1662" s="316">
        <v>3217</v>
      </c>
      <c r="C1662" s="247" t="s">
        <v>975</v>
      </c>
      <c r="D1662" s="317">
        <v>42662</v>
      </c>
      <c r="E1662" s="318">
        <v>0.35656249999999995</v>
      </c>
      <c r="F1662" s="247" t="s">
        <v>235</v>
      </c>
      <c r="G1662" s="247" t="s">
        <v>1345</v>
      </c>
      <c r="H1662" s="248" t="s">
        <v>234</v>
      </c>
      <c r="I1662" s="248" t="s">
        <v>235</v>
      </c>
      <c r="J1662" s="247" t="s">
        <v>809</v>
      </c>
      <c r="K1662" s="249">
        <v>0</v>
      </c>
      <c r="M1662" s="90">
        <v>0</v>
      </c>
      <c r="N1662" s="90">
        <v>0</v>
      </c>
      <c r="O1662" s="90">
        <v>255</v>
      </c>
    </row>
    <row r="1663" spans="1:15" s="90" customFormat="1" ht="12.75" customHeight="1" x14ac:dyDescent="0.2">
      <c r="A1663" s="247" t="s">
        <v>989</v>
      </c>
      <c r="B1663" s="316">
        <v>3046</v>
      </c>
      <c r="C1663" s="247" t="s">
        <v>975</v>
      </c>
      <c r="D1663" s="317">
        <v>42662</v>
      </c>
      <c r="E1663" s="318">
        <v>0.39824074074074073</v>
      </c>
      <c r="F1663" s="247" t="s">
        <v>976</v>
      </c>
      <c r="G1663" s="247" t="s">
        <v>1345</v>
      </c>
      <c r="H1663" s="248" t="s">
        <v>404</v>
      </c>
      <c r="I1663" s="248" t="s">
        <v>404</v>
      </c>
      <c r="J1663" s="247" t="s">
        <v>809</v>
      </c>
      <c r="K1663" s="249">
        <v>0</v>
      </c>
      <c r="M1663" s="90">
        <v>0</v>
      </c>
      <c r="N1663" s="90">
        <v>0</v>
      </c>
      <c r="O1663" s="90">
        <v>255</v>
      </c>
    </row>
    <row r="1664" spans="1:15" s="90" customFormat="1" ht="12.75" customHeight="1" x14ac:dyDescent="0.2">
      <c r="A1664" s="247" t="s">
        <v>990</v>
      </c>
      <c r="B1664" s="316">
        <v>3046</v>
      </c>
      <c r="C1664" s="247" t="s">
        <v>975</v>
      </c>
      <c r="D1664" s="317">
        <v>42662</v>
      </c>
      <c r="E1664" s="318">
        <v>0.39848379629629632</v>
      </c>
      <c r="F1664" s="247" t="s">
        <v>976</v>
      </c>
      <c r="G1664" s="247" t="s">
        <v>1345</v>
      </c>
      <c r="H1664" s="248" t="s">
        <v>404</v>
      </c>
      <c r="I1664" s="248" t="s">
        <v>404</v>
      </c>
      <c r="J1664" s="247" t="s">
        <v>809</v>
      </c>
      <c r="K1664" s="249">
        <v>0</v>
      </c>
      <c r="M1664" s="90">
        <v>0</v>
      </c>
      <c r="N1664" s="90">
        <v>0</v>
      </c>
      <c r="O1664" s="90">
        <v>255</v>
      </c>
    </row>
    <row r="1665" spans="1:15" s="90" customFormat="1" ht="12.75" customHeight="1" x14ac:dyDescent="0.2">
      <c r="A1665" s="247" t="s">
        <v>993</v>
      </c>
      <c r="B1665" s="316">
        <v>3217</v>
      </c>
      <c r="C1665" s="247" t="s">
        <v>975</v>
      </c>
      <c r="D1665" s="317">
        <v>42662</v>
      </c>
      <c r="E1665" s="318">
        <v>0.39848379629629632</v>
      </c>
      <c r="F1665" s="247" t="s">
        <v>235</v>
      </c>
      <c r="G1665" s="247" t="s">
        <v>1345</v>
      </c>
      <c r="H1665" s="248" t="s">
        <v>234</v>
      </c>
      <c r="I1665" s="248" t="s">
        <v>235</v>
      </c>
      <c r="J1665" s="247" t="s">
        <v>809</v>
      </c>
      <c r="K1665" s="249">
        <v>0</v>
      </c>
      <c r="M1665" s="90">
        <v>0</v>
      </c>
      <c r="N1665" s="90">
        <v>0</v>
      </c>
      <c r="O1665" s="90">
        <v>255</v>
      </c>
    </row>
    <row r="1666" spans="1:15" s="90" customFormat="1" ht="12.75" customHeight="1" x14ac:dyDescent="0.2">
      <c r="A1666" s="247" t="s">
        <v>1219</v>
      </c>
      <c r="B1666" s="316">
        <v>3089</v>
      </c>
      <c r="C1666" s="247" t="s">
        <v>996</v>
      </c>
      <c r="D1666" s="317">
        <v>42662</v>
      </c>
      <c r="E1666" s="318">
        <v>0.41212962962962968</v>
      </c>
      <c r="F1666" s="247" t="s">
        <v>235</v>
      </c>
      <c r="G1666" s="247" t="s">
        <v>1345</v>
      </c>
      <c r="H1666" s="248" t="s">
        <v>234</v>
      </c>
      <c r="I1666" s="248" t="s">
        <v>235</v>
      </c>
      <c r="J1666" s="247" t="s">
        <v>809</v>
      </c>
      <c r="K1666" s="249">
        <v>0</v>
      </c>
      <c r="M1666" s="90">
        <v>0</v>
      </c>
      <c r="N1666" s="90">
        <v>0</v>
      </c>
      <c r="O1666" s="90">
        <v>255</v>
      </c>
    </row>
    <row r="1667" spans="1:15" s="90" customFormat="1" ht="12.75" customHeight="1" x14ac:dyDescent="0.2">
      <c r="A1667" s="247" t="s">
        <v>1217</v>
      </c>
      <c r="B1667" s="316">
        <v>3089</v>
      </c>
      <c r="C1667" s="247" t="s">
        <v>996</v>
      </c>
      <c r="D1667" s="317">
        <v>42662</v>
      </c>
      <c r="E1667" s="318">
        <v>0.41390046296296296</v>
      </c>
      <c r="F1667" s="247" t="s">
        <v>235</v>
      </c>
      <c r="G1667" s="247" t="s">
        <v>1345</v>
      </c>
      <c r="H1667" s="248" t="s">
        <v>234</v>
      </c>
      <c r="I1667" s="248" t="s">
        <v>235</v>
      </c>
      <c r="J1667" s="247" t="s">
        <v>809</v>
      </c>
      <c r="K1667" s="249">
        <v>0</v>
      </c>
      <c r="M1667" s="90">
        <v>0</v>
      </c>
      <c r="N1667" s="90">
        <v>0</v>
      </c>
      <c r="O1667" s="90">
        <v>255</v>
      </c>
    </row>
    <row r="1668" spans="1:15" s="90" customFormat="1" ht="12.75" customHeight="1" x14ac:dyDescent="0.2">
      <c r="A1668" s="247" t="s">
        <v>1218</v>
      </c>
      <c r="B1668" s="316">
        <v>3089</v>
      </c>
      <c r="C1668" s="247" t="s">
        <v>996</v>
      </c>
      <c r="D1668" s="317">
        <v>42662</v>
      </c>
      <c r="E1668" s="318">
        <v>0.41390046296296296</v>
      </c>
      <c r="F1668" s="247" t="s">
        <v>235</v>
      </c>
      <c r="G1668" s="247" t="s">
        <v>1345</v>
      </c>
      <c r="H1668" s="248" t="s">
        <v>234</v>
      </c>
      <c r="I1668" s="248" t="s">
        <v>235</v>
      </c>
      <c r="J1668" s="247" t="s">
        <v>809</v>
      </c>
      <c r="K1668" s="249">
        <v>0</v>
      </c>
      <c r="M1668" s="90">
        <v>0</v>
      </c>
      <c r="N1668" s="90">
        <v>0</v>
      </c>
      <c r="O1668" s="90">
        <v>255</v>
      </c>
    </row>
    <row r="1669" spans="1:15" s="90" customFormat="1" ht="12.75" customHeight="1" x14ac:dyDescent="0.2">
      <c r="A1669" s="247" t="s">
        <v>1346</v>
      </c>
      <c r="B1669" s="316">
        <v>3089</v>
      </c>
      <c r="C1669" s="247" t="s">
        <v>996</v>
      </c>
      <c r="D1669" s="317">
        <v>42662</v>
      </c>
      <c r="E1669" s="318">
        <v>0.41390046296296296</v>
      </c>
      <c r="F1669" s="247" t="s">
        <v>235</v>
      </c>
      <c r="G1669" s="247" t="s">
        <v>1345</v>
      </c>
      <c r="H1669" s="248" t="s">
        <v>234</v>
      </c>
      <c r="I1669" s="248" t="s">
        <v>235</v>
      </c>
      <c r="J1669" s="247" t="s">
        <v>809</v>
      </c>
      <c r="K1669" s="249">
        <v>0</v>
      </c>
      <c r="M1669" s="90">
        <v>0</v>
      </c>
      <c r="N1669" s="90">
        <v>0</v>
      </c>
      <c r="O1669" s="90">
        <v>255</v>
      </c>
    </row>
    <row r="1670" spans="1:15" s="90" customFormat="1" ht="12.75" customHeight="1" x14ac:dyDescent="0.2">
      <c r="A1670" s="247" t="s">
        <v>989</v>
      </c>
      <c r="B1670" s="316">
        <v>3046</v>
      </c>
      <c r="C1670" s="247" t="s">
        <v>975</v>
      </c>
      <c r="D1670" s="317">
        <v>42662</v>
      </c>
      <c r="E1670" s="318">
        <v>0.44015046296296295</v>
      </c>
      <c r="F1670" s="247" t="s">
        <v>976</v>
      </c>
      <c r="G1670" s="247" t="s">
        <v>1345</v>
      </c>
      <c r="H1670" s="248" t="s">
        <v>404</v>
      </c>
      <c r="I1670" s="248" t="s">
        <v>404</v>
      </c>
      <c r="J1670" s="247" t="s">
        <v>809</v>
      </c>
      <c r="K1670" s="249">
        <v>0</v>
      </c>
      <c r="M1670" s="90">
        <v>0</v>
      </c>
      <c r="N1670" s="90">
        <v>0</v>
      </c>
      <c r="O1670" s="90">
        <v>255</v>
      </c>
    </row>
    <row r="1671" spans="1:15" s="90" customFormat="1" ht="12.75" customHeight="1" x14ac:dyDescent="0.2">
      <c r="A1671" s="247" t="s">
        <v>990</v>
      </c>
      <c r="B1671" s="316">
        <v>3046</v>
      </c>
      <c r="C1671" s="247" t="s">
        <v>975</v>
      </c>
      <c r="D1671" s="317">
        <v>42662</v>
      </c>
      <c r="E1671" s="318">
        <v>0.44040509259259258</v>
      </c>
      <c r="F1671" s="247" t="s">
        <v>976</v>
      </c>
      <c r="G1671" s="247" t="s">
        <v>1345</v>
      </c>
      <c r="H1671" s="248" t="s">
        <v>404</v>
      </c>
      <c r="I1671" s="248" t="s">
        <v>404</v>
      </c>
      <c r="J1671" s="247" t="s">
        <v>809</v>
      </c>
      <c r="K1671" s="249">
        <v>0</v>
      </c>
      <c r="M1671" s="90">
        <v>0</v>
      </c>
      <c r="N1671" s="90">
        <v>0</v>
      </c>
      <c r="O1671" s="90">
        <v>255</v>
      </c>
    </row>
    <row r="1672" spans="1:15" s="90" customFormat="1" ht="12.75" customHeight="1" x14ac:dyDescent="0.2">
      <c r="A1672" s="247" t="s">
        <v>993</v>
      </c>
      <c r="B1672" s="316">
        <v>3217</v>
      </c>
      <c r="C1672" s="247" t="s">
        <v>975</v>
      </c>
      <c r="D1672" s="317">
        <v>42662</v>
      </c>
      <c r="E1672" s="318">
        <v>0.44040509259259258</v>
      </c>
      <c r="F1672" s="247" t="s">
        <v>235</v>
      </c>
      <c r="G1672" s="247" t="s">
        <v>1345</v>
      </c>
      <c r="H1672" s="248" t="s">
        <v>234</v>
      </c>
      <c r="I1672" s="248" t="s">
        <v>235</v>
      </c>
      <c r="J1672" s="247" t="s">
        <v>809</v>
      </c>
      <c r="K1672" s="249">
        <v>0</v>
      </c>
      <c r="M1672" s="90">
        <v>0</v>
      </c>
      <c r="N1672" s="90">
        <v>0</v>
      </c>
      <c r="O1672" s="90">
        <v>255</v>
      </c>
    </row>
    <row r="1673" spans="1:15" s="90" customFormat="1" ht="12.75" customHeight="1" x14ac:dyDescent="0.2">
      <c r="A1673" s="247" t="s">
        <v>1347</v>
      </c>
      <c r="B1673" s="316">
        <v>3108</v>
      </c>
      <c r="C1673" s="247" t="s">
        <v>975</v>
      </c>
      <c r="D1673" s="317">
        <v>42662</v>
      </c>
      <c r="E1673" s="318">
        <v>0.45052083333333331</v>
      </c>
      <c r="F1673" s="247" t="s">
        <v>978</v>
      </c>
      <c r="G1673" s="247" t="s">
        <v>1345</v>
      </c>
      <c r="H1673" s="248" t="s">
        <v>234</v>
      </c>
      <c r="I1673" s="248" t="s">
        <v>677</v>
      </c>
      <c r="J1673" s="247" t="s">
        <v>809</v>
      </c>
      <c r="K1673" s="249">
        <v>0</v>
      </c>
      <c r="M1673" s="90">
        <v>0</v>
      </c>
      <c r="N1673" s="90">
        <v>0</v>
      </c>
      <c r="O1673" s="90">
        <v>255</v>
      </c>
    </row>
    <row r="1674" spans="1:15" s="90" customFormat="1" ht="12.75" customHeight="1" x14ac:dyDescent="0.2">
      <c r="A1674" s="247" t="s">
        <v>1034</v>
      </c>
      <c r="B1674" s="316">
        <v>3106</v>
      </c>
      <c r="C1674" s="247" t="s">
        <v>975</v>
      </c>
      <c r="D1674" s="317">
        <v>42662</v>
      </c>
      <c r="E1674" s="318">
        <v>0.45060185185185181</v>
      </c>
      <c r="F1674" s="247" t="s">
        <v>978</v>
      </c>
      <c r="G1674" s="247" t="s">
        <v>1035</v>
      </c>
      <c r="H1674" s="248" t="s">
        <v>234</v>
      </c>
      <c r="I1674" s="248" t="s">
        <v>677</v>
      </c>
      <c r="J1674" s="247" t="s">
        <v>809</v>
      </c>
      <c r="K1674" s="249">
        <v>0</v>
      </c>
      <c r="M1674" s="90">
        <v>0</v>
      </c>
      <c r="N1674" s="90">
        <v>0</v>
      </c>
      <c r="O1674" s="90">
        <v>255</v>
      </c>
    </row>
    <row r="1675" spans="1:15" s="90" customFormat="1" ht="12.75" customHeight="1" x14ac:dyDescent="0.2">
      <c r="A1675" s="247" t="s">
        <v>1038</v>
      </c>
      <c r="B1675" s="316">
        <v>3112</v>
      </c>
      <c r="C1675" s="247" t="s">
        <v>975</v>
      </c>
      <c r="D1675" s="317">
        <v>42662</v>
      </c>
      <c r="E1675" s="318">
        <v>0.45814814814814814</v>
      </c>
      <c r="F1675" s="247" t="s">
        <v>981</v>
      </c>
      <c r="G1675" s="247" t="s">
        <v>1035</v>
      </c>
      <c r="H1675" s="248" t="s">
        <v>234</v>
      </c>
      <c r="I1675" s="248" t="s">
        <v>677</v>
      </c>
      <c r="J1675" s="247" t="s">
        <v>809</v>
      </c>
      <c r="K1675" s="249">
        <v>0</v>
      </c>
      <c r="M1675" s="90">
        <v>0</v>
      </c>
      <c r="N1675" s="90">
        <v>0</v>
      </c>
      <c r="O1675" s="90">
        <v>255</v>
      </c>
    </row>
    <row r="1676" spans="1:15" s="90" customFormat="1" ht="12.75" customHeight="1" x14ac:dyDescent="0.2">
      <c r="A1676" s="247" t="s">
        <v>1267</v>
      </c>
      <c r="B1676" s="316">
        <v>3004</v>
      </c>
      <c r="C1676" s="247" t="s">
        <v>979</v>
      </c>
      <c r="D1676" s="317">
        <v>42662</v>
      </c>
      <c r="E1676" s="318">
        <v>0.46418981481481486</v>
      </c>
      <c r="F1676" s="247" t="s">
        <v>702</v>
      </c>
      <c r="G1676" s="247" t="s">
        <v>1035</v>
      </c>
      <c r="H1676" s="248" t="s">
        <v>234</v>
      </c>
      <c r="I1676" s="248" t="s">
        <v>702</v>
      </c>
      <c r="J1676" s="247" t="s">
        <v>809</v>
      </c>
      <c r="K1676" s="249">
        <v>0</v>
      </c>
      <c r="M1676" s="90">
        <v>0</v>
      </c>
      <c r="N1676" s="90">
        <v>0</v>
      </c>
      <c r="O1676" s="90">
        <v>255</v>
      </c>
    </row>
    <row r="1677" spans="1:15" s="90" customFormat="1" ht="12.75" customHeight="1" x14ac:dyDescent="0.2">
      <c r="A1677" s="247" t="s">
        <v>1348</v>
      </c>
      <c r="B1677" s="316">
        <v>3004</v>
      </c>
      <c r="C1677" s="247" t="s">
        <v>979</v>
      </c>
      <c r="D1677" s="317">
        <v>42662</v>
      </c>
      <c r="E1677" s="318">
        <v>0.46456018518518521</v>
      </c>
      <c r="F1677" s="247" t="s">
        <v>702</v>
      </c>
      <c r="G1677" s="247" t="s">
        <v>1035</v>
      </c>
      <c r="H1677" s="248" t="s">
        <v>234</v>
      </c>
      <c r="I1677" s="248" t="s">
        <v>702</v>
      </c>
      <c r="J1677" s="247" t="s">
        <v>809</v>
      </c>
      <c r="K1677" s="249">
        <v>0</v>
      </c>
      <c r="M1677" s="90">
        <v>0</v>
      </c>
      <c r="N1677" s="90">
        <v>0</v>
      </c>
      <c r="O1677" s="90">
        <v>255</v>
      </c>
    </row>
    <row r="1678" spans="1:15" s="90" customFormat="1" ht="12.75" customHeight="1" x14ac:dyDescent="0.2">
      <c r="A1678" s="247" t="s">
        <v>1349</v>
      </c>
      <c r="B1678" s="316">
        <v>3004</v>
      </c>
      <c r="C1678" s="247" t="s">
        <v>979</v>
      </c>
      <c r="D1678" s="317">
        <v>42662</v>
      </c>
      <c r="E1678" s="318">
        <v>0.46480324074074075</v>
      </c>
      <c r="F1678" s="247" t="s">
        <v>702</v>
      </c>
      <c r="G1678" s="247" t="s">
        <v>1035</v>
      </c>
      <c r="H1678" s="248" t="s">
        <v>234</v>
      </c>
      <c r="I1678" s="248" t="s">
        <v>702</v>
      </c>
      <c r="J1678" s="247" t="s">
        <v>809</v>
      </c>
      <c r="K1678" s="249">
        <v>0</v>
      </c>
      <c r="M1678" s="90">
        <v>0</v>
      </c>
      <c r="N1678" s="90">
        <v>0</v>
      </c>
      <c r="O1678" s="90">
        <v>255</v>
      </c>
    </row>
    <row r="1679" spans="1:15" s="90" customFormat="1" ht="12.75" customHeight="1" x14ac:dyDescent="0.2">
      <c r="A1679" s="247" t="s">
        <v>1100</v>
      </c>
      <c r="B1679" s="316">
        <v>3001</v>
      </c>
      <c r="C1679" s="247" t="s">
        <v>996</v>
      </c>
      <c r="D1679" s="317">
        <v>42662</v>
      </c>
      <c r="E1679" s="318">
        <v>0.46486111111111111</v>
      </c>
      <c r="F1679" s="247" t="s">
        <v>702</v>
      </c>
      <c r="G1679" s="247" t="s">
        <v>1035</v>
      </c>
      <c r="H1679" s="248" t="s">
        <v>121</v>
      </c>
      <c r="I1679" s="248" t="s">
        <v>122</v>
      </c>
      <c r="J1679" s="247" t="s">
        <v>809</v>
      </c>
      <c r="K1679" s="249">
        <v>0</v>
      </c>
      <c r="M1679" s="90">
        <v>0</v>
      </c>
      <c r="N1679" s="90">
        <v>0</v>
      </c>
      <c r="O1679" s="90">
        <v>255</v>
      </c>
    </row>
    <row r="1680" spans="1:15" s="90" customFormat="1" ht="12.75" customHeight="1" x14ac:dyDescent="0.2">
      <c r="A1680" s="247" t="s">
        <v>1070</v>
      </c>
      <c r="B1680" s="316">
        <v>3001</v>
      </c>
      <c r="C1680" s="247" t="s">
        <v>996</v>
      </c>
      <c r="D1680" s="317">
        <v>42662</v>
      </c>
      <c r="E1680" s="318">
        <v>0.46502314814814816</v>
      </c>
      <c r="F1680" s="247" t="s">
        <v>702</v>
      </c>
      <c r="G1680" s="247" t="s">
        <v>1035</v>
      </c>
      <c r="H1680" s="248" t="s">
        <v>121</v>
      </c>
      <c r="I1680" s="248" t="s">
        <v>122</v>
      </c>
      <c r="J1680" s="247" t="s">
        <v>809</v>
      </c>
      <c r="K1680" s="249">
        <v>0</v>
      </c>
      <c r="M1680" s="90">
        <v>0</v>
      </c>
      <c r="N1680" s="90">
        <v>0</v>
      </c>
      <c r="O1680" s="90">
        <v>255</v>
      </c>
    </row>
    <row r="1681" spans="1:15" s="90" customFormat="1" ht="12.75" customHeight="1" x14ac:dyDescent="0.2">
      <c r="A1681" s="247" t="s">
        <v>1111</v>
      </c>
      <c r="B1681" s="316">
        <v>3001</v>
      </c>
      <c r="C1681" s="247" t="s">
        <v>996</v>
      </c>
      <c r="D1681" s="317">
        <v>42662</v>
      </c>
      <c r="E1681" s="318">
        <v>0.46510416666666665</v>
      </c>
      <c r="F1681" s="247" t="s">
        <v>702</v>
      </c>
      <c r="G1681" s="247" t="s">
        <v>1035</v>
      </c>
      <c r="H1681" s="248" t="s">
        <v>121</v>
      </c>
      <c r="I1681" s="248" t="s">
        <v>122</v>
      </c>
      <c r="J1681" s="247" t="s">
        <v>809</v>
      </c>
      <c r="K1681" s="249">
        <v>0</v>
      </c>
      <c r="M1681" s="90">
        <v>0</v>
      </c>
      <c r="N1681" s="90">
        <v>0</v>
      </c>
      <c r="O1681" s="90">
        <v>255</v>
      </c>
    </row>
    <row r="1682" spans="1:15" s="90" customFormat="1" ht="12.75" customHeight="1" x14ac:dyDescent="0.2">
      <c r="A1682" s="247" t="s">
        <v>1129</v>
      </c>
      <c r="B1682" s="316">
        <v>3001</v>
      </c>
      <c r="C1682" s="247" t="s">
        <v>996</v>
      </c>
      <c r="D1682" s="317">
        <v>42662</v>
      </c>
      <c r="E1682" s="318">
        <v>0.46537037037037038</v>
      </c>
      <c r="F1682" s="247" t="s">
        <v>702</v>
      </c>
      <c r="G1682" s="247" t="s">
        <v>1035</v>
      </c>
      <c r="H1682" s="248" t="s">
        <v>121</v>
      </c>
      <c r="I1682" s="248" t="s">
        <v>122</v>
      </c>
      <c r="J1682" s="247" t="s">
        <v>809</v>
      </c>
      <c r="K1682" s="249">
        <v>0</v>
      </c>
      <c r="M1682" s="90">
        <v>0</v>
      </c>
      <c r="N1682" s="90">
        <v>0</v>
      </c>
      <c r="O1682" s="90">
        <v>255</v>
      </c>
    </row>
    <row r="1683" spans="1:15" s="90" customFormat="1" ht="12.75" customHeight="1" x14ac:dyDescent="0.2">
      <c r="A1683" s="247" t="s">
        <v>1107</v>
      </c>
      <c r="B1683" s="316">
        <v>3001</v>
      </c>
      <c r="C1683" s="247" t="s">
        <v>996</v>
      </c>
      <c r="D1683" s="317">
        <v>42662</v>
      </c>
      <c r="E1683" s="318">
        <v>0.46553240740740742</v>
      </c>
      <c r="F1683" s="247" t="s">
        <v>702</v>
      </c>
      <c r="G1683" s="247" t="s">
        <v>1035</v>
      </c>
      <c r="H1683" s="248" t="s">
        <v>121</v>
      </c>
      <c r="I1683" s="248" t="s">
        <v>122</v>
      </c>
      <c r="J1683" s="247" t="s">
        <v>809</v>
      </c>
      <c r="K1683" s="249">
        <v>0</v>
      </c>
      <c r="M1683" s="90">
        <v>0</v>
      </c>
      <c r="N1683" s="90">
        <v>0</v>
      </c>
      <c r="O1683" s="90">
        <v>255</v>
      </c>
    </row>
    <row r="1684" spans="1:15" s="90" customFormat="1" ht="12.75" customHeight="1" x14ac:dyDescent="0.2">
      <c r="A1684" s="247" t="s">
        <v>1350</v>
      </c>
      <c r="B1684" s="316">
        <v>3001</v>
      </c>
      <c r="C1684" s="247" t="s">
        <v>996</v>
      </c>
      <c r="D1684" s="317">
        <v>42662</v>
      </c>
      <c r="E1684" s="318">
        <v>0.46561342592592592</v>
      </c>
      <c r="F1684" s="247" t="s">
        <v>702</v>
      </c>
      <c r="G1684" s="247" t="s">
        <v>1035</v>
      </c>
      <c r="H1684" s="248" t="s">
        <v>121</v>
      </c>
      <c r="I1684" s="248" t="s">
        <v>122</v>
      </c>
      <c r="J1684" s="247" t="s">
        <v>809</v>
      </c>
      <c r="K1684" s="249">
        <v>0</v>
      </c>
      <c r="M1684" s="90">
        <v>0</v>
      </c>
      <c r="N1684" s="90">
        <v>0</v>
      </c>
      <c r="O1684" s="90">
        <v>255</v>
      </c>
    </row>
    <row r="1685" spans="1:15" s="90" customFormat="1" ht="12.75" customHeight="1" x14ac:dyDescent="0.2">
      <c r="A1685" s="247" t="s">
        <v>1136</v>
      </c>
      <c r="B1685" s="316">
        <v>3001</v>
      </c>
      <c r="C1685" s="247" t="s">
        <v>996</v>
      </c>
      <c r="D1685" s="317">
        <v>42662</v>
      </c>
      <c r="E1685" s="318">
        <v>0.46593749999999995</v>
      </c>
      <c r="F1685" s="247" t="s">
        <v>702</v>
      </c>
      <c r="G1685" s="247" t="s">
        <v>1035</v>
      </c>
      <c r="H1685" s="248" t="s">
        <v>121</v>
      </c>
      <c r="I1685" s="248" t="s">
        <v>122</v>
      </c>
      <c r="J1685" s="247" t="s">
        <v>809</v>
      </c>
      <c r="K1685" s="249">
        <v>0</v>
      </c>
      <c r="M1685" s="90">
        <v>0</v>
      </c>
      <c r="N1685" s="90">
        <v>0</v>
      </c>
      <c r="O1685" s="90">
        <v>255</v>
      </c>
    </row>
    <row r="1686" spans="1:15" s="90" customFormat="1" ht="12.75" customHeight="1" x14ac:dyDescent="0.2">
      <c r="A1686" s="247" t="s">
        <v>1077</v>
      </c>
      <c r="B1686" s="316">
        <v>3001</v>
      </c>
      <c r="C1686" s="247" t="s">
        <v>996</v>
      </c>
      <c r="D1686" s="317">
        <v>42662</v>
      </c>
      <c r="E1686" s="318">
        <v>0.46673611111111107</v>
      </c>
      <c r="F1686" s="247" t="s">
        <v>702</v>
      </c>
      <c r="G1686" s="247" t="s">
        <v>1035</v>
      </c>
      <c r="H1686" s="248" t="s">
        <v>121</v>
      </c>
      <c r="I1686" s="248" t="s">
        <v>122</v>
      </c>
      <c r="J1686" s="247" t="s">
        <v>809</v>
      </c>
      <c r="K1686" s="249">
        <v>0</v>
      </c>
      <c r="M1686" s="90">
        <v>0</v>
      </c>
      <c r="N1686" s="90">
        <v>0</v>
      </c>
      <c r="O1686" s="90">
        <v>255</v>
      </c>
    </row>
    <row r="1687" spans="1:15" s="90" customFormat="1" ht="12.75" customHeight="1" x14ac:dyDescent="0.2">
      <c r="A1687" s="247" t="s">
        <v>1171</v>
      </c>
      <c r="B1687" s="316">
        <v>3001</v>
      </c>
      <c r="C1687" s="247" t="s">
        <v>996</v>
      </c>
      <c r="D1687" s="317">
        <v>42662</v>
      </c>
      <c r="E1687" s="318">
        <v>0.46681712962962968</v>
      </c>
      <c r="F1687" s="247" t="s">
        <v>702</v>
      </c>
      <c r="G1687" s="247" t="s">
        <v>1035</v>
      </c>
      <c r="H1687" s="248" t="s">
        <v>121</v>
      </c>
      <c r="I1687" s="248" t="s">
        <v>122</v>
      </c>
      <c r="J1687" s="247" t="s">
        <v>809</v>
      </c>
      <c r="K1687" s="249">
        <v>0</v>
      </c>
      <c r="M1687" s="90">
        <v>0</v>
      </c>
      <c r="N1687" s="90">
        <v>0</v>
      </c>
      <c r="O1687" s="90">
        <v>255</v>
      </c>
    </row>
    <row r="1688" spans="1:15" s="90" customFormat="1" ht="12.75" customHeight="1" x14ac:dyDescent="0.2">
      <c r="A1688" s="247" t="s">
        <v>1169</v>
      </c>
      <c r="B1688" s="316">
        <v>3001</v>
      </c>
      <c r="C1688" s="247" t="s">
        <v>996</v>
      </c>
      <c r="D1688" s="317">
        <v>42662</v>
      </c>
      <c r="E1688" s="318">
        <v>0.46689814814814817</v>
      </c>
      <c r="F1688" s="247" t="s">
        <v>702</v>
      </c>
      <c r="G1688" s="247" t="s">
        <v>1035</v>
      </c>
      <c r="H1688" s="248" t="s">
        <v>121</v>
      </c>
      <c r="I1688" s="248" t="s">
        <v>122</v>
      </c>
      <c r="J1688" s="247" t="s">
        <v>809</v>
      </c>
      <c r="K1688" s="249">
        <v>0</v>
      </c>
      <c r="M1688" s="90">
        <v>0</v>
      </c>
      <c r="N1688" s="90">
        <v>0</v>
      </c>
      <c r="O1688" s="90">
        <v>255</v>
      </c>
    </row>
    <row r="1689" spans="1:15" s="90" customFormat="1" ht="12.75" customHeight="1" x14ac:dyDescent="0.2">
      <c r="A1689" s="247" t="s">
        <v>1130</v>
      </c>
      <c r="B1689" s="316">
        <v>3001</v>
      </c>
      <c r="C1689" s="247" t="s">
        <v>996</v>
      </c>
      <c r="D1689" s="317">
        <v>42662</v>
      </c>
      <c r="E1689" s="318">
        <v>0.46689814814814817</v>
      </c>
      <c r="F1689" s="247" t="s">
        <v>702</v>
      </c>
      <c r="G1689" s="247" t="s">
        <v>1035</v>
      </c>
      <c r="H1689" s="248" t="s">
        <v>121</v>
      </c>
      <c r="I1689" s="248" t="s">
        <v>122</v>
      </c>
      <c r="J1689" s="247" t="s">
        <v>809</v>
      </c>
      <c r="K1689" s="249">
        <v>0</v>
      </c>
      <c r="M1689" s="90">
        <v>0</v>
      </c>
      <c r="N1689" s="90">
        <v>0</v>
      </c>
      <c r="O1689" s="90">
        <v>255</v>
      </c>
    </row>
    <row r="1690" spans="1:15" s="90" customFormat="1" ht="12.75" customHeight="1" x14ac:dyDescent="0.2">
      <c r="A1690" s="247" t="s">
        <v>1031</v>
      </c>
      <c r="B1690" s="316">
        <v>3046</v>
      </c>
      <c r="C1690" s="247" t="s">
        <v>975</v>
      </c>
      <c r="D1690" s="317">
        <v>42662</v>
      </c>
      <c r="E1690" s="318">
        <v>0.46798611111111116</v>
      </c>
      <c r="F1690" s="247" t="s">
        <v>976</v>
      </c>
      <c r="G1690" s="247" t="s">
        <v>1035</v>
      </c>
      <c r="H1690" s="248" t="s">
        <v>404</v>
      </c>
      <c r="I1690" s="248" t="s">
        <v>404</v>
      </c>
      <c r="J1690" s="247" t="s">
        <v>809</v>
      </c>
      <c r="K1690" s="249">
        <v>0</v>
      </c>
      <c r="M1690" s="90">
        <v>0</v>
      </c>
      <c r="N1690" s="90">
        <v>0</v>
      </c>
      <c r="O1690" s="90">
        <v>255</v>
      </c>
    </row>
    <row r="1691" spans="1:15" s="90" customFormat="1" ht="12.75" customHeight="1" x14ac:dyDescent="0.2">
      <c r="A1691" s="247" t="s">
        <v>1351</v>
      </c>
      <c r="B1691" s="316">
        <v>2083</v>
      </c>
      <c r="C1691" s="247" t="s">
        <v>979</v>
      </c>
      <c r="D1691" s="317">
        <v>42662</v>
      </c>
      <c r="E1691" s="318">
        <v>0.46902777777777777</v>
      </c>
      <c r="F1691" s="247" t="s">
        <v>702</v>
      </c>
      <c r="G1691" s="247" t="s">
        <v>1035</v>
      </c>
      <c r="H1691" s="248" t="s">
        <v>121</v>
      </c>
      <c r="I1691" s="248" t="s">
        <v>122</v>
      </c>
      <c r="J1691" s="247" t="s">
        <v>809</v>
      </c>
      <c r="K1691" s="249">
        <v>0</v>
      </c>
      <c r="M1691" s="90">
        <v>0</v>
      </c>
      <c r="N1691" s="90">
        <v>0</v>
      </c>
      <c r="O1691" s="90">
        <v>255</v>
      </c>
    </row>
    <row r="1692" spans="1:15" s="90" customFormat="1" ht="12.75" customHeight="1" x14ac:dyDescent="0.2">
      <c r="A1692" s="247" t="s">
        <v>1032</v>
      </c>
      <c r="B1692" s="316">
        <v>3046</v>
      </c>
      <c r="C1692" s="247" t="s">
        <v>975</v>
      </c>
      <c r="D1692" s="317">
        <v>42662</v>
      </c>
      <c r="E1692" s="318">
        <v>0.47450231481481481</v>
      </c>
      <c r="F1692" s="247" t="s">
        <v>976</v>
      </c>
      <c r="G1692" s="247" t="s">
        <v>1035</v>
      </c>
      <c r="H1692" s="248" t="s">
        <v>404</v>
      </c>
      <c r="I1692" s="248" t="s">
        <v>404</v>
      </c>
      <c r="J1692" s="247" t="s">
        <v>809</v>
      </c>
      <c r="K1692" s="249">
        <v>0</v>
      </c>
      <c r="M1692" s="90">
        <v>0</v>
      </c>
      <c r="N1692" s="90">
        <v>0</v>
      </c>
      <c r="O1692" s="90">
        <v>255</v>
      </c>
    </row>
    <row r="1693" spans="1:15" s="90" customFormat="1" ht="12.75" customHeight="1" x14ac:dyDescent="0.2">
      <c r="A1693" s="247" t="s">
        <v>989</v>
      </c>
      <c r="B1693" s="316">
        <v>3046</v>
      </c>
      <c r="C1693" s="247" t="s">
        <v>975</v>
      </c>
      <c r="D1693" s="317">
        <v>42662</v>
      </c>
      <c r="E1693" s="318">
        <v>0.47450231481481481</v>
      </c>
      <c r="F1693" s="247" t="s">
        <v>976</v>
      </c>
      <c r="G1693" s="247" t="s">
        <v>1035</v>
      </c>
      <c r="H1693" s="248" t="s">
        <v>404</v>
      </c>
      <c r="I1693" s="248" t="s">
        <v>404</v>
      </c>
      <c r="J1693" s="247" t="s">
        <v>809</v>
      </c>
      <c r="K1693" s="249">
        <v>0</v>
      </c>
      <c r="M1693" s="90">
        <v>0</v>
      </c>
      <c r="N1693" s="90">
        <v>0</v>
      </c>
      <c r="O1693" s="90">
        <v>255</v>
      </c>
    </row>
    <row r="1694" spans="1:15" s="90" customFormat="1" ht="12.75" customHeight="1" x14ac:dyDescent="0.2">
      <c r="A1694" s="247" t="s">
        <v>990</v>
      </c>
      <c r="B1694" s="316">
        <v>3046</v>
      </c>
      <c r="C1694" s="247" t="s">
        <v>975</v>
      </c>
      <c r="D1694" s="317">
        <v>42662</v>
      </c>
      <c r="E1694" s="318">
        <v>0.4748148148148148</v>
      </c>
      <c r="F1694" s="247" t="s">
        <v>976</v>
      </c>
      <c r="G1694" s="247" t="s">
        <v>1035</v>
      </c>
      <c r="H1694" s="248" t="s">
        <v>404</v>
      </c>
      <c r="I1694" s="248" t="s">
        <v>404</v>
      </c>
      <c r="J1694" s="247" t="s">
        <v>809</v>
      </c>
      <c r="K1694" s="249">
        <v>0</v>
      </c>
      <c r="M1694" s="90">
        <v>0</v>
      </c>
      <c r="N1694" s="90">
        <v>0</v>
      </c>
      <c r="O1694" s="90">
        <v>255</v>
      </c>
    </row>
    <row r="1695" spans="1:15" s="90" customFormat="1" ht="12.75" customHeight="1" x14ac:dyDescent="0.2">
      <c r="A1695" s="247" t="s">
        <v>1033</v>
      </c>
      <c r="B1695" s="316">
        <v>3217</v>
      </c>
      <c r="C1695" s="247" t="s">
        <v>975</v>
      </c>
      <c r="D1695" s="317">
        <v>42662</v>
      </c>
      <c r="E1695" s="318">
        <v>0.4748148148148148</v>
      </c>
      <c r="F1695" s="247" t="s">
        <v>235</v>
      </c>
      <c r="G1695" s="247" t="s">
        <v>1035</v>
      </c>
      <c r="H1695" s="248" t="s">
        <v>234</v>
      </c>
      <c r="I1695" s="248" t="s">
        <v>235</v>
      </c>
      <c r="J1695" s="247" t="s">
        <v>809</v>
      </c>
      <c r="K1695" s="249">
        <v>0</v>
      </c>
      <c r="M1695" s="90">
        <v>0</v>
      </c>
      <c r="N1695" s="90">
        <v>0</v>
      </c>
      <c r="O1695" s="90">
        <v>255</v>
      </c>
    </row>
    <row r="1696" spans="1:15" s="90" customFormat="1" ht="12.75" customHeight="1" x14ac:dyDescent="0.2">
      <c r="A1696" s="247" t="s">
        <v>301</v>
      </c>
      <c r="B1696" s="316">
        <v>3042</v>
      </c>
      <c r="C1696" s="247" t="s">
        <v>979</v>
      </c>
      <c r="D1696" s="317">
        <v>42662</v>
      </c>
      <c r="E1696" s="318">
        <v>0.48745370370370367</v>
      </c>
      <c r="F1696" s="247" t="s">
        <v>980</v>
      </c>
      <c r="G1696" s="247" t="s">
        <v>1035</v>
      </c>
      <c r="H1696" s="248" t="s">
        <v>234</v>
      </c>
      <c r="I1696" s="248" t="s">
        <v>263</v>
      </c>
      <c r="J1696" s="247" t="s">
        <v>809</v>
      </c>
      <c r="K1696" s="249">
        <v>0</v>
      </c>
      <c r="M1696" s="90">
        <v>0</v>
      </c>
      <c r="N1696" s="90">
        <v>0</v>
      </c>
      <c r="O1696" s="90">
        <v>255</v>
      </c>
    </row>
    <row r="1697" spans="1:15" s="90" customFormat="1" ht="12.75" customHeight="1" x14ac:dyDescent="0.2">
      <c r="A1697" s="247" t="s">
        <v>989</v>
      </c>
      <c r="B1697" s="316">
        <v>3046</v>
      </c>
      <c r="C1697" s="247" t="s">
        <v>975</v>
      </c>
      <c r="D1697" s="317">
        <v>42662</v>
      </c>
      <c r="E1697" s="318">
        <v>0.51648148148148143</v>
      </c>
      <c r="F1697" s="247" t="s">
        <v>976</v>
      </c>
      <c r="G1697" s="247" t="s">
        <v>1035</v>
      </c>
      <c r="H1697" s="248" t="s">
        <v>404</v>
      </c>
      <c r="I1697" s="248" t="s">
        <v>404</v>
      </c>
      <c r="J1697" s="247" t="s">
        <v>809</v>
      </c>
      <c r="K1697" s="249">
        <v>0</v>
      </c>
      <c r="M1697" s="90">
        <v>0</v>
      </c>
      <c r="N1697" s="90">
        <v>0</v>
      </c>
      <c r="O1697" s="90">
        <v>255</v>
      </c>
    </row>
    <row r="1698" spans="1:15" s="90" customFormat="1" ht="12.75" customHeight="1" x14ac:dyDescent="0.2">
      <c r="A1698" s="247" t="s">
        <v>990</v>
      </c>
      <c r="B1698" s="316">
        <v>3046</v>
      </c>
      <c r="C1698" s="247" t="s">
        <v>975</v>
      </c>
      <c r="D1698" s="317">
        <v>42662</v>
      </c>
      <c r="E1698" s="318">
        <v>0.51673611111111117</v>
      </c>
      <c r="F1698" s="247" t="s">
        <v>976</v>
      </c>
      <c r="G1698" s="247" t="s">
        <v>1035</v>
      </c>
      <c r="H1698" s="248" t="s">
        <v>404</v>
      </c>
      <c r="I1698" s="248" t="s">
        <v>404</v>
      </c>
      <c r="J1698" s="247" t="s">
        <v>809</v>
      </c>
      <c r="K1698" s="249">
        <v>0</v>
      </c>
      <c r="M1698" s="90">
        <v>0</v>
      </c>
      <c r="N1698" s="90">
        <v>0</v>
      </c>
      <c r="O1698" s="90">
        <v>255</v>
      </c>
    </row>
    <row r="1699" spans="1:15" s="90" customFormat="1" ht="12.75" customHeight="1" x14ac:dyDescent="0.2">
      <c r="A1699" s="247" t="s">
        <v>993</v>
      </c>
      <c r="B1699" s="316">
        <v>3217</v>
      </c>
      <c r="C1699" s="247" t="s">
        <v>975</v>
      </c>
      <c r="D1699" s="317">
        <v>42662</v>
      </c>
      <c r="E1699" s="318">
        <v>0.51673611111111117</v>
      </c>
      <c r="F1699" s="247" t="s">
        <v>235</v>
      </c>
      <c r="G1699" s="247" t="s">
        <v>1035</v>
      </c>
      <c r="H1699" s="248" t="s">
        <v>234</v>
      </c>
      <c r="I1699" s="248" t="s">
        <v>235</v>
      </c>
      <c r="J1699" s="247" t="s">
        <v>809</v>
      </c>
      <c r="K1699" s="249">
        <v>0</v>
      </c>
      <c r="M1699" s="90">
        <v>0</v>
      </c>
      <c r="N1699" s="90">
        <v>0</v>
      </c>
      <c r="O1699" s="90">
        <v>255</v>
      </c>
    </row>
    <row r="1700" spans="1:15" s="90" customFormat="1" ht="12.75" customHeight="1" x14ac:dyDescent="0.2">
      <c r="A1700" s="247" t="s">
        <v>301</v>
      </c>
      <c r="B1700" s="316">
        <v>3042</v>
      </c>
      <c r="C1700" s="247" t="s">
        <v>979</v>
      </c>
      <c r="D1700" s="317">
        <v>42662</v>
      </c>
      <c r="E1700" s="318">
        <v>0.52217592592592588</v>
      </c>
      <c r="F1700" s="247" t="s">
        <v>980</v>
      </c>
      <c r="G1700" s="247" t="s">
        <v>1035</v>
      </c>
      <c r="H1700" s="248" t="s">
        <v>234</v>
      </c>
      <c r="I1700" s="248" t="s">
        <v>263</v>
      </c>
      <c r="J1700" s="247" t="s">
        <v>809</v>
      </c>
      <c r="K1700" s="249">
        <v>0</v>
      </c>
      <c r="M1700" s="90">
        <v>0</v>
      </c>
      <c r="N1700" s="90">
        <v>0</v>
      </c>
      <c r="O1700" s="90">
        <v>255</v>
      </c>
    </row>
    <row r="1701" spans="1:15" s="90" customFormat="1" ht="12.75" customHeight="1" x14ac:dyDescent="0.2">
      <c r="A1701" s="247" t="s">
        <v>1267</v>
      </c>
      <c r="B1701" s="316">
        <v>3004</v>
      </c>
      <c r="C1701" s="247" t="s">
        <v>979</v>
      </c>
      <c r="D1701" s="317">
        <v>42662</v>
      </c>
      <c r="E1701" s="318">
        <v>0.52333333333333332</v>
      </c>
      <c r="F1701" s="247" t="s">
        <v>702</v>
      </c>
      <c r="G1701" s="247" t="s">
        <v>1035</v>
      </c>
      <c r="H1701" s="248" t="s">
        <v>234</v>
      </c>
      <c r="I1701" s="248" t="s">
        <v>702</v>
      </c>
      <c r="J1701" s="247" t="s">
        <v>809</v>
      </c>
      <c r="K1701" s="249">
        <v>0</v>
      </c>
      <c r="M1701" s="90">
        <v>0</v>
      </c>
      <c r="N1701" s="90">
        <v>0</v>
      </c>
      <c r="O1701" s="90">
        <v>255</v>
      </c>
    </row>
    <row r="1702" spans="1:15" s="90" customFormat="1" ht="12.75" customHeight="1" x14ac:dyDescent="0.2">
      <c r="A1702" s="247" t="s">
        <v>1171</v>
      </c>
      <c r="B1702" s="316">
        <v>3001</v>
      </c>
      <c r="C1702" s="247" t="s">
        <v>996</v>
      </c>
      <c r="D1702" s="317">
        <v>42662</v>
      </c>
      <c r="E1702" s="318">
        <v>0.52349537037037031</v>
      </c>
      <c r="F1702" s="247" t="s">
        <v>702</v>
      </c>
      <c r="G1702" s="247" t="s">
        <v>1035</v>
      </c>
      <c r="H1702" s="248" t="s">
        <v>121</v>
      </c>
      <c r="I1702" s="248" t="s">
        <v>122</v>
      </c>
      <c r="J1702" s="247" t="s">
        <v>809</v>
      </c>
      <c r="K1702" s="249">
        <v>0</v>
      </c>
      <c r="M1702" s="90">
        <v>0</v>
      </c>
      <c r="N1702" s="90">
        <v>0</v>
      </c>
      <c r="O1702" s="90">
        <v>255</v>
      </c>
    </row>
    <row r="1703" spans="1:15" s="90" customFormat="1" ht="12.75" customHeight="1" x14ac:dyDescent="0.2">
      <c r="A1703" s="247" t="s">
        <v>1130</v>
      </c>
      <c r="B1703" s="316">
        <v>3001</v>
      </c>
      <c r="C1703" s="247" t="s">
        <v>996</v>
      </c>
      <c r="D1703" s="317">
        <v>42662</v>
      </c>
      <c r="E1703" s="318">
        <v>0.52349537037037031</v>
      </c>
      <c r="F1703" s="247" t="s">
        <v>702</v>
      </c>
      <c r="G1703" s="247" t="s">
        <v>1035</v>
      </c>
      <c r="H1703" s="248" t="s">
        <v>121</v>
      </c>
      <c r="I1703" s="248" t="s">
        <v>122</v>
      </c>
      <c r="J1703" s="247" t="s">
        <v>809</v>
      </c>
      <c r="K1703" s="249">
        <v>0</v>
      </c>
      <c r="M1703" s="90">
        <v>0</v>
      </c>
      <c r="N1703" s="90">
        <v>0</v>
      </c>
      <c r="O1703" s="90">
        <v>255</v>
      </c>
    </row>
    <row r="1704" spans="1:15" s="90" customFormat="1" ht="12.75" customHeight="1" x14ac:dyDescent="0.2">
      <c r="A1704" s="247" t="s">
        <v>1129</v>
      </c>
      <c r="B1704" s="316">
        <v>3001</v>
      </c>
      <c r="C1704" s="247" t="s">
        <v>996</v>
      </c>
      <c r="D1704" s="317">
        <v>42662</v>
      </c>
      <c r="E1704" s="318">
        <v>0.52361111111111114</v>
      </c>
      <c r="F1704" s="247" t="s">
        <v>702</v>
      </c>
      <c r="G1704" s="247" t="s">
        <v>1035</v>
      </c>
      <c r="H1704" s="248" t="s">
        <v>121</v>
      </c>
      <c r="I1704" s="248" t="s">
        <v>122</v>
      </c>
      <c r="J1704" s="247" t="s">
        <v>809</v>
      </c>
      <c r="K1704" s="249">
        <v>0</v>
      </c>
      <c r="M1704" s="90">
        <v>0</v>
      </c>
      <c r="N1704" s="90">
        <v>0</v>
      </c>
      <c r="O1704" s="90">
        <v>255</v>
      </c>
    </row>
    <row r="1705" spans="1:15" s="90" customFormat="1" ht="12.75" customHeight="1" x14ac:dyDescent="0.2">
      <c r="A1705" s="247" t="s">
        <v>1107</v>
      </c>
      <c r="B1705" s="316">
        <v>3001</v>
      </c>
      <c r="C1705" s="247" t="s">
        <v>996</v>
      </c>
      <c r="D1705" s="317">
        <v>42662</v>
      </c>
      <c r="E1705" s="318">
        <v>0.52361111111111114</v>
      </c>
      <c r="F1705" s="247" t="s">
        <v>702</v>
      </c>
      <c r="G1705" s="247" t="s">
        <v>1035</v>
      </c>
      <c r="H1705" s="248" t="s">
        <v>121</v>
      </c>
      <c r="I1705" s="248" t="s">
        <v>122</v>
      </c>
      <c r="J1705" s="247" t="s">
        <v>809</v>
      </c>
      <c r="K1705" s="249">
        <v>0</v>
      </c>
      <c r="M1705" s="90">
        <v>0</v>
      </c>
      <c r="N1705" s="90">
        <v>0</v>
      </c>
      <c r="O1705" s="90">
        <v>255</v>
      </c>
    </row>
    <row r="1706" spans="1:15" s="90" customFormat="1" ht="12.75" customHeight="1" x14ac:dyDescent="0.2">
      <c r="A1706" s="247" t="s">
        <v>1350</v>
      </c>
      <c r="B1706" s="316">
        <v>3001</v>
      </c>
      <c r="C1706" s="247" t="s">
        <v>996</v>
      </c>
      <c r="D1706" s="317">
        <v>42662</v>
      </c>
      <c r="E1706" s="318">
        <v>0.52361111111111114</v>
      </c>
      <c r="F1706" s="247" t="s">
        <v>702</v>
      </c>
      <c r="G1706" s="247" t="s">
        <v>1035</v>
      </c>
      <c r="H1706" s="248" t="s">
        <v>121</v>
      </c>
      <c r="I1706" s="248" t="s">
        <v>122</v>
      </c>
      <c r="J1706" s="247" t="s">
        <v>809</v>
      </c>
      <c r="K1706" s="249">
        <v>0</v>
      </c>
      <c r="M1706" s="90">
        <v>0</v>
      </c>
      <c r="N1706" s="90">
        <v>0</v>
      </c>
      <c r="O1706" s="90">
        <v>255</v>
      </c>
    </row>
    <row r="1707" spans="1:15" s="90" customFormat="1" ht="12.75" customHeight="1" x14ac:dyDescent="0.2">
      <c r="A1707" s="247" t="s">
        <v>1136</v>
      </c>
      <c r="B1707" s="316">
        <v>3001</v>
      </c>
      <c r="C1707" s="247" t="s">
        <v>996</v>
      </c>
      <c r="D1707" s="317">
        <v>42662</v>
      </c>
      <c r="E1707" s="318">
        <v>0.52361111111111114</v>
      </c>
      <c r="F1707" s="247" t="s">
        <v>702</v>
      </c>
      <c r="G1707" s="247" t="s">
        <v>1035</v>
      </c>
      <c r="H1707" s="248" t="s">
        <v>121</v>
      </c>
      <c r="I1707" s="248" t="s">
        <v>122</v>
      </c>
      <c r="J1707" s="247" t="s">
        <v>809</v>
      </c>
      <c r="K1707" s="249">
        <v>0</v>
      </c>
      <c r="M1707" s="90">
        <v>0</v>
      </c>
      <c r="N1707" s="90">
        <v>0</v>
      </c>
      <c r="O1707" s="90">
        <v>255</v>
      </c>
    </row>
    <row r="1708" spans="1:15" s="90" customFormat="1" ht="12.75" customHeight="1" x14ac:dyDescent="0.2">
      <c r="A1708" s="247" t="s">
        <v>1349</v>
      </c>
      <c r="B1708" s="316">
        <v>3004</v>
      </c>
      <c r="C1708" s="247" t="s">
        <v>979</v>
      </c>
      <c r="D1708" s="317">
        <v>42662</v>
      </c>
      <c r="E1708" s="318">
        <v>0.52361111111111114</v>
      </c>
      <c r="F1708" s="247" t="s">
        <v>702</v>
      </c>
      <c r="G1708" s="247" t="s">
        <v>1035</v>
      </c>
      <c r="H1708" s="248" t="s">
        <v>234</v>
      </c>
      <c r="I1708" s="248" t="s">
        <v>702</v>
      </c>
      <c r="J1708" s="247" t="s">
        <v>809</v>
      </c>
      <c r="K1708" s="249">
        <v>0</v>
      </c>
      <c r="M1708" s="90">
        <v>0</v>
      </c>
      <c r="N1708" s="90">
        <v>0</v>
      </c>
      <c r="O1708" s="90">
        <v>255</v>
      </c>
    </row>
    <row r="1709" spans="1:15" s="90" customFormat="1" ht="12.75" customHeight="1" x14ac:dyDescent="0.2">
      <c r="A1709" s="247" t="s">
        <v>1352</v>
      </c>
      <c r="B1709" s="316">
        <v>3218</v>
      </c>
      <c r="C1709" s="247" t="s">
        <v>979</v>
      </c>
      <c r="D1709" s="317">
        <v>42662</v>
      </c>
      <c r="E1709" s="318">
        <v>0.52424768518518516</v>
      </c>
      <c r="F1709" s="247" t="s">
        <v>702</v>
      </c>
      <c r="G1709" s="247" t="s">
        <v>1035</v>
      </c>
      <c r="H1709" s="248"/>
      <c r="I1709" s="248"/>
      <c r="J1709" s="247"/>
      <c r="K1709" s="249"/>
      <c r="M1709" s="90">
        <v>0</v>
      </c>
      <c r="N1709" s="90">
        <v>0</v>
      </c>
      <c r="O1709" s="90">
        <v>255</v>
      </c>
    </row>
    <row r="1710" spans="1:15" s="90" customFormat="1" ht="12.75" customHeight="1" x14ac:dyDescent="0.2">
      <c r="A1710" s="247" t="s">
        <v>1031</v>
      </c>
      <c r="B1710" s="316">
        <v>3046</v>
      </c>
      <c r="C1710" s="247" t="s">
        <v>975</v>
      </c>
      <c r="D1710" s="317">
        <v>42662</v>
      </c>
      <c r="E1710" s="318">
        <v>0.52432870370370377</v>
      </c>
      <c r="F1710" s="247" t="s">
        <v>976</v>
      </c>
      <c r="G1710" s="247" t="s">
        <v>1035</v>
      </c>
      <c r="H1710" s="248" t="s">
        <v>404</v>
      </c>
      <c r="I1710" s="248" t="s">
        <v>404</v>
      </c>
      <c r="J1710" s="247" t="s">
        <v>809</v>
      </c>
      <c r="K1710" s="249">
        <v>0</v>
      </c>
      <c r="M1710" s="90">
        <v>0</v>
      </c>
      <c r="N1710" s="90">
        <v>0</v>
      </c>
      <c r="O1710" s="90">
        <v>255</v>
      </c>
    </row>
    <row r="1711" spans="1:15" s="90" customFormat="1" ht="12.75" customHeight="1" x14ac:dyDescent="0.2">
      <c r="A1711" s="247" t="s">
        <v>1353</v>
      </c>
      <c r="B1711" s="316">
        <v>3024</v>
      </c>
      <c r="C1711" s="247" t="s">
        <v>996</v>
      </c>
      <c r="D1711" s="317">
        <v>42662</v>
      </c>
      <c r="E1711" s="318">
        <v>0.52471064814814816</v>
      </c>
      <c r="F1711" s="247" t="s">
        <v>702</v>
      </c>
      <c r="G1711" s="247" t="s">
        <v>1035</v>
      </c>
      <c r="H1711" s="248" t="s">
        <v>234</v>
      </c>
      <c r="I1711" s="248" t="s">
        <v>702</v>
      </c>
      <c r="J1711" s="247" t="s">
        <v>809</v>
      </c>
      <c r="K1711" s="249">
        <v>0</v>
      </c>
      <c r="M1711" s="90">
        <v>0</v>
      </c>
      <c r="N1711" s="90">
        <v>0</v>
      </c>
      <c r="O1711" s="90">
        <v>255</v>
      </c>
    </row>
    <row r="1712" spans="1:15" s="90" customFormat="1" ht="12.75" customHeight="1" x14ac:dyDescent="0.2">
      <c r="A1712" s="247" t="s">
        <v>1032</v>
      </c>
      <c r="B1712" s="316">
        <v>3046</v>
      </c>
      <c r="C1712" s="247" t="s">
        <v>975</v>
      </c>
      <c r="D1712" s="317">
        <v>42662</v>
      </c>
      <c r="E1712" s="318">
        <v>0.52475694444444443</v>
      </c>
      <c r="F1712" s="247" t="s">
        <v>976</v>
      </c>
      <c r="G1712" s="247" t="s">
        <v>1035</v>
      </c>
      <c r="H1712" s="248" t="s">
        <v>404</v>
      </c>
      <c r="I1712" s="248" t="s">
        <v>404</v>
      </c>
      <c r="J1712" s="247" t="s">
        <v>809</v>
      </c>
      <c r="K1712" s="249">
        <v>0</v>
      </c>
      <c r="M1712" s="90">
        <v>0</v>
      </c>
      <c r="N1712" s="90">
        <v>0</v>
      </c>
      <c r="O1712" s="90">
        <v>255</v>
      </c>
    </row>
    <row r="1713" spans="1:15" s="90" customFormat="1" ht="12.75" customHeight="1" x14ac:dyDescent="0.2">
      <c r="A1713" s="247" t="s">
        <v>1171</v>
      </c>
      <c r="B1713" s="316">
        <v>3001</v>
      </c>
      <c r="C1713" s="247" t="s">
        <v>996</v>
      </c>
      <c r="D1713" s="317">
        <v>42662</v>
      </c>
      <c r="E1713" s="318">
        <v>0.52552083333333333</v>
      </c>
      <c r="F1713" s="247" t="s">
        <v>702</v>
      </c>
      <c r="G1713" s="247" t="s">
        <v>1035</v>
      </c>
      <c r="H1713" s="248" t="s">
        <v>121</v>
      </c>
      <c r="I1713" s="248" t="s">
        <v>122</v>
      </c>
      <c r="J1713" s="247" t="s">
        <v>809</v>
      </c>
      <c r="K1713" s="249">
        <v>0</v>
      </c>
      <c r="M1713" s="90">
        <v>0</v>
      </c>
      <c r="N1713" s="90">
        <v>0</v>
      </c>
      <c r="O1713" s="90">
        <v>255</v>
      </c>
    </row>
    <row r="1714" spans="1:15" s="90" customFormat="1" ht="12.75" customHeight="1" x14ac:dyDescent="0.2">
      <c r="A1714" s="247" t="s">
        <v>1130</v>
      </c>
      <c r="B1714" s="316">
        <v>3001</v>
      </c>
      <c r="C1714" s="247" t="s">
        <v>996</v>
      </c>
      <c r="D1714" s="317">
        <v>42662</v>
      </c>
      <c r="E1714" s="318">
        <v>0.52552083333333333</v>
      </c>
      <c r="F1714" s="247" t="s">
        <v>702</v>
      </c>
      <c r="G1714" s="247" t="s">
        <v>1035</v>
      </c>
      <c r="H1714" s="248" t="s">
        <v>121</v>
      </c>
      <c r="I1714" s="248" t="s">
        <v>122</v>
      </c>
      <c r="J1714" s="247" t="s">
        <v>809</v>
      </c>
      <c r="K1714" s="249">
        <v>0</v>
      </c>
      <c r="M1714" s="90">
        <v>0</v>
      </c>
      <c r="N1714" s="90">
        <v>0</v>
      </c>
      <c r="O1714" s="90">
        <v>255</v>
      </c>
    </row>
    <row r="1715" spans="1:15" s="90" customFormat="1" ht="12.75" customHeight="1" x14ac:dyDescent="0.2">
      <c r="A1715" s="247" t="s">
        <v>1354</v>
      </c>
      <c r="B1715" s="316">
        <v>3013</v>
      </c>
      <c r="C1715" s="247" t="s">
        <v>979</v>
      </c>
      <c r="D1715" s="317">
        <v>42662</v>
      </c>
      <c r="E1715" s="318">
        <v>0.52552083333333333</v>
      </c>
      <c r="F1715" s="247" t="s">
        <v>702</v>
      </c>
      <c r="G1715" s="247" t="s">
        <v>1035</v>
      </c>
      <c r="H1715" s="248" t="s">
        <v>234</v>
      </c>
      <c r="I1715" s="248" t="s">
        <v>702</v>
      </c>
      <c r="J1715" s="247" t="s">
        <v>809</v>
      </c>
      <c r="K1715" s="249">
        <v>0</v>
      </c>
      <c r="M1715" s="90">
        <v>0</v>
      </c>
      <c r="N1715" s="90">
        <v>0</v>
      </c>
      <c r="O1715" s="90">
        <v>255</v>
      </c>
    </row>
    <row r="1716" spans="1:15" s="90" customFormat="1" ht="12.75" customHeight="1" x14ac:dyDescent="0.2">
      <c r="A1716" s="247" t="s">
        <v>1130</v>
      </c>
      <c r="B1716" s="316">
        <v>3001</v>
      </c>
      <c r="C1716" s="247" t="s">
        <v>996</v>
      </c>
      <c r="D1716" s="317">
        <v>42662</v>
      </c>
      <c r="E1716" s="318">
        <v>0.52619212962962958</v>
      </c>
      <c r="F1716" s="247" t="s">
        <v>702</v>
      </c>
      <c r="G1716" s="247" t="s">
        <v>1035</v>
      </c>
      <c r="H1716" s="248" t="s">
        <v>121</v>
      </c>
      <c r="I1716" s="248" t="s">
        <v>122</v>
      </c>
      <c r="J1716" s="247" t="s">
        <v>809</v>
      </c>
      <c r="K1716" s="249">
        <v>0</v>
      </c>
      <c r="M1716" s="90">
        <v>0</v>
      </c>
      <c r="N1716" s="90">
        <v>0</v>
      </c>
      <c r="O1716" s="90">
        <v>255</v>
      </c>
    </row>
    <row r="1717" spans="1:15" s="90" customFormat="1" ht="12.75" customHeight="1" x14ac:dyDescent="0.2">
      <c r="A1717" s="247" t="s">
        <v>1269</v>
      </c>
      <c r="B1717" s="316">
        <v>3004</v>
      </c>
      <c r="C1717" s="247" t="s">
        <v>979</v>
      </c>
      <c r="D1717" s="317">
        <v>42662</v>
      </c>
      <c r="E1717" s="318">
        <v>0.52619212962962958</v>
      </c>
      <c r="F1717" s="247" t="s">
        <v>702</v>
      </c>
      <c r="G1717" s="247" t="s">
        <v>1035</v>
      </c>
      <c r="H1717" s="248" t="s">
        <v>234</v>
      </c>
      <c r="I1717" s="248" t="s">
        <v>702</v>
      </c>
      <c r="J1717" s="247" t="s">
        <v>809</v>
      </c>
      <c r="K1717" s="249">
        <v>0</v>
      </c>
      <c r="M1717" s="90">
        <v>0</v>
      </c>
      <c r="N1717" s="90">
        <v>0</v>
      </c>
      <c r="O1717" s="90">
        <v>255</v>
      </c>
    </row>
    <row r="1718" spans="1:15" s="90" customFormat="1" ht="12.75" customHeight="1" x14ac:dyDescent="0.2">
      <c r="A1718" s="247" t="s">
        <v>1077</v>
      </c>
      <c r="B1718" s="316">
        <v>3001</v>
      </c>
      <c r="C1718" s="247" t="s">
        <v>996</v>
      </c>
      <c r="D1718" s="317">
        <v>42662</v>
      </c>
      <c r="E1718" s="318">
        <v>0.52628472222222222</v>
      </c>
      <c r="F1718" s="247" t="s">
        <v>702</v>
      </c>
      <c r="G1718" s="247" t="s">
        <v>1035</v>
      </c>
      <c r="H1718" s="248" t="s">
        <v>121</v>
      </c>
      <c r="I1718" s="248" t="s">
        <v>122</v>
      </c>
      <c r="J1718" s="247" t="s">
        <v>809</v>
      </c>
      <c r="K1718" s="249">
        <v>0</v>
      </c>
      <c r="M1718" s="90">
        <v>0</v>
      </c>
      <c r="N1718" s="90">
        <v>0</v>
      </c>
      <c r="O1718" s="90">
        <v>255</v>
      </c>
    </row>
    <row r="1719" spans="1:15" s="90" customFormat="1" ht="12.75" customHeight="1" x14ac:dyDescent="0.2">
      <c r="A1719" s="247" t="s">
        <v>1169</v>
      </c>
      <c r="B1719" s="316">
        <v>3001</v>
      </c>
      <c r="C1719" s="247" t="s">
        <v>996</v>
      </c>
      <c r="D1719" s="317">
        <v>42662</v>
      </c>
      <c r="E1719" s="318">
        <v>0.52628472222222222</v>
      </c>
      <c r="F1719" s="247" t="s">
        <v>702</v>
      </c>
      <c r="G1719" s="247" t="s">
        <v>1035</v>
      </c>
      <c r="H1719" s="248" t="s">
        <v>121</v>
      </c>
      <c r="I1719" s="248" t="s">
        <v>122</v>
      </c>
      <c r="J1719" s="247" t="s">
        <v>809</v>
      </c>
      <c r="K1719" s="249">
        <v>0</v>
      </c>
      <c r="M1719" s="90">
        <v>0</v>
      </c>
      <c r="N1719" s="90">
        <v>0</v>
      </c>
      <c r="O1719" s="90">
        <v>255</v>
      </c>
    </row>
    <row r="1720" spans="1:15" s="90" customFormat="1" ht="12.75" customHeight="1" x14ac:dyDescent="0.2">
      <c r="A1720" s="247" t="s">
        <v>1267</v>
      </c>
      <c r="B1720" s="316">
        <v>3004</v>
      </c>
      <c r="C1720" s="247" t="s">
        <v>979</v>
      </c>
      <c r="D1720" s="317">
        <v>42662</v>
      </c>
      <c r="E1720" s="318">
        <v>0.52672453703703703</v>
      </c>
      <c r="F1720" s="247" t="s">
        <v>702</v>
      </c>
      <c r="G1720" s="247" t="s">
        <v>1035</v>
      </c>
      <c r="H1720" s="248" t="s">
        <v>234</v>
      </c>
      <c r="I1720" s="248" t="s">
        <v>702</v>
      </c>
      <c r="J1720" s="247" t="s">
        <v>809</v>
      </c>
      <c r="K1720" s="249">
        <v>0</v>
      </c>
      <c r="M1720" s="90">
        <v>0</v>
      </c>
      <c r="N1720" s="90">
        <v>0</v>
      </c>
      <c r="O1720" s="90">
        <v>255</v>
      </c>
    </row>
    <row r="1721" spans="1:15" s="90" customFormat="1" ht="12.75" customHeight="1" x14ac:dyDescent="0.2">
      <c r="A1721" s="247" t="s">
        <v>1208</v>
      </c>
      <c r="B1721" s="316">
        <v>3004</v>
      </c>
      <c r="C1721" s="247" t="s">
        <v>979</v>
      </c>
      <c r="D1721" s="317">
        <v>42662</v>
      </c>
      <c r="E1721" s="318">
        <v>0.52672453703703703</v>
      </c>
      <c r="F1721" s="247" t="s">
        <v>702</v>
      </c>
      <c r="G1721" s="247" t="s">
        <v>1035</v>
      </c>
      <c r="H1721" s="248" t="s">
        <v>234</v>
      </c>
      <c r="I1721" s="248" t="s">
        <v>702</v>
      </c>
      <c r="J1721" s="247" t="s">
        <v>809</v>
      </c>
      <c r="K1721" s="249">
        <v>0</v>
      </c>
      <c r="M1721" s="90">
        <v>0</v>
      </c>
      <c r="N1721" s="90">
        <v>0</v>
      </c>
      <c r="O1721" s="90">
        <v>255</v>
      </c>
    </row>
    <row r="1722" spans="1:15" s="90" customFormat="1" ht="12.75" customHeight="1" x14ac:dyDescent="0.2">
      <c r="A1722" s="247" t="s">
        <v>1031</v>
      </c>
      <c r="B1722" s="316">
        <v>3046</v>
      </c>
      <c r="C1722" s="247" t="s">
        <v>975</v>
      </c>
      <c r="D1722" s="317">
        <v>42662</v>
      </c>
      <c r="E1722" s="318">
        <v>0.52685185185185179</v>
      </c>
      <c r="F1722" s="247" t="s">
        <v>976</v>
      </c>
      <c r="G1722" s="247" t="s">
        <v>1035</v>
      </c>
      <c r="H1722" s="248" t="s">
        <v>404</v>
      </c>
      <c r="I1722" s="248" t="s">
        <v>404</v>
      </c>
      <c r="J1722" s="247" t="s">
        <v>809</v>
      </c>
      <c r="K1722" s="249">
        <v>0</v>
      </c>
      <c r="M1722" s="90">
        <v>0</v>
      </c>
      <c r="N1722" s="90">
        <v>0</v>
      </c>
      <c r="O1722" s="90">
        <v>255</v>
      </c>
    </row>
    <row r="1723" spans="1:15" s="90" customFormat="1" ht="12.75" customHeight="1" x14ac:dyDescent="0.2">
      <c r="A1723" s="247" t="s">
        <v>1032</v>
      </c>
      <c r="B1723" s="316">
        <v>3046</v>
      </c>
      <c r="C1723" s="247" t="s">
        <v>975</v>
      </c>
      <c r="D1723" s="317">
        <v>42662</v>
      </c>
      <c r="E1723" s="318">
        <v>0.5320138888888889</v>
      </c>
      <c r="F1723" s="247" t="s">
        <v>976</v>
      </c>
      <c r="G1723" s="247" t="s">
        <v>1035</v>
      </c>
      <c r="H1723" s="248" t="s">
        <v>404</v>
      </c>
      <c r="I1723" s="248" t="s">
        <v>404</v>
      </c>
      <c r="J1723" s="247" t="s">
        <v>809</v>
      </c>
      <c r="K1723" s="249">
        <v>0</v>
      </c>
      <c r="M1723" s="90">
        <v>0</v>
      </c>
      <c r="N1723" s="90">
        <v>0</v>
      </c>
      <c r="O1723" s="90">
        <v>255</v>
      </c>
    </row>
    <row r="1724" spans="1:15" s="90" customFormat="1" ht="12.75" customHeight="1" x14ac:dyDescent="0.2">
      <c r="A1724" s="247" t="s">
        <v>989</v>
      </c>
      <c r="B1724" s="316">
        <v>3046</v>
      </c>
      <c r="C1724" s="247" t="s">
        <v>975</v>
      </c>
      <c r="D1724" s="317">
        <v>42662</v>
      </c>
      <c r="E1724" s="318">
        <v>0.5320138888888889</v>
      </c>
      <c r="F1724" s="247" t="s">
        <v>976</v>
      </c>
      <c r="G1724" s="247" t="s">
        <v>1035</v>
      </c>
      <c r="H1724" s="248" t="s">
        <v>404</v>
      </c>
      <c r="I1724" s="248" t="s">
        <v>404</v>
      </c>
      <c r="J1724" s="247" t="s">
        <v>809</v>
      </c>
      <c r="K1724" s="249">
        <v>0</v>
      </c>
      <c r="M1724" s="90">
        <v>0</v>
      </c>
      <c r="N1724" s="90">
        <v>0</v>
      </c>
      <c r="O1724" s="90">
        <v>255</v>
      </c>
    </row>
    <row r="1725" spans="1:15" s="90" customFormat="1" ht="12.75" customHeight="1" x14ac:dyDescent="0.2">
      <c r="A1725" s="247" t="s">
        <v>990</v>
      </c>
      <c r="B1725" s="316">
        <v>3046</v>
      </c>
      <c r="C1725" s="247" t="s">
        <v>975</v>
      </c>
      <c r="D1725" s="317">
        <v>42662</v>
      </c>
      <c r="E1725" s="318">
        <v>0.53271990740740738</v>
      </c>
      <c r="F1725" s="247" t="s">
        <v>976</v>
      </c>
      <c r="G1725" s="247" t="s">
        <v>1035</v>
      </c>
      <c r="H1725" s="248" t="s">
        <v>404</v>
      </c>
      <c r="I1725" s="248" t="s">
        <v>404</v>
      </c>
      <c r="J1725" s="247" t="s">
        <v>809</v>
      </c>
      <c r="K1725" s="249">
        <v>0</v>
      </c>
      <c r="M1725" s="90">
        <v>0</v>
      </c>
      <c r="N1725" s="90">
        <v>0</v>
      </c>
      <c r="O1725" s="90">
        <v>255</v>
      </c>
    </row>
    <row r="1726" spans="1:15" s="90" customFormat="1" ht="12.75" customHeight="1" x14ac:dyDescent="0.2">
      <c r="A1726" s="247" t="s">
        <v>1033</v>
      </c>
      <c r="B1726" s="316">
        <v>3217</v>
      </c>
      <c r="C1726" s="247" t="s">
        <v>975</v>
      </c>
      <c r="D1726" s="317">
        <v>42662</v>
      </c>
      <c r="E1726" s="318">
        <v>0.53271990740740738</v>
      </c>
      <c r="F1726" s="247" t="s">
        <v>235</v>
      </c>
      <c r="G1726" s="247" t="s">
        <v>1035</v>
      </c>
      <c r="H1726" s="248" t="s">
        <v>234</v>
      </c>
      <c r="I1726" s="248" t="s">
        <v>235</v>
      </c>
      <c r="J1726" s="247" t="s">
        <v>809</v>
      </c>
      <c r="K1726" s="249">
        <v>0</v>
      </c>
      <c r="M1726" s="90">
        <v>0</v>
      </c>
      <c r="N1726" s="90">
        <v>0</v>
      </c>
      <c r="O1726" s="90">
        <v>255</v>
      </c>
    </row>
    <row r="1727" spans="1:15" s="90" customFormat="1" ht="12.75" customHeight="1" x14ac:dyDescent="0.2">
      <c r="A1727" s="247" t="s">
        <v>1267</v>
      </c>
      <c r="B1727" s="316">
        <v>3004</v>
      </c>
      <c r="C1727" s="247" t="s">
        <v>979</v>
      </c>
      <c r="D1727" s="317">
        <v>42662</v>
      </c>
      <c r="E1727" s="318">
        <v>0.54803240740740744</v>
      </c>
      <c r="F1727" s="247" t="s">
        <v>702</v>
      </c>
      <c r="G1727" s="247" t="s">
        <v>1035</v>
      </c>
      <c r="H1727" s="248" t="s">
        <v>234</v>
      </c>
      <c r="I1727" s="248" t="s">
        <v>702</v>
      </c>
      <c r="J1727" s="247" t="s">
        <v>809</v>
      </c>
      <c r="K1727" s="249">
        <v>0</v>
      </c>
      <c r="M1727" s="90">
        <v>0</v>
      </c>
      <c r="N1727" s="90">
        <v>0</v>
      </c>
      <c r="O1727" s="90">
        <v>255</v>
      </c>
    </row>
    <row r="1728" spans="1:15" s="90" customFormat="1" ht="12.75" customHeight="1" x14ac:dyDescent="0.2">
      <c r="A1728" s="247" t="s">
        <v>1208</v>
      </c>
      <c r="B1728" s="316">
        <v>3004</v>
      </c>
      <c r="C1728" s="247" t="s">
        <v>979</v>
      </c>
      <c r="D1728" s="317">
        <v>42662</v>
      </c>
      <c r="E1728" s="318">
        <v>0.54803240740740744</v>
      </c>
      <c r="F1728" s="247" t="s">
        <v>702</v>
      </c>
      <c r="G1728" s="247" t="s">
        <v>1035</v>
      </c>
      <c r="H1728" s="248" t="s">
        <v>234</v>
      </c>
      <c r="I1728" s="248" t="s">
        <v>702</v>
      </c>
      <c r="J1728" s="247" t="s">
        <v>809</v>
      </c>
      <c r="K1728" s="249">
        <v>0</v>
      </c>
      <c r="M1728" s="90">
        <v>0</v>
      </c>
      <c r="N1728" s="90">
        <v>0</v>
      </c>
      <c r="O1728" s="90">
        <v>255</v>
      </c>
    </row>
    <row r="1729" spans="1:15" s="90" customFormat="1" ht="12.75" customHeight="1" x14ac:dyDescent="0.2">
      <c r="A1729" s="247" t="s">
        <v>1351</v>
      </c>
      <c r="B1729" s="316">
        <v>2083</v>
      </c>
      <c r="C1729" s="247" t="s">
        <v>979</v>
      </c>
      <c r="D1729" s="317">
        <v>42662</v>
      </c>
      <c r="E1729" s="318">
        <v>0.54818287037037039</v>
      </c>
      <c r="F1729" s="247" t="s">
        <v>702</v>
      </c>
      <c r="G1729" s="247" t="s">
        <v>1035</v>
      </c>
      <c r="H1729" s="248" t="s">
        <v>121</v>
      </c>
      <c r="I1729" s="248" t="s">
        <v>122</v>
      </c>
      <c r="J1729" s="247" t="s">
        <v>809</v>
      </c>
      <c r="K1729" s="249">
        <v>0</v>
      </c>
      <c r="M1729" s="90">
        <v>0</v>
      </c>
      <c r="N1729" s="90">
        <v>0</v>
      </c>
      <c r="O1729" s="90">
        <v>255</v>
      </c>
    </row>
    <row r="1730" spans="1:15" s="90" customFormat="1" ht="12.75" customHeight="1" x14ac:dyDescent="0.2">
      <c r="A1730" s="247" t="s">
        <v>1100</v>
      </c>
      <c r="B1730" s="316">
        <v>3001</v>
      </c>
      <c r="C1730" s="247" t="s">
        <v>996</v>
      </c>
      <c r="D1730" s="317">
        <v>42662</v>
      </c>
      <c r="E1730" s="318">
        <v>0.54818287037037039</v>
      </c>
      <c r="F1730" s="247" t="s">
        <v>702</v>
      </c>
      <c r="G1730" s="247" t="s">
        <v>1035</v>
      </c>
      <c r="H1730" s="248" t="s">
        <v>121</v>
      </c>
      <c r="I1730" s="248" t="s">
        <v>122</v>
      </c>
      <c r="J1730" s="247" t="s">
        <v>809</v>
      </c>
      <c r="K1730" s="249">
        <v>0</v>
      </c>
      <c r="M1730" s="90">
        <v>0</v>
      </c>
      <c r="N1730" s="90">
        <v>0</v>
      </c>
      <c r="O1730" s="90">
        <v>255</v>
      </c>
    </row>
    <row r="1731" spans="1:15" s="90" customFormat="1" ht="12.75" customHeight="1" x14ac:dyDescent="0.2">
      <c r="A1731" s="247" t="s">
        <v>1348</v>
      </c>
      <c r="B1731" s="316">
        <v>3004</v>
      </c>
      <c r="C1731" s="247" t="s">
        <v>979</v>
      </c>
      <c r="D1731" s="317">
        <v>42662</v>
      </c>
      <c r="E1731" s="318">
        <v>0.54818287037037039</v>
      </c>
      <c r="F1731" s="247" t="s">
        <v>702</v>
      </c>
      <c r="G1731" s="247" t="s">
        <v>1035</v>
      </c>
      <c r="H1731" s="248" t="s">
        <v>234</v>
      </c>
      <c r="I1731" s="248" t="s">
        <v>702</v>
      </c>
      <c r="J1731" s="247" t="s">
        <v>809</v>
      </c>
      <c r="K1731" s="249">
        <v>0</v>
      </c>
      <c r="M1731" s="90">
        <v>0</v>
      </c>
      <c r="N1731" s="90">
        <v>0</v>
      </c>
      <c r="O1731" s="90">
        <v>255</v>
      </c>
    </row>
    <row r="1732" spans="1:15" s="90" customFormat="1" ht="12.75" customHeight="1" x14ac:dyDescent="0.2">
      <c r="A1732" s="247" t="s">
        <v>1077</v>
      </c>
      <c r="B1732" s="316">
        <v>3001</v>
      </c>
      <c r="C1732" s="247" t="s">
        <v>996</v>
      </c>
      <c r="D1732" s="317">
        <v>42662</v>
      </c>
      <c r="E1732" s="318">
        <v>0.54828703703703707</v>
      </c>
      <c r="F1732" s="247" t="s">
        <v>702</v>
      </c>
      <c r="G1732" s="247" t="s">
        <v>1035</v>
      </c>
      <c r="H1732" s="248" t="s">
        <v>121</v>
      </c>
      <c r="I1732" s="248" t="s">
        <v>122</v>
      </c>
      <c r="J1732" s="247" t="s">
        <v>809</v>
      </c>
      <c r="K1732" s="249">
        <v>0</v>
      </c>
      <c r="M1732" s="90">
        <v>0</v>
      </c>
      <c r="N1732" s="90">
        <v>0</v>
      </c>
      <c r="O1732" s="90">
        <v>255</v>
      </c>
    </row>
    <row r="1733" spans="1:15" s="90" customFormat="1" ht="12.75" customHeight="1" x14ac:dyDescent="0.2">
      <c r="A1733" s="247" t="s">
        <v>1169</v>
      </c>
      <c r="B1733" s="316">
        <v>3001</v>
      </c>
      <c r="C1733" s="247" t="s">
        <v>996</v>
      </c>
      <c r="D1733" s="317">
        <v>42662</v>
      </c>
      <c r="E1733" s="318">
        <v>0.54828703703703707</v>
      </c>
      <c r="F1733" s="247" t="s">
        <v>702</v>
      </c>
      <c r="G1733" s="247" t="s">
        <v>1035</v>
      </c>
      <c r="H1733" s="248" t="s">
        <v>121</v>
      </c>
      <c r="I1733" s="248" t="s">
        <v>122</v>
      </c>
      <c r="J1733" s="247" t="s">
        <v>809</v>
      </c>
      <c r="K1733" s="249">
        <v>0</v>
      </c>
      <c r="M1733" s="90">
        <v>0</v>
      </c>
      <c r="N1733" s="90">
        <v>0</v>
      </c>
      <c r="O1733" s="90">
        <v>255</v>
      </c>
    </row>
    <row r="1734" spans="1:15" s="90" customFormat="1" ht="12.75" customHeight="1" x14ac:dyDescent="0.2">
      <c r="A1734" s="247" t="s">
        <v>1171</v>
      </c>
      <c r="B1734" s="316">
        <v>3001</v>
      </c>
      <c r="C1734" s="247" t="s">
        <v>996</v>
      </c>
      <c r="D1734" s="317">
        <v>42662</v>
      </c>
      <c r="E1734" s="318">
        <v>0.54843750000000002</v>
      </c>
      <c r="F1734" s="247" t="s">
        <v>702</v>
      </c>
      <c r="G1734" s="247" t="s">
        <v>1035</v>
      </c>
      <c r="H1734" s="248" t="s">
        <v>121</v>
      </c>
      <c r="I1734" s="248" t="s">
        <v>122</v>
      </c>
      <c r="J1734" s="247" t="s">
        <v>809</v>
      </c>
      <c r="K1734" s="249">
        <v>0</v>
      </c>
      <c r="M1734" s="90">
        <v>0</v>
      </c>
      <c r="N1734" s="90">
        <v>0</v>
      </c>
      <c r="O1734" s="90">
        <v>255</v>
      </c>
    </row>
    <row r="1735" spans="1:15" s="90" customFormat="1" ht="12.75" customHeight="1" x14ac:dyDescent="0.2">
      <c r="A1735" s="247" t="s">
        <v>1130</v>
      </c>
      <c r="B1735" s="316">
        <v>3001</v>
      </c>
      <c r="C1735" s="247" t="s">
        <v>996</v>
      </c>
      <c r="D1735" s="317">
        <v>42662</v>
      </c>
      <c r="E1735" s="318">
        <v>0.54843750000000002</v>
      </c>
      <c r="F1735" s="247" t="s">
        <v>702</v>
      </c>
      <c r="G1735" s="247" t="s">
        <v>1035</v>
      </c>
      <c r="H1735" s="248" t="s">
        <v>121</v>
      </c>
      <c r="I1735" s="248" t="s">
        <v>122</v>
      </c>
      <c r="J1735" s="247" t="s">
        <v>809</v>
      </c>
      <c r="K1735" s="249">
        <v>0</v>
      </c>
      <c r="M1735" s="90">
        <v>0</v>
      </c>
      <c r="N1735" s="90">
        <v>0</v>
      </c>
      <c r="O1735" s="90">
        <v>255</v>
      </c>
    </row>
    <row r="1736" spans="1:15" s="90" customFormat="1" ht="12.75" customHeight="1" x14ac:dyDescent="0.2">
      <c r="A1736" s="247" t="s">
        <v>1129</v>
      </c>
      <c r="B1736" s="316">
        <v>3001</v>
      </c>
      <c r="C1736" s="247" t="s">
        <v>996</v>
      </c>
      <c r="D1736" s="317">
        <v>42662</v>
      </c>
      <c r="E1736" s="318">
        <v>0.54856481481481478</v>
      </c>
      <c r="F1736" s="247" t="s">
        <v>702</v>
      </c>
      <c r="G1736" s="247" t="s">
        <v>1035</v>
      </c>
      <c r="H1736" s="248" t="s">
        <v>121</v>
      </c>
      <c r="I1736" s="248" t="s">
        <v>122</v>
      </c>
      <c r="J1736" s="247" t="s">
        <v>809</v>
      </c>
      <c r="K1736" s="249">
        <v>0</v>
      </c>
      <c r="M1736" s="90">
        <v>0</v>
      </c>
      <c r="N1736" s="90">
        <v>0</v>
      </c>
      <c r="O1736" s="90">
        <v>255</v>
      </c>
    </row>
    <row r="1737" spans="1:15" s="90" customFormat="1" ht="12.75" customHeight="1" x14ac:dyDescent="0.2">
      <c r="A1737" s="247" t="s">
        <v>1107</v>
      </c>
      <c r="B1737" s="316">
        <v>3001</v>
      </c>
      <c r="C1737" s="247" t="s">
        <v>996</v>
      </c>
      <c r="D1737" s="317">
        <v>42662</v>
      </c>
      <c r="E1737" s="318">
        <v>0.54856481481481478</v>
      </c>
      <c r="F1737" s="247" t="s">
        <v>702</v>
      </c>
      <c r="G1737" s="247" t="s">
        <v>1035</v>
      </c>
      <c r="H1737" s="248" t="s">
        <v>121</v>
      </c>
      <c r="I1737" s="248" t="s">
        <v>122</v>
      </c>
      <c r="J1737" s="247" t="s">
        <v>809</v>
      </c>
      <c r="K1737" s="249">
        <v>0</v>
      </c>
      <c r="M1737" s="90">
        <v>0</v>
      </c>
      <c r="N1737" s="90">
        <v>0</v>
      </c>
      <c r="O1737" s="90">
        <v>255</v>
      </c>
    </row>
    <row r="1738" spans="1:15" s="90" customFormat="1" ht="12.75" customHeight="1" x14ac:dyDescent="0.2">
      <c r="A1738" s="247" t="s">
        <v>1350</v>
      </c>
      <c r="B1738" s="316">
        <v>3001</v>
      </c>
      <c r="C1738" s="247" t="s">
        <v>996</v>
      </c>
      <c r="D1738" s="317">
        <v>42662</v>
      </c>
      <c r="E1738" s="318">
        <v>0.54856481481481478</v>
      </c>
      <c r="F1738" s="247" t="s">
        <v>702</v>
      </c>
      <c r="G1738" s="247" t="s">
        <v>1035</v>
      </c>
      <c r="H1738" s="248" t="s">
        <v>121</v>
      </c>
      <c r="I1738" s="248" t="s">
        <v>122</v>
      </c>
      <c r="J1738" s="247" t="s">
        <v>809</v>
      </c>
      <c r="K1738" s="249">
        <v>0</v>
      </c>
      <c r="M1738" s="90">
        <v>0</v>
      </c>
      <c r="N1738" s="90">
        <v>0</v>
      </c>
      <c r="O1738" s="90">
        <v>255</v>
      </c>
    </row>
    <row r="1739" spans="1:15" s="90" customFormat="1" ht="12.75" customHeight="1" x14ac:dyDescent="0.2">
      <c r="A1739" s="247" t="s">
        <v>1136</v>
      </c>
      <c r="B1739" s="316">
        <v>3001</v>
      </c>
      <c r="C1739" s="247" t="s">
        <v>996</v>
      </c>
      <c r="D1739" s="317">
        <v>42662</v>
      </c>
      <c r="E1739" s="318">
        <v>0.54856481481481478</v>
      </c>
      <c r="F1739" s="247" t="s">
        <v>702</v>
      </c>
      <c r="G1739" s="247" t="s">
        <v>1035</v>
      </c>
      <c r="H1739" s="248" t="s">
        <v>121</v>
      </c>
      <c r="I1739" s="248" t="s">
        <v>122</v>
      </c>
      <c r="J1739" s="247" t="s">
        <v>809</v>
      </c>
      <c r="K1739" s="249">
        <v>0</v>
      </c>
      <c r="M1739" s="90">
        <v>0</v>
      </c>
      <c r="N1739" s="90">
        <v>0</v>
      </c>
      <c r="O1739" s="90">
        <v>255</v>
      </c>
    </row>
    <row r="1740" spans="1:15" s="90" customFormat="1" ht="12.75" customHeight="1" x14ac:dyDescent="0.2">
      <c r="A1740" s="247" t="s">
        <v>1349</v>
      </c>
      <c r="B1740" s="316">
        <v>3004</v>
      </c>
      <c r="C1740" s="247" t="s">
        <v>979</v>
      </c>
      <c r="D1740" s="317">
        <v>42662</v>
      </c>
      <c r="E1740" s="318">
        <v>0.54856481481481478</v>
      </c>
      <c r="F1740" s="247" t="s">
        <v>702</v>
      </c>
      <c r="G1740" s="247" t="s">
        <v>1035</v>
      </c>
      <c r="H1740" s="248" t="s">
        <v>234</v>
      </c>
      <c r="I1740" s="248" t="s">
        <v>702</v>
      </c>
      <c r="J1740" s="247" t="s">
        <v>809</v>
      </c>
      <c r="K1740" s="249">
        <v>0</v>
      </c>
      <c r="M1740" s="90">
        <v>0</v>
      </c>
      <c r="N1740" s="90">
        <v>0</v>
      </c>
      <c r="O1740" s="90">
        <v>255</v>
      </c>
    </row>
    <row r="1741" spans="1:15" s="90" customFormat="1" ht="12.75" customHeight="1" x14ac:dyDescent="0.2">
      <c r="A1741" s="247" t="s">
        <v>1139</v>
      </c>
      <c r="B1741" s="316">
        <v>3001</v>
      </c>
      <c r="C1741" s="247" t="s">
        <v>996</v>
      </c>
      <c r="D1741" s="317">
        <v>42662</v>
      </c>
      <c r="E1741" s="318">
        <v>0.54858796296296297</v>
      </c>
      <c r="F1741" s="247" t="s">
        <v>702</v>
      </c>
      <c r="G1741" s="247" t="s">
        <v>1035</v>
      </c>
      <c r="H1741" s="248" t="s">
        <v>121</v>
      </c>
      <c r="I1741" s="248" t="s">
        <v>122</v>
      </c>
      <c r="J1741" s="247" t="s">
        <v>809</v>
      </c>
      <c r="K1741" s="249">
        <v>0</v>
      </c>
      <c r="M1741" s="90">
        <v>0</v>
      </c>
      <c r="N1741" s="90">
        <v>0</v>
      </c>
      <c r="O1741" s="90">
        <v>255</v>
      </c>
    </row>
    <row r="1742" spans="1:15" s="90" customFormat="1" ht="12.75" customHeight="1" x14ac:dyDescent="0.2">
      <c r="A1742" s="247" t="s">
        <v>1031</v>
      </c>
      <c r="B1742" s="316">
        <v>3046</v>
      </c>
      <c r="C1742" s="247" t="s">
        <v>975</v>
      </c>
      <c r="D1742" s="317">
        <v>42662</v>
      </c>
      <c r="E1742" s="318">
        <v>0.54880787037037038</v>
      </c>
      <c r="F1742" s="247" t="s">
        <v>976</v>
      </c>
      <c r="G1742" s="247" t="s">
        <v>1035</v>
      </c>
      <c r="H1742" s="248" t="s">
        <v>404</v>
      </c>
      <c r="I1742" s="248" t="s">
        <v>404</v>
      </c>
      <c r="J1742" s="247" t="s">
        <v>809</v>
      </c>
      <c r="K1742" s="249">
        <v>0</v>
      </c>
      <c r="M1742" s="90">
        <v>0</v>
      </c>
      <c r="N1742" s="90">
        <v>0</v>
      </c>
      <c r="O1742" s="90">
        <v>255</v>
      </c>
    </row>
    <row r="1743" spans="1:15" s="90" customFormat="1" ht="12.75" customHeight="1" x14ac:dyDescent="0.2">
      <c r="A1743" s="247" t="s">
        <v>1032</v>
      </c>
      <c r="B1743" s="316">
        <v>3046</v>
      </c>
      <c r="C1743" s="247" t="s">
        <v>975</v>
      </c>
      <c r="D1743" s="317">
        <v>42662</v>
      </c>
      <c r="E1743" s="318">
        <v>0.55368055555555562</v>
      </c>
      <c r="F1743" s="247" t="s">
        <v>976</v>
      </c>
      <c r="G1743" s="247" t="s">
        <v>1035</v>
      </c>
      <c r="H1743" s="248" t="s">
        <v>404</v>
      </c>
      <c r="I1743" s="248" t="s">
        <v>404</v>
      </c>
      <c r="J1743" s="247" t="s">
        <v>809</v>
      </c>
      <c r="K1743" s="249">
        <v>0</v>
      </c>
      <c r="M1743" s="90">
        <v>0</v>
      </c>
      <c r="N1743" s="90">
        <v>0</v>
      </c>
      <c r="O1743" s="90">
        <v>255</v>
      </c>
    </row>
    <row r="1744" spans="1:15" s="90" customFormat="1" ht="12.75" customHeight="1" x14ac:dyDescent="0.2">
      <c r="A1744" s="247" t="s">
        <v>989</v>
      </c>
      <c r="B1744" s="316">
        <v>3046</v>
      </c>
      <c r="C1744" s="247" t="s">
        <v>975</v>
      </c>
      <c r="D1744" s="317">
        <v>42662</v>
      </c>
      <c r="E1744" s="318">
        <v>0.55369212962962966</v>
      </c>
      <c r="F1744" s="247" t="s">
        <v>976</v>
      </c>
      <c r="G1744" s="247" t="s">
        <v>1035</v>
      </c>
      <c r="H1744" s="248" t="s">
        <v>404</v>
      </c>
      <c r="I1744" s="248" t="s">
        <v>404</v>
      </c>
      <c r="J1744" s="247" t="s">
        <v>809</v>
      </c>
      <c r="K1744" s="249">
        <v>0</v>
      </c>
      <c r="M1744" s="90">
        <v>0</v>
      </c>
      <c r="N1744" s="90">
        <v>0</v>
      </c>
      <c r="O1744" s="90">
        <v>255</v>
      </c>
    </row>
    <row r="1745" spans="1:15" s="90" customFormat="1" ht="12.75" customHeight="1" x14ac:dyDescent="0.2">
      <c r="A1745" s="247" t="s">
        <v>990</v>
      </c>
      <c r="B1745" s="316">
        <v>3046</v>
      </c>
      <c r="C1745" s="247" t="s">
        <v>975</v>
      </c>
      <c r="D1745" s="317">
        <v>42662</v>
      </c>
      <c r="E1745" s="318">
        <v>0.55396990740740737</v>
      </c>
      <c r="F1745" s="247" t="s">
        <v>976</v>
      </c>
      <c r="G1745" s="247" t="s">
        <v>1035</v>
      </c>
      <c r="H1745" s="248" t="s">
        <v>404</v>
      </c>
      <c r="I1745" s="248" t="s">
        <v>404</v>
      </c>
      <c r="J1745" s="247" t="s">
        <v>809</v>
      </c>
      <c r="K1745" s="249">
        <v>0</v>
      </c>
      <c r="M1745" s="90">
        <v>0</v>
      </c>
      <c r="N1745" s="90">
        <v>0</v>
      </c>
      <c r="O1745" s="90">
        <v>255</v>
      </c>
    </row>
    <row r="1746" spans="1:15" s="90" customFormat="1" ht="12.75" customHeight="1" x14ac:dyDescent="0.2">
      <c r="A1746" s="247" t="s">
        <v>1033</v>
      </c>
      <c r="B1746" s="316">
        <v>3217</v>
      </c>
      <c r="C1746" s="247" t="s">
        <v>975</v>
      </c>
      <c r="D1746" s="317">
        <v>42662</v>
      </c>
      <c r="E1746" s="318">
        <v>0.55396990740740737</v>
      </c>
      <c r="F1746" s="247" t="s">
        <v>235</v>
      </c>
      <c r="G1746" s="247" t="s">
        <v>1035</v>
      </c>
      <c r="H1746" s="248" t="s">
        <v>234</v>
      </c>
      <c r="I1746" s="248" t="s">
        <v>235</v>
      </c>
      <c r="J1746" s="247" t="s">
        <v>809</v>
      </c>
      <c r="K1746" s="249">
        <v>0</v>
      </c>
      <c r="M1746" s="90">
        <v>0</v>
      </c>
      <c r="N1746" s="90">
        <v>0</v>
      </c>
      <c r="O1746" s="90">
        <v>255</v>
      </c>
    </row>
    <row r="1747" spans="1:15" s="90" customFormat="1" ht="12.75" customHeight="1" x14ac:dyDescent="0.2">
      <c r="A1747" s="247" t="s">
        <v>989</v>
      </c>
      <c r="B1747" s="316">
        <v>3046</v>
      </c>
      <c r="C1747" s="247" t="s">
        <v>975</v>
      </c>
      <c r="D1747" s="317">
        <v>42662</v>
      </c>
      <c r="E1747" s="318">
        <v>0.56864583333333341</v>
      </c>
      <c r="F1747" s="247" t="s">
        <v>976</v>
      </c>
      <c r="G1747" s="247" t="s">
        <v>1035</v>
      </c>
      <c r="H1747" s="248" t="s">
        <v>404</v>
      </c>
      <c r="I1747" s="248" t="s">
        <v>404</v>
      </c>
      <c r="J1747" s="247" t="s">
        <v>809</v>
      </c>
      <c r="K1747" s="249">
        <v>0</v>
      </c>
      <c r="M1747" s="90">
        <v>0</v>
      </c>
      <c r="N1747" s="90">
        <v>0</v>
      </c>
      <c r="O1747" s="90">
        <v>255</v>
      </c>
    </row>
    <row r="1748" spans="1:15" s="90" customFormat="1" ht="12.75" customHeight="1" x14ac:dyDescent="0.2">
      <c r="A1748" s="247" t="s">
        <v>1029</v>
      </c>
      <c r="B1748" s="316">
        <v>3046</v>
      </c>
      <c r="C1748" s="247" t="s">
        <v>975</v>
      </c>
      <c r="D1748" s="317">
        <v>42662</v>
      </c>
      <c r="E1748" s="318">
        <v>0.57185185185185183</v>
      </c>
      <c r="F1748" s="247" t="s">
        <v>976</v>
      </c>
      <c r="G1748" s="247" t="s">
        <v>1035</v>
      </c>
      <c r="H1748" s="248" t="s">
        <v>404</v>
      </c>
      <c r="I1748" s="248" t="s">
        <v>404</v>
      </c>
      <c r="J1748" s="247" t="s">
        <v>809</v>
      </c>
      <c r="K1748" s="249">
        <v>0</v>
      </c>
      <c r="M1748" s="90">
        <v>0</v>
      </c>
      <c r="N1748" s="90">
        <v>0</v>
      </c>
      <c r="O1748" s="90">
        <v>255</v>
      </c>
    </row>
    <row r="1749" spans="1:15" s="90" customFormat="1" ht="12.75" customHeight="1" x14ac:dyDescent="0.2">
      <c r="A1749" s="247" t="s">
        <v>977</v>
      </c>
      <c r="B1749" s="316">
        <v>3046</v>
      </c>
      <c r="C1749" s="247" t="s">
        <v>975</v>
      </c>
      <c r="D1749" s="317">
        <v>42662</v>
      </c>
      <c r="E1749" s="318">
        <v>0.57185185185185183</v>
      </c>
      <c r="F1749" s="247" t="s">
        <v>976</v>
      </c>
      <c r="G1749" s="247" t="s">
        <v>1035</v>
      </c>
      <c r="H1749" s="248" t="s">
        <v>404</v>
      </c>
      <c r="I1749" s="248" t="s">
        <v>404</v>
      </c>
      <c r="J1749" s="247" t="s">
        <v>809</v>
      </c>
      <c r="K1749" s="249">
        <v>0</v>
      </c>
      <c r="M1749" s="90">
        <v>0</v>
      </c>
      <c r="N1749" s="90">
        <v>0</v>
      </c>
      <c r="O1749" s="90">
        <v>255</v>
      </c>
    </row>
    <row r="1750" spans="1:15" s="90" customFormat="1" ht="12.75" customHeight="1" x14ac:dyDescent="0.2">
      <c r="A1750" s="247" t="s">
        <v>983</v>
      </c>
      <c r="B1750" s="316">
        <v>3046</v>
      </c>
      <c r="C1750" s="247" t="s">
        <v>975</v>
      </c>
      <c r="D1750" s="317">
        <v>42662</v>
      </c>
      <c r="E1750" s="318">
        <v>0.57240740740740736</v>
      </c>
      <c r="F1750" s="247" t="s">
        <v>976</v>
      </c>
      <c r="G1750" s="247" t="s">
        <v>1035</v>
      </c>
      <c r="H1750" s="248" t="s">
        <v>404</v>
      </c>
      <c r="I1750" s="248" t="s">
        <v>404</v>
      </c>
      <c r="J1750" s="247" t="s">
        <v>809</v>
      </c>
      <c r="K1750" s="249">
        <v>0</v>
      </c>
      <c r="M1750" s="90">
        <v>0</v>
      </c>
      <c r="N1750" s="90">
        <v>0</v>
      </c>
      <c r="O1750" s="90">
        <v>255</v>
      </c>
    </row>
    <row r="1751" spans="1:15" s="90" customFormat="1" ht="12.75" customHeight="1" x14ac:dyDescent="0.2">
      <c r="A1751" s="247" t="s">
        <v>991</v>
      </c>
      <c r="B1751" s="316">
        <v>3046</v>
      </c>
      <c r="C1751" s="247" t="s">
        <v>975</v>
      </c>
      <c r="D1751" s="317">
        <v>42662</v>
      </c>
      <c r="E1751" s="318">
        <v>0.5725231481481482</v>
      </c>
      <c r="F1751" s="247" t="s">
        <v>976</v>
      </c>
      <c r="G1751" s="247" t="s">
        <v>1035</v>
      </c>
      <c r="H1751" s="248" t="s">
        <v>404</v>
      </c>
      <c r="I1751" s="248" t="s">
        <v>404</v>
      </c>
      <c r="J1751" s="247" t="s">
        <v>809</v>
      </c>
      <c r="K1751" s="249">
        <v>0</v>
      </c>
      <c r="M1751" s="90">
        <v>0</v>
      </c>
      <c r="N1751" s="90">
        <v>0</v>
      </c>
      <c r="O1751" s="90">
        <v>255</v>
      </c>
    </row>
    <row r="1752" spans="1:15" s="90" customFormat="1" ht="12.75" customHeight="1" x14ac:dyDescent="0.2">
      <c r="A1752" s="247" t="s">
        <v>615</v>
      </c>
      <c r="B1752" s="316">
        <v>4040</v>
      </c>
      <c r="C1752" s="247" t="s">
        <v>996</v>
      </c>
      <c r="D1752" s="317">
        <v>42662</v>
      </c>
      <c r="E1752" s="318">
        <v>0.57275462962962964</v>
      </c>
      <c r="F1752" s="247" t="s">
        <v>702</v>
      </c>
      <c r="G1752" s="247" t="s">
        <v>1035</v>
      </c>
      <c r="H1752" s="248" t="s">
        <v>860</v>
      </c>
      <c r="I1752" s="248" t="s">
        <v>30</v>
      </c>
      <c r="J1752" s="247" t="s">
        <v>809</v>
      </c>
      <c r="K1752" s="249">
        <v>0</v>
      </c>
      <c r="L1752" s="90" t="s">
        <v>1778</v>
      </c>
      <c r="M1752" s="90">
        <v>319</v>
      </c>
      <c r="N1752" s="90">
        <v>1</v>
      </c>
      <c r="O1752" s="90">
        <v>0</v>
      </c>
    </row>
    <row r="1753" spans="1:15" s="90" customFormat="1" ht="12.75" customHeight="1" x14ac:dyDescent="0.2">
      <c r="A1753" s="247" t="s">
        <v>1143</v>
      </c>
      <c r="B1753" s="316">
        <v>3051</v>
      </c>
      <c r="C1753" s="247" t="s">
        <v>975</v>
      </c>
      <c r="D1753" s="317">
        <v>42662</v>
      </c>
      <c r="E1753" s="318">
        <v>0.57319444444444445</v>
      </c>
      <c r="F1753" s="247" t="s">
        <v>235</v>
      </c>
      <c r="G1753" s="247" t="s">
        <v>1035</v>
      </c>
      <c r="H1753" s="248" t="s">
        <v>234</v>
      </c>
      <c r="I1753" s="248" t="s">
        <v>235</v>
      </c>
      <c r="J1753" s="247" t="s">
        <v>809</v>
      </c>
      <c r="K1753" s="249">
        <v>0</v>
      </c>
      <c r="M1753" s="90">
        <v>0</v>
      </c>
      <c r="N1753" s="90">
        <v>0</v>
      </c>
      <c r="O1753" s="90">
        <v>255</v>
      </c>
    </row>
    <row r="1754" spans="1:15" s="90" customFormat="1" ht="12.75" customHeight="1" x14ac:dyDescent="0.2">
      <c r="A1754" s="247" t="s">
        <v>1030</v>
      </c>
      <c r="B1754" s="316">
        <v>3051</v>
      </c>
      <c r="C1754" s="247" t="s">
        <v>975</v>
      </c>
      <c r="D1754" s="317">
        <v>42662</v>
      </c>
      <c r="E1754" s="318">
        <v>0.57319444444444445</v>
      </c>
      <c r="F1754" s="247" t="s">
        <v>235</v>
      </c>
      <c r="G1754" s="247" t="s">
        <v>1035</v>
      </c>
      <c r="H1754" s="248" t="s">
        <v>234</v>
      </c>
      <c r="I1754" s="248" t="s">
        <v>235</v>
      </c>
      <c r="J1754" s="247" t="s">
        <v>809</v>
      </c>
      <c r="K1754" s="249">
        <v>0</v>
      </c>
      <c r="M1754" s="90">
        <v>0</v>
      </c>
      <c r="N1754" s="90">
        <v>0</v>
      </c>
      <c r="O1754" s="90">
        <v>255</v>
      </c>
    </row>
    <row r="1755" spans="1:15" s="90" customFormat="1" ht="12.75" customHeight="1" x14ac:dyDescent="0.2">
      <c r="A1755" s="247" t="s">
        <v>1036</v>
      </c>
      <c r="B1755" s="316">
        <v>3051</v>
      </c>
      <c r="C1755" s="247" t="s">
        <v>975</v>
      </c>
      <c r="D1755" s="317">
        <v>42662</v>
      </c>
      <c r="E1755" s="318">
        <v>0.57319444444444445</v>
      </c>
      <c r="F1755" s="247" t="s">
        <v>235</v>
      </c>
      <c r="G1755" s="247" t="s">
        <v>1035</v>
      </c>
      <c r="H1755" s="248" t="s">
        <v>234</v>
      </c>
      <c r="I1755" s="248" t="s">
        <v>235</v>
      </c>
      <c r="J1755" s="247" t="s">
        <v>809</v>
      </c>
      <c r="K1755" s="249">
        <v>0</v>
      </c>
      <c r="M1755" s="90">
        <v>0</v>
      </c>
      <c r="N1755" s="90">
        <v>0</v>
      </c>
      <c r="O1755" s="90">
        <v>255</v>
      </c>
    </row>
    <row r="1756" spans="1:15" s="90" customFormat="1" ht="12.75" customHeight="1" x14ac:dyDescent="0.2">
      <c r="A1756" s="247" t="s">
        <v>1104</v>
      </c>
      <c r="B1756" s="316">
        <v>3052</v>
      </c>
      <c r="C1756" s="247" t="s">
        <v>975</v>
      </c>
      <c r="D1756" s="317">
        <v>42662</v>
      </c>
      <c r="E1756" s="318">
        <v>0.57319444444444445</v>
      </c>
      <c r="F1756" s="247" t="s">
        <v>235</v>
      </c>
      <c r="G1756" s="247" t="s">
        <v>1035</v>
      </c>
      <c r="H1756" s="248" t="s">
        <v>234</v>
      </c>
      <c r="I1756" s="248" t="s">
        <v>235</v>
      </c>
      <c r="J1756" s="247" t="s">
        <v>809</v>
      </c>
      <c r="K1756" s="249">
        <v>0</v>
      </c>
      <c r="M1756" s="90">
        <v>0</v>
      </c>
      <c r="N1756" s="90">
        <v>0</v>
      </c>
      <c r="O1756" s="90">
        <v>255</v>
      </c>
    </row>
    <row r="1757" spans="1:15" s="90" customFormat="1" ht="12.75" customHeight="1" x14ac:dyDescent="0.2">
      <c r="A1757" s="247" t="s">
        <v>992</v>
      </c>
      <c r="B1757" s="316">
        <v>3046</v>
      </c>
      <c r="C1757" s="247" t="s">
        <v>975</v>
      </c>
      <c r="D1757" s="317">
        <v>42662</v>
      </c>
      <c r="E1757" s="318">
        <v>0.57378472222222221</v>
      </c>
      <c r="F1757" s="247" t="s">
        <v>976</v>
      </c>
      <c r="G1757" s="247" t="s">
        <v>1035</v>
      </c>
      <c r="H1757" s="248" t="s">
        <v>404</v>
      </c>
      <c r="I1757" s="248" t="s">
        <v>404</v>
      </c>
      <c r="J1757" s="247" t="s">
        <v>809</v>
      </c>
      <c r="K1757" s="249">
        <v>0</v>
      </c>
      <c r="M1757" s="90">
        <v>0</v>
      </c>
      <c r="N1757" s="90">
        <v>0</v>
      </c>
      <c r="O1757" s="90">
        <v>255</v>
      </c>
    </row>
    <row r="1758" spans="1:15" s="90" customFormat="1" ht="12.75" customHeight="1" x14ac:dyDescent="0.2">
      <c r="A1758" s="247" t="s">
        <v>988</v>
      </c>
      <c r="B1758" s="316">
        <v>3046</v>
      </c>
      <c r="C1758" s="247" t="s">
        <v>975</v>
      </c>
      <c r="D1758" s="317">
        <v>42662</v>
      </c>
      <c r="E1758" s="318">
        <v>0.57538194444444446</v>
      </c>
      <c r="F1758" s="247" t="s">
        <v>976</v>
      </c>
      <c r="G1758" s="247" t="s">
        <v>1035</v>
      </c>
      <c r="H1758" s="248" t="s">
        <v>404</v>
      </c>
      <c r="I1758" s="248" t="s">
        <v>404</v>
      </c>
      <c r="J1758" s="247" t="s">
        <v>809</v>
      </c>
      <c r="K1758" s="249">
        <v>0</v>
      </c>
      <c r="M1758" s="90">
        <v>0</v>
      </c>
      <c r="N1758" s="90">
        <v>0</v>
      </c>
      <c r="O1758" s="90">
        <v>255</v>
      </c>
    </row>
    <row r="1759" spans="1:15" s="90" customFormat="1" ht="12.75" customHeight="1" x14ac:dyDescent="0.2">
      <c r="A1759" s="247" t="s">
        <v>989</v>
      </c>
      <c r="B1759" s="316">
        <v>3046</v>
      </c>
      <c r="C1759" s="247" t="s">
        <v>975</v>
      </c>
      <c r="D1759" s="317">
        <v>42662</v>
      </c>
      <c r="E1759" s="318">
        <v>0.57538194444444446</v>
      </c>
      <c r="F1759" s="247" t="s">
        <v>976</v>
      </c>
      <c r="G1759" s="247" t="s">
        <v>1035</v>
      </c>
      <c r="H1759" s="248" t="s">
        <v>404</v>
      </c>
      <c r="I1759" s="248" t="s">
        <v>404</v>
      </c>
      <c r="J1759" s="247" t="s">
        <v>809</v>
      </c>
      <c r="K1759" s="249">
        <v>0</v>
      </c>
      <c r="M1759" s="90">
        <v>0</v>
      </c>
      <c r="N1759" s="90">
        <v>0</v>
      </c>
      <c r="O1759" s="90">
        <v>255</v>
      </c>
    </row>
    <row r="1760" spans="1:15" s="90" customFormat="1" ht="12.75" customHeight="1" x14ac:dyDescent="0.2">
      <c r="A1760" s="247" t="s">
        <v>990</v>
      </c>
      <c r="B1760" s="316">
        <v>3046</v>
      </c>
      <c r="C1760" s="247" t="s">
        <v>975</v>
      </c>
      <c r="D1760" s="317">
        <v>42662</v>
      </c>
      <c r="E1760" s="318">
        <v>0.57623842592592589</v>
      </c>
      <c r="F1760" s="247" t="s">
        <v>976</v>
      </c>
      <c r="G1760" s="247" t="s">
        <v>1035</v>
      </c>
      <c r="H1760" s="248" t="s">
        <v>404</v>
      </c>
      <c r="I1760" s="248" t="s">
        <v>404</v>
      </c>
      <c r="J1760" s="247" t="s">
        <v>809</v>
      </c>
      <c r="K1760" s="249">
        <v>0</v>
      </c>
      <c r="M1760" s="90">
        <v>0</v>
      </c>
      <c r="N1760" s="90">
        <v>0</v>
      </c>
      <c r="O1760" s="90">
        <v>255</v>
      </c>
    </row>
    <row r="1761" spans="1:15" s="90" customFormat="1" ht="12.75" customHeight="1" x14ac:dyDescent="0.2">
      <c r="A1761" s="247" t="s">
        <v>989</v>
      </c>
      <c r="B1761" s="316">
        <v>3046</v>
      </c>
      <c r="C1761" s="247" t="s">
        <v>975</v>
      </c>
      <c r="D1761" s="317">
        <v>42662</v>
      </c>
      <c r="E1761" s="318">
        <v>0.61790509259259252</v>
      </c>
      <c r="F1761" s="247" t="s">
        <v>976</v>
      </c>
      <c r="G1761" s="247" t="s">
        <v>1035</v>
      </c>
      <c r="H1761" s="248" t="s">
        <v>404</v>
      </c>
      <c r="I1761" s="248" t="s">
        <v>404</v>
      </c>
      <c r="J1761" s="247" t="s">
        <v>809</v>
      </c>
      <c r="K1761" s="249">
        <v>0</v>
      </c>
      <c r="M1761" s="90">
        <v>0</v>
      </c>
      <c r="N1761" s="90">
        <v>0</v>
      </c>
      <c r="O1761" s="90">
        <v>255</v>
      </c>
    </row>
    <row r="1762" spans="1:15" s="90" customFormat="1" ht="12.75" customHeight="1" x14ac:dyDescent="0.2">
      <c r="A1762" s="247" t="s">
        <v>990</v>
      </c>
      <c r="B1762" s="316">
        <v>3046</v>
      </c>
      <c r="C1762" s="247" t="s">
        <v>975</v>
      </c>
      <c r="D1762" s="317">
        <v>42662</v>
      </c>
      <c r="E1762" s="318">
        <v>0.61814814814814811</v>
      </c>
      <c r="F1762" s="247" t="s">
        <v>976</v>
      </c>
      <c r="G1762" s="247" t="s">
        <v>1035</v>
      </c>
      <c r="H1762" s="248" t="s">
        <v>404</v>
      </c>
      <c r="I1762" s="248" t="s">
        <v>404</v>
      </c>
      <c r="J1762" s="247" t="s">
        <v>809</v>
      </c>
      <c r="K1762" s="249">
        <v>0</v>
      </c>
      <c r="M1762" s="90">
        <v>0</v>
      </c>
      <c r="N1762" s="90">
        <v>0</v>
      </c>
      <c r="O1762" s="90">
        <v>255</v>
      </c>
    </row>
    <row r="1763" spans="1:15" s="90" customFormat="1" ht="12.75" customHeight="1" x14ac:dyDescent="0.2">
      <c r="A1763" s="247" t="s">
        <v>993</v>
      </c>
      <c r="B1763" s="316">
        <v>3217</v>
      </c>
      <c r="C1763" s="247" t="s">
        <v>975</v>
      </c>
      <c r="D1763" s="317">
        <v>42662</v>
      </c>
      <c r="E1763" s="318">
        <v>0.61814814814814811</v>
      </c>
      <c r="F1763" s="247" t="s">
        <v>235</v>
      </c>
      <c r="G1763" s="247" t="s">
        <v>1035</v>
      </c>
      <c r="H1763" s="248" t="s">
        <v>234</v>
      </c>
      <c r="I1763" s="248" t="s">
        <v>235</v>
      </c>
      <c r="J1763" s="247" t="s">
        <v>809</v>
      </c>
      <c r="K1763" s="249">
        <v>0</v>
      </c>
      <c r="M1763" s="90">
        <v>0</v>
      </c>
      <c r="N1763" s="90">
        <v>0</v>
      </c>
      <c r="O1763" s="90">
        <v>255</v>
      </c>
    </row>
    <row r="1764" spans="1:15" s="90" customFormat="1" ht="12.75" customHeight="1" x14ac:dyDescent="0.2">
      <c r="A1764" s="247" t="s">
        <v>301</v>
      </c>
      <c r="B1764" s="316">
        <v>3042</v>
      </c>
      <c r="C1764" s="247" t="s">
        <v>979</v>
      </c>
      <c r="D1764" s="317">
        <v>42662</v>
      </c>
      <c r="E1764" s="318">
        <v>0.63953703703703701</v>
      </c>
      <c r="F1764" s="247" t="s">
        <v>980</v>
      </c>
      <c r="G1764" s="247" t="s">
        <v>1035</v>
      </c>
      <c r="H1764" s="248" t="s">
        <v>234</v>
      </c>
      <c r="I1764" s="248" t="s">
        <v>263</v>
      </c>
      <c r="J1764" s="247" t="s">
        <v>809</v>
      </c>
      <c r="K1764" s="249">
        <v>0</v>
      </c>
      <c r="M1764" s="90">
        <v>0</v>
      </c>
      <c r="N1764" s="90">
        <v>0</v>
      </c>
      <c r="O1764" s="90">
        <v>255</v>
      </c>
    </row>
    <row r="1765" spans="1:15" s="90" customFormat="1" ht="12.75" customHeight="1" x14ac:dyDescent="0.2">
      <c r="A1765" s="247" t="s">
        <v>989</v>
      </c>
      <c r="B1765" s="316">
        <v>3046</v>
      </c>
      <c r="C1765" s="247" t="s">
        <v>975</v>
      </c>
      <c r="D1765" s="317">
        <v>42662</v>
      </c>
      <c r="E1765" s="318">
        <v>0.65982638888888889</v>
      </c>
      <c r="F1765" s="247" t="s">
        <v>976</v>
      </c>
      <c r="G1765" s="247" t="s">
        <v>1035</v>
      </c>
      <c r="H1765" s="248" t="s">
        <v>404</v>
      </c>
      <c r="I1765" s="248" t="s">
        <v>404</v>
      </c>
      <c r="J1765" s="247" t="s">
        <v>809</v>
      </c>
      <c r="K1765" s="249">
        <v>0</v>
      </c>
      <c r="M1765" s="90">
        <v>0</v>
      </c>
      <c r="N1765" s="90">
        <v>0</v>
      </c>
      <c r="O1765" s="90">
        <v>255</v>
      </c>
    </row>
    <row r="1766" spans="1:15" s="90" customFormat="1" ht="12.75" customHeight="1" x14ac:dyDescent="0.2">
      <c r="A1766" s="247" t="s">
        <v>990</v>
      </c>
      <c r="B1766" s="316">
        <v>3046</v>
      </c>
      <c r="C1766" s="247" t="s">
        <v>975</v>
      </c>
      <c r="D1766" s="317">
        <v>42662</v>
      </c>
      <c r="E1766" s="318">
        <v>0.66006944444444449</v>
      </c>
      <c r="F1766" s="247" t="s">
        <v>976</v>
      </c>
      <c r="G1766" s="247" t="s">
        <v>1035</v>
      </c>
      <c r="H1766" s="248" t="s">
        <v>404</v>
      </c>
      <c r="I1766" s="248" t="s">
        <v>404</v>
      </c>
      <c r="J1766" s="247" t="s">
        <v>809</v>
      </c>
      <c r="K1766" s="249">
        <v>0</v>
      </c>
      <c r="M1766" s="90">
        <v>0</v>
      </c>
      <c r="N1766" s="90">
        <v>0</v>
      </c>
      <c r="O1766" s="90">
        <v>255</v>
      </c>
    </row>
    <row r="1767" spans="1:15" s="90" customFormat="1" ht="12.75" customHeight="1" x14ac:dyDescent="0.2">
      <c r="A1767" s="247" t="s">
        <v>993</v>
      </c>
      <c r="B1767" s="316">
        <v>3217</v>
      </c>
      <c r="C1767" s="247" t="s">
        <v>975</v>
      </c>
      <c r="D1767" s="317">
        <v>42662</v>
      </c>
      <c r="E1767" s="318">
        <v>0.66006944444444449</v>
      </c>
      <c r="F1767" s="247" t="s">
        <v>235</v>
      </c>
      <c r="G1767" s="247" t="s">
        <v>1035</v>
      </c>
      <c r="H1767" s="248" t="s">
        <v>234</v>
      </c>
      <c r="I1767" s="248" t="s">
        <v>235</v>
      </c>
      <c r="J1767" s="247" t="s">
        <v>809</v>
      </c>
      <c r="K1767" s="249">
        <v>0</v>
      </c>
      <c r="M1767" s="90">
        <v>0</v>
      </c>
      <c r="N1767" s="90">
        <v>0</v>
      </c>
      <c r="O1767" s="90">
        <v>255</v>
      </c>
    </row>
    <row r="1768" spans="1:15" s="90" customFormat="1" ht="12.75" customHeight="1" x14ac:dyDescent="0.2">
      <c r="A1768" s="247" t="s">
        <v>989</v>
      </c>
      <c r="B1768" s="316">
        <v>3046</v>
      </c>
      <c r="C1768" s="247" t="s">
        <v>975</v>
      </c>
      <c r="D1768" s="317">
        <v>42662</v>
      </c>
      <c r="E1768" s="318">
        <v>0.70173611111111101</v>
      </c>
      <c r="F1768" s="247" t="s">
        <v>976</v>
      </c>
      <c r="G1768" s="247" t="s">
        <v>1035</v>
      </c>
      <c r="H1768" s="248" t="s">
        <v>404</v>
      </c>
      <c r="I1768" s="248" t="s">
        <v>404</v>
      </c>
      <c r="J1768" s="247" t="s">
        <v>809</v>
      </c>
      <c r="K1768" s="249">
        <v>0</v>
      </c>
      <c r="M1768" s="90">
        <v>0</v>
      </c>
      <c r="N1768" s="90">
        <v>0</v>
      </c>
      <c r="O1768" s="90">
        <v>255</v>
      </c>
    </row>
    <row r="1769" spans="1:15" s="90" customFormat="1" ht="12.75" customHeight="1" x14ac:dyDescent="0.2">
      <c r="A1769" s="247" t="s">
        <v>990</v>
      </c>
      <c r="B1769" s="316">
        <v>3046</v>
      </c>
      <c r="C1769" s="247" t="s">
        <v>975</v>
      </c>
      <c r="D1769" s="317">
        <v>42662</v>
      </c>
      <c r="E1769" s="318">
        <v>0.70199074074074075</v>
      </c>
      <c r="F1769" s="247" t="s">
        <v>976</v>
      </c>
      <c r="G1769" s="247" t="s">
        <v>1035</v>
      </c>
      <c r="H1769" s="248" t="s">
        <v>404</v>
      </c>
      <c r="I1769" s="248" t="s">
        <v>404</v>
      </c>
      <c r="J1769" s="247" t="s">
        <v>809</v>
      </c>
      <c r="K1769" s="249">
        <v>0</v>
      </c>
      <c r="M1769" s="90">
        <v>0</v>
      </c>
      <c r="N1769" s="90">
        <v>0</v>
      </c>
      <c r="O1769" s="90">
        <v>255</v>
      </c>
    </row>
    <row r="1770" spans="1:15" s="90" customFormat="1" ht="12.75" customHeight="1" x14ac:dyDescent="0.2">
      <c r="A1770" s="247" t="s">
        <v>993</v>
      </c>
      <c r="B1770" s="316">
        <v>3217</v>
      </c>
      <c r="C1770" s="247" t="s">
        <v>975</v>
      </c>
      <c r="D1770" s="317">
        <v>42662</v>
      </c>
      <c r="E1770" s="318">
        <v>0.70199074074074075</v>
      </c>
      <c r="F1770" s="247" t="s">
        <v>235</v>
      </c>
      <c r="G1770" s="247" t="s">
        <v>1035</v>
      </c>
      <c r="H1770" s="248" t="s">
        <v>234</v>
      </c>
      <c r="I1770" s="248" t="s">
        <v>235</v>
      </c>
      <c r="J1770" s="247" t="s">
        <v>809</v>
      </c>
      <c r="K1770" s="249">
        <v>0</v>
      </c>
      <c r="M1770" s="90">
        <v>0</v>
      </c>
      <c r="N1770" s="90">
        <v>0</v>
      </c>
      <c r="O1770" s="90">
        <v>255</v>
      </c>
    </row>
    <row r="1771" spans="1:15" s="90" customFormat="1" ht="12.75" customHeight="1" x14ac:dyDescent="0.2">
      <c r="A1771" s="247" t="s">
        <v>989</v>
      </c>
      <c r="B1771" s="316">
        <v>3046</v>
      </c>
      <c r="C1771" s="247" t="s">
        <v>975</v>
      </c>
      <c r="D1771" s="317">
        <v>42662</v>
      </c>
      <c r="E1771" s="318">
        <v>0.74365740740740749</v>
      </c>
      <c r="F1771" s="247" t="s">
        <v>976</v>
      </c>
      <c r="G1771" s="247" t="s">
        <v>1035</v>
      </c>
      <c r="H1771" s="248" t="s">
        <v>404</v>
      </c>
      <c r="I1771" s="248" t="s">
        <v>404</v>
      </c>
      <c r="J1771" s="247" t="s">
        <v>809</v>
      </c>
      <c r="K1771" s="249">
        <v>0</v>
      </c>
      <c r="M1771" s="90">
        <v>0</v>
      </c>
      <c r="N1771" s="90">
        <v>0</v>
      </c>
      <c r="O1771" s="90">
        <v>255</v>
      </c>
    </row>
    <row r="1772" spans="1:15" s="90" customFormat="1" ht="12.75" customHeight="1" x14ac:dyDescent="0.2">
      <c r="A1772" s="247" t="s">
        <v>990</v>
      </c>
      <c r="B1772" s="316">
        <v>3046</v>
      </c>
      <c r="C1772" s="247" t="s">
        <v>975</v>
      </c>
      <c r="D1772" s="317">
        <v>42662</v>
      </c>
      <c r="E1772" s="318">
        <v>0.74391203703703701</v>
      </c>
      <c r="F1772" s="247" t="s">
        <v>976</v>
      </c>
      <c r="G1772" s="247" t="s">
        <v>1035</v>
      </c>
      <c r="H1772" s="248" t="s">
        <v>404</v>
      </c>
      <c r="I1772" s="248" t="s">
        <v>404</v>
      </c>
      <c r="J1772" s="247" t="s">
        <v>809</v>
      </c>
      <c r="K1772" s="249">
        <v>0</v>
      </c>
      <c r="M1772" s="90">
        <v>0</v>
      </c>
      <c r="N1772" s="90">
        <v>0</v>
      </c>
      <c r="O1772" s="90">
        <v>255</v>
      </c>
    </row>
    <row r="1773" spans="1:15" s="90" customFormat="1" ht="12.75" customHeight="1" x14ac:dyDescent="0.2">
      <c r="A1773" s="247" t="s">
        <v>993</v>
      </c>
      <c r="B1773" s="316">
        <v>3217</v>
      </c>
      <c r="C1773" s="247" t="s">
        <v>975</v>
      </c>
      <c r="D1773" s="317">
        <v>42662</v>
      </c>
      <c r="E1773" s="318">
        <v>0.74391203703703701</v>
      </c>
      <c r="F1773" s="247" t="s">
        <v>235</v>
      </c>
      <c r="G1773" s="247" t="s">
        <v>1035</v>
      </c>
      <c r="H1773" s="248" t="s">
        <v>234</v>
      </c>
      <c r="I1773" s="248" t="s">
        <v>235</v>
      </c>
      <c r="J1773" s="247" t="s">
        <v>809</v>
      </c>
      <c r="K1773" s="249">
        <v>0</v>
      </c>
      <c r="M1773" s="90">
        <v>0</v>
      </c>
      <c r="N1773" s="90">
        <v>0</v>
      </c>
      <c r="O1773" s="90">
        <v>255</v>
      </c>
    </row>
    <row r="1774" spans="1:15" s="90" customFormat="1" ht="12.75" customHeight="1" x14ac:dyDescent="0.2">
      <c r="A1774" s="247" t="s">
        <v>989</v>
      </c>
      <c r="B1774" s="316">
        <v>3046</v>
      </c>
      <c r="C1774" s="247" t="s">
        <v>975</v>
      </c>
      <c r="D1774" s="317">
        <v>42662</v>
      </c>
      <c r="E1774" s="318">
        <v>0.78557870370370375</v>
      </c>
      <c r="F1774" s="247" t="s">
        <v>976</v>
      </c>
      <c r="G1774" s="247" t="s">
        <v>1035</v>
      </c>
      <c r="H1774" s="248" t="s">
        <v>404</v>
      </c>
      <c r="I1774" s="248" t="s">
        <v>404</v>
      </c>
      <c r="J1774" s="247" t="s">
        <v>809</v>
      </c>
      <c r="K1774" s="249">
        <v>0</v>
      </c>
      <c r="M1774" s="90">
        <v>0</v>
      </c>
      <c r="N1774" s="90">
        <v>0</v>
      </c>
      <c r="O1774" s="90">
        <v>255</v>
      </c>
    </row>
    <row r="1775" spans="1:15" s="90" customFormat="1" ht="12.75" customHeight="1" x14ac:dyDescent="0.2">
      <c r="A1775" s="247" t="s">
        <v>990</v>
      </c>
      <c r="B1775" s="316">
        <v>3046</v>
      </c>
      <c r="C1775" s="247" t="s">
        <v>975</v>
      </c>
      <c r="D1775" s="317">
        <v>42662</v>
      </c>
      <c r="E1775" s="318">
        <v>0.78583333333333327</v>
      </c>
      <c r="F1775" s="247" t="s">
        <v>976</v>
      </c>
      <c r="G1775" s="247" t="s">
        <v>1035</v>
      </c>
      <c r="H1775" s="248" t="s">
        <v>404</v>
      </c>
      <c r="I1775" s="248" t="s">
        <v>404</v>
      </c>
      <c r="J1775" s="247" t="s">
        <v>809</v>
      </c>
      <c r="K1775" s="249">
        <v>0</v>
      </c>
      <c r="M1775" s="90">
        <v>0</v>
      </c>
      <c r="N1775" s="90">
        <v>0</v>
      </c>
      <c r="O1775" s="90">
        <v>255</v>
      </c>
    </row>
    <row r="1776" spans="1:15" s="90" customFormat="1" ht="12.75" customHeight="1" x14ac:dyDescent="0.2">
      <c r="A1776" s="247" t="s">
        <v>993</v>
      </c>
      <c r="B1776" s="316">
        <v>3217</v>
      </c>
      <c r="C1776" s="247" t="s">
        <v>975</v>
      </c>
      <c r="D1776" s="317">
        <v>42662</v>
      </c>
      <c r="E1776" s="318">
        <v>0.78583333333333327</v>
      </c>
      <c r="F1776" s="247" t="s">
        <v>235</v>
      </c>
      <c r="G1776" s="247" t="s">
        <v>1035</v>
      </c>
      <c r="H1776" s="248" t="s">
        <v>234</v>
      </c>
      <c r="I1776" s="248" t="s">
        <v>235</v>
      </c>
      <c r="J1776" s="247" t="s">
        <v>809</v>
      </c>
      <c r="K1776" s="249">
        <v>0</v>
      </c>
      <c r="M1776" s="90">
        <v>0</v>
      </c>
      <c r="N1776" s="90">
        <v>0</v>
      </c>
      <c r="O1776" s="90">
        <v>255</v>
      </c>
    </row>
    <row r="1777" spans="1:15" s="90" customFormat="1" ht="12.75" customHeight="1" x14ac:dyDescent="0.2">
      <c r="A1777" s="247" t="s">
        <v>989</v>
      </c>
      <c r="B1777" s="316">
        <v>3046</v>
      </c>
      <c r="C1777" s="247" t="s">
        <v>975</v>
      </c>
      <c r="D1777" s="317">
        <v>42662</v>
      </c>
      <c r="E1777" s="318">
        <v>0.82750000000000001</v>
      </c>
      <c r="F1777" s="247" t="s">
        <v>976</v>
      </c>
      <c r="G1777" s="247" t="s">
        <v>1035</v>
      </c>
      <c r="H1777" s="248" t="s">
        <v>404</v>
      </c>
      <c r="I1777" s="248" t="s">
        <v>404</v>
      </c>
      <c r="J1777" s="247" t="s">
        <v>809</v>
      </c>
      <c r="K1777" s="249">
        <v>0</v>
      </c>
      <c r="M1777" s="90">
        <v>0</v>
      </c>
      <c r="N1777" s="90">
        <v>0</v>
      </c>
      <c r="O1777" s="90">
        <v>255</v>
      </c>
    </row>
    <row r="1778" spans="1:15" s="90" customFormat="1" ht="12.75" customHeight="1" x14ac:dyDescent="0.2">
      <c r="A1778" s="247" t="s">
        <v>990</v>
      </c>
      <c r="B1778" s="316">
        <v>3046</v>
      </c>
      <c r="C1778" s="247" t="s">
        <v>975</v>
      </c>
      <c r="D1778" s="317">
        <v>42662</v>
      </c>
      <c r="E1778" s="318">
        <v>0.82775462962962953</v>
      </c>
      <c r="F1778" s="247" t="s">
        <v>976</v>
      </c>
      <c r="G1778" s="247" t="s">
        <v>1035</v>
      </c>
      <c r="H1778" s="248" t="s">
        <v>404</v>
      </c>
      <c r="I1778" s="248" t="s">
        <v>404</v>
      </c>
      <c r="J1778" s="247" t="s">
        <v>809</v>
      </c>
      <c r="K1778" s="249">
        <v>0</v>
      </c>
      <c r="M1778" s="90">
        <v>0</v>
      </c>
      <c r="N1778" s="90">
        <v>0</v>
      </c>
      <c r="O1778" s="90">
        <v>255</v>
      </c>
    </row>
    <row r="1779" spans="1:15" s="90" customFormat="1" ht="12.75" customHeight="1" x14ac:dyDescent="0.2">
      <c r="A1779" s="247" t="s">
        <v>993</v>
      </c>
      <c r="B1779" s="316">
        <v>3217</v>
      </c>
      <c r="C1779" s="247" t="s">
        <v>975</v>
      </c>
      <c r="D1779" s="317">
        <v>42662</v>
      </c>
      <c r="E1779" s="318">
        <v>0.82775462962962953</v>
      </c>
      <c r="F1779" s="247" t="s">
        <v>235</v>
      </c>
      <c r="G1779" s="247" t="s">
        <v>1035</v>
      </c>
      <c r="H1779" s="248" t="s">
        <v>234</v>
      </c>
      <c r="I1779" s="248" t="s">
        <v>235</v>
      </c>
      <c r="J1779" s="247" t="s">
        <v>809</v>
      </c>
      <c r="K1779" s="249">
        <v>0</v>
      </c>
      <c r="M1779" s="90">
        <v>0</v>
      </c>
      <c r="N1779" s="90">
        <v>0</v>
      </c>
      <c r="O1779" s="90">
        <v>255</v>
      </c>
    </row>
    <row r="1780" spans="1:15" s="90" customFormat="1" ht="12.75" customHeight="1" x14ac:dyDescent="0.2">
      <c r="A1780" s="247" t="s">
        <v>994</v>
      </c>
      <c r="B1780" s="316">
        <v>2010</v>
      </c>
      <c r="C1780" s="247" t="s">
        <v>979</v>
      </c>
      <c r="D1780" s="317">
        <v>42662</v>
      </c>
      <c r="E1780" s="318">
        <v>0.86829861111111117</v>
      </c>
      <c r="F1780" s="247" t="s">
        <v>976</v>
      </c>
      <c r="G1780" s="247" t="s">
        <v>1035</v>
      </c>
      <c r="H1780" s="248" t="s">
        <v>863</v>
      </c>
      <c r="I1780" s="248" t="s">
        <v>319</v>
      </c>
      <c r="J1780" s="247" t="s">
        <v>809</v>
      </c>
      <c r="K1780" s="249">
        <v>0</v>
      </c>
      <c r="L1780" s="90" t="s">
        <v>1779</v>
      </c>
      <c r="M1780" s="90">
        <v>232</v>
      </c>
      <c r="N1780" s="90">
        <v>4</v>
      </c>
      <c r="O1780" s="90">
        <v>0</v>
      </c>
    </row>
    <row r="1781" spans="1:15" s="90" customFormat="1" ht="12.75" customHeight="1" x14ac:dyDescent="0.2">
      <c r="A1781" s="247" t="s">
        <v>995</v>
      </c>
      <c r="B1781" s="316">
        <v>3046</v>
      </c>
      <c r="C1781" s="247" t="s">
        <v>975</v>
      </c>
      <c r="D1781" s="317">
        <v>42662</v>
      </c>
      <c r="E1781" s="318">
        <v>0.86829861111111117</v>
      </c>
      <c r="F1781" s="247" t="s">
        <v>976</v>
      </c>
      <c r="G1781" s="247" t="s">
        <v>1035</v>
      </c>
      <c r="H1781" s="248" t="s">
        <v>404</v>
      </c>
      <c r="I1781" s="248" t="s">
        <v>404</v>
      </c>
      <c r="J1781" s="247" t="s">
        <v>809</v>
      </c>
      <c r="K1781" s="249">
        <v>0</v>
      </c>
      <c r="M1781" s="90">
        <v>0</v>
      </c>
      <c r="N1781" s="90">
        <v>0</v>
      </c>
      <c r="O1781" s="90">
        <v>255</v>
      </c>
    </row>
    <row r="1782" spans="1:15" s="90" customFormat="1" ht="12.75" customHeight="1" x14ac:dyDescent="0.2">
      <c r="A1782" s="247" t="s">
        <v>977</v>
      </c>
      <c r="B1782" s="316">
        <v>3046</v>
      </c>
      <c r="C1782" s="247" t="s">
        <v>975</v>
      </c>
      <c r="D1782" s="317">
        <v>42662</v>
      </c>
      <c r="E1782" s="318">
        <v>0.8689930555555555</v>
      </c>
      <c r="F1782" s="247" t="s">
        <v>976</v>
      </c>
      <c r="G1782" s="247" t="s">
        <v>1035</v>
      </c>
      <c r="H1782" s="248" t="s">
        <v>404</v>
      </c>
      <c r="I1782" s="248" t="s">
        <v>404</v>
      </c>
      <c r="J1782" s="247" t="s">
        <v>809</v>
      </c>
      <c r="K1782" s="249">
        <v>0</v>
      </c>
      <c r="M1782" s="90">
        <v>0</v>
      </c>
      <c r="N1782" s="90">
        <v>0</v>
      </c>
      <c r="O1782" s="90">
        <v>255</v>
      </c>
    </row>
    <row r="1783" spans="1:15" s="90" customFormat="1" ht="12.75" customHeight="1" x14ac:dyDescent="0.2">
      <c r="A1783" s="247" t="s">
        <v>615</v>
      </c>
      <c r="B1783" s="316">
        <v>4040</v>
      </c>
      <c r="C1783" s="247" t="s">
        <v>996</v>
      </c>
      <c r="D1783" s="317">
        <v>42662</v>
      </c>
      <c r="E1783" s="318">
        <v>0.86944444444444446</v>
      </c>
      <c r="F1783" s="247" t="s">
        <v>702</v>
      </c>
      <c r="G1783" s="247" t="s">
        <v>1035</v>
      </c>
      <c r="H1783" s="248" t="s">
        <v>860</v>
      </c>
      <c r="I1783" s="248" t="s">
        <v>30</v>
      </c>
      <c r="J1783" s="247" t="s">
        <v>809</v>
      </c>
      <c r="K1783" s="249">
        <v>0</v>
      </c>
      <c r="L1783" s="90" t="s">
        <v>1778</v>
      </c>
      <c r="M1783" s="90">
        <v>319</v>
      </c>
      <c r="N1783" s="90">
        <v>1</v>
      </c>
      <c r="O1783" s="90">
        <v>0</v>
      </c>
    </row>
    <row r="1784" spans="1:15" s="90" customFormat="1" ht="12.75" customHeight="1" x14ac:dyDescent="0.2">
      <c r="A1784" s="247" t="s">
        <v>983</v>
      </c>
      <c r="B1784" s="316">
        <v>3046</v>
      </c>
      <c r="C1784" s="247" t="s">
        <v>975</v>
      </c>
      <c r="D1784" s="317">
        <v>42662</v>
      </c>
      <c r="E1784" s="318">
        <v>0.86946759259259254</v>
      </c>
      <c r="F1784" s="247" t="s">
        <v>976</v>
      </c>
      <c r="G1784" s="247" t="s">
        <v>1035</v>
      </c>
      <c r="H1784" s="248" t="s">
        <v>404</v>
      </c>
      <c r="I1784" s="248" t="s">
        <v>404</v>
      </c>
      <c r="J1784" s="247" t="s">
        <v>809</v>
      </c>
      <c r="K1784" s="249">
        <v>0</v>
      </c>
      <c r="M1784" s="90">
        <v>0</v>
      </c>
      <c r="N1784" s="90">
        <v>0</v>
      </c>
      <c r="O1784" s="90">
        <v>255</v>
      </c>
    </row>
    <row r="1785" spans="1:15" s="90" customFormat="1" ht="12.75" customHeight="1" x14ac:dyDescent="0.2">
      <c r="A1785" s="247" t="s">
        <v>991</v>
      </c>
      <c r="B1785" s="316">
        <v>3046</v>
      </c>
      <c r="C1785" s="247" t="s">
        <v>975</v>
      </c>
      <c r="D1785" s="317">
        <v>42662</v>
      </c>
      <c r="E1785" s="318">
        <v>0.86958333333333337</v>
      </c>
      <c r="F1785" s="247" t="s">
        <v>976</v>
      </c>
      <c r="G1785" s="247" t="s">
        <v>1035</v>
      </c>
      <c r="H1785" s="248" t="s">
        <v>404</v>
      </c>
      <c r="I1785" s="248" t="s">
        <v>404</v>
      </c>
      <c r="J1785" s="247" t="s">
        <v>809</v>
      </c>
      <c r="K1785" s="249">
        <v>0</v>
      </c>
      <c r="M1785" s="90">
        <v>0</v>
      </c>
      <c r="N1785" s="90">
        <v>0</v>
      </c>
      <c r="O1785" s="90">
        <v>255</v>
      </c>
    </row>
    <row r="1786" spans="1:15" s="90" customFormat="1" ht="12.75" customHeight="1" x14ac:dyDescent="0.2">
      <c r="A1786" s="247" t="s">
        <v>1131</v>
      </c>
      <c r="B1786" s="316">
        <v>2030</v>
      </c>
      <c r="C1786" s="247" t="s">
        <v>979</v>
      </c>
      <c r="D1786" s="317">
        <v>42662</v>
      </c>
      <c r="E1786" s="318">
        <v>0.86981481481481471</v>
      </c>
      <c r="F1786" s="247" t="s">
        <v>702</v>
      </c>
      <c r="G1786" s="247" t="s">
        <v>1035</v>
      </c>
      <c r="H1786" s="248" t="s">
        <v>860</v>
      </c>
      <c r="I1786" s="248" t="s">
        <v>30</v>
      </c>
      <c r="J1786" s="247" t="s">
        <v>809</v>
      </c>
      <c r="K1786" s="249">
        <v>0</v>
      </c>
      <c r="L1786" s="90" t="s">
        <v>1778</v>
      </c>
      <c r="M1786" s="90">
        <v>305</v>
      </c>
      <c r="N1786" s="90">
        <v>0</v>
      </c>
      <c r="O1786" s="90">
        <v>0</v>
      </c>
    </row>
    <row r="1787" spans="1:15" s="90" customFormat="1" ht="12.75" customHeight="1" x14ac:dyDescent="0.2">
      <c r="A1787" s="247" t="s">
        <v>1262</v>
      </c>
      <c r="B1787" s="316">
        <v>3046</v>
      </c>
      <c r="C1787" s="247" t="s">
        <v>975</v>
      </c>
      <c r="D1787" s="317">
        <v>42662</v>
      </c>
      <c r="E1787" s="318">
        <v>0.86981481481481471</v>
      </c>
      <c r="F1787" s="247" t="s">
        <v>976</v>
      </c>
      <c r="G1787" s="247" t="s">
        <v>1035</v>
      </c>
      <c r="H1787" s="248" t="s">
        <v>404</v>
      </c>
      <c r="I1787" s="248" t="s">
        <v>404</v>
      </c>
      <c r="J1787" s="247" t="s">
        <v>809</v>
      </c>
      <c r="K1787" s="249">
        <v>0</v>
      </c>
      <c r="M1787" s="90">
        <v>0</v>
      </c>
      <c r="N1787" s="90">
        <v>0</v>
      </c>
      <c r="O1787" s="90">
        <v>255</v>
      </c>
    </row>
    <row r="1788" spans="1:15" s="90" customFormat="1" ht="12.75" customHeight="1" x14ac:dyDescent="0.2">
      <c r="A1788" s="247" t="s">
        <v>602</v>
      </c>
      <c r="B1788" s="316">
        <v>4006</v>
      </c>
      <c r="C1788" s="247" t="s">
        <v>996</v>
      </c>
      <c r="D1788" s="317">
        <v>42662</v>
      </c>
      <c r="E1788" s="318">
        <v>0.87569444444444444</v>
      </c>
      <c r="F1788" s="247" t="s">
        <v>976</v>
      </c>
      <c r="G1788" s="247" t="s">
        <v>1035</v>
      </c>
      <c r="H1788" s="248" t="s">
        <v>863</v>
      </c>
      <c r="I1788" s="248" t="s">
        <v>319</v>
      </c>
      <c r="J1788" s="247" t="s">
        <v>809</v>
      </c>
      <c r="K1788" s="249">
        <v>0</v>
      </c>
      <c r="L1788" s="90" t="s">
        <v>1783</v>
      </c>
      <c r="M1788" s="90">
        <v>3196</v>
      </c>
      <c r="N1788" s="90">
        <v>-1</v>
      </c>
      <c r="O1788" s="90">
        <v>0</v>
      </c>
    </row>
    <row r="1789" spans="1:15" s="90" customFormat="1" ht="12.75" customHeight="1" x14ac:dyDescent="0.2">
      <c r="A1789" s="247" t="s">
        <v>1263</v>
      </c>
      <c r="B1789" s="316">
        <v>3046</v>
      </c>
      <c r="C1789" s="247" t="s">
        <v>975</v>
      </c>
      <c r="D1789" s="317">
        <v>42663</v>
      </c>
      <c r="E1789" s="318">
        <v>0.28947916666666668</v>
      </c>
      <c r="F1789" s="247" t="s">
        <v>976</v>
      </c>
      <c r="G1789" s="247" t="s">
        <v>1035</v>
      </c>
      <c r="H1789" s="248" t="s">
        <v>404</v>
      </c>
      <c r="I1789" s="248" t="s">
        <v>404</v>
      </c>
      <c r="J1789" s="247" t="s">
        <v>809</v>
      </c>
      <c r="K1789" s="249">
        <v>0</v>
      </c>
      <c r="M1789" s="90">
        <v>0</v>
      </c>
      <c r="N1789" s="90">
        <v>0</v>
      </c>
      <c r="O1789" s="90">
        <v>255</v>
      </c>
    </row>
    <row r="1790" spans="1:15" s="90" customFormat="1" ht="12.75" customHeight="1" x14ac:dyDescent="0.2">
      <c r="A1790" s="247" t="s">
        <v>615</v>
      </c>
      <c r="B1790" s="316">
        <v>4040</v>
      </c>
      <c r="C1790" s="247" t="s">
        <v>996</v>
      </c>
      <c r="D1790" s="317">
        <v>42663</v>
      </c>
      <c r="E1790" s="318">
        <v>0.28947916666666668</v>
      </c>
      <c r="F1790" s="247" t="s">
        <v>702</v>
      </c>
      <c r="G1790" s="247" t="s">
        <v>1035</v>
      </c>
      <c r="H1790" s="248" t="s">
        <v>860</v>
      </c>
      <c r="I1790" s="248" t="s">
        <v>30</v>
      </c>
      <c r="J1790" s="247" t="s">
        <v>809</v>
      </c>
      <c r="K1790" s="249">
        <v>0</v>
      </c>
      <c r="L1790" s="90" t="s">
        <v>1778</v>
      </c>
      <c r="M1790" s="90">
        <v>319</v>
      </c>
      <c r="N1790" s="90">
        <v>1</v>
      </c>
      <c r="O1790" s="90">
        <v>0</v>
      </c>
    </row>
    <row r="1791" spans="1:15" s="90" customFormat="1" ht="12.75" customHeight="1" x14ac:dyDescent="0.2">
      <c r="A1791" s="247" t="s">
        <v>787</v>
      </c>
      <c r="B1791" s="316">
        <v>2025</v>
      </c>
      <c r="C1791" s="247" t="s">
        <v>979</v>
      </c>
      <c r="D1791" s="317">
        <v>42663</v>
      </c>
      <c r="E1791" s="318">
        <v>0.28949074074074072</v>
      </c>
      <c r="F1791" s="247" t="s">
        <v>702</v>
      </c>
      <c r="G1791" s="247" t="s">
        <v>1035</v>
      </c>
      <c r="H1791" s="248" t="s">
        <v>860</v>
      </c>
      <c r="I1791" s="248" t="s">
        <v>30</v>
      </c>
      <c r="J1791" s="247" t="s">
        <v>809</v>
      </c>
      <c r="K1791" s="249">
        <v>0</v>
      </c>
      <c r="L1791" s="90" t="s">
        <v>1778</v>
      </c>
      <c r="M1791" s="90">
        <v>374</v>
      </c>
      <c r="N1791" s="90">
        <v>3</v>
      </c>
      <c r="O1791" s="90">
        <v>0</v>
      </c>
    </row>
    <row r="1792" spans="1:15" s="90" customFormat="1" ht="12.75" customHeight="1" x14ac:dyDescent="0.2">
      <c r="A1792" s="247" t="s">
        <v>1262</v>
      </c>
      <c r="B1792" s="316">
        <v>3046</v>
      </c>
      <c r="C1792" s="247" t="s">
        <v>975</v>
      </c>
      <c r="D1792" s="317">
        <v>42663</v>
      </c>
      <c r="E1792" s="318">
        <v>0.28949074074074072</v>
      </c>
      <c r="F1792" s="247" t="s">
        <v>976</v>
      </c>
      <c r="G1792" s="247" t="s">
        <v>1035</v>
      </c>
      <c r="H1792" s="248" t="s">
        <v>404</v>
      </c>
      <c r="I1792" s="248" t="s">
        <v>404</v>
      </c>
      <c r="J1792" s="247" t="s">
        <v>809</v>
      </c>
      <c r="K1792" s="249">
        <v>0</v>
      </c>
      <c r="M1792" s="90">
        <v>0</v>
      </c>
      <c r="N1792" s="90">
        <v>0</v>
      </c>
      <c r="O1792" s="90">
        <v>255</v>
      </c>
    </row>
    <row r="1793" spans="1:15" s="90" customFormat="1" ht="12.75" customHeight="1" x14ac:dyDescent="0.2">
      <c r="A1793" s="247" t="s">
        <v>1000</v>
      </c>
      <c r="B1793" s="316">
        <v>3046</v>
      </c>
      <c r="C1793" s="247" t="s">
        <v>975</v>
      </c>
      <c r="D1793" s="317">
        <v>42663</v>
      </c>
      <c r="E1793" s="318">
        <v>0.28966435185185185</v>
      </c>
      <c r="F1793" s="247" t="s">
        <v>976</v>
      </c>
      <c r="G1793" s="247" t="s">
        <v>1035</v>
      </c>
      <c r="H1793" s="248" t="s">
        <v>404</v>
      </c>
      <c r="I1793" s="248" t="s">
        <v>404</v>
      </c>
      <c r="J1793" s="247" t="s">
        <v>809</v>
      </c>
      <c r="K1793" s="249">
        <v>0</v>
      </c>
      <c r="M1793" s="90">
        <v>0</v>
      </c>
      <c r="N1793" s="90">
        <v>0</v>
      </c>
      <c r="O1793" s="90">
        <v>255</v>
      </c>
    </row>
    <row r="1794" spans="1:15" s="90" customFormat="1" ht="12.75" customHeight="1" x14ac:dyDescent="0.2">
      <c r="A1794" s="247" t="s">
        <v>989</v>
      </c>
      <c r="B1794" s="316">
        <v>3046</v>
      </c>
      <c r="C1794" s="247" t="s">
        <v>975</v>
      </c>
      <c r="D1794" s="317">
        <v>42663</v>
      </c>
      <c r="E1794" s="318">
        <v>0.28966435185185185</v>
      </c>
      <c r="F1794" s="247" t="s">
        <v>976</v>
      </c>
      <c r="G1794" s="247" t="s">
        <v>1035</v>
      </c>
      <c r="H1794" s="248" t="s">
        <v>404</v>
      </c>
      <c r="I1794" s="248" t="s">
        <v>404</v>
      </c>
      <c r="J1794" s="247" t="s">
        <v>809</v>
      </c>
      <c r="K1794" s="249">
        <v>0</v>
      </c>
      <c r="M1794" s="90">
        <v>0</v>
      </c>
      <c r="N1794" s="90">
        <v>0</v>
      </c>
      <c r="O1794" s="90">
        <v>255</v>
      </c>
    </row>
    <row r="1795" spans="1:15" s="90" customFormat="1" ht="12.75" customHeight="1" x14ac:dyDescent="0.2">
      <c r="A1795" s="247" t="s">
        <v>990</v>
      </c>
      <c r="B1795" s="316">
        <v>3046</v>
      </c>
      <c r="C1795" s="247" t="s">
        <v>975</v>
      </c>
      <c r="D1795" s="317">
        <v>42663</v>
      </c>
      <c r="E1795" s="318">
        <v>0.29052083333333334</v>
      </c>
      <c r="F1795" s="247" t="s">
        <v>976</v>
      </c>
      <c r="G1795" s="247" t="s">
        <v>1035</v>
      </c>
      <c r="H1795" s="248" t="s">
        <v>404</v>
      </c>
      <c r="I1795" s="248" t="s">
        <v>404</v>
      </c>
      <c r="J1795" s="247" t="s">
        <v>809</v>
      </c>
      <c r="K1795" s="249">
        <v>0</v>
      </c>
      <c r="M1795" s="90">
        <v>0</v>
      </c>
      <c r="N1795" s="90">
        <v>0</v>
      </c>
      <c r="O1795" s="90">
        <v>255</v>
      </c>
    </row>
    <row r="1796" spans="1:15" s="90" customFormat="1" ht="12.75" customHeight="1" x14ac:dyDescent="0.2">
      <c r="A1796" s="247" t="s">
        <v>989</v>
      </c>
      <c r="B1796" s="316">
        <v>3046</v>
      </c>
      <c r="C1796" s="247" t="s">
        <v>975</v>
      </c>
      <c r="D1796" s="317">
        <v>42663</v>
      </c>
      <c r="E1796" s="318">
        <v>0.29054398148148147</v>
      </c>
      <c r="F1796" s="247" t="s">
        <v>976</v>
      </c>
      <c r="G1796" s="247" t="s">
        <v>1035</v>
      </c>
      <c r="H1796" s="248" t="s">
        <v>404</v>
      </c>
      <c r="I1796" s="248" t="s">
        <v>404</v>
      </c>
      <c r="J1796" s="247" t="s">
        <v>809</v>
      </c>
      <c r="K1796" s="249">
        <v>0</v>
      </c>
      <c r="M1796" s="90">
        <v>0</v>
      </c>
      <c r="N1796" s="90">
        <v>0</v>
      </c>
      <c r="O1796" s="90">
        <v>255</v>
      </c>
    </row>
    <row r="1797" spans="1:15" s="90" customFormat="1" ht="12.75" customHeight="1" x14ac:dyDescent="0.2">
      <c r="A1797" s="247" t="s">
        <v>1029</v>
      </c>
      <c r="B1797" s="316">
        <v>3046</v>
      </c>
      <c r="C1797" s="247" t="s">
        <v>975</v>
      </c>
      <c r="D1797" s="317">
        <v>42663</v>
      </c>
      <c r="E1797" s="318">
        <v>0.2910300925925926</v>
      </c>
      <c r="F1797" s="247" t="s">
        <v>976</v>
      </c>
      <c r="G1797" s="247" t="s">
        <v>1035</v>
      </c>
      <c r="H1797" s="248" t="s">
        <v>404</v>
      </c>
      <c r="I1797" s="248" t="s">
        <v>404</v>
      </c>
      <c r="J1797" s="247" t="s">
        <v>809</v>
      </c>
      <c r="K1797" s="249">
        <v>0</v>
      </c>
      <c r="M1797" s="90">
        <v>0</v>
      </c>
      <c r="N1797" s="90">
        <v>0</v>
      </c>
      <c r="O1797" s="90">
        <v>255</v>
      </c>
    </row>
    <row r="1798" spans="1:15" s="90" customFormat="1" ht="12.75" customHeight="1" x14ac:dyDescent="0.2">
      <c r="A1798" s="247" t="s">
        <v>977</v>
      </c>
      <c r="B1798" s="316">
        <v>3046</v>
      </c>
      <c r="C1798" s="247" t="s">
        <v>975</v>
      </c>
      <c r="D1798" s="317">
        <v>42663</v>
      </c>
      <c r="E1798" s="318">
        <v>0.2910300925925926</v>
      </c>
      <c r="F1798" s="247" t="s">
        <v>976</v>
      </c>
      <c r="G1798" s="247" t="s">
        <v>1035</v>
      </c>
      <c r="H1798" s="248" t="s">
        <v>404</v>
      </c>
      <c r="I1798" s="248" t="s">
        <v>404</v>
      </c>
      <c r="J1798" s="247" t="s">
        <v>809</v>
      </c>
      <c r="K1798" s="249">
        <v>0</v>
      </c>
      <c r="M1798" s="90">
        <v>0</v>
      </c>
      <c r="N1798" s="90">
        <v>0</v>
      </c>
      <c r="O1798" s="90">
        <v>255</v>
      </c>
    </row>
    <row r="1799" spans="1:15" s="90" customFormat="1" ht="12.75" customHeight="1" x14ac:dyDescent="0.2">
      <c r="A1799" s="247" t="s">
        <v>1104</v>
      </c>
      <c r="B1799" s="316">
        <v>3052</v>
      </c>
      <c r="C1799" s="247" t="s">
        <v>975</v>
      </c>
      <c r="D1799" s="317">
        <v>42663</v>
      </c>
      <c r="E1799" s="318">
        <v>0.29107638888888893</v>
      </c>
      <c r="F1799" s="247" t="s">
        <v>235</v>
      </c>
      <c r="G1799" s="247" t="s">
        <v>1035</v>
      </c>
      <c r="H1799" s="248" t="s">
        <v>234</v>
      </c>
      <c r="I1799" s="248" t="s">
        <v>235</v>
      </c>
      <c r="J1799" s="247" t="s">
        <v>809</v>
      </c>
      <c r="K1799" s="249">
        <v>0</v>
      </c>
      <c r="M1799" s="90">
        <v>0</v>
      </c>
      <c r="N1799" s="90">
        <v>0</v>
      </c>
      <c r="O1799" s="90">
        <v>255</v>
      </c>
    </row>
    <row r="1800" spans="1:15" s="90" customFormat="1" ht="12.75" customHeight="1" x14ac:dyDescent="0.2">
      <c r="A1800" s="247" t="s">
        <v>983</v>
      </c>
      <c r="B1800" s="316">
        <v>3046</v>
      </c>
      <c r="C1800" s="247" t="s">
        <v>975</v>
      </c>
      <c r="D1800" s="317">
        <v>42663</v>
      </c>
      <c r="E1800" s="318">
        <v>0.29150462962962964</v>
      </c>
      <c r="F1800" s="247" t="s">
        <v>976</v>
      </c>
      <c r="G1800" s="247" t="s">
        <v>1035</v>
      </c>
      <c r="H1800" s="248" t="s">
        <v>404</v>
      </c>
      <c r="I1800" s="248" t="s">
        <v>404</v>
      </c>
      <c r="J1800" s="247" t="s">
        <v>809</v>
      </c>
      <c r="K1800" s="249">
        <v>0</v>
      </c>
      <c r="M1800" s="90">
        <v>0</v>
      </c>
      <c r="N1800" s="90">
        <v>0</v>
      </c>
      <c r="O1800" s="90">
        <v>255</v>
      </c>
    </row>
    <row r="1801" spans="1:15" s="90" customFormat="1" ht="12.75" customHeight="1" x14ac:dyDescent="0.2">
      <c r="A1801" s="247" t="s">
        <v>991</v>
      </c>
      <c r="B1801" s="316">
        <v>3046</v>
      </c>
      <c r="C1801" s="247" t="s">
        <v>975</v>
      </c>
      <c r="D1801" s="317">
        <v>42663</v>
      </c>
      <c r="E1801" s="318">
        <v>0.29163194444444446</v>
      </c>
      <c r="F1801" s="247" t="s">
        <v>976</v>
      </c>
      <c r="G1801" s="247" t="s">
        <v>1035</v>
      </c>
      <c r="H1801" s="248" t="s">
        <v>404</v>
      </c>
      <c r="I1801" s="248" t="s">
        <v>404</v>
      </c>
      <c r="J1801" s="247" t="s">
        <v>809</v>
      </c>
      <c r="K1801" s="249">
        <v>0</v>
      </c>
      <c r="M1801" s="90">
        <v>0</v>
      </c>
      <c r="N1801" s="90">
        <v>0</v>
      </c>
      <c r="O1801" s="90">
        <v>255</v>
      </c>
    </row>
    <row r="1802" spans="1:15" s="90" customFormat="1" ht="12.75" customHeight="1" x14ac:dyDescent="0.2">
      <c r="A1802" s="247" t="s">
        <v>992</v>
      </c>
      <c r="B1802" s="316">
        <v>3046</v>
      </c>
      <c r="C1802" s="247" t="s">
        <v>975</v>
      </c>
      <c r="D1802" s="317">
        <v>42663</v>
      </c>
      <c r="E1802" s="318">
        <v>0.29291666666666666</v>
      </c>
      <c r="F1802" s="247" t="s">
        <v>976</v>
      </c>
      <c r="G1802" s="247" t="s">
        <v>1035</v>
      </c>
      <c r="H1802" s="248" t="s">
        <v>404</v>
      </c>
      <c r="I1802" s="248" t="s">
        <v>404</v>
      </c>
      <c r="J1802" s="247" t="s">
        <v>809</v>
      </c>
      <c r="K1802" s="249">
        <v>0</v>
      </c>
      <c r="M1802" s="90">
        <v>0</v>
      </c>
      <c r="N1802" s="90">
        <v>0</v>
      </c>
      <c r="O1802" s="90">
        <v>255</v>
      </c>
    </row>
    <row r="1803" spans="1:15" s="90" customFormat="1" ht="12.75" customHeight="1" x14ac:dyDescent="0.2">
      <c r="A1803" s="247" t="s">
        <v>988</v>
      </c>
      <c r="B1803" s="316">
        <v>3046</v>
      </c>
      <c r="C1803" s="247" t="s">
        <v>975</v>
      </c>
      <c r="D1803" s="317">
        <v>42663</v>
      </c>
      <c r="E1803" s="318">
        <v>0.29456018518518517</v>
      </c>
      <c r="F1803" s="247" t="s">
        <v>976</v>
      </c>
      <c r="G1803" s="247" t="s">
        <v>1035</v>
      </c>
      <c r="H1803" s="248" t="s">
        <v>404</v>
      </c>
      <c r="I1803" s="248" t="s">
        <v>404</v>
      </c>
      <c r="J1803" s="247" t="s">
        <v>809</v>
      </c>
      <c r="K1803" s="249">
        <v>0</v>
      </c>
      <c r="M1803" s="90">
        <v>0</v>
      </c>
      <c r="N1803" s="90">
        <v>0</v>
      </c>
      <c r="O1803" s="90">
        <v>255</v>
      </c>
    </row>
    <row r="1804" spans="1:15" s="90" customFormat="1" ht="12.75" customHeight="1" x14ac:dyDescent="0.2">
      <c r="A1804" s="247" t="s">
        <v>989</v>
      </c>
      <c r="B1804" s="316">
        <v>3046</v>
      </c>
      <c r="C1804" s="247" t="s">
        <v>975</v>
      </c>
      <c r="D1804" s="317">
        <v>42663</v>
      </c>
      <c r="E1804" s="318">
        <v>0.29456018518518517</v>
      </c>
      <c r="F1804" s="247" t="s">
        <v>976</v>
      </c>
      <c r="G1804" s="247" t="s">
        <v>1035</v>
      </c>
      <c r="H1804" s="248" t="s">
        <v>404</v>
      </c>
      <c r="I1804" s="248" t="s">
        <v>404</v>
      </c>
      <c r="J1804" s="247" t="s">
        <v>809</v>
      </c>
      <c r="K1804" s="249">
        <v>0</v>
      </c>
      <c r="M1804" s="90">
        <v>0</v>
      </c>
      <c r="N1804" s="90">
        <v>0</v>
      </c>
      <c r="O1804" s="90">
        <v>255</v>
      </c>
    </row>
    <row r="1805" spans="1:15" s="90" customFormat="1" ht="12.75" customHeight="1" x14ac:dyDescent="0.2">
      <c r="A1805" s="247" t="s">
        <v>990</v>
      </c>
      <c r="B1805" s="316">
        <v>3046</v>
      </c>
      <c r="C1805" s="247" t="s">
        <v>975</v>
      </c>
      <c r="D1805" s="317">
        <v>42663</v>
      </c>
      <c r="E1805" s="318">
        <v>0.29540509259259257</v>
      </c>
      <c r="F1805" s="247" t="s">
        <v>976</v>
      </c>
      <c r="G1805" s="247" t="s">
        <v>1035</v>
      </c>
      <c r="H1805" s="248" t="s">
        <v>404</v>
      </c>
      <c r="I1805" s="248" t="s">
        <v>404</v>
      </c>
      <c r="J1805" s="247" t="s">
        <v>809</v>
      </c>
      <c r="K1805" s="249">
        <v>0</v>
      </c>
      <c r="M1805" s="90">
        <v>0</v>
      </c>
      <c r="N1805" s="90">
        <v>0</v>
      </c>
      <c r="O1805" s="90">
        <v>255</v>
      </c>
    </row>
    <row r="1806" spans="1:15" s="90" customFormat="1" ht="12.75" customHeight="1" x14ac:dyDescent="0.2">
      <c r="A1806" s="247" t="s">
        <v>989</v>
      </c>
      <c r="B1806" s="316">
        <v>3046</v>
      </c>
      <c r="C1806" s="247" t="s">
        <v>975</v>
      </c>
      <c r="D1806" s="317">
        <v>42663</v>
      </c>
      <c r="E1806" s="318">
        <v>0.29969907407407409</v>
      </c>
      <c r="F1806" s="247" t="s">
        <v>976</v>
      </c>
      <c r="G1806" s="247" t="s">
        <v>1035</v>
      </c>
      <c r="H1806" s="248" t="s">
        <v>404</v>
      </c>
      <c r="I1806" s="248" t="s">
        <v>404</v>
      </c>
      <c r="J1806" s="247" t="s">
        <v>809</v>
      </c>
      <c r="K1806" s="249">
        <v>0</v>
      </c>
      <c r="M1806" s="90">
        <v>0</v>
      </c>
      <c r="N1806" s="90">
        <v>0</v>
      </c>
      <c r="O1806" s="90">
        <v>255</v>
      </c>
    </row>
    <row r="1807" spans="1:15" s="90" customFormat="1" ht="12.75" customHeight="1" x14ac:dyDescent="0.2">
      <c r="A1807" s="247" t="s">
        <v>990</v>
      </c>
      <c r="B1807" s="316">
        <v>3046</v>
      </c>
      <c r="C1807" s="247" t="s">
        <v>975</v>
      </c>
      <c r="D1807" s="317">
        <v>42663</v>
      </c>
      <c r="E1807" s="318">
        <v>0.29975694444444445</v>
      </c>
      <c r="F1807" s="247" t="s">
        <v>976</v>
      </c>
      <c r="G1807" s="247" t="s">
        <v>1035</v>
      </c>
      <c r="H1807" s="248" t="s">
        <v>404</v>
      </c>
      <c r="I1807" s="248" t="s">
        <v>404</v>
      </c>
      <c r="J1807" s="247" t="s">
        <v>809</v>
      </c>
      <c r="K1807" s="249">
        <v>0</v>
      </c>
      <c r="M1807" s="90">
        <v>0</v>
      </c>
      <c r="N1807" s="90">
        <v>0</v>
      </c>
      <c r="O1807" s="90">
        <v>255</v>
      </c>
    </row>
    <row r="1808" spans="1:15" s="90" customFormat="1" ht="12.75" customHeight="1" x14ac:dyDescent="0.2">
      <c r="A1808" s="247" t="s">
        <v>1010</v>
      </c>
      <c r="B1808" s="316">
        <v>3051</v>
      </c>
      <c r="C1808" s="247" t="s">
        <v>975</v>
      </c>
      <c r="D1808" s="317">
        <v>42663</v>
      </c>
      <c r="E1808" s="318">
        <v>0.29975694444444445</v>
      </c>
      <c r="F1808" s="247" t="s">
        <v>235</v>
      </c>
      <c r="G1808" s="247" t="s">
        <v>1035</v>
      </c>
      <c r="H1808" s="248" t="s">
        <v>234</v>
      </c>
      <c r="I1808" s="248" t="s">
        <v>235</v>
      </c>
      <c r="J1808" s="247" t="s">
        <v>809</v>
      </c>
      <c r="K1808" s="249">
        <v>0</v>
      </c>
      <c r="M1808" s="90">
        <v>0</v>
      </c>
      <c r="N1808" s="90">
        <v>0</v>
      </c>
      <c r="O1808" s="90">
        <v>255</v>
      </c>
    </row>
    <row r="1809" spans="1:15" s="90" customFormat="1" ht="12.75" customHeight="1" x14ac:dyDescent="0.2">
      <c r="A1809" s="247" t="s">
        <v>1009</v>
      </c>
      <c r="B1809" s="316">
        <v>3052</v>
      </c>
      <c r="C1809" s="247" t="s">
        <v>975</v>
      </c>
      <c r="D1809" s="317">
        <v>42663</v>
      </c>
      <c r="E1809" s="318">
        <v>0.29975694444444445</v>
      </c>
      <c r="F1809" s="247" t="s">
        <v>235</v>
      </c>
      <c r="G1809" s="247" t="s">
        <v>1035</v>
      </c>
      <c r="H1809" s="248" t="s">
        <v>234</v>
      </c>
      <c r="I1809" s="248" t="s">
        <v>235</v>
      </c>
      <c r="J1809" s="247" t="s">
        <v>809</v>
      </c>
      <c r="K1809" s="249">
        <v>0</v>
      </c>
      <c r="M1809" s="90">
        <v>0</v>
      </c>
      <c r="N1809" s="90">
        <v>0</v>
      </c>
      <c r="O1809" s="90">
        <v>255</v>
      </c>
    </row>
    <row r="1810" spans="1:15" s="90" customFormat="1" ht="12.75" customHeight="1" x14ac:dyDescent="0.2">
      <c r="A1810" s="247" t="s">
        <v>989</v>
      </c>
      <c r="B1810" s="316">
        <v>3046</v>
      </c>
      <c r="C1810" s="247" t="s">
        <v>975</v>
      </c>
      <c r="D1810" s="317">
        <v>42663</v>
      </c>
      <c r="E1810" s="318">
        <v>0.29981481481481481</v>
      </c>
      <c r="F1810" s="247" t="s">
        <v>976</v>
      </c>
      <c r="G1810" s="247" t="s">
        <v>1035</v>
      </c>
      <c r="H1810" s="248" t="s">
        <v>404</v>
      </c>
      <c r="I1810" s="248" t="s">
        <v>404</v>
      </c>
      <c r="J1810" s="247" t="s">
        <v>809</v>
      </c>
      <c r="K1810" s="249">
        <v>0</v>
      </c>
      <c r="M1810" s="90">
        <v>0</v>
      </c>
      <c r="N1810" s="90">
        <v>0</v>
      </c>
      <c r="O1810" s="90">
        <v>255</v>
      </c>
    </row>
    <row r="1811" spans="1:15" s="90" customFormat="1" ht="12.75" customHeight="1" x14ac:dyDescent="0.2">
      <c r="A1811" s="247" t="s">
        <v>1103</v>
      </c>
      <c r="B1811" s="316">
        <v>3002</v>
      </c>
      <c r="C1811" s="247" t="s">
        <v>996</v>
      </c>
      <c r="D1811" s="317">
        <v>42663</v>
      </c>
      <c r="E1811" s="318">
        <v>0.30351851851851852</v>
      </c>
      <c r="F1811" s="247" t="s">
        <v>702</v>
      </c>
      <c r="G1811" s="247" t="s">
        <v>1035</v>
      </c>
      <c r="H1811" s="248" t="s">
        <v>234</v>
      </c>
      <c r="I1811" s="248" t="s">
        <v>702</v>
      </c>
      <c r="J1811" s="247" t="s">
        <v>809</v>
      </c>
      <c r="K1811" s="249">
        <v>0</v>
      </c>
      <c r="M1811" s="90">
        <v>0</v>
      </c>
      <c r="N1811" s="90">
        <v>0</v>
      </c>
      <c r="O1811" s="90">
        <v>255</v>
      </c>
    </row>
    <row r="1812" spans="1:15" s="90" customFormat="1" ht="12.75" customHeight="1" x14ac:dyDescent="0.2">
      <c r="A1812" s="247" t="s">
        <v>1103</v>
      </c>
      <c r="B1812" s="316">
        <v>3002</v>
      </c>
      <c r="C1812" s="247" t="s">
        <v>996</v>
      </c>
      <c r="D1812" s="317">
        <v>42663</v>
      </c>
      <c r="E1812" s="318">
        <v>0.30421296296296296</v>
      </c>
      <c r="F1812" s="247" t="s">
        <v>702</v>
      </c>
      <c r="G1812" s="247" t="s">
        <v>1035</v>
      </c>
      <c r="H1812" s="248" t="s">
        <v>234</v>
      </c>
      <c r="I1812" s="248" t="s">
        <v>702</v>
      </c>
      <c r="J1812" s="247" t="s">
        <v>809</v>
      </c>
      <c r="K1812" s="249">
        <v>0</v>
      </c>
      <c r="M1812" s="90">
        <v>0</v>
      </c>
      <c r="N1812" s="90">
        <v>0</v>
      </c>
      <c r="O1812" s="90">
        <v>255</v>
      </c>
    </row>
    <row r="1813" spans="1:15" s="90" customFormat="1" ht="12.75" customHeight="1" x14ac:dyDescent="0.2">
      <c r="A1813" s="247" t="s">
        <v>990</v>
      </c>
      <c r="B1813" s="316">
        <v>3046</v>
      </c>
      <c r="C1813" s="247" t="s">
        <v>975</v>
      </c>
      <c r="D1813" s="317">
        <v>42663</v>
      </c>
      <c r="E1813" s="318">
        <v>0.31309027777777776</v>
      </c>
      <c r="F1813" s="247" t="s">
        <v>976</v>
      </c>
      <c r="G1813" s="247" t="s">
        <v>1035</v>
      </c>
      <c r="H1813" s="248" t="s">
        <v>404</v>
      </c>
      <c r="I1813" s="248" t="s">
        <v>404</v>
      </c>
      <c r="J1813" s="247" t="s">
        <v>809</v>
      </c>
      <c r="K1813" s="249">
        <v>0</v>
      </c>
      <c r="M1813" s="90">
        <v>0</v>
      </c>
      <c r="N1813" s="90">
        <v>0</v>
      </c>
      <c r="O1813" s="90">
        <v>255</v>
      </c>
    </row>
    <row r="1814" spans="1:15" s="90" customFormat="1" ht="12.75" customHeight="1" x14ac:dyDescent="0.2">
      <c r="A1814" s="247" t="s">
        <v>1027</v>
      </c>
      <c r="B1814" s="316">
        <v>3051</v>
      </c>
      <c r="C1814" s="247" t="s">
        <v>975</v>
      </c>
      <c r="D1814" s="317">
        <v>42663</v>
      </c>
      <c r="E1814" s="318">
        <v>0.31309027777777776</v>
      </c>
      <c r="F1814" s="247" t="s">
        <v>235</v>
      </c>
      <c r="G1814" s="247" t="s">
        <v>1035</v>
      </c>
      <c r="H1814" s="248" t="s">
        <v>234</v>
      </c>
      <c r="I1814" s="248" t="s">
        <v>235</v>
      </c>
      <c r="J1814" s="247" t="s">
        <v>809</v>
      </c>
      <c r="K1814" s="249">
        <v>0</v>
      </c>
      <c r="M1814" s="90">
        <v>0</v>
      </c>
      <c r="N1814" s="90">
        <v>0</v>
      </c>
      <c r="O1814" s="90">
        <v>255</v>
      </c>
    </row>
    <row r="1815" spans="1:15" s="90" customFormat="1" ht="12.75" customHeight="1" x14ac:dyDescent="0.2">
      <c r="A1815" s="247" t="s">
        <v>1028</v>
      </c>
      <c r="B1815" s="316">
        <v>3051</v>
      </c>
      <c r="C1815" s="247" t="s">
        <v>975</v>
      </c>
      <c r="D1815" s="317">
        <v>42663</v>
      </c>
      <c r="E1815" s="318">
        <v>0.31309027777777776</v>
      </c>
      <c r="F1815" s="247" t="s">
        <v>235</v>
      </c>
      <c r="G1815" s="247" t="s">
        <v>1035</v>
      </c>
      <c r="H1815" s="248" t="s">
        <v>234</v>
      </c>
      <c r="I1815" s="248" t="s">
        <v>235</v>
      </c>
      <c r="J1815" s="247" t="s">
        <v>809</v>
      </c>
      <c r="K1815" s="249">
        <v>0</v>
      </c>
      <c r="M1815" s="90">
        <v>0</v>
      </c>
      <c r="N1815" s="90">
        <v>0</v>
      </c>
      <c r="O1815" s="90">
        <v>255</v>
      </c>
    </row>
    <row r="1816" spans="1:15" s="90" customFormat="1" ht="12.75" customHeight="1" x14ac:dyDescent="0.2">
      <c r="A1816" s="247" t="s">
        <v>1026</v>
      </c>
      <c r="B1816" s="316">
        <v>3216</v>
      </c>
      <c r="C1816" s="247" t="s">
        <v>975</v>
      </c>
      <c r="D1816" s="317">
        <v>42663</v>
      </c>
      <c r="E1816" s="318">
        <v>0.31309027777777776</v>
      </c>
      <c r="F1816" s="247" t="s">
        <v>235</v>
      </c>
      <c r="G1816" s="247" t="s">
        <v>1035</v>
      </c>
      <c r="H1816" s="248" t="s">
        <v>234</v>
      </c>
      <c r="I1816" s="248" t="s">
        <v>235</v>
      </c>
      <c r="J1816" s="247" t="s">
        <v>809</v>
      </c>
      <c r="K1816" s="249">
        <v>0</v>
      </c>
      <c r="M1816" s="90">
        <v>0</v>
      </c>
      <c r="N1816" s="90">
        <v>0</v>
      </c>
      <c r="O1816" s="90">
        <v>255</v>
      </c>
    </row>
    <row r="1817" spans="1:15" s="90" customFormat="1" ht="12.75" customHeight="1" x14ac:dyDescent="0.2">
      <c r="A1817" s="247" t="s">
        <v>989</v>
      </c>
      <c r="B1817" s="316">
        <v>3046</v>
      </c>
      <c r="C1817" s="247" t="s">
        <v>975</v>
      </c>
      <c r="D1817" s="317">
        <v>42663</v>
      </c>
      <c r="E1817" s="318">
        <v>0.31313657407407408</v>
      </c>
      <c r="F1817" s="247" t="s">
        <v>976</v>
      </c>
      <c r="G1817" s="247" t="s">
        <v>1035</v>
      </c>
      <c r="H1817" s="248" t="s">
        <v>404</v>
      </c>
      <c r="I1817" s="248" t="s">
        <v>404</v>
      </c>
      <c r="J1817" s="247" t="s">
        <v>809</v>
      </c>
      <c r="K1817" s="249">
        <v>0</v>
      </c>
      <c r="M1817" s="90">
        <v>0</v>
      </c>
      <c r="N1817" s="90">
        <v>0</v>
      </c>
      <c r="O1817" s="90">
        <v>255</v>
      </c>
    </row>
    <row r="1818" spans="1:15" s="90" customFormat="1" ht="12.75" customHeight="1" x14ac:dyDescent="0.2">
      <c r="A1818" s="247" t="s">
        <v>1005</v>
      </c>
      <c r="B1818" s="316">
        <v>3051</v>
      </c>
      <c r="C1818" s="247" t="s">
        <v>975</v>
      </c>
      <c r="D1818" s="317">
        <v>42663</v>
      </c>
      <c r="E1818" s="318">
        <v>0.31315972222222221</v>
      </c>
      <c r="F1818" s="247" t="s">
        <v>235</v>
      </c>
      <c r="G1818" s="247" t="s">
        <v>1035</v>
      </c>
      <c r="H1818" s="248" t="s">
        <v>234</v>
      </c>
      <c r="I1818" s="248" t="s">
        <v>235</v>
      </c>
      <c r="J1818" s="247" t="s">
        <v>809</v>
      </c>
      <c r="K1818" s="249">
        <v>0</v>
      </c>
      <c r="M1818" s="90">
        <v>0</v>
      </c>
      <c r="N1818" s="90">
        <v>0</v>
      </c>
      <c r="O1818" s="90">
        <v>255</v>
      </c>
    </row>
    <row r="1819" spans="1:15" s="90" customFormat="1" ht="12.75" customHeight="1" x14ac:dyDescent="0.2">
      <c r="A1819" s="247" t="s">
        <v>1066</v>
      </c>
      <c r="B1819" s="316">
        <v>3052</v>
      </c>
      <c r="C1819" s="247" t="s">
        <v>975</v>
      </c>
      <c r="D1819" s="317">
        <v>42663</v>
      </c>
      <c r="E1819" s="318">
        <v>0.31315972222222221</v>
      </c>
      <c r="F1819" s="247" t="s">
        <v>235</v>
      </c>
      <c r="G1819" s="247" t="s">
        <v>1035</v>
      </c>
      <c r="H1819" s="248" t="s">
        <v>234</v>
      </c>
      <c r="I1819" s="248" t="s">
        <v>235</v>
      </c>
      <c r="J1819" s="247" t="s">
        <v>809</v>
      </c>
      <c r="K1819" s="249">
        <v>0</v>
      </c>
      <c r="M1819" s="90">
        <v>0</v>
      </c>
      <c r="N1819" s="90">
        <v>0</v>
      </c>
      <c r="O1819" s="90">
        <v>255</v>
      </c>
    </row>
    <row r="1820" spans="1:15" s="90" customFormat="1" ht="12.75" customHeight="1" x14ac:dyDescent="0.2">
      <c r="A1820" s="247" t="s">
        <v>990</v>
      </c>
      <c r="B1820" s="316">
        <v>3046</v>
      </c>
      <c r="C1820" s="247" t="s">
        <v>975</v>
      </c>
      <c r="D1820" s="317">
        <v>42663</v>
      </c>
      <c r="E1820" s="318">
        <v>0.31317129629629631</v>
      </c>
      <c r="F1820" s="247" t="s">
        <v>976</v>
      </c>
      <c r="G1820" s="247" t="s">
        <v>1035</v>
      </c>
      <c r="H1820" s="248" t="s">
        <v>404</v>
      </c>
      <c r="I1820" s="248" t="s">
        <v>404</v>
      </c>
      <c r="J1820" s="247" t="s">
        <v>809</v>
      </c>
      <c r="K1820" s="249">
        <v>0</v>
      </c>
      <c r="M1820" s="90">
        <v>0</v>
      </c>
      <c r="N1820" s="90">
        <v>0</v>
      </c>
      <c r="O1820" s="90">
        <v>255</v>
      </c>
    </row>
    <row r="1821" spans="1:15" s="90" customFormat="1" ht="12.75" customHeight="1" x14ac:dyDescent="0.2">
      <c r="A1821" s="247" t="s">
        <v>989</v>
      </c>
      <c r="B1821" s="316">
        <v>3046</v>
      </c>
      <c r="C1821" s="247" t="s">
        <v>975</v>
      </c>
      <c r="D1821" s="317">
        <v>42663</v>
      </c>
      <c r="E1821" s="318">
        <v>0.31319444444444444</v>
      </c>
      <c r="F1821" s="247" t="s">
        <v>976</v>
      </c>
      <c r="G1821" s="247" t="s">
        <v>1035</v>
      </c>
      <c r="H1821" s="248" t="s">
        <v>404</v>
      </c>
      <c r="I1821" s="248" t="s">
        <v>404</v>
      </c>
      <c r="J1821" s="247" t="s">
        <v>809</v>
      </c>
      <c r="K1821" s="249">
        <v>0</v>
      </c>
      <c r="M1821" s="90">
        <v>0</v>
      </c>
      <c r="N1821" s="90">
        <v>0</v>
      </c>
      <c r="O1821" s="90">
        <v>255</v>
      </c>
    </row>
    <row r="1822" spans="1:15" s="90" customFormat="1" ht="12.75" customHeight="1" x14ac:dyDescent="0.2">
      <c r="A1822" s="247" t="s">
        <v>1006</v>
      </c>
      <c r="B1822" s="316">
        <v>3051</v>
      </c>
      <c r="C1822" s="247" t="s">
        <v>975</v>
      </c>
      <c r="D1822" s="317">
        <v>42663</v>
      </c>
      <c r="E1822" s="318">
        <v>0.31321759259259258</v>
      </c>
      <c r="F1822" s="247" t="s">
        <v>235</v>
      </c>
      <c r="G1822" s="247" t="s">
        <v>1035</v>
      </c>
      <c r="H1822" s="248" t="s">
        <v>234</v>
      </c>
      <c r="I1822" s="248" t="s">
        <v>235</v>
      </c>
      <c r="J1822" s="247" t="s">
        <v>809</v>
      </c>
      <c r="K1822" s="249">
        <v>0</v>
      </c>
      <c r="M1822" s="90">
        <v>0</v>
      </c>
      <c r="N1822" s="90">
        <v>0</v>
      </c>
      <c r="O1822" s="90">
        <v>255</v>
      </c>
    </row>
    <row r="1823" spans="1:15" s="90" customFormat="1" ht="12.75" customHeight="1" x14ac:dyDescent="0.2">
      <c r="A1823" s="247" t="s">
        <v>1065</v>
      </c>
      <c r="B1823" s="316">
        <v>3052</v>
      </c>
      <c r="C1823" s="247" t="s">
        <v>975</v>
      </c>
      <c r="D1823" s="317">
        <v>42663</v>
      </c>
      <c r="E1823" s="318">
        <v>0.31321759259259258</v>
      </c>
      <c r="F1823" s="247" t="s">
        <v>235</v>
      </c>
      <c r="G1823" s="247" t="s">
        <v>1035</v>
      </c>
      <c r="H1823" s="248" t="s">
        <v>234</v>
      </c>
      <c r="I1823" s="248" t="s">
        <v>235</v>
      </c>
      <c r="J1823" s="247" t="s">
        <v>809</v>
      </c>
      <c r="K1823" s="249">
        <v>0</v>
      </c>
      <c r="M1823" s="90">
        <v>0</v>
      </c>
      <c r="N1823" s="90">
        <v>0</v>
      </c>
      <c r="O1823" s="90">
        <v>255</v>
      </c>
    </row>
    <row r="1824" spans="1:15" s="90" customFormat="1" ht="12.75" customHeight="1" x14ac:dyDescent="0.2">
      <c r="A1824" s="247" t="s">
        <v>990</v>
      </c>
      <c r="B1824" s="316">
        <v>3046</v>
      </c>
      <c r="C1824" s="247" t="s">
        <v>975</v>
      </c>
      <c r="D1824" s="317">
        <v>42663</v>
      </c>
      <c r="E1824" s="318">
        <v>0.31322916666666667</v>
      </c>
      <c r="F1824" s="247" t="s">
        <v>976</v>
      </c>
      <c r="G1824" s="247" t="s">
        <v>1035</v>
      </c>
      <c r="H1824" s="248" t="s">
        <v>404</v>
      </c>
      <c r="I1824" s="248" t="s">
        <v>404</v>
      </c>
      <c r="J1824" s="247" t="s">
        <v>809</v>
      </c>
      <c r="K1824" s="249">
        <v>0</v>
      </c>
      <c r="M1824" s="90">
        <v>0</v>
      </c>
      <c r="N1824" s="90">
        <v>0</v>
      </c>
      <c r="O1824" s="90">
        <v>255</v>
      </c>
    </row>
    <row r="1825" spans="1:15" s="90" customFormat="1" ht="12.75" customHeight="1" x14ac:dyDescent="0.2">
      <c r="A1825" s="247" t="s">
        <v>1038</v>
      </c>
      <c r="B1825" s="316">
        <v>3112</v>
      </c>
      <c r="C1825" s="247" t="s">
        <v>975</v>
      </c>
      <c r="D1825" s="317">
        <v>42663</v>
      </c>
      <c r="E1825" s="318">
        <v>0.31497685185185187</v>
      </c>
      <c r="F1825" s="247" t="s">
        <v>981</v>
      </c>
      <c r="G1825" s="247" t="s">
        <v>1035</v>
      </c>
      <c r="H1825" s="248" t="s">
        <v>234</v>
      </c>
      <c r="I1825" s="248" t="s">
        <v>677</v>
      </c>
      <c r="J1825" s="247" t="s">
        <v>809</v>
      </c>
      <c r="K1825" s="249">
        <v>0</v>
      </c>
      <c r="M1825" s="90">
        <v>0</v>
      </c>
      <c r="N1825" s="90">
        <v>0</v>
      </c>
      <c r="O1825" s="90">
        <v>255</v>
      </c>
    </row>
    <row r="1826" spans="1:15" s="90" customFormat="1" ht="12.75" customHeight="1" x14ac:dyDescent="0.2">
      <c r="A1826" s="247" t="s">
        <v>1355</v>
      </c>
      <c r="B1826" s="316">
        <v>3060</v>
      </c>
      <c r="C1826" s="247" t="s">
        <v>975</v>
      </c>
      <c r="D1826" s="317">
        <v>42663</v>
      </c>
      <c r="E1826" s="318">
        <v>0.31583333333333335</v>
      </c>
      <c r="F1826" s="247" t="s">
        <v>981</v>
      </c>
      <c r="G1826" s="247" t="s">
        <v>1035</v>
      </c>
      <c r="H1826" s="248" t="s">
        <v>234</v>
      </c>
      <c r="I1826" s="248" t="s">
        <v>677</v>
      </c>
      <c r="J1826" s="247" t="s">
        <v>809</v>
      </c>
      <c r="K1826" s="249">
        <v>0</v>
      </c>
      <c r="M1826" s="90">
        <v>0</v>
      </c>
      <c r="N1826" s="90">
        <v>0</v>
      </c>
      <c r="O1826" s="90">
        <v>255</v>
      </c>
    </row>
    <row r="1827" spans="1:15" s="90" customFormat="1" ht="12.75" customHeight="1" x14ac:dyDescent="0.2">
      <c r="A1827" s="247" t="s">
        <v>1356</v>
      </c>
      <c r="B1827" s="316">
        <v>3061</v>
      </c>
      <c r="C1827" s="247" t="s">
        <v>975</v>
      </c>
      <c r="D1827" s="317">
        <v>42663</v>
      </c>
      <c r="E1827" s="318">
        <v>0.31616898148148148</v>
      </c>
      <c r="F1827" s="247" t="s">
        <v>981</v>
      </c>
      <c r="G1827" s="247" t="s">
        <v>1035</v>
      </c>
      <c r="H1827" s="248" t="s">
        <v>234</v>
      </c>
      <c r="I1827" s="248" t="s">
        <v>677</v>
      </c>
      <c r="J1827" s="247" t="s">
        <v>809</v>
      </c>
      <c r="K1827" s="249">
        <v>0</v>
      </c>
      <c r="M1827" s="90">
        <v>0</v>
      </c>
      <c r="N1827" s="90">
        <v>0</v>
      </c>
      <c r="O1827" s="90">
        <v>255</v>
      </c>
    </row>
    <row r="1828" spans="1:15" s="90" customFormat="1" ht="12.75" customHeight="1" x14ac:dyDescent="0.2">
      <c r="A1828" s="247" t="s">
        <v>1356</v>
      </c>
      <c r="B1828" s="316">
        <v>3061</v>
      </c>
      <c r="C1828" s="247" t="s">
        <v>975</v>
      </c>
      <c r="D1828" s="317">
        <v>42663</v>
      </c>
      <c r="E1828" s="318">
        <v>0.31663194444444448</v>
      </c>
      <c r="F1828" s="247" t="s">
        <v>981</v>
      </c>
      <c r="G1828" s="247" t="s">
        <v>1035</v>
      </c>
      <c r="H1828" s="248" t="s">
        <v>234</v>
      </c>
      <c r="I1828" s="248" t="s">
        <v>677</v>
      </c>
      <c r="J1828" s="247" t="s">
        <v>809</v>
      </c>
      <c r="K1828" s="249">
        <v>0</v>
      </c>
      <c r="M1828" s="90">
        <v>0</v>
      </c>
      <c r="N1828" s="90">
        <v>0</v>
      </c>
      <c r="O1828" s="90">
        <v>255</v>
      </c>
    </row>
    <row r="1829" spans="1:15" s="90" customFormat="1" ht="12.75" customHeight="1" x14ac:dyDescent="0.2">
      <c r="A1829" s="247" t="s">
        <v>1357</v>
      </c>
      <c r="B1829" s="316">
        <v>3067</v>
      </c>
      <c r="C1829" s="247" t="s">
        <v>975</v>
      </c>
      <c r="D1829" s="317">
        <v>42663</v>
      </c>
      <c r="E1829" s="318">
        <v>0.31663194444444448</v>
      </c>
      <c r="F1829" s="247" t="s">
        <v>981</v>
      </c>
      <c r="G1829" s="247" t="s">
        <v>1035</v>
      </c>
      <c r="H1829" s="248" t="s">
        <v>234</v>
      </c>
      <c r="I1829" s="248" t="s">
        <v>702</v>
      </c>
      <c r="J1829" s="247" t="s">
        <v>809</v>
      </c>
      <c r="K1829" s="249">
        <v>0</v>
      </c>
      <c r="M1829" s="90">
        <v>0</v>
      </c>
      <c r="N1829" s="90">
        <v>0</v>
      </c>
      <c r="O1829" s="90">
        <v>255</v>
      </c>
    </row>
    <row r="1830" spans="1:15" s="90" customFormat="1" ht="12.75" customHeight="1" x14ac:dyDescent="0.2">
      <c r="A1830" s="247" t="s">
        <v>1358</v>
      </c>
      <c r="B1830" s="316">
        <v>3110</v>
      </c>
      <c r="C1830" s="247" t="s">
        <v>975</v>
      </c>
      <c r="D1830" s="317">
        <v>42663</v>
      </c>
      <c r="E1830" s="318">
        <v>0.31802083333333336</v>
      </c>
      <c r="F1830" s="247" t="s">
        <v>981</v>
      </c>
      <c r="G1830" s="247" t="s">
        <v>1035</v>
      </c>
      <c r="H1830" s="248" t="s">
        <v>234</v>
      </c>
      <c r="I1830" s="248" t="s">
        <v>677</v>
      </c>
      <c r="J1830" s="247" t="s">
        <v>809</v>
      </c>
      <c r="K1830" s="249">
        <v>0</v>
      </c>
      <c r="M1830" s="90">
        <v>0</v>
      </c>
      <c r="N1830" s="90">
        <v>0</v>
      </c>
      <c r="O1830" s="90">
        <v>255</v>
      </c>
    </row>
    <row r="1831" spans="1:15" s="90" customFormat="1" ht="12.75" customHeight="1" x14ac:dyDescent="0.2">
      <c r="A1831" s="247" t="s">
        <v>1031</v>
      </c>
      <c r="B1831" s="316">
        <v>3046</v>
      </c>
      <c r="C1831" s="247" t="s">
        <v>975</v>
      </c>
      <c r="D1831" s="317">
        <v>42663</v>
      </c>
      <c r="E1831" s="318">
        <v>0.33033564814814814</v>
      </c>
      <c r="F1831" s="247" t="s">
        <v>976</v>
      </c>
      <c r="G1831" s="247" t="s">
        <v>1035</v>
      </c>
      <c r="H1831" s="248" t="s">
        <v>404</v>
      </c>
      <c r="I1831" s="248" t="s">
        <v>404</v>
      </c>
      <c r="J1831" s="247" t="s">
        <v>809</v>
      </c>
      <c r="K1831" s="249">
        <v>0</v>
      </c>
      <c r="M1831" s="90">
        <v>0</v>
      </c>
      <c r="N1831" s="90">
        <v>0</v>
      </c>
      <c r="O1831" s="90">
        <v>255</v>
      </c>
    </row>
    <row r="1832" spans="1:15" s="90" customFormat="1" ht="12.75" customHeight="1" x14ac:dyDescent="0.2">
      <c r="A1832" s="247" t="s">
        <v>1032</v>
      </c>
      <c r="B1832" s="316">
        <v>3046</v>
      </c>
      <c r="C1832" s="247" t="s">
        <v>975</v>
      </c>
      <c r="D1832" s="317">
        <v>42663</v>
      </c>
      <c r="E1832" s="318">
        <v>0.33664351851851854</v>
      </c>
      <c r="F1832" s="247" t="s">
        <v>976</v>
      </c>
      <c r="G1832" s="247" t="s">
        <v>1035</v>
      </c>
      <c r="H1832" s="248" t="s">
        <v>404</v>
      </c>
      <c r="I1832" s="248" t="s">
        <v>404</v>
      </c>
      <c r="J1832" s="247" t="s">
        <v>809</v>
      </c>
      <c r="K1832" s="249">
        <v>0</v>
      </c>
      <c r="M1832" s="90">
        <v>0</v>
      </c>
      <c r="N1832" s="90">
        <v>0</v>
      </c>
      <c r="O1832" s="90">
        <v>255</v>
      </c>
    </row>
    <row r="1833" spans="1:15" s="90" customFormat="1" ht="12.75" customHeight="1" x14ac:dyDescent="0.2">
      <c r="A1833" s="247" t="s">
        <v>989</v>
      </c>
      <c r="B1833" s="316">
        <v>3046</v>
      </c>
      <c r="C1833" s="247" t="s">
        <v>975</v>
      </c>
      <c r="D1833" s="317">
        <v>42663</v>
      </c>
      <c r="E1833" s="318">
        <v>0.33664351851851854</v>
      </c>
      <c r="F1833" s="247" t="s">
        <v>976</v>
      </c>
      <c r="G1833" s="247" t="s">
        <v>1035</v>
      </c>
      <c r="H1833" s="248" t="s">
        <v>404</v>
      </c>
      <c r="I1833" s="248" t="s">
        <v>404</v>
      </c>
      <c r="J1833" s="247" t="s">
        <v>809</v>
      </c>
      <c r="K1833" s="249">
        <v>0</v>
      </c>
      <c r="M1833" s="90">
        <v>0</v>
      </c>
      <c r="N1833" s="90">
        <v>0</v>
      </c>
      <c r="O1833" s="90">
        <v>255</v>
      </c>
    </row>
    <row r="1834" spans="1:15" s="90" customFormat="1" ht="12.75" customHeight="1" x14ac:dyDescent="0.2">
      <c r="A1834" s="247" t="s">
        <v>301</v>
      </c>
      <c r="B1834" s="316">
        <v>3042</v>
      </c>
      <c r="C1834" s="247" t="s">
        <v>979</v>
      </c>
      <c r="D1834" s="317">
        <v>42663</v>
      </c>
      <c r="E1834" s="318">
        <v>0.33675925925925926</v>
      </c>
      <c r="F1834" s="247" t="s">
        <v>980</v>
      </c>
      <c r="G1834" s="247" t="s">
        <v>1035</v>
      </c>
      <c r="H1834" s="248" t="s">
        <v>234</v>
      </c>
      <c r="I1834" s="248" t="s">
        <v>263</v>
      </c>
      <c r="J1834" s="247" t="s">
        <v>809</v>
      </c>
      <c r="K1834" s="249">
        <v>0</v>
      </c>
      <c r="M1834" s="90">
        <v>0</v>
      </c>
      <c r="N1834" s="90">
        <v>0</v>
      </c>
      <c r="O1834" s="90">
        <v>255</v>
      </c>
    </row>
    <row r="1835" spans="1:15" s="90" customFormat="1" ht="12.75" customHeight="1" x14ac:dyDescent="0.2">
      <c r="A1835" s="247" t="s">
        <v>990</v>
      </c>
      <c r="B1835" s="316">
        <v>3046</v>
      </c>
      <c r="C1835" s="247" t="s">
        <v>975</v>
      </c>
      <c r="D1835" s="317">
        <v>42663</v>
      </c>
      <c r="E1835" s="318">
        <v>0.33694444444444444</v>
      </c>
      <c r="F1835" s="247" t="s">
        <v>976</v>
      </c>
      <c r="G1835" s="247" t="s">
        <v>1035</v>
      </c>
      <c r="H1835" s="248" t="s">
        <v>404</v>
      </c>
      <c r="I1835" s="248" t="s">
        <v>404</v>
      </c>
      <c r="J1835" s="247" t="s">
        <v>809</v>
      </c>
      <c r="K1835" s="249">
        <v>0</v>
      </c>
      <c r="M1835" s="90">
        <v>0</v>
      </c>
      <c r="N1835" s="90">
        <v>0</v>
      </c>
      <c r="O1835" s="90">
        <v>255</v>
      </c>
    </row>
    <row r="1836" spans="1:15" s="90" customFormat="1" ht="12.75" customHeight="1" x14ac:dyDescent="0.2">
      <c r="A1836" s="247" t="s">
        <v>1033</v>
      </c>
      <c r="B1836" s="316">
        <v>3217</v>
      </c>
      <c r="C1836" s="247" t="s">
        <v>975</v>
      </c>
      <c r="D1836" s="317">
        <v>42663</v>
      </c>
      <c r="E1836" s="318">
        <v>0.33694444444444444</v>
      </c>
      <c r="F1836" s="247" t="s">
        <v>235</v>
      </c>
      <c r="G1836" s="247" t="s">
        <v>1035</v>
      </c>
      <c r="H1836" s="248" t="s">
        <v>234</v>
      </c>
      <c r="I1836" s="248" t="s">
        <v>235</v>
      </c>
      <c r="J1836" s="247" t="s">
        <v>809</v>
      </c>
      <c r="K1836" s="249">
        <v>0</v>
      </c>
      <c r="M1836" s="90">
        <v>0</v>
      </c>
      <c r="N1836" s="90">
        <v>0</v>
      </c>
      <c r="O1836" s="90">
        <v>255</v>
      </c>
    </row>
    <row r="1837" spans="1:15" s="90" customFormat="1" ht="12.75" customHeight="1" x14ac:dyDescent="0.2">
      <c r="A1837" s="247" t="s">
        <v>1253</v>
      </c>
      <c r="B1837" s="316">
        <v>3218</v>
      </c>
      <c r="C1837" s="247" t="s">
        <v>979</v>
      </c>
      <c r="D1837" s="317">
        <v>42663</v>
      </c>
      <c r="E1837" s="318">
        <v>0.34049768518518514</v>
      </c>
      <c r="F1837" s="247" t="s">
        <v>702</v>
      </c>
      <c r="G1837" s="247" t="s">
        <v>1035</v>
      </c>
      <c r="H1837" s="248"/>
      <c r="I1837" s="248"/>
      <c r="J1837" s="247"/>
      <c r="K1837" s="249"/>
      <c r="M1837" s="90">
        <v>0</v>
      </c>
      <c r="N1837" s="90">
        <v>0</v>
      </c>
      <c r="O1837" s="90">
        <v>255</v>
      </c>
    </row>
    <row r="1838" spans="1:15" s="90" customFormat="1" ht="12.75" customHeight="1" x14ac:dyDescent="0.2">
      <c r="A1838" s="247" t="s">
        <v>1292</v>
      </c>
      <c r="B1838" s="316">
        <v>3218</v>
      </c>
      <c r="C1838" s="247" t="s">
        <v>979</v>
      </c>
      <c r="D1838" s="317">
        <v>42663</v>
      </c>
      <c r="E1838" s="318">
        <v>0.34049768518518514</v>
      </c>
      <c r="F1838" s="247" t="s">
        <v>702</v>
      </c>
      <c r="G1838" s="247" t="s">
        <v>1035</v>
      </c>
      <c r="H1838" s="248"/>
      <c r="I1838" s="248"/>
      <c r="J1838" s="247"/>
      <c r="K1838" s="249"/>
      <c r="M1838" s="90">
        <v>0</v>
      </c>
      <c r="N1838" s="90">
        <v>0</v>
      </c>
      <c r="O1838" s="90">
        <v>255</v>
      </c>
    </row>
    <row r="1839" spans="1:15" s="90" customFormat="1" ht="12.75" customHeight="1" x14ac:dyDescent="0.2">
      <c r="A1839" s="247" t="s">
        <v>1293</v>
      </c>
      <c r="B1839" s="316">
        <v>3218</v>
      </c>
      <c r="C1839" s="247" t="s">
        <v>979</v>
      </c>
      <c r="D1839" s="317">
        <v>42663</v>
      </c>
      <c r="E1839" s="318">
        <v>0.34049768518518514</v>
      </c>
      <c r="F1839" s="247" t="s">
        <v>702</v>
      </c>
      <c r="G1839" s="247" t="s">
        <v>1035</v>
      </c>
      <c r="H1839" s="248"/>
      <c r="I1839" s="248"/>
      <c r="J1839" s="247"/>
      <c r="K1839" s="249"/>
      <c r="M1839" s="90">
        <v>0</v>
      </c>
      <c r="N1839" s="90">
        <v>0</v>
      </c>
      <c r="O1839" s="90">
        <v>255</v>
      </c>
    </row>
    <row r="1840" spans="1:15" s="90" customFormat="1" ht="12.75" customHeight="1" x14ac:dyDescent="0.2">
      <c r="A1840" s="247" t="s">
        <v>1294</v>
      </c>
      <c r="B1840" s="316">
        <v>3218</v>
      </c>
      <c r="C1840" s="247" t="s">
        <v>979</v>
      </c>
      <c r="D1840" s="317">
        <v>42663</v>
      </c>
      <c r="E1840" s="318">
        <v>0.34049768518518514</v>
      </c>
      <c r="F1840" s="247" t="s">
        <v>702</v>
      </c>
      <c r="G1840" s="247" t="s">
        <v>1035</v>
      </c>
      <c r="H1840" s="248"/>
      <c r="I1840" s="248"/>
      <c r="J1840" s="247"/>
      <c r="K1840" s="249"/>
      <c r="M1840" s="90">
        <v>0</v>
      </c>
      <c r="N1840" s="90">
        <v>0</v>
      </c>
      <c r="O1840" s="90">
        <v>255</v>
      </c>
    </row>
    <row r="1841" spans="1:15" s="90" customFormat="1" ht="12.75" customHeight="1" x14ac:dyDescent="0.2">
      <c r="A1841" s="247" t="s">
        <v>1295</v>
      </c>
      <c r="B1841" s="316">
        <v>3218</v>
      </c>
      <c r="C1841" s="247" t="s">
        <v>979</v>
      </c>
      <c r="D1841" s="317">
        <v>42663</v>
      </c>
      <c r="E1841" s="318">
        <v>0.34049768518518514</v>
      </c>
      <c r="F1841" s="247" t="s">
        <v>702</v>
      </c>
      <c r="G1841" s="247" t="s">
        <v>1035</v>
      </c>
      <c r="H1841" s="248"/>
      <c r="I1841" s="248"/>
      <c r="J1841" s="247"/>
      <c r="K1841" s="249"/>
      <c r="M1841" s="90">
        <v>0</v>
      </c>
      <c r="N1841" s="90">
        <v>0</v>
      </c>
      <c r="O1841" s="90">
        <v>255</v>
      </c>
    </row>
    <row r="1842" spans="1:15" s="90" customFormat="1" ht="12.75" customHeight="1" x14ac:dyDescent="0.2">
      <c r="A1842" s="247" t="s">
        <v>1031</v>
      </c>
      <c r="B1842" s="316">
        <v>3046</v>
      </c>
      <c r="C1842" s="247" t="s">
        <v>975</v>
      </c>
      <c r="D1842" s="317">
        <v>42663</v>
      </c>
      <c r="E1842" s="318">
        <v>0.34118055555555554</v>
      </c>
      <c r="F1842" s="247" t="s">
        <v>976</v>
      </c>
      <c r="G1842" s="247" t="s">
        <v>1035</v>
      </c>
      <c r="H1842" s="248" t="s">
        <v>404</v>
      </c>
      <c r="I1842" s="248" t="s">
        <v>404</v>
      </c>
      <c r="J1842" s="247" t="s">
        <v>809</v>
      </c>
      <c r="K1842" s="249">
        <v>0</v>
      </c>
      <c r="M1842" s="90">
        <v>0</v>
      </c>
      <c r="N1842" s="90">
        <v>0</v>
      </c>
      <c r="O1842" s="90">
        <v>255</v>
      </c>
    </row>
    <row r="1843" spans="1:15" s="90" customFormat="1" ht="12.75" customHeight="1" x14ac:dyDescent="0.2">
      <c r="A1843" s="247" t="s">
        <v>1032</v>
      </c>
      <c r="B1843" s="316">
        <v>3046</v>
      </c>
      <c r="C1843" s="247" t="s">
        <v>975</v>
      </c>
      <c r="D1843" s="317">
        <v>42663</v>
      </c>
      <c r="E1843" s="318">
        <v>0.34905092592592596</v>
      </c>
      <c r="F1843" s="247" t="s">
        <v>976</v>
      </c>
      <c r="G1843" s="247" t="s">
        <v>1035</v>
      </c>
      <c r="H1843" s="248" t="s">
        <v>404</v>
      </c>
      <c r="I1843" s="248" t="s">
        <v>404</v>
      </c>
      <c r="J1843" s="247" t="s">
        <v>809</v>
      </c>
      <c r="K1843" s="249">
        <v>0</v>
      </c>
      <c r="M1843" s="90">
        <v>0</v>
      </c>
      <c r="N1843" s="90">
        <v>0</v>
      </c>
      <c r="O1843" s="90">
        <v>255</v>
      </c>
    </row>
    <row r="1844" spans="1:15" s="90" customFormat="1" ht="12.75" customHeight="1" x14ac:dyDescent="0.2">
      <c r="A1844" s="247" t="s">
        <v>989</v>
      </c>
      <c r="B1844" s="316">
        <v>3046</v>
      </c>
      <c r="C1844" s="247" t="s">
        <v>975</v>
      </c>
      <c r="D1844" s="317">
        <v>42663</v>
      </c>
      <c r="E1844" s="318">
        <v>0.34905092592592596</v>
      </c>
      <c r="F1844" s="247" t="s">
        <v>976</v>
      </c>
      <c r="G1844" s="247" t="s">
        <v>1035</v>
      </c>
      <c r="H1844" s="248" t="s">
        <v>404</v>
      </c>
      <c r="I1844" s="248" t="s">
        <v>404</v>
      </c>
      <c r="J1844" s="247" t="s">
        <v>809</v>
      </c>
      <c r="K1844" s="249">
        <v>0</v>
      </c>
      <c r="M1844" s="90">
        <v>0</v>
      </c>
      <c r="N1844" s="90">
        <v>0</v>
      </c>
      <c r="O1844" s="90">
        <v>255</v>
      </c>
    </row>
    <row r="1845" spans="1:15" s="90" customFormat="1" ht="12.75" customHeight="1" x14ac:dyDescent="0.2">
      <c r="A1845" s="247" t="s">
        <v>1033</v>
      </c>
      <c r="B1845" s="316">
        <v>3217</v>
      </c>
      <c r="C1845" s="247" t="s">
        <v>975</v>
      </c>
      <c r="D1845" s="317">
        <v>42663</v>
      </c>
      <c r="E1845" s="318">
        <v>0.34935185185185186</v>
      </c>
      <c r="F1845" s="247" t="s">
        <v>235</v>
      </c>
      <c r="G1845" s="247" t="s">
        <v>1035</v>
      </c>
      <c r="H1845" s="248" t="s">
        <v>234</v>
      </c>
      <c r="I1845" s="248" t="s">
        <v>235</v>
      </c>
      <c r="J1845" s="247" t="s">
        <v>809</v>
      </c>
      <c r="K1845" s="249">
        <v>0</v>
      </c>
      <c r="M1845" s="90">
        <v>0</v>
      </c>
      <c r="N1845" s="90">
        <v>0</v>
      </c>
      <c r="O1845" s="90">
        <v>255</v>
      </c>
    </row>
    <row r="1846" spans="1:15" s="90" customFormat="1" ht="12.75" customHeight="1" x14ac:dyDescent="0.2">
      <c r="A1846" s="247" t="s">
        <v>990</v>
      </c>
      <c r="B1846" s="316">
        <v>3046</v>
      </c>
      <c r="C1846" s="247" t="s">
        <v>975</v>
      </c>
      <c r="D1846" s="317">
        <v>42663</v>
      </c>
      <c r="E1846" s="318">
        <v>0.34936342592592595</v>
      </c>
      <c r="F1846" s="247" t="s">
        <v>976</v>
      </c>
      <c r="G1846" s="247" t="s">
        <v>1035</v>
      </c>
      <c r="H1846" s="248" t="s">
        <v>404</v>
      </c>
      <c r="I1846" s="248" t="s">
        <v>404</v>
      </c>
      <c r="J1846" s="247" t="s">
        <v>809</v>
      </c>
      <c r="K1846" s="249">
        <v>0</v>
      </c>
      <c r="M1846" s="90">
        <v>0</v>
      </c>
      <c r="N1846" s="90">
        <v>0</v>
      </c>
      <c r="O1846" s="90">
        <v>255</v>
      </c>
    </row>
    <row r="1847" spans="1:15" s="90" customFormat="1" ht="12.75" customHeight="1" x14ac:dyDescent="0.2">
      <c r="A1847" s="247" t="s">
        <v>1359</v>
      </c>
      <c r="B1847" s="316">
        <v>3023</v>
      </c>
      <c r="C1847" s="247" t="s">
        <v>996</v>
      </c>
      <c r="D1847" s="317">
        <v>42663</v>
      </c>
      <c r="E1847" s="318">
        <v>0.36759259259259264</v>
      </c>
      <c r="F1847" s="247" t="s">
        <v>976</v>
      </c>
      <c r="G1847" s="247" t="s">
        <v>1035</v>
      </c>
      <c r="H1847" s="248" t="s">
        <v>863</v>
      </c>
      <c r="I1847" s="248" t="s">
        <v>319</v>
      </c>
      <c r="J1847" s="247" t="s">
        <v>809</v>
      </c>
      <c r="K1847" s="249">
        <v>0</v>
      </c>
      <c r="M1847" s="90">
        <v>0</v>
      </c>
      <c r="N1847" s="90">
        <v>0</v>
      </c>
      <c r="O1847" s="90">
        <v>255</v>
      </c>
    </row>
    <row r="1848" spans="1:15" s="90" customFormat="1" ht="12.75" customHeight="1" x14ac:dyDescent="0.2">
      <c r="A1848" s="247" t="s">
        <v>1077</v>
      </c>
      <c r="B1848" s="316">
        <v>3001</v>
      </c>
      <c r="C1848" s="247" t="s">
        <v>996</v>
      </c>
      <c r="D1848" s="317">
        <v>42663</v>
      </c>
      <c r="E1848" s="318">
        <v>0.36778935185185185</v>
      </c>
      <c r="F1848" s="247" t="s">
        <v>702</v>
      </c>
      <c r="G1848" s="247" t="s">
        <v>1035</v>
      </c>
      <c r="H1848" s="248" t="s">
        <v>121</v>
      </c>
      <c r="I1848" s="248" t="s">
        <v>122</v>
      </c>
      <c r="J1848" s="247" t="s">
        <v>809</v>
      </c>
      <c r="K1848" s="249">
        <v>0</v>
      </c>
      <c r="M1848" s="90">
        <v>0</v>
      </c>
      <c r="N1848" s="90">
        <v>0</v>
      </c>
      <c r="O1848" s="90">
        <v>255</v>
      </c>
    </row>
    <row r="1849" spans="1:15" s="90" customFormat="1" ht="12.75" customHeight="1" x14ac:dyDescent="0.2">
      <c r="A1849" s="247" t="s">
        <v>1360</v>
      </c>
      <c r="B1849" s="316">
        <v>3004</v>
      </c>
      <c r="C1849" s="247" t="s">
        <v>979</v>
      </c>
      <c r="D1849" s="317">
        <v>42663</v>
      </c>
      <c r="E1849" s="318">
        <v>0.36785879629629631</v>
      </c>
      <c r="F1849" s="247" t="s">
        <v>702</v>
      </c>
      <c r="G1849" s="247" t="s">
        <v>1035</v>
      </c>
      <c r="H1849" s="248" t="s">
        <v>234</v>
      </c>
      <c r="I1849" s="248" t="s">
        <v>702</v>
      </c>
      <c r="J1849" s="247" t="s">
        <v>809</v>
      </c>
      <c r="K1849" s="249">
        <v>0</v>
      </c>
      <c r="M1849" s="90">
        <v>0</v>
      </c>
      <c r="N1849" s="90">
        <v>0</v>
      </c>
      <c r="O1849" s="90">
        <v>255</v>
      </c>
    </row>
    <row r="1850" spans="1:15" s="90" customFormat="1" ht="12.75" customHeight="1" x14ac:dyDescent="0.2">
      <c r="A1850" s="247" t="s">
        <v>1361</v>
      </c>
      <c r="B1850" s="316">
        <v>3004</v>
      </c>
      <c r="C1850" s="247" t="s">
        <v>979</v>
      </c>
      <c r="D1850" s="317">
        <v>42663</v>
      </c>
      <c r="E1850" s="318">
        <v>0.36785879629629631</v>
      </c>
      <c r="F1850" s="247" t="s">
        <v>702</v>
      </c>
      <c r="G1850" s="247" t="s">
        <v>1035</v>
      </c>
      <c r="H1850" s="248" t="s">
        <v>234</v>
      </c>
      <c r="I1850" s="248" t="s">
        <v>702</v>
      </c>
      <c r="J1850" s="247" t="s">
        <v>809</v>
      </c>
      <c r="K1850" s="249">
        <v>0</v>
      </c>
      <c r="M1850" s="90">
        <v>0</v>
      </c>
      <c r="N1850" s="90">
        <v>0</v>
      </c>
      <c r="O1850" s="90">
        <v>255</v>
      </c>
    </row>
    <row r="1851" spans="1:15" s="90" customFormat="1" ht="12.75" customHeight="1" x14ac:dyDescent="0.2">
      <c r="A1851" s="247" t="s">
        <v>1169</v>
      </c>
      <c r="B1851" s="316">
        <v>3001</v>
      </c>
      <c r="C1851" s="247" t="s">
        <v>996</v>
      </c>
      <c r="D1851" s="317">
        <v>42663</v>
      </c>
      <c r="E1851" s="318">
        <v>0.36795138888888884</v>
      </c>
      <c r="F1851" s="247" t="s">
        <v>702</v>
      </c>
      <c r="G1851" s="247" t="s">
        <v>1035</v>
      </c>
      <c r="H1851" s="248" t="s">
        <v>121</v>
      </c>
      <c r="I1851" s="248" t="s">
        <v>122</v>
      </c>
      <c r="J1851" s="247" t="s">
        <v>809</v>
      </c>
      <c r="K1851" s="249">
        <v>0</v>
      </c>
      <c r="M1851" s="90">
        <v>0</v>
      </c>
      <c r="N1851" s="90">
        <v>0</v>
      </c>
      <c r="O1851" s="90">
        <v>255</v>
      </c>
    </row>
    <row r="1852" spans="1:15" s="90" customFormat="1" ht="12.75" customHeight="1" x14ac:dyDescent="0.2">
      <c r="A1852" s="247" t="s">
        <v>1171</v>
      </c>
      <c r="B1852" s="316">
        <v>3001</v>
      </c>
      <c r="C1852" s="247" t="s">
        <v>996</v>
      </c>
      <c r="D1852" s="317">
        <v>42663</v>
      </c>
      <c r="E1852" s="318">
        <v>0.36829861111111112</v>
      </c>
      <c r="F1852" s="247" t="s">
        <v>702</v>
      </c>
      <c r="G1852" s="247" t="s">
        <v>1035</v>
      </c>
      <c r="H1852" s="248" t="s">
        <v>121</v>
      </c>
      <c r="I1852" s="248" t="s">
        <v>122</v>
      </c>
      <c r="J1852" s="247" t="s">
        <v>809</v>
      </c>
      <c r="K1852" s="249">
        <v>0</v>
      </c>
      <c r="M1852" s="90">
        <v>0</v>
      </c>
      <c r="N1852" s="90">
        <v>0</v>
      </c>
      <c r="O1852" s="90">
        <v>255</v>
      </c>
    </row>
    <row r="1853" spans="1:15" s="90" customFormat="1" ht="12.75" customHeight="1" x14ac:dyDescent="0.2">
      <c r="A1853" s="247" t="s">
        <v>1130</v>
      </c>
      <c r="B1853" s="316">
        <v>3001</v>
      </c>
      <c r="C1853" s="247" t="s">
        <v>996</v>
      </c>
      <c r="D1853" s="317">
        <v>42663</v>
      </c>
      <c r="E1853" s="318">
        <v>0.36837962962962961</v>
      </c>
      <c r="F1853" s="247" t="s">
        <v>702</v>
      </c>
      <c r="G1853" s="247" t="s">
        <v>1035</v>
      </c>
      <c r="H1853" s="248" t="s">
        <v>121</v>
      </c>
      <c r="I1853" s="248" t="s">
        <v>122</v>
      </c>
      <c r="J1853" s="247" t="s">
        <v>809</v>
      </c>
      <c r="K1853" s="249">
        <v>0</v>
      </c>
      <c r="M1853" s="90">
        <v>0</v>
      </c>
      <c r="N1853" s="90">
        <v>0</v>
      </c>
      <c r="O1853" s="90">
        <v>255</v>
      </c>
    </row>
    <row r="1854" spans="1:15" s="90" customFormat="1" ht="12.75" customHeight="1" x14ac:dyDescent="0.2">
      <c r="A1854" s="247" t="s">
        <v>1129</v>
      </c>
      <c r="B1854" s="316">
        <v>3001</v>
      </c>
      <c r="C1854" s="247" t="s">
        <v>996</v>
      </c>
      <c r="D1854" s="317">
        <v>42663</v>
      </c>
      <c r="E1854" s="318">
        <v>0.36854166666666671</v>
      </c>
      <c r="F1854" s="247" t="s">
        <v>702</v>
      </c>
      <c r="G1854" s="247" t="s">
        <v>1035</v>
      </c>
      <c r="H1854" s="248" t="s">
        <v>121</v>
      </c>
      <c r="I1854" s="248" t="s">
        <v>122</v>
      </c>
      <c r="J1854" s="247" t="s">
        <v>809</v>
      </c>
      <c r="K1854" s="249">
        <v>0</v>
      </c>
      <c r="M1854" s="90">
        <v>0</v>
      </c>
      <c r="N1854" s="90">
        <v>0</v>
      </c>
      <c r="O1854" s="90">
        <v>255</v>
      </c>
    </row>
    <row r="1855" spans="1:15" s="90" customFormat="1" ht="12.75" customHeight="1" x14ac:dyDescent="0.2">
      <c r="A1855" s="247" t="s">
        <v>1107</v>
      </c>
      <c r="B1855" s="316">
        <v>3001</v>
      </c>
      <c r="C1855" s="247" t="s">
        <v>996</v>
      </c>
      <c r="D1855" s="317">
        <v>42663</v>
      </c>
      <c r="E1855" s="318">
        <v>0.3687037037037037</v>
      </c>
      <c r="F1855" s="247" t="s">
        <v>702</v>
      </c>
      <c r="G1855" s="247" t="s">
        <v>1035</v>
      </c>
      <c r="H1855" s="248" t="s">
        <v>121</v>
      </c>
      <c r="I1855" s="248" t="s">
        <v>122</v>
      </c>
      <c r="J1855" s="247" t="s">
        <v>809</v>
      </c>
      <c r="K1855" s="249">
        <v>0</v>
      </c>
      <c r="M1855" s="90">
        <v>0</v>
      </c>
      <c r="N1855" s="90">
        <v>0</v>
      </c>
      <c r="O1855" s="90">
        <v>255</v>
      </c>
    </row>
    <row r="1856" spans="1:15" s="90" customFormat="1" ht="12.75" customHeight="1" x14ac:dyDescent="0.2">
      <c r="A1856" s="247" t="s">
        <v>1350</v>
      </c>
      <c r="B1856" s="316">
        <v>3001</v>
      </c>
      <c r="C1856" s="247" t="s">
        <v>996</v>
      </c>
      <c r="D1856" s="317">
        <v>42663</v>
      </c>
      <c r="E1856" s="318">
        <v>0.36878472222222225</v>
      </c>
      <c r="F1856" s="247" t="s">
        <v>702</v>
      </c>
      <c r="G1856" s="247" t="s">
        <v>1035</v>
      </c>
      <c r="H1856" s="248" t="s">
        <v>121</v>
      </c>
      <c r="I1856" s="248" t="s">
        <v>122</v>
      </c>
      <c r="J1856" s="247" t="s">
        <v>809</v>
      </c>
      <c r="K1856" s="249">
        <v>0</v>
      </c>
      <c r="M1856" s="90">
        <v>0</v>
      </c>
      <c r="N1856" s="90">
        <v>0</v>
      </c>
      <c r="O1856" s="90">
        <v>255</v>
      </c>
    </row>
    <row r="1857" spans="1:15" s="90" customFormat="1" ht="12.75" customHeight="1" x14ac:dyDescent="0.2">
      <c r="A1857" s="247" t="s">
        <v>1348</v>
      </c>
      <c r="B1857" s="316">
        <v>3004</v>
      </c>
      <c r="C1857" s="247" t="s">
        <v>979</v>
      </c>
      <c r="D1857" s="317">
        <v>42663</v>
      </c>
      <c r="E1857" s="318">
        <v>0.37087962962962967</v>
      </c>
      <c r="F1857" s="247" t="s">
        <v>702</v>
      </c>
      <c r="G1857" s="247" t="s">
        <v>1035</v>
      </c>
      <c r="H1857" s="248" t="s">
        <v>234</v>
      </c>
      <c r="I1857" s="248" t="s">
        <v>702</v>
      </c>
      <c r="J1857" s="247" t="s">
        <v>809</v>
      </c>
      <c r="K1857" s="249">
        <v>0</v>
      </c>
      <c r="M1857" s="90">
        <v>0</v>
      </c>
      <c r="N1857" s="90">
        <v>0</v>
      </c>
      <c r="O1857" s="90">
        <v>255</v>
      </c>
    </row>
    <row r="1858" spans="1:15" s="90" customFormat="1" ht="12.75" customHeight="1" x14ac:dyDescent="0.2">
      <c r="A1858" s="247" t="s">
        <v>1042</v>
      </c>
      <c r="B1858" s="316">
        <v>3001</v>
      </c>
      <c r="C1858" s="247" t="s">
        <v>996</v>
      </c>
      <c r="D1858" s="317">
        <v>42663</v>
      </c>
      <c r="E1858" s="318">
        <v>0.3709837962962963</v>
      </c>
      <c r="F1858" s="247" t="s">
        <v>702</v>
      </c>
      <c r="G1858" s="247" t="s">
        <v>1035</v>
      </c>
      <c r="H1858" s="248" t="s">
        <v>121</v>
      </c>
      <c r="I1858" s="248" t="s">
        <v>122</v>
      </c>
      <c r="J1858" s="247" t="s">
        <v>809</v>
      </c>
      <c r="K1858" s="249">
        <v>0</v>
      </c>
      <c r="M1858" s="90">
        <v>0</v>
      </c>
      <c r="N1858" s="90">
        <v>0</v>
      </c>
      <c r="O1858" s="90">
        <v>255</v>
      </c>
    </row>
    <row r="1859" spans="1:15" s="90" customFormat="1" ht="12.75" customHeight="1" x14ac:dyDescent="0.2">
      <c r="A1859" s="247" t="s">
        <v>1031</v>
      </c>
      <c r="B1859" s="316">
        <v>3046</v>
      </c>
      <c r="C1859" s="247" t="s">
        <v>975</v>
      </c>
      <c r="D1859" s="317">
        <v>42663</v>
      </c>
      <c r="E1859" s="318">
        <v>0.37112268518518521</v>
      </c>
      <c r="F1859" s="247" t="s">
        <v>976</v>
      </c>
      <c r="G1859" s="247" t="s">
        <v>1035</v>
      </c>
      <c r="H1859" s="248" t="s">
        <v>404</v>
      </c>
      <c r="I1859" s="248" t="s">
        <v>404</v>
      </c>
      <c r="J1859" s="247" t="s">
        <v>809</v>
      </c>
      <c r="K1859" s="249">
        <v>0</v>
      </c>
      <c r="M1859" s="90">
        <v>0</v>
      </c>
      <c r="N1859" s="90">
        <v>0</v>
      </c>
      <c r="O1859" s="90">
        <v>255</v>
      </c>
    </row>
    <row r="1860" spans="1:15" s="90" customFormat="1" ht="12.75" customHeight="1" x14ac:dyDescent="0.2">
      <c r="A1860" s="247" t="s">
        <v>1100</v>
      </c>
      <c r="B1860" s="316">
        <v>3001</v>
      </c>
      <c r="C1860" s="247" t="s">
        <v>996</v>
      </c>
      <c r="D1860" s="317">
        <v>42663</v>
      </c>
      <c r="E1860" s="318">
        <v>0.37148148148148147</v>
      </c>
      <c r="F1860" s="247" t="s">
        <v>702</v>
      </c>
      <c r="G1860" s="247" t="s">
        <v>1035</v>
      </c>
      <c r="H1860" s="248" t="s">
        <v>121</v>
      </c>
      <c r="I1860" s="248" t="s">
        <v>122</v>
      </c>
      <c r="J1860" s="247" t="s">
        <v>809</v>
      </c>
      <c r="K1860" s="249">
        <v>0</v>
      </c>
      <c r="M1860" s="90">
        <v>0</v>
      </c>
      <c r="N1860" s="90">
        <v>0</v>
      </c>
      <c r="O1860" s="90">
        <v>255</v>
      </c>
    </row>
    <row r="1861" spans="1:15" s="90" customFormat="1" ht="12.75" customHeight="1" x14ac:dyDescent="0.2">
      <c r="A1861" s="247" t="s">
        <v>1362</v>
      </c>
      <c r="B1861" s="316">
        <v>3024</v>
      </c>
      <c r="C1861" s="247" t="s">
        <v>996</v>
      </c>
      <c r="D1861" s="317">
        <v>42663</v>
      </c>
      <c r="E1861" s="318">
        <v>0.37171296296296297</v>
      </c>
      <c r="F1861" s="247" t="s">
        <v>702</v>
      </c>
      <c r="G1861" s="247" t="s">
        <v>1035</v>
      </c>
      <c r="H1861" s="248" t="s">
        <v>234</v>
      </c>
      <c r="I1861" s="248" t="s">
        <v>702</v>
      </c>
      <c r="J1861" s="247" t="s">
        <v>809</v>
      </c>
      <c r="K1861" s="249">
        <v>0</v>
      </c>
      <c r="M1861" s="90">
        <v>0</v>
      </c>
      <c r="N1861" s="90">
        <v>0</v>
      </c>
      <c r="O1861" s="90">
        <v>255</v>
      </c>
    </row>
    <row r="1862" spans="1:15" s="90" customFormat="1" ht="12.75" customHeight="1" x14ac:dyDescent="0.2">
      <c r="A1862" s="247" t="s">
        <v>1032</v>
      </c>
      <c r="B1862" s="316">
        <v>3046</v>
      </c>
      <c r="C1862" s="247" t="s">
        <v>975</v>
      </c>
      <c r="D1862" s="317">
        <v>42663</v>
      </c>
      <c r="E1862" s="318">
        <v>0.37177083333333333</v>
      </c>
      <c r="F1862" s="247" t="s">
        <v>976</v>
      </c>
      <c r="G1862" s="247" t="s">
        <v>1035</v>
      </c>
      <c r="H1862" s="248" t="s">
        <v>404</v>
      </c>
      <c r="I1862" s="248" t="s">
        <v>404</v>
      </c>
      <c r="J1862" s="247" t="s">
        <v>809</v>
      </c>
      <c r="K1862" s="249">
        <v>0</v>
      </c>
      <c r="M1862" s="90">
        <v>0</v>
      </c>
      <c r="N1862" s="90">
        <v>0</v>
      </c>
      <c r="O1862" s="90">
        <v>255</v>
      </c>
    </row>
    <row r="1863" spans="1:15" s="90" customFormat="1" ht="12.75" customHeight="1" x14ac:dyDescent="0.2">
      <c r="A1863" s="247" t="s">
        <v>301</v>
      </c>
      <c r="B1863" s="316">
        <v>3042</v>
      </c>
      <c r="C1863" s="247" t="s">
        <v>979</v>
      </c>
      <c r="D1863" s="317">
        <v>42663</v>
      </c>
      <c r="E1863" s="318">
        <v>0.37981481481481483</v>
      </c>
      <c r="F1863" s="247" t="s">
        <v>980</v>
      </c>
      <c r="G1863" s="247" t="s">
        <v>1035</v>
      </c>
      <c r="H1863" s="248" t="s">
        <v>234</v>
      </c>
      <c r="I1863" s="248" t="s">
        <v>263</v>
      </c>
      <c r="J1863" s="247" t="s">
        <v>809</v>
      </c>
      <c r="K1863" s="249">
        <v>0</v>
      </c>
      <c r="M1863" s="90">
        <v>0</v>
      </c>
      <c r="N1863" s="90">
        <v>0</v>
      </c>
      <c r="O1863" s="90">
        <v>255</v>
      </c>
    </row>
    <row r="1864" spans="1:15" s="90" customFormat="1" ht="12.75" customHeight="1" x14ac:dyDescent="0.2">
      <c r="A1864" s="247" t="s">
        <v>989</v>
      </c>
      <c r="B1864" s="316">
        <v>3046</v>
      </c>
      <c r="C1864" s="247" t="s">
        <v>975</v>
      </c>
      <c r="D1864" s="317">
        <v>42663</v>
      </c>
      <c r="E1864" s="318">
        <v>0.41344907407407411</v>
      </c>
      <c r="F1864" s="247" t="s">
        <v>976</v>
      </c>
      <c r="G1864" s="247" t="s">
        <v>1035</v>
      </c>
      <c r="H1864" s="248" t="s">
        <v>404</v>
      </c>
      <c r="I1864" s="248" t="s">
        <v>404</v>
      </c>
      <c r="J1864" s="247" t="s">
        <v>809</v>
      </c>
      <c r="K1864" s="249">
        <v>0</v>
      </c>
      <c r="M1864" s="90">
        <v>0</v>
      </c>
      <c r="N1864" s="90">
        <v>0</v>
      </c>
      <c r="O1864" s="90">
        <v>255</v>
      </c>
    </row>
    <row r="1865" spans="1:15" s="90" customFormat="1" ht="12.75" customHeight="1" x14ac:dyDescent="0.2">
      <c r="A1865" s="247" t="s">
        <v>990</v>
      </c>
      <c r="B1865" s="316">
        <v>3046</v>
      </c>
      <c r="C1865" s="247" t="s">
        <v>975</v>
      </c>
      <c r="D1865" s="317">
        <v>42663</v>
      </c>
      <c r="E1865" s="318">
        <v>0.41369212962962965</v>
      </c>
      <c r="F1865" s="247" t="s">
        <v>976</v>
      </c>
      <c r="G1865" s="247" t="s">
        <v>1035</v>
      </c>
      <c r="H1865" s="248" t="s">
        <v>404</v>
      </c>
      <c r="I1865" s="248" t="s">
        <v>404</v>
      </c>
      <c r="J1865" s="247" t="s">
        <v>809</v>
      </c>
      <c r="K1865" s="249">
        <v>0</v>
      </c>
      <c r="M1865" s="90">
        <v>0</v>
      </c>
      <c r="N1865" s="90">
        <v>0</v>
      </c>
      <c r="O1865" s="90">
        <v>255</v>
      </c>
    </row>
    <row r="1866" spans="1:15" s="90" customFormat="1" ht="12.75" customHeight="1" x14ac:dyDescent="0.2">
      <c r="A1866" s="247" t="s">
        <v>993</v>
      </c>
      <c r="B1866" s="316">
        <v>3217</v>
      </c>
      <c r="C1866" s="247" t="s">
        <v>975</v>
      </c>
      <c r="D1866" s="317">
        <v>42663</v>
      </c>
      <c r="E1866" s="318">
        <v>0.41369212962962965</v>
      </c>
      <c r="F1866" s="247" t="s">
        <v>235</v>
      </c>
      <c r="G1866" s="247" t="s">
        <v>1035</v>
      </c>
      <c r="H1866" s="248" t="s">
        <v>234</v>
      </c>
      <c r="I1866" s="248" t="s">
        <v>235</v>
      </c>
      <c r="J1866" s="247" t="s">
        <v>809</v>
      </c>
      <c r="K1866" s="249">
        <v>0</v>
      </c>
      <c r="M1866" s="90">
        <v>0</v>
      </c>
      <c r="N1866" s="90">
        <v>0</v>
      </c>
      <c r="O1866" s="90">
        <v>255</v>
      </c>
    </row>
    <row r="1867" spans="1:15" s="90" customFormat="1" ht="12.75" customHeight="1" x14ac:dyDescent="0.2">
      <c r="A1867" s="247" t="s">
        <v>989</v>
      </c>
      <c r="B1867" s="316">
        <v>3046</v>
      </c>
      <c r="C1867" s="247" t="s">
        <v>975</v>
      </c>
      <c r="D1867" s="317">
        <v>42663</v>
      </c>
      <c r="E1867" s="318">
        <v>0.45535879629629633</v>
      </c>
      <c r="F1867" s="247" t="s">
        <v>976</v>
      </c>
      <c r="G1867" s="247" t="s">
        <v>1035</v>
      </c>
      <c r="H1867" s="248" t="s">
        <v>404</v>
      </c>
      <c r="I1867" s="248" t="s">
        <v>404</v>
      </c>
      <c r="J1867" s="247" t="s">
        <v>809</v>
      </c>
      <c r="K1867" s="249">
        <v>0</v>
      </c>
      <c r="M1867" s="90">
        <v>0</v>
      </c>
      <c r="N1867" s="90">
        <v>0</v>
      </c>
      <c r="O1867" s="90">
        <v>255</v>
      </c>
    </row>
    <row r="1868" spans="1:15" s="90" customFormat="1" ht="12.75" customHeight="1" x14ac:dyDescent="0.2">
      <c r="A1868" s="247" t="s">
        <v>990</v>
      </c>
      <c r="B1868" s="316">
        <v>3046</v>
      </c>
      <c r="C1868" s="247" t="s">
        <v>975</v>
      </c>
      <c r="D1868" s="317">
        <v>42663</v>
      </c>
      <c r="E1868" s="318">
        <v>0.45561342592592591</v>
      </c>
      <c r="F1868" s="247" t="s">
        <v>976</v>
      </c>
      <c r="G1868" s="247" t="s">
        <v>1035</v>
      </c>
      <c r="H1868" s="248" t="s">
        <v>404</v>
      </c>
      <c r="I1868" s="248" t="s">
        <v>404</v>
      </c>
      <c r="J1868" s="247" t="s">
        <v>809</v>
      </c>
      <c r="K1868" s="249">
        <v>0</v>
      </c>
      <c r="M1868" s="90">
        <v>0</v>
      </c>
      <c r="N1868" s="90">
        <v>0</v>
      </c>
      <c r="O1868" s="90">
        <v>255</v>
      </c>
    </row>
    <row r="1869" spans="1:15" s="90" customFormat="1" ht="12.75" customHeight="1" x14ac:dyDescent="0.2">
      <c r="A1869" s="247" t="s">
        <v>993</v>
      </c>
      <c r="B1869" s="316">
        <v>3217</v>
      </c>
      <c r="C1869" s="247" t="s">
        <v>975</v>
      </c>
      <c r="D1869" s="317">
        <v>42663</v>
      </c>
      <c r="E1869" s="318">
        <v>0.45561342592592591</v>
      </c>
      <c r="F1869" s="247" t="s">
        <v>235</v>
      </c>
      <c r="G1869" s="247" t="s">
        <v>1035</v>
      </c>
      <c r="H1869" s="248" t="s">
        <v>234</v>
      </c>
      <c r="I1869" s="248" t="s">
        <v>235</v>
      </c>
      <c r="J1869" s="247" t="s">
        <v>809</v>
      </c>
      <c r="K1869" s="249">
        <v>0</v>
      </c>
      <c r="M1869" s="90">
        <v>0</v>
      </c>
      <c r="N1869" s="90">
        <v>0</v>
      </c>
      <c r="O1869" s="90">
        <v>255</v>
      </c>
    </row>
    <row r="1870" spans="1:15" s="90" customFormat="1" ht="12.75" customHeight="1" x14ac:dyDescent="0.2">
      <c r="A1870" s="247" t="s">
        <v>989</v>
      </c>
      <c r="B1870" s="316">
        <v>3046</v>
      </c>
      <c r="C1870" s="247" t="s">
        <v>975</v>
      </c>
      <c r="D1870" s="317">
        <v>42663</v>
      </c>
      <c r="E1870" s="318">
        <v>0.49728009259259259</v>
      </c>
      <c r="F1870" s="247" t="s">
        <v>976</v>
      </c>
      <c r="G1870" s="247" t="s">
        <v>1035</v>
      </c>
      <c r="H1870" s="248" t="s">
        <v>404</v>
      </c>
      <c r="I1870" s="248" t="s">
        <v>404</v>
      </c>
      <c r="J1870" s="247" t="s">
        <v>809</v>
      </c>
      <c r="K1870" s="249">
        <v>0</v>
      </c>
      <c r="M1870" s="90">
        <v>0</v>
      </c>
      <c r="N1870" s="90">
        <v>0</v>
      </c>
      <c r="O1870" s="90">
        <v>255</v>
      </c>
    </row>
    <row r="1871" spans="1:15" s="90" customFormat="1" ht="12.75" customHeight="1" x14ac:dyDescent="0.2">
      <c r="A1871" s="247" t="s">
        <v>990</v>
      </c>
      <c r="B1871" s="316">
        <v>3046</v>
      </c>
      <c r="C1871" s="247" t="s">
        <v>975</v>
      </c>
      <c r="D1871" s="317">
        <v>42663</v>
      </c>
      <c r="E1871" s="318">
        <v>0.49753472222222223</v>
      </c>
      <c r="F1871" s="247" t="s">
        <v>976</v>
      </c>
      <c r="G1871" s="247" t="s">
        <v>1035</v>
      </c>
      <c r="H1871" s="248" t="s">
        <v>404</v>
      </c>
      <c r="I1871" s="248" t="s">
        <v>404</v>
      </c>
      <c r="J1871" s="247" t="s">
        <v>809</v>
      </c>
      <c r="K1871" s="249">
        <v>0</v>
      </c>
      <c r="M1871" s="90">
        <v>0</v>
      </c>
      <c r="N1871" s="90">
        <v>0</v>
      </c>
      <c r="O1871" s="90">
        <v>255</v>
      </c>
    </row>
    <row r="1872" spans="1:15" s="90" customFormat="1" ht="12.75" customHeight="1" x14ac:dyDescent="0.2">
      <c r="A1872" s="247" t="s">
        <v>993</v>
      </c>
      <c r="B1872" s="316">
        <v>3217</v>
      </c>
      <c r="C1872" s="247" t="s">
        <v>975</v>
      </c>
      <c r="D1872" s="317">
        <v>42663</v>
      </c>
      <c r="E1872" s="318">
        <v>0.49753472222222223</v>
      </c>
      <c r="F1872" s="247" t="s">
        <v>235</v>
      </c>
      <c r="G1872" s="247" t="s">
        <v>1035</v>
      </c>
      <c r="H1872" s="248" t="s">
        <v>234</v>
      </c>
      <c r="I1872" s="248" t="s">
        <v>235</v>
      </c>
      <c r="J1872" s="247" t="s">
        <v>809</v>
      </c>
      <c r="K1872" s="249">
        <v>0</v>
      </c>
      <c r="M1872" s="90">
        <v>0</v>
      </c>
      <c r="N1872" s="90">
        <v>0</v>
      </c>
      <c r="O1872" s="90">
        <v>255</v>
      </c>
    </row>
    <row r="1873" spans="1:15" s="90" customFormat="1" ht="12.75" customHeight="1" x14ac:dyDescent="0.2">
      <c r="A1873" s="247" t="s">
        <v>1057</v>
      </c>
      <c r="B1873" s="316">
        <v>3218</v>
      </c>
      <c r="C1873" s="247" t="s">
        <v>979</v>
      </c>
      <c r="D1873" s="317">
        <v>42663</v>
      </c>
      <c r="E1873" s="318">
        <v>0.51887731481481481</v>
      </c>
      <c r="F1873" s="247" t="s">
        <v>702</v>
      </c>
      <c r="G1873" s="247" t="s">
        <v>1035</v>
      </c>
      <c r="H1873" s="248"/>
      <c r="I1873" s="248"/>
      <c r="J1873" s="247"/>
      <c r="K1873" s="249"/>
      <c r="M1873" s="90">
        <v>0</v>
      </c>
      <c r="N1873" s="90">
        <v>0</v>
      </c>
      <c r="O1873" s="90">
        <v>255</v>
      </c>
    </row>
    <row r="1874" spans="1:15" s="90" customFormat="1" ht="12.75" customHeight="1" x14ac:dyDescent="0.2">
      <c r="A1874" s="247" t="s">
        <v>1031</v>
      </c>
      <c r="B1874" s="316">
        <v>3046</v>
      </c>
      <c r="C1874" s="247" t="s">
        <v>975</v>
      </c>
      <c r="D1874" s="317">
        <v>42663</v>
      </c>
      <c r="E1874" s="318">
        <v>0.51907407407407413</v>
      </c>
      <c r="F1874" s="247" t="s">
        <v>976</v>
      </c>
      <c r="G1874" s="247" t="s">
        <v>1035</v>
      </c>
      <c r="H1874" s="248" t="s">
        <v>404</v>
      </c>
      <c r="I1874" s="248" t="s">
        <v>404</v>
      </c>
      <c r="J1874" s="247" t="s">
        <v>809</v>
      </c>
      <c r="K1874" s="249">
        <v>0</v>
      </c>
      <c r="M1874" s="90">
        <v>0</v>
      </c>
      <c r="N1874" s="90">
        <v>0</v>
      </c>
      <c r="O1874" s="90">
        <v>255</v>
      </c>
    </row>
    <row r="1875" spans="1:15" s="90" customFormat="1" ht="12.75" customHeight="1" x14ac:dyDescent="0.2">
      <c r="A1875" s="247" t="s">
        <v>1363</v>
      </c>
      <c r="B1875" s="316">
        <v>4070</v>
      </c>
      <c r="C1875" s="247" t="s">
        <v>975</v>
      </c>
      <c r="D1875" s="317">
        <v>42663</v>
      </c>
      <c r="E1875" s="318">
        <v>0.51918981481481474</v>
      </c>
      <c r="F1875" s="247" t="s">
        <v>978</v>
      </c>
      <c r="G1875" s="247" t="s">
        <v>1035</v>
      </c>
      <c r="H1875" s="248"/>
      <c r="I1875" s="248"/>
      <c r="J1875" s="247"/>
      <c r="K1875" s="249"/>
      <c r="M1875" s="90">
        <v>0</v>
      </c>
      <c r="N1875" s="90">
        <v>0</v>
      </c>
      <c r="O1875" s="90">
        <v>255</v>
      </c>
    </row>
    <row r="1876" spans="1:15" s="90" customFormat="1" ht="12.75" customHeight="1" x14ac:dyDescent="0.2">
      <c r="A1876" s="247" t="s">
        <v>1057</v>
      </c>
      <c r="B1876" s="316">
        <v>3218</v>
      </c>
      <c r="C1876" s="247" t="s">
        <v>979</v>
      </c>
      <c r="D1876" s="317">
        <v>42663</v>
      </c>
      <c r="E1876" s="318">
        <v>0.51951388888888894</v>
      </c>
      <c r="F1876" s="247" t="s">
        <v>702</v>
      </c>
      <c r="G1876" s="247" t="s">
        <v>1035</v>
      </c>
      <c r="H1876" s="248"/>
      <c r="I1876" s="248"/>
      <c r="J1876" s="247"/>
      <c r="K1876" s="249"/>
      <c r="M1876" s="90">
        <v>0</v>
      </c>
      <c r="N1876" s="90">
        <v>0</v>
      </c>
      <c r="O1876" s="90">
        <v>255</v>
      </c>
    </row>
    <row r="1877" spans="1:15" s="90" customFormat="1" ht="12.75" customHeight="1" x14ac:dyDescent="0.2">
      <c r="A1877" s="247" t="s">
        <v>1032</v>
      </c>
      <c r="B1877" s="316">
        <v>3046</v>
      </c>
      <c r="C1877" s="247" t="s">
        <v>975</v>
      </c>
      <c r="D1877" s="317">
        <v>42663</v>
      </c>
      <c r="E1877" s="318">
        <v>0.52418981481481486</v>
      </c>
      <c r="F1877" s="247" t="s">
        <v>976</v>
      </c>
      <c r="G1877" s="247" t="s">
        <v>1035</v>
      </c>
      <c r="H1877" s="248" t="s">
        <v>404</v>
      </c>
      <c r="I1877" s="248" t="s">
        <v>404</v>
      </c>
      <c r="J1877" s="247" t="s">
        <v>809</v>
      </c>
      <c r="K1877" s="249">
        <v>0</v>
      </c>
      <c r="M1877" s="90">
        <v>0</v>
      </c>
      <c r="N1877" s="90">
        <v>0</v>
      </c>
      <c r="O1877" s="90">
        <v>255</v>
      </c>
    </row>
    <row r="1878" spans="1:15" s="90" customFormat="1" ht="12.75" customHeight="1" x14ac:dyDescent="0.2">
      <c r="A1878" s="247" t="s">
        <v>989</v>
      </c>
      <c r="B1878" s="316">
        <v>3046</v>
      </c>
      <c r="C1878" s="247" t="s">
        <v>975</v>
      </c>
      <c r="D1878" s="317">
        <v>42663</v>
      </c>
      <c r="E1878" s="318">
        <v>0.5242013888888889</v>
      </c>
      <c r="F1878" s="247" t="s">
        <v>976</v>
      </c>
      <c r="G1878" s="247" t="s">
        <v>1035</v>
      </c>
      <c r="H1878" s="248" t="s">
        <v>404</v>
      </c>
      <c r="I1878" s="248" t="s">
        <v>404</v>
      </c>
      <c r="J1878" s="247" t="s">
        <v>809</v>
      </c>
      <c r="K1878" s="249">
        <v>0</v>
      </c>
      <c r="M1878" s="90">
        <v>0</v>
      </c>
      <c r="N1878" s="90">
        <v>0</v>
      </c>
      <c r="O1878" s="90">
        <v>255</v>
      </c>
    </row>
    <row r="1879" spans="1:15" s="90" customFormat="1" ht="12.75" customHeight="1" x14ac:dyDescent="0.2">
      <c r="A1879" s="247" t="s">
        <v>990</v>
      </c>
      <c r="B1879" s="316">
        <v>3046</v>
      </c>
      <c r="C1879" s="247" t="s">
        <v>975</v>
      </c>
      <c r="D1879" s="317">
        <v>42663</v>
      </c>
      <c r="E1879" s="318">
        <v>0.52449074074074076</v>
      </c>
      <c r="F1879" s="247" t="s">
        <v>976</v>
      </c>
      <c r="G1879" s="247" t="s">
        <v>1035</v>
      </c>
      <c r="H1879" s="248" t="s">
        <v>404</v>
      </c>
      <c r="I1879" s="248" t="s">
        <v>404</v>
      </c>
      <c r="J1879" s="247" t="s">
        <v>809</v>
      </c>
      <c r="K1879" s="249">
        <v>0</v>
      </c>
      <c r="M1879" s="90">
        <v>0</v>
      </c>
      <c r="N1879" s="90">
        <v>0</v>
      </c>
      <c r="O1879" s="90">
        <v>255</v>
      </c>
    </row>
    <row r="1880" spans="1:15" s="90" customFormat="1" ht="12.75" customHeight="1" x14ac:dyDescent="0.2">
      <c r="A1880" s="247" t="s">
        <v>1033</v>
      </c>
      <c r="B1880" s="316">
        <v>3217</v>
      </c>
      <c r="C1880" s="247" t="s">
        <v>975</v>
      </c>
      <c r="D1880" s="317">
        <v>42663</v>
      </c>
      <c r="E1880" s="318">
        <v>0.52449074074074076</v>
      </c>
      <c r="F1880" s="247" t="s">
        <v>235</v>
      </c>
      <c r="G1880" s="247" t="s">
        <v>1035</v>
      </c>
      <c r="H1880" s="248" t="s">
        <v>234</v>
      </c>
      <c r="I1880" s="248" t="s">
        <v>235</v>
      </c>
      <c r="J1880" s="247" t="s">
        <v>809</v>
      </c>
      <c r="K1880" s="249">
        <v>0</v>
      </c>
      <c r="M1880" s="90">
        <v>0</v>
      </c>
      <c r="N1880" s="90">
        <v>0</v>
      </c>
      <c r="O1880" s="90">
        <v>255</v>
      </c>
    </row>
    <row r="1881" spans="1:15" s="90" customFormat="1" ht="12.75" customHeight="1" x14ac:dyDescent="0.2">
      <c r="A1881" s="247" t="s">
        <v>989</v>
      </c>
      <c r="B1881" s="316">
        <v>3046</v>
      </c>
      <c r="C1881" s="247" t="s">
        <v>975</v>
      </c>
      <c r="D1881" s="317">
        <v>42663</v>
      </c>
      <c r="E1881" s="318">
        <v>0.56172453703703706</v>
      </c>
      <c r="F1881" s="247" t="s">
        <v>976</v>
      </c>
      <c r="G1881" s="247" t="s">
        <v>1035</v>
      </c>
      <c r="H1881" s="248" t="s">
        <v>404</v>
      </c>
      <c r="I1881" s="248" t="s">
        <v>404</v>
      </c>
      <c r="J1881" s="247" t="s">
        <v>809</v>
      </c>
      <c r="K1881" s="249">
        <v>0</v>
      </c>
      <c r="M1881" s="90">
        <v>0</v>
      </c>
      <c r="N1881" s="90">
        <v>0</v>
      </c>
      <c r="O1881" s="90">
        <v>255</v>
      </c>
    </row>
    <row r="1882" spans="1:15" s="90" customFormat="1" ht="12.75" customHeight="1" x14ac:dyDescent="0.2">
      <c r="A1882" s="247" t="s">
        <v>1029</v>
      </c>
      <c r="B1882" s="316">
        <v>3046</v>
      </c>
      <c r="C1882" s="247" t="s">
        <v>975</v>
      </c>
      <c r="D1882" s="317">
        <v>42663</v>
      </c>
      <c r="E1882" s="318">
        <v>0.56260416666666668</v>
      </c>
      <c r="F1882" s="247" t="s">
        <v>976</v>
      </c>
      <c r="G1882" s="247" t="s">
        <v>1035</v>
      </c>
      <c r="H1882" s="248" t="s">
        <v>404</v>
      </c>
      <c r="I1882" s="248" t="s">
        <v>404</v>
      </c>
      <c r="J1882" s="247" t="s">
        <v>809</v>
      </c>
      <c r="K1882" s="249">
        <v>0</v>
      </c>
      <c r="M1882" s="90">
        <v>0</v>
      </c>
      <c r="N1882" s="90">
        <v>0</v>
      </c>
      <c r="O1882" s="90">
        <v>255</v>
      </c>
    </row>
    <row r="1883" spans="1:15" s="90" customFormat="1" ht="12.75" customHeight="1" x14ac:dyDescent="0.2">
      <c r="A1883" s="247" t="s">
        <v>977</v>
      </c>
      <c r="B1883" s="316">
        <v>3046</v>
      </c>
      <c r="C1883" s="247" t="s">
        <v>975</v>
      </c>
      <c r="D1883" s="317">
        <v>42663</v>
      </c>
      <c r="E1883" s="318">
        <v>0.56260416666666668</v>
      </c>
      <c r="F1883" s="247" t="s">
        <v>976</v>
      </c>
      <c r="G1883" s="247" t="s">
        <v>1035</v>
      </c>
      <c r="H1883" s="248" t="s">
        <v>404</v>
      </c>
      <c r="I1883" s="248" t="s">
        <v>404</v>
      </c>
      <c r="J1883" s="247" t="s">
        <v>809</v>
      </c>
      <c r="K1883" s="249">
        <v>0</v>
      </c>
      <c r="M1883" s="90">
        <v>0</v>
      </c>
      <c r="N1883" s="90">
        <v>0</v>
      </c>
      <c r="O1883" s="90">
        <v>255</v>
      </c>
    </row>
    <row r="1884" spans="1:15" s="90" customFormat="1" ht="12.75" customHeight="1" x14ac:dyDescent="0.2">
      <c r="A1884" s="247" t="s">
        <v>1104</v>
      </c>
      <c r="B1884" s="316">
        <v>3052</v>
      </c>
      <c r="C1884" s="247" t="s">
        <v>975</v>
      </c>
      <c r="D1884" s="317">
        <v>42663</v>
      </c>
      <c r="E1884" s="318">
        <v>0.56275462962962963</v>
      </c>
      <c r="F1884" s="247" t="s">
        <v>235</v>
      </c>
      <c r="G1884" s="247" t="s">
        <v>1035</v>
      </c>
      <c r="H1884" s="248" t="s">
        <v>234</v>
      </c>
      <c r="I1884" s="248" t="s">
        <v>235</v>
      </c>
      <c r="J1884" s="247" t="s">
        <v>809</v>
      </c>
      <c r="K1884" s="249">
        <v>0</v>
      </c>
      <c r="M1884" s="90">
        <v>0</v>
      </c>
      <c r="N1884" s="90">
        <v>0</v>
      </c>
      <c r="O1884" s="90">
        <v>255</v>
      </c>
    </row>
    <row r="1885" spans="1:15" s="90" customFormat="1" ht="12.75" customHeight="1" x14ac:dyDescent="0.2">
      <c r="A1885" s="247" t="s">
        <v>983</v>
      </c>
      <c r="B1885" s="316">
        <v>3046</v>
      </c>
      <c r="C1885" s="247" t="s">
        <v>975</v>
      </c>
      <c r="D1885" s="317">
        <v>42663</v>
      </c>
      <c r="E1885" s="318">
        <v>0.56315972222222221</v>
      </c>
      <c r="F1885" s="247" t="s">
        <v>976</v>
      </c>
      <c r="G1885" s="247" t="s">
        <v>1035</v>
      </c>
      <c r="H1885" s="248" t="s">
        <v>404</v>
      </c>
      <c r="I1885" s="248" t="s">
        <v>404</v>
      </c>
      <c r="J1885" s="247" t="s">
        <v>809</v>
      </c>
      <c r="K1885" s="249">
        <v>0</v>
      </c>
      <c r="M1885" s="90">
        <v>0</v>
      </c>
      <c r="N1885" s="90">
        <v>0</v>
      </c>
      <c r="O1885" s="90">
        <v>255</v>
      </c>
    </row>
    <row r="1886" spans="1:15" s="90" customFormat="1" ht="12.75" customHeight="1" x14ac:dyDescent="0.2">
      <c r="A1886" s="247" t="s">
        <v>991</v>
      </c>
      <c r="B1886" s="316">
        <v>3046</v>
      </c>
      <c r="C1886" s="247" t="s">
        <v>975</v>
      </c>
      <c r="D1886" s="317">
        <v>42663</v>
      </c>
      <c r="E1886" s="318">
        <v>0.56327546296296294</v>
      </c>
      <c r="F1886" s="247" t="s">
        <v>976</v>
      </c>
      <c r="G1886" s="247" t="s">
        <v>1035</v>
      </c>
      <c r="H1886" s="248" t="s">
        <v>404</v>
      </c>
      <c r="I1886" s="248" t="s">
        <v>404</v>
      </c>
      <c r="J1886" s="247" t="s">
        <v>809</v>
      </c>
      <c r="K1886" s="249">
        <v>0</v>
      </c>
      <c r="M1886" s="90">
        <v>0</v>
      </c>
      <c r="N1886" s="90">
        <v>0</v>
      </c>
      <c r="O1886" s="90">
        <v>255</v>
      </c>
    </row>
    <row r="1887" spans="1:15" s="90" customFormat="1" ht="12.75" customHeight="1" x14ac:dyDescent="0.2">
      <c r="A1887" s="247" t="s">
        <v>992</v>
      </c>
      <c r="B1887" s="316">
        <v>3046</v>
      </c>
      <c r="C1887" s="247" t="s">
        <v>975</v>
      </c>
      <c r="D1887" s="317">
        <v>42663</v>
      </c>
      <c r="E1887" s="318">
        <v>0.5645486111111111</v>
      </c>
      <c r="F1887" s="247" t="s">
        <v>976</v>
      </c>
      <c r="G1887" s="247" t="s">
        <v>1035</v>
      </c>
      <c r="H1887" s="248" t="s">
        <v>404</v>
      </c>
      <c r="I1887" s="248" t="s">
        <v>404</v>
      </c>
      <c r="J1887" s="247" t="s">
        <v>809</v>
      </c>
      <c r="K1887" s="249">
        <v>0</v>
      </c>
      <c r="M1887" s="90">
        <v>0</v>
      </c>
      <c r="N1887" s="90">
        <v>0</v>
      </c>
      <c r="O1887" s="90">
        <v>255</v>
      </c>
    </row>
    <row r="1888" spans="1:15" s="90" customFormat="1" ht="12.75" customHeight="1" x14ac:dyDescent="0.2">
      <c r="A1888" s="247" t="s">
        <v>1037</v>
      </c>
      <c r="B1888" s="316">
        <v>3108</v>
      </c>
      <c r="C1888" s="247" t="s">
        <v>975</v>
      </c>
      <c r="D1888" s="317">
        <v>42663</v>
      </c>
      <c r="E1888" s="318">
        <v>0.5646296296296297</v>
      </c>
      <c r="F1888" s="247" t="s">
        <v>978</v>
      </c>
      <c r="G1888" s="247" t="s">
        <v>1035</v>
      </c>
      <c r="H1888" s="248" t="s">
        <v>234</v>
      </c>
      <c r="I1888" s="248" t="s">
        <v>677</v>
      </c>
      <c r="J1888" s="247" t="s">
        <v>809</v>
      </c>
      <c r="K1888" s="249">
        <v>0</v>
      </c>
      <c r="M1888" s="90">
        <v>0</v>
      </c>
      <c r="N1888" s="90">
        <v>0</v>
      </c>
      <c r="O1888" s="90">
        <v>255</v>
      </c>
    </row>
    <row r="1889" spans="1:15" s="90" customFormat="1" ht="12.75" customHeight="1" x14ac:dyDescent="0.2">
      <c r="A1889" s="247" t="s">
        <v>301</v>
      </c>
      <c r="B1889" s="316">
        <v>3042</v>
      </c>
      <c r="C1889" s="247" t="s">
        <v>979</v>
      </c>
      <c r="D1889" s="317">
        <v>42663</v>
      </c>
      <c r="E1889" s="318">
        <v>0.56592592592592594</v>
      </c>
      <c r="F1889" s="247" t="s">
        <v>980</v>
      </c>
      <c r="G1889" s="247"/>
      <c r="H1889" s="248" t="s">
        <v>234</v>
      </c>
      <c r="I1889" s="248" t="s">
        <v>263</v>
      </c>
      <c r="J1889" s="247" t="s">
        <v>809</v>
      </c>
      <c r="K1889" s="249">
        <v>0</v>
      </c>
      <c r="M1889" s="90">
        <v>0</v>
      </c>
      <c r="N1889" s="90">
        <v>0</v>
      </c>
      <c r="O1889" s="90">
        <v>255</v>
      </c>
    </row>
    <row r="1890" spans="1:15" s="90" customFormat="1" ht="12.75" customHeight="1" x14ac:dyDescent="0.2">
      <c r="A1890" s="247" t="s">
        <v>988</v>
      </c>
      <c r="B1890" s="316">
        <v>3046</v>
      </c>
      <c r="C1890" s="247" t="s">
        <v>975</v>
      </c>
      <c r="D1890" s="317">
        <v>42663</v>
      </c>
      <c r="E1890" s="318">
        <v>0.5661342592592592</v>
      </c>
      <c r="F1890" s="247" t="s">
        <v>976</v>
      </c>
      <c r="G1890" s="247"/>
      <c r="H1890" s="248" t="s">
        <v>404</v>
      </c>
      <c r="I1890" s="248" t="s">
        <v>404</v>
      </c>
      <c r="J1890" s="247" t="s">
        <v>809</v>
      </c>
      <c r="K1890" s="249">
        <v>0</v>
      </c>
      <c r="M1890" s="90">
        <v>0</v>
      </c>
      <c r="N1890" s="90">
        <v>0</v>
      </c>
      <c r="O1890" s="90">
        <v>255</v>
      </c>
    </row>
    <row r="1891" spans="1:15" s="90" customFormat="1" ht="12.75" customHeight="1" x14ac:dyDescent="0.2">
      <c r="A1891" s="247" t="s">
        <v>989</v>
      </c>
      <c r="B1891" s="316">
        <v>3046</v>
      </c>
      <c r="C1891" s="247" t="s">
        <v>975</v>
      </c>
      <c r="D1891" s="317">
        <v>42663</v>
      </c>
      <c r="E1891" s="318">
        <v>0.5661342592592592</v>
      </c>
      <c r="F1891" s="247" t="s">
        <v>976</v>
      </c>
      <c r="G1891" s="247"/>
      <c r="H1891" s="248" t="s">
        <v>404</v>
      </c>
      <c r="I1891" s="248" t="s">
        <v>404</v>
      </c>
      <c r="J1891" s="247" t="s">
        <v>809</v>
      </c>
      <c r="K1891" s="249">
        <v>0</v>
      </c>
      <c r="M1891" s="90">
        <v>0</v>
      </c>
      <c r="N1891" s="90">
        <v>0</v>
      </c>
      <c r="O1891" s="90">
        <v>255</v>
      </c>
    </row>
    <row r="1892" spans="1:15" s="90" customFormat="1" ht="12.75" customHeight="1" x14ac:dyDescent="0.2">
      <c r="A1892" s="247" t="s">
        <v>1034</v>
      </c>
      <c r="B1892" s="316">
        <v>3106</v>
      </c>
      <c r="C1892" s="247" t="s">
        <v>975</v>
      </c>
      <c r="D1892" s="317">
        <v>42663</v>
      </c>
      <c r="E1892" s="318">
        <v>0.56663194444444442</v>
      </c>
      <c r="F1892" s="247" t="s">
        <v>978</v>
      </c>
      <c r="G1892" s="247" t="s">
        <v>1035</v>
      </c>
      <c r="H1892" s="248" t="s">
        <v>234</v>
      </c>
      <c r="I1892" s="248" t="s">
        <v>677</v>
      </c>
      <c r="J1892" s="247" t="s">
        <v>809</v>
      </c>
      <c r="K1892" s="249">
        <v>0</v>
      </c>
      <c r="M1892" s="90">
        <v>0</v>
      </c>
      <c r="N1892" s="90">
        <v>0</v>
      </c>
      <c r="O1892" s="90">
        <v>255</v>
      </c>
    </row>
    <row r="1893" spans="1:15" s="90" customFormat="1" ht="12.75" customHeight="1" x14ac:dyDescent="0.2">
      <c r="A1893" s="247" t="s">
        <v>990</v>
      </c>
      <c r="B1893" s="316">
        <v>3046</v>
      </c>
      <c r="C1893" s="247" t="s">
        <v>975</v>
      </c>
      <c r="D1893" s="317">
        <v>42663</v>
      </c>
      <c r="E1893" s="318">
        <v>0.56699074074074074</v>
      </c>
      <c r="F1893" s="247" t="s">
        <v>976</v>
      </c>
      <c r="G1893" s="247" t="s">
        <v>1035</v>
      </c>
      <c r="H1893" s="248" t="s">
        <v>404</v>
      </c>
      <c r="I1893" s="248" t="s">
        <v>404</v>
      </c>
      <c r="J1893" s="247" t="s">
        <v>809</v>
      </c>
      <c r="K1893" s="249">
        <v>0</v>
      </c>
      <c r="M1893" s="90">
        <v>0</v>
      </c>
      <c r="N1893" s="90">
        <v>0</v>
      </c>
      <c r="O1893" s="90">
        <v>255</v>
      </c>
    </row>
    <row r="1894" spans="1:15" s="90" customFormat="1" ht="12.75" customHeight="1" x14ac:dyDescent="0.2">
      <c r="A1894" s="247" t="s">
        <v>1364</v>
      </c>
      <c r="B1894" s="316">
        <v>3061</v>
      </c>
      <c r="C1894" s="247" t="s">
        <v>975</v>
      </c>
      <c r="D1894" s="317">
        <v>42663</v>
      </c>
      <c r="E1894" s="318">
        <v>0.57833333333333337</v>
      </c>
      <c r="F1894" s="247" t="s">
        <v>981</v>
      </c>
      <c r="G1894" s="247" t="s">
        <v>1035</v>
      </c>
      <c r="H1894" s="248" t="s">
        <v>234</v>
      </c>
      <c r="I1894" s="248" t="s">
        <v>677</v>
      </c>
      <c r="J1894" s="247" t="s">
        <v>809</v>
      </c>
      <c r="K1894" s="249">
        <v>0</v>
      </c>
      <c r="M1894" s="90">
        <v>0</v>
      </c>
      <c r="N1894" s="90">
        <v>0</v>
      </c>
      <c r="O1894" s="90">
        <v>255</v>
      </c>
    </row>
    <row r="1895" spans="1:15" s="90" customFormat="1" ht="12.75" customHeight="1" x14ac:dyDescent="0.2">
      <c r="A1895" s="247" t="s">
        <v>1364</v>
      </c>
      <c r="B1895" s="316">
        <v>3061</v>
      </c>
      <c r="C1895" s="247" t="s">
        <v>975</v>
      </c>
      <c r="D1895" s="317">
        <v>42663</v>
      </c>
      <c r="E1895" s="318">
        <v>0.57861111111111108</v>
      </c>
      <c r="F1895" s="247" t="s">
        <v>981</v>
      </c>
      <c r="G1895" s="247" t="s">
        <v>1035</v>
      </c>
      <c r="H1895" s="248" t="s">
        <v>234</v>
      </c>
      <c r="I1895" s="248" t="s">
        <v>677</v>
      </c>
      <c r="J1895" s="247" t="s">
        <v>809</v>
      </c>
      <c r="K1895" s="249">
        <v>0</v>
      </c>
      <c r="M1895" s="90">
        <v>0</v>
      </c>
      <c r="N1895" s="90">
        <v>0</v>
      </c>
      <c r="O1895" s="90">
        <v>255</v>
      </c>
    </row>
    <row r="1896" spans="1:15" s="90" customFormat="1" ht="12.75" customHeight="1" x14ac:dyDescent="0.2">
      <c r="A1896" s="247" t="s">
        <v>1356</v>
      </c>
      <c r="B1896" s="316">
        <v>3061</v>
      </c>
      <c r="C1896" s="247" t="s">
        <v>975</v>
      </c>
      <c r="D1896" s="317">
        <v>42663</v>
      </c>
      <c r="E1896" s="318">
        <v>0.57870370370370372</v>
      </c>
      <c r="F1896" s="247" t="s">
        <v>981</v>
      </c>
      <c r="G1896" s="247" t="s">
        <v>1035</v>
      </c>
      <c r="H1896" s="248" t="s">
        <v>234</v>
      </c>
      <c r="I1896" s="248" t="s">
        <v>677</v>
      </c>
      <c r="J1896" s="247" t="s">
        <v>809</v>
      </c>
      <c r="K1896" s="249">
        <v>0</v>
      </c>
      <c r="M1896" s="90">
        <v>0</v>
      </c>
      <c r="N1896" s="90">
        <v>0</v>
      </c>
      <c r="O1896" s="90">
        <v>255</v>
      </c>
    </row>
    <row r="1897" spans="1:15" s="90" customFormat="1" ht="12.75" customHeight="1" x14ac:dyDescent="0.2">
      <c r="A1897" s="247" t="s">
        <v>1022</v>
      </c>
      <c r="B1897" s="316">
        <v>3060</v>
      </c>
      <c r="C1897" s="247" t="s">
        <v>975</v>
      </c>
      <c r="D1897" s="317">
        <v>42663</v>
      </c>
      <c r="E1897" s="318">
        <v>0.57924768518518521</v>
      </c>
      <c r="F1897" s="247" t="s">
        <v>981</v>
      </c>
      <c r="G1897" s="247" t="s">
        <v>1035</v>
      </c>
      <c r="H1897" s="248" t="s">
        <v>234</v>
      </c>
      <c r="I1897" s="248" t="s">
        <v>677</v>
      </c>
      <c r="J1897" s="247" t="s">
        <v>809</v>
      </c>
      <c r="K1897" s="249">
        <v>0</v>
      </c>
      <c r="M1897" s="90">
        <v>0</v>
      </c>
      <c r="N1897" s="90">
        <v>0</v>
      </c>
      <c r="O1897" s="90">
        <v>255</v>
      </c>
    </row>
    <row r="1898" spans="1:15" s="90" customFormat="1" ht="12.75" customHeight="1" x14ac:dyDescent="0.2">
      <c r="A1898" s="247" t="s">
        <v>1039</v>
      </c>
      <c r="B1898" s="316">
        <v>3061</v>
      </c>
      <c r="C1898" s="247" t="s">
        <v>975</v>
      </c>
      <c r="D1898" s="317">
        <v>42663</v>
      </c>
      <c r="E1898" s="318">
        <v>0.57936342592592593</v>
      </c>
      <c r="F1898" s="247" t="s">
        <v>981</v>
      </c>
      <c r="G1898" s="247" t="s">
        <v>1035</v>
      </c>
      <c r="H1898" s="248" t="s">
        <v>234</v>
      </c>
      <c r="I1898" s="248" t="s">
        <v>677</v>
      </c>
      <c r="J1898" s="247" t="s">
        <v>809</v>
      </c>
      <c r="K1898" s="249">
        <v>0</v>
      </c>
      <c r="M1898" s="90">
        <v>0</v>
      </c>
      <c r="N1898" s="90">
        <v>0</v>
      </c>
      <c r="O1898" s="90">
        <v>255</v>
      </c>
    </row>
    <row r="1899" spans="1:15" s="90" customFormat="1" ht="12.75" customHeight="1" x14ac:dyDescent="0.2">
      <c r="A1899" s="247" t="s">
        <v>1041</v>
      </c>
      <c r="B1899" s="316">
        <v>3067</v>
      </c>
      <c r="C1899" s="247" t="s">
        <v>975</v>
      </c>
      <c r="D1899" s="317">
        <v>42663</v>
      </c>
      <c r="E1899" s="318">
        <v>0.57936342592592593</v>
      </c>
      <c r="F1899" s="247" t="s">
        <v>981</v>
      </c>
      <c r="G1899" s="247" t="s">
        <v>1035</v>
      </c>
      <c r="H1899" s="248" t="s">
        <v>234</v>
      </c>
      <c r="I1899" s="248" t="s">
        <v>702</v>
      </c>
      <c r="J1899" s="247" t="s">
        <v>809</v>
      </c>
      <c r="K1899" s="249">
        <v>0</v>
      </c>
      <c r="M1899" s="90">
        <v>0</v>
      </c>
      <c r="N1899" s="90">
        <v>0</v>
      </c>
      <c r="O1899" s="90">
        <v>255</v>
      </c>
    </row>
    <row r="1900" spans="1:15" s="90" customFormat="1" ht="12.75" customHeight="1" x14ac:dyDescent="0.2">
      <c r="A1900" s="247" t="s">
        <v>1365</v>
      </c>
      <c r="B1900" s="316">
        <v>3090</v>
      </c>
      <c r="C1900" s="247" t="s">
        <v>979</v>
      </c>
      <c r="D1900" s="317">
        <v>42663</v>
      </c>
      <c r="E1900" s="318">
        <v>0.57936342592592593</v>
      </c>
      <c r="F1900" s="247" t="s">
        <v>1004</v>
      </c>
      <c r="G1900" s="247" t="s">
        <v>1035</v>
      </c>
      <c r="H1900" s="248" t="s">
        <v>234</v>
      </c>
      <c r="I1900" s="248" t="s">
        <v>702</v>
      </c>
      <c r="J1900" s="247" t="s">
        <v>809</v>
      </c>
      <c r="K1900" s="249">
        <v>0</v>
      </c>
      <c r="M1900" s="90">
        <v>0</v>
      </c>
      <c r="N1900" s="90">
        <v>0</v>
      </c>
      <c r="O1900" s="90">
        <v>255</v>
      </c>
    </row>
    <row r="1901" spans="1:15" s="90" customFormat="1" ht="12.75" customHeight="1" x14ac:dyDescent="0.2">
      <c r="A1901" s="247" t="s">
        <v>1366</v>
      </c>
      <c r="B1901" s="316">
        <v>3060</v>
      </c>
      <c r="C1901" s="247" t="s">
        <v>975</v>
      </c>
      <c r="D1901" s="317">
        <v>42663</v>
      </c>
      <c r="E1901" s="318">
        <v>0.58018518518518525</v>
      </c>
      <c r="F1901" s="247" t="s">
        <v>981</v>
      </c>
      <c r="G1901" s="247" t="s">
        <v>1035</v>
      </c>
      <c r="H1901" s="248" t="s">
        <v>234</v>
      </c>
      <c r="I1901" s="248" t="s">
        <v>677</v>
      </c>
      <c r="J1901" s="247" t="s">
        <v>809</v>
      </c>
      <c r="K1901" s="249">
        <v>0</v>
      </c>
      <c r="M1901" s="90">
        <v>0</v>
      </c>
      <c r="N1901" s="90">
        <v>0</v>
      </c>
      <c r="O1901" s="90">
        <v>255</v>
      </c>
    </row>
    <row r="1902" spans="1:15" s="90" customFormat="1" ht="12.75" customHeight="1" x14ac:dyDescent="0.2">
      <c r="A1902" s="247" t="s">
        <v>1367</v>
      </c>
      <c r="B1902" s="316">
        <v>3060</v>
      </c>
      <c r="C1902" s="247" t="s">
        <v>975</v>
      </c>
      <c r="D1902" s="317">
        <v>42663</v>
      </c>
      <c r="E1902" s="318">
        <v>0.58111111111111113</v>
      </c>
      <c r="F1902" s="247" t="s">
        <v>981</v>
      </c>
      <c r="G1902" s="247" t="s">
        <v>1035</v>
      </c>
      <c r="H1902" s="248" t="s">
        <v>234</v>
      </c>
      <c r="I1902" s="248" t="s">
        <v>677</v>
      </c>
      <c r="J1902" s="247" t="s">
        <v>809</v>
      </c>
      <c r="K1902" s="249">
        <v>0</v>
      </c>
      <c r="M1902" s="90">
        <v>0</v>
      </c>
      <c r="N1902" s="90">
        <v>0</v>
      </c>
      <c r="O1902" s="90">
        <v>255</v>
      </c>
    </row>
    <row r="1903" spans="1:15" s="90" customFormat="1" ht="12.75" customHeight="1" x14ac:dyDescent="0.2">
      <c r="A1903" s="247" t="s">
        <v>1368</v>
      </c>
      <c r="B1903" s="316">
        <v>3110</v>
      </c>
      <c r="C1903" s="247" t="s">
        <v>975</v>
      </c>
      <c r="D1903" s="317">
        <v>42663</v>
      </c>
      <c r="E1903" s="318">
        <v>0.58269675925925923</v>
      </c>
      <c r="F1903" s="247" t="s">
        <v>981</v>
      </c>
      <c r="G1903" s="247" t="s">
        <v>1035</v>
      </c>
      <c r="H1903" s="248" t="s">
        <v>234</v>
      </c>
      <c r="I1903" s="248" t="s">
        <v>677</v>
      </c>
      <c r="J1903" s="247" t="s">
        <v>809</v>
      </c>
      <c r="K1903" s="249">
        <v>0</v>
      </c>
      <c r="M1903" s="90">
        <v>0</v>
      </c>
      <c r="N1903" s="90">
        <v>0</v>
      </c>
      <c r="O1903" s="90">
        <v>255</v>
      </c>
    </row>
    <row r="1904" spans="1:15" s="90" customFormat="1" ht="12.75" customHeight="1" x14ac:dyDescent="0.2">
      <c r="A1904" s="247" t="s">
        <v>1369</v>
      </c>
      <c r="B1904" s="316">
        <v>3110</v>
      </c>
      <c r="C1904" s="247" t="s">
        <v>975</v>
      </c>
      <c r="D1904" s="317">
        <v>42663</v>
      </c>
      <c r="E1904" s="318">
        <v>0.58376157407407414</v>
      </c>
      <c r="F1904" s="247" t="s">
        <v>981</v>
      </c>
      <c r="G1904" s="247" t="s">
        <v>1035</v>
      </c>
      <c r="H1904" s="248" t="s">
        <v>234</v>
      </c>
      <c r="I1904" s="248" t="s">
        <v>677</v>
      </c>
      <c r="J1904" s="247" t="s">
        <v>809</v>
      </c>
      <c r="K1904" s="249">
        <v>0</v>
      </c>
      <c r="M1904" s="90">
        <v>0</v>
      </c>
      <c r="N1904" s="90">
        <v>0</v>
      </c>
      <c r="O1904" s="90">
        <v>255</v>
      </c>
    </row>
    <row r="1905" spans="1:15" s="90" customFormat="1" ht="12.75" customHeight="1" x14ac:dyDescent="0.2">
      <c r="A1905" s="247" t="s">
        <v>1042</v>
      </c>
      <c r="B1905" s="316">
        <v>3001</v>
      </c>
      <c r="C1905" s="247" t="s">
        <v>996</v>
      </c>
      <c r="D1905" s="317">
        <v>42663</v>
      </c>
      <c r="E1905" s="318">
        <v>0.59509259259259262</v>
      </c>
      <c r="F1905" s="247" t="s">
        <v>702</v>
      </c>
      <c r="G1905" s="247" t="s">
        <v>1035</v>
      </c>
      <c r="H1905" s="248" t="s">
        <v>121</v>
      </c>
      <c r="I1905" s="248" t="s">
        <v>122</v>
      </c>
      <c r="J1905" s="247" t="s">
        <v>809</v>
      </c>
      <c r="K1905" s="249">
        <v>0</v>
      </c>
      <c r="M1905" s="90">
        <v>0</v>
      </c>
      <c r="N1905" s="90">
        <v>0</v>
      </c>
      <c r="O1905" s="90">
        <v>255</v>
      </c>
    </row>
    <row r="1906" spans="1:15" s="90" customFormat="1" ht="12.75" customHeight="1" x14ac:dyDescent="0.2">
      <c r="A1906" s="247" t="s">
        <v>1031</v>
      </c>
      <c r="B1906" s="316">
        <v>3046</v>
      </c>
      <c r="C1906" s="247" t="s">
        <v>975</v>
      </c>
      <c r="D1906" s="317">
        <v>42663</v>
      </c>
      <c r="E1906" s="318">
        <v>0.59594907407407405</v>
      </c>
      <c r="F1906" s="247" t="s">
        <v>976</v>
      </c>
      <c r="G1906" s="247" t="s">
        <v>1035</v>
      </c>
      <c r="H1906" s="248" t="s">
        <v>404</v>
      </c>
      <c r="I1906" s="248" t="s">
        <v>404</v>
      </c>
      <c r="J1906" s="247" t="s">
        <v>809</v>
      </c>
      <c r="K1906" s="249">
        <v>0</v>
      </c>
      <c r="M1906" s="90">
        <v>0</v>
      </c>
      <c r="N1906" s="90">
        <v>0</v>
      </c>
      <c r="O1906" s="90">
        <v>255</v>
      </c>
    </row>
    <row r="1907" spans="1:15" s="90" customFormat="1" ht="12.75" customHeight="1" x14ac:dyDescent="0.2">
      <c r="A1907" s="247" t="s">
        <v>1370</v>
      </c>
      <c r="B1907" s="316">
        <v>3056</v>
      </c>
      <c r="C1907" s="247" t="s">
        <v>996</v>
      </c>
      <c r="D1907" s="317">
        <v>42663</v>
      </c>
      <c r="E1907" s="318">
        <v>0.60357638888888887</v>
      </c>
      <c r="F1907" s="247" t="s">
        <v>1004</v>
      </c>
      <c r="G1907" s="247" t="s">
        <v>1035</v>
      </c>
      <c r="H1907" s="248" t="s">
        <v>234</v>
      </c>
      <c r="I1907" s="248" t="s">
        <v>702</v>
      </c>
      <c r="J1907" s="247" t="s">
        <v>809</v>
      </c>
      <c r="K1907" s="249">
        <v>0</v>
      </c>
      <c r="M1907" s="90">
        <v>0</v>
      </c>
      <c r="N1907" s="90">
        <v>0</v>
      </c>
      <c r="O1907" s="90">
        <v>255</v>
      </c>
    </row>
    <row r="1908" spans="1:15" s="90" customFormat="1" ht="12.75" customHeight="1" x14ac:dyDescent="0.2">
      <c r="A1908" s="247" t="s">
        <v>1371</v>
      </c>
      <c r="B1908" s="316">
        <v>3056</v>
      </c>
      <c r="C1908" s="247" t="s">
        <v>996</v>
      </c>
      <c r="D1908" s="317">
        <v>42663</v>
      </c>
      <c r="E1908" s="318">
        <v>0.60357638888888887</v>
      </c>
      <c r="F1908" s="247" t="s">
        <v>1004</v>
      </c>
      <c r="G1908" s="247" t="s">
        <v>1035</v>
      </c>
      <c r="H1908" s="248" t="s">
        <v>234</v>
      </c>
      <c r="I1908" s="248" t="s">
        <v>702</v>
      </c>
      <c r="J1908" s="247" t="s">
        <v>809</v>
      </c>
      <c r="K1908" s="249">
        <v>0</v>
      </c>
      <c r="M1908" s="90">
        <v>0</v>
      </c>
      <c r="N1908" s="90">
        <v>0</v>
      </c>
      <c r="O1908" s="90">
        <v>255</v>
      </c>
    </row>
    <row r="1909" spans="1:15" s="90" customFormat="1" ht="12.75" customHeight="1" x14ac:dyDescent="0.2">
      <c r="A1909" s="247" t="s">
        <v>1091</v>
      </c>
      <c r="B1909" s="316">
        <v>3056</v>
      </c>
      <c r="C1909" s="247" t="s">
        <v>996</v>
      </c>
      <c r="D1909" s="317">
        <v>42663</v>
      </c>
      <c r="E1909" s="318">
        <v>0.60358796296296291</v>
      </c>
      <c r="F1909" s="247" t="s">
        <v>1004</v>
      </c>
      <c r="G1909" s="247" t="s">
        <v>1035</v>
      </c>
      <c r="H1909" s="248" t="s">
        <v>234</v>
      </c>
      <c r="I1909" s="248" t="s">
        <v>702</v>
      </c>
      <c r="J1909" s="247" t="s">
        <v>809</v>
      </c>
      <c r="K1909" s="249">
        <v>0</v>
      </c>
      <c r="M1909" s="90">
        <v>0</v>
      </c>
      <c r="N1909" s="90">
        <v>0</v>
      </c>
      <c r="O1909" s="90">
        <v>255</v>
      </c>
    </row>
    <row r="1910" spans="1:15" s="90" customFormat="1" ht="12.75" customHeight="1" x14ac:dyDescent="0.2">
      <c r="A1910" s="247" t="s">
        <v>1092</v>
      </c>
      <c r="B1910" s="316">
        <v>3056</v>
      </c>
      <c r="C1910" s="247" t="s">
        <v>996</v>
      </c>
      <c r="D1910" s="317">
        <v>42663</v>
      </c>
      <c r="E1910" s="318">
        <v>0.60359953703703706</v>
      </c>
      <c r="F1910" s="247" t="s">
        <v>1004</v>
      </c>
      <c r="G1910" s="247" t="s">
        <v>1035</v>
      </c>
      <c r="H1910" s="248" t="s">
        <v>234</v>
      </c>
      <c r="I1910" s="248" t="s">
        <v>702</v>
      </c>
      <c r="J1910" s="247" t="s">
        <v>809</v>
      </c>
      <c r="K1910" s="249">
        <v>0</v>
      </c>
      <c r="M1910" s="90">
        <v>0</v>
      </c>
      <c r="N1910" s="90">
        <v>0</v>
      </c>
      <c r="O1910" s="90">
        <v>255</v>
      </c>
    </row>
    <row r="1911" spans="1:15" s="90" customFormat="1" ht="12.75" customHeight="1" x14ac:dyDescent="0.2">
      <c r="A1911" s="247" t="s">
        <v>1093</v>
      </c>
      <c r="B1911" s="316">
        <v>3056</v>
      </c>
      <c r="C1911" s="247" t="s">
        <v>996</v>
      </c>
      <c r="D1911" s="317">
        <v>42663</v>
      </c>
      <c r="E1911" s="318">
        <v>0.60359953703703706</v>
      </c>
      <c r="F1911" s="247" t="s">
        <v>1004</v>
      </c>
      <c r="G1911" s="247" t="s">
        <v>1035</v>
      </c>
      <c r="H1911" s="248" t="s">
        <v>234</v>
      </c>
      <c r="I1911" s="248" t="s">
        <v>702</v>
      </c>
      <c r="J1911" s="247" t="s">
        <v>809</v>
      </c>
      <c r="K1911" s="249">
        <v>0</v>
      </c>
      <c r="M1911" s="90">
        <v>0</v>
      </c>
      <c r="N1911" s="90">
        <v>0</v>
      </c>
      <c r="O1911" s="90">
        <v>255</v>
      </c>
    </row>
    <row r="1912" spans="1:15" s="90" customFormat="1" ht="12.75" customHeight="1" x14ac:dyDescent="0.2">
      <c r="A1912" s="247" t="s">
        <v>1032</v>
      </c>
      <c r="B1912" s="316">
        <v>3046</v>
      </c>
      <c r="C1912" s="247" t="s">
        <v>975</v>
      </c>
      <c r="D1912" s="317">
        <v>42663</v>
      </c>
      <c r="E1912" s="318">
        <v>0.6036111111111111</v>
      </c>
      <c r="F1912" s="247" t="s">
        <v>976</v>
      </c>
      <c r="G1912" s="247" t="s">
        <v>1035</v>
      </c>
      <c r="H1912" s="248" t="s">
        <v>404</v>
      </c>
      <c r="I1912" s="248" t="s">
        <v>404</v>
      </c>
      <c r="J1912" s="247" t="s">
        <v>809</v>
      </c>
      <c r="K1912" s="249">
        <v>0</v>
      </c>
      <c r="M1912" s="90">
        <v>0</v>
      </c>
      <c r="N1912" s="90">
        <v>0</v>
      </c>
      <c r="O1912" s="90">
        <v>255</v>
      </c>
    </row>
    <row r="1913" spans="1:15" s="90" customFormat="1" ht="12.75" customHeight="1" x14ac:dyDescent="0.2">
      <c r="A1913" s="247" t="s">
        <v>989</v>
      </c>
      <c r="B1913" s="316">
        <v>3046</v>
      </c>
      <c r="C1913" s="247" t="s">
        <v>975</v>
      </c>
      <c r="D1913" s="317">
        <v>42663</v>
      </c>
      <c r="E1913" s="318">
        <v>0.6036111111111111</v>
      </c>
      <c r="F1913" s="247" t="s">
        <v>976</v>
      </c>
      <c r="G1913" s="247" t="s">
        <v>1035</v>
      </c>
      <c r="H1913" s="248" t="s">
        <v>404</v>
      </c>
      <c r="I1913" s="248" t="s">
        <v>404</v>
      </c>
      <c r="J1913" s="247" t="s">
        <v>809</v>
      </c>
      <c r="K1913" s="249">
        <v>0</v>
      </c>
      <c r="M1913" s="90">
        <v>0</v>
      </c>
      <c r="N1913" s="90">
        <v>0</v>
      </c>
      <c r="O1913" s="90">
        <v>255</v>
      </c>
    </row>
    <row r="1914" spans="1:15" s="90" customFormat="1" ht="12.75" customHeight="1" x14ac:dyDescent="0.2">
      <c r="A1914" s="247" t="s">
        <v>1033</v>
      </c>
      <c r="B1914" s="316">
        <v>3217</v>
      </c>
      <c r="C1914" s="247" t="s">
        <v>975</v>
      </c>
      <c r="D1914" s="317">
        <v>42663</v>
      </c>
      <c r="E1914" s="318">
        <v>0.60387731481481477</v>
      </c>
      <c r="F1914" s="247" t="s">
        <v>235</v>
      </c>
      <c r="G1914" s="247" t="s">
        <v>1035</v>
      </c>
      <c r="H1914" s="248" t="s">
        <v>234</v>
      </c>
      <c r="I1914" s="248" t="s">
        <v>235</v>
      </c>
      <c r="J1914" s="247" t="s">
        <v>809</v>
      </c>
      <c r="K1914" s="249">
        <v>0</v>
      </c>
      <c r="M1914" s="90">
        <v>0</v>
      </c>
      <c r="N1914" s="90">
        <v>0</v>
      </c>
      <c r="O1914" s="90">
        <v>255</v>
      </c>
    </row>
    <row r="1915" spans="1:15" s="90" customFormat="1" ht="12.75" customHeight="1" x14ac:dyDescent="0.2">
      <c r="A1915" s="247" t="s">
        <v>990</v>
      </c>
      <c r="B1915" s="316">
        <v>3046</v>
      </c>
      <c r="C1915" s="247" t="s">
        <v>975</v>
      </c>
      <c r="D1915" s="317">
        <v>42663</v>
      </c>
      <c r="E1915" s="318">
        <v>0.60388888888888892</v>
      </c>
      <c r="F1915" s="247" t="s">
        <v>976</v>
      </c>
      <c r="G1915" s="247" t="s">
        <v>1035</v>
      </c>
      <c r="H1915" s="248" t="s">
        <v>404</v>
      </c>
      <c r="I1915" s="248" t="s">
        <v>404</v>
      </c>
      <c r="J1915" s="247" t="s">
        <v>809</v>
      </c>
      <c r="K1915" s="249">
        <v>0</v>
      </c>
      <c r="M1915" s="90">
        <v>0</v>
      </c>
      <c r="N1915" s="90">
        <v>0</v>
      </c>
      <c r="O1915" s="90">
        <v>255</v>
      </c>
    </row>
    <row r="1916" spans="1:15" s="90" customFormat="1" ht="12.75" customHeight="1" x14ac:dyDescent="0.2">
      <c r="A1916" s="247" t="s">
        <v>1372</v>
      </c>
      <c r="B1916" s="316">
        <v>3057</v>
      </c>
      <c r="C1916" s="247" t="s">
        <v>975</v>
      </c>
      <c r="D1916" s="317">
        <v>42663</v>
      </c>
      <c r="E1916" s="318">
        <v>0.60560185185185189</v>
      </c>
      <c r="F1916" s="247" t="s">
        <v>1004</v>
      </c>
      <c r="G1916" s="247" t="s">
        <v>1035</v>
      </c>
      <c r="H1916" s="248" t="s">
        <v>234</v>
      </c>
      <c r="I1916" s="248" t="s">
        <v>677</v>
      </c>
      <c r="J1916" s="247" t="s">
        <v>809</v>
      </c>
      <c r="K1916" s="249">
        <v>0</v>
      </c>
      <c r="M1916" s="90">
        <v>0</v>
      </c>
      <c r="N1916" s="90">
        <v>0</v>
      </c>
      <c r="O1916" s="90">
        <v>255</v>
      </c>
    </row>
    <row r="1917" spans="1:15" s="90" customFormat="1" ht="12.75" customHeight="1" x14ac:dyDescent="0.2">
      <c r="A1917" s="247" t="s">
        <v>1373</v>
      </c>
      <c r="B1917" s="316">
        <v>3057</v>
      </c>
      <c r="C1917" s="247" t="s">
        <v>975</v>
      </c>
      <c r="D1917" s="317">
        <v>42663</v>
      </c>
      <c r="E1917" s="318">
        <v>0.60560185185185189</v>
      </c>
      <c r="F1917" s="247" t="s">
        <v>1004</v>
      </c>
      <c r="G1917" s="247" t="s">
        <v>1035</v>
      </c>
      <c r="H1917" s="248" t="s">
        <v>234</v>
      </c>
      <c r="I1917" s="248" t="s">
        <v>677</v>
      </c>
      <c r="J1917" s="247" t="s">
        <v>809</v>
      </c>
      <c r="K1917" s="249">
        <v>0</v>
      </c>
      <c r="M1917" s="90">
        <v>0</v>
      </c>
      <c r="N1917" s="90">
        <v>0</v>
      </c>
      <c r="O1917" s="90">
        <v>255</v>
      </c>
    </row>
    <row r="1918" spans="1:15" s="90" customFormat="1" ht="12.75" customHeight="1" x14ac:dyDescent="0.2">
      <c r="A1918" s="247" t="s">
        <v>1374</v>
      </c>
      <c r="B1918" s="316">
        <v>3057</v>
      </c>
      <c r="C1918" s="247" t="s">
        <v>975</v>
      </c>
      <c r="D1918" s="317">
        <v>42663</v>
      </c>
      <c r="E1918" s="318">
        <v>0.60560185185185189</v>
      </c>
      <c r="F1918" s="247" t="s">
        <v>1004</v>
      </c>
      <c r="G1918" s="247" t="s">
        <v>1035</v>
      </c>
      <c r="H1918" s="248" t="s">
        <v>234</v>
      </c>
      <c r="I1918" s="248" t="s">
        <v>677</v>
      </c>
      <c r="J1918" s="247" t="s">
        <v>809</v>
      </c>
      <c r="K1918" s="249">
        <v>0</v>
      </c>
      <c r="M1918" s="90">
        <v>0</v>
      </c>
      <c r="N1918" s="90">
        <v>0</v>
      </c>
      <c r="O1918" s="90">
        <v>255</v>
      </c>
    </row>
    <row r="1919" spans="1:15" s="90" customFormat="1" ht="12.75" customHeight="1" x14ac:dyDescent="0.2">
      <c r="A1919" s="247" t="s">
        <v>1375</v>
      </c>
      <c r="B1919" s="316">
        <v>3057</v>
      </c>
      <c r="C1919" s="247" t="s">
        <v>975</v>
      </c>
      <c r="D1919" s="317">
        <v>42663</v>
      </c>
      <c r="E1919" s="318">
        <v>0.60561342592592593</v>
      </c>
      <c r="F1919" s="247" t="s">
        <v>1004</v>
      </c>
      <c r="G1919" s="247" t="s">
        <v>1035</v>
      </c>
      <c r="H1919" s="248" t="s">
        <v>234</v>
      </c>
      <c r="I1919" s="248" t="s">
        <v>677</v>
      </c>
      <c r="J1919" s="247" t="s">
        <v>809</v>
      </c>
      <c r="K1919" s="249">
        <v>0</v>
      </c>
      <c r="M1919" s="90">
        <v>0</v>
      </c>
      <c r="N1919" s="90">
        <v>0</v>
      </c>
      <c r="O1919" s="90">
        <v>255</v>
      </c>
    </row>
    <row r="1920" spans="1:15" s="90" customFormat="1" ht="12.75" customHeight="1" x14ac:dyDescent="0.2">
      <c r="A1920" s="247" t="s">
        <v>1376</v>
      </c>
      <c r="B1920" s="316">
        <v>3057</v>
      </c>
      <c r="C1920" s="247" t="s">
        <v>975</v>
      </c>
      <c r="D1920" s="317">
        <v>42663</v>
      </c>
      <c r="E1920" s="318">
        <v>0.60562499999999997</v>
      </c>
      <c r="F1920" s="247" t="s">
        <v>1004</v>
      </c>
      <c r="G1920" s="247" t="s">
        <v>1035</v>
      </c>
      <c r="H1920" s="248" t="s">
        <v>234</v>
      </c>
      <c r="I1920" s="248" t="s">
        <v>677</v>
      </c>
      <c r="J1920" s="247" t="s">
        <v>809</v>
      </c>
      <c r="K1920" s="249">
        <v>0</v>
      </c>
      <c r="M1920" s="90">
        <v>0</v>
      </c>
      <c r="N1920" s="90">
        <v>0</v>
      </c>
      <c r="O1920" s="90">
        <v>255</v>
      </c>
    </row>
    <row r="1921" spans="1:15" s="90" customFormat="1" ht="12.75" customHeight="1" x14ac:dyDescent="0.2">
      <c r="A1921" s="247" t="s">
        <v>1094</v>
      </c>
      <c r="B1921" s="316">
        <v>3058</v>
      </c>
      <c r="C1921" s="247" t="s">
        <v>975</v>
      </c>
      <c r="D1921" s="317">
        <v>42663</v>
      </c>
      <c r="E1921" s="318">
        <v>0.6056597222222222</v>
      </c>
      <c r="F1921" s="247" t="s">
        <v>1004</v>
      </c>
      <c r="G1921" s="247" t="s">
        <v>1035</v>
      </c>
      <c r="H1921" s="248" t="s">
        <v>234</v>
      </c>
      <c r="I1921" s="248" t="s">
        <v>677</v>
      </c>
      <c r="J1921" s="247" t="s">
        <v>809</v>
      </c>
      <c r="K1921" s="249">
        <v>0</v>
      </c>
      <c r="M1921" s="90">
        <v>0</v>
      </c>
      <c r="N1921" s="90">
        <v>0</v>
      </c>
      <c r="O1921" s="90">
        <v>255</v>
      </c>
    </row>
    <row r="1922" spans="1:15" s="90" customFormat="1" ht="12.75" customHeight="1" x14ac:dyDescent="0.2">
      <c r="A1922" s="247" t="s">
        <v>1031</v>
      </c>
      <c r="B1922" s="316">
        <v>3046</v>
      </c>
      <c r="C1922" s="247" t="s">
        <v>975</v>
      </c>
      <c r="D1922" s="317">
        <v>42663</v>
      </c>
      <c r="E1922" s="318">
        <v>0.60622685185185188</v>
      </c>
      <c r="F1922" s="247" t="s">
        <v>976</v>
      </c>
      <c r="G1922" s="247" t="s">
        <v>1035</v>
      </c>
      <c r="H1922" s="248" t="s">
        <v>404</v>
      </c>
      <c r="I1922" s="248" t="s">
        <v>404</v>
      </c>
      <c r="J1922" s="247" t="s">
        <v>809</v>
      </c>
      <c r="K1922" s="249">
        <v>0</v>
      </c>
      <c r="M1922" s="90">
        <v>0</v>
      </c>
      <c r="N1922" s="90">
        <v>0</v>
      </c>
      <c r="O1922" s="90">
        <v>255</v>
      </c>
    </row>
    <row r="1923" spans="1:15" s="90" customFormat="1" ht="12.75" customHeight="1" x14ac:dyDescent="0.2">
      <c r="A1923" s="247" t="s">
        <v>1377</v>
      </c>
      <c r="B1923" s="316">
        <v>3024</v>
      </c>
      <c r="C1923" s="247" t="s">
        <v>996</v>
      </c>
      <c r="D1923" s="317">
        <v>42663</v>
      </c>
      <c r="E1923" s="318">
        <v>0.60623842592592592</v>
      </c>
      <c r="F1923" s="247" t="s">
        <v>702</v>
      </c>
      <c r="G1923" s="247" t="s">
        <v>1035</v>
      </c>
      <c r="H1923" s="248" t="s">
        <v>234</v>
      </c>
      <c r="I1923" s="248" t="s">
        <v>702</v>
      </c>
      <c r="J1923" s="247" t="s">
        <v>809</v>
      </c>
      <c r="K1923" s="249">
        <v>0</v>
      </c>
      <c r="M1923" s="90">
        <v>0</v>
      </c>
      <c r="N1923" s="90">
        <v>0</v>
      </c>
      <c r="O1923" s="90">
        <v>255</v>
      </c>
    </row>
    <row r="1924" spans="1:15" s="90" customFormat="1" ht="12.75" customHeight="1" x14ac:dyDescent="0.2">
      <c r="A1924" s="247" t="s">
        <v>1032</v>
      </c>
      <c r="B1924" s="316">
        <v>3046</v>
      </c>
      <c r="C1924" s="247" t="s">
        <v>975</v>
      </c>
      <c r="D1924" s="317">
        <v>42663</v>
      </c>
      <c r="E1924" s="318">
        <v>0.60623842592592592</v>
      </c>
      <c r="F1924" s="247" t="s">
        <v>976</v>
      </c>
      <c r="G1924" s="247" t="s">
        <v>1035</v>
      </c>
      <c r="H1924" s="248" t="s">
        <v>404</v>
      </c>
      <c r="I1924" s="248" t="s">
        <v>404</v>
      </c>
      <c r="J1924" s="247" t="s">
        <v>809</v>
      </c>
      <c r="K1924" s="249">
        <v>0</v>
      </c>
      <c r="M1924" s="90">
        <v>0</v>
      </c>
      <c r="N1924" s="90">
        <v>0</v>
      </c>
      <c r="O1924" s="90">
        <v>255</v>
      </c>
    </row>
    <row r="1925" spans="1:15" s="90" customFormat="1" ht="12.75" customHeight="1" x14ac:dyDescent="0.2">
      <c r="A1925" s="247" t="s">
        <v>1042</v>
      </c>
      <c r="B1925" s="316">
        <v>3001</v>
      </c>
      <c r="C1925" s="247" t="s">
        <v>996</v>
      </c>
      <c r="D1925" s="317">
        <v>42663</v>
      </c>
      <c r="E1925" s="318">
        <v>0.60665509259259254</v>
      </c>
      <c r="F1925" s="247" t="s">
        <v>702</v>
      </c>
      <c r="G1925" s="247" t="s">
        <v>1035</v>
      </c>
      <c r="H1925" s="248" t="s">
        <v>121</v>
      </c>
      <c r="I1925" s="248" t="s">
        <v>122</v>
      </c>
      <c r="J1925" s="247" t="s">
        <v>809</v>
      </c>
      <c r="K1925" s="249">
        <v>0</v>
      </c>
      <c r="M1925" s="90">
        <v>0</v>
      </c>
      <c r="N1925" s="90">
        <v>0</v>
      </c>
      <c r="O1925" s="90">
        <v>255</v>
      </c>
    </row>
    <row r="1926" spans="1:15" s="90" customFormat="1" ht="12.75" customHeight="1" x14ac:dyDescent="0.2">
      <c r="A1926" s="247" t="s">
        <v>1031</v>
      </c>
      <c r="B1926" s="316">
        <v>3046</v>
      </c>
      <c r="C1926" s="247" t="s">
        <v>975</v>
      </c>
      <c r="D1926" s="317">
        <v>42663</v>
      </c>
      <c r="E1926" s="318">
        <v>0.60688657407407409</v>
      </c>
      <c r="F1926" s="247" t="s">
        <v>976</v>
      </c>
      <c r="G1926" s="247" t="s">
        <v>1035</v>
      </c>
      <c r="H1926" s="248" t="s">
        <v>404</v>
      </c>
      <c r="I1926" s="248" t="s">
        <v>404</v>
      </c>
      <c r="J1926" s="247" t="s">
        <v>809</v>
      </c>
      <c r="K1926" s="249">
        <v>0</v>
      </c>
      <c r="M1926" s="90">
        <v>0</v>
      </c>
      <c r="N1926" s="90">
        <v>0</v>
      </c>
      <c r="O1926" s="90">
        <v>255</v>
      </c>
    </row>
    <row r="1927" spans="1:15" s="90" customFormat="1" ht="12.75" customHeight="1" x14ac:dyDescent="0.2">
      <c r="A1927" s="247" t="s">
        <v>1378</v>
      </c>
      <c r="B1927" s="316">
        <v>3001</v>
      </c>
      <c r="C1927" s="247" t="s">
        <v>996</v>
      </c>
      <c r="D1927" s="317">
        <v>42663</v>
      </c>
      <c r="E1927" s="318">
        <v>0.61149305555555555</v>
      </c>
      <c r="F1927" s="247" t="s">
        <v>702</v>
      </c>
      <c r="G1927" s="247" t="s">
        <v>1035</v>
      </c>
      <c r="H1927" s="248" t="s">
        <v>121</v>
      </c>
      <c r="I1927" s="248" t="s">
        <v>122</v>
      </c>
      <c r="J1927" s="247" t="s">
        <v>809</v>
      </c>
      <c r="K1927" s="249">
        <v>0</v>
      </c>
      <c r="M1927" s="90">
        <v>0</v>
      </c>
      <c r="N1927" s="90">
        <v>0</v>
      </c>
      <c r="O1927" s="90">
        <v>255</v>
      </c>
    </row>
    <row r="1928" spans="1:15" s="90" customFormat="1" ht="12.75" customHeight="1" x14ac:dyDescent="0.2">
      <c r="A1928" s="247" t="s">
        <v>301</v>
      </c>
      <c r="B1928" s="316">
        <v>3042</v>
      </c>
      <c r="C1928" s="247" t="s">
        <v>979</v>
      </c>
      <c r="D1928" s="317">
        <v>42663</v>
      </c>
      <c r="E1928" s="318">
        <v>0.61384259259259266</v>
      </c>
      <c r="F1928" s="247" t="s">
        <v>980</v>
      </c>
      <c r="G1928" s="247" t="s">
        <v>1035</v>
      </c>
      <c r="H1928" s="248" t="s">
        <v>234</v>
      </c>
      <c r="I1928" s="248" t="s">
        <v>263</v>
      </c>
      <c r="J1928" s="247" t="s">
        <v>809</v>
      </c>
      <c r="K1928" s="249">
        <v>0</v>
      </c>
      <c r="M1928" s="90">
        <v>0</v>
      </c>
      <c r="N1928" s="90">
        <v>0</v>
      </c>
      <c r="O1928" s="90">
        <v>255</v>
      </c>
    </row>
    <row r="1929" spans="1:15" s="90" customFormat="1" ht="12.75" customHeight="1" x14ac:dyDescent="0.2">
      <c r="A1929" s="247" t="s">
        <v>1379</v>
      </c>
      <c r="B1929" s="316">
        <v>3059</v>
      </c>
      <c r="C1929" s="247" t="s">
        <v>975</v>
      </c>
      <c r="D1929" s="317">
        <v>42663</v>
      </c>
      <c r="E1929" s="318">
        <v>0.61435185185185182</v>
      </c>
      <c r="F1929" s="247" t="s">
        <v>1004</v>
      </c>
      <c r="G1929" s="247" t="s">
        <v>1035</v>
      </c>
      <c r="H1929" s="248" t="s">
        <v>234</v>
      </c>
      <c r="I1929" s="248" t="s">
        <v>677</v>
      </c>
      <c r="J1929" s="247" t="s">
        <v>809</v>
      </c>
      <c r="K1929" s="249">
        <v>0</v>
      </c>
      <c r="M1929" s="90">
        <v>0</v>
      </c>
      <c r="N1929" s="90">
        <v>0</v>
      </c>
      <c r="O1929" s="90">
        <v>255</v>
      </c>
    </row>
    <row r="1930" spans="1:15" s="90" customFormat="1" ht="12.75" customHeight="1" x14ac:dyDescent="0.2">
      <c r="A1930" s="247" t="s">
        <v>1032</v>
      </c>
      <c r="B1930" s="316">
        <v>3046</v>
      </c>
      <c r="C1930" s="247" t="s">
        <v>975</v>
      </c>
      <c r="D1930" s="317">
        <v>42663</v>
      </c>
      <c r="E1930" s="318">
        <v>0.61436342592592597</v>
      </c>
      <c r="F1930" s="247" t="s">
        <v>976</v>
      </c>
      <c r="G1930" s="247" t="s">
        <v>1035</v>
      </c>
      <c r="H1930" s="248" t="s">
        <v>404</v>
      </c>
      <c r="I1930" s="248" t="s">
        <v>404</v>
      </c>
      <c r="J1930" s="247" t="s">
        <v>809</v>
      </c>
      <c r="K1930" s="249">
        <v>0</v>
      </c>
      <c r="M1930" s="90">
        <v>0</v>
      </c>
      <c r="N1930" s="90">
        <v>0</v>
      </c>
      <c r="O1930" s="90">
        <v>255</v>
      </c>
    </row>
    <row r="1931" spans="1:15" s="90" customFormat="1" ht="12.75" customHeight="1" x14ac:dyDescent="0.2">
      <c r="A1931" s="247" t="s">
        <v>989</v>
      </c>
      <c r="B1931" s="316">
        <v>3046</v>
      </c>
      <c r="C1931" s="247" t="s">
        <v>975</v>
      </c>
      <c r="D1931" s="317">
        <v>42663</v>
      </c>
      <c r="E1931" s="318">
        <v>0.61436342592592597</v>
      </c>
      <c r="F1931" s="247" t="s">
        <v>976</v>
      </c>
      <c r="G1931" s="247" t="s">
        <v>1035</v>
      </c>
      <c r="H1931" s="248" t="s">
        <v>404</v>
      </c>
      <c r="I1931" s="248" t="s">
        <v>404</v>
      </c>
      <c r="J1931" s="247" t="s">
        <v>809</v>
      </c>
      <c r="K1931" s="249">
        <v>0</v>
      </c>
      <c r="M1931" s="90">
        <v>0</v>
      </c>
      <c r="N1931" s="90">
        <v>0</v>
      </c>
      <c r="O1931" s="90">
        <v>255</v>
      </c>
    </row>
    <row r="1932" spans="1:15" s="90" customFormat="1" ht="12.75" customHeight="1" x14ac:dyDescent="0.2">
      <c r="A1932" s="247" t="s">
        <v>1033</v>
      </c>
      <c r="B1932" s="316">
        <v>3217</v>
      </c>
      <c r="C1932" s="247" t="s">
        <v>975</v>
      </c>
      <c r="D1932" s="317">
        <v>42663</v>
      </c>
      <c r="E1932" s="318">
        <v>0.6146759259259259</v>
      </c>
      <c r="F1932" s="247" t="s">
        <v>235</v>
      </c>
      <c r="G1932" s="247" t="s">
        <v>1035</v>
      </c>
      <c r="H1932" s="248" t="s">
        <v>234</v>
      </c>
      <c r="I1932" s="248" t="s">
        <v>235</v>
      </c>
      <c r="J1932" s="247" t="s">
        <v>809</v>
      </c>
      <c r="K1932" s="249">
        <v>0</v>
      </c>
      <c r="M1932" s="90">
        <v>0</v>
      </c>
      <c r="N1932" s="90">
        <v>0</v>
      </c>
      <c r="O1932" s="90">
        <v>255</v>
      </c>
    </row>
    <row r="1933" spans="1:15" s="90" customFormat="1" ht="12.75" customHeight="1" x14ac:dyDescent="0.2">
      <c r="A1933" s="247" t="s">
        <v>990</v>
      </c>
      <c r="B1933" s="316">
        <v>3046</v>
      </c>
      <c r="C1933" s="247" t="s">
        <v>975</v>
      </c>
      <c r="D1933" s="317">
        <v>42663</v>
      </c>
      <c r="E1933" s="318">
        <v>0.61468749999999994</v>
      </c>
      <c r="F1933" s="247" t="s">
        <v>976</v>
      </c>
      <c r="G1933" s="247" t="s">
        <v>1035</v>
      </c>
      <c r="H1933" s="248" t="s">
        <v>404</v>
      </c>
      <c r="I1933" s="248" t="s">
        <v>404</v>
      </c>
      <c r="J1933" s="247" t="s">
        <v>809</v>
      </c>
      <c r="K1933" s="249">
        <v>0</v>
      </c>
      <c r="M1933" s="90">
        <v>0</v>
      </c>
      <c r="N1933" s="90">
        <v>0</v>
      </c>
      <c r="O1933" s="90">
        <v>255</v>
      </c>
    </row>
    <row r="1934" spans="1:15" s="90" customFormat="1" ht="12.75" customHeight="1" x14ac:dyDescent="0.2">
      <c r="A1934" s="247" t="s">
        <v>1197</v>
      </c>
      <c r="B1934" s="316">
        <v>3218</v>
      </c>
      <c r="C1934" s="247" t="s">
        <v>979</v>
      </c>
      <c r="D1934" s="317">
        <v>42663</v>
      </c>
      <c r="E1934" s="318">
        <v>0.61469907407407409</v>
      </c>
      <c r="F1934" s="247" t="s">
        <v>702</v>
      </c>
      <c r="G1934" s="247" t="s">
        <v>1035</v>
      </c>
      <c r="H1934" s="248"/>
      <c r="I1934" s="248"/>
      <c r="J1934" s="247"/>
      <c r="K1934" s="249"/>
      <c r="M1934" s="90">
        <v>0</v>
      </c>
      <c r="N1934" s="90">
        <v>0</v>
      </c>
      <c r="O1934" s="90">
        <v>255</v>
      </c>
    </row>
    <row r="1935" spans="1:15" s="90" customFormat="1" ht="12.75" customHeight="1" x14ac:dyDescent="0.2">
      <c r="A1935" s="247" t="s">
        <v>1031</v>
      </c>
      <c r="B1935" s="316">
        <v>3046</v>
      </c>
      <c r="C1935" s="247" t="s">
        <v>975</v>
      </c>
      <c r="D1935" s="317">
        <v>42663</v>
      </c>
      <c r="E1935" s="318">
        <v>0.61478009259259259</v>
      </c>
      <c r="F1935" s="247" t="s">
        <v>976</v>
      </c>
      <c r="G1935" s="247" t="s">
        <v>1035</v>
      </c>
      <c r="H1935" s="248" t="s">
        <v>404</v>
      </c>
      <c r="I1935" s="248" t="s">
        <v>404</v>
      </c>
      <c r="J1935" s="247" t="s">
        <v>809</v>
      </c>
      <c r="K1935" s="249">
        <v>0</v>
      </c>
      <c r="M1935" s="90">
        <v>0</v>
      </c>
      <c r="N1935" s="90">
        <v>0</v>
      </c>
      <c r="O1935" s="90">
        <v>255</v>
      </c>
    </row>
    <row r="1936" spans="1:15" s="90" customFormat="1" ht="12.75" customHeight="1" x14ac:dyDescent="0.2">
      <c r="A1936" s="247" t="s">
        <v>1380</v>
      </c>
      <c r="B1936" s="316">
        <v>3024</v>
      </c>
      <c r="C1936" s="247" t="s">
        <v>996</v>
      </c>
      <c r="D1936" s="317">
        <v>42663</v>
      </c>
      <c r="E1936" s="318">
        <v>0.61515046296296294</v>
      </c>
      <c r="F1936" s="247" t="s">
        <v>702</v>
      </c>
      <c r="G1936" s="247" t="s">
        <v>1035</v>
      </c>
      <c r="H1936" s="248" t="s">
        <v>234</v>
      </c>
      <c r="I1936" s="248" t="s">
        <v>702</v>
      </c>
      <c r="J1936" s="247" t="s">
        <v>809</v>
      </c>
      <c r="K1936" s="249">
        <v>0</v>
      </c>
      <c r="M1936" s="90">
        <v>0</v>
      </c>
      <c r="N1936" s="90">
        <v>0</v>
      </c>
      <c r="O1936" s="90">
        <v>255</v>
      </c>
    </row>
    <row r="1937" spans="1:15" s="90" customFormat="1" ht="12.75" customHeight="1" x14ac:dyDescent="0.2">
      <c r="A1937" s="247" t="s">
        <v>1032</v>
      </c>
      <c r="B1937" s="316">
        <v>3046</v>
      </c>
      <c r="C1937" s="247" t="s">
        <v>975</v>
      </c>
      <c r="D1937" s="317">
        <v>42663</v>
      </c>
      <c r="E1937" s="318">
        <v>0.61515046296296294</v>
      </c>
      <c r="F1937" s="247" t="s">
        <v>976</v>
      </c>
      <c r="G1937" s="247" t="s">
        <v>1035</v>
      </c>
      <c r="H1937" s="248" t="s">
        <v>404</v>
      </c>
      <c r="I1937" s="248" t="s">
        <v>404</v>
      </c>
      <c r="J1937" s="247" t="s">
        <v>809</v>
      </c>
      <c r="K1937" s="249">
        <v>0</v>
      </c>
      <c r="M1937" s="90">
        <v>0</v>
      </c>
      <c r="N1937" s="90">
        <v>0</v>
      </c>
      <c r="O1937" s="90">
        <v>255</v>
      </c>
    </row>
    <row r="1938" spans="1:15" s="90" customFormat="1" ht="12.75" customHeight="1" x14ac:dyDescent="0.2">
      <c r="A1938" s="247" t="s">
        <v>1031</v>
      </c>
      <c r="B1938" s="316">
        <v>3046</v>
      </c>
      <c r="C1938" s="247" t="s">
        <v>975</v>
      </c>
      <c r="D1938" s="317">
        <v>42663</v>
      </c>
      <c r="E1938" s="318">
        <v>0.61773148148148149</v>
      </c>
      <c r="F1938" s="247" t="s">
        <v>976</v>
      </c>
      <c r="G1938" s="247" t="s">
        <v>1035</v>
      </c>
      <c r="H1938" s="248" t="s">
        <v>404</v>
      </c>
      <c r="I1938" s="248" t="s">
        <v>404</v>
      </c>
      <c r="J1938" s="247" t="s">
        <v>809</v>
      </c>
      <c r="K1938" s="249">
        <v>0</v>
      </c>
      <c r="M1938" s="90">
        <v>0</v>
      </c>
      <c r="N1938" s="90">
        <v>0</v>
      </c>
      <c r="O1938" s="90">
        <v>255</v>
      </c>
    </row>
    <row r="1939" spans="1:15" s="90" customFormat="1" ht="12.75" customHeight="1" x14ac:dyDescent="0.2">
      <c r="A1939" s="247" t="s">
        <v>1381</v>
      </c>
      <c r="B1939" s="316">
        <v>2083</v>
      </c>
      <c r="C1939" s="247" t="s">
        <v>979</v>
      </c>
      <c r="D1939" s="317">
        <v>42663</v>
      </c>
      <c r="E1939" s="318">
        <v>0.61853009259259262</v>
      </c>
      <c r="F1939" s="247" t="s">
        <v>702</v>
      </c>
      <c r="G1939" s="247" t="s">
        <v>1035</v>
      </c>
      <c r="H1939" s="248" t="s">
        <v>121</v>
      </c>
      <c r="I1939" s="248" t="s">
        <v>122</v>
      </c>
      <c r="J1939" s="247" t="s">
        <v>809</v>
      </c>
      <c r="K1939" s="249">
        <v>0</v>
      </c>
      <c r="M1939" s="90">
        <v>0</v>
      </c>
      <c r="N1939" s="90">
        <v>0</v>
      </c>
      <c r="O1939" s="90">
        <v>255</v>
      </c>
    </row>
    <row r="1940" spans="1:15" s="90" customFormat="1" ht="12.75" customHeight="1" x14ac:dyDescent="0.2">
      <c r="A1940" s="247" t="s">
        <v>1032</v>
      </c>
      <c r="B1940" s="316">
        <v>3046</v>
      </c>
      <c r="C1940" s="247" t="s">
        <v>975</v>
      </c>
      <c r="D1940" s="317">
        <v>42663</v>
      </c>
      <c r="E1940" s="318">
        <v>0.61995370370370373</v>
      </c>
      <c r="F1940" s="247" t="s">
        <v>976</v>
      </c>
      <c r="G1940" s="247" t="s">
        <v>1035</v>
      </c>
      <c r="H1940" s="248" t="s">
        <v>404</v>
      </c>
      <c r="I1940" s="248" t="s">
        <v>404</v>
      </c>
      <c r="J1940" s="247" t="s">
        <v>809</v>
      </c>
      <c r="K1940" s="249">
        <v>0</v>
      </c>
      <c r="M1940" s="90">
        <v>0</v>
      </c>
      <c r="N1940" s="90">
        <v>0</v>
      </c>
      <c r="O1940" s="90">
        <v>255</v>
      </c>
    </row>
    <row r="1941" spans="1:15" s="90" customFormat="1" ht="12.75" customHeight="1" x14ac:dyDescent="0.2">
      <c r="A1941" s="247" t="s">
        <v>989</v>
      </c>
      <c r="B1941" s="316">
        <v>3046</v>
      </c>
      <c r="C1941" s="247" t="s">
        <v>975</v>
      </c>
      <c r="D1941" s="317">
        <v>42663</v>
      </c>
      <c r="E1941" s="318">
        <v>0.61995370370370373</v>
      </c>
      <c r="F1941" s="247" t="s">
        <v>976</v>
      </c>
      <c r="G1941" s="247" t="s">
        <v>1035</v>
      </c>
      <c r="H1941" s="248" t="s">
        <v>404</v>
      </c>
      <c r="I1941" s="248" t="s">
        <v>404</v>
      </c>
      <c r="J1941" s="247" t="s">
        <v>809</v>
      </c>
      <c r="K1941" s="249">
        <v>0</v>
      </c>
      <c r="M1941" s="90">
        <v>0</v>
      </c>
      <c r="N1941" s="90">
        <v>0</v>
      </c>
      <c r="O1941" s="90">
        <v>255</v>
      </c>
    </row>
    <row r="1942" spans="1:15" s="90" customFormat="1" ht="12.75" customHeight="1" x14ac:dyDescent="0.2">
      <c r="A1942" s="247" t="s">
        <v>990</v>
      </c>
      <c r="B1942" s="316">
        <v>3046</v>
      </c>
      <c r="C1942" s="247" t="s">
        <v>975</v>
      </c>
      <c r="D1942" s="317">
        <v>42663</v>
      </c>
      <c r="E1942" s="318">
        <v>0.62025462962962963</v>
      </c>
      <c r="F1942" s="247" t="s">
        <v>976</v>
      </c>
      <c r="G1942" s="247" t="s">
        <v>1035</v>
      </c>
      <c r="H1942" s="248" t="s">
        <v>404</v>
      </c>
      <c r="I1942" s="248" t="s">
        <v>404</v>
      </c>
      <c r="J1942" s="247" t="s">
        <v>809</v>
      </c>
      <c r="K1942" s="249">
        <v>0</v>
      </c>
      <c r="M1942" s="90">
        <v>0</v>
      </c>
      <c r="N1942" s="90">
        <v>0</v>
      </c>
      <c r="O1942" s="90">
        <v>255</v>
      </c>
    </row>
    <row r="1943" spans="1:15" s="90" customFormat="1" ht="12.75" customHeight="1" x14ac:dyDescent="0.2">
      <c r="A1943" s="247" t="s">
        <v>1033</v>
      </c>
      <c r="B1943" s="316">
        <v>3217</v>
      </c>
      <c r="C1943" s="247" t="s">
        <v>975</v>
      </c>
      <c r="D1943" s="317">
        <v>42663</v>
      </c>
      <c r="E1943" s="318">
        <v>0.62025462962962963</v>
      </c>
      <c r="F1943" s="247" t="s">
        <v>235</v>
      </c>
      <c r="G1943" s="247" t="s">
        <v>1035</v>
      </c>
      <c r="H1943" s="248" t="s">
        <v>234</v>
      </c>
      <c r="I1943" s="248" t="s">
        <v>235</v>
      </c>
      <c r="J1943" s="247" t="s">
        <v>809</v>
      </c>
      <c r="K1943" s="249">
        <v>0</v>
      </c>
      <c r="M1943" s="90">
        <v>0</v>
      </c>
      <c r="N1943" s="90">
        <v>0</v>
      </c>
      <c r="O1943" s="90">
        <v>255</v>
      </c>
    </row>
    <row r="1944" spans="1:15" s="90" customFormat="1" ht="12.75" customHeight="1" x14ac:dyDescent="0.2">
      <c r="A1944" s="247" t="s">
        <v>301</v>
      </c>
      <c r="B1944" s="316">
        <v>3042</v>
      </c>
      <c r="C1944" s="247" t="s">
        <v>979</v>
      </c>
      <c r="D1944" s="317">
        <v>42663</v>
      </c>
      <c r="E1944" s="318">
        <v>0.64023148148148146</v>
      </c>
      <c r="F1944" s="247" t="s">
        <v>980</v>
      </c>
      <c r="G1944" s="247" t="s">
        <v>1035</v>
      </c>
      <c r="H1944" s="248" t="s">
        <v>234</v>
      </c>
      <c r="I1944" s="248" t="s">
        <v>263</v>
      </c>
      <c r="J1944" s="247" t="s">
        <v>809</v>
      </c>
      <c r="K1944" s="249">
        <v>0</v>
      </c>
      <c r="M1944" s="90">
        <v>0</v>
      </c>
      <c r="N1944" s="90">
        <v>0</v>
      </c>
      <c r="O1944" s="90">
        <v>255</v>
      </c>
    </row>
    <row r="1945" spans="1:15" s="90" customFormat="1" ht="12.75" customHeight="1" x14ac:dyDescent="0.2">
      <c r="A1945" s="247" t="s">
        <v>989</v>
      </c>
      <c r="B1945" s="316">
        <v>3046</v>
      </c>
      <c r="C1945" s="247" t="s">
        <v>975</v>
      </c>
      <c r="D1945" s="317">
        <v>42663</v>
      </c>
      <c r="E1945" s="318">
        <v>0.66192129629629626</v>
      </c>
      <c r="F1945" s="247" t="s">
        <v>976</v>
      </c>
      <c r="G1945" s="247" t="s">
        <v>1035</v>
      </c>
      <c r="H1945" s="248" t="s">
        <v>404</v>
      </c>
      <c r="I1945" s="248" t="s">
        <v>404</v>
      </c>
      <c r="J1945" s="247" t="s">
        <v>809</v>
      </c>
      <c r="K1945" s="249">
        <v>0</v>
      </c>
      <c r="M1945" s="90">
        <v>0</v>
      </c>
      <c r="N1945" s="90">
        <v>0</v>
      </c>
      <c r="O1945" s="90">
        <v>255</v>
      </c>
    </row>
    <row r="1946" spans="1:15" s="90" customFormat="1" ht="12.75" customHeight="1" x14ac:dyDescent="0.2">
      <c r="A1946" s="247" t="s">
        <v>990</v>
      </c>
      <c r="B1946" s="316">
        <v>3046</v>
      </c>
      <c r="C1946" s="247" t="s">
        <v>975</v>
      </c>
      <c r="D1946" s="317">
        <v>42663</v>
      </c>
      <c r="E1946" s="318">
        <v>0.66216435185185185</v>
      </c>
      <c r="F1946" s="247" t="s">
        <v>976</v>
      </c>
      <c r="G1946" s="247" t="s">
        <v>1035</v>
      </c>
      <c r="H1946" s="248" t="s">
        <v>404</v>
      </c>
      <c r="I1946" s="248" t="s">
        <v>404</v>
      </c>
      <c r="J1946" s="247" t="s">
        <v>809</v>
      </c>
      <c r="K1946" s="249">
        <v>0</v>
      </c>
      <c r="M1946" s="90">
        <v>0</v>
      </c>
      <c r="N1946" s="90">
        <v>0</v>
      </c>
      <c r="O1946" s="90">
        <v>255</v>
      </c>
    </row>
    <row r="1947" spans="1:15" s="90" customFormat="1" ht="12.75" customHeight="1" x14ac:dyDescent="0.2">
      <c r="A1947" s="247" t="s">
        <v>993</v>
      </c>
      <c r="B1947" s="316">
        <v>3217</v>
      </c>
      <c r="C1947" s="247" t="s">
        <v>975</v>
      </c>
      <c r="D1947" s="317">
        <v>42663</v>
      </c>
      <c r="E1947" s="318">
        <v>0.66216435185185185</v>
      </c>
      <c r="F1947" s="247" t="s">
        <v>235</v>
      </c>
      <c r="G1947" s="247" t="s">
        <v>1035</v>
      </c>
      <c r="H1947" s="248" t="s">
        <v>234</v>
      </c>
      <c r="I1947" s="248" t="s">
        <v>235</v>
      </c>
      <c r="J1947" s="247" t="s">
        <v>809</v>
      </c>
      <c r="K1947" s="249">
        <v>0</v>
      </c>
      <c r="M1947" s="90">
        <v>0</v>
      </c>
      <c r="N1947" s="90">
        <v>0</v>
      </c>
      <c r="O1947" s="90">
        <v>255</v>
      </c>
    </row>
    <row r="1948" spans="1:15" s="90" customFormat="1" ht="12.75" customHeight="1" x14ac:dyDescent="0.2">
      <c r="A1948" s="247" t="s">
        <v>989</v>
      </c>
      <c r="B1948" s="316">
        <v>3046</v>
      </c>
      <c r="C1948" s="247" t="s">
        <v>975</v>
      </c>
      <c r="D1948" s="317">
        <v>42663</v>
      </c>
      <c r="E1948" s="318">
        <v>0.70384259259259263</v>
      </c>
      <c r="F1948" s="247" t="s">
        <v>976</v>
      </c>
      <c r="G1948" s="247" t="s">
        <v>1035</v>
      </c>
      <c r="H1948" s="248" t="s">
        <v>404</v>
      </c>
      <c r="I1948" s="248" t="s">
        <v>404</v>
      </c>
      <c r="J1948" s="247" t="s">
        <v>809</v>
      </c>
      <c r="K1948" s="249">
        <v>0</v>
      </c>
      <c r="M1948" s="90">
        <v>0</v>
      </c>
      <c r="N1948" s="90">
        <v>0</v>
      </c>
      <c r="O1948" s="90">
        <v>255</v>
      </c>
    </row>
    <row r="1949" spans="1:15" s="90" customFormat="1" ht="12.75" customHeight="1" x14ac:dyDescent="0.2">
      <c r="A1949" s="247" t="s">
        <v>990</v>
      </c>
      <c r="B1949" s="316">
        <v>3046</v>
      </c>
      <c r="C1949" s="247" t="s">
        <v>975</v>
      </c>
      <c r="D1949" s="317">
        <v>42663</v>
      </c>
      <c r="E1949" s="318">
        <v>0.70408564814814811</v>
      </c>
      <c r="F1949" s="247" t="s">
        <v>976</v>
      </c>
      <c r="G1949" s="247" t="s">
        <v>1035</v>
      </c>
      <c r="H1949" s="248" t="s">
        <v>404</v>
      </c>
      <c r="I1949" s="248" t="s">
        <v>404</v>
      </c>
      <c r="J1949" s="247" t="s">
        <v>809</v>
      </c>
      <c r="K1949" s="249">
        <v>0</v>
      </c>
      <c r="M1949" s="90">
        <v>0</v>
      </c>
      <c r="N1949" s="90">
        <v>0</v>
      </c>
      <c r="O1949" s="90">
        <v>255</v>
      </c>
    </row>
    <row r="1950" spans="1:15" s="90" customFormat="1" ht="12.75" customHeight="1" x14ac:dyDescent="0.2">
      <c r="A1950" s="247" t="s">
        <v>993</v>
      </c>
      <c r="B1950" s="316">
        <v>3217</v>
      </c>
      <c r="C1950" s="247" t="s">
        <v>975</v>
      </c>
      <c r="D1950" s="317">
        <v>42663</v>
      </c>
      <c r="E1950" s="318">
        <v>0.70408564814814811</v>
      </c>
      <c r="F1950" s="247" t="s">
        <v>235</v>
      </c>
      <c r="G1950" s="247" t="s">
        <v>1035</v>
      </c>
      <c r="H1950" s="248" t="s">
        <v>234</v>
      </c>
      <c r="I1950" s="248" t="s">
        <v>235</v>
      </c>
      <c r="J1950" s="247" t="s">
        <v>809</v>
      </c>
      <c r="K1950" s="249">
        <v>0</v>
      </c>
      <c r="M1950" s="90">
        <v>0</v>
      </c>
      <c r="N1950" s="90">
        <v>0</v>
      </c>
      <c r="O1950" s="90">
        <v>255</v>
      </c>
    </row>
    <row r="1951" spans="1:15" s="90" customFormat="1" ht="12.75" customHeight="1" x14ac:dyDescent="0.2">
      <c r="A1951" s="247" t="s">
        <v>989</v>
      </c>
      <c r="B1951" s="316">
        <v>3046</v>
      </c>
      <c r="C1951" s="247" t="s">
        <v>975</v>
      </c>
      <c r="D1951" s="317">
        <v>42663</v>
      </c>
      <c r="E1951" s="318">
        <v>0.74575231481481474</v>
      </c>
      <c r="F1951" s="247" t="s">
        <v>976</v>
      </c>
      <c r="G1951" s="247" t="s">
        <v>1035</v>
      </c>
      <c r="H1951" s="248" t="s">
        <v>404</v>
      </c>
      <c r="I1951" s="248" t="s">
        <v>404</v>
      </c>
      <c r="J1951" s="247" t="s">
        <v>809</v>
      </c>
      <c r="K1951" s="249">
        <v>0</v>
      </c>
      <c r="M1951" s="90">
        <v>0</v>
      </c>
      <c r="N1951" s="90">
        <v>0</v>
      </c>
      <c r="O1951" s="90">
        <v>255</v>
      </c>
    </row>
    <row r="1952" spans="1:15" s="90" customFormat="1" ht="12.75" customHeight="1" x14ac:dyDescent="0.2">
      <c r="A1952" s="247" t="s">
        <v>990</v>
      </c>
      <c r="B1952" s="316">
        <v>3046</v>
      </c>
      <c r="C1952" s="247" t="s">
        <v>975</v>
      </c>
      <c r="D1952" s="317">
        <v>42663</v>
      </c>
      <c r="E1952" s="318">
        <v>0.74600694444444438</v>
      </c>
      <c r="F1952" s="247" t="s">
        <v>976</v>
      </c>
      <c r="G1952" s="247" t="s">
        <v>1035</v>
      </c>
      <c r="H1952" s="248" t="s">
        <v>404</v>
      </c>
      <c r="I1952" s="248" t="s">
        <v>404</v>
      </c>
      <c r="J1952" s="247" t="s">
        <v>809</v>
      </c>
      <c r="K1952" s="249">
        <v>0</v>
      </c>
      <c r="M1952" s="90">
        <v>0</v>
      </c>
      <c r="N1952" s="90">
        <v>0</v>
      </c>
      <c r="O1952" s="90">
        <v>255</v>
      </c>
    </row>
    <row r="1953" spans="1:15" s="90" customFormat="1" ht="12.75" customHeight="1" x14ac:dyDescent="0.2">
      <c r="A1953" s="247" t="s">
        <v>993</v>
      </c>
      <c r="B1953" s="316">
        <v>3217</v>
      </c>
      <c r="C1953" s="247" t="s">
        <v>975</v>
      </c>
      <c r="D1953" s="317">
        <v>42663</v>
      </c>
      <c r="E1953" s="318">
        <v>0.74600694444444438</v>
      </c>
      <c r="F1953" s="247" t="s">
        <v>235</v>
      </c>
      <c r="G1953" s="247" t="s">
        <v>1035</v>
      </c>
      <c r="H1953" s="248" t="s">
        <v>234</v>
      </c>
      <c r="I1953" s="248" t="s">
        <v>235</v>
      </c>
      <c r="J1953" s="247" t="s">
        <v>809</v>
      </c>
      <c r="K1953" s="249">
        <v>0</v>
      </c>
      <c r="M1953" s="90">
        <v>0</v>
      </c>
      <c r="N1953" s="90">
        <v>0</v>
      </c>
      <c r="O1953" s="90">
        <v>255</v>
      </c>
    </row>
    <row r="1954" spans="1:15" s="90" customFormat="1" ht="12.75" customHeight="1" x14ac:dyDescent="0.2">
      <c r="A1954" s="247" t="s">
        <v>989</v>
      </c>
      <c r="B1954" s="316">
        <v>3046</v>
      </c>
      <c r="C1954" s="247" t="s">
        <v>975</v>
      </c>
      <c r="D1954" s="317">
        <v>42663</v>
      </c>
      <c r="E1954" s="318">
        <v>0.78767361111111101</v>
      </c>
      <c r="F1954" s="247" t="s">
        <v>976</v>
      </c>
      <c r="G1954" s="247" t="s">
        <v>1035</v>
      </c>
      <c r="H1954" s="248" t="s">
        <v>404</v>
      </c>
      <c r="I1954" s="248" t="s">
        <v>404</v>
      </c>
      <c r="J1954" s="247" t="s">
        <v>809</v>
      </c>
      <c r="K1954" s="249">
        <v>0</v>
      </c>
      <c r="M1954" s="90">
        <v>0</v>
      </c>
      <c r="N1954" s="90">
        <v>0</v>
      </c>
      <c r="O1954" s="90">
        <v>255</v>
      </c>
    </row>
    <row r="1955" spans="1:15" s="90" customFormat="1" ht="12.75" customHeight="1" x14ac:dyDescent="0.2">
      <c r="A1955" s="247" t="s">
        <v>990</v>
      </c>
      <c r="B1955" s="316">
        <v>3046</v>
      </c>
      <c r="C1955" s="247" t="s">
        <v>975</v>
      </c>
      <c r="D1955" s="317">
        <v>42663</v>
      </c>
      <c r="E1955" s="318">
        <v>0.78792824074074075</v>
      </c>
      <c r="F1955" s="247" t="s">
        <v>976</v>
      </c>
      <c r="G1955" s="247" t="s">
        <v>1035</v>
      </c>
      <c r="H1955" s="248" t="s">
        <v>404</v>
      </c>
      <c r="I1955" s="248" t="s">
        <v>404</v>
      </c>
      <c r="J1955" s="247" t="s">
        <v>809</v>
      </c>
      <c r="K1955" s="249">
        <v>0</v>
      </c>
      <c r="M1955" s="90">
        <v>0</v>
      </c>
      <c r="N1955" s="90">
        <v>0</v>
      </c>
      <c r="O1955" s="90">
        <v>255</v>
      </c>
    </row>
    <row r="1956" spans="1:15" s="90" customFormat="1" ht="12.75" customHeight="1" x14ac:dyDescent="0.2">
      <c r="A1956" s="247" t="s">
        <v>993</v>
      </c>
      <c r="B1956" s="316">
        <v>3217</v>
      </c>
      <c r="C1956" s="247" t="s">
        <v>975</v>
      </c>
      <c r="D1956" s="317">
        <v>42663</v>
      </c>
      <c r="E1956" s="318">
        <v>0.78792824074074075</v>
      </c>
      <c r="F1956" s="247" t="s">
        <v>235</v>
      </c>
      <c r="G1956" s="247" t="s">
        <v>1035</v>
      </c>
      <c r="H1956" s="248" t="s">
        <v>234</v>
      </c>
      <c r="I1956" s="248" t="s">
        <v>235</v>
      </c>
      <c r="J1956" s="247" t="s">
        <v>809</v>
      </c>
      <c r="K1956" s="249">
        <v>0</v>
      </c>
      <c r="M1956" s="90">
        <v>0</v>
      </c>
      <c r="N1956" s="90">
        <v>0</v>
      </c>
      <c r="O1956" s="90">
        <v>255</v>
      </c>
    </row>
    <row r="1957" spans="1:15" s="90" customFormat="1" ht="12.75" customHeight="1" x14ac:dyDescent="0.2">
      <c r="A1957" s="247" t="s">
        <v>989</v>
      </c>
      <c r="B1957" s="316">
        <v>3046</v>
      </c>
      <c r="C1957" s="247" t="s">
        <v>975</v>
      </c>
      <c r="D1957" s="317">
        <v>42663</v>
      </c>
      <c r="E1957" s="318">
        <v>0.82959490740740749</v>
      </c>
      <c r="F1957" s="247" t="s">
        <v>976</v>
      </c>
      <c r="G1957" s="247" t="s">
        <v>1035</v>
      </c>
      <c r="H1957" s="248" t="s">
        <v>404</v>
      </c>
      <c r="I1957" s="248" t="s">
        <v>404</v>
      </c>
      <c r="J1957" s="247" t="s">
        <v>809</v>
      </c>
      <c r="K1957" s="249">
        <v>0</v>
      </c>
      <c r="M1957" s="90">
        <v>0</v>
      </c>
      <c r="N1957" s="90">
        <v>0</v>
      </c>
      <c r="O1957" s="90">
        <v>255</v>
      </c>
    </row>
    <row r="1958" spans="1:15" s="90" customFormat="1" ht="12.75" customHeight="1" x14ac:dyDescent="0.2">
      <c r="A1958" s="247" t="s">
        <v>993</v>
      </c>
      <c r="B1958" s="316">
        <v>3217</v>
      </c>
      <c r="C1958" s="247" t="s">
        <v>975</v>
      </c>
      <c r="D1958" s="317">
        <v>42663</v>
      </c>
      <c r="E1958" s="318">
        <v>0.82983796296296297</v>
      </c>
      <c r="F1958" s="247" t="s">
        <v>235</v>
      </c>
      <c r="G1958" s="247" t="s">
        <v>1035</v>
      </c>
      <c r="H1958" s="248" t="s">
        <v>234</v>
      </c>
      <c r="I1958" s="248" t="s">
        <v>235</v>
      </c>
      <c r="J1958" s="247" t="s">
        <v>809</v>
      </c>
      <c r="K1958" s="249">
        <v>0</v>
      </c>
      <c r="M1958" s="90">
        <v>0</v>
      </c>
      <c r="N1958" s="90">
        <v>0</v>
      </c>
      <c r="O1958" s="90">
        <v>255</v>
      </c>
    </row>
    <row r="1959" spans="1:15" s="90" customFormat="1" ht="12.75" customHeight="1" x14ac:dyDescent="0.2">
      <c r="A1959" s="247" t="s">
        <v>990</v>
      </c>
      <c r="B1959" s="316">
        <v>3046</v>
      </c>
      <c r="C1959" s="247" t="s">
        <v>975</v>
      </c>
      <c r="D1959" s="317">
        <v>42663</v>
      </c>
      <c r="E1959" s="318">
        <v>0.82984953703703701</v>
      </c>
      <c r="F1959" s="247" t="s">
        <v>976</v>
      </c>
      <c r="G1959" s="247" t="s">
        <v>1035</v>
      </c>
      <c r="H1959" s="248" t="s">
        <v>404</v>
      </c>
      <c r="I1959" s="248" t="s">
        <v>404</v>
      </c>
      <c r="J1959" s="247" t="s">
        <v>809</v>
      </c>
      <c r="K1959" s="249">
        <v>0</v>
      </c>
      <c r="M1959" s="90">
        <v>0</v>
      </c>
      <c r="N1959" s="90">
        <v>0</v>
      </c>
      <c r="O1959" s="90">
        <v>255</v>
      </c>
    </row>
    <row r="1960" spans="1:15" s="90" customFormat="1" ht="12.75" customHeight="1" x14ac:dyDescent="0.2">
      <c r="A1960" s="247" t="s">
        <v>989</v>
      </c>
      <c r="B1960" s="316">
        <v>3046</v>
      </c>
      <c r="C1960" s="247" t="s">
        <v>975</v>
      </c>
      <c r="D1960" s="317">
        <v>42663</v>
      </c>
      <c r="E1960" s="318">
        <v>0.87222222222222223</v>
      </c>
      <c r="F1960" s="247" t="s">
        <v>976</v>
      </c>
      <c r="G1960" s="247" t="s">
        <v>1035</v>
      </c>
      <c r="H1960" s="248" t="s">
        <v>404</v>
      </c>
      <c r="I1960" s="248" t="s">
        <v>404</v>
      </c>
      <c r="J1960" s="247" t="s">
        <v>809</v>
      </c>
      <c r="K1960" s="249">
        <v>0</v>
      </c>
      <c r="M1960" s="90">
        <v>0</v>
      </c>
      <c r="N1960" s="90">
        <v>0</v>
      </c>
      <c r="O1960" s="90">
        <v>255</v>
      </c>
    </row>
    <row r="1961" spans="1:15" s="90" customFormat="1" ht="12.75" customHeight="1" x14ac:dyDescent="0.2">
      <c r="A1961" s="247" t="s">
        <v>993</v>
      </c>
      <c r="B1961" s="316">
        <v>3217</v>
      </c>
      <c r="C1961" s="247" t="s">
        <v>975</v>
      </c>
      <c r="D1961" s="317">
        <v>42663</v>
      </c>
      <c r="E1961" s="318">
        <v>0.87246527777777771</v>
      </c>
      <c r="F1961" s="247" t="s">
        <v>235</v>
      </c>
      <c r="G1961" s="247" t="s">
        <v>1035</v>
      </c>
      <c r="H1961" s="248" t="s">
        <v>234</v>
      </c>
      <c r="I1961" s="248" t="s">
        <v>235</v>
      </c>
      <c r="J1961" s="247" t="s">
        <v>809</v>
      </c>
      <c r="K1961" s="249">
        <v>0</v>
      </c>
      <c r="M1961" s="90">
        <v>0</v>
      </c>
      <c r="N1961" s="90">
        <v>0</v>
      </c>
      <c r="O1961" s="90">
        <v>255</v>
      </c>
    </row>
    <row r="1962" spans="1:15" s="90" customFormat="1" ht="12.75" customHeight="1" x14ac:dyDescent="0.2">
      <c r="A1962" s="247" t="s">
        <v>990</v>
      </c>
      <c r="B1962" s="316">
        <v>3046</v>
      </c>
      <c r="C1962" s="247" t="s">
        <v>975</v>
      </c>
      <c r="D1962" s="317">
        <v>42663</v>
      </c>
      <c r="E1962" s="318">
        <v>0.87247685185185186</v>
      </c>
      <c r="F1962" s="247" t="s">
        <v>976</v>
      </c>
      <c r="G1962" s="247" t="s">
        <v>1035</v>
      </c>
      <c r="H1962" s="248" t="s">
        <v>404</v>
      </c>
      <c r="I1962" s="248" t="s">
        <v>404</v>
      </c>
      <c r="J1962" s="247" t="s">
        <v>809</v>
      </c>
      <c r="K1962" s="249">
        <v>0</v>
      </c>
      <c r="M1962" s="90">
        <v>0</v>
      </c>
      <c r="N1962" s="90">
        <v>0</v>
      </c>
      <c r="O1962" s="90">
        <v>255</v>
      </c>
    </row>
    <row r="1963" spans="1:15" s="90" customFormat="1" ht="12.75" customHeight="1" x14ac:dyDescent="0.2">
      <c r="A1963" s="247" t="s">
        <v>989</v>
      </c>
      <c r="B1963" s="316">
        <v>3046</v>
      </c>
      <c r="C1963" s="247" t="s">
        <v>975</v>
      </c>
      <c r="D1963" s="317">
        <v>42663</v>
      </c>
      <c r="E1963" s="318">
        <v>0.91414351851851849</v>
      </c>
      <c r="F1963" s="247" t="s">
        <v>976</v>
      </c>
      <c r="G1963" s="247" t="s">
        <v>1035</v>
      </c>
      <c r="H1963" s="248" t="s">
        <v>404</v>
      </c>
      <c r="I1963" s="248" t="s">
        <v>404</v>
      </c>
      <c r="J1963" s="247" t="s">
        <v>809</v>
      </c>
      <c r="K1963" s="249">
        <v>0</v>
      </c>
      <c r="M1963" s="90">
        <v>0</v>
      </c>
      <c r="N1963" s="90">
        <v>0</v>
      </c>
      <c r="O1963" s="90">
        <v>255</v>
      </c>
    </row>
    <row r="1964" spans="1:15" s="90" customFormat="1" ht="12.75" customHeight="1" x14ac:dyDescent="0.2">
      <c r="A1964" s="247" t="s">
        <v>993</v>
      </c>
      <c r="B1964" s="316">
        <v>3217</v>
      </c>
      <c r="C1964" s="247" t="s">
        <v>975</v>
      </c>
      <c r="D1964" s="317">
        <v>42663</v>
      </c>
      <c r="E1964" s="318">
        <v>0.91438657407407409</v>
      </c>
      <c r="F1964" s="247" t="s">
        <v>235</v>
      </c>
      <c r="G1964" s="247" t="s">
        <v>1035</v>
      </c>
      <c r="H1964" s="248" t="s">
        <v>234</v>
      </c>
      <c r="I1964" s="248" t="s">
        <v>235</v>
      </c>
      <c r="J1964" s="247" t="s">
        <v>809</v>
      </c>
      <c r="K1964" s="249">
        <v>0</v>
      </c>
      <c r="M1964" s="90">
        <v>0</v>
      </c>
      <c r="N1964" s="90">
        <v>0</v>
      </c>
      <c r="O1964" s="90">
        <v>255</v>
      </c>
    </row>
    <row r="1965" spans="1:15" s="90" customFormat="1" ht="12.75" customHeight="1" x14ac:dyDescent="0.2">
      <c r="A1965" s="247" t="s">
        <v>990</v>
      </c>
      <c r="B1965" s="316">
        <v>3046</v>
      </c>
      <c r="C1965" s="247" t="s">
        <v>975</v>
      </c>
      <c r="D1965" s="317">
        <v>42663</v>
      </c>
      <c r="E1965" s="318">
        <v>0.91439814814814813</v>
      </c>
      <c r="F1965" s="247" t="s">
        <v>976</v>
      </c>
      <c r="G1965" s="247" t="s">
        <v>1035</v>
      </c>
      <c r="H1965" s="248" t="s">
        <v>404</v>
      </c>
      <c r="I1965" s="248" t="s">
        <v>404</v>
      </c>
      <c r="J1965" s="247" t="s">
        <v>809</v>
      </c>
      <c r="K1965" s="249">
        <v>0</v>
      </c>
      <c r="M1965" s="90">
        <v>0</v>
      </c>
      <c r="N1965" s="90">
        <v>0</v>
      </c>
      <c r="O1965" s="90">
        <v>255</v>
      </c>
    </row>
    <row r="1966" spans="1:15" s="90" customFormat="1" ht="12.75" customHeight="1" x14ac:dyDescent="0.2">
      <c r="A1966" s="247" t="s">
        <v>989</v>
      </c>
      <c r="B1966" s="316">
        <v>3046</v>
      </c>
      <c r="C1966" s="247" t="s">
        <v>975</v>
      </c>
      <c r="D1966" s="317">
        <v>42663</v>
      </c>
      <c r="E1966" s="318">
        <v>0.95606481481481476</v>
      </c>
      <c r="F1966" s="247" t="s">
        <v>976</v>
      </c>
      <c r="G1966" s="247" t="s">
        <v>1035</v>
      </c>
      <c r="H1966" s="248" t="s">
        <v>404</v>
      </c>
      <c r="I1966" s="248" t="s">
        <v>404</v>
      </c>
      <c r="J1966" s="247" t="s">
        <v>809</v>
      </c>
      <c r="K1966" s="249">
        <v>0</v>
      </c>
      <c r="M1966" s="90">
        <v>0</v>
      </c>
      <c r="N1966" s="90">
        <v>0</v>
      </c>
      <c r="O1966" s="90">
        <v>255</v>
      </c>
    </row>
    <row r="1967" spans="1:15" s="90" customFormat="1" ht="12.75" customHeight="1" x14ac:dyDescent="0.2">
      <c r="A1967" s="247" t="s">
        <v>993</v>
      </c>
      <c r="B1967" s="316">
        <v>3217</v>
      </c>
      <c r="C1967" s="247" t="s">
        <v>975</v>
      </c>
      <c r="D1967" s="317">
        <v>42663</v>
      </c>
      <c r="E1967" s="318">
        <v>0.95630787037037035</v>
      </c>
      <c r="F1967" s="247" t="s">
        <v>235</v>
      </c>
      <c r="G1967" s="247" t="s">
        <v>1035</v>
      </c>
      <c r="H1967" s="248" t="s">
        <v>234</v>
      </c>
      <c r="I1967" s="248" t="s">
        <v>235</v>
      </c>
      <c r="J1967" s="247" t="s">
        <v>809</v>
      </c>
      <c r="K1967" s="249">
        <v>0</v>
      </c>
      <c r="M1967" s="90">
        <v>0</v>
      </c>
      <c r="N1967" s="90">
        <v>0</v>
      </c>
      <c r="O1967" s="90">
        <v>255</v>
      </c>
    </row>
    <row r="1968" spans="1:15" s="90" customFormat="1" ht="12.75" customHeight="1" x14ac:dyDescent="0.2">
      <c r="A1968" s="247" t="s">
        <v>990</v>
      </c>
      <c r="B1968" s="316">
        <v>3046</v>
      </c>
      <c r="C1968" s="247" t="s">
        <v>975</v>
      </c>
      <c r="D1968" s="317">
        <v>42663</v>
      </c>
      <c r="E1968" s="318">
        <v>0.9563194444444445</v>
      </c>
      <c r="F1968" s="247" t="s">
        <v>976</v>
      </c>
      <c r="G1968" s="247" t="s">
        <v>1035</v>
      </c>
      <c r="H1968" s="248" t="s">
        <v>404</v>
      </c>
      <c r="I1968" s="248" t="s">
        <v>404</v>
      </c>
      <c r="J1968" s="247" t="s">
        <v>809</v>
      </c>
      <c r="K1968" s="249">
        <v>0</v>
      </c>
      <c r="M1968" s="90">
        <v>0</v>
      </c>
      <c r="N1968" s="90">
        <v>0</v>
      </c>
      <c r="O1968" s="90">
        <v>255</v>
      </c>
    </row>
    <row r="1969" spans="1:15" s="90" customFormat="1" ht="12.75" customHeight="1" x14ac:dyDescent="0.2">
      <c r="A1969" s="247" t="s">
        <v>989</v>
      </c>
      <c r="B1969" s="316">
        <v>3046</v>
      </c>
      <c r="C1969" s="247" t="s">
        <v>975</v>
      </c>
      <c r="D1969" s="317">
        <v>42663</v>
      </c>
      <c r="E1969" s="318">
        <v>0.99798611111111113</v>
      </c>
      <c r="F1969" s="247" t="s">
        <v>976</v>
      </c>
      <c r="G1969" s="247" t="s">
        <v>1035</v>
      </c>
      <c r="H1969" s="248" t="s">
        <v>404</v>
      </c>
      <c r="I1969" s="248" t="s">
        <v>404</v>
      </c>
      <c r="J1969" s="247" t="s">
        <v>809</v>
      </c>
      <c r="K1969" s="249">
        <v>0</v>
      </c>
      <c r="M1969" s="90">
        <v>0</v>
      </c>
      <c r="N1969" s="90">
        <v>0</v>
      </c>
      <c r="O1969" s="90">
        <v>255</v>
      </c>
    </row>
    <row r="1970" spans="1:15" s="90" customFormat="1" ht="12.75" customHeight="1" x14ac:dyDescent="0.2">
      <c r="A1970" s="247" t="s">
        <v>993</v>
      </c>
      <c r="B1970" s="316">
        <v>3217</v>
      </c>
      <c r="C1970" s="247" t="s">
        <v>975</v>
      </c>
      <c r="D1970" s="317">
        <v>42663</v>
      </c>
      <c r="E1970" s="318">
        <v>0.99822916666666661</v>
      </c>
      <c r="F1970" s="247" t="s">
        <v>235</v>
      </c>
      <c r="G1970" s="247" t="s">
        <v>1035</v>
      </c>
      <c r="H1970" s="248" t="s">
        <v>234</v>
      </c>
      <c r="I1970" s="248" t="s">
        <v>235</v>
      </c>
      <c r="J1970" s="247" t="s">
        <v>809</v>
      </c>
      <c r="K1970" s="249">
        <v>0</v>
      </c>
      <c r="M1970" s="90">
        <v>0</v>
      </c>
      <c r="N1970" s="90">
        <v>0</v>
      </c>
      <c r="O1970" s="90">
        <v>255</v>
      </c>
    </row>
    <row r="1971" spans="1:15" s="90" customFormat="1" ht="12.75" customHeight="1" x14ac:dyDescent="0.2">
      <c r="A1971" s="247" t="s">
        <v>990</v>
      </c>
      <c r="B1971" s="316">
        <v>3046</v>
      </c>
      <c r="C1971" s="247" t="s">
        <v>975</v>
      </c>
      <c r="D1971" s="317">
        <v>42663</v>
      </c>
      <c r="E1971" s="318">
        <v>0.99824074074074076</v>
      </c>
      <c r="F1971" s="247" t="s">
        <v>976</v>
      </c>
      <c r="G1971" s="247" t="s">
        <v>1035</v>
      </c>
      <c r="H1971" s="248" t="s">
        <v>404</v>
      </c>
      <c r="I1971" s="248" t="s">
        <v>404</v>
      </c>
      <c r="J1971" s="247" t="s">
        <v>809</v>
      </c>
      <c r="K1971" s="249">
        <v>0</v>
      </c>
      <c r="M1971" s="90">
        <v>0</v>
      </c>
      <c r="N1971" s="90">
        <v>0</v>
      </c>
      <c r="O1971" s="90">
        <v>255</v>
      </c>
    </row>
    <row r="1972" spans="1:15" s="90" customFormat="1" ht="12.75" customHeight="1" x14ac:dyDescent="0.2">
      <c r="A1972" s="247" t="s">
        <v>989</v>
      </c>
      <c r="B1972" s="316">
        <v>3046</v>
      </c>
      <c r="C1972" s="247" t="s">
        <v>975</v>
      </c>
      <c r="D1972" s="317">
        <v>42664</v>
      </c>
      <c r="E1972" s="318">
        <v>3.9907407407407412E-2</v>
      </c>
      <c r="F1972" s="247" t="s">
        <v>976</v>
      </c>
      <c r="G1972" s="247" t="s">
        <v>1035</v>
      </c>
      <c r="H1972" s="248" t="s">
        <v>404</v>
      </c>
      <c r="I1972" s="248" t="s">
        <v>404</v>
      </c>
      <c r="J1972" s="247" t="s">
        <v>809</v>
      </c>
      <c r="K1972" s="249">
        <v>0</v>
      </c>
      <c r="M1972" s="90">
        <v>0</v>
      </c>
      <c r="N1972" s="90">
        <v>0</v>
      </c>
      <c r="O1972" s="90">
        <v>255</v>
      </c>
    </row>
    <row r="1973" spans="1:15" s="90" customFormat="1" ht="12.75" customHeight="1" x14ac:dyDescent="0.2">
      <c r="A1973" s="247" t="s">
        <v>993</v>
      </c>
      <c r="B1973" s="316">
        <v>3217</v>
      </c>
      <c r="C1973" s="247" t="s">
        <v>975</v>
      </c>
      <c r="D1973" s="317">
        <v>42664</v>
      </c>
      <c r="E1973" s="318">
        <v>4.0150462962962964E-2</v>
      </c>
      <c r="F1973" s="247" t="s">
        <v>235</v>
      </c>
      <c r="G1973" s="247" t="s">
        <v>1035</v>
      </c>
      <c r="H1973" s="248" t="s">
        <v>234</v>
      </c>
      <c r="I1973" s="248" t="s">
        <v>235</v>
      </c>
      <c r="J1973" s="247" t="s">
        <v>809</v>
      </c>
      <c r="K1973" s="249">
        <v>0</v>
      </c>
      <c r="M1973" s="90">
        <v>0</v>
      </c>
      <c r="N1973" s="90">
        <v>0</v>
      </c>
      <c r="O1973" s="90">
        <v>255</v>
      </c>
    </row>
    <row r="1974" spans="1:15" s="90" customFormat="1" ht="12.75" customHeight="1" x14ac:dyDescent="0.2">
      <c r="A1974" s="247" t="s">
        <v>990</v>
      </c>
      <c r="B1974" s="316">
        <v>3046</v>
      </c>
      <c r="C1974" s="247" t="s">
        <v>975</v>
      </c>
      <c r="D1974" s="317">
        <v>42664</v>
      </c>
      <c r="E1974" s="318">
        <v>4.0162037037037038E-2</v>
      </c>
      <c r="F1974" s="247" t="s">
        <v>976</v>
      </c>
      <c r="G1974" s="247" t="s">
        <v>1035</v>
      </c>
      <c r="H1974" s="248" t="s">
        <v>404</v>
      </c>
      <c r="I1974" s="248" t="s">
        <v>404</v>
      </c>
      <c r="J1974" s="247" t="s">
        <v>809</v>
      </c>
      <c r="K1974" s="249">
        <v>0</v>
      </c>
      <c r="M1974" s="90">
        <v>0</v>
      </c>
      <c r="N1974" s="90">
        <v>0</v>
      </c>
      <c r="O1974" s="90">
        <v>255</v>
      </c>
    </row>
    <row r="1975" spans="1:15" s="90" customFormat="1" ht="12.75" customHeight="1" x14ac:dyDescent="0.2">
      <c r="A1975" s="247" t="s">
        <v>989</v>
      </c>
      <c r="B1975" s="316">
        <v>3046</v>
      </c>
      <c r="C1975" s="247" t="s">
        <v>975</v>
      </c>
      <c r="D1975" s="317">
        <v>42664</v>
      </c>
      <c r="E1975" s="318">
        <v>8.1828703703703709E-2</v>
      </c>
      <c r="F1975" s="247" t="s">
        <v>976</v>
      </c>
      <c r="G1975" s="247" t="s">
        <v>1035</v>
      </c>
      <c r="H1975" s="248" t="s">
        <v>404</v>
      </c>
      <c r="I1975" s="248" t="s">
        <v>404</v>
      </c>
      <c r="J1975" s="247" t="s">
        <v>809</v>
      </c>
      <c r="K1975" s="249">
        <v>0</v>
      </c>
      <c r="M1975" s="90">
        <v>0</v>
      </c>
      <c r="N1975" s="90">
        <v>0</v>
      </c>
      <c r="O1975" s="90">
        <v>255</v>
      </c>
    </row>
    <row r="1976" spans="1:15" s="90" customFormat="1" ht="12.75" customHeight="1" x14ac:dyDescent="0.2">
      <c r="A1976" s="247" t="s">
        <v>993</v>
      </c>
      <c r="B1976" s="316">
        <v>3217</v>
      </c>
      <c r="C1976" s="247" t="s">
        <v>975</v>
      </c>
      <c r="D1976" s="317">
        <v>42664</v>
      </c>
      <c r="E1976" s="318">
        <v>8.2071759259259261E-2</v>
      </c>
      <c r="F1976" s="247" t="s">
        <v>235</v>
      </c>
      <c r="G1976" s="247" t="s">
        <v>1035</v>
      </c>
      <c r="H1976" s="248" t="s">
        <v>234</v>
      </c>
      <c r="I1976" s="248" t="s">
        <v>235</v>
      </c>
      <c r="J1976" s="247" t="s">
        <v>809</v>
      </c>
      <c r="K1976" s="249">
        <v>0</v>
      </c>
      <c r="M1976" s="90">
        <v>0</v>
      </c>
      <c r="N1976" s="90">
        <v>0</v>
      </c>
      <c r="O1976" s="90">
        <v>255</v>
      </c>
    </row>
    <row r="1977" spans="1:15" s="90" customFormat="1" ht="12.75" customHeight="1" x14ac:dyDescent="0.2">
      <c r="A1977" s="247" t="s">
        <v>990</v>
      </c>
      <c r="B1977" s="316">
        <v>3046</v>
      </c>
      <c r="C1977" s="247" t="s">
        <v>975</v>
      </c>
      <c r="D1977" s="317">
        <v>42664</v>
      </c>
      <c r="E1977" s="318">
        <v>8.2083333333333341E-2</v>
      </c>
      <c r="F1977" s="247" t="s">
        <v>976</v>
      </c>
      <c r="G1977" s="247" t="s">
        <v>1035</v>
      </c>
      <c r="H1977" s="248" t="s">
        <v>404</v>
      </c>
      <c r="I1977" s="248" t="s">
        <v>404</v>
      </c>
      <c r="J1977" s="247" t="s">
        <v>809</v>
      </c>
      <c r="K1977" s="249">
        <v>0</v>
      </c>
      <c r="M1977" s="90">
        <v>0</v>
      </c>
      <c r="N1977" s="90">
        <v>0</v>
      </c>
      <c r="O1977" s="90">
        <v>255</v>
      </c>
    </row>
    <row r="1978" spans="1:15" s="90" customFormat="1" ht="12.75" customHeight="1" x14ac:dyDescent="0.2">
      <c r="A1978" s="247" t="s">
        <v>989</v>
      </c>
      <c r="B1978" s="316">
        <v>3046</v>
      </c>
      <c r="C1978" s="247" t="s">
        <v>975</v>
      </c>
      <c r="D1978" s="317">
        <v>42664</v>
      </c>
      <c r="E1978" s="318">
        <v>0.12375000000000001</v>
      </c>
      <c r="F1978" s="247" t="s">
        <v>976</v>
      </c>
      <c r="G1978" s="247" t="s">
        <v>1035</v>
      </c>
      <c r="H1978" s="248" t="s">
        <v>404</v>
      </c>
      <c r="I1978" s="248" t="s">
        <v>404</v>
      </c>
      <c r="J1978" s="247" t="s">
        <v>809</v>
      </c>
      <c r="K1978" s="249">
        <v>0</v>
      </c>
      <c r="M1978" s="90">
        <v>0</v>
      </c>
      <c r="N1978" s="90">
        <v>0</v>
      </c>
      <c r="O1978" s="90">
        <v>255</v>
      </c>
    </row>
    <row r="1979" spans="1:15" s="90" customFormat="1" ht="12.75" customHeight="1" x14ac:dyDescent="0.2">
      <c r="A1979" s="247" t="s">
        <v>993</v>
      </c>
      <c r="B1979" s="316">
        <v>3217</v>
      </c>
      <c r="C1979" s="247" t="s">
        <v>975</v>
      </c>
      <c r="D1979" s="317">
        <v>42664</v>
      </c>
      <c r="E1979" s="318">
        <v>0.12399305555555555</v>
      </c>
      <c r="F1979" s="247" t="s">
        <v>235</v>
      </c>
      <c r="G1979" s="247" t="s">
        <v>1035</v>
      </c>
      <c r="H1979" s="248" t="s">
        <v>234</v>
      </c>
      <c r="I1979" s="248" t="s">
        <v>235</v>
      </c>
      <c r="J1979" s="247" t="s">
        <v>809</v>
      </c>
      <c r="K1979" s="249">
        <v>0</v>
      </c>
      <c r="M1979" s="90">
        <v>0</v>
      </c>
      <c r="N1979" s="90">
        <v>0</v>
      </c>
      <c r="O1979" s="90">
        <v>255</v>
      </c>
    </row>
    <row r="1980" spans="1:15" s="90" customFormat="1" ht="12.75" customHeight="1" x14ac:dyDescent="0.2">
      <c r="A1980" s="247" t="s">
        <v>990</v>
      </c>
      <c r="B1980" s="316">
        <v>3046</v>
      </c>
      <c r="C1980" s="247" t="s">
        <v>975</v>
      </c>
      <c r="D1980" s="317">
        <v>42664</v>
      </c>
      <c r="E1980" s="318">
        <v>0.12400462962962962</v>
      </c>
      <c r="F1980" s="247" t="s">
        <v>976</v>
      </c>
      <c r="G1980" s="247" t="s">
        <v>1035</v>
      </c>
      <c r="H1980" s="248" t="s">
        <v>404</v>
      </c>
      <c r="I1980" s="248" t="s">
        <v>404</v>
      </c>
      <c r="J1980" s="247" t="s">
        <v>809</v>
      </c>
      <c r="K1980" s="249">
        <v>0</v>
      </c>
      <c r="M1980" s="90">
        <v>0</v>
      </c>
      <c r="N1980" s="90">
        <v>0</v>
      </c>
      <c r="O1980" s="90">
        <v>255</v>
      </c>
    </row>
    <row r="1981" spans="1:15" s="90" customFormat="1" ht="12.75" customHeight="1" x14ac:dyDescent="0.2">
      <c r="A1981" s="247" t="s">
        <v>989</v>
      </c>
      <c r="B1981" s="316">
        <v>3046</v>
      </c>
      <c r="C1981" s="247" t="s">
        <v>975</v>
      </c>
      <c r="D1981" s="317">
        <v>42664</v>
      </c>
      <c r="E1981" s="318">
        <v>0.16567129629629629</v>
      </c>
      <c r="F1981" s="247" t="s">
        <v>976</v>
      </c>
      <c r="G1981" s="247" t="s">
        <v>1035</v>
      </c>
      <c r="H1981" s="248" t="s">
        <v>404</v>
      </c>
      <c r="I1981" s="248" t="s">
        <v>404</v>
      </c>
      <c r="J1981" s="247" t="s">
        <v>809</v>
      </c>
      <c r="K1981" s="249">
        <v>0</v>
      </c>
      <c r="M1981" s="90">
        <v>0</v>
      </c>
      <c r="N1981" s="90">
        <v>0</v>
      </c>
      <c r="O1981" s="90">
        <v>255</v>
      </c>
    </row>
    <row r="1982" spans="1:15" s="90" customFormat="1" ht="12.75" customHeight="1" x14ac:dyDescent="0.2">
      <c r="A1982" s="247" t="s">
        <v>993</v>
      </c>
      <c r="B1982" s="316">
        <v>3217</v>
      </c>
      <c r="C1982" s="247" t="s">
        <v>975</v>
      </c>
      <c r="D1982" s="317">
        <v>42664</v>
      </c>
      <c r="E1982" s="318">
        <v>0.16591435185185185</v>
      </c>
      <c r="F1982" s="247" t="s">
        <v>235</v>
      </c>
      <c r="G1982" s="247" t="s">
        <v>1035</v>
      </c>
      <c r="H1982" s="248" t="s">
        <v>234</v>
      </c>
      <c r="I1982" s="248" t="s">
        <v>235</v>
      </c>
      <c r="J1982" s="247" t="s">
        <v>809</v>
      </c>
      <c r="K1982" s="249">
        <v>0</v>
      </c>
      <c r="M1982" s="90">
        <v>0</v>
      </c>
      <c r="N1982" s="90">
        <v>0</v>
      </c>
      <c r="O1982" s="90">
        <v>255</v>
      </c>
    </row>
    <row r="1983" spans="1:15" s="90" customFormat="1" ht="12.75" customHeight="1" x14ac:dyDescent="0.2">
      <c r="A1983" s="247" t="s">
        <v>990</v>
      </c>
      <c r="B1983" s="316">
        <v>3046</v>
      </c>
      <c r="C1983" s="247" t="s">
        <v>975</v>
      </c>
      <c r="D1983" s="317">
        <v>42664</v>
      </c>
      <c r="E1983" s="318">
        <v>0.16592592592592592</v>
      </c>
      <c r="F1983" s="247" t="s">
        <v>976</v>
      </c>
      <c r="G1983" s="247" t="s">
        <v>1035</v>
      </c>
      <c r="H1983" s="248" t="s">
        <v>404</v>
      </c>
      <c r="I1983" s="248" t="s">
        <v>404</v>
      </c>
      <c r="J1983" s="247" t="s">
        <v>809</v>
      </c>
      <c r="K1983" s="249">
        <v>0</v>
      </c>
      <c r="M1983" s="90">
        <v>0</v>
      </c>
      <c r="N1983" s="90">
        <v>0</v>
      </c>
      <c r="O1983" s="90">
        <v>255</v>
      </c>
    </row>
    <row r="1984" spans="1:15" s="90" customFormat="1" ht="12.75" customHeight="1" x14ac:dyDescent="0.2">
      <c r="A1984" s="247" t="s">
        <v>989</v>
      </c>
      <c r="B1984" s="316">
        <v>3046</v>
      </c>
      <c r="C1984" s="247" t="s">
        <v>975</v>
      </c>
      <c r="D1984" s="317">
        <v>42664</v>
      </c>
      <c r="E1984" s="318">
        <v>0.20759259259259258</v>
      </c>
      <c r="F1984" s="247" t="s">
        <v>976</v>
      </c>
      <c r="G1984" s="247" t="s">
        <v>1035</v>
      </c>
      <c r="H1984" s="248" t="s">
        <v>404</v>
      </c>
      <c r="I1984" s="248" t="s">
        <v>404</v>
      </c>
      <c r="J1984" s="247" t="s">
        <v>809</v>
      </c>
      <c r="K1984" s="249">
        <v>0</v>
      </c>
      <c r="M1984" s="90">
        <v>0</v>
      </c>
      <c r="N1984" s="90">
        <v>0</v>
      </c>
      <c r="O1984" s="90">
        <v>255</v>
      </c>
    </row>
    <row r="1985" spans="1:15" s="90" customFormat="1" ht="12.75" customHeight="1" x14ac:dyDescent="0.2">
      <c r="A1985" s="247" t="s">
        <v>993</v>
      </c>
      <c r="B1985" s="316">
        <v>3217</v>
      </c>
      <c r="C1985" s="247" t="s">
        <v>975</v>
      </c>
      <c r="D1985" s="317">
        <v>42664</v>
      </c>
      <c r="E1985" s="318">
        <v>0.20783564814814814</v>
      </c>
      <c r="F1985" s="247" t="s">
        <v>235</v>
      </c>
      <c r="G1985" s="247" t="s">
        <v>1035</v>
      </c>
      <c r="H1985" s="248" t="s">
        <v>234</v>
      </c>
      <c r="I1985" s="248" t="s">
        <v>235</v>
      </c>
      <c r="J1985" s="247" t="s">
        <v>809</v>
      </c>
      <c r="K1985" s="249">
        <v>0</v>
      </c>
      <c r="M1985" s="90">
        <v>0</v>
      </c>
      <c r="N1985" s="90">
        <v>0</v>
      </c>
      <c r="O1985" s="90">
        <v>255</v>
      </c>
    </row>
    <row r="1986" spans="1:15" s="90" customFormat="1" ht="12.75" customHeight="1" x14ac:dyDescent="0.2">
      <c r="A1986" s="247" t="s">
        <v>990</v>
      </c>
      <c r="B1986" s="316">
        <v>3046</v>
      </c>
      <c r="C1986" s="247" t="s">
        <v>975</v>
      </c>
      <c r="D1986" s="317">
        <v>42664</v>
      </c>
      <c r="E1986" s="318">
        <v>0.20784722222222221</v>
      </c>
      <c r="F1986" s="247" t="s">
        <v>976</v>
      </c>
      <c r="G1986" s="247" t="s">
        <v>1035</v>
      </c>
      <c r="H1986" s="248" t="s">
        <v>404</v>
      </c>
      <c r="I1986" s="248" t="s">
        <v>404</v>
      </c>
      <c r="J1986" s="247" t="s">
        <v>809</v>
      </c>
      <c r="K1986" s="249">
        <v>0</v>
      </c>
      <c r="M1986" s="90">
        <v>0</v>
      </c>
      <c r="N1986" s="90">
        <v>0</v>
      </c>
      <c r="O1986" s="90">
        <v>255</v>
      </c>
    </row>
    <row r="1987" spans="1:15" s="90" customFormat="1" ht="12.75" customHeight="1" x14ac:dyDescent="0.2">
      <c r="A1987" s="247" t="s">
        <v>989</v>
      </c>
      <c r="B1987" s="316">
        <v>3046</v>
      </c>
      <c r="C1987" s="247" t="s">
        <v>975</v>
      </c>
      <c r="D1987" s="317">
        <v>42664</v>
      </c>
      <c r="E1987" s="318">
        <v>0.2495138888888889</v>
      </c>
      <c r="F1987" s="247" t="s">
        <v>976</v>
      </c>
      <c r="G1987" s="247" t="s">
        <v>1035</v>
      </c>
      <c r="H1987" s="248" t="s">
        <v>404</v>
      </c>
      <c r="I1987" s="248" t="s">
        <v>404</v>
      </c>
      <c r="J1987" s="247" t="s">
        <v>809</v>
      </c>
      <c r="K1987" s="249">
        <v>0</v>
      </c>
      <c r="M1987" s="90">
        <v>0</v>
      </c>
      <c r="N1987" s="90">
        <v>0</v>
      </c>
      <c r="O1987" s="90">
        <v>255</v>
      </c>
    </row>
    <row r="1988" spans="1:15" s="90" customFormat="1" ht="12.75" customHeight="1" x14ac:dyDescent="0.2">
      <c r="A1988" s="247" t="s">
        <v>993</v>
      </c>
      <c r="B1988" s="316">
        <v>3217</v>
      </c>
      <c r="C1988" s="247" t="s">
        <v>975</v>
      </c>
      <c r="D1988" s="317">
        <v>42664</v>
      </c>
      <c r="E1988" s="318">
        <v>0.24975694444444443</v>
      </c>
      <c r="F1988" s="247" t="s">
        <v>235</v>
      </c>
      <c r="G1988" s="247" t="s">
        <v>1035</v>
      </c>
      <c r="H1988" s="248" t="s">
        <v>234</v>
      </c>
      <c r="I1988" s="248" t="s">
        <v>235</v>
      </c>
      <c r="J1988" s="247" t="s">
        <v>809</v>
      </c>
      <c r="K1988" s="249">
        <v>0</v>
      </c>
      <c r="M1988" s="90">
        <v>0</v>
      </c>
      <c r="N1988" s="90">
        <v>0</v>
      </c>
      <c r="O1988" s="90">
        <v>255</v>
      </c>
    </row>
    <row r="1989" spans="1:15" s="90" customFormat="1" ht="12.75" customHeight="1" x14ac:dyDescent="0.2">
      <c r="A1989" s="247" t="s">
        <v>990</v>
      </c>
      <c r="B1989" s="316">
        <v>3046</v>
      </c>
      <c r="C1989" s="247" t="s">
        <v>975</v>
      </c>
      <c r="D1989" s="317">
        <v>42664</v>
      </c>
      <c r="E1989" s="318">
        <v>0.24976851851851853</v>
      </c>
      <c r="F1989" s="247" t="s">
        <v>976</v>
      </c>
      <c r="G1989" s="247" t="s">
        <v>1035</v>
      </c>
      <c r="H1989" s="248" t="s">
        <v>404</v>
      </c>
      <c r="I1989" s="248" t="s">
        <v>404</v>
      </c>
      <c r="J1989" s="247" t="s">
        <v>809</v>
      </c>
      <c r="K1989" s="249">
        <v>0</v>
      </c>
      <c r="M1989" s="90">
        <v>0</v>
      </c>
      <c r="N1989" s="90">
        <v>0</v>
      </c>
      <c r="O1989" s="90">
        <v>255</v>
      </c>
    </row>
    <row r="1990" spans="1:15" s="90" customFormat="1" ht="12.75" customHeight="1" x14ac:dyDescent="0.2">
      <c r="A1990" s="247" t="s">
        <v>1080</v>
      </c>
      <c r="B1990" s="316">
        <v>3047</v>
      </c>
      <c r="C1990" s="247" t="s">
        <v>996</v>
      </c>
      <c r="D1990" s="317">
        <v>42664</v>
      </c>
      <c r="E1990" s="318">
        <v>0.27212962962962961</v>
      </c>
      <c r="F1990" s="247" t="s">
        <v>235</v>
      </c>
      <c r="G1990" s="247" t="s">
        <v>1035</v>
      </c>
      <c r="H1990" s="248" t="s">
        <v>234</v>
      </c>
      <c r="I1990" s="248" t="s">
        <v>235</v>
      </c>
      <c r="J1990" s="247" t="s">
        <v>809</v>
      </c>
      <c r="K1990" s="249">
        <v>0</v>
      </c>
      <c r="M1990" s="90">
        <v>0</v>
      </c>
      <c r="N1990" s="90">
        <v>0</v>
      </c>
      <c r="O1990" s="90">
        <v>255</v>
      </c>
    </row>
    <row r="1991" spans="1:15" s="90" customFormat="1" ht="12.75" customHeight="1" x14ac:dyDescent="0.2">
      <c r="A1991" s="247" t="s">
        <v>1079</v>
      </c>
      <c r="B1991" s="316">
        <v>3047</v>
      </c>
      <c r="C1991" s="247" t="s">
        <v>996</v>
      </c>
      <c r="D1991" s="317">
        <v>42664</v>
      </c>
      <c r="E1991" s="318">
        <v>0.27212962962962961</v>
      </c>
      <c r="F1991" s="247" t="s">
        <v>235</v>
      </c>
      <c r="G1991" s="247" t="s">
        <v>1035</v>
      </c>
      <c r="H1991" s="248" t="s">
        <v>234</v>
      </c>
      <c r="I1991" s="248" t="s">
        <v>235</v>
      </c>
      <c r="J1991" s="247" t="s">
        <v>809</v>
      </c>
      <c r="K1991" s="249">
        <v>0</v>
      </c>
      <c r="M1991" s="90">
        <v>0</v>
      </c>
      <c r="N1991" s="90">
        <v>0</v>
      </c>
      <c r="O1991" s="90">
        <v>255</v>
      </c>
    </row>
    <row r="1992" spans="1:15" s="90" customFormat="1" ht="12.75" customHeight="1" x14ac:dyDescent="0.2">
      <c r="A1992" s="247" t="s">
        <v>1081</v>
      </c>
      <c r="B1992" s="316">
        <v>3047</v>
      </c>
      <c r="C1992" s="247" t="s">
        <v>996</v>
      </c>
      <c r="D1992" s="317">
        <v>42664</v>
      </c>
      <c r="E1992" s="318">
        <v>0.27219907407407407</v>
      </c>
      <c r="F1992" s="247" t="s">
        <v>235</v>
      </c>
      <c r="G1992" s="247" t="s">
        <v>1035</v>
      </c>
      <c r="H1992" s="248" t="s">
        <v>234</v>
      </c>
      <c r="I1992" s="248" t="s">
        <v>235</v>
      </c>
      <c r="J1992" s="247" t="s">
        <v>809</v>
      </c>
      <c r="K1992" s="249">
        <v>0</v>
      </c>
      <c r="M1992" s="90">
        <v>0</v>
      </c>
      <c r="N1992" s="90">
        <v>0</v>
      </c>
      <c r="O1992" s="90">
        <v>255</v>
      </c>
    </row>
    <row r="1993" spans="1:15" s="90" customFormat="1" ht="12.75" customHeight="1" x14ac:dyDescent="0.2">
      <c r="A1993" s="247" t="s">
        <v>1082</v>
      </c>
      <c r="B1993" s="316">
        <v>3047</v>
      </c>
      <c r="C1993" s="247" t="s">
        <v>996</v>
      </c>
      <c r="D1993" s="317">
        <v>42664</v>
      </c>
      <c r="E1993" s="318">
        <v>0.27225694444444443</v>
      </c>
      <c r="F1993" s="247" t="s">
        <v>235</v>
      </c>
      <c r="G1993" s="247" t="s">
        <v>1035</v>
      </c>
      <c r="H1993" s="248" t="s">
        <v>234</v>
      </c>
      <c r="I1993" s="248" t="s">
        <v>235</v>
      </c>
      <c r="J1993" s="247" t="s">
        <v>809</v>
      </c>
      <c r="K1993" s="249">
        <v>0</v>
      </c>
      <c r="M1993" s="90">
        <v>0</v>
      </c>
      <c r="N1993" s="90">
        <v>0</v>
      </c>
      <c r="O1993" s="90">
        <v>255</v>
      </c>
    </row>
    <row r="1994" spans="1:15" s="90" customFormat="1" ht="12.75" customHeight="1" x14ac:dyDescent="0.2">
      <c r="A1994" s="247" t="s">
        <v>989</v>
      </c>
      <c r="B1994" s="316">
        <v>3046</v>
      </c>
      <c r="C1994" s="247" t="s">
        <v>975</v>
      </c>
      <c r="D1994" s="317">
        <v>42664</v>
      </c>
      <c r="E1994" s="318">
        <v>0.29143518518518519</v>
      </c>
      <c r="F1994" s="247" t="s">
        <v>976</v>
      </c>
      <c r="G1994" s="247" t="s">
        <v>1035</v>
      </c>
      <c r="H1994" s="248" t="s">
        <v>404</v>
      </c>
      <c r="I1994" s="248" t="s">
        <v>404</v>
      </c>
      <c r="J1994" s="247" t="s">
        <v>809</v>
      </c>
      <c r="K1994" s="249">
        <v>0</v>
      </c>
      <c r="M1994" s="90">
        <v>0</v>
      </c>
      <c r="N1994" s="90">
        <v>0</v>
      </c>
      <c r="O1994" s="90">
        <v>255</v>
      </c>
    </row>
    <row r="1995" spans="1:15" s="90" customFormat="1" ht="12.75" customHeight="1" x14ac:dyDescent="0.2">
      <c r="A1995" s="247" t="s">
        <v>993</v>
      </c>
      <c r="B1995" s="316">
        <v>3217</v>
      </c>
      <c r="C1995" s="247" t="s">
        <v>975</v>
      </c>
      <c r="D1995" s="317">
        <v>42664</v>
      </c>
      <c r="E1995" s="318">
        <v>0.29167824074074072</v>
      </c>
      <c r="F1995" s="247" t="s">
        <v>235</v>
      </c>
      <c r="G1995" s="247" t="s">
        <v>1035</v>
      </c>
      <c r="H1995" s="248" t="s">
        <v>234</v>
      </c>
      <c r="I1995" s="248" t="s">
        <v>235</v>
      </c>
      <c r="J1995" s="247" t="s">
        <v>809</v>
      </c>
      <c r="K1995" s="249">
        <v>0</v>
      </c>
      <c r="M1995" s="90">
        <v>0</v>
      </c>
      <c r="N1995" s="90">
        <v>0</v>
      </c>
      <c r="O1995" s="90">
        <v>255</v>
      </c>
    </row>
    <row r="1996" spans="1:15" s="90" customFormat="1" ht="12.75" customHeight="1" x14ac:dyDescent="0.2">
      <c r="A1996" s="247" t="s">
        <v>990</v>
      </c>
      <c r="B1996" s="316">
        <v>3046</v>
      </c>
      <c r="C1996" s="247" t="s">
        <v>975</v>
      </c>
      <c r="D1996" s="317">
        <v>42664</v>
      </c>
      <c r="E1996" s="318">
        <v>0.29168981481481482</v>
      </c>
      <c r="F1996" s="247" t="s">
        <v>976</v>
      </c>
      <c r="G1996" s="247" t="s">
        <v>1035</v>
      </c>
      <c r="H1996" s="248" t="s">
        <v>404</v>
      </c>
      <c r="I1996" s="248" t="s">
        <v>404</v>
      </c>
      <c r="J1996" s="247" t="s">
        <v>809</v>
      </c>
      <c r="K1996" s="249">
        <v>0</v>
      </c>
      <c r="M1996" s="90">
        <v>0</v>
      </c>
      <c r="N1996" s="90">
        <v>0</v>
      </c>
      <c r="O1996" s="90">
        <v>255</v>
      </c>
    </row>
    <row r="1997" spans="1:15" s="90" customFormat="1" ht="12.75" customHeight="1" x14ac:dyDescent="0.2">
      <c r="A1997" s="247" t="s">
        <v>1084</v>
      </c>
      <c r="B1997" s="316">
        <v>3089</v>
      </c>
      <c r="C1997" s="247" t="s">
        <v>996</v>
      </c>
      <c r="D1997" s="317">
        <v>42664</v>
      </c>
      <c r="E1997" s="318">
        <v>0.31310185185185185</v>
      </c>
      <c r="F1997" s="247" t="s">
        <v>235</v>
      </c>
      <c r="G1997" s="247" t="s">
        <v>1035</v>
      </c>
      <c r="H1997" s="248" t="s">
        <v>234</v>
      </c>
      <c r="I1997" s="248" t="s">
        <v>235</v>
      </c>
      <c r="J1997" s="247" t="s">
        <v>809</v>
      </c>
      <c r="K1997" s="249">
        <v>0</v>
      </c>
      <c r="M1997" s="90">
        <v>0</v>
      </c>
      <c r="N1997" s="90">
        <v>0</v>
      </c>
      <c r="O1997" s="90">
        <v>255</v>
      </c>
    </row>
    <row r="1998" spans="1:15" s="90" customFormat="1" ht="12.75" customHeight="1" x14ac:dyDescent="0.2">
      <c r="A1998" s="247" t="s">
        <v>1083</v>
      </c>
      <c r="B1998" s="316">
        <v>3089</v>
      </c>
      <c r="C1998" s="247" t="s">
        <v>996</v>
      </c>
      <c r="D1998" s="317">
        <v>42664</v>
      </c>
      <c r="E1998" s="318">
        <v>0.31310185185185185</v>
      </c>
      <c r="F1998" s="247" t="s">
        <v>235</v>
      </c>
      <c r="G1998" s="247" t="s">
        <v>1035</v>
      </c>
      <c r="H1998" s="248" t="s">
        <v>234</v>
      </c>
      <c r="I1998" s="248" t="s">
        <v>235</v>
      </c>
      <c r="J1998" s="247" t="s">
        <v>809</v>
      </c>
      <c r="K1998" s="249">
        <v>0</v>
      </c>
      <c r="M1998" s="90">
        <v>0</v>
      </c>
      <c r="N1998" s="90">
        <v>0</v>
      </c>
      <c r="O1998" s="90">
        <v>255</v>
      </c>
    </row>
    <row r="1999" spans="1:15" s="90" customFormat="1" ht="12.75" customHeight="1" x14ac:dyDescent="0.2">
      <c r="A1999" s="247" t="s">
        <v>1085</v>
      </c>
      <c r="B1999" s="316">
        <v>3089</v>
      </c>
      <c r="C1999" s="247" t="s">
        <v>996</v>
      </c>
      <c r="D1999" s="317">
        <v>42664</v>
      </c>
      <c r="E1999" s="318">
        <v>0.31317129629629631</v>
      </c>
      <c r="F1999" s="247" t="s">
        <v>235</v>
      </c>
      <c r="G1999" s="247" t="s">
        <v>1035</v>
      </c>
      <c r="H1999" s="248" t="s">
        <v>234</v>
      </c>
      <c r="I1999" s="248" t="s">
        <v>235</v>
      </c>
      <c r="J1999" s="247" t="s">
        <v>809</v>
      </c>
      <c r="K1999" s="249">
        <v>0</v>
      </c>
      <c r="M1999" s="90">
        <v>0</v>
      </c>
      <c r="N1999" s="90">
        <v>0</v>
      </c>
      <c r="O1999" s="90">
        <v>255</v>
      </c>
    </row>
    <row r="2000" spans="1:15" s="90" customFormat="1" ht="12.75" customHeight="1" x14ac:dyDescent="0.2">
      <c r="A2000" s="247" t="s">
        <v>1086</v>
      </c>
      <c r="B2000" s="316">
        <v>3089</v>
      </c>
      <c r="C2000" s="247" t="s">
        <v>996</v>
      </c>
      <c r="D2000" s="317">
        <v>42664</v>
      </c>
      <c r="E2000" s="318">
        <v>0.31322916666666667</v>
      </c>
      <c r="F2000" s="247" t="s">
        <v>235</v>
      </c>
      <c r="G2000" s="247" t="s">
        <v>1035</v>
      </c>
      <c r="H2000" s="248" t="s">
        <v>234</v>
      </c>
      <c r="I2000" s="248" t="s">
        <v>235</v>
      </c>
      <c r="J2000" s="247" t="s">
        <v>809</v>
      </c>
      <c r="K2000" s="249">
        <v>0</v>
      </c>
      <c r="M2000" s="90">
        <v>0</v>
      </c>
      <c r="N2000" s="90">
        <v>0</v>
      </c>
      <c r="O2000" s="90">
        <v>255</v>
      </c>
    </row>
    <row r="2001" spans="1:15" s="90" customFormat="1" ht="12.75" customHeight="1" x14ac:dyDescent="0.2">
      <c r="A2001" s="247" t="s">
        <v>989</v>
      </c>
      <c r="B2001" s="316">
        <v>3046</v>
      </c>
      <c r="C2001" s="247" t="s">
        <v>975</v>
      </c>
      <c r="D2001" s="317">
        <v>42664</v>
      </c>
      <c r="E2001" s="318">
        <v>0.3333564814814815</v>
      </c>
      <c r="F2001" s="247" t="s">
        <v>976</v>
      </c>
      <c r="G2001" s="247" t="s">
        <v>1035</v>
      </c>
      <c r="H2001" s="248" t="s">
        <v>404</v>
      </c>
      <c r="I2001" s="248" t="s">
        <v>404</v>
      </c>
      <c r="J2001" s="247" t="s">
        <v>809</v>
      </c>
      <c r="K2001" s="249">
        <v>0</v>
      </c>
      <c r="M2001" s="90">
        <v>0</v>
      </c>
      <c r="N2001" s="90">
        <v>0</v>
      </c>
      <c r="O2001" s="90">
        <v>255</v>
      </c>
    </row>
    <row r="2002" spans="1:15" s="90" customFormat="1" ht="12.75" customHeight="1" x14ac:dyDescent="0.2">
      <c r="A2002" s="247" t="s">
        <v>993</v>
      </c>
      <c r="B2002" s="316">
        <v>3217</v>
      </c>
      <c r="C2002" s="247" t="s">
        <v>975</v>
      </c>
      <c r="D2002" s="317">
        <v>42664</v>
      </c>
      <c r="E2002" s="318">
        <v>0.33359953703703704</v>
      </c>
      <c r="F2002" s="247" t="s">
        <v>235</v>
      </c>
      <c r="G2002" s="247" t="s">
        <v>1035</v>
      </c>
      <c r="H2002" s="248" t="s">
        <v>234</v>
      </c>
      <c r="I2002" s="248" t="s">
        <v>235</v>
      </c>
      <c r="J2002" s="247" t="s">
        <v>809</v>
      </c>
      <c r="K2002" s="249">
        <v>0</v>
      </c>
      <c r="M2002" s="90">
        <v>0</v>
      </c>
      <c r="N2002" s="90">
        <v>0</v>
      </c>
      <c r="O2002" s="90">
        <v>255</v>
      </c>
    </row>
    <row r="2003" spans="1:15" s="90" customFormat="1" ht="12.75" customHeight="1" x14ac:dyDescent="0.2">
      <c r="A2003" s="247" t="s">
        <v>990</v>
      </c>
      <c r="B2003" s="316">
        <v>3046</v>
      </c>
      <c r="C2003" s="247" t="s">
        <v>975</v>
      </c>
      <c r="D2003" s="317">
        <v>42664</v>
      </c>
      <c r="E2003" s="318">
        <v>0.33361111111111108</v>
      </c>
      <c r="F2003" s="247" t="s">
        <v>976</v>
      </c>
      <c r="G2003" s="247" t="s">
        <v>1035</v>
      </c>
      <c r="H2003" s="248" t="s">
        <v>404</v>
      </c>
      <c r="I2003" s="248" t="s">
        <v>404</v>
      </c>
      <c r="J2003" s="247" t="s">
        <v>809</v>
      </c>
      <c r="K2003" s="249">
        <v>0</v>
      </c>
      <c r="M2003" s="90">
        <v>0</v>
      </c>
      <c r="N2003" s="90">
        <v>0</v>
      </c>
      <c r="O2003" s="90">
        <v>255</v>
      </c>
    </row>
    <row r="2004" spans="1:15" s="90" customFormat="1" ht="12.75" customHeight="1" x14ac:dyDescent="0.2">
      <c r="A2004" s="247" t="s">
        <v>989</v>
      </c>
      <c r="B2004" s="316">
        <v>3046</v>
      </c>
      <c r="C2004" s="247" t="s">
        <v>975</v>
      </c>
      <c r="D2004" s="317">
        <v>42664</v>
      </c>
      <c r="E2004" s="318">
        <v>0.37527777777777777</v>
      </c>
      <c r="F2004" s="247" t="s">
        <v>976</v>
      </c>
      <c r="G2004" s="247" t="s">
        <v>1035</v>
      </c>
      <c r="H2004" s="248" t="s">
        <v>404</v>
      </c>
      <c r="I2004" s="248" t="s">
        <v>404</v>
      </c>
      <c r="J2004" s="247" t="s">
        <v>809</v>
      </c>
      <c r="K2004" s="249">
        <v>0</v>
      </c>
      <c r="M2004" s="90">
        <v>0</v>
      </c>
      <c r="N2004" s="90">
        <v>0</v>
      </c>
      <c r="O2004" s="90">
        <v>255</v>
      </c>
    </row>
    <row r="2005" spans="1:15" s="90" customFormat="1" ht="12.75" customHeight="1" x14ac:dyDescent="0.2">
      <c r="A2005" s="247" t="s">
        <v>993</v>
      </c>
      <c r="B2005" s="316">
        <v>3217</v>
      </c>
      <c r="C2005" s="247" t="s">
        <v>975</v>
      </c>
      <c r="D2005" s="317">
        <v>42664</v>
      </c>
      <c r="E2005" s="318">
        <v>0.3755208333333333</v>
      </c>
      <c r="F2005" s="247" t="s">
        <v>235</v>
      </c>
      <c r="G2005" s="247" t="s">
        <v>1035</v>
      </c>
      <c r="H2005" s="248" t="s">
        <v>234</v>
      </c>
      <c r="I2005" s="248" t="s">
        <v>235</v>
      </c>
      <c r="J2005" s="247" t="s">
        <v>809</v>
      </c>
      <c r="K2005" s="249">
        <v>0</v>
      </c>
      <c r="M2005" s="90">
        <v>0</v>
      </c>
      <c r="N2005" s="90">
        <v>0</v>
      </c>
      <c r="O2005" s="90">
        <v>255</v>
      </c>
    </row>
    <row r="2006" spans="1:15" s="90" customFormat="1" ht="12.75" customHeight="1" x14ac:dyDescent="0.2">
      <c r="A2006" s="247" t="s">
        <v>990</v>
      </c>
      <c r="B2006" s="316">
        <v>3046</v>
      </c>
      <c r="C2006" s="247" t="s">
        <v>975</v>
      </c>
      <c r="D2006" s="317">
        <v>42664</v>
      </c>
      <c r="E2006" s="318">
        <v>0.3755324074074074</v>
      </c>
      <c r="F2006" s="247" t="s">
        <v>976</v>
      </c>
      <c r="G2006" s="247" t="s">
        <v>1035</v>
      </c>
      <c r="H2006" s="248" t="s">
        <v>404</v>
      </c>
      <c r="I2006" s="248" t="s">
        <v>404</v>
      </c>
      <c r="J2006" s="247" t="s">
        <v>809</v>
      </c>
      <c r="K2006" s="249">
        <v>0</v>
      </c>
      <c r="M2006" s="90">
        <v>0</v>
      </c>
      <c r="N2006" s="90">
        <v>0</v>
      </c>
      <c r="O2006" s="90">
        <v>255</v>
      </c>
    </row>
    <row r="2007" spans="1:15" s="90" customFormat="1" ht="12.75" customHeight="1" x14ac:dyDescent="0.2">
      <c r="A2007" s="247" t="s">
        <v>989</v>
      </c>
      <c r="B2007" s="316">
        <v>3046</v>
      </c>
      <c r="C2007" s="247" t="s">
        <v>975</v>
      </c>
      <c r="D2007" s="317">
        <v>42664</v>
      </c>
      <c r="E2007" s="318">
        <v>0.41719907407407408</v>
      </c>
      <c r="F2007" s="247" t="s">
        <v>976</v>
      </c>
      <c r="G2007" s="247" t="s">
        <v>1035</v>
      </c>
      <c r="H2007" s="248" t="s">
        <v>404</v>
      </c>
      <c r="I2007" s="248" t="s">
        <v>404</v>
      </c>
      <c r="J2007" s="247" t="s">
        <v>809</v>
      </c>
      <c r="K2007" s="249">
        <v>0</v>
      </c>
      <c r="M2007" s="90">
        <v>0</v>
      </c>
      <c r="N2007" s="90">
        <v>0</v>
      </c>
      <c r="O2007" s="90">
        <v>255</v>
      </c>
    </row>
    <row r="2008" spans="1:15" s="90" customFormat="1" ht="12.75" customHeight="1" x14ac:dyDescent="0.2">
      <c r="A2008" s="247" t="s">
        <v>993</v>
      </c>
      <c r="B2008" s="316">
        <v>3217</v>
      </c>
      <c r="C2008" s="247" t="s">
        <v>975</v>
      </c>
      <c r="D2008" s="317">
        <v>42664</v>
      </c>
      <c r="E2008" s="318">
        <v>0.41744212962962962</v>
      </c>
      <c r="F2008" s="247" t="s">
        <v>235</v>
      </c>
      <c r="G2008" s="247" t="s">
        <v>1035</v>
      </c>
      <c r="H2008" s="248" t="s">
        <v>234</v>
      </c>
      <c r="I2008" s="248" t="s">
        <v>235</v>
      </c>
      <c r="J2008" s="247" t="s">
        <v>809</v>
      </c>
      <c r="K2008" s="249">
        <v>0</v>
      </c>
      <c r="M2008" s="90">
        <v>0</v>
      </c>
      <c r="N2008" s="90">
        <v>0</v>
      </c>
      <c r="O2008" s="90">
        <v>255</v>
      </c>
    </row>
    <row r="2009" spans="1:15" s="90" customFormat="1" ht="12.75" customHeight="1" x14ac:dyDescent="0.2">
      <c r="A2009" s="247" t="s">
        <v>990</v>
      </c>
      <c r="B2009" s="316">
        <v>3046</v>
      </c>
      <c r="C2009" s="247" t="s">
        <v>975</v>
      </c>
      <c r="D2009" s="317">
        <v>42664</v>
      </c>
      <c r="E2009" s="318">
        <v>0.41745370370370366</v>
      </c>
      <c r="F2009" s="247" t="s">
        <v>976</v>
      </c>
      <c r="G2009" s="247" t="s">
        <v>1035</v>
      </c>
      <c r="H2009" s="248" t="s">
        <v>404</v>
      </c>
      <c r="I2009" s="248" t="s">
        <v>404</v>
      </c>
      <c r="J2009" s="247" t="s">
        <v>809</v>
      </c>
      <c r="K2009" s="249">
        <v>0</v>
      </c>
      <c r="M2009" s="90">
        <v>0</v>
      </c>
      <c r="N2009" s="90">
        <v>0</v>
      </c>
      <c r="O2009" s="90">
        <v>255</v>
      </c>
    </row>
    <row r="2010" spans="1:15" s="90" customFormat="1" ht="12.75" customHeight="1" x14ac:dyDescent="0.2">
      <c r="A2010" s="247" t="s">
        <v>989</v>
      </c>
      <c r="B2010" s="316">
        <v>3046</v>
      </c>
      <c r="C2010" s="247" t="s">
        <v>975</v>
      </c>
      <c r="D2010" s="317">
        <v>42664</v>
      </c>
      <c r="E2010" s="318">
        <v>0.45912037037037035</v>
      </c>
      <c r="F2010" s="247" t="s">
        <v>976</v>
      </c>
      <c r="G2010" s="247" t="s">
        <v>1035</v>
      </c>
      <c r="H2010" s="248" t="s">
        <v>404</v>
      </c>
      <c r="I2010" s="248" t="s">
        <v>404</v>
      </c>
      <c r="J2010" s="247" t="s">
        <v>809</v>
      </c>
      <c r="K2010" s="249">
        <v>0</v>
      </c>
      <c r="M2010" s="90">
        <v>0</v>
      </c>
      <c r="N2010" s="90">
        <v>0</v>
      </c>
      <c r="O2010" s="90">
        <v>255</v>
      </c>
    </row>
    <row r="2011" spans="1:15" s="90" customFormat="1" ht="12.75" customHeight="1" x14ac:dyDescent="0.2">
      <c r="A2011" s="247" t="s">
        <v>990</v>
      </c>
      <c r="B2011" s="316">
        <v>3046</v>
      </c>
      <c r="C2011" s="247" t="s">
        <v>975</v>
      </c>
      <c r="D2011" s="317">
        <v>42664</v>
      </c>
      <c r="E2011" s="318">
        <v>0.45936342592592588</v>
      </c>
      <c r="F2011" s="247" t="s">
        <v>976</v>
      </c>
      <c r="G2011" s="247" t="s">
        <v>1035</v>
      </c>
      <c r="H2011" s="248" t="s">
        <v>404</v>
      </c>
      <c r="I2011" s="248" t="s">
        <v>404</v>
      </c>
      <c r="J2011" s="247" t="s">
        <v>809</v>
      </c>
      <c r="K2011" s="249">
        <v>0</v>
      </c>
      <c r="M2011" s="90">
        <v>0</v>
      </c>
      <c r="N2011" s="90">
        <v>0</v>
      </c>
      <c r="O2011" s="90">
        <v>255</v>
      </c>
    </row>
    <row r="2012" spans="1:15" s="90" customFormat="1" ht="12.75" customHeight="1" x14ac:dyDescent="0.2">
      <c r="A2012" s="247" t="s">
        <v>993</v>
      </c>
      <c r="B2012" s="316">
        <v>3217</v>
      </c>
      <c r="C2012" s="247" t="s">
        <v>975</v>
      </c>
      <c r="D2012" s="317">
        <v>42664</v>
      </c>
      <c r="E2012" s="318">
        <v>0.45936342592592588</v>
      </c>
      <c r="F2012" s="247" t="s">
        <v>235</v>
      </c>
      <c r="G2012" s="247" t="s">
        <v>1035</v>
      </c>
      <c r="H2012" s="248" t="s">
        <v>234</v>
      </c>
      <c r="I2012" s="248" t="s">
        <v>235</v>
      </c>
      <c r="J2012" s="247" t="s">
        <v>809</v>
      </c>
      <c r="K2012" s="249">
        <v>0</v>
      </c>
      <c r="M2012" s="90">
        <v>0</v>
      </c>
      <c r="N2012" s="90">
        <v>0</v>
      </c>
      <c r="O2012" s="90">
        <v>255</v>
      </c>
    </row>
    <row r="2013" spans="1:15" s="90" customFormat="1" ht="12.75" customHeight="1" x14ac:dyDescent="0.2">
      <c r="A2013" s="247" t="s">
        <v>611</v>
      </c>
      <c r="B2013" s="316">
        <v>4030</v>
      </c>
      <c r="C2013" s="247" t="s">
        <v>996</v>
      </c>
      <c r="D2013" s="317">
        <v>42664</v>
      </c>
      <c r="E2013" s="318">
        <v>0.46273148148148152</v>
      </c>
      <c r="F2013" s="247" t="s">
        <v>702</v>
      </c>
      <c r="G2013" s="247" t="s">
        <v>1035</v>
      </c>
      <c r="H2013" s="248" t="s">
        <v>4</v>
      </c>
      <c r="I2013" s="248" t="s">
        <v>14</v>
      </c>
      <c r="J2013" s="247" t="s">
        <v>809</v>
      </c>
      <c r="K2013" s="249">
        <v>0</v>
      </c>
      <c r="L2013" s="90" t="s">
        <v>1780</v>
      </c>
      <c r="M2013" s="90">
        <v>327</v>
      </c>
      <c r="N2013" s="90">
        <v>-1</v>
      </c>
      <c r="O2013" s="90">
        <v>0</v>
      </c>
    </row>
    <row r="2014" spans="1:15" s="90" customFormat="1" ht="12.75" customHeight="1" x14ac:dyDescent="0.2">
      <c r="A2014" s="247" t="s">
        <v>989</v>
      </c>
      <c r="B2014" s="316">
        <v>3046</v>
      </c>
      <c r="C2014" s="247" t="s">
        <v>975</v>
      </c>
      <c r="D2014" s="317">
        <v>42664</v>
      </c>
      <c r="E2014" s="318">
        <v>0.50104166666666672</v>
      </c>
      <c r="F2014" s="247" t="s">
        <v>976</v>
      </c>
      <c r="G2014" s="247" t="s">
        <v>1035</v>
      </c>
      <c r="H2014" s="248" t="s">
        <v>404</v>
      </c>
      <c r="I2014" s="248" t="s">
        <v>404</v>
      </c>
      <c r="J2014" s="247" t="s">
        <v>809</v>
      </c>
      <c r="K2014" s="249">
        <v>0</v>
      </c>
      <c r="M2014" s="90">
        <v>0</v>
      </c>
      <c r="N2014" s="90">
        <v>0</v>
      </c>
      <c r="O2014" s="90">
        <v>255</v>
      </c>
    </row>
    <row r="2015" spans="1:15" s="90" customFormat="1" ht="12.75" customHeight="1" x14ac:dyDescent="0.2">
      <c r="A2015" s="247" t="s">
        <v>990</v>
      </c>
      <c r="B2015" s="316">
        <v>3046</v>
      </c>
      <c r="C2015" s="247" t="s">
        <v>975</v>
      </c>
      <c r="D2015" s="317">
        <v>42664</v>
      </c>
      <c r="E2015" s="318">
        <v>0.5012847222222222</v>
      </c>
      <c r="F2015" s="247" t="s">
        <v>976</v>
      </c>
      <c r="G2015" s="247" t="s">
        <v>1035</v>
      </c>
      <c r="H2015" s="248" t="s">
        <v>404</v>
      </c>
      <c r="I2015" s="248" t="s">
        <v>404</v>
      </c>
      <c r="J2015" s="247" t="s">
        <v>809</v>
      </c>
      <c r="K2015" s="249">
        <v>0</v>
      </c>
      <c r="M2015" s="90">
        <v>0</v>
      </c>
      <c r="N2015" s="90">
        <v>0</v>
      </c>
      <c r="O2015" s="90">
        <v>255</v>
      </c>
    </row>
    <row r="2016" spans="1:15" s="90" customFormat="1" ht="12.75" customHeight="1" x14ac:dyDescent="0.2">
      <c r="A2016" s="247" t="s">
        <v>993</v>
      </c>
      <c r="B2016" s="316">
        <v>3217</v>
      </c>
      <c r="C2016" s="247" t="s">
        <v>975</v>
      </c>
      <c r="D2016" s="317">
        <v>42664</v>
      </c>
      <c r="E2016" s="318">
        <v>0.5012847222222222</v>
      </c>
      <c r="F2016" s="247" t="s">
        <v>235</v>
      </c>
      <c r="G2016" s="247" t="s">
        <v>1035</v>
      </c>
      <c r="H2016" s="248" t="s">
        <v>234</v>
      </c>
      <c r="I2016" s="248" t="s">
        <v>235</v>
      </c>
      <c r="J2016" s="247" t="s">
        <v>809</v>
      </c>
      <c r="K2016" s="249">
        <v>0</v>
      </c>
      <c r="M2016" s="90">
        <v>0</v>
      </c>
      <c r="N2016" s="90">
        <v>0</v>
      </c>
      <c r="O2016" s="90">
        <v>255</v>
      </c>
    </row>
    <row r="2017" spans="1:15" s="90" customFormat="1" ht="12.75" customHeight="1" x14ac:dyDescent="0.2">
      <c r="A2017" s="247" t="s">
        <v>989</v>
      </c>
      <c r="B2017" s="316">
        <v>3046</v>
      </c>
      <c r="C2017" s="247" t="s">
        <v>975</v>
      </c>
      <c r="D2017" s="317">
        <v>42664</v>
      </c>
      <c r="E2017" s="318">
        <v>0.54295138888888894</v>
      </c>
      <c r="F2017" s="247" t="s">
        <v>976</v>
      </c>
      <c r="G2017" s="247" t="s">
        <v>1035</v>
      </c>
      <c r="H2017" s="248" t="s">
        <v>404</v>
      </c>
      <c r="I2017" s="248" t="s">
        <v>404</v>
      </c>
      <c r="J2017" s="247" t="s">
        <v>809</v>
      </c>
      <c r="K2017" s="249">
        <v>0</v>
      </c>
      <c r="M2017" s="90">
        <v>0</v>
      </c>
      <c r="N2017" s="90">
        <v>0</v>
      </c>
      <c r="O2017" s="90">
        <v>255</v>
      </c>
    </row>
    <row r="2018" spans="1:15" s="90" customFormat="1" ht="12.75" customHeight="1" x14ac:dyDescent="0.2">
      <c r="A2018" s="247" t="s">
        <v>990</v>
      </c>
      <c r="B2018" s="316">
        <v>3046</v>
      </c>
      <c r="C2018" s="247" t="s">
        <v>975</v>
      </c>
      <c r="D2018" s="317">
        <v>42664</v>
      </c>
      <c r="E2018" s="318">
        <v>0.54320601851851846</v>
      </c>
      <c r="F2018" s="247" t="s">
        <v>976</v>
      </c>
      <c r="G2018" s="247" t="s">
        <v>1035</v>
      </c>
      <c r="H2018" s="248" t="s">
        <v>404</v>
      </c>
      <c r="I2018" s="248" t="s">
        <v>404</v>
      </c>
      <c r="J2018" s="247" t="s">
        <v>809</v>
      </c>
      <c r="K2018" s="249">
        <v>0</v>
      </c>
      <c r="M2018" s="90">
        <v>0</v>
      </c>
      <c r="N2018" s="90">
        <v>0</v>
      </c>
      <c r="O2018" s="90">
        <v>255</v>
      </c>
    </row>
    <row r="2019" spans="1:15" s="90" customFormat="1" ht="12.75" customHeight="1" x14ac:dyDescent="0.2">
      <c r="A2019" s="247" t="s">
        <v>993</v>
      </c>
      <c r="B2019" s="316">
        <v>3217</v>
      </c>
      <c r="C2019" s="247" t="s">
        <v>975</v>
      </c>
      <c r="D2019" s="317">
        <v>42664</v>
      </c>
      <c r="E2019" s="318">
        <v>0.54320601851851846</v>
      </c>
      <c r="F2019" s="247" t="s">
        <v>235</v>
      </c>
      <c r="G2019" s="247" t="s">
        <v>1035</v>
      </c>
      <c r="H2019" s="248" t="s">
        <v>234</v>
      </c>
      <c r="I2019" s="248" t="s">
        <v>235</v>
      </c>
      <c r="J2019" s="247" t="s">
        <v>809</v>
      </c>
      <c r="K2019" s="249">
        <v>0</v>
      </c>
      <c r="M2019" s="90">
        <v>0</v>
      </c>
      <c r="N2019" s="90">
        <v>0</v>
      </c>
      <c r="O2019" s="90">
        <v>255</v>
      </c>
    </row>
    <row r="2020" spans="1:15" s="90" customFormat="1" ht="12.75" customHeight="1" x14ac:dyDescent="0.2">
      <c r="A2020" s="247" t="s">
        <v>719</v>
      </c>
      <c r="B2020" s="316">
        <v>3073</v>
      </c>
      <c r="C2020" s="247" t="s">
        <v>975</v>
      </c>
      <c r="D2020" s="317">
        <v>42664</v>
      </c>
      <c r="E2020" s="318">
        <v>0.57136574074074076</v>
      </c>
      <c r="F2020" s="247" t="s">
        <v>981</v>
      </c>
      <c r="G2020" s="247" t="s">
        <v>1035</v>
      </c>
      <c r="H2020" s="248" t="s">
        <v>234</v>
      </c>
      <c r="I2020" s="248" t="s">
        <v>677</v>
      </c>
      <c r="J2020" s="247" t="s">
        <v>809</v>
      </c>
      <c r="K2020" s="249">
        <v>0</v>
      </c>
      <c r="M2020" s="90">
        <v>0</v>
      </c>
      <c r="N2020" s="90">
        <v>0</v>
      </c>
      <c r="O2020" s="90">
        <v>255</v>
      </c>
    </row>
    <row r="2021" spans="1:15" s="90" customFormat="1" ht="12.75" customHeight="1" x14ac:dyDescent="0.2">
      <c r="A2021" s="247" t="s">
        <v>719</v>
      </c>
      <c r="B2021" s="316">
        <v>3073</v>
      </c>
      <c r="C2021" s="247" t="s">
        <v>975</v>
      </c>
      <c r="D2021" s="317">
        <v>42664</v>
      </c>
      <c r="E2021" s="318">
        <v>0.57162037037037039</v>
      </c>
      <c r="F2021" s="247" t="s">
        <v>981</v>
      </c>
      <c r="G2021" s="247" t="s">
        <v>1035</v>
      </c>
      <c r="H2021" s="248" t="s">
        <v>234</v>
      </c>
      <c r="I2021" s="248" t="s">
        <v>677</v>
      </c>
      <c r="J2021" s="247" t="s">
        <v>809</v>
      </c>
      <c r="K2021" s="249">
        <v>0</v>
      </c>
      <c r="M2021" s="90">
        <v>0</v>
      </c>
      <c r="N2021" s="90">
        <v>0</v>
      </c>
      <c r="O2021" s="90">
        <v>255</v>
      </c>
    </row>
    <row r="2022" spans="1:15" s="90" customFormat="1" ht="12.75" customHeight="1" x14ac:dyDescent="0.2">
      <c r="A2022" s="247" t="s">
        <v>1382</v>
      </c>
      <c r="B2022" s="316">
        <v>3080</v>
      </c>
      <c r="C2022" s="247" t="s">
        <v>975</v>
      </c>
      <c r="D2022" s="317">
        <v>42664</v>
      </c>
      <c r="E2022" s="318">
        <v>0.5838888888888889</v>
      </c>
      <c r="F2022" s="247" t="s">
        <v>981</v>
      </c>
      <c r="G2022" s="247" t="s">
        <v>1035</v>
      </c>
      <c r="H2022" s="248" t="s">
        <v>234</v>
      </c>
      <c r="I2022" s="248" t="s">
        <v>656</v>
      </c>
      <c r="J2022" s="247" t="s">
        <v>809</v>
      </c>
      <c r="K2022" s="249">
        <v>0</v>
      </c>
      <c r="M2022" s="90">
        <v>0</v>
      </c>
      <c r="N2022" s="90">
        <v>0</v>
      </c>
      <c r="O2022" s="90">
        <v>255</v>
      </c>
    </row>
    <row r="2023" spans="1:15" s="90" customFormat="1" ht="12.75" customHeight="1" x14ac:dyDescent="0.2">
      <c r="A2023" s="247" t="s">
        <v>1383</v>
      </c>
      <c r="B2023" s="316">
        <v>3080</v>
      </c>
      <c r="C2023" s="247" t="s">
        <v>975</v>
      </c>
      <c r="D2023" s="317">
        <v>42664</v>
      </c>
      <c r="E2023" s="318">
        <v>0.58395833333333336</v>
      </c>
      <c r="F2023" s="247" t="s">
        <v>981</v>
      </c>
      <c r="G2023" s="247" t="s">
        <v>1035</v>
      </c>
      <c r="H2023" s="248" t="s">
        <v>234</v>
      </c>
      <c r="I2023" s="248" t="s">
        <v>656</v>
      </c>
      <c r="J2023" s="247" t="s">
        <v>809</v>
      </c>
      <c r="K2023" s="249">
        <v>0</v>
      </c>
      <c r="M2023" s="90">
        <v>0</v>
      </c>
      <c r="N2023" s="90">
        <v>0</v>
      </c>
      <c r="O2023" s="90">
        <v>255</v>
      </c>
    </row>
    <row r="2024" spans="1:15" s="90" customFormat="1" ht="12.75" customHeight="1" x14ac:dyDescent="0.2">
      <c r="A2024" s="247" t="s">
        <v>1384</v>
      </c>
      <c r="B2024" s="316">
        <v>3080</v>
      </c>
      <c r="C2024" s="247" t="s">
        <v>975</v>
      </c>
      <c r="D2024" s="317">
        <v>42664</v>
      </c>
      <c r="E2024" s="318">
        <v>0.58402777777777781</v>
      </c>
      <c r="F2024" s="247" t="s">
        <v>981</v>
      </c>
      <c r="G2024" s="247" t="s">
        <v>1035</v>
      </c>
      <c r="H2024" s="248" t="s">
        <v>234</v>
      </c>
      <c r="I2024" s="248" t="s">
        <v>656</v>
      </c>
      <c r="J2024" s="247" t="s">
        <v>809</v>
      </c>
      <c r="K2024" s="249">
        <v>0</v>
      </c>
      <c r="M2024" s="90">
        <v>0</v>
      </c>
      <c r="N2024" s="90">
        <v>0</v>
      </c>
      <c r="O2024" s="90">
        <v>255</v>
      </c>
    </row>
    <row r="2025" spans="1:15" s="90" customFormat="1" ht="12.75" customHeight="1" x14ac:dyDescent="0.2">
      <c r="A2025" s="247" t="s">
        <v>1385</v>
      </c>
      <c r="B2025" s="316">
        <v>3080</v>
      </c>
      <c r="C2025" s="247" t="s">
        <v>975</v>
      </c>
      <c r="D2025" s="317">
        <v>42664</v>
      </c>
      <c r="E2025" s="318">
        <v>0.58407407407407408</v>
      </c>
      <c r="F2025" s="247" t="s">
        <v>981</v>
      </c>
      <c r="G2025" s="247" t="s">
        <v>1035</v>
      </c>
      <c r="H2025" s="248" t="s">
        <v>234</v>
      </c>
      <c r="I2025" s="248" t="s">
        <v>656</v>
      </c>
      <c r="J2025" s="247" t="s">
        <v>809</v>
      </c>
      <c r="K2025" s="249">
        <v>0</v>
      </c>
      <c r="M2025" s="90">
        <v>0</v>
      </c>
      <c r="N2025" s="90">
        <v>0</v>
      </c>
      <c r="O2025" s="90">
        <v>255</v>
      </c>
    </row>
    <row r="2026" spans="1:15" s="90" customFormat="1" ht="12.75" customHeight="1" x14ac:dyDescent="0.2">
      <c r="A2026" s="247" t="s">
        <v>1386</v>
      </c>
      <c r="B2026" s="316">
        <v>3080</v>
      </c>
      <c r="C2026" s="247" t="s">
        <v>975</v>
      </c>
      <c r="D2026" s="317">
        <v>42664</v>
      </c>
      <c r="E2026" s="318">
        <v>0.5841319444444445</v>
      </c>
      <c r="F2026" s="247" t="s">
        <v>981</v>
      </c>
      <c r="G2026" s="247" t="s">
        <v>1035</v>
      </c>
      <c r="H2026" s="248" t="s">
        <v>234</v>
      </c>
      <c r="I2026" s="248" t="s">
        <v>656</v>
      </c>
      <c r="J2026" s="247" t="s">
        <v>809</v>
      </c>
      <c r="K2026" s="249">
        <v>0</v>
      </c>
      <c r="M2026" s="90">
        <v>0</v>
      </c>
      <c r="N2026" s="90">
        <v>0</v>
      </c>
      <c r="O2026" s="90">
        <v>255</v>
      </c>
    </row>
    <row r="2027" spans="1:15" s="90" customFormat="1" ht="12.75" customHeight="1" x14ac:dyDescent="0.2">
      <c r="A2027" s="247" t="s">
        <v>1387</v>
      </c>
      <c r="B2027" s="316">
        <v>3080</v>
      </c>
      <c r="C2027" s="247" t="s">
        <v>975</v>
      </c>
      <c r="D2027" s="317">
        <v>42664</v>
      </c>
      <c r="E2027" s="318">
        <v>0.58417824074074076</v>
      </c>
      <c r="F2027" s="247" t="s">
        <v>981</v>
      </c>
      <c r="G2027" s="247" t="s">
        <v>1035</v>
      </c>
      <c r="H2027" s="248" t="s">
        <v>234</v>
      </c>
      <c r="I2027" s="248" t="s">
        <v>656</v>
      </c>
      <c r="J2027" s="247" t="s">
        <v>809</v>
      </c>
      <c r="K2027" s="249">
        <v>0</v>
      </c>
      <c r="M2027" s="90">
        <v>0</v>
      </c>
      <c r="N2027" s="90">
        <v>0</v>
      </c>
      <c r="O2027" s="90">
        <v>255</v>
      </c>
    </row>
    <row r="2028" spans="1:15" s="90" customFormat="1" ht="12.75" customHeight="1" x14ac:dyDescent="0.2">
      <c r="A2028" s="247" t="s">
        <v>1388</v>
      </c>
      <c r="B2028" s="316">
        <v>3080</v>
      </c>
      <c r="C2028" s="247" t="s">
        <v>975</v>
      </c>
      <c r="D2028" s="317">
        <v>42664</v>
      </c>
      <c r="E2028" s="318">
        <v>0.58424768518518522</v>
      </c>
      <c r="F2028" s="247" t="s">
        <v>981</v>
      </c>
      <c r="G2028" s="247" t="s">
        <v>1035</v>
      </c>
      <c r="H2028" s="248" t="s">
        <v>234</v>
      </c>
      <c r="I2028" s="248" t="s">
        <v>656</v>
      </c>
      <c r="J2028" s="247" t="s">
        <v>809</v>
      </c>
      <c r="K2028" s="249">
        <v>0</v>
      </c>
      <c r="M2028" s="90">
        <v>0</v>
      </c>
      <c r="N2028" s="90">
        <v>0</v>
      </c>
      <c r="O2028" s="90">
        <v>255</v>
      </c>
    </row>
    <row r="2029" spans="1:15" s="90" customFormat="1" ht="12.75" customHeight="1" x14ac:dyDescent="0.2">
      <c r="A2029" s="247" t="s">
        <v>1389</v>
      </c>
      <c r="B2029" s="316">
        <v>3081</v>
      </c>
      <c r="C2029" s="247" t="s">
        <v>975</v>
      </c>
      <c r="D2029" s="317">
        <v>42664</v>
      </c>
      <c r="E2029" s="318">
        <v>0.58424768518518522</v>
      </c>
      <c r="F2029" s="247" t="s">
        <v>981</v>
      </c>
      <c r="G2029" s="247" t="s">
        <v>1035</v>
      </c>
      <c r="H2029" s="248" t="s">
        <v>234</v>
      </c>
      <c r="I2029" s="248" t="s">
        <v>656</v>
      </c>
      <c r="J2029" s="247" t="s">
        <v>809</v>
      </c>
      <c r="K2029" s="249">
        <v>0</v>
      </c>
      <c r="M2029" s="90">
        <v>0</v>
      </c>
      <c r="N2029" s="90">
        <v>0</v>
      </c>
      <c r="O2029" s="90">
        <v>255</v>
      </c>
    </row>
    <row r="2030" spans="1:15" s="90" customFormat="1" ht="12.75" customHeight="1" x14ac:dyDescent="0.2">
      <c r="A2030" s="247" t="s">
        <v>1390</v>
      </c>
      <c r="B2030" s="316">
        <v>3080</v>
      </c>
      <c r="C2030" s="247" t="s">
        <v>975</v>
      </c>
      <c r="D2030" s="317">
        <v>42664</v>
      </c>
      <c r="E2030" s="318">
        <v>0.58430555555555552</v>
      </c>
      <c r="F2030" s="247" t="s">
        <v>981</v>
      </c>
      <c r="G2030" s="247" t="s">
        <v>1035</v>
      </c>
      <c r="H2030" s="248" t="s">
        <v>234</v>
      </c>
      <c r="I2030" s="248" t="s">
        <v>656</v>
      </c>
      <c r="J2030" s="247" t="s">
        <v>809</v>
      </c>
      <c r="K2030" s="249">
        <v>0</v>
      </c>
      <c r="M2030" s="90">
        <v>0</v>
      </c>
      <c r="N2030" s="90">
        <v>0</v>
      </c>
      <c r="O2030" s="90">
        <v>255</v>
      </c>
    </row>
    <row r="2031" spans="1:15" s="90" customFormat="1" ht="12.75" customHeight="1" x14ac:dyDescent="0.2">
      <c r="A2031" s="247" t="s">
        <v>1391</v>
      </c>
      <c r="B2031" s="316">
        <v>3081</v>
      </c>
      <c r="C2031" s="247" t="s">
        <v>975</v>
      </c>
      <c r="D2031" s="317">
        <v>42664</v>
      </c>
      <c r="E2031" s="318">
        <v>0.58430555555555552</v>
      </c>
      <c r="F2031" s="247" t="s">
        <v>981</v>
      </c>
      <c r="G2031" s="247" t="s">
        <v>1035</v>
      </c>
      <c r="H2031" s="248" t="s">
        <v>234</v>
      </c>
      <c r="I2031" s="248" t="s">
        <v>656</v>
      </c>
      <c r="J2031" s="247" t="s">
        <v>809</v>
      </c>
      <c r="K2031" s="249">
        <v>0</v>
      </c>
      <c r="M2031" s="90">
        <v>0</v>
      </c>
      <c r="N2031" s="90">
        <v>0</v>
      </c>
      <c r="O2031" s="90">
        <v>255</v>
      </c>
    </row>
    <row r="2032" spans="1:15" s="90" customFormat="1" ht="12.75" customHeight="1" x14ac:dyDescent="0.2">
      <c r="A2032" s="247" t="s">
        <v>1392</v>
      </c>
      <c r="B2032" s="316">
        <v>3080</v>
      </c>
      <c r="C2032" s="247" t="s">
        <v>975</v>
      </c>
      <c r="D2032" s="317">
        <v>42664</v>
      </c>
      <c r="E2032" s="318">
        <v>0.58456018518518515</v>
      </c>
      <c r="F2032" s="247" t="s">
        <v>981</v>
      </c>
      <c r="G2032" s="247" t="s">
        <v>1035</v>
      </c>
      <c r="H2032" s="248" t="s">
        <v>234</v>
      </c>
      <c r="I2032" s="248" t="s">
        <v>656</v>
      </c>
      <c r="J2032" s="247" t="s">
        <v>809</v>
      </c>
      <c r="K2032" s="249">
        <v>0</v>
      </c>
      <c r="M2032" s="90">
        <v>0</v>
      </c>
      <c r="N2032" s="90">
        <v>0</v>
      </c>
      <c r="O2032" s="90">
        <v>255</v>
      </c>
    </row>
    <row r="2033" spans="1:15" s="90" customFormat="1" ht="12.75" customHeight="1" x14ac:dyDescent="0.2">
      <c r="A2033" s="247" t="s">
        <v>1393</v>
      </c>
      <c r="B2033" s="316">
        <v>3080</v>
      </c>
      <c r="C2033" s="247" t="s">
        <v>975</v>
      </c>
      <c r="D2033" s="317">
        <v>42664</v>
      </c>
      <c r="E2033" s="318">
        <v>0.58466435185185184</v>
      </c>
      <c r="F2033" s="247" t="s">
        <v>981</v>
      </c>
      <c r="G2033" s="247" t="s">
        <v>1035</v>
      </c>
      <c r="H2033" s="248" t="s">
        <v>234</v>
      </c>
      <c r="I2033" s="248" t="s">
        <v>656</v>
      </c>
      <c r="J2033" s="247" t="s">
        <v>809</v>
      </c>
      <c r="K2033" s="249">
        <v>0</v>
      </c>
      <c r="M2033" s="90">
        <v>0</v>
      </c>
      <c r="N2033" s="90">
        <v>0</v>
      </c>
      <c r="O2033" s="90">
        <v>255</v>
      </c>
    </row>
    <row r="2034" spans="1:15" s="90" customFormat="1" ht="12.75" customHeight="1" x14ac:dyDescent="0.2">
      <c r="A2034" s="247" t="s">
        <v>1394</v>
      </c>
      <c r="B2034" s="316">
        <v>3080</v>
      </c>
      <c r="C2034" s="247" t="s">
        <v>975</v>
      </c>
      <c r="D2034" s="317">
        <v>42664</v>
      </c>
      <c r="E2034" s="318">
        <v>0.58475694444444437</v>
      </c>
      <c r="F2034" s="247" t="s">
        <v>981</v>
      </c>
      <c r="G2034" s="247" t="s">
        <v>1035</v>
      </c>
      <c r="H2034" s="248" t="s">
        <v>234</v>
      </c>
      <c r="I2034" s="248" t="s">
        <v>656</v>
      </c>
      <c r="J2034" s="247" t="s">
        <v>809</v>
      </c>
      <c r="K2034" s="249">
        <v>0</v>
      </c>
      <c r="M2034" s="90">
        <v>0</v>
      </c>
      <c r="N2034" s="90">
        <v>0</v>
      </c>
      <c r="O2034" s="90">
        <v>255</v>
      </c>
    </row>
    <row r="2035" spans="1:15" s="90" customFormat="1" ht="12.75" customHeight="1" x14ac:dyDescent="0.2">
      <c r="A2035" s="247" t="s">
        <v>1395</v>
      </c>
      <c r="B2035" s="316">
        <v>3080</v>
      </c>
      <c r="C2035" s="247" t="s">
        <v>975</v>
      </c>
      <c r="D2035" s="317">
        <v>42664</v>
      </c>
      <c r="E2035" s="318">
        <v>0.58481481481481479</v>
      </c>
      <c r="F2035" s="247" t="s">
        <v>981</v>
      </c>
      <c r="G2035" s="247" t="s">
        <v>1035</v>
      </c>
      <c r="H2035" s="248" t="s">
        <v>234</v>
      </c>
      <c r="I2035" s="248" t="s">
        <v>656</v>
      </c>
      <c r="J2035" s="247" t="s">
        <v>809</v>
      </c>
      <c r="K2035" s="249">
        <v>0</v>
      </c>
      <c r="M2035" s="90">
        <v>0</v>
      </c>
      <c r="N2035" s="90">
        <v>0</v>
      </c>
      <c r="O2035" s="90">
        <v>255</v>
      </c>
    </row>
    <row r="2036" spans="1:15" s="90" customFormat="1" ht="12.75" customHeight="1" x14ac:dyDescent="0.2">
      <c r="A2036" s="247" t="s">
        <v>989</v>
      </c>
      <c r="B2036" s="316">
        <v>3046</v>
      </c>
      <c r="C2036" s="247" t="s">
        <v>975</v>
      </c>
      <c r="D2036" s="317">
        <v>42664</v>
      </c>
      <c r="E2036" s="318">
        <v>0.5848726851851852</v>
      </c>
      <c r="F2036" s="247" t="s">
        <v>976</v>
      </c>
      <c r="G2036" s="247" t="s">
        <v>1035</v>
      </c>
      <c r="H2036" s="248" t="s">
        <v>404</v>
      </c>
      <c r="I2036" s="248" t="s">
        <v>404</v>
      </c>
      <c r="J2036" s="247" t="s">
        <v>809</v>
      </c>
      <c r="K2036" s="249">
        <v>0</v>
      </c>
      <c r="M2036" s="90">
        <v>0</v>
      </c>
      <c r="N2036" s="90">
        <v>0</v>
      </c>
      <c r="O2036" s="90">
        <v>255</v>
      </c>
    </row>
    <row r="2037" spans="1:15" s="90" customFormat="1" ht="12.75" customHeight="1" x14ac:dyDescent="0.2">
      <c r="A2037" s="247" t="s">
        <v>1396</v>
      </c>
      <c r="B2037" s="316">
        <v>3080</v>
      </c>
      <c r="C2037" s="247" t="s">
        <v>975</v>
      </c>
      <c r="D2037" s="317">
        <v>42664</v>
      </c>
      <c r="E2037" s="318">
        <v>0.58496527777777774</v>
      </c>
      <c r="F2037" s="247" t="s">
        <v>981</v>
      </c>
      <c r="G2037" s="247" t="s">
        <v>1035</v>
      </c>
      <c r="H2037" s="248" t="s">
        <v>234</v>
      </c>
      <c r="I2037" s="248" t="s">
        <v>656</v>
      </c>
      <c r="J2037" s="247" t="s">
        <v>809</v>
      </c>
      <c r="K2037" s="249">
        <v>0</v>
      </c>
      <c r="M2037" s="90">
        <v>0</v>
      </c>
      <c r="N2037" s="90">
        <v>0</v>
      </c>
      <c r="O2037" s="90">
        <v>255</v>
      </c>
    </row>
    <row r="2038" spans="1:15" s="90" customFormat="1" ht="12.75" customHeight="1" x14ac:dyDescent="0.2">
      <c r="A2038" s="247" t="s">
        <v>1397</v>
      </c>
      <c r="B2038" s="316">
        <v>3080</v>
      </c>
      <c r="C2038" s="247" t="s">
        <v>975</v>
      </c>
      <c r="D2038" s="317">
        <v>42664</v>
      </c>
      <c r="E2038" s="318">
        <v>0.58502314814814815</v>
      </c>
      <c r="F2038" s="247" t="s">
        <v>981</v>
      </c>
      <c r="G2038" s="247" t="s">
        <v>1035</v>
      </c>
      <c r="H2038" s="248" t="s">
        <v>234</v>
      </c>
      <c r="I2038" s="248" t="s">
        <v>656</v>
      </c>
      <c r="J2038" s="247" t="s">
        <v>809</v>
      </c>
      <c r="K2038" s="249">
        <v>0</v>
      </c>
      <c r="M2038" s="90">
        <v>0</v>
      </c>
      <c r="N2038" s="90">
        <v>0</v>
      </c>
      <c r="O2038" s="90">
        <v>255</v>
      </c>
    </row>
    <row r="2039" spans="1:15" s="90" customFormat="1" ht="12.75" customHeight="1" x14ac:dyDescent="0.2">
      <c r="A2039" s="247" t="s">
        <v>1398</v>
      </c>
      <c r="B2039" s="316">
        <v>3080</v>
      </c>
      <c r="C2039" s="247" t="s">
        <v>975</v>
      </c>
      <c r="D2039" s="317">
        <v>42664</v>
      </c>
      <c r="E2039" s="318">
        <v>0.58511574074074069</v>
      </c>
      <c r="F2039" s="247" t="s">
        <v>981</v>
      </c>
      <c r="G2039" s="247" t="s">
        <v>1035</v>
      </c>
      <c r="H2039" s="248" t="s">
        <v>234</v>
      </c>
      <c r="I2039" s="248" t="s">
        <v>656</v>
      </c>
      <c r="J2039" s="247" t="s">
        <v>809</v>
      </c>
      <c r="K2039" s="249">
        <v>0</v>
      </c>
      <c r="M2039" s="90">
        <v>0</v>
      </c>
      <c r="N2039" s="90">
        <v>0</v>
      </c>
      <c r="O2039" s="90">
        <v>255</v>
      </c>
    </row>
    <row r="2040" spans="1:15" s="90" customFormat="1" ht="12.75" customHeight="1" x14ac:dyDescent="0.2">
      <c r="A2040" s="247" t="s">
        <v>1399</v>
      </c>
      <c r="B2040" s="316">
        <v>3080</v>
      </c>
      <c r="C2040" s="247" t="s">
        <v>975</v>
      </c>
      <c r="D2040" s="317">
        <v>42664</v>
      </c>
      <c r="E2040" s="318">
        <v>0.5854166666666667</v>
      </c>
      <c r="F2040" s="247" t="s">
        <v>981</v>
      </c>
      <c r="G2040" s="247" t="s">
        <v>1035</v>
      </c>
      <c r="H2040" s="248" t="s">
        <v>234</v>
      </c>
      <c r="I2040" s="248" t="s">
        <v>656</v>
      </c>
      <c r="J2040" s="247" t="s">
        <v>809</v>
      </c>
      <c r="K2040" s="249">
        <v>0</v>
      </c>
      <c r="M2040" s="90">
        <v>0</v>
      </c>
      <c r="N2040" s="90">
        <v>0</v>
      </c>
      <c r="O2040" s="90">
        <v>255</v>
      </c>
    </row>
    <row r="2041" spans="1:15" s="90" customFormat="1" ht="12.75" customHeight="1" x14ac:dyDescent="0.2">
      <c r="A2041" s="247" t="s">
        <v>990</v>
      </c>
      <c r="B2041" s="316">
        <v>3046</v>
      </c>
      <c r="C2041" s="247" t="s">
        <v>975</v>
      </c>
      <c r="D2041" s="317">
        <v>42664</v>
      </c>
      <c r="E2041" s="318">
        <v>0.58562499999999995</v>
      </c>
      <c r="F2041" s="247" t="s">
        <v>976</v>
      </c>
      <c r="G2041" s="247" t="s">
        <v>1035</v>
      </c>
      <c r="H2041" s="248" t="s">
        <v>404</v>
      </c>
      <c r="I2041" s="248" t="s">
        <v>404</v>
      </c>
      <c r="J2041" s="247" t="s">
        <v>809</v>
      </c>
      <c r="K2041" s="249">
        <v>0</v>
      </c>
      <c r="M2041" s="90">
        <v>0</v>
      </c>
      <c r="N2041" s="90">
        <v>0</v>
      </c>
      <c r="O2041" s="90">
        <v>255</v>
      </c>
    </row>
    <row r="2042" spans="1:15" s="90" customFormat="1" ht="12.75" customHeight="1" x14ac:dyDescent="0.2">
      <c r="A2042" s="247" t="s">
        <v>993</v>
      </c>
      <c r="B2042" s="316">
        <v>3217</v>
      </c>
      <c r="C2042" s="247" t="s">
        <v>975</v>
      </c>
      <c r="D2042" s="317">
        <v>42664</v>
      </c>
      <c r="E2042" s="318">
        <v>0.58562499999999995</v>
      </c>
      <c r="F2042" s="247" t="s">
        <v>235</v>
      </c>
      <c r="G2042" s="247" t="s">
        <v>1035</v>
      </c>
      <c r="H2042" s="248" t="s">
        <v>234</v>
      </c>
      <c r="I2042" s="248" t="s">
        <v>235</v>
      </c>
      <c r="J2042" s="247" t="s">
        <v>809</v>
      </c>
      <c r="K2042" s="249">
        <v>0</v>
      </c>
      <c r="M2042" s="90">
        <v>0</v>
      </c>
      <c r="N2042" s="90">
        <v>0</v>
      </c>
      <c r="O2042" s="90">
        <v>255</v>
      </c>
    </row>
    <row r="2043" spans="1:15" s="90" customFormat="1" ht="12.75" customHeight="1" x14ac:dyDescent="0.2">
      <c r="A2043" s="247" t="s">
        <v>1400</v>
      </c>
      <c r="B2043" s="316">
        <v>3080</v>
      </c>
      <c r="C2043" s="247" t="s">
        <v>975</v>
      </c>
      <c r="D2043" s="317">
        <v>42664</v>
      </c>
      <c r="E2043" s="318">
        <v>0.58638888888888896</v>
      </c>
      <c r="F2043" s="247" t="s">
        <v>981</v>
      </c>
      <c r="G2043" s="247" t="s">
        <v>1035</v>
      </c>
      <c r="H2043" s="248" t="s">
        <v>234</v>
      </c>
      <c r="I2043" s="248" t="s">
        <v>656</v>
      </c>
      <c r="J2043" s="247" t="s">
        <v>809</v>
      </c>
      <c r="K2043" s="249">
        <v>0</v>
      </c>
      <c r="M2043" s="90">
        <v>0</v>
      </c>
      <c r="N2043" s="90">
        <v>0</v>
      </c>
      <c r="O2043" s="90">
        <v>255</v>
      </c>
    </row>
    <row r="2044" spans="1:15" s="90" customFormat="1" ht="12.75" customHeight="1" x14ac:dyDescent="0.2">
      <c r="A2044" s="247" t="s">
        <v>1401</v>
      </c>
      <c r="B2044" s="316">
        <v>3080</v>
      </c>
      <c r="C2044" s="247" t="s">
        <v>975</v>
      </c>
      <c r="D2044" s="317">
        <v>42664</v>
      </c>
      <c r="E2044" s="318">
        <v>0.58666666666666667</v>
      </c>
      <c r="F2044" s="247" t="s">
        <v>981</v>
      </c>
      <c r="G2044" s="247" t="s">
        <v>1035</v>
      </c>
      <c r="H2044" s="248" t="s">
        <v>234</v>
      </c>
      <c r="I2044" s="248" t="s">
        <v>656</v>
      </c>
      <c r="J2044" s="247" t="s">
        <v>809</v>
      </c>
      <c r="K2044" s="249">
        <v>0</v>
      </c>
      <c r="M2044" s="90">
        <v>0</v>
      </c>
      <c r="N2044" s="90">
        <v>0</v>
      </c>
      <c r="O2044" s="90">
        <v>255</v>
      </c>
    </row>
    <row r="2045" spans="1:15" s="90" customFormat="1" ht="12.75" customHeight="1" x14ac:dyDescent="0.2">
      <c r="A2045" s="247" t="s">
        <v>1402</v>
      </c>
      <c r="B2045" s="316">
        <v>3081</v>
      </c>
      <c r="C2045" s="247" t="s">
        <v>975</v>
      </c>
      <c r="D2045" s="317">
        <v>42664</v>
      </c>
      <c r="E2045" s="318">
        <v>0.58666666666666667</v>
      </c>
      <c r="F2045" s="247" t="s">
        <v>981</v>
      </c>
      <c r="G2045" s="247" t="s">
        <v>1035</v>
      </c>
      <c r="H2045" s="248" t="s">
        <v>234</v>
      </c>
      <c r="I2045" s="248" t="s">
        <v>656</v>
      </c>
      <c r="J2045" s="247" t="s">
        <v>809</v>
      </c>
      <c r="K2045" s="249">
        <v>0</v>
      </c>
      <c r="M2045" s="90">
        <v>0</v>
      </c>
      <c r="N2045" s="90">
        <v>0</v>
      </c>
      <c r="O2045" s="90">
        <v>255</v>
      </c>
    </row>
    <row r="2046" spans="1:15" s="90" customFormat="1" ht="12.75" customHeight="1" x14ac:dyDescent="0.2">
      <c r="A2046" s="247" t="s">
        <v>1403</v>
      </c>
      <c r="B2046" s="316">
        <v>3080</v>
      </c>
      <c r="C2046" s="247" t="s">
        <v>975</v>
      </c>
      <c r="D2046" s="317">
        <v>42664</v>
      </c>
      <c r="E2046" s="318">
        <v>0.58673611111111112</v>
      </c>
      <c r="F2046" s="247" t="s">
        <v>981</v>
      </c>
      <c r="G2046" s="247" t="s">
        <v>1035</v>
      </c>
      <c r="H2046" s="248" t="s">
        <v>234</v>
      </c>
      <c r="I2046" s="248" t="s">
        <v>656</v>
      </c>
      <c r="J2046" s="247" t="s">
        <v>809</v>
      </c>
      <c r="K2046" s="249">
        <v>0</v>
      </c>
      <c r="M2046" s="90">
        <v>0</v>
      </c>
      <c r="N2046" s="90">
        <v>0</v>
      </c>
      <c r="O2046" s="90">
        <v>255</v>
      </c>
    </row>
    <row r="2047" spans="1:15" s="90" customFormat="1" ht="12.75" customHeight="1" x14ac:dyDescent="0.2">
      <c r="A2047" s="247" t="s">
        <v>1404</v>
      </c>
      <c r="B2047" s="316">
        <v>3081</v>
      </c>
      <c r="C2047" s="247" t="s">
        <v>975</v>
      </c>
      <c r="D2047" s="317">
        <v>42664</v>
      </c>
      <c r="E2047" s="318">
        <v>0.58673611111111112</v>
      </c>
      <c r="F2047" s="247" t="s">
        <v>981</v>
      </c>
      <c r="G2047" s="247" t="s">
        <v>1035</v>
      </c>
      <c r="H2047" s="248" t="s">
        <v>234</v>
      </c>
      <c r="I2047" s="248" t="s">
        <v>656</v>
      </c>
      <c r="J2047" s="247" t="s">
        <v>809</v>
      </c>
      <c r="K2047" s="249">
        <v>0</v>
      </c>
      <c r="M2047" s="90">
        <v>0</v>
      </c>
      <c r="N2047" s="90">
        <v>0</v>
      </c>
      <c r="O2047" s="90">
        <v>255</v>
      </c>
    </row>
    <row r="2048" spans="1:15" s="90" customFormat="1" ht="12.75" customHeight="1" x14ac:dyDescent="0.2">
      <c r="A2048" s="247" t="s">
        <v>989</v>
      </c>
      <c r="B2048" s="316">
        <v>3046</v>
      </c>
      <c r="C2048" s="247" t="s">
        <v>975</v>
      </c>
      <c r="D2048" s="317">
        <v>42664</v>
      </c>
      <c r="E2048" s="318">
        <v>0.62729166666666669</v>
      </c>
      <c r="F2048" s="247" t="s">
        <v>976</v>
      </c>
      <c r="G2048" s="247" t="s">
        <v>1035</v>
      </c>
      <c r="H2048" s="248" t="s">
        <v>404</v>
      </c>
      <c r="I2048" s="248" t="s">
        <v>404</v>
      </c>
      <c r="J2048" s="247" t="s">
        <v>809</v>
      </c>
      <c r="K2048" s="249">
        <v>0</v>
      </c>
      <c r="M2048" s="90">
        <v>0</v>
      </c>
      <c r="N2048" s="90">
        <v>0</v>
      </c>
      <c r="O2048" s="90">
        <v>255</v>
      </c>
    </row>
    <row r="2049" spans="1:15" s="90" customFormat="1" ht="12.75" customHeight="1" x14ac:dyDescent="0.2">
      <c r="A2049" s="247" t="s">
        <v>990</v>
      </c>
      <c r="B2049" s="316">
        <v>3046</v>
      </c>
      <c r="C2049" s="247" t="s">
        <v>975</v>
      </c>
      <c r="D2049" s="317">
        <v>42664</v>
      </c>
      <c r="E2049" s="318">
        <v>0.62800925925925932</v>
      </c>
      <c r="F2049" s="247" t="s">
        <v>976</v>
      </c>
      <c r="G2049" s="247" t="s">
        <v>1035</v>
      </c>
      <c r="H2049" s="248" t="s">
        <v>404</v>
      </c>
      <c r="I2049" s="248" t="s">
        <v>404</v>
      </c>
      <c r="J2049" s="247" t="s">
        <v>809</v>
      </c>
      <c r="K2049" s="249">
        <v>0</v>
      </c>
      <c r="M2049" s="90">
        <v>0</v>
      </c>
      <c r="N2049" s="90">
        <v>0</v>
      </c>
      <c r="O2049" s="90">
        <v>255</v>
      </c>
    </row>
    <row r="2050" spans="1:15" s="90" customFormat="1" ht="12.75" customHeight="1" x14ac:dyDescent="0.2">
      <c r="A2050" s="247" t="s">
        <v>993</v>
      </c>
      <c r="B2050" s="316">
        <v>3217</v>
      </c>
      <c r="C2050" s="247" t="s">
        <v>975</v>
      </c>
      <c r="D2050" s="317">
        <v>42664</v>
      </c>
      <c r="E2050" s="318">
        <v>0.62800925925925932</v>
      </c>
      <c r="F2050" s="247" t="s">
        <v>235</v>
      </c>
      <c r="G2050" s="247" t="s">
        <v>1035</v>
      </c>
      <c r="H2050" s="248" t="s">
        <v>234</v>
      </c>
      <c r="I2050" s="248" t="s">
        <v>235</v>
      </c>
      <c r="J2050" s="247" t="s">
        <v>809</v>
      </c>
      <c r="K2050" s="249">
        <v>0</v>
      </c>
      <c r="M2050" s="90">
        <v>0</v>
      </c>
      <c r="N2050" s="90">
        <v>0</v>
      </c>
      <c r="O2050" s="90">
        <v>255</v>
      </c>
    </row>
    <row r="2051" spans="1:15" s="90" customFormat="1" ht="12.75" customHeight="1" x14ac:dyDescent="0.2">
      <c r="A2051" s="247" t="s">
        <v>1405</v>
      </c>
      <c r="B2051" s="316">
        <v>3121</v>
      </c>
      <c r="C2051" s="247" t="s">
        <v>975</v>
      </c>
      <c r="D2051" s="317">
        <v>42664</v>
      </c>
      <c r="E2051" s="318">
        <v>0.65652777777777771</v>
      </c>
      <c r="F2051" s="247" t="s">
        <v>978</v>
      </c>
      <c r="G2051" s="247" t="s">
        <v>1035</v>
      </c>
      <c r="H2051" s="248"/>
      <c r="I2051" s="248"/>
      <c r="J2051" s="247"/>
      <c r="K2051" s="249"/>
      <c r="M2051" s="90">
        <v>0</v>
      </c>
      <c r="N2051" s="90">
        <v>0</v>
      </c>
      <c r="O2051" s="90">
        <v>255</v>
      </c>
    </row>
    <row r="2052" spans="1:15" s="90" customFormat="1" ht="12.75" customHeight="1" x14ac:dyDescent="0.2">
      <c r="A2052" s="247" t="s">
        <v>989</v>
      </c>
      <c r="B2052" s="316">
        <v>3046</v>
      </c>
      <c r="C2052" s="247" t="s">
        <v>975</v>
      </c>
      <c r="D2052" s="317">
        <v>42664</v>
      </c>
      <c r="E2052" s="318">
        <v>0.66967592592592595</v>
      </c>
      <c r="F2052" s="247" t="s">
        <v>976</v>
      </c>
      <c r="G2052" s="247"/>
      <c r="H2052" s="248" t="s">
        <v>404</v>
      </c>
      <c r="I2052" s="248" t="s">
        <v>404</v>
      </c>
      <c r="J2052" s="247" t="s">
        <v>809</v>
      </c>
      <c r="K2052" s="249">
        <v>0</v>
      </c>
      <c r="M2052" s="90">
        <v>0</v>
      </c>
      <c r="N2052" s="90">
        <v>0</v>
      </c>
      <c r="O2052" s="90">
        <v>255</v>
      </c>
    </row>
    <row r="2053" spans="1:15" s="90" customFormat="1" ht="12.75" customHeight="1" x14ac:dyDescent="0.2">
      <c r="A2053" s="247" t="s">
        <v>990</v>
      </c>
      <c r="B2053" s="316">
        <v>3046</v>
      </c>
      <c r="C2053" s="247" t="s">
        <v>975</v>
      </c>
      <c r="D2053" s="317">
        <v>42664</v>
      </c>
      <c r="E2053" s="318">
        <v>0.67039351851851858</v>
      </c>
      <c r="F2053" s="247" t="s">
        <v>976</v>
      </c>
      <c r="G2053" s="247"/>
      <c r="H2053" s="248" t="s">
        <v>404</v>
      </c>
      <c r="I2053" s="248" t="s">
        <v>404</v>
      </c>
      <c r="J2053" s="247" t="s">
        <v>809</v>
      </c>
      <c r="K2053" s="249">
        <v>0</v>
      </c>
      <c r="M2053" s="90">
        <v>0</v>
      </c>
      <c r="N2053" s="90">
        <v>0</v>
      </c>
      <c r="O2053" s="90">
        <v>255</v>
      </c>
    </row>
    <row r="2054" spans="1:15" s="90" customFormat="1" ht="12.75" customHeight="1" x14ac:dyDescent="0.2">
      <c r="A2054" s="247" t="s">
        <v>993</v>
      </c>
      <c r="B2054" s="316">
        <v>3217</v>
      </c>
      <c r="C2054" s="247" t="s">
        <v>975</v>
      </c>
      <c r="D2054" s="317">
        <v>42664</v>
      </c>
      <c r="E2054" s="318">
        <v>0.67039351851851858</v>
      </c>
      <c r="F2054" s="247" t="s">
        <v>235</v>
      </c>
      <c r="G2054" s="247"/>
      <c r="H2054" s="248" t="s">
        <v>234</v>
      </c>
      <c r="I2054" s="248" t="s">
        <v>235</v>
      </c>
      <c r="J2054" s="247" t="s">
        <v>809</v>
      </c>
      <c r="K2054" s="249">
        <v>0</v>
      </c>
      <c r="M2054" s="90">
        <v>0</v>
      </c>
      <c r="N2054" s="90">
        <v>0</v>
      </c>
      <c r="O2054" s="90">
        <v>255</v>
      </c>
    </row>
    <row r="2055" spans="1:15" s="90" customFormat="1" ht="12.75" customHeight="1" x14ac:dyDescent="0.2">
      <c r="A2055" s="247" t="s">
        <v>989</v>
      </c>
      <c r="B2055" s="316">
        <v>3046</v>
      </c>
      <c r="C2055" s="247" t="s">
        <v>975</v>
      </c>
      <c r="D2055" s="317">
        <v>42664</v>
      </c>
      <c r="E2055" s="318">
        <v>0.71206018518518521</v>
      </c>
      <c r="F2055" s="247" t="s">
        <v>976</v>
      </c>
      <c r="G2055" s="247"/>
      <c r="H2055" s="248" t="s">
        <v>404</v>
      </c>
      <c r="I2055" s="248" t="s">
        <v>404</v>
      </c>
      <c r="J2055" s="247" t="s">
        <v>809</v>
      </c>
      <c r="K2055" s="249">
        <v>0</v>
      </c>
      <c r="M2055" s="90">
        <v>0</v>
      </c>
      <c r="N2055" s="90">
        <v>0</v>
      </c>
      <c r="O2055" s="90">
        <v>255</v>
      </c>
    </row>
    <row r="2056" spans="1:15" s="90" customFormat="1" ht="12.75" customHeight="1" x14ac:dyDescent="0.2">
      <c r="A2056" s="247" t="s">
        <v>990</v>
      </c>
      <c r="B2056" s="316">
        <v>3046</v>
      </c>
      <c r="C2056" s="247" t="s">
        <v>975</v>
      </c>
      <c r="D2056" s="317">
        <v>42664</v>
      </c>
      <c r="E2056" s="318">
        <v>0.71277777777777773</v>
      </c>
      <c r="F2056" s="247" t="s">
        <v>976</v>
      </c>
      <c r="G2056" s="247"/>
      <c r="H2056" s="248" t="s">
        <v>404</v>
      </c>
      <c r="I2056" s="248" t="s">
        <v>404</v>
      </c>
      <c r="J2056" s="247" t="s">
        <v>809</v>
      </c>
      <c r="K2056" s="249">
        <v>0</v>
      </c>
      <c r="M2056" s="90">
        <v>0</v>
      </c>
      <c r="N2056" s="90">
        <v>0</v>
      </c>
      <c r="O2056" s="90">
        <v>255</v>
      </c>
    </row>
    <row r="2057" spans="1:15" s="90" customFormat="1" ht="12.75" customHeight="1" x14ac:dyDescent="0.2">
      <c r="A2057" s="247" t="s">
        <v>993</v>
      </c>
      <c r="B2057" s="316">
        <v>3217</v>
      </c>
      <c r="C2057" s="247" t="s">
        <v>975</v>
      </c>
      <c r="D2057" s="317">
        <v>42664</v>
      </c>
      <c r="E2057" s="318">
        <v>0.71277777777777773</v>
      </c>
      <c r="F2057" s="247" t="s">
        <v>235</v>
      </c>
      <c r="G2057" s="247"/>
      <c r="H2057" s="248" t="s">
        <v>234</v>
      </c>
      <c r="I2057" s="248" t="s">
        <v>235</v>
      </c>
      <c r="J2057" s="247" t="s">
        <v>809</v>
      </c>
      <c r="K2057" s="249">
        <v>0</v>
      </c>
      <c r="M2057" s="90">
        <v>0</v>
      </c>
      <c r="N2057" s="90">
        <v>0</v>
      </c>
      <c r="O2057" s="90">
        <v>255</v>
      </c>
    </row>
    <row r="2058" spans="1:15" s="90" customFormat="1" ht="12.75" customHeight="1" x14ac:dyDescent="0.2">
      <c r="A2058" s="247" t="s">
        <v>989</v>
      </c>
      <c r="B2058" s="316">
        <v>3046</v>
      </c>
      <c r="C2058" s="247" t="s">
        <v>975</v>
      </c>
      <c r="D2058" s="317">
        <v>42664</v>
      </c>
      <c r="E2058" s="318">
        <v>0.75444444444444436</v>
      </c>
      <c r="F2058" s="247" t="s">
        <v>976</v>
      </c>
      <c r="G2058" s="247"/>
      <c r="H2058" s="248" t="s">
        <v>404</v>
      </c>
      <c r="I2058" s="248" t="s">
        <v>404</v>
      </c>
      <c r="J2058" s="247" t="s">
        <v>809</v>
      </c>
      <c r="K2058" s="249">
        <v>0</v>
      </c>
      <c r="M2058" s="90">
        <v>0</v>
      </c>
      <c r="N2058" s="90">
        <v>0</v>
      </c>
      <c r="O2058" s="90">
        <v>255</v>
      </c>
    </row>
    <row r="2059" spans="1:15" s="90" customFormat="1" ht="12.75" customHeight="1" x14ac:dyDescent="0.2">
      <c r="A2059" s="247" t="s">
        <v>990</v>
      </c>
      <c r="B2059" s="316">
        <v>3046</v>
      </c>
      <c r="C2059" s="247" t="s">
        <v>975</v>
      </c>
      <c r="D2059" s="317">
        <v>42664</v>
      </c>
      <c r="E2059" s="318">
        <v>0.75516203703703699</v>
      </c>
      <c r="F2059" s="247" t="s">
        <v>976</v>
      </c>
      <c r="G2059" s="247"/>
      <c r="H2059" s="248" t="s">
        <v>404</v>
      </c>
      <c r="I2059" s="248" t="s">
        <v>404</v>
      </c>
      <c r="J2059" s="247" t="s">
        <v>809</v>
      </c>
      <c r="K2059" s="249">
        <v>0</v>
      </c>
      <c r="M2059" s="90">
        <v>0</v>
      </c>
      <c r="N2059" s="90">
        <v>0</v>
      </c>
      <c r="O2059" s="90">
        <v>255</v>
      </c>
    </row>
    <row r="2060" spans="1:15" s="90" customFormat="1" ht="12.75" customHeight="1" x14ac:dyDescent="0.2">
      <c r="A2060" s="247" t="s">
        <v>993</v>
      </c>
      <c r="B2060" s="316">
        <v>3217</v>
      </c>
      <c r="C2060" s="247" t="s">
        <v>975</v>
      </c>
      <c r="D2060" s="317">
        <v>42664</v>
      </c>
      <c r="E2060" s="318">
        <v>0.75516203703703699</v>
      </c>
      <c r="F2060" s="247" t="s">
        <v>235</v>
      </c>
      <c r="G2060" s="247"/>
      <c r="H2060" s="248" t="s">
        <v>234</v>
      </c>
      <c r="I2060" s="248" t="s">
        <v>235</v>
      </c>
      <c r="J2060" s="247" t="s">
        <v>809</v>
      </c>
      <c r="K2060" s="249">
        <v>0</v>
      </c>
      <c r="M2060" s="90">
        <v>0</v>
      </c>
      <c r="N2060" s="90">
        <v>0</v>
      </c>
      <c r="O2060" s="90">
        <v>255</v>
      </c>
    </row>
    <row r="2061" spans="1:15" s="90" customFormat="1" ht="12.75" customHeight="1" x14ac:dyDescent="0.2">
      <c r="A2061" s="247" t="s">
        <v>989</v>
      </c>
      <c r="B2061" s="316">
        <v>3046</v>
      </c>
      <c r="C2061" s="247" t="s">
        <v>975</v>
      </c>
      <c r="D2061" s="317">
        <v>42664</v>
      </c>
      <c r="E2061" s="318">
        <v>0.79682870370370373</v>
      </c>
      <c r="F2061" s="247" t="s">
        <v>976</v>
      </c>
      <c r="G2061" s="247"/>
      <c r="H2061" s="248" t="s">
        <v>404</v>
      </c>
      <c r="I2061" s="248" t="s">
        <v>404</v>
      </c>
      <c r="J2061" s="247" t="s">
        <v>809</v>
      </c>
      <c r="K2061" s="249">
        <v>0</v>
      </c>
      <c r="M2061" s="90">
        <v>0</v>
      </c>
      <c r="N2061" s="90">
        <v>0</v>
      </c>
      <c r="O2061" s="90">
        <v>255</v>
      </c>
    </row>
    <row r="2062" spans="1:15" s="90" customFormat="1" ht="12.75" customHeight="1" x14ac:dyDescent="0.2">
      <c r="A2062" s="247" t="s">
        <v>990</v>
      </c>
      <c r="B2062" s="316">
        <v>3046</v>
      </c>
      <c r="C2062" s="247" t="s">
        <v>975</v>
      </c>
      <c r="D2062" s="317">
        <v>42664</v>
      </c>
      <c r="E2062" s="318">
        <v>0.79754629629629636</v>
      </c>
      <c r="F2062" s="247" t="s">
        <v>976</v>
      </c>
      <c r="G2062" s="247"/>
      <c r="H2062" s="248" t="s">
        <v>404</v>
      </c>
      <c r="I2062" s="248" t="s">
        <v>404</v>
      </c>
      <c r="J2062" s="247" t="s">
        <v>809</v>
      </c>
      <c r="K2062" s="249">
        <v>0</v>
      </c>
      <c r="M2062" s="90">
        <v>0</v>
      </c>
      <c r="N2062" s="90">
        <v>0</v>
      </c>
      <c r="O2062" s="90">
        <v>255</v>
      </c>
    </row>
    <row r="2063" spans="1:15" s="90" customFormat="1" ht="12.75" customHeight="1" x14ac:dyDescent="0.2">
      <c r="A2063" s="247" t="s">
        <v>993</v>
      </c>
      <c r="B2063" s="316">
        <v>3217</v>
      </c>
      <c r="C2063" s="247" t="s">
        <v>975</v>
      </c>
      <c r="D2063" s="317">
        <v>42664</v>
      </c>
      <c r="E2063" s="318">
        <v>0.79754629629629636</v>
      </c>
      <c r="F2063" s="247" t="s">
        <v>235</v>
      </c>
      <c r="G2063" s="247"/>
      <c r="H2063" s="248" t="s">
        <v>234</v>
      </c>
      <c r="I2063" s="248" t="s">
        <v>235</v>
      </c>
      <c r="J2063" s="247" t="s">
        <v>809</v>
      </c>
      <c r="K2063" s="249">
        <v>0</v>
      </c>
      <c r="M2063" s="90">
        <v>0</v>
      </c>
      <c r="N2063" s="90">
        <v>0</v>
      </c>
      <c r="O2063" s="90">
        <v>255</v>
      </c>
    </row>
    <row r="2064" spans="1:15" s="90" customFormat="1" ht="12.75" customHeight="1" x14ac:dyDescent="0.2">
      <c r="A2064" s="247" t="s">
        <v>989</v>
      </c>
      <c r="B2064" s="316">
        <v>3046</v>
      </c>
      <c r="C2064" s="247" t="s">
        <v>975</v>
      </c>
      <c r="D2064" s="317">
        <v>42664</v>
      </c>
      <c r="E2064" s="318">
        <v>0.83921296296296299</v>
      </c>
      <c r="F2064" s="247" t="s">
        <v>976</v>
      </c>
      <c r="G2064" s="247"/>
      <c r="H2064" s="248" t="s">
        <v>404</v>
      </c>
      <c r="I2064" s="248" t="s">
        <v>404</v>
      </c>
      <c r="J2064" s="247" t="s">
        <v>809</v>
      </c>
      <c r="K2064" s="249">
        <v>0</v>
      </c>
      <c r="M2064" s="90">
        <v>0</v>
      </c>
      <c r="N2064" s="90">
        <v>0</v>
      </c>
      <c r="O2064" s="90">
        <v>255</v>
      </c>
    </row>
    <row r="2065" spans="1:15" s="90" customFormat="1" ht="12.75" customHeight="1" x14ac:dyDescent="0.2">
      <c r="A2065" s="247" t="s">
        <v>990</v>
      </c>
      <c r="B2065" s="316">
        <v>3046</v>
      </c>
      <c r="C2065" s="247" t="s">
        <v>975</v>
      </c>
      <c r="D2065" s="317">
        <v>42664</v>
      </c>
      <c r="E2065" s="318">
        <v>0.83993055555555562</v>
      </c>
      <c r="F2065" s="247" t="s">
        <v>976</v>
      </c>
      <c r="G2065" s="247"/>
      <c r="H2065" s="248" t="s">
        <v>404</v>
      </c>
      <c r="I2065" s="248" t="s">
        <v>404</v>
      </c>
      <c r="J2065" s="247" t="s">
        <v>809</v>
      </c>
      <c r="K2065" s="249">
        <v>0</v>
      </c>
      <c r="M2065" s="90">
        <v>0</v>
      </c>
      <c r="N2065" s="90">
        <v>0</v>
      </c>
      <c r="O2065" s="90">
        <v>255</v>
      </c>
    </row>
    <row r="2066" spans="1:15" s="90" customFormat="1" ht="12.75" customHeight="1" x14ac:dyDescent="0.2">
      <c r="A2066" s="247" t="s">
        <v>993</v>
      </c>
      <c r="B2066" s="316">
        <v>3217</v>
      </c>
      <c r="C2066" s="247" t="s">
        <v>975</v>
      </c>
      <c r="D2066" s="317">
        <v>42664</v>
      </c>
      <c r="E2066" s="318">
        <v>0.83993055555555562</v>
      </c>
      <c r="F2066" s="247" t="s">
        <v>235</v>
      </c>
      <c r="G2066" s="247"/>
      <c r="H2066" s="248" t="s">
        <v>234</v>
      </c>
      <c r="I2066" s="248" t="s">
        <v>235</v>
      </c>
      <c r="J2066" s="247" t="s">
        <v>809</v>
      </c>
      <c r="K2066" s="249">
        <v>0</v>
      </c>
      <c r="M2066" s="90">
        <v>0</v>
      </c>
      <c r="N2066" s="90">
        <v>0</v>
      </c>
      <c r="O2066" s="90">
        <v>255</v>
      </c>
    </row>
    <row r="2067" spans="1:15" s="90" customFormat="1" ht="12.75" customHeight="1" x14ac:dyDescent="0.2">
      <c r="A2067" s="247" t="s">
        <v>617</v>
      </c>
      <c r="B2067" s="316">
        <v>4050</v>
      </c>
      <c r="C2067" s="247" t="s">
        <v>996</v>
      </c>
      <c r="D2067" s="317">
        <v>42664</v>
      </c>
      <c r="E2067" s="318">
        <v>0.84428240740740745</v>
      </c>
      <c r="F2067" s="247" t="s">
        <v>702</v>
      </c>
      <c r="G2067" s="247"/>
      <c r="H2067" s="248" t="s">
        <v>4</v>
      </c>
      <c r="I2067" s="248" t="s">
        <v>18</v>
      </c>
      <c r="J2067" s="247" t="s">
        <v>809</v>
      </c>
      <c r="K2067" s="249">
        <v>0</v>
      </c>
      <c r="L2067" s="90" t="s">
        <v>1776</v>
      </c>
      <c r="M2067" s="90">
        <v>539</v>
      </c>
      <c r="N2067" s="90">
        <v>-1</v>
      </c>
      <c r="O2067" s="90">
        <v>0</v>
      </c>
    </row>
    <row r="2068" spans="1:15" s="90" customFormat="1" ht="12.75" customHeight="1" x14ac:dyDescent="0.2">
      <c r="A2068" s="247" t="s">
        <v>617</v>
      </c>
      <c r="B2068" s="316">
        <v>4050</v>
      </c>
      <c r="C2068" s="247" t="s">
        <v>996</v>
      </c>
      <c r="D2068" s="317">
        <v>42664</v>
      </c>
      <c r="E2068" s="318">
        <v>0.84525462962962961</v>
      </c>
      <c r="F2068" s="247" t="s">
        <v>702</v>
      </c>
      <c r="G2068" s="247"/>
      <c r="H2068" s="248" t="s">
        <v>4</v>
      </c>
      <c r="I2068" s="248" t="s">
        <v>18</v>
      </c>
      <c r="J2068" s="247" t="s">
        <v>809</v>
      </c>
      <c r="K2068" s="249">
        <v>0</v>
      </c>
      <c r="L2068" s="90" t="s">
        <v>1776</v>
      </c>
      <c r="M2068" s="90">
        <v>539</v>
      </c>
      <c r="N2068" s="90">
        <v>-1</v>
      </c>
      <c r="O2068" s="90">
        <v>0</v>
      </c>
    </row>
    <row r="2069" spans="1:15" s="90" customFormat="1" ht="12.75" customHeight="1" x14ac:dyDescent="0.2">
      <c r="A2069" s="247" t="s">
        <v>617</v>
      </c>
      <c r="B2069" s="316">
        <v>4050</v>
      </c>
      <c r="C2069" s="247" t="s">
        <v>996</v>
      </c>
      <c r="D2069" s="317">
        <v>42664</v>
      </c>
      <c r="E2069" s="318">
        <v>0.84789351851851846</v>
      </c>
      <c r="F2069" s="247" t="s">
        <v>702</v>
      </c>
      <c r="G2069" s="247"/>
      <c r="H2069" s="248" t="s">
        <v>4</v>
      </c>
      <c r="I2069" s="248" t="s">
        <v>18</v>
      </c>
      <c r="J2069" s="247" t="s">
        <v>809</v>
      </c>
      <c r="K2069" s="249">
        <v>0</v>
      </c>
      <c r="L2069" s="90" t="s">
        <v>1776</v>
      </c>
      <c r="M2069" s="90">
        <v>539</v>
      </c>
      <c r="N2069" s="90">
        <v>-1</v>
      </c>
      <c r="O2069" s="90">
        <v>0</v>
      </c>
    </row>
    <row r="2070" spans="1:15" s="90" customFormat="1" ht="12.75" customHeight="1" x14ac:dyDescent="0.2">
      <c r="A2070" s="247" t="s">
        <v>989</v>
      </c>
      <c r="B2070" s="316">
        <v>3046</v>
      </c>
      <c r="C2070" s="247" t="s">
        <v>975</v>
      </c>
      <c r="D2070" s="317">
        <v>42664</v>
      </c>
      <c r="E2070" s="318">
        <v>0.88159722222222225</v>
      </c>
      <c r="F2070" s="247" t="s">
        <v>976</v>
      </c>
      <c r="G2070" s="247"/>
      <c r="H2070" s="248" t="s">
        <v>404</v>
      </c>
      <c r="I2070" s="248" t="s">
        <v>404</v>
      </c>
      <c r="J2070" s="247" t="s">
        <v>809</v>
      </c>
      <c r="K2070" s="249">
        <v>0</v>
      </c>
      <c r="M2070" s="90">
        <v>0</v>
      </c>
      <c r="N2070" s="90">
        <v>0</v>
      </c>
      <c r="O2070" s="90">
        <v>255</v>
      </c>
    </row>
    <row r="2071" spans="1:15" s="90" customFormat="1" ht="12.75" customHeight="1" x14ac:dyDescent="0.2">
      <c r="A2071" s="247" t="s">
        <v>990</v>
      </c>
      <c r="B2071" s="316">
        <v>3046</v>
      </c>
      <c r="C2071" s="247" t="s">
        <v>975</v>
      </c>
      <c r="D2071" s="317">
        <v>42664</v>
      </c>
      <c r="E2071" s="318">
        <v>0.88230324074074085</v>
      </c>
      <c r="F2071" s="247" t="s">
        <v>976</v>
      </c>
      <c r="G2071" s="247"/>
      <c r="H2071" s="248" t="s">
        <v>404</v>
      </c>
      <c r="I2071" s="248" t="s">
        <v>404</v>
      </c>
      <c r="J2071" s="247" t="s">
        <v>809</v>
      </c>
      <c r="K2071" s="249">
        <v>0</v>
      </c>
      <c r="M2071" s="90">
        <v>0</v>
      </c>
      <c r="N2071" s="90">
        <v>0</v>
      </c>
      <c r="O2071" s="90">
        <v>255</v>
      </c>
    </row>
    <row r="2072" spans="1:15" s="90" customFormat="1" ht="12.75" customHeight="1" x14ac:dyDescent="0.2">
      <c r="A2072" s="247" t="s">
        <v>993</v>
      </c>
      <c r="B2072" s="316">
        <v>3217</v>
      </c>
      <c r="C2072" s="247" t="s">
        <v>975</v>
      </c>
      <c r="D2072" s="317">
        <v>42664</v>
      </c>
      <c r="E2072" s="318">
        <v>0.88230324074074085</v>
      </c>
      <c r="F2072" s="247" t="s">
        <v>235</v>
      </c>
      <c r="G2072" s="247"/>
      <c r="H2072" s="248" t="s">
        <v>234</v>
      </c>
      <c r="I2072" s="248" t="s">
        <v>235</v>
      </c>
      <c r="J2072" s="247" t="s">
        <v>809</v>
      </c>
      <c r="K2072" s="249">
        <v>0</v>
      </c>
      <c r="M2072" s="90">
        <v>0</v>
      </c>
      <c r="N2072" s="90">
        <v>0</v>
      </c>
      <c r="O2072" s="90">
        <v>255</v>
      </c>
    </row>
    <row r="2073" spans="1:15" s="90" customFormat="1" ht="12.75" customHeight="1" x14ac:dyDescent="0.2">
      <c r="A2073" s="247" t="s">
        <v>617</v>
      </c>
      <c r="B2073" s="316">
        <v>4050</v>
      </c>
      <c r="C2073" s="247" t="s">
        <v>996</v>
      </c>
      <c r="D2073" s="317">
        <v>42664</v>
      </c>
      <c r="E2073" s="318">
        <v>0.88568287037037041</v>
      </c>
      <c r="F2073" s="247" t="s">
        <v>702</v>
      </c>
      <c r="G2073" s="247"/>
      <c r="H2073" s="248" t="s">
        <v>4</v>
      </c>
      <c r="I2073" s="248" t="s">
        <v>18</v>
      </c>
      <c r="J2073" s="247" t="s">
        <v>809</v>
      </c>
      <c r="K2073" s="249">
        <v>0</v>
      </c>
      <c r="L2073" s="90" t="s">
        <v>1776</v>
      </c>
      <c r="M2073" s="90">
        <v>539</v>
      </c>
      <c r="N2073" s="90">
        <v>-1</v>
      </c>
      <c r="O2073" s="90">
        <v>0</v>
      </c>
    </row>
    <row r="2074" spans="1:15" s="90" customFormat="1" ht="12.75" customHeight="1" x14ac:dyDescent="0.2">
      <c r="A2074" s="247" t="s">
        <v>989</v>
      </c>
      <c r="B2074" s="316">
        <v>3046</v>
      </c>
      <c r="C2074" s="247" t="s">
        <v>975</v>
      </c>
      <c r="D2074" s="317">
        <v>42664</v>
      </c>
      <c r="E2074" s="318">
        <v>0.9239814814814814</v>
      </c>
      <c r="F2074" s="247" t="s">
        <v>976</v>
      </c>
      <c r="G2074" s="247"/>
      <c r="H2074" s="248" t="s">
        <v>404</v>
      </c>
      <c r="I2074" s="248" t="s">
        <v>404</v>
      </c>
      <c r="J2074" s="247" t="s">
        <v>809</v>
      </c>
      <c r="K2074" s="249">
        <v>0</v>
      </c>
      <c r="M2074" s="90">
        <v>0</v>
      </c>
      <c r="N2074" s="90">
        <v>0</v>
      </c>
      <c r="O2074" s="90">
        <v>255</v>
      </c>
    </row>
    <row r="2075" spans="1:15" s="90" customFormat="1" ht="12.75" customHeight="1" x14ac:dyDescent="0.2">
      <c r="A2075" s="247" t="s">
        <v>990</v>
      </c>
      <c r="B2075" s="316">
        <v>3046</v>
      </c>
      <c r="C2075" s="247" t="s">
        <v>975</v>
      </c>
      <c r="D2075" s="317">
        <v>42664</v>
      </c>
      <c r="E2075" s="318">
        <v>0.9246875</v>
      </c>
      <c r="F2075" s="247" t="s">
        <v>976</v>
      </c>
      <c r="G2075" s="247"/>
      <c r="H2075" s="248" t="s">
        <v>404</v>
      </c>
      <c r="I2075" s="248" t="s">
        <v>404</v>
      </c>
      <c r="J2075" s="247" t="s">
        <v>809</v>
      </c>
      <c r="K2075" s="249">
        <v>0</v>
      </c>
      <c r="M2075" s="90">
        <v>0</v>
      </c>
      <c r="N2075" s="90">
        <v>0</v>
      </c>
      <c r="O2075" s="90">
        <v>255</v>
      </c>
    </row>
    <row r="2076" spans="1:15" s="90" customFormat="1" ht="12.75" customHeight="1" x14ac:dyDescent="0.2">
      <c r="A2076" s="247" t="s">
        <v>993</v>
      </c>
      <c r="B2076" s="316">
        <v>3217</v>
      </c>
      <c r="C2076" s="247" t="s">
        <v>975</v>
      </c>
      <c r="D2076" s="317">
        <v>42664</v>
      </c>
      <c r="E2076" s="318">
        <v>0.9246875</v>
      </c>
      <c r="F2076" s="247" t="s">
        <v>235</v>
      </c>
      <c r="G2076" s="247"/>
      <c r="H2076" s="248" t="s">
        <v>234</v>
      </c>
      <c r="I2076" s="248" t="s">
        <v>235</v>
      </c>
      <c r="J2076" s="247" t="s">
        <v>809</v>
      </c>
      <c r="K2076" s="249">
        <v>0</v>
      </c>
      <c r="M2076" s="90">
        <v>0</v>
      </c>
      <c r="N2076" s="90">
        <v>0</v>
      </c>
      <c r="O2076" s="90">
        <v>255</v>
      </c>
    </row>
    <row r="2077" spans="1:15" s="90" customFormat="1" ht="12.75" customHeight="1" x14ac:dyDescent="0.2">
      <c r="A2077" s="247" t="s">
        <v>617</v>
      </c>
      <c r="B2077" s="316">
        <v>4050</v>
      </c>
      <c r="C2077" s="247" t="s">
        <v>996</v>
      </c>
      <c r="D2077" s="317">
        <v>42664</v>
      </c>
      <c r="E2077" s="318">
        <v>0.92538194444444455</v>
      </c>
      <c r="F2077" s="247" t="s">
        <v>702</v>
      </c>
      <c r="G2077" s="247"/>
      <c r="H2077" s="248" t="s">
        <v>4</v>
      </c>
      <c r="I2077" s="248" t="s">
        <v>18</v>
      </c>
      <c r="J2077" s="247" t="s">
        <v>809</v>
      </c>
      <c r="K2077" s="249">
        <v>0</v>
      </c>
      <c r="L2077" s="90" t="s">
        <v>1776</v>
      </c>
      <c r="M2077" s="90">
        <v>539</v>
      </c>
      <c r="N2077" s="90">
        <v>-1</v>
      </c>
      <c r="O2077" s="90">
        <v>0</v>
      </c>
    </row>
    <row r="2078" spans="1:15" s="90" customFormat="1" ht="12.75" customHeight="1" x14ac:dyDescent="0.2">
      <c r="A2078" s="247" t="s">
        <v>617</v>
      </c>
      <c r="B2078" s="316">
        <v>4050</v>
      </c>
      <c r="C2078" s="247" t="s">
        <v>996</v>
      </c>
      <c r="D2078" s="317">
        <v>42664</v>
      </c>
      <c r="E2078" s="318">
        <v>0.9275578703703703</v>
      </c>
      <c r="F2078" s="247" t="s">
        <v>702</v>
      </c>
      <c r="G2078" s="247"/>
      <c r="H2078" s="248" t="s">
        <v>4</v>
      </c>
      <c r="I2078" s="248" t="s">
        <v>18</v>
      </c>
      <c r="J2078" s="247" t="s">
        <v>809</v>
      </c>
      <c r="K2078" s="249">
        <v>0</v>
      </c>
      <c r="L2078" s="90" t="s">
        <v>1776</v>
      </c>
      <c r="M2078" s="90">
        <v>539</v>
      </c>
      <c r="N2078" s="90">
        <v>-1</v>
      </c>
      <c r="O2078" s="90">
        <v>0</v>
      </c>
    </row>
    <row r="2079" spans="1:15" s="90" customFormat="1" ht="12.75" customHeight="1" x14ac:dyDescent="0.2">
      <c r="A2079" s="247" t="s">
        <v>1406</v>
      </c>
      <c r="B2079" s="316">
        <v>3106</v>
      </c>
      <c r="C2079" s="247" t="s">
        <v>975</v>
      </c>
      <c r="D2079" s="317">
        <v>42664</v>
      </c>
      <c r="E2079" s="318">
        <v>0.95020833333333332</v>
      </c>
      <c r="F2079" s="247" t="s">
        <v>978</v>
      </c>
      <c r="G2079" s="247" t="s">
        <v>1407</v>
      </c>
      <c r="H2079" s="248" t="s">
        <v>234</v>
      </c>
      <c r="I2079" s="248" t="s">
        <v>677</v>
      </c>
      <c r="J2079" s="247" t="s">
        <v>809</v>
      </c>
      <c r="K2079" s="249">
        <v>0</v>
      </c>
      <c r="M2079" s="90">
        <v>0</v>
      </c>
      <c r="N2079" s="90">
        <v>0</v>
      </c>
      <c r="O2079" s="90">
        <v>255</v>
      </c>
    </row>
    <row r="2080" spans="1:15" s="90" customFormat="1" ht="12.75" customHeight="1" x14ac:dyDescent="0.2">
      <c r="A2080" s="247" t="s">
        <v>1408</v>
      </c>
      <c r="B2080" s="316">
        <v>3108</v>
      </c>
      <c r="C2080" s="247" t="s">
        <v>975</v>
      </c>
      <c r="D2080" s="317">
        <v>42664</v>
      </c>
      <c r="E2080" s="318">
        <v>0.96021990740740737</v>
      </c>
      <c r="F2080" s="247" t="s">
        <v>978</v>
      </c>
      <c r="G2080" s="247" t="s">
        <v>1407</v>
      </c>
      <c r="H2080" s="248" t="s">
        <v>234</v>
      </c>
      <c r="I2080" s="248" t="s">
        <v>677</v>
      </c>
      <c r="J2080" s="247" t="s">
        <v>809</v>
      </c>
      <c r="K2080" s="249">
        <v>0</v>
      </c>
      <c r="M2080" s="90">
        <v>0</v>
      </c>
      <c r="N2080" s="90">
        <v>0</v>
      </c>
      <c r="O2080" s="90">
        <v>255</v>
      </c>
    </row>
    <row r="2081" spans="1:15" s="90" customFormat="1" ht="12.75" customHeight="1" x14ac:dyDescent="0.2">
      <c r="A2081" s="247" t="s">
        <v>989</v>
      </c>
      <c r="B2081" s="316">
        <v>3046</v>
      </c>
      <c r="C2081" s="247" t="s">
        <v>975</v>
      </c>
      <c r="D2081" s="317">
        <v>42664</v>
      </c>
      <c r="E2081" s="318">
        <v>0.96635416666666663</v>
      </c>
      <c r="F2081" s="247" t="s">
        <v>976</v>
      </c>
      <c r="G2081" s="247"/>
      <c r="H2081" s="248" t="s">
        <v>404</v>
      </c>
      <c r="I2081" s="248" t="s">
        <v>404</v>
      </c>
      <c r="J2081" s="247" t="s">
        <v>809</v>
      </c>
      <c r="K2081" s="249">
        <v>0</v>
      </c>
      <c r="M2081" s="90">
        <v>0</v>
      </c>
      <c r="N2081" s="90">
        <v>0</v>
      </c>
      <c r="O2081" s="90">
        <v>255</v>
      </c>
    </row>
    <row r="2082" spans="1:15" s="90" customFormat="1" ht="12.75" customHeight="1" x14ac:dyDescent="0.2">
      <c r="A2082" s="247" t="s">
        <v>777</v>
      </c>
      <c r="B2082" s="316">
        <v>2000</v>
      </c>
      <c r="C2082" s="247" t="s">
        <v>979</v>
      </c>
      <c r="D2082" s="317">
        <v>42664</v>
      </c>
      <c r="E2082" s="318">
        <v>0.96663194444444445</v>
      </c>
      <c r="F2082" s="247" t="s">
        <v>702</v>
      </c>
      <c r="G2082" s="247"/>
      <c r="H2082" s="248" t="s">
        <v>4</v>
      </c>
      <c r="I2082" s="248" t="s">
        <v>14</v>
      </c>
      <c r="J2082" s="247" t="s">
        <v>809</v>
      </c>
      <c r="K2082" s="249">
        <v>0</v>
      </c>
      <c r="L2082" s="90" t="s">
        <v>1780</v>
      </c>
      <c r="M2082" s="90">
        <v>338</v>
      </c>
      <c r="N2082" s="90">
        <v>-1</v>
      </c>
      <c r="O2082" s="90">
        <v>0</v>
      </c>
    </row>
    <row r="2083" spans="1:15" s="90" customFormat="1" ht="12.75" customHeight="1" x14ac:dyDescent="0.2">
      <c r="A2083" s="247" t="s">
        <v>998</v>
      </c>
      <c r="B2083" s="316">
        <v>3046</v>
      </c>
      <c r="C2083" s="247" t="s">
        <v>975</v>
      </c>
      <c r="D2083" s="317">
        <v>42664</v>
      </c>
      <c r="E2083" s="318">
        <v>0.96663194444444445</v>
      </c>
      <c r="F2083" s="247" t="s">
        <v>976</v>
      </c>
      <c r="G2083" s="247"/>
      <c r="H2083" s="248" t="s">
        <v>404</v>
      </c>
      <c r="I2083" s="248" t="s">
        <v>404</v>
      </c>
      <c r="J2083" s="247" t="s">
        <v>809</v>
      </c>
      <c r="K2083" s="249">
        <v>0</v>
      </c>
      <c r="M2083" s="90">
        <v>0</v>
      </c>
      <c r="N2083" s="90">
        <v>0</v>
      </c>
      <c r="O2083" s="90">
        <v>255</v>
      </c>
    </row>
    <row r="2084" spans="1:15" s="90" customFormat="1" ht="12.75" customHeight="1" x14ac:dyDescent="0.2">
      <c r="A2084" s="247" t="s">
        <v>993</v>
      </c>
      <c r="B2084" s="316">
        <v>3217</v>
      </c>
      <c r="C2084" s="247" t="s">
        <v>975</v>
      </c>
      <c r="D2084" s="317">
        <v>42664</v>
      </c>
      <c r="E2084" s="318">
        <v>0.96707175925925926</v>
      </c>
      <c r="F2084" s="247" t="s">
        <v>235</v>
      </c>
      <c r="G2084" s="247"/>
      <c r="H2084" s="248" t="s">
        <v>234</v>
      </c>
      <c r="I2084" s="248" t="s">
        <v>235</v>
      </c>
      <c r="J2084" s="247" t="s">
        <v>809</v>
      </c>
      <c r="K2084" s="249">
        <v>0</v>
      </c>
      <c r="M2084" s="90">
        <v>0</v>
      </c>
      <c r="N2084" s="90">
        <v>0</v>
      </c>
      <c r="O2084" s="90">
        <v>255</v>
      </c>
    </row>
    <row r="2085" spans="1:15" s="90" customFormat="1" ht="12.75" customHeight="1" x14ac:dyDescent="0.2">
      <c r="A2085" s="247" t="s">
        <v>617</v>
      </c>
      <c r="B2085" s="316">
        <v>4050</v>
      </c>
      <c r="C2085" s="247" t="s">
        <v>996</v>
      </c>
      <c r="D2085" s="317">
        <v>42664</v>
      </c>
      <c r="E2085" s="318">
        <v>0.96842592592592591</v>
      </c>
      <c r="F2085" s="247" t="s">
        <v>702</v>
      </c>
      <c r="G2085" s="247"/>
      <c r="H2085" s="248" t="s">
        <v>4</v>
      </c>
      <c r="I2085" s="248" t="s">
        <v>18</v>
      </c>
      <c r="J2085" s="247" t="s">
        <v>809</v>
      </c>
      <c r="K2085" s="249">
        <v>0</v>
      </c>
      <c r="L2085" s="90" t="s">
        <v>1776</v>
      </c>
      <c r="M2085" s="90">
        <v>539</v>
      </c>
      <c r="N2085" s="90">
        <v>-1</v>
      </c>
      <c r="O2085" s="90">
        <v>0</v>
      </c>
    </row>
    <row r="2086" spans="1:15" s="90" customFormat="1" ht="12.75" customHeight="1" x14ac:dyDescent="0.2">
      <c r="A2086" s="247" t="s">
        <v>1034</v>
      </c>
      <c r="B2086" s="316">
        <v>3106</v>
      </c>
      <c r="C2086" s="247" t="s">
        <v>975</v>
      </c>
      <c r="D2086" s="317">
        <v>42668</v>
      </c>
      <c r="E2086" s="318">
        <v>0.29608796296296297</v>
      </c>
      <c r="F2086" s="247" t="s">
        <v>978</v>
      </c>
      <c r="G2086" s="247" t="s">
        <v>1035</v>
      </c>
      <c r="H2086" s="248" t="s">
        <v>234</v>
      </c>
      <c r="I2086" s="248" t="s">
        <v>677</v>
      </c>
      <c r="J2086" s="247" t="s">
        <v>809</v>
      </c>
      <c r="K2086" s="249">
        <v>0</v>
      </c>
      <c r="M2086" s="90">
        <v>0</v>
      </c>
      <c r="N2086" s="90">
        <v>0</v>
      </c>
      <c r="O2086" s="90">
        <v>255</v>
      </c>
    </row>
    <row r="2087" spans="1:15" s="90" customFormat="1" ht="12.75" customHeight="1" x14ac:dyDescent="0.2">
      <c r="A2087" s="247" t="s">
        <v>1000</v>
      </c>
      <c r="B2087" s="316">
        <v>3046</v>
      </c>
      <c r="C2087" s="247" t="s">
        <v>975</v>
      </c>
      <c r="D2087" s="317">
        <v>42668</v>
      </c>
      <c r="E2087" s="318">
        <v>0.29701388888888886</v>
      </c>
      <c r="F2087" s="247" t="s">
        <v>976</v>
      </c>
      <c r="G2087" s="247" t="s">
        <v>1035</v>
      </c>
      <c r="H2087" s="248" t="s">
        <v>404</v>
      </c>
      <c r="I2087" s="248" t="s">
        <v>404</v>
      </c>
      <c r="J2087" s="247" t="s">
        <v>809</v>
      </c>
      <c r="K2087" s="249">
        <v>0</v>
      </c>
      <c r="M2087" s="90">
        <v>0</v>
      </c>
      <c r="N2087" s="90">
        <v>0</v>
      </c>
      <c r="O2087" s="90">
        <v>255</v>
      </c>
    </row>
    <row r="2088" spans="1:15" s="90" customFormat="1" ht="12.75" customHeight="1" x14ac:dyDescent="0.2">
      <c r="A2088" s="247" t="s">
        <v>1037</v>
      </c>
      <c r="B2088" s="316">
        <v>3108</v>
      </c>
      <c r="C2088" s="247" t="s">
        <v>975</v>
      </c>
      <c r="D2088" s="317">
        <v>42668</v>
      </c>
      <c r="E2088" s="318">
        <v>0.31050925925925926</v>
      </c>
      <c r="F2088" s="247" t="s">
        <v>978</v>
      </c>
      <c r="G2088" s="247" t="s">
        <v>1035</v>
      </c>
      <c r="H2088" s="248" t="s">
        <v>234</v>
      </c>
      <c r="I2088" s="248" t="s">
        <v>677</v>
      </c>
      <c r="J2088" s="247" t="s">
        <v>809</v>
      </c>
      <c r="K2088" s="249">
        <v>0</v>
      </c>
      <c r="M2088" s="90">
        <v>0</v>
      </c>
      <c r="N2088" s="90">
        <v>0</v>
      </c>
      <c r="O2088" s="90">
        <v>255</v>
      </c>
    </row>
    <row r="2089" spans="1:15" s="90" customFormat="1" ht="12.75" customHeight="1" x14ac:dyDescent="0.2">
      <c r="A2089" s="247" t="s">
        <v>1034</v>
      </c>
      <c r="B2089" s="316">
        <v>3106</v>
      </c>
      <c r="C2089" s="247" t="s">
        <v>975</v>
      </c>
      <c r="D2089" s="317">
        <v>42668</v>
      </c>
      <c r="E2089" s="318">
        <v>0.31072916666666667</v>
      </c>
      <c r="F2089" s="247" t="s">
        <v>978</v>
      </c>
      <c r="G2089" s="247" t="s">
        <v>1035</v>
      </c>
      <c r="H2089" s="248" t="s">
        <v>234</v>
      </c>
      <c r="I2089" s="248" t="s">
        <v>677</v>
      </c>
      <c r="J2089" s="247" t="s">
        <v>809</v>
      </c>
      <c r="K2089" s="249">
        <v>0</v>
      </c>
      <c r="M2089" s="90">
        <v>0</v>
      </c>
      <c r="N2089" s="90">
        <v>0</v>
      </c>
      <c r="O2089" s="90">
        <v>255</v>
      </c>
    </row>
    <row r="2090" spans="1:15" s="90" customFormat="1" ht="12.75" customHeight="1" x14ac:dyDescent="0.2">
      <c r="A2090" s="247" t="s">
        <v>1152</v>
      </c>
      <c r="B2090" s="316">
        <v>3218</v>
      </c>
      <c r="C2090" s="247" t="s">
        <v>979</v>
      </c>
      <c r="D2090" s="317">
        <v>42668</v>
      </c>
      <c r="E2090" s="318">
        <v>0.31258101851851855</v>
      </c>
      <c r="F2090" s="247" t="s">
        <v>702</v>
      </c>
      <c r="G2090" s="247" t="s">
        <v>1035</v>
      </c>
      <c r="H2090" s="248"/>
      <c r="I2090" s="248"/>
      <c r="J2090" s="247"/>
      <c r="K2090" s="249"/>
      <c r="M2090" s="90">
        <v>0</v>
      </c>
      <c r="N2090" s="90">
        <v>0</v>
      </c>
      <c r="O2090" s="90">
        <v>255</v>
      </c>
    </row>
    <row r="2091" spans="1:15" s="90" customFormat="1" ht="12.75" customHeight="1" x14ac:dyDescent="0.2">
      <c r="A2091" s="247" t="s">
        <v>989</v>
      </c>
      <c r="B2091" s="316">
        <v>3046</v>
      </c>
      <c r="C2091" s="247" t="s">
        <v>975</v>
      </c>
      <c r="D2091" s="317">
        <v>42668</v>
      </c>
      <c r="E2091" s="318">
        <v>0.33869212962962963</v>
      </c>
      <c r="F2091" s="247" t="s">
        <v>976</v>
      </c>
      <c r="G2091" s="247" t="s">
        <v>1035</v>
      </c>
      <c r="H2091" s="248" t="s">
        <v>404</v>
      </c>
      <c r="I2091" s="248" t="s">
        <v>404</v>
      </c>
      <c r="J2091" s="247" t="s">
        <v>809</v>
      </c>
      <c r="K2091" s="249">
        <v>0</v>
      </c>
      <c r="M2091" s="90">
        <v>0</v>
      </c>
      <c r="N2091" s="90">
        <v>0</v>
      </c>
      <c r="O2091" s="90">
        <v>255</v>
      </c>
    </row>
    <row r="2092" spans="1:15" s="90" customFormat="1" ht="12.75" customHeight="1" x14ac:dyDescent="0.2">
      <c r="A2092" s="247" t="s">
        <v>617</v>
      </c>
      <c r="B2092" s="316">
        <v>4050</v>
      </c>
      <c r="C2092" s="247" t="s">
        <v>996</v>
      </c>
      <c r="D2092" s="317">
        <v>42668</v>
      </c>
      <c r="E2092" s="318">
        <v>0.33974537037037034</v>
      </c>
      <c r="F2092" s="247" t="s">
        <v>702</v>
      </c>
      <c r="G2092" s="247" t="s">
        <v>1035</v>
      </c>
      <c r="H2092" s="248" t="s">
        <v>4</v>
      </c>
      <c r="I2092" s="248" t="s">
        <v>18</v>
      </c>
      <c r="J2092" s="247" t="s">
        <v>809</v>
      </c>
      <c r="K2092" s="249">
        <v>0</v>
      </c>
      <c r="L2092" s="90" t="s">
        <v>1776</v>
      </c>
      <c r="M2092" s="90">
        <v>539</v>
      </c>
      <c r="N2092" s="90">
        <v>-1</v>
      </c>
      <c r="O2092" s="90">
        <v>0</v>
      </c>
    </row>
    <row r="2093" spans="1:15" s="90" customFormat="1" ht="12.75" customHeight="1" x14ac:dyDescent="0.2">
      <c r="A2093" s="247" t="s">
        <v>990</v>
      </c>
      <c r="B2093" s="316">
        <v>3046</v>
      </c>
      <c r="C2093" s="247" t="s">
        <v>975</v>
      </c>
      <c r="D2093" s="317">
        <v>42668</v>
      </c>
      <c r="E2093" s="318">
        <v>0.33978009259259262</v>
      </c>
      <c r="F2093" s="247" t="s">
        <v>976</v>
      </c>
      <c r="G2093" s="247" t="s">
        <v>1035</v>
      </c>
      <c r="H2093" s="248" t="s">
        <v>404</v>
      </c>
      <c r="I2093" s="248" t="s">
        <v>404</v>
      </c>
      <c r="J2093" s="247" t="s">
        <v>809</v>
      </c>
      <c r="K2093" s="249">
        <v>0</v>
      </c>
      <c r="M2093" s="90">
        <v>0</v>
      </c>
      <c r="N2093" s="90">
        <v>0</v>
      </c>
      <c r="O2093" s="90">
        <v>255</v>
      </c>
    </row>
    <row r="2094" spans="1:15" s="90" customFormat="1" ht="12.75" customHeight="1" x14ac:dyDescent="0.2">
      <c r="A2094" s="247" t="s">
        <v>993</v>
      </c>
      <c r="B2094" s="316">
        <v>3217</v>
      </c>
      <c r="C2094" s="247" t="s">
        <v>975</v>
      </c>
      <c r="D2094" s="317">
        <v>42668</v>
      </c>
      <c r="E2094" s="318">
        <v>0.33978009259259262</v>
      </c>
      <c r="F2094" s="247" t="s">
        <v>235</v>
      </c>
      <c r="G2094" s="247" t="s">
        <v>1035</v>
      </c>
      <c r="H2094" s="248" t="s">
        <v>234</v>
      </c>
      <c r="I2094" s="248" t="s">
        <v>235</v>
      </c>
      <c r="J2094" s="247" t="s">
        <v>809</v>
      </c>
      <c r="K2094" s="249">
        <v>0</v>
      </c>
      <c r="M2094" s="90">
        <v>0</v>
      </c>
      <c r="N2094" s="90">
        <v>0</v>
      </c>
      <c r="O2094" s="90">
        <v>255</v>
      </c>
    </row>
    <row r="2095" spans="1:15" s="90" customFormat="1" ht="12.75" customHeight="1" x14ac:dyDescent="0.2">
      <c r="A2095" s="247" t="s">
        <v>989</v>
      </c>
      <c r="B2095" s="316">
        <v>3046</v>
      </c>
      <c r="C2095" s="247" t="s">
        <v>975</v>
      </c>
      <c r="D2095" s="317">
        <v>42668</v>
      </c>
      <c r="E2095" s="318">
        <v>0.38145833333333329</v>
      </c>
      <c r="F2095" s="247" t="s">
        <v>976</v>
      </c>
      <c r="G2095" s="247" t="s">
        <v>1035</v>
      </c>
      <c r="H2095" s="248" t="s">
        <v>404</v>
      </c>
      <c r="I2095" s="248" t="s">
        <v>404</v>
      </c>
      <c r="J2095" s="247" t="s">
        <v>809</v>
      </c>
      <c r="K2095" s="249">
        <v>0</v>
      </c>
      <c r="M2095" s="90">
        <v>0</v>
      </c>
      <c r="N2095" s="90">
        <v>0</v>
      </c>
      <c r="O2095" s="90">
        <v>255</v>
      </c>
    </row>
    <row r="2096" spans="1:15" s="90" customFormat="1" ht="12.75" customHeight="1" x14ac:dyDescent="0.2">
      <c r="A2096" s="247" t="s">
        <v>990</v>
      </c>
      <c r="B2096" s="316">
        <v>3046</v>
      </c>
      <c r="C2096" s="247" t="s">
        <v>975</v>
      </c>
      <c r="D2096" s="317">
        <v>42668</v>
      </c>
      <c r="E2096" s="318">
        <v>0.38170138888888888</v>
      </c>
      <c r="F2096" s="247" t="s">
        <v>976</v>
      </c>
      <c r="G2096" s="247" t="s">
        <v>1035</v>
      </c>
      <c r="H2096" s="248" t="s">
        <v>404</v>
      </c>
      <c r="I2096" s="248" t="s">
        <v>404</v>
      </c>
      <c r="J2096" s="247" t="s">
        <v>809</v>
      </c>
      <c r="K2096" s="249">
        <v>0</v>
      </c>
      <c r="M2096" s="90">
        <v>0</v>
      </c>
      <c r="N2096" s="90">
        <v>0</v>
      </c>
      <c r="O2096" s="90">
        <v>255</v>
      </c>
    </row>
    <row r="2097" spans="1:15" s="90" customFormat="1" ht="12.75" customHeight="1" x14ac:dyDescent="0.2">
      <c r="A2097" s="247" t="s">
        <v>993</v>
      </c>
      <c r="B2097" s="316">
        <v>3217</v>
      </c>
      <c r="C2097" s="247" t="s">
        <v>975</v>
      </c>
      <c r="D2097" s="317">
        <v>42668</v>
      </c>
      <c r="E2097" s="318">
        <v>0.38170138888888888</v>
      </c>
      <c r="F2097" s="247" t="s">
        <v>235</v>
      </c>
      <c r="G2097" s="247" t="s">
        <v>1035</v>
      </c>
      <c r="H2097" s="248" t="s">
        <v>234</v>
      </c>
      <c r="I2097" s="248" t="s">
        <v>235</v>
      </c>
      <c r="J2097" s="247" t="s">
        <v>809</v>
      </c>
      <c r="K2097" s="249">
        <v>0</v>
      </c>
      <c r="M2097" s="90">
        <v>0</v>
      </c>
      <c r="N2097" s="90">
        <v>0</v>
      </c>
      <c r="O2097" s="90">
        <v>255</v>
      </c>
    </row>
    <row r="2098" spans="1:15" s="90" customFormat="1" ht="12.75" customHeight="1" x14ac:dyDescent="0.2">
      <c r="A2098" s="247" t="s">
        <v>617</v>
      </c>
      <c r="B2098" s="316">
        <v>4050</v>
      </c>
      <c r="C2098" s="247" t="s">
        <v>996</v>
      </c>
      <c r="D2098" s="317">
        <v>42668</v>
      </c>
      <c r="E2098" s="318">
        <v>0.3825115740740741</v>
      </c>
      <c r="F2098" s="247" t="s">
        <v>702</v>
      </c>
      <c r="G2098" s="247" t="s">
        <v>1035</v>
      </c>
      <c r="H2098" s="248" t="s">
        <v>4</v>
      </c>
      <c r="I2098" s="248" t="s">
        <v>18</v>
      </c>
      <c r="J2098" s="247" t="s">
        <v>809</v>
      </c>
      <c r="K2098" s="249">
        <v>0</v>
      </c>
      <c r="L2098" s="90" t="s">
        <v>1776</v>
      </c>
      <c r="M2098" s="90">
        <v>539</v>
      </c>
      <c r="N2098" s="90">
        <v>-1</v>
      </c>
      <c r="O2098" s="90">
        <v>0</v>
      </c>
    </row>
    <row r="2099" spans="1:15" s="90" customFormat="1" ht="12.75" customHeight="1" x14ac:dyDescent="0.2">
      <c r="A2099" s="247" t="s">
        <v>617</v>
      </c>
      <c r="B2099" s="316">
        <v>4050</v>
      </c>
      <c r="C2099" s="247" t="s">
        <v>996</v>
      </c>
      <c r="D2099" s="317">
        <v>42668</v>
      </c>
      <c r="E2099" s="318">
        <v>0.41119212962962964</v>
      </c>
      <c r="F2099" s="247" t="s">
        <v>702</v>
      </c>
      <c r="G2099" s="247" t="s">
        <v>1035</v>
      </c>
      <c r="H2099" s="248" t="s">
        <v>4</v>
      </c>
      <c r="I2099" s="248" t="s">
        <v>18</v>
      </c>
      <c r="J2099" s="247" t="s">
        <v>809</v>
      </c>
      <c r="K2099" s="249">
        <v>0</v>
      </c>
      <c r="L2099" s="90" t="s">
        <v>1776</v>
      </c>
      <c r="M2099" s="90">
        <v>539</v>
      </c>
      <c r="N2099" s="90">
        <v>-1</v>
      </c>
      <c r="O2099" s="90">
        <v>0</v>
      </c>
    </row>
    <row r="2100" spans="1:15" s="90" customFormat="1" ht="12.75" customHeight="1" x14ac:dyDescent="0.2">
      <c r="A2100" s="247" t="s">
        <v>989</v>
      </c>
      <c r="B2100" s="316">
        <v>3046</v>
      </c>
      <c r="C2100" s="247" t="s">
        <v>975</v>
      </c>
      <c r="D2100" s="317">
        <v>42668</v>
      </c>
      <c r="E2100" s="318">
        <v>0.42336805555555551</v>
      </c>
      <c r="F2100" s="247" t="s">
        <v>976</v>
      </c>
      <c r="G2100" s="247" t="s">
        <v>1035</v>
      </c>
      <c r="H2100" s="248" t="s">
        <v>404</v>
      </c>
      <c r="I2100" s="248" t="s">
        <v>404</v>
      </c>
      <c r="J2100" s="247" t="s">
        <v>809</v>
      </c>
      <c r="K2100" s="249">
        <v>0</v>
      </c>
      <c r="M2100" s="90">
        <v>0</v>
      </c>
      <c r="N2100" s="90">
        <v>0</v>
      </c>
      <c r="O2100" s="90">
        <v>255</v>
      </c>
    </row>
    <row r="2101" spans="1:15" s="90" customFormat="1" ht="12.75" customHeight="1" x14ac:dyDescent="0.2">
      <c r="A2101" s="247" t="s">
        <v>990</v>
      </c>
      <c r="B2101" s="316">
        <v>3046</v>
      </c>
      <c r="C2101" s="247" t="s">
        <v>975</v>
      </c>
      <c r="D2101" s="317">
        <v>42668</v>
      </c>
      <c r="E2101" s="318">
        <v>0.4236226851851852</v>
      </c>
      <c r="F2101" s="247" t="s">
        <v>976</v>
      </c>
      <c r="G2101" s="247" t="s">
        <v>1035</v>
      </c>
      <c r="H2101" s="248" t="s">
        <v>404</v>
      </c>
      <c r="I2101" s="248" t="s">
        <v>404</v>
      </c>
      <c r="J2101" s="247" t="s">
        <v>809</v>
      </c>
      <c r="K2101" s="249">
        <v>0</v>
      </c>
      <c r="M2101" s="90">
        <v>0</v>
      </c>
      <c r="N2101" s="90">
        <v>0</v>
      </c>
      <c r="O2101" s="90">
        <v>255</v>
      </c>
    </row>
    <row r="2102" spans="1:15" s="90" customFormat="1" ht="12.75" customHeight="1" x14ac:dyDescent="0.2">
      <c r="A2102" s="247" t="s">
        <v>993</v>
      </c>
      <c r="B2102" s="316">
        <v>3217</v>
      </c>
      <c r="C2102" s="247" t="s">
        <v>975</v>
      </c>
      <c r="D2102" s="317">
        <v>42668</v>
      </c>
      <c r="E2102" s="318">
        <v>0.4236226851851852</v>
      </c>
      <c r="F2102" s="247" t="s">
        <v>235</v>
      </c>
      <c r="G2102" s="247" t="s">
        <v>1035</v>
      </c>
      <c r="H2102" s="248" t="s">
        <v>234</v>
      </c>
      <c r="I2102" s="248" t="s">
        <v>235</v>
      </c>
      <c r="J2102" s="247" t="s">
        <v>809</v>
      </c>
      <c r="K2102" s="249">
        <v>0</v>
      </c>
      <c r="M2102" s="90">
        <v>0</v>
      </c>
      <c r="N2102" s="90">
        <v>0</v>
      </c>
      <c r="O2102" s="90">
        <v>255</v>
      </c>
    </row>
    <row r="2103" spans="1:15" s="90" customFormat="1" ht="12.75" customHeight="1" x14ac:dyDescent="0.2">
      <c r="A2103" s="247" t="s">
        <v>1405</v>
      </c>
      <c r="B2103" s="316">
        <v>3121</v>
      </c>
      <c r="C2103" s="247" t="s">
        <v>975</v>
      </c>
      <c r="D2103" s="317">
        <v>42668</v>
      </c>
      <c r="E2103" s="318">
        <v>0.42484953703703704</v>
      </c>
      <c r="F2103" s="247" t="s">
        <v>978</v>
      </c>
      <c r="G2103" s="247" t="s">
        <v>1035</v>
      </c>
      <c r="H2103" s="248"/>
      <c r="I2103" s="248"/>
      <c r="J2103" s="247"/>
      <c r="K2103" s="249"/>
      <c r="M2103" s="90">
        <v>0</v>
      </c>
      <c r="N2103" s="90">
        <v>0</v>
      </c>
      <c r="O2103" s="90">
        <v>255</v>
      </c>
    </row>
    <row r="2104" spans="1:15" s="90" customFormat="1" ht="12.75" customHeight="1" x14ac:dyDescent="0.2">
      <c r="A2104" s="247" t="s">
        <v>989</v>
      </c>
      <c r="B2104" s="316">
        <v>3046</v>
      </c>
      <c r="C2104" s="247" t="s">
        <v>975</v>
      </c>
      <c r="D2104" s="317">
        <v>42668</v>
      </c>
      <c r="E2104" s="318">
        <v>0.46528935185185188</v>
      </c>
      <c r="F2104" s="247" t="s">
        <v>976</v>
      </c>
      <c r="G2104" s="247"/>
      <c r="H2104" s="248" t="s">
        <v>404</v>
      </c>
      <c r="I2104" s="248" t="s">
        <v>404</v>
      </c>
      <c r="J2104" s="247" t="s">
        <v>809</v>
      </c>
      <c r="K2104" s="249">
        <v>0</v>
      </c>
      <c r="M2104" s="90">
        <v>0</v>
      </c>
      <c r="N2104" s="90">
        <v>0</v>
      </c>
      <c r="O2104" s="90">
        <v>255</v>
      </c>
    </row>
    <row r="2105" spans="1:15" s="90" customFormat="1" ht="12.75" customHeight="1" x14ac:dyDescent="0.2">
      <c r="A2105" s="247" t="s">
        <v>990</v>
      </c>
      <c r="B2105" s="316">
        <v>3046</v>
      </c>
      <c r="C2105" s="247" t="s">
        <v>975</v>
      </c>
      <c r="D2105" s="317">
        <v>42668</v>
      </c>
      <c r="E2105" s="318">
        <v>0.46554398148148146</v>
      </c>
      <c r="F2105" s="247" t="s">
        <v>976</v>
      </c>
      <c r="G2105" s="247"/>
      <c r="H2105" s="248" t="s">
        <v>404</v>
      </c>
      <c r="I2105" s="248" t="s">
        <v>404</v>
      </c>
      <c r="J2105" s="247" t="s">
        <v>809</v>
      </c>
      <c r="K2105" s="249">
        <v>0</v>
      </c>
      <c r="M2105" s="90">
        <v>0</v>
      </c>
      <c r="N2105" s="90">
        <v>0</v>
      </c>
      <c r="O2105" s="90">
        <v>255</v>
      </c>
    </row>
    <row r="2106" spans="1:15" s="90" customFormat="1" ht="12.75" customHeight="1" x14ac:dyDescent="0.2">
      <c r="A2106" s="247" t="s">
        <v>993</v>
      </c>
      <c r="B2106" s="316">
        <v>3217</v>
      </c>
      <c r="C2106" s="247" t="s">
        <v>975</v>
      </c>
      <c r="D2106" s="317">
        <v>42668</v>
      </c>
      <c r="E2106" s="318">
        <v>0.46554398148148146</v>
      </c>
      <c r="F2106" s="247" t="s">
        <v>235</v>
      </c>
      <c r="G2106" s="247"/>
      <c r="H2106" s="248" t="s">
        <v>234</v>
      </c>
      <c r="I2106" s="248" t="s">
        <v>235</v>
      </c>
      <c r="J2106" s="247" t="s">
        <v>809</v>
      </c>
      <c r="K2106" s="249">
        <v>0</v>
      </c>
      <c r="M2106" s="90">
        <v>0</v>
      </c>
      <c r="N2106" s="90">
        <v>0</v>
      </c>
      <c r="O2106" s="90">
        <v>255</v>
      </c>
    </row>
    <row r="2107" spans="1:15" s="90" customFormat="1" ht="12.75" customHeight="1" x14ac:dyDescent="0.2">
      <c r="A2107" s="247" t="s">
        <v>779</v>
      </c>
      <c r="B2107" s="316">
        <v>2005</v>
      </c>
      <c r="C2107" s="247" t="s">
        <v>979</v>
      </c>
      <c r="D2107" s="317">
        <v>42668</v>
      </c>
      <c r="E2107" s="318">
        <v>0.4667013888888889</v>
      </c>
      <c r="F2107" s="247" t="s">
        <v>702</v>
      </c>
      <c r="G2107" s="247"/>
      <c r="H2107" s="248" t="s">
        <v>4</v>
      </c>
      <c r="I2107" s="248" t="s">
        <v>18</v>
      </c>
      <c r="J2107" s="247" t="s">
        <v>809</v>
      </c>
      <c r="K2107" s="249">
        <v>0</v>
      </c>
      <c r="L2107" s="90" t="s">
        <v>1776</v>
      </c>
      <c r="M2107" s="90">
        <v>553</v>
      </c>
      <c r="N2107" s="90">
        <v>-1</v>
      </c>
      <c r="O2107" s="90">
        <v>0</v>
      </c>
    </row>
    <row r="2108" spans="1:15" s="90" customFormat="1" ht="12.75" customHeight="1" x14ac:dyDescent="0.2">
      <c r="A2108" s="247" t="s">
        <v>1064</v>
      </c>
      <c r="B2108" s="316">
        <v>3046</v>
      </c>
      <c r="C2108" s="247" t="s">
        <v>975</v>
      </c>
      <c r="D2108" s="317">
        <v>42668</v>
      </c>
      <c r="E2108" s="318">
        <v>0.4667013888888889</v>
      </c>
      <c r="F2108" s="247" t="s">
        <v>976</v>
      </c>
      <c r="G2108" s="247"/>
      <c r="H2108" s="248" t="s">
        <v>404</v>
      </c>
      <c r="I2108" s="248" t="s">
        <v>404</v>
      </c>
      <c r="J2108" s="247" t="s">
        <v>809</v>
      </c>
      <c r="K2108" s="249">
        <v>0</v>
      </c>
      <c r="M2108" s="90">
        <v>0</v>
      </c>
      <c r="N2108" s="90">
        <v>0</v>
      </c>
      <c r="O2108" s="90">
        <v>255</v>
      </c>
    </row>
    <row r="2109" spans="1:15" s="90" customFormat="1" ht="12.75" customHeight="1" x14ac:dyDescent="0.2">
      <c r="A2109" s="247" t="s">
        <v>1099</v>
      </c>
      <c r="B2109" s="316">
        <v>3047</v>
      </c>
      <c r="C2109" s="247" t="s">
        <v>996</v>
      </c>
      <c r="D2109" s="317">
        <v>42669</v>
      </c>
      <c r="E2109" s="318">
        <v>0.30046296296296299</v>
      </c>
      <c r="F2109" s="247" t="s">
        <v>235</v>
      </c>
      <c r="G2109" s="247"/>
      <c r="H2109" s="248" t="s">
        <v>234</v>
      </c>
      <c r="I2109" s="248" t="s">
        <v>235</v>
      </c>
      <c r="J2109" s="247" t="s">
        <v>809</v>
      </c>
      <c r="K2109" s="249">
        <v>0</v>
      </c>
      <c r="M2109" s="90">
        <v>0</v>
      </c>
      <c r="N2109" s="90">
        <v>0</v>
      </c>
      <c r="O2109" s="90">
        <v>255</v>
      </c>
    </row>
    <row r="2110" spans="1:15" s="90" customFormat="1" ht="12.75" customHeight="1" x14ac:dyDescent="0.2">
      <c r="A2110" s="247" t="s">
        <v>301</v>
      </c>
      <c r="B2110" s="316">
        <v>3042</v>
      </c>
      <c r="C2110" s="247" t="s">
        <v>979</v>
      </c>
      <c r="D2110" s="317">
        <v>42669</v>
      </c>
      <c r="E2110" s="318">
        <v>0.36106481481481478</v>
      </c>
      <c r="F2110" s="247" t="s">
        <v>980</v>
      </c>
      <c r="G2110" s="247"/>
      <c r="H2110" s="248" t="s">
        <v>234</v>
      </c>
      <c r="I2110" s="248" t="s">
        <v>263</v>
      </c>
      <c r="J2110" s="247" t="s">
        <v>809</v>
      </c>
      <c r="K2110" s="249">
        <v>0</v>
      </c>
      <c r="M2110" s="90">
        <v>0</v>
      </c>
      <c r="N2110" s="90">
        <v>0</v>
      </c>
      <c r="O2110" s="90">
        <v>255</v>
      </c>
    </row>
    <row r="2111" spans="1:15" s="90" customFormat="1" ht="12.75" customHeight="1" x14ac:dyDescent="0.2">
      <c r="A2111" s="247" t="s">
        <v>1034</v>
      </c>
      <c r="B2111" s="316">
        <v>3106</v>
      </c>
      <c r="C2111" s="247" t="s">
        <v>975</v>
      </c>
      <c r="D2111" s="317">
        <v>42669</v>
      </c>
      <c r="E2111" s="318">
        <v>0.51395833333333341</v>
      </c>
      <c r="F2111" s="247" t="s">
        <v>978</v>
      </c>
      <c r="G2111" s="247" t="s">
        <v>1035</v>
      </c>
      <c r="H2111" s="248" t="s">
        <v>234</v>
      </c>
      <c r="I2111" s="248" t="s">
        <v>677</v>
      </c>
      <c r="J2111" s="247" t="s">
        <v>809</v>
      </c>
      <c r="K2111" s="249">
        <v>0</v>
      </c>
      <c r="M2111" s="90">
        <v>0</v>
      </c>
      <c r="N2111" s="90">
        <v>0</v>
      </c>
      <c r="O2111" s="90">
        <v>255</v>
      </c>
    </row>
    <row r="2112" spans="1:15" s="90" customFormat="1" ht="12.75" customHeight="1" x14ac:dyDescent="0.2">
      <c r="A2112" s="247" t="s">
        <v>385</v>
      </c>
      <c r="B2112" s="316">
        <v>4056</v>
      </c>
      <c r="C2112" s="247" t="s">
        <v>979</v>
      </c>
      <c r="D2112" s="317">
        <v>42669</v>
      </c>
      <c r="E2112" s="318">
        <v>0.51420138888888889</v>
      </c>
      <c r="F2112" s="247" t="s">
        <v>702</v>
      </c>
      <c r="G2112" s="247" t="s">
        <v>1035</v>
      </c>
      <c r="H2112" s="248" t="s">
        <v>4</v>
      </c>
      <c r="I2112" s="248" t="s">
        <v>18</v>
      </c>
      <c r="J2112" s="247" t="s">
        <v>809</v>
      </c>
      <c r="K2112" s="249">
        <v>0</v>
      </c>
      <c r="L2112" s="90" t="s">
        <v>1776</v>
      </c>
      <c r="M2112" s="90">
        <v>569</v>
      </c>
      <c r="N2112" s="90">
        <v>-1</v>
      </c>
      <c r="O2112" s="90">
        <v>0</v>
      </c>
    </row>
    <row r="2113" spans="1:15" s="90" customFormat="1" ht="12.75" customHeight="1" x14ac:dyDescent="0.2">
      <c r="A2113" s="247" t="s">
        <v>1000</v>
      </c>
      <c r="B2113" s="316">
        <v>3046</v>
      </c>
      <c r="C2113" s="247" t="s">
        <v>975</v>
      </c>
      <c r="D2113" s="317">
        <v>42669</v>
      </c>
      <c r="E2113" s="318">
        <v>0.51556712962962969</v>
      </c>
      <c r="F2113" s="247" t="s">
        <v>976</v>
      </c>
      <c r="G2113" s="247" t="s">
        <v>1035</v>
      </c>
      <c r="H2113" s="248" t="s">
        <v>404</v>
      </c>
      <c r="I2113" s="248" t="s">
        <v>404</v>
      </c>
      <c r="J2113" s="247" t="s">
        <v>809</v>
      </c>
      <c r="K2113" s="249">
        <v>0</v>
      </c>
      <c r="M2113" s="90">
        <v>0</v>
      </c>
      <c r="N2113" s="90">
        <v>0</v>
      </c>
      <c r="O2113" s="90">
        <v>255</v>
      </c>
    </row>
    <row r="2114" spans="1:15" s="90" customFormat="1" ht="12.75" customHeight="1" x14ac:dyDescent="0.2">
      <c r="A2114" s="247" t="s">
        <v>1359</v>
      </c>
      <c r="B2114" s="316">
        <v>3023</v>
      </c>
      <c r="C2114" s="247" t="s">
        <v>996</v>
      </c>
      <c r="D2114" s="317">
        <v>42669</v>
      </c>
      <c r="E2114" s="318">
        <v>0.51643518518518516</v>
      </c>
      <c r="F2114" s="247" t="s">
        <v>976</v>
      </c>
      <c r="G2114" s="247" t="s">
        <v>1035</v>
      </c>
      <c r="H2114" s="248" t="s">
        <v>863</v>
      </c>
      <c r="I2114" s="248" t="s">
        <v>319</v>
      </c>
      <c r="J2114" s="247" t="s">
        <v>809</v>
      </c>
      <c r="K2114" s="249">
        <v>0</v>
      </c>
      <c r="M2114" s="90">
        <v>0</v>
      </c>
      <c r="N2114" s="90">
        <v>0</v>
      </c>
      <c r="O2114" s="90">
        <v>255</v>
      </c>
    </row>
    <row r="2115" spans="1:15" s="90" customFormat="1" ht="12.75" customHeight="1" x14ac:dyDescent="0.2">
      <c r="A2115" s="247" t="s">
        <v>1409</v>
      </c>
      <c r="B2115" s="316">
        <v>3004</v>
      </c>
      <c r="C2115" s="247" t="s">
        <v>979</v>
      </c>
      <c r="D2115" s="317">
        <v>42669</v>
      </c>
      <c r="E2115" s="318">
        <v>0.5166898148148148</v>
      </c>
      <c r="F2115" s="247" t="s">
        <v>702</v>
      </c>
      <c r="G2115" s="247" t="s">
        <v>1035</v>
      </c>
      <c r="H2115" s="248" t="s">
        <v>234</v>
      </c>
      <c r="I2115" s="248" t="s">
        <v>702</v>
      </c>
      <c r="J2115" s="247" t="s">
        <v>809</v>
      </c>
      <c r="K2115" s="249">
        <v>0</v>
      </c>
      <c r="M2115" s="90">
        <v>0</v>
      </c>
      <c r="N2115" s="90">
        <v>0</v>
      </c>
      <c r="O2115" s="90">
        <v>255</v>
      </c>
    </row>
    <row r="2116" spans="1:15" s="90" customFormat="1" ht="12.75" customHeight="1" x14ac:dyDescent="0.2">
      <c r="A2116" s="247" t="s">
        <v>1360</v>
      </c>
      <c r="B2116" s="316">
        <v>3004</v>
      </c>
      <c r="C2116" s="247" t="s">
        <v>979</v>
      </c>
      <c r="D2116" s="317">
        <v>42669</v>
      </c>
      <c r="E2116" s="318">
        <v>0.51692129629629624</v>
      </c>
      <c r="F2116" s="247" t="s">
        <v>702</v>
      </c>
      <c r="G2116" s="247" t="s">
        <v>1035</v>
      </c>
      <c r="H2116" s="248" t="s">
        <v>234</v>
      </c>
      <c r="I2116" s="248" t="s">
        <v>702</v>
      </c>
      <c r="J2116" s="247" t="s">
        <v>809</v>
      </c>
      <c r="K2116" s="249">
        <v>0</v>
      </c>
      <c r="M2116" s="90">
        <v>0</v>
      </c>
      <c r="N2116" s="90">
        <v>0</v>
      </c>
      <c r="O2116" s="90">
        <v>255</v>
      </c>
    </row>
    <row r="2117" spans="1:15" s="90" customFormat="1" ht="12.75" customHeight="1" x14ac:dyDescent="0.2">
      <c r="A2117" s="247" t="s">
        <v>1077</v>
      </c>
      <c r="B2117" s="316">
        <v>3001</v>
      </c>
      <c r="C2117" s="247" t="s">
        <v>996</v>
      </c>
      <c r="D2117" s="317">
        <v>42669</v>
      </c>
      <c r="E2117" s="318">
        <v>0.51695601851851858</v>
      </c>
      <c r="F2117" s="247" t="s">
        <v>702</v>
      </c>
      <c r="G2117" s="247" t="s">
        <v>1035</v>
      </c>
      <c r="H2117" s="248" t="s">
        <v>121</v>
      </c>
      <c r="I2117" s="248" t="s">
        <v>122</v>
      </c>
      <c r="J2117" s="247" t="s">
        <v>809</v>
      </c>
      <c r="K2117" s="249">
        <v>0</v>
      </c>
      <c r="M2117" s="90">
        <v>0</v>
      </c>
      <c r="N2117" s="90">
        <v>0</v>
      </c>
      <c r="O2117" s="90">
        <v>255</v>
      </c>
    </row>
    <row r="2118" spans="1:15" s="90" customFormat="1" ht="12.75" customHeight="1" x14ac:dyDescent="0.2">
      <c r="A2118" s="247" t="s">
        <v>1359</v>
      </c>
      <c r="B2118" s="316">
        <v>3023</v>
      </c>
      <c r="C2118" s="247" t="s">
        <v>996</v>
      </c>
      <c r="D2118" s="317">
        <v>42669</v>
      </c>
      <c r="E2118" s="318">
        <v>0.5169907407407407</v>
      </c>
      <c r="F2118" s="247" t="s">
        <v>976</v>
      </c>
      <c r="G2118" s="247" t="s">
        <v>1035</v>
      </c>
      <c r="H2118" s="248" t="s">
        <v>863</v>
      </c>
      <c r="I2118" s="248" t="s">
        <v>319</v>
      </c>
      <c r="J2118" s="247" t="s">
        <v>809</v>
      </c>
      <c r="K2118" s="249">
        <v>0</v>
      </c>
      <c r="M2118" s="90">
        <v>0</v>
      </c>
      <c r="N2118" s="90">
        <v>0</v>
      </c>
      <c r="O2118" s="90">
        <v>255</v>
      </c>
    </row>
    <row r="2119" spans="1:15" s="90" customFormat="1" ht="12.75" customHeight="1" x14ac:dyDescent="0.2">
      <c r="A2119" s="247" t="s">
        <v>984</v>
      </c>
      <c r="B2119" s="316">
        <v>1294</v>
      </c>
      <c r="C2119" s="247" t="s">
        <v>979</v>
      </c>
      <c r="D2119" s="317">
        <v>42669</v>
      </c>
      <c r="E2119" s="318">
        <v>0.51700231481481485</v>
      </c>
      <c r="F2119" s="247" t="s">
        <v>702</v>
      </c>
      <c r="G2119" s="247" t="s">
        <v>1035</v>
      </c>
      <c r="H2119" s="248" t="s">
        <v>121</v>
      </c>
      <c r="I2119" s="248" t="s">
        <v>122</v>
      </c>
      <c r="J2119" s="247" t="s">
        <v>405</v>
      </c>
      <c r="K2119" s="249">
        <v>1</v>
      </c>
      <c r="L2119" s="90" t="s">
        <v>1777</v>
      </c>
      <c r="M2119" s="90">
        <v>2174</v>
      </c>
      <c r="N2119" s="90">
        <v>34</v>
      </c>
      <c r="O2119" s="90">
        <v>0</v>
      </c>
    </row>
    <row r="2120" spans="1:15" s="90" customFormat="1" ht="12.75" customHeight="1" x14ac:dyDescent="0.2">
      <c r="A2120" s="247" t="s">
        <v>985</v>
      </c>
      <c r="B2120" s="316">
        <v>2076</v>
      </c>
      <c r="C2120" s="247" t="s">
        <v>979</v>
      </c>
      <c r="D2120" s="317">
        <v>42669</v>
      </c>
      <c r="E2120" s="318">
        <v>0.51701388888888888</v>
      </c>
      <c r="F2120" s="247" t="s">
        <v>702</v>
      </c>
      <c r="G2120" s="247" t="s">
        <v>1035</v>
      </c>
      <c r="H2120" s="248" t="s">
        <v>4</v>
      </c>
      <c r="I2120" s="248" t="s">
        <v>5</v>
      </c>
      <c r="J2120" s="247" t="s">
        <v>412</v>
      </c>
      <c r="K2120" s="249">
        <v>0.5</v>
      </c>
      <c r="L2120" s="90" t="s">
        <v>1777</v>
      </c>
      <c r="M2120" s="90">
        <v>4329</v>
      </c>
      <c r="N2120" s="90">
        <v>1</v>
      </c>
      <c r="O2120" s="90">
        <v>0</v>
      </c>
    </row>
    <row r="2121" spans="1:15" s="90" customFormat="1" ht="12.75" customHeight="1" x14ac:dyDescent="0.2">
      <c r="A2121" s="247" t="s">
        <v>1129</v>
      </c>
      <c r="B2121" s="316">
        <v>3001</v>
      </c>
      <c r="C2121" s="247" t="s">
        <v>996</v>
      </c>
      <c r="D2121" s="317">
        <v>42669</v>
      </c>
      <c r="E2121" s="318">
        <v>0.51709490740740738</v>
      </c>
      <c r="F2121" s="247" t="s">
        <v>702</v>
      </c>
      <c r="G2121" s="247" t="s">
        <v>1035</v>
      </c>
      <c r="H2121" s="248" t="s">
        <v>121</v>
      </c>
      <c r="I2121" s="248" t="s">
        <v>122</v>
      </c>
      <c r="J2121" s="247" t="s">
        <v>809</v>
      </c>
      <c r="K2121" s="249">
        <v>0</v>
      </c>
      <c r="M2121" s="90">
        <v>0</v>
      </c>
      <c r="N2121" s="90">
        <v>0</v>
      </c>
      <c r="O2121" s="90">
        <v>255</v>
      </c>
    </row>
    <row r="2122" spans="1:15" s="90" customFormat="1" ht="12.75" customHeight="1" x14ac:dyDescent="0.2">
      <c r="A2122" s="247" t="s">
        <v>1318</v>
      </c>
      <c r="B2122" s="316">
        <v>2076</v>
      </c>
      <c r="C2122" s="247" t="s">
        <v>979</v>
      </c>
      <c r="D2122" s="317">
        <v>42669</v>
      </c>
      <c r="E2122" s="318">
        <v>0.51715277777777779</v>
      </c>
      <c r="F2122" s="247" t="s">
        <v>702</v>
      </c>
      <c r="G2122" s="247" t="s">
        <v>1035</v>
      </c>
      <c r="H2122" s="248" t="s">
        <v>4</v>
      </c>
      <c r="I2122" s="248" t="s">
        <v>5</v>
      </c>
      <c r="J2122" s="247" t="s">
        <v>412</v>
      </c>
      <c r="K2122" s="249">
        <v>0.5</v>
      </c>
      <c r="L2122" s="90" t="s">
        <v>1777</v>
      </c>
      <c r="M2122" s="90">
        <v>4329</v>
      </c>
      <c r="N2122" s="90">
        <v>4</v>
      </c>
      <c r="O2122" s="90">
        <v>0</v>
      </c>
    </row>
    <row r="2123" spans="1:15" s="90" customFormat="1" ht="12.75" customHeight="1" x14ac:dyDescent="0.2">
      <c r="A2123" s="247" t="s">
        <v>1107</v>
      </c>
      <c r="B2123" s="316">
        <v>3001</v>
      </c>
      <c r="C2123" s="247" t="s">
        <v>996</v>
      </c>
      <c r="D2123" s="317">
        <v>42669</v>
      </c>
      <c r="E2123" s="318">
        <v>0.51725694444444448</v>
      </c>
      <c r="F2123" s="247" t="s">
        <v>702</v>
      </c>
      <c r="G2123" s="247" t="s">
        <v>1035</v>
      </c>
      <c r="H2123" s="248" t="s">
        <v>121</v>
      </c>
      <c r="I2123" s="248" t="s">
        <v>122</v>
      </c>
      <c r="J2123" s="247" t="s">
        <v>809</v>
      </c>
      <c r="K2123" s="249">
        <v>0</v>
      </c>
      <c r="M2123" s="90">
        <v>0</v>
      </c>
      <c r="N2123" s="90">
        <v>0</v>
      </c>
      <c r="O2123" s="90">
        <v>255</v>
      </c>
    </row>
    <row r="2124" spans="1:15" s="90" customFormat="1" ht="12.75" customHeight="1" x14ac:dyDescent="0.2">
      <c r="A2124" s="247" t="s">
        <v>1410</v>
      </c>
      <c r="B2124" s="316">
        <v>3004</v>
      </c>
      <c r="C2124" s="247" t="s">
        <v>979</v>
      </c>
      <c r="D2124" s="317">
        <v>42669</v>
      </c>
      <c r="E2124" s="318">
        <v>0.51729166666666659</v>
      </c>
      <c r="F2124" s="247" t="s">
        <v>702</v>
      </c>
      <c r="G2124" s="247" t="s">
        <v>1035</v>
      </c>
      <c r="H2124" s="248" t="s">
        <v>234</v>
      </c>
      <c r="I2124" s="248" t="s">
        <v>702</v>
      </c>
      <c r="J2124" s="247" t="s">
        <v>809</v>
      </c>
      <c r="K2124" s="249">
        <v>0</v>
      </c>
      <c r="M2124" s="90">
        <v>0</v>
      </c>
      <c r="N2124" s="90">
        <v>0</v>
      </c>
      <c r="O2124" s="90">
        <v>255</v>
      </c>
    </row>
    <row r="2125" spans="1:15" s="90" customFormat="1" ht="12.75" customHeight="1" x14ac:dyDescent="0.2">
      <c r="A2125" s="247" t="s">
        <v>1348</v>
      </c>
      <c r="B2125" s="316">
        <v>3004</v>
      </c>
      <c r="C2125" s="247" t="s">
        <v>979</v>
      </c>
      <c r="D2125" s="317">
        <v>42669</v>
      </c>
      <c r="E2125" s="318">
        <v>0.51729166666666659</v>
      </c>
      <c r="F2125" s="247" t="s">
        <v>702</v>
      </c>
      <c r="G2125" s="247" t="s">
        <v>1035</v>
      </c>
      <c r="H2125" s="248" t="s">
        <v>234</v>
      </c>
      <c r="I2125" s="248" t="s">
        <v>702</v>
      </c>
      <c r="J2125" s="247" t="s">
        <v>809</v>
      </c>
      <c r="K2125" s="249">
        <v>0</v>
      </c>
      <c r="M2125" s="90">
        <v>0</v>
      </c>
      <c r="N2125" s="90">
        <v>0</v>
      </c>
      <c r="O2125" s="90">
        <v>255</v>
      </c>
    </row>
    <row r="2126" spans="1:15" s="90" customFormat="1" ht="12.75" customHeight="1" x14ac:dyDescent="0.2">
      <c r="A2126" s="247" t="s">
        <v>1411</v>
      </c>
      <c r="B2126" s="316">
        <v>2083</v>
      </c>
      <c r="C2126" s="247" t="s">
        <v>979</v>
      </c>
      <c r="D2126" s="317">
        <v>42669</v>
      </c>
      <c r="E2126" s="318">
        <v>0.51733796296296297</v>
      </c>
      <c r="F2126" s="247" t="s">
        <v>702</v>
      </c>
      <c r="G2126" s="247" t="s">
        <v>1035</v>
      </c>
      <c r="H2126" s="248" t="s">
        <v>121</v>
      </c>
      <c r="I2126" s="248" t="s">
        <v>122</v>
      </c>
      <c r="J2126" s="247" t="s">
        <v>809</v>
      </c>
      <c r="K2126" s="249">
        <v>0</v>
      </c>
      <c r="M2126" s="90">
        <v>0</v>
      </c>
      <c r="N2126" s="90">
        <v>0</v>
      </c>
      <c r="O2126" s="90">
        <v>255</v>
      </c>
    </row>
    <row r="2127" spans="1:15" s="90" customFormat="1" ht="12.75" customHeight="1" x14ac:dyDescent="0.2">
      <c r="A2127" s="247" t="s">
        <v>1139</v>
      </c>
      <c r="B2127" s="316">
        <v>3001</v>
      </c>
      <c r="C2127" s="247" t="s">
        <v>996</v>
      </c>
      <c r="D2127" s="317">
        <v>42669</v>
      </c>
      <c r="E2127" s="318">
        <v>0.51741898148148147</v>
      </c>
      <c r="F2127" s="247" t="s">
        <v>702</v>
      </c>
      <c r="G2127" s="247" t="s">
        <v>1035</v>
      </c>
      <c r="H2127" s="248" t="s">
        <v>121</v>
      </c>
      <c r="I2127" s="248" t="s">
        <v>122</v>
      </c>
      <c r="J2127" s="247" t="s">
        <v>809</v>
      </c>
      <c r="K2127" s="249">
        <v>0</v>
      </c>
      <c r="M2127" s="90">
        <v>0</v>
      </c>
      <c r="N2127" s="90">
        <v>0</v>
      </c>
      <c r="O2127" s="90">
        <v>255</v>
      </c>
    </row>
    <row r="2128" spans="1:15" s="90" customFormat="1" ht="12.75" customHeight="1" x14ac:dyDescent="0.2">
      <c r="A2128" s="247" t="s">
        <v>1100</v>
      </c>
      <c r="B2128" s="316">
        <v>3001</v>
      </c>
      <c r="C2128" s="247" t="s">
        <v>996</v>
      </c>
      <c r="D2128" s="317">
        <v>42669</v>
      </c>
      <c r="E2128" s="318">
        <v>0.51760416666666664</v>
      </c>
      <c r="F2128" s="247" t="s">
        <v>702</v>
      </c>
      <c r="G2128" s="247" t="s">
        <v>1035</v>
      </c>
      <c r="H2128" s="248" t="s">
        <v>121</v>
      </c>
      <c r="I2128" s="248" t="s">
        <v>122</v>
      </c>
      <c r="J2128" s="247" t="s">
        <v>809</v>
      </c>
      <c r="K2128" s="249">
        <v>0</v>
      </c>
      <c r="M2128" s="90">
        <v>0</v>
      </c>
      <c r="N2128" s="90">
        <v>0</v>
      </c>
      <c r="O2128" s="90">
        <v>255</v>
      </c>
    </row>
    <row r="2129" spans="1:15" s="90" customFormat="1" ht="12.75" customHeight="1" x14ac:dyDescent="0.2">
      <c r="A2129" s="247" t="s">
        <v>1412</v>
      </c>
      <c r="B2129" s="316">
        <v>2083</v>
      </c>
      <c r="C2129" s="247" t="s">
        <v>979</v>
      </c>
      <c r="D2129" s="317">
        <v>42669</v>
      </c>
      <c r="E2129" s="318">
        <v>0.51782407407407405</v>
      </c>
      <c r="F2129" s="247" t="s">
        <v>702</v>
      </c>
      <c r="G2129" s="247" t="s">
        <v>1035</v>
      </c>
      <c r="H2129" s="248" t="s">
        <v>121</v>
      </c>
      <c r="I2129" s="248" t="s">
        <v>122</v>
      </c>
      <c r="J2129" s="247" t="s">
        <v>809</v>
      </c>
      <c r="K2129" s="249">
        <v>0</v>
      </c>
      <c r="M2129" s="90">
        <v>0</v>
      </c>
      <c r="N2129" s="90">
        <v>0</v>
      </c>
      <c r="O2129" s="90">
        <v>255</v>
      </c>
    </row>
    <row r="2130" spans="1:15" s="90" customFormat="1" ht="12.75" customHeight="1" x14ac:dyDescent="0.2">
      <c r="A2130" s="247" t="s">
        <v>1130</v>
      </c>
      <c r="B2130" s="316">
        <v>3001</v>
      </c>
      <c r="C2130" s="247" t="s">
        <v>996</v>
      </c>
      <c r="D2130" s="317">
        <v>42669</v>
      </c>
      <c r="E2130" s="318">
        <v>0.51790509259259265</v>
      </c>
      <c r="F2130" s="247" t="s">
        <v>702</v>
      </c>
      <c r="G2130" s="247" t="s">
        <v>1035</v>
      </c>
      <c r="H2130" s="248" t="s">
        <v>121</v>
      </c>
      <c r="I2130" s="248" t="s">
        <v>122</v>
      </c>
      <c r="J2130" s="247" t="s">
        <v>809</v>
      </c>
      <c r="K2130" s="249">
        <v>0</v>
      </c>
      <c r="M2130" s="90">
        <v>0</v>
      </c>
      <c r="N2130" s="90">
        <v>0</v>
      </c>
      <c r="O2130" s="90">
        <v>255</v>
      </c>
    </row>
    <row r="2131" spans="1:15" s="90" customFormat="1" ht="12.75" customHeight="1" x14ac:dyDescent="0.2">
      <c r="A2131" s="247" t="s">
        <v>1185</v>
      </c>
      <c r="B2131" s="316">
        <v>3023</v>
      </c>
      <c r="C2131" s="247" t="s">
        <v>996</v>
      </c>
      <c r="D2131" s="317">
        <v>42669</v>
      </c>
      <c r="E2131" s="318">
        <v>0.51848379629629626</v>
      </c>
      <c r="F2131" s="247" t="s">
        <v>976</v>
      </c>
      <c r="G2131" s="247" t="s">
        <v>1035</v>
      </c>
      <c r="H2131" s="248" t="s">
        <v>863</v>
      </c>
      <c r="I2131" s="248" t="s">
        <v>319</v>
      </c>
      <c r="J2131" s="247" t="s">
        <v>809</v>
      </c>
      <c r="K2131" s="249">
        <v>0</v>
      </c>
      <c r="M2131" s="90">
        <v>0</v>
      </c>
      <c r="N2131" s="90">
        <v>0</v>
      </c>
      <c r="O2131" s="90">
        <v>255</v>
      </c>
    </row>
    <row r="2132" spans="1:15" s="90" customFormat="1" ht="12.75" customHeight="1" x14ac:dyDescent="0.2">
      <c r="A2132" s="247" t="s">
        <v>1413</v>
      </c>
      <c r="B2132" s="316">
        <v>3004</v>
      </c>
      <c r="C2132" s="247" t="s">
        <v>979</v>
      </c>
      <c r="D2132" s="317">
        <v>42669</v>
      </c>
      <c r="E2132" s="318">
        <v>0.51908564814814817</v>
      </c>
      <c r="F2132" s="247" t="s">
        <v>702</v>
      </c>
      <c r="G2132" s="247" t="s">
        <v>1035</v>
      </c>
      <c r="H2132" s="248" t="s">
        <v>234</v>
      </c>
      <c r="I2132" s="248" t="s">
        <v>702</v>
      </c>
      <c r="J2132" s="247" t="s">
        <v>809</v>
      </c>
      <c r="K2132" s="249">
        <v>0</v>
      </c>
      <c r="M2132" s="90">
        <v>0</v>
      </c>
      <c r="N2132" s="90">
        <v>0</v>
      </c>
      <c r="O2132" s="90">
        <v>255</v>
      </c>
    </row>
    <row r="2133" spans="1:15" s="90" customFormat="1" ht="12.75" customHeight="1" x14ac:dyDescent="0.2">
      <c r="A2133" s="247" t="s">
        <v>1031</v>
      </c>
      <c r="B2133" s="316">
        <v>3046</v>
      </c>
      <c r="C2133" s="247" t="s">
        <v>975</v>
      </c>
      <c r="D2133" s="317">
        <v>42669</v>
      </c>
      <c r="E2133" s="318">
        <v>0.5195833333333334</v>
      </c>
      <c r="F2133" s="247" t="s">
        <v>976</v>
      </c>
      <c r="G2133" s="247" t="s">
        <v>1035</v>
      </c>
      <c r="H2133" s="248" t="s">
        <v>404</v>
      </c>
      <c r="I2133" s="248" t="s">
        <v>404</v>
      </c>
      <c r="J2133" s="247" t="s">
        <v>809</v>
      </c>
      <c r="K2133" s="249">
        <v>0</v>
      </c>
      <c r="M2133" s="90">
        <v>0</v>
      </c>
      <c r="N2133" s="90">
        <v>0</v>
      </c>
      <c r="O2133" s="90">
        <v>255</v>
      </c>
    </row>
    <row r="2134" spans="1:15" s="90" customFormat="1" ht="12.75" customHeight="1" x14ac:dyDescent="0.2">
      <c r="A2134" s="247" t="s">
        <v>1101</v>
      </c>
      <c r="B2134" s="316">
        <v>3001</v>
      </c>
      <c r="C2134" s="247" t="s">
        <v>996</v>
      </c>
      <c r="D2134" s="317">
        <v>42669</v>
      </c>
      <c r="E2134" s="318">
        <v>0.5196412037037037</v>
      </c>
      <c r="F2134" s="247" t="s">
        <v>702</v>
      </c>
      <c r="G2134" s="247" t="s">
        <v>1035</v>
      </c>
      <c r="H2134" s="248" t="s">
        <v>121</v>
      </c>
      <c r="I2134" s="248" t="s">
        <v>122</v>
      </c>
      <c r="J2134" s="247" t="s">
        <v>809</v>
      </c>
      <c r="K2134" s="249">
        <v>0</v>
      </c>
      <c r="M2134" s="90">
        <v>0</v>
      </c>
      <c r="N2134" s="90">
        <v>0</v>
      </c>
      <c r="O2134" s="90">
        <v>255</v>
      </c>
    </row>
    <row r="2135" spans="1:15" s="90" customFormat="1" ht="12.75" customHeight="1" x14ac:dyDescent="0.2">
      <c r="A2135" s="247" t="s">
        <v>1183</v>
      </c>
      <c r="B2135" s="316">
        <v>2083</v>
      </c>
      <c r="C2135" s="247" t="s">
        <v>979</v>
      </c>
      <c r="D2135" s="317">
        <v>42669</v>
      </c>
      <c r="E2135" s="318">
        <v>0.5197222222222222</v>
      </c>
      <c r="F2135" s="247" t="s">
        <v>702</v>
      </c>
      <c r="G2135" s="247" t="s">
        <v>1035</v>
      </c>
      <c r="H2135" s="248" t="s">
        <v>121</v>
      </c>
      <c r="I2135" s="248" t="s">
        <v>122</v>
      </c>
      <c r="J2135" s="247" t="s">
        <v>809</v>
      </c>
      <c r="K2135" s="249">
        <v>0</v>
      </c>
      <c r="M2135" s="90">
        <v>0</v>
      </c>
      <c r="N2135" s="90">
        <v>0</v>
      </c>
      <c r="O2135" s="90">
        <v>255</v>
      </c>
    </row>
    <row r="2136" spans="1:15" s="90" customFormat="1" ht="12.75" customHeight="1" x14ac:dyDescent="0.2">
      <c r="A2136" s="247" t="s">
        <v>1184</v>
      </c>
      <c r="B2136" s="316">
        <v>2083</v>
      </c>
      <c r="C2136" s="247" t="s">
        <v>979</v>
      </c>
      <c r="D2136" s="317">
        <v>42669</v>
      </c>
      <c r="E2136" s="318">
        <v>0.52002314814814821</v>
      </c>
      <c r="F2136" s="247" t="s">
        <v>702</v>
      </c>
      <c r="G2136" s="247" t="s">
        <v>1035</v>
      </c>
      <c r="H2136" s="248" t="s">
        <v>121</v>
      </c>
      <c r="I2136" s="248" t="s">
        <v>122</v>
      </c>
      <c r="J2136" s="247" t="s">
        <v>809</v>
      </c>
      <c r="K2136" s="249">
        <v>0</v>
      </c>
      <c r="M2136" s="90">
        <v>0</v>
      </c>
      <c r="N2136" s="90">
        <v>0</v>
      </c>
      <c r="O2136" s="90">
        <v>255</v>
      </c>
    </row>
    <row r="2137" spans="1:15" s="90" customFormat="1" ht="12.75" customHeight="1" x14ac:dyDescent="0.2">
      <c r="A2137" s="247" t="s">
        <v>1414</v>
      </c>
      <c r="B2137" s="316">
        <v>3024</v>
      </c>
      <c r="C2137" s="247" t="s">
        <v>996</v>
      </c>
      <c r="D2137" s="317">
        <v>42669</v>
      </c>
      <c r="E2137" s="318">
        <v>0.5201041666666667</v>
      </c>
      <c r="F2137" s="247" t="s">
        <v>702</v>
      </c>
      <c r="G2137" s="247" t="s">
        <v>1035</v>
      </c>
      <c r="H2137" s="248" t="s">
        <v>234</v>
      </c>
      <c r="I2137" s="248" t="s">
        <v>702</v>
      </c>
      <c r="J2137" s="247" t="s">
        <v>809</v>
      </c>
      <c r="K2137" s="249">
        <v>0</v>
      </c>
      <c r="M2137" s="90">
        <v>0</v>
      </c>
      <c r="N2137" s="90">
        <v>0</v>
      </c>
      <c r="O2137" s="90">
        <v>255</v>
      </c>
    </row>
    <row r="2138" spans="1:15" s="90" customFormat="1" ht="12.75" customHeight="1" x14ac:dyDescent="0.2">
      <c r="A2138" s="247" t="s">
        <v>1415</v>
      </c>
      <c r="B2138" s="316">
        <v>3024</v>
      </c>
      <c r="C2138" s="247" t="s">
        <v>996</v>
      </c>
      <c r="D2138" s="317">
        <v>42669</v>
      </c>
      <c r="E2138" s="318">
        <v>0.5201041666666667</v>
      </c>
      <c r="F2138" s="247" t="s">
        <v>702</v>
      </c>
      <c r="G2138" s="247" t="s">
        <v>1035</v>
      </c>
      <c r="H2138" s="248" t="s">
        <v>234</v>
      </c>
      <c r="I2138" s="248" t="s">
        <v>702</v>
      </c>
      <c r="J2138" s="247" t="s">
        <v>809</v>
      </c>
      <c r="K2138" s="249">
        <v>0</v>
      </c>
      <c r="M2138" s="90">
        <v>0</v>
      </c>
      <c r="N2138" s="90">
        <v>0</v>
      </c>
      <c r="O2138" s="90">
        <v>255</v>
      </c>
    </row>
    <row r="2139" spans="1:15" s="90" customFormat="1" ht="12.75" customHeight="1" x14ac:dyDescent="0.2">
      <c r="A2139" s="247" t="s">
        <v>1416</v>
      </c>
      <c r="B2139" s="316">
        <v>3024</v>
      </c>
      <c r="C2139" s="247" t="s">
        <v>996</v>
      </c>
      <c r="D2139" s="317">
        <v>42669</v>
      </c>
      <c r="E2139" s="318">
        <v>0.5201041666666667</v>
      </c>
      <c r="F2139" s="247" t="s">
        <v>702</v>
      </c>
      <c r="G2139" s="247" t="s">
        <v>1035</v>
      </c>
      <c r="H2139" s="248" t="s">
        <v>234</v>
      </c>
      <c r="I2139" s="248" t="s">
        <v>702</v>
      </c>
      <c r="J2139" s="247" t="s">
        <v>809</v>
      </c>
      <c r="K2139" s="249">
        <v>0</v>
      </c>
      <c r="M2139" s="90">
        <v>0</v>
      </c>
      <c r="N2139" s="90">
        <v>0</v>
      </c>
      <c r="O2139" s="90">
        <v>255</v>
      </c>
    </row>
    <row r="2140" spans="1:15" s="90" customFormat="1" ht="12.75" customHeight="1" x14ac:dyDescent="0.2">
      <c r="A2140" s="247" t="s">
        <v>1417</v>
      </c>
      <c r="B2140" s="316">
        <v>3024</v>
      </c>
      <c r="C2140" s="247" t="s">
        <v>996</v>
      </c>
      <c r="D2140" s="317">
        <v>42669</v>
      </c>
      <c r="E2140" s="318">
        <v>0.5201041666666667</v>
      </c>
      <c r="F2140" s="247" t="s">
        <v>702</v>
      </c>
      <c r="G2140" s="247" t="s">
        <v>1035</v>
      </c>
      <c r="H2140" s="248" t="s">
        <v>234</v>
      </c>
      <c r="I2140" s="248" t="s">
        <v>702</v>
      </c>
      <c r="J2140" s="247" t="s">
        <v>809</v>
      </c>
      <c r="K2140" s="249">
        <v>0</v>
      </c>
      <c r="M2140" s="90">
        <v>0</v>
      </c>
      <c r="N2140" s="90">
        <v>0</v>
      </c>
      <c r="O2140" s="90">
        <v>255</v>
      </c>
    </row>
    <row r="2141" spans="1:15" s="90" customFormat="1" ht="12.75" customHeight="1" x14ac:dyDescent="0.2">
      <c r="A2141" s="247" t="s">
        <v>1418</v>
      </c>
      <c r="B2141" s="316">
        <v>3024</v>
      </c>
      <c r="C2141" s="247" t="s">
        <v>996</v>
      </c>
      <c r="D2141" s="317">
        <v>42669</v>
      </c>
      <c r="E2141" s="318">
        <v>0.5201041666666667</v>
      </c>
      <c r="F2141" s="247" t="s">
        <v>702</v>
      </c>
      <c r="G2141" s="247" t="s">
        <v>1035</v>
      </c>
      <c r="H2141" s="248" t="s">
        <v>234</v>
      </c>
      <c r="I2141" s="248" t="s">
        <v>702</v>
      </c>
      <c r="J2141" s="247" t="s">
        <v>809</v>
      </c>
      <c r="K2141" s="249">
        <v>0</v>
      </c>
      <c r="M2141" s="90">
        <v>0</v>
      </c>
      <c r="N2141" s="90">
        <v>0</v>
      </c>
      <c r="O2141" s="90">
        <v>255</v>
      </c>
    </row>
    <row r="2142" spans="1:15" s="90" customFormat="1" ht="12.75" customHeight="1" x14ac:dyDescent="0.2">
      <c r="A2142" s="247" t="s">
        <v>1139</v>
      </c>
      <c r="B2142" s="316">
        <v>3001</v>
      </c>
      <c r="C2142" s="247" t="s">
        <v>996</v>
      </c>
      <c r="D2142" s="317">
        <v>42669</v>
      </c>
      <c r="E2142" s="318">
        <v>0.52620370370370373</v>
      </c>
      <c r="F2142" s="247" t="s">
        <v>702</v>
      </c>
      <c r="G2142" s="247" t="s">
        <v>1035</v>
      </c>
      <c r="H2142" s="248" t="s">
        <v>121</v>
      </c>
      <c r="I2142" s="248" t="s">
        <v>122</v>
      </c>
      <c r="J2142" s="247" t="s">
        <v>809</v>
      </c>
      <c r="K2142" s="249">
        <v>0</v>
      </c>
      <c r="M2142" s="90">
        <v>0</v>
      </c>
      <c r="N2142" s="90">
        <v>0</v>
      </c>
      <c r="O2142" s="90">
        <v>255</v>
      </c>
    </row>
    <row r="2143" spans="1:15" s="90" customFormat="1" ht="12.75" customHeight="1" x14ac:dyDescent="0.2">
      <c r="A2143" s="247" t="s">
        <v>1130</v>
      </c>
      <c r="B2143" s="316">
        <v>3001</v>
      </c>
      <c r="C2143" s="247" t="s">
        <v>996</v>
      </c>
      <c r="D2143" s="317">
        <v>42669</v>
      </c>
      <c r="E2143" s="318">
        <v>0.52620370370370373</v>
      </c>
      <c r="F2143" s="247" t="s">
        <v>702</v>
      </c>
      <c r="G2143" s="247" t="s">
        <v>1035</v>
      </c>
      <c r="H2143" s="248" t="s">
        <v>121</v>
      </c>
      <c r="I2143" s="248" t="s">
        <v>122</v>
      </c>
      <c r="J2143" s="247" t="s">
        <v>809</v>
      </c>
      <c r="K2143" s="249">
        <v>0</v>
      </c>
      <c r="M2143" s="90">
        <v>0</v>
      </c>
      <c r="N2143" s="90">
        <v>0</v>
      </c>
      <c r="O2143" s="90">
        <v>255</v>
      </c>
    </row>
    <row r="2144" spans="1:15" s="90" customFormat="1" ht="12.75" customHeight="1" x14ac:dyDescent="0.2">
      <c r="A2144" s="247" t="s">
        <v>1419</v>
      </c>
      <c r="B2144" s="316">
        <v>3004</v>
      </c>
      <c r="C2144" s="247" t="s">
        <v>979</v>
      </c>
      <c r="D2144" s="317">
        <v>42669</v>
      </c>
      <c r="E2144" s="318">
        <v>0.52620370370370373</v>
      </c>
      <c r="F2144" s="247" t="s">
        <v>702</v>
      </c>
      <c r="G2144" s="247" t="s">
        <v>1035</v>
      </c>
      <c r="H2144" s="248" t="s">
        <v>234</v>
      </c>
      <c r="I2144" s="248" t="s">
        <v>702</v>
      </c>
      <c r="J2144" s="247" t="s">
        <v>809</v>
      </c>
      <c r="K2144" s="249">
        <v>0</v>
      </c>
      <c r="M2144" s="90">
        <v>0</v>
      </c>
      <c r="N2144" s="90">
        <v>0</v>
      </c>
      <c r="O2144" s="90">
        <v>255</v>
      </c>
    </row>
    <row r="2145" spans="1:15" s="90" customFormat="1" ht="12.75" customHeight="1" x14ac:dyDescent="0.2">
      <c r="A2145" s="247" t="s">
        <v>1077</v>
      </c>
      <c r="B2145" s="316">
        <v>3001</v>
      </c>
      <c r="C2145" s="247" t="s">
        <v>996</v>
      </c>
      <c r="D2145" s="317">
        <v>42669</v>
      </c>
      <c r="E2145" s="318">
        <v>0.52641203703703698</v>
      </c>
      <c r="F2145" s="247" t="s">
        <v>702</v>
      </c>
      <c r="G2145" s="247" t="s">
        <v>1035</v>
      </c>
      <c r="H2145" s="248" t="s">
        <v>121</v>
      </c>
      <c r="I2145" s="248" t="s">
        <v>122</v>
      </c>
      <c r="J2145" s="247" t="s">
        <v>809</v>
      </c>
      <c r="K2145" s="249">
        <v>0</v>
      </c>
      <c r="M2145" s="90">
        <v>0</v>
      </c>
      <c r="N2145" s="90">
        <v>0</v>
      </c>
      <c r="O2145" s="90">
        <v>255</v>
      </c>
    </row>
    <row r="2146" spans="1:15" s="90" customFormat="1" ht="12.75" customHeight="1" x14ac:dyDescent="0.2">
      <c r="A2146" s="247" t="s">
        <v>1100</v>
      </c>
      <c r="B2146" s="316">
        <v>3001</v>
      </c>
      <c r="C2146" s="247" t="s">
        <v>996</v>
      </c>
      <c r="D2146" s="317">
        <v>42669</v>
      </c>
      <c r="E2146" s="318">
        <v>0.52890046296296289</v>
      </c>
      <c r="F2146" s="247" t="s">
        <v>702</v>
      </c>
      <c r="G2146" s="247" t="s">
        <v>1035</v>
      </c>
      <c r="H2146" s="248" t="s">
        <v>121</v>
      </c>
      <c r="I2146" s="248" t="s">
        <v>122</v>
      </c>
      <c r="J2146" s="247" t="s">
        <v>809</v>
      </c>
      <c r="K2146" s="249">
        <v>0</v>
      </c>
      <c r="M2146" s="90">
        <v>0</v>
      </c>
      <c r="N2146" s="90">
        <v>0</v>
      </c>
      <c r="O2146" s="90">
        <v>255</v>
      </c>
    </row>
    <row r="2147" spans="1:15" s="90" customFormat="1" ht="12.75" customHeight="1" x14ac:dyDescent="0.2">
      <c r="A2147" s="247" t="s">
        <v>1107</v>
      </c>
      <c r="B2147" s="316">
        <v>3001</v>
      </c>
      <c r="C2147" s="247" t="s">
        <v>996</v>
      </c>
      <c r="D2147" s="317">
        <v>42669</v>
      </c>
      <c r="E2147" s="318">
        <v>0.52890046296296289</v>
      </c>
      <c r="F2147" s="247" t="s">
        <v>702</v>
      </c>
      <c r="G2147" s="247" t="s">
        <v>1035</v>
      </c>
      <c r="H2147" s="248" t="s">
        <v>121</v>
      </c>
      <c r="I2147" s="248" t="s">
        <v>122</v>
      </c>
      <c r="J2147" s="247" t="s">
        <v>809</v>
      </c>
      <c r="K2147" s="249">
        <v>0</v>
      </c>
      <c r="M2147" s="90">
        <v>0</v>
      </c>
      <c r="N2147" s="90">
        <v>0</v>
      </c>
      <c r="O2147" s="90">
        <v>255</v>
      </c>
    </row>
    <row r="2148" spans="1:15" s="90" customFormat="1" ht="12.75" customHeight="1" x14ac:dyDescent="0.2">
      <c r="A2148" s="247" t="s">
        <v>1420</v>
      </c>
      <c r="B2148" s="316">
        <v>3096</v>
      </c>
      <c r="C2148" s="247" t="s">
        <v>996</v>
      </c>
      <c r="D2148" s="317">
        <v>42669</v>
      </c>
      <c r="E2148" s="318">
        <v>0.53774305555555557</v>
      </c>
      <c r="F2148" s="247" t="s">
        <v>702</v>
      </c>
      <c r="G2148" s="247" t="s">
        <v>1035</v>
      </c>
      <c r="H2148" s="248" t="s">
        <v>234</v>
      </c>
      <c r="I2148" s="248" t="s">
        <v>702</v>
      </c>
      <c r="J2148" s="247" t="s">
        <v>809</v>
      </c>
      <c r="K2148" s="249">
        <v>0</v>
      </c>
      <c r="M2148" s="90">
        <v>0</v>
      </c>
      <c r="N2148" s="90">
        <v>0</v>
      </c>
      <c r="O2148" s="90">
        <v>255</v>
      </c>
    </row>
    <row r="2149" spans="1:15" s="90" customFormat="1" ht="12.75" customHeight="1" x14ac:dyDescent="0.2">
      <c r="A2149" s="247" t="s">
        <v>1181</v>
      </c>
      <c r="B2149" s="316">
        <v>3001</v>
      </c>
      <c r="C2149" s="247" t="s">
        <v>996</v>
      </c>
      <c r="D2149" s="317">
        <v>42669</v>
      </c>
      <c r="E2149" s="318">
        <v>0.53917824074074072</v>
      </c>
      <c r="F2149" s="247" t="s">
        <v>702</v>
      </c>
      <c r="G2149" s="247" t="s">
        <v>1035</v>
      </c>
      <c r="H2149" s="248" t="s">
        <v>121</v>
      </c>
      <c r="I2149" s="248" t="s">
        <v>122</v>
      </c>
      <c r="J2149" s="247" t="s">
        <v>809</v>
      </c>
      <c r="K2149" s="249">
        <v>0</v>
      </c>
      <c r="M2149" s="90">
        <v>0</v>
      </c>
      <c r="N2149" s="90">
        <v>0</v>
      </c>
      <c r="O2149" s="90">
        <v>255</v>
      </c>
    </row>
    <row r="2150" spans="1:15" s="90" customFormat="1" ht="12.75" customHeight="1" x14ac:dyDescent="0.2">
      <c r="A2150" s="247" t="s">
        <v>1032</v>
      </c>
      <c r="B2150" s="316">
        <v>3046</v>
      </c>
      <c r="C2150" s="247" t="s">
        <v>975</v>
      </c>
      <c r="D2150" s="317">
        <v>42669</v>
      </c>
      <c r="E2150" s="318">
        <v>0.54959490740740746</v>
      </c>
      <c r="F2150" s="247" t="s">
        <v>976</v>
      </c>
      <c r="G2150" s="247" t="s">
        <v>1035</v>
      </c>
      <c r="H2150" s="248" t="s">
        <v>404</v>
      </c>
      <c r="I2150" s="248" t="s">
        <v>404</v>
      </c>
      <c r="J2150" s="247" t="s">
        <v>809</v>
      </c>
      <c r="K2150" s="249">
        <v>0</v>
      </c>
      <c r="M2150" s="90">
        <v>0</v>
      </c>
      <c r="N2150" s="90">
        <v>0</v>
      </c>
      <c r="O2150" s="90">
        <v>255</v>
      </c>
    </row>
    <row r="2151" spans="1:15" s="90" customFormat="1" ht="12.75" customHeight="1" x14ac:dyDescent="0.2">
      <c r="A2151" s="247" t="s">
        <v>989</v>
      </c>
      <c r="B2151" s="316">
        <v>3046</v>
      </c>
      <c r="C2151" s="247" t="s">
        <v>975</v>
      </c>
      <c r="D2151" s="317">
        <v>42669</v>
      </c>
      <c r="E2151" s="318">
        <v>0.54959490740740746</v>
      </c>
      <c r="F2151" s="247" t="s">
        <v>976</v>
      </c>
      <c r="G2151" s="247" t="s">
        <v>1035</v>
      </c>
      <c r="H2151" s="248" t="s">
        <v>404</v>
      </c>
      <c r="I2151" s="248" t="s">
        <v>404</v>
      </c>
      <c r="J2151" s="247" t="s">
        <v>809</v>
      </c>
      <c r="K2151" s="249">
        <v>0</v>
      </c>
      <c r="M2151" s="90">
        <v>0</v>
      </c>
      <c r="N2151" s="90">
        <v>0</v>
      </c>
      <c r="O2151" s="90">
        <v>255</v>
      </c>
    </row>
    <row r="2152" spans="1:15" s="90" customFormat="1" ht="12.75" customHeight="1" x14ac:dyDescent="0.2">
      <c r="A2152" s="247" t="s">
        <v>987</v>
      </c>
      <c r="B2152" s="316">
        <v>2076</v>
      </c>
      <c r="C2152" s="247" t="s">
        <v>979</v>
      </c>
      <c r="D2152" s="317">
        <v>42669</v>
      </c>
      <c r="E2152" s="318">
        <v>0.55024305555555553</v>
      </c>
      <c r="F2152" s="247" t="s">
        <v>702</v>
      </c>
      <c r="G2152" s="247" t="s">
        <v>1035</v>
      </c>
      <c r="H2152" s="248" t="s">
        <v>4</v>
      </c>
      <c r="I2152" s="248" t="s">
        <v>5</v>
      </c>
      <c r="J2152" s="247" t="s">
        <v>412</v>
      </c>
      <c r="K2152" s="249">
        <v>0.5</v>
      </c>
      <c r="L2152" s="90" t="s">
        <v>1777</v>
      </c>
      <c r="M2152" s="90">
        <v>4329</v>
      </c>
      <c r="N2152" s="90">
        <v>4</v>
      </c>
      <c r="O2152" s="90">
        <v>0</v>
      </c>
    </row>
    <row r="2153" spans="1:15" s="90" customFormat="1" ht="12.75" customHeight="1" x14ac:dyDescent="0.2">
      <c r="A2153" s="247" t="s">
        <v>990</v>
      </c>
      <c r="B2153" s="316">
        <v>3046</v>
      </c>
      <c r="C2153" s="247" t="s">
        <v>975</v>
      </c>
      <c r="D2153" s="317">
        <v>42669</v>
      </c>
      <c r="E2153" s="318">
        <v>0.5511921296296296</v>
      </c>
      <c r="F2153" s="247" t="s">
        <v>976</v>
      </c>
      <c r="G2153" s="247" t="s">
        <v>1035</v>
      </c>
      <c r="H2153" s="248" t="s">
        <v>404</v>
      </c>
      <c r="I2153" s="248" t="s">
        <v>404</v>
      </c>
      <c r="J2153" s="247" t="s">
        <v>809</v>
      </c>
      <c r="K2153" s="249">
        <v>0</v>
      </c>
      <c r="M2153" s="90">
        <v>0</v>
      </c>
      <c r="N2153" s="90">
        <v>0</v>
      </c>
      <c r="O2153" s="90">
        <v>255</v>
      </c>
    </row>
    <row r="2154" spans="1:15" s="90" customFormat="1" ht="12.75" customHeight="1" x14ac:dyDescent="0.2">
      <c r="A2154" s="247" t="s">
        <v>1033</v>
      </c>
      <c r="B2154" s="316">
        <v>3217</v>
      </c>
      <c r="C2154" s="247" t="s">
        <v>975</v>
      </c>
      <c r="D2154" s="317">
        <v>42669</v>
      </c>
      <c r="E2154" s="318">
        <v>0.5511921296296296</v>
      </c>
      <c r="F2154" s="247" t="s">
        <v>235</v>
      </c>
      <c r="G2154" s="247" t="s">
        <v>1035</v>
      </c>
      <c r="H2154" s="248" t="s">
        <v>234</v>
      </c>
      <c r="I2154" s="248" t="s">
        <v>235</v>
      </c>
      <c r="J2154" s="247" t="s">
        <v>809</v>
      </c>
      <c r="K2154" s="249">
        <v>0</v>
      </c>
      <c r="M2154" s="90">
        <v>0</v>
      </c>
      <c r="N2154" s="90">
        <v>0</v>
      </c>
      <c r="O2154" s="90">
        <v>255</v>
      </c>
    </row>
    <row r="2155" spans="1:15" s="90" customFormat="1" ht="12.75" customHeight="1" x14ac:dyDescent="0.2">
      <c r="A2155" s="247" t="s">
        <v>1141</v>
      </c>
      <c r="B2155" s="316">
        <v>3047</v>
      </c>
      <c r="C2155" s="247" t="s">
        <v>996</v>
      </c>
      <c r="D2155" s="317">
        <v>42669</v>
      </c>
      <c r="E2155" s="318">
        <v>0.56346064814814811</v>
      </c>
      <c r="F2155" s="247" t="s">
        <v>235</v>
      </c>
      <c r="G2155" s="247" t="s">
        <v>1035</v>
      </c>
      <c r="H2155" s="248" t="s">
        <v>234</v>
      </c>
      <c r="I2155" s="248" t="s">
        <v>235</v>
      </c>
      <c r="J2155" s="247" t="s">
        <v>809</v>
      </c>
      <c r="K2155" s="249">
        <v>0</v>
      </c>
      <c r="M2155" s="90">
        <v>0</v>
      </c>
      <c r="N2155" s="90">
        <v>0</v>
      </c>
      <c r="O2155" s="90">
        <v>255</v>
      </c>
    </row>
    <row r="2156" spans="1:15" s="90" customFormat="1" ht="12.75" customHeight="1" x14ac:dyDescent="0.2">
      <c r="A2156" s="247" t="s">
        <v>1142</v>
      </c>
      <c r="B2156" s="316">
        <v>3047</v>
      </c>
      <c r="C2156" s="247" t="s">
        <v>996</v>
      </c>
      <c r="D2156" s="317">
        <v>42669</v>
      </c>
      <c r="E2156" s="318">
        <v>0.56346064814814811</v>
      </c>
      <c r="F2156" s="247" t="s">
        <v>235</v>
      </c>
      <c r="G2156" s="247" t="s">
        <v>1035</v>
      </c>
      <c r="H2156" s="248" t="s">
        <v>234</v>
      </c>
      <c r="I2156" s="248" t="s">
        <v>235</v>
      </c>
      <c r="J2156" s="247" t="s">
        <v>809</v>
      </c>
      <c r="K2156" s="249">
        <v>0</v>
      </c>
      <c r="M2156" s="90">
        <v>0</v>
      </c>
      <c r="N2156" s="90">
        <v>0</v>
      </c>
      <c r="O2156" s="90">
        <v>255</v>
      </c>
    </row>
    <row r="2157" spans="1:15" s="90" customFormat="1" ht="12.75" customHeight="1" x14ac:dyDescent="0.2">
      <c r="A2157" s="247" t="s">
        <v>1102</v>
      </c>
      <c r="B2157" s="316">
        <v>3047</v>
      </c>
      <c r="C2157" s="247" t="s">
        <v>996</v>
      </c>
      <c r="D2157" s="317">
        <v>42669</v>
      </c>
      <c r="E2157" s="318">
        <v>0.56346064814814811</v>
      </c>
      <c r="F2157" s="247" t="s">
        <v>235</v>
      </c>
      <c r="G2157" s="247" t="s">
        <v>1035</v>
      </c>
      <c r="H2157" s="248" t="s">
        <v>234</v>
      </c>
      <c r="I2157" s="248" t="s">
        <v>235</v>
      </c>
      <c r="J2157" s="247" t="s">
        <v>809</v>
      </c>
      <c r="K2157" s="249">
        <v>0</v>
      </c>
      <c r="M2157" s="90">
        <v>0</v>
      </c>
      <c r="N2157" s="90">
        <v>0</v>
      </c>
      <c r="O2157" s="90">
        <v>255</v>
      </c>
    </row>
    <row r="2158" spans="1:15" s="90" customFormat="1" ht="12.75" customHeight="1" x14ac:dyDescent="0.2">
      <c r="A2158" s="247" t="s">
        <v>1405</v>
      </c>
      <c r="B2158" s="316">
        <v>3121</v>
      </c>
      <c r="C2158" s="247" t="s">
        <v>975</v>
      </c>
      <c r="D2158" s="317">
        <v>42669</v>
      </c>
      <c r="E2158" s="318">
        <v>0.58131944444444439</v>
      </c>
      <c r="F2158" s="247" t="s">
        <v>978</v>
      </c>
      <c r="G2158" s="247" t="s">
        <v>1035</v>
      </c>
      <c r="H2158" s="248"/>
      <c r="I2158" s="248"/>
      <c r="J2158" s="247"/>
      <c r="K2158" s="249"/>
      <c r="M2158" s="90">
        <v>0</v>
      </c>
      <c r="N2158" s="90">
        <v>0</v>
      </c>
      <c r="O2158" s="90">
        <v>255</v>
      </c>
    </row>
    <row r="2159" spans="1:15" s="90" customFormat="1" ht="12.75" customHeight="1" x14ac:dyDescent="0.2">
      <c r="A2159" s="247" t="s">
        <v>1034</v>
      </c>
      <c r="B2159" s="316">
        <v>3106</v>
      </c>
      <c r="C2159" s="247" t="s">
        <v>975</v>
      </c>
      <c r="D2159" s="317">
        <v>42669</v>
      </c>
      <c r="E2159" s="318">
        <v>0.5861574074074074</v>
      </c>
      <c r="F2159" s="247" t="s">
        <v>978</v>
      </c>
      <c r="G2159" s="247" t="s">
        <v>1035</v>
      </c>
      <c r="H2159" s="248" t="s">
        <v>234</v>
      </c>
      <c r="I2159" s="248" t="s">
        <v>677</v>
      </c>
      <c r="J2159" s="247" t="s">
        <v>809</v>
      </c>
      <c r="K2159" s="249">
        <v>0</v>
      </c>
      <c r="M2159" s="90">
        <v>0</v>
      </c>
      <c r="N2159" s="90">
        <v>0</v>
      </c>
      <c r="O2159" s="90">
        <v>255</v>
      </c>
    </row>
    <row r="2160" spans="1:15" s="90" customFormat="1" ht="12.75" customHeight="1" x14ac:dyDescent="0.2">
      <c r="A2160" s="247" t="s">
        <v>1413</v>
      </c>
      <c r="B2160" s="316">
        <v>3004</v>
      </c>
      <c r="C2160" s="247" t="s">
        <v>979</v>
      </c>
      <c r="D2160" s="317">
        <v>42669</v>
      </c>
      <c r="E2160" s="318">
        <v>0.59254629629629629</v>
      </c>
      <c r="F2160" s="247" t="s">
        <v>702</v>
      </c>
      <c r="G2160" s="247" t="s">
        <v>1035</v>
      </c>
      <c r="H2160" s="248" t="s">
        <v>234</v>
      </c>
      <c r="I2160" s="248" t="s">
        <v>702</v>
      </c>
      <c r="J2160" s="247" t="s">
        <v>809</v>
      </c>
      <c r="K2160" s="249">
        <v>0</v>
      </c>
      <c r="M2160" s="90">
        <v>0</v>
      </c>
      <c r="N2160" s="90">
        <v>0</v>
      </c>
      <c r="O2160" s="90">
        <v>255</v>
      </c>
    </row>
    <row r="2161" spans="1:15" s="90" customFormat="1" ht="12.75" customHeight="1" x14ac:dyDescent="0.2">
      <c r="A2161" s="247" t="s">
        <v>1183</v>
      </c>
      <c r="B2161" s="316">
        <v>2083</v>
      </c>
      <c r="C2161" s="247" t="s">
        <v>979</v>
      </c>
      <c r="D2161" s="317">
        <v>42669</v>
      </c>
      <c r="E2161" s="318">
        <v>0.59270833333333328</v>
      </c>
      <c r="F2161" s="247" t="s">
        <v>702</v>
      </c>
      <c r="G2161" s="247" t="s">
        <v>1035</v>
      </c>
      <c r="H2161" s="248" t="s">
        <v>121</v>
      </c>
      <c r="I2161" s="248" t="s">
        <v>122</v>
      </c>
      <c r="J2161" s="247" t="s">
        <v>809</v>
      </c>
      <c r="K2161" s="249">
        <v>0</v>
      </c>
      <c r="M2161" s="90">
        <v>0</v>
      </c>
      <c r="N2161" s="90">
        <v>0</v>
      </c>
      <c r="O2161" s="90">
        <v>255</v>
      </c>
    </row>
    <row r="2162" spans="1:15" s="90" customFormat="1" ht="12.75" customHeight="1" x14ac:dyDescent="0.2">
      <c r="A2162" s="247" t="s">
        <v>1184</v>
      </c>
      <c r="B2162" s="316">
        <v>2083</v>
      </c>
      <c r="C2162" s="247" t="s">
        <v>979</v>
      </c>
      <c r="D2162" s="317">
        <v>42669</v>
      </c>
      <c r="E2162" s="318">
        <v>0.59270833333333328</v>
      </c>
      <c r="F2162" s="247" t="s">
        <v>702</v>
      </c>
      <c r="G2162" s="247" t="s">
        <v>1035</v>
      </c>
      <c r="H2162" s="248" t="s">
        <v>121</v>
      </c>
      <c r="I2162" s="248" t="s">
        <v>122</v>
      </c>
      <c r="J2162" s="247" t="s">
        <v>809</v>
      </c>
      <c r="K2162" s="249">
        <v>0</v>
      </c>
      <c r="M2162" s="90">
        <v>0</v>
      </c>
      <c r="N2162" s="90">
        <v>0</v>
      </c>
      <c r="O2162" s="90">
        <v>255</v>
      </c>
    </row>
    <row r="2163" spans="1:15" s="90" customFormat="1" ht="12.75" customHeight="1" x14ac:dyDescent="0.2">
      <c r="A2163" s="247" t="s">
        <v>1105</v>
      </c>
      <c r="B2163" s="316">
        <v>2083</v>
      </c>
      <c r="C2163" s="247" t="s">
        <v>979</v>
      </c>
      <c r="D2163" s="317">
        <v>42669</v>
      </c>
      <c r="E2163" s="318">
        <v>0.59270833333333328</v>
      </c>
      <c r="F2163" s="247" t="s">
        <v>702</v>
      </c>
      <c r="G2163" s="247" t="s">
        <v>1035</v>
      </c>
      <c r="H2163" s="248" t="s">
        <v>121</v>
      </c>
      <c r="I2163" s="248" t="s">
        <v>122</v>
      </c>
      <c r="J2163" s="247" t="s">
        <v>809</v>
      </c>
      <c r="K2163" s="249">
        <v>0</v>
      </c>
      <c r="M2163" s="90">
        <v>0</v>
      </c>
      <c r="N2163" s="90">
        <v>0</v>
      </c>
      <c r="O2163" s="90">
        <v>255</v>
      </c>
    </row>
    <row r="2164" spans="1:15" s="90" customFormat="1" ht="12.75" customHeight="1" x14ac:dyDescent="0.2">
      <c r="A2164" s="247" t="s">
        <v>1101</v>
      </c>
      <c r="B2164" s="316">
        <v>3001</v>
      </c>
      <c r="C2164" s="247" t="s">
        <v>996</v>
      </c>
      <c r="D2164" s="317">
        <v>42669</v>
      </c>
      <c r="E2164" s="318">
        <v>0.59270833333333328</v>
      </c>
      <c r="F2164" s="247" t="s">
        <v>702</v>
      </c>
      <c r="G2164" s="247" t="s">
        <v>1035</v>
      </c>
      <c r="H2164" s="248" t="s">
        <v>121</v>
      </c>
      <c r="I2164" s="248" t="s">
        <v>122</v>
      </c>
      <c r="J2164" s="247" t="s">
        <v>809</v>
      </c>
      <c r="K2164" s="249">
        <v>0</v>
      </c>
      <c r="M2164" s="90">
        <v>0</v>
      </c>
      <c r="N2164" s="90">
        <v>0</v>
      </c>
      <c r="O2164" s="90">
        <v>255</v>
      </c>
    </row>
    <row r="2165" spans="1:15" s="90" customFormat="1" ht="12.75" customHeight="1" x14ac:dyDescent="0.2">
      <c r="A2165" s="247" t="s">
        <v>1181</v>
      </c>
      <c r="B2165" s="316">
        <v>3001</v>
      </c>
      <c r="C2165" s="247" t="s">
        <v>996</v>
      </c>
      <c r="D2165" s="317">
        <v>42669</v>
      </c>
      <c r="E2165" s="318">
        <v>0.59270833333333328</v>
      </c>
      <c r="F2165" s="247" t="s">
        <v>702</v>
      </c>
      <c r="G2165" s="247" t="s">
        <v>1035</v>
      </c>
      <c r="H2165" s="248" t="s">
        <v>121</v>
      </c>
      <c r="I2165" s="248" t="s">
        <v>122</v>
      </c>
      <c r="J2165" s="247" t="s">
        <v>809</v>
      </c>
      <c r="K2165" s="249">
        <v>0</v>
      </c>
      <c r="M2165" s="90">
        <v>0</v>
      </c>
      <c r="N2165" s="90">
        <v>0</v>
      </c>
      <c r="O2165" s="90">
        <v>255</v>
      </c>
    </row>
    <row r="2166" spans="1:15" s="90" customFormat="1" ht="12.75" customHeight="1" x14ac:dyDescent="0.2">
      <c r="A2166" s="247" t="s">
        <v>989</v>
      </c>
      <c r="B2166" s="316">
        <v>3046</v>
      </c>
      <c r="C2166" s="247" t="s">
        <v>975</v>
      </c>
      <c r="D2166" s="317">
        <v>42669</v>
      </c>
      <c r="E2166" s="318">
        <v>0.59288194444444442</v>
      </c>
      <c r="F2166" s="247" t="s">
        <v>976</v>
      </c>
      <c r="G2166" s="247" t="s">
        <v>1035</v>
      </c>
      <c r="H2166" s="248" t="s">
        <v>404</v>
      </c>
      <c r="I2166" s="248" t="s">
        <v>404</v>
      </c>
      <c r="J2166" s="247" t="s">
        <v>809</v>
      </c>
      <c r="K2166" s="249">
        <v>0</v>
      </c>
      <c r="M2166" s="90">
        <v>0</v>
      </c>
      <c r="N2166" s="90">
        <v>0</v>
      </c>
      <c r="O2166" s="90">
        <v>255</v>
      </c>
    </row>
    <row r="2167" spans="1:15" s="90" customFormat="1" ht="12.75" customHeight="1" x14ac:dyDescent="0.2">
      <c r="A2167" s="247" t="s">
        <v>990</v>
      </c>
      <c r="B2167" s="316">
        <v>3046</v>
      </c>
      <c r="C2167" s="247" t="s">
        <v>975</v>
      </c>
      <c r="D2167" s="317">
        <v>42669</v>
      </c>
      <c r="E2167" s="318">
        <v>0.59337962962962965</v>
      </c>
      <c r="F2167" s="247" t="s">
        <v>976</v>
      </c>
      <c r="G2167" s="247" t="s">
        <v>1035</v>
      </c>
      <c r="H2167" s="248" t="s">
        <v>404</v>
      </c>
      <c r="I2167" s="248" t="s">
        <v>404</v>
      </c>
      <c r="J2167" s="247" t="s">
        <v>809</v>
      </c>
      <c r="K2167" s="249">
        <v>0</v>
      </c>
      <c r="M2167" s="90">
        <v>0</v>
      </c>
      <c r="N2167" s="90">
        <v>0</v>
      </c>
      <c r="O2167" s="90">
        <v>255</v>
      </c>
    </row>
    <row r="2168" spans="1:15" s="90" customFormat="1" ht="12.75" customHeight="1" x14ac:dyDescent="0.2">
      <c r="A2168" s="247" t="s">
        <v>993</v>
      </c>
      <c r="B2168" s="316">
        <v>3217</v>
      </c>
      <c r="C2168" s="247" t="s">
        <v>975</v>
      </c>
      <c r="D2168" s="317">
        <v>42669</v>
      </c>
      <c r="E2168" s="318">
        <v>0.59337962962962965</v>
      </c>
      <c r="F2168" s="247" t="s">
        <v>235</v>
      </c>
      <c r="G2168" s="247" t="s">
        <v>1035</v>
      </c>
      <c r="H2168" s="248" t="s">
        <v>234</v>
      </c>
      <c r="I2168" s="248" t="s">
        <v>235</v>
      </c>
      <c r="J2168" s="247" t="s">
        <v>809</v>
      </c>
      <c r="K2168" s="249">
        <v>0</v>
      </c>
      <c r="M2168" s="90">
        <v>0</v>
      </c>
      <c r="N2168" s="90">
        <v>0</v>
      </c>
      <c r="O2168" s="90">
        <v>255</v>
      </c>
    </row>
    <row r="2169" spans="1:15" s="90" customFormat="1" ht="12.75" customHeight="1" x14ac:dyDescent="0.2">
      <c r="A2169" s="247" t="s">
        <v>1031</v>
      </c>
      <c r="B2169" s="316">
        <v>3046</v>
      </c>
      <c r="C2169" s="247" t="s">
        <v>975</v>
      </c>
      <c r="D2169" s="317">
        <v>42669</v>
      </c>
      <c r="E2169" s="318">
        <v>0.59406250000000005</v>
      </c>
      <c r="F2169" s="247" t="s">
        <v>976</v>
      </c>
      <c r="G2169" s="247" t="s">
        <v>1035</v>
      </c>
      <c r="H2169" s="248" t="s">
        <v>404</v>
      </c>
      <c r="I2169" s="248" t="s">
        <v>404</v>
      </c>
      <c r="J2169" s="247" t="s">
        <v>809</v>
      </c>
      <c r="K2169" s="249">
        <v>0</v>
      </c>
      <c r="M2169" s="90">
        <v>0</v>
      </c>
      <c r="N2169" s="90">
        <v>0</v>
      </c>
      <c r="O2169" s="90">
        <v>255</v>
      </c>
    </row>
    <row r="2170" spans="1:15" s="90" customFormat="1" ht="12.75" customHeight="1" x14ac:dyDescent="0.2">
      <c r="A2170" s="247" t="s">
        <v>1032</v>
      </c>
      <c r="B2170" s="316">
        <v>3046</v>
      </c>
      <c r="C2170" s="247" t="s">
        <v>975</v>
      </c>
      <c r="D2170" s="317">
        <v>42669</v>
      </c>
      <c r="E2170" s="318">
        <v>0.59854166666666664</v>
      </c>
      <c r="F2170" s="247" t="s">
        <v>976</v>
      </c>
      <c r="G2170" s="247" t="s">
        <v>1035</v>
      </c>
      <c r="H2170" s="248" t="s">
        <v>404</v>
      </c>
      <c r="I2170" s="248" t="s">
        <v>404</v>
      </c>
      <c r="J2170" s="247" t="s">
        <v>809</v>
      </c>
      <c r="K2170" s="249">
        <v>0</v>
      </c>
      <c r="M2170" s="90">
        <v>0</v>
      </c>
      <c r="N2170" s="90">
        <v>0</v>
      </c>
      <c r="O2170" s="90">
        <v>255</v>
      </c>
    </row>
    <row r="2171" spans="1:15" s="90" customFormat="1" ht="12.75" customHeight="1" x14ac:dyDescent="0.2">
      <c r="A2171" s="247" t="s">
        <v>989</v>
      </c>
      <c r="B2171" s="316">
        <v>3046</v>
      </c>
      <c r="C2171" s="247" t="s">
        <v>975</v>
      </c>
      <c r="D2171" s="317">
        <v>42669</v>
      </c>
      <c r="E2171" s="318">
        <v>0.59854166666666664</v>
      </c>
      <c r="F2171" s="247" t="s">
        <v>976</v>
      </c>
      <c r="G2171" s="247" t="s">
        <v>1035</v>
      </c>
      <c r="H2171" s="248" t="s">
        <v>404</v>
      </c>
      <c r="I2171" s="248" t="s">
        <v>404</v>
      </c>
      <c r="J2171" s="247" t="s">
        <v>809</v>
      </c>
      <c r="K2171" s="249">
        <v>0</v>
      </c>
      <c r="M2171" s="90">
        <v>0</v>
      </c>
      <c r="N2171" s="90">
        <v>0</v>
      </c>
      <c r="O2171" s="90">
        <v>255</v>
      </c>
    </row>
    <row r="2172" spans="1:15" s="90" customFormat="1" ht="12.75" customHeight="1" x14ac:dyDescent="0.2">
      <c r="A2172" s="247" t="s">
        <v>1420</v>
      </c>
      <c r="B2172" s="316">
        <v>3096</v>
      </c>
      <c r="C2172" s="247" t="s">
        <v>996</v>
      </c>
      <c r="D2172" s="317">
        <v>42669</v>
      </c>
      <c r="E2172" s="318">
        <v>0.59854166666666664</v>
      </c>
      <c r="F2172" s="247" t="s">
        <v>702</v>
      </c>
      <c r="G2172" s="247" t="s">
        <v>1035</v>
      </c>
      <c r="H2172" s="248" t="s">
        <v>234</v>
      </c>
      <c r="I2172" s="248" t="s">
        <v>702</v>
      </c>
      <c r="J2172" s="247" t="s">
        <v>809</v>
      </c>
      <c r="K2172" s="249">
        <v>0</v>
      </c>
      <c r="M2172" s="90">
        <v>0</v>
      </c>
      <c r="N2172" s="90">
        <v>0</v>
      </c>
      <c r="O2172" s="90">
        <v>255</v>
      </c>
    </row>
    <row r="2173" spans="1:15" s="90" customFormat="1" ht="12.75" customHeight="1" x14ac:dyDescent="0.2">
      <c r="A2173" s="247" t="s">
        <v>990</v>
      </c>
      <c r="B2173" s="316">
        <v>3046</v>
      </c>
      <c r="C2173" s="247" t="s">
        <v>975</v>
      </c>
      <c r="D2173" s="317">
        <v>42669</v>
      </c>
      <c r="E2173" s="318">
        <v>0.5988310185185185</v>
      </c>
      <c r="F2173" s="247" t="s">
        <v>976</v>
      </c>
      <c r="G2173" s="247" t="s">
        <v>1035</v>
      </c>
      <c r="H2173" s="248" t="s">
        <v>404</v>
      </c>
      <c r="I2173" s="248" t="s">
        <v>404</v>
      </c>
      <c r="J2173" s="247" t="s">
        <v>809</v>
      </c>
      <c r="K2173" s="249">
        <v>0</v>
      </c>
      <c r="M2173" s="90">
        <v>0</v>
      </c>
      <c r="N2173" s="90">
        <v>0</v>
      </c>
      <c r="O2173" s="90">
        <v>255</v>
      </c>
    </row>
    <row r="2174" spans="1:15" s="90" customFormat="1" ht="12.75" customHeight="1" x14ac:dyDescent="0.2">
      <c r="A2174" s="247" t="s">
        <v>1033</v>
      </c>
      <c r="B2174" s="316">
        <v>3217</v>
      </c>
      <c r="C2174" s="247" t="s">
        <v>975</v>
      </c>
      <c r="D2174" s="317">
        <v>42669</v>
      </c>
      <c r="E2174" s="318">
        <v>0.5988310185185185</v>
      </c>
      <c r="F2174" s="247" t="s">
        <v>235</v>
      </c>
      <c r="G2174" s="247" t="s">
        <v>1035</v>
      </c>
      <c r="H2174" s="248" t="s">
        <v>234</v>
      </c>
      <c r="I2174" s="248" t="s">
        <v>235</v>
      </c>
      <c r="J2174" s="247" t="s">
        <v>809</v>
      </c>
      <c r="K2174" s="249">
        <v>0</v>
      </c>
      <c r="M2174" s="90">
        <v>0</v>
      </c>
      <c r="N2174" s="90">
        <v>0</v>
      </c>
      <c r="O2174" s="90">
        <v>255</v>
      </c>
    </row>
    <row r="2175" spans="1:15" s="90" customFormat="1" ht="12.75" customHeight="1" x14ac:dyDescent="0.2">
      <c r="A2175" s="247" t="s">
        <v>1421</v>
      </c>
      <c r="B2175" s="316">
        <v>3112</v>
      </c>
      <c r="C2175" s="247" t="s">
        <v>975</v>
      </c>
      <c r="D2175" s="317">
        <v>42669</v>
      </c>
      <c r="E2175" s="318">
        <v>0.60354166666666664</v>
      </c>
      <c r="F2175" s="247" t="s">
        <v>981</v>
      </c>
      <c r="G2175" s="247" t="s">
        <v>1035</v>
      </c>
      <c r="H2175" s="248" t="s">
        <v>234</v>
      </c>
      <c r="I2175" s="248" t="s">
        <v>677</v>
      </c>
      <c r="J2175" s="247" t="s">
        <v>809</v>
      </c>
      <c r="K2175" s="249">
        <v>0</v>
      </c>
      <c r="M2175" s="90">
        <v>0</v>
      </c>
      <c r="N2175" s="90">
        <v>0</v>
      </c>
      <c r="O2175" s="90">
        <v>255</v>
      </c>
    </row>
    <row r="2176" spans="1:15" s="90" customFormat="1" ht="12.75" customHeight="1" x14ac:dyDescent="0.2">
      <c r="A2176" s="247" t="s">
        <v>1031</v>
      </c>
      <c r="B2176" s="316">
        <v>3046</v>
      </c>
      <c r="C2176" s="247" t="s">
        <v>975</v>
      </c>
      <c r="D2176" s="317">
        <v>42669</v>
      </c>
      <c r="E2176" s="318">
        <v>0.60451388888888891</v>
      </c>
      <c r="F2176" s="247" t="s">
        <v>976</v>
      </c>
      <c r="G2176" s="247" t="s">
        <v>1035</v>
      </c>
      <c r="H2176" s="248" t="s">
        <v>404</v>
      </c>
      <c r="I2176" s="248" t="s">
        <v>404</v>
      </c>
      <c r="J2176" s="247" t="s">
        <v>809</v>
      </c>
      <c r="K2176" s="249">
        <v>0</v>
      </c>
      <c r="M2176" s="90">
        <v>0</v>
      </c>
      <c r="N2176" s="90">
        <v>0</v>
      </c>
      <c r="O2176" s="90">
        <v>255</v>
      </c>
    </row>
    <row r="2177" spans="1:15" s="90" customFormat="1" ht="12.75" customHeight="1" x14ac:dyDescent="0.2">
      <c r="A2177" s="247" t="s">
        <v>301</v>
      </c>
      <c r="B2177" s="316">
        <v>3042</v>
      </c>
      <c r="C2177" s="247" t="s">
        <v>979</v>
      </c>
      <c r="D2177" s="317">
        <v>42669</v>
      </c>
      <c r="E2177" s="318">
        <v>0.60828703703703701</v>
      </c>
      <c r="F2177" s="247" t="s">
        <v>980</v>
      </c>
      <c r="G2177" s="247" t="s">
        <v>1035</v>
      </c>
      <c r="H2177" s="248" t="s">
        <v>234</v>
      </c>
      <c r="I2177" s="248" t="s">
        <v>263</v>
      </c>
      <c r="J2177" s="247" t="s">
        <v>809</v>
      </c>
      <c r="K2177" s="249">
        <v>0</v>
      </c>
      <c r="M2177" s="90">
        <v>0</v>
      </c>
      <c r="N2177" s="90">
        <v>0</v>
      </c>
      <c r="O2177" s="90">
        <v>255</v>
      </c>
    </row>
    <row r="2178" spans="1:15" s="90" customFormat="1" ht="12.75" customHeight="1" x14ac:dyDescent="0.2">
      <c r="A2178" s="247" t="s">
        <v>1422</v>
      </c>
      <c r="B2178" s="316">
        <v>3024</v>
      </c>
      <c r="C2178" s="247" t="s">
        <v>996</v>
      </c>
      <c r="D2178" s="317">
        <v>42669</v>
      </c>
      <c r="E2178" s="318">
        <v>0.60906249999999995</v>
      </c>
      <c r="F2178" s="247" t="s">
        <v>702</v>
      </c>
      <c r="G2178" s="247" t="s">
        <v>1035</v>
      </c>
      <c r="H2178" s="248" t="s">
        <v>234</v>
      </c>
      <c r="I2178" s="248" t="s">
        <v>702</v>
      </c>
      <c r="J2178" s="247" t="s">
        <v>809</v>
      </c>
      <c r="K2178" s="249">
        <v>0</v>
      </c>
      <c r="M2178" s="90">
        <v>0</v>
      </c>
      <c r="N2178" s="90">
        <v>0</v>
      </c>
      <c r="O2178" s="90">
        <v>255</v>
      </c>
    </row>
    <row r="2179" spans="1:15" s="90" customFormat="1" ht="12.75" customHeight="1" x14ac:dyDescent="0.2">
      <c r="A2179" s="247" t="s">
        <v>1423</v>
      </c>
      <c r="B2179" s="316">
        <v>3024</v>
      </c>
      <c r="C2179" s="247" t="s">
        <v>996</v>
      </c>
      <c r="D2179" s="317">
        <v>42669</v>
      </c>
      <c r="E2179" s="318">
        <v>0.60906249999999995</v>
      </c>
      <c r="F2179" s="247" t="s">
        <v>702</v>
      </c>
      <c r="G2179" s="247" t="s">
        <v>1035</v>
      </c>
      <c r="H2179" s="248" t="s">
        <v>234</v>
      </c>
      <c r="I2179" s="248" t="s">
        <v>702</v>
      </c>
      <c r="J2179" s="247" t="s">
        <v>809</v>
      </c>
      <c r="K2179" s="249">
        <v>0</v>
      </c>
      <c r="M2179" s="90">
        <v>0</v>
      </c>
      <c r="N2179" s="90">
        <v>0</v>
      </c>
      <c r="O2179" s="90">
        <v>255</v>
      </c>
    </row>
    <row r="2180" spans="1:15" s="90" customFormat="1" ht="12.75" customHeight="1" x14ac:dyDescent="0.2">
      <c r="A2180" s="247" t="s">
        <v>1032</v>
      </c>
      <c r="B2180" s="316">
        <v>3046</v>
      </c>
      <c r="C2180" s="247" t="s">
        <v>975</v>
      </c>
      <c r="D2180" s="317">
        <v>42669</v>
      </c>
      <c r="E2180" s="318">
        <v>0.60906249999999995</v>
      </c>
      <c r="F2180" s="247" t="s">
        <v>976</v>
      </c>
      <c r="G2180" s="247" t="s">
        <v>1035</v>
      </c>
      <c r="H2180" s="248" t="s">
        <v>404</v>
      </c>
      <c r="I2180" s="248" t="s">
        <v>404</v>
      </c>
      <c r="J2180" s="247" t="s">
        <v>809</v>
      </c>
      <c r="K2180" s="249">
        <v>0</v>
      </c>
      <c r="M2180" s="90">
        <v>0</v>
      </c>
      <c r="N2180" s="90">
        <v>0</v>
      </c>
      <c r="O2180" s="90">
        <v>255</v>
      </c>
    </row>
    <row r="2181" spans="1:15" s="90" customFormat="1" ht="12.75" customHeight="1" x14ac:dyDescent="0.2">
      <c r="A2181" s="247" t="s">
        <v>989</v>
      </c>
      <c r="B2181" s="316">
        <v>3046</v>
      </c>
      <c r="C2181" s="247" t="s">
        <v>975</v>
      </c>
      <c r="D2181" s="317">
        <v>42669</v>
      </c>
      <c r="E2181" s="318">
        <v>0.60906249999999995</v>
      </c>
      <c r="F2181" s="247" t="s">
        <v>976</v>
      </c>
      <c r="G2181" s="247" t="s">
        <v>1035</v>
      </c>
      <c r="H2181" s="248" t="s">
        <v>404</v>
      </c>
      <c r="I2181" s="248" t="s">
        <v>404</v>
      </c>
      <c r="J2181" s="247" t="s">
        <v>809</v>
      </c>
      <c r="K2181" s="249">
        <v>0</v>
      </c>
      <c r="M2181" s="90">
        <v>0</v>
      </c>
      <c r="N2181" s="90">
        <v>0</v>
      </c>
      <c r="O2181" s="90">
        <v>255</v>
      </c>
    </row>
    <row r="2182" spans="1:15" s="90" customFormat="1" ht="12.75" customHeight="1" x14ac:dyDescent="0.2">
      <c r="A2182" s="247" t="s">
        <v>990</v>
      </c>
      <c r="B2182" s="316">
        <v>3046</v>
      </c>
      <c r="C2182" s="247" t="s">
        <v>975</v>
      </c>
      <c r="D2182" s="317">
        <v>42669</v>
      </c>
      <c r="E2182" s="318">
        <v>0.60929398148148151</v>
      </c>
      <c r="F2182" s="247" t="s">
        <v>976</v>
      </c>
      <c r="G2182" s="247" t="s">
        <v>1035</v>
      </c>
      <c r="H2182" s="248" t="s">
        <v>404</v>
      </c>
      <c r="I2182" s="248" t="s">
        <v>404</v>
      </c>
      <c r="J2182" s="247" t="s">
        <v>809</v>
      </c>
      <c r="K2182" s="249">
        <v>0</v>
      </c>
      <c r="M2182" s="90">
        <v>0</v>
      </c>
      <c r="N2182" s="90">
        <v>0</v>
      </c>
      <c r="O2182" s="90">
        <v>255</v>
      </c>
    </row>
    <row r="2183" spans="1:15" s="90" customFormat="1" ht="12.75" customHeight="1" x14ac:dyDescent="0.2">
      <c r="A2183" s="247" t="s">
        <v>1033</v>
      </c>
      <c r="B2183" s="316">
        <v>3217</v>
      </c>
      <c r="C2183" s="247" t="s">
        <v>975</v>
      </c>
      <c r="D2183" s="317">
        <v>42669</v>
      </c>
      <c r="E2183" s="318">
        <v>0.60929398148148151</v>
      </c>
      <c r="F2183" s="247" t="s">
        <v>235</v>
      </c>
      <c r="G2183" s="247" t="s">
        <v>1035</v>
      </c>
      <c r="H2183" s="248" t="s">
        <v>234</v>
      </c>
      <c r="I2183" s="248" t="s">
        <v>235</v>
      </c>
      <c r="J2183" s="247" t="s">
        <v>809</v>
      </c>
      <c r="K2183" s="249">
        <v>0</v>
      </c>
      <c r="M2183" s="90">
        <v>0</v>
      </c>
      <c r="N2183" s="90">
        <v>0</v>
      </c>
      <c r="O2183" s="90">
        <v>255</v>
      </c>
    </row>
    <row r="2184" spans="1:15" s="90" customFormat="1" ht="12.75" customHeight="1" x14ac:dyDescent="0.2">
      <c r="A2184" s="247" t="s">
        <v>1413</v>
      </c>
      <c r="B2184" s="316">
        <v>3004</v>
      </c>
      <c r="C2184" s="247" t="s">
        <v>979</v>
      </c>
      <c r="D2184" s="317">
        <v>42669</v>
      </c>
      <c r="E2184" s="318">
        <v>0.61793981481481486</v>
      </c>
      <c r="F2184" s="247" t="s">
        <v>702</v>
      </c>
      <c r="G2184" s="247" t="s">
        <v>1035</v>
      </c>
      <c r="H2184" s="248" t="s">
        <v>234</v>
      </c>
      <c r="I2184" s="248" t="s">
        <v>702</v>
      </c>
      <c r="J2184" s="247" t="s">
        <v>809</v>
      </c>
      <c r="K2184" s="249">
        <v>0</v>
      </c>
      <c r="M2184" s="90">
        <v>0</v>
      </c>
      <c r="N2184" s="90">
        <v>0</v>
      </c>
      <c r="O2184" s="90">
        <v>255</v>
      </c>
    </row>
    <row r="2185" spans="1:15" s="90" customFormat="1" ht="12.75" customHeight="1" x14ac:dyDescent="0.2">
      <c r="A2185" s="247" t="s">
        <v>1105</v>
      </c>
      <c r="B2185" s="316">
        <v>2083</v>
      </c>
      <c r="C2185" s="247" t="s">
        <v>979</v>
      </c>
      <c r="D2185" s="317">
        <v>42669</v>
      </c>
      <c r="E2185" s="318">
        <v>0.61806712962962962</v>
      </c>
      <c r="F2185" s="247" t="s">
        <v>702</v>
      </c>
      <c r="G2185" s="247" t="s">
        <v>1035</v>
      </c>
      <c r="H2185" s="248" t="s">
        <v>121</v>
      </c>
      <c r="I2185" s="248" t="s">
        <v>122</v>
      </c>
      <c r="J2185" s="247" t="s">
        <v>809</v>
      </c>
      <c r="K2185" s="249">
        <v>0</v>
      </c>
      <c r="M2185" s="90">
        <v>0</v>
      </c>
      <c r="N2185" s="90">
        <v>0</v>
      </c>
      <c r="O2185" s="90">
        <v>255</v>
      </c>
    </row>
    <row r="2186" spans="1:15" s="90" customFormat="1" ht="12.75" customHeight="1" x14ac:dyDescent="0.2">
      <c r="A2186" s="247" t="s">
        <v>1183</v>
      </c>
      <c r="B2186" s="316">
        <v>2083</v>
      </c>
      <c r="C2186" s="247" t="s">
        <v>979</v>
      </c>
      <c r="D2186" s="317">
        <v>42669</v>
      </c>
      <c r="E2186" s="318">
        <v>0.61806712962962962</v>
      </c>
      <c r="F2186" s="247" t="s">
        <v>702</v>
      </c>
      <c r="G2186" s="247" t="s">
        <v>1035</v>
      </c>
      <c r="H2186" s="248" t="s">
        <v>121</v>
      </c>
      <c r="I2186" s="248" t="s">
        <v>122</v>
      </c>
      <c r="J2186" s="247" t="s">
        <v>809</v>
      </c>
      <c r="K2186" s="249">
        <v>0</v>
      </c>
      <c r="M2186" s="90">
        <v>0</v>
      </c>
      <c r="N2186" s="90">
        <v>0</v>
      </c>
      <c r="O2186" s="90">
        <v>255</v>
      </c>
    </row>
    <row r="2187" spans="1:15" s="90" customFormat="1" ht="12.75" customHeight="1" x14ac:dyDescent="0.2">
      <c r="A2187" s="247" t="s">
        <v>1181</v>
      </c>
      <c r="B2187" s="316">
        <v>3001</v>
      </c>
      <c r="C2187" s="247" t="s">
        <v>996</v>
      </c>
      <c r="D2187" s="317">
        <v>42669</v>
      </c>
      <c r="E2187" s="318">
        <v>0.61806712962962962</v>
      </c>
      <c r="F2187" s="247" t="s">
        <v>702</v>
      </c>
      <c r="G2187" s="247" t="s">
        <v>1035</v>
      </c>
      <c r="H2187" s="248" t="s">
        <v>121</v>
      </c>
      <c r="I2187" s="248" t="s">
        <v>122</v>
      </c>
      <c r="J2187" s="247" t="s">
        <v>809</v>
      </c>
      <c r="K2187" s="249">
        <v>0</v>
      </c>
      <c r="M2187" s="90">
        <v>0</v>
      </c>
      <c r="N2187" s="90">
        <v>0</v>
      </c>
      <c r="O2187" s="90">
        <v>255</v>
      </c>
    </row>
    <row r="2188" spans="1:15" s="90" customFormat="1" ht="12.75" customHeight="1" x14ac:dyDescent="0.2">
      <c r="A2188" s="247" t="s">
        <v>1413</v>
      </c>
      <c r="B2188" s="316">
        <v>3004</v>
      </c>
      <c r="C2188" s="247" t="s">
        <v>979</v>
      </c>
      <c r="D2188" s="317">
        <v>42669</v>
      </c>
      <c r="E2188" s="318">
        <v>0.61903935185185188</v>
      </c>
      <c r="F2188" s="247" t="s">
        <v>702</v>
      </c>
      <c r="G2188" s="247" t="s">
        <v>1035</v>
      </c>
      <c r="H2188" s="248" t="s">
        <v>234</v>
      </c>
      <c r="I2188" s="248" t="s">
        <v>702</v>
      </c>
      <c r="J2188" s="247" t="s">
        <v>809</v>
      </c>
      <c r="K2188" s="249">
        <v>0</v>
      </c>
      <c r="M2188" s="90">
        <v>0</v>
      </c>
      <c r="N2188" s="90">
        <v>0</v>
      </c>
      <c r="O2188" s="90">
        <v>255</v>
      </c>
    </row>
    <row r="2189" spans="1:15" s="90" customFormat="1" ht="12.75" customHeight="1" x14ac:dyDescent="0.2">
      <c r="A2189" s="247" t="s">
        <v>1031</v>
      </c>
      <c r="B2189" s="316">
        <v>3046</v>
      </c>
      <c r="C2189" s="247" t="s">
        <v>975</v>
      </c>
      <c r="D2189" s="317">
        <v>42669</v>
      </c>
      <c r="E2189" s="318">
        <v>0.61909722222222219</v>
      </c>
      <c r="F2189" s="247" t="s">
        <v>976</v>
      </c>
      <c r="G2189" s="247" t="s">
        <v>1035</v>
      </c>
      <c r="H2189" s="248" t="s">
        <v>404</v>
      </c>
      <c r="I2189" s="248" t="s">
        <v>404</v>
      </c>
      <c r="J2189" s="247" t="s">
        <v>809</v>
      </c>
      <c r="K2189" s="249">
        <v>0</v>
      </c>
      <c r="M2189" s="90">
        <v>0</v>
      </c>
      <c r="N2189" s="90">
        <v>0</v>
      </c>
      <c r="O2189" s="90">
        <v>255</v>
      </c>
    </row>
    <row r="2190" spans="1:15" s="90" customFormat="1" ht="12.75" customHeight="1" x14ac:dyDescent="0.2">
      <c r="A2190" s="247" t="s">
        <v>1032</v>
      </c>
      <c r="B2190" s="316">
        <v>3046</v>
      </c>
      <c r="C2190" s="247" t="s">
        <v>975</v>
      </c>
      <c r="D2190" s="317">
        <v>42669</v>
      </c>
      <c r="E2190" s="318">
        <v>0.62560185185185191</v>
      </c>
      <c r="F2190" s="247" t="s">
        <v>976</v>
      </c>
      <c r="G2190" s="247" t="s">
        <v>1035</v>
      </c>
      <c r="H2190" s="248" t="s">
        <v>404</v>
      </c>
      <c r="I2190" s="248" t="s">
        <v>404</v>
      </c>
      <c r="J2190" s="247" t="s">
        <v>809</v>
      </c>
      <c r="K2190" s="249">
        <v>0</v>
      </c>
      <c r="M2190" s="90">
        <v>0</v>
      </c>
      <c r="N2190" s="90">
        <v>0</v>
      </c>
      <c r="O2190" s="90">
        <v>255</v>
      </c>
    </row>
    <row r="2191" spans="1:15" s="90" customFormat="1" ht="12.75" customHeight="1" x14ac:dyDescent="0.2">
      <c r="A2191" s="247" t="s">
        <v>989</v>
      </c>
      <c r="B2191" s="316">
        <v>3046</v>
      </c>
      <c r="C2191" s="247" t="s">
        <v>975</v>
      </c>
      <c r="D2191" s="317">
        <v>42669</v>
      </c>
      <c r="E2191" s="318">
        <v>0.62560185185185191</v>
      </c>
      <c r="F2191" s="247" t="s">
        <v>976</v>
      </c>
      <c r="G2191" s="247" t="s">
        <v>1035</v>
      </c>
      <c r="H2191" s="248" t="s">
        <v>404</v>
      </c>
      <c r="I2191" s="248" t="s">
        <v>404</v>
      </c>
      <c r="J2191" s="247" t="s">
        <v>809</v>
      </c>
      <c r="K2191" s="249">
        <v>0</v>
      </c>
      <c r="M2191" s="90">
        <v>0</v>
      </c>
      <c r="N2191" s="90">
        <v>0</v>
      </c>
      <c r="O2191" s="90">
        <v>255</v>
      </c>
    </row>
    <row r="2192" spans="1:15" s="90" customFormat="1" ht="12.75" customHeight="1" x14ac:dyDescent="0.2">
      <c r="A2192" s="247" t="s">
        <v>990</v>
      </c>
      <c r="B2192" s="316">
        <v>3046</v>
      </c>
      <c r="C2192" s="247" t="s">
        <v>975</v>
      </c>
      <c r="D2192" s="317">
        <v>42669</v>
      </c>
      <c r="E2192" s="318">
        <v>0.62591435185185185</v>
      </c>
      <c r="F2192" s="247" t="s">
        <v>976</v>
      </c>
      <c r="G2192" s="247" t="s">
        <v>1035</v>
      </c>
      <c r="H2192" s="248" t="s">
        <v>404</v>
      </c>
      <c r="I2192" s="248" t="s">
        <v>404</v>
      </c>
      <c r="J2192" s="247" t="s">
        <v>809</v>
      </c>
      <c r="K2192" s="249">
        <v>0</v>
      </c>
      <c r="M2192" s="90">
        <v>0</v>
      </c>
      <c r="N2192" s="90">
        <v>0</v>
      </c>
      <c r="O2192" s="90">
        <v>255</v>
      </c>
    </row>
    <row r="2193" spans="1:15" s="90" customFormat="1" ht="12.75" customHeight="1" x14ac:dyDescent="0.2">
      <c r="A2193" s="247" t="s">
        <v>1033</v>
      </c>
      <c r="B2193" s="316">
        <v>3217</v>
      </c>
      <c r="C2193" s="247" t="s">
        <v>975</v>
      </c>
      <c r="D2193" s="317">
        <v>42669</v>
      </c>
      <c r="E2193" s="318">
        <v>0.62591435185185185</v>
      </c>
      <c r="F2193" s="247" t="s">
        <v>235</v>
      </c>
      <c r="G2193" s="247" t="s">
        <v>1035</v>
      </c>
      <c r="H2193" s="248" t="s">
        <v>234</v>
      </c>
      <c r="I2193" s="248" t="s">
        <v>235</v>
      </c>
      <c r="J2193" s="247" t="s">
        <v>809</v>
      </c>
      <c r="K2193" s="249">
        <v>0</v>
      </c>
      <c r="M2193" s="90">
        <v>0</v>
      </c>
      <c r="N2193" s="90">
        <v>0</v>
      </c>
      <c r="O2193" s="90">
        <v>255</v>
      </c>
    </row>
    <row r="2194" spans="1:15" s="90" customFormat="1" ht="12.75" customHeight="1" x14ac:dyDescent="0.2">
      <c r="A2194" s="247" t="s">
        <v>1021</v>
      </c>
      <c r="B2194" s="316">
        <v>3061</v>
      </c>
      <c r="C2194" s="247" t="s">
        <v>975</v>
      </c>
      <c r="D2194" s="317">
        <v>42669</v>
      </c>
      <c r="E2194" s="318">
        <v>0.62593750000000004</v>
      </c>
      <c r="F2194" s="247" t="s">
        <v>981</v>
      </c>
      <c r="G2194" s="247" t="s">
        <v>1035</v>
      </c>
      <c r="H2194" s="248" t="s">
        <v>234</v>
      </c>
      <c r="I2194" s="248" t="s">
        <v>677</v>
      </c>
      <c r="J2194" s="247" t="s">
        <v>809</v>
      </c>
      <c r="K2194" s="249">
        <v>0</v>
      </c>
      <c r="M2194" s="90">
        <v>0</v>
      </c>
      <c r="N2194" s="90">
        <v>0</v>
      </c>
      <c r="O2194" s="90">
        <v>255</v>
      </c>
    </row>
    <row r="2195" spans="1:15" s="90" customFormat="1" ht="12.75" customHeight="1" x14ac:dyDescent="0.2">
      <c r="A2195" s="247" t="s">
        <v>1050</v>
      </c>
      <c r="B2195" s="316">
        <v>3061</v>
      </c>
      <c r="C2195" s="247" t="s">
        <v>975</v>
      </c>
      <c r="D2195" s="317">
        <v>42669</v>
      </c>
      <c r="E2195" s="318">
        <v>0.6259837962962963</v>
      </c>
      <c r="F2195" s="247" t="s">
        <v>981</v>
      </c>
      <c r="G2195" s="247" t="s">
        <v>1035</v>
      </c>
      <c r="H2195" s="248" t="s">
        <v>234</v>
      </c>
      <c r="I2195" s="248" t="s">
        <v>677</v>
      </c>
      <c r="J2195" s="247" t="s">
        <v>809</v>
      </c>
      <c r="K2195" s="249">
        <v>0</v>
      </c>
      <c r="M2195" s="90">
        <v>0</v>
      </c>
      <c r="N2195" s="90">
        <v>0</v>
      </c>
      <c r="O2195" s="90">
        <v>255</v>
      </c>
    </row>
    <row r="2196" spans="1:15" s="90" customFormat="1" ht="12.75" customHeight="1" x14ac:dyDescent="0.2">
      <c r="A2196" s="247" t="s">
        <v>1021</v>
      </c>
      <c r="B2196" s="316">
        <v>3061</v>
      </c>
      <c r="C2196" s="247" t="s">
        <v>975</v>
      </c>
      <c r="D2196" s="317">
        <v>42669</v>
      </c>
      <c r="E2196" s="318">
        <v>0.62612268518518521</v>
      </c>
      <c r="F2196" s="247" t="s">
        <v>981</v>
      </c>
      <c r="G2196" s="247" t="s">
        <v>1035</v>
      </c>
      <c r="H2196" s="248" t="s">
        <v>234</v>
      </c>
      <c r="I2196" s="248" t="s">
        <v>677</v>
      </c>
      <c r="J2196" s="247" t="s">
        <v>809</v>
      </c>
      <c r="K2196" s="249">
        <v>0</v>
      </c>
      <c r="M2196" s="90">
        <v>0</v>
      </c>
      <c r="N2196" s="90">
        <v>0</v>
      </c>
      <c r="O2196" s="90">
        <v>255</v>
      </c>
    </row>
    <row r="2197" spans="1:15" s="90" customFormat="1" ht="12.75" customHeight="1" x14ac:dyDescent="0.2">
      <c r="A2197" s="247" t="s">
        <v>1050</v>
      </c>
      <c r="B2197" s="316">
        <v>3061</v>
      </c>
      <c r="C2197" s="247" t="s">
        <v>975</v>
      </c>
      <c r="D2197" s="317">
        <v>42669</v>
      </c>
      <c r="E2197" s="318">
        <v>0.62615740740740744</v>
      </c>
      <c r="F2197" s="247" t="s">
        <v>981</v>
      </c>
      <c r="G2197" s="247" t="s">
        <v>1035</v>
      </c>
      <c r="H2197" s="248" t="s">
        <v>234</v>
      </c>
      <c r="I2197" s="248" t="s">
        <v>677</v>
      </c>
      <c r="J2197" s="247" t="s">
        <v>809</v>
      </c>
      <c r="K2197" s="249">
        <v>0</v>
      </c>
      <c r="M2197" s="90">
        <v>0</v>
      </c>
      <c r="N2197" s="90">
        <v>0</v>
      </c>
      <c r="O2197" s="90">
        <v>255</v>
      </c>
    </row>
    <row r="2198" spans="1:15" s="90" customFormat="1" ht="12.75" customHeight="1" x14ac:dyDescent="0.2">
      <c r="A2198" s="247" t="s">
        <v>1031</v>
      </c>
      <c r="B2198" s="316">
        <v>3046</v>
      </c>
      <c r="C2198" s="247" t="s">
        <v>975</v>
      </c>
      <c r="D2198" s="317">
        <v>42669</v>
      </c>
      <c r="E2198" s="318">
        <v>0.63048611111111108</v>
      </c>
      <c r="F2198" s="247" t="s">
        <v>976</v>
      </c>
      <c r="G2198" s="247" t="s">
        <v>1035</v>
      </c>
      <c r="H2198" s="248" t="s">
        <v>404</v>
      </c>
      <c r="I2198" s="248" t="s">
        <v>404</v>
      </c>
      <c r="J2198" s="247" t="s">
        <v>809</v>
      </c>
      <c r="K2198" s="249">
        <v>0</v>
      </c>
      <c r="M2198" s="90">
        <v>0</v>
      </c>
      <c r="N2198" s="90">
        <v>0</v>
      </c>
      <c r="O2198" s="90">
        <v>255</v>
      </c>
    </row>
    <row r="2199" spans="1:15" s="90" customFormat="1" ht="12.75" customHeight="1" x14ac:dyDescent="0.2">
      <c r="A2199" s="247" t="s">
        <v>1424</v>
      </c>
      <c r="B2199" s="316">
        <v>3024</v>
      </c>
      <c r="C2199" s="247" t="s">
        <v>996</v>
      </c>
      <c r="D2199" s="317">
        <v>42669</v>
      </c>
      <c r="E2199" s="318">
        <v>0.63049768518518523</v>
      </c>
      <c r="F2199" s="247" t="s">
        <v>702</v>
      </c>
      <c r="G2199" s="247" t="s">
        <v>1035</v>
      </c>
      <c r="H2199" s="248" t="s">
        <v>234</v>
      </c>
      <c r="I2199" s="248" t="s">
        <v>702</v>
      </c>
      <c r="J2199" s="247" t="s">
        <v>809</v>
      </c>
      <c r="K2199" s="249">
        <v>0</v>
      </c>
      <c r="M2199" s="90">
        <v>0</v>
      </c>
      <c r="N2199" s="90">
        <v>0</v>
      </c>
      <c r="O2199" s="90">
        <v>255</v>
      </c>
    </row>
    <row r="2200" spans="1:15" s="90" customFormat="1" ht="12.75" customHeight="1" x14ac:dyDescent="0.2">
      <c r="A2200" s="247" t="s">
        <v>1032</v>
      </c>
      <c r="B2200" s="316">
        <v>3046</v>
      </c>
      <c r="C2200" s="247" t="s">
        <v>975</v>
      </c>
      <c r="D2200" s="317">
        <v>42669</v>
      </c>
      <c r="E2200" s="318">
        <v>0.63049768518518523</v>
      </c>
      <c r="F2200" s="247" t="s">
        <v>976</v>
      </c>
      <c r="G2200" s="247" t="s">
        <v>1035</v>
      </c>
      <c r="H2200" s="248" t="s">
        <v>404</v>
      </c>
      <c r="I2200" s="248" t="s">
        <v>404</v>
      </c>
      <c r="J2200" s="247" t="s">
        <v>809</v>
      </c>
      <c r="K2200" s="249">
        <v>0</v>
      </c>
      <c r="M2200" s="90">
        <v>0</v>
      </c>
      <c r="N2200" s="90">
        <v>0</v>
      </c>
      <c r="O2200" s="90">
        <v>255</v>
      </c>
    </row>
    <row r="2201" spans="1:15" s="90" customFormat="1" ht="12.75" customHeight="1" x14ac:dyDescent="0.2">
      <c r="A2201" s="247" t="s">
        <v>1031</v>
      </c>
      <c r="B2201" s="316">
        <v>3046</v>
      </c>
      <c r="C2201" s="247" t="s">
        <v>975</v>
      </c>
      <c r="D2201" s="317">
        <v>42669</v>
      </c>
      <c r="E2201" s="318">
        <v>0.6308449074074074</v>
      </c>
      <c r="F2201" s="247" t="s">
        <v>976</v>
      </c>
      <c r="G2201" s="247" t="s">
        <v>1035</v>
      </c>
      <c r="H2201" s="248" t="s">
        <v>404</v>
      </c>
      <c r="I2201" s="248" t="s">
        <v>404</v>
      </c>
      <c r="J2201" s="247" t="s">
        <v>809</v>
      </c>
      <c r="K2201" s="249">
        <v>0</v>
      </c>
      <c r="M2201" s="90">
        <v>0</v>
      </c>
      <c r="N2201" s="90">
        <v>0</v>
      </c>
      <c r="O2201" s="90">
        <v>255</v>
      </c>
    </row>
    <row r="2202" spans="1:15" s="90" customFormat="1" ht="12.75" customHeight="1" x14ac:dyDescent="0.2">
      <c r="A2202" s="247" t="s">
        <v>1425</v>
      </c>
      <c r="B2202" s="316">
        <v>3024</v>
      </c>
      <c r="C2202" s="247" t="s">
        <v>996</v>
      </c>
      <c r="D2202" s="317">
        <v>42669</v>
      </c>
      <c r="E2202" s="318">
        <v>0.63085648148148155</v>
      </c>
      <c r="F2202" s="247" t="s">
        <v>702</v>
      </c>
      <c r="G2202" s="247" t="s">
        <v>1035</v>
      </c>
      <c r="H2202" s="248" t="s">
        <v>234</v>
      </c>
      <c r="I2202" s="248" t="s">
        <v>702</v>
      </c>
      <c r="J2202" s="247" t="s">
        <v>809</v>
      </c>
      <c r="K2202" s="249">
        <v>0</v>
      </c>
      <c r="M2202" s="90">
        <v>0</v>
      </c>
      <c r="N2202" s="90">
        <v>0</v>
      </c>
      <c r="O2202" s="90">
        <v>255</v>
      </c>
    </row>
    <row r="2203" spans="1:15" s="90" customFormat="1" ht="12.75" customHeight="1" x14ac:dyDescent="0.2">
      <c r="A2203" s="247" t="s">
        <v>1032</v>
      </c>
      <c r="B2203" s="316">
        <v>3046</v>
      </c>
      <c r="C2203" s="247" t="s">
        <v>975</v>
      </c>
      <c r="D2203" s="317">
        <v>42669</v>
      </c>
      <c r="E2203" s="318">
        <v>0.63085648148148155</v>
      </c>
      <c r="F2203" s="247" t="s">
        <v>976</v>
      </c>
      <c r="G2203" s="247" t="s">
        <v>1035</v>
      </c>
      <c r="H2203" s="248" t="s">
        <v>404</v>
      </c>
      <c r="I2203" s="248" t="s">
        <v>404</v>
      </c>
      <c r="J2203" s="247" t="s">
        <v>809</v>
      </c>
      <c r="K2203" s="249">
        <v>0</v>
      </c>
      <c r="M2203" s="90">
        <v>0</v>
      </c>
      <c r="N2203" s="90">
        <v>0</v>
      </c>
      <c r="O2203" s="90">
        <v>255</v>
      </c>
    </row>
    <row r="2204" spans="1:15" s="90" customFormat="1" ht="12.75" customHeight="1" x14ac:dyDescent="0.2">
      <c r="A2204" s="247" t="s">
        <v>1129</v>
      </c>
      <c r="B2204" s="316">
        <v>3001</v>
      </c>
      <c r="C2204" s="247" t="s">
        <v>996</v>
      </c>
      <c r="D2204" s="317">
        <v>42669</v>
      </c>
      <c r="E2204" s="318">
        <v>0.63146990740740738</v>
      </c>
      <c r="F2204" s="247" t="s">
        <v>702</v>
      </c>
      <c r="G2204" s="247" t="s">
        <v>1035</v>
      </c>
      <c r="H2204" s="248" t="s">
        <v>121</v>
      </c>
      <c r="I2204" s="248" t="s">
        <v>122</v>
      </c>
      <c r="J2204" s="247" t="s">
        <v>809</v>
      </c>
      <c r="K2204" s="249">
        <v>0</v>
      </c>
      <c r="M2204" s="90">
        <v>0</v>
      </c>
      <c r="N2204" s="90">
        <v>0</v>
      </c>
      <c r="O2204" s="90">
        <v>255</v>
      </c>
    </row>
    <row r="2205" spans="1:15" s="90" customFormat="1" ht="12.75" customHeight="1" x14ac:dyDescent="0.2">
      <c r="A2205" s="247" t="s">
        <v>1107</v>
      </c>
      <c r="B2205" s="316">
        <v>3001</v>
      </c>
      <c r="C2205" s="247" t="s">
        <v>996</v>
      </c>
      <c r="D2205" s="317">
        <v>42669</v>
      </c>
      <c r="E2205" s="318">
        <v>0.63146990740740738</v>
      </c>
      <c r="F2205" s="247" t="s">
        <v>702</v>
      </c>
      <c r="G2205" s="247" t="s">
        <v>1035</v>
      </c>
      <c r="H2205" s="248" t="s">
        <v>121</v>
      </c>
      <c r="I2205" s="248" t="s">
        <v>122</v>
      </c>
      <c r="J2205" s="247" t="s">
        <v>809</v>
      </c>
      <c r="K2205" s="249">
        <v>0</v>
      </c>
      <c r="M2205" s="90">
        <v>0</v>
      </c>
      <c r="N2205" s="90">
        <v>0</v>
      </c>
      <c r="O2205" s="90">
        <v>255</v>
      </c>
    </row>
    <row r="2206" spans="1:15" s="90" customFormat="1" ht="12.75" customHeight="1" x14ac:dyDescent="0.2">
      <c r="A2206" s="247" t="s">
        <v>1360</v>
      </c>
      <c r="B2206" s="316">
        <v>3004</v>
      </c>
      <c r="C2206" s="247" t="s">
        <v>979</v>
      </c>
      <c r="D2206" s="317">
        <v>42669</v>
      </c>
      <c r="E2206" s="318">
        <v>0.63146990740740738</v>
      </c>
      <c r="F2206" s="247" t="s">
        <v>702</v>
      </c>
      <c r="G2206" s="247" t="s">
        <v>1035</v>
      </c>
      <c r="H2206" s="248" t="s">
        <v>234</v>
      </c>
      <c r="I2206" s="248" t="s">
        <v>702</v>
      </c>
      <c r="J2206" s="247" t="s">
        <v>809</v>
      </c>
      <c r="K2206" s="249">
        <v>0</v>
      </c>
      <c r="M2206" s="90">
        <v>0</v>
      </c>
      <c r="N2206" s="90">
        <v>0</v>
      </c>
      <c r="O2206" s="90">
        <v>255</v>
      </c>
    </row>
    <row r="2207" spans="1:15" s="90" customFormat="1" ht="12.75" customHeight="1" x14ac:dyDescent="0.2">
      <c r="A2207" s="247" t="s">
        <v>1107</v>
      </c>
      <c r="B2207" s="316">
        <v>3001</v>
      </c>
      <c r="C2207" s="247" t="s">
        <v>996</v>
      </c>
      <c r="D2207" s="317">
        <v>42669</v>
      </c>
      <c r="E2207" s="318">
        <v>0.63188657407407411</v>
      </c>
      <c r="F2207" s="247" t="s">
        <v>702</v>
      </c>
      <c r="G2207" s="247" t="s">
        <v>1035</v>
      </c>
      <c r="H2207" s="248" t="s">
        <v>121</v>
      </c>
      <c r="I2207" s="248" t="s">
        <v>122</v>
      </c>
      <c r="J2207" s="247" t="s">
        <v>809</v>
      </c>
      <c r="K2207" s="249">
        <v>0</v>
      </c>
      <c r="M2207" s="90">
        <v>0</v>
      </c>
      <c r="N2207" s="90">
        <v>0</v>
      </c>
      <c r="O2207" s="90">
        <v>255</v>
      </c>
    </row>
    <row r="2208" spans="1:15" s="90" customFormat="1" ht="12.75" customHeight="1" x14ac:dyDescent="0.2">
      <c r="A2208" s="247" t="s">
        <v>1031</v>
      </c>
      <c r="B2208" s="316">
        <v>3046</v>
      </c>
      <c r="C2208" s="247" t="s">
        <v>975</v>
      </c>
      <c r="D2208" s="317">
        <v>42669</v>
      </c>
      <c r="E2208" s="318">
        <v>0.63207175925925929</v>
      </c>
      <c r="F2208" s="247" t="s">
        <v>976</v>
      </c>
      <c r="G2208" s="247" t="s">
        <v>1035</v>
      </c>
      <c r="H2208" s="248" t="s">
        <v>404</v>
      </c>
      <c r="I2208" s="248" t="s">
        <v>404</v>
      </c>
      <c r="J2208" s="247" t="s">
        <v>809</v>
      </c>
      <c r="K2208" s="249">
        <v>0</v>
      </c>
      <c r="M2208" s="90">
        <v>0</v>
      </c>
      <c r="N2208" s="90">
        <v>0</v>
      </c>
      <c r="O2208" s="90">
        <v>255</v>
      </c>
    </row>
    <row r="2209" spans="1:15" s="90" customFormat="1" ht="12.75" customHeight="1" x14ac:dyDescent="0.2">
      <c r="A2209" s="247" t="s">
        <v>1426</v>
      </c>
      <c r="B2209" s="316">
        <v>3024</v>
      </c>
      <c r="C2209" s="247" t="s">
        <v>996</v>
      </c>
      <c r="D2209" s="317">
        <v>42669</v>
      </c>
      <c r="E2209" s="318">
        <v>0.63208333333333333</v>
      </c>
      <c r="F2209" s="247" t="s">
        <v>702</v>
      </c>
      <c r="G2209" s="247" t="s">
        <v>1035</v>
      </c>
      <c r="H2209" s="248" t="s">
        <v>234</v>
      </c>
      <c r="I2209" s="248" t="s">
        <v>702</v>
      </c>
      <c r="J2209" s="247" t="s">
        <v>809</v>
      </c>
      <c r="K2209" s="249">
        <v>0</v>
      </c>
      <c r="M2209" s="90">
        <v>0</v>
      </c>
      <c r="N2209" s="90">
        <v>0</v>
      </c>
      <c r="O2209" s="90">
        <v>255</v>
      </c>
    </row>
    <row r="2210" spans="1:15" s="90" customFormat="1" ht="12.75" customHeight="1" x14ac:dyDescent="0.2">
      <c r="A2210" s="247" t="s">
        <v>1032</v>
      </c>
      <c r="B2210" s="316">
        <v>3046</v>
      </c>
      <c r="C2210" s="247" t="s">
        <v>975</v>
      </c>
      <c r="D2210" s="317">
        <v>42669</v>
      </c>
      <c r="E2210" s="318">
        <v>0.64059027777777777</v>
      </c>
      <c r="F2210" s="247" t="s">
        <v>976</v>
      </c>
      <c r="G2210" s="247" t="s">
        <v>1035</v>
      </c>
      <c r="H2210" s="248" t="s">
        <v>404</v>
      </c>
      <c r="I2210" s="248" t="s">
        <v>404</v>
      </c>
      <c r="J2210" s="247" t="s">
        <v>809</v>
      </c>
      <c r="K2210" s="249">
        <v>0</v>
      </c>
      <c r="M2210" s="90">
        <v>0</v>
      </c>
      <c r="N2210" s="90">
        <v>0</v>
      </c>
      <c r="O2210" s="90">
        <v>255</v>
      </c>
    </row>
    <row r="2211" spans="1:15" s="90" customFormat="1" ht="12.75" customHeight="1" x14ac:dyDescent="0.2">
      <c r="A2211" s="247" t="s">
        <v>989</v>
      </c>
      <c r="B2211" s="316">
        <v>3046</v>
      </c>
      <c r="C2211" s="247" t="s">
        <v>975</v>
      </c>
      <c r="D2211" s="317">
        <v>42669</v>
      </c>
      <c r="E2211" s="318">
        <v>0.64059027777777777</v>
      </c>
      <c r="F2211" s="247" t="s">
        <v>976</v>
      </c>
      <c r="G2211" s="247" t="s">
        <v>1035</v>
      </c>
      <c r="H2211" s="248" t="s">
        <v>404</v>
      </c>
      <c r="I2211" s="248" t="s">
        <v>404</v>
      </c>
      <c r="J2211" s="247" t="s">
        <v>809</v>
      </c>
      <c r="K2211" s="249">
        <v>0</v>
      </c>
      <c r="M2211" s="90">
        <v>0</v>
      </c>
      <c r="N2211" s="90">
        <v>0</v>
      </c>
      <c r="O2211" s="90">
        <v>255</v>
      </c>
    </row>
    <row r="2212" spans="1:15" s="90" customFormat="1" ht="12.75" customHeight="1" x14ac:dyDescent="0.2">
      <c r="A2212" s="247" t="s">
        <v>1033</v>
      </c>
      <c r="B2212" s="316">
        <v>3217</v>
      </c>
      <c r="C2212" s="247" t="s">
        <v>975</v>
      </c>
      <c r="D2212" s="317">
        <v>42669</v>
      </c>
      <c r="E2212" s="318">
        <v>0.64087962962962963</v>
      </c>
      <c r="F2212" s="247" t="s">
        <v>235</v>
      </c>
      <c r="G2212" s="247" t="s">
        <v>1035</v>
      </c>
      <c r="H2212" s="248" t="s">
        <v>234</v>
      </c>
      <c r="I2212" s="248" t="s">
        <v>235</v>
      </c>
      <c r="J2212" s="247" t="s">
        <v>809</v>
      </c>
      <c r="K2212" s="249">
        <v>0</v>
      </c>
      <c r="M2212" s="90">
        <v>0</v>
      </c>
      <c r="N2212" s="90">
        <v>0</v>
      </c>
      <c r="O2212" s="90">
        <v>255</v>
      </c>
    </row>
    <row r="2213" spans="1:15" s="90" customFormat="1" ht="12.75" customHeight="1" x14ac:dyDescent="0.2">
      <c r="A2213" s="247" t="s">
        <v>990</v>
      </c>
      <c r="B2213" s="316">
        <v>3046</v>
      </c>
      <c r="C2213" s="247" t="s">
        <v>975</v>
      </c>
      <c r="D2213" s="317">
        <v>42669</v>
      </c>
      <c r="E2213" s="318">
        <v>0.64089120370370367</v>
      </c>
      <c r="F2213" s="247" t="s">
        <v>976</v>
      </c>
      <c r="G2213" s="247" t="s">
        <v>1035</v>
      </c>
      <c r="H2213" s="248" t="s">
        <v>404</v>
      </c>
      <c r="I2213" s="248" t="s">
        <v>404</v>
      </c>
      <c r="J2213" s="247" t="s">
        <v>809</v>
      </c>
      <c r="K2213" s="249">
        <v>0</v>
      </c>
      <c r="M2213" s="90">
        <v>0</v>
      </c>
      <c r="N2213" s="90">
        <v>0</v>
      </c>
      <c r="O2213" s="90">
        <v>255</v>
      </c>
    </row>
    <row r="2214" spans="1:15" s="90" customFormat="1" ht="12.75" customHeight="1" x14ac:dyDescent="0.2">
      <c r="A2214" s="247" t="s">
        <v>1405</v>
      </c>
      <c r="B2214" s="316">
        <v>3121</v>
      </c>
      <c r="C2214" s="247" t="s">
        <v>975</v>
      </c>
      <c r="D2214" s="317">
        <v>42669</v>
      </c>
      <c r="E2214" s="318">
        <v>0.67915509259259255</v>
      </c>
      <c r="F2214" s="247" t="s">
        <v>978</v>
      </c>
      <c r="G2214" s="247" t="s">
        <v>1035</v>
      </c>
      <c r="H2214" s="248"/>
      <c r="I2214" s="248"/>
      <c r="J2214" s="247"/>
      <c r="K2214" s="249"/>
      <c r="M2214" s="90">
        <v>0</v>
      </c>
      <c r="N2214" s="90">
        <v>0</v>
      </c>
      <c r="O2214" s="90">
        <v>255</v>
      </c>
    </row>
    <row r="2215" spans="1:15" s="90" customFormat="1" ht="12.75" customHeight="1" x14ac:dyDescent="0.2">
      <c r="A2215" s="247" t="s">
        <v>989</v>
      </c>
      <c r="B2215" s="316">
        <v>3046</v>
      </c>
      <c r="C2215" s="247" t="s">
        <v>975</v>
      </c>
      <c r="D2215" s="317">
        <v>42669</v>
      </c>
      <c r="E2215" s="318">
        <v>0.68255787037037041</v>
      </c>
      <c r="F2215" s="247" t="s">
        <v>976</v>
      </c>
      <c r="G2215" s="247"/>
      <c r="H2215" s="248" t="s">
        <v>404</v>
      </c>
      <c r="I2215" s="248" t="s">
        <v>404</v>
      </c>
      <c r="J2215" s="247" t="s">
        <v>809</v>
      </c>
      <c r="K2215" s="249">
        <v>0</v>
      </c>
      <c r="M2215" s="90">
        <v>0</v>
      </c>
      <c r="N2215" s="90">
        <v>0</v>
      </c>
      <c r="O2215" s="90">
        <v>255</v>
      </c>
    </row>
    <row r="2216" spans="1:15" s="90" customFormat="1" ht="12.75" customHeight="1" x14ac:dyDescent="0.2">
      <c r="A2216" s="247" t="s">
        <v>993</v>
      </c>
      <c r="B2216" s="316">
        <v>3217</v>
      </c>
      <c r="C2216" s="247" t="s">
        <v>975</v>
      </c>
      <c r="D2216" s="317">
        <v>42669</v>
      </c>
      <c r="E2216" s="318">
        <v>0.68280092592592589</v>
      </c>
      <c r="F2216" s="247" t="s">
        <v>235</v>
      </c>
      <c r="G2216" s="247"/>
      <c r="H2216" s="248" t="s">
        <v>234</v>
      </c>
      <c r="I2216" s="248" t="s">
        <v>235</v>
      </c>
      <c r="J2216" s="247" t="s">
        <v>809</v>
      </c>
      <c r="K2216" s="249">
        <v>0</v>
      </c>
      <c r="M2216" s="90">
        <v>0</v>
      </c>
      <c r="N2216" s="90">
        <v>0</v>
      </c>
      <c r="O2216" s="90">
        <v>255</v>
      </c>
    </row>
    <row r="2217" spans="1:15" s="90" customFormat="1" ht="12.75" customHeight="1" x14ac:dyDescent="0.2">
      <c r="A2217" s="247" t="s">
        <v>990</v>
      </c>
      <c r="B2217" s="316">
        <v>3046</v>
      </c>
      <c r="C2217" s="247" t="s">
        <v>975</v>
      </c>
      <c r="D2217" s="317">
        <v>42669</v>
      </c>
      <c r="E2217" s="318">
        <v>0.68281249999999993</v>
      </c>
      <c r="F2217" s="247" t="s">
        <v>976</v>
      </c>
      <c r="G2217" s="247"/>
      <c r="H2217" s="248" t="s">
        <v>404</v>
      </c>
      <c r="I2217" s="248" t="s">
        <v>404</v>
      </c>
      <c r="J2217" s="247" t="s">
        <v>809</v>
      </c>
      <c r="K2217" s="249">
        <v>0</v>
      </c>
      <c r="M2217" s="90">
        <v>0</v>
      </c>
      <c r="N2217" s="90">
        <v>0</v>
      </c>
      <c r="O2217" s="90">
        <v>255</v>
      </c>
    </row>
    <row r="2218" spans="1:15" s="90" customFormat="1" ht="12.75" customHeight="1" x14ac:dyDescent="0.2">
      <c r="A2218" s="247" t="s">
        <v>989</v>
      </c>
      <c r="B2218" s="316">
        <v>3046</v>
      </c>
      <c r="C2218" s="247" t="s">
        <v>975</v>
      </c>
      <c r="D2218" s="317">
        <v>42669</v>
      </c>
      <c r="E2218" s="318">
        <v>0.72447916666666667</v>
      </c>
      <c r="F2218" s="247" t="s">
        <v>976</v>
      </c>
      <c r="G2218" s="247"/>
      <c r="H2218" s="248" t="s">
        <v>404</v>
      </c>
      <c r="I2218" s="248" t="s">
        <v>404</v>
      </c>
      <c r="J2218" s="247" t="s">
        <v>809</v>
      </c>
      <c r="K2218" s="249">
        <v>0</v>
      </c>
      <c r="M2218" s="90">
        <v>0</v>
      </c>
      <c r="N2218" s="90">
        <v>0</v>
      </c>
      <c r="O2218" s="90">
        <v>255</v>
      </c>
    </row>
    <row r="2219" spans="1:15" s="90" customFormat="1" ht="12.75" customHeight="1" x14ac:dyDescent="0.2">
      <c r="A2219" s="247" t="s">
        <v>990</v>
      </c>
      <c r="B2219" s="316">
        <v>3046</v>
      </c>
      <c r="C2219" s="247" t="s">
        <v>975</v>
      </c>
      <c r="D2219" s="317">
        <v>42669</v>
      </c>
      <c r="E2219" s="318">
        <v>0.72472222222222227</v>
      </c>
      <c r="F2219" s="247" t="s">
        <v>976</v>
      </c>
      <c r="G2219" s="247"/>
      <c r="H2219" s="248" t="s">
        <v>404</v>
      </c>
      <c r="I2219" s="248" t="s">
        <v>404</v>
      </c>
      <c r="J2219" s="247" t="s">
        <v>809</v>
      </c>
      <c r="K2219" s="249">
        <v>0</v>
      </c>
      <c r="M2219" s="90">
        <v>0</v>
      </c>
      <c r="N2219" s="90">
        <v>0</v>
      </c>
      <c r="O2219" s="90">
        <v>255</v>
      </c>
    </row>
    <row r="2220" spans="1:15" s="90" customFormat="1" ht="12.75" customHeight="1" x14ac:dyDescent="0.2">
      <c r="A2220" s="247" t="s">
        <v>993</v>
      </c>
      <c r="B2220" s="316">
        <v>3217</v>
      </c>
      <c r="C2220" s="247" t="s">
        <v>975</v>
      </c>
      <c r="D2220" s="317">
        <v>42669</v>
      </c>
      <c r="E2220" s="318">
        <v>0.72472222222222227</v>
      </c>
      <c r="F2220" s="247" t="s">
        <v>235</v>
      </c>
      <c r="G2220" s="247"/>
      <c r="H2220" s="248" t="s">
        <v>234</v>
      </c>
      <c r="I2220" s="248" t="s">
        <v>235</v>
      </c>
      <c r="J2220" s="247" t="s">
        <v>809</v>
      </c>
      <c r="K2220" s="249">
        <v>0</v>
      </c>
      <c r="M2220" s="90">
        <v>0</v>
      </c>
      <c r="N2220" s="90">
        <v>0</v>
      </c>
      <c r="O2220" s="90">
        <v>255</v>
      </c>
    </row>
    <row r="2221" spans="1:15" s="90" customFormat="1" ht="12.75" customHeight="1" x14ac:dyDescent="0.2">
      <c r="A2221" s="247" t="s">
        <v>989</v>
      </c>
      <c r="B2221" s="316">
        <v>3046</v>
      </c>
      <c r="C2221" s="247" t="s">
        <v>975</v>
      </c>
      <c r="D2221" s="317">
        <v>42669</v>
      </c>
      <c r="E2221" s="318">
        <v>0.76640046296296294</v>
      </c>
      <c r="F2221" s="247" t="s">
        <v>976</v>
      </c>
      <c r="G2221" s="247"/>
      <c r="H2221" s="248" t="s">
        <v>404</v>
      </c>
      <c r="I2221" s="248" t="s">
        <v>404</v>
      </c>
      <c r="J2221" s="247" t="s">
        <v>809</v>
      </c>
      <c r="K2221" s="249">
        <v>0</v>
      </c>
      <c r="M2221" s="90">
        <v>0</v>
      </c>
      <c r="N2221" s="90">
        <v>0</v>
      </c>
      <c r="O2221" s="90">
        <v>255</v>
      </c>
    </row>
    <row r="2222" spans="1:15" s="90" customFormat="1" ht="12.75" customHeight="1" x14ac:dyDescent="0.2">
      <c r="A2222" s="247" t="s">
        <v>990</v>
      </c>
      <c r="B2222" s="316">
        <v>3046</v>
      </c>
      <c r="C2222" s="247" t="s">
        <v>975</v>
      </c>
      <c r="D2222" s="317">
        <v>42669</v>
      </c>
      <c r="E2222" s="318">
        <v>0.76664351851851853</v>
      </c>
      <c r="F2222" s="247" t="s">
        <v>976</v>
      </c>
      <c r="G2222" s="247"/>
      <c r="H2222" s="248" t="s">
        <v>404</v>
      </c>
      <c r="I2222" s="248" t="s">
        <v>404</v>
      </c>
      <c r="J2222" s="247" t="s">
        <v>809</v>
      </c>
      <c r="K2222" s="249">
        <v>0</v>
      </c>
      <c r="M2222" s="90">
        <v>0</v>
      </c>
      <c r="N2222" s="90">
        <v>0</v>
      </c>
      <c r="O2222" s="90">
        <v>255</v>
      </c>
    </row>
    <row r="2223" spans="1:15" s="90" customFormat="1" ht="12.75" customHeight="1" x14ac:dyDescent="0.2">
      <c r="A2223" s="247" t="s">
        <v>993</v>
      </c>
      <c r="B2223" s="316">
        <v>3217</v>
      </c>
      <c r="C2223" s="247" t="s">
        <v>975</v>
      </c>
      <c r="D2223" s="317">
        <v>42669</v>
      </c>
      <c r="E2223" s="318">
        <v>0.76664351851851853</v>
      </c>
      <c r="F2223" s="247" t="s">
        <v>235</v>
      </c>
      <c r="G2223" s="247"/>
      <c r="H2223" s="248" t="s">
        <v>234</v>
      </c>
      <c r="I2223" s="248" t="s">
        <v>235</v>
      </c>
      <c r="J2223" s="247" t="s">
        <v>809</v>
      </c>
      <c r="K2223" s="249">
        <v>0</v>
      </c>
      <c r="M2223" s="90">
        <v>0</v>
      </c>
      <c r="N2223" s="90">
        <v>0</v>
      </c>
      <c r="O2223" s="90">
        <v>255</v>
      </c>
    </row>
    <row r="2224" spans="1:15" s="90" customFormat="1" ht="12.75" customHeight="1" x14ac:dyDescent="0.2">
      <c r="A2224" s="247" t="s">
        <v>989</v>
      </c>
      <c r="B2224" s="316">
        <v>3046</v>
      </c>
      <c r="C2224" s="247" t="s">
        <v>975</v>
      </c>
      <c r="D2224" s="317">
        <v>42669</v>
      </c>
      <c r="E2224" s="318">
        <v>0.80832175925925931</v>
      </c>
      <c r="F2224" s="247" t="s">
        <v>976</v>
      </c>
      <c r="G2224" s="247"/>
      <c r="H2224" s="248" t="s">
        <v>404</v>
      </c>
      <c r="I2224" s="248" t="s">
        <v>404</v>
      </c>
      <c r="J2224" s="247" t="s">
        <v>809</v>
      </c>
      <c r="K2224" s="249">
        <v>0</v>
      </c>
      <c r="M2224" s="90">
        <v>0</v>
      </c>
      <c r="N2224" s="90">
        <v>0</v>
      </c>
      <c r="O2224" s="90">
        <v>255</v>
      </c>
    </row>
    <row r="2225" spans="1:15" s="90" customFormat="1" ht="12.75" customHeight="1" x14ac:dyDescent="0.2">
      <c r="A2225" s="247" t="s">
        <v>990</v>
      </c>
      <c r="B2225" s="316">
        <v>3046</v>
      </c>
      <c r="C2225" s="247" t="s">
        <v>975</v>
      </c>
      <c r="D2225" s="317">
        <v>42669</v>
      </c>
      <c r="E2225" s="318">
        <v>0.80856481481481479</v>
      </c>
      <c r="F2225" s="247" t="s">
        <v>976</v>
      </c>
      <c r="G2225" s="247"/>
      <c r="H2225" s="248" t="s">
        <v>404</v>
      </c>
      <c r="I2225" s="248" t="s">
        <v>404</v>
      </c>
      <c r="J2225" s="247" t="s">
        <v>809</v>
      </c>
      <c r="K2225" s="249">
        <v>0</v>
      </c>
      <c r="M2225" s="90">
        <v>0</v>
      </c>
      <c r="N2225" s="90">
        <v>0</v>
      </c>
      <c r="O2225" s="90">
        <v>255</v>
      </c>
    </row>
    <row r="2226" spans="1:15" s="90" customFormat="1" ht="12.75" customHeight="1" x14ac:dyDescent="0.2">
      <c r="A2226" s="247" t="s">
        <v>993</v>
      </c>
      <c r="B2226" s="316">
        <v>3217</v>
      </c>
      <c r="C2226" s="247" t="s">
        <v>975</v>
      </c>
      <c r="D2226" s="317">
        <v>42669</v>
      </c>
      <c r="E2226" s="318">
        <v>0.80856481481481479</v>
      </c>
      <c r="F2226" s="247" t="s">
        <v>235</v>
      </c>
      <c r="G2226" s="247"/>
      <c r="H2226" s="248" t="s">
        <v>234</v>
      </c>
      <c r="I2226" s="248" t="s">
        <v>235</v>
      </c>
      <c r="J2226" s="247" t="s">
        <v>809</v>
      </c>
      <c r="K2226" s="249">
        <v>0</v>
      </c>
      <c r="M2226" s="90">
        <v>0</v>
      </c>
      <c r="N2226" s="90">
        <v>0</v>
      </c>
      <c r="O2226" s="90">
        <v>255</v>
      </c>
    </row>
    <row r="2227" spans="1:15" s="90" customFormat="1" ht="12.75" customHeight="1" x14ac:dyDescent="0.2">
      <c r="A2227" s="247" t="s">
        <v>989</v>
      </c>
      <c r="B2227" s="316">
        <v>3046</v>
      </c>
      <c r="C2227" s="247" t="s">
        <v>975</v>
      </c>
      <c r="D2227" s="317">
        <v>42669</v>
      </c>
      <c r="E2227" s="318">
        <v>0.85024305555555557</v>
      </c>
      <c r="F2227" s="247" t="s">
        <v>976</v>
      </c>
      <c r="G2227" s="247"/>
      <c r="H2227" s="248" t="s">
        <v>404</v>
      </c>
      <c r="I2227" s="248" t="s">
        <v>404</v>
      </c>
      <c r="J2227" s="247" t="s">
        <v>809</v>
      </c>
      <c r="K2227" s="249">
        <v>0</v>
      </c>
      <c r="M2227" s="90">
        <v>0</v>
      </c>
      <c r="N2227" s="90">
        <v>0</v>
      </c>
      <c r="O2227" s="90">
        <v>255</v>
      </c>
    </row>
    <row r="2228" spans="1:15" s="90" customFormat="1" ht="12.75" customHeight="1" x14ac:dyDescent="0.2">
      <c r="A2228" s="247" t="s">
        <v>990</v>
      </c>
      <c r="B2228" s="316">
        <v>3046</v>
      </c>
      <c r="C2228" s="247" t="s">
        <v>975</v>
      </c>
      <c r="D2228" s="317">
        <v>42669</v>
      </c>
      <c r="E2228" s="318">
        <v>0.85048611111111105</v>
      </c>
      <c r="F2228" s="247" t="s">
        <v>976</v>
      </c>
      <c r="G2228" s="247"/>
      <c r="H2228" s="248" t="s">
        <v>404</v>
      </c>
      <c r="I2228" s="248" t="s">
        <v>404</v>
      </c>
      <c r="J2228" s="247" t="s">
        <v>809</v>
      </c>
      <c r="K2228" s="249">
        <v>0</v>
      </c>
      <c r="M2228" s="90">
        <v>0</v>
      </c>
      <c r="N2228" s="90">
        <v>0</v>
      </c>
      <c r="O2228" s="90">
        <v>255</v>
      </c>
    </row>
    <row r="2229" spans="1:15" s="90" customFormat="1" ht="12.75" customHeight="1" x14ac:dyDescent="0.2">
      <c r="A2229" s="247" t="s">
        <v>993</v>
      </c>
      <c r="B2229" s="316">
        <v>3217</v>
      </c>
      <c r="C2229" s="247" t="s">
        <v>975</v>
      </c>
      <c r="D2229" s="317">
        <v>42669</v>
      </c>
      <c r="E2229" s="318">
        <v>0.85048611111111105</v>
      </c>
      <c r="F2229" s="247" t="s">
        <v>235</v>
      </c>
      <c r="G2229" s="247"/>
      <c r="H2229" s="248" t="s">
        <v>234</v>
      </c>
      <c r="I2229" s="248" t="s">
        <v>235</v>
      </c>
      <c r="J2229" s="247" t="s">
        <v>809</v>
      </c>
      <c r="K2229" s="249">
        <v>0</v>
      </c>
      <c r="M2229" s="90">
        <v>0</v>
      </c>
      <c r="N2229" s="90">
        <v>0</v>
      </c>
      <c r="O2229" s="90">
        <v>255</v>
      </c>
    </row>
    <row r="2230" spans="1:15" s="90" customFormat="1" ht="12.75" customHeight="1" x14ac:dyDescent="0.2">
      <c r="A2230" s="247" t="s">
        <v>989</v>
      </c>
      <c r="B2230" s="316">
        <v>3046</v>
      </c>
      <c r="C2230" s="247" t="s">
        <v>975</v>
      </c>
      <c r="D2230" s="317">
        <v>42669</v>
      </c>
      <c r="E2230" s="318">
        <v>0.89215277777777768</v>
      </c>
      <c r="F2230" s="247" t="s">
        <v>976</v>
      </c>
      <c r="G2230" s="247"/>
      <c r="H2230" s="248" t="s">
        <v>404</v>
      </c>
      <c r="I2230" s="248" t="s">
        <v>404</v>
      </c>
      <c r="J2230" s="247" t="s">
        <v>809</v>
      </c>
      <c r="K2230" s="249">
        <v>0</v>
      </c>
      <c r="M2230" s="90">
        <v>0</v>
      </c>
      <c r="N2230" s="90">
        <v>0</v>
      </c>
      <c r="O2230" s="90">
        <v>255</v>
      </c>
    </row>
    <row r="2231" spans="1:15" s="90" customFormat="1" ht="12.75" customHeight="1" x14ac:dyDescent="0.2">
      <c r="A2231" s="247" t="s">
        <v>990</v>
      </c>
      <c r="B2231" s="316">
        <v>3046</v>
      </c>
      <c r="C2231" s="247" t="s">
        <v>975</v>
      </c>
      <c r="D2231" s="317">
        <v>42669</v>
      </c>
      <c r="E2231" s="318">
        <v>0.89240740740740743</v>
      </c>
      <c r="F2231" s="247" t="s">
        <v>976</v>
      </c>
      <c r="G2231" s="247"/>
      <c r="H2231" s="248" t="s">
        <v>404</v>
      </c>
      <c r="I2231" s="248" t="s">
        <v>404</v>
      </c>
      <c r="J2231" s="247" t="s">
        <v>809</v>
      </c>
      <c r="K2231" s="249">
        <v>0</v>
      </c>
      <c r="M2231" s="90">
        <v>0</v>
      </c>
      <c r="N2231" s="90">
        <v>0</v>
      </c>
      <c r="O2231" s="90">
        <v>255</v>
      </c>
    </row>
    <row r="2232" spans="1:15" s="90" customFormat="1" ht="12.75" customHeight="1" x14ac:dyDescent="0.2">
      <c r="A2232" s="247" t="s">
        <v>993</v>
      </c>
      <c r="B2232" s="316">
        <v>3217</v>
      </c>
      <c r="C2232" s="247" t="s">
        <v>975</v>
      </c>
      <c r="D2232" s="317">
        <v>42669</v>
      </c>
      <c r="E2232" s="318">
        <v>0.89240740740740743</v>
      </c>
      <c r="F2232" s="247" t="s">
        <v>235</v>
      </c>
      <c r="G2232" s="247"/>
      <c r="H2232" s="248" t="s">
        <v>234</v>
      </c>
      <c r="I2232" s="248" t="s">
        <v>235</v>
      </c>
      <c r="J2232" s="247" t="s">
        <v>809</v>
      </c>
      <c r="K2232" s="249">
        <v>0</v>
      </c>
      <c r="M2232" s="90">
        <v>0</v>
      </c>
      <c r="N2232" s="90">
        <v>0</v>
      </c>
      <c r="O2232" s="90">
        <v>255</v>
      </c>
    </row>
    <row r="2233" spans="1:15" s="90" customFormat="1" ht="12.75" customHeight="1" x14ac:dyDescent="0.2">
      <c r="A2233" s="247" t="s">
        <v>989</v>
      </c>
      <c r="B2233" s="316">
        <v>3046</v>
      </c>
      <c r="C2233" s="247" t="s">
        <v>975</v>
      </c>
      <c r="D2233" s="317">
        <v>42669</v>
      </c>
      <c r="E2233" s="318">
        <v>0.93407407407407417</v>
      </c>
      <c r="F2233" s="247" t="s">
        <v>976</v>
      </c>
      <c r="G2233" s="247"/>
      <c r="H2233" s="248" t="s">
        <v>404</v>
      </c>
      <c r="I2233" s="248" t="s">
        <v>404</v>
      </c>
      <c r="J2233" s="247" t="s">
        <v>809</v>
      </c>
      <c r="K2233" s="249">
        <v>0</v>
      </c>
      <c r="M2233" s="90">
        <v>0</v>
      </c>
      <c r="N2233" s="90">
        <v>0</v>
      </c>
      <c r="O2233" s="90">
        <v>255</v>
      </c>
    </row>
    <row r="2234" spans="1:15" s="90" customFormat="1" ht="12.75" customHeight="1" x14ac:dyDescent="0.2">
      <c r="A2234" s="247" t="s">
        <v>990</v>
      </c>
      <c r="B2234" s="316">
        <v>3046</v>
      </c>
      <c r="C2234" s="247" t="s">
        <v>975</v>
      </c>
      <c r="D2234" s="317">
        <v>42669</v>
      </c>
      <c r="E2234" s="318">
        <v>0.93432870370370369</v>
      </c>
      <c r="F2234" s="247" t="s">
        <v>976</v>
      </c>
      <c r="G2234" s="247"/>
      <c r="H2234" s="248" t="s">
        <v>404</v>
      </c>
      <c r="I2234" s="248" t="s">
        <v>404</v>
      </c>
      <c r="J2234" s="247" t="s">
        <v>809</v>
      </c>
      <c r="K2234" s="249">
        <v>0</v>
      </c>
      <c r="M2234" s="90">
        <v>0</v>
      </c>
      <c r="N2234" s="90">
        <v>0</v>
      </c>
      <c r="O2234" s="90">
        <v>255</v>
      </c>
    </row>
    <row r="2235" spans="1:15" s="90" customFormat="1" ht="12.75" customHeight="1" x14ac:dyDescent="0.2">
      <c r="A2235" s="247" t="s">
        <v>993</v>
      </c>
      <c r="B2235" s="316">
        <v>3217</v>
      </c>
      <c r="C2235" s="247" t="s">
        <v>975</v>
      </c>
      <c r="D2235" s="317">
        <v>42669</v>
      </c>
      <c r="E2235" s="318">
        <v>0.93432870370370369</v>
      </c>
      <c r="F2235" s="247" t="s">
        <v>235</v>
      </c>
      <c r="G2235" s="247"/>
      <c r="H2235" s="248" t="s">
        <v>234</v>
      </c>
      <c r="I2235" s="248" t="s">
        <v>235</v>
      </c>
      <c r="J2235" s="247" t="s">
        <v>809</v>
      </c>
      <c r="K2235" s="249">
        <v>0</v>
      </c>
      <c r="M2235" s="90">
        <v>0</v>
      </c>
      <c r="N2235" s="90">
        <v>0</v>
      </c>
      <c r="O2235" s="90">
        <v>255</v>
      </c>
    </row>
    <row r="2236" spans="1:15" s="90" customFormat="1" ht="12.75" customHeight="1" x14ac:dyDescent="0.2">
      <c r="A2236" s="247" t="s">
        <v>989</v>
      </c>
      <c r="B2236" s="316">
        <v>3046</v>
      </c>
      <c r="C2236" s="247" t="s">
        <v>975</v>
      </c>
      <c r="D2236" s="317">
        <v>42669</v>
      </c>
      <c r="E2236" s="318">
        <v>0.97599537037037043</v>
      </c>
      <c r="F2236" s="247" t="s">
        <v>976</v>
      </c>
      <c r="G2236" s="247"/>
      <c r="H2236" s="248" t="s">
        <v>404</v>
      </c>
      <c r="I2236" s="248" t="s">
        <v>404</v>
      </c>
      <c r="J2236" s="247" t="s">
        <v>809</v>
      </c>
      <c r="K2236" s="249">
        <v>0</v>
      </c>
      <c r="M2236" s="90">
        <v>0</v>
      </c>
      <c r="N2236" s="90">
        <v>0</v>
      </c>
      <c r="O2236" s="90">
        <v>255</v>
      </c>
    </row>
    <row r="2237" spans="1:15" s="90" customFormat="1" ht="12.75" customHeight="1" x14ac:dyDescent="0.2">
      <c r="A2237" s="247" t="s">
        <v>990</v>
      </c>
      <c r="B2237" s="316">
        <v>3046</v>
      </c>
      <c r="C2237" s="247" t="s">
        <v>975</v>
      </c>
      <c r="D2237" s="317">
        <v>42669</v>
      </c>
      <c r="E2237" s="318">
        <v>0.97624999999999995</v>
      </c>
      <c r="F2237" s="247" t="s">
        <v>976</v>
      </c>
      <c r="G2237" s="247"/>
      <c r="H2237" s="248" t="s">
        <v>404</v>
      </c>
      <c r="I2237" s="248" t="s">
        <v>404</v>
      </c>
      <c r="J2237" s="247" t="s">
        <v>809</v>
      </c>
      <c r="K2237" s="249">
        <v>0</v>
      </c>
      <c r="M2237" s="90">
        <v>0</v>
      </c>
      <c r="N2237" s="90">
        <v>0</v>
      </c>
      <c r="O2237" s="90">
        <v>255</v>
      </c>
    </row>
    <row r="2238" spans="1:15" s="90" customFormat="1" ht="12.75" customHeight="1" x14ac:dyDescent="0.2">
      <c r="A2238" s="247" t="s">
        <v>993</v>
      </c>
      <c r="B2238" s="316">
        <v>3217</v>
      </c>
      <c r="C2238" s="247" t="s">
        <v>975</v>
      </c>
      <c r="D2238" s="317">
        <v>42669</v>
      </c>
      <c r="E2238" s="318">
        <v>0.97624999999999995</v>
      </c>
      <c r="F2238" s="247" t="s">
        <v>235</v>
      </c>
      <c r="G2238" s="247"/>
      <c r="H2238" s="248" t="s">
        <v>234</v>
      </c>
      <c r="I2238" s="248" t="s">
        <v>235</v>
      </c>
      <c r="J2238" s="247" t="s">
        <v>809</v>
      </c>
      <c r="K2238" s="249">
        <v>0</v>
      </c>
      <c r="M2238" s="90">
        <v>0</v>
      </c>
      <c r="N2238" s="90">
        <v>0</v>
      </c>
      <c r="O2238" s="90">
        <v>255</v>
      </c>
    </row>
    <row r="2239" spans="1:15" s="90" customFormat="1" ht="12.75" customHeight="1" x14ac:dyDescent="0.2">
      <c r="A2239" s="247" t="s">
        <v>989</v>
      </c>
      <c r="B2239" s="316">
        <v>3046</v>
      </c>
      <c r="C2239" s="247" t="s">
        <v>975</v>
      </c>
      <c r="D2239" s="317">
        <v>42670</v>
      </c>
      <c r="E2239" s="318">
        <v>1.7928240740740741E-2</v>
      </c>
      <c r="F2239" s="247" t="s">
        <v>976</v>
      </c>
      <c r="G2239" s="247"/>
      <c r="H2239" s="248" t="s">
        <v>404</v>
      </c>
      <c r="I2239" s="248" t="s">
        <v>404</v>
      </c>
      <c r="J2239" s="247" t="s">
        <v>809</v>
      </c>
      <c r="K2239" s="249">
        <v>0</v>
      </c>
      <c r="M2239" s="90">
        <v>0</v>
      </c>
      <c r="N2239" s="90">
        <v>0</v>
      </c>
      <c r="O2239" s="90">
        <v>255</v>
      </c>
    </row>
    <row r="2240" spans="1:15" s="90" customFormat="1" ht="12.75" customHeight="1" x14ac:dyDescent="0.2">
      <c r="A2240" s="247" t="s">
        <v>990</v>
      </c>
      <c r="B2240" s="316">
        <v>3046</v>
      </c>
      <c r="C2240" s="247" t="s">
        <v>975</v>
      </c>
      <c r="D2240" s="317">
        <v>42670</v>
      </c>
      <c r="E2240" s="318">
        <v>1.8171296296296297E-2</v>
      </c>
      <c r="F2240" s="247" t="s">
        <v>976</v>
      </c>
      <c r="G2240" s="247"/>
      <c r="H2240" s="248" t="s">
        <v>404</v>
      </c>
      <c r="I2240" s="248" t="s">
        <v>404</v>
      </c>
      <c r="J2240" s="247" t="s">
        <v>809</v>
      </c>
      <c r="K2240" s="249">
        <v>0</v>
      </c>
      <c r="M2240" s="90">
        <v>0</v>
      </c>
      <c r="N2240" s="90">
        <v>0</v>
      </c>
      <c r="O2240" s="90">
        <v>255</v>
      </c>
    </row>
    <row r="2241" spans="1:15" s="90" customFormat="1" ht="12.75" customHeight="1" x14ac:dyDescent="0.2">
      <c r="A2241" s="247" t="s">
        <v>993</v>
      </c>
      <c r="B2241" s="316">
        <v>3217</v>
      </c>
      <c r="C2241" s="247" t="s">
        <v>975</v>
      </c>
      <c r="D2241" s="317">
        <v>42670</v>
      </c>
      <c r="E2241" s="318">
        <v>1.8171296296296297E-2</v>
      </c>
      <c r="F2241" s="247" t="s">
        <v>235</v>
      </c>
      <c r="G2241" s="247"/>
      <c r="H2241" s="248" t="s">
        <v>234</v>
      </c>
      <c r="I2241" s="248" t="s">
        <v>235</v>
      </c>
      <c r="J2241" s="247" t="s">
        <v>809</v>
      </c>
      <c r="K2241" s="249">
        <v>0</v>
      </c>
      <c r="M2241" s="90">
        <v>0</v>
      </c>
      <c r="N2241" s="90">
        <v>0</v>
      </c>
      <c r="O2241" s="90">
        <v>255</v>
      </c>
    </row>
    <row r="2242" spans="1:15" s="90" customFormat="1" ht="12.75" customHeight="1" x14ac:dyDescent="0.2">
      <c r="A2242" s="247" t="s">
        <v>989</v>
      </c>
      <c r="B2242" s="316">
        <v>3046</v>
      </c>
      <c r="C2242" s="247" t="s">
        <v>975</v>
      </c>
      <c r="D2242" s="317">
        <v>42670</v>
      </c>
      <c r="E2242" s="318">
        <v>5.9837962962962961E-2</v>
      </c>
      <c r="F2242" s="247" t="s">
        <v>976</v>
      </c>
      <c r="G2242" s="247"/>
      <c r="H2242" s="248" t="s">
        <v>404</v>
      </c>
      <c r="I2242" s="248" t="s">
        <v>404</v>
      </c>
      <c r="J2242" s="247" t="s">
        <v>809</v>
      </c>
      <c r="K2242" s="249">
        <v>0</v>
      </c>
      <c r="M2242" s="90">
        <v>0</v>
      </c>
      <c r="N2242" s="90">
        <v>0</v>
      </c>
      <c r="O2242" s="90">
        <v>255</v>
      </c>
    </row>
    <row r="2243" spans="1:15" s="90" customFormat="1" ht="12.75" customHeight="1" x14ac:dyDescent="0.2">
      <c r="A2243" s="247" t="s">
        <v>990</v>
      </c>
      <c r="B2243" s="316">
        <v>3046</v>
      </c>
      <c r="C2243" s="247" t="s">
        <v>975</v>
      </c>
      <c r="D2243" s="317">
        <v>42670</v>
      </c>
      <c r="E2243" s="318">
        <v>6.0092592592592593E-2</v>
      </c>
      <c r="F2243" s="247" t="s">
        <v>976</v>
      </c>
      <c r="G2243" s="247"/>
      <c r="H2243" s="248" t="s">
        <v>404</v>
      </c>
      <c r="I2243" s="248" t="s">
        <v>404</v>
      </c>
      <c r="J2243" s="247" t="s">
        <v>809</v>
      </c>
      <c r="K2243" s="249">
        <v>0</v>
      </c>
      <c r="M2243" s="90">
        <v>0</v>
      </c>
      <c r="N2243" s="90">
        <v>0</v>
      </c>
      <c r="O2243" s="90">
        <v>255</v>
      </c>
    </row>
    <row r="2244" spans="1:15" s="90" customFormat="1" ht="12.75" customHeight="1" x14ac:dyDescent="0.2">
      <c r="A2244" s="247" t="s">
        <v>993</v>
      </c>
      <c r="B2244" s="316">
        <v>3217</v>
      </c>
      <c r="C2244" s="247" t="s">
        <v>975</v>
      </c>
      <c r="D2244" s="317">
        <v>42670</v>
      </c>
      <c r="E2244" s="318">
        <v>6.0092592592592593E-2</v>
      </c>
      <c r="F2244" s="247" t="s">
        <v>235</v>
      </c>
      <c r="G2244" s="247"/>
      <c r="H2244" s="248" t="s">
        <v>234</v>
      </c>
      <c r="I2244" s="248" t="s">
        <v>235</v>
      </c>
      <c r="J2244" s="247" t="s">
        <v>809</v>
      </c>
      <c r="K2244" s="249">
        <v>0</v>
      </c>
      <c r="M2244" s="90">
        <v>0</v>
      </c>
      <c r="N2244" s="90">
        <v>0</v>
      </c>
      <c r="O2244" s="90">
        <v>255</v>
      </c>
    </row>
    <row r="2245" spans="1:15" s="90" customFormat="1" ht="12.75" customHeight="1" x14ac:dyDescent="0.2">
      <c r="A2245" s="247" t="s">
        <v>989</v>
      </c>
      <c r="B2245" s="316">
        <v>3046</v>
      </c>
      <c r="C2245" s="247" t="s">
        <v>975</v>
      </c>
      <c r="D2245" s="317">
        <v>42670</v>
      </c>
      <c r="E2245" s="318">
        <v>0.10175925925925926</v>
      </c>
      <c r="F2245" s="247" t="s">
        <v>976</v>
      </c>
      <c r="G2245" s="247"/>
      <c r="H2245" s="248" t="s">
        <v>404</v>
      </c>
      <c r="I2245" s="248" t="s">
        <v>404</v>
      </c>
      <c r="J2245" s="247" t="s">
        <v>809</v>
      </c>
      <c r="K2245" s="249">
        <v>0</v>
      </c>
      <c r="M2245" s="90">
        <v>0</v>
      </c>
      <c r="N2245" s="90">
        <v>0</v>
      </c>
      <c r="O2245" s="90">
        <v>255</v>
      </c>
    </row>
    <row r="2246" spans="1:15" s="90" customFormat="1" ht="12.75" customHeight="1" x14ac:dyDescent="0.2">
      <c r="A2246" s="247" t="s">
        <v>990</v>
      </c>
      <c r="B2246" s="316">
        <v>3046</v>
      </c>
      <c r="C2246" s="247" t="s">
        <v>975</v>
      </c>
      <c r="D2246" s="317">
        <v>42670</v>
      </c>
      <c r="E2246" s="318">
        <v>0.10201388888888889</v>
      </c>
      <c r="F2246" s="247" t="s">
        <v>976</v>
      </c>
      <c r="G2246" s="247"/>
      <c r="H2246" s="248" t="s">
        <v>404</v>
      </c>
      <c r="I2246" s="248" t="s">
        <v>404</v>
      </c>
      <c r="J2246" s="247" t="s">
        <v>809</v>
      </c>
      <c r="K2246" s="249">
        <v>0</v>
      </c>
      <c r="M2246" s="90">
        <v>0</v>
      </c>
      <c r="N2246" s="90">
        <v>0</v>
      </c>
      <c r="O2246" s="90">
        <v>255</v>
      </c>
    </row>
    <row r="2247" spans="1:15" s="90" customFormat="1" ht="12.75" customHeight="1" x14ac:dyDescent="0.2">
      <c r="A2247" s="247" t="s">
        <v>993</v>
      </c>
      <c r="B2247" s="316">
        <v>3217</v>
      </c>
      <c r="C2247" s="247" t="s">
        <v>975</v>
      </c>
      <c r="D2247" s="317">
        <v>42670</v>
      </c>
      <c r="E2247" s="318">
        <v>0.10201388888888889</v>
      </c>
      <c r="F2247" s="247" t="s">
        <v>235</v>
      </c>
      <c r="G2247" s="247"/>
      <c r="H2247" s="248" t="s">
        <v>234</v>
      </c>
      <c r="I2247" s="248" t="s">
        <v>235</v>
      </c>
      <c r="J2247" s="247" t="s">
        <v>809</v>
      </c>
      <c r="K2247" s="249">
        <v>0</v>
      </c>
      <c r="M2247" s="90">
        <v>0</v>
      </c>
      <c r="N2247" s="90">
        <v>0</v>
      </c>
      <c r="O2247" s="90">
        <v>255</v>
      </c>
    </row>
    <row r="2248" spans="1:15" s="90" customFormat="1" ht="12.75" customHeight="1" x14ac:dyDescent="0.2">
      <c r="A2248" s="247" t="s">
        <v>989</v>
      </c>
      <c r="B2248" s="316">
        <v>3046</v>
      </c>
      <c r="C2248" s="247" t="s">
        <v>975</v>
      </c>
      <c r="D2248" s="317">
        <v>42670</v>
      </c>
      <c r="E2248" s="318">
        <v>0.14368055555555556</v>
      </c>
      <c r="F2248" s="247" t="s">
        <v>976</v>
      </c>
      <c r="G2248" s="247"/>
      <c r="H2248" s="248" t="s">
        <v>404</v>
      </c>
      <c r="I2248" s="248" t="s">
        <v>404</v>
      </c>
      <c r="J2248" s="247" t="s">
        <v>809</v>
      </c>
      <c r="K2248" s="249">
        <v>0</v>
      </c>
      <c r="M2248" s="90">
        <v>0</v>
      </c>
      <c r="N2248" s="90">
        <v>0</v>
      </c>
      <c r="O2248" s="90">
        <v>255</v>
      </c>
    </row>
    <row r="2249" spans="1:15" s="90" customFormat="1" ht="12.75" customHeight="1" x14ac:dyDescent="0.2">
      <c r="A2249" s="247" t="s">
        <v>990</v>
      </c>
      <c r="B2249" s="316">
        <v>3046</v>
      </c>
      <c r="C2249" s="247" t="s">
        <v>975</v>
      </c>
      <c r="D2249" s="317">
        <v>42670</v>
      </c>
      <c r="E2249" s="318">
        <v>0.14393518518518519</v>
      </c>
      <c r="F2249" s="247" t="s">
        <v>976</v>
      </c>
      <c r="G2249" s="247"/>
      <c r="H2249" s="248" t="s">
        <v>404</v>
      </c>
      <c r="I2249" s="248" t="s">
        <v>404</v>
      </c>
      <c r="J2249" s="247" t="s">
        <v>809</v>
      </c>
      <c r="K2249" s="249">
        <v>0</v>
      </c>
      <c r="M2249" s="90">
        <v>0</v>
      </c>
      <c r="N2249" s="90">
        <v>0</v>
      </c>
      <c r="O2249" s="90">
        <v>255</v>
      </c>
    </row>
    <row r="2250" spans="1:15" s="90" customFormat="1" ht="12.75" customHeight="1" x14ac:dyDescent="0.2">
      <c r="A2250" s="247" t="s">
        <v>993</v>
      </c>
      <c r="B2250" s="316">
        <v>3217</v>
      </c>
      <c r="C2250" s="247" t="s">
        <v>975</v>
      </c>
      <c r="D2250" s="317">
        <v>42670</v>
      </c>
      <c r="E2250" s="318">
        <v>0.14393518518518519</v>
      </c>
      <c r="F2250" s="247" t="s">
        <v>235</v>
      </c>
      <c r="G2250" s="247"/>
      <c r="H2250" s="248" t="s">
        <v>234</v>
      </c>
      <c r="I2250" s="248" t="s">
        <v>235</v>
      </c>
      <c r="J2250" s="247" t="s">
        <v>809</v>
      </c>
      <c r="K2250" s="249">
        <v>0</v>
      </c>
      <c r="M2250" s="90">
        <v>0</v>
      </c>
      <c r="N2250" s="90">
        <v>0</v>
      </c>
      <c r="O2250" s="90">
        <v>255</v>
      </c>
    </row>
    <row r="2251" spans="1:15" s="90" customFormat="1" ht="12.75" customHeight="1" x14ac:dyDescent="0.2">
      <c r="A2251" s="247" t="s">
        <v>989</v>
      </c>
      <c r="B2251" s="316">
        <v>3046</v>
      </c>
      <c r="C2251" s="247" t="s">
        <v>975</v>
      </c>
      <c r="D2251" s="317">
        <v>42670</v>
      </c>
      <c r="E2251" s="318">
        <v>0.18560185185185185</v>
      </c>
      <c r="F2251" s="247" t="s">
        <v>976</v>
      </c>
      <c r="G2251" s="247"/>
      <c r="H2251" s="248" t="s">
        <v>404</v>
      </c>
      <c r="I2251" s="248" t="s">
        <v>404</v>
      </c>
      <c r="J2251" s="247" t="s">
        <v>809</v>
      </c>
      <c r="K2251" s="249">
        <v>0</v>
      </c>
      <c r="M2251" s="90">
        <v>0</v>
      </c>
      <c r="N2251" s="90">
        <v>0</v>
      </c>
      <c r="O2251" s="90">
        <v>255</v>
      </c>
    </row>
    <row r="2252" spans="1:15" s="90" customFormat="1" ht="12.75" customHeight="1" x14ac:dyDescent="0.2">
      <c r="A2252" s="247" t="s">
        <v>990</v>
      </c>
      <c r="B2252" s="316">
        <v>3046</v>
      </c>
      <c r="C2252" s="247" t="s">
        <v>975</v>
      </c>
      <c r="D2252" s="317">
        <v>42670</v>
      </c>
      <c r="E2252" s="318">
        <v>0.18585648148148148</v>
      </c>
      <c r="F2252" s="247" t="s">
        <v>976</v>
      </c>
      <c r="G2252" s="247"/>
      <c r="H2252" s="248" t="s">
        <v>404</v>
      </c>
      <c r="I2252" s="248" t="s">
        <v>404</v>
      </c>
      <c r="J2252" s="247" t="s">
        <v>809</v>
      </c>
      <c r="K2252" s="249">
        <v>0</v>
      </c>
      <c r="M2252" s="90">
        <v>0</v>
      </c>
      <c r="N2252" s="90">
        <v>0</v>
      </c>
      <c r="O2252" s="90">
        <v>255</v>
      </c>
    </row>
    <row r="2253" spans="1:15" s="90" customFormat="1" ht="12.75" customHeight="1" x14ac:dyDescent="0.2">
      <c r="A2253" s="247" t="s">
        <v>993</v>
      </c>
      <c r="B2253" s="316">
        <v>3217</v>
      </c>
      <c r="C2253" s="247" t="s">
        <v>975</v>
      </c>
      <c r="D2253" s="317">
        <v>42670</v>
      </c>
      <c r="E2253" s="318">
        <v>0.18585648148148148</v>
      </c>
      <c r="F2253" s="247" t="s">
        <v>235</v>
      </c>
      <c r="G2253" s="247"/>
      <c r="H2253" s="248" t="s">
        <v>234</v>
      </c>
      <c r="I2253" s="248" t="s">
        <v>235</v>
      </c>
      <c r="J2253" s="247" t="s">
        <v>809</v>
      </c>
      <c r="K2253" s="249">
        <v>0</v>
      </c>
      <c r="M2253" s="90">
        <v>0</v>
      </c>
      <c r="N2253" s="90">
        <v>0</v>
      </c>
      <c r="O2253" s="90">
        <v>255</v>
      </c>
    </row>
    <row r="2254" spans="1:15" s="90" customFormat="1" ht="12.75" customHeight="1" x14ac:dyDescent="0.2">
      <c r="A2254" s="247" t="s">
        <v>989</v>
      </c>
      <c r="B2254" s="316">
        <v>3046</v>
      </c>
      <c r="C2254" s="247" t="s">
        <v>975</v>
      </c>
      <c r="D2254" s="317">
        <v>42670</v>
      </c>
      <c r="E2254" s="318">
        <v>0.22752314814814814</v>
      </c>
      <c r="F2254" s="247" t="s">
        <v>976</v>
      </c>
      <c r="G2254" s="247"/>
      <c r="H2254" s="248" t="s">
        <v>404</v>
      </c>
      <c r="I2254" s="248" t="s">
        <v>404</v>
      </c>
      <c r="J2254" s="247" t="s">
        <v>809</v>
      </c>
      <c r="K2254" s="249">
        <v>0</v>
      </c>
      <c r="M2254" s="90">
        <v>0</v>
      </c>
      <c r="N2254" s="90">
        <v>0</v>
      </c>
      <c r="O2254" s="90">
        <v>255</v>
      </c>
    </row>
    <row r="2255" spans="1:15" s="90" customFormat="1" ht="12.75" customHeight="1" x14ac:dyDescent="0.2">
      <c r="A2255" s="247" t="s">
        <v>990</v>
      </c>
      <c r="B2255" s="316">
        <v>3046</v>
      </c>
      <c r="C2255" s="247" t="s">
        <v>975</v>
      </c>
      <c r="D2255" s="317">
        <v>42670</v>
      </c>
      <c r="E2255" s="318">
        <v>0.22777777777777777</v>
      </c>
      <c r="F2255" s="247" t="s">
        <v>976</v>
      </c>
      <c r="G2255" s="247"/>
      <c r="H2255" s="248" t="s">
        <v>404</v>
      </c>
      <c r="I2255" s="248" t="s">
        <v>404</v>
      </c>
      <c r="J2255" s="247" t="s">
        <v>809</v>
      </c>
      <c r="K2255" s="249">
        <v>0</v>
      </c>
      <c r="M2255" s="90">
        <v>0</v>
      </c>
      <c r="N2255" s="90">
        <v>0</v>
      </c>
      <c r="O2255" s="90">
        <v>255</v>
      </c>
    </row>
    <row r="2256" spans="1:15" s="90" customFormat="1" ht="12.75" customHeight="1" x14ac:dyDescent="0.2">
      <c r="A2256" s="247" t="s">
        <v>993</v>
      </c>
      <c r="B2256" s="316">
        <v>3217</v>
      </c>
      <c r="C2256" s="247" t="s">
        <v>975</v>
      </c>
      <c r="D2256" s="317">
        <v>42670</v>
      </c>
      <c r="E2256" s="318">
        <v>0.22777777777777777</v>
      </c>
      <c r="F2256" s="247" t="s">
        <v>235</v>
      </c>
      <c r="G2256" s="247"/>
      <c r="H2256" s="248" t="s">
        <v>234</v>
      </c>
      <c r="I2256" s="248" t="s">
        <v>235</v>
      </c>
      <c r="J2256" s="247" t="s">
        <v>809</v>
      </c>
      <c r="K2256" s="249">
        <v>0</v>
      </c>
      <c r="M2256" s="90">
        <v>0</v>
      </c>
      <c r="N2256" s="90">
        <v>0</v>
      </c>
      <c r="O2256" s="90">
        <v>255</v>
      </c>
    </row>
    <row r="2257" spans="1:15" s="90" customFormat="1" ht="12.75" customHeight="1" x14ac:dyDescent="0.2">
      <c r="A2257" s="247" t="s">
        <v>989</v>
      </c>
      <c r="B2257" s="316">
        <v>3046</v>
      </c>
      <c r="C2257" s="247" t="s">
        <v>975</v>
      </c>
      <c r="D2257" s="317">
        <v>42670</v>
      </c>
      <c r="E2257" s="318">
        <v>0.26944444444444443</v>
      </c>
      <c r="F2257" s="247" t="s">
        <v>976</v>
      </c>
      <c r="G2257" s="247"/>
      <c r="H2257" s="248" t="s">
        <v>404</v>
      </c>
      <c r="I2257" s="248" t="s">
        <v>404</v>
      </c>
      <c r="J2257" s="247" t="s">
        <v>809</v>
      </c>
      <c r="K2257" s="249">
        <v>0</v>
      </c>
      <c r="M2257" s="90">
        <v>0</v>
      </c>
      <c r="N2257" s="90">
        <v>0</v>
      </c>
      <c r="O2257" s="90">
        <v>255</v>
      </c>
    </row>
    <row r="2258" spans="1:15" s="90" customFormat="1" ht="12.75" customHeight="1" x14ac:dyDescent="0.2">
      <c r="A2258" s="247" t="s">
        <v>990</v>
      </c>
      <c r="B2258" s="316">
        <v>3046</v>
      </c>
      <c r="C2258" s="247" t="s">
        <v>975</v>
      </c>
      <c r="D2258" s="317">
        <v>42670</v>
      </c>
      <c r="E2258" s="318">
        <v>0.26969907407407406</v>
      </c>
      <c r="F2258" s="247" t="s">
        <v>976</v>
      </c>
      <c r="G2258" s="247"/>
      <c r="H2258" s="248" t="s">
        <v>404</v>
      </c>
      <c r="I2258" s="248" t="s">
        <v>404</v>
      </c>
      <c r="J2258" s="247" t="s">
        <v>809</v>
      </c>
      <c r="K2258" s="249">
        <v>0</v>
      </c>
      <c r="M2258" s="90">
        <v>0</v>
      </c>
      <c r="N2258" s="90">
        <v>0</v>
      </c>
      <c r="O2258" s="90">
        <v>255</v>
      </c>
    </row>
    <row r="2259" spans="1:15" s="90" customFormat="1" ht="12.75" customHeight="1" x14ac:dyDescent="0.2">
      <c r="A2259" s="247" t="s">
        <v>993</v>
      </c>
      <c r="B2259" s="316">
        <v>3217</v>
      </c>
      <c r="C2259" s="247" t="s">
        <v>975</v>
      </c>
      <c r="D2259" s="317">
        <v>42670</v>
      </c>
      <c r="E2259" s="318">
        <v>0.26969907407407406</v>
      </c>
      <c r="F2259" s="247" t="s">
        <v>235</v>
      </c>
      <c r="G2259" s="247"/>
      <c r="H2259" s="248" t="s">
        <v>234</v>
      </c>
      <c r="I2259" s="248" t="s">
        <v>235</v>
      </c>
      <c r="J2259" s="247" t="s">
        <v>809</v>
      </c>
      <c r="K2259" s="249">
        <v>0</v>
      </c>
      <c r="M2259" s="90">
        <v>0</v>
      </c>
      <c r="N2259" s="90">
        <v>0</v>
      </c>
      <c r="O2259" s="90">
        <v>255</v>
      </c>
    </row>
    <row r="2260" spans="1:15" s="90" customFormat="1" ht="12.75" customHeight="1" x14ac:dyDescent="0.2">
      <c r="A2260" s="247" t="s">
        <v>1034</v>
      </c>
      <c r="B2260" s="316">
        <v>3106</v>
      </c>
      <c r="C2260" s="247" t="s">
        <v>975</v>
      </c>
      <c r="D2260" s="317">
        <v>42670</v>
      </c>
      <c r="E2260" s="318">
        <v>0.29788194444444444</v>
      </c>
      <c r="F2260" s="247" t="s">
        <v>978</v>
      </c>
      <c r="G2260" s="247" t="s">
        <v>1035</v>
      </c>
      <c r="H2260" s="248" t="s">
        <v>234</v>
      </c>
      <c r="I2260" s="248" t="s">
        <v>677</v>
      </c>
      <c r="J2260" s="247" t="s">
        <v>809</v>
      </c>
      <c r="K2260" s="249">
        <v>0</v>
      </c>
      <c r="M2260" s="90">
        <v>0</v>
      </c>
      <c r="N2260" s="90">
        <v>0</v>
      </c>
      <c r="O2260" s="90">
        <v>255</v>
      </c>
    </row>
    <row r="2261" spans="1:15" s="90" customFormat="1" ht="12.75" customHeight="1" x14ac:dyDescent="0.2">
      <c r="A2261" s="247" t="s">
        <v>989</v>
      </c>
      <c r="B2261" s="316">
        <v>3046</v>
      </c>
      <c r="C2261" s="247" t="s">
        <v>975</v>
      </c>
      <c r="D2261" s="317">
        <v>42670</v>
      </c>
      <c r="E2261" s="318">
        <v>0.29810185185185184</v>
      </c>
      <c r="F2261" s="247" t="s">
        <v>976</v>
      </c>
      <c r="G2261" s="247" t="s">
        <v>1035</v>
      </c>
      <c r="H2261" s="248" t="s">
        <v>404</v>
      </c>
      <c r="I2261" s="248" t="s">
        <v>404</v>
      </c>
      <c r="J2261" s="247" t="s">
        <v>809</v>
      </c>
      <c r="K2261" s="249">
        <v>0</v>
      </c>
      <c r="M2261" s="90">
        <v>0</v>
      </c>
      <c r="N2261" s="90">
        <v>0</v>
      </c>
      <c r="O2261" s="90">
        <v>255</v>
      </c>
    </row>
    <row r="2262" spans="1:15" s="90" customFormat="1" ht="12.75" customHeight="1" x14ac:dyDescent="0.2">
      <c r="A2262" s="247" t="s">
        <v>1029</v>
      </c>
      <c r="B2262" s="316">
        <v>3046</v>
      </c>
      <c r="C2262" s="247" t="s">
        <v>975</v>
      </c>
      <c r="D2262" s="317">
        <v>42670</v>
      </c>
      <c r="E2262" s="318">
        <v>0.2986111111111111</v>
      </c>
      <c r="F2262" s="247" t="s">
        <v>976</v>
      </c>
      <c r="G2262" s="247" t="s">
        <v>1035</v>
      </c>
      <c r="H2262" s="248" t="s">
        <v>404</v>
      </c>
      <c r="I2262" s="248" t="s">
        <v>404</v>
      </c>
      <c r="J2262" s="247" t="s">
        <v>809</v>
      </c>
      <c r="K2262" s="249">
        <v>0</v>
      </c>
      <c r="M2262" s="90">
        <v>0</v>
      </c>
      <c r="N2262" s="90">
        <v>0</v>
      </c>
      <c r="O2262" s="90">
        <v>255</v>
      </c>
    </row>
    <row r="2263" spans="1:15" s="90" customFormat="1" ht="12.75" customHeight="1" x14ac:dyDescent="0.2">
      <c r="A2263" s="247" t="s">
        <v>977</v>
      </c>
      <c r="B2263" s="316">
        <v>3046</v>
      </c>
      <c r="C2263" s="247" t="s">
        <v>975</v>
      </c>
      <c r="D2263" s="317">
        <v>42670</v>
      </c>
      <c r="E2263" s="318">
        <v>0.2986111111111111</v>
      </c>
      <c r="F2263" s="247" t="s">
        <v>976</v>
      </c>
      <c r="G2263" s="247" t="s">
        <v>1035</v>
      </c>
      <c r="H2263" s="248" t="s">
        <v>404</v>
      </c>
      <c r="I2263" s="248" t="s">
        <v>404</v>
      </c>
      <c r="J2263" s="247" t="s">
        <v>809</v>
      </c>
      <c r="K2263" s="249">
        <v>0</v>
      </c>
      <c r="M2263" s="90">
        <v>0</v>
      </c>
      <c r="N2263" s="90">
        <v>0</v>
      </c>
      <c r="O2263" s="90">
        <v>255</v>
      </c>
    </row>
    <row r="2264" spans="1:15" s="90" customFormat="1" ht="12.75" customHeight="1" x14ac:dyDescent="0.2">
      <c r="A2264" s="247" t="s">
        <v>1143</v>
      </c>
      <c r="B2264" s="316">
        <v>3051</v>
      </c>
      <c r="C2264" s="247" t="s">
        <v>975</v>
      </c>
      <c r="D2264" s="317">
        <v>42670</v>
      </c>
      <c r="E2264" s="318">
        <v>0.29863425925925929</v>
      </c>
      <c r="F2264" s="247" t="s">
        <v>235</v>
      </c>
      <c r="G2264" s="247" t="s">
        <v>1035</v>
      </c>
      <c r="H2264" s="248" t="s">
        <v>234</v>
      </c>
      <c r="I2264" s="248" t="s">
        <v>235</v>
      </c>
      <c r="J2264" s="247" t="s">
        <v>809</v>
      </c>
      <c r="K2264" s="249">
        <v>0</v>
      </c>
      <c r="M2264" s="90">
        <v>0</v>
      </c>
      <c r="N2264" s="90">
        <v>0</v>
      </c>
      <c r="O2264" s="90">
        <v>255</v>
      </c>
    </row>
    <row r="2265" spans="1:15" s="90" customFormat="1" ht="12.75" customHeight="1" x14ac:dyDescent="0.2">
      <c r="A2265" s="247" t="s">
        <v>1030</v>
      </c>
      <c r="B2265" s="316">
        <v>3051</v>
      </c>
      <c r="C2265" s="247" t="s">
        <v>975</v>
      </c>
      <c r="D2265" s="317">
        <v>42670</v>
      </c>
      <c r="E2265" s="318">
        <v>0.29863425925925929</v>
      </c>
      <c r="F2265" s="247" t="s">
        <v>235</v>
      </c>
      <c r="G2265" s="247" t="s">
        <v>1035</v>
      </c>
      <c r="H2265" s="248" t="s">
        <v>234</v>
      </c>
      <c r="I2265" s="248" t="s">
        <v>235</v>
      </c>
      <c r="J2265" s="247" t="s">
        <v>809</v>
      </c>
      <c r="K2265" s="249">
        <v>0</v>
      </c>
      <c r="M2265" s="90">
        <v>0</v>
      </c>
      <c r="N2265" s="90">
        <v>0</v>
      </c>
      <c r="O2265" s="90">
        <v>255</v>
      </c>
    </row>
    <row r="2266" spans="1:15" s="90" customFormat="1" ht="12.75" customHeight="1" x14ac:dyDescent="0.2">
      <c r="A2266" s="247" t="s">
        <v>1036</v>
      </c>
      <c r="B2266" s="316">
        <v>3051</v>
      </c>
      <c r="C2266" s="247" t="s">
        <v>975</v>
      </c>
      <c r="D2266" s="317">
        <v>42670</v>
      </c>
      <c r="E2266" s="318">
        <v>0.29863425925925929</v>
      </c>
      <c r="F2266" s="247" t="s">
        <v>235</v>
      </c>
      <c r="G2266" s="247" t="s">
        <v>1035</v>
      </c>
      <c r="H2266" s="248" t="s">
        <v>234</v>
      </c>
      <c r="I2266" s="248" t="s">
        <v>235</v>
      </c>
      <c r="J2266" s="247" t="s">
        <v>809</v>
      </c>
      <c r="K2266" s="249">
        <v>0</v>
      </c>
      <c r="M2266" s="90">
        <v>0</v>
      </c>
      <c r="N2266" s="90">
        <v>0</v>
      </c>
      <c r="O2266" s="90">
        <v>255</v>
      </c>
    </row>
    <row r="2267" spans="1:15" s="90" customFormat="1" ht="12.75" customHeight="1" x14ac:dyDescent="0.2">
      <c r="A2267" s="247" t="s">
        <v>1104</v>
      </c>
      <c r="B2267" s="316">
        <v>3052</v>
      </c>
      <c r="C2267" s="247" t="s">
        <v>975</v>
      </c>
      <c r="D2267" s="317">
        <v>42670</v>
      </c>
      <c r="E2267" s="318">
        <v>0.29863425925925929</v>
      </c>
      <c r="F2267" s="247" t="s">
        <v>235</v>
      </c>
      <c r="G2267" s="247" t="s">
        <v>1035</v>
      </c>
      <c r="H2267" s="248" t="s">
        <v>234</v>
      </c>
      <c r="I2267" s="248" t="s">
        <v>235</v>
      </c>
      <c r="J2267" s="247" t="s">
        <v>809</v>
      </c>
      <c r="K2267" s="249">
        <v>0</v>
      </c>
      <c r="M2267" s="90">
        <v>0</v>
      </c>
      <c r="N2267" s="90">
        <v>0</v>
      </c>
      <c r="O2267" s="90">
        <v>255</v>
      </c>
    </row>
    <row r="2268" spans="1:15" s="90" customFormat="1" ht="12.75" customHeight="1" x14ac:dyDescent="0.2">
      <c r="A2268" s="247" t="s">
        <v>983</v>
      </c>
      <c r="B2268" s="316">
        <v>3046</v>
      </c>
      <c r="C2268" s="247" t="s">
        <v>975</v>
      </c>
      <c r="D2268" s="317">
        <v>42670</v>
      </c>
      <c r="E2268" s="318">
        <v>0.29908564814814814</v>
      </c>
      <c r="F2268" s="247" t="s">
        <v>976</v>
      </c>
      <c r="G2268" s="247" t="s">
        <v>1035</v>
      </c>
      <c r="H2268" s="248" t="s">
        <v>404</v>
      </c>
      <c r="I2268" s="248" t="s">
        <v>404</v>
      </c>
      <c r="J2268" s="247" t="s">
        <v>809</v>
      </c>
      <c r="K2268" s="249">
        <v>0</v>
      </c>
      <c r="M2268" s="90">
        <v>0</v>
      </c>
      <c r="N2268" s="90">
        <v>0</v>
      </c>
      <c r="O2268" s="90">
        <v>255</v>
      </c>
    </row>
    <row r="2269" spans="1:15" s="90" customFormat="1" ht="12.75" customHeight="1" x14ac:dyDescent="0.2">
      <c r="A2269" s="247" t="s">
        <v>991</v>
      </c>
      <c r="B2269" s="316">
        <v>3046</v>
      </c>
      <c r="C2269" s="247" t="s">
        <v>975</v>
      </c>
      <c r="D2269" s="317">
        <v>42670</v>
      </c>
      <c r="E2269" s="318">
        <v>0.29920138888888886</v>
      </c>
      <c r="F2269" s="247" t="s">
        <v>976</v>
      </c>
      <c r="G2269" s="247" t="s">
        <v>1035</v>
      </c>
      <c r="H2269" s="248" t="s">
        <v>404</v>
      </c>
      <c r="I2269" s="248" t="s">
        <v>404</v>
      </c>
      <c r="J2269" s="247" t="s">
        <v>809</v>
      </c>
      <c r="K2269" s="249">
        <v>0</v>
      </c>
      <c r="M2269" s="90">
        <v>0</v>
      </c>
      <c r="N2269" s="90">
        <v>0</v>
      </c>
      <c r="O2269" s="90">
        <v>255</v>
      </c>
    </row>
    <row r="2270" spans="1:15" s="90" customFormat="1" ht="12.75" customHeight="1" x14ac:dyDescent="0.2">
      <c r="A2270" s="247" t="s">
        <v>1219</v>
      </c>
      <c r="B2270" s="316">
        <v>3089</v>
      </c>
      <c r="C2270" s="247" t="s">
        <v>996</v>
      </c>
      <c r="D2270" s="317">
        <v>42670</v>
      </c>
      <c r="E2270" s="318">
        <v>0.29976851851851855</v>
      </c>
      <c r="F2270" s="247" t="s">
        <v>235</v>
      </c>
      <c r="G2270" s="247" t="s">
        <v>1035</v>
      </c>
      <c r="H2270" s="248" t="s">
        <v>234</v>
      </c>
      <c r="I2270" s="248" t="s">
        <v>235</v>
      </c>
      <c r="J2270" s="247" t="s">
        <v>809</v>
      </c>
      <c r="K2270" s="249">
        <v>0</v>
      </c>
      <c r="M2270" s="90">
        <v>0</v>
      </c>
      <c r="N2270" s="90">
        <v>0</v>
      </c>
      <c r="O2270" s="90">
        <v>255</v>
      </c>
    </row>
    <row r="2271" spans="1:15" s="90" customFormat="1" ht="12.75" customHeight="1" x14ac:dyDescent="0.2">
      <c r="A2271" s="247" t="s">
        <v>1077</v>
      </c>
      <c r="B2271" s="316">
        <v>3001</v>
      </c>
      <c r="C2271" s="247" t="s">
        <v>996</v>
      </c>
      <c r="D2271" s="317">
        <v>42670</v>
      </c>
      <c r="E2271" s="318">
        <v>0.30001157407407408</v>
      </c>
      <c r="F2271" s="247" t="s">
        <v>702</v>
      </c>
      <c r="G2271" s="247" t="s">
        <v>1035</v>
      </c>
      <c r="H2271" s="248" t="s">
        <v>121</v>
      </c>
      <c r="I2271" s="248" t="s">
        <v>122</v>
      </c>
      <c r="J2271" s="247" t="s">
        <v>809</v>
      </c>
      <c r="K2271" s="249">
        <v>0</v>
      </c>
      <c r="M2271" s="90">
        <v>0</v>
      </c>
      <c r="N2271" s="90">
        <v>0</v>
      </c>
      <c r="O2271" s="90">
        <v>255</v>
      </c>
    </row>
    <row r="2272" spans="1:15" s="90" customFormat="1" ht="12.75" customHeight="1" x14ac:dyDescent="0.2">
      <c r="A2272" s="247" t="s">
        <v>1100</v>
      </c>
      <c r="B2272" s="316">
        <v>3001</v>
      </c>
      <c r="C2272" s="247" t="s">
        <v>996</v>
      </c>
      <c r="D2272" s="317">
        <v>42670</v>
      </c>
      <c r="E2272" s="318">
        <v>0.30001157407407408</v>
      </c>
      <c r="F2272" s="247" t="s">
        <v>702</v>
      </c>
      <c r="G2272" s="247" t="s">
        <v>1035</v>
      </c>
      <c r="H2272" s="248" t="s">
        <v>121</v>
      </c>
      <c r="I2272" s="248" t="s">
        <v>122</v>
      </c>
      <c r="J2272" s="247" t="s">
        <v>809</v>
      </c>
      <c r="K2272" s="249">
        <v>0</v>
      </c>
      <c r="M2272" s="90">
        <v>0</v>
      </c>
      <c r="N2272" s="90">
        <v>0</v>
      </c>
      <c r="O2272" s="90">
        <v>255</v>
      </c>
    </row>
    <row r="2273" spans="1:15" s="90" customFormat="1" ht="12.75" customHeight="1" x14ac:dyDescent="0.2">
      <c r="A2273" s="247" t="s">
        <v>1129</v>
      </c>
      <c r="B2273" s="316">
        <v>3001</v>
      </c>
      <c r="C2273" s="247" t="s">
        <v>996</v>
      </c>
      <c r="D2273" s="317">
        <v>42670</v>
      </c>
      <c r="E2273" s="318">
        <v>0.30019675925925926</v>
      </c>
      <c r="F2273" s="247" t="s">
        <v>702</v>
      </c>
      <c r="G2273" s="247" t="s">
        <v>1035</v>
      </c>
      <c r="H2273" s="248" t="s">
        <v>121</v>
      </c>
      <c r="I2273" s="248" t="s">
        <v>122</v>
      </c>
      <c r="J2273" s="247" t="s">
        <v>809</v>
      </c>
      <c r="K2273" s="249">
        <v>0</v>
      </c>
      <c r="M2273" s="90">
        <v>0</v>
      </c>
      <c r="N2273" s="90">
        <v>0</v>
      </c>
      <c r="O2273" s="90">
        <v>255</v>
      </c>
    </row>
    <row r="2274" spans="1:15" s="90" customFormat="1" ht="12.75" customHeight="1" x14ac:dyDescent="0.2">
      <c r="A2274" s="247" t="s">
        <v>1107</v>
      </c>
      <c r="B2274" s="316">
        <v>3001</v>
      </c>
      <c r="C2274" s="247" t="s">
        <v>996</v>
      </c>
      <c r="D2274" s="317">
        <v>42670</v>
      </c>
      <c r="E2274" s="318">
        <v>0.30019675925925926</v>
      </c>
      <c r="F2274" s="247" t="s">
        <v>702</v>
      </c>
      <c r="G2274" s="247" t="s">
        <v>1035</v>
      </c>
      <c r="H2274" s="248" t="s">
        <v>121</v>
      </c>
      <c r="I2274" s="248" t="s">
        <v>122</v>
      </c>
      <c r="J2274" s="247" t="s">
        <v>809</v>
      </c>
      <c r="K2274" s="249">
        <v>0</v>
      </c>
      <c r="M2274" s="90">
        <v>0</v>
      </c>
      <c r="N2274" s="90">
        <v>0</v>
      </c>
      <c r="O2274" s="90">
        <v>255</v>
      </c>
    </row>
    <row r="2275" spans="1:15" s="90" customFormat="1" ht="12.75" customHeight="1" x14ac:dyDescent="0.2">
      <c r="A2275" s="247" t="s">
        <v>1360</v>
      </c>
      <c r="B2275" s="316">
        <v>3004</v>
      </c>
      <c r="C2275" s="247" t="s">
        <v>979</v>
      </c>
      <c r="D2275" s="317">
        <v>42670</v>
      </c>
      <c r="E2275" s="318">
        <v>0.30019675925925926</v>
      </c>
      <c r="F2275" s="247" t="s">
        <v>702</v>
      </c>
      <c r="G2275" s="247" t="s">
        <v>1035</v>
      </c>
      <c r="H2275" s="248" t="s">
        <v>234</v>
      </c>
      <c r="I2275" s="248" t="s">
        <v>702</v>
      </c>
      <c r="J2275" s="247" t="s">
        <v>809</v>
      </c>
      <c r="K2275" s="249">
        <v>0</v>
      </c>
      <c r="M2275" s="90">
        <v>0</v>
      </c>
      <c r="N2275" s="90">
        <v>0</v>
      </c>
      <c r="O2275" s="90">
        <v>255</v>
      </c>
    </row>
    <row r="2276" spans="1:15" s="90" customFormat="1" ht="12.75" customHeight="1" x14ac:dyDescent="0.2">
      <c r="A2276" s="247" t="s">
        <v>992</v>
      </c>
      <c r="B2276" s="316">
        <v>3046</v>
      </c>
      <c r="C2276" s="247" t="s">
        <v>975</v>
      </c>
      <c r="D2276" s="317">
        <v>42670</v>
      </c>
      <c r="E2276" s="318">
        <v>0.30046296296296299</v>
      </c>
      <c r="F2276" s="247" t="s">
        <v>976</v>
      </c>
      <c r="G2276" s="247" t="s">
        <v>1035</v>
      </c>
      <c r="H2276" s="248" t="s">
        <v>404</v>
      </c>
      <c r="I2276" s="248" t="s">
        <v>404</v>
      </c>
      <c r="J2276" s="247" t="s">
        <v>809</v>
      </c>
      <c r="K2276" s="249">
        <v>0</v>
      </c>
      <c r="M2276" s="90">
        <v>0</v>
      </c>
      <c r="N2276" s="90">
        <v>0</v>
      </c>
      <c r="O2276" s="90">
        <v>255</v>
      </c>
    </row>
    <row r="2277" spans="1:15" s="90" customFormat="1" ht="12.75" customHeight="1" x14ac:dyDescent="0.2">
      <c r="A2277" s="247" t="s">
        <v>787</v>
      </c>
      <c r="B2277" s="316">
        <v>2025</v>
      </c>
      <c r="C2277" s="247" t="s">
        <v>979</v>
      </c>
      <c r="D2277" s="317">
        <v>42670</v>
      </c>
      <c r="E2277" s="318">
        <v>0.30128472222222219</v>
      </c>
      <c r="F2277" s="247" t="s">
        <v>702</v>
      </c>
      <c r="G2277" s="247" t="s">
        <v>1035</v>
      </c>
      <c r="H2277" s="248" t="s">
        <v>860</v>
      </c>
      <c r="I2277" s="248" t="s">
        <v>30</v>
      </c>
      <c r="J2277" s="247" t="s">
        <v>809</v>
      </c>
      <c r="K2277" s="249">
        <v>0</v>
      </c>
      <c r="L2277" s="90" t="s">
        <v>1778</v>
      </c>
      <c r="M2277" s="90">
        <v>374</v>
      </c>
      <c r="N2277" s="90">
        <v>2</v>
      </c>
      <c r="O2277" s="90">
        <v>0</v>
      </c>
    </row>
    <row r="2278" spans="1:15" s="90" customFormat="1" ht="12.75" customHeight="1" x14ac:dyDescent="0.2">
      <c r="A2278" s="247" t="s">
        <v>787</v>
      </c>
      <c r="B2278" s="316">
        <v>2025</v>
      </c>
      <c r="C2278" s="247" t="s">
        <v>979</v>
      </c>
      <c r="D2278" s="317">
        <v>42670</v>
      </c>
      <c r="E2278" s="318">
        <v>0.30128472222222219</v>
      </c>
      <c r="F2278" s="247" t="s">
        <v>702</v>
      </c>
      <c r="G2278" s="247" t="s">
        <v>1035</v>
      </c>
      <c r="H2278" s="248" t="s">
        <v>860</v>
      </c>
      <c r="I2278" s="248" t="s">
        <v>30</v>
      </c>
      <c r="J2278" s="247" t="s">
        <v>809</v>
      </c>
      <c r="K2278" s="249">
        <v>0</v>
      </c>
      <c r="L2278" s="90" t="s">
        <v>1778</v>
      </c>
      <c r="M2278" s="90">
        <v>374</v>
      </c>
      <c r="N2278" s="90">
        <v>3</v>
      </c>
      <c r="O2278" s="90">
        <v>0</v>
      </c>
    </row>
    <row r="2279" spans="1:15" s="90" customFormat="1" ht="12.75" customHeight="1" x14ac:dyDescent="0.2">
      <c r="A2279" s="247" t="s">
        <v>1427</v>
      </c>
      <c r="B2279" s="316">
        <v>3046</v>
      </c>
      <c r="C2279" s="247" t="s">
        <v>975</v>
      </c>
      <c r="D2279" s="317">
        <v>42670</v>
      </c>
      <c r="E2279" s="318">
        <v>0.30128472222222219</v>
      </c>
      <c r="F2279" s="247" t="s">
        <v>976</v>
      </c>
      <c r="G2279" s="247" t="s">
        <v>1035</v>
      </c>
      <c r="H2279" s="248" t="s">
        <v>404</v>
      </c>
      <c r="I2279" s="248" t="s">
        <v>404</v>
      </c>
      <c r="J2279" s="247" t="s">
        <v>809</v>
      </c>
      <c r="K2279" s="249">
        <v>0</v>
      </c>
      <c r="M2279" s="90">
        <v>0</v>
      </c>
      <c r="N2279" s="90">
        <v>0</v>
      </c>
      <c r="O2279" s="90">
        <v>255</v>
      </c>
    </row>
    <row r="2280" spans="1:15" s="90" customFormat="1" ht="12.75" customHeight="1" x14ac:dyDescent="0.2">
      <c r="A2280" s="247" t="s">
        <v>1428</v>
      </c>
      <c r="B2280" s="316">
        <v>3046</v>
      </c>
      <c r="C2280" s="247" t="s">
        <v>975</v>
      </c>
      <c r="D2280" s="317">
        <v>42670</v>
      </c>
      <c r="E2280" s="318">
        <v>0.30153935185185182</v>
      </c>
      <c r="F2280" s="247" t="s">
        <v>976</v>
      </c>
      <c r="G2280" s="247" t="s">
        <v>1035</v>
      </c>
      <c r="H2280" s="248" t="s">
        <v>404</v>
      </c>
      <c r="I2280" s="248" t="s">
        <v>404</v>
      </c>
      <c r="J2280" s="247" t="s">
        <v>809</v>
      </c>
      <c r="K2280" s="249">
        <v>0</v>
      </c>
      <c r="M2280" s="90">
        <v>0</v>
      </c>
      <c r="N2280" s="90">
        <v>0</v>
      </c>
      <c r="O2280" s="90">
        <v>255</v>
      </c>
    </row>
    <row r="2281" spans="1:15" s="90" customFormat="1" ht="12.75" customHeight="1" x14ac:dyDescent="0.2">
      <c r="A2281" s="247" t="s">
        <v>988</v>
      </c>
      <c r="B2281" s="316">
        <v>3046</v>
      </c>
      <c r="C2281" s="247" t="s">
        <v>975</v>
      </c>
      <c r="D2281" s="317">
        <v>42670</v>
      </c>
      <c r="E2281" s="318">
        <v>0.30212962962962964</v>
      </c>
      <c r="F2281" s="247" t="s">
        <v>976</v>
      </c>
      <c r="G2281" s="247" t="s">
        <v>1035</v>
      </c>
      <c r="H2281" s="248" t="s">
        <v>404</v>
      </c>
      <c r="I2281" s="248" t="s">
        <v>404</v>
      </c>
      <c r="J2281" s="247" t="s">
        <v>809</v>
      </c>
      <c r="K2281" s="249">
        <v>0</v>
      </c>
      <c r="M2281" s="90">
        <v>0</v>
      </c>
      <c r="N2281" s="90">
        <v>0</v>
      </c>
      <c r="O2281" s="90">
        <v>255</v>
      </c>
    </row>
    <row r="2282" spans="1:15" s="90" customFormat="1" ht="12.75" customHeight="1" x14ac:dyDescent="0.2">
      <c r="A2282" s="247" t="s">
        <v>989</v>
      </c>
      <c r="B2282" s="316">
        <v>3046</v>
      </c>
      <c r="C2282" s="247" t="s">
        <v>975</v>
      </c>
      <c r="D2282" s="317">
        <v>42670</v>
      </c>
      <c r="E2282" s="318">
        <v>0.30212962962962964</v>
      </c>
      <c r="F2282" s="247" t="s">
        <v>976</v>
      </c>
      <c r="G2282" s="247" t="s">
        <v>1035</v>
      </c>
      <c r="H2282" s="248" t="s">
        <v>404</v>
      </c>
      <c r="I2282" s="248" t="s">
        <v>404</v>
      </c>
      <c r="J2282" s="247" t="s">
        <v>809</v>
      </c>
      <c r="K2282" s="249">
        <v>0</v>
      </c>
      <c r="M2282" s="90">
        <v>0</v>
      </c>
      <c r="N2282" s="90">
        <v>0</v>
      </c>
      <c r="O2282" s="90">
        <v>255</v>
      </c>
    </row>
    <row r="2283" spans="1:15" s="90" customFormat="1" ht="12.75" customHeight="1" x14ac:dyDescent="0.2">
      <c r="A2283" s="247" t="s">
        <v>613</v>
      </c>
      <c r="B2283" s="316">
        <v>4035</v>
      </c>
      <c r="C2283" s="247" t="s">
        <v>996</v>
      </c>
      <c r="D2283" s="317">
        <v>42670</v>
      </c>
      <c r="E2283" s="318">
        <v>0.30224537037037036</v>
      </c>
      <c r="F2283" s="247" t="s">
        <v>702</v>
      </c>
      <c r="G2283" s="247" t="s">
        <v>1035</v>
      </c>
      <c r="H2283" s="248" t="s">
        <v>860</v>
      </c>
      <c r="I2283" s="248" t="s">
        <v>40</v>
      </c>
      <c r="J2283" s="247" t="s">
        <v>809</v>
      </c>
      <c r="K2283" s="249">
        <v>0</v>
      </c>
      <c r="L2283" s="90" t="s">
        <v>1775</v>
      </c>
      <c r="M2283" s="90">
        <v>258</v>
      </c>
      <c r="N2283" s="90">
        <v>1</v>
      </c>
      <c r="O2283" s="90">
        <v>0</v>
      </c>
    </row>
    <row r="2284" spans="1:15" s="90" customFormat="1" ht="12.75" customHeight="1" x14ac:dyDescent="0.2">
      <c r="A2284" s="247" t="s">
        <v>990</v>
      </c>
      <c r="B2284" s="316">
        <v>3046</v>
      </c>
      <c r="C2284" s="247" t="s">
        <v>975</v>
      </c>
      <c r="D2284" s="317">
        <v>42670</v>
      </c>
      <c r="E2284" s="318">
        <v>0.30298611111111112</v>
      </c>
      <c r="F2284" s="247" t="s">
        <v>976</v>
      </c>
      <c r="G2284" s="247" t="s">
        <v>1035</v>
      </c>
      <c r="H2284" s="248" t="s">
        <v>404</v>
      </c>
      <c r="I2284" s="248" t="s">
        <v>404</v>
      </c>
      <c r="J2284" s="247" t="s">
        <v>809</v>
      </c>
      <c r="K2284" s="249">
        <v>0</v>
      </c>
      <c r="M2284" s="90">
        <v>0</v>
      </c>
      <c r="N2284" s="90">
        <v>0</v>
      </c>
      <c r="O2284" s="90">
        <v>255</v>
      </c>
    </row>
    <row r="2285" spans="1:15" s="90" customFormat="1" ht="12.75" customHeight="1" x14ac:dyDescent="0.2">
      <c r="A2285" s="247" t="s">
        <v>989</v>
      </c>
      <c r="B2285" s="316">
        <v>3046</v>
      </c>
      <c r="C2285" s="247" t="s">
        <v>975</v>
      </c>
      <c r="D2285" s="317">
        <v>42670</v>
      </c>
      <c r="E2285" s="318">
        <v>0.30375000000000002</v>
      </c>
      <c r="F2285" s="247" t="s">
        <v>976</v>
      </c>
      <c r="G2285" s="247" t="s">
        <v>1035</v>
      </c>
      <c r="H2285" s="248" t="s">
        <v>404</v>
      </c>
      <c r="I2285" s="248" t="s">
        <v>404</v>
      </c>
      <c r="J2285" s="247" t="s">
        <v>809</v>
      </c>
      <c r="K2285" s="249">
        <v>0</v>
      </c>
      <c r="M2285" s="90">
        <v>0</v>
      </c>
      <c r="N2285" s="90">
        <v>0</v>
      </c>
      <c r="O2285" s="90">
        <v>255</v>
      </c>
    </row>
    <row r="2286" spans="1:15" s="90" customFormat="1" ht="12.75" customHeight="1" x14ac:dyDescent="0.2">
      <c r="A2286" s="247" t="s">
        <v>990</v>
      </c>
      <c r="B2286" s="316">
        <v>3046</v>
      </c>
      <c r="C2286" s="247" t="s">
        <v>975</v>
      </c>
      <c r="D2286" s="317">
        <v>42670</v>
      </c>
      <c r="E2286" s="318">
        <v>0.30711805555555555</v>
      </c>
      <c r="F2286" s="247" t="s">
        <v>976</v>
      </c>
      <c r="G2286" s="247" t="s">
        <v>1035</v>
      </c>
      <c r="H2286" s="248" t="s">
        <v>404</v>
      </c>
      <c r="I2286" s="248" t="s">
        <v>404</v>
      </c>
      <c r="J2286" s="247" t="s">
        <v>809</v>
      </c>
      <c r="K2286" s="249">
        <v>0</v>
      </c>
      <c r="M2286" s="90">
        <v>0</v>
      </c>
      <c r="N2286" s="90">
        <v>0</v>
      </c>
      <c r="O2286" s="90">
        <v>255</v>
      </c>
    </row>
    <row r="2287" spans="1:15" s="90" customFormat="1" ht="12.75" customHeight="1" x14ac:dyDescent="0.2">
      <c r="A2287" s="247" t="s">
        <v>1027</v>
      </c>
      <c r="B2287" s="316">
        <v>3051</v>
      </c>
      <c r="C2287" s="247" t="s">
        <v>975</v>
      </c>
      <c r="D2287" s="317">
        <v>42670</v>
      </c>
      <c r="E2287" s="318">
        <v>0.30711805555555555</v>
      </c>
      <c r="F2287" s="247" t="s">
        <v>235</v>
      </c>
      <c r="G2287" s="247" t="s">
        <v>1035</v>
      </c>
      <c r="H2287" s="248" t="s">
        <v>234</v>
      </c>
      <c r="I2287" s="248" t="s">
        <v>235</v>
      </c>
      <c r="J2287" s="247" t="s">
        <v>809</v>
      </c>
      <c r="K2287" s="249">
        <v>0</v>
      </c>
      <c r="M2287" s="90">
        <v>0</v>
      </c>
      <c r="N2287" s="90">
        <v>0</v>
      </c>
      <c r="O2287" s="90">
        <v>255</v>
      </c>
    </row>
    <row r="2288" spans="1:15" s="90" customFormat="1" ht="12.75" customHeight="1" x14ac:dyDescent="0.2">
      <c r="A2288" s="247" t="s">
        <v>1028</v>
      </c>
      <c r="B2288" s="316">
        <v>3051</v>
      </c>
      <c r="C2288" s="247" t="s">
        <v>975</v>
      </c>
      <c r="D2288" s="317">
        <v>42670</v>
      </c>
      <c r="E2288" s="318">
        <v>0.30711805555555555</v>
      </c>
      <c r="F2288" s="247" t="s">
        <v>235</v>
      </c>
      <c r="G2288" s="247" t="s">
        <v>1035</v>
      </c>
      <c r="H2288" s="248" t="s">
        <v>234</v>
      </c>
      <c r="I2288" s="248" t="s">
        <v>235</v>
      </c>
      <c r="J2288" s="247" t="s">
        <v>809</v>
      </c>
      <c r="K2288" s="249">
        <v>0</v>
      </c>
      <c r="M2288" s="90">
        <v>0</v>
      </c>
      <c r="N2288" s="90">
        <v>0</v>
      </c>
      <c r="O2288" s="90">
        <v>255</v>
      </c>
    </row>
    <row r="2289" spans="1:15" s="90" customFormat="1" ht="12.75" customHeight="1" x14ac:dyDescent="0.2">
      <c r="A2289" s="247" t="s">
        <v>1026</v>
      </c>
      <c r="B2289" s="316">
        <v>3216</v>
      </c>
      <c r="C2289" s="247" t="s">
        <v>975</v>
      </c>
      <c r="D2289" s="317">
        <v>42670</v>
      </c>
      <c r="E2289" s="318">
        <v>0.30711805555555555</v>
      </c>
      <c r="F2289" s="247" t="s">
        <v>235</v>
      </c>
      <c r="G2289" s="247" t="s">
        <v>1035</v>
      </c>
      <c r="H2289" s="248" t="s">
        <v>234</v>
      </c>
      <c r="I2289" s="248" t="s">
        <v>235</v>
      </c>
      <c r="J2289" s="247" t="s">
        <v>809</v>
      </c>
      <c r="K2289" s="249">
        <v>0</v>
      </c>
      <c r="M2289" s="90">
        <v>0</v>
      </c>
      <c r="N2289" s="90">
        <v>0</v>
      </c>
      <c r="O2289" s="90">
        <v>255</v>
      </c>
    </row>
    <row r="2290" spans="1:15" s="90" customFormat="1" ht="12.75" customHeight="1" x14ac:dyDescent="0.2">
      <c r="A2290" s="247" t="s">
        <v>989</v>
      </c>
      <c r="B2290" s="316">
        <v>3046</v>
      </c>
      <c r="C2290" s="247" t="s">
        <v>975</v>
      </c>
      <c r="D2290" s="317">
        <v>42670</v>
      </c>
      <c r="E2290" s="318">
        <v>0.31028935185185186</v>
      </c>
      <c r="F2290" s="247" t="s">
        <v>976</v>
      </c>
      <c r="G2290" s="247" t="s">
        <v>1035</v>
      </c>
      <c r="H2290" s="248" t="s">
        <v>404</v>
      </c>
      <c r="I2290" s="248" t="s">
        <v>404</v>
      </c>
      <c r="J2290" s="247" t="s">
        <v>809</v>
      </c>
      <c r="K2290" s="249">
        <v>0</v>
      </c>
      <c r="M2290" s="90">
        <v>0</v>
      </c>
      <c r="N2290" s="90">
        <v>0</v>
      </c>
      <c r="O2290" s="90">
        <v>255</v>
      </c>
    </row>
    <row r="2291" spans="1:15" s="90" customFormat="1" ht="12.75" customHeight="1" x14ac:dyDescent="0.2">
      <c r="A2291" s="247" t="s">
        <v>990</v>
      </c>
      <c r="B2291" s="316">
        <v>3046</v>
      </c>
      <c r="C2291" s="247" t="s">
        <v>975</v>
      </c>
      <c r="D2291" s="317">
        <v>42670</v>
      </c>
      <c r="E2291" s="318">
        <v>0.31032407407407409</v>
      </c>
      <c r="F2291" s="247" t="s">
        <v>976</v>
      </c>
      <c r="G2291" s="247" t="s">
        <v>1035</v>
      </c>
      <c r="H2291" s="248" t="s">
        <v>404</v>
      </c>
      <c r="I2291" s="248" t="s">
        <v>404</v>
      </c>
      <c r="J2291" s="247" t="s">
        <v>809</v>
      </c>
      <c r="K2291" s="249">
        <v>0</v>
      </c>
      <c r="M2291" s="90">
        <v>0</v>
      </c>
      <c r="N2291" s="90">
        <v>0</v>
      </c>
      <c r="O2291" s="90">
        <v>255</v>
      </c>
    </row>
    <row r="2292" spans="1:15" s="90" customFormat="1" ht="12.75" customHeight="1" x14ac:dyDescent="0.2">
      <c r="A2292" s="247" t="s">
        <v>1005</v>
      </c>
      <c r="B2292" s="316">
        <v>3051</v>
      </c>
      <c r="C2292" s="247" t="s">
        <v>975</v>
      </c>
      <c r="D2292" s="317">
        <v>42670</v>
      </c>
      <c r="E2292" s="318">
        <v>0.31032407407407409</v>
      </c>
      <c r="F2292" s="247" t="s">
        <v>235</v>
      </c>
      <c r="G2292" s="247" t="s">
        <v>1035</v>
      </c>
      <c r="H2292" s="248" t="s">
        <v>234</v>
      </c>
      <c r="I2292" s="248" t="s">
        <v>235</v>
      </c>
      <c r="J2292" s="247" t="s">
        <v>809</v>
      </c>
      <c r="K2292" s="249">
        <v>0</v>
      </c>
      <c r="M2292" s="90">
        <v>0</v>
      </c>
      <c r="N2292" s="90">
        <v>0</v>
      </c>
      <c r="O2292" s="90">
        <v>255</v>
      </c>
    </row>
    <row r="2293" spans="1:15" s="90" customFormat="1" ht="12.75" customHeight="1" x14ac:dyDescent="0.2">
      <c r="A2293" s="247" t="s">
        <v>1066</v>
      </c>
      <c r="B2293" s="316">
        <v>3052</v>
      </c>
      <c r="C2293" s="247" t="s">
        <v>975</v>
      </c>
      <c r="D2293" s="317">
        <v>42670</v>
      </c>
      <c r="E2293" s="318">
        <v>0.31032407407407409</v>
      </c>
      <c r="F2293" s="247" t="s">
        <v>235</v>
      </c>
      <c r="G2293" s="247" t="s">
        <v>1035</v>
      </c>
      <c r="H2293" s="248" t="s">
        <v>234</v>
      </c>
      <c r="I2293" s="248" t="s">
        <v>235</v>
      </c>
      <c r="J2293" s="247" t="s">
        <v>809</v>
      </c>
      <c r="K2293" s="249">
        <v>0</v>
      </c>
      <c r="M2293" s="90">
        <v>0</v>
      </c>
      <c r="N2293" s="90">
        <v>0</v>
      </c>
      <c r="O2293" s="90">
        <v>255</v>
      </c>
    </row>
    <row r="2294" spans="1:15" s="90" customFormat="1" ht="12.75" customHeight="1" x14ac:dyDescent="0.2">
      <c r="A2294" s="247" t="s">
        <v>989</v>
      </c>
      <c r="B2294" s="316">
        <v>3046</v>
      </c>
      <c r="C2294" s="247" t="s">
        <v>975</v>
      </c>
      <c r="D2294" s="317">
        <v>42670</v>
      </c>
      <c r="E2294" s="318">
        <v>0.31034722222222222</v>
      </c>
      <c r="F2294" s="247" t="s">
        <v>976</v>
      </c>
      <c r="G2294" s="247" t="s">
        <v>1035</v>
      </c>
      <c r="H2294" s="248" t="s">
        <v>404</v>
      </c>
      <c r="I2294" s="248" t="s">
        <v>404</v>
      </c>
      <c r="J2294" s="247" t="s">
        <v>809</v>
      </c>
      <c r="K2294" s="249">
        <v>0</v>
      </c>
      <c r="M2294" s="90">
        <v>0</v>
      </c>
      <c r="N2294" s="90">
        <v>0</v>
      </c>
      <c r="O2294" s="90">
        <v>255</v>
      </c>
    </row>
    <row r="2295" spans="1:15" s="90" customFormat="1" ht="12.75" customHeight="1" x14ac:dyDescent="0.2">
      <c r="A2295" s="247" t="s">
        <v>990</v>
      </c>
      <c r="B2295" s="316">
        <v>3046</v>
      </c>
      <c r="C2295" s="247" t="s">
        <v>975</v>
      </c>
      <c r="D2295" s="317">
        <v>42670</v>
      </c>
      <c r="E2295" s="318">
        <v>0.31037037037037035</v>
      </c>
      <c r="F2295" s="247" t="s">
        <v>976</v>
      </c>
      <c r="G2295" s="247" t="s">
        <v>1035</v>
      </c>
      <c r="H2295" s="248" t="s">
        <v>404</v>
      </c>
      <c r="I2295" s="248" t="s">
        <v>404</v>
      </c>
      <c r="J2295" s="247" t="s">
        <v>809</v>
      </c>
      <c r="K2295" s="249">
        <v>0</v>
      </c>
      <c r="M2295" s="90">
        <v>0</v>
      </c>
      <c r="N2295" s="90">
        <v>0</v>
      </c>
      <c r="O2295" s="90">
        <v>255</v>
      </c>
    </row>
    <row r="2296" spans="1:15" s="90" customFormat="1" ht="12.75" customHeight="1" x14ac:dyDescent="0.2">
      <c r="A2296" s="247" t="s">
        <v>1010</v>
      </c>
      <c r="B2296" s="316">
        <v>3051</v>
      </c>
      <c r="C2296" s="247" t="s">
        <v>975</v>
      </c>
      <c r="D2296" s="317">
        <v>42670</v>
      </c>
      <c r="E2296" s="318">
        <v>0.31037037037037035</v>
      </c>
      <c r="F2296" s="247" t="s">
        <v>235</v>
      </c>
      <c r="G2296" s="247" t="s">
        <v>1035</v>
      </c>
      <c r="H2296" s="248" t="s">
        <v>234</v>
      </c>
      <c r="I2296" s="248" t="s">
        <v>235</v>
      </c>
      <c r="J2296" s="247" t="s">
        <v>809</v>
      </c>
      <c r="K2296" s="249">
        <v>0</v>
      </c>
      <c r="M2296" s="90">
        <v>0</v>
      </c>
      <c r="N2296" s="90">
        <v>0</v>
      </c>
      <c r="O2296" s="90">
        <v>255</v>
      </c>
    </row>
    <row r="2297" spans="1:15" s="90" customFormat="1" ht="12.75" customHeight="1" x14ac:dyDescent="0.2">
      <c r="A2297" s="247" t="s">
        <v>1009</v>
      </c>
      <c r="B2297" s="316">
        <v>3052</v>
      </c>
      <c r="C2297" s="247" t="s">
        <v>975</v>
      </c>
      <c r="D2297" s="317">
        <v>42670</v>
      </c>
      <c r="E2297" s="318">
        <v>0.31037037037037035</v>
      </c>
      <c r="F2297" s="247" t="s">
        <v>235</v>
      </c>
      <c r="G2297" s="247" t="s">
        <v>1035</v>
      </c>
      <c r="H2297" s="248" t="s">
        <v>234</v>
      </c>
      <c r="I2297" s="248" t="s">
        <v>235</v>
      </c>
      <c r="J2297" s="247" t="s">
        <v>809</v>
      </c>
      <c r="K2297" s="249">
        <v>0</v>
      </c>
      <c r="M2297" s="90">
        <v>0</v>
      </c>
      <c r="N2297" s="90">
        <v>0</v>
      </c>
      <c r="O2297" s="90">
        <v>255</v>
      </c>
    </row>
    <row r="2298" spans="1:15" s="90" customFormat="1" ht="12.75" customHeight="1" x14ac:dyDescent="0.2">
      <c r="A2298" s="247" t="s">
        <v>989</v>
      </c>
      <c r="B2298" s="316">
        <v>3046</v>
      </c>
      <c r="C2298" s="247" t="s">
        <v>975</v>
      </c>
      <c r="D2298" s="317">
        <v>42670</v>
      </c>
      <c r="E2298" s="318">
        <v>0.31041666666666667</v>
      </c>
      <c r="F2298" s="247" t="s">
        <v>976</v>
      </c>
      <c r="G2298" s="247" t="s">
        <v>1035</v>
      </c>
      <c r="H2298" s="248" t="s">
        <v>404</v>
      </c>
      <c r="I2298" s="248" t="s">
        <v>404</v>
      </c>
      <c r="J2298" s="247" t="s">
        <v>809</v>
      </c>
      <c r="K2298" s="249">
        <v>0</v>
      </c>
      <c r="M2298" s="90">
        <v>0</v>
      </c>
      <c r="N2298" s="90">
        <v>0</v>
      </c>
      <c r="O2298" s="90">
        <v>255</v>
      </c>
    </row>
    <row r="2299" spans="1:15" s="90" customFormat="1" ht="12.75" customHeight="1" x14ac:dyDescent="0.2">
      <c r="A2299" s="247" t="s">
        <v>990</v>
      </c>
      <c r="B2299" s="316">
        <v>3046</v>
      </c>
      <c r="C2299" s="247" t="s">
        <v>975</v>
      </c>
      <c r="D2299" s="317">
        <v>42670</v>
      </c>
      <c r="E2299" s="318">
        <v>0.31043981481481481</v>
      </c>
      <c r="F2299" s="247" t="s">
        <v>976</v>
      </c>
      <c r="G2299" s="247" t="s">
        <v>1035</v>
      </c>
      <c r="H2299" s="248" t="s">
        <v>404</v>
      </c>
      <c r="I2299" s="248" t="s">
        <v>404</v>
      </c>
      <c r="J2299" s="247" t="s">
        <v>809</v>
      </c>
      <c r="K2299" s="249">
        <v>0</v>
      </c>
      <c r="M2299" s="90">
        <v>0</v>
      </c>
      <c r="N2299" s="90">
        <v>0</v>
      </c>
      <c r="O2299" s="90">
        <v>255</v>
      </c>
    </row>
    <row r="2300" spans="1:15" s="90" customFormat="1" ht="12.75" customHeight="1" x14ac:dyDescent="0.2">
      <c r="A2300" s="247" t="s">
        <v>1006</v>
      </c>
      <c r="B2300" s="316">
        <v>3051</v>
      </c>
      <c r="C2300" s="247" t="s">
        <v>975</v>
      </c>
      <c r="D2300" s="317">
        <v>42670</v>
      </c>
      <c r="E2300" s="318">
        <v>0.31043981481481481</v>
      </c>
      <c r="F2300" s="247" t="s">
        <v>235</v>
      </c>
      <c r="G2300" s="247" t="s">
        <v>1035</v>
      </c>
      <c r="H2300" s="248" t="s">
        <v>234</v>
      </c>
      <c r="I2300" s="248" t="s">
        <v>235</v>
      </c>
      <c r="J2300" s="247" t="s">
        <v>809</v>
      </c>
      <c r="K2300" s="249">
        <v>0</v>
      </c>
      <c r="M2300" s="90">
        <v>0</v>
      </c>
      <c r="N2300" s="90">
        <v>0</v>
      </c>
      <c r="O2300" s="90">
        <v>255</v>
      </c>
    </row>
    <row r="2301" spans="1:15" s="90" customFormat="1" ht="12.75" customHeight="1" x14ac:dyDescent="0.2">
      <c r="A2301" s="247" t="s">
        <v>1065</v>
      </c>
      <c r="B2301" s="316">
        <v>3052</v>
      </c>
      <c r="C2301" s="247" t="s">
        <v>975</v>
      </c>
      <c r="D2301" s="317">
        <v>42670</v>
      </c>
      <c r="E2301" s="318">
        <v>0.31043981481481481</v>
      </c>
      <c r="F2301" s="247" t="s">
        <v>235</v>
      </c>
      <c r="G2301" s="247" t="s">
        <v>1035</v>
      </c>
      <c r="H2301" s="248" t="s">
        <v>234</v>
      </c>
      <c r="I2301" s="248" t="s">
        <v>235</v>
      </c>
      <c r="J2301" s="247" t="s">
        <v>809</v>
      </c>
      <c r="K2301" s="249">
        <v>0</v>
      </c>
      <c r="M2301" s="90">
        <v>0</v>
      </c>
      <c r="N2301" s="90">
        <v>0</v>
      </c>
      <c r="O2301" s="90">
        <v>255</v>
      </c>
    </row>
    <row r="2302" spans="1:15" s="90" customFormat="1" ht="12.75" customHeight="1" x14ac:dyDescent="0.2">
      <c r="A2302" s="247" t="s">
        <v>989</v>
      </c>
      <c r="B2302" s="316">
        <v>3046</v>
      </c>
      <c r="C2302" s="247" t="s">
        <v>975</v>
      </c>
      <c r="D2302" s="317">
        <v>42670</v>
      </c>
      <c r="E2302" s="318">
        <v>0.3105208333333333</v>
      </c>
      <c r="F2302" s="247" t="s">
        <v>976</v>
      </c>
      <c r="G2302" s="247" t="s">
        <v>1035</v>
      </c>
      <c r="H2302" s="248" t="s">
        <v>404</v>
      </c>
      <c r="I2302" s="248" t="s">
        <v>404</v>
      </c>
      <c r="J2302" s="247" t="s">
        <v>809</v>
      </c>
      <c r="K2302" s="249">
        <v>0</v>
      </c>
      <c r="M2302" s="90">
        <v>0</v>
      </c>
      <c r="N2302" s="90">
        <v>0</v>
      </c>
      <c r="O2302" s="90">
        <v>255</v>
      </c>
    </row>
    <row r="2303" spans="1:15" s="90" customFormat="1" ht="12.75" customHeight="1" x14ac:dyDescent="0.2">
      <c r="A2303" s="247" t="s">
        <v>990</v>
      </c>
      <c r="B2303" s="316">
        <v>3046</v>
      </c>
      <c r="C2303" s="247" t="s">
        <v>975</v>
      </c>
      <c r="D2303" s="317">
        <v>42670</v>
      </c>
      <c r="E2303" s="318">
        <v>0.31055555555555553</v>
      </c>
      <c r="F2303" s="247" t="s">
        <v>976</v>
      </c>
      <c r="G2303" s="247" t="s">
        <v>1035</v>
      </c>
      <c r="H2303" s="248" t="s">
        <v>404</v>
      </c>
      <c r="I2303" s="248" t="s">
        <v>404</v>
      </c>
      <c r="J2303" s="247" t="s">
        <v>809</v>
      </c>
      <c r="K2303" s="249">
        <v>0</v>
      </c>
      <c r="M2303" s="90">
        <v>0</v>
      </c>
      <c r="N2303" s="90">
        <v>0</v>
      </c>
      <c r="O2303" s="90">
        <v>255</v>
      </c>
    </row>
    <row r="2304" spans="1:15" s="90" customFormat="1" ht="12.75" customHeight="1" x14ac:dyDescent="0.2">
      <c r="A2304" s="247" t="s">
        <v>1278</v>
      </c>
      <c r="B2304" s="316">
        <v>3052</v>
      </c>
      <c r="C2304" s="247" t="s">
        <v>975</v>
      </c>
      <c r="D2304" s="317">
        <v>42670</v>
      </c>
      <c r="E2304" s="318">
        <v>0.31055555555555553</v>
      </c>
      <c r="F2304" s="247" t="s">
        <v>235</v>
      </c>
      <c r="G2304" s="247" t="s">
        <v>1035</v>
      </c>
      <c r="H2304" s="248" t="s">
        <v>234</v>
      </c>
      <c r="I2304" s="248" t="s">
        <v>235</v>
      </c>
      <c r="J2304" s="247" t="s">
        <v>809</v>
      </c>
      <c r="K2304" s="249">
        <v>0</v>
      </c>
      <c r="M2304" s="90">
        <v>0</v>
      </c>
      <c r="N2304" s="90">
        <v>0</v>
      </c>
      <c r="O2304" s="90">
        <v>255</v>
      </c>
    </row>
    <row r="2305" spans="1:15" s="90" customFormat="1" ht="12.75" customHeight="1" x14ac:dyDescent="0.2">
      <c r="A2305" s="247" t="s">
        <v>989</v>
      </c>
      <c r="B2305" s="316">
        <v>3046</v>
      </c>
      <c r="C2305" s="247" t="s">
        <v>975</v>
      </c>
      <c r="D2305" s="317">
        <v>42670</v>
      </c>
      <c r="E2305" s="318">
        <v>0.35222222222222221</v>
      </c>
      <c r="F2305" s="247" t="s">
        <v>976</v>
      </c>
      <c r="G2305" s="247" t="s">
        <v>1035</v>
      </c>
      <c r="H2305" s="248" t="s">
        <v>404</v>
      </c>
      <c r="I2305" s="248" t="s">
        <v>404</v>
      </c>
      <c r="J2305" s="247" t="s">
        <v>809</v>
      </c>
      <c r="K2305" s="249">
        <v>0</v>
      </c>
      <c r="M2305" s="90">
        <v>0</v>
      </c>
      <c r="N2305" s="90">
        <v>0</v>
      </c>
      <c r="O2305" s="90">
        <v>255</v>
      </c>
    </row>
    <row r="2306" spans="1:15" s="90" customFormat="1" ht="12.75" customHeight="1" x14ac:dyDescent="0.2">
      <c r="A2306" s="247" t="s">
        <v>990</v>
      </c>
      <c r="B2306" s="316">
        <v>3046</v>
      </c>
      <c r="C2306" s="247" t="s">
        <v>975</v>
      </c>
      <c r="D2306" s="317">
        <v>42670</v>
      </c>
      <c r="E2306" s="318">
        <v>0.3524768518518519</v>
      </c>
      <c r="F2306" s="247" t="s">
        <v>976</v>
      </c>
      <c r="G2306" s="247" t="s">
        <v>1035</v>
      </c>
      <c r="H2306" s="248" t="s">
        <v>404</v>
      </c>
      <c r="I2306" s="248" t="s">
        <v>404</v>
      </c>
      <c r="J2306" s="247" t="s">
        <v>809</v>
      </c>
      <c r="K2306" s="249">
        <v>0</v>
      </c>
      <c r="M2306" s="90">
        <v>0</v>
      </c>
      <c r="N2306" s="90">
        <v>0</v>
      </c>
      <c r="O2306" s="90">
        <v>255</v>
      </c>
    </row>
    <row r="2307" spans="1:15" s="90" customFormat="1" ht="12.75" customHeight="1" x14ac:dyDescent="0.2">
      <c r="A2307" s="247" t="s">
        <v>993</v>
      </c>
      <c r="B2307" s="316">
        <v>3217</v>
      </c>
      <c r="C2307" s="247" t="s">
        <v>975</v>
      </c>
      <c r="D2307" s="317">
        <v>42670</v>
      </c>
      <c r="E2307" s="318">
        <v>0.3524768518518519</v>
      </c>
      <c r="F2307" s="247" t="s">
        <v>235</v>
      </c>
      <c r="G2307" s="247" t="s">
        <v>1035</v>
      </c>
      <c r="H2307" s="248" t="s">
        <v>234</v>
      </c>
      <c r="I2307" s="248" t="s">
        <v>235</v>
      </c>
      <c r="J2307" s="247" t="s">
        <v>809</v>
      </c>
      <c r="K2307" s="249">
        <v>0</v>
      </c>
      <c r="M2307" s="90">
        <v>0</v>
      </c>
      <c r="N2307" s="90">
        <v>0</v>
      </c>
      <c r="O2307" s="90">
        <v>255</v>
      </c>
    </row>
    <row r="2308" spans="1:15" s="90" customFormat="1" ht="12.75" customHeight="1" x14ac:dyDescent="0.2">
      <c r="A2308" s="247" t="s">
        <v>1429</v>
      </c>
      <c r="B2308" s="316">
        <v>3013</v>
      </c>
      <c r="C2308" s="247" t="s">
        <v>979</v>
      </c>
      <c r="D2308" s="317">
        <v>42670</v>
      </c>
      <c r="E2308" s="318">
        <v>0.35454861111111113</v>
      </c>
      <c r="F2308" s="247" t="s">
        <v>702</v>
      </c>
      <c r="G2308" s="247" t="s">
        <v>1035</v>
      </c>
      <c r="H2308" s="248" t="s">
        <v>234</v>
      </c>
      <c r="I2308" s="248" t="s">
        <v>702</v>
      </c>
      <c r="J2308" s="247" t="s">
        <v>809</v>
      </c>
      <c r="K2308" s="249">
        <v>0</v>
      </c>
      <c r="M2308" s="90">
        <v>0</v>
      </c>
      <c r="N2308" s="90">
        <v>0</v>
      </c>
      <c r="O2308" s="90">
        <v>255</v>
      </c>
    </row>
    <row r="2309" spans="1:15" s="90" customFormat="1" ht="12.75" customHeight="1" x14ac:dyDescent="0.2">
      <c r="A2309" s="247" t="s">
        <v>1430</v>
      </c>
      <c r="B2309" s="316">
        <v>3013</v>
      </c>
      <c r="C2309" s="247" t="s">
        <v>979</v>
      </c>
      <c r="D2309" s="317">
        <v>42670</v>
      </c>
      <c r="E2309" s="318">
        <v>0.35454861111111113</v>
      </c>
      <c r="F2309" s="247" t="s">
        <v>702</v>
      </c>
      <c r="G2309" s="247" t="s">
        <v>1035</v>
      </c>
      <c r="H2309" s="248" t="s">
        <v>234</v>
      </c>
      <c r="I2309" s="248" t="s">
        <v>702</v>
      </c>
      <c r="J2309" s="247" t="s">
        <v>809</v>
      </c>
      <c r="K2309" s="249">
        <v>0</v>
      </c>
      <c r="M2309" s="90">
        <v>0</v>
      </c>
      <c r="N2309" s="90">
        <v>0</v>
      </c>
      <c r="O2309" s="90">
        <v>255</v>
      </c>
    </row>
    <row r="2310" spans="1:15" s="90" customFormat="1" ht="12.75" customHeight="1" x14ac:dyDescent="0.2">
      <c r="A2310" s="247" t="s">
        <v>1159</v>
      </c>
      <c r="B2310" s="316">
        <v>3218</v>
      </c>
      <c r="C2310" s="247" t="s">
        <v>979</v>
      </c>
      <c r="D2310" s="317">
        <v>42670</v>
      </c>
      <c r="E2310" s="318">
        <v>0.36151620370370369</v>
      </c>
      <c r="F2310" s="247" t="s">
        <v>702</v>
      </c>
      <c r="G2310" s="247" t="s">
        <v>1035</v>
      </c>
      <c r="H2310" s="248"/>
      <c r="I2310" s="248"/>
      <c r="J2310" s="247"/>
      <c r="K2310" s="249"/>
      <c r="M2310" s="90">
        <v>0</v>
      </c>
      <c r="N2310" s="90">
        <v>0</v>
      </c>
      <c r="O2310" s="90">
        <v>255</v>
      </c>
    </row>
    <row r="2311" spans="1:15" s="90" customFormat="1" ht="12.75" customHeight="1" x14ac:dyDescent="0.2">
      <c r="A2311" s="247" t="s">
        <v>1160</v>
      </c>
      <c r="B2311" s="316">
        <v>3218</v>
      </c>
      <c r="C2311" s="247" t="s">
        <v>979</v>
      </c>
      <c r="D2311" s="317">
        <v>42670</v>
      </c>
      <c r="E2311" s="318">
        <v>0.36151620370370369</v>
      </c>
      <c r="F2311" s="247" t="s">
        <v>702</v>
      </c>
      <c r="G2311" s="247" t="s">
        <v>1035</v>
      </c>
      <c r="H2311" s="248"/>
      <c r="I2311" s="248"/>
      <c r="J2311" s="247"/>
      <c r="K2311" s="249"/>
      <c r="M2311" s="90">
        <v>0</v>
      </c>
      <c r="N2311" s="90">
        <v>0</v>
      </c>
      <c r="O2311" s="90">
        <v>255</v>
      </c>
    </row>
    <row r="2312" spans="1:15" s="90" customFormat="1" ht="12.75" customHeight="1" x14ac:dyDescent="0.2">
      <c r="A2312" s="247" t="s">
        <v>1161</v>
      </c>
      <c r="B2312" s="316">
        <v>3218</v>
      </c>
      <c r="C2312" s="247" t="s">
        <v>979</v>
      </c>
      <c r="D2312" s="317">
        <v>42670</v>
      </c>
      <c r="E2312" s="318">
        <v>0.36151620370370369</v>
      </c>
      <c r="F2312" s="247" t="s">
        <v>702</v>
      </c>
      <c r="G2312" s="247" t="s">
        <v>1035</v>
      </c>
      <c r="H2312" s="248"/>
      <c r="I2312" s="248"/>
      <c r="J2312" s="247"/>
      <c r="K2312" s="249"/>
      <c r="M2312" s="90">
        <v>0</v>
      </c>
      <c r="N2312" s="90">
        <v>0</v>
      </c>
      <c r="O2312" s="90">
        <v>255</v>
      </c>
    </row>
    <row r="2313" spans="1:15" s="90" customFormat="1" ht="12.75" customHeight="1" x14ac:dyDescent="0.2">
      <c r="A2313" s="247" t="s">
        <v>1162</v>
      </c>
      <c r="B2313" s="316">
        <v>3218</v>
      </c>
      <c r="C2313" s="247" t="s">
        <v>979</v>
      </c>
      <c r="D2313" s="317">
        <v>42670</v>
      </c>
      <c r="E2313" s="318">
        <v>0.36151620370370369</v>
      </c>
      <c r="F2313" s="247" t="s">
        <v>702</v>
      </c>
      <c r="G2313" s="247" t="s">
        <v>1035</v>
      </c>
      <c r="H2313" s="248"/>
      <c r="I2313" s="248"/>
      <c r="J2313" s="247"/>
      <c r="K2313" s="249"/>
      <c r="M2313" s="90">
        <v>0</v>
      </c>
      <c r="N2313" s="90">
        <v>0</v>
      </c>
      <c r="O2313" s="90">
        <v>255</v>
      </c>
    </row>
    <row r="2314" spans="1:15" s="90" customFormat="1" ht="12.75" customHeight="1" x14ac:dyDescent="0.2">
      <c r="A2314" s="247" t="s">
        <v>1163</v>
      </c>
      <c r="B2314" s="316">
        <v>3218</v>
      </c>
      <c r="C2314" s="247" t="s">
        <v>979</v>
      </c>
      <c r="D2314" s="317">
        <v>42670</v>
      </c>
      <c r="E2314" s="318">
        <v>0.36151620370370369</v>
      </c>
      <c r="F2314" s="247" t="s">
        <v>702</v>
      </c>
      <c r="G2314" s="247" t="s">
        <v>1035</v>
      </c>
      <c r="H2314" s="248"/>
      <c r="I2314" s="248"/>
      <c r="J2314" s="247"/>
      <c r="K2314" s="249"/>
      <c r="M2314" s="90">
        <v>0</v>
      </c>
      <c r="N2314" s="90">
        <v>0</v>
      </c>
      <c r="O2314" s="90">
        <v>255</v>
      </c>
    </row>
    <row r="2315" spans="1:15" s="90" customFormat="1" ht="12.75" customHeight="1" x14ac:dyDescent="0.2">
      <c r="A2315" s="247" t="s">
        <v>1164</v>
      </c>
      <c r="B2315" s="316">
        <v>3218</v>
      </c>
      <c r="C2315" s="247" t="s">
        <v>979</v>
      </c>
      <c r="D2315" s="317">
        <v>42670</v>
      </c>
      <c r="E2315" s="318">
        <v>0.36151620370370369</v>
      </c>
      <c r="F2315" s="247" t="s">
        <v>702</v>
      </c>
      <c r="G2315" s="247" t="s">
        <v>1035</v>
      </c>
      <c r="H2315" s="248"/>
      <c r="I2315" s="248"/>
      <c r="J2315" s="247"/>
      <c r="K2315" s="249"/>
      <c r="M2315" s="90">
        <v>0</v>
      </c>
      <c r="N2315" s="90">
        <v>0</v>
      </c>
      <c r="O2315" s="90">
        <v>255</v>
      </c>
    </row>
    <row r="2316" spans="1:15" s="90" customFormat="1" ht="12.75" customHeight="1" x14ac:dyDescent="0.2">
      <c r="A2316" s="247" t="s">
        <v>1165</v>
      </c>
      <c r="B2316" s="316">
        <v>3218</v>
      </c>
      <c r="C2316" s="247" t="s">
        <v>979</v>
      </c>
      <c r="D2316" s="317">
        <v>42670</v>
      </c>
      <c r="E2316" s="318">
        <v>0.36151620370370369</v>
      </c>
      <c r="F2316" s="247" t="s">
        <v>702</v>
      </c>
      <c r="G2316" s="247" t="s">
        <v>1035</v>
      </c>
      <c r="H2316" s="248"/>
      <c r="I2316" s="248"/>
      <c r="J2316" s="247"/>
      <c r="K2316" s="249"/>
      <c r="M2316" s="90">
        <v>0</v>
      </c>
      <c r="N2316" s="90">
        <v>0</v>
      </c>
      <c r="O2316" s="90">
        <v>255</v>
      </c>
    </row>
    <row r="2317" spans="1:15" s="90" customFormat="1" ht="12.75" customHeight="1" x14ac:dyDescent="0.2">
      <c r="A2317" s="247" t="s">
        <v>1166</v>
      </c>
      <c r="B2317" s="316">
        <v>3218</v>
      </c>
      <c r="C2317" s="247" t="s">
        <v>979</v>
      </c>
      <c r="D2317" s="317">
        <v>42670</v>
      </c>
      <c r="E2317" s="318">
        <v>0.36151620370370369</v>
      </c>
      <c r="F2317" s="247" t="s">
        <v>702</v>
      </c>
      <c r="G2317" s="247" t="s">
        <v>1035</v>
      </c>
      <c r="H2317" s="248"/>
      <c r="I2317" s="248"/>
      <c r="J2317" s="247"/>
      <c r="K2317" s="249"/>
      <c r="M2317" s="90">
        <v>0</v>
      </c>
      <c r="N2317" s="90">
        <v>0</v>
      </c>
      <c r="O2317" s="90">
        <v>255</v>
      </c>
    </row>
    <row r="2318" spans="1:15" s="90" customFormat="1" ht="12.75" customHeight="1" x14ac:dyDescent="0.2">
      <c r="A2318" s="247" t="s">
        <v>1431</v>
      </c>
      <c r="B2318" s="316">
        <v>3218</v>
      </c>
      <c r="C2318" s="247" t="s">
        <v>979</v>
      </c>
      <c r="D2318" s="317">
        <v>42670</v>
      </c>
      <c r="E2318" s="318">
        <v>0.36151620370370369</v>
      </c>
      <c r="F2318" s="247" t="s">
        <v>702</v>
      </c>
      <c r="G2318" s="247" t="s">
        <v>1035</v>
      </c>
      <c r="H2318" s="248"/>
      <c r="I2318" s="248"/>
      <c r="J2318" s="247"/>
      <c r="K2318" s="249"/>
      <c r="M2318" s="90">
        <v>0</v>
      </c>
      <c r="N2318" s="90">
        <v>0</v>
      </c>
      <c r="O2318" s="90">
        <v>255</v>
      </c>
    </row>
    <row r="2319" spans="1:15" s="90" customFormat="1" ht="12.75" customHeight="1" x14ac:dyDescent="0.2">
      <c r="A2319" s="247" t="s">
        <v>1432</v>
      </c>
      <c r="B2319" s="316">
        <v>3218</v>
      </c>
      <c r="C2319" s="247" t="s">
        <v>979</v>
      </c>
      <c r="D2319" s="317">
        <v>42670</v>
      </c>
      <c r="E2319" s="318">
        <v>0.36151620370370369</v>
      </c>
      <c r="F2319" s="247" t="s">
        <v>702</v>
      </c>
      <c r="G2319" s="247" t="s">
        <v>1035</v>
      </c>
      <c r="H2319" s="248"/>
      <c r="I2319" s="248"/>
      <c r="J2319" s="247"/>
      <c r="K2319" s="249"/>
      <c r="M2319" s="90">
        <v>0</v>
      </c>
      <c r="N2319" s="90">
        <v>0</v>
      </c>
      <c r="O2319" s="90">
        <v>255</v>
      </c>
    </row>
    <row r="2320" spans="1:15" s="90" customFormat="1" ht="12.75" customHeight="1" x14ac:dyDescent="0.2">
      <c r="A2320" s="247" t="s">
        <v>1031</v>
      </c>
      <c r="B2320" s="316">
        <v>3046</v>
      </c>
      <c r="C2320" s="247" t="s">
        <v>975</v>
      </c>
      <c r="D2320" s="317">
        <v>42670</v>
      </c>
      <c r="E2320" s="318">
        <v>0.36243055555555559</v>
      </c>
      <c r="F2320" s="247" t="s">
        <v>976</v>
      </c>
      <c r="G2320" s="247" t="s">
        <v>1035</v>
      </c>
      <c r="H2320" s="248" t="s">
        <v>404</v>
      </c>
      <c r="I2320" s="248" t="s">
        <v>404</v>
      </c>
      <c r="J2320" s="247" t="s">
        <v>809</v>
      </c>
      <c r="K2320" s="249">
        <v>0</v>
      </c>
      <c r="M2320" s="90">
        <v>0</v>
      </c>
      <c r="N2320" s="90">
        <v>0</v>
      </c>
      <c r="O2320" s="90">
        <v>255</v>
      </c>
    </row>
    <row r="2321" spans="1:15" s="90" customFormat="1" ht="12.75" customHeight="1" x14ac:dyDescent="0.2">
      <c r="A2321" s="247" t="s">
        <v>1032</v>
      </c>
      <c r="B2321" s="316">
        <v>3046</v>
      </c>
      <c r="C2321" s="247" t="s">
        <v>975</v>
      </c>
      <c r="D2321" s="317">
        <v>42670</v>
      </c>
      <c r="E2321" s="318">
        <v>0.3669675925925926</v>
      </c>
      <c r="F2321" s="247" t="s">
        <v>976</v>
      </c>
      <c r="G2321" s="247" t="s">
        <v>1035</v>
      </c>
      <c r="H2321" s="248" t="s">
        <v>404</v>
      </c>
      <c r="I2321" s="248" t="s">
        <v>404</v>
      </c>
      <c r="J2321" s="247" t="s">
        <v>809</v>
      </c>
      <c r="K2321" s="249">
        <v>0</v>
      </c>
      <c r="M2321" s="90">
        <v>0</v>
      </c>
      <c r="N2321" s="90">
        <v>0</v>
      </c>
      <c r="O2321" s="90">
        <v>255</v>
      </c>
    </row>
    <row r="2322" spans="1:15" s="90" customFormat="1" ht="12.75" customHeight="1" x14ac:dyDescent="0.2">
      <c r="A2322" s="247" t="s">
        <v>989</v>
      </c>
      <c r="B2322" s="316">
        <v>3046</v>
      </c>
      <c r="C2322" s="247" t="s">
        <v>975</v>
      </c>
      <c r="D2322" s="317">
        <v>42670</v>
      </c>
      <c r="E2322" s="318">
        <v>0.3669675925925926</v>
      </c>
      <c r="F2322" s="247" t="s">
        <v>976</v>
      </c>
      <c r="G2322" s="247" t="s">
        <v>1035</v>
      </c>
      <c r="H2322" s="248" t="s">
        <v>404</v>
      </c>
      <c r="I2322" s="248" t="s">
        <v>404</v>
      </c>
      <c r="J2322" s="247" t="s">
        <v>809</v>
      </c>
      <c r="K2322" s="249">
        <v>0</v>
      </c>
      <c r="M2322" s="90">
        <v>0</v>
      </c>
      <c r="N2322" s="90">
        <v>0</v>
      </c>
      <c r="O2322" s="90">
        <v>255</v>
      </c>
    </row>
    <row r="2323" spans="1:15" s="90" customFormat="1" ht="12.75" customHeight="1" x14ac:dyDescent="0.2">
      <c r="A2323" s="247" t="s">
        <v>990</v>
      </c>
      <c r="B2323" s="316">
        <v>3046</v>
      </c>
      <c r="C2323" s="247" t="s">
        <v>975</v>
      </c>
      <c r="D2323" s="317">
        <v>42670</v>
      </c>
      <c r="E2323" s="318">
        <v>0.36729166666666663</v>
      </c>
      <c r="F2323" s="247" t="s">
        <v>976</v>
      </c>
      <c r="G2323" s="247" t="s">
        <v>1035</v>
      </c>
      <c r="H2323" s="248" t="s">
        <v>404</v>
      </c>
      <c r="I2323" s="248" t="s">
        <v>404</v>
      </c>
      <c r="J2323" s="247" t="s">
        <v>809</v>
      </c>
      <c r="K2323" s="249">
        <v>0</v>
      </c>
      <c r="M2323" s="90">
        <v>0</v>
      </c>
      <c r="N2323" s="90">
        <v>0</v>
      </c>
      <c r="O2323" s="90">
        <v>255</v>
      </c>
    </row>
    <row r="2324" spans="1:15" s="90" customFormat="1" ht="12.75" customHeight="1" x14ac:dyDescent="0.2">
      <c r="A2324" s="247" t="s">
        <v>1033</v>
      </c>
      <c r="B2324" s="316">
        <v>3217</v>
      </c>
      <c r="C2324" s="247" t="s">
        <v>975</v>
      </c>
      <c r="D2324" s="317">
        <v>42670</v>
      </c>
      <c r="E2324" s="318">
        <v>0.36729166666666663</v>
      </c>
      <c r="F2324" s="247" t="s">
        <v>235</v>
      </c>
      <c r="G2324" s="247" t="s">
        <v>1035</v>
      </c>
      <c r="H2324" s="248" t="s">
        <v>234</v>
      </c>
      <c r="I2324" s="248" t="s">
        <v>235</v>
      </c>
      <c r="J2324" s="247" t="s">
        <v>809</v>
      </c>
      <c r="K2324" s="249">
        <v>0</v>
      </c>
      <c r="M2324" s="90">
        <v>0</v>
      </c>
      <c r="N2324" s="90">
        <v>0</v>
      </c>
      <c r="O2324" s="90">
        <v>255</v>
      </c>
    </row>
    <row r="2325" spans="1:15" s="90" customFormat="1" ht="12.75" customHeight="1" x14ac:dyDescent="0.2">
      <c r="A2325" s="247" t="s">
        <v>1031</v>
      </c>
      <c r="B2325" s="316">
        <v>3046</v>
      </c>
      <c r="C2325" s="247" t="s">
        <v>975</v>
      </c>
      <c r="D2325" s="317">
        <v>42670</v>
      </c>
      <c r="E2325" s="318">
        <v>0.37035879629629626</v>
      </c>
      <c r="F2325" s="247" t="s">
        <v>976</v>
      </c>
      <c r="G2325" s="247" t="s">
        <v>1035</v>
      </c>
      <c r="H2325" s="248" t="s">
        <v>404</v>
      </c>
      <c r="I2325" s="248" t="s">
        <v>404</v>
      </c>
      <c r="J2325" s="247" t="s">
        <v>809</v>
      </c>
      <c r="K2325" s="249">
        <v>0</v>
      </c>
      <c r="M2325" s="90">
        <v>0</v>
      </c>
      <c r="N2325" s="90">
        <v>0</v>
      </c>
      <c r="O2325" s="90">
        <v>255</v>
      </c>
    </row>
    <row r="2326" spans="1:15" s="90" customFormat="1" ht="12.75" customHeight="1" x14ac:dyDescent="0.2">
      <c r="A2326" s="247" t="s">
        <v>1032</v>
      </c>
      <c r="B2326" s="316">
        <v>3046</v>
      </c>
      <c r="C2326" s="247" t="s">
        <v>975</v>
      </c>
      <c r="D2326" s="317">
        <v>42670</v>
      </c>
      <c r="E2326" s="318">
        <v>0.37486111111111109</v>
      </c>
      <c r="F2326" s="247" t="s">
        <v>976</v>
      </c>
      <c r="G2326" s="247" t="s">
        <v>1035</v>
      </c>
      <c r="H2326" s="248" t="s">
        <v>404</v>
      </c>
      <c r="I2326" s="248" t="s">
        <v>404</v>
      </c>
      <c r="J2326" s="247" t="s">
        <v>809</v>
      </c>
      <c r="K2326" s="249">
        <v>0</v>
      </c>
      <c r="M2326" s="90">
        <v>0</v>
      </c>
      <c r="N2326" s="90">
        <v>0</v>
      </c>
      <c r="O2326" s="90">
        <v>255</v>
      </c>
    </row>
    <row r="2327" spans="1:15" s="90" customFormat="1" ht="12.75" customHeight="1" x14ac:dyDescent="0.2">
      <c r="A2327" s="247" t="s">
        <v>989</v>
      </c>
      <c r="B2327" s="316">
        <v>3046</v>
      </c>
      <c r="C2327" s="247" t="s">
        <v>975</v>
      </c>
      <c r="D2327" s="317">
        <v>42670</v>
      </c>
      <c r="E2327" s="318">
        <v>0.37486111111111109</v>
      </c>
      <c r="F2327" s="247" t="s">
        <v>976</v>
      </c>
      <c r="G2327" s="247" t="s">
        <v>1035</v>
      </c>
      <c r="H2327" s="248" t="s">
        <v>404</v>
      </c>
      <c r="I2327" s="248" t="s">
        <v>404</v>
      </c>
      <c r="J2327" s="247" t="s">
        <v>809</v>
      </c>
      <c r="K2327" s="249">
        <v>0</v>
      </c>
      <c r="M2327" s="90">
        <v>0</v>
      </c>
      <c r="N2327" s="90">
        <v>0</v>
      </c>
      <c r="O2327" s="90">
        <v>255</v>
      </c>
    </row>
    <row r="2328" spans="1:15" s="90" customFormat="1" ht="12.75" customHeight="1" x14ac:dyDescent="0.2">
      <c r="A2328" s="247" t="s">
        <v>990</v>
      </c>
      <c r="B2328" s="316">
        <v>3046</v>
      </c>
      <c r="C2328" s="247" t="s">
        <v>975</v>
      </c>
      <c r="D2328" s="317">
        <v>42670</v>
      </c>
      <c r="E2328" s="318">
        <v>0.37519675925925927</v>
      </c>
      <c r="F2328" s="247" t="s">
        <v>976</v>
      </c>
      <c r="G2328" s="247" t="s">
        <v>1035</v>
      </c>
      <c r="H2328" s="248" t="s">
        <v>404</v>
      </c>
      <c r="I2328" s="248" t="s">
        <v>404</v>
      </c>
      <c r="J2328" s="247" t="s">
        <v>809</v>
      </c>
      <c r="K2328" s="249">
        <v>0</v>
      </c>
      <c r="M2328" s="90">
        <v>0</v>
      </c>
      <c r="N2328" s="90">
        <v>0</v>
      </c>
      <c r="O2328" s="90">
        <v>255</v>
      </c>
    </row>
    <row r="2329" spans="1:15" s="90" customFormat="1" ht="12.75" customHeight="1" x14ac:dyDescent="0.2">
      <c r="A2329" s="247" t="s">
        <v>1033</v>
      </c>
      <c r="B2329" s="316">
        <v>3217</v>
      </c>
      <c r="C2329" s="247" t="s">
        <v>975</v>
      </c>
      <c r="D2329" s="317">
        <v>42670</v>
      </c>
      <c r="E2329" s="318">
        <v>0.37519675925925927</v>
      </c>
      <c r="F2329" s="247" t="s">
        <v>235</v>
      </c>
      <c r="G2329" s="247" t="s">
        <v>1035</v>
      </c>
      <c r="H2329" s="248" t="s">
        <v>234</v>
      </c>
      <c r="I2329" s="248" t="s">
        <v>235</v>
      </c>
      <c r="J2329" s="247" t="s">
        <v>809</v>
      </c>
      <c r="K2329" s="249">
        <v>0</v>
      </c>
      <c r="M2329" s="90">
        <v>0</v>
      </c>
      <c r="N2329" s="90">
        <v>0</v>
      </c>
      <c r="O2329" s="90">
        <v>255</v>
      </c>
    </row>
    <row r="2330" spans="1:15" s="90" customFormat="1" ht="12.75" customHeight="1" x14ac:dyDescent="0.2">
      <c r="A2330" s="247" t="s">
        <v>989</v>
      </c>
      <c r="B2330" s="316">
        <v>3046</v>
      </c>
      <c r="C2330" s="247" t="s">
        <v>975</v>
      </c>
      <c r="D2330" s="317">
        <v>42670</v>
      </c>
      <c r="E2330" s="318">
        <v>0.4168634259259259</v>
      </c>
      <c r="F2330" s="247" t="s">
        <v>976</v>
      </c>
      <c r="G2330" s="247" t="s">
        <v>1035</v>
      </c>
      <c r="H2330" s="248" t="s">
        <v>404</v>
      </c>
      <c r="I2330" s="248" t="s">
        <v>404</v>
      </c>
      <c r="J2330" s="247" t="s">
        <v>809</v>
      </c>
      <c r="K2330" s="249">
        <v>0</v>
      </c>
      <c r="M2330" s="90">
        <v>0</v>
      </c>
      <c r="N2330" s="90">
        <v>0</v>
      </c>
      <c r="O2330" s="90">
        <v>255</v>
      </c>
    </row>
    <row r="2331" spans="1:15" s="90" customFormat="1" ht="12.75" customHeight="1" x14ac:dyDescent="0.2">
      <c r="A2331" s="247" t="s">
        <v>990</v>
      </c>
      <c r="B2331" s="316">
        <v>3046</v>
      </c>
      <c r="C2331" s="247" t="s">
        <v>975</v>
      </c>
      <c r="D2331" s="317">
        <v>42670</v>
      </c>
      <c r="E2331" s="318">
        <v>0.41711805555555559</v>
      </c>
      <c r="F2331" s="247" t="s">
        <v>976</v>
      </c>
      <c r="G2331" s="247" t="s">
        <v>1035</v>
      </c>
      <c r="H2331" s="248" t="s">
        <v>404</v>
      </c>
      <c r="I2331" s="248" t="s">
        <v>404</v>
      </c>
      <c r="J2331" s="247" t="s">
        <v>809</v>
      </c>
      <c r="K2331" s="249">
        <v>0</v>
      </c>
      <c r="M2331" s="90">
        <v>0</v>
      </c>
      <c r="N2331" s="90">
        <v>0</v>
      </c>
      <c r="O2331" s="90">
        <v>255</v>
      </c>
    </row>
    <row r="2332" spans="1:15" s="90" customFormat="1" ht="12.75" customHeight="1" x14ac:dyDescent="0.2">
      <c r="A2332" s="247" t="s">
        <v>993</v>
      </c>
      <c r="B2332" s="316">
        <v>3217</v>
      </c>
      <c r="C2332" s="247" t="s">
        <v>975</v>
      </c>
      <c r="D2332" s="317">
        <v>42670</v>
      </c>
      <c r="E2332" s="318">
        <v>0.41711805555555559</v>
      </c>
      <c r="F2332" s="247" t="s">
        <v>235</v>
      </c>
      <c r="G2332" s="247" t="s">
        <v>1035</v>
      </c>
      <c r="H2332" s="248" t="s">
        <v>234</v>
      </c>
      <c r="I2332" s="248" t="s">
        <v>235</v>
      </c>
      <c r="J2332" s="247" t="s">
        <v>809</v>
      </c>
      <c r="K2332" s="249">
        <v>0</v>
      </c>
      <c r="M2332" s="90">
        <v>0</v>
      </c>
      <c r="N2332" s="90">
        <v>0</v>
      </c>
      <c r="O2332" s="90">
        <v>255</v>
      </c>
    </row>
    <row r="2333" spans="1:15" s="90" customFormat="1" ht="12.75" customHeight="1" x14ac:dyDescent="0.2">
      <c r="A2333" s="247" t="s">
        <v>1405</v>
      </c>
      <c r="B2333" s="316">
        <v>3121</v>
      </c>
      <c r="C2333" s="247" t="s">
        <v>975</v>
      </c>
      <c r="D2333" s="317">
        <v>42670</v>
      </c>
      <c r="E2333" s="318">
        <v>0.42150462962962965</v>
      </c>
      <c r="F2333" s="247" t="s">
        <v>978</v>
      </c>
      <c r="G2333" s="247" t="s">
        <v>1035</v>
      </c>
      <c r="H2333" s="248"/>
      <c r="I2333" s="248"/>
      <c r="J2333" s="247"/>
      <c r="K2333" s="249"/>
      <c r="M2333" s="90">
        <v>0</v>
      </c>
      <c r="N2333" s="90">
        <v>0</v>
      </c>
      <c r="O2333" s="90">
        <v>255</v>
      </c>
    </row>
    <row r="2334" spans="1:15" s="90" customFormat="1" ht="12.75" customHeight="1" x14ac:dyDescent="0.2">
      <c r="A2334" s="247" t="s">
        <v>1034</v>
      </c>
      <c r="B2334" s="316">
        <v>3106</v>
      </c>
      <c r="C2334" s="247" t="s">
        <v>975</v>
      </c>
      <c r="D2334" s="317">
        <v>42670</v>
      </c>
      <c r="E2334" s="318">
        <v>0.44601851851851854</v>
      </c>
      <c r="F2334" s="247" t="s">
        <v>978</v>
      </c>
      <c r="G2334" s="247" t="s">
        <v>1035</v>
      </c>
      <c r="H2334" s="248" t="s">
        <v>234</v>
      </c>
      <c r="I2334" s="248" t="s">
        <v>677</v>
      </c>
      <c r="J2334" s="247" t="s">
        <v>809</v>
      </c>
      <c r="K2334" s="249">
        <v>0</v>
      </c>
      <c r="M2334" s="90">
        <v>0</v>
      </c>
      <c r="N2334" s="90">
        <v>0</v>
      </c>
      <c r="O2334" s="90">
        <v>255</v>
      </c>
    </row>
    <row r="2335" spans="1:15" s="90" customFormat="1" ht="12.75" customHeight="1" x14ac:dyDescent="0.2">
      <c r="A2335" s="247" t="s">
        <v>989</v>
      </c>
      <c r="B2335" s="316">
        <v>3046</v>
      </c>
      <c r="C2335" s="247" t="s">
        <v>975</v>
      </c>
      <c r="D2335" s="317">
        <v>42670</v>
      </c>
      <c r="E2335" s="318">
        <v>0.45878472222222227</v>
      </c>
      <c r="F2335" s="247" t="s">
        <v>976</v>
      </c>
      <c r="G2335" s="247" t="s">
        <v>1035</v>
      </c>
      <c r="H2335" s="248" t="s">
        <v>404</v>
      </c>
      <c r="I2335" s="248" t="s">
        <v>404</v>
      </c>
      <c r="J2335" s="247" t="s">
        <v>809</v>
      </c>
      <c r="K2335" s="249">
        <v>0</v>
      </c>
      <c r="M2335" s="90">
        <v>0</v>
      </c>
      <c r="N2335" s="90">
        <v>0</v>
      </c>
      <c r="O2335" s="90">
        <v>255</v>
      </c>
    </row>
    <row r="2336" spans="1:15" s="90" customFormat="1" ht="12.75" customHeight="1" x14ac:dyDescent="0.2">
      <c r="A2336" s="247" t="s">
        <v>990</v>
      </c>
      <c r="B2336" s="316">
        <v>3046</v>
      </c>
      <c r="C2336" s="247" t="s">
        <v>975</v>
      </c>
      <c r="D2336" s="317">
        <v>42670</v>
      </c>
      <c r="E2336" s="318">
        <v>0.45903935185185185</v>
      </c>
      <c r="F2336" s="247" t="s">
        <v>976</v>
      </c>
      <c r="G2336" s="247" t="s">
        <v>1035</v>
      </c>
      <c r="H2336" s="248" t="s">
        <v>404</v>
      </c>
      <c r="I2336" s="248" t="s">
        <v>404</v>
      </c>
      <c r="J2336" s="247" t="s">
        <v>809</v>
      </c>
      <c r="K2336" s="249">
        <v>0</v>
      </c>
      <c r="M2336" s="90">
        <v>0</v>
      </c>
      <c r="N2336" s="90">
        <v>0</v>
      </c>
      <c r="O2336" s="90">
        <v>255</v>
      </c>
    </row>
    <row r="2337" spans="1:15" s="90" customFormat="1" ht="12.75" customHeight="1" x14ac:dyDescent="0.2">
      <c r="A2337" s="247" t="s">
        <v>993</v>
      </c>
      <c r="B2337" s="316">
        <v>3217</v>
      </c>
      <c r="C2337" s="247" t="s">
        <v>975</v>
      </c>
      <c r="D2337" s="317">
        <v>42670</v>
      </c>
      <c r="E2337" s="318">
        <v>0.45903935185185185</v>
      </c>
      <c r="F2337" s="247" t="s">
        <v>235</v>
      </c>
      <c r="G2337" s="247" t="s">
        <v>1035</v>
      </c>
      <c r="H2337" s="248" t="s">
        <v>234</v>
      </c>
      <c r="I2337" s="248" t="s">
        <v>235</v>
      </c>
      <c r="J2337" s="247" t="s">
        <v>809</v>
      </c>
      <c r="K2337" s="249">
        <v>0</v>
      </c>
      <c r="M2337" s="90">
        <v>0</v>
      </c>
      <c r="N2337" s="90">
        <v>0</v>
      </c>
      <c r="O2337" s="90">
        <v>255</v>
      </c>
    </row>
    <row r="2338" spans="1:15" s="90" customFormat="1" ht="12.75" customHeight="1" x14ac:dyDescent="0.2">
      <c r="A2338" s="247" t="s">
        <v>1205</v>
      </c>
      <c r="B2338" s="316">
        <v>3218</v>
      </c>
      <c r="C2338" s="247" t="s">
        <v>979</v>
      </c>
      <c r="D2338" s="317">
        <v>42670</v>
      </c>
      <c r="E2338" s="318">
        <v>0.46603009259259259</v>
      </c>
      <c r="F2338" s="247" t="s">
        <v>702</v>
      </c>
      <c r="G2338" s="247" t="s">
        <v>1035</v>
      </c>
      <c r="H2338" s="248"/>
      <c r="I2338" s="248"/>
      <c r="J2338" s="247"/>
      <c r="K2338" s="249"/>
      <c r="M2338" s="90">
        <v>0</v>
      </c>
      <c r="N2338" s="90">
        <v>0</v>
      </c>
      <c r="O2338" s="90">
        <v>255</v>
      </c>
    </row>
    <row r="2339" spans="1:15" s="90" customFormat="1" ht="12.75" customHeight="1" x14ac:dyDescent="0.2">
      <c r="A2339" s="247" t="s">
        <v>1206</v>
      </c>
      <c r="B2339" s="316">
        <v>3218</v>
      </c>
      <c r="C2339" s="247" t="s">
        <v>979</v>
      </c>
      <c r="D2339" s="317">
        <v>42670</v>
      </c>
      <c r="E2339" s="318">
        <v>0.46603009259259259</v>
      </c>
      <c r="F2339" s="247" t="s">
        <v>702</v>
      </c>
      <c r="G2339" s="247" t="s">
        <v>1035</v>
      </c>
      <c r="H2339" s="248"/>
      <c r="I2339" s="248"/>
      <c r="J2339" s="247"/>
      <c r="K2339" s="249"/>
      <c r="M2339" s="90">
        <v>0</v>
      </c>
      <c r="N2339" s="90">
        <v>0</v>
      </c>
      <c r="O2339" s="90">
        <v>255</v>
      </c>
    </row>
    <row r="2340" spans="1:15" s="90" customFormat="1" ht="12.75" customHeight="1" x14ac:dyDescent="0.2">
      <c r="A2340" s="247" t="s">
        <v>1207</v>
      </c>
      <c r="B2340" s="316">
        <v>3218</v>
      </c>
      <c r="C2340" s="247" t="s">
        <v>979</v>
      </c>
      <c r="D2340" s="317">
        <v>42670</v>
      </c>
      <c r="E2340" s="318">
        <v>0.46603009259259259</v>
      </c>
      <c r="F2340" s="247" t="s">
        <v>702</v>
      </c>
      <c r="G2340" s="247" t="s">
        <v>1035</v>
      </c>
      <c r="H2340" s="248"/>
      <c r="I2340" s="248"/>
      <c r="J2340" s="247"/>
      <c r="K2340" s="249"/>
      <c r="M2340" s="90">
        <v>0</v>
      </c>
      <c r="N2340" s="90">
        <v>0</v>
      </c>
      <c r="O2340" s="90">
        <v>255</v>
      </c>
    </row>
    <row r="2341" spans="1:15" s="90" customFormat="1" ht="12.75" customHeight="1" x14ac:dyDescent="0.2">
      <c r="A2341" s="247" t="s">
        <v>1323</v>
      </c>
      <c r="B2341" s="316">
        <v>3218</v>
      </c>
      <c r="C2341" s="247" t="s">
        <v>979</v>
      </c>
      <c r="D2341" s="317">
        <v>42670</v>
      </c>
      <c r="E2341" s="318">
        <v>0.46603009259259259</v>
      </c>
      <c r="F2341" s="247" t="s">
        <v>702</v>
      </c>
      <c r="G2341" s="247" t="s">
        <v>1035</v>
      </c>
      <c r="H2341" s="248"/>
      <c r="I2341" s="248"/>
      <c r="J2341" s="247"/>
      <c r="K2341" s="249"/>
      <c r="M2341" s="90">
        <v>0</v>
      </c>
      <c r="N2341" s="90">
        <v>0</v>
      </c>
      <c r="O2341" s="90">
        <v>255</v>
      </c>
    </row>
    <row r="2342" spans="1:15" s="90" customFormat="1" ht="12.75" customHeight="1" x14ac:dyDescent="0.2">
      <c r="A2342" s="247" t="s">
        <v>1324</v>
      </c>
      <c r="B2342" s="316">
        <v>3218</v>
      </c>
      <c r="C2342" s="247" t="s">
        <v>979</v>
      </c>
      <c r="D2342" s="317">
        <v>42670</v>
      </c>
      <c r="E2342" s="318">
        <v>0.46603009259259259</v>
      </c>
      <c r="F2342" s="247" t="s">
        <v>702</v>
      </c>
      <c r="G2342" s="247" t="s">
        <v>1035</v>
      </c>
      <c r="H2342" s="248"/>
      <c r="I2342" s="248"/>
      <c r="J2342" s="247"/>
      <c r="K2342" s="249"/>
      <c r="M2342" s="90">
        <v>0</v>
      </c>
      <c r="N2342" s="90">
        <v>0</v>
      </c>
      <c r="O2342" s="90">
        <v>255</v>
      </c>
    </row>
    <row r="2343" spans="1:15" s="90" customFormat="1" ht="12.75" customHeight="1" x14ac:dyDescent="0.2">
      <c r="A2343" s="247" t="s">
        <v>1031</v>
      </c>
      <c r="B2343" s="316">
        <v>3046</v>
      </c>
      <c r="C2343" s="247" t="s">
        <v>975</v>
      </c>
      <c r="D2343" s="317">
        <v>42670</v>
      </c>
      <c r="E2343" s="318">
        <v>0.46642361111111108</v>
      </c>
      <c r="F2343" s="247" t="s">
        <v>976</v>
      </c>
      <c r="G2343" s="247" t="s">
        <v>1035</v>
      </c>
      <c r="H2343" s="248" t="s">
        <v>404</v>
      </c>
      <c r="I2343" s="248" t="s">
        <v>404</v>
      </c>
      <c r="J2343" s="247" t="s">
        <v>809</v>
      </c>
      <c r="K2343" s="249">
        <v>0</v>
      </c>
      <c r="M2343" s="90">
        <v>0</v>
      </c>
      <c r="N2343" s="90">
        <v>0</v>
      </c>
      <c r="O2343" s="90">
        <v>255</v>
      </c>
    </row>
    <row r="2344" spans="1:15" s="90" customFormat="1" ht="12.75" customHeight="1" x14ac:dyDescent="0.2">
      <c r="A2344" s="247" t="s">
        <v>1032</v>
      </c>
      <c r="B2344" s="316">
        <v>3046</v>
      </c>
      <c r="C2344" s="247" t="s">
        <v>975</v>
      </c>
      <c r="D2344" s="317">
        <v>42670</v>
      </c>
      <c r="E2344" s="318">
        <v>0.47539351851851852</v>
      </c>
      <c r="F2344" s="247" t="s">
        <v>976</v>
      </c>
      <c r="G2344" s="247" t="s">
        <v>1035</v>
      </c>
      <c r="H2344" s="248" t="s">
        <v>404</v>
      </c>
      <c r="I2344" s="248" t="s">
        <v>404</v>
      </c>
      <c r="J2344" s="247" t="s">
        <v>809</v>
      </c>
      <c r="K2344" s="249">
        <v>0</v>
      </c>
      <c r="M2344" s="90">
        <v>0</v>
      </c>
      <c r="N2344" s="90">
        <v>0</v>
      </c>
      <c r="O2344" s="90">
        <v>255</v>
      </c>
    </row>
    <row r="2345" spans="1:15" s="90" customFormat="1" ht="12.75" customHeight="1" x14ac:dyDescent="0.2">
      <c r="A2345" s="247" t="s">
        <v>989</v>
      </c>
      <c r="B2345" s="316">
        <v>3046</v>
      </c>
      <c r="C2345" s="247" t="s">
        <v>975</v>
      </c>
      <c r="D2345" s="317">
        <v>42670</v>
      </c>
      <c r="E2345" s="318">
        <v>0.47539351851851852</v>
      </c>
      <c r="F2345" s="247" t="s">
        <v>976</v>
      </c>
      <c r="G2345" s="247" t="s">
        <v>1035</v>
      </c>
      <c r="H2345" s="248" t="s">
        <v>404</v>
      </c>
      <c r="I2345" s="248" t="s">
        <v>404</v>
      </c>
      <c r="J2345" s="247" t="s">
        <v>809</v>
      </c>
      <c r="K2345" s="249">
        <v>0</v>
      </c>
      <c r="M2345" s="90">
        <v>0</v>
      </c>
      <c r="N2345" s="90">
        <v>0</v>
      </c>
      <c r="O2345" s="90">
        <v>255</v>
      </c>
    </row>
    <row r="2346" spans="1:15" s="90" customFormat="1" ht="12.75" customHeight="1" x14ac:dyDescent="0.2">
      <c r="A2346" s="247" t="s">
        <v>990</v>
      </c>
      <c r="B2346" s="316">
        <v>3046</v>
      </c>
      <c r="C2346" s="247" t="s">
        <v>975</v>
      </c>
      <c r="D2346" s="317">
        <v>42670</v>
      </c>
      <c r="E2346" s="318">
        <v>0.47570601851851851</v>
      </c>
      <c r="F2346" s="247" t="s">
        <v>976</v>
      </c>
      <c r="G2346" s="247" t="s">
        <v>1035</v>
      </c>
      <c r="H2346" s="248" t="s">
        <v>404</v>
      </c>
      <c r="I2346" s="248" t="s">
        <v>404</v>
      </c>
      <c r="J2346" s="247" t="s">
        <v>809</v>
      </c>
      <c r="K2346" s="249">
        <v>0</v>
      </c>
      <c r="M2346" s="90">
        <v>0</v>
      </c>
      <c r="N2346" s="90">
        <v>0</v>
      </c>
      <c r="O2346" s="90">
        <v>255</v>
      </c>
    </row>
    <row r="2347" spans="1:15" s="90" customFormat="1" ht="12.75" customHeight="1" x14ac:dyDescent="0.2">
      <c r="A2347" s="247" t="s">
        <v>1033</v>
      </c>
      <c r="B2347" s="316">
        <v>3217</v>
      </c>
      <c r="C2347" s="247" t="s">
        <v>975</v>
      </c>
      <c r="D2347" s="317">
        <v>42670</v>
      </c>
      <c r="E2347" s="318">
        <v>0.47570601851851851</v>
      </c>
      <c r="F2347" s="247" t="s">
        <v>235</v>
      </c>
      <c r="G2347" s="247" t="s">
        <v>1035</v>
      </c>
      <c r="H2347" s="248" t="s">
        <v>234</v>
      </c>
      <c r="I2347" s="248" t="s">
        <v>235</v>
      </c>
      <c r="J2347" s="247" t="s">
        <v>809</v>
      </c>
      <c r="K2347" s="249">
        <v>0</v>
      </c>
      <c r="M2347" s="90">
        <v>0</v>
      </c>
      <c r="N2347" s="90">
        <v>0</v>
      </c>
      <c r="O2347" s="90">
        <v>255</v>
      </c>
    </row>
    <row r="2348" spans="1:15" s="90" customFormat="1" ht="12.75" customHeight="1" x14ac:dyDescent="0.2">
      <c r="A2348" s="247" t="s">
        <v>1031</v>
      </c>
      <c r="B2348" s="316">
        <v>3046</v>
      </c>
      <c r="C2348" s="247" t="s">
        <v>975</v>
      </c>
      <c r="D2348" s="317">
        <v>42670</v>
      </c>
      <c r="E2348" s="318">
        <v>0.47613425925925923</v>
      </c>
      <c r="F2348" s="247" t="s">
        <v>976</v>
      </c>
      <c r="G2348" s="247" t="s">
        <v>1035</v>
      </c>
      <c r="H2348" s="248" t="s">
        <v>404</v>
      </c>
      <c r="I2348" s="248" t="s">
        <v>404</v>
      </c>
      <c r="J2348" s="247" t="s">
        <v>809</v>
      </c>
      <c r="K2348" s="249">
        <v>0</v>
      </c>
      <c r="M2348" s="90">
        <v>0</v>
      </c>
      <c r="N2348" s="90">
        <v>0</v>
      </c>
      <c r="O2348" s="90">
        <v>255</v>
      </c>
    </row>
    <row r="2349" spans="1:15" s="90" customFormat="1" ht="12.75" customHeight="1" x14ac:dyDescent="0.2">
      <c r="A2349" s="247" t="s">
        <v>1032</v>
      </c>
      <c r="B2349" s="316">
        <v>3046</v>
      </c>
      <c r="C2349" s="247" t="s">
        <v>975</v>
      </c>
      <c r="D2349" s="317">
        <v>42670</v>
      </c>
      <c r="E2349" s="318">
        <v>0.47878472222222218</v>
      </c>
      <c r="F2349" s="247" t="s">
        <v>976</v>
      </c>
      <c r="G2349" s="247" t="s">
        <v>1035</v>
      </c>
      <c r="H2349" s="248" t="s">
        <v>404</v>
      </c>
      <c r="I2349" s="248" t="s">
        <v>404</v>
      </c>
      <c r="J2349" s="247" t="s">
        <v>809</v>
      </c>
      <c r="K2349" s="249">
        <v>0</v>
      </c>
      <c r="M2349" s="90">
        <v>0</v>
      </c>
      <c r="N2349" s="90">
        <v>0</v>
      </c>
      <c r="O2349" s="90">
        <v>255</v>
      </c>
    </row>
    <row r="2350" spans="1:15" s="90" customFormat="1" ht="12.75" customHeight="1" x14ac:dyDescent="0.2">
      <c r="A2350" s="247" t="s">
        <v>989</v>
      </c>
      <c r="B2350" s="316">
        <v>3046</v>
      </c>
      <c r="C2350" s="247" t="s">
        <v>975</v>
      </c>
      <c r="D2350" s="317">
        <v>42670</v>
      </c>
      <c r="E2350" s="318">
        <v>0.47878472222222218</v>
      </c>
      <c r="F2350" s="247" t="s">
        <v>976</v>
      </c>
      <c r="G2350" s="247" t="s">
        <v>1035</v>
      </c>
      <c r="H2350" s="248" t="s">
        <v>404</v>
      </c>
      <c r="I2350" s="248" t="s">
        <v>404</v>
      </c>
      <c r="J2350" s="247" t="s">
        <v>809</v>
      </c>
      <c r="K2350" s="249">
        <v>0</v>
      </c>
      <c r="M2350" s="90">
        <v>0</v>
      </c>
      <c r="N2350" s="90">
        <v>0</v>
      </c>
      <c r="O2350" s="90">
        <v>255</v>
      </c>
    </row>
    <row r="2351" spans="1:15" s="90" customFormat="1" ht="12.75" customHeight="1" x14ac:dyDescent="0.2">
      <c r="A2351" s="247" t="s">
        <v>990</v>
      </c>
      <c r="B2351" s="316">
        <v>3046</v>
      </c>
      <c r="C2351" s="247" t="s">
        <v>975</v>
      </c>
      <c r="D2351" s="317">
        <v>42670</v>
      </c>
      <c r="E2351" s="318">
        <v>0.47908564814814819</v>
      </c>
      <c r="F2351" s="247" t="s">
        <v>976</v>
      </c>
      <c r="G2351" s="247" t="s">
        <v>1035</v>
      </c>
      <c r="H2351" s="248" t="s">
        <v>404</v>
      </c>
      <c r="I2351" s="248" t="s">
        <v>404</v>
      </c>
      <c r="J2351" s="247" t="s">
        <v>809</v>
      </c>
      <c r="K2351" s="249">
        <v>0</v>
      </c>
      <c r="M2351" s="90">
        <v>0</v>
      </c>
      <c r="N2351" s="90">
        <v>0</v>
      </c>
      <c r="O2351" s="90">
        <v>255</v>
      </c>
    </row>
    <row r="2352" spans="1:15" s="90" customFormat="1" ht="12.75" customHeight="1" x14ac:dyDescent="0.2">
      <c r="A2352" s="247" t="s">
        <v>1033</v>
      </c>
      <c r="B2352" s="316">
        <v>3217</v>
      </c>
      <c r="C2352" s="247" t="s">
        <v>975</v>
      </c>
      <c r="D2352" s="317">
        <v>42670</v>
      </c>
      <c r="E2352" s="318">
        <v>0.47908564814814819</v>
      </c>
      <c r="F2352" s="247" t="s">
        <v>235</v>
      </c>
      <c r="G2352" s="247" t="s">
        <v>1035</v>
      </c>
      <c r="H2352" s="248" t="s">
        <v>234</v>
      </c>
      <c r="I2352" s="248" t="s">
        <v>235</v>
      </c>
      <c r="J2352" s="247" t="s">
        <v>809</v>
      </c>
      <c r="K2352" s="249">
        <v>0</v>
      </c>
      <c r="M2352" s="90">
        <v>0</v>
      </c>
      <c r="N2352" s="90">
        <v>0</v>
      </c>
      <c r="O2352" s="90">
        <v>255</v>
      </c>
    </row>
    <row r="2353" spans="1:15" s="90" customFormat="1" ht="12.75" customHeight="1" x14ac:dyDescent="0.2">
      <c r="A2353" s="247" t="s">
        <v>1067</v>
      </c>
      <c r="B2353" s="316">
        <v>3061</v>
      </c>
      <c r="C2353" s="247" t="s">
        <v>975</v>
      </c>
      <c r="D2353" s="317">
        <v>42670</v>
      </c>
      <c r="E2353" s="318">
        <v>0.51343749999999999</v>
      </c>
      <c r="F2353" s="247" t="s">
        <v>981</v>
      </c>
      <c r="G2353" s="247" t="s">
        <v>1035</v>
      </c>
      <c r="H2353" s="248" t="s">
        <v>234</v>
      </c>
      <c r="I2353" s="248" t="s">
        <v>677</v>
      </c>
      <c r="J2353" s="247" t="s">
        <v>809</v>
      </c>
      <c r="K2353" s="249">
        <v>0</v>
      </c>
      <c r="M2353" s="90">
        <v>0</v>
      </c>
      <c r="N2353" s="90">
        <v>0</v>
      </c>
      <c r="O2353" s="90">
        <v>255</v>
      </c>
    </row>
    <row r="2354" spans="1:15" s="90" customFormat="1" ht="12.75" customHeight="1" x14ac:dyDescent="0.2">
      <c r="A2354" s="247" t="s">
        <v>1012</v>
      </c>
      <c r="B2354" s="316">
        <v>3061</v>
      </c>
      <c r="C2354" s="247" t="s">
        <v>975</v>
      </c>
      <c r="D2354" s="317">
        <v>42670</v>
      </c>
      <c r="E2354" s="318">
        <v>0.51362268518518517</v>
      </c>
      <c r="F2354" s="247" t="s">
        <v>981</v>
      </c>
      <c r="G2354" s="247" t="s">
        <v>1035</v>
      </c>
      <c r="H2354" s="248" t="s">
        <v>234</v>
      </c>
      <c r="I2354" s="248" t="s">
        <v>677</v>
      </c>
      <c r="J2354" s="247" t="s">
        <v>809</v>
      </c>
      <c r="K2354" s="249">
        <v>0</v>
      </c>
      <c r="M2354" s="90">
        <v>0</v>
      </c>
      <c r="N2354" s="90">
        <v>0</v>
      </c>
      <c r="O2354" s="90">
        <v>255</v>
      </c>
    </row>
    <row r="2355" spans="1:15" s="90" customFormat="1" ht="12.75" customHeight="1" x14ac:dyDescent="0.2">
      <c r="A2355" s="247" t="s">
        <v>1078</v>
      </c>
      <c r="B2355" s="316">
        <v>3061</v>
      </c>
      <c r="C2355" s="247" t="s">
        <v>975</v>
      </c>
      <c r="D2355" s="317">
        <v>42670</v>
      </c>
      <c r="E2355" s="318">
        <v>0.51385416666666661</v>
      </c>
      <c r="F2355" s="247" t="s">
        <v>981</v>
      </c>
      <c r="G2355" s="247" t="s">
        <v>1035</v>
      </c>
      <c r="H2355" s="248" t="s">
        <v>234</v>
      </c>
      <c r="I2355" s="248" t="s">
        <v>677</v>
      </c>
      <c r="J2355" s="247" t="s">
        <v>809</v>
      </c>
      <c r="K2355" s="249">
        <v>0</v>
      </c>
      <c r="M2355" s="90">
        <v>0</v>
      </c>
      <c r="N2355" s="90">
        <v>0</v>
      </c>
      <c r="O2355" s="90">
        <v>255</v>
      </c>
    </row>
    <row r="2356" spans="1:15" s="90" customFormat="1" ht="12.75" customHeight="1" x14ac:dyDescent="0.2">
      <c r="A2356" s="247" t="s">
        <v>1039</v>
      </c>
      <c r="B2356" s="316">
        <v>3061</v>
      </c>
      <c r="C2356" s="247" t="s">
        <v>975</v>
      </c>
      <c r="D2356" s="317">
        <v>42670</v>
      </c>
      <c r="E2356" s="318">
        <v>0.5149421296296296</v>
      </c>
      <c r="F2356" s="247" t="s">
        <v>981</v>
      </c>
      <c r="G2356" s="247" t="s">
        <v>1035</v>
      </c>
      <c r="H2356" s="248" t="s">
        <v>234</v>
      </c>
      <c r="I2356" s="248" t="s">
        <v>677</v>
      </c>
      <c r="J2356" s="247" t="s">
        <v>809</v>
      </c>
      <c r="K2356" s="249">
        <v>0</v>
      </c>
      <c r="M2356" s="90">
        <v>0</v>
      </c>
      <c r="N2356" s="90">
        <v>0</v>
      </c>
      <c r="O2356" s="90">
        <v>255</v>
      </c>
    </row>
    <row r="2357" spans="1:15" s="90" customFormat="1" ht="12.75" customHeight="1" x14ac:dyDescent="0.2">
      <c r="A2357" s="247" t="s">
        <v>1433</v>
      </c>
      <c r="B2357" s="316">
        <v>3061</v>
      </c>
      <c r="C2357" s="247" t="s">
        <v>975</v>
      </c>
      <c r="D2357" s="317">
        <v>42670</v>
      </c>
      <c r="E2357" s="318">
        <v>0.51513888888888892</v>
      </c>
      <c r="F2357" s="247" t="s">
        <v>981</v>
      </c>
      <c r="G2357" s="247" t="s">
        <v>1035</v>
      </c>
      <c r="H2357" s="248" t="s">
        <v>234</v>
      </c>
      <c r="I2357" s="248" t="s">
        <v>677</v>
      </c>
      <c r="J2357" s="247" t="s">
        <v>809</v>
      </c>
      <c r="K2357" s="249">
        <v>0</v>
      </c>
      <c r="M2357" s="90">
        <v>0</v>
      </c>
      <c r="N2357" s="90">
        <v>0</v>
      </c>
      <c r="O2357" s="90">
        <v>255</v>
      </c>
    </row>
    <row r="2358" spans="1:15" s="90" customFormat="1" ht="12.75" customHeight="1" x14ac:dyDescent="0.2">
      <c r="A2358" s="247" t="s">
        <v>1434</v>
      </c>
      <c r="B2358" s="316">
        <v>3061</v>
      </c>
      <c r="C2358" s="247" t="s">
        <v>975</v>
      </c>
      <c r="D2358" s="317">
        <v>42670</v>
      </c>
      <c r="E2358" s="318">
        <v>0.5153240740740741</v>
      </c>
      <c r="F2358" s="247" t="s">
        <v>981</v>
      </c>
      <c r="G2358" s="247" t="s">
        <v>1035</v>
      </c>
      <c r="H2358" s="248" t="s">
        <v>234</v>
      </c>
      <c r="I2358" s="248" t="s">
        <v>677</v>
      </c>
      <c r="J2358" s="247" t="s">
        <v>809</v>
      </c>
      <c r="K2358" s="249">
        <v>0</v>
      </c>
      <c r="M2358" s="90">
        <v>0</v>
      </c>
      <c r="N2358" s="90">
        <v>0</v>
      </c>
      <c r="O2358" s="90">
        <v>255</v>
      </c>
    </row>
    <row r="2359" spans="1:15" s="90" customFormat="1" ht="12.75" customHeight="1" x14ac:dyDescent="0.2">
      <c r="A2359" s="247" t="s">
        <v>1434</v>
      </c>
      <c r="B2359" s="316">
        <v>3061</v>
      </c>
      <c r="C2359" s="247" t="s">
        <v>975</v>
      </c>
      <c r="D2359" s="317">
        <v>42670</v>
      </c>
      <c r="E2359" s="318">
        <v>0.51541666666666663</v>
      </c>
      <c r="F2359" s="247" t="s">
        <v>981</v>
      </c>
      <c r="G2359" s="247" t="s">
        <v>1035</v>
      </c>
      <c r="H2359" s="248" t="s">
        <v>234</v>
      </c>
      <c r="I2359" s="248" t="s">
        <v>677</v>
      </c>
      <c r="J2359" s="247" t="s">
        <v>809</v>
      </c>
      <c r="K2359" s="249">
        <v>0</v>
      </c>
      <c r="M2359" s="90">
        <v>0</v>
      </c>
      <c r="N2359" s="90">
        <v>0</v>
      </c>
      <c r="O2359" s="90">
        <v>255</v>
      </c>
    </row>
    <row r="2360" spans="1:15" s="90" customFormat="1" ht="12.75" customHeight="1" x14ac:dyDescent="0.2">
      <c r="A2360" s="247" t="s">
        <v>989</v>
      </c>
      <c r="B2360" s="316">
        <v>3046</v>
      </c>
      <c r="C2360" s="247" t="s">
        <v>975</v>
      </c>
      <c r="D2360" s="317">
        <v>42670</v>
      </c>
      <c r="E2360" s="318">
        <v>0.52075231481481488</v>
      </c>
      <c r="F2360" s="247" t="s">
        <v>976</v>
      </c>
      <c r="G2360" s="247" t="s">
        <v>1035</v>
      </c>
      <c r="H2360" s="248" t="s">
        <v>404</v>
      </c>
      <c r="I2360" s="248" t="s">
        <v>404</v>
      </c>
      <c r="J2360" s="247" t="s">
        <v>809</v>
      </c>
      <c r="K2360" s="249">
        <v>0</v>
      </c>
      <c r="M2360" s="90">
        <v>0</v>
      </c>
      <c r="N2360" s="90">
        <v>0</v>
      </c>
      <c r="O2360" s="90">
        <v>255</v>
      </c>
    </row>
    <row r="2361" spans="1:15" s="90" customFormat="1" ht="12.75" customHeight="1" x14ac:dyDescent="0.2">
      <c r="A2361" s="247" t="s">
        <v>993</v>
      </c>
      <c r="B2361" s="316">
        <v>3217</v>
      </c>
      <c r="C2361" s="247" t="s">
        <v>975</v>
      </c>
      <c r="D2361" s="317">
        <v>42670</v>
      </c>
      <c r="E2361" s="318">
        <v>0.52099537037037036</v>
      </c>
      <c r="F2361" s="247" t="s">
        <v>235</v>
      </c>
      <c r="G2361" s="247" t="s">
        <v>1035</v>
      </c>
      <c r="H2361" s="248" t="s">
        <v>234</v>
      </c>
      <c r="I2361" s="248" t="s">
        <v>235</v>
      </c>
      <c r="J2361" s="247" t="s">
        <v>809</v>
      </c>
      <c r="K2361" s="249">
        <v>0</v>
      </c>
      <c r="M2361" s="90">
        <v>0</v>
      </c>
      <c r="N2361" s="90">
        <v>0</v>
      </c>
      <c r="O2361" s="90">
        <v>255</v>
      </c>
    </row>
    <row r="2362" spans="1:15" s="90" customFormat="1" ht="12.75" customHeight="1" x14ac:dyDescent="0.2">
      <c r="A2362" s="247" t="s">
        <v>990</v>
      </c>
      <c r="B2362" s="316">
        <v>3046</v>
      </c>
      <c r="C2362" s="247" t="s">
        <v>975</v>
      </c>
      <c r="D2362" s="317">
        <v>42670</v>
      </c>
      <c r="E2362" s="318">
        <v>0.5210069444444444</v>
      </c>
      <c r="F2362" s="247" t="s">
        <v>976</v>
      </c>
      <c r="G2362" s="247" t="s">
        <v>1035</v>
      </c>
      <c r="H2362" s="248" t="s">
        <v>404</v>
      </c>
      <c r="I2362" s="248" t="s">
        <v>404</v>
      </c>
      <c r="J2362" s="247" t="s">
        <v>809</v>
      </c>
      <c r="K2362" s="249">
        <v>0</v>
      </c>
      <c r="M2362" s="90">
        <v>0</v>
      </c>
      <c r="N2362" s="90">
        <v>0</v>
      </c>
      <c r="O2362" s="90">
        <v>255</v>
      </c>
    </row>
    <row r="2363" spans="1:15" s="90" customFormat="1" ht="12.75" customHeight="1" x14ac:dyDescent="0.2">
      <c r="A2363" s="247" t="s">
        <v>1076</v>
      </c>
      <c r="B2363" s="316">
        <v>3218</v>
      </c>
      <c r="C2363" s="247" t="s">
        <v>979</v>
      </c>
      <c r="D2363" s="317">
        <v>42670</v>
      </c>
      <c r="E2363" s="318">
        <v>0.52545138888888887</v>
      </c>
      <c r="F2363" s="247" t="s">
        <v>702</v>
      </c>
      <c r="G2363" s="247" t="s">
        <v>1035</v>
      </c>
      <c r="H2363" s="248"/>
      <c r="I2363" s="248"/>
      <c r="J2363" s="247"/>
      <c r="K2363" s="249"/>
      <c r="M2363" s="90">
        <v>0</v>
      </c>
      <c r="N2363" s="90">
        <v>0</v>
      </c>
      <c r="O2363" s="90">
        <v>255</v>
      </c>
    </row>
    <row r="2364" spans="1:15" s="90" customFormat="1" ht="12.75" customHeight="1" x14ac:dyDescent="0.2">
      <c r="A2364" s="247" t="s">
        <v>1435</v>
      </c>
      <c r="B2364" s="316">
        <v>3218</v>
      </c>
      <c r="C2364" s="247" t="s">
        <v>979</v>
      </c>
      <c r="D2364" s="317">
        <v>42670</v>
      </c>
      <c r="E2364" s="318">
        <v>0.52545138888888887</v>
      </c>
      <c r="F2364" s="247" t="s">
        <v>702</v>
      </c>
      <c r="G2364" s="247" t="s">
        <v>1035</v>
      </c>
      <c r="H2364" s="248"/>
      <c r="I2364" s="248"/>
      <c r="J2364" s="247"/>
      <c r="K2364" s="249"/>
      <c r="M2364" s="90">
        <v>0</v>
      </c>
      <c r="N2364" s="90">
        <v>0</v>
      </c>
      <c r="O2364" s="90">
        <v>255</v>
      </c>
    </row>
    <row r="2365" spans="1:15" s="90" customFormat="1" ht="12.75" customHeight="1" x14ac:dyDescent="0.2">
      <c r="A2365" s="247" t="s">
        <v>1436</v>
      </c>
      <c r="B2365" s="316">
        <v>3218</v>
      </c>
      <c r="C2365" s="247" t="s">
        <v>979</v>
      </c>
      <c r="D2365" s="317">
        <v>42670</v>
      </c>
      <c r="E2365" s="318">
        <v>0.52545138888888887</v>
      </c>
      <c r="F2365" s="247" t="s">
        <v>702</v>
      </c>
      <c r="G2365" s="247" t="s">
        <v>1035</v>
      </c>
      <c r="H2365" s="248"/>
      <c r="I2365" s="248"/>
      <c r="J2365" s="247"/>
      <c r="K2365" s="249"/>
      <c r="M2365" s="90">
        <v>0</v>
      </c>
      <c r="N2365" s="90">
        <v>0</v>
      </c>
      <c r="O2365" s="90">
        <v>255</v>
      </c>
    </row>
    <row r="2366" spans="1:15" s="90" customFormat="1" ht="12.75" customHeight="1" x14ac:dyDescent="0.2">
      <c r="A2366" s="247" t="s">
        <v>1437</v>
      </c>
      <c r="B2366" s="316">
        <v>3218</v>
      </c>
      <c r="C2366" s="247" t="s">
        <v>979</v>
      </c>
      <c r="D2366" s="317">
        <v>42670</v>
      </c>
      <c r="E2366" s="318">
        <v>0.52545138888888887</v>
      </c>
      <c r="F2366" s="247" t="s">
        <v>702</v>
      </c>
      <c r="G2366" s="247" t="s">
        <v>1035</v>
      </c>
      <c r="H2366" s="248"/>
      <c r="I2366" s="248"/>
      <c r="J2366" s="247"/>
      <c r="K2366" s="249"/>
      <c r="M2366" s="90">
        <v>0</v>
      </c>
      <c r="N2366" s="90">
        <v>0</v>
      </c>
      <c r="O2366" s="90">
        <v>255</v>
      </c>
    </row>
    <row r="2367" spans="1:15" s="90" customFormat="1" ht="12.75" customHeight="1" x14ac:dyDescent="0.2">
      <c r="A2367" s="247" t="s">
        <v>1438</v>
      </c>
      <c r="B2367" s="316">
        <v>3218</v>
      </c>
      <c r="C2367" s="247" t="s">
        <v>979</v>
      </c>
      <c r="D2367" s="317">
        <v>42670</v>
      </c>
      <c r="E2367" s="318">
        <v>0.52545138888888887</v>
      </c>
      <c r="F2367" s="247" t="s">
        <v>702</v>
      </c>
      <c r="G2367" s="247" t="s">
        <v>1035</v>
      </c>
      <c r="H2367" s="248"/>
      <c r="I2367" s="248"/>
      <c r="J2367" s="247"/>
      <c r="K2367" s="249"/>
      <c r="M2367" s="90">
        <v>0</v>
      </c>
      <c r="N2367" s="90">
        <v>0</v>
      </c>
      <c r="O2367" s="90">
        <v>255</v>
      </c>
    </row>
    <row r="2368" spans="1:15" s="90" customFormat="1" ht="12.75" customHeight="1" x14ac:dyDescent="0.2">
      <c r="A2368" s="247" t="s">
        <v>1070</v>
      </c>
      <c r="B2368" s="316">
        <v>3001</v>
      </c>
      <c r="C2368" s="247" t="s">
        <v>996</v>
      </c>
      <c r="D2368" s="317">
        <v>42670</v>
      </c>
      <c r="E2368" s="318">
        <v>0.52613425925925927</v>
      </c>
      <c r="F2368" s="247" t="s">
        <v>702</v>
      </c>
      <c r="G2368" s="247" t="s">
        <v>1035</v>
      </c>
      <c r="H2368" s="248" t="s">
        <v>121</v>
      </c>
      <c r="I2368" s="248" t="s">
        <v>122</v>
      </c>
      <c r="J2368" s="247" t="s">
        <v>809</v>
      </c>
      <c r="K2368" s="249">
        <v>0</v>
      </c>
      <c r="M2368" s="90">
        <v>0</v>
      </c>
      <c r="N2368" s="90">
        <v>0</v>
      </c>
      <c r="O2368" s="90">
        <v>255</v>
      </c>
    </row>
    <row r="2369" spans="1:15" s="90" customFormat="1" ht="12.75" customHeight="1" x14ac:dyDescent="0.2">
      <c r="A2369" s="247" t="s">
        <v>1031</v>
      </c>
      <c r="B2369" s="316">
        <v>3046</v>
      </c>
      <c r="C2369" s="247" t="s">
        <v>975</v>
      </c>
      <c r="D2369" s="317">
        <v>42670</v>
      </c>
      <c r="E2369" s="318">
        <v>0.52659722222222227</v>
      </c>
      <c r="F2369" s="247" t="s">
        <v>976</v>
      </c>
      <c r="G2369" s="247" t="s">
        <v>1035</v>
      </c>
      <c r="H2369" s="248" t="s">
        <v>404</v>
      </c>
      <c r="I2369" s="248" t="s">
        <v>404</v>
      </c>
      <c r="J2369" s="247" t="s">
        <v>809</v>
      </c>
      <c r="K2369" s="249">
        <v>0</v>
      </c>
      <c r="M2369" s="90">
        <v>0</v>
      </c>
      <c r="N2369" s="90">
        <v>0</v>
      </c>
      <c r="O2369" s="90">
        <v>255</v>
      </c>
    </row>
    <row r="2370" spans="1:15" s="90" customFormat="1" ht="12.75" customHeight="1" x14ac:dyDescent="0.2">
      <c r="A2370" s="247" t="s">
        <v>1439</v>
      </c>
      <c r="B2370" s="316">
        <v>3024</v>
      </c>
      <c r="C2370" s="247" t="s">
        <v>996</v>
      </c>
      <c r="D2370" s="317">
        <v>42670</v>
      </c>
      <c r="E2370" s="318">
        <v>0.52685185185185179</v>
      </c>
      <c r="F2370" s="247" t="s">
        <v>702</v>
      </c>
      <c r="G2370" s="247" t="s">
        <v>1035</v>
      </c>
      <c r="H2370" s="248" t="s">
        <v>234</v>
      </c>
      <c r="I2370" s="248" t="s">
        <v>702</v>
      </c>
      <c r="J2370" s="247" t="s">
        <v>809</v>
      </c>
      <c r="K2370" s="249">
        <v>0</v>
      </c>
      <c r="M2370" s="90">
        <v>0</v>
      </c>
      <c r="N2370" s="90">
        <v>0</v>
      </c>
      <c r="O2370" s="90">
        <v>255</v>
      </c>
    </row>
    <row r="2371" spans="1:15" s="90" customFormat="1" ht="12.75" customHeight="1" x14ac:dyDescent="0.2">
      <c r="A2371" s="247" t="s">
        <v>1351</v>
      </c>
      <c r="B2371" s="316">
        <v>2083</v>
      </c>
      <c r="C2371" s="247" t="s">
        <v>979</v>
      </c>
      <c r="D2371" s="317">
        <v>42670</v>
      </c>
      <c r="E2371" s="318">
        <v>0.52771990740740737</v>
      </c>
      <c r="F2371" s="247" t="s">
        <v>702</v>
      </c>
      <c r="G2371" s="247" t="s">
        <v>1035</v>
      </c>
      <c r="H2371" s="248" t="s">
        <v>121</v>
      </c>
      <c r="I2371" s="248" t="s">
        <v>122</v>
      </c>
      <c r="J2371" s="247" t="s">
        <v>809</v>
      </c>
      <c r="K2371" s="249">
        <v>0</v>
      </c>
      <c r="M2371" s="90">
        <v>0</v>
      </c>
      <c r="N2371" s="90">
        <v>0</v>
      </c>
      <c r="O2371" s="90">
        <v>255</v>
      </c>
    </row>
    <row r="2372" spans="1:15" s="90" customFormat="1" ht="12.75" customHeight="1" x14ac:dyDescent="0.2">
      <c r="A2372" s="247" t="s">
        <v>1032</v>
      </c>
      <c r="B2372" s="316">
        <v>3046</v>
      </c>
      <c r="C2372" s="247" t="s">
        <v>975</v>
      </c>
      <c r="D2372" s="317">
        <v>42670</v>
      </c>
      <c r="E2372" s="318">
        <v>0.52957175925925926</v>
      </c>
      <c r="F2372" s="247" t="s">
        <v>976</v>
      </c>
      <c r="G2372" s="247" t="s">
        <v>1035</v>
      </c>
      <c r="H2372" s="248" t="s">
        <v>404</v>
      </c>
      <c r="I2372" s="248" t="s">
        <v>404</v>
      </c>
      <c r="J2372" s="247" t="s">
        <v>809</v>
      </c>
      <c r="K2372" s="249">
        <v>0</v>
      </c>
      <c r="M2372" s="90">
        <v>0</v>
      </c>
      <c r="N2372" s="90">
        <v>0</v>
      </c>
      <c r="O2372" s="90">
        <v>255</v>
      </c>
    </row>
    <row r="2373" spans="1:15" s="90" customFormat="1" ht="12.75" customHeight="1" x14ac:dyDescent="0.2">
      <c r="A2373" s="247" t="s">
        <v>989</v>
      </c>
      <c r="B2373" s="316">
        <v>3046</v>
      </c>
      <c r="C2373" s="247" t="s">
        <v>975</v>
      </c>
      <c r="D2373" s="317">
        <v>42670</v>
      </c>
      <c r="E2373" s="318">
        <v>0.52957175925925926</v>
      </c>
      <c r="F2373" s="247" t="s">
        <v>976</v>
      </c>
      <c r="G2373" s="247" t="s">
        <v>1035</v>
      </c>
      <c r="H2373" s="248" t="s">
        <v>404</v>
      </c>
      <c r="I2373" s="248" t="s">
        <v>404</v>
      </c>
      <c r="J2373" s="247" t="s">
        <v>809</v>
      </c>
      <c r="K2373" s="249">
        <v>0</v>
      </c>
      <c r="M2373" s="90">
        <v>0</v>
      </c>
      <c r="N2373" s="90">
        <v>0</v>
      </c>
      <c r="O2373" s="90">
        <v>255</v>
      </c>
    </row>
    <row r="2374" spans="1:15" s="90" customFormat="1" ht="12.75" customHeight="1" x14ac:dyDescent="0.2">
      <c r="A2374" s="247" t="s">
        <v>990</v>
      </c>
      <c r="B2374" s="316">
        <v>3046</v>
      </c>
      <c r="C2374" s="247" t="s">
        <v>975</v>
      </c>
      <c r="D2374" s="317">
        <v>42670</v>
      </c>
      <c r="E2374" s="318">
        <v>0.52990740740740738</v>
      </c>
      <c r="F2374" s="247" t="s">
        <v>976</v>
      </c>
      <c r="G2374" s="247" t="s">
        <v>1035</v>
      </c>
      <c r="H2374" s="248" t="s">
        <v>404</v>
      </c>
      <c r="I2374" s="248" t="s">
        <v>404</v>
      </c>
      <c r="J2374" s="247" t="s">
        <v>809</v>
      </c>
      <c r="K2374" s="249">
        <v>0</v>
      </c>
      <c r="M2374" s="90">
        <v>0</v>
      </c>
      <c r="N2374" s="90">
        <v>0</v>
      </c>
      <c r="O2374" s="90">
        <v>255</v>
      </c>
    </row>
    <row r="2375" spans="1:15" s="90" customFormat="1" ht="12.75" customHeight="1" x14ac:dyDescent="0.2">
      <c r="A2375" s="247" t="s">
        <v>1033</v>
      </c>
      <c r="B2375" s="316">
        <v>3217</v>
      </c>
      <c r="C2375" s="247" t="s">
        <v>975</v>
      </c>
      <c r="D2375" s="317">
        <v>42670</v>
      </c>
      <c r="E2375" s="318">
        <v>0.52990740740740738</v>
      </c>
      <c r="F2375" s="247" t="s">
        <v>235</v>
      </c>
      <c r="G2375" s="247" t="s">
        <v>1035</v>
      </c>
      <c r="H2375" s="248" t="s">
        <v>234</v>
      </c>
      <c r="I2375" s="248" t="s">
        <v>235</v>
      </c>
      <c r="J2375" s="247" t="s">
        <v>809</v>
      </c>
      <c r="K2375" s="249">
        <v>0</v>
      </c>
      <c r="M2375" s="90">
        <v>0</v>
      </c>
      <c r="N2375" s="90">
        <v>0</v>
      </c>
      <c r="O2375" s="90">
        <v>255</v>
      </c>
    </row>
    <row r="2376" spans="1:15" s="90" customFormat="1" ht="12.75" customHeight="1" x14ac:dyDescent="0.2">
      <c r="A2376" s="247" t="s">
        <v>1031</v>
      </c>
      <c r="B2376" s="316">
        <v>3046</v>
      </c>
      <c r="C2376" s="247" t="s">
        <v>975</v>
      </c>
      <c r="D2376" s="317">
        <v>42670</v>
      </c>
      <c r="E2376" s="318">
        <v>0.53339120370370374</v>
      </c>
      <c r="F2376" s="247" t="s">
        <v>976</v>
      </c>
      <c r="G2376" s="247" t="s">
        <v>1035</v>
      </c>
      <c r="H2376" s="248" t="s">
        <v>404</v>
      </c>
      <c r="I2376" s="248" t="s">
        <v>404</v>
      </c>
      <c r="J2376" s="247" t="s">
        <v>809</v>
      </c>
      <c r="K2376" s="249">
        <v>0</v>
      </c>
      <c r="M2376" s="90">
        <v>0</v>
      </c>
      <c r="N2376" s="90">
        <v>0</v>
      </c>
      <c r="O2376" s="90">
        <v>255</v>
      </c>
    </row>
    <row r="2377" spans="1:15" s="90" customFormat="1" ht="12.75" customHeight="1" x14ac:dyDescent="0.2">
      <c r="A2377" s="247" t="s">
        <v>1032</v>
      </c>
      <c r="B2377" s="316">
        <v>3046</v>
      </c>
      <c r="C2377" s="247" t="s">
        <v>975</v>
      </c>
      <c r="D2377" s="317">
        <v>42670</v>
      </c>
      <c r="E2377" s="318">
        <v>0.53699074074074071</v>
      </c>
      <c r="F2377" s="247" t="s">
        <v>976</v>
      </c>
      <c r="G2377" s="247" t="s">
        <v>1035</v>
      </c>
      <c r="H2377" s="248" t="s">
        <v>404</v>
      </c>
      <c r="I2377" s="248" t="s">
        <v>404</v>
      </c>
      <c r="J2377" s="247" t="s">
        <v>809</v>
      </c>
      <c r="K2377" s="249">
        <v>0</v>
      </c>
      <c r="M2377" s="90">
        <v>0</v>
      </c>
      <c r="N2377" s="90">
        <v>0</v>
      </c>
      <c r="O2377" s="90">
        <v>255</v>
      </c>
    </row>
    <row r="2378" spans="1:15" s="90" customFormat="1" ht="12.75" customHeight="1" x14ac:dyDescent="0.2">
      <c r="A2378" s="247" t="s">
        <v>989</v>
      </c>
      <c r="B2378" s="316">
        <v>3046</v>
      </c>
      <c r="C2378" s="247" t="s">
        <v>975</v>
      </c>
      <c r="D2378" s="317">
        <v>42670</v>
      </c>
      <c r="E2378" s="318">
        <v>0.53699074074074071</v>
      </c>
      <c r="F2378" s="247" t="s">
        <v>976</v>
      </c>
      <c r="G2378" s="247" t="s">
        <v>1035</v>
      </c>
      <c r="H2378" s="248" t="s">
        <v>404</v>
      </c>
      <c r="I2378" s="248" t="s">
        <v>404</v>
      </c>
      <c r="J2378" s="247" t="s">
        <v>809</v>
      </c>
      <c r="K2378" s="249">
        <v>0</v>
      </c>
      <c r="M2378" s="90">
        <v>0</v>
      </c>
      <c r="N2378" s="90">
        <v>0</v>
      </c>
      <c r="O2378" s="90">
        <v>255</v>
      </c>
    </row>
    <row r="2379" spans="1:15" s="90" customFormat="1" ht="12.75" customHeight="1" x14ac:dyDescent="0.2">
      <c r="A2379" s="247" t="s">
        <v>990</v>
      </c>
      <c r="B2379" s="316">
        <v>3046</v>
      </c>
      <c r="C2379" s="247" t="s">
        <v>975</v>
      </c>
      <c r="D2379" s="317">
        <v>42670</v>
      </c>
      <c r="E2379" s="318">
        <v>0.53730324074074076</v>
      </c>
      <c r="F2379" s="247" t="s">
        <v>976</v>
      </c>
      <c r="G2379" s="247" t="s">
        <v>1035</v>
      </c>
      <c r="H2379" s="248" t="s">
        <v>404</v>
      </c>
      <c r="I2379" s="248" t="s">
        <v>404</v>
      </c>
      <c r="J2379" s="247" t="s">
        <v>809</v>
      </c>
      <c r="K2379" s="249">
        <v>0</v>
      </c>
      <c r="M2379" s="90">
        <v>0</v>
      </c>
      <c r="N2379" s="90">
        <v>0</v>
      </c>
      <c r="O2379" s="90">
        <v>255</v>
      </c>
    </row>
    <row r="2380" spans="1:15" s="90" customFormat="1" ht="12.75" customHeight="1" x14ac:dyDescent="0.2">
      <c r="A2380" s="247" t="s">
        <v>1033</v>
      </c>
      <c r="B2380" s="316">
        <v>3217</v>
      </c>
      <c r="C2380" s="247" t="s">
        <v>975</v>
      </c>
      <c r="D2380" s="317">
        <v>42670</v>
      </c>
      <c r="E2380" s="318">
        <v>0.53730324074074076</v>
      </c>
      <c r="F2380" s="247" t="s">
        <v>235</v>
      </c>
      <c r="G2380" s="247" t="s">
        <v>1035</v>
      </c>
      <c r="H2380" s="248" t="s">
        <v>234</v>
      </c>
      <c r="I2380" s="248" t="s">
        <v>235</v>
      </c>
      <c r="J2380" s="247" t="s">
        <v>809</v>
      </c>
      <c r="K2380" s="249">
        <v>0</v>
      </c>
      <c r="M2380" s="90">
        <v>0</v>
      </c>
      <c r="N2380" s="90">
        <v>0</v>
      </c>
      <c r="O2380" s="90">
        <v>255</v>
      </c>
    </row>
    <row r="2381" spans="1:15" s="90" customFormat="1" ht="12.75" customHeight="1" x14ac:dyDescent="0.2">
      <c r="A2381" s="247" t="s">
        <v>1031</v>
      </c>
      <c r="B2381" s="316">
        <v>3046</v>
      </c>
      <c r="C2381" s="247" t="s">
        <v>975</v>
      </c>
      <c r="D2381" s="317">
        <v>42670</v>
      </c>
      <c r="E2381" s="318">
        <v>0.54505787037037035</v>
      </c>
      <c r="F2381" s="247" t="s">
        <v>976</v>
      </c>
      <c r="G2381" s="247" t="s">
        <v>1035</v>
      </c>
      <c r="H2381" s="248" t="s">
        <v>404</v>
      </c>
      <c r="I2381" s="248" t="s">
        <v>404</v>
      </c>
      <c r="J2381" s="247" t="s">
        <v>809</v>
      </c>
      <c r="K2381" s="249">
        <v>0</v>
      </c>
      <c r="M2381" s="90">
        <v>0</v>
      </c>
      <c r="N2381" s="90">
        <v>0</v>
      </c>
      <c r="O2381" s="90">
        <v>255</v>
      </c>
    </row>
    <row r="2382" spans="1:15" s="90" customFormat="1" ht="12.75" customHeight="1" x14ac:dyDescent="0.2">
      <c r="A2382" s="247" t="s">
        <v>1032</v>
      </c>
      <c r="B2382" s="316">
        <v>3046</v>
      </c>
      <c r="C2382" s="247" t="s">
        <v>975</v>
      </c>
      <c r="D2382" s="317">
        <v>42670</v>
      </c>
      <c r="E2382" s="318">
        <v>0.54833333333333334</v>
      </c>
      <c r="F2382" s="247" t="s">
        <v>976</v>
      </c>
      <c r="G2382" s="247" t="s">
        <v>1035</v>
      </c>
      <c r="H2382" s="248" t="s">
        <v>404</v>
      </c>
      <c r="I2382" s="248" t="s">
        <v>404</v>
      </c>
      <c r="J2382" s="247" t="s">
        <v>809</v>
      </c>
      <c r="K2382" s="249">
        <v>0</v>
      </c>
      <c r="M2382" s="90">
        <v>0</v>
      </c>
      <c r="N2382" s="90">
        <v>0</v>
      </c>
      <c r="O2382" s="90">
        <v>255</v>
      </c>
    </row>
    <row r="2383" spans="1:15" s="90" customFormat="1" ht="12.75" customHeight="1" x14ac:dyDescent="0.2">
      <c r="A2383" s="247" t="s">
        <v>989</v>
      </c>
      <c r="B2383" s="316">
        <v>3046</v>
      </c>
      <c r="C2383" s="247" t="s">
        <v>975</v>
      </c>
      <c r="D2383" s="317">
        <v>42670</v>
      </c>
      <c r="E2383" s="318">
        <v>0.54833333333333334</v>
      </c>
      <c r="F2383" s="247" t="s">
        <v>976</v>
      </c>
      <c r="G2383" s="247" t="s">
        <v>1035</v>
      </c>
      <c r="H2383" s="248" t="s">
        <v>404</v>
      </c>
      <c r="I2383" s="248" t="s">
        <v>404</v>
      </c>
      <c r="J2383" s="247" t="s">
        <v>809</v>
      </c>
      <c r="K2383" s="249">
        <v>0</v>
      </c>
      <c r="M2383" s="90">
        <v>0</v>
      </c>
      <c r="N2383" s="90">
        <v>0</v>
      </c>
      <c r="O2383" s="90">
        <v>255</v>
      </c>
    </row>
    <row r="2384" spans="1:15" s="90" customFormat="1" ht="12.75" customHeight="1" x14ac:dyDescent="0.2">
      <c r="A2384" s="247" t="s">
        <v>990</v>
      </c>
      <c r="B2384" s="316">
        <v>3046</v>
      </c>
      <c r="C2384" s="247" t="s">
        <v>975</v>
      </c>
      <c r="D2384" s="317">
        <v>42670</v>
      </c>
      <c r="E2384" s="318">
        <v>0.54866898148148147</v>
      </c>
      <c r="F2384" s="247" t="s">
        <v>976</v>
      </c>
      <c r="G2384" s="247" t="s">
        <v>1035</v>
      </c>
      <c r="H2384" s="248" t="s">
        <v>404</v>
      </c>
      <c r="I2384" s="248" t="s">
        <v>404</v>
      </c>
      <c r="J2384" s="247" t="s">
        <v>809</v>
      </c>
      <c r="K2384" s="249">
        <v>0</v>
      </c>
      <c r="M2384" s="90">
        <v>0</v>
      </c>
      <c r="N2384" s="90">
        <v>0</v>
      </c>
      <c r="O2384" s="90">
        <v>255</v>
      </c>
    </row>
    <row r="2385" spans="1:15" s="90" customFormat="1" ht="12.75" customHeight="1" x14ac:dyDescent="0.2">
      <c r="A2385" s="247" t="s">
        <v>1033</v>
      </c>
      <c r="B2385" s="316">
        <v>3217</v>
      </c>
      <c r="C2385" s="247" t="s">
        <v>975</v>
      </c>
      <c r="D2385" s="317">
        <v>42670</v>
      </c>
      <c r="E2385" s="318">
        <v>0.54866898148148147</v>
      </c>
      <c r="F2385" s="247" t="s">
        <v>235</v>
      </c>
      <c r="G2385" s="247" t="s">
        <v>1035</v>
      </c>
      <c r="H2385" s="248" t="s">
        <v>234</v>
      </c>
      <c r="I2385" s="248" t="s">
        <v>235</v>
      </c>
      <c r="J2385" s="247" t="s">
        <v>809</v>
      </c>
      <c r="K2385" s="249">
        <v>0</v>
      </c>
      <c r="M2385" s="90">
        <v>0</v>
      </c>
      <c r="N2385" s="90">
        <v>0</v>
      </c>
      <c r="O2385" s="90">
        <v>255</v>
      </c>
    </row>
    <row r="2386" spans="1:15" s="90" customFormat="1" ht="12.75" customHeight="1" x14ac:dyDescent="0.2">
      <c r="A2386" s="247" t="s">
        <v>1440</v>
      </c>
      <c r="B2386" s="316">
        <v>4070</v>
      </c>
      <c r="C2386" s="247" t="s">
        <v>975</v>
      </c>
      <c r="D2386" s="317">
        <v>42670</v>
      </c>
      <c r="E2386" s="318">
        <v>0.55153935185185188</v>
      </c>
      <c r="F2386" s="247" t="s">
        <v>978</v>
      </c>
      <c r="G2386" s="247" t="s">
        <v>1035</v>
      </c>
      <c r="H2386" s="248"/>
      <c r="I2386" s="248"/>
      <c r="J2386" s="247"/>
      <c r="K2386" s="249"/>
      <c r="M2386" s="90">
        <v>0</v>
      </c>
      <c r="N2386" s="90">
        <v>0</v>
      </c>
      <c r="O2386" s="90">
        <v>255</v>
      </c>
    </row>
    <row r="2387" spans="1:15" s="90" customFormat="1" ht="12.75" customHeight="1" x14ac:dyDescent="0.2">
      <c r="A2387" s="247" t="s">
        <v>1031</v>
      </c>
      <c r="B2387" s="316">
        <v>3046</v>
      </c>
      <c r="C2387" s="247" t="s">
        <v>975</v>
      </c>
      <c r="D2387" s="317">
        <v>42670</v>
      </c>
      <c r="E2387" s="318">
        <v>0.5516550925925926</v>
      </c>
      <c r="F2387" s="247" t="s">
        <v>976</v>
      </c>
      <c r="G2387" s="247" t="s">
        <v>1035</v>
      </c>
      <c r="H2387" s="248" t="s">
        <v>404</v>
      </c>
      <c r="I2387" s="248" t="s">
        <v>404</v>
      </c>
      <c r="J2387" s="247" t="s">
        <v>809</v>
      </c>
      <c r="K2387" s="249">
        <v>0</v>
      </c>
      <c r="M2387" s="90">
        <v>0</v>
      </c>
      <c r="N2387" s="90">
        <v>0</v>
      </c>
      <c r="O2387" s="90">
        <v>255</v>
      </c>
    </row>
    <row r="2388" spans="1:15" s="90" customFormat="1" ht="12.75" customHeight="1" x14ac:dyDescent="0.2">
      <c r="A2388" s="247" t="s">
        <v>1032</v>
      </c>
      <c r="B2388" s="316">
        <v>3046</v>
      </c>
      <c r="C2388" s="247" t="s">
        <v>975</v>
      </c>
      <c r="D2388" s="317">
        <v>42670</v>
      </c>
      <c r="E2388" s="318">
        <v>0.55428240740740742</v>
      </c>
      <c r="F2388" s="247" t="s">
        <v>976</v>
      </c>
      <c r="G2388" s="247" t="s">
        <v>1035</v>
      </c>
      <c r="H2388" s="248" t="s">
        <v>404</v>
      </c>
      <c r="I2388" s="248" t="s">
        <v>404</v>
      </c>
      <c r="J2388" s="247" t="s">
        <v>809</v>
      </c>
      <c r="K2388" s="249">
        <v>0</v>
      </c>
      <c r="M2388" s="90">
        <v>0</v>
      </c>
      <c r="N2388" s="90">
        <v>0</v>
      </c>
      <c r="O2388" s="90">
        <v>255</v>
      </c>
    </row>
    <row r="2389" spans="1:15" s="90" customFormat="1" ht="12.75" customHeight="1" x14ac:dyDescent="0.2">
      <c r="A2389" s="247" t="s">
        <v>989</v>
      </c>
      <c r="B2389" s="316">
        <v>3046</v>
      </c>
      <c r="C2389" s="247" t="s">
        <v>975</v>
      </c>
      <c r="D2389" s="317">
        <v>42670</v>
      </c>
      <c r="E2389" s="318">
        <v>0.55429398148148146</v>
      </c>
      <c r="F2389" s="247" t="s">
        <v>976</v>
      </c>
      <c r="G2389" s="247" t="s">
        <v>1035</v>
      </c>
      <c r="H2389" s="248" t="s">
        <v>404</v>
      </c>
      <c r="I2389" s="248" t="s">
        <v>404</v>
      </c>
      <c r="J2389" s="247" t="s">
        <v>809</v>
      </c>
      <c r="K2389" s="249">
        <v>0</v>
      </c>
      <c r="M2389" s="90">
        <v>0</v>
      </c>
      <c r="N2389" s="90">
        <v>0</v>
      </c>
      <c r="O2389" s="90">
        <v>255</v>
      </c>
    </row>
    <row r="2390" spans="1:15" s="90" customFormat="1" ht="12.75" customHeight="1" x14ac:dyDescent="0.2">
      <c r="A2390" s="247" t="s">
        <v>990</v>
      </c>
      <c r="B2390" s="316">
        <v>3046</v>
      </c>
      <c r="C2390" s="247" t="s">
        <v>975</v>
      </c>
      <c r="D2390" s="317">
        <v>42670</v>
      </c>
      <c r="E2390" s="318">
        <v>0.55459490740740736</v>
      </c>
      <c r="F2390" s="247" t="s">
        <v>976</v>
      </c>
      <c r="G2390" s="247" t="s">
        <v>1035</v>
      </c>
      <c r="H2390" s="248" t="s">
        <v>404</v>
      </c>
      <c r="I2390" s="248" t="s">
        <v>404</v>
      </c>
      <c r="J2390" s="247" t="s">
        <v>809</v>
      </c>
      <c r="K2390" s="249">
        <v>0</v>
      </c>
      <c r="M2390" s="90">
        <v>0</v>
      </c>
      <c r="N2390" s="90">
        <v>0</v>
      </c>
      <c r="O2390" s="90">
        <v>255</v>
      </c>
    </row>
    <row r="2391" spans="1:15" s="90" customFormat="1" ht="12.75" customHeight="1" x14ac:dyDescent="0.2">
      <c r="A2391" s="247" t="s">
        <v>1033</v>
      </c>
      <c r="B2391" s="316">
        <v>3217</v>
      </c>
      <c r="C2391" s="247" t="s">
        <v>975</v>
      </c>
      <c r="D2391" s="317">
        <v>42670</v>
      </c>
      <c r="E2391" s="318">
        <v>0.55459490740740736</v>
      </c>
      <c r="F2391" s="247" t="s">
        <v>235</v>
      </c>
      <c r="G2391" s="247" t="s">
        <v>1035</v>
      </c>
      <c r="H2391" s="248" t="s">
        <v>234</v>
      </c>
      <c r="I2391" s="248" t="s">
        <v>235</v>
      </c>
      <c r="J2391" s="247" t="s">
        <v>809</v>
      </c>
      <c r="K2391" s="249">
        <v>0</v>
      </c>
      <c r="M2391" s="90">
        <v>0</v>
      </c>
      <c r="N2391" s="90">
        <v>0</v>
      </c>
      <c r="O2391" s="90">
        <v>255</v>
      </c>
    </row>
    <row r="2392" spans="1:15" s="90" customFormat="1" ht="12.75" customHeight="1" x14ac:dyDescent="0.2">
      <c r="A2392" s="247" t="s">
        <v>989</v>
      </c>
      <c r="B2392" s="316">
        <v>3046</v>
      </c>
      <c r="C2392" s="247" t="s">
        <v>975</v>
      </c>
      <c r="D2392" s="317">
        <v>42670</v>
      </c>
      <c r="E2392" s="318">
        <v>0.59627314814814814</v>
      </c>
      <c r="F2392" s="247" t="s">
        <v>976</v>
      </c>
      <c r="G2392" s="247" t="s">
        <v>1035</v>
      </c>
      <c r="H2392" s="248" t="s">
        <v>404</v>
      </c>
      <c r="I2392" s="248" t="s">
        <v>404</v>
      </c>
      <c r="J2392" s="247" t="s">
        <v>809</v>
      </c>
      <c r="K2392" s="249">
        <v>0</v>
      </c>
      <c r="M2392" s="90">
        <v>0</v>
      </c>
      <c r="N2392" s="90">
        <v>0</v>
      </c>
      <c r="O2392" s="90">
        <v>255</v>
      </c>
    </row>
    <row r="2393" spans="1:15" s="90" customFormat="1" ht="12.75" customHeight="1" x14ac:dyDescent="0.2">
      <c r="A2393" s="247" t="s">
        <v>1441</v>
      </c>
      <c r="B2393" s="316">
        <v>3218</v>
      </c>
      <c r="C2393" s="247" t="s">
        <v>979</v>
      </c>
      <c r="D2393" s="317">
        <v>42670</v>
      </c>
      <c r="E2393" s="318">
        <v>0.59649305555555554</v>
      </c>
      <c r="F2393" s="247" t="s">
        <v>702</v>
      </c>
      <c r="G2393" s="247" t="s">
        <v>1035</v>
      </c>
      <c r="H2393" s="248"/>
      <c r="I2393" s="248"/>
      <c r="J2393" s="247"/>
      <c r="K2393" s="249"/>
      <c r="M2393" s="90">
        <v>0</v>
      </c>
      <c r="N2393" s="90">
        <v>0</v>
      </c>
      <c r="O2393" s="90">
        <v>255</v>
      </c>
    </row>
    <row r="2394" spans="1:15" s="90" customFormat="1" ht="12.75" customHeight="1" x14ac:dyDescent="0.2">
      <c r="A2394" s="247" t="s">
        <v>1442</v>
      </c>
      <c r="B2394" s="316">
        <v>3218</v>
      </c>
      <c r="C2394" s="247" t="s">
        <v>979</v>
      </c>
      <c r="D2394" s="317">
        <v>42670</v>
      </c>
      <c r="E2394" s="318">
        <v>0.59649305555555554</v>
      </c>
      <c r="F2394" s="247" t="s">
        <v>702</v>
      </c>
      <c r="G2394" s="247" t="s">
        <v>1035</v>
      </c>
      <c r="H2394" s="248"/>
      <c r="I2394" s="248"/>
      <c r="J2394" s="247"/>
      <c r="K2394" s="249"/>
      <c r="M2394" s="90">
        <v>0</v>
      </c>
      <c r="N2394" s="90">
        <v>0</v>
      </c>
      <c r="O2394" s="90">
        <v>255</v>
      </c>
    </row>
    <row r="2395" spans="1:15" s="90" customFormat="1" ht="12.75" customHeight="1" x14ac:dyDescent="0.2">
      <c r="A2395" s="247" t="s">
        <v>1443</v>
      </c>
      <c r="B2395" s="316">
        <v>3218</v>
      </c>
      <c r="C2395" s="247" t="s">
        <v>979</v>
      </c>
      <c r="D2395" s="317">
        <v>42670</v>
      </c>
      <c r="E2395" s="318">
        <v>0.59649305555555554</v>
      </c>
      <c r="F2395" s="247" t="s">
        <v>702</v>
      </c>
      <c r="G2395" s="247" t="s">
        <v>1035</v>
      </c>
      <c r="H2395" s="248"/>
      <c r="I2395" s="248"/>
      <c r="J2395" s="247"/>
      <c r="K2395" s="249"/>
      <c r="M2395" s="90">
        <v>0</v>
      </c>
      <c r="N2395" s="90">
        <v>0</v>
      </c>
      <c r="O2395" s="90">
        <v>255</v>
      </c>
    </row>
    <row r="2396" spans="1:15" s="90" customFormat="1" ht="12.75" customHeight="1" x14ac:dyDescent="0.2">
      <c r="A2396" s="247" t="s">
        <v>1444</v>
      </c>
      <c r="B2396" s="316">
        <v>3218</v>
      </c>
      <c r="C2396" s="247" t="s">
        <v>979</v>
      </c>
      <c r="D2396" s="317">
        <v>42670</v>
      </c>
      <c r="E2396" s="318">
        <v>0.59649305555555554</v>
      </c>
      <c r="F2396" s="247" t="s">
        <v>702</v>
      </c>
      <c r="G2396" s="247" t="s">
        <v>1035</v>
      </c>
      <c r="H2396" s="248"/>
      <c r="I2396" s="248"/>
      <c r="J2396" s="247"/>
      <c r="K2396" s="249"/>
      <c r="M2396" s="90">
        <v>0</v>
      </c>
      <c r="N2396" s="90">
        <v>0</v>
      </c>
      <c r="O2396" s="90">
        <v>255</v>
      </c>
    </row>
    <row r="2397" spans="1:15" s="90" customFormat="1" ht="12.75" customHeight="1" x14ac:dyDescent="0.2">
      <c r="A2397" s="247" t="s">
        <v>1445</v>
      </c>
      <c r="B2397" s="316">
        <v>3218</v>
      </c>
      <c r="C2397" s="247" t="s">
        <v>979</v>
      </c>
      <c r="D2397" s="317">
        <v>42670</v>
      </c>
      <c r="E2397" s="318">
        <v>0.59649305555555554</v>
      </c>
      <c r="F2397" s="247" t="s">
        <v>702</v>
      </c>
      <c r="G2397" s="247" t="s">
        <v>1035</v>
      </c>
      <c r="H2397" s="248"/>
      <c r="I2397" s="248"/>
      <c r="J2397" s="247"/>
      <c r="K2397" s="249"/>
      <c r="M2397" s="90">
        <v>0</v>
      </c>
      <c r="N2397" s="90">
        <v>0</v>
      </c>
      <c r="O2397" s="90">
        <v>255</v>
      </c>
    </row>
    <row r="2398" spans="1:15" s="90" customFormat="1" ht="12.75" customHeight="1" x14ac:dyDescent="0.2">
      <c r="A2398" s="247" t="s">
        <v>990</v>
      </c>
      <c r="B2398" s="316">
        <v>3046</v>
      </c>
      <c r="C2398" s="247" t="s">
        <v>975</v>
      </c>
      <c r="D2398" s="317">
        <v>42670</v>
      </c>
      <c r="E2398" s="318">
        <v>0.59651620370370373</v>
      </c>
      <c r="F2398" s="247" t="s">
        <v>976</v>
      </c>
      <c r="G2398" s="247" t="s">
        <v>1035</v>
      </c>
      <c r="H2398" s="248" t="s">
        <v>404</v>
      </c>
      <c r="I2398" s="248" t="s">
        <v>404</v>
      </c>
      <c r="J2398" s="247" t="s">
        <v>809</v>
      </c>
      <c r="K2398" s="249">
        <v>0</v>
      </c>
      <c r="M2398" s="90">
        <v>0</v>
      </c>
      <c r="N2398" s="90">
        <v>0</v>
      </c>
      <c r="O2398" s="90">
        <v>255</v>
      </c>
    </row>
    <row r="2399" spans="1:15" s="90" customFormat="1" ht="12.75" customHeight="1" x14ac:dyDescent="0.2">
      <c r="A2399" s="247" t="s">
        <v>993</v>
      </c>
      <c r="B2399" s="316">
        <v>3217</v>
      </c>
      <c r="C2399" s="247" t="s">
        <v>975</v>
      </c>
      <c r="D2399" s="317">
        <v>42670</v>
      </c>
      <c r="E2399" s="318">
        <v>0.59651620370370373</v>
      </c>
      <c r="F2399" s="247" t="s">
        <v>235</v>
      </c>
      <c r="G2399" s="247" t="s">
        <v>1035</v>
      </c>
      <c r="H2399" s="248" t="s">
        <v>234</v>
      </c>
      <c r="I2399" s="248" t="s">
        <v>235</v>
      </c>
      <c r="J2399" s="247" t="s">
        <v>809</v>
      </c>
      <c r="K2399" s="249">
        <v>0</v>
      </c>
      <c r="M2399" s="90">
        <v>0</v>
      </c>
      <c r="N2399" s="90">
        <v>0</v>
      </c>
      <c r="O2399" s="90">
        <v>255</v>
      </c>
    </row>
    <row r="2400" spans="1:15" s="90" customFormat="1" ht="12.75" customHeight="1" x14ac:dyDescent="0.2">
      <c r="A2400" s="247" t="s">
        <v>1031</v>
      </c>
      <c r="B2400" s="316">
        <v>3046</v>
      </c>
      <c r="C2400" s="247" t="s">
        <v>975</v>
      </c>
      <c r="D2400" s="317">
        <v>42670</v>
      </c>
      <c r="E2400" s="318">
        <v>0.59686342592592589</v>
      </c>
      <c r="F2400" s="247" t="s">
        <v>976</v>
      </c>
      <c r="G2400" s="247" t="s">
        <v>1035</v>
      </c>
      <c r="H2400" s="248" t="s">
        <v>404</v>
      </c>
      <c r="I2400" s="248" t="s">
        <v>404</v>
      </c>
      <c r="J2400" s="247" t="s">
        <v>809</v>
      </c>
      <c r="K2400" s="249">
        <v>0</v>
      </c>
      <c r="M2400" s="90">
        <v>0</v>
      </c>
      <c r="N2400" s="90">
        <v>0</v>
      </c>
      <c r="O2400" s="90">
        <v>255</v>
      </c>
    </row>
    <row r="2401" spans="1:15" s="90" customFormat="1" ht="12.75" customHeight="1" x14ac:dyDescent="0.2">
      <c r="A2401" s="247" t="s">
        <v>1032</v>
      </c>
      <c r="B2401" s="316">
        <v>3046</v>
      </c>
      <c r="C2401" s="247" t="s">
        <v>975</v>
      </c>
      <c r="D2401" s="317">
        <v>42670</v>
      </c>
      <c r="E2401" s="318">
        <v>0.60016203703703697</v>
      </c>
      <c r="F2401" s="247" t="s">
        <v>976</v>
      </c>
      <c r="G2401" s="247" t="s">
        <v>1035</v>
      </c>
      <c r="H2401" s="248" t="s">
        <v>404</v>
      </c>
      <c r="I2401" s="248" t="s">
        <v>404</v>
      </c>
      <c r="J2401" s="247" t="s">
        <v>809</v>
      </c>
      <c r="K2401" s="249">
        <v>0</v>
      </c>
      <c r="M2401" s="90">
        <v>0</v>
      </c>
      <c r="N2401" s="90">
        <v>0</v>
      </c>
      <c r="O2401" s="90">
        <v>255</v>
      </c>
    </row>
    <row r="2402" spans="1:15" s="90" customFormat="1" ht="12.75" customHeight="1" x14ac:dyDescent="0.2">
      <c r="A2402" s="247" t="s">
        <v>989</v>
      </c>
      <c r="B2402" s="316">
        <v>3046</v>
      </c>
      <c r="C2402" s="247" t="s">
        <v>975</v>
      </c>
      <c r="D2402" s="317">
        <v>42670</v>
      </c>
      <c r="E2402" s="318">
        <v>0.60016203703703697</v>
      </c>
      <c r="F2402" s="247" t="s">
        <v>976</v>
      </c>
      <c r="G2402" s="247" t="s">
        <v>1035</v>
      </c>
      <c r="H2402" s="248" t="s">
        <v>404</v>
      </c>
      <c r="I2402" s="248" t="s">
        <v>404</v>
      </c>
      <c r="J2402" s="247" t="s">
        <v>809</v>
      </c>
      <c r="K2402" s="249">
        <v>0</v>
      </c>
      <c r="M2402" s="90">
        <v>0</v>
      </c>
      <c r="N2402" s="90">
        <v>0</v>
      </c>
      <c r="O2402" s="90">
        <v>255</v>
      </c>
    </row>
    <row r="2403" spans="1:15" s="90" customFormat="1" ht="12.75" customHeight="1" x14ac:dyDescent="0.2">
      <c r="A2403" s="247" t="s">
        <v>990</v>
      </c>
      <c r="B2403" s="316">
        <v>3046</v>
      </c>
      <c r="C2403" s="247" t="s">
        <v>975</v>
      </c>
      <c r="D2403" s="317">
        <v>42670</v>
      </c>
      <c r="E2403" s="318">
        <v>0.6004976851851852</v>
      </c>
      <c r="F2403" s="247" t="s">
        <v>976</v>
      </c>
      <c r="G2403" s="247" t="s">
        <v>1035</v>
      </c>
      <c r="H2403" s="248" t="s">
        <v>404</v>
      </c>
      <c r="I2403" s="248" t="s">
        <v>404</v>
      </c>
      <c r="J2403" s="247" t="s">
        <v>809</v>
      </c>
      <c r="K2403" s="249">
        <v>0</v>
      </c>
      <c r="M2403" s="90">
        <v>0</v>
      </c>
      <c r="N2403" s="90">
        <v>0</v>
      </c>
      <c r="O2403" s="90">
        <v>255</v>
      </c>
    </row>
    <row r="2404" spans="1:15" s="90" customFormat="1" ht="12.75" customHeight="1" x14ac:dyDescent="0.2">
      <c r="A2404" s="247" t="s">
        <v>1033</v>
      </c>
      <c r="B2404" s="316">
        <v>3217</v>
      </c>
      <c r="C2404" s="247" t="s">
        <v>975</v>
      </c>
      <c r="D2404" s="317">
        <v>42670</v>
      </c>
      <c r="E2404" s="318">
        <v>0.6004976851851852</v>
      </c>
      <c r="F2404" s="247" t="s">
        <v>235</v>
      </c>
      <c r="G2404" s="247" t="s">
        <v>1035</v>
      </c>
      <c r="H2404" s="248" t="s">
        <v>234</v>
      </c>
      <c r="I2404" s="248" t="s">
        <v>235</v>
      </c>
      <c r="J2404" s="247" t="s">
        <v>809</v>
      </c>
      <c r="K2404" s="249">
        <v>0</v>
      </c>
      <c r="M2404" s="90">
        <v>0</v>
      </c>
      <c r="N2404" s="90">
        <v>0</v>
      </c>
      <c r="O2404" s="90">
        <v>255</v>
      </c>
    </row>
    <row r="2405" spans="1:15" s="90" customFormat="1" ht="12.75" customHeight="1" x14ac:dyDescent="0.2">
      <c r="A2405" s="247" t="s">
        <v>1031</v>
      </c>
      <c r="B2405" s="316">
        <v>3046</v>
      </c>
      <c r="C2405" s="247" t="s">
        <v>975</v>
      </c>
      <c r="D2405" s="317">
        <v>42670</v>
      </c>
      <c r="E2405" s="318">
        <v>0.60076388888888888</v>
      </c>
      <c r="F2405" s="247" t="s">
        <v>976</v>
      </c>
      <c r="G2405" s="247" t="s">
        <v>1035</v>
      </c>
      <c r="H2405" s="248" t="s">
        <v>404</v>
      </c>
      <c r="I2405" s="248" t="s">
        <v>404</v>
      </c>
      <c r="J2405" s="247" t="s">
        <v>809</v>
      </c>
      <c r="K2405" s="249">
        <v>0</v>
      </c>
      <c r="M2405" s="90">
        <v>0</v>
      </c>
      <c r="N2405" s="90">
        <v>0</v>
      </c>
      <c r="O2405" s="90">
        <v>255</v>
      </c>
    </row>
    <row r="2406" spans="1:15" s="90" customFormat="1" ht="12.75" customHeight="1" x14ac:dyDescent="0.2">
      <c r="A2406" s="247" t="s">
        <v>1070</v>
      </c>
      <c r="B2406" s="316">
        <v>3001</v>
      </c>
      <c r="C2406" s="247" t="s">
        <v>996</v>
      </c>
      <c r="D2406" s="317">
        <v>42670</v>
      </c>
      <c r="E2406" s="318">
        <v>0.60162037037037031</v>
      </c>
      <c r="F2406" s="247" t="s">
        <v>702</v>
      </c>
      <c r="G2406" s="247" t="s">
        <v>1035</v>
      </c>
      <c r="H2406" s="248" t="s">
        <v>121</v>
      </c>
      <c r="I2406" s="248" t="s">
        <v>122</v>
      </c>
      <c r="J2406" s="247" t="s">
        <v>809</v>
      </c>
      <c r="K2406" s="249">
        <v>0</v>
      </c>
      <c r="M2406" s="90">
        <v>0</v>
      </c>
      <c r="N2406" s="90">
        <v>0</v>
      </c>
      <c r="O2406" s="90">
        <v>255</v>
      </c>
    </row>
    <row r="2407" spans="1:15" s="90" customFormat="1" ht="12.75" customHeight="1" x14ac:dyDescent="0.2">
      <c r="A2407" s="247" t="s">
        <v>1351</v>
      </c>
      <c r="B2407" s="316">
        <v>2083</v>
      </c>
      <c r="C2407" s="247" t="s">
        <v>979</v>
      </c>
      <c r="D2407" s="317">
        <v>42670</v>
      </c>
      <c r="E2407" s="318">
        <v>0.60627314814814814</v>
      </c>
      <c r="F2407" s="247" t="s">
        <v>702</v>
      </c>
      <c r="G2407" s="247" t="s">
        <v>1035</v>
      </c>
      <c r="H2407" s="248" t="s">
        <v>121</v>
      </c>
      <c r="I2407" s="248" t="s">
        <v>122</v>
      </c>
      <c r="J2407" s="247" t="s">
        <v>809</v>
      </c>
      <c r="K2407" s="249">
        <v>0</v>
      </c>
      <c r="M2407" s="90">
        <v>0</v>
      </c>
      <c r="N2407" s="90">
        <v>0</v>
      </c>
      <c r="O2407" s="90">
        <v>255</v>
      </c>
    </row>
    <row r="2408" spans="1:15" s="90" customFormat="1" ht="12.75" customHeight="1" x14ac:dyDescent="0.2">
      <c r="A2408" s="247" t="s">
        <v>1032</v>
      </c>
      <c r="B2408" s="316">
        <v>3046</v>
      </c>
      <c r="C2408" s="247" t="s">
        <v>975</v>
      </c>
      <c r="D2408" s="317">
        <v>42670</v>
      </c>
      <c r="E2408" s="318">
        <v>0.60807870370370376</v>
      </c>
      <c r="F2408" s="247" t="s">
        <v>976</v>
      </c>
      <c r="G2408" s="247" t="s">
        <v>1035</v>
      </c>
      <c r="H2408" s="248" t="s">
        <v>404</v>
      </c>
      <c r="I2408" s="248" t="s">
        <v>404</v>
      </c>
      <c r="J2408" s="247" t="s">
        <v>809</v>
      </c>
      <c r="K2408" s="249">
        <v>0</v>
      </c>
      <c r="M2408" s="90">
        <v>0</v>
      </c>
      <c r="N2408" s="90">
        <v>0</v>
      </c>
      <c r="O2408" s="90">
        <v>255</v>
      </c>
    </row>
    <row r="2409" spans="1:15" s="90" customFormat="1" ht="12.75" customHeight="1" x14ac:dyDescent="0.2">
      <c r="A2409" s="247" t="s">
        <v>989</v>
      </c>
      <c r="B2409" s="316">
        <v>3046</v>
      </c>
      <c r="C2409" s="247" t="s">
        <v>975</v>
      </c>
      <c r="D2409" s="317">
        <v>42670</v>
      </c>
      <c r="E2409" s="318">
        <v>0.60807870370370376</v>
      </c>
      <c r="F2409" s="247" t="s">
        <v>976</v>
      </c>
      <c r="G2409" s="247" t="s">
        <v>1035</v>
      </c>
      <c r="H2409" s="248" t="s">
        <v>404</v>
      </c>
      <c r="I2409" s="248" t="s">
        <v>404</v>
      </c>
      <c r="J2409" s="247" t="s">
        <v>809</v>
      </c>
      <c r="K2409" s="249">
        <v>0</v>
      </c>
      <c r="M2409" s="90">
        <v>0</v>
      </c>
      <c r="N2409" s="90">
        <v>0</v>
      </c>
      <c r="O2409" s="90">
        <v>255</v>
      </c>
    </row>
    <row r="2410" spans="1:15" s="90" customFormat="1" ht="12.75" customHeight="1" x14ac:dyDescent="0.2">
      <c r="A2410" s="247" t="s">
        <v>1033</v>
      </c>
      <c r="B2410" s="316">
        <v>3217</v>
      </c>
      <c r="C2410" s="247" t="s">
        <v>975</v>
      </c>
      <c r="D2410" s="317">
        <v>42670</v>
      </c>
      <c r="E2410" s="318">
        <v>0.60837962962962966</v>
      </c>
      <c r="F2410" s="247" t="s">
        <v>235</v>
      </c>
      <c r="G2410" s="247" t="s">
        <v>1035</v>
      </c>
      <c r="H2410" s="248" t="s">
        <v>234</v>
      </c>
      <c r="I2410" s="248" t="s">
        <v>235</v>
      </c>
      <c r="J2410" s="247" t="s">
        <v>809</v>
      </c>
      <c r="K2410" s="249">
        <v>0</v>
      </c>
      <c r="M2410" s="90">
        <v>0</v>
      </c>
      <c r="N2410" s="90">
        <v>0</v>
      </c>
      <c r="O2410" s="90">
        <v>255</v>
      </c>
    </row>
    <row r="2411" spans="1:15" s="90" customFormat="1" ht="12.75" customHeight="1" x14ac:dyDescent="0.2">
      <c r="A2411" s="247" t="s">
        <v>990</v>
      </c>
      <c r="B2411" s="316">
        <v>3046</v>
      </c>
      <c r="C2411" s="247" t="s">
        <v>975</v>
      </c>
      <c r="D2411" s="317">
        <v>42670</v>
      </c>
      <c r="E2411" s="318">
        <v>0.6083912037037037</v>
      </c>
      <c r="F2411" s="247" t="s">
        <v>976</v>
      </c>
      <c r="G2411" s="247" t="s">
        <v>1035</v>
      </c>
      <c r="H2411" s="248" t="s">
        <v>404</v>
      </c>
      <c r="I2411" s="248" t="s">
        <v>404</v>
      </c>
      <c r="J2411" s="247" t="s">
        <v>809</v>
      </c>
      <c r="K2411" s="249">
        <v>0</v>
      </c>
      <c r="M2411" s="90">
        <v>0</v>
      </c>
      <c r="N2411" s="90">
        <v>0</v>
      </c>
      <c r="O2411" s="90">
        <v>255</v>
      </c>
    </row>
    <row r="2412" spans="1:15" s="90" customFormat="1" ht="12.75" customHeight="1" x14ac:dyDescent="0.2">
      <c r="A2412" s="247" t="s">
        <v>989</v>
      </c>
      <c r="B2412" s="316">
        <v>3046</v>
      </c>
      <c r="C2412" s="247" t="s">
        <v>975</v>
      </c>
      <c r="D2412" s="317">
        <v>42670</v>
      </c>
      <c r="E2412" s="318">
        <v>0.65005787037037044</v>
      </c>
      <c r="F2412" s="247" t="s">
        <v>976</v>
      </c>
      <c r="G2412" s="247" t="s">
        <v>1035</v>
      </c>
      <c r="H2412" s="248" t="s">
        <v>404</v>
      </c>
      <c r="I2412" s="248" t="s">
        <v>404</v>
      </c>
      <c r="J2412" s="247" t="s">
        <v>809</v>
      </c>
      <c r="K2412" s="249">
        <v>0</v>
      </c>
      <c r="M2412" s="90">
        <v>0</v>
      </c>
      <c r="N2412" s="90">
        <v>0</v>
      </c>
      <c r="O2412" s="90">
        <v>255</v>
      </c>
    </row>
    <row r="2413" spans="1:15" s="90" customFormat="1" ht="12.75" customHeight="1" x14ac:dyDescent="0.2">
      <c r="A2413" s="247" t="s">
        <v>990</v>
      </c>
      <c r="B2413" s="316">
        <v>3046</v>
      </c>
      <c r="C2413" s="247" t="s">
        <v>975</v>
      </c>
      <c r="D2413" s="317">
        <v>42670</v>
      </c>
      <c r="E2413" s="318">
        <v>0.65031249999999996</v>
      </c>
      <c r="F2413" s="247" t="s">
        <v>976</v>
      </c>
      <c r="G2413" s="247" t="s">
        <v>1035</v>
      </c>
      <c r="H2413" s="248" t="s">
        <v>404</v>
      </c>
      <c r="I2413" s="248" t="s">
        <v>404</v>
      </c>
      <c r="J2413" s="247" t="s">
        <v>809</v>
      </c>
      <c r="K2413" s="249">
        <v>0</v>
      </c>
      <c r="M2413" s="90">
        <v>0</v>
      </c>
      <c r="N2413" s="90">
        <v>0</v>
      </c>
      <c r="O2413" s="90">
        <v>255</v>
      </c>
    </row>
    <row r="2414" spans="1:15" s="90" customFormat="1" ht="12.75" customHeight="1" x14ac:dyDescent="0.2">
      <c r="A2414" s="247" t="s">
        <v>993</v>
      </c>
      <c r="B2414" s="316">
        <v>3217</v>
      </c>
      <c r="C2414" s="247" t="s">
        <v>975</v>
      </c>
      <c r="D2414" s="317">
        <v>42670</v>
      </c>
      <c r="E2414" s="318">
        <v>0.65031249999999996</v>
      </c>
      <c r="F2414" s="247" t="s">
        <v>235</v>
      </c>
      <c r="G2414" s="247" t="s">
        <v>1035</v>
      </c>
      <c r="H2414" s="248" t="s">
        <v>234</v>
      </c>
      <c r="I2414" s="248" t="s">
        <v>235</v>
      </c>
      <c r="J2414" s="247" t="s">
        <v>809</v>
      </c>
      <c r="K2414" s="249">
        <v>0</v>
      </c>
      <c r="M2414" s="90">
        <v>0</v>
      </c>
      <c r="N2414" s="90">
        <v>0</v>
      </c>
      <c r="O2414" s="90">
        <v>255</v>
      </c>
    </row>
    <row r="2415" spans="1:15" s="90" customFormat="1" ht="12.75" customHeight="1" x14ac:dyDescent="0.2">
      <c r="A2415" s="247" t="s">
        <v>989</v>
      </c>
      <c r="B2415" s="316">
        <v>3046</v>
      </c>
      <c r="C2415" s="247" t="s">
        <v>975</v>
      </c>
      <c r="D2415" s="317">
        <v>42670</v>
      </c>
      <c r="E2415" s="318">
        <v>0.6919791666666667</v>
      </c>
      <c r="F2415" s="247" t="s">
        <v>976</v>
      </c>
      <c r="G2415" s="247" t="s">
        <v>1035</v>
      </c>
      <c r="H2415" s="248" t="s">
        <v>404</v>
      </c>
      <c r="I2415" s="248" t="s">
        <v>404</v>
      </c>
      <c r="J2415" s="247" t="s">
        <v>809</v>
      </c>
      <c r="K2415" s="249">
        <v>0</v>
      </c>
      <c r="M2415" s="90">
        <v>0</v>
      </c>
      <c r="N2415" s="90">
        <v>0</v>
      </c>
      <c r="O2415" s="90">
        <v>255</v>
      </c>
    </row>
    <row r="2416" spans="1:15" s="90" customFormat="1" ht="12.75" customHeight="1" x14ac:dyDescent="0.2">
      <c r="A2416" s="247" t="s">
        <v>993</v>
      </c>
      <c r="B2416" s="316">
        <v>3217</v>
      </c>
      <c r="C2416" s="247" t="s">
        <v>975</v>
      </c>
      <c r="D2416" s="317">
        <v>42670</v>
      </c>
      <c r="E2416" s="318">
        <v>0.69222222222222218</v>
      </c>
      <c r="F2416" s="247" t="s">
        <v>235</v>
      </c>
      <c r="G2416" s="247" t="s">
        <v>1035</v>
      </c>
      <c r="H2416" s="248" t="s">
        <v>234</v>
      </c>
      <c r="I2416" s="248" t="s">
        <v>235</v>
      </c>
      <c r="J2416" s="247" t="s">
        <v>809</v>
      </c>
      <c r="K2416" s="249">
        <v>0</v>
      </c>
      <c r="M2416" s="90">
        <v>0</v>
      </c>
      <c r="N2416" s="90">
        <v>0</v>
      </c>
      <c r="O2416" s="90">
        <v>255</v>
      </c>
    </row>
    <row r="2417" spans="1:15" s="90" customFormat="1" ht="12.75" customHeight="1" x14ac:dyDescent="0.2">
      <c r="A2417" s="247" t="s">
        <v>990</v>
      </c>
      <c r="B2417" s="316">
        <v>3046</v>
      </c>
      <c r="C2417" s="247" t="s">
        <v>975</v>
      </c>
      <c r="D2417" s="317">
        <v>42670</v>
      </c>
      <c r="E2417" s="318">
        <v>0.69223379629629633</v>
      </c>
      <c r="F2417" s="247" t="s">
        <v>976</v>
      </c>
      <c r="G2417" s="247" t="s">
        <v>1035</v>
      </c>
      <c r="H2417" s="248" t="s">
        <v>404</v>
      </c>
      <c r="I2417" s="248" t="s">
        <v>404</v>
      </c>
      <c r="J2417" s="247" t="s">
        <v>809</v>
      </c>
      <c r="K2417" s="249">
        <v>0</v>
      </c>
      <c r="M2417" s="90">
        <v>0</v>
      </c>
      <c r="N2417" s="90">
        <v>0</v>
      </c>
      <c r="O2417" s="90">
        <v>255</v>
      </c>
    </row>
    <row r="2418" spans="1:15" s="90" customFormat="1" ht="12.75" customHeight="1" x14ac:dyDescent="0.2">
      <c r="A2418" s="247" t="s">
        <v>1405</v>
      </c>
      <c r="B2418" s="316">
        <v>3121</v>
      </c>
      <c r="C2418" s="247" t="s">
        <v>975</v>
      </c>
      <c r="D2418" s="317">
        <v>42670</v>
      </c>
      <c r="E2418" s="318">
        <v>0.70043981481481488</v>
      </c>
      <c r="F2418" s="247" t="s">
        <v>978</v>
      </c>
      <c r="G2418" s="247" t="s">
        <v>1035</v>
      </c>
      <c r="H2418" s="248"/>
      <c r="I2418" s="248"/>
      <c r="J2418" s="247"/>
      <c r="K2418" s="249"/>
      <c r="M2418" s="90">
        <v>0</v>
      </c>
      <c r="N2418" s="90">
        <v>0</v>
      </c>
      <c r="O2418" s="90">
        <v>255</v>
      </c>
    </row>
    <row r="2419" spans="1:15" s="90" customFormat="1" ht="12.75" customHeight="1" x14ac:dyDescent="0.2">
      <c r="A2419" s="247" t="s">
        <v>989</v>
      </c>
      <c r="B2419" s="316">
        <v>3046</v>
      </c>
      <c r="C2419" s="247" t="s">
        <v>975</v>
      </c>
      <c r="D2419" s="317">
        <v>42670</v>
      </c>
      <c r="E2419" s="318">
        <v>0.73390046296296296</v>
      </c>
      <c r="F2419" s="247" t="s">
        <v>976</v>
      </c>
      <c r="G2419" s="247"/>
      <c r="H2419" s="248" t="s">
        <v>404</v>
      </c>
      <c r="I2419" s="248" t="s">
        <v>404</v>
      </c>
      <c r="J2419" s="247" t="s">
        <v>809</v>
      </c>
      <c r="K2419" s="249">
        <v>0</v>
      </c>
      <c r="M2419" s="90">
        <v>0</v>
      </c>
      <c r="N2419" s="90">
        <v>0</v>
      </c>
      <c r="O2419" s="90">
        <v>255</v>
      </c>
    </row>
    <row r="2420" spans="1:15" s="90" customFormat="1" ht="12.75" customHeight="1" x14ac:dyDescent="0.2">
      <c r="A2420" s="247" t="s">
        <v>993</v>
      </c>
      <c r="B2420" s="316">
        <v>3217</v>
      </c>
      <c r="C2420" s="247" t="s">
        <v>975</v>
      </c>
      <c r="D2420" s="317">
        <v>42670</v>
      </c>
      <c r="E2420" s="318">
        <v>0.73414351851851845</v>
      </c>
      <c r="F2420" s="247" t="s">
        <v>235</v>
      </c>
      <c r="G2420" s="247"/>
      <c r="H2420" s="248" t="s">
        <v>234</v>
      </c>
      <c r="I2420" s="248" t="s">
        <v>235</v>
      </c>
      <c r="J2420" s="247" t="s">
        <v>809</v>
      </c>
      <c r="K2420" s="249">
        <v>0</v>
      </c>
      <c r="M2420" s="90">
        <v>0</v>
      </c>
      <c r="N2420" s="90">
        <v>0</v>
      </c>
      <c r="O2420" s="90">
        <v>255</v>
      </c>
    </row>
    <row r="2421" spans="1:15" s="90" customFormat="1" ht="12.75" customHeight="1" x14ac:dyDescent="0.2">
      <c r="A2421" s="247" t="s">
        <v>990</v>
      </c>
      <c r="B2421" s="316">
        <v>3046</v>
      </c>
      <c r="C2421" s="247" t="s">
        <v>975</v>
      </c>
      <c r="D2421" s="317">
        <v>42670</v>
      </c>
      <c r="E2421" s="318">
        <v>0.7341550925925926</v>
      </c>
      <c r="F2421" s="247" t="s">
        <v>976</v>
      </c>
      <c r="G2421" s="247"/>
      <c r="H2421" s="248" t="s">
        <v>404</v>
      </c>
      <c r="I2421" s="248" t="s">
        <v>404</v>
      </c>
      <c r="J2421" s="247" t="s">
        <v>809</v>
      </c>
      <c r="K2421" s="249">
        <v>0</v>
      </c>
      <c r="M2421" s="90">
        <v>0</v>
      </c>
      <c r="N2421" s="90">
        <v>0</v>
      </c>
      <c r="O2421" s="90">
        <v>255</v>
      </c>
    </row>
    <row r="2422" spans="1:15" s="90" customFormat="1" ht="12.75" customHeight="1" x14ac:dyDescent="0.2">
      <c r="A2422" s="247" t="s">
        <v>989</v>
      </c>
      <c r="B2422" s="316">
        <v>3046</v>
      </c>
      <c r="C2422" s="247" t="s">
        <v>975</v>
      </c>
      <c r="D2422" s="317">
        <v>42670</v>
      </c>
      <c r="E2422" s="318">
        <v>0.77582175925925922</v>
      </c>
      <c r="F2422" s="247" t="s">
        <v>976</v>
      </c>
      <c r="G2422" s="247"/>
      <c r="H2422" s="248" t="s">
        <v>404</v>
      </c>
      <c r="I2422" s="248" t="s">
        <v>404</v>
      </c>
      <c r="J2422" s="247" t="s">
        <v>809</v>
      </c>
      <c r="K2422" s="249">
        <v>0</v>
      </c>
      <c r="M2422" s="90">
        <v>0</v>
      </c>
      <c r="N2422" s="90">
        <v>0</v>
      </c>
      <c r="O2422" s="90">
        <v>255</v>
      </c>
    </row>
    <row r="2423" spans="1:15" s="90" customFormat="1" ht="12.75" customHeight="1" x14ac:dyDescent="0.2">
      <c r="A2423" s="247" t="s">
        <v>990</v>
      </c>
      <c r="B2423" s="316">
        <v>3046</v>
      </c>
      <c r="C2423" s="247" t="s">
        <v>975</v>
      </c>
      <c r="D2423" s="317">
        <v>42670</v>
      </c>
      <c r="E2423" s="318">
        <v>0.77606481481481471</v>
      </c>
      <c r="F2423" s="247" t="s">
        <v>976</v>
      </c>
      <c r="G2423" s="247"/>
      <c r="H2423" s="248" t="s">
        <v>404</v>
      </c>
      <c r="I2423" s="248" t="s">
        <v>404</v>
      </c>
      <c r="J2423" s="247" t="s">
        <v>809</v>
      </c>
      <c r="K2423" s="249">
        <v>0</v>
      </c>
      <c r="M2423" s="90">
        <v>0</v>
      </c>
      <c r="N2423" s="90">
        <v>0</v>
      </c>
      <c r="O2423" s="90">
        <v>255</v>
      </c>
    </row>
    <row r="2424" spans="1:15" s="90" customFormat="1" ht="12.75" customHeight="1" x14ac:dyDescent="0.2">
      <c r="A2424" s="247" t="s">
        <v>993</v>
      </c>
      <c r="B2424" s="316">
        <v>3217</v>
      </c>
      <c r="C2424" s="247" t="s">
        <v>975</v>
      </c>
      <c r="D2424" s="317">
        <v>42670</v>
      </c>
      <c r="E2424" s="318">
        <v>0.77606481481481471</v>
      </c>
      <c r="F2424" s="247" t="s">
        <v>235</v>
      </c>
      <c r="G2424" s="247"/>
      <c r="H2424" s="248" t="s">
        <v>234</v>
      </c>
      <c r="I2424" s="248" t="s">
        <v>235</v>
      </c>
      <c r="J2424" s="247" t="s">
        <v>809</v>
      </c>
      <c r="K2424" s="249">
        <v>0</v>
      </c>
      <c r="M2424" s="90">
        <v>0</v>
      </c>
      <c r="N2424" s="90">
        <v>0</v>
      </c>
      <c r="O2424" s="90">
        <v>255</v>
      </c>
    </row>
    <row r="2425" spans="1:15" s="90" customFormat="1" ht="12.75" customHeight="1" x14ac:dyDescent="0.2">
      <c r="A2425" s="247" t="s">
        <v>989</v>
      </c>
      <c r="B2425" s="316">
        <v>3046</v>
      </c>
      <c r="C2425" s="247" t="s">
        <v>975</v>
      </c>
      <c r="D2425" s="317">
        <v>42670</v>
      </c>
      <c r="E2425" s="318">
        <v>0.81774305555555549</v>
      </c>
      <c r="F2425" s="247" t="s">
        <v>976</v>
      </c>
      <c r="G2425" s="247"/>
      <c r="H2425" s="248" t="s">
        <v>404</v>
      </c>
      <c r="I2425" s="248" t="s">
        <v>404</v>
      </c>
      <c r="J2425" s="247" t="s">
        <v>809</v>
      </c>
      <c r="K2425" s="249">
        <v>0</v>
      </c>
      <c r="M2425" s="90">
        <v>0</v>
      </c>
      <c r="N2425" s="90">
        <v>0</v>
      </c>
      <c r="O2425" s="90">
        <v>255</v>
      </c>
    </row>
    <row r="2426" spans="1:15" s="90" customFormat="1" ht="12.75" customHeight="1" x14ac:dyDescent="0.2">
      <c r="A2426" s="247" t="s">
        <v>990</v>
      </c>
      <c r="B2426" s="316">
        <v>3046</v>
      </c>
      <c r="C2426" s="247" t="s">
        <v>975</v>
      </c>
      <c r="D2426" s="317">
        <v>42670</v>
      </c>
      <c r="E2426" s="318">
        <v>0.81798611111111119</v>
      </c>
      <c r="F2426" s="247" t="s">
        <v>976</v>
      </c>
      <c r="G2426" s="247"/>
      <c r="H2426" s="248" t="s">
        <v>404</v>
      </c>
      <c r="I2426" s="248" t="s">
        <v>404</v>
      </c>
      <c r="J2426" s="247" t="s">
        <v>809</v>
      </c>
      <c r="K2426" s="249">
        <v>0</v>
      </c>
      <c r="M2426" s="90">
        <v>0</v>
      </c>
      <c r="N2426" s="90">
        <v>0</v>
      </c>
      <c r="O2426" s="90">
        <v>255</v>
      </c>
    </row>
    <row r="2427" spans="1:15" s="90" customFormat="1" ht="12.75" customHeight="1" x14ac:dyDescent="0.2">
      <c r="A2427" s="247" t="s">
        <v>993</v>
      </c>
      <c r="B2427" s="316">
        <v>3217</v>
      </c>
      <c r="C2427" s="247" t="s">
        <v>975</v>
      </c>
      <c r="D2427" s="317">
        <v>42670</v>
      </c>
      <c r="E2427" s="318">
        <v>0.81798611111111119</v>
      </c>
      <c r="F2427" s="247" t="s">
        <v>235</v>
      </c>
      <c r="G2427" s="247"/>
      <c r="H2427" s="248" t="s">
        <v>234</v>
      </c>
      <c r="I2427" s="248" t="s">
        <v>235</v>
      </c>
      <c r="J2427" s="247" t="s">
        <v>809</v>
      </c>
      <c r="K2427" s="249">
        <v>0</v>
      </c>
      <c r="M2427" s="90">
        <v>0</v>
      </c>
      <c r="N2427" s="90">
        <v>0</v>
      </c>
      <c r="O2427" s="90">
        <v>255</v>
      </c>
    </row>
    <row r="2428" spans="1:15" s="90" customFormat="1" ht="12.75" customHeight="1" x14ac:dyDescent="0.2">
      <c r="A2428" s="247" t="s">
        <v>989</v>
      </c>
      <c r="B2428" s="316">
        <v>3046</v>
      </c>
      <c r="C2428" s="247" t="s">
        <v>975</v>
      </c>
      <c r="D2428" s="317">
        <v>42670</v>
      </c>
      <c r="E2428" s="318">
        <v>0.85965277777777782</v>
      </c>
      <c r="F2428" s="247" t="s">
        <v>976</v>
      </c>
      <c r="G2428" s="247"/>
      <c r="H2428" s="248" t="s">
        <v>404</v>
      </c>
      <c r="I2428" s="248" t="s">
        <v>404</v>
      </c>
      <c r="J2428" s="247" t="s">
        <v>809</v>
      </c>
      <c r="K2428" s="249">
        <v>0</v>
      </c>
      <c r="M2428" s="90">
        <v>0</v>
      </c>
      <c r="N2428" s="90">
        <v>0</v>
      </c>
      <c r="O2428" s="90">
        <v>255</v>
      </c>
    </row>
    <row r="2429" spans="1:15" s="90" customFormat="1" ht="12.75" customHeight="1" x14ac:dyDescent="0.2">
      <c r="A2429" s="247" t="s">
        <v>990</v>
      </c>
      <c r="B2429" s="316">
        <v>3046</v>
      </c>
      <c r="C2429" s="247" t="s">
        <v>975</v>
      </c>
      <c r="D2429" s="317">
        <v>42670</v>
      </c>
      <c r="E2429" s="318">
        <v>0.85990740740740745</v>
      </c>
      <c r="F2429" s="247" t="s">
        <v>976</v>
      </c>
      <c r="G2429" s="247"/>
      <c r="H2429" s="248" t="s">
        <v>404</v>
      </c>
      <c r="I2429" s="248" t="s">
        <v>404</v>
      </c>
      <c r="J2429" s="247" t="s">
        <v>809</v>
      </c>
      <c r="K2429" s="249">
        <v>0</v>
      </c>
      <c r="M2429" s="90">
        <v>0</v>
      </c>
      <c r="N2429" s="90">
        <v>0</v>
      </c>
      <c r="O2429" s="90">
        <v>255</v>
      </c>
    </row>
    <row r="2430" spans="1:15" s="90" customFormat="1" ht="12.75" customHeight="1" x14ac:dyDescent="0.2">
      <c r="A2430" s="247" t="s">
        <v>993</v>
      </c>
      <c r="B2430" s="316">
        <v>3217</v>
      </c>
      <c r="C2430" s="247" t="s">
        <v>975</v>
      </c>
      <c r="D2430" s="317">
        <v>42670</v>
      </c>
      <c r="E2430" s="318">
        <v>0.85990740740740745</v>
      </c>
      <c r="F2430" s="247" t="s">
        <v>235</v>
      </c>
      <c r="G2430" s="247"/>
      <c r="H2430" s="248" t="s">
        <v>234</v>
      </c>
      <c r="I2430" s="248" t="s">
        <v>235</v>
      </c>
      <c r="J2430" s="247" t="s">
        <v>809</v>
      </c>
      <c r="K2430" s="249">
        <v>0</v>
      </c>
      <c r="M2430" s="90">
        <v>0</v>
      </c>
      <c r="N2430" s="90">
        <v>0</v>
      </c>
      <c r="O2430" s="90">
        <v>255</v>
      </c>
    </row>
    <row r="2431" spans="1:15" s="90" customFormat="1" ht="12.75" customHeight="1" x14ac:dyDescent="0.2">
      <c r="A2431" s="247" t="s">
        <v>989</v>
      </c>
      <c r="B2431" s="316">
        <v>3046</v>
      </c>
      <c r="C2431" s="247" t="s">
        <v>975</v>
      </c>
      <c r="D2431" s="317">
        <v>42670</v>
      </c>
      <c r="E2431" s="318">
        <v>0.90157407407407408</v>
      </c>
      <c r="F2431" s="247" t="s">
        <v>976</v>
      </c>
      <c r="G2431" s="247"/>
      <c r="H2431" s="248" t="s">
        <v>404</v>
      </c>
      <c r="I2431" s="248" t="s">
        <v>404</v>
      </c>
      <c r="J2431" s="247" t="s">
        <v>809</v>
      </c>
      <c r="K2431" s="249">
        <v>0</v>
      </c>
      <c r="M2431" s="90">
        <v>0</v>
      </c>
      <c r="N2431" s="90">
        <v>0</v>
      </c>
      <c r="O2431" s="90">
        <v>255</v>
      </c>
    </row>
    <row r="2432" spans="1:15" s="90" customFormat="1" ht="12.75" customHeight="1" x14ac:dyDescent="0.2">
      <c r="A2432" s="247" t="s">
        <v>990</v>
      </c>
      <c r="B2432" s="316">
        <v>3046</v>
      </c>
      <c r="C2432" s="247" t="s">
        <v>975</v>
      </c>
      <c r="D2432" s="317">
        <v>42670</v>
      </c>
      <c r="E2432" s="318">
        <v>0.90182870370370372</v>
      </c>
      <c r="F2432" s="247" t="s">
        <v>976</v>
      </c>
      <c r="G2432" s="247"/>
      <c r="H2432" s="248" t="s">
        <v>404</v>
      </c>
      <c r="I2432" s="248" t="s">
        <v>404</v>
      </c>
      <c r="J2432" s="247" t="s">
        <v>809</v>
      </c>
      <c r="K2432" s="249">
        <v>0</v>
      </c>
      <c r="M2432" s="90">
        <v>0</v>
      </c>
      <c r="N2432" s="90">
        <v>0</v>
      </c>
      <c r="O2432" s="90">
        <v>255</v>
      </c>
    </row>
    <row r="2433" spans="1:15" s="90" customFormat="1" ht="12.75" customHeight="1" x14ac:dyDescent="0.2">
      <c r="A2433" s="247" t="s">
        <v>993</v>
      </c>
      <c r="B2433" s="316">
        <v>3217</v>
      </c>
      <c r="C2433" s="247" t="s">
        <v>975</v>
      </c>
      <c r="D2433" s="317">
        <v>42670</v>
      </c>
      <c r="E2433" s="318">
        <v>0.90182870370370372</v>
      </c>
      <c r="F2433" s="247" t="s">
        <v>235</v>
      </c>
      <c r="G2433" s="247"/>
      <c r="H2433" s="248" t="s">
        <v>234</v>
      </c>
      <c r="I2433" s="248" t="s">
        <v>235</v>
      </c>
      <c r="J2433" s="247" t="s">
        <v>809</v>
      </c>
      <c r="K2433" s="249">
        <v>0</v>
      </c>
      <c r="M2433" s="90">
        <v>0</v>
      </c>
      <c r="N2433" s="90">
        <v>0</v>
      </c>
      <c r="O2433" s="90">
        <v>255</v>
      </c>
    </row>
    <row r="2434" spans="1:15" s="90" customFormat="1" ht="12.75" customHeight="1" x14ac:dyDescent="0.2">
      <c r="A2434" s="247" t="s">
        <v>989</v>
      </c>
      <c r="B2434" s="316">
        <v>3046</v>
      </c>
      <c r="C2434" s="247" t="s">
        <v>975</v>
      </c>
      <c r="D2434" s="317">
        <v>42670</v>
      </c>
      <c r="E2434" s="318">
        <v>0.94349537037037035</v>
      </c>
      <c r="F2434" s="247" t="s">
        <v>976</v>
      </c>
      <c r="G2434" s="247"/>
      <c r="H2434" s="248" t="s">
        <v>404</v>
      </c>
      <c r="I2434" s="248" t="s">
        <v>404</v>
      </c>
      <c r="J2434" s="247" t="s">
        <v>809</v>
      </c>
      <c r="K2434" s="249">
        <v>0</v>
      </c>
      <c r="M2434" s="90">
        <v>0</v>
      </c>
      <c r="N2434" s="90">
        <v>0</v>
      </c>
      <c r="O2434" s="90">
        <v>255</v>
      </c>
    </row>
    <row r="2435" spans="1:15" s="90" customFormat="1" ht="12.75" customHeight="1" x14ac:dyDescent="0.2">
      <c r="A2435" s="247" t="s">
        <v>990</v>
      </c>
      <c r="B2435" s="316">
        <v>3046</v>
      </c>
      <c r="C2435" s="247" t="s">
        <v>975</v>
      </c>
      <c r="D2435" s="317">
        <v>42670</v>
      </c>
      <c r="E2435" s="318">
        <v>0.94374999999999998</v>
      </c>
      <c r="F2435" s="247" t="s">
        <v>976</v>
      </c>
      <c r="G2435" s="247"/>
      <c r="H2435" s="248" t="s">
        <v>404</v>
      </c>
      <c r="I2435" s="248" t="s">
        <v>404</v>
      </c>
      <c r="J2435" s="247" t="s">
        <v>809</v>
      </c>
      <c r="K2435" s="249">
        <v>0</v>
      </c>
      <c r="M2435" s="90">
        <v>0</v>
      </c>
      <c r="N2435" s="90">
        <v>0</v>
      </c>
      <c r="O2435" s="90">
        <v>255</v>
      </c>
    </row>
    <row r="2436" spans="1:15" s="90" customFormat="1" ht="12.75" customHeight="1" x14ac:dyDescent="0.2">
      <c r="A2436" s="247" t="s">
        <v>993</v>
      </c>
      <c r="B2436" s="316">
        <v>3217</v>
      </c>
      <c r="C2436" s="247" t="s">
        <v>975</v>
      </c>
      <c r="D2436" s="317">
        <v>42670</v>
      </c>
      <c r="E2436" s="318">
        <v>0.94374999999999998</v>
      </c>
      <c r="F2436" s="247" t="s">
        <v>235</v>
      </c>
      <c r="G2436" s="247"/>
      <c r="H2436" s="248" t="s">
        <v>234</v>
      </c>
      <c r="I2436" s="248" t="s">
        <v>235</v>
      </c>
      <c r="J2436" s="247" t="s">
        <v>809</v>
      </c>
      <c r="K2436" s="249">
        <v>0</v>
      </c>
      <c r="M2436" s="90">
        <v>0</v>
      </c>
      <c r="N2436" s="90">
        <v>0</v>
      </c>
      <c r="O2436" s="90">
        <v>255</v>
      </c>
    </row>
    <row r="2437" spans="1:15" s="90" customFormat="1" ht="12.75" customHeight="1" x14ac:dyDescent="0.2">
      <c r="A2437" s="247" t="s">
        <v>989</v>
      </c>
      <c r="B2437" s="316">
        <v>3046</v>
      </c>
      <c r="C2437" s="247" t="s">
        <v>975</v>
      </c>
      <c r="D2437" s="317">
        <v>42670</v>
      </c>
      <c r="E2437" s="318">
        <v>0.98541666666666661</v>
      </c>
      <c r="F2437" s="247" t="s">
        <v>976</v>
      </c>
      <c r="G2437" s="247"/>
      <c r="H2437" s="248" t="s">
        <v>404</v>
      </c>
      <c r="I2437" s="248" t="s">
        <v>404</v>
      </c>
      <c r="J2437" s="247" t="s">
        <v>809</v>
      </c>
      <c r="K2437" s="249">
        <v>0</v>
      </c>
      <c r="M2437" s="90">
        <v>0</v>
      </c>
      <c r="N2437" s="90">
        <v>0</v>
      </c>
      <c r="O2437" s="90">
        <v>255</v>
      </c>
    </row>
    <row r="2438" spans="1:15" s="90" customFormat="1" ht="12.75" customHeight="1" x14ac:dyDescent="0.2">
      <c r="A2438" s="247" t="s">
        <v>990</v>
      </c>
      <c r="B2438" s="316">
        <v>3046</v>
      </c>
      <c r="C2438" s="247" t="s">
        <v>975</v>
      </c>
      <c r="D2438" s="317">
        <v>42670</v>
      </c>
      <c r="E2438" s="318">
        <v>0.98567129629629635</v>
      </c>
      <c r="F2438" s="247" t="s">
        <v>976</v>
      </c>
      <c r="G2438" s="247"/>
      <c r="H2438" s="248" t="s">
        <v>404</v>
      </c>
      <c r="I2438" s="248" t="s">
        <v>404</v>
      </c>
      <c r="J2438" s="247" t="s">
        <v>809</v>
      </c>
      <c r="K2438" s="249">
        <v>0</v>
      </c>
      <c r="M2438" s="90">
        <v>0</v>
      </c>
      <c r="N2438" s="90">
        <v>0</v>
      </c>
      <c r="O2438" s="90">
        <v>255</v>
      </c>
    </row>
    <row r="2439" spans="1:15" s="90" customFormat="1" ht="12.75" customHeight="1" x14ac:dyDescent="0.2">
      <c r="A2439" s="247" t="s">
        <v>993</v>
      </c>
      <c r="B2439" s="316">
        <v>3217</v>
      </c>
      <c r="C2439" s="247" t="s">
        <v>975</v>
      </c>
      <c r="D2439" s="317">
        <v>42670</v>
      </c>
      <c r="E2439" s="318">
        <v>0.98567129629629635</v>
      </c>
      <c r="F2439" s="247" t="s">
        <v>235</v>
      </c>
      <c r="G2439" s="247"/>
      <c r="H2439" s="248" t="s">
        <v>234</v>
      </c>
      <c r="I2439" s="248" t="s">
        <v>235</v>
      </c>
      <c r="J2439" s="247" t="s">
        <v>809</v>
      </c>
      <c r="K2439" s="249">
        <v>0</v>
      </c>
      <c r="M2439" s="90">
        <v>0</v>
      </c>
      <c r="N2439" s="90">
        <v>0</v>
      </c>
      <c r="O2439" s="90">
        <v>255</v>
      </c>
    </row>
    <row r="2440" spans="1:15" s="90" customFormat="1" ht="12.75" customHeight="1" x14ac:dyDescent="0.2">
      <c r="A2440" s="247" t="s">
        <v>989</v>
      </c>
      <c r="B2440" s="316">
        <v>3046</v>
      </c>
      <c r="C2440" s="247" t="s">
        <v>975</v>
      </c>
      <c r="D2440" s="317">
        <v>42671</v>
      </c>
      <c r="E2440" s="318">
        <v>2.7337962962962963E-2</v>
      </c>
      <c r="F2440" s="247" t="s">
        <v>976</v>
      </c>
      <c r="G2440" s="247"/>
      <c r="H2440" s="248" t="s">
        <v>404</v>
      </c>
      <c r="I2440" s="248" t="s">
        <v>404</v>
      </c>
      <c r="J2440" s="247" t="s">
        <v>809</v>
      </c>
      <c r="K2440" s="249">
        <v>0</v>
      </c>
      <c r="M2440" s="90">
        <v>0</v>
      </c>
      <c r="N2440" s="90">
        <v>0</v>
      </c>
      <c r="O2440" s="90">
        <v>255</v>
      </c>
    </row>
    <row r="2441" spans="1:15" s="90" customFormat="1" ht="12.75" customHeight="1" x14ac:dyDescent="0.2">
      <c r="A2441" s="247" t="s">
        <v>990</v>
      </c>
      <c r="B2441" s="316">
        <v>3046</v>
      </c>
      <c r="C2441" s="247" t="s">
        <v>975</v>
      </c>
      <c r="D2441" s="317">
        <v>42671</v>
      </c>
      <c r="E2441" s="318">
        <v>2.7592592592592596E-2</v>
      </c>
      <c r="F2441" s="247" t="s">
        <v>976</v>
      </c>
      <c r="G2441" s="247"/>
      <c r="H2441" s="248" t="s">
        <v>404</v>
      </c>
      <c r="I2441" s="248" t="s">
        <v>404</v>
      </c>
      <c r="J2441" s="247" t="s">
        <v>809</v>
      </c>
      <c r="K2441" s="249">
        <v>0</v>
      </c>
      <c r="M2441" s="90">
        <v>0</v>
      </c>
      <c r="N2441" s="90">
        <v>0</v>
      </c>
      <c r="O2441" s="90">
        <v>255</v>
      </c>
    </row>
    <row r="2442" spans="1:15" s="90" customFormat="1" ht="12.75" customHeight="1" x14ac:dyDescent="0.2">
      <c r="A2442" s="247" t="s">
        <v>993</v>
      </c>
      <c r="B2442" s="316">
        <v>3217</v>
      </c>
      <c r="C2442" s="247" t="s">
        <v>975</v>
      </c>
      <c r="D2442" s="317">
        <v>42671</v>
      </c>
      <c r="E2442" s="318">
        <v>2.7592592592592596E-2</v>
      </c>
      <c r="F2442" s="247" t="s">
        <v>235</v>
      </c>
      <c r="G2442" s="247"/>
      <c r="H2442" s="248" t="s">
        <v>234</v>
      </c>
      <c r="I2442" s="248" t="s">
        <v>235</v>
      </c>
      <c r="J2442" s="247" t="s">
        <v>809</v>
      </c>
      <c r="K2442" s="249">
        <v>0</v>
      </c>
      <c r="M2442" s="90">
        <v>0</v>
      </c>
      <c r="N2442" s="90">
        <v>0</v>
      </c>
      <c r="O2442" s="90">
        <v>255</v>
      </c>
    </row>
    <row r="2443" spans="1:15" s="90" customFormat="1" ht="12.75" customHeight="1" x14ac:dyDescent="0.2">
      <c r="A2443" s="247" t="s">
        <v>989</v>
      </c>
      <c r="B2443" s="316">
        <v>3046</v>
      </c>
      <c r="C2443" s="247" t="s">
        <v>975</v>
      </c>
      <c r="D2443" s="317">
        <v>42671</v>
      </c>
      <c r="E2443" s="318">
        <v>6.9259259259259257E-2</v>
      </c>
      <c r="F2443" s="247" t="s">
        <v>976</v>
      </c>
      <c r="G2443" s="247"/>
      <c r="H2443" s="248" t="s">
        <v>404</v>
      </c>
      <c r="I2443" s="248" t="s">
        <v>404</v>
      </c>
      <c r="J2443" s="247" t="s">
        <v>809</v>
      </c>
      <c r="K2443" s="249">
        <v>0</v>
      </c>
      <c r="M2443" s="90">
        <v>0</v>
      </c>
      <c r="N2443" s="90">
        <v>0</v>
      </c>
      <c r="O2443" s="90">
        <v>255</v>
      </c>
    </row>
    <row r="2444" spans="1:15" s="90" customFormat="1" ht="12.75" customHeight="1" x14ac:dyDescent="0.2">
      <c r="A2444" s="247" t="s">
        <v>993</v>
      </c>
      <c r="B2444" s="316">
        <v>3217</v>
      </c>
      <c r="C2444" s="247" t="s">
        <v>975</v>
      </c>
      <c r="D2444" s="317">
        <v>42671</v>
      </c>
      <c r="E2444" s="318">
        <v>6.9502314814814822E-2</v>
      </c>
      <c r="F2444" s="247" t="s">
        <v>235</v>
      </c>
      <c r="G2444" s="247"/>
      <c r="H2444" s="248" t="s">
        <v>234</v>
      </c>
      <c r="I2444" s="248" t="s">
        <v>235</v>
      </c>
      <c r="J2444" s="247" t="s">
        <v>809</v>
      </c>
      <c r="K2444" s="249">
        <v>0</v>
      </c>
      <c r="M2444" s="90">
        <v>0</v>
      </c>
      <c r="N2444" s="90">
        <v>0</v>
      </c>
      <c r="O2444" s="90">
        <v>255</v>
      </c>
    </row>
    <row r="2445" spans="1:15" s="90" customFormat="1" ht="12.75" customHeight="1" x14ac:dyDescent="0.2">
      <c r="A2445" s="247" t="s">
        <v>990</v>
      </c>
      <c r="B2445" s="316">
        <v>3046</v>
      </c>
      <c r="C2445" s="247" t="s">
        <v>975</v>
      </c>
      <c r="D2445" s="317">
        <v>42671</v>
      </c>
      <c r="E2445" s="318">
        <v>6.9513888888888889E-2</v>
      </c>
      <c r="F2445" s="247" t="s">
        <v>976</v>
      </c>
      <c r="G2445" s="247"/>
      <c r="H2445" s="248" t="s">
        <v>404</v>
      </c>
      <c r="I2445" s="248" t="s">
        <v>404</v>
      </c>
      <c r="J2445" s="247" t="s">
        <v>809</v>
      </c>
      <c r="K2445" s="249">
        <v>0</v>
      </c>
      <c r="M2445" s="90">
        <v>0</v>
      </c>
      <c r="N2445" s="90">
        <v>0</v>
      </c>
      <c r="O2445" s="90">
        <v>255</v>
      </c>
    </row>
    <row r="2446" spans="1:15" s="90" customFormat="1" ht="12.75" customHeight="1" x14ac:dyDescent="0.2">
      <c r="A2446" s="247" t="s">
        <v>989</v>
      </c>
      <c r="B2446" s="316">
        <v>3046</v>
      </c>
      <c r="C2446" s="247" t="s">
        <v>975</v>
      </c>
      <c r="D2446" s="317">
        <v>42671</v>
      </c>
      <c r="E2446" s="318">
        <v>0.11118055555555556</v>
      </c>
      <c r="F2446" s="247" t="s">
        <v>976</v>
      </c>
      <c r="G2446" s="247"/>
      <c r="H2446" s="248" t="s">
        <v>404</v>
      </c>
      <c r="I2446" s="248" t="s">
        <v>404</v>
      </c>
      <c r="J2446" s="247" t="s">
        <v>809</v>
      </c>
      <c r="K2446" s="249">
        <v>0</v>
      </c>
      <c r="M2446" s="90">
        <v>0</v>
      </c>
      <c r="N2446" s="90">
        <v>0</v>
      </c>
      <c r="O2446" s="90">
        <v>255</v>
      </c>
    </row>
    <row r="2447" spans="1:15" s="90" customFormat="1" ht="12.75" customHeight="1" x14ac:dyDescent="0.2">
      <c r="A2447" s="247" t="s">
        <v>993</v>
      </c>
      <c r="B2447" s="316">
        <v>3217</v>
      </c>
      <c r="C2447" s="247" t="s">
        <v>975</v>
      </c>
      <c r="D2447" s="317">
        <v>42671</v>
      </c>
      <c r="E2447" s="318">
        <v>0.11142361111111111</v>
      </c>
      <c r="F2447" s="247" t="s">
        <v>235</v>
      </c>
      <c r="G2447" s="247"/>
      <c r="H2447" s="248" t="s">
        <v>234</v>
      </c>
      <c r="I2447" s="248" t="s">
        <v>235</v>
      </c>
      <c r="J2447" s="247" t="s">
        <v>809</v>
      </c>
      <c r="K2447" s="249">
        <v>0</v>
      </c>
      <c r="M2447" s="90">
        <v>0</v>
      </c>
      <c r="N2447" s="90">
        <v>0</v>
      </c>
      <c r="O2447" s="90">
        <v>255</v>
      </c>
    </row>
    <row r="2448" spans="1:15" s="90" customFormat="1" ht="12.75" customHeight="1" x14ac:dyDescent="0.2">
      <c r="A2448" s="247" t="s">
        <v>990</v>
      </c>
      <c r="B2448" s="316">
        <v>3046</v>
      </c>
      <c r="C2448" s="247" t="s">
        <v>975</v>
      </c>
      <c r="D2448" s="317">
        <v>42671</v>
      </c>
      <c r="E2448" s="318">
        <v>0.11143518518518519</v>
      </c>
      <c r="F2448" s="247" t="s">
        <v>976</v>
      </c>
      <c r="G2448" s="247"/>
      <c r="H2448" s="248" t="s">
        <v>404</v>
      </c>
      <c r="I2448" s="248" t="s">
        <v>404</v>
      </c>
      <c r="J2448" s="247" t="s">
        <v>809</v>
      </c>
      <c r="K2448" s="249">
        <v>0</v>
      </c>
      <c r="M2448" s="90">
        <v>0</v>
      </c>
      <c r="N2448" s="90">
        <v>0</v>
      </c>
      <c r="O2448" s="90">
        <v>255</v>
      </c>
    </row>
    <row r="2449" spans="1:15" s="90" customFormat="1" ht="12.75" customHeight="1" x14ac:dyDescent="0.2">
      <c r="A2449" s="247" t="s">
        <v>989</v>
      </c>
      <c r="B2449" s="316">
        <v>3046</v>
      </c>
      <c r="C2449" s="247" t="s">
        <v>975</v>
      </c>
      <c r="D2449" s="317">
        <v>42671</v>
      </c>
      <c r="E2449" s="318">
        <v>0.15310185185185185</v>
      </c>
      <c r="F2449" s="247" t="s">
        <v>976</v>
      </c>
      <c r="G2449" s="247"/>
      <c r="H2449" s="248" t="s">
        <v>404</v>
      </c>
      <c r="I2449" s="248" t="s">
        <v>404</v>
      </c>
      <c r="J2449" s="247" t="s">
        <v>809</v>
      </c>
      <c r="K2449" s="249">
        <v>0</v>
      </c>
      <c r="M2449" s="90">
        <v>0</v>
      </c>
      <c r="N2449" s="90">
        <v>0</v>
      </c>
      <c r="O2449" s="90">
        <v>255</v>
      </c>
    </row>
    <row r="2450" spans="1:15" s="90" customFormat="1" ht="12.75" customHeight="1" x14ac:dyDescent="0.2">
      <c r="A2450" s="247" t="s">
        <v>990</v>
      </c>
      <c r="B2450" s="316">
        <v>3046</v>
      </c>
      <c r="C2450" s="247" t="s">
        <v>975</v>
      </c>
      <c r="D2450" s="317">
        <v>42671</v>
      </c>
      <c r="E2450" s="318">
        <v>0.15334490740740742</v>
      </c>
      <c r="F2450" s="247" t="s">
        <v>976</v>
      </c>
      <c r="G2450" s="247"/>
      <c r="H2450" s="248" t="s">
        <v>404</v>
      </c>
      <c r="I2450" s="248" t="s">
        <v>404</v>
      </c>
      <c r="J2450" s="247" t="s">
        <v>809</v>
      </c>
      <c r="K2450" s="249">
        <v>0</v>
      </c>
      <c r="M2450" s="90">
        <v>0</v>
      </c>
      <c r="N2450" s="90">
        <v>0</v>
      </c>
      <c r="O2450" s="90">
        <v>255</v>
      </c>
    </row>
    <row r="2451" spans="1:15" s="90" customFormat="1" ht="12.75" customHeight="1" x14ac:dyDescent="0.2">
      <c r="A2451" s="247" t="s">
        <v>993</v>
      </c>
      <c r="B2451" s="316">
        <v>3217</v>
      </c>
      <c r="C2451" s="247" t="s">
        <v>975</v>
      </c>
      <c r="D2451" s="317">
        <v>42671</v>
      </c>
      <c r="E2451" s="318">
        <v>0.15334490740740742</v>
      </c>
      <c r="F2451" s="247" t="s">
        <v>235</v>
      </c>
      <c r="G2451" s="247"/>
      <c r="H2451" s="248" t="s">
        <v>234</v>
      </c>
      <c r="I2451" s="248" t="s">
        <v>235</v>
      </c>
      <c r="J2451" s="247" t="s">
        <v>809</v>
      </c>
      <c r="K2451" s="249">
        <v>0</v>
      </c>
      <c r="M2451" s="90">
        <v>0</v>
      </c>
      <c r="N2451" s="90">
        <v>0</v>
      </c>
      <c r="O2451" s="90">
        <v>255</v>
      </c>
    </row>
    <row r="2452" spans="1:15" s="90" customFormat="1" ht="12.75" customHeight="1" x14ac:dyDescent="0.2">
      <c r="A2452" s="247" t="s">
        <v>989</v>
      </c>
      <c r="B2452" s="316">
        <v>3046</v>
      </c>
      <c r="C2452" s="247" t="s">
        <v>975</v>
      </c>
      <c r="D2452" s="317">
        <v>42671</v>
      </c>
      <c r="E2452" s="318">
        <v>0.19502314814814814</v>
      </c>
      <c r="F2452" s="247" t="s">
        <v>976</v>
      </c>
      <c r="G2452" s="247"/>
      <c r="H2452" s="248" t="s">
        <v>404</v>
      </c>
      <c r="I2452" s="248" t="s">
        <v>404</v>
      </c>
      <c r="J2452" s="247" t="s">
        <v>809</v>
      </c>
      <c r="K2452" s="249">
        <v>0</v>
      </c>
      <c r="M2452" s="90">
        <v>0</v>
      </c>
      <c r="N2452" s="90">
        <v>0</v>
      </c>
      <c r="O2452" s="90">
        <v>255</v>
      </c>
    </row>
    <row r="2453" spans="1:15" s="90" customFormat="1" ht="12.75" customHeight="1" x14ac:dyDescent="0.2">
      <c r="A2453" s="247" t="s">
        <v>990</v>
      </c>
      <c r="B2453" s="316">
        <v>3046</v>
      </c>
      <c r="C2453" s="247" t="s">
        <v>975</v>
      </c>
      <c r="D2453" s="317">
        <v>42671</v>
      </c>
      <c r="E2453" s="318">
        <v>0.19526620370370371</v>
      </c>
      <c r="F2453" s="247" t="s">
        <v>976</v>
      </c>
      <c r="G2453" s="247"/>
      <c r="H2453" s="248" t="s">
        <v>404</v>
      </c>
      <c r="I2453" s="248" t="s">
        <v>404</v>
      </c>
      <c r="J2453" s="247" t="s">
        <v>809</v>
      </c>
      <c r="K2453" s="249">
        <v>0</v>
      </c>
      <c r="M2453" s="90">
        <v>0</v>
      </c>
      <c r="N2453" s="90">
        <v>0</v>
      </c>
      <c r="O2453" s="90">
        <v>255</v>
      </c>
    </row>
    <row r="2454" spans="1:15" s="90" customFormat="1" ht="12.75" customHeight="1" x14ac:dyDescent="0.2">
      <c r="A2454" s="247" t="s">
        <v>993</v>
      </c>
      <c r="B2454" s="316">
        <v>3217</v>
      </c>
      <c r="C2454" s="247" t="s">
        <v>975</v>
      </c>
      <c r="D2454" s="317">
        <v>42671</v>
      </c>
      <c r="E2454" s="318">
        <v>0.19526620370370371</v>
      </c>
      <c r="F2454" s="247" t="s">
        <v>235</v>
      </c>
      <c r="G2454" s="247"/>
      <c r="H2454" s="248" t="s">
        <v>234</v>
      </c>
      <c r="I2454" s="248" t="s">
        <v>235</v>
      </c>
      <c r="J2454" s="247" t="s">
        <v>809</v>
      </c>
      <c r="K2454" s="249">
        <v>0</v>
      </c>
      <c r="M2454" s="90">
        <v>0</v>
      </c>
      <c r="N2454" s="90">
        <v>0</v>
      </c>
      <c r="O2454" s="90">
        <v>255</v>
      </c>
    </row>
    <row r="2455" spans="1:15" s="90" customFormat="1" ht="12.75" customHeight="1" x14ac:dyDescent="0.2">
      <c r="A2455" s="247" t="s">
        <v>989</v>
      </c>
      <c r="B2455" s="316">
        <v>3046</v>
      </c>
      <c r="C2455" s="247" t="s">
        <v>975</v>
      </c>
      <c r="D2455" s="317">
        <v>42671</v>
      </c>
      <c r="E2455" s="318">
        <v>0.23693287037037036</v>
      </c>
      <c r="F2455" s="247" t="s">
        <v>976</v>
      </c>
      <c r="G2455" s="247"/>
      <c r="H2455" s="248" t="s">
        <v>404</v>
      </c>
      <c r="I2455" s="248" t="s">
        <v>404</v>
      </c>
      <c r="J2455" s="247" t="s">
        <v>809</v>
      </c>
      <c r="K2455" s="249">
        <v>0</v>
      </c>
      <c r="M2455" s="90">
        <v>0</v>
      </c>
      <c r="N2455" s="90">
        <v>0</v>
      </c>
      <c r="O2455" s="90">
        <v>255</v>
      </c>
    </row>
    <row r="2456" spans="1:15" s="90" customFormat="1" ht="12.75" customHeight="1" x14ac:dyDescent="0.2">
      <c r="A2456" s="247" t="s">
        <v>990</v>
      </c>
      <c r="B2456" s="316">
        <v>3046</v>
      </c>
      <c r="C2456" s="247" t="s">
        <v>975</v>
      </c>
      <c r="D2456" s="317">
        <v>42671</v>
      </c>
      <c r="E2456" s="318">
        <v>0.2371875</v>
      </c>
      <c r="F2456" s="247" t="s">
        <v>976</v>
      </c>
      <c r="G2456" s="247"/>
      <c r="H2456" s="248" t="s">
        <v>404</v>
      </c>
      <c r="I2456" s="248" t="s">
        <v>404</v>
      </c>
      <c r="J2456" s="247" t="s">
        <v>809</v>
      </c>
      <c r="K2456" s="249">
        <v>0</v>
      </c>
      <c r="M2456" s="90">
        <v>0</v>
      </c>
      <c r="N2456" s="90">
        <v>0</v>
      </c>
      <c r="O2456" s="90">
        <v>255</v>
      </c>
    </row>
    <row r="2457" spans="1:15" s="90" customFormat="1" ht="12.75" customHeight="1" x14ac:dyDescent="0.2">
      <c r="A2457" s="247" t="s">
        <v>993</v>
      </c>
      <c r="B2457" s="316">
        <v>3217</v>
      </c>
      <c r="C2457" s="247" t="s">
        <v>975</v>
      </c>
      <c r="D2457" s="317">
        <v>42671</v>
      </c>
      <c r="E2457" s="318">
        <v>0.2371875</v>
      </c>
      <c r="F2457" s="247" t="s">
        <v>235</v>
      </c>
      <c r="G2457" s="247"/>
      <c r="H2457" s="248" t="s">
        <v>234</v>
      </c>
      <c r="I2457" s="248" t="s">
        <v>235</v>
      </c>
      <c r="J2457" s="247" t="s">
        <v>809</v>
      </c>
      <c r="K2457" s="249">
        <v>0</v>
      </c>
      <c r="M2457" s="90">
        <v>0</v>
      </c>
      <c r="N2457" s="90">
        <v>0</v>
      </c>
      <c r="O2457" s="90">
        <v>255</v>
      </c>
    </row>
    <row r="2458" spans="1:15" s="90" customFormat="1" ht="12.75" customHeight="1" x14ac:dyDescent="0.2">
      <c r="A2458" s="247" t="s">
        <v>1080</v>
      </c>
      <c r="B2458" s="316">
        <v>3047</v>
      </c>
      <c r="C2458" s="247" t="s">
        <v>996</v>
      </c>
      <c r="D2458" s="317">
        <v>42671</v>
      </c>
      <c r="E2458" s="318">
        <v>0.26545138888888892</v>
      </c>
      <c r="F2458" s="247" t="s">
        <v>235</v>
      </c>
      <c r="G2458" s="247"/>
      <c r="H2458" s="248" t="s">
        <v>234</v>
      </c>
      <c r="I2458" s="248" t="s">
        <v>235</v>
      </c>
      <c r="J2458" s="247" t="s">
        <v>809</v>
      </c>
      <c r="K2458" s="249">
        <v>0</v>
      </c>
      <c r="M2458" s="90">
        <v>0</v>
      </c>
      <c r="N2458" s="90">
        <v>0</v>
      </c>
      <c r="O2458" s="90">
        <v>255</v>
      </c>
    </row>
    <row r="2459" spans="1:15" s="90" customFormat="1" ht="12.75" customHeight="1" x14ac:dyDescent="0.2">
      <c r="A2459" s="247" t="s">
        <v>1079</v>
      </c>
      <c r="B2459" s="316">
        <v>3047</v>
      </c>
      <c r="C2459" s="247" t="s">
        <v>996</v>
      </c>
      <c r="D2459" s="317">
        <v>42671</v>
      </c>
      <c r="E2459" s="318">
        <v>0.26545138888888892</v>
      </c>
      <c r="F2459" s="247" t="s">
        <v>235</v>
      </c>
      <c r="G2459" s="247"/>
      <c r="H2459" s="248" t="s">
        <v>234</v>
      </c>
      <c r="I2459" s="248" t="s">
        <v>235</v>
      </c>
      <c r="J2459" s="247" t="s">
        <v>809</v>
      </c>
      <c r="K2459" s="249">
        <v>0</v>
      </c>
      <c r="M2459" s="90">
        <v>0</v>
      </c>
      <c r="N2459" s="90">
        <v>0</v>
      </c>
      <c r="O2459" s="90">
        <v>255</v>
      </c>
    </row>
    <row r="2460" spans="1:15" s="90" customFormat="1" ht="12.75" customHeight="1" x14ac:dyDescent="0.2">
      <c r="A2460" s="247" t="s">
        <v>1081</v>
      </c>
      <c r="B2460" s="316">
        <v>3047</v>
      </c>
      <c r="C2460" s="247" t="s">
        <v>996</v>
      </c>
      <c r="D2460" s="317">
        <v>42671</v>
      </c>
      <c r="E2460" s="318">
        <v>0.2686574074074074</v>
      </c>
      <c r="F2460" s="247" t="s">
        <v>235</v>
      </c>
      <c r="G2460" s="247"/>
      <c r="H2460" s="248" t="s">
        <v>234</v>
      </c>
      <c r="I2460" s="248" t="s">
        <v>235</v>
      </c>
      <c r="J2460" s="247" t="s">
        <v>809</v>
      </c>
      <c r="K2460" s="249">
        <v>0</v>
      </c>
      <c r="M2460" s="90">
        <v>0</v>
      </c>
      <c r="N2460" s="90">
        <v>0</v>
      </c>
      <c r="O2460" s="90">
        <v>255</v>
      </c>
    </row>
    <row r="2461" spans="1:15" s="90" customFormat="1" ht="12.75" customHeight="1" x14ac:dyDescent="0.2">
      <c r="A2461" s="247" t="s">
        <v>1082</v>
      </c>
      <c r="B2461" s="316">
        <v>3047</v>
      </c>
      <c r="C2461" s="247" t="s">
        <v>996</v>
      </c>
      <c r="D2461" s="317">
        <v>42671</v>
      </c>
      <c r="E2461" s="318">
        <v>0.26877314814814818</v>
      </c>
      <c r="F2461" s="247" t="s">
        <v>235</v>
      </c>
      <c r="G2461" s="247"/>
      <c r="H2461" s="248" t="s">
        <v>234</v>
      </c>
      <c r="I2461" s="248" t="s">
        <v>235</v>
      </c>
      <c r="J2461" s="247" t="s">
        <v>809</v>
      </c>
      <c r="K2461" s="249">
        <v>0</v>
      </c>
      <c r="M2461" s="90">
        <v>0</v>
      </c>
      <c r="N2461" s="90">
        <v>0</v>
      </c>
      <c r="O2461" s="90">
        <v>255</v>
      </c>
    </row>
    <row r="2462" spans="1:15" s="90" customFormat="1" ht="12.75" customHeight="1" x14ac:dyDescent="0.2">
      <c r="A2462" s="247" t="s">
        <v>989</v>
      </c>
      <c r="B2462" s="316">
        <v>3046</v>
      </c>
      <c r="C2462" s="247" t="s">
        <v>975</v>
      </c>
      <c r="D2462" s="317">
        <v>42671</v>
      </c>
      <c r="E2462" s="318">
        <v>0.27885416666666668</v>
      </c>
      <c r="F2462" s="247" t="s">
        <v>976</v>
      </c>
      <c r="G2462" s="247"/>
      <c r="H2462" s="248" t="s">
        <v>404</v>
      </c>
      <c r="I2462" s="248" t="s">
        <v>404</v>
      </c>
      <c r="J2462" s="247" t="s">
        <v>809</v>
      </c>
      <c r="K2462" s="249">
        <v>0</v>
      </c>
      <c r="M2462" s="90">
        <v>0</v>
      </c>
      <c r="N2462" s="90">
        <v>0</v>
      </c>
      <c r="O2462" s="90">
        <v>255</v>
      </c>
    </row>
    <row r="2463" spans="1:15" s="90" customFormat="1" ht="12.75" customHeight="1" x14ac:dyDescent="0.2">
      <c r="A2463" s="247" t="s">
        <v>990</v>
      </c>
      <c r="B2463" s="316">
        <v>3046</v>
      </c>
      <c r="C2463" s="247" t="s">
        <v>975</v>
      </c>
      <c r="D2463" s="317">
        <v>42671</v>
      </c>
      <c r="E2463" s="318">
        <v>0.27910879629629631</v>
      </c>
      <c r="F2463" s="247" t="s">
        <v>976</v>
      </c>
      <c r="G2463" s="247"/>
      <c r="H2463" s="248" t="s">
        <v>404</v>
      </c>
      <c r="I2463" s="248" t="s">
        <v>404</v>
      </c>
      <c r="J2463" s="247" t="s">
        <v>809</v>
      </c>
      <c r="K2463" s="249">
        <v>0</v>
      </c>
      <c r="M2463" s="90">
        <v>0</v>
      </c>
      <c r="N2463" s="90">
        <v>0</v>
      </c>
      <c r="O2463" s="90">
        <v>255</v>
      </c>
    </row>
    <row r="2464" spans="1:15" s="90" customFormat="1" ht="12.75" customHeight="1" x14ac:dyDescent="0.2">
      <c r="A2464" s="247" t="s">
        <v>993</v>
      </c>
      <c r="B2464" s="316">
        <v>3217</v>
      </c>
      <c r="C2464" s="247" t="s">
        <v>975</v>
      </c>
      <c r="D2464" s="317">
        <v>42671</v>
      </c>
      <c r="E2464" s="318">
        <v>0.27910879629629631</v>
      </c>
      <c r="F2464" s="247" t="s">
        <v>235</v>
      </c>
      <c r="G2464" s="247"/>
      <c r="H2464" s="248" t="s">
        <v>234</v>
      </c>
      <c r="I2464" s="248" t="s">
        <v>235</v>
      </c>
      <c r="J2464" s="247" t="s">
        <v>809</v>
      </c>
      <c r="K2464" s="249">
        <v>0</v>
      </c>
      <c r="M2464" s="90">
        <v>0</v>
      </c>
      <c r="N2464" s="90">
        <v>0</v>
      </c>
      <c r="O2464" s="90">
        <v>255</v>
      </c>
    </row>
    <row r="2465" spans="1:15" s="90" customFormat="1" ht="12.75" customHeight="1" x14ac:dyDescent="0.2">
      <c r="A2465" s="247" t="s">
        <v>1084</v>
      </c>
      <c r="B2465" s="316">
        <v>3089</v>
      </c>
      <c r="C2465" s="247" t="s">
        <v>996</v>
      </c>
      <c r="D2465" s="317">
        <v>42671</v>
      </c>
      <c r="E2465" s="318">
        <v>0.30711805555555555</v>
      </c>
      <c r="F2465" s="247" t="s">
        <v>235</v>
      </c>
      <c r="G2465" s="247"/>
      <c r="H2465" s="248" t="s">
        <v>234</v>
      </c>
      <c r="I2465" s="248" t="s">
        <v>235</v>
      </c>
      <c r="J2465" s="247" t="s">
        <v>809</v>
      </c>
      <c r="K2465" s="249">
        <v>0</v>
      </c>
      <c r="M2465" s="90">
        <v>0</v>
      </c>
      <c r="N2465" s="90">
        <v>0</v>
      </c>
      <c r="O2465" s="90">
        <v>255</v>
      </c>
    </row>
    <row r="2466" spans="1:15" s="90" customFormat="1" ht="12.75" customHeight="1" x14ac:dyDescent="0.2">
      <c r="A2466" s="247" t="s">
        <v>1083</v>
      </c>
      <c r="B2466" s="316">
        <v>3089</v>
      </c>
      <c r="C2466" s="247" t="s">
        <v>996</v>
      </c>
      <c r="D2466" s="317">
        <v>42671</v>
      </c>
      <c r="E2466" s="318">
        <v>0.30711805555555555</v>
      </c>
      <c r="F2466" s="247" t="s">
        <v>235</v>
      </c>
      <c r="G2466" s="247"/>
      <c r="H2466" s="248" t="s">
        <v>234</v>
      </c>
      <c r="I2466" s="248" t="s">
        <v>235</v>
      </c>
      <c r="J2466" s="247" t="s">
        <v>809</v>
      </c>
      <c r="K2466" s="249">
        <v>0</v>
      </c>
      <c r="M2466" s="90">
        <v>0</v>
      </c>
      <c r="N2466" s="90">
        <v>0</v>
      </c>
      <c r="O2466" s="90">
        <v>255</v>
      </c>
    </row>
    <row r="2467" spans="1:15" s="90" customFormat="1" ht="12.75" customHeight="1" x14ac:dyDescent="0.2">
      <c r="A2467" s="247" t="s">
        <v>1085</v>
      </c>
      <c r="B2467" s="316">
        <v>3089</v>
      </c>
      <c r="C2467" s="247" t="s">
        <v>996</v>
      </c>
      <c r="D2467" s="317">
        <v>42671</v>
      </c>
      <c r="E2467" s="318">
        <v>0.31032407407407409</v>
      </c>
      <c r="F2467" s="247" t="s">
        <v>235</v>
      </c>
      <c r="G2467" s="247"/>
      <c r="H2467" s="248" t="s">
        <v>234</v>
      </c>
      <c r="I2467" s="248" t="s">
        <v>235</v>
      </c>
      <c r="J2467" s="247" t="s">
        <v>809</v>
      </c>
      <c r="K2467" s="249">
        <v>0</v>
      </c>
      <c r="M2467" s="90">
        <v>0</v>
      </c>
      <c r="N2467" s="90">
        <v>0</v>
      </c>
      <c r="O2467" s="90">
        <v>255</v>
      </c>
    </row>
    <row r="2468" spans="1:15" s="90" customFormat="1" ht="12.75" customHeight="1" x14ac:dyDescent="0.2">
      <c r="A2468" s="247" t="s">
        <v>1086</v>
      </c>
      <c r="B2468" s="316">
        <v>3089</v>
      </c>
      <c r="C2468" s="247" t="s">
        <v>996</v>
      </c>
      <c r="D2468" s="317">
        <v>42671</v>
      </c>
      <c r="E2468" s="318">
        <v>0.31043981481481481</v>
      </c>
      <c r="F2468" s="247" t="s">
        <v>235</v>
      </c>
      <c r="G2468" s="247"/>
      <c r="H2468" s="248" t="s">
        <v>234</v>
      </c>
      <c r="I2468" s="248" t="s">
        <v>235</v>
      </c>
      <c r="J2468" s="247" t="s">
        <v>809</v>
      </c>
      <c r="K2468" s="249">
        <v>0</v>
      </c>
      <c r="M2468" s="90">
        <v>0</v>
      </c>
      <c r="N2468" s="90">
        <v>0</v>
      </c>
      <c r="O2468" s="90">
        <v>255</v>
      </c>
    </row>
    <row r="2469" spans="1:15" s="90" customFormat="1" ht="12.75" customHeight="1" x14ac:dyDescent="0.2">
      <c r="A2469" s="247" t="s">
        <v>989</v>
      </c>
      <c r="B2469" s="316">
        <v>3046</v>
      </c>
      <c r="C2469" s="247" t="s">
        <v>975</v>
      </c>
      <c r="D2469" s="317">
        <v>42671</v>
      </c>
      <c r="E2469" s="318">
        <v>0.32078703703703704</v>
      </c>
      <c r="F2469" s="247" t="s">
        <v>976</v>
      </c>
      <c r="G2469" s="247"/>
      <c r="H2469" s="248" t="s">
        <v>404</v>
      </c>
      <c r="I2469" s="248" t="s">
        <v>404</v>
      </c>
      <c r="J2469" s="247" t="s">
        <v>809</v>
      </c>
      <c r="K2469" s="249">
        <v>0</v>
      </c>
      <c r="M2469" s="90">
        <v>0</v>
      </c>
      <c r="N2469" s="90">
        <v>0</v>
      </c>
      <c r="O2469" s="90">
        <v>255</v>
      </c>
    </row>
    <row r="2470" spans="1:15" s="90" customFormat="1" ht="12.75" customHeight="1" x14ac:dyDescent="0.2">
      <c r="A2470" s="247" t="s">
        <v>990</v>
      </c>
      <c r="B2470" s="316">
        <v>3046</v>
      </c>
      <c r="C2470" s="247" t="s">
        <v>975</v>
      </c>
      <c r="D2470" s="317">
        <v>42671</v>
      </c>
      <c r="E2470" s="318">
        <v>0.32187499999999997</v>
      </c>
      <c r="F2470" s="247" t="s">
        <v>976</v>
      </c>
      <c r="G2470" s="247"/>
      <c r="H2470" s="248" t="s">
        <v>404</v>
      </c>
      <c r="I2470" s="248" t="s">
        <v>404</v>
      </c>
      <c r="J2470" s="247" t="s">
        <v>809</v>
      </c>
      <c r="K2470" s="249">
        <v>0</v>
      </c>
      <c r="M2470" s="90">
        <v>0</v>
      </c>
      <c r="N2470" s="90">
        <v>0</v>
      </c>
      <c r="O2470" s="90">
        <v>255</v>
      </c>
    </row>
    <row r="2471" spans="1:15" s="90" customFormat="1" ht="12.75" customHeight="1" x14ac:dyDescent="0.2">
      <c r="A2471" s="247" t="s">
        <v>993</v>
      </c>
      <c r="B2471" s="316">
        <v>3217</v>
      </c>
      <c r="C2471" s="247" t="s">
        <v>975</v>
      </c>
      <c r="D2471" s="317">
        <v>42671</v>
      </c>
      <c r="E2471" s="318">
        <v>0.32187499999999997</v>
      </c>
      <c r="F2471" s="247" t="s">
        <v>235</v>
      </c>
      <c r="G2471" s="247"/>
      <c r="H2471" s="248" t="s">
        <v>234</v>
      </c>
      <c r="I2471" s="248" t="s">
        <v>235</v>
      </c>
      <c r="J2471" s="247" t="s">
        <v>809</v>
      </c>
      <c r="K2471" s="249">
        <v>0</v>
      </c>
      <c r="M2471" s="90">
        <v>0</v>
      </c>
      <c r="N2471" s="90">
        <v>0</v>
      </c>
      <c r="O2471" s="90">
        <v>255</v>
      </c>
    </row>
    <row r="2472" spans="1:15" s="90" customFormat="1" ht="12.75" customHeight="1" x14ac:dyDescent="0.2">
      <c r="A2472" s="247" t="s">
        <v>989</v>
      </c>
      <c r="B2472" s="316">
        <v>3046</v>
      </c>
      <c r="C2472" s="247" t="s">
        <v>975</v>
      </c>
      <c r="D2472" s="317">
        <v>42671</v>
      </c>
      <c r="E2472" s="318">
        <v>0.36354166666666665</v>
      </c>
      <c r="F2472" s="247" t="s">
        <v>976</v>
      </c>
      <c r="G2472" s="247"/>
      <c r="H2472" s="248" t="s">
        <v>404</v>
      </c>
      <c r="I2472" s="248" t="s">
        <v>404</v>
      </c>
      <c r="J2472" s="247" t="s">
        <v>809</v>
      </c>
      <c r="K2472" s="249">
        <v>0</v>
      </c>
      <c r="M2472" s="90">
        <v>0</v>
      </c>
      <c r="N2472" s="90">
        <v>0</v>
      </c>
      <c r="O2472" s="90">
        <v>255</v>
      </c>
    </row>
    <row r="2473" spans="1:15" s="90" customFormat="1" ht="12.75" customHeight="1" x14ac:dyDescent="0.2">
      <c r="A2473" s="247" t="s">
        <v>997</v>
      </c>
      <c r="B2473" s="316">
        <v>4025</v>
      </c>
      <c r="C2473" s="247" t="s">
        <v>996</v>
      </c>
      <c r="D2473" s="317">
        <v>42671</v>
      </c>
      <c r="E2473" s="318">
        <v>0.3637037037037037</v>
      </c>
      <c r="F2473" s="247" t="s">
        <v>702</v>
      </c>
      <c r="G2473" s="247"/>
      <c r="H2473" s="248" t="s">
        <v>4</v>
      </c>
      <c r="I2473" s="248" t="s">
        <v>5</v>
      </c>
      <c r="J2473" s="247" t="s">
        <v>809</v>
      </c>
      <c r="K2473" s="249">
        <v>0</v>
      </c>
      <c r="L2473" s="90" t="s">
        <v>1780</v>
      </c>
      <c r="M2473" s="90">
        <v>327</v>
      </c>
      <c r="N2473" s="90">
        <v>-1</v>
      </c>
      <c r="O2473" s="90">
        <v>0</v>
      </c>
    </row>
    <row r="2474" spans="1:15" s="90" customFormat="1" ht="12.75" customHeight="1" x14ac:dyDescent="0.2">
      <c r="A2474" s="247" t="s">
        <v>990</v>
      </c>
      <c r="B2474" s="316">
        <v>3046</v>
      </c>
      <c r="C2474" s="247" t="s">
        <v>975</v>
      </c>
      <c r="D2474" s="317">
        <v>42671</v>
      </c>
      <c r="E2474" s="318">
        <v>0.36379629629629634</v>
      </c>
      <c r="F2474" s="247" t="s">
        <v>976</v>
      </c>
      <c r="G2474" s="247"/>
      <c r="H2474" s="248" t="s">
        <v>404</v>
      </c>
      <c r="I2474" s="248" t="s">
        <v>404</v>
      </c>
      <c r="J2474" s="247" t="s">
        <v>809</v>
      </c>
      <c r="K2474" s="249">
        <v>0</v>
      </c>
      <c r="M2474" s="90">
        <v>0</v>
      </c>
      <c r="N2474" s="90">
        <v>0</v>
      </c>
      <c r="O2474" s="90">
        <v>255</v>
      </c>
    </row>
    <row r="2475" spans="1:15" s="90" customFormat="1" ht="12.75" customHeight="1" x14ac:dyDescent="0.2">
      <c r="A2475" s="247" t="s">
        <v>993</v>
      </c>
      <c r="B2475" s="316">
        <v>3217</v>
      </c>
      <c r="C2475" s="247" t="s">
        <v>975</v>
      </c>
      <c r="D2475" s="317">
        <v>42671</v>
      </c>
      <c r="E2475" s="318">
        <v>0.36379629629629634</v>
      </c>
      <c r="F2475" s="247" t="s">
        <v>235</v>
      </c>
      <c r="G2475" s="247"/>
      <c r="H2475" s="248" t="s">
        <v>234</v>
      </c>
      <c r="I2475" s="248" t="s">
        <v>235</v>
      </c>
      <c r="J2475" s="247" t="s">
        <v>809</v>
      </c>
      <c r="K2475" s="249">
        <v>0</v>
      </c>
      <c r="M2475" s="90">
        <v>0</v>
      </c>
      <c r="N2475" s="90">
        <v>0</v>
      </c>
      <c r="O2475" s="90">
        <v>255</v>
      </c>
    </row>
    <row r="2476" spans="1:15" s="90" customFormat="1" ht="12.75" customHeight="1" x14ac:dyDescent="0.2">
      <c r="A2476" s="247" t="s">
        <v>989</v>
      </c>
      <c r="B2476" s="316">
        <v>3046</v>
      </c>
      <c r="C2476" s="247" t="s">
        <v>975</v>
      </c>
      <c r="D2476" s="317">
        <v>42671</v>
      </c>
      <c r="E2476" s="318">
        <v>0.40546296296296297</v>
      </c>
      <c r="F2476" s="247" t="s">
        <v>976</v>
      </c>
      <c r="G2476" s="247"/>
      <c r="H2476" s="248" t="s">
        <v>404</v>
      </c>
      <c r="I2476" s="248" t="s">
        <v>404</v>
      </c>
      <c r="J2476" s="247" t="s">
        <v>809</v>
      </c>
      <c r="K2476" s="249">
        <v>0</v>
      </c>
      <c r="M2476" s="90">
        <v>0</v>
      </c>
      <c r="N2476" s="90">
        <v>0</v>
      </c>
      <c r="O2476" s="90">
        <v>255</v>
      </c>
    </row>
    <row r="2477" spans="1:15" s="90" customFormat="1" ht="12.75" customHeight="1" x14ac:dyDescent="0.2">
      <c r="A2477" s="247" t="s">
        <v>990</v>
      </c>
      <c r="B2477" s="316">
        <v>3046</v>
      </c>
      <c r="C2477" s="247" t="s">
        <v>975</v>
      </c>
      <c r="D2477" s="317">
        <v>42671</v>
      </c>
      <c r="E2477" s="318">
        <v>0.4057175925925926</v>
      </c>
      <c r="F2477" s="247" t="s">
        <v>976</v>
      </c>
      <c r="G2477" s="247"/>
      <c r="H2477" s="248" t="s">
        <v>404</v>
      </c>
      <c r="I2477" s="248" t="s">
        <v>404</v>
      </c>
      <c r="J2477" s="247" t="s">
        <v>809</v>
      </c>
      <c r="K2477" s="249">
        <v>0</v>
      </c>
      <c r="M2477" s="90">
        <v>0</v>
      </c>
      <c r="N2477" s="90">
        <v>0</v>
      </c>
      <c r="O2477" s="90">
        <v>255</v>
      </c>
    </row>
    <row r="2478" spans="1:15" s="90" customFormat="1" ht="12.75" customHeight="1" x14ac:dyDescent="0.2">
      <c r="A2478" s="247" t="s">
        <v>993</v>
      </c>
      <c r="B2478" s="316">
        <v>3217</v>
      </c>
      <c r="C2478" s="247" t="s">
        <v>975</v>
      </c>
      <c r="D2478" s="317">
        <v>42671</v>
      </c>
      <c r="E2478" s="318">
        <v>0.4057175925925926</v>
      </c>
      <c r="F2478" s="247" t="s">
        <v>235</v>
      </c>
      <c r="G2478" s="247"/>
      <c r="H2478" s="248" t="s">
        <v>234</v>
      </c>
      <c r="I2478" s="248" t="s">
        <v>235</v>
      </c>
      <c r="J2478" s="247" t="s">
        <v>809</v>
      </c>
      <c r="K2478" s="249">
        <v>0</v>
      </c>
      <c r="M2478" s="90">
        <v>0</v>
      </c>
      <c r="N2478" s="90">
        <v>0</v>
      </c>
      <c r="O2478" s="90">
        <v>255</v>
      </c>
    </row>
    <row r="2479" spans="1:15" s="90" customFormat="1" ht="12.75" customHeight="1" x14ac:dyDescent="0.2">
      <c r="A2479" s="247" t="s">
        <v>989</v>
      </c>
      <c r="B2479" s="316">
        <v>3046</v>
      </c>
      <c r="C2479" s="247" t="s">
        <v>975</v>
      </c>
      <c r="D2479" s="317">
        <v>42671</v>
      </c>
      <c r="E2479" s="318">
        <v>0.44738425925925923</v>
      </c>
      <c r="F2479" s="247" t="s">
        <v>976</v>
      </c>
      <c r="G2479" s="247"/>
      <c r="H2479" s="248" t="s">
        <v>404</v>
      </c>
      <c r="I2479" s="248" t="s">
        <v>404</v>
      </c>
      <c r="J2479" s="247" t="s">
        <v>809</v>
      </c>
      <c r="K2479" s="249">
        <v>0</v>
      </c>
      <c r="M2479" s="90">
        <v>0</v>
      </c>
      <c r="N2479" s="90">
        <v>0</v>
      </c>
      <c r="O2479" s="90">
        <v>255</v>
      </c>
    </row>
    <row r="2480" spans="1:15" s="90" customFormat="1" ht="12.75" customHeight="1" x14ac:dyDescent="0.2">
      <c r="A2480" s="247" t="s">
        <v>993</v>
      </c>
      <c r="B2480" s="316">
        <v>3217</v>
      </c>
      <c r="C2480" s="247" t="s">
        <v>975</v>
      </c>
      <c r="D2480" s="317">
        <v>42671</v>
      </c>
      <c r="E2480" s="318">
        <v>0.44762731481481483</v>
      </c>
      <c r="F2480" s="247" t="s">
        <v>235</v>
      </c>
      <c r="G2480" s="247"/>
      <c r="H2480" s="248" t="s">
        <v>234</v>
      </c>
      <c r="I2480" s="248" t="s">
        <v>235</v>
      </c>
      <c r="J2480" s="247" t="s">
        <v>809</v>
      </c>
      <c r="K2480" s="249">
        <v>0</v>
      </c>
      <c r="M2480" s="90">
        <v>0</v>
      </c>
      <c r="N2480" s="90">
        <v>0</v>
      </c>
      <c r="O2480" s="90">
        <v>255</v>
      </c>
    </row>
    <row r="2481" spans="1:15" s="90" customFormat="1" ht="12.75" customHeight="1" x14ac:dyDescent="0.2">
      <c r="A2481" s="247" t="s">
        <v>990</v>
      </c>
      <c r="B2481" s="316">
        <v>3046</v>
      </c>
      <c r="C2481" s="247" t="s">
        <v>975</v>
      </c>
      <c r="D2481" s="317">
        <v>42671</v>
      </c>
      <c r="E2481" s="318">
        <v>0.44763888888888892</v>
      </c>
      <c r="F2481" s="247" t="s">
        <v>976</v>
      </c>
      <c r="G2481" s="247"/>
      <c r="H2481" s="248" t="s">
        <v>404</v>
      </c>
      <c r="I2481" s="248" t="s">
        <v>404</v>
      </c>
      <c r="J2481" s="247" t="s">
        <v>809</v>
      </c>
      <c r="K2481" s="249">
        <v>0</v>
      </c>
      <c r="M2481" s="90">
        <v>0</v>
      </c>
      <c r="N2481" s="90">
        <v>0</v>
      </c>
      <c r="O2481" s="90">
        <v>255</v>
      </c>
    </row>
    <row r="2482" spans="1:15" s="90" customFormat="1" ht="12.75" customHeight="1" x14ac:dyDescent="0.2">
      <c r="A2482" s="247" t="s">
        <v>1034</v>
      </c>
      <c r="B2482" s="316">
        <v>3106</v>
      </c>
      <c r="C2482" s="247" t="s">
        <v>975</v>
      </c>
      <c r="D2482" s="317">
        <v>42671</v>
      </c>
      <c r="E2482" s="318">
        <v>0.45302083333333337</v>
      </c>
      <c r="F2482" s="247" t="s">
        <v>978</v>
      </c>
      <c r="G2482" s="247" t="s">
        <v>1035</v>
      </c>
      <c r="H2482" s="248" t="s">
        <v>234</v>
      </c>
      <c r="I2482" s="248" t="s">
        <v>677</v>
      </c>
      <c r="J2482" s="247" t="s">
        <v>809</v>
      </c>
      <c r="K2482" s="249">
        <v>0</v>
      </c>
      <c r="M2482" s="90">
        <v>0</v>
      </c>
      <c r="N2482" s="90">
        <v>0</v>
      </c>
      <c r="O2482" s="90">
        <v>255</v>
      </c>
    </row>
    <row r="2483" spans="1:15" s="90" customFormat="1" ht="12.75" customHeight="1" x14ac:dyDescent="0.2">
      <c r="A2483" s="247" t="s">
        <v>989</v>
      </c>
      <c r="B2483" s="316">
        <v>3046</v>
      </c>
      <c r="C2483" s="247" t="s">
        <v>975</v>
      </c>
      <c r="D2483" s="317">
        <v>42671</v>
      </c>
      <c r="E2483" s="318">
        <v>0.45651620370370366</v>
      </c>
      <c r="F2483" s="247" t="s">
        <v>976</v>
      </c>
      <c r="G2483" s="247" t="s">
        <v>1035</v>
      </c>
      <c r="H2483" s="248" t="s">
        <v>404</v>
      </c>
      <c r="I2483" s="248" t="s">
        <v>404</v>
      </c>
      <c r="J2483" s="247" t="s">
        <v>809</v>
      </c>
      <c r="K2483" s="249">
        <v>0</v>
      </c>
      <c r="M2483" s="90">
        <v>0</v>
      </c>
      <c r="N2483" s="90">
        <v>0</v>
      </c>
      <c r="O2483" s="90">
        <v>255</v>
      </c>
    </row>
    <row r="2484" spans="1:15" s="90" customFormat="1" ht="12.75" customHeight="1" x14ac:dyDescent="0.2">
      <c r="A2484" s="247" t="s">
        <v>990</v>
      </c>
      <c r="B2484" s="316">
        <v>3046</v>
      </c>
      <c r="C2484" s="247" t="s">
        <v>975</v>
      </c>
      <c r="D2484" s="317">
        <v>42671</v>
      </c>
      <c r="E2484" s="318">
        <v>0.45960648148148148</v>
      </c>
      <c r="F2484" s="247" t="s">
        <v>976</v>
      </c>
      <c r="G2484" s="247" t="s">
        <v>1035</v>
      </c>
      <c r="H2484" s="248" t="s">
        <v>404</v>
      </c>
      <c r="I2484" s="248" t="s">
        <v>404</v>
      </c>
      <c r="J2484" s="247" t="s">
        <v>809</v>
      </c>
      <c r="K2484" s="249">
        <v>0</v>
      </c>
      <c r="M2484" s="90">
        <v>0</v>
      </c>
      <c r="N2484" s="90">
        <v>0</v>
      </c>
      <c r="O2484" s="90">
        <v>255</v>
      </c>
    </row>
    <row r="2485" spans="1:15" s="90" customFormat="1" ht="12.75" customHeight="1" x14ac:dyDescent="0.2">
      <c r="A2485" s="247" t="s">
        <v>1027</v>
      </c>
      <c r="B2485" s="316">
        <v>3051</v>
      </c>
      <c r="C2485" s="247" t="s">
        <v>975</v>
      </c>
      <c r="D2485" s="317">
        <v>42671</v>
      </c>
      <c r="E2485" s="318">
        <v>0.45960648148148148</v>
      </c>
      <c r="F2485" s="247" t="s">
        <v>235</v>
      </c>
      <c r="G2485" s="247" t="s">
        <v>1035</v>
      </c>
      <c r="H2485" s="248" t="s">
        <v>234</v>
      </c>
      <c r="I2485" s="248" t="s">
        <v>235</v>
      </c>
      <c r="J2485" s="247" t="s">
        <v>809</v>
      </c>
      <c r="K2485" s="249">
        <v>0</v>
      </c>
      <c r="M2485" s="90">
        <v>0</v>
      </c>
      <c r="N2485" s="90">
        <v>0</v>
      </c>
      <c r="O2485" s="90">
        <v>255</v>
      </c>
    </row>
    <row r="2486" spans="1:15" s="90" customFormat="1" ht="12.75" customHeight="1" x14ac:dyDescent="0.2">
      <c r="A2486" s="247" t="s">
        <v>1028</v>
      </c>
      <c r="B2486" s="316">
        <v>3051</v>
      </c>
      <c r="C2486" s="247" t="s">
        <v>975</v>
      </c>
      <c r="D2486" s="317">
        <v>42671</v>
      </c>
      <c r="E2486" s="318">
        <v>0.45960648148148148</v>
      </c>
      <c r="F2486" s="247" t="s">
        <v>235</v>
      </c>
      <c r="G2486" s="247" t="s">
        <v>1035</v>
      </c>
      <c r="H2486" s="248" t="s">
        <v>234</v>
      </c>
      <c r="I2486" s="248" t="s">
        <v>235</v>
      </c>
      <c r="J2486" s="247" t="s">
        <v>809</v>
      </c>
      <c r="K2486" s="249">
        <v>0</v>
      </c>
      <c r="M2486" s="90">
        <v>0</v>
      </c>
      <c r="N2486" s="90">
        <v>0</v>
      </c>
      <c r="O2486" s="90">
        <v>255</v>
      </c>
    </row>
    <row r="2487" spans="1:15" s="90" customFormat="1" ht="12.75" customHeight="1" x14ac:dyDescent="0.2">
      <c r="A2487" s="247" t="s">
        <v>1026</v>
      </c>
      <c r="B2487" s="316">
        <v>3216</v>
      </c>
      <c r="C2487" s="247" t="s">
        <v>975</v>
      </c>
      <c r="D2487" s="317">
        <v>42671</v>
      </c>
      <c r="E2487" s="318">
        <v>0.45960648148148148</v>
      </c>
      <c r="F2487" s="247" t="s">
        <v>235</v>
      </c>
      <c r="G2487" s="247" t="s">
        <v>1035</v>
      </c>
      <c r="H2487" s="248" t="s">
        <v>234</v>
      </c>
      <c r="I2487" s="248" t="s">
        <v>235</v>
      </c>
      <c r="J2487" s="247" t="s">
        <v>809</v>
      </c>
      <c r="K2487" s="249">
        <v>0</v>
      </c>
      <c r="M2487" s="90">
        <v>0</v>
      </c>
      <c r="N2487" s="90">
        <v>0</v>
      </c>
      <c r="O2487" s="90">
        <v>255</v>
      </c>
    </row>
    <row r="2488" spans="1:15" s="90" customFormat="1" ht="12.75" customHeight="1" x14ac:dyDescent="0.2">
      <c r="A2488" s="247" t="s">
        <v>989</v>
      </c>
      <c r="B2488" s="316">
        <v>3046</v>
      </c>
      <c r="C2488" s="247" t="s">
        <v>975</v>
      </c>
      <c r="D2488" s="317">
        <v>42671</v>
      </c>
      <c r="E2488" s="318">
        <v>0.46486111111111111</v>
      </c>
      <c r="F2488" s="247" t="s">
        <v>976</v>
      </c>
      <c r="G2488" s="247" t="s">
        <v>1035</v>
      </c>
      <c r="H2488" s="248" t="s">
        <v>404</v>
      </c>
      <c r="I2488" s="248" t="s">
        <v>404</v>
      </c>
      <c r="J2488" s="247" t="s">
        <v>809</v>
      </c>
      <c r="K2488" s="249">
        <v>0</v>
      </c>
      <c r="M2488" s="90">
        <v>0</v>
      </c>
      <c r="N2488" s="90">
        <v>0</v>
      </c>
      <c r="O2488" s="90">
        <v>255</v>
      </c>
    </row>
    <row r="2489" spans="1:15" s="90" customFormat="1" ht="12.75" customHeight="1" x14ac:dyDescent="0.2">
      <c r="A2489" s="247" t="s">
        <v>1006</v>
      </c>
      <c r="B2489" s="316">
        <v>3051</v>
      </c>
      <c r="C2489" s="247" t="s">
        <v>975</v>
      </c>
      <c r="D2489" s="317">
        <v>42671</v>
      </c>
      <c r="E2489" s="318">
        <v>0.46487268518518521</v>
      </c>
      <c r="F2489" s="247" t="s">
        <v>235</v>
      </c>
      <c r="G2489" s="247" t="s">
        <v>1035</v>
      </c>
      <c r="H2489" s="248" t="s">
        <v>234</v>
      </c>
      <c r="I2489" s="248" t="s">
        <v>235</v>
      </c>
      <c r="J2489" s="247" t="s">
        <v>809</v>
      </c>
      <c r="K2489" s="249">
        <v>0</v>
      </c>
      <c r="M2489" s="90">
        <v>0</v>
      </c>
      <c r="N2489" s="90">
        <v>0</v>
      </c>
      <c r="O2489" s="90">
        <v>255</v>
      </c>
    </row>
    <row r="2490" spans="1:15" s="90" customFormat="1" ht="12.75" customHeight="1" x14ac:dyDescent="0.2">
      <c r="A2490" s="247" t="s">
        <v>1065</v>
      </c>
      <c r="B2490" s="316">
        <v>3052</v>
      </c>
      <c r="C2490" s="247" t="s">
        <v>975</v>
      </c>
      <c r="D2490" s="317">
        <v>42671</v>
      </c>
      <c r="E2490" s="318">
        <v>0.46487268518518521</v>
      </c>
      <c r="F2490" s="247" t="s">
        <v>235</v>
      </c>
      <c r="G2490" s="247" t="s">
        <v>1035</v>
      </c>
      <c r="H2490" s="248" t="s">
        <v>234</v>
      </c>
      <c r="I2490" s="248" t="s">
        <v>235</v>
      </c>
      <c r="J2490" s="247" t="s">
        <v>809</v>
      </c>
      <c r="K2490" s="249">
        <v>0</v>
      </c>
      <c r="M2490" s="90">
        <v>0</v>
      </c>
      <c r="N2490" s="90">
        <v>0</v>
      </c>
      <c r="O2490" s="90">
        <v>255</v>
      </c>
    </row>
    <row r="2491" spans="1:15" s="90" customFormat="1" ht="12.75" customHeight="1" x14ac:dyDescent="0.2">
      <c r="A2491" s="247" t="s">
        <v>990</v>
      </c>
      <c r="B2491" s="316">
        <v>3046</v>
      </c>
      <c r="C2491" s="247" t="s">
        <v>975</v>
      </c>
      <c r="D2491" s="317">
        <v>42671</v>
      </c>
      <c r="E2491" s="318">
        <v>0.46490740740740738</v>
      </c>
      <c r="F2491" s="247" t="s">
        <v>976</v>
      </c>
      <c r="G2491" s="247" t="s">
        <v>1035</v>
      </c>
      <c r="H2491" s="248" t="s">
        <v>404</v>
      </c>
      <c r="I2491" s="248" t="s">
        <v>404</v>
      </c>
      <c r="J2491" s="247" t="s">
        <v>809</v>
      </c>
      <c r="K2491" s="249">
        <v>0</v>
      </c>
      <c r="M2491" s="90">
        <v>0</v>
      </c>
      <c r="N2491" s="90">
        <v>0</v>
      </c>
      <c r="O2491" s="90">
        <v>255</v>
      </c>
    </row>
    <row r="2492" spans="1:15" s="90" customFormat="1" ht="12.75" customHeight="1" x14ac:dyDescent="0.2">
      <c r="A2492" s="247" t="s">
        <v>989</v>
      </c>
      <c r="B2492" s="316">
        <v>3046</v>
      </c>
      <c r="C2492" s="247" t="s">
        <v>975</v>
      </c>
      <c r="D2492" s="317">
        <v>42671</v>
      </c>
      <c r="E2492" s="318">
        <v>0.46493055555555557</v>
      </c>
      <c r="F2492" s="247" t="s">
        <v>976</v>
      </c>
      <c r="G2492" s="247" t="s">
        <v>1035</v>
      </c>
      <c r="H2492" s="248" t="s">
        <v>404</v>
      </c>
      <c r="I2492" s="248" t="s">
        <v>404</v>
      </c>
      <c r="J2492" s="247" t="s">
        <v>809</v>
      </c>
      <c r="K2492" s="249">
        <v>0</v>
      </c>
      <c r="M2492" s="90">
        <v>0</v>
      </c>
      <c r="N2492" s="90">
        <v>0</v>
      </c>
      <c r="O2492" s="90">
        <v>255</v>
      </c>
    </row>
    <row r="2493" spans="1:15" s="90" customFormat="1" ht="12.75" customHeight="1" x14ac:dyDescent="0.2">
      <c r="A2493" s="247" t="s">
        <v>990</v>
      </c>
      <c r="B2493" s="316">
        <v>3046</v>
      </c>
      <c r="C2493" s="247" t="s">
        <v>975</v>
      </c>
      <c r="D2493" s="317">
        <v>42671</v>
      </c>
      <c r="E2493" s="318">
        <v>0.4649537037037037</v>
      </c>
      <c r="F2493" s="247" t="s">
        <v>976</v>
      </c>
      <c r="G2493" s="247" t="s">
        <v>1035</v>
      </c>
      <c r="H2493" s="248" t="s">
        <v>404</v>
      </c>
      <c r="I2493" s="248" t="s">
        <v>404</v>
      </c>
      <c r="J2493" s="247" t="s">
        <v>809</v>
      </c>
      <c r="K2493" s="249">
        <v>0</v>
      </c>
      <c r="M2493" s="90">
        <v>0</v>
      </c>
      <c r="N2493" s="90">
        <v>0</v>
      </c>
      <c r="O2493" s="90">
        <v>255</v>
      </c>
    </row>
    <row r="2494" spans="1:15" s="90" customFormat="1" ht="12.75" customHeight="1" x14ac:dyDescent="0.2">
      <c r="A2494" s="247" t="s">
        <v>1005</v>
      </c>
      <c r="B2494" s="316">
        <v>3051</v>
      </c>
      <c r="C2494" s="247" t="s">
        <v>975</v>
      </c>
      <c r="D2494" s="317">
        <v>42671</v>
      </c>
      <c r="E2494" s="318">
        <v>0.4649537037037037</v>
      </c>
      <c r="F2494" s="247" t="s">
        <v>235</v>
      </c>
      <c r="G2494" s="247" t="s">
        <v>1035</v>
      </c>
      <c r="H2494" s="248" t="s">
        <v>234</v>
      </c>
      <c r="I2494" s="248" t="s">
        <v>235</v>
      </c>
      <c r="J2494" s="247" t="s">
        <v>809</v>
      </c>
      <c r="K2494" s="249">
        <v>0</v>
      </c>
      <c r="M2494" s="90">
        <v>0</v>
      </c>
      <c r="N2494" s="90">
        <v>0</v>
      </c>
      <c r="O2494" s="90">
        <v>255</v>
      </c>
    </row>
    <row r="2495" spans="1:15" s="90" customFormat="1" ht="12.75" customHeight="1" x14ac:dyDescent="0.2">
      <c r="A2495" s="247" t="s">
        <v>1066</v>
      </c>
      <c r="B2495" s="316">
        <v>3052</v>
      </c>
      <c r="C2495" s="247" t="s">
        <v>975</v>
      </c>
      <c r="D2495" s="317">
        <v>42671</v>
      </c>
      <c r="E2495" s="318">
        <v>0.4649537037037037</v>
      </c>
      <c r="F2495" s="247" t="s">
        <v>235</v>
      </c>
      <c r="G2495" s="247" t="s">
        <v>1035</v>
      </c>
      <c r="H2495" s="248" t="s">
        <v>234</v>
      </c>
      <c r="I2495" s="248" t="s">
        <v>235</v>
      </c>
      <c r="J2495" s="247" t="s">
        <v>809</v>
      </c>
      <c r="K2495" s="249">
        <v>0</v>
      </c>
      <c r="M2495" s="90">
        <v>0</v>
      </c>
      <c r="N2495" s="90">
        <v>0</v>
      </c>
      <c r="O2495" s="90">
        <v>255</v>
      </c>
    </row>
    <row r="2496" spans="1:15" s="90" customFormat="1" ht="12.75" customHeight="1" x14ac:dyDescent="0.2">
      <c r="A2496" s="247" t="s">
        <v>1186</v>
      </c>
      <c r="B2496" s="316">
        <v>3218</v>
      </c>
      <c r="C2496" s="247" t="s">
        <v>979</v>
      </c>
      <c r="D2496" s="317">
        <v>42671</v>
      </c>
      <c r="E2496" s="318">
        <v>0.46804398148148146</v>
      </c>
      <c r="F2496" s="247" t="s">
        <v>702</v>
      </c>
      <c r="G2496" s="247" t="s">
        <v>1035</v>
      </c>
      <c r="H2496" s="248"/>
      <c r="I2496" s="248"/>
      <c r="J2496" s="247"/>
      <c r="K2496" s="249"/>
      <c r="M2496" s="90">
        <v>0</v>
      </c>
      <c r="N2496" s="90">
        <v>0</v>
      </c>
      <c r="O2496" s="90">
        <v>255</v>
      </c>
    </row>
    <row r="2497" spans="1:15" s="90" customFormat="1" ht="12.75" customHeight="1" x14ac:dyDescent="0.2">
      <c r="A2497" s="247" t="s">
        <v>1187</v>
      </c>
      <c r="B2497" s="316">
        <v>3218</v>
      </c>
      <c r="C2497" s="247" t="s">
        <v>979</v>
      </c>
      <c r="D2497" s="317">
        <v>42671</v>
      </c>
      <c r="E2497" s="318">
        <v>0.46804398148148146</v>
      </c>
      <c r="F2497" s="247" t="s">
        <v>702</v>
      </c>
      <c r="G2497" s="247" t="s">
        <v>1035</v>
      </c>
      <c r="H2497" s="248"/>
      <c r="I2497" s="248"/>
      <c r="J2497" s="247"/>
      <c r="K2497" s="249"/>
      <c r="M2497" s="90">
        <v>0</v>
      </c>
      <c r="N2497" s="90">
        <v>0</v>
      </c>
      <c r="O2497" s="90">
        <v>255</v>
      </c>
    </row>
    <row r="2498" spans="1:15" s="90" customFormat="1" ht="12.75" customHeight="1" x14ac:dyDescent="0.2">
      <c r="A2498" s="247" t="s">
        <v>1186</v>
      </c>
      <c r="B2498" s="316">
        <v>3218</v>
      </c>
      <c r="C2498" s="247" t="s">
        <v>979</v>
      </c>
      <c r="D2498" s="317">
        <v>42671</v>
      </c>
      <c r="E2498" s="318">
        <v>0.46810185185185182</v>
      </c>
      <c r="F2498" s="247" t="s">
        <v>702</v>
      </c>
      <c r="G2498" s="247" t="s">
        <v>1035</v>
      </c>
      <c r="H2498" s="248"/>
      <c r="I2498" s="248"/>
      <c r="J2498" s="247"/>
      <c r="K2498" s="249"/>
      <c r="M2498" s="90">
        <v>0</v>
      </c>
      <c r="N2498" s="90">
        <v>0</v>
      </c>
      <c r="O2498" s="90">
        <v>255</v>
      </c>
    </row>
    <row r="2499" spans="1:15" s="90" customFormat="1" ht="12.75" customHeight="1" x14ac:dyDescent="0.2">
      <c r="A2499" s="247" t="s">
        <v>1187</v>
      </c>
      <c r="B2499" s="316">
        <v>3218</v>
      </c>
      <c r="C2499" s="247" t="s">
        <v>979</v>
      </c>
      <c r="D2499" s="317">
        <v>42671</v>
      </c>
      <c r="E2499" s="318">
        <v>0.46814814814814815</v>
      </c>
      <c r="F2499" s="247" t="s">
        <v>702</v>
      </c>
      <c r="G2499" s="247" t="s">
        <v>1035</v>
      </c>
      <c r="H2499" s="248"/>
      <c r="I2499" s="248"/>
      <c r="J2499" s="247"/>
      <c r="K2499" s="249"/>
      <c r="M2499" s="90">
        <v>0</v>
      </c>
      <c r="N2499" s="90">
        <v>0</v>
      </c>
      <c r="O2499" s="90">
        <v>255</v>
      </c>
    </row>
    <row r="2500" spans="1:15" s="90" customFormat="1" ht="12.75" customHeight="1" x14ac:dyDescent="0.2">
      <c r="A2500" s="247" t="s">
        <v>1031</v>
      </c>
      <c r="B2500" s="316">
        <v>3046</v>
      </c>
      <c r="C2500" s="247" t="s">
        <v>975</v>
      </c>
      <c r="D2500" s="317">
        <v>42671</v>
      </c>
      <c r="E2500" s="318">
        <v>0.46826388888888887</v>
      </c>
      <c r="F2500" s="247" t="s">
        <v>976</v>
      </c>
      <c r="G2500" s="247" t="s">
        <v>1035</v>
      </c>
      <c r="H2500" s="248" t="s">
        <v>404</v>
      </c>
      <c r="I2500" s="248" t="s">
        <v>404</v>
      </c>
      <c r="J2500" s="247" t="s">
        <v>809</v>
      </c>
      <c r="K2500" s="249">
        <v>0</v>
      </c>
      <c r="M2500" s="90">
        <v>0</v>
      </c>
      <c r="N2500" s="90">
        <v>0</v>
      </c>
      <c r="O2500" s="90">
        <v>255</v>
      </c>
    </row>
    <row r="2501" spans="1:15" s="90" customFormat="1" ht="12.75" customHeight="1" x14ac:dyDescent="0.2">
      <c r="A2501" s="247" t="s">
        <v>611</v>
      </c>
      <c r="B2501" s="316">
        <v>4030</v>
      </c>
      <c r="C2501" s="247" t="s">
        <v>996</v>
      </c>
      <c r="D2501" s="317">
        <v>42671</v>
      </c>
      <c r="E2501" s="318">
        <v>0.46925925925925926</v>
      </c>
      <c r="F2501" s="247" t="s">
        <v>702</v>
      </c>
      <c r="G2501" s="247" t="s">
        <v>1035</v>
      </c>
      <c r="H2501" s="248" t="s">
        <v>4</v>
      </c>
      <c r="I2501" s="248" t="s">
        <v>14</v>
      </c>
      <c r="J2501" s="247" t="s">
        <v>809</v>
      </c>
      <c r="K2501" s="249">
        <v>0</v>
      </c>
      <c r="L2501" s="90" t="s">
        <v>1780</v>
      </c>
      <c r="M2501" s="90">
        <v>327</v>
      </c>
      <c r="N2501" s="90">
        <v>-1</v>
      </c>
      <c r="O2501" s="90">
        <v>0</v>
      </c>
    </row>
    <row r="2502" spans="1:15" s="90" customFormat="1" ht="12.75" customHeight="1" x14ac:dyDescent="0.2">
      <c r="A2502" s="247" t="s">
        <v>1446</v>
      </c>
      <c r="B2502" s="316">
        <v>3088</v>
      </c>
      <c r="C2502" s="247" t="s">
        <v>979</v>
      </c>
      <c r="D2502" s="317">
        <v>42671</v>
      </c>
      <c r="E2502" s="318">
        <v>0.47075231481481478</v>
      </c>
      <c r="F2502" s="247" t="s">
        <v>656</v>
      </c>
      <c r="G2502" s="247" t="s">
        <v>1035</v>
      </c>
      <c r="H2502" s="248" t="s">
        <v>234</v>
      </c>
      <c r="I2502" s="248" t="s">
        <v>702</v>
      </c>
      <c r="J2502" s="247" t="s">
        <v>809</v>
      </c>
      <c r="K2502" s="249">
        <v>0</v>
      </c>
      <c r="M2502" s="90">
        <v>0</v>
      </c>
      <c r="N2502" s="90">
        <v>0</v>
      </c>
      <c r="O2502" s="90">
        <v>255</v>
      </c>
    </row>
    <row r="2503" spans="1:15" s="90" customFormat="1" ht="12.75" customHeight="1" x14ac:dyDescent="0.2">
      <c r="A2503" s="247" t="s">
        <v>1032</v>
      </c>
      <c r="B2503" s="316">
        <v>3046</v>
      </c>
      <c r="C2503" s="247" t="s">
        <v>975</v>
      </c>
      <c r="D2503" s="317">
        <v>42671</v>
      </c>
      <c r="E2503" s="318">
        <v>0.47076388888888893</v>
      </c>
      <c r="F2503" s="247" t="s">
        <v>976</v>
      </c>
      <c r="G2503" s="247" t="s">
        <v>1035</v>
      </c>
      <c r="H2503" s="248" t="s">
        <v>404</v>
      </c>
      <c r="I2503" s="248" t="s">
        <v>404</v>
      </c>
      <c r="J2503" s="247" t="s">
        <v>809</v>
      </c>
      <c r="K2503" s="249">
        <v>0</v>
      </c>
      <c r="M2503" s="90">
        <v>0</v>
      </c>
      <c r="N2503" s="90">
        <v>0</v>
      </c>
      <c r="O2503" s="90">
        <v>255</v>
      </c>
    </row>
    <row r="2504" spans="1:15" s="90" customFormat="1" ht="12.75" customHeight="1" x14ac:dyDescent="0.2">
      <c r="A2504" s="247" t="s">
        <v>989</v>
      </c>
      <c r="B2504" s="316">
        <v>3046</v>
      </c>
      <c r="C2504" s="247" t="s">
        <v>975</v>
      </c>
      <c r="D2504" s="317">
        <v>42671</v>
      </c>
      <c r="E2504" s="318">
        <v>0.47076388888888893</v>
      </c>
      <c r="F2504" s="247" t="s">
        <v>976</v>
      </c>
      <c r="G2504" s="247" t="s">
        <v>1035</v>
      </c>
      <c r="H2504" s="248" t="s">
        <v>404</v>
      </c>
      <c r="I2504" s="248" t="s">
        <v>404</v>
      </c>
      <c r="J2504" s="247" t="s">
        <v>809</v>
      </c>
      <c r="K2504" s="249">
        <v>0</v>
      </c>
      <c r="M2504" s="90">
        <v>0</v>
      </c>
      <c r="N2504" s="90">
        <v>0</v>
      </c>
      <c r="O2504" s="90">
        <v>255</v>
      </c>
    </row>
    <row r="2505" spans="1:15" s="90" customFormat="1" ht="12.75" customHeight="1" x14ac:dyDescent="0.2">
      <c r="A2505" s="247" t="s">
        <v>1033</v>
      </c>
      <c r="B2505" s="316">
        <v>3217</v>
      </c>
      <c r="C2505" s="247" t="s">
        <v>975</v>
      </c>
      <c r="D2505" s="317">
        <v>42671</v>
      </c>
      <c r="E2505" s="318">
        <v>0.47150462962962963</v>
      </c>
      <c r="F2505" s="247" t="s">
        <v>235</v>
      </c>
      <c r="G2505" s="247" t="s">
        <v>1035</v>
      </c>
      <c r="H2505" s="248" t="s">
        <v>234</v>
      </c>
      <c r="I2505" s="248" t="s">
        <v>235</v>
      </c>
      <c r="J2505" s="247" t="s">
        <v>809</v>
      </c>
      <c r="K2505" s="249">
        <v>0</v>
      </c>
      <c r="M2505" s="90">
        <v>0</v>
      </c>
      <c r="N2505" s="90">
        <v>0</v>
      </c>
      <c r="O2505" s="90">
        <v>255</v>
      </c>
    </row>
    <row r="2506" spans="1:15" s="90" customFormat="1" ht="12.75" customHeight="1" x14ac:dyDescent="0.2">
      <c r="A2506" s="247" t="s">
        <v>990</v>
      </c>
      <c r="B2506" s="316">
        <v>3046</v>
      </c>
      <c r="C2506" s="247" t="s">
        <v>975</v>
      </c>
      <c r="D2506" s="317">
        <v>42671</v>
      </c>
      <c r="E2506" s="318">
        <v>0.47151620370370373</v>
      </c>
      <c r="F2506" s="247" t="s">
        <v>976</v>
      </c>
      <c r="G2506" s="247" t="s">
        <v>1035</v>
      </c>
      <c r="H2506" s="248" t="s">
        <v>404</v>
      </c>
      <c r="I2506" s="248" t="s">
        <v>404</v>
      </c>
      <c r="J2506" s="247" t="s">
        <v>809</v>
      </c>
      <c r="K2506" s="249">
        <v>0</v>
      </c>
      <c r="M2506" s="90">
        <v>0</v>
      </c>
      <c r="N2506" s="90">
        <v>0</v>
      </c>
      <c r="O2506" s="90">
        <v>255</v>
      </c>
    </row>
    <row r="2507" spans="1:15" s="90" customFormat="1" ht="12.75" customHeight="1" x14ac:dyDescent="0.2">
      <c r="A2507" s="247" t="s">
        <v>1186</v>
      </c>
      <c r="B2507" s="316">
        <v>3218</v>
      </c>
      <c r="C2507" s="247" t="s">
        <v>979</v>
      </c>
      <c r="D2507" s="317">
        <v>42671</v>
      </c>
      <c r="E2507" s="318">
        <v>0.47927083333333331</v>
      </c>
      <c r="F2507" s="247" t="s">
        <v>702</v>
      </c>
      <c r="G2507" s="247" t="s">
        <v>1035</v>
      </c>
      <c r="H2507" s="248"/>
      <c r="I2507" s="248"/>
      <c r="J2507" s="247"/>
      <c r="K2507" s="249"/>
      <c r="M2507" s="90">
        <v>0</v>
      </c>
      <c r="N2507" s="90">
        <v>0</v>
      </c>
      <c r="O2507" s="90">
        <v>255</v>
      </c>
    </row>
    <row r="2508" spans="1:15" s="90" customFormat="1" ht="12.75" customHeight="1" x14ac:dyDescent="0.2">
      <c r="A2508" s="247" t="s">
        <v>1187</v>
      </c>
      <c r="B2508" s="316">
        <v>3218</v>
      </c>
      <c r="C2508" s="247" t="s">
        <v>979</v>
      </c>
      <c r="D2508" s="317">
        <v>42671</v>
      </c>
      <c r="E2508" s="318">
        <v>0.47927083333333331</v>
      </c>
      <c r="F2508" s="247" t="s">
        <v>702</v>
      </c>
      <c r="G2508" s="247" t="s">
        <v>1035</v>
      </c>
      <c r="H2508" s="248"/>
      <c r="I2508" s="248"/>
      <c r="J2508" s="247"/>
      <c r="K2508" s="249"/>
      <c r="M2508" s="90">
        <v>0</v>
      </c>
      <c r="N2508" s="90">
        <v>0</v>
      </c>
      <c r="O2508" s="90">
        <v>255</v>
      </c>
    </row>
    <row r="2509" spans="1:15" s="90" customFormat="1" ht="12.75" customHeight="1" x14ac:dyDescent="0.2">
      <c r="A2509" s="247" t="s">
        <v>1186</v>
      </c>
      <c r="B2509" s="316">
        <v>3218</v>
      </c>
      <c r="C2509" s="247" t="s">
        <v>979</v>
      </c>
      <c r="D2509" s="317">
        <v>42671</v>
      </c>
      <c r="E2509" s="318">
        <v>0.47932870370370373</v>
      </c>
      <c r="F2509" s="247" t="s">
        <v>702</v>
      </c>
      <c r="G2509" s="247" t="s">
        <v>1035</v>
      </c>
      <c r="H2509" s="248"/>
      <c r="I2509" s="248"/>
      <c r="J2509" s="247"/>
      <c r="K2509" s="249"/>
      <c r="M2509" s="90">
        <v>0</v>
      </c>
      <c r="N2509" s="90">
        <v>0</v>
      </c>
      <c r="O2509" s="90">
        <v>255</v>
      </c>
    </row>
    <row r="2510" spans="1:15" s="90" customFormat="1" ht="12.75" customHeight="1" x14ac:dyDescent="0.2">
      <c r="A2510" s="247" t="s">
        <v>1187</v>
      </c>
      <c r="B2510" s="316">
        <v>3218</v>
      </c>
      <c r="C2510" s="247" t="s">
        <v>979</v>
      </c>
      <c r="D2510" s="317">
        <v>42671</v>
      </c>
      <c r="E2510" s="318">
        <v>0.4793634259259259</v>
      </c>
      <c r="F2510" s="247" t="s">
        <v>702</v>
      </c>
      <c r="G2510" s="247" t="s">
        <v>1035</v>
      </c>
      <c r="H2510" s="248"/>
      <c r="I2510" s="248"/>
      <c r="J2510" s="247"/>
      <c r="K2510" s="249"/>
      <c r="M2510" s="90">
        <v>0</v>
      </c>
      <c r="N2510" s="90">
        <v>0</v>
      </c>
      <c r="O2510" s="90">
        <v>255</v>
      </c>
    </row>
    <row r="2511" spans="1:15" s="90" customFormat="1" ht="12.75" customHeight="1" x14ac:dyDescent="0.2">
      <c r="A2511" s="247" t="s">
        <v>1031</v>
      </c>
      <c r="B2511" s="316">
        <v>3046</v>
      </c>
      <c r="C2511" s="247" t="s">
        <v>975</v>
      </c>
      <c r="D2511" s="317">
        <v>42671</v>
      </c>
      <c r="E2511" s="318">
        <v>0.47946759259259258</v>
      </c>
      <c r="F2511" s="247" t="s">
        <v>976</v>
      </c>
      <c r="G2511" s="247" t="s">
        <v>1035</v>
      </c>
      <c r="H2511" s="248" t="s">
        <v>404</v>
      </c>
      <c r="I2511" s="248" t="s">
        <v>404</v>
      </c>
      <c r="J2511" s="247" t="s">
        <v>809</v>
      </c>
      <c r="K2511" s="249">
        <v>0</v>
      </c>
      <c r="M2511" s="90">
        <v>0</v>
      </c>
      <c r="N2511" s="90">
        <v>0</v>
      </c>
      <c r="O2511" s="90">
        <v>255</v>
      </c>
    </row>
    <row r="2512" spans="1:15" s="90" customFormat="1" ht="12.75" customHeight="1" x14ac:dyDescent="0.2">
      <c r="A2512" s="247" t="s">
        <v>1446</v>
      </c>
      <c r="B2512" s="316">
        <v>3088</v>
      </c>
      <c r="C2512" s="247" t="s">
        <v>979</v>
      </c>
      <c r="D2512" s="317">
        <v>42671</v>
      </c>
      <c r="E2512" s="318">
        <v>0.48196759259259259</v>
      </c>
      <c r="F2512" s="247" t="s">
        <v>656</v>
      </c>
      <c r="G2512" s="247" t="s">
        <v>1035</v>
      </c>
      <c r="H2512" s="248" t="s">
        <v>234</v>
      </c>
      <c r="I2512" s="248" t="s">
        <v>702</v>
      </c>
      <c r="J2512" s="247" t="s">
        <v>809</v>
      </c>
      <c r="K2512" s="249">
        <v>0</v>
      </c>
      <c r="M2512" s="90">
        <v>0</v>
      </c>
      <c r="N2512" s="90">
        <v>0</v>
      </c>
      <c r="O2512" s="90">
        <v>255</v>
      </c>
    </row>
    <row r="2513" spans="1:15" s="90" customFormat="1" ht="12.75" customHeight="1" x14ac:dyDescent="0.2">
      <c r="A2513" s="247" t="s">
        <v>1032</v>
      </c>
      <c r="B2513" s="316">
        <v>3046</v>
      </c>
      <c r="C2513" s="247" t="s">
        <v>975</v>
      </c>
      <c r="D2513" s="317">
        <v>42671</v>
      </c>
      <c r="E2513" s="318">
        <v>0.48197916666666668</v>
      </c>
      <c r="F2513" s="247" t="s">
        <v>976</v>
      </c>
      <c r="G2513" s="247" t="s">
        <v>1035</v>
      </c>
      <c r="H2513" s="248" t="s">
        <v>404</v>
      </c>
      <c r="I2513" s="248" t="s">
        <v>404</v>
      </c>
      <c r="J2513" s="247" t="s">
        <v>809</v>
      </c>
      <c r="K2513" s="249">
        <v>0</v>
      </c>
      <c r="M2513" s="90">
        <v>0</v>
      </c>
      <c r="N2513" s="90">
        <v>0</v>
      </c>
      <c r="O2513" s="90">
        <v>255</v>
      </c>
    </row>
    <row r="2514" spans="1:15" s="90" customFormat="1" ht="12.75" customHeight="1" x14ac:dyDescent="0.2">
      <c r="A2514" s="247" t="s">
        <v>989</v>
      </c>
      <c r="B2514" s="316">
        <v>3046</v>
      </c>
      <c r="C2514" s="247" t="s">
        <v>975</v>
      </c>
      <c r="D2514" s="317">
        <v>42671</v>
      </c>
      <c r="E2514" s="318">
        <v>0.48197916666666668</v>
      </c>
      <c r="F2514" s="247" t="s">
        <v>976</v>
      </c>
      <c r="G2514" s="247" t="s">
        <v>1035</v>
      </c>
      <c r="H2514" s="248" t="s">
        <v>404</v>
      </c>
      <c r="I2514" s="248" t="s">
        <v>404</v>
      </c>
      <c r="J2514" s="247" t="s">
        <v>809</v>
      </c>
      <c r="K2514" s="249">
        <v>0</v>
      </c>
      <c r="M2514" s="90">
        <v>0</v>
      </c>
      <c r="N2514" s="90">
        <v>0</v>
      </c>
      <c r="O2514" s="90">
        <v>255</v>
      </c>
    </row>
    <row r="2515" spans="1:15" s="90" customFormat="1" ht="12.75" customHeight="1" x14ac:dyDescent="0.2">
      <c r="A2515" s="247" t="s">
        <v>990</v>
      </c>
      <c r="B2515" s="316">
        <v>3046</v>
      </c>
      <c r="C2515" s="247" t="s">
        <v>975</v>
      </c>
      <c r="D2515" s="317">
        <v>42671</v>
      </c>
      <c r="E2515" s="318">
        <v>0.48228009259259258</v>
      </c>
      <c r="F2515" s="247" t="s">
        <v>976</v>
      </c>
      <c r="G2515" s="247" t="s">
        <v>1035</v>
      </c>
      <c r="H2515" s="248" t="s">
        <v>404</v>
      </c>
      <c r="I2515" s="248" t="s">
        <v>404</v>
      </c>
      <c r="J2515" s="247" t="s">
        <v>809</v>
      </c>
      <c r="K2515" s="249">
        <v>0</v>
      </c>
      <c r="M2515" s="90">
        <v>0</v>
      </c>
      <c r="N2515" s="90">
        <v>0</v>
      </c>
      <c r="O2515" s="90">
        <v>255</v>
      </c>
    </row>
    <row r="2516" spans="1:15" s="90" customFormat="1" ht="12.75" customHeight="1" x14ac:dyDescent="0.2">
      <c r="A2516" s="247" t="s">
        <v>1033</v>
      </c>
      <c r="B2516" s="316">
        <v>3217</v>
      </c>
      <c r="C2516" s="247" t="s">
        <v>975</v>
      </c>
      <c r="D2516" s="317">
        <v>42671</v>
      </c>
      <c r="E2516" s="318">
        <v>0.48228009259259258</v>
      </c>
      <c r="F2516" s="247" t="s">
        <v>235</v>
      </c>
      <c r="G2516" s="247" t="s">
        <v>1035</v>
      </c>
      <c r="H2516" s="248" t="s">
        <v>234</v>
      </c>
      <c r="I2516" s="248" t="s">
        <v>235</v>
      </c>
      <c r="J2516" s="247" t="s">
        <v>809</v>
      </c>
      <c r="K2516" s="249">
        <v>0</v>
      </c>
      <c r="M2516" s="90">
        <v>0</v>
      </c>
      <c r="N2516" s="90">
        <v>0</v>
      </c>
      <c r="O2516" s="90">
        <v>255</v>
      </c>
    </row>
    <row r="2517" spans="1:15" s="90" customFormat="1" ht="12.75" customHeight="1" x14ac:dyDescent="0.2">
      <c r="A2517" s="247" t="s">
        <v>1031</v>
      </c>
      <c r="B2517" s="316">
        <v>3046</v>
      </c>
      <c r="C2517" s="247" t="s">
        <v>975</v>
      </c>
      <c r="D2517" s="317">
        <v>42671</v>
      </c>
      <c r="E2517" s="318">
        <v>0.48416666666666663</v>
      </c>
      <c r="F2517" s="247" t="s">
        <v>976</v>
      </c>
      <c r="G2517" s="247" t="s">
        <v>1035</v>
      </c>
      <c r="H2517" s="248" t="s">
        <v>404</v>
      </c>
      <c r="I2517" s="248" t="s">
        <v>404</v>
      </c>
      <c r="J2517" s="247" t="s">
        <v>809</v>
      </c>
      <c r="K2517" s="249">
        <v>0</v>
      </c>
      <c r="M2517" s="90">
        <v>0</v>
      </c>
      <c r="N2517" s="90">
        <v>0</v>
      </c>
      <c r="O2517" s="90">
        <v>255</v>
      </c>
    </row>
    <row r="2518" spans="1:15" s="90" customFormat="1" ht="12.75" customHeight="1" x14ac:dyDescent="0.2">
      <c r="A2518" s="247" t="s">
        <v>1032</v>
      </c>
      <c r="B2518" s="316">
        <v>3046</v>
      </c>
      <c r="C2518" s="247" t="s">
        <v>975</v>
      </c>
      <c r="D2518" s="317">
        <v>42671</v>
      </c>
      <c r="E2518" s="318">
        <v>0.48620370370370369</v>
      </c>
      <c r="F2518" s="247" t="s">
        <v>976</v>
      </c>
      <c r="G2518" s="247" t="s">
        <v>1035</v>
      </c>
      <c r="H2518" s="248" t="s">
        <v>404</v>
      </c>
      <c r="I2518" s="248" t="s">
        <v>404</v>
      </c>
      <c r="J2518" s="247" t="s">
        <v>809</v>
      </c>
      <c r="K2518" s="249">
        <v>0</v>
      </c>
      <c r="M2518" s="90">
        <v>0</v>
      </c>
      <c r="N2518" s="90">
        <v>0</v>
      </c>
      <c r="O2518" s="90">
        <v>255</v>
      </c>
    </row>
    <row r="2519" spans="1:15" s="90" customFormat="1" ht="12.75" customHeight="1" x14ac:dyDescent="0.2">
      <c r="A2519" s="247" t="s">
        <v>989</v>
      </c>
      <c r="B2519" s="316">
        <v>3046</v>
      </c>
      <c r="C2519" s="247" t="s">
        <v>975</v>
      </c>
      <c r="D2519" s="317">
        <v>42671</v>
      </c>
      <c r="E2519" s="318">
        <v>0.48620370370370369</v>
      </c>
      <c r="F2519" s="247" t="s">
        <v>976</v>
      </c>
      <c r="G2519" s="247" t="s">
        <v>1035</v>
      </c>
      <c r="H2519" s="248" t="s">
        <v>404</v>
      </c>
      <c r="I2519" s="248" t="s">
        <v>404</v>
      </c>
      <c r="J2519" s="247" t="s">
        <v>809</v>
      </c>
      <c r="K2519" s="249">
        <v>0</v>
      </c>
      <c r="M2519" s="90">
        <v>0</v>
      </c>
      <c r="N2519" s="90">
        <v>0</v>
      </c>
      <c r="O2519" s="90">
        <v>255</v>
      </c>
    </row>
    <row r="2520" spans="1:15" s="90" customFormat="1" ht="12.75" customHeight="1" x14ac:dyDescent="0.2">
      <c r="A2520" s="247" t="s">
        <v>1446</v>
      </c>
      <c r="B2520" s="316">
        <v>3088</v>
      </c>
      <c r="C2520" s="247" t="s">
        <v>979</v>
      </c>
      <c r="D2520" s="317">
        <v>42671</v>
      </c>
      <c r="E2520" s="318">
        <v>0.48620370370370369</v>
      </c>
      <c r="F2520" s="247" t="s">
        <v>656</v>
      </c>
      <c r="G2520" s="247" t="s">
        <v>1035</v>
      </c>
      <c r="H2520" s="248" t="s">
        <v>234</v>
      </c>
      <c r="I2520" s="248" t="s">
        <v>702</v>
      </c>
      <c r="J2520" s="247" t="s">
        <v>809</v>
      </c>
      <c r="K2520" s="249">
        <v>0</v>
      </c>
      <c r="M2520" s="90">
        <v>0</v>
      </c>
      <c r="N2520" s="90">
        <v>0</v>
      </c>
      <c r="O2520" s="90">
        <v>255</v>
      </c>
    </row>
    <row r="2521" spans="1:15" s="90" customFormat="1" ht="12.75" customHeight="1" x14ac:dyDescent="0.2">
      <c r="A2521" s="247" t="s">
        <v>990</v>
      </c>
      <c r="B2521" s="316">
        <v>3046</v>
      </c>
      <c r="C2521" s="247" t="s">
        <v>975</v>
      </c>
      <c r="D2521" s="317">
        <v>42671</v>
      </c>
      <c r="E2521" s="318">
        <v>0.48651620370370369</v>
      </c>
      <c r="F2521" s="247" t="s">
        <v>976</v>
      </c>
      <c r="G2521" s="247" t="s">
        <v>1035</v>
      </c>
      <c r="H2521" s="248" t="s">
        <v>404</v>
      </c>
      <c r="I2521" s="248" t="s">
        <v>404</v>
      </c>
      <c r="J2521" s="247" t="s">
        <v>809</v>
      </c>
      <c r="K2521" s="249">
        <v>0</v>
      </c>
      <c r="M2521" s="90">
        <v>0</v>
      </c>
      <c r="N2521" s="90">
        <v>0</v>
      </c>
      <c r="O2521" s="90">
        <v>255</v>
      </c>
    </row>
    <row r="2522" spans="1:15" s="90" customFormat="1" ht="12.75" customHeight="1" x14ac:dyDescent="0.2">
      <c r="A2522" s="247" t="s">
        <v>1033</v>
      </c>
      <c r="B2522" s="316">
        <v>3217</v>
      </c>
      <c r="C2522" s="247" t="s">
        <v>975</v>
      </c>
      <c r="D2522" s="317">
        <v>42671</v>
      </c>
      <c r="E2522" s="318">
        <v>0.48651620370370369</v>
      </c>
      <c r="F2522" s="247" t="s">
        <v>235</v>
      </c>
      <c r="G2522" s="247" t="s">
        <v>1035</v>
      </c>
      <c r="H2522" s="248" t="s">
        <v>234</v>
      </c>
      <c r="I2522" s="248" t="s">
        <v>235</v>
      </c>
      <c r="J2522" s="247" t="s">
        <v>809</v>
      </c>
      <c r="K2522" s="249">
        <v>0</v>
      </c>
      <c r="M2522" s="90">
        <v>0</v>
      </c>
      <c r="N2522" s="90">
        <v>0</v>
      </c>
      <c r="O2522" s="90">
        <v>255</v>
      </c>
    </row>
    <row r="2523" spans="1:15" s="90" customFormat="1" ht="12.75" customHeight="1" x14ac:dyDescent="0.2">
      <c r="A2523" s="247" t="s">
        <v>1024</v>
      </c>
      <c r="B2523" s="316">
        <v>3061</v>
      </c>
      <c r="C2523" s="247" t="s">
        <v>975</v>
      </c>
      <c r="D2523" s="317">
        <v>42671</v>
      </c>
      <c r="E2523" s="318">
        <v>0.51209490740740737</v>
      </c>
      <c r="F2523" s="247" t="s">
        <v>981</v>
      </c>
      <c r="G2523" s="247" t="s">
        <v>1035</v>
      </c>
      <c r="H2523" s="248" t="s">
        <v>234</v>
      </c>
      <c r="I2523" s="248" t="s">
        <v>677</v>
      </c>
      <c r="J2523" s="247" t="s">
        <v>809</v>
      </c>
      <c r="K2523" s="249">
        <v>0</v>
      </c>
      <c r="M2523" s="90">
        <v>0</v>
      </c>
      <c r="N2523" s="90">
        <v>0</v>
      </c>
      <c r="O2523" s="90">
        <v>255</v>
      </c>
    </row>
    <row r="2524" spans="1:15" s="90" customFormat="1" ht="12.75" customHeight="1" x14ac:dyDescent="0.2">
      <c r="A2524" s="247" t="s">
        <v>1040</v>
      </c>
      <c r="B2524" s="316">
        <v>3061</v>
      </c>
      <c r="C2524" s="247" t="s">
        <v>975</v>
      </c>
      <c r="D2524" s="317">
        <v>42671</v>
      </c>
      <c r="E2524" s="318">
        <v>0.51210648148148141</v>
      </c>
      <c r="F2524" s="247" t="s">
        <v>981</v>
      </c>
      <c r="G2524" s="247" t="s">
        <v>1035</v>
      </c>
      <c r="H2524" s="248" t="s">
        <v>234</v>
      </c>
      <c r="I2524" s="248" t="s">
        <v>677</v>
      </c>
      <c r="J2524" s="247" t="s">
        <v>809</v>
      </c>
      <c r="K2524" s="249">
        <v>0</v>
      </c>
      <c r="M2524" s="90">
        <v>0</v>
      </c>
      <c r="N2524" s="90">
        <v>0</v>
      </c>
      <c r="O2524" s="90">
        <v>255</v>
      </c>
    </row>
    <row r="2525" spans="1:15" s="90" customFormat="1" ht="12.75" customHeight="1" x14ac:dyDescent="0.2">
      <c r="A2525" s="247" t="s">
        <v>1023</v>
      </c>
      <c r="B2525" s="316">
        <v>3061</v>
      </c>
      <c r="C2525" s="247" t="s">
        <v>975</v>
      </c>
      <c r="D2525" s="317">
        <v>42671</v>
      </c>
      <c r="E2525" s="318">
        <v>0.51211805555555556</v>
      </c>
      <c r="F2525" s="247" t="s">
        <v>981</v>
      </c>
      <c r="G2525" s="247" t="s">
        <v>1035</v>
      </c>
      <c r="H2525" s="248" t="s">
        <v>234</v>
      </c>
      <c r="I2525" s="248" t="s">
        <v>677</v>
      </c>
      <c r="J2525" s="247" t="s">
        <v>809</v>
      </c>
      <c r="K2525" s="249">
        <v>0</v>
      </c>
      <c r="M2525" s="90">
        <v>0</v>
      </c>
      <c r="N2525" s="90">
        <v>0</v>
      </c>
      <c r="O2525" s="90">
        <v>255</v>
      </c>
    </row>
    <row r="2526" spans="1:15" s="90" customFormat="1" ht="12.75" customHeight="1" x14ac:dyDescent="0.2">
      <c r="A2526" s="247" t="s">
        <v>1024</v>
      </c>
      <c r="B2526" s="316">
        <v>3061</v>
      </c>
      <c r="C2526" s="247" t="s">
        <v>975</v>
      </c>
      <c r="D2526" s="317">
        <v>42671</v>
      </c>
      <c r="E2526" s="318">
        <v>0.51211805555555556</v>
      </c>
      <c r="F2526" s="247" t="s">
        <v>981</v>
      </c>
      <c r="G2526" s="247" t="s">
        <v>1035</v>
      </c>
      <c r="H2526" s="248" t="s">
        <v>234</v>
      </c>
      <c r="I2526" s="248" t="s">
        <v>677</v>
      </c>
      <c r="J2526" s="247" t="s">
        <v>809</v>
      </c>
      <c r="K2526" s="249">
        <v>0</v>
      </c>
      <c r="M2526" s="90">
        <v>0</v>
      </c>
      <c r="N2526" s="90">
        <v>0</v>
      </c>
      <c r="O2526" s="90">
        <v>255</v>
      </c>
    </row>
    <row r="2527" spans="1:15" s="90" customFormat="1" ht="12.75" customHeight="1" x14ac:dyDescent="0.2">
      <c r="A2527" s="247" t="s">
        <v>1040</v>
      </c>
      <c r="B2527" s="316">
        <v>3061</v>
      </c>
      <c r="C2527" s="247" t="s">
        <v>975</v>
      </c>
      <c r="D2527" s="317">
        <v>42671</v>
      </c>
      <c r="E2527" s="318">
        <v>0.51226851851851851</v>
      </c>
      <c r="F2527" s="247" t="s">
        <v>981</v>
      </c>
      <c r="G2527" s="247" t="s">
        <v>1035</v>
      </c>
      <c r="H2527" s="248" t="s">
        <v>234</v>
      </c>
      <c r="I2527" s="248" t="s">
        <v>677</v>
      </c>
      <c r="J2527" s="247" t="s">
        <v>809</v>
      </c>
      <c r="K2527" s="249">
        <v>0</v>
      </c>
      <c r="M2527" s="90">
        <v>0</v>
      </c>
      <c r="N2527" s="90">
        <v>0</v>
      </c>
      <c r="O2527" s="90">
        <v>255</v>
      </c>
    </row>
    <row r="2528" spans="1:15" s="90" customFormat="1" ht="12.75" customHeight="1" x14ac:dyDescent="0.2">
      <c r="A2528" s="247" t="s">
        <v>1174</v>
      </c>
      <c r="B2528" s="316">
        <v>3061</v>
      </c>
      <c r="C2528" s="247" t="s">
        <v>975</v>
      </c>
      <c r="D2528" s="317">
        <v>42671</v>
      </c>
      <c r="E2528" s="318">
        <v>0.51244212962962965</v>
      </c>
      <c r="F2528" s="247" t="s">
        <v>981</v>
      </c>
      <c r="G2528" s="247" t="s">
        <v>1035</v>
      </c>
      <c r="H2528" s="248" t="s">
        <v>234</v>
      </c>
      <c r="I2528" s="248" t="s">
        <v>677</v>
      </c>
      <c r="J2528" s="247" t="s">
        <v>809</v>
      </c>
      <c r="K2528" s="249">
        <v>0</v>
      </c>
      <c r="M2528" s="90">
        <v>0</v>
      </c>
      <c r="N2528" s="90">
        <v>0</v>
      </c>
      <c r="O2528" s="90">
        <v>255</v>
      </c>
    </row>
    <row r="2529" spans="1:15" s="90" customFormat="1" ht="12.75" customHeight="1" x14ac:dyDescent="0.2">
      <c r="A2529" s="247" t="s">
        <v>1173</v>
      </c>
      <c r="B2529" s="316">
        <v>3061</v>
      </c>
      <c r="C2529" s="247" t="s">
        <v>975</v>
      </c>
      <c r="D2529" s="317">
        <v>42671</v>
      </c>
      <c r="E2529" s="318">
        <v>0.51244212962962965</v>
      </c>
      <c r="F2529" s="247" t="s">
        <v>981</v>
      </c>
      <c r="G2529" s="247" t="s">
        <v>1035</v>
      </c>
      <c r="H2529" s="248" t="s">
        <v>234</v>
      </c>
      <c r="I2529" s="248" t="s">
        <v>677</v>
      </c>
      <c r="J2529" s="247" t="s">
        <v>809</v>
      </c>
      <c r="K2529" s="249">
        <v>0</v>
      </c>
      <c r="M2529" s="90">
        <v>0</v>
      </c>
      <c r="N2529" s="90">
        <v>0</v>
      </c>
      <c r="O2529" s="90">
        <v>255</v>
      </c>
    </row>
    <row r="2530" spans="1:15" s="90" customFormat="1" ht="12.75" customHeight="1" x14ac:dyDescent="0.2">
      <c r="A2530" s="247" t="s">
        <v>1178</v>
      </c>
      <c r="B2530" s="316">
        <v>3061</v>
      </c>
      <c r="C2530" s="247" t="s">
        <v>975</v>
      </c>
      <c r="D2530" s="317">
        <v>42671</v>
      </c>
      <c r="E2530" s="318">
        <v>0.51267361111111109</v>
      </c>
      <c r="F2530" s="247" t="s">
        <v>981</v>
      </c>
      <c r="G2530" s="247" t="s">
        <v>1035</v>
      </c>
      <c r="H2530" s="248" t="s">
        <v>234</v>
      </c>
      <c r="I2530" s="248" t="s">
        <v>677</v>
      </c>
      <c r="J2530" s="247" t="s">
        <v>809</v>
      </c>
      <c r="K2530" s="249">
        <v>0</v>
      </c>
      <c r="M2530" s="90">
        <v>0</v>
      </c>
      <c r="N2530" s="90">
        <v>0</v>
      </c>
      <c r="O2530" s="90">
        <v>255</v>
      </c>
    </row>
    <row r="2531" spans="1:15" s="90" customFormat="1" ht="12.75" customHeight="1" x14ac:dyDescent="0.2">
      <c r="A2531" s="247" t="s">
        <v>1177</v>
      </c>
      <c r="B2531" s="316">
        <v>3061</v>
      </c>
      <c r="C2531" s="247" t="s">
        <v>975</v>
      </c>
      <c r="D2531" s="317">
        <v>42671</v>
      </c>
      <c r="E2531" s="318">
        <v>0.51268518518518513</v>
      </c>
      <c r="F2531" s="247" t="s">
        <v>981</v>
      </c>
      <c r="G2531" s="247" t="s">
        <v>1035</v>
      </c>
      <c r="H2531" s="248" t="s">
        <v>234</v>
      </c>
      <c r="I2531" s="248" t="s">
        <v>677</v>
      </c>
      <c r="J2531" s="247" t="s">
        <v>809</v>
      </c>
      <c r="K2531" s="249">
        <v>0</v>
      </c>
      <c r="M2531" s="90">
        <v>0</v>
      </c>
      <c r="N2531" s="90">
        <v>0</v>
      </c>
      <c r="O2531" s="90">
        <v>255</v>
      </c>
    </row>
    <row r="2532" spans="1:15" s="90" customFormat="1" ht="12.75" customHeight="1" x14ac:dyDescent="0.2">
      <c r="A2532" s="247" t="s">
        <v>1177</v>
      </c>
      <c r="B2532" s="316">
        <v>3061</v>
      </c>
      <c r="C2532" s="247" t="s">
        <v>975</v>
      </c>
      <c r="D2532" s="317">
        <v>42671</v>
      </c>
      <c r="E2532" s="318">
        <v>0.51284722222222223</v>
      </c>
      <c r="F2532" s="247" t="s">
        <v>981</v>
      </c>
      <c r="G2532" s="247" t="s">
        <v>1035</v>
      </c>
      <c r="H2532" s="248" t="s">
        <v>234</v>
      </c>
      <c r="I2532" s="248" t="s">
        <v>677</v>
      </c>
      <c r="J2532" s="247" t="s">
        <v>809</v>
      </c>
      <c r="K2532" s="249">
        <v>0</v>
      </c>
      <c r="M2532" s="90">
        <v>0</v>
      </c>
      <c r="N2532" s="90">
        <v>0</v>
      </c>
      <c r="O2532" s="90">
        <v>255</v>
      </c>
    </row>
    <row r="2533" spans="1:15" s="90" customFormat="1" ht="12.75" customHeight="1" x14ac:dyDescent="0.2">
      <c r="A2533" s="247" t="s">
        <v>1176</v>
      </c>
      <c r="B2533" s="316">
        <v>3061</v>
      </c>
      <c r="C2533" s="247" t="s">
        <v>975</v>
      </c>
      <c r="D2533" s="317">
        <v>42671</v>
      </c>
      <c r="E2533" s="318">
        <v>0.51298611111111114</v>
      </c>
      <c r="F2533" s="247" t="s">
        <v>981</v>
      </c>
      <c r="G2533" s="247" t="s">
        <v>1035</v>
      </c>
      <c r="H2533" s="248" t="s">
        <v>234</v>
      </c>
      <c r="I2533" s="248" t="s">
        <v>677</v>
      </c>
      <c r="J2533" s="247" t="s">
        <v>809</v>
      </c>
      <c r="K2533" s="249">
        <v>0</v>
      </c>
      <c r="M2533" s="90">
        <v>0</v>
      </c>
      <c r="N2533" s="90">
        <v>0</v>
      </c>
      <c r="O2533" s="90">
        <v>255</v>
      </c>
    </row>
    <row r="2534" spans="1:15" s="90" customFormat="1" ht="12.75" customHeight="1" x14ac:dyDescent="0.2">
      <c r="A2534" s="247" t="s">
        <v>1175</v>
      </c>
      <c r="B2534" s="316">
        <v>3061</v>
      </c>
      <c r="C2534" s="247" t="s">
        <v>975</v>
      </c>
      <c r="D2534" s="317">
        <v>42671</v>
      </c>
      <c r="E2534" s="318">
        <v>0.51299768518518518</v>
      </c>
      <c r="F2534" s="247" t="s">
        <v>981</v>
      </c>
      <c r="G2534" s="247" t="s">
        <v>1035</v>
      </c>
      <c r="H2534" s="248" t="s">
        <v>234</v>
      </c>
      <c r="I2534" s="248" t="s">
        <v>677</v>
      </c>
      <c r="J2534" s="247" t="s">
        <v>809</v>
      </c>
      <c r="K2534" s="249">
        <v>0</v>
      </c>
      <c r="M2534" s="90">
        <v>0</v>
      </c>
      <c r="N2534" s="90">
        <v>0</v>
      </c>
      <c r="O2534" s="90">
        <v>255</v>
      </c>
    </row>
    <row r="2535" spans="1:15" s="90" customFormat="1" ht="12.75" customHeight="1" x14ac:dyDescent="0.2">
      <c r="A2535" s="247" t="s">
        <v>1180</v>
      </c>
      <c r="B2535" s="316">
        <v>3061</v>
      </c>
      <c r="C2535" s="247" t="s">
        <v>975</v>
      </c>
      <c r="D2535" s="317">
        <v>42671</v>
      </c>
      <c r="E2535" s="318">
        <v>0.51312499999999994</v>
      </c>
      <c r="F2535" s="247" t="s">
        <v>981</v>
      </c>
      <c r="G2535" s="247" t="s">
        <v>1035</v>
      </c>
      <c r="H2535" s="248" t="s">
        <v>234</v>
      </c>
      <c r="I2535" s="248" t="s">
        <v>677</v>
      </c>
      <c r="J2535" s="247" t="s">
        <v>809</v>
      </c>
      <c r="K2535" s="249">
        <v>0</v>
      </c>
      <c r="M2535" s="90">
        <v>0</v>
      </c>
      <c r="N2535" s="90">
        <v>0</v>
      </c>
      <c r="O2535" s="90">
        <v>255</v>
      </c>
    </row>
    <row r="2536" spans="1:15" s="90" customFormat="1" ht="12.75" customHeight="1" x14ac:dyDescent="0.2">
      <c r="A2536" s="247" t="s">
        <v>1179</v>
      </c>
      <c r="B2536" s="316">
        <v>3061</v>
      </c>
      <c r="C2536" s="247" t="s">
        <v>975</v>
      </c>
      <c r="D2536" s="317">
        <v>42671</v>
      </c>
      <c r="E2536" s="318">
        <v>0.51312499999999994</v>
      </c>
      <c r="F2536" s="247" t="s">
        <v>981</v>
      </c>
      <c r="G2536" s="247" t="s">
        <v>1035</v>
      </c>
      <c r="H2536" s="248" t="s">
        <v>234</v>
      </c>
      <c r="I2536" s="248" t="s">
        <v>677</v>
      </c>
      <c r="J2536" s="247" t="s">
        <v>809</v>
      </c>
      <c r="K2536" s="249">
        <v>0</v>
      </c>
      <c r="M2536" s="90">
        <v>0</v>
      </c>
      <c r="N2536" s="90">
        <v>0</v>
      </c>
      <c r="O2536" s="90">
        <v>255</v>
      </c>
    </row>
    <row r="2537" spans="1:15" s="90" customFormat="1" ht="12.75" customHeight="1" x14ac:dyDescent="0.2">
      <c r="A2537" s="247" t="s">
        <v>1179</v>
      </c>
      <c r="B2537" s="316">
        <v>3061</v>
      </c>
      <c r="C2537" s="247" t="s">
        <v>975</v>
      </c>
      <c r="D2537" s="317">
        <v>42671</v>
      </c>
      <c r="E2537" s="318">
        <v>0.51327546296296289</v>
      </c>
      <c r="F2537" s="247" t="s">
        <v>981</v>
      </c>
      <c r="G2537" s="247" t="s">
        <v>1035</v>
      </c>
      <c r="H2537" s="248" t="s">
        <v>234</v>
      </c>
      <c r="I2537" s="248" t="s">
        <v>677</v>
      </c>
      <c r="J2537" s="247" t="s">
        <v>809</v>
      </c>
      <c r="K2537" s="249">
        <v>0</v>
      </c>
      <c r="M2537" s="90">
        <v>0</v>
      </c>
      <c r="N2537" s="90">
        <v>0</v>
      </c>
      <c r="O2537" s="90">
        <v>255</v>
      </c>
    </row>
    <row r="2538" spans="1:15" s="90" customFormat="1" ht="12.75" customHeight="1" x14ac:dyDescent="0.2">
      <c r="A2538" s="247" t="s">
        <v>1090</v>
      </c>
      <c r="B2538" s="316">
        <v>3147</v>
      </c>
      <c r="C2538" s="247" t="s">
        <v>975</v>
      </c>
      <c r="D2538" s="317">
        <v>42671</v>
      </c>
      <c r="E2538" s="318">
        <v>0.51385416666666661</v>
      </c>
      <c r="F2538" s="247" t="s">
        <v>981</v>
      </c>
      <c r="G2538" s="247" t="s">
        <v>1035</v>
      </c>
      <c r="H2538" s="248" t="s">
        <v>234</v>
      </c>
      <c r="I2538" s="248" t="s">
        <v>656</v>
      </c>
      <c r="J2538" s="247" t="s">
        <v>809</v>
      </c>
      <c r="K2538" s="249">
        <v>0</v>
      </c>
      <c r="M2538" s="90">
        <v>0</v>
      </c>
      <c r="N2538" s="90">
        <v>0</v>
      </c>
      <c r="O2538" s="90">
        <v>255</v>
      </c>
    </row>
    <row r="2539" spans="1:15" s="90" customFormat="1" ht="12.75" customHeight="1" x14ac:dyDescent="0.2">
      <c r="A2539" s="247" t="s">
        <v>1447</v>
      </c>
      <c r="B2539" s="316">
        <v>3145</v>
      </c>
      <c r="C2539" s="247" t="s">
        <v>975</v>
      </c>
      <c r="D2539" s="317">
        <v>42671</v>
      </c>
      <c r="E2539" s="318">
        <v>0.51519675925925923</v>
      </c>
      <c r="F2539" s="247" t="s">
        <v>981</v>
      </c>
      <c r="G2539" s="247" t="s">
        <v>1035</v>
      </c>
      <c r="H2539" s="248" t="s">
        <v>234</v>
      </c>
      <c r="I2539" s="248" t="s">
        <v>656</v>
      </c>
      <c r="J2539" s="247" t="s">
        <v>809</v>
      </c>
      <c r="K2539" s="249">
        <v>0</v>
      </c>
      <c r="M2539" s="90">
        <v>0</v>
      </c>
      <c r="N2539" s="90">
        <v>0</v>
      </c>
      <c r="O2539" s="90">
        <v>255</v>
      </c>
    </row>
    <row r="2540" spans="1:15" s="90" customFormat="1" ht="12.75" customHeight="1" x14ac:dyDescent="0.2">
      <c r="A2540" s="247" t="s">
        <v>1122</v>
      </c>
      <c r="B2540" s="316">
        <v>3218</v>
      </c>
      <c r="C2540" s="247" t="s">
        <v>979</v>
      </c>
      <c r="D2540" s="317">
        <v>42671</v>
      </c>
      <c r="E2540" s="318">
        <v>0.51968749999999997</v>
      </c>
      <c r="F2540" s="247" t="s">
        <v>702</v>
      </c>
      <c r="G2540" s="247" t="s">
        <v>1035</v>
      </c>
      <c r="H2540" s="248"/>
      <c r="I2540" s="248"/>
      <c r="J2540" s="247"/>
      <c r="K2540" s="249"/>
      <c r="M2540" s="90">
        <v>0</v>
      </c>
      <c r="N2540" s="90">
        <v>0</v>
      </c>
      <c r="O2540" s="90">
        <v>255</v>
      </c>
    </row>
    <row r="2541" spans="1:15" s="90" customFormat="1" ht="12.75" customHeight="1" x14ac:dyDescent="0.2">
      <c r="A2541" s="247" t="s">
        <v>1123</v>
      </c>
      <c r="B2541" s="316">
        <v>3218</v>
      </c>
      <c r="C2541" s="247" t="s">
        <v>979</v>
      </c>
      <c r="D2541" s="317">
        <v>42671</v>
      </c>
      <c r="E2541" s="318">
        <v>0.51968749999999997</v>
      </c>
      <c r="F2541" s="247" t="s">
        <v>702</v>
      </c>
      <c r="G2541" s="247" t="s">
        <v>1035</v>
      </c>
      <c r="H2541" s="248"/>
      <c r="I2541" s="248"/>
      <c r="J2541" s="247"/>
      <c r="K2541" s="249"/>
      <c r="M2541" s="90">
        <v>0</v>
      </c>
      <c r="N2541" s="90">
        <v>0</v>
      </c>
      <c r="O2541" s="90">
        <v>255</v>
      </c>
    </row>
    <row r="2542" spans="1:15" s="90" customFormat="1" ht="12.75" customHeight="1" x14ac:dyDescent="0.2">
      <c r="A2542" s="247" t="s">
        <v>1124</v>
      </c>
      <c r="B2542" s="316">
        <v>3218</v>
      </c>
      <c r="C2542" s="247" t="s">
        <v>979</v>
      </c>
      <c r="D2542" s="317">
        <v>42671</v>
      </c>
      <c r="E2542" s="318">
        <v>0.51968749999999997</v>
      </c>
      <c r="F2542" s="247" t="s">
        <v>702</v>
      </c>
      <c r="G2542" s="247" t="s">
        <v>1035</v>
      </c>
      <c r="H2542" s="248"/>
      <c r="I2542" s="248"/>
      <c r="J2542" s="247"/>
      <c r="K2542" s="249"/>
      <c r="M2542" s="90">
        <v>0</v>
      </c>
      <c r="N2542" s="90">
        <v>0</v>
      </c>
      <c r="O2542" s="90">
        <v>255</v>
      </c>
    </row>
    <row r="2543" spans="1:15" s="90" customFormat="1" ht="12.75" customHeight="1" x14ac:dyDescent="0.2">
      <c r="A2543" s="247" t="s">
        <v>1125</v>
      </c>
      <c r="B2543" s="316">
        <v>3218</v>
      </c>
      <c r="C2543" s="247" t="s">
        <v>979</v>
      </c>
      <c r="D2543" s="317">
        <v>42671</v>
      </c>
      <c r="E2543" s="318">
        <v>0.51968749999999997</v>
      </c>
      <c r="F2543" s="247" t="s">
        <v>702</v>
      </c>
      <c r="G2543" s="247" t="s">
        <v>1035</v>
      </c>
      <c r="H2543" s="248"/>
      <c r="I2543" s="248"/>
      <c r="J2543" s="247"/>
      <c r="K2543" s="249"/>
      <c r="M2543" s="90">
        <v>0</v>
      </c>
      <c r="N2543" s="90">
        <v>0</v>
      </c>
      <c r="O2543" s="90">
        <v>255</v>
      </c>
    </row>
    <row r="2544" spans="1:15" s="90" customFormat="1" ht="12.75" customHeight="1" x14ac:dyDescent="0.2">
      <c r="A2544" s="247" t="s">
        <v>1126</v>
      </c>
      <c r="B2544" s="316">
        <v>3218</v>
      </c>
      <c r="C2544" s="247" t="s">
        <v>979</v>
      </c>
      <c r="D2544" s="317">
        <v>42671</v>
      </c>
      <c r="E2544" s="318">
        <v>0.51968749999999997</v>
      </c>
      <c r="F2544" s="247" t="s">
        <v>702</v>
      </c>
      <c r="G2544" s="247" t="s">
        <v>1035</v>
      </c>
      <c r="H2544" s="248"/>
      <c r="I2544" s="248"/>
      <c r="J2544" s="247"/>
      <c r="K2544" s="249"/>
      <c r="M2544" s="90">
        <v>0</v>
      </c>
      <c r="N2544" s="90">
        <v>0</v>
      </c>
      <c r="O2544" s="90">
        <v>255</v>
      </c>
    </row>
    <row r="2545" spans="1:15" s="90" customFormat="1" ht="12.75" customHeight="1" x14ac:dyDescent="0.2">
      <c r="A2545" s="247" t="s">
        <v>1448</v>
      </c>
      <c r="B2545" s="316">
        <v>3218</v>
      </c>
      <c r="C2545" s="247" t="s">
        <v>979</v>
      </c>
      <c r="D2545" s="317">
        <v>42671</v>
      </c>
      <c r="E2545" s="318">
        <v>0.51968749999999997</v>
      </c>
      <c r="F2545" s="247" t="s">
        <v>702</v>
      </c>
      <c r="G2545" s="247" t="s">
        <v>1035</v>
      </c>
      <c r="H2545" s="248"/>
      <c r="I2545" s="248"/>
      <c r="J2545" s="247"/>
      <c r="K2545" s="249"/>
      <c r="M2545" s="90">
        <v>0</v>
      </c>
      <c r="N2545" s="90">
        <v>0</v>
      </c>
      <c r="O2545" s="90">
        <v>255</v>
      </c>
    </row>
    <row r="2546" spans="1:15" s="90" customFormat="1" ht="12.75" customHeight="1" x14ac:dyDescent="0.2">
      <c r="A2546" s="247" t="s">
        <v>1449</v>
      </c>
      <c r="B2546" s="316">
        <v>3218</v>
      </c>
      <c r="C2546" s="247" t="s">
        <v>979</v>
      </c>
      <c r="D2546" s="317">
        <v>42671</v>
      </c>
      <c r="E2546" s="318">
        <v>0.51968749999999997</v>
      </c>
      <c r="F2546" s="247" t="s">
        <v>702</v>
      </c>
      <c r="G2546" s="247" t="s">
        <v>1035</v>
      </c>
      <c r="H2546" s="248"/>
      <c r="I2546" s="248"/>
      <c r="J2546" s="247"/>
      <c r="K2546" s="249"/>
      <c r="M2546" s="90">
        <v>0</v>
      </c>
      <c r="N2546" s="90">
        <v>0</v>
      </c>
      <c r="O2546" s="90">
        <v>255</v>
      </c>
    </row>
    <row r="2547" spans="1:15" s="90" customFormat="1" ht="12.75" customHeight="1" x14ac:dyDescent="0.2">
      <c r="A2547" s="247" t="s">
        <v>1450</v>
      </c>
      <c r="B2547" s="316">
        <v>3218</v>
      </c>
      <c r="C2547" s="247" t="s">
        <v>979</v>
      </c>
      <c r="D2547" s="317">
        <v>42671</v>
      </c>
      <c r="E2547" s="318">
        <v>0.51968749999999997</v>
      </c>
      <c r="F2547" s="247" t="s">
        <v>702</v>
      </c>
      <c r="G2547" s="247" t="s">
        <v>1035</v>
      </c>
      <c r="H2547" s="248"/>
      <c r="I2547" s="248"/>
      <c r="J2547" s="247"/>
      <c r="K2547" s="249"/>
      <c r="M2547" s="90">
        <v>0</v>
      </c>
      <c r="N2547" s="90">
        <v>0</v>
      </c>
      <c r="O2547" s="90">
        <v>255</v>
      </c>
    </row>
    <row r="2548" spans="1:15" s="90" customFormat="1" ht="12.75" customHeight="1" x14ac:dyDescent="0.2">
      <c r="A2548" s="247" t="s">
        <v>1451</v>
      </c>
      <c r="B2548" s="316">
        <v>3218</v>
      </c>
      <c r="C2548" s="247" t="s">
        <v>979</v>
      </c>
      <c r="D2548" s="317">
        <v>42671</v>
      </c>
      <c r="E2548" s="318">
        <v>0.51968749999999997</v>
      </c>
      <c r="F2548" s="247" t="s">
        <v>702</v>
      </c>
      <c r="G2548" s="247" t="s">
        <v>1035</v>
      </c>
      <c r="H2548" s="248"/>
      <c r="I2548" s="248"/>
      <c r="J2548" s="247"/>
      <c r="K2548" s="249"/>
      <c r="M2548" s="90">
        <v>0</v>
      </c>
      <c r="N2548" s="90">
        <v>0</v>
      </c>
      <c r="O2548" s="90">
        <v>255</v>
      </c>
    </row>
    <row r="2549" spans="1:15" s="90" customFormat="1" ht="12.75" customHeight="1" x14ac:dyDescent="0.2">
      <c r="A2549" s="247" t="s">
        <v>1452</v>
      </c>
      <c r="B2549" s="316">
        <v>3218</v>
      </c>
      <c r="C2549" s="247" t="s">
        <v>979</v>
      </c>
      <c r="D2549" s="317">
        <v>42671</v>
      </c>
      <c r="E2549" s="318">
        <v>0.51968749999999997</v>
      </c>
      <c r="F2549" s="247" t="s">
        <v>702</v>
      </c>
      <c r="G2549" s="247" t="s">
        <v>1035</v>
      </c>
      <c r="H2549" s="248"/>
      <c r="I2549" s="248"/>
      <c r="J2549" s="247"/>
      <c r="K2549" s="249"/>
      <c r="M2549" s="90">
        <v>0</v>
      </c>
      <c r="N2549" s="90">
        <v>0</v>
      </c>
      <c r="O2549" s="90">
        <v>255</v>
      </c>
    </row>
    <row r="2550" spans="1:15" s="90" customFormat="1" ht="12.75" customHeight="1" x14ac:dyDescent="0.2">
      <c r="A2550" s="247" t="s">
        <v>1031</v>
      </c>
      <c r="B2550" s="316">
        <v>3046</v>
      </c>
      <c r="C2550" s="247" t="s">
        <v>975</v>
      </c>
      <c r="D2550" s="317">
        <v>42671</v>
      </c>
      <c r="E2550" s="318">
        <v>0.52031250000000007</v>
      </c>
      <c r="F2550" s="247" t="s">
        <v>976</v>
      </c>
      <c r="G2550" s="247" t="s">
        <v>1035</v>
      </c>
      <c r="H2550" s="248" t="s">
        <v>404</v>
      </c>
      <c r="I2550" s="248" t="s">
        <v>404</v>
      </c>
      <c r="J2550" s="247" t="s">
        <v>809</v>
      </c>
      <c r="K2550" s="249">
        <v>0</v>
      </c>
      <c r="M2550" s="90">
        <v>0</v>
      </c>
      <c r="N2550" s="90">
        <v>0</v>
      </c>
      <c r="O2550" s="90">
        <v>255</v>
      </c>
    </row>
    <row r="2551" spans="1:15" s="90" customFormat="1" ht="12.75" customHeight="1" x14ac:dyDescent="0.2">
      <c r="A2551" s="247" t="s">
        <v>1032</v>
      </c>
      <c r="B2551" s="316">
        <v>3046</v>
      </c>
      <c r="C2551" s="247" t="s">
        <v>975</v>
      </c>
      <c r="D2551" s="317">
        <v>42671</v>
      </c>
      <c r="E2551" s="318">
        <v>0.5292013888888889</v>
      </c>
      <c r="F2551" s="247" t="s">
        <v>976</v>
      </c>
      <c r="G2551" s="247" t="s">
        <v>1035</v>
      </c>
      <c r="H2551" s="248" t="s">
        <v>404</v>
      </c>
      <c r="I2551" s="248" t="s">
        <v>404</v>
      </c>
      <c r="J2551" s="247" t="s">
        <v>809</v>
      </c>
      <c r="K2551" s="249">
        <v>0</v>
      </c>
      <c r="M2551" s="90">
        <v>0</v>
      </c>
      <c r="N2551" s="90">
        <v>0</v>
      </c>
      <c r="O2551" s="90">
        <v>255</v>
      </c>
    </row>
    <row r="2552" spans="1:15" s="90" customFormat="1" ht="12.75" customHeight="1" x14ac:dyDescent="0.2">
      <c r="A2552" s="247" t="s">
        <v>989</v>
      </c>
      <c r="B2552" s="316">
        <v>3046</v>
      </c>
      <c r="C2552" s="247" t="s">
        <v>975</v>
      </c>
      <c r="D2552" s="317">
        <v>42671</v>
      </c>
      <c r="E2552" s="318">
        <v>0.5292013888888889</v>
      </c>
      <c r="F2552" s="247" t="s">
        <v>976</v>
      </c>
      <c r="G2552" s="247" t="s">
        <v>1035</v>
      </c>
      <c r="H2552" s="248" t="s">
        <v>404</v>
      </c>
      <c r="I2552" s="248" t="s">
        <v>404</v>
      </c>
      <c r="J2552" s="247" t="s">
        <v>809</v>
      </c>
      <c r="K2552" s="249">
        <v>0</v>
      </c>
      <c r="M2552" s="90">
        <v>0</v>
      </c>
      <c r="N2552" s="90">
        <v>0</v>
      </c>
      <c r="O2552" s="90">
        <v>255</v>
      </c>
    </row>
    <row r="2553" spans="1:15" s="90" customFormat="1" ht="12.75" customHeight="1" x14ac:dyDescent="0.2">
      <c r="A2553" s="247" t="s">
        <v>990</v>
      </c>
      <c r="B2553" s="316">
        <v>3046</v>
      </c>
      <c r="C2553" s="247" t="s">
        <v>975</v>
      </c>
      <c r="D2553" s="317">
        <v>42671</v>
      </c>
      <c r="E2553" s="318">
        <v>0.52953703703703703</v>
      </c>
      <c r="F2553" s="247" t="s">
        <v>976</v>
      </c>
      <c r="G2553" s="247" t="s">
        <v>1035</v>
      </c>
      <c r="H2553" s="248" t="s">
        <v>404</v>
      </c>
      <c r="I2553" s="248" t="s">
        <v>404</v>
      </c>
      <c r="J2553" s="247" t="s">
        <v>809</v>
      </c>
      <c r="K2553" s="249">
        <v>0</v>
      </c>
      <c r="M2553" s="90">
        <v>0</v>
      </c>
      <c r="N2553" s="90">
        <v>0</v>
      </c>
      <c r="O2553" s="90">
        <v>255</v>
      </c>
    </row>
    <row r="2554" spans="1:15" s="90" customFormat="1" ht="12.75" customHeight="1" x14ac:dyDescent="0.2">
      <c r="A2554" s="247" t="s">
        <v>1033</v>
      </c>
      <c r="B2554" s="316">
        <v>3217</v>
      </c>
      <c r="C2554" s="247" t="s">
        <v>975</v>
      </c>
      <c r="D2554" s="317">
        <v>42671</v>
      </c>
      <c r="E2554" s="318">
        <v>0.52953703703703703</v>
      </c>
      <c r="F2554" s="247" t="s">
        <v>235</v>
      </c>
      <c r="G2554" s="247" t="s">
        <v>1035</v>
      </c>
      <c r="H2554" s="248" t="s">
        <v>234</v>
      </c>
      <c r="I2554" s="248" t="s">
        <v>235</v>
      </c>
      <c r="J2554" s="247" t="s">
        <v>809</v>
      </c>
      <c r="K2554" s="249">
        <v>0</v>
      </c>
      <c r="M2554" s="90">
        <v>0</v>
      </c>
      <c r="N2554" s="90">
        <v>0</v>
      </c>
      <c r="O2554" s="90">
        <v>255</v>
      </c>
    </row>
    <row r="2555" spans="1:15" s="90" customFormat="1" ht="12.75" customHeight="1" x14ac:dyDescent="0.2">
      <c r="A2555" s="247" t="s">
        <v>1031</v>
      </c>
      <c r="B2555" s="316">
        <v>3046</v>
      </c>
      <c r="C2555" s="247" t="s">
        <v>975</v>
      </c>
      <c r="D2555" s="317">
        <v>42671</v>
      </c>
      <c r="E2555" s="318">
        <v>0.52967592592592594</v>
      </c>
      <c r="F2555" s="247" t="s">
        <v>976</v>
      </c>
      <c r="G2555" s="247" t="s">
        <v>1035</v>
      </c>
      <c r="H2555" s="248" t="s">
        <v>404</v>
      </c>
      <c r="I2555" s="248" t="s">
        <v>404</v>
      </c>
      <c r="J2555" s="247" t="s">
        <v>809</v>
      </c>
      <c r="K2555" s="249">
        <v>0</v>
      </c>
      <c r="M2555" s="90">
        <v>0</v>
      </c>
      <c r="N2555" s="90">
        <v>0</v>
      </c>
      <c r="O2555" s="90">
        <v>255</v>
      </c>
    </row>
    <row r="2556" spans="1:15" s="90" customFormat="1" ht="12.75" customHeight="1" x14ac:dyDescent="0.2">
      <c r="A2556" s="247" t="s">
        <v>1032</v>
      </c>
      <c r="B2556" s="316">
        <v>3046</v>
      </c>
      <c r="C2556" s="247" t="s">
        <v>975</v>
      </c>
      <c r="D2556" s="317">
        <v>42671</v>
      </c>
      <c r="E2556" s="318">
        <v>0.53436342592592589</v>
      </c>
      <c r="F2556" s="247" t="s">
        <v>976</v>
      </c>
      <c r="G2556" s="247" t="s">
        <v>1035</v>
      </c>
      <c r="H2556" s="248" t="s">
        <v>404</v>
      </c>
      <c r="I2556" s="248" t="s">
        <v>404</v>
      </c>
      <c r="J2556" s="247" t="s">
        <v>809</v>
      </c>
      <c r="K2556" s="249">
        <v>0</v>
      </c>
      <c r="M2556" s="90">
        <v>0</v>
      </c>
      <c r="N2556" s="90">
        <v>0</v>
      </c>
      <c r="O2556" s="90">
        <v>255</v>
      </c>
    </row>
    <row r="2557" spans="1:15" s="90" customFormat="1" ht="12.75" customHeight="1" x14ac:dyDescent="0.2">
      <c r="A2557" s="247" t="s">
        <v>989</v>
      </c>
      <c r="B2557" s="316">
        <v>3046</v>
      </c>
      <c r="C2557" s="247" t="s">
        <v>975</v>
      </c>
      <c r="D2557" s="317">
        <v>42671</v>
      </c>
      <c r="E2557" s="318">
        <v>0.53437499999999993</v>
      </c>
      <c r="F2557" s="247" t="s">
        <v>976</v>
      </c>
      <c r="G2557" s="247" t="s">
        <v>1035</v>
      </c>
      <c r="H2557" s="248" t="s">
        <v>404</v>
      </c>
      <c r="I2557" s="248" t="s">
        <v>404</v>
      </c>
      <c r="J2557" s="247" t="s">
        <v>809</v>
      </c>
      <c r="K2557" s="249">
        <v>0</v>
      </c>
      <c r="M2557" s="90">
        <v>0</v>
      </c>
      <c r="N2557" s="90">
        <v>0</v>
      </c>
      <c r="O2557" s="90">
        <v>255</v>
      </c>
    </row>
    <row r="2558" spans="1:15" s="90" customFormat="1" ht="12.75" customHeight="1" x14ac:dyDescent="0.2">
      <c r="A2558" s="247" t="s">
        <v>1033</v>
      </c>
      <c r="B2558" s="316">
        <v>3217</v>
      </c>
      <c r="C2558" s="247" t="s">
        <v>975</v>
      </c>
      <c r="D2558" s="317">
        <v>42671</v>
      </c>
      <c r="E2558" s="318">
        <v>0.53467592592592594</v>
      </c>
      <c r="F2558" s="247" t="s">
        <v>235</v>
      </c>
      <c r="G2558" s="247" t="s">
        <v>1035</v>
      </c>
      <c r="H2558" s="248" t="s">
        <v>234</v>
      </c>
      <c r="I2558" s="248" t="s">
        <v>235</v>
      </c>
      <c r="J2558" s="247" t="s">
        <v>809</v>
      </c>
      <c r="K2558" s="249">
        <v>0</v>
      </c>
      <c r="M2558" s="90">
        <v>0</v>
      </c>
      <c r="N2558" s="90">
        <v>0</v>
      </c>
      <c r="O2558" s="90">
        <v>255</v>
      </c>
    </row>
    <row r="2559" spans="1:15" s="90" customFormat="1" ht="12.75" customHeight="1" x14ac:dyDescent="0.2">
      <c r="A2559" s="247" t="s">
        <v>990</v>
      </c>
      <c r="B2559" s="316">
        <v>3046</v>
      </c>
      <c r="C2559" s="247" t="s">
        <v>975</v>
      </c>
      <c r="D2559" s="317">
        <v>42671</v>
      </c>
      <c r="E2559" s="318">
        <v>0.53468749999999998</v>
      </c>
      <c r="F2559" s="247" t="s">
        <v>976</v>
      </c>
      <c r="G2559" s="247" t="s">
        <v>1035</v>
      </c>
      <c r="H2559" s="248" t="s">
        <v>404</v>
      </c>
      <c r="I2559" s="248" t="s">
        <v>404</v>
      </c>
      <c r="J2559" s="247" t="s">
        <v>809</v>
      </c>
      <c r="K2559" s="249">
        <v>0</v>
      </c>
      <c r="M2559" s="90">
        <v>0</v>
      </c>
      <c r="N2559" s="90">
        <v>0</v>
      </c>
      <c r="O2559" s="90">
        <v>255</v>
      </c>
    </row>
    <row r="2560" spans="1:15" s="90" customFormat="1" ht="12.75" customHeight="1" x14ac:dyDescent="0.2">
      <c r="A2560" s="247" t="s">
        <v>1112</v>
      </c>
      <c r="B2560" s="316">
        <v>3218</v>
      </c>
      <c r="C2560" s="247" t="s">
        <v>979</v>
      </c>
      <c r="D2560" s="317">
        <v>42671</v>
      </c>
      <c r="E2560" s="318">
        <v>0.54584490740740743</v>
      </c>
      <c r="F2560" s="247" t="s">
        <v>702</v>
      </c>
      <c r="G2560" s="247" t="s">
        <v>1035</v>
      </c>
      <c r="H2560" s="248"/>
      <c r="I2560" s="248"/>
      <c r="J2560" s="247"/>
      <c r="K2560" s="249"/>
      <c r="M2560" s="90">
        <v>0</v>
      </c>
      <c r="N2560" s="90">
        <v>0</v>
      </c>
      <c r="O2560" s="90">
        <v>255</v>
      </c>
    </row>
    <row r="2561" spans="1:15" s="90" customFormat="1" ht="12.75" customHeight="1" x14ac:dyDescent="0.2">
      <c r="A2561" s="247" t="s">
        <v>1113</v>
      </c>
      <c r="B2561" s="316">
        <v>3218</v>
      </c>
      <c r="C2561" s="247" t="s">
        <v>979</v>
      </c>
      <c r="D2561" s="317">
        <v>42671</v>
      </c>
      <c r="E2561" s="318">
        <v>0.54584490740740743</v>
      </c>
      <c r="F2561" s="247" t="s">
        <v>702</v>
      </c>
      <c r="G2561" s="247" t="s">
        <v>1035</v>
      </c>
      <c r="H2561" s="248"/>
      <c r="I2561" s="248"/>
      <c r="J2561" s="247"/>
      <c r="K2561" s="249"/>
      <c r="M2561" s="90">
        <v>0</v>
      </c>
      <c r="N2561" s="90">
        <v>0</v>
      </c>
      <c r="O2561" s="90">
        <v>255</v>
      </c>
    </row>
    <row r="2562" spans="1:15" s="90" customFormat="1" ht="12.75" customHeight="1" x14ac:dyDescent="0.2">
      <c r="A2562" s="247" t="s">
        <v>1114</v>
      </c>
      <c r="B2562" s="316">
        <v>3218</v>
      </c>
      <c r="C2562" s="247" t="s">
        <v>979</v>
      </c>
      <c r="D2562" s="317">
        <v>42671</v>
      </c>
      <c r="E2562" s="318">
        <v>0.54584490740740743</v>
      </c>
      <c r="F2562" s="247" t="s">
        <v>702</v>
      </c>
      <c r="G2562" s="247" t="s">
        <v>1035</v>
      </c>
      <c r="H2562" s="248"/>
      <c r="I2562" s="248"/>
      <c r="J2562" s="247"/>
      <c r="K2562" s="249"/>
      <c r="M2562" s="90">
        <v>0</v>
      </c>
      <c r="N2562" s="90">
        <v>0</v>
      </c>
      <c r="O2562" s="90">
        <v>255</v>
      </c>
    </row>
    <row r="2563" spans="1:15" s="90" customFormat="1" ht="12.75" customHeight="1" x14ac:dyDescent="0.2">
      <c r="A2563" s="247" t="s">
        <v>1115</v>
      </c>
      <c r="B2563" s="316">
        <v>3218</v>
      </c>
      <c r="C2563" s="247" t="s">
        <v>979</v>
      </c>
      <c r="D2563" s="317">
        <v>42671</v>
      </c>
      <c r="E2563" s="318">
        <v>0.54584490740740743</v>
      </c>
      <c r="F2563" s="247" t="s">
        <v>702</v>
      </c>
      <c r="G2563" s="247" t="s">
        <v>1035</v>
      </c>
      <c r="H2563" s="248"/>
      <c r="I2563" s="248"/>
      <c r="J2563" s="247"/>
      <c r="K2563" s="249"/>
      <c r="M2563" s="90">
        <v>0</v>
      </c>
      <c r="N2563" s="90">
        <v>0</v>
      </c>
      <c r="O2563" s="90">
        <v>255</v>
      </c>
    </row>
    <row r="2564" spans="1:15" s="90" customFormat="1" ht="12.75" customHeight="1" x14ac:dyDescent="0.2">
      <c r="A2564" s="247" t="s">
        <v>1116</v>
      </c>
      <c r="B2564" s="316">
        <v>3218</v>
      </c>
      <c r="C2564" s="247" t="s">
        <v>979</v>
      </c>
      <c r="D2564" s="317">
        <v>42671</v>
      </c>
      <c r="E2564" s="318">
        <v>0.54584490740740743</v>
      </c>
      <c r="F2564" s="247" t="s">
        <v>702</v>
      </c>
      <c r="G2564" s="247" t="s">
        <v>1035</v>
      </c>
      <c r="H2564" s="248"/>
      <c r="I2564" s="248"/>
      <c r="J2564" s="247"/>
      <c r="K2564" s="249"/>
      <c r="M2564" s="90">
        <v>0</v>
      </c>
      <c r="N2564" s="90">
        <v>0</v>
      </c>
      <c r="O2564" s="90">
        <v>255</v>
      </c>
    </row>
    <row r="2565" spans="1:15" s="90" customFormat="1" ht="12.75" customHeight="1" x14ac:dyDescent="0.2">
      <c r="A2565" s="247" t="s">
        <v>1117</v>
      </c>
      <c r="B2565" s="316">
        <v>3218</v>
      </c>
      <c r="C2565" s="247" t="s">
        <v>979</v>
      </c>
      <c r="D2565" s="317">
        <v>42671</v>
      </c>
      <c r="E2565" s="318">
        <v>0.54584490740740743</v>
      </c>
      <c r="F2565" s="247" t="s">
        <v>702</v>
      </c>
      <c r="G2565" s="247" t="s">
        <v>1035</v>
      </c>
      <c r="H2565" s="248"/>
      <c r="I2565" s="248"/>
      <c r="J2565" s="247"/>
      <c r="K2565" s="249"/>
      <c r="M2565" s="90">
        <v>0</v>
      </c>
      <c r="N2565" s="90">
        <v>0</v>
      </c>
      <c r="O2565" s="90">
        <v>255</v>
      </c>
    </row>
    <row r="2566" spans="1:15" s="90" customFormat="1" ht="12.75" customHeight="1" x14ac:dyDescent="0.2">
      <c r="A2566" s="247" t="s">
        <v>1118</v>
      </c>
      <c r="B2566" s="316">
        <v>3218</v>
      </c>
      <c r="C2566" s="247" t="s">
        <v>979</v>
      </c>
      <c r="D2566" s="317">
        <v>42671</v>
      </c>
      <c r="E2566" s="318">
        <v>0.54584490740740743</v>
      </c>
      <c r="F2566" s="247" t="s">
        <v>702</v>
      </c>
      <c r="G2566" s="247" t="s">
        <v>1035</v>
      </c>
      <c r="H2566" s="248"/>
      <c r="I2566" s="248"/>
      <c r="J2566" s="247"/>
      <c r="K2566" s="249"/>
      <c r="M2566" s="90">
        <v>0</v>
      </c>
      <c r="N2566" s="90">
        <v>0</v>
      </c>
      <c r="O2566" s="90">
        <v>255</v>
      </c>
    </row>
    <row r="2567" spans="1:15" s="90" customFormat="1" ht="12.75" customHeight="1" x14ac:dyDescent="0.2">
      <c r="A2567" s="247" t="s">
        <v>1119</v>
      </c>
      <c r="B2567" s="316">
        <v>3218</v>
      </c>
      <c r="C2567" s="247" t="s">
        <v>979</v>
      </c>
      <c r="D2567" s="317">
        <v>42671</v>
      </c>
      <c r="E2567" s="318">
        <v>0.54584490740740743</v>
      </c>
      <c r="F2567" s="247" t="s">
        <v>702</v>
      </c>
      <c r="G2567" s="247" t="s">
        <v>1035</v>
      </c>
      <c r="H2567" s="248"/>
      <c r="I2567" s="248"/>
      <c r="J2567" s="247"/>
      <c r="K2567" s="249"/>
      <c r="M2567" s="90">
        <v>0</v>
      </c>
      <c r="N2567" s="90">
        <v>0</v>
      </c>
      <c r="O2567" s="90">
        <v>255</v>
      </c>
    </row>
    <row r="2568" spans="1:15" s="90" customFormat="1" ht="12.75" customHeight="1" x14ac:dyDescent="0.2">
      <c r="A2568" s="247" t="s">
        <v>1120</v>
      </c>
      <c r="B2568" s="316">
        <v>3218</v>
      </c>
      <c r="C2568" s="247" t="s">
        <v>979</v>
      </c>
      <c r="D2568" s="317">
        <v>42671</v>
      </c>
      <c r="E2568" s="318">
        <v>0.54584490740740743</v>
      </c>
      <c r="F2568" s="247" t="s">
        <v>702</v>
      </c>
      <c r="G2568" s="247" t="s">
        <v>1035</v>
      </c>
      <c r="H2568" s="248"/>
      <c r="I2568" s="248"/>
      <c r="J2568" s="247"/>
      <c r="K2568" s="249"/>
      <c r="M2568" s="90">
        <v>0</v>
      </c>
      <c r="N2568" s="90">
        <v>0</v>
      </c>
      <c r="O2568" s="90">
        <v>255</v>
      </c>
    </row>
    <row r="2569" spans="1:15" s="90" customFormat="1" ht="12.75" customHeight="1" x14ac:dyDescent="0.2">
      <c r="A2569" s="247" t="s">
        <v>1121</v>
      </c>
      <c r="B2569" s="316">
        <v>3218</v>
      </c>
      <c r="C2569" s="247" t="s">
        <v>979</v>
      </c>
      <c r="D2569" s="317">
        <v>42671</v>
      </c>
      <c r="E2569" s="318">
        <v>0.54584490740740743</v>
      </c>
      <c r="F2569" s="247" t="s">
        <v>702</v>
      </c>
      <c r="G2569" s="247" t="s">
        <v>1035</v>
      </c>
      <c r="H2569" s="248"/>
      <c r="I2569" s="248"/>
      <c r="J2569" s="247"/>
      <c r="K2569" s="249"/>
      <c r="M2569" s="90">
        <v>0</v>
      </c>
      <c r="N2569" s="90">
        <v>0</v>
      </c>
      <c r="O2569" s="90">
        <v>255</v>
      </c>
    </row>
    <row r="2570" spans="1:15" s="90" customFormat="1" ht="12.75" customHeight="1" x14ac:dyDescent="0.2">
      <c r="A2570" s="247" t="s">
        <v>1031</v>
      </c>
      <c r="B2570" s="316">
        <v>3046</v>
      </c>
      <c r="C2570" s="247" t="s">
        <v>975</v>
      </c>
      <c r="D2570" s="317">
        <v>42671</v>
      </c>
      <c r="E2570" s="318">
        <v>0.54650462962962965</v>
      </c>
      <c r="F2570" s="247" t="s">
        <v>976</v>
      </c>
      <c r="G2570" s="247" t="s">
        <v>1035</v>
      </c>
      <c r="H2570" s="248" t="s">
        <v>404</v>
      </c>
      <c r="I2570" s="248" t="s">
        <v>404</v>
      </c>
      <c r="J2570" s="247" t="s">
        <v>809</v>
      </c>
      <c r="K2570" s="249">
        <v>0</v>
      </c>
      <c r="M2570" s="90">
        <v>0</v>
      </c>
      <c r="N2570" s="90">
        <v>0</v>
      </c>
      <c r="O2570" s="90">
        <v>255</v>
      </c>
    </row>
    <row r="2571" spans="1:15" s="90" customFormat="1" ht="12.75" customHeight="1" x14ac:dyDescent="0.2">
      <c r="A2571" s="247" t="s">
        <v>1070</v>
      </c>
      <c r="B2571" s="316">
        <v>3001</v>
      </c>
      <c r="C2571" s="247" t="s">
        <v>996</v>
      </c>
      <c r="D2571" s="317">
        <v>42671</v>
      </c>
      <c r="E2571" s="318">
        <v>0.54803240740740744</v>
      </c>
      <c r="F2571" s="247" t="s">
        <v>702</v>
      </c>
      <c r="G2571" s="247" t="s">
        <v>1035</v>
      </c>
      <c r="H2571" s="248" t="s">
        <v>121</v>
      </c>
      <c r="I2571" s="248" t="s">
        <v>122</v>
      </c>
      <c r="J2571" s="247" t="s">
        <v>809</v>
      </c>
      <c r="K2571" s="249">
        <v>0</v>
      </c>
      <c r="M2571" s="90">
        <v>0</v>
      </c>
      <c r="N2571" s="90">
        <v>0</v>
      </c>
      <c r="O2571" s="90">
        <v>255</v>
      </c>
    </row>
    <row r="2572" spans="1:15" s="90" customFormat="1" ht="12.75" customHeight="1" x14ac:dyDescent="0.2">
      <c r="A2572" s="247" t="s">
        <v>1351</v>
      </c>
      <c r="B2572" s="316">
        <v>2083</v>
      </c>
      <c r="C2572" s="247" t="s">
        <v>979</v>
      </c>
      <c r="D2572" s="317">
        <v>42671</v>
      </c>
      <c r="E2572" s="318">
        <v>0.54925925925925922</v>
      </c>
      <c r="F2572" s="247" t="s">
        <v>702</v>
      </c>
      <c r="G2572" s="247" t="s">
        <v>1035</v>
      </c>
      <c r="H2572" s="248" t="s">
        <v>121</v>
      </c>
      <c r="I2572" s="248" t="s">
        <v>122</v>
      </c>
      <c r="J2572" s="247" t="s">
        <v>809</v>
      </c>
      <c r="K2572" s="249">
        <v>0</v>
      </c>
      <c r="M2572" s="90">
        <v>0</v>
      </c>
      <c r="N2572" s="90">
        <v>0</v>
      </c>
      <c r="O2572" s="90">
        <v>255</v>
      </c>
    </row>
    <row r="2573" spans="1:15" s="90" customFormat="1" ht="12.75" customHeight="1" x14ac:dyDescent="0.2">
      <c r="A2573" s="247" t="s">
        <v>1070</v>
      </c>
      <c r="B2573" s="316">
        <v>3001</v>
      </c>
      <c r="C2573" s="247" t="s">
        <v>996</v>
      </c>
      <c r="D2573" s="317">
        <v>42671</v>
      </c>
      <c r="E2573" s="318">
        <v>0.54925925925925922</v>
      </c>
      <c r="F2573" s="247" t="s">
        <v>702</v>
      </c>
      <c r="G2573" s="247" t="s">
        <v>1035</v>
      </c>
      <c r="H2573" s="248" t="s">
        <v>121</v>
      </c>
      <c r="I2573" s="248" t="s">
        <v>122</v>
      </c>
      <c r="J2573" s="247" t="s">
        <v>809</v>
      </c>
      <c r="K2573" s="249">
        <v>0</v>
      </c>
      <c r="M2573" s="90">
        <v>0</v>
      </c>
      <c r="N2573" s="90">
        <v>0</v>
      </c>
      <c r="O2573" s="90">
        <v>255</v>
      </c>
    </row>
    <row r="2574" spans="1:15" s="90" customFormat="1" ht="12.75" customHeight="1" x14ac:dyDescent="0.2">
      <c r="A2574" s="247" t="s">
        <v>1350</v>
      </c>
      <c r="B2574" s="316">
        <v>3001</v>
      </c>
      <c r="C2574" s="247" t="s">
        <v>996</v>
      </c>
      <c r="D2574" s="317">
        <v>42671</v>
      </c>
      <c r="E2574" s="318">
        <v>0.54982638888888891</v>
      </c>
      <c r="F2574" s="247" t="s">
        <v>702</v>
      </c>
      <c r="G2574" s="247" t="s">
        <v>1035</v>
      </c>
      <c r="H2574" s="248" t="s">
        <v>121</v>
      </c>
      <c r="I2574" s="248" t="s">
        <v>122</v>
      </c>
      <c r="J2574" s="247" t="s">
        <v>809</v>
      </c>
      <c r="K2574" s="249">
        <v>0</v>
      </c>
      <c r="M2574" s="90">
        <v>0</v>
      </c>
      <c r="N2574" s="90">
        <v>0</v>
      </c>
      <c r="O2574" s="90">
        <v>255</v>
      </c>
    </row>
    <row r="2575" spans="1:15" s="90" customFormat="1" ht="12.75" customHeight="1" x14ac:dyDescent="0.2">
      <c r="A2575" s="247" t="s">
        <v>1453</v>
      </c>
      <c r="B2575" s="316">
        <v>3024</v>
      </c>
      <c r="C2575" s="247" t="s">
        <v>996</v>
      </c>
      <c r="D2575" s="317">
        <v>42671</v>
      </c>
      <c r="E2575" s="318">
        <v>0.55019675925925926</v>
      </c>
      <c r="F2575" s="247" t="s">
        <v>702</v>
      </c>
      <c r="G2575" s="247" t="s">
        <v>1035</v>
      </c>
      <c r="H2575" s="248" t="s">
        <v>234</v>
      </c>
      <c r="I2575" s="248" t="s">
        <v>702</v>
      </c>
      <c r="J2575" s="247" t="s">
        <v>809</v>
      </c>
      <c r="K2575" s="249">
        <v>0</v>
      </c>
      <c r="M2575" s="90">
        <v>0</v>
      </c>
      <c r="N2575" s="90">
        <v>0</v>
      </c>
      <c r="O2575" s="90">
        <v>255</v>
      </c>
    </row>
    <row r="2576" spans="1:15" s="90" customFormat="1" ht="12.75" customHeight="1" x14ac:dyDescent="0.2">
      <c r="A2576" s="247" t="s">
        <v>1454</v>
      </c>
      <c r="B2576" s="316">
        <v>2083</v>
      </c>
      <c r="C2576" s="247" t="s">
        <v>979</v>
      </c>
      <c r="D2576" s="317">
        <v>42671</v>
      </c>
      <c r="E2576" s="318">
        <v>0.55188657407407404</v>
      </c>
      <c r="F2576" s="247" t="s">
        <v>702</v>
      </c>
      <c r="G2576" s="247" t="s">
        <v>1035</v>
      </c>
      <c r="H2576" s="248" t="s">
        <v>121</v>
      </c>
      <c r="I2576" s="248" t="s">
        <v>122</v>
      </c>
      <c r="J2576" s="247" t="s">
        <v>809</v>
      </c>
      <c r="K2576" s="249">
        <v>0</v>
      </c>
      <c r="M2576" s="90">
        <v>0</v>
      </c>
      <c r="N2576" s="90">
        <v>0</v>
      </c>
      <c r="O2576" s="90">
        <v>255</v>
      </c>
    </row>
    <row r="2577" spans="1:15" s="90" customFormat="1" ht="12.75" customHeight="1" x14ac:dyDescent="0.2">
      <c r="A2577" s="247" t="s">
        <v>1454</v>
      </c>
      <c r="B2577" s="316">
        <v>2083</v>
      </c>
      <c r="C2577" s="247" t="s">
        <v>979</v>
      </c>
      <c r="D2577" s="317">
        <v>42671</v>
      </c>
      <c r="E2577" s="318">
        <v>0.5524189814814815</v>
      </c>
      <c r="F2577" s="247" t="s">
        <v>702</v>
      </c>
      <c r="G2577" s="247" t="s">
        <v>1035</v>
      </c>
      <c r="H2577" s="248" t="s">
        <v>121</v>
      </c>
      <c r="I2577" s="248" t="s">
        <v>122</v>
      </c>
      <c r="J2577" s="247" t="s">
        <v>809</v>
      </c>
      <c r="K2577" s="249">
        <v>0</v>
      </c>
      <c r="M2577" s="90">
        <v>0</v>
      </c>
      <c r="N2577" s="90">
        <v>0</v>
      </c>
      <c r="O2577" s="90">
        <v>255</v>
      </c>
    </row>
    <row r="2578" spans="1:15" s="90" customFormat="1" ht="12.75" customHeight="1" x14ac:dyDescent="0.2">
      <c r="A2578" s="247" t="s">
        <v>1454</v>
      </c>
      <c r="B2578" s="316">
        <v>2083</v>
      </c>
      <c r="C2578" s="247" t="s">
        <v>979</v>
      </c>
      <c r="D2578" s="317">
        <v>42671</v>
      </c>
      <c r="E2578" s="318">
        <v>0.5524189814814815</v>
      </c>
      <c r="F2578" s="247" t="s">
        <v>702</v>
      </c>
      <c r="G2578" s="247" t="s">
        <v>1035</v>
      </c>
      <c r="H2578" s="248" t="s">
        <v>121</v>
      </c>
      <c r="I2578" s="248" t="s">
        <v>122</v>
      </c>
      <c r="J2578" s="247" t="s">
        <v>809</v>
      </c>
      <c r="K2578" s="249">
        <v>0</v>
      </c>
      <c r="M2578" s="90">
        <v>0</v>
      </c>
      <c r="N2578" s="90">
        <v>0</v>
      </c>
      <c r="O2578" s="90">
        <v>255</v>
      </c>
    </row>
    <row r="2579" spans="1:15" s="90" customFormat="1" ht="12.75" customHeight="1" x14ac:dyDescent="0.2">
      <c r="A2579" s="247" t="s">
        <v>1032</v>
      </c>
      <c r="B2579" s="316">
        <v>3046</v>
      </c>
      <c r="C2579" s="247" t="s">
        <v>975</v>
      </c>
      <c r="D2579" s="317">
        <v>42671</v>
      </c>
      <c r="E2579" s="318">
        <v>0.55996527777777783</v>
      </c>
      <c r="F2579" s="247" t="s">
        <v>976</v>
      </c>
      <c r="G2579" s="247" t="s">
        <v>1035</v>
      </c>
      <c r="H2579" s="248" t="s">
        <v>404</v>
      </c>
      <c r="I2579" s="248" t="s">
        <v>404</v>
      </c>
      <c r="J2579" s="247" t="s">
        <v>809</v>
      </c>
      <c r="K2579" s="249">
        <v>0</v>
      </c>
      <c r="M2579" s="90">
        <v>0</v>
      </c>
      <c r="N2579" s="90">
        <v>0</v>
      </c>
      <c r="O2579" s="90">
        <v>255</v>
      </c>
    </row>
    <row r="2580" spans="1:15" s="90" customFormat="1" ht="12.75" customHeight="1" x14ac:dyDescent="0.2">
      <c r="A2580" s="247" t="s">
        <v>989</v>
      </c>
      <c r="B2580" s="316">
        <v>3046</v>
      </c>
      <c r="C2580" s="247" t="s">
        <v>975</v>
      </c>
      <c r="D2580" s="317">
        <v>42671</v>
      </c>
      <c r="E2580" s="318">
        <v>0.55996527777777783</v>
      </c>
      <c r="F2580" s="247" t="s">
        <v>976</v>
      </c>
      <c r="G2580" s="247" t="s">
        <v>1035</v>
      </c>
      <c r="H2580" s="248" t="s">
        <v>404</v>
      </c>
      <c r="I2580" s="248" t="s">
        <v>404</v>
      </c>
      <c r="J2580" s="247" t="s">
        <v>809</v>
      </c>
      <c r="K2580" s="249">
        <v>0</v>
      </c>
      <c r="M2580" s="90">
        <v>0</v>
      </c>
      <c r="N2580" s="90">
        <v>0</v>
      </c>
      <c r="O2580" s="90">
        <v>255</v>
      </c>
    </row>
    <row r="2581" spans="1:15" s="90" customFormat="1" ht="12.75" customHeight="1" x14ac:dyDescent="0.2">
      <c r="A2581" s="247" t="s">
        <v>1033</v>
      </c>
      <c r="B2581" s="316">
        <v>3217</v>
      </c>
      <c r="C2581" s="247" t="s">
        <v>975</v>
      </c>
      <c r="D2581" s="317">
        <v>42671</v>
      </c>
      <c r="E2581" s="318">
        <v>0.56026620370370372</v>
      </c>
      <c r="F2581" s="247" t="s">
        <v>235</v>
      </c>
      <c r="G2581" s="247" t="s">
        <v>1035</v>
      </c>
      <c r="H2581" s="248" t="s">
        <v>234</v>
      </c>
      <c r="I2581" s="248" t="s">
        <v>235</v>
      </c>
      <c r="J2581" s="247" t="s">
        <v>809</v>
      </c>
      <c r="K2581" s="249">
        <v>0</v>
      </c>
      <c r="M2581" s="90">
        <v>0</v>
      </c>
      <c r="N2581" s="90">
        <v>0</v>
      </c>
      <c r="O2581" s="90">
        <v>255</v>
      </c>
    </row>
    <row r="2582" spans="1:15" s="90" customFormat="1" ht="12.75" customHeight="1" x14ac:dyDescent="0.2">
      <c r="A2582" s="247" t="s">
        <v>990</v>
      </c>
      <c r="B2582" s="316">
        <v>3046</v>
      </c>
      <c r="C2582" s="247" t="s">
        <v>975</v>
      </c>
      <c r="D2582" s="317">
        <v>42671</v>
      </c>
      <c r="E2582" s="318">
        <v>0.56027777777777776</v>
      </c>
      <c r="F2582" s="247" t="s">
        <v>976</v>
      </c>
      <c r="G2582" s="247" t="s">
        <v>1035</v>
      </c>
      <c r="H2582" s="248" t="s">
        <v>404</v>
      </c>
      <c r="I2582" s="248" t="s">
        <v>404</v>
      </c>
      <c r="J2582" s="247" t="s">
        <v>809</v>
      </c>
      <c r="K2582" s="249">
        <v>0</v>
      </c>
      <c r="M2582" s="90">
        <v>0</v>
      </c>
      <c r="N2582" s="90">
        <v>0</v>
      </c>
      <c r="O2582" s="90">
        <v>255</v>
      </c>
    </row>
    <row r="2583" spans="1:15" s="90" customFormat="1" ht="12.75" customHeight="1" x14ac:dyDescent="0.2">
      <c r="A2583" s="247" t="s">
        <v>1057</v>
      </c>
      <c r="B2583" s="316">
        <v>3218</v>
      </c>
      <c r="C2583" s="247" t="s">
        <v>979</v>
      </c>
      <c r="D2583" s="317">
        <v>42671</v>
      </c>
      <c r="E2583" s="318">
        <v>0.56215277777777783</v>
      </c>
      <c r="F2583" s="247" t="s">
        <v>702</v>
      </c>
      <c r="G2583" s="247" t="s">
        <v>1035</v>
      </c>
      <c r="H2583" s="248"/>
      <c r="I2583" s="248"/>
      <c r="J2583" s="247"/>
      <c r="K2583" s="249"/>
      <c r="M2583" s="90">
        <v>0</v>
      </c>
      <c r="N2583" s="90">
        <v>0</v>
      </c>
      <c r="O2583" s="90">
        <v>255</v>
      </c>
    </row>
    <row r="2584" spans="1:15" s="90" customFormat="1" ht="12.75" customHeight="1" x14ac:dyDescent="0.2">
      <c r="A2584" s="247" t="s">
        <v>1057</v>
      </c>
      <c r="B2584" s="316">
        <v>3218</v>
      </c>
      <c r="C2584" s="247" t="s">
        <v>979</v>
      </c>
      <c r="D2584" s="317">
        <v>42671</v>
      </c>
      <c r="E2584" s="318">
        <v>0.56224537037037037</v>
      </c>
      <c r="F2584" s="247" t="s">
        <v>702</v>
      </c>
      <c r="G2584" s="247" t="s">
        <v>1035</v>
      </c>
      <c r="H2584" s="248"/>
      <c r="I2584" s="248"/>
      <c r="J2584" s="247"/>
      <c r="K2584" s="249"/>
      <c r="M2584" s="90">
        <v>0</v>
      </c>
      <c r="N2584" s="90">
        <v>0</v>
      </c>
      <c r="O2584" s="90">
        <v>255</v>
      </c>
    </row>
    <row r="2585" spans="1:15" s="90" customFormat="1" ht="12.75" customHeight="1" x14ac:dyDescent="0.2">
      <c r="A2585" s="247" t="s">
        <v>1031</v>
      </c>
      <c r="B2585" s="316">
        <v>3046</v>
      </c>
      <c r="C2585" s="247" t="s">
        <v>975</v>
      </c>
      <c r="D2585" s="317">
        <v>42671</v>
      </c>
      <c r="E2585" s="318">
        <v>0.56237268518518524</v>
      </c>
      <c r="F2585" s="247" t="s">
        <v>976</v>
      </c>
      <c r="G2585" s="247" t="s">
        <v>1035</v>
      </c>
      <c r="H2585" s="248" t="s">
        <v>404</v>
      </c>
      <c r="I2585" s="248" t="s">
        <v>404</v>
      </c>
      <c r="J2585" s="247" t="s">
        <v>809</v>
      </c>
      <c r="K2585" s="249">
        <v>0</v>
      </c>
      <c r="M2585" s="90">
        <v>0</v>
      </c>
      <c r="N2585" s="90">
        <v>0</v>
      </c>
      <c r="O2585" s="90">
        <v>255</v>
      </c>
    </row>
    <row r="2586" spans="1:15" s="90" customFormat="1" ht="12.75" customHeight="1" x14ac:dyDescent="0.2">
      <c r="A2586" s="247" t="s">
        <v>1446</v>
      </c>
      <c r="B2586" s="316">
        <v>3088</v>
      </c>
      <c r="C2586" s="247" t="s">
        <v>979</v>
      </c>
      <c r="D2586" s="317">
        <v>42671</v>
      </c>
      <c r="E2586" s="318">
        <v>0.56459490740740736</v>
      </c>
      <c r="F2586" s="247" t="s">
        <v>656</v>
      </c>
      <c r="G2586" s="247" t="s">
        <v>1035</v>
      </c>
      <c r="H2586" s="248" t="s">
        <v>234</v>
      </c>
      <c r="I2586" s="248" t="s">
        <v>702</v>
      </c>
      <c r="J2586" s="247" t="s">
        <v>809</v>
      </c>
      <c r="K2586" s="249">
        <v>0</v>
      </c>
      <c r="M2586" s="90">
        <v>0</v>
      </c>
      <c r="N2586" s="90">
        <v>0</v>
      </c>
      <c r="O2586" s="90">
        <v>255</v>
      </c>
    </row>
    <row r="2587" spans="1:15" s="90" customFormat="1" ht="12.75" customHeight="1" x14ac:dyDescent="0.2">
      <c r="A2587" s="247" t="s">
        <v>1032</v>
      </c>
      <c r="B2587" s="316">
        <v>3046</v>
      </c>
      <c r="C2587" s="247" t="s">
        <v>975</v>
      </c>
      <c r="D2587" s="317">
        <v>42671</v>
      </c>
      <c r="E2587" s="318">
        <v>0.56460648148148151</v>
      </c>
      <c r="F2587" s="247" t="s">
        <v>976</v>
      </c>
      <c r="G2587" s="247" t="s">
        <v>1035</v>
      </c>
      <c r="H2587" s="248" t="s">
        <v>404</v>
      </c>
      <c r="I2587" s="248" t="s">
        <v>404</v>
      </c>
      <c r="J2587" s="247" t="s">
        <v>809</v>
      </c>
      <c r="K2587" s="249">
        <v>0</v>
      </c>
      <c r="M2587" s="90">
        <v>0</v>
      </c>
      <c r="N2587" s="90">
        <v>0</v>
      </c>
      <c r="O2587" s="90">
        <v>255</v>
      </c>
    </row>
    <row r="2588" spans="1:15" s="90" customFormat="1" ht="12.75" customHeight="1" x14ac:dyDescent="0.2">
      <c r="A2588" s="247" t="s">
        <v>989</v>
      </c>
      <c r="B2588" s="316">
        <v>3046</v>
      </c>
      <c r="C2588" s="247" t="s">
        <v>975</v>
      </c>
      <c r="D2588" s="317">
        <v>42671</v>
      </c>
      <c r="E2588" s="318">
        <v>0.56460648148148151</v>
      </c>
      <c r="F2588" s="247" t="s">
        <v>976</v>
      </c>
      <c r="G2588" s="247" t="s">
        <v>1035</v>
      </c>
      <c r="H2588" s="248" t="s">
        <v>404</v>
      </c>
      <c r="I2588" s="248" t="s">
        <v>404</v>
      </c>
      <c r="J2588" s="247" t="s">
        <v>809</v>
      </c>
      <c r="K2588" s="249">
        <v>0</v>
      </c>
      <c r="M2588" s="90">
        <v>0</v>
      </c>
      <c r="N2588" s="90">
        <v>0</v>
      </c>
      <c r="O2588" s="90">
        <v>255</v>
      </c>
    </row>
    <row r="2589" spans="1:15" s="90" customFormat="1" ht="12.75" customHeight="1" x14ac:dyDescent="0.2">
      <c r="A2589" s="247" t="s">
        <v>990</v>
      </c>
      <c r="B2589" s="316">
        <v>3046</v>
      </c>
      <c r="C2589" s="247" t="s">
        <v>975</v>
      </c>
      <c r="D2589" s="317">
        <v>42671</v>
      </c>
      <c r="E2589" s="318">
        <v>0.56490740740740741</v>
      </c>
      <c r="F2589" s="247" t="s">
        <v>976</v>
      </c>
      <c r="G2589" s="247" t="s">
        <v>1035</v>
      </c>
      <c r="H2589" s="248" t="s">
        <v>404</v>
      </c>
      <c r="I2589" s="248" t="s">
        <v>404</v>
      </c>
      <c r="J2589" s="247" t="s">
        <v>809</v>
      </c>
      <c r="K2589" s="249">
        <v>0</v>
      </c>
      <c r="M2589" s="90">
        <v>0</v>
      </c>
      <c r="N2589" s="90">
        <v>0</v>
      </c>
      <c r="O2589" s="90">
        <v>255</v>
      </c>
    </row>
    <row r="2590" spans="1:15" s="90" customFormat="1" ht="12.75" customHeight="1" x14ac:dyDescent="0.2">
      <c r="A2590" s="247" t="s">
        <v>1033</v>
      </c>
      <c r="B2590" s="316">
        <v>3217</v>
      </c>
      <c r="C2590" s="247" t="s">
        <v>975</v>
      </c>
      <c r="D2590" s="317">
        <v>42671</v>
      </c>
      <c r="E2590" s="318">
        <v>0.56490740740740741</v>
      </c>
      <c r="F2590" s="247" t="s">
        <v>235</v>
      </c>
      <c r="G2590" s="247" t="s">
        <v>1035</v>
      </c>
      <c r="H2590" s="248" t="s">
        <v>234</v>
      </c>
      <c r="I2590" s="248" t="s">
        <v>235</v>
      </c>
      <c r="J2590" s="247" t="s">
        <v>809</v>
      </c>
      <c r="K2590" s="249">
        <v>0</v>
      </c>
      <c r="M2590" s="90">
        <v>0</v>
      </c>
      <c r="N2590" s="90">
        <v>0</v>
      </c>
      <c r="O2590" s="90">
        <v>255</v>
      </c>
    </row>
    <row r="2591" spans="1:15" s="90" customFormat="1" ht="12.75" customHeight="1" x14ac:dyDescent="0.2">
      <c r="A2591" s="247" t="s">
        <v>989</v>
      </c>
      <c r="B2591" s="316">
        <v>3046</v>
      </c>
      <c r="C2591" s="247" t="s">
        <v>975</v>
      </c>
      <c r="D2591" s="317">
        <v>42671</v>
      </c>
      <c r="E2591" s="318">
        <v>0.60657407407407404</v>
      </c>
      <c r="F2591" s="247" t="s">
        <v>976</v>
      </c>
      <c r="G2591" s="247" t="s">
        <v>1035</v>
      </c>
      <c r="H2591" s="248" t="s">
        <v>404</v>
      </c>
      <c r="I2591" s="248" t="s">
        <v>404</v>
      </c>
      <c r="J2591" s="247" t="s">
        <v>809</v>
      </c>
      <c r="K2591" s="249">
        <v>0</v>
      </c>
      <c r="M2591" s="90">
        <v>0</v>
      </c>
      <c r="N2591" s="90">
        <v>0</v>
      </c>
      <c r="O2591" s="90">
        <v>255</v>
      </c>
    </row>
    <row r="2592" spans="1:15" s="90" customFormat="1" ht="12.75" customHeight="1" x14ac:dyDescent="0.2">
      <c r="A2592" s="247" t="s">
        <v>990</v>
      </c>
      <c r="B2592" s="316">
        <v>3046</v>
      </c>
      <c r="C2592" s="247" t="s">
        <v>975</v>
      </c>
      <c r="D2592" s="317">
        <v>42671</v>
      </c>
      <c r="E2592" s="318">
        <v>0.60682870370370368</v>
      </c>
      <c r="F2592" s="247" t="s">
        <v>976</v>
      </c>
      <c r="G2592" s="247" t="s">
        <v>1035</v>
      </c>
      <c r="H2592" s="248" t="s">
        <v>404</v>
      </c>
      <c r="I2592" s="248" t="s">
        <v>404</v>
      </c>
      <c r="J2592" s="247" t="s">
        <v>809</v>
      </c>
      <c r="K2592" s="249">
        <v>0</v>
      </c>
      <c r="M2592" s="90">
        <v>0</v>
      </c>
      <c r="N2592" s="90">
        <v>0</v>
      </c>
      <c r="O2592" s="90">
        <v>255</v>
      </c>
    </row>
    <row r="2593" spans="1:15" s="90" customFormat="1" ht="12.75" customHeight="1" x14ac:dyDescent="0.2">
      <c r="A2593" s="247" t="s">
        <v>993</v>
      </c>
      <c r="B2593" s="316">
        <v>3217</v>
      </c>
      <c r="C2593" s="247" t="s">
        <v>975</v>
      </c>
      <c r="D2593" s="317">
        <v>42671</v>
      </c>
      <c r="E2593" s="318">
        <v>0.60682870370370368</v>
      </c>
      <c r="F2593" s="247" t="s">
        <v>235</v>
      </c>
      <c r="G2593" s="247" t="s">
        <v>1035</v>
      </c>
      <c r="H2593" s="248" t="s">
        <v>234</v>
      </c>
      <c r="I2593" s="248" t="s">
        <v>235</v>
      </c>
      <c r="J2593" s="247" t="s">
        <v>809</v>
      </c>
      <c r="K2593" s="249">
        <v>0</v>
      </c>
      <c r="M2593" s="90">
        <v>0</v>
      </c>
      <c r="N2593" s="90">
        <v>0</v>
      </c>
      <c r="O2593" s="90">
        <v>255</v>
      </c>
    </row>
    <row r="2594" spans="1:15" s="90" customFormat="1" ht="12.75" customHeight="1" x14ac:dyDescent="0.2">
      <c r="A2594" s="247" t="s">
        <v>989</v>
      </c>
      <c r="B2594" s="316">
        <v>3046</v>
      </c>
      <c r="C2594" s="247" t="s">
        <v>975</v>
      </c>
      <c r="D2594" s="317">
        <v>42671</v>
      </c>
      <c r="E2594" s="318">
        <v>0.64849537037037031</v>
      </c>
      <c r="F2594" s="247" t="s">
        <v>976</v>
      </c>
      <c r="G2594" s="247" t="s">
        <v>1035</v>
      </c>
      <c r="H2594" s="248" t="s">
        <v>404</v>
      </c>
      <c r="I2594" s="248" t="s">
        <v>404</v>
      </c>
      <c r="J2594" s="247" t="s">
        <v>809</v>
      </c>
      <c r="K2594" s="249">
        <v>0</v>
      </c>
      <c r="M2594" s="90">
        <v>0</v>
      </c>
      <c r="N2594" s="90">
        <v>0</v>
      </c>
      <c r="O2594" s="90">
        <v>255</v>
      </c>
    </row>
    <row r="2595" spans="1:15" s="90" customFormat="1" ht="12.75" customHeight="1" x14ac:dyDescent="0.2">
      <c r="A2595" s="247" t="s">
        <v>990</v>
      </c>
      <c r="B2595" s="316">
        <v>3046</v>
      </c>
      <c r="C2595" s="247" t="s">
        <v>975</v>
      </c>
      <c r="D2595" s="317">
        <v>42671</v>
      </c>
      <c r="E2595" s="318">
        <v>0.64875000000000005</v>
      </c>
      <c r="F2595" s="247" t="s">
        <v>976</v>
      </c>
      <c r="G2595" s="247" t="s">
        <v>1035</v>
      </c>
      <c r="H2595" s="248" t="s">
        <v>404</v>
      </c>
      <c r="I2595" s="248" t="s">
        <v>404</v>
      </c>
      <c r="J2595" s="247" t="s">
        <v>809</v>
      </c>
      <c r="K2595" s="249">
        <v>0</v>
      </c>
      <c r="M2595" s="90">
        <v>0</v>
      </c>
      <c r="N2595" s="90">
        <v>0</v>
      </c>
      <c r="O2595" s="90">
        <v>255</v>
      </c>
    </row>
    <row r="2596" spans="1:15" s="90" customFormat="1" ht="12.75" customHeight="1" x14ac:dyDescent="0.2">
      <c r="A2596" s="247" t="s">
        <v>993</v>
      </c>
      <c r="B2596" s="316">
        <v>3217</v>
      </c>
      <c r="C2596" s="247" t="s">
        <v>975</v>
      </c>
      <c r="D2596" s="317">
        <v>42671</v>
      </c>
      <c r="E2596" s="318">
        <v>0.64875000000000005</v>
      </c>
      <c r="F2596" s="247" t="s">
        <v>235</v>
      </c>
      <c r="G2596" s="247" t="s">
        <v>1035</v>
      </c>
      <c r="H2596" s="248" t="s">
        <v>234</v>
      </c>
      <c r="I2596" s="248" t="s">
        <v>235</v>
      </c>
      <c r="J2596" s="247" t="s">
        <v>809</v>
      </c>
      <c r="K2596" s="249">
        <v>0</v>
      </c>
      <c r="M2596" s="90">
        <v>0</v>
      </c>
      <c r="N2596" s="90">
        <v>0</v>
      </c>
      <c r="O2596" s="90">
        <v>255</v>
      </c>
    </row>
    <row r="2597" spans="1:15" s="90" customFormat="1" ht="12.75" customHeight="1" x14ac:dyDescent="0.2">
      <c r="A2597" s="247" t="s">
        <v>1405</v>
      </c>
      <c r="B2597" s="316">
        <v>3121</v>
      </c>
      <c r="C2597" s="247" t="s">
        <v>975</v>
      </c>
      <c r="D2597" s="317">
        <v>42671</v>
      </c>
      <c r="E2597" s="318">
        <v>0.67245370370370372</v>
      </c>
      <c r="F2597" s="247" t="s">
        <v>978</v>
      </c>
      <c r="G2597" s="247" t="s">
        <v>1035</v>
      </c>
      <c r="H2597" s="248"/>
      <c r="I2597" s="248"/>
      <c r="J2597" s="247"/>
      <c r="K2597" s="249"/>
      <c r="M2597" s="90">
        <v>0</v>
      </c>
      <c r="N2597" s="90">
        <v>0</v>
      </c>
      <c r="O2597" s="90">
        <v>255</v>
      </c>
    </row>
    <row r="2598" spans="1:15" s="90" customFormat="1" ht="12.75" customHeight="1" x14ac:dyDescent="0.2">
      <c r="A2598" s="247" t="s">
        <v>989</v>
      </c>
      <c r="B2598" s="316">
        <v>3046</v>
      </c>
      <c r="C2598" s="247" t="s">
        <v>975</v>
      </c>
      <c r="D2598" s="317">
        <v>42671</v>
      </c>
      <c r="E2598" s="318">
        <v>0.69041666666666668</v>
      </c>
      <c r="F2598" s="247" t="s">
        <v>976</v>
      </c>
      <c r="G2598" s="247"/>
      <c r="H2598" s="248" t="s">
        <v>404</v>
      </c>
      <c r="I2598" s="248" t="s">
        <v>404</v>
      </c>
      <c r="J2598" s="247" t="s">
        <v>809</v>
      </c>
      <c r="K2598" s="249">
        <v>0</v>
      </c>
      <c r="M2598" s="90">
        <v>0</v>
      </c>
      <c r="N2598" s="90">
        <v>0</v>
      </c>
      <c r="O2598" s="90">
        <v>255</v>
      </c>
    </row>
    <row r="2599" spans="1:15" s="90" customFormat="1" ht="12.75" customHeight="1" x14ac:dyDescent="0.2">
      <c r="A2599" s="247" t="s">
        <v>993</v>
      </c>
      <c r="B2599" s="316">
        <v>3217</v>
      </c>
      <c r="C2599" s="247" t="s">
        <v>975</v>
      </c>
      <c r="D2599" s="317">
        <v>42671</v>
      </c>
      <c r="E2599" s="318">
        <v>0.69065972222222216</v>
      </c>
      <c r="F2599" s="247" t="s">
        <v>235</v>
      </c>
      <c r="G2599" s="247"/>
      <c r="H2599" s="248" t="s">
        <v>234</v>
      </c>
      <c r="I2599" s="248" t="s">
        <v>235</v>
      </c>
      <c r="J2599" s="247" t="s">
        <v>809</v>
      </c>
      <c r="K2599" s="249">
        <v>0</v>
      </c>
      <c r="M2599" s="90">
        <v>0</v>
      </c>
      <c r="N2599" s="90">
        <v>0</v>
      </c>
      <c r="O2599" s="90">
        <v>255</v>
      </c>
    </row>
    <row r="2600" spans="1:15" s="90" customFormat="1" ht="12.75" customHeight="1" x14ac:dyDescent="0.2">
      <c r="A2600" s="247" t="s">
        <v>990</v>
      </c>
      <c r="B2600" s="316">
        <v>3046</v>
      </c>
      <c r="C2600" s="247" t="s">
        <v>975</v>
      </c>
      <c r="D2600" s="317">
        <v>42671</v>
      </c>
      <c r="E2600" s="318">
        <v>0.69067129629629631</v>
      </c>
      <c r="F2600" s="247" t="s">
        <v>976</v>
      </c>
      <c r="G2600" s="247"/>
      <c r="H2600" s="248" t="s">
        <v>404</v>
      </c>
      <c r="I2600" s="248" t="s">
        <v>404</v>
      </c>
      <c r="J2600" s="247" t="s">
        <v>809</v>
      </c>
      <c r="K2600" s="249">
        <v>0</v>
      </c>
      <c r="M2600" s="90">
        <v>0</v>
      </c>
      <c r="N2600" s="90">
        <v>0</v>
      </c>
      <c r="O2600" s="90">
        <v>255</v>
      </c>
    </row>
    <row r="2601" spans="1:15" s="90" customFormat="1" ht="12.75" customHeight="1" x14ac:dyDescent="0.2">
      <c r="A2601" s="247" t="s">
        <v>989</v>
      </c>
      <c r="B2601" s="316">
        <v>3046</v>
      </c>
      <c r="C2601" s="247" t="s">
        <v>975</v>
      </c>
      <c r="D2601" s="317">
        <v>42671</v>
      </c>
      <c r="E2601" s="318">
        <v>0.73233796296296294</v>
      </c>
      <c r="F2601" s="247" t="s">
        <v>976</v>
      </c>
      <c r="G2601" s="247"/>
      <c r="H2601" s="248" t="s">
        <v>404</v>
      </c>
      <c r="I2601" s="248" t="s">
        <v>404</v>
      </c>
      <c r="J2601" s="247" t="s">
        <v>809</v>
      </c>
      <c r="K2601" s="249">
        <v>0</v>
      </c>
      <c r="M2601" s="90">
        <v>0</v>
      </c>
      <c r="N2601" s="90">
        <v>0</v>
      </c>
      <c r="O2601" s="90">
        <v>255</v>
      </c>
    </row>
    <row r="2602" spans="1:15" s="90" customFormat="1" ht="12.75" customHeight="1" x14ac:dyDescent="0.2">
      <c r="A2602" s="247" t="s">
        <v>993</v>
      </c>
      <c r="B2602" s="316">
        <v>3217</v>
      </c>
      <c r="C2602" s="247" t="s">
        <v>975</v>
      </c>
      <c r="D2602" s="317">
        <v>42671</v>
      </c>
      <c r="E2602" s="318">
        <v>0.73258101851851853</v>
      </c>
      <c r="F2602" s="247" t="s">
        <v>235</v>
      </c>
      <c r="G2602" s="247"/>
      <c r="H2602" s="248" t="s">
        <v>234</v>
      </c>
      <c r="I2602" s="248" t="s">
        <v>235</v>
      </c>
      <c r="J2602" s="247" t="s">
        <v>809</v>
      </c>
      <c r="K2602" s="249">
        <v>0</v>
      </c>
      <c r="M2602" s="90">
        <v>0</v>
      </c>
      <c r="N2602" s="90">
        <v>0</v>
      </c>
      <c r="O2602" s="90">
        <v>255</v>
      </c>
    </row>
    <row r="2603" spans="1:15" s="90" customFormat="1" ht="12.75" customHeight="1" x14ac:dyDescent="0.2">
      <c r="A2603" s="247" t="s">
        <v>990</v>
      </c>
      <c r="B2603" s="316">
        <v>3046</v>
      </c>
      <c r="C2603" s="247" t="s">
        <v>975</v>
      </c>
      <c r="D2603" s="317">
        <v>42671</v>
      </c>
      <c r="E2603" s="318">
        <v>0.73259259259259257</v>
      </c>
      <c r="F2603" s="247" t="s">
        <v>976</v>
      </c>
      <c r="G2603" s="247"/>
      <c r="H2603" s="248" t="s">
        <v>404</v>
      </c>
      <c r="I2603" s="248" t="s">
        <v>404</v>
      </c>
      <c r="J2603" s="247" t="s">
        <v>809</v>
      </c>
      <c r="K2603" s="249">
        <v>0</v>
      </c>
      <c r="M2603" s="90">
        <v>0</v>
      </c>
      <c r="N2603" s="90">
        <v>0</v>
      </c>
      <c r="O2603" s="90">
        <v>255</v>
      </c>
    </row>
    <row r="2604" spans="1:15" s="90" customFormat="1" ht="12.75" customHeight="1" x14ac:dyDescent="0.2">
      <c r="A2604" s="247" t="s">
        <v>989</v>
      </c>
      <c r="B2604" s="316">
        <v>3046</v>
      </c>
      <c r="C2604" s="247" t="s">
        <v>975</v>
      </c>
      <c r="D2604" s="317">
        <v>42671</v>
      </c>
      <c r="E2604" s="318">
        <v>0.7742592592592592</v>
      </c>
      <c r="F2604" s="247" t="s">
        <v>976</v>
      </c>
      <c r="G2604" s="247"/>
      <c r="H2604" s="248" t="s">
        <v>404</v>
      </c>
      <c r="I2604" s="248" t="s">
        <v>404</v>
      </c>
      <c r="J2604" s="247" t="s">
        <v>809</v>
      </c>
      <c r="K2604" s="249">
        <v>0</v>
      </c>
      <c r="M2604" s="90">
        <v>0</v>
      </c>
      <c r="N2604" s="90">
        <v>0</v>
      </c>
      <c r="O2604" s="90">
        <v>255</v>
      </c>
    </row>
    <row r="2605" spans="1:15" s="90" customFormat="1" ht="12.75" customHeight="1" x14ac:dyDescent="0.2">
      <c r="A2605" s="247" t="s">
        <v>993</v>
      </c>
      <c r="B2605" s="316">
        <v>3217</v>
      </c>
      <c r="C2605" s="247" t="s">
        <v>975</v>
      </c>
      <c r="D2605" s="317">
        <v>42671</v>
      </c>
      <c r="E2605" s="318">
        <v>0.7745023148148148</v>
      </c>
      <c r="F2605" s="247" t="s">
        <v>235</v>
      </c>
      <c r="G2605" s="247"/>
      <c r="H2605" s="248" t="s">
        <v>234</v>
      </c>
      <c r="I2605" s="248" t="s">
        <v>235</v>
      </c>
      <c r="J2605" s="247" t="s">
        <v>809</v>
      </c>
      <c r="K2605" s="249">
        <v>0</v>
      </c>
      <c r="M2605" s="90">
        <v>0</v>
      </c>
      <c r="N2605" s="90">
        <v>0</v>
      </c>
      <c r="O2605" s="90">
        <v>255</v>
      </c>
    </row>
    <row r="2606" spans="1:15" s="90" customFormat="1" ht="12.75" customHeight="1" x14ac:dyDescent="0.2">
      <c r="A2606" s="247" t="s">
        <v>990</v>
      </c>
      <c r="B2606" s="316">
        <v>3046</v>
      </c>
      <c r="C2606" s="247" t="s">
        <v>975</v>
      </c>
      <c r="D2606" s="317">
        <v>42671</v>
      </c>
      <c r="E2606" s="318">
        <v>0.77451388888888895</v>
      </c>
      <c r="F2606" s="247" t="s">
        <v>976</v>
      </c>
      <c r="G2606" s="247"/>
      <c r="H2606" s="248" t="s">
        <v>404</v>
      </c>
      <c r="I2606" s="248" t="s">
        <v>404</v>
      </c>
      <c r="J2606" s="247" t="s">
        <v>809</v>
      </c>
      <c r="K2606" s="249">
        <v>0</v>
      </c>
      <c r="M2606" s="90">
        <v>0</v>
      </c>
      <c r="N2606" s="90">
        <v>0</v>
      </c>
      <c r="O2606" s="90">
        <v>255</v>
      </c>
    </row>
    <row r="2607" spans="1:15" s="90" customFormat="1" ht="12.75" customHeight="1" x14ac:dyDescent="0.2">
      <c r="A2607" s="247" t="s">
        <v>989</v>
      </c>
      <c r="B2607" s="316">
        <v>3046</v>
      </c>
      <c r="C2607" s="247" t="s">
        <v>975</v>
      </c>
      <c r="D2607" s="317">
        <v>42671</v>
      </c>
      <c r="E2607" s="318">
        <v>0.81618055555555558</v>
      </c>
      <c r="F2607" s="247" t="s">
        <v>976</v>
      </c>
      <c r="G2607" s="247"/>
      <c r="H2607" s="248" t="s">
        <v>404</v>
      </c>
      <c r="I2607" s="248" t="s">
        <v>404</v>
      </c>
      <c r="J2607" s="247" t="s">
        <v>809</v>
      </c>
      <c r="K2607" s="249">
        <v>0</v>
      </c>
      <c r="M2607" s="90">
        <v>0</v>
      </c>
      <c r="N2607" s="90">
        <v>0</v>
      </c>
      <c r="O2607" s="90">
        <v>255</v>
      </c>
    </row>
    <row r="2608" spans="1:15" s="90" customFormat="1" ht="12.75" customHeight="1" x14ac:dyDescent="0.2">
      <c r="A2608" s="247" t="s">
        <v>990</v>
      </c>
      <c r="B2608" s="316">
        <v>3046</v>
      </c>
      <c r="C2608" s="247" t="s">
        <v>975</v>
      </c>
      <c r="D2608" s="317">
        <v>42671</v>
      </c>
      <c r="E2608" s="318">
        <v>0.81642361111111106</v>
      </c>
      <c r="F2608" s="247" t="s">
        <v>976</v>
      </c>
      <c r="G2608" s="247"/>
      <c r="H2608" s="248" t="s">
        <v>404</v>
      </c>
      <c r="I2608" s="248" t="s">
        <v>404</v>
      </c>
      <c r="J2608" s="247" t="s">
        <v>809</v>
      </c>
      <c r="K2608" s="249">
        <v>0</v>
      </c>
      <c r="M2608" s="90">
        <v>0</v>
      </c>
      <c r="N2608" s="90">
        <v>0</v>
      </c>
      <c r="O2608" s="90">
        <v>255</v>
      </c>
    </row>
    <row r="2609" spans="1:15" s="90" customFormat="1" ht="12.75" customHeight="1" x14ac:dyDescent="0.2">
      <c r="A2609" s="247" t="s">
        <v>993</v>
      </c>
      <c r="B2609" s="316">
        <v>3217</v>
      </c>
      <c r="C2609" s="247" t="s">
        <v>975</v>
      </c>
      <c r="D2609" s="317">
        <v>42671</v>
      </c>
      <c r="E2609" s="318">
        <v>0.81642361111111106</v>
      </c>
      <c r="F2609" s="247" t="s">
        <v>235</v>
      </c>
      <c r="G2609" s="247"/>
      <c r="H2609" s="248" t="s">
        <v>234</v>
      </c>
      <c r="I2609" s="248" t="s">
        <v>235</v>
      </c>
      <c r="J2609" s="247" t="s">
        <v>809</v>
      </c>
      <c r="K2609" s="249">
        <v>0</v>
      </c>
      <c r="M2609" s="90">
        <v>0</v>
      </c>
      <c r="N2609" s="90">
        <v>0</v>
      </c>
      <c r="O2609" s="90">
        <v>255</v>
      </c>
    </row>
    <row r="2610" spans="1:15" s="90" customFormat="1" ht="12.75" customHeight="1" x14ac:dyDescent="0.2">
      <c r="A2610" s="247" t="s">
        <v>989</v>
      </c>
      <c r="B2610" s="316">
        <v>3046</v>
      </c>
      <c r="C2610" s="247" t="s">
        <v>975</v>
      </c>
      <c r="D2610" s="317">
        <v>42671</v>
      </c>
      <c r="E2610" s="318">
        <v>0.85810185185185184</v>
      </c>
      <c r="F2610" s="247" t="s">
        <v>976</v>
      </c>
      <c r="G2610" s="247"/>
      <c r="H2610" s="248" t="s">
        <v>404</v>
      </c>
      <c r="I2610" s="248" t="s">
        <v>404</v>
      </c>
      <c r="J2610" s="247" t="s">
        <v>809</v>
      </c>
      <c r="K2610" s="249">
        <v>0</v>
      </c>
      <c r="M2610" s="90">
        <v>0</v>
      </c>
      <c r="N2610" s="90">
        <v>0</v>
      </c>
      <c r="O2610" s="90">
        <v>255</v>
      </c>
    </row>
    <row r="2611" spans="1:15" s="90" customFormat="1" ht="12.75" customHeight="1" x14ac:dyDescent="0.2">
      <c r="A2611" s="247" t="s">
        <v>990</v>
      </c>
      <c r="B2611" s="316">
        <v>3046</v>
      </c>
      <c r="C2611" s="247" t="s">
        <v>975</v>
      </c>
      <c r="D2611" s="317">
        <v>42671</v>
      </c>
      <c r="E2611" s="318">
        <v>0.85834490740740732</v>
      </c>
      <c r="F2611" s="247" t="s">
        <v>976</v>
      </c>
      <c r="G2611" s="247"/>
      <c r="H2611" s="248" t="s">
        <v>404</v>
      </c>
      <c r="I2611" s="248" t="s">
        <v>404</v>
      </c>
      <c r="J2611" s="247" t="s">
        <v>809</v>
      </c>
      <c r="K2611" s="249">
        <v>0</v>
      </c>
      <c r="M2611" s="90">
        <v>0</v>
      </c>
      <c r="N2611" s="90">
        <v>0</v>
      </c>
      <c r="O2611" s="90">
        <v>255</v>
      </c>
    </row>
    <row r="2612" spans="1:15" s="90" customFormat="1" ht="12.75" customHeight="1" x14ac:dyDescent="0.2">
      <c r="A2612" s="247" t="s">
        <v>993</v>
      </c>
      <c r="B2612" s="316">
        <v>3217</v>
      </c>
      <c r="C2612" s="247" t="s">
        <v>975</v>
      </c>
      <c r="D2612" s="317">
        <v>42671</v>
      </c>
      <c r="E2612" s="318">
        <v>0.85834490740740732</v>
      </c>
      <c r="F2612" s="247" t="s">
        <v>235</v>
      </c>
      <c r="G2612" s="247"/>
      <c r="H2612" s="248" t="s">
        <v>234</v>
      </c>
      <c r="I2612" s="248" t="s">
        <v>235</v>
      </c>
      <c r="J2612" s="247" t="s">
        <v>809</v>
      </c>
      <c r="K2612" s="249">
        <v>0</v>
      </c>
      <c r="M2612" s="90">
        <v>0</v>
      </c>
      <c r="N2612" s="90">
        <v>0</v>
      </c>
      <c r="O2612" s="90">
        <v>255</v>
      </c>
    </row>
    <row r="2613" spans="1:15" s="90" customFormat="1" ht="12.75" customHeight="1" x14ac:dyDescent="0.2">
      <c r="A2613" s="247" t="s">
        <v>989</v>
      </c>
      <c r="B2613" s="316">
        <v>3046</v>
      </c>
      <c r="C2613" s="247" t="s">
        <v>975</v>
      </c>
      <c r="D2613" s="317">
        <v>42671</v>
      </c>
      <c r="E2613" s="318">
        <v>0.90001157407407406</v>
      </c>
      <c r="F2613" s="247" t="s">
        <v>976</v>
      </c>
      <c r="G2613" s="247"/>
      <c r="H2613" s="248" t="s">
        <v>404</v>
      </c>
      <c r="I2613" s="248" t="s">
        <v>404</v>
      </c>
      <c r="J2613" s="247" t="s">
        <v>809</v>
      </c>
      <c r="K2613" s="249">
        <v>0</v>
      </c>
      <c r="M2613" s="90">
        <v>0</v>
      </c>
      <c r="N2613" s="90">
        <v>0</v>
      </c>
      <c r="O2613" s="90">
        <v>255</v>
      </c>
    </row>
    <row r="2614" spans="1:15" s="90" customFormat="1" ht="12.75" customHeight="1" x14ac:dyDescent="0.2">
      <c r="A2614" s="247" t="s">
        <v>990</v>
      </c>
      <c r="B2614" s="316">
        <v>3046</v>
      </c>
      <c r="C2614" s="247" t="s">
        <v>975</v>
      </c>
      <c r="D2614" s="317">
        <v>42671</v>
      </c>
      <c r="E2614" s="318">
        <v>0.9002662037037038</v>
      </c>
      <c r="F2614" s="247" t="s">
        <v>976</v>
      </c>
      <c r="G2614" s="247"/>
      <c r="H2614" s="248" t="s">
        <v>404</v>
      </c>
      <c r="I2614" s="248" t="s">
        <v>404</v>
      </c>
      <c r="J2614" s="247" t="s">
        <v>809</v>
      </c>
      <c r="K2614" s="249">
        <v>0</v>
      </c>
      <c r="M2614" s="90">
        <v>0</v>
      </c>
      <c r="N2614" s="90">
        <v>0</v>
      </c>
      <c r="O2614" s="90">
        <v>255</v>
      </c>
    </row>
    <row r="2615" spans="1:15" s="90" customFormat="1" ht="12.75" customHeight="1" x14ac:dyDescent="0.2">
      <c r="A2615" s="247" t="s">
        <v>993</v>
      </c>
      <c r="B2615" s="316">
        <v>3217</v>
      </c>
      <c r="C2615" s="247" t="s">
        <v>975</v>
      </c>
      <c r="D2615" s="317">
        <v>42671</v>
      </c>
      <c r="E2615" s="318">
        <v>0.9002662037037038</v>
      </c>
      <c r="F2615" s="247" t="s">
        <v>235</v>
      </c>
      <c r="G2615" s="247"/>
      <c r="H2615" s="248" t="s">
        <v>234</v>
      </c>
      <c r="I2615" s="248" t="s">
        <v>235</v>
      </c>
      <c r="J2615" s="247" t="s">
        <v>809</v>
      </c>
      <c r="K2615" s="249">
        <v>0</v>
      </c>
      <c r="M2615" s="90">
        <v>0</v>
      </c>
      <c r="N2615" s="90">
        <v>0</v>
      </c>
      <c r="O2615" s="90">
        <v>255</v>
      </c>
    </row>
    <row r="2616" spans="1:15" s="90" customFormat="1" ht="12.75" customHeight="1" x14ac:dyDescent="0.2">
      <c r="A2616" s="247" t="s">
        <v>989</v>
      </c>
      <c r="B2616" s="316">
        <v>3046</v>
      </c>
      <c r="C2616" s="247" t="s">
        <v>975</v>
      </c>
      <c r="D2616" s="317">
        <v>42671</v>
      </c>
      <c r="E2616" s="318">
        <v>0.94193287037037043</v>
      </c>
      <c r="F2616" s="247" t="s">
        <v>976</v>
      </c>
      <c r="G2616" s="247"/>
      <c r="H2616" s="248" t="s">
        <v>404</v>
      </c>
      <c r="I2616" s="248" t="s">
        <v>404</v>
      </c>
      <c r="J2616" s="247" t="s">
        <v>809</v>
      </c>
      <c r="K2616" s="249">
        <v>0</v>
      </c>
      <c r="M2616" s="90">
        <v>0</v>
      </c>
      <c r="N2616" s="90">
        <v>0</v>
      </c>
      <c r="O2616" s="90">
        <v>255</v>
      </c>
    </row>
    <row r="2617" spans="1:15" s="90" customFormat="1" ht="12.75" customHeight="1" x14ac:dyDescent="0.2">
      <c r="A2617" s="247" t="s">
        <v>990</v>
      </c>
      <c r="B2617" s="316">
        <v>3046</v>
      </c>
      <c r="C2617" s="247" t="s">
        <v>975</v>
      </c>
      <c r="D2617" s="317">
        <v>42671</v>
      </c>
      <c r="E2617" s="318">
        <v>0.94218750000000007</v>
      </c>
      <c r="F2617" s="247" t="s">
        <v>976</v>
      </c>
      <c r="G2617" s="247"/>
      <c r="H2617" s="248" t="s">
        <v>404</v>
      </c>
      <c r="I2617" s="248" t="s">
        <v>404</v>
      </c>
      <c r="J2617" s="247" t="s">
        <v>809</v>
      </c>
      <c r="K2617" s="249">
        <v>0</v>
      </c>
      <c r="M2617" s="90">
        <v>0</v>
      </c>
      <c r="N2617" s="90">
        <v>0</v>
      </c>
      <c r="O2617" s="90">
        <v>255</v>
      </c>
    </row>
    <row r="2618" spans="1:15" s="90" customFormat="1" ht="12.75" customHeight="1" x14ac:dyDescent="0.2">
      <c r="A2618" s="247" t="s">
        <v>993</v>
      </c>
      <c r="B2618" s="316">
        <v>3217</v>
      </c>
      <c r="C2618" s="247" t="s">
        <v>975</v>
      </c>
      <c r="D2618" s="317">
        <v>42671</v>
      </c>
      <c r="E2618" s="318">
        <v>0.94218750000000007</v>
      </c>
      <c r="F2618" s="247" t="s">
        <v>235</v>
      </c>
      <c r="G2618" s="247"/>
      <c r="H2618" s="248" t="s">
        <v>234</v>
      </c>
      <c r="I2618" s="248" t="s">
        <v>235</v>
      </c>
      <c r="J2618" s="247" t="s">
        <v>809</v>
      </c>
      <c r="K2618" s="249">
        <v>0</v>
      </c>
      <c r="M2618" s="90">
        <v>0</v>
      </c>
      <c r="N2618" s="90">
        <v>0</v>
      </c>
      <c r="O2618" s="90">
        <v>255</v>
      </c>
    </row>
    <row r="2619" spans="1:15" s="90" customFormat="1" ht="12.75" customHeight="1" x14ac:dyDescent="0.2">
      <c r="A2619" s="247" t="s">
        <v>989</v>
      </c>
      <c r="B2619" s="316">
        <v>3046</v>
      </c>
      <c r="C2619" s="247" t="s">
        <v>975</v>
      </c>
      <c r="D2619" s="317">
        <v>42671</v>
      </c>
      <c r="E2619" s="318">
        <v>0.9838541666666667</v>
      </c>
      <c r="F2619" s="247" t="s">
        <v>976</v>
      </c>
      <c r="G2619" s="247"/>
      <c r="H2619" s="248" t="s">
        <v>404</v>
      </c>
      <c r="I2619" s="248" t="s">
        <v>404</v>
      </c>
      <c r="J2619" s="247" t="s">
        <v>809</v>
      </c>
      <c r="K2619" s="249">
        <v>0</v>
      </c>
      <c r="M2619" s="90">
        <v>0</v>
      </c>
      <c r="N2619" s="90">
        <v>0</v>
      </c>
      <c r="O2619" s="90">
        <v>255</v>
      </c>
    </row>
    <row r="2620" spans="1:15" s="90" customFormat="1" ht="12.75" customHeight="1" x14ac:dyDescent="0.2">
      <c r="A2620" s="247" t="s">
        <v>990</v>
      </c>
      <c r="B2620" s="316">
        <v>3046</v>
      </c>
      <c r="C2620" s="247" t="s">
        <v>975</v>
      </c>
      <c r="D2620" s="317">
        <v>42671</v>
      </c>
      <c r="E2620" s="318">
        <v>0.98410879629629633</v>
      </c>
      <c r="F2620" s="247" t="s">
        <v>976</v>
      </c>
      <c r="G2620" s="247"/>
      <c r="H2620" s="248" t="s">
        <v>404</v>
      </c>
      <c r="I2620" s="248" t="s">
        <v>404</v>
      </c>
      <c r="J2620" s="247" t="s">
        <v>809</v>
      </c>
      <c r="K2620" s="249">
        <v>0</v>
      </c>
      <c r="M2620" s="90">
        <v>0</v>
      </c>
      <c r="N2620" s="90">
        <v>0</v>
      </c>
      <c r="O2620" s="90">
        <v>255</v>
      </c>
    </row>
    <row r="2621" spans="1:15" s="90" customFormat="1" ht="12.75" customHeight="1" x14ac:dyDescent="0.2">
      <c r="A2621" s="247" t="s">
        <v>993</v>
      </c>
      <c r="B2621" s="316">
        <v>3217</v>
      </c>
      <c r="C2621" s="247" t="s">
        <v>975</v>
      </c>
      <c r="D2621" s="317">
        <v>42671</v>
      </c>
      <c r="E2621" s="318">
        <v>0.98410879629629633</v>
      </c>
      <c r="F2621" s="247" t="s">
        <v>235</v>
      </c>
      <c r="G2621" s="247"/>
      <c r="H2621" s="248" t="s">
        <v>234</v>
      </c>
      <c r="I2621" s="248" t="s">
        <v>235</v>
      </c>
      <c r="J2621" s="247" t="s">
        <v>809</v>
      </c>
      <c r="K2621" s="249">
        <v>0</v>
      </c>
      <c r="M2621" s="90">
        <v>0</v>
      </c>
      <c r="N2621" s="90">
        <v>0</v>
      </c>
      <c r="O2621" s="90">
        <v>255</v>
      </c>
    </row>
    <row r="2622" spans="1:15" s="90" customFormat="1" ht="12.75" customHeight="1" x14ac:dyDescent="0.2">
      <c r="A2622" s="247" t="s">
        <v>989</v>
      </c>
      <c r="B2622" s="316">
        <v>3046</v>
      </c>
      <c r="C2622" s="247" t="s">
        <v>975</v>
      </c>
      <c r="D2622" s="317">
        <v>42672</v>
      </c>
      <c r="E2622" s="318">
        <v>2.5775462962962962E-2</v>
      </c>
      <c r="F2622" s="247" t="s">
        <v>976</v>
      </c>
      <c r="G2622" s="247"/>
      <c r="H2622" s="248" t="s">
        <v>404</v>
      </c>
      <c r="I2622" s="248" t="s">
        <v>404</v>
      </c>
      <c r="J2622" s="247" t="s">
        <v>809</v>
      </c>
      <c r="K2622" s="249">
        <v>0</v>
      </c>
      <c r="M2622" s="90">
        <v>0</v>
      </c>
      <c r="N2622" s="90">
        <v>0</v>
      </c>
      <c r="O2622" s="90">
        <v>255</v>
      </c>
    </row>
    <row r="2623" spans="1:15" s="90" customFormat="1" ht="12.75" customHeight="1" x14ac:dyDescent="0.2">
      <c r="A2623" s="247" t="s">
        <v>990</v>
      </c>
      <c r="B2623" s="316">
        <v>3046</v>
      </c>
      <c r="C2623" s="247" t="s">
        <v>975</v>
      </c>
      <c r="D2623" s="317">
        <v>42672</v>
      </c>
      <c r="E2623" s="318">
        <v>2.6030092592592594E-2</v>
      </c>
      <c r="F2623" s="247" t="s">
        <v>976</v>
      </c>
      <c r="G2623" s="247"/>
      <c r="H2623" s="248" t="s">
        <v>404</v>
      </c>
      <c r="I2623" s="248" t="s">
        <v>404</v>
      </c>
      <c r="J2623" s="247" t="s">
        <v>809</v>
      </c>
      <c r="K2623" s="249">
        <v>0</v>
      </c>
      <c r="M2623" s="90">
        <v>0</v>
      </c>
      <c r="N2623" s="90">
        <v>0</v>
      </c>
      <c r="O2623" s="90">
        <v>255</v>
      </c>
    </row>
    <row r="2624" spans="1:15" s="90" customFormat="1" ht="12.75" customHeight="1" x14ac:dyDescent="0.2">
      <c r="A2624" s="247" t="s">
        <v>993</v>
      </c>
      <c r="B2624" s="316">
        <v>3217</v>
      </c>
      <c r="C2624" s="247" t="s">
        <v>975</v>
      </c>
      <c r="D2624" s="317">
        <v>42672</v>
      </c>
      <c r="E2624" s="318">
        <v>2.6030092592592594E-2</v>
      </c>
      <c r="F2624" s="247" t="s">
        <v>235</v>
      </c>
      <c r="G2624" s="247"/>
      <c r="H2624" s="248" t="s">
        <v>234</v>
      </c>
      <c r="I2624" s="248" t="s">
        <v>235</v>
      </c>
      <c r="J2624" s="247" t="s">
        <v>809</v>
      </c>
      <c r="K2624" s="249">
        <v>0</v>
      </c>
      <c r="M2624" s="90">
        <v>0</v>
      </c>
      <c r="N2624" s="90">
        <v>0</v>
      </c>
      <c r="O2624" s="90">
        <v>255</v>
      </c>
    </row>
    <row r="2625" spans="1:15" s="90" customFormat="1" ht="12.75" customHeight="1" x14ac:dyDescent="0.2">
      <c r="A2625" s="247" t="s">
        <v>989</v>
      </c>
      <c r="B2625" s="316">
        <v>3046</v>
      </c>
      <c r="C2625" s="247" t="s">
        <v>975</v>
      </c>
      <c r="D2625" s="317">
        <v>42672</v>
      </c>
      <c r="E2625" s="318">
        <v>6.7696759259259262E-2</v>
      </c>
      <c r="F2625" s="247" t="s">
        <v>976</v>
      </c>
      <c r="G2625" s="247"/>
      <c r="H2625" s="248" t="s">
        <v>404</v>
      </c>
      <c r="I2625" s="248" t="s">
        <v>404</v>
      </c>
      <c r="J2625" s="247" t="s">
        <v>809</v>
      </c>
      <c r="K2625" s="249">
        <v>0</v>
      </c>
      <c r="M2625" s="90">
        <v>0</v>
      </c>
      <c r="N2625" s="90">
        <v>0</v>
      </c>
      <c r="O2625" s="90">
        <v>255</v>
      </c>
    </row>
    <row r="2626" spans="1:15" s="90" customFormat="1" ht="12.75" customHeight="1" x14ac:dyDescent="0.2">
      <c r="A2626" s="247" t="s">
        <v>990</v>
      </c>
      <c r="B2626" s="316">
        <v>3046</v>
      </c>
      <c r="C2626" s="247" t="s">
        <v>975</v>
      </c>
      <c r="D2626" s="317">
        <v>42672</v>
      </c>
      <c r="E2626" s="318">
        <v>6.7951388888888895E-2</v>
      </c>
      <c r="F2626" s="247" t="s">
        <v>976</v>
      </c>
      <c r="G2626" s="247"/>
      <c r="H2626" s="248" t="s">
        <v>404</v>
      </c>
      <c r="I2626" s="248" t="s">
        <v>404</v>
      </c>
      <c r="J2626" s="247" t="s">
        <v>809</v>
      </c>
      <c r="K2626" s="249">
        <v>0</v>
      </c>
      <c r="M2626" s="90">
        <v>0</v>
      </c>
      <c r="N2626" s="90">
        <v>0</v>
      </c>
      <c r="O2626" s="90">
        <v>255</v>
      </c>
    </row>
    <row r="2627" spans="1:15" s="90" customFormat="1" ht="12.75" customHeight="1" x14ac:dyDescent="0.2">
      <c r="A2627" s="247" t="s">
        <v>993</v>
      </c>
      <c r="B2627" s="316">
        <v>3217</v>
      </c>
      <c r="C2627" s="247" t="s">
        <v>975</v>
      </c>
      <c r="D2627" s="317">
        <v>42672</v>
      </c>
      <c r="E2627" s="318">
        <v>6.7951388888888895E-2</v>
      </c>
      <c r="F2627" s="247" t="s">
        <v>235</v>
      </c>
      <c r="G2627" s="247"/>
      <c r="H2627" s="248" t="s">
        <v>234</v>
      </c>
      <c r="I2627" s="248" t="s">
        <v>235</v>
      </c>
      <c r="J2627" s="247" t="s">
        <v>809</v>
      </c>
      <c r="K2627" s="249">
        <v>0</v>
      </c>
      <c r="M2627" s="90">
        <v>0</v>
      </c>
      <c r="N2627" s="90">
        <v>0</v>
      </c>
      <c r="O2627" s="90">
        <v>255</v>
      </c>
    </row>
    <row r="2628" spans="1:15" s="90" customFormat="1" ht="12.75" customHeight="1" x14ac:dyDescent="0.2">
      <c r="A2628" s="247" t="s">
        <v>989</v>
      </c>
      <c r="B2628" s="316">
        <v>3046</v>
      </c>
      <c r="C2628" s="247" t="s">
        <v>975</v>
      </c>
      <c r="D2628" s="317">
        <v>42672</v>
      </c>
      <c r="E2628" s="318">
        <v>0.10961805555555555</v>
      </c>
      <c r="F2628" s="247" t="s">
        <v>976</v>
      </c>
      <c r="G2628" s="247"/>
      <c r="H2628" s="248" t="s">
        <v>404</v>
      </c>
      <c r="I2628" s="248" t="s">
        <v>404</v>
      </c>
      <c r="J2628" s="247" t="s">
        <v>809</v>
      </c>
      <c r="K2628" s="249">
        <v>0</v>
      </c>
      <c r="M2628" s="90">
        <v>0</v>
      </c>
      <c r="N2628" s="90">
        <v>0</v>
      </c>
      <c r="O2628" s="90">
        <v>255</v>
      </c>
    </row>
    <row r="2629" spans="1:15" s="90" customFormat="1" ht="12.75" customHeight="1" x14ac:dyDescent="0.2">
      <c r="A2629" s="247" t="s">
        <v>990</v>
      </c>
      <c r="B2629" s="316">
        <v>3046</v>
      </c>
      <c r="C2629" s="247" t="s">
        <v>975</v>
      </c>
      <c r="D2629" s="317">
        <v>42672</v>
      </c>
      <c r="E2629" s="318">
        <v>0.10987268518518518</v>
      </c>
      <c r="F2629" s="247" t="s">
        <v>976</v>
      </c>
      <c r="G2629" s="247"/>
      <c r="H2629" s="248" t="s">
        <v>404</v>
      </c>
      <c r="I2629" s="248" t="s">
        <v>404</v>
      </c>
      <c r="J2629" s="247" t="s">
        <v>809</v>
      </c>
      <c r="K2629" s="249">
        <v>0</v>
      </c>
      <c r="M2629" s="90">
        <v>0</v>
      </c>
      <c r="N2629" s="90">
        <v>0</v>
      </c>
      <c r="O2629" s="90">
        <v>255</v>
      </c>
    </row>
    <row r="2630" spans="1:15" s="90" customFormat="1" ht="12.75" customHeight="1" x14ac:dyDescent="0.2">
      <c r="A2630" s="247" t="s">
        <v>993</v>
      </c>
      <c r="B2630" s="316">
        <v>3217</v>
      </c>
      <c r="C2630" s="247" t="s">
        <v>975</v>
      </c>
      <c r="D2630" s="317">
        <v>42672</v>
      </c>
      <c r="E2630" s="318">
        <v>0.10987268518518518</v>
      </c>
      <c r="F2630" s="247" t="s">
        <v>235</v>
      </c>
      <c r="G2630" s="247"/>
      <c r="H2630" s="248" t="s">
        <v>234</v>
      </c>
      <c r="I2630" s="248" t="s">
        <v>235</v>
      </c>
      <c r="J2630" s="247" t="s">
        <v>809</v>
      </c>
      <c r="K2630" s="249">
        <v>0</v>
      </c>
      <c r="M2630" s="90">
        <v>0</v>
      </c>
      <c r="N2630" s="90">
        <v>0</v>
      </c>
      <c r="O2630" s="90">
        <v>255</v>
      </c>
    </row>
    <row r="2631" spans="1:15" s="90" customFormat="1" ht="12.75" customHeight="1" x14ac:dyDescent="0.2">
      <c r="A2631" s="247" t="s">
        <v>989</v>
      </c>
      <c r="B2631" s="316">
        <v>3046</v>
      </c>
      <c r="C2631" s="247" t="s">
        <v>975</v>
      </c>
      <c r="D2631" s="317">
        <v>42672</v>
      </c>
      <c r="E2631" s="318">
        <v>0.15153935185185186</v>
      </c>
      <c r="F2631" s="247" t="s">
        <v>976</v>
      </c>
      <c r="G2631" s="247"/>
      <c r="H2631" s="248" t="s">
        <v>404</v>
      </c>
      <c r="I2631" s="248" t="s">
        <v>404</v>
      </c>
      <c r="J2631" s="247" t="s">
        <v>809</v>
      </c>
      <c r="K2631" s="249">
        <v>0</v>
      </c>
      <c r="M2631" s="90">
        <v>0</v>
      </c>
      <c r="N2631" s="90">
        <v>0</v>
      </c>
      <c r="O2631" s="90">
        <v>255</v>
      </c>
    </row>
    <row r="2632" spans="1:15" s="90" customFormat="1" ht="12.75" customHeight="1" x14ac:dyDescent="0.2">
      <c r="A2632" s="247" t="s">
        <v>990</v>
      </c>
      <c r="B2632" s="316">
        <v>3046</v>
      </c>
      <c r="C2632" s="247" t="s">
        <v>975</v>
      </c>
      <c r="D2632" s="317">
        <v>42672</v>
      </c>
      <c r="E2632" s="318">
        <v>0.15179398148148149</v>
      </c>
      <c r="F2632" s="247" t="s">
        <v>976</v>
      </c>
      <c r="G2632" s="247"/>
      <c r="H2632" s="248" t="s">
        <v>404</v>
      </c>
      <c r="I2632" s="248" t="s">
        <v>404</v>
      </c>
      <c r="J2632" s="247" t="s">
        <v>809</v>
      </c>
      <c r="K2632" s="249">
        <v>0</v>
      </c>
      <c r="M2632" s="90">
        <v>0</v>
      </c>
      <c r="N2632" s="90">
        <v>0</v>
      </c>
      <c r="O2632" s="90">
        <v>255</v>
      </c>
    </row>
    <row r="2633" spans="1:15" s="90" customFormat="1" ht="12.75" customHeight="1" x14ac:dyDescent="0.2">
      <c r="A2633" s="247" t="s">
        <v>993</v>
      </c>
      <c r="B2633" s="316">
        <v>3217</v>
      </c>
      <c r="C2633" s="247" t="s">
        <v>975</v>
      </c>
      <c r="D2633" s="317">
        <v>42672</v>
      </c>
      <c r="E2633" s="318">
        <v>0.15179398148148149</v>
      </c>
      <c r="F2633" s="247" t="s">
        <v>235</v>
      </c>
      <c r="G2633" s="247"/>
      <c r="H2633" s="248" t="s">
        <v>234</v>
      </c>
      <c r="I2633" s="248" t="s">
        <v>235</v>
      </c>
      <c r="J2633" s="247" t="s">
        <v>809</v>
      </c>
      <c r="K2633" s="249">
        <v>0</v>
      </c>
      <c r="M2633" s="90">
        <v>0</v>
      </c>
      <c r="N2633" s="90">
        <v>0</v>
      </c>
      <c r="O2633" s="90">
        <v>255</v>
      </c>
    </row>
    <row r="2634" spans="1:15" s="90" customFormat="1" ht="12.75" customHeight="1" x14ac:dyDescent="0.2">
      <c r="A2634" s="247" t="s">
        <v>989</v>
      </c>
      <c r="B2634" s="316">
        <v>3046</v>
      </c>
      <c r="C2634" s="247" t="s">
        <v>975</v>
      </c>
      <c r="D2634" s="317">
        <v>42672</v>
      </c>
      <c r="E2634" s="318">
        <v>0.19346064814814815</v>
      </c>
      <c r="F2634" s="247" t="s">
        <v>976</v>
      </c>
      <c r="G2634" s="247"/>
      <c r="H2634" s="248" t="s">
        <v>404</v>
      </c>
      <c r="I2634" s="248" t="s">
        <v>404</v>
      </c>
      <c r="J2634" s="247" t="s">
        <v>809</v>
      </c>
      <c r="K2634" s="249">
        <v>0</v>
      </c>
      <c r="M2634" s="90">
        <v>0</v>
      </c>
      <c r="N2634" s="90">
        <v>0</v>
      </c>
      <c r="O2634" s="90">
        <v>255</v>
      </c>
    </row>
    <row r="2635" spans="1:15" s="90" customFormat="1" ht="12.75" customHeight="1" x14ac:dyDescent="0.2">
      <c r="A2635" s="247" t="s">
        <v>990</v>
      </c>
      <c r="B2635" s="316">
        <v>3046</v>
      </c>
      <c r="C2635" s="247" t="s">
        <v>975</v>
      </c>
      <c r="D2635" s="317">
        <v>42672</v>
      </c>
      <c r="E2635" s="318">
        <v>0.19371527777777778</v>
      </c>
      <c r="F2635" s="247" t="s">
        <v>976</v>
      </c>
      <c r="G2635" s="247"/>
      <c r="H2635" s="248" t="s">
        <v>404</v>
      </c>
      <c r="I2635" s="248" t="s">
        <v>404</v>
      </c>
      <c r="J2635" s="247" t="s">
        <v>809</v>
      </c>
      <c r="K2635" s="249">
        <v>0</v>
      </c>
      <c r="M2635" s="90">
        <v>0</v>
      </c>
      <c r="N2635" s="90">
        <v>0</v>
      </c>
      <c r="O2635" s="90">
        <v>255</v>
      </c>
    </row>
    <row r="2636" spans="1:15" s="90" customFormat="1" ht="12.75" customHeight="1" x14ac:dyDescent="0.2">
      <c r="A2636" s="247" t="s">
        <v>993</v>
      </c>
      <c r="B2636" s="316">
        <v>3217</v>
      </c>
      <c r="C2636" s="247" t="s">
        <v>975</v>
      </c>
      <c r="D2636" s="317">
        <v>42672</v>
      </c>
      <c r="E2636" s="318">
        <v>0.19371527777777778</v>
      </c>
      <c r="F2636" s="247" t="s">
        <v>235</v>
      </c>
      <c r="G2636" s="247"/>
      <c r="H2636" s="248" t="s">
        <v>234</v>
      </c>
      <c r="I2636" s="248" t="s">
        <v>235</v>
      </c>
      <c r="J2636" s="247" t="s">
        <v>809</v>
      </c>
      <c r="K2636" s="249">
        <v>0</v>
      </c>
      <c r="M2636" s="90">
        <v>0</v>
      </c>
      <c r="N2636" s="90">
        <v>0</v>
      </c>
      <c r="O2636" s="90">
        <v>255</v>
      </c>
    </row>
    <row r="2637" spans="1:15" s="90" customFormat="1" ht="12.75" customHeight="1" x14ac:dyDescent="0.2">
      <c r="A2637" s="247" t="s">
        <v>989</v>
      </c>
      <c r="B2637" s="316">
        <v>3046</v>
      </c>
      <c r="C2637" s="247" t="s">
        <v>975</v>
      </c>
      <c r="D2637" s="317">
        <v>42672</v>
      </c>
      <c r="E2637" s="318">
        <v>0.23538194444444446</v>
      </c>
      <c r="F2637" s="247" t="s">
        <v>976</v>
      </c>
      <c r="G2637" s="247"/>
      <c r="H2637" s="248" t="s">
        <v>404</v>
      </c>
      <c r="I2637" s="248" t="s">
        <v>404</v>
      </c>
      <c r="J2637" s="247" t="s">
        <v>809</v>
      </c>
      <c r="K2637" s="249">
        <v>0</v>
      </c>
      <c r="M2637" s="90">
        <v>0</v>
      </c>
      <c r="N2637" s="90">
        <v>0</v>
      </c>
      <c r="O2637" s="90">
        <v>255</v>
      </c>
    </row>
    <row r="2638" spans="1:15" s="90" customFormat="1" ht="12.75" customHeight="1" x14ac:dyDescent="0.2">
      <c r="A2638" s="247" t="s">
        <v>990</v>
      </c>
      <c r="B2638" s="316">
        <v>3046</v>
      </c>
      <c r="C2638" s="247" t="s">
        <v>975</v>
      </c>
      <c r="D2638" s="317">
        <v>42672</v>
      </c>
      <c r="E2638" s="318">
        <v>0.2356365740740741</v>
      </c>
      <c r="F2638" s="247" t="s">
        <v>976</v>
      </c>
      <c r="G2638" s="247"/>
      <c r="H2638" s="248" t="s">
        <v>404</v>
      </c>
      <c r="I2638" s="248" t="s">
        <v>404</v>
      </c>
      <c r="J2638" s="247" t="s">
        <v>809</v>
      </c>
      <c r="K2638" s="249">
        <v>0</v>
      </c>
      <c r="M2638" s="90">
        <v>0</v>
      </c>
      <c r="N2638" s="90">
        <v>0</v>
      </c>
      <c r="O2638" s="90">
        <v>255</v>
      </c>
    </row>
    <row r="2639" spans="1:15" s="90" customFormat="1" ht="12.75" customHeight="1" x14ac:dyDescent="0.2">
      <c r="A2639" s="247" t="s">
        <v>993</v>
      </c>
      <c r="B2639" s="316">
        <v>3217</v>
      </c>
      <c r="C2639" s="247" t="s">
        <v>975</v>
      </c>
      <c r="D2639" s="317">
        <v>42672</v>
      </c>
      <c r="E2639" s="318">
        <v>0.2356365740740741</v>
      </c>
      <c r="F2639" s="247" t="s">
        <v>235</v>
      </c>
      <c r="G2639" s="247"/>
      <c r="H2639" s="248" t="s">
        <v>234</v>
      </c>
      <c r="I2639" s="248" t="s">
        <v>235</v>
      </c>
      <c r="J2639" s="247" t="s">
        <v>809</v>
      </c>
      <c r="K2639" s="249">
        <v>0</v>
      </c>
      <c r="M2639" s="90">
        <v>0</v>
      </c>
      <c r="N2639" s="90">
        <v>0</v>
      </c>
      <c r="O2639" s="90">
        <v>255</v>
      </c>
    </row>
    <row r="2640" spans="1:15" s="90" customFormat="1" ht="12.75" customHeight="1" x14ac:dyDescent="0.2">
      <c r="A2640" s="247" t="s">
        <v>989</v>
      </c>
      <c r="B2640" s="316">
        <v>3046</v>
      </c>
      <c r="C2640" s="247" t="s">
        <v>975</v>
      </c>
      <c r="D2640" s="317">
        <v>42672</v>
      </c>
      <c r="E2640" s="318">
        <v>0.27730324074074075</v>
      </c>
      <c r="F2640" s="247" t="s">
        <v>976</v>
      </c>
      <c r="G2640" s="247"/>
      <c r="H2640" s="248" t="s">
        <v>404</v>
      </c>
      <c r="I2640" s="248" t="s">
        <v>404</v>
      </c>
      <c r="J2640" s="247" t="s">
        <v>809</v>
      </c>
      <c r="K2640" s="249">
        <v>0</v>
      </c>
      <c r="M2640" s="90">
        <v>0</v>
      </c>
      <c r="N2640" s="90">
        <v>0</v>
      </c>
      <c r="O2640" s="90">
        <v>255</v>
      </c>
    </row>
    <row r="2641" spans="1:15" s="90" customFormat="1" ht="12.75" customHeight="1" x14ac:dyDescent="0.2">
      <c r="A2641" s="247" t="s">
        <v>990</v>
      </c>
      <c r="B2641" s="316">
        <v>3046</v>
      </c>
      <c r="C2641" s="247" t="s">
        <v>975</v>
      </c>
      <c r="D2641" s="317">
        <v>42672</v>
      </c>
      <c r="E2641" s="318">
        <v>0.27755787037037033</v>
      </c>
      <c r="F2641" s="247" t="s">
        <v>976</v>
      </c>
      <c r="G2641" s="247"/>
      <c r="H2641" s="248" t="s">
        <v>404</v>
      </c>
      <c r="I2641" s="248" t="s">
        <v>404</v>
      </c>
      <c r="J2641" s="247" t="s">
        <v>809</v>
      </c>
      <c r="K2641" s="249">
        <v>0</v>
      </c>
      <c r="M2641" s="90">
        <v>0</v>
      </c>
      <c r="N2641" s="90">
        <v>0</v>
      </c>
      <c r="O2641" s="90">
        <v>255</v>
      </c>
    </row>
    <row r="2642" spans="1:15" s="90" customFormat="1" ht="12.75" customHeight="1" x14ac:dyDescent="0.2">
      <c r="A2642" s="247" t="s">
        <v>993</v>
      </c>
      <c r="B2642" s="316">
        <v>3217</v>
      </c>
      <c r="C2642" s="247" t="s">
        <v>975</v>
      </c>
      <c r="D2642" s="317">
        <v>42672</v>
      </c>
      <c r="E2642" s="318">
        <v>0.27755787037037033</v>
      </c>
      <c r="F2642" s="247" t="s">
        <v>235</v>
      </c>
      <c r="G2642" s="247"/>
      <c r="H2642" s="248" t="s">
        <v>234</v>
      </c>
      <c r="I2642" s="248" t="s">
        <v>235</v>
      </c>
      <c r="J2642" s="247" t="s">
        <v>809</v>
      </c>
      <c r="K2642" s="249">
        <v>0</v>
      </c>
      <c r="M2642" s="90">
        <v>0</v>
      </c>
      <c r="N2642" s="90">
        <v>0</v>
      </c>
      <c r="O2642" s="90">
        <v>255</v>
      </c>
    </row>
    <row r="2643" spans="1:15" s="90" customFormat="1" ht="12.75" customHeight="1" x14ac:dyDescent="0.2">
      <c r="A2643" s="247" t="s">
        <v>989</v>
      </c>
      <c r="B2643" s="316">
        <v>3046</v>
      </c>
      <c r="C2643" s="247" t="s">
        <v>975</v>
      </c>
      <c r="D2643" s="317">
        <v>42672</v>
      </c>
      <c r="E2643" s="318">
        <v>0.31922453703703701</v>
      </c>
      <c r="F2643" s="247" t="s">
        <v>976</v>
      </c>
      <c r="G2643" s="247"/>
      <c r="H2643" s="248" t="s">
        <v>404</v>
      </c>
      <c r="I2643" s="248" t="s">
        <v>404</v>
      </c>
      <c r="J2643" s="247" t="s">
        <v>809</v>
      </c>
      <c r="K2643" s="249">
        <v>0</v>
      </c>
      <c r="M2643" s="90">
        <v>0</v>
      </c>
      <c r="N2643" s="90">
        <v>0</v>
      </c>
      <c r="O2643" s="90">
        <v>255</v>
      </c>
    </row>
    <row r="2644" spans="1:15" s="90" customFormat="1" ht="12.75" customHeight="1" x14ac:dyDescent="0.2">
      <c r="A2644" s="247" t="s">
        <v>990</v>
      </c>
      <c r="B2644" s="316">
        <v>3046</v>
      </c>
      <c r="C2644" s="247" t="s">
        <v>975</v>
      </c>
      <c r="D2644" s="317">
        <v>42672</v>
      </c>
      <c r="E2644" s="318">
        <v>0.3194791666666667</v>
      </c>
      <c r="F2644" s="247" t="s">
        <v>976</v>
      </c>
      <c r="G2644" s="247"/>
      <c r="H2644" s="248" t="s">
        <v>404</v>
      </c>
      <c r="I2644" s="248" t="s">
        <v>404</v>
      </c>
      <c r="J2644" s="247" t="s">
        <v>809</v>
      </c>
      <c r="K2644" s="249">
        <v>0</v>
      </c>
      <c r="M2644" s="90">
        <v>0</v>
      </c>
      <c r="N2644" s="90">
        <v>0</v>
      </c>
      <c r="O2644" s="90">
        <v>255</v>
      </c>
    </row>
    <row r="2645" spans="1:15" s="90" customFormat="1" ht="12.75" customHeight="1" x14ac:dyDescent="0.2">
      <c r="A2645" s="247" t="s">
        <v>993</v>
      </c>
      <c r="B2645" s="316">
        <v>3217</v>
      </c>
      <c r="C2645" s="247" t="s">
        <v>975</v>
      </c>
      <c r="D2645" s="317">
        <v>42672</v>
      </c>
      <c r="E2645" s="318">
        <v>0.3194791666666667</v>
      </c>
      <c r="F2645" s="247" t="s">
        <v>235</v>
      </c>
      <c r="G2645" s="247"/>
      <c r="H2645" s="248" t="s">
        <v>234</v>
      </c>
      <c r="I2645" s="248" t="s">
        <v>235</v>
      </c>
      <c r="J2645" s="247" t="s">
        <v>809</v>
      </c>
      <c r="K2645" s="249">
        <v>0</v>
      </c>
      <c r="M2645" s="90">
        <v>0</v>
      </c>
      <c r="N2645" s="90">
        <v>0</v>
      </c>
      <c r="O2645" s="90">
        <v>255</v>
      </c>
    </row>
    <row r="2646" spans="1:15" s="90" customFormat="1" ht="12.75" customHeight="1" x14ac:dyDescent="0.2">
      <c r="A2646" s="247" t="s">
        <v>989</v>
      </c>
      <c r="B2646" s="316">
        <v>3046</v>
      </c>
      <c r="C2646" s="247" t="s">
        <v>975</v>
      </c>
      <c r="D2646" s="317">
        <v>42672</v>
      </c>
      <c r="E2646" s="318">
        <v>0.36114583333333333</v>
      </c>
      <c r="F2646" s="247" t="s">
        <v>976</v>
      </c>
      <c r="G2646" s="247"/>
      <c r="H2646" s="248" t="s">
        <v>404</v>
      </c>
      <c r="I2646" s="248" t="s">
        <v>404</v>
      </c>
      <c r="J2646" s="247" t="s">
        <v>809</v>
      </c>
      <c r="K2646" s="249">
        <v>0</v>
      </c>
      <c r="M2646" s="90">
        <v>0</v>
      </c>
      <c r="N2646" s="90">
        <v>0</v>
      </c>
      <c r="O2646" s="90">
        <v>255</v>
      </c>
    </row>
    <row r="2647" spans="1:15" s="90" customFormat="1" ht="12.75" customHeight="1" x14ac:dyDescent="0.2">
      <c r="A2647" s="247" t="s">
        <v>993</v>
      </c>
      <c r="B2647" s="316">
        <v>3217</v>
      </c>
      <c r="C2647" s="247" t="s">
        <v>975</v>
      </c>
      <c r="D2647" s="317">
        <v>42672</v>
      </c>
      <c r="E2647" s="318">
        <v>0.36223379629629626</v>
      </c>
      <c r="F2647" s="247" t="s">
        <v>235</v>
      </c>
      <c r="G2647" s="247"/>
      <c r="H2647" s="248" t="s">
        <v>234</v>
      </c>
      <c r="I2647" s="248" t="s">
        <v>235</v>
      </c>
      <c r="J2647" s="247" t="s">
        <v>809</v>
      </c>
      <c r="K2647" s="249">
        <v>0</v>
      </c>
      <c r="M2647" s="90">
        <v>0</v>
      </c>
      <c r="N2647" s="90">
        <v>0</v>
      </c>
      <c r="O2647" s="90">
        <v>255</v>
      </c>
    </row>
    <row r="2648" spans="1:15" s="90" customFormat="1" ht="12.75" customHeight="1" x14ac:dyDescent="0.2">
      <c r="A2648" s="247" t="s">
        <v>990</v>
      </c>
      <c r="B2648" s="316">
        <v>3046</v>
      </c>
      <c r="C2648" s="247" t="s">
        <v>975</v>
      </c>
      <c r="D2648" s="317">
        <v>42672</v>
      </c>
      <c r="E2648" s="318">
        <v>0.36224537037037036</v>
      </c>
      <c r="F2648" s="247" t="s">
        <v>976</v>
      </c>
      <c r="G2648" s="247"/>
      <c r="H2648" s="248" t="s">
        <v>404</v>
      </c>
      <c r="I2648" s="248" t="s">
        <v>404</v>
      </c>
      <c r="J2648" s="247" t="s">
        <v>809</v>
      </c>
      <c r="K2648" s="249">
        <v>0</v>
      </c>
      <c r="M2648" s="90">
        <v>0</v>
      </c>
      <c r="N2648" s="90">
        <v>0</v>
      </c>
      <c r="O2648" s="90">
        <v>255</v>
      </c>
    </row>
    <row r="2649" spans="1:15" s="90" customFormat="1" ht="12.75" customHeight="1" x14ac:dyDescent="0.2">
      <c r="A2649" s="247" t="s">
        <v>989</v>
      </c>
      <c r="B2649" s="316">
        <v>3046</v>
      </c>
      <c r="C2649" s="247" t="s">
        <v>975</v>
      </c>
      <c r="D2649" s="317">
        <v>42672</v>
      </c>
      <c r="E2649" s="318">
        <v>0.40391203703703704</v>
      </c>
      <c r="F2649" s="247" t="s">
        <v>976</v>
      </c>
      <c r="G2649" s="247"/>
      <c r="H2649" s="248" t="s">
        <v>404</v>
      </c>
      <c r="I2649" s="248" t="s">
        <v>404</v>
      </c>
      <c r="J2649" s="247" t="s">
        <v>809</v>
      </c>
      <c r="K2649" s="249">
        <v>0</v>
      </c>
      <c r="M2649" s="90">
        <v>0</v>
      </c>
      <c r="N2649" s="90">
        <v>0</v>
      </c>
      <c r="O2649" s="90">
        <v>255</v>
      </c>
    </row>
    <row r="2650" spans="1:15" s="90" customFormat="1" ht="12.75" customHeight="1" x14ac:dyDescent="0.2">
      <c r="A2650" s="247" t="s">
        <v>993</v>
      </c>
      <c r="B2650" s="316">
        <v>3217</v>
      </c>
      <c r="C2650" s="247" t="s">
        <v>975</v>
      </c>
      <c r="D2650" s="317">
        <v>42672</v>
      </c>
      <c r="E2650" s="318">
        <v>0.40415509259259258</v>
      </c>
      <c r="F2650" s="247" t="s">
        <v>235</v>
      </c>
      <c r="G2650" s="247"/>
      <c r="H2650" s="248" t="s">
        <v>234</v>
      </c>
      <c r="I2650" s="248" t="s">
        <v>235</v>
      </c>
      <c r="J2650" s="247" t="s">
        <v>809</v>
      </c>
      <c r="K2650" s="249">
        <v>0</v>
      </c>
      <c r="M2650" s="90">
        <v>0</v>
      </c>
      <c r="N2650" s="90">
        <v>0</v>
      </c>
      <c r="O2650" s="90">
        <v>255</v>
      </c>
    </row>
    <row r="2651" spans="1:15" s="90" customFormat="1" ht="12.75" customHeight="1" x14ac:dyDescent="0.2">
      <c r="A2651" s="247" t="s">
        <v>990</v>
      </c>
      <c r="B2651" s="316">
        <v>3046</v>
      </c>
      <c r="C2651" s="247" t="s">
        <v>975</v>
      </c>
      <c r="D2651" s="317">
        <v>42672</v>
      </c>
      <c r="E2651" s="318">
        <v>0.40416666666666662</v>
      </c>
      <c r="F2651" s="247" t="s">
        <v>976</v>
      </c>
      <c r="G2651" s="247"/>
      <c r="H2651" s="248" t="s">
        <v>404</v>
      </c>
      <c r="I2651" s="248" t="s">
        <v>404</v>
      </c>
      <c r="J2651" s="247" t="s">
        <v>809</v>
      </c>
      <c r="K2651" s="249">
        <v>0</v>
      </c>
      <c r="M2651" s="90">
        <v>0</v>
      </c>
      <c r="N2651" s="90">
        <v>0</v>
      </c>
      <c r="O2651" s="90">
        <v>255</v>
      </c>
    </row>
    <row r="2652" spans="1:15" s="90" customFormat="1" ht="12.75" customHeight="1" x14ac:dyDescent="0.2">
      <c r="A2652" s="247" t="s">
        <v>1079</v>
      </c>
      <c r="B2652" s="316">
        <v>3047</v>
      </c>
      <c r="C2652" s="247" t="s">
        <v>996</v>
      </c>
      <c r="D2652" s="317">
        <v>42672</v>
      </c>
      <c r="E2652" s="318">
        <v>0.41793981481481479</v>
      </c>
      <c r="F2652" s="247" t="s">
        <v>235</v>
      </c>
      <c r="G2652" s="247"/>
      <c r="H2652" s="248" t="s">
        <v>234</v>
      </c>
      <c r="I2652" s="248" t="s">
        <v>235</v>
      </c>
      <c r="J2652" s="247" t="s">
        <v>809</v>
      </c>
      <c r="K2652" s="249">
        <v>0</v>
      </c>
      <c r="M2652" s="90">
        <v>0</v>
      </c>
      <c r="N2652" s="90">
        <v>0</v>
      </c>
      <c r="O2652" s="90">
        <v>255</v>
      </c>
    </row>
    <row r="2653" spans="1:15" s="90" customFormat="1" ht="12.75" customHeight="1" x14ac:dyDescent="0.2">
      <c r="A2653" s="247" t="s">
        <v>1080</v>
      </c>
      <c r="B2653" s="316">
        <v>3047</v>
      </c>
      <c r="C2653" s="247" t="s">
        <v>996</v>
      </c>
      <c r="D2653" s="317">
        <v>42672</v>
      </c>
      <c r="E2653" s="318">
        <v>0.41793981481481479</v>
      </c>
      <c r="F2653" s="247" t="s">
        <v>235</v>
      </c>
      <c r="G2653" s="247"/>
      <c r="H2653" s="248" t="s">
        <v>234</v>
      </c>
      <c r="I2653" s="248" t="s">
        <v>235</v>
      </c>
      <c r="J2653" s="247" t="s">
        <v>809</v>
      </c>
      <c r="K2653" s="249">
        <v>0</v>
      </c>
      <c r="M2653" s="90">
        <v>0</v>
      </c>
      <c r="N2653" s="90">
        <v>0</v>
      </c>
      <c r="O2653" s="90">
        <v>255</v>
      </c>
    </row>
    <row r="2654" spans="1:15" s="90" customFormat="1" ht="12.75" customHeight="1" x14ac:dyDescent="0.2">
      <c r="A2654" s="247" t="s">
        <v>1082</v>
      </c>
      <c r="B2654" s="316">
        <v>3047</v>
      </c>
      <c r="C2654" s="247" t="s">
        <v>996</v>
      </c>
      <c r="D2654" s="317">
        <v>42672</v>
      </c>
      <c r="E2654" s="318">
        <v>0.42320601851851852</v>
      </c>
      <c r="F2654" s="247" t="s">
        <v>235</v>
      </c>
      <c r="G2654" s="247"/>
      <c r="H2654" s="248" t="s">
        <v>234</v>
      </c>
      <c r="I2654" s="248" t="s">
        <v>235</v>
      </c>
      <c r="J2654" s="247" t="s">
        <v>809</v>
      </c>
      <c r="K2654" s="249">
        <v>0</v>
      </c>
      <c r="M2654" s="90">
        <v>0</v>
      </c>
      <c r="N2654" s="90">
        <v>0</v>
      </c>
      <c r="O2654" s="90">
        <v>255</v>
      </c>
    </row>
    <row r="2655" spans="1:15" s="90" customFormat="1" ht="12.75" customHeight="1" x14ac:dyDescent="0.2">
      <c r="A2655" s="247" t="s">
        <v>1081</v>
      </c>
      <c r="B2655" s="316">
        <v>3047</v>
      </c>
      <c r="C2655" s="247" t="s">
        <v>996</v>
      </c>
      <c r="D2655" s="317">
        <v>42672</v>
      </c>
      <c r="E2655" s="318">
        <v>0.42328703703703702</v>
      </c>
      <c r="F2655" s="247" t="s">
        <v>235</v>
      </c>
      <c r="G2655" s="247"/>
      <c r="H2655" s="248" t="s">
        <v>234</v>
      </c>
      <c r="I2655" s="248" t="s">
        <v>235</v>
      </c>
      <c r="J2655" s="247" t="s">
        <v>809</v>
      </c>
      <c r="K2655" s="249">
        <v>0</v>
      </c>
      <c r="M2655" s="90">
        <v>0</v>
      </c>
      <c r="N2655" s="90">
        <v>0</v>
      </c>
      <c r="O2655" s="90">
        <v>255</v>
      </c>
    </row>
    <row r="2656" spans="1:15" s="90" customFormat="1" ht="12.75" customHeight="1" x14ac:dyDescent="0.2">
      <c r="A2656" s="247" t="s">
        <v>989</v>
      </c>
      <c r="B2656" s="316">
        <v>3046</v>
      </c>
      <c r="C2656" s="247" t="s">
        <v>975</v>
      </c>
      <c r="D2656" s="317">
        <v>42672</v>
      </c>
      <c r="E2656" s="318">
        <v>0.4458333333333333</v>
      </c>
      <c r="F2656" s="247" t="s">
        <v>976</v>
      </c>
      <c r="G2656" s="247"/>
      <c r="H2656" s="248" t="s">
        <v>404</v>
      </c>
      <c r="I2656" s="248" t="s">
        <v>404</v>
      </c>
      <c r="J2656" s="247" t="s">
        <v>809</v>
      </c>
      <c r="K2656" s="249">
        <v>0</v>
      </c>
      <c r="M2656" s="90">
        <v>0</v>
      </c>
      <c r="N2656" s="90">
        <v>0</v>
      </c>
      <c r="O2656" s="90">
        <v>255</v>
      </c>
    </row>
    <row r="2657" spans="1:15" s="90" customFormat="1" ht="12.75" customHeight="1" x14ac:dyDescent="0.2">
      <c r="A2657" s="247" t="s">
        <v>990</v>
      </c>
      <c r="B2657" s="316">
        <v>3046</v>
      </c>
      <c r="C2657" s="247" t="s">
        <v>975</v>
      </c>
      <c r="D2657" s="317">
        <v>42672</v>
      </c>
      <c r="E2657" s="318">
        <v>0.44607638888888884</v>
      </c>
      <c r="F2657" s="247" t="s">
        <v>976</v>
      </c>
      <c r="G2657" s="247"/>
      <c r="H2657" s="248" t="s">
        <v>404</v>
      </c>
      <c r="I2657" s="248" t="s">
        <v>404</v>
      </c>
      <c r="J2657" s="247" t="s">
        <v>809</v>
      </c>
      <c r="K2657" s="249">
        <v>0</v>
      </c>
      <c r="M2657" s="90">
        <v>0</v>
      </c>
      <c r="N2657" s="90">
        <v>0</v>
      </c>
      <c r="O2657" s="90">
        <v>255</v>
      </c>
    </row>
    <row r="2658" spans="1:15" s="90" customFormat="1" ht="12.75" customHeight="1" x14ac:dyDescent="0.2">
      <c r="A2658" s="247" t="s">
        <v>993</v>
      </c>
      <c r="B2658" s="316">
        <v>3217</v>
      </c>
      <c r="C2658" s="247" t="s">
        <v>975</v>
      </c>
      <c r="D2658" s="317">
        <v>42672</v>
      </c>
      <c r="E2658" s="318">
        <v>0.44607638888888884</v>
      </c>
      <c r="F2658" s="247" t="s">
        <v>235</v>
      </c>
      <c r="G2658" s="247"/>
      <c r="H2658" s="248" t="s">
        <v>234</v>
      </c>
      <c r="I2658" s="248" t="s">
        <v>235</v>
      </c>
      <c r="J2658" s="247" t="s">
        <v>809</v>
      </c>
      <c r="K2658" s="249">
        <v>0</v>
      </c>
      <c r="M2658" s="90">
        <v>0</v>
      </c>
      <c r="N2658" s="90">
        <v>0</v>
      </c>
      <c r="O2658" s="90">
        <v>255</v>
      </c>
    </row>
    <row r="2659" spans="1:15" s="90" customFormat="1" ht="12.75" customHeight="1" x14ac:dyDescent="0.2">
      <c r="A2659" s="247" t="s">
        <v>1083</v>
      </c>
      <c r="B2659" s="316">
        <v>3089</v>
      </c>
      <c r="C2659" s="247" t="s">
        <v>996</v>
      </c>
      <c r="D2659" s="317">
        <v>42672</v>
      </c>
      <c r="E2659" s="318">
        <v>0.45960648148148148</v>
      </c>
      <c r="F2659" s="247" t="s">
        <v>235</v>
      </c>
      <c r="G2659" s="247"/>
      <c r="H2659" s="248" t="s">
        <v>234</v>
      </c>
      <c r="I2659" s="248" t="s">
        <v>235</v>
      </c>
      <c r="J2659" s="247" t="s">
        <v>809</v>
      </c>
      <c r="K2659" s="249">
        <v>0</v>
      </c>
      <c r="M2659" s="90">
        <v>0</v>
      </c>
      <c r="N2659" s="90">
        <v>0</v>
      </c>
      <c r="O2659" s="90">
        <v>255</v>
      </c>
    </row>
    <row r="2660" spans="1:15" s="90" customFormat="1" ht="12.75" customHeight="1" x14ac:dyDescent="0.2">
      <c r="A2660" s="247" t="s">
        <v>1084</v>
      </c>
      <c r="B2660" s="316">
        <v>3089</v>
      </c>
      <c r="C2660" s="247" t="s">
        <v>996</v>
      </c>
      <c r="D2660" s="317">
        <v>42672</v>
      </c>
      <c r="E2660" s="318">
        <v>0.45960648148148148</v>
      </c>
      <c r="F2660" s="247" t="s">
        <v>235</v>
      </c>
      <c r="G2660" s="247"/>
      <c r="H2660" s="248" t="s">
        <v>234</v>
      </c>
      <c r="I2660" s="248" t="s">
        <v>235</v>
      </c>
      <c r="J2660" s="247" t="s">
        <v>809</v>
      </c>
      <c r="K2660" s="249">
        <v>0</v>
      </c>
      <c r="M2660" s="90">
        <v>0</v>
      </c>
      <c r="N2660" s="90">
        <v>0</v>
      </c>
      <c r="O2660" s="90">
        <v>255</v>
      </c>
    </row>
    <row r="2661" spans="1:15" s="90" customFormat="1" ht="12.75" customHeight="1" x14ac:dyDescent="0.2">
      <c r="A2661" s="247" t="s">
        <v>1086</v>
      </c>
      <c r="B2661" s="316">
        <v>3089</v>
      </c>
      <c r="C2661" s="247" t="s">
        <v>996</v>
      </c>
      <c r="D2661" s="317">
        <v>42672</v>
      </c>
      <c r="E2661" s="318">
        <v>0.46487268518518521</v>
      </c>
      <c r="F2661" s="247" t="s">
        <v>235</v>
      </c>
      <c r="G2661" s="247"/>
      <c r="H2661" s="248" t="s">
        <v>234</v>
      </c>
      <c r="I2661" s="248" t="s">
        <v>235</v>
      </c>
      <c r="J2661" s="247" t="s">
        <v>809</v>
      </c>
      <c r="K2661" s="249">
        <v>0</v>
      </c>
      <c r="M2661" s="90">
        <v>0</v>
      </c>
      <c r="N2661" s="90">
        <v>0</v>
      </c>
      <c r="O2661" s="90">
        <v>255</v>
      </c>
    </row>
    <row r="2662" spans="1:15" s="90" customFormat="1" ht="12.75" customHeight="1" x14ac:dyDescent="0.2">
      <c r="A2662" s="247" t="s">
        <v>1085</v>
      </c>
      <c r="B2662" s="316">
        <v>3089</v>
      </c>
      <c r="C2662" s="247" t="s">
        <v>996</v>
      </c>
      <c r="D2662" s="317">
        <v>42672</v>
      </c>
      <c r="E2662" s="318">
        <v>0.4649537037037037</v>
      </c>
      <c r="F2662" s="247" t="s">
        <v>235</v>
      </c>
      <c r="G2662" s="247"/>
      <c r="H2662" s="248" t="s">
        <v>234</v>
      </c>
      <c r="I2662" s="248" t="s">
        <v>235</v>
      </c>
      <c r="J2662" s="247" t="s">
        <v>809</v>
      </c>
      <c r="K2662" s="249">
        <v>0</v>
      </c>
      <c r="M2662" s="90">
        <v>0</v>
      </c>
      <c r="N2662" s="90">
        <v>0</v>
      </c>
      <c r="O2662" s="90">
        <v>255</v>
      </c>
    </row>
    <row r="2663" spans="1:15" s="90" customFormat="1" ht="12.75" customHeight="1" x14ac:dyDescent="0.2">
      <c r="A2663" s="247" t="s">
        <v>989</v>
      </c>
      <c r="B2663" s="316">
        <v>3046</v>
      </c>
      <c r="C2663" s="247" t="s">
        <v>975</v>
      </c>
      <c r="D2663" s="317">
        <v>42672</v>
      </c>
      <c r="E2663" s="318">
        <v>0.48775462962962962</v>
      </c>
      <c r="F2663" s="247" t="s">
        <v>976</v>
      </c>
      <c r="G2663" s="247"/>
      <c r="H2663" s="248" t="s">
        <v>404</v>
      </c>
      <c r="I2663" s="248" t="s">
        <v>404</v>
      </c>
      <c r="J2663" s="247" t="s">
        <v>809</v>
      </c>
      <c r="K2663" s="249">
        <v>0</v>
      </c>
      <c r="M2663" s="90">
        <v>0</v>
      </c>
      <c r="N2663" s="90">
        <v>0</v>
      </c>
      <c r="O2663" s="90">
        <v>255</v>
      </c>
    </row>
    <row r="2664" spans="1:15" s="90" customFormat="1" ht="12.75" customHeight="1" x14ac:dyDescent="0.2">
      <c r="A2664" s="247" t="s">
        <v>990</v>
      </c>
      <c r="B2664" s="316">
        <v>3046</v>
      </c>
      <c r="C2664" s="247" t="s">
        <v>975</v>
      </c>
      <c r="D2664" s="317">
        <v>42672</v>
      </c>
      <c r="E2664" s="318">
        <v>0.48799768518518521</v>
      </c>
      <c r="F2664" s="247" t="s">
        <v>976</v>
      </c>
      <c r="G2664" s="247"/>
      <c r="H2664" s="248" t="s">
        <v>404</v>
      </c>
      <c r="I2664" s="248" t="s">
        <v>404</v>
      </c>
      <c r="J2664" s="247" t="s">
        <v>809</v>
      </c>
      <c r="K2664" s="249">
        <v>0</v>
      </c>
      <c r="M2664" s="90">
        <v>0</v>
      </c>
      <c r="N2664" s="90">
        <v>0</v>
      </c>
      <c r="O2664" s="90">
        <v>255</v>
      </c>
    </row>
    <row r="2665" spans="1:15" s="90" customFormat="1" ht="12.75" customHeight="1" x14ac:dyDescent="0.2">
      <c r="A2665" s="247" t="s">
        <v>993</v>
      </c>
      <c r="B2665" s="316">
        <v>3217</v>
      </c>
      <c r="C2665" s="247" t="s">
        <v>975</v>
      </c>
      <c r="D2665" s="317">
        <v>42672</v>
      </c>
      <c r="E2665" s="318">
        <v>0.48799768518518521</v>
      </c>
      <c r="F2665" s="247" t="s">
        <v>235</v>
      </c>
      <c r="G2665" s="247"/>
      <c r="H2665" s="248" t="s">
        <v>234</v>
      </c>
      <c r="I2665" s="248" t="s">
        <v>235</v>
      </c>
      <c r="J2665" s="247" t="s">
        <v>809</v>
      </c>
      <c r="K2665" s="249">
        <v>0</v>
      </c>
      <c r="M2665" s="90">
        <v>0</v>
      </c>
      <c r="N2665" s="90">
        <v>0</v>
      </c>
      <c r="O2665" s="90">
        <v>255</v>
      </c>
    </row>
    <row r="2666" spans="1:15" s="90" customFormat="1" ht="12.75" customHeight="1" x14ac:dyDescent="0.2">
      <c r="A2666" s="247" t="s">
        <v>989</v>
      </c>
      <c r="B2666" s="316">
        <v>3046</v>
      </c>
      <c r="C2666" s="247" t="s">
        <v>975</v>
      </c>
      <c r="D2666" s="317">
        <v>42672</v>
      </c>
      <c r="E2666" s="318">
        <v>0.5296643518518519</v>
      </c>
      <c r="F2666" s="247" t="s">
        <v>976</v>
      </c>
      <c r="G2666" s="247"/>
      <c r="H2666" s="248" t="s">
        <v>404</v>
      </c>
      <c r="I2666" s="248" t="s">
        <v>404</v>
      </c>
      <c r="J2666" s="247" t="s">
        <v>809</v>
      </c>
      <c r="K2666" s="249">
        <v>0</v>
      </c>
      <c r="M2666" s="90">
        <v>0</v>
      </c>
      <c r="N2666" s="90">
        <v>0</v>
      </c>
      <c r="O2666" s="90">
        <v>255</v>
      </c>
    </row>
    <row r="2667" spans="1:15" s="90" customFormat="1" ht="12.75" customHeight="1" x14ac:dyDescent="0.2">
      <c r="A2667" s="247" t="s">
        <v>990</v>
      </c>
      <c r="B2667" s="316">
        <v>3046</v>
      </c>
      <c r="C2667" s="247" t="s">
        <v>975</v>
      </c>
      <c r="D2667" s="317">
        <v>42672</v>
      </c>
      <c r="E2667" s="318">
        <v>0.52991898148148142</v>
      </c>
      <c r="F2667" s="247" t="s">
        <v>976</v>
      </c>
      <c r="G2667" s="247"/>
      <c r="H2667" s="248" t="s">
        <v>404</v>
      </c>
      <c r="I2667" s="248" t="s">
        <v>404</v>
      </c>
      <c r="J2667" s="247" t="s">
        <v>809</v>
      </c>
      <c r="K2667" s="249">
        <v>0</v>
      </c>
      <c r="M2667" s="90">
        <v>0</v>
      </c>
      <c r="N2667" s="90">
        <v>0</v>
      </c>
      <c r="O2667" s="90">
        <v>255</v>
      </c>
    </row>
    <row r="2668" spans="1:15" s="90" customFormat="1" ht="12.75" customHeight="1" x14ac:dyDescent="0.2">
      <c r="A2668" s="247" t="s">
        <v>993</v>
      </c>
      <c r="B2668" s="316">
        <v>3217</v>
      </c>
      <c r="C2668" s="247" t="s">
        <v>975</v>
      </c>
      <c r="D2668" s="317">
        <v>42672</v>
      </c>
      <c r="E2668" s="318">
        <v>0.52991898148148142</v>
      </c>
      <c r="F2668" s="247" t="s">
        <v>235</v>
      </c>
      <c r="G2668" s="247"/>
      <c r="H2668" s="248" t="s">
        <v>234</v>
      </c>
      <c r="I2668" s="248" t="s">
        <v>235</v>
      </c>
      <c r="J2668" s="247" t="s">
        <v>809</v>
      </c>
      <c r="K2668" s="249">
        <v>0</v>
      </c>
      <c r="M2668" s="90">
        <v>0</v>
      </c>
      <c r="N2668" s="90">
        <v>0</v>
      </c>
      <c r="O2668" s="90">
        <v>255</v>
      </c>
    </row>
    <row r="2669" spans="1:15" s="90" customFormat="1" ht="12.75" customHeight="1" x14ac:dyDescent="0.2">
      <c r="A2669" s="247" t="s">
        <v>989</v>
      </c>
      <c r="B2669" s="316">
        <v>3046</v>
      </c>
      <c r="C2669" s="247" t="s">
        <v>975</v>
      </c>
      <c r="D2669" s="317">
        <v>42672</v>
      </c>
      <c r="E2669" s="318">
        <v>0.57158564814814816</v>
      </c>
      <c r="F2669" s="247" t="s">
        <v>976</v>
      </c>
      <c r="G2669" s="247"/>
      <c r="H2669" s="248" t="s">
        <v>404</v>
      </c>
      <c r="I2669" s="248" t="s">
        <v>404</v>
      </c>
      <c r="J2669" s="247" t="s">
        <v>809</v>
      </c>
      <c r="K2669" s="249">
        <v>0</v>
      </c>
      <c r="M2669" s="90">
        <v>0</v>
      </c>
      <c r="N2669" s="90">
        <v>0</v>
      </c>
      <c r="O2669" s="90">
        <v>255</v>
      </c>
    </row>
    <row r="2670" spans="1:15" s="90" customFormat="1" ht="12.75" customHeight="1" x14ac:dyDescent="0.2">
      <c r="A2670" s="247" t="s">
        <v>990</v>
      </c>
      <c r="B2670" s="316">
        <v>3046</v>
      </c>
      <c r="C2670" s="247" t="s">
        <v>975</v>
      </c>
      <c r="D2670" s="317">
        <v>42672</v>
      </c>
      <c r="E2670" s="318">
        <v>0.57184027777777779</v>
      </c>
      <c r="F2670" s="247" t="s">
        <v>976</v>
      </c>
      <c r="G2670" s="247"/>
      <c r="H2670" s="248" t="s">
        <v>404</v>
      </c>
      <c r="I2670" s="248" t="s">
        <v>404</v>
      </c>
      <c r="J2670" s="247" t="s">
        <v>809</v>
      </c>
      <c r="K2670" s="249">
        <v>0</v>
      </c>
      <c r="M2670" s="90">
        <v>0</v>
      </c>
      <c r="N2670" s="90">
        <v>0</v>
      </c>
      <c r="O2670" s="90">
        <v>255</v>
      </c>
    </row>
    <row r="2671" spans="1:15" s="90" customFormat="1" ht="12.75" customHeight="1" x14ac:dyDescent="0.2">
      <c r="A2671" s="247" t="s">
        <v>993</v>
      </c>
      <c r="B2671" s="316">
        <v>3217</v>
      </c>
      <c r="C2671" s="247" t="s">
        <v>975</v>
      </c>
      <c r="D2671" s="317">
        <v>42672</v>
      </c>
      <c r="E2671" s="318">
        <v>0.57184027777777779</v>
      </c>
      <c r="F2671" s="247" t="s">
        <v>235</v>
      </c>
      <c r="G2671" s="247"/>
      <c r="H2671" s="248" t="s">
        <v>234</v>
      </c>
      <c r="I2671" s="248" t="s">
        <v>235</v>
      </c>
      <c r="J2671" s="247" t="s">
        <v>809</v>
      </c>
      <c r="K2671" s="249">
        <v>0</v>
      </c>
      <c r="M2671" s="90">
        <v>0</v>
      </c>
      <c r="N2671" s="90">
        <v>0</v>
      </c>
      <c r="O2671" s="90">
        <v>255</v>
      </c>
    </row>
    <row r="2672" spans="1:15" s="90" customFormat="1" ht="12.75" customHeight="1" x14ac:dyDescent="0.2">
      <c r="A2672" s="247" t="s">
        <v>989</v>
      </c>
      <c r="B2672" s="316">
        <v>3046</v>
      </c>
      <c r="C2672" s="247" t="s">
        <v>975</v>
      </c>
      <c r="D2672" s="317">
        <v>42672</v>
      </c>
      <c r="E2672" s="318">
        <v>0.61350694444444442</v>
      </c>
      <c r="F2672" s="247" t="s">
        <v>976</v>
      </c>
      <c r="G2672" s="247"/>
      <c r="H2672" s="248" t="s">
        <v>404</v>
      </c>
      <c r="I2672" s="248" t="s">
        <v>404</v>
      </c>
      <c r="J2672" s="247" t="s">
        <v>809</v>
      </c>
      <c r="K2672" s="249">
        <v>0</v>
      </c>
      <c r="M2672" s="90">
        <v>0</v>
      </c>
      <c r="N2672" s="90">
        <v>0</v>
      </c>
      <c r="O2672" s="90">
        <v>255</v>
      </c>
    </row>
    <row r="2673" spans="1:15" s="90" customFormat="1" ht="12.75" customHeight="1" x14ac:dyDescent="0.2">
      <c r="A2673" s="247" t="s">
        <v>990</v>
      </c>
      <c r="B2673" s="316">
        <v>3046</v>
      </c>
      <c r="C2673" s="247" t="s">
        <v>975</v>
      </c>
      <c r="D2673" s="317">
        <v>42672</v>
      </c>
      <c r="E2673" s="318">
        <v>0.61376157407407406</v>
      </c>
      <c r="F2673" s="247" t="s">
        <v>976</v>
      </c>
      <c r="G2673" s="247"/>
      <c r="H2673" s="248" t="s">
        <v>404</v>
      </c>
      <c r="I2673" s="248" t="s">
        <v>404</v>
      </c>
      <c r="J2673" s="247" t="s">
        <v>809</v>
      </c>
      <c r="K2673" s="249">
        <v>0</v>
      </c>
      <c r="M2673" s="90">
        <v>0</v>
      </c>
      <c r="N2673" s="90">
        <v>0</v>
      </c>
      <c r="O2673" s="90">
        <v>255</v>
      </c>
    </row>
    <row r="2674" spans="1:15" s="90" customFormat="1" ht="12.75" customHeight="1" x14ac:dyDescent="0.2">
      <c r="A2674" s="247" t="s">
        <v>993</v>
      </c>
      <c r="B2674" s="316">
        <v>3217</v>
      </c>
      <c r="C2674" s="247" t="s">
        <v>975</v>
      </c>
      <c r="D2674" s="317">
        <v>42672</v>
      </c>
      <c r="E2674" s="318">
        <v>0.61376157407407406</v>
      </c>
      <c r="F2674" s="247" t="s">
        <v>235</v>
      </c>
      <c r="G2674" s="247"/>
      <c r="H2674" s="248" t="s">
        <v>234</v>
      </c>
      <c r="I2674" s="248" t="s">
        <v>235</v>
      </c>
      <c r="J2674" s="247" t="s">
        <v>809</v>
      </c>
      <c r="K2674" s="249">
        <v>0</v>
      </c>
      <c r="M2674" s="90">
        <v>0</v>
      </c>
      <c r="N2674" s="90">
        <v>0</v>
      </c>
      <c r="O2674" s="90">
        <v>255</v>
      </c>
    </row>
    <row r="2675" spans="1:15" s="90" customFormat="1" ht="12.75" customHeight="1" x14ac:dyDescent="0.2">
      <c r="A2675" s="247" t="s">
        <v>989</v>
      </c>
      <c r="B2675" s="316">
        <v>3046</v>
      </c>
      <c r="C2675" s="247" t="s">
        <v>975</v>
      </c>
      <c r="D2675" s="317">
        <v>42672</v>
      </c>
      <c r="E2675" s="318">
        <v>0.65542824074074069</v>
      </c>
      <c r="F2675" s="247" t="s">
        <v>976</v>
      </c>
      <c r="G2675" s="247"/>
      <c r="H2675" s="248" t="s">
        <v>404</v>
      </c>
      <c r="I2675" s="248" t="s">
        <v>404</v>
      </c>
      <c r="J2675" s="247" t="s">
        <v>809</v>
      </c>
      <c r="K2675" s="249">
        <v>0</v>
      </c>
      <c r="M2675" s="90">
        <v>0</v>
      </c>
      <c r="N2675" s="90">
        <v>0</v>
      </c>
      <c r="O2675" s="90">
        <v>255</v>
      </c>
    </row>
    <row r="2676" spans="1:15" s="90" customFormat="1" ht="12.75" customHeight="1" x14ac:dyDescent="0.2">
      <c r="A2676" s="247" t="s">
        <v>990</v>
      </c>
      <c r="B2676" s="316">
        <v>3046</v>
      </c>
      <c r="C2676" s="247" t="s">
        <v>975</v>
      </c>
      <c r="D2676" s="317">
        <v>42672</v>
      </c>
      <c r="E2676" s="318">
        <v>0.65568287037037043</v>
      </c>
      <c r="F2676" s="247" t="s">
        <v>976</v>
      </c>
      <c r="G2676" s="247"/>
      <c r="H2676" s="248" t="s">
        <v>404</v>
      </c>
      <c r="I2676" s="248" t="s">
        <v>404</v>
      </c>
      <c r="J2676" s="247" t="s">
        <v>809</v>
      </c>
      <c r="K2676" s="249">
        <v>0</v>
      </c>
      <c r="M2676" s="90">
        <v>0</v>
      </c>
      <c r="N2676" s="90">
        <v>0</v>
      </c>
      <c r="O2676" s="90">
        <v>255</v>
      </c>
    </row>
    <row r="2677" spans="1:15" s="90" customFormat="1" ht="12.75" customHeight="1" x14ac:dyDescent="0.2">
      <c r="A2677" s="247" t="s">
        <v>993</v>
      </c>
      <c r="B2677" s="316">
        <v>3217</v>
      </c>
      <c r="C2677" s="247" t="s">
        <v>975</v>
      </c>
      <c r="D2677" s="317">
        <v>42672</v>
      </c>
      <c r="E2677" s="318">
        <v>0.65568287037037043</v>
      </c>
      <c r="F2677" s="247" t="s">
        <v>235</v>
      </c>
      <c r="G2677" s="247"/>
      <c r="H2677" s="248" t="s">
        <v>234</v>
      </c>
      <c r="I2677" s="248" t="s">
        <v>235</v>
      </c>
      <c r="J2677" s="247" t="s">
        <v>809</v>
      </c>
      <c r="K2677" s="249">
        <v>0</v>
      </c>
      <c r="M2677" s="90">
        <v>0</v>
      </c>
      <c r="N2677" s="90">
        <v>0</v>
      </c>
      <c r="O2677" s="90">
        <v>255</v>
      </c>
    </row>
    <row r="2678" spans="1:15" s="90" customFormat="1" ht="12.75" customHeight="1" x14ac:dyDescent="0.2">
      <c r="A2678" s="247" t="s">
        <v>989</v>
      </c>
      <c r="B2678" s="316">
        <v>3046</v>
      </c>
      <c r="C2678" s="247" t="s">
        <v>975</v>
      </c>
      <c r="D2678" s="317">
        <v>42672</v>
      </c>
      <c r="E2678" s="318">
        <v>0.69734953703703706</v>
      </c>
      <c r="F2678" s="247" t="s">
        <v>976</v>
      </c>
      <c r="G2678" s="247"/>
      <c r="H2678" s="248" t="s">
        <v>404</v>
      </c>
      <c r="I2678" s="248" t="s">
        <v>404</v>
      </c>
      <c r="J2678" s="247" t="s">
        <v>809</v>
      </c>
      <c r="K2678" s="249">
        <v>0</v>
      </c>
      <c r="M2678" s="90">
        <v>0</v>
      </c>
      <c r="N2678" s="90">
        <v>0</v>
      </c>
      <c r="O2678" s="90">
        <v>255</v>
      </c>
    </row>
    <row r="2679" spans="1:15" s="90" customFormat="1" ht="12.75" customHeight="1" x14ac:dyDescent="0.2">
      <c r="A2679" s="247" t="s">
        <v>993</v>
      </c>
      <c r="B2679" s="316">
        <v>3217</v>
      </c>
      <c r="C2679" s="247" t="s">
        <v>975</v>
      </c>
      <c r="D2679" s="317">
        <v>42672</v>
      </c>
      <c r="E2679" s="318">
        <v>0.69759259259259254</v>
      </c>
      <c r="F2679" s="247" t="s">
        <v>235</v>
      </c>
      <c r="G2679" s="247"/>
      <c r="H2679" s="248" t="s">
        <v>234</v>
      </c>
      <c r="I2679" s="248" t="s">
        <v>235</v>
      </c>
      <c r="J2679" s="247" t="s">
        <v>809</v>
      </c>
      <c r="K2679" s="249">
        <v>0</v>
      </c>
      <c r="M2679" s="90">
        <v>0</v>
      </c>
      <c r="N2679" s="90">
        <v>0</v>
      </c>
      <c r="O2679" s="90">
        <v>255</v>
      </c>
    </row>
    <row r="2680" spans="1:15" s="90" customFormat="1" ht="12.75" customHeight="1" x14ac:dyDescent="0.2">
      <c r="A2680" s="247" t="s">
        <v>990</v>
      </c>
      <c r="B2680" s="316">
        <v>3046</v>
      </c>
      <c r="C2680" s="247" t="s">
        <v>975</v>
      </c>
      <c r="D2680" s="317">
        <v>42672</v>
      </c>
      <c r="E2680" s="318">
        <v>0.69760416666666669</v>
      </c>
      <c r="F2680" s="247" t="s">
        <v>976</v>
      </c>
      <c r="G2680" s="247"/>
      <c r="H2680" s="248" t="s">
        <v>404</v>
      </c>
      <c r="I2680" s="248" t="s">
        <v>404</v>
      </c>
      <c r="J2680" s="247" t="s">
        <v>809</v>
      </c>
      <c r="K2680" s="249">
        <v>0</v>
      </c>
      <c r="M2680" s="90">
        <v>0</v>
      </c>
      <c r="N2680" s="90">
        <v>0</v>
      </c>
      <c r="O2680" s="90">
        <v>255</v>
      </c>
    </row>
    <row r="2681" spans="1:15" s="90" customFormat="1" ht="12.75" customHeight="1" x14ac:dyDescent="0.2">
      <c r="A2681" s="247" t="s">
        <v>989</v>
      </c>
      <c r="B2681" s="316">
        <v>3046</v>
      </c>
      <c r="C2681" s="247" t="s">
        <v>975</v>
      </c>
      <c r="D2681" s="317">
        <v>42672</v>
      </c>
      <c r="E2681" s="318">
        <v>0.73927083333333332</v>
      </c>
      <c r="F2681" s="247" t="s">
        <v>976</v>
      </c>
      <c r="G2681" s="247"/>
      <c r="H2681" s="248" t="s">
        <v>404</v>
      </c>
      <c r="I2681" s="248" t="s">
        <v>404</v>
      </c>
      <c r="J2681" s="247" t="s">
        <v>809</v>
      </c>
      <c r="K2681" s="249">
        <v>0</v>
      </c>
      <c r="M2681" s="90">
        <v>0</v>
      </c>
      <c r="N2681" s="90">
        <v>0</v>
      </c>
      <c r="O2681" s="90">
        <v>255</v>
      </c>
    </row>
    <row r="2682" spans="1:15" s="90" customFormat="1" ht="12.75" customHeight="1" x14ac:dyDescent="0.2">
      <c r="A2682" s="247" t="s">
        <v>990</v>
      </c>
      <c r="B2682" s="316">
        <v>3046</v>
      </c>
      <c r="C2682" s="247" t="s">
        <v>975</v>
      </c>
      <c r="D2682" s="317">
        <v>42672</v>
      </c>
      <c r="E2682" s="318">
        <v>0.73951388888888892</v>
      </c>
      <c r="F2682" s="247" t="s">
        <v>976</v>
      </c>
      <c r="G2682" s="247"/>
      <c r="H2682" s="248" t="s">
        <v>404</v>
      </c>
      <c r="I2682" s="248" t="s">
        <v>404</v>
      </c>
      <c r="J2682" s="247" t="s">
        <v>809</v>
      </c>
      <c r="K2682" s="249">
        <v>0</v>
      </c>
      <c r="M2682" s="90">
        <v>0</v>
      </c>
      <c r="N2682" s="90">
        <v>0</v>
      </c>
      <c r="O2682" s="90">
        <v>255</v>
      </c>
    </row>
    <row r="2683" spans="1:15" s="90" customFormat="1" ht="12.75" customHeight="1" x14ac:dyDescent="0.2">
      <c r="A2683" s="247" t="s">
        <v>993</v>
      </c>
      <c r="B2683" s="316">
        <v>3217</v>
      </c>
      <c r="C2683" s="247" t="s">
        <v>975</v>
      </c>
      <c r="D2683" s="317">
        <v>42672</v>
      </c>
      <c r="E2683" s="318">
        <v>0.73951388888888892</v>
      </c>
      <c r="F2683" s="247" t="s">
        <v>235</v>
      </c>
      <c r="G2683" s="247"/>
      <c r="H2683" s="248" t="s">
        <v>234</v>
      </c>
      <c r="I2683" s="248" t="s">
        <v>235</v>
      </c>
      <c r="J2683" s="247" t="s">
        <v>809</v>
      </c>
      <c r="K2683" s="249">
        <v>0</v>
      </c>
      <c r="M2683" s="90">
        <v>0</v>
      </c>
      <c r="N2683" s="90">
        <v>0</v>
      </c>
      <c r="O2683" s="90">
        <v>255</v>
      </c>
    </row>
    <row r="2684" spans="1:15" s="90" customFormat="1" ht="12.75" customHeight="1" x14ac:dyDescent="0.2">
      <c r="A2684" s="247" t="s">
        <v>989</v>
      </c>
      <c r="B2684" s="316">
        <v>3046</v>
      </c>
      <c r="C2684" s="247" t="s">
        <v>975</v>
      </c>
      <c r="D2684" s="317">
        <v>42672</v>
      </c>
      <c r="E2684" s="318">
        <v>0.78119212962962958</v>
      </c>
      <c r="F2684" s="247" t="s">
        <v>976</v>
      </c>
      <c r="G2684" s="247"/>
      <c r="H2684" s="248" t="s">
        <v>404</v>
      </c>
      <c r="I2684" s="248" t="s">
        <v>404</v>
      </c>
      <c r="J2684" s="247" t="s">
        <v>809</v>
      </c>
      <c r="K2684" s="249">
        <v>0</v>
      </c>
      <c r="M2684" s="90">
        <v>0</v>
      </c>
      <c r="N2684" s="90">
        <v>0</v>
      </c>
      <c r="O2684" s="90">
        <v>255</v>
      </c>
    </row>
    <row r="2685" spans="1:15" s="90" customFormat="1" ht="12.75" customHeight="1" x14ac:dyDescent="0.2">
      <c r="A2685" s="247" t="s">
        <v>990</v>
      </c>
      <c r="B2685" s="316">
        <v>3046</v>
      </c>
      <c r="C2685" s="247" t="s">
        <v>975</v>
      </c>
      <c r="D2685" s="317">
        <v>42672</v>
      </c>
      <c r="E2685" s="318">
        <v>0.78143518518518518</v>
      </c>
      <c r="F2685" s="247" t="s">
        <v>976</v>
      </c>
      <c r="G2685" s="247"/>
      <c r="H2685" s="248" t="s">
        <v>404</v>
      </c>
      <c r="I2685" s="248" t="s">
        <v>404</v>
      </c>
      <c r="J2685" s="247" t="s">
        <v>809</v>
      </c>
      <c r="K2685" s="249">
        <v>0</v>
      </c>
      <c r="M2685" s="90">
        <v>0</v>
      </c>
      <c r="N2685" s="90">
        <v>0</v>
      </c>
      <c r="O2685" s="90">
        <v>255</v>
      </c>
    </row>
    <row r="2686" spans="1:15" s="90" customFormat="1" ht="12.75" customHeight="1" x14ac:dyDescent="0.2">
      <c r="A2686" s="247" t="s">
        <v>993</v>
      </c>
      <c r="B2686" s="316">
        <v>3217</v>
      </c>
      <c r="C2686" s="247" t="s">
        <v>975</v>
      </c>
      <c r="D2686" s="317">
        <v>42672</v>
      </c>
      <c r="E2686" s="318">
        <v>0.78143518518518518</v>
      </c>
      <c r="F2686" s="247" t="s">
        <v>235</v>
      </c>
      <c r="G2686" s="247"/>
      <c r="H2686" s="248" t="s">
        <v>234</v>
      </c>
      <c r="I2686" s="248" t="s">
        <v>235</v>
      </c>
      <c r="J2686" s="247" t="s">
        <v>809</v>
      </c>
      <c r="K2686" s="249">
        <v>0</v>
      </c>
      <c r="M2686" s="90">
        <v>0</v>
      </c>
      <c r="N2686" s="90">
        <v>0</v>
      </c>
      <c r="O2686" s="90">
        <v>255</v>
      </c>
    </row>
    <row r="2687" spans="1:15" s="90" customFormat="1" ht="12.75" customHeight="1" x14ac:dyDescent="0.2">
      <c r="A2687" s="247" t="s">
        <v>989</v>
      </c>
      <c r="B2687" s="316">
        <v>3046</v>
      </c>
      <c r="C2687" s="247" t="s">
        <v>975</v>
      </c>
      <c r="D2687" s="317">
        <v>42672</v>
      </c>
      <c r="E2687" s="318">
        <v>0.82311342592592596</v>
      </c>
      <c r="F2687" s="247" t="s">
        <v>976</v>
      </c>
      <c r="G2687" s="247"/>
      <c r="H2687" s="248" t="s">
        <v>404</v>
      </c>
      <c r="I2687" s="248" t="s">
        <v>404</v>
      </c>
      <c r="J2687" s="247" t="s">
        <v>809</v>
      </c>
      <c r="K2687" s="249">
        <v>0</v>
      </c>
      <c r="M2687" s="90">
        <v>0</v>
      </c>
      <c r="N2687" s="90">
        <v>0</v>
      </c>
      <c r="O2687" s="90">
        <v>255</v>
      </c>
    </row>
    <row r="2688" spans="1:15" s="90" customFormat="1" ht="12.75" customHeight="1" x14ac:dyDescent="0.2">
      <c r="A2688" s="247" t="s">
        <v>993</v>
      </c>
      <c r="B2688" s="316">
        <v>3217</v>
      </c>
      <c r="C2688" s="247" t="s">
        <v>975</v>
      </c>
      <c r="D2688" s="317">
        <v>42672</v>
      </c>
      <c r="E2688" s="318">
        <v>0.82335648148148144</v>
      </c>
      <c r="F2688" s="247" t="s">
        <v>235</v>
      </c>
      <c r="G2688" s="247"/>
      <c r="H2688" s="248" t="s">
        <v>234</v>
      </c>
      <c r="I2688" s="248" t="s">
        <v>235</v>
      </c>
      <c r="J2688" s="247" t="s">
        <v>809</v>
      </c>
      <c r="K2688" s="249">
        <v>0</v>
      </c>
      <c r="M2688" s="90">
        <v>0</v>
      </c>
      <c r="N2688" s="90">
        <v>0</v>
      </c>
      <c r="O2688" s="90">
        <v>255</v>
      </c>
    </row>
    <row r="2689" spans="1:15" s="90" customFormat="1" ht="12.75" customHeight="1" x14ac:dyDescent="0.2">
      <c r="A2689" s="247" t="s">
        <v>990</v>
      </c>
      <c r="B2689" s="316">
        <v>3046</v>
      </c>
      <c r="C2689" s="247" t="s">
        <v>975</v>
      </c>
      <c r="D2689" s="317">
        <v>42672</v>
      </c>
      <c r="E2689" s="318">
        <v>0.82336805555555559</v>
      </c>
      <c r="F2689" s="247" t="s">
        <v>976</v>
      </c>
      <c r="G2689" s="247"/>
      <c r="H2689" s="248" t="s">
        <v>404</v>
      </c>
      <c r="I2689" s="248" t="s">
        <v>404</v>
      </c>
      <c r="J2689" s="247" t="s">
        <v>809</v>
      </c>
      <c r="K2689" s="249">
        <v>0</v>
      </c>
      <c r="M2689" s="90">
        <v>0</v>
      </c>
      <c r="N2689" s="90">
        <v>0</v>
      </c>
      <c r="O2689" s="90">
        <v>255</v>
      </c>
    </row>
    <row r="2690" spans="1:15" s="90" customFormat="1" ht="12.75" customHeight="1" x14ac:dyDescent="0.2">
      <c r="A2690" s="247" t="s">
        <v>989</v>
      </c>
      <c r="B2690" s="316">
        <v>3046</v>
      </c>
      <c r="C2690" s="247" t="s">
        <v>975</v>
      </c>
      <c r="D2690" s="317">
        <v>42672</v>
      </c>
      <c r="E2690" s="318">
        <v>0.86503472222222222</v>
      </c>
      <c r="F2690" s="247" t="s">
        <v>976</v>
      </c>
      <c r="G2690" s="247"/>
      <c r="H2690" s="248" t="s">
        <v>404</v>
      </c>
      <c r="I2690" s="248" t="s">
        <v>404</v>
      </c>
      <c r="J2690" s="247" t="s">
        <v>809</v>
      </c>
      <c r="K2690" s="249">
        <v>0</v>
      </c>
      <c r="M2690" s="90">
        <v>0</v>
      </c>
      <c r="N2690" s="90">
        <v>0</v>
      </c>
      <c r="O2690" s="90">
        <v>255</v>
      </c>
    </row>
    <row r="2691" spans="1:15" s="90" customFormat="1" ht="12.75" customHeight="1" x14ac:dyDescent="0.2">
      <c r="A2691" s="247" t="s">
        <v>993</v>
      </c>
      <c r="B2691" s="316">
        <v>3217</v>
      </c>
      <c r="C2691" s="247" t="s">
        <v>975</v>
      </c>
      <c r="D2691" s="317">
        <v>42672</v>
      </c>
      <c r="E2691" s="318">
        <v>0.8652777777777777</v>
      </c>
      <c r="F2691" s="247" t="s">
        <v>235</v>
      </c>
      <c r="G2691" s="247"/>
      <c r="H2691" s="248" t="s">
        <v>234</v>
      </c>
      <c r="I2691" s="248" t="s">
        <v>235</v>
      </c>
      <c r="J2691" s="247" t="s">
        <v>809</v>
      </c>
      <c r="K2691" s="249">
        <v>0</v>
      </c>
      <c r="M2691" s="90">
        <v>0</v>
      </c>
      <c r="N2691" s="90">
        <v>0</v>
      </c>
      <c r="O2691" s="90">
        <v>255</v>
      </c>
    </row>
    <row r="2692" spans="1:15" s="90" customFormat="1" ht="12.75" customHeight="1" x14ac:dyDescent="0.2">
      <c r="A2692" s="247" t="s">
        <v>990</v>
      </c>
      <c r="B2692" s="316">
        <v>3046</v>
      </c>
      <c r="C2692" s="247" t="s">
        <v>975</v>
      </c>
      <c r="D2692" s="317">
        <v>42672</v>
      </c>
      <c r="E2692" s="318">
        <v>0.86528935185185185</v>
      </c>
      <c r="F2692" s="247" t="s">
        <v>976</v>
      </c>
      <c r="G2692" s="247"/>
      <c r="H2692" s="248" t="s">
        <v>404</v>
      </c>
      <c r="I2692" s="248" t="s">
        <v>404</v>
      </c>
      <c r="J2692" s="247" t="s">
        <v>809</v>
      </c>
      <c r="K2692" s="249">
        <v>0</v>
      </c>
      <c r="M2692" s="90">
        <v>0</v>
      </c>
      <c r="N2692" s="90">
        <v>0</v>
      </c>
      <c r="O2692" s="90">
        <v>255</v>
      </c>
    </row>
    <row r="2693" spans="1:15" s="90" customFormat="1" ht="12.75" customHeight="1" x14ac:dyDescent="0.2">
      <c r="A2693" s="247" t="s">
        <v>989</v>
      </c>
      <c r="B2693" s="316">
        <v>3046</v>
      </c>
      <c r="C2693" s="247" t="s">
        <v>975</v>
      </c>
      <c r="D2693" s="317">
        <v>42672</v>
      </c>
      <c r="E2693" s="318">
        <v>0.90695601851851848</v>
      </c>
      <c r="F2693" s="247" t="s">
        <v>976</v>
      </c>
      <c r="G2693" s="247"/>
      <c r="H2693" s="248" t="s">
        <v>404</v>
      </c>
      <c r="I2693" s="248" t="s">
        <v>404</v>
      </c>
      <c r="J2693" s="247" t="s">
        <v>809</v>
      </c>
      <c r="K2693" s="249">
        <v>0</v>
      </c>
      <c r="M2693" s="90">
        <v>0</v>
      </c>
      <c r="N2693" s="90">
        <v>0</v>
      </c>
      <c r="O2693" s="90">
        <v>255</v>
      </c>
    </row>
    <row r="2694" spans="1:15" s="90" customFormat="1" ht="12.75" customHeight="1" x14ac:dyDescent="0.2">
      <c r="A2694" s="247" t="s">
        <v>993</v>
      </c>
      <c r="B2694" s="316">
        <v>3217</v>
      </c>
      <c r="C2694" s="247" t="s">
        <v>975</v>
      </c>
      <c r="D2694" s="317">
        <v>42672</v>
      </c>
      <c r="E2694" s="318">
        <v>0.90719907407407396</v>
      </c>
      <c r="F2694" s="247" t="s">
        <v>235</v>
      </c>
      <c r="G2694" s="247"/>
      <c r="H2694" s="248" t="s">
        <v>234</v>
      </c>
      <c r="I2694" s="248" t="s">
        <v>235</v>
      </c>
      <c r="J2694" s="247" t="s">
        <v>809</v>
      </c>
      <c r="K2694" s="249">
        <v>0</v>
      </c>
      <c r="M2694" s="90">
        <v>0</v>
      </c>
      <c r="N2694" s="90">
        <v>0</v>
      </c>
      <c r="O2694" s="90">
        <v>255</v>
      </c>
    </row>
    <row r="2695" spans="1:15" s="90" customFormat="1" ht="12.75" customHeight="1" x14ac:dyDescent="0.2">
      <c r="A2695" s="247" t="s">
        <v>990</v>
      </c>
      <c r="B2695" s="316">
        <v>3046</v>
      </c>
      <c r="C2695" s="247" t="s">
        <v>975</v>
      </c>
      <c r="D2695" s="317">
        <v>42672</v>
      </c>
      <c r="E2695" s="318">
        <v>0.90721064814814811</v>
      </c>
      <c r="F2695" s="247" t="s">
        <v>976</v>
      </c>
      <c r="G2695" s="247"/>
      <c r="H2695" s="248" t="s">
        <v>404</v>
      </c>
      <c r="I2695" s="248" t="s">
        <v>404</v>
      </c>
      <c r="J2695" s="247" t="s">
        <v>809</v>
      </c>
      <c r="K2695" s="249">
        <v>0</v>
      </c>
      <c r="M2695" s="90">
        <v>0</v>
      </c>
      <c r="N2695" s="90">
        <v>0</v>
      </c>
      <c r="O2695" s="90">
        <v>255</v>
      </c>
    </row>
    <row r="2696" spans="1:15" s="90" customFormat="1" ht="12.75" customHeight="1" x14ac:dyDescent="0.2">
      <c r="A2696" s="247" t="s">
        <v>989</v>
      </c>
      <c r="B2696" s="316">
        <v>3046</v>
      </c>
      <c r="C2696" s="247" t="s">
        <v>975</v>
      </c>
      <c r="D2696" s="317">
        <v>42672</v>
      </c>
      <c r="E2696" s="318">
        <v>0.94887731481481474</v>
      </c>
      <c r="F2696" s="247" t="s">
        <v>976</v>
      </c>
      <c r="G2696" s="247"/>
      <c r="H2696" s="248" t="s">
        <v>404</v>
      </c>
      <c r="I2696" s="248" t="s">
        <v>404</v>
      </c>
      <c r="J2696" s="247" t="s">
        <v>809</v>
      </c>
      <c r="K2696" s="249">
        <v>0</v>
      </c>
      <c r="M2696" s="90">
        <v>0</v>
      </c>
      <c r="N2696" s="90">
        <v>0</v>
      </c>
      <c r="O2696" s="90">
        <v>255</v>
      </c>
    </row>
    <row r="2697" spans="1:15" s="90" customFormat="1" ht="12.75" customHeight="1" x14ac:dyDescent="0.2">
      <c r="A2697" s="247" t="s">
        <v>993</v>
      </c>
      <c r="B2697" s="316">
        <v>3217</v>
      </c>
      <c r="C2697" s="247" t="s">
        <v>975</v>
      </c>
      <c r="D2697" s="317">
        <v>42672</v>
      </c>
      <c r="E2697" s="318">
        <v>0.94912037037037045</v>
      </c>
      <c r="F2697" s="247" t="s">
        <v>235</v>
      </c>
      <c r="G2697" s="247"/>
      <c r="H2697" s="248" t="s">
        <v>234</v>
      </c>
      <c r="I2697" s="248" t="s">
        <v>235</v>
      </c>
      <c r="J2697" s="247" t="s">
        <v>809</v>
      </c>
      <c r="K2697" s="249">
        <v>0</v>
      </c>
      <c r="M2697" s="90">
        <v>0</v>
      </c>
      <c r="N2697" s="90">
        <v>0</v>
      </c>
      <c r="O2697" s="90">
        <v>255</v>
      </c>
    </row>
    <row r="2698" spans="1:15" s="90" customFormat="1" ht="12.75" customHeight="1" x14ac:dyDescent="0.2">
      <c r="A2698" s="247" t="s">
        <v>990</v>
      </c>
      <c r="B2698" s="316">
        <v>3046</v>
      </c>
      <c r="C2698" s="247" t="s">
        <v>975</v>
      </c>
      <c r="D2698" s="317">
        <v>42672</v>
      </c>
      <c r="E2698" s="318">
        <v>0.94913194444444438</v>
      </c>
      <c r="F2698" s="247" t="s">
        <v>976</v>
      </c>
      <c r="G2698" s="247"/>
      <c r="H2698" s="248" t="s">
        <v>404</v>
      </c>
      <c r="I2698" s="248" t="s">
        <v>404</v>
      </c>
      <c r="J2698" s="247" t="s">
        <v>809</v>
      </c>
      <c r="K2698" s="249">
        <v>0</v>
      </c>
      <c r="M2698" s="90">
        <v>0</v>
      </c>
      <c r="N2698" s="90">
        <v>0</v>
      </c>
      <c r="O2698" s="90">
        <v>255</v>
      </c>
    </row>
    <row r="2699" spans="1:15" s="90" customFormat="1" ht="12.75" customHeight="1" x14ac:dyDescent="0.2">
      <c r="A2699" s="247" t="s">
        <v>989</v>
      </c>
      <c r="B2699" s="316">
        <v>3046</v>
      </c>
      <c r="C2699" s="247" t="s">
        <v>975</v>
      </c>
      <c r="D2699" s="317">
        <v>42672</v>
      </c>
      <c r="E2699" s="318">
        <v>0.99079861111111101</v>
      </c>
      <c r="F2699" s="247" t="s">
        <v>976</v>
      </c>
      <c r="G2699" s="247"/>
      <c r="H2699" s="248" t="s">
        <v>404</v>
      </c>
      <c r="I2699" s="248" t="s">
        <v>404</v>
      </c>
      <c r="J2699" s="247" t="s">
        <v>809</v>
      </c>
      <c r="K2699" s="249">
        <v>0</v>
      </c>
      <c r="M2699" s="90">
        <v>0</v>
      </c>
      <c r="N2699" s="90">
        <v>0</v>
      </c>
      <c r="O2699" s="90">
        <v>255</v>
      </c>
    </row>
    <row r="2700" spans="1:15" s="90" customFormat="1" ht="12.75" customHeight="1" x14ac:dyDescent="0.2">
      <c r="A2700" s="247" t="s">
        <v>993</v>
      </c>
      <c r="B2700" s="316">
        <v>3217</v>
      </c>
      <c r="C2700" s="247" t="s">
        <v>975</v>
      </c>
      <c r="D2700" s="317">
        <v>42672</v>
      </c>
      <c r="E2700" s="318">
        <v>0.99104166666666671</v>
      </c>
      <c r="F2700" s="247" t="s">
        <v>235</v>
      </c>
      <c r="G2700" s="247"/>
      <c r="H2700" s="248" t="s">
        <v>234</v>
      </c>
      <c r="I2700" s="248" t="s">
        <v>235</v>
      </c>
      <c r="J2700" s="247" t="s">
        <v>809</v>
      </c>
      <c r="K2700" s="249">
        <v>0</v>
      </c>
      <c r="M2700" s="90">
        <v>0</v>
      </c>
      <c r="N2700" s="90">
        <v>0</v>
      </c>
      <c r="O2700" s="90">
        <v>255</v>
      </c>
    </row>
    <row r="2701" spans="1:15" s="90" customFormat="1" ht="12.75" customHeight="1" x14ac:dyDescent="0.2">
      <c r="A2701" s="247" t="s">
        <v>990</v>
      </c>
      <c r="B2701" s="316">
        <v>3046</v>
      </c>
      <c r="C2701" s="247" t="s">
        <v>975</v>
      </c>
      <c r="D2701" s="317">
        <v>42672</v>
      </c>
      <c r="E2701" s="318">
        <v>0.99105324074074075</v>
      </c>
      <c r="F2701" s="247" t="s">
        <v>976</v>
      </c>
      <c r="G2701" s="247"/>
      <c r="H2701" s="248" t="s">
        <v>404</v>
      </c>
      <c r="I2701" s="248" t="s">
        <v>404</v>
      </c>
      <c r="J2701" s="247" t="s">
        <v>809</v>
      </c>
      <c r="K2701" s="249">
        <v>0</v>
      </c>
      <c r="M2701" s="90">
        <v>0</v>
      </c>
      <c r="N2701" s="90">
        <v>0</v>
      </c>
      <c r="O2701" s="90">
        <v>255</v>
      </c>
    </row>
    <row r="2702" spans="1:15" s="90" customFormat="1" ht="12.75" customHeight="1" x14ac:dyDescent="0.2">
      <c r="A2702" s="247" t="s">
        <v>989</v>
      </c>
      <c r="B2702" s="316">
        <v>3046</v>
      </c>
      <c r="C2702" s="247" t="s">
        <v>975</v>
      </c>
      <c r="D2702" s="317">
        <v>42673</v>
      </c>
      <c r="E2702" s="318">
        <v>3.2719907407407406E-2</v>
      </c>
      <c r="F2702" s="247" t="s">
        <v>976</v>
      </c>
      <c r="G2702" s="247"/>
      <c r="H2702" s="248" t="s">
        <v>404</v>
      </c>
      <c r="I2702" s="248" t="s">
        <v>404</v>
      </c>
      <c r="J2702" s="247" t="s">
        <v>809</v>
      </c>
      <c r="K2702" s="249">
        <v>0</v>
      </c>
      <c r="M2702" s="90">
        <v>0</v>
      </c>
      <c r="N2702" s="90">
        <v>0</v>
      </c>
      <c r="O2702" s="90">
        <v>255</v>
      </c>
    </row>
    <row r="2703" spans="1:15" s="90" customFormat="1" ht="12.75" customHeight="1" x14ac:dyDescent="0.2">
      <c r="A2703" s="247" t="s">
        <v>993</v>
      </c>
      <c r="B2703" s="316">
        <v>3217</v>
      </c>
      <c r="C2703" s="247" t="s">
        <v>975</v>
      </c>
      <c r="D2703" s="317">
        <v>42673</v>
      </c>
      <c r="E2703" s="318">
        <v>3.2962962962962965E-2</v>
      </c>
      <c r="F2703" s="247" t="s">
        <v>235</v>
      </c>
      <c r="G2703" s="247"/>
      <c r="H2703" s="248" t="s">
        <v>234</v>
      </c>
      <c r="I2703" s="248" t="s">
        <v>235</v>
      </c>
      <c r="J2703" s="247" t="s">
        <v>809</v>
      </c>
      <c r="K2703" s="249">
        <v>0</v>
      </c>
      <c r="M2703" s="90">
        <v>0</v>
      </c>
      <c r="N2703" s="90">
        <v>0</v>
      </c>
      <c r="O2703" s="90">
        <v>255</v>
      </c>
    </row>
    <row r="2704" spans="1:15" s="90" customFormat="1" ht="12.75" customHeight="1" x14ac:dyDescent="0.2">
      <c r="A2704" s="247" t="s">
        <v>990</v>
      </c>
      <c r="B2704" s="316">
        <v>3046</v>
      </c>
      <c r="C2704" s="247" t="s">
        <v>975</v>
      </c>
      <c r="D2704" s="317">
        <v>42673</v>
      </c>
      <c r="E2704" s="318">
        <v>3.2974537037037038E-2</v>
      </c>
      <c r="F2704" s="247" t="s">
        <v>976</v>
      </c>
      <c r="G2704" s="247"/>
      <c r="H2704" s="248" t="s">
        <v>404</v>
      </c>
      <c r="I2704" s="248" t="s">
        <v>404</v>
      </c>
      <c r="J2704" s="247" t="s">
        <v>809</v>
      </c>
      <c r="K2704" s="249">
        <v>0</v>
      </c>
      <c r="M2704" s="90">
        <v>0</v>
      </c>
      <c r="N2704" s="90">
        <v>0</v>
      </c>
      <c r="O2704" s="90">
        <v>255</v>
      </c>
    </row>
    <row r="2705" spans="1:15" s="90" customFormat="1" ht="12.75" customHeight="1" x14ac:dyDescent="0.2">
      <c r="A2705" s="247" t="s">
        <v>989</v>
      </c>
      <c r="B2705" s="316">
        <v>3046</v>
      </c>
      <c r="C2705" s="247" t="s">
        <v>975</v>
      </c>
      <c r="D2705" s="317">
        <v>42673</v>
      </c>
      <c r="E2705" s="318">
        <v>7.464120370370371E-2</v>
      </c>
      <c r="F2705" s="247" t="s">
        <v>976</v>
      </c>
      <c r="G2705" s="247"/>
      <c r="H2705" s="248" t="s">
        <v>404</v>
      </c>
      <c r="I2705" s="248" t="s">
        <v>404</v>
      </c>
      <c r="J2705" s="247" t="s">
        <v>809</v>
      </c>
      <c r="K2705" s="249">
        <v>0</v>
      </c>
      <c r="M2705" s="90">
        <v>0</v>
      </c>
      <c r="N2705" s="90">
        <v>0</v>
      </c>
      <c r="O2705" s="90">
        <v>255</v>
      </c>
    </row>
    <row r="2706" spans="1:15" s="90" customFormat="1" ht="12.75" customHeight="1" x14ac:dyDescent="0.2">
      <c r="A2706" s="247" t="s">
        <v>990</v>
      </c>
      <c r="B2706" s="316">
        <v>3046</v>
      </c>
      <c r="C2706" s="247" t="s">
        <v>975</v>
      </c>
      <c r="D2706" s="317">
        <v>42673</v>
      </c>
      <c r="E2706" s="318">
        <v>7.4884259259259262E-2</v>
      </c>
      <c r="F2706" s="247" t="s">
        <v>976</v>
      </c>
      <c r="G2706" s="247"/>
      <c r="H2706" s="248" t="s">
        <v>404</v>
      </c>
      <c r="I2706" s="248" t="s">
        <v>404</v>
      </c>
      <c r="J2706" s="247" t="s">
        <v>809</v>
      </c>
      <c r="K2706" s="249">
        <v>0</v>
      </c>
      <c r="M2706" s="90">
        <v>0</v>
      </c>
      <c r="N2706" s="90">
        <v>0</v>
      </c>
      <c r="O2706" s="90">
        <v>255</v>
      </c>
    </row>
    <row r="2707" spans="1:15" s="90" customFormat="1" ht="12.75" customHeight="1" x14ac:dyDescent="0.2">
      <c r="A2707" s="247" t="s">
        <v>993</v>
      </c>
      <c r="B2707" s="316">
        <v>3217</v>
      </c>
      <c r="C2707" s="247" t="s">
        <v>975</v>
      </c>
      <c r="D2707" s="317">
        <v>42673</v>
      </c>
      <c r="E2707" s="318">
        <v>7.4884259259259262E-2</v>
      </c>
      <c r="F2707" s="247" t="s">
        <v>235</v>
      </c>
      <c r="G2707" s="247"/>
      <c r="H2707" s="248" t="s">
        <v>234</v>
      </c>
      <c r="I2707" s="248" t="s">
        <v>235</v>
      </c>
      <c r="J2707" s="247" t="s">
        <v>809</v>
      </c>
      <c r="K2707" s="249">
        <v>0</v>
      </c>
      <c r="M2707" s="90">
        <v>0</v>
      </c>
      <c r="N2707" s="90">
        <v>0</v>
      </c>
      <c r="O2707" s="90">
        <v>255</v>
      </c>
    </row>
    <row r="2708" spans="1:15" s="90" customFormat="1" ht="12.75" customHeight="1" x14ac:dyDescent="0.2">
      <c r="A2708" s="247" t="s">
        <v>989</v>
      </c>
      <c r="B2708" s="316">
        <v>3046</v>
      </c>
      <c r="C2708" s="247" t="s">
        <v>975</v>
      </c>
      <c r="D2708" s="317">
        <v>42673</v>
      </c>
      <c r="E2708" s="318">
        <v>0.1165625</v>
      </c>
      <c r="F2708" s="247" t="s">
        <v>976</v>
      </c>
      <c r="G2708" s="247"/>
      <c r="H2708" s="248" t="s">
        <v>404</v>
      </c>
      <c r="I2708" s="248" t="s">
        <v>404</v>
      </c>
      <c r="J2708" s="247" t="s">
        <v>809</v>
      </c>
      <c r="K2708" s="249">
        <v>0</v>
      </c>
      <c r="M2708" s="90">
        <v>0</v>
      </c>
      <c r="N2708" s="90">
        <v>0</v>
      </c>
      <c r="O2708" s="90">
        <v>255</v>
      </c>
    </row>
    <row r="2709" spans="1:15" s="90" customFormat="1" ht="12.75" customHeight="1" x14ac:dyDescent="0.2">
      <c r="A2709" s="247" t="s">
        <v>990</v>
      </c>
      <c r="B2709" s="316">
        <v>3046</v>
      </c>
      <c r="C2709" s="247" t="s">
        <v>975</v>
      </c>
      <c r="D2709" s="317">
        <v>42673</v>
      </c>
      <c r="E2709" s="318">
        <v>0.11680555555555555</v>
      </c>
      <c r="F2709" s="247" t="s">
        <v>976</v>
      </c>
      <c r="G2709" s="247"/>
      <c r="H2709" s="248" t="s">
        <v>404</v>
      </c>
      <c r="I2709" s="248" t="s">
        <v>404</v>
      </c>
      <c r="J2709" s="247" t="s">
        <v>809</v>
      </c>
      <c r="K2709" s="249">
        <v>0</v>
      </c>
      <c r="M2709" s="90">
        <v>0</v>
      </c>
      <c r="N2709" s="90">
        <v>0</v>
      </c>
      <c r="O2709" s="90">
        <v>255</v>
      </c>
    </row>
    <row r="2710" spans="1:15" s="90" customFormat="1" ht="12.75" customHeight="1" x14ac:dyDescent="0.2">
      <c r="A2710" s="247" t="s">
        <v>993</v>
      </c>
      <c r="B2710" s="316">
        <v>3217</v>
      </c>
      <c r="C2710" s="247" t="s">
        <v>975</v>
      </c>
      <c r="D2710" s="317">
        <v>42673</v>
      </c>
      <c r="E2710" s="318">
        <v>0.11680555555555555</v>
      </c>
      <c r="F2710" s="247" t="s">
        <v>235</v>
      </c>
      <c r="G2710" s="247"/>
      <c r="H2710" s="248" t="s">
        <v>234</v>
      </c>
      <c r="I2710" s="248" t="s">
        <v>235</v>
      </c>
      <c r="J2710" s="247" t="s">
        <v>809</v>
      </c>
      <c r="K2710" s="249">
        <v>0</v>
      </c>
      <c r="M2710" s="90">
        <v>0</v>
      </c>
      <c r="N2710" s="90">
        <v>0</v>
      </c>
      <c r="O2710" s="90">
        <v>255</v>
      </c>
    </row>
    <row r="2711" spans="1:15" s="90" customFormat="1" ht="12.75" customHeight="1" x14ac:dyDescent="0.2">
      <c r="A2711" s="247" t="s">
        <v>989</v>
      </c>
      <c r="B2711" s="316">
        <v>3046</v>
      </c>
      <c r="C2711" s="247" t="s">
        <v>975</v>
      </c>
      <c r="D2711" s="317">
        <v>42673</v>
      </c>
      <c r="E2711" s="318">
        <v>0.15847222222222221</v>
      </c>
      <c r="F2711" s="247" t="s">
        <v>976</v>
      </c>
      <c r="G2711" s="247"/>
      <c r="H2711" s="248" t="s">
        <v>404</v>
      </c>
      <c r="I2711" s="248" t="s">
        <v>404</v>
      </c>
      <c r="J2711" s="247" t="s">
        <v>809</v>
      </c>
      <c r="K2711" s="249">
        <v>0</v>
      </c>
      <c r="M2711" s="90">
        <v>0</v>
      </c>
      <c r="N2711" s="90">
        <v>0</v>
      </c>
      <c r="O2711" s="90">
        <v>255</v>
      </c>
    </row>
    <row r="2712" spans="1:15" s="90" customFormat="1" ht="12.75" customHeight="1" x14ac:dyDescent="0.2">
      <c r="A2712" s="247" t="s">
        <v>990</v>
      </c>
      <c r="B2712" s="316">
        <v>3046</v>
      </c>
      <c r="C2712" s="247" t="s">
        <v>975</v>
      </c>
      <c r="D2712" s="317">
        <v>42673</v>
      </c>
      <c r="E2712" s="318">
        <v>0.15872685185185184</v>
      </c>
      <c r="F2712" s="247" t="s">
        <v>976</v>
      </c>
      <c r="G2712" s="247"/>
      <c r="H2712" s="248" t="s">
        <v>404</v>
      </c>
      <c r="I2712" s="248" t="s">
        <v>404</v>
      </c>
      <c r="J2712" s="247" t="s">
        <v>809</v>
      </c>
      <c r="K2712" s="249">
        <v>0</v>
      </c>
      <c r="M2712" s="90">
        <v>0</v>
      </c>
      <c r="N2712" s="90">
        <v>0</v>
      </c>
      <c r="O2712" s="90">
        <v>255</v>
      </c>
    </row>
    <row r="2713" spans="1:15" s="90" customFormat="1" ht="12.75" customHeight="1" x14ac:dyDescent="0.2">
      <c r="A2713" s="247" t="s">
        <v>993</v>
      </c>
      <c r="B2713" s="316">
        <v>3217</v>
      </c>
      <c r="C2713" s="247" t="s">
        <v>975</v>
      </c>
      <c r="D2713" s="317">
        <v>42673</v>
      </c>
      <c r="E2713" s="318">
        <v>0.15872685185185184</v>
      </c>
      <c r="F2713" s="247" t="s">
        <v>235</v>
      </c>
      <c r="G2713" s="247"/>
      <c r="H2713" s="248" t="s">
        <v>234</v>
      </c>
      <c r="I2713" s="248" t="s">
        <v>235</v>
      </c>
      <c r="J2713" s="247" t="s">
        <v>809</v>
      </c>
      <c r="K2713" s="249">
        <v>0</v>
      </c>
      <c r="M2713" s="90">
        <v>0</v>
      </c>
      <c r="N2713" s="90">
        <v>0</v>
      </c>
      <c r="O2713" s="90">
        <v>255</v>
      </c>
    </row>
    <row r="2714" spans="1:15" s="90" customFormat="1" ht="12.75" customHeight="1" x14ac:dyDescent="0.2">
      <c r="A2714" s="247" t="s">
        <v>989</v>
      </c>
      <c r="B2714" s="316">
        <v>3046</v>
      </c>
      <c r="C2714" s="247" t="s">
        <v>975</v>
      </c>
      <c r="D2714" s="317">
        <v>42673</v>
      </c>
      <c r="E2714" s="318">
        <v>0.20039351851851853</v>
      </c>
      <c r="F2714" s="247" t="s">
        <v>976</v>
      </c>
      <c r="G2714" s="247"/>
      <c r="H2714" s="248" t="s">
        <v>404</v>
      </c>
      <c r="I2714" s="248" t="s">
        <v>404</v>
      </c>
      <c r="J2714" s="247" t="s">
        <v>809</v>
      </c>
      <c r="K2714" s="249">
        <v>0</v>
      </c>
      <c r="M2714" s="90">
        <v>0</v>
      </c>
      <c r="N2714" s="90">
        <v>0</v>
      </c>
      <c r="O2714" s="90">
        <v>255</v>
      </c>
    </row>
    <row r="2715" spans="1:15" s="90" customFormat="1" ht="12.75" customHeight="1" x14ac:dyDescent="0.2">
      <c r="A2715" s="247" t="s">
        <v>990</v>
      </c>
      <c r="B2715" s="316">
        <v>3046</v>
      </c>
      <c r="C2715" s="247" t="s">
        <v>975</v>
      </c>
      <c r="D2715" s="317">
        <v>42673</v>
      </c>
      <c r="E2715" s="318">
        <v>0.20064814814814813</v>
      </c>
      <c r="F2715" s="247" t="s">
        <v>976</v>
      </c>
      <c r="G2715" s="247"/>
      <c r="H2715" s="248" t="s">
        <v>404</v>
      </c>
      <c r="I2715" s="248" t="s">
        <v>404</v>
      </c>
      <c r="J2715" s="247" t="s">
        <v>809</v>
      </c>
      <c r="K2715" s="249">
        <v>0</v>
      </c>
      <c r="M2715" s="90">
        <v>0</v>
      </c>
      <c r="N2715" s="90">
        <v>0</v>
      </c>
      <c r="O2715" s="90">
        <v>255</v>
      </c>
    </row>
    <row r="2716" spans="1:15" s="90" customFormat="1" ht="12.75" customHeight="1" x14ac:dyDescent="0.2">
      <c r="A2716" s="247" t="s">
        <v>993</v>
      </c>
      <c r="B2716" s="316">
        <v>3217</v>
      </c>
      <c r="C2716" s="247" t="s">
        <v>975</v>
      </c>
      <c r="D2716" s="317">
        <v>42673</v>
      </c>
      <c r="E2716" s="318">
        <v>0.20064814814814813</v>
      </c>
      <c r="F2716" s="247" t="s">
        <v>235</v>
      </c>
      <c r="G2716" s="247"/>
      <c r="H2716" s="248" t="s">
        <v>234</v>
      </c>
      <c r="I2716" s="248" t="s">
        <v>235</v>
      </c>
      <c r="J2716" s="247" t="s">
        <v>809</v>
      </c>
      <c r="K2716" s="249">
        <v>0</v>
      </c>
      <c r="M2716" s="90">
        <v>0</v>
      </c>
      <c r="N2716" s="90">
        <v>0</v>
      </c>
      <c r="O2716" s="90">
        <v>255</v>
      </c>
    </row>
    <row r="2717" spans="1:15" s="90" customFormat="1" ht="12.75" customHeight="1" x14ac:dyDescent="0.2">
      <c r="A2717" s="247" t="s">
        <v>989</v>
      </c>
      <c r="B2717" s="316">
        <v>3046</v>
      </c>
      <c r="C2717" s="247" t="s">
        <v>975</v>
      </c>
      <c r="D2717" s="317">
        <v>42673</v>
      </c>
      <c r="E2717" s="318">
        <v>0.24231481481481479</v>
      </c>
      <c r="F2717" s="247" t="s">
        <v>976</v>
      </c>
      <c r="G2717" s="247"/>
      <c r="H2717" s="248" t="s">
        <v>404</v>
      </c>
      <c r="I2717" s="248" t="s">
        <v>404</v>
      </c>
      <c r="J2717" s="247" t="s">
        <v>809</v>
      </c>
      <c r="K2717" s="249">
        <v>0</v>
      </c>
      <c r="M2717" s="90">
        <v>0</v>
      </c>
      <c r="N2717" s="90">
        <v>0</v>
      </c>
      <c r="O2717" s="90">
        <v>255</v>
      </c>
    </row>
    <row r="2718" spans="1:15" s="90" customFormat="1" ht="12.75" customHeight="1" x14ac:dyDescent="0.2">
      <c r="A2718" s="247" t="s">
        <v>990</v>
      </c>
      <c r="B2718" s="316">
        <v>3046</v>
      </c>
      <c r="C2718" s="247" t="s">
        <v>975</v>
      </c>
      <c r="D2718" s="317">
        <v>42673</v>
      </c>
      <c r="E2718" s="318">
        <v>0.24256944444444442</v>
      </c>
      <c r="F2718" s="247" t="s">
        <v>976</v>
      </c>
      <c r="G2718" s="247"/>
      <c r="H2718" s="248" t="s">
        <v>404</v>
      </c>
      <c r="I2718" s="248" t="s">
        <v>404</v>
      </c>
      <c r="J2718" s="247" t="s">
        <v>809</v>
      </c>
      <c r="K2718" s="249">
        <v>0</v>
      </c>
      <c r="M2718" s="90">
        <v>0</v>
      </c>
      <c r="N2718" s="90">
        <v>0</v>
      </c>
      <c r="O2718" s="90">
        <v>255</v>
      </c>
    </row>
    <row r="2719" spans="1:15" s="90" customFormat="1" ht="12.75" customHeight="1" x14ac:dyDescent="0.2">
      <c r="A2719" s="247" t="s">
        <v>993</v>
      </c>
      <c r="B2719" s="316">
        <v>3217</v>
      </c>
      <c r="C2719" s="247" t="s">
        <v>975</v>
      </c>
      <c r="D2719" s="317">
        <v>42673</v>
      </c>
      <c r="E2719" s="318">
        <v>0.24256944444444442</v>
      </c>
      <c r="F2719" s="247" t="s">
        <v>235</v>
      </c>
      <c r="G2719" s="247"/>
      <c r="H2719" s="248" t="s">
        <v>234</v>
      </c>
      <c r="I2719" s="248" t="s">
        <v>235</v>
      </c>
      <c r="J2719" s="247" t="s">
        <v>809</v>
      </c>
      <c r="K2719" s="249">
        <v>0</v>
      </c>
      <c r="M2719" s="90">
        <v>0</v>
      </c>
      <c r="N2719" s="90">
        <v>0</v>
      </c>
      <c r="O2719" s="90">
        <v>255</v>
      </c>
    </row>
    <row r="2720" spans="1:15" s="90" customFormat="1" ht="12.75" customHeight="1" x14ac:dyDescent="0.2">
      <c r="A2720" s="247" t="s">
        <v>989</v>
      </c>
      <c r="B2720" s="316">
        <v>3046</v>
      </c>
      <c r="C2720" s="247" t="s">
        <v>975</v>
      </c>
      <c r="D2720" s="317">
        <v>42673</v>
      </c>
      <c r="E2720" s="318">
        <v>0.28423611111111108</v>
      </c>
      <c r="F2720" s="247" t="s">
        <v>976</v>
      </c>
      <c r="G2720" s="247"/>
      <c r="H2720" s="248" t="s">
        <v>404</v>
      </c>
      <c r="I2720" s="248" t="s">
        <v>404</v>
      </c>
      <c r="J2720" s="247" t="s">
        <v>809</v>
      </c>
      <c r="K2720" s="249">
        <v>0</v>
      </c>
      <c r="M2720" s="90">
        <v>0</v>
      </c>
      <c r="N2720" s="90">
        <v>0</v>
      </c>
      <c r="O2720" s="90">
        <v>255</v>
      </c>
    </row>
    <row r="2721" spans="1:15" s="90" customFormat="1" ht="12.75" customHeight="1" x14ac:dyDescent="0.2">
      <c r="A2721" s="247" t="s">
        <v>993</v>
      </c>
      <c r="B2721" s="316">
        <v>3217</v>
      </c>
      <c r="C2721" s="247" t="s">
        <v>975</v>
      </c>
      <c r="D2721" s="317">
        <v>42673</v>
      </c>
      <c r="E2721" s="318">
        <v>0.28447916666666667</v>
      </c>
      <c r="F2721" s="247" t="s">
        <v>235</v>
      </c>
      <c r="G2721" s="247"/>
      <c r="H2721" s="248" t="s">
        <v>234</v>
      </c>
      <c r="I2721" s="248" t="s">
        <v>235</v>
      </c>
      <c r="J2721" s="247" t="s">
        <v>809</v>
      </c>
      <c r="K2721" s="249">
        <v>0</v>
      </c>
      <c r="M2721" s="90">
        <v>0</v>
      </c>
      <c r="N2721" s="90">
        <v>0</v>
      </c>
      <c r="O2721" s="90">
        <v>255</v>
      </c>
    </row>
    <row r="2722" spans="1:15" s="90" customFormat="1" ht="12.75" customHeight="1" x14ac:dyDescent="0.2">
      <c r="A2722" s="247" t="s">
        <v>990</v>
      </c>
      <c r="B2722" s="316">
        <v>3046</v>
      </c>
      <c r="C2722" s="247" t="s">
        <v>975</v>
      </c>
      <c r="D2722" s="317">
        <v>42673</v>
      </c>
      <c r="E2722" s="318">
        <v>0.28449074074074071</v>
      </c>
      <c r="F2722" s="247" t="s">
        <v>976</v>
      </c>
      <c r="G2722" s="247"/>
      <c r="H2722" s="248" t="s">
        <v>404</v>
      </c>
      <c r="I2722" s="248" t="s">
        <v>404</v>
      </c>
      <c r="J2722" s="247" t="s">
        <v>809</v>
      </c>
      <c r="K2722" s="249">
        <v>0</v>
      </c>
      <c r="M2722" s="90">
        <v>0</v>
      </c>
      <c r="N2722" s="90">
        <v>0</v>
      </c>
      <c r="O2722" s="90">
        <v>255</v>
      </c>
    </row>
    <row r="2723" spans="1:15" s="90" customFormat="1" ht="12.75" customHeight="1" x14ac:dyDescent="0.2">
      <c r="A2723" s="247" t="s">
        <v>989</v>
      </c>
      <c r="B2723" s="316">
        <v>3046</v>
      </c>
      <c r="C2723" s="247" t="s">
        <v>975</v>
      </c>
      <c r="D2723" s="317">
        <v>42673</v>
      </c>
      <c r="E2723" s="318">
        <v>0.3261574074074074</v>
      </c>
      <c r="F2723" s="247" t="s">
        <v>976</v>
      </c>
      <c r="G2723" s="247"/>
      <c r="H2723" s="248" t="s">
        <v>404</v>
      </c>
      <c r="I2723" s="248" t="s">
        <v>404</v>
      </c>
      <c r="J2723" s="247" t="s">
        <v>809</v>
      </c>
      <c r="K2723" s="249">
        <v>0</v>
      </c>
      <c r="M2723" s="90">
        <v>0</v>
      </c>
      <c r="N2723" s="90">
        <v>0</v>
      </c>
      <c r="O2723" s="90">
        <v>255</v>
      </c>
    </row>
    <row r="2724" spans="1:15" s="90" customFormat="1" ht="12.75" customHeight="1" x14ac:dyDescent="0.2">
      <c r="A2724" s="247" t="s">
        <v>993</v>
      </c>
      <c r="B2724" s="316">
        <v>3217</v>
      </c>
      <c r="C2724" s="247" t="s">
        <v>975</v>
      </c>
      <c r="D2724" s="317">
        <v>42673</v>
      </c>
      <c r="E2724" s="318">
        <v>0.32640046296296293</v>
      </c>
      <c r="F2724" s="247" t="s">
        <v>235</v>
      </c>
      <c r="G2724" s="247"/>
      <c r="H2724" s="248" t="s">
        <v>234</v>
      </c>
      <c r="I2724" s="248" t="s">
        <v>235</v>
      </c>
      <c r="J2724" s="247" t="s">
        <v>809</v>
      </c>
      <c r="K2724" s="249">
        <v>0</v>
      </c>
      <c r="M2724" s="90">
        <v>0</v>
      </c>
      <c r="N2724" s="90">
        <v>0</v>
      </c>
      <c r="O2724" s="90">
        <v>255</v>
      </c>
    </row>
    <row r="2725" spans="1:15" s="90" customFormat="1" ht="12.75" customHeight="1" x14ac:dyDescent="0.2">
      <c r="A2725" s="247" t="s">
        <v>990</v>
      </c>
      <c r="B2725" s="316">
        <v>3046</v>
      </c>
      <c r="C2725" s="247" t="s">
        <v>975</v>
      </c>
      <c r="D2725" s="317">
        <v>42673</v>
      </c>
      <c r="E2725" s="318">
        <v>0.32641203703703703</v>
      </c>
      <c r="F2725" s="247" t="s">
        <v>976</v>
      </c>
      <c r="G2725" s="247"/>
      <c r="H2725" s="248" t="s">
        <v>404</v>
      </c>
      <c r="I2725" s="248" t="s">
        <v>404</v>
      </c>
      <c r="J2725" s="247" t="s">
        <v>809</v>
      </c>
      <c r="K2725" s="249">
        <v>0</v>
      </c>
      <c r="M2725" s="90">
        <v>0</v>
      </c>
      <c r="N2725" s="90">
        <v>0</v>
      </c>
      <c r="O2725" s="90">
        <v>255</v>
      </c>
    </row>
    <row r="2726" spans="1:15" s="90" customFormat="1" ht="12.75" customHeight="1" x14ac:dyDescent="0.2">
      <c r="A2726" s="247" t="s">
        <v>989</v>
      </c>
      <c r="B2726" s="316">
        <v>3046</v>
      </c>
      <c r="C2726" s="247" t="s">
        <v>975</v>
      </c>
      <c r="D2726" s="317">
        <v>42673</v>
      </c>
      <c r="E2726" s="318">
        <v>0.36807870370370371</v>
      </c>
      <c r="F2726" s="247" t="s">
        <v>976</v>
      </c>
      <c r="G2726" s="247"/>
      <c r="H2726" s="248" t="s">
        <v>404</v>
      </c>
      <c r="I2726" s="248" t="s">
        <v>404</v>
      </c>
      <c r="J2726" s="247" t="s">
        <v>809</v>
      </c>
      <c r="K2726" s="249">
        <v>0</v>
      </c>
      <c r="M2726" s="90">
        <v>0</v>
      </c>
      <c r="N2726" s="90">
        <v>0</v>
      </c>
      <c r="O2726" s="90">
        <v>255</v>
      </c>
    </row>
    <row r="2727" spans="1:15" s="90" customFormat="1" ht="12.75" customHeight="1" x14ac:dyDescent="0.2">
      <c r="A2727" s="247" t="s">
        <v>990</v>
      </c>
      <c r="B2727" s="316">
        <v>3046</v>
      </c>
      <c r="C2727" s="247" t="s">
        <v>975</v>
      </c>
      <c r="D2727" s="317">
        <v>42673</v>
      </c>
      <c r="E2727" s="318">
        <v>0.36916666666666664</v>
      </c>
      <c r="F2727" s="247" t="s">
        <v>976</v>
      </c>
      <c r="G2727" s="247"/>
      <c r="H2727" s="248" t="s">
        <v>404</v>
      </c>
      <c r="I2727" s="248" t="s">
        <v>404</v>
      </c>
      <c r="J2727" s="247" t="s">
        <v>809</v>
      </c>
      <c r="K2727" s="249">
        <v>0</v>
      </c>
      <c r="M2727" s="90">
        <v>0</v>
      </c>
      <c r="N2727" s="90">
        <v>0</v>
      </c>
      <c r="O2727" s="90">
        <v>255</v>
      </c>
    </row>
    <row r="2728" spans="1:15" s="90" customFormat="1" ht="12.75" customHeight="1" x14ac:dyDescent="0.2">
      <c r="A2728" s="247" t="s">
        <v>993</v>
      </c>
      <c r="B2728" s="316">
        <v>3217</v>
      </c>
      <c r="C2728" s="247" t="s">
        <v>975</v>
      </c>
      <c r="D2728" s="317">
        <v>42673</v>
      </c>
      <c r="E2728" s="318">
        <v>0.36916666666666664</v>
      </c>
      <c r="F2728" s="247" t="s">
        <v>235</v>
      </c>
      <c r="G2728" s="247"/>
      <c r="H2728" s="248" t="s">
        <v>234</v>
      </c>
      <c r="I2728" s="248" t="s">
        <v>235</v>
      </c>
      <c r="J2728" s="247" t="s">
        <v>809</v>
      </c>
      <c r="K2728" s="249">
        <v>0</v>
      </c>
      <c r="M2728" s="90">
        <v>0</v>
      </c>
      <c r="N2728" s="90">
        <v>0</v>
      </c>
      <c r="O2728" s="90">
        <v>255</v>
      </c>
    </row>
    <row r="2729" spans="1:15" s="90" customFormat="1" ht="12.75" customHeight="1" x14ac:dyDescent="0.2">
      <c r="A2729" s="247" t="s">
        <v>989</v>
      </c>
      <c r="B2729" s="316">
        <v>3046</v>
      </c>
      <c r="C2729" s="247" t="s">
        <v>975</v>
      </c>
      <c r="D2729" s="317">
        <v>42673</v>
      </c>
      <c r="E2729" s="318">
        <v>0.41083333333333333</v>
      </c>
      <c r="F2729" s="247" t="s">
        <v>976</v>
      </c>
      <c r="G2729" s="247"/>
      <c r="H2729" s="248" t="s">
        <v>404</v>
      </c>
      <c r="I2729" s="248" t="s">
        <v>404</v>
      </c>
      <c r="J2729" s="247" t="s">
        <v>809</v>
      </c>
      <c r="K2729" s="249">
        <v>0</v>
      </c>
      <c r="M2729" s="90">
        <v>0</v>
      </c>
      <c r="N2729" s="90">
        <v>0</v>
      </c>
      <c r="O2729" s="90">
        <v>255</v>
      </c>
    </row>
    <row r="2730" spans="1:15" s="90" customFormat="1" ht="12.75" customHeight="1" x14ac:dyDescent="0.2">
      <c r="A2730" s="247" t="s">
        <v>990</v>
      </c>
      <c r="B2730" s="316">
        <v>3046</v>
      </c>
      <c r="C2730" s="247" t="s">
        <v>975</v>
      </c>
      <c r="D2730" s="317">
        <v>42673</v>
      </c>
      <c r="E2730" s="318">
        <v>0.41108796296296296</v>
      </c>
      <c r="F2730" s="247" t="s">
        <v>976</v>
      </c>
      <c r="G2730" s="247"/>
      <c r="H2730" s="248" t="s">
        <v>404</v>
      </c>
      <c r="I2730" s="248" t="s">
        <v>404</v>
      </c>
      <c r="J2730" s="247" t="s">
        <v>809</v>
      </c>
      <c r="K2730" s="249">
        <v>0</v>
      </c>
      <c r="M2730" s="90">
        <v>0</v>
      </c>
      <c r="N2730" s="90">
        <v>0</v>
      </c>
      <c r="O2730" s="90">
        <v>255</v>
      </c>
    </row>
    <row r="2731" spans="1:15" s="90" customFormat="1" ht="12.75" customHeight="1" x14ac:dyDescent="0.2">
      <c r="A2731" s="247" t="s">
        <v>993</v>
      </c>
      <c r="B2731" s="316">
        <v>3217</v>
      </c>
      <c r="C2731" s="247" t="s">
        <v>975</v>
      </c>
      <c r="D2731" s="317">
        <v>42673</v>
      </c>
      <c r="E2731" s="318">
        <v>0.41108796296296296</v>
      </c>
      <c r="F2731" s="247" t="s">
        <v>235</v>
      </c>
      <c r="G2731" s="247"/>
      <c r="H2731" s="248" t="s">
        <v>234</v>
      </c>
      <c r="I2731" s="248" t="s">
        <v>235</v>
      </c>
      <c r="J2731" s="247" t="s">
        <v>809</v>
      </c>
      <c r="K2731" s="249">
        <v>0</v>
      </c>
      <c r="M2731" s="90">
        <v>0</v>
      </c>
      <c r="N2731" s="90">
        <v>0</v>
      </c>
      <c r="O2731" s="90">
        <v>255</v>
      </c>
    </row>
    <row r="2732" spans="1:15" s="90" customFormat="1" ht="12.75" customHeight="1" x14ac:dyDescent="0.2">
      <c r="A2732" s="247" t="s">
        <v>989</v>
      </c>
      <c r="B2732" s="316">
        <v>3046</v>
      </c>
      <c r="C2732" s="247" t="s">
        <v>975</v>
      </c>
      <c r="D2732" s="317">
        <v>42673</v>
      </c>
      <c r="E2732" s="318">
        <v>0.45275462962962965</v>
      </c>
      <c r="F2732" s="247" t="s">
        <v>976</v>
      </c>
      <c r="G2732" s="247"/>
      <c r="H2732" s="248" t="s">
        <v>404</v>
      </c>
      <c r="I2732" s="248" t="s">
        <v>404</v>
      </c>
      <c r="J2732" s="247" t="s">
        <v>809</v>
      </c>
      <c r="K2732" s="249">
        <v>0</v>
      </c>
      <c r="M2732" s="90">
        <v>0</v>
      </c>
      <c r="N2732" s="90">
        <v>0</v>
      </c>
      <c r="O2732" s="90">
        <v>255</v>
      </c>
    </row>
    <row r="2733" spans="1:15" s="90" customFormat="1" ht="12.75" customHeight="1" x14ac:dyDescent="0.2">
      <c r="A2733" s="247" t="s">
        <v>990</v>
      </c>
      <c r="B2733" s="316">
        <v>3046</v>
      </c>
      <c r="C2733" s="247" t="s">
        <v>975</v>
      </c>
      <c r="D2733" s="317">
        <v>42673</v>
      </c>
      <c r="E2733" s="318">
        <v>0.45300925925925922</v>
      </c>
      <c r="F2733" s="247" t="s">
        <v>976</v>
      </c>
      <c r="G2733" s="247"/>
      <c r="H2733" s="248" t="s">
        <v>404</v>
      </c>
      <c r="I2733" s="248" t="s">
        <v>404</v>
      </c>
      <c r="J2733" s="247" t="s">
        <v>809</v>
      </c>
      <c r="K2733" s="249">
        <v>0</v>
      </c>
      <c r="M2733" s="90">
        <v>0</v>
      </c>
      <c r="N2733" s="90">
        <v>0</v>
      </c>
      <c r="O2733" s="90">
        <v>255</v>
      </c>
    </row>
    <row r="2734" spans="1:15" s="90" customFormat="1" ht="12.75" customHeight="1" x14ac:dyDescent="0.2">
      <c r="A2734" s="247" t="s">
        <v>993</v>
      </c>
      <c r="B2734" s="316">
        <v>3217</v>
      </c>
      <c r="C2734" s="247" t="s">
        <v>975</v>
      </c>
      <c r="D2734" s="317">
        <v>42673</v>
      </c>
      <c r="E2734" s="318">
        <v>0.45300925925925922</v>
      </c>
      <c r="F2734" s="247" t="s">
        <v>235</v>
      </c>
      <c r="G2734" s="247"/>
      <c r="H2734" s="248" t="s">
        <v>234</v>
      </c>
      <c r="I2734" s="248" t="s">
        <v>235</v>
      </c>
      <c r="J2734" s="247" t="s">
        <v>809</v>
      </c>
      <c r="K2734" s="249">
        <v>0</v>
      </c>
      <c r="M2734" s="90">
        <v>0</v>
      </c>
      <c r="N2734" s="90">
        <v>0</v>
      </c>
      <c r="O2734" s="90">
        <v>255</v>
      </c>
    </row>
    <row r="2735" spans="1:15" s="90" customFormat="1" ht="12.75" customHeight="1" x14ac:dyDescent="0.2">
      <c r="A2735" s="247" t="s">
        <v>989</v>
      </c>
      <c r="B2735" s="316">
        <v>3046</v>
      </c>
      <c r="C2735" s="247" t="s">
        <v>975</v>
      </c>
      <c r="D2735" s="317">
        <v>42673</v>
      </c>
      <c r="E2735" s="318">
        <v>0.49467592592592591</v>
      </c>
      <c r="F2735" s="247" t="s">
        <v>976</v>
      </c>
      <c r="G2735" s="247"/>
      <c r="H2735" s="248" t="s">
        <v>404</v>
      </c>
      <c r="I2735" s="248" t="s">
        <v>404</v>
      </c>
      <c r="J2735" s="247" t="s">
        <v>809</v>
      </c>
      <c r="K2735" s="249">
        <v>0</v>
      </c>
      <c r="M2735" s="90">
        <v>0</v>
      </c>
      <c r="N2735" s="90">
        <v>0</v>
      </c>
      <c r="O2735" s="90">
        <v>255</v>
      </c>
    </row>
    <row r="2736" spans="1:15" s="90" customFormat="1" ht="12.75" customHeight="1" x14ac:dyDescent="0.2">
      <c r="A2736" s="247" t="s">
        <v>990</v>
      </c>
      <c r="B2736" s="316">
        <v>3046</v>
      </c>
      <c r="C2736" s="247" t="s">
        <v>975</v>
      </c>
      <c r="D2736" s="317">
        <v>42673</v>
      </c>
      <c r="E2736" s="318">
        <v>0.4949305555555556</v>
      </c>
      <c r="F2736" s="247" t="s">
        <v>976</v>
      </c>
      <c r="G2736" s="247"/>
      <c r="H2736" s="248" t="s">
        <v>404</v>
      </c>
      <c r="I2736" s="248" t="s">
        <v>404</v>
      </c>
      <c r="J2736" s="247" t="s">
        <v>809</v>
      </c>
      <c r="K2736" s="249">
        <v>0</v>
      </c>
      <c r="M2736" s="90">
        <v>0</v>
      </c>
      <c r="N2736" s="90">
        <v>0</v>
      </c>
      <c r="O2736" s="90">
        <v>255</v>
      </c>
    </row>
    <row r="2737" spans="1:15" s="90" customFormat="1" ht="12.75" customHeight="1" x14ac:dyDescent="0.2">
      <c r="A2737" s="247" t="s">
        <v>993</v>
      </c>
      <c r="B2737" s="316">
        <v>3217</v>
      </c>
      <c r="C2737" s="247" t="s">
        <v>975</v>
      </c>
      <c r="D2737" s="317">
        <v>42673</v>
      </c>
      <c r="E2737" s="318">
        <v>0.4949305555555556</v>
      </c>
      <c r="F2737" s="247" t="s">
        <v>235</v>
      </c>
      <c r="G2737" s="247"/>
      <c r="H2737" s="248" t="s">
        <v>234</v>
      </c>
      <c r="I2737" s="248" t="s">
        <v>235</v>
      </c>
      <c r="J2737" s="247" t="s">
        <v>809</v>
      </c>
      <c r="K2737" s="249">
        <v>0</v>
      </c>
      <c r="M2737" s="90">
        <v>0</v>
      </c>
      <c r="N2737" s="90">
        <v>0</v>
      </c>
      <c r="O2737" s="90">
        <v>255</v>
      </c>
    </row>
    <row r="2738" spans="1:15" s="90" customFormat="1" ht="12.75" customHeight="1" x14ac:dyDescent="0.2">
      <c r="A2738" s="247" t="s">
        <v>989</v>
      </c>
      <c r="B2738" s="316">
        <v>3046</v>
      </c>
      <c r="C2738" s="247" t="s">
        <v>975</v>
      </c>
      <c r="D2738" s="317">
        <v>42673</v>
      </c>
      <c r="E2738" s="318">
        <v>0.53659722222222228</v>
      </c>
      <c r="F2738" s="247" t="s">
        <v>976</v>
      </c>
      <c r="G2738" s="247"/>
      <c r="H2738" s="248" t="s">
        <v>404</v>
      </c>
      <c r="I2738" s="248" t="s">
        <v>404</v>
      </c>
      <c r="J2738" s="247" t="s">
        <v>809</v>
      </c>
      <c r="K2738" s="249">
        <v>0</v>
      </c>
      <c r="M2738" s="90">
        <v>0</v>
      </c>
      <c r="N2738" s="90">
        <v>0</v>
      </c>
      <c r="O2738" s="90">
        <v>255</v>
      </c>
    </row>
    <row r="2739" spans="1:15" s="90" customFormat="1" ht="12.75" customHeight="1" x14ac:dyDescent="0.2">
      <c r="A2739" s="247" t="s">
        <v>993</v>
      </c>
      <c r="B2739" s="316">
        <v>3217</v>
      </c>
      <c r="C2739" s="247" t="s">
        <v>975</v>
      </c>
      <c r="D2739" s="317">
        <v>42673</v>
      </c>
      <c r="E2739" s="318">
        <v>0.53684027777777776</v>
      </c>
      <c r="F2739" s="247" t="s">
        <v>235</v>
      </c>
      <c r="G2739" s="247"/>
      <c r="H2739" s="248" t="s">
        <v>234</v>
      </c>
      <c r="I2739" s="248" t="s">
        <v>235</v>
      </c>
      <c r="J2739" s="247" t="s">
        <v>809</v>
      </c>
      <c r="K2739" s="249">
        <v>0</v>
      </c>
      <c r="M2739" s="90">
        <v>0</v>
      </c>
      <c r="N2739" s="90">
        <v>0</v>
      </c>
      <c r="O2739" s="90">
        <v>255</v>
      </c>
    </row>
    <row r="2740" spans="1:15" s="90" customFormat="1" ht="12.75" customHeight="1" x14ac:dyDescent="0.2">
      <c r="A2740" s="247" t="s">
        <v>990</v>
      </c>
      <c r="B2740" s="316">
        <v>3046</v>
      </c>
      <c r="C2740" s="247" t="s">
        <v>975</v>
      </c>
      <c r="D2740" s="317">
        <v>42673</v>
      </c>
      <c r="E2740" s="318">
        <v>0.5368518518518518</v>
      </c>
      <c r="F2740" s="247" t="s">
        <v>976</v>
      </c>
      <c r="G2740" s="247"/>
      <c r="H2740" s="248" t="s">
        <v>404</v>
      </c>
      <c r="I2740" s="248" t="s">
        <v>404</v>
      </c>
      <c r="J2740" s="247" t="s">
        <v>809</v>
      </c>
      <c r="K2740" s="249">
        <v>0</v>
      </c>
      <c r="M2740" s="90">
        <v>0</v>
      </c>
      <c r="N2740" s="90">
        <v>0</v>
      </c>
      <c r="O2740" s="90">
        <v>255</v>
      </c>
    </row>
    <row r="2741" spans="1:15" s="90" customFormat="1" ht="12.75" customHeight="1" x14ac:dyDescent="0.2">
      <c r="A2741" s="247" t="s">
        <v>989</v>
      </c>
      <c r="B2741" s="316">
        <v>3046</v>
      </c>
      <c r="C2741" s="247" t="s">
        <v>975</v>
      </c>
      <c r="D2741" s="317">
        <v>42673</v>
      </c>
      <c r="E2741" s="318">
        <v>0.57851851851851854</v>
      </c>
      <c r="F2741" s="247" t="s">
        <v>976</v>
      </c>
      <c r="G2741" s="247"/>
      <c r="H2741" s="248" t="s">
        <v>404</v>
      </c>
      <c r="I2741" s="248" t="s">
        <v>404</v>
      </c>
      <c r="J2741" s="247" t="s">
        <v>809</v>
      </c>
      <c r="K2741" s="249">
        <v>0</v>
      </c>
      <c r="M2741" s="90">
        <v>0</v>
      </c>
      <c r="N2741" s="90">
        <v>0</v>
      </c>
      <c r="O2741" s="90">
        <v>255</v>
      </c>
    </row>
    <row r="2742" spans="1:15" s="90" customFormat="1" ht="12.75" customHeight="1" x14ac:dyDescent="0.2">
      <c r="A2742" s="247" t="s">
        <v>993</v>
      </c>
      <c r="B2742" s="316">
        <v>3217</v>
      </c>
      <c r="C2742" s="247" t="s">
        <v>975</v>
      </c>
      <c r="D2742" s="317">
        <v>42673</v>
      </c>
      <c r="E2742" s="318">
        <v>0.57876157407407403</v>
      </c>
      <c r="F2742" s="247" t="s">
        <v>235</v>
      </c>
      <c r="G2742" s="247"/>
      <c r="H2742" s="248" t="s">
        <v>234</v>
      </c>
      <c r="I2742" s="248" t="s">
        <v>235</v>
      </c>
      <c r="J2742" s="247" t="s">
        <v>809</v>
      </c>
      <c r="K2742" s="249">
        <v>0</v>
      </c>
      <c r="M2742" s="90">
        <v>0</v>
      </c>
      <c r="N2742" s="90">
        <v>0</v>
      </c>
      <c r="O2742" s="90">
        <v>255</v>
      </c>
    </row>
    <row r="2743" spans="1:15" s="90" customFormat="1" ht="12.75" customHeight="1" x14ac:dyDescent="0.2">
      <c r="A2743" s="247" t="s">
        <v>990</v>
      </c>
      <c r="B2743" s="316">
        <v>3046</v>
      </c>
      <c r="C2743" s="247" t="s">
        <v>975</v>
      </c>
      <c r="D2743" s="317">
        <v>42673</v>
      </c>
      <c r="E2743" s="318">
        <v>0.57877314814814818</v>
      </c>
      <c r="F2743" s="247" t="s">
        <v>976</v>
      </c>
      <c r="G2743" s="247"/>
      <c r="H2743" s="248" t="s">
        <v>404</v>
      </c>
      <c r="I2743" s="248" t="s">
        <v>404</v>
      </c>
      <c r="J2743" s="247" t="s">
        <v>809</v>
      </c>
      <c r="K2743" s="249">
        <v>0</v>
      </c>
      <c r="M2743" s="90">
        <v>0</v>
      </c>
      <c r="N2743" s="90">
        <v>0</v>
      </c>
      <c r="O2743" s="90">
        <v>255</v>
      </c>
    </row>
    <row r="2744" spans="1:15" s="90" customFormat="1" ht="12.75" customHeight="1" x14ac:dyDescent="0.2">
      <c r="A2744" s="247" t="s">
        <v>989</v>
      </c>
      <c r="B2744" s="316">
        <v>3046</v>
      </c>
      <c r="C2744" s="247" t="s">
        <v>975</v>
      </c>
      <c r="D2744" s="317">
        <v>42673</v>
      </c>
      <c r="E2744" s="318">
        <v>0.62043981481481481</v>
      </c>
      <c r="F2744" s="247" t="s">
        <v>976</v>
      </c>
      <c r="G2744" s="247"/>
      <c r="H2744" s="248" t="s">
        <v>404</v>
      </c>
      <c r="I2744" s="248" t="s">
        <v>404</v>
      </c>
      <c r="J2744" s="247" t="s">
        <v>809</v>
      </c>
      <c r="K2744" s="249">
        <v>0</v>
      </c>
      <c r="M2744" s="90">
        <v>0</v>
      </c>
      <c r="N2744" s="90">
        <v>0</v>
      </c>
      <c r="O2744" s="90">
        <v>255</v>
      </c>
    </row>
    <row r="2745" spans="1:15" s="90" customFormat="1" ht="12.75" customHeight="1" x14ac:dyDescent="0.2">
      <c r="A2745" s="247" t="s">
        <v>993</v>
      </c>
      <c r="B2745" s="316">
        <v>3217</v>
      </c>
      <c r="C2745" s="247" t="s">
        <v>975</v>
      </c>
      <c r="D2745" s="317">
        <v>42673</v>
      </c>
      <c r="E2745" s="318">
        <v>0.6206828703703704</v>
      </c>
      <c r="F2745" s="247" t="s">
        <v>235</v>
      </c>
      <c r="G2745" s="247"/>
      <c r="H2745" s="248" t="s">
        <v>234</v>
      </c>
      <c r="I2745" s="248" t="s">
        <v>235</v>
      </c>
      <c r="J2745" s="247" t="s">
        <v>809</v>
      </c>
      <c r="K2745" s="249">
        <v>0</v>
      </c>
      <c r="M2745" s="90">
        <v>0</v>
      </c>
      <c r="N2745" s="90">
        <v>0</v>
      </c>
      <c r="O2745" s="90">
        <v>255</v>
      </c>
    </row>
    <row r="2746" spans="1:15" s="90" customFormat="1" ht="12.75" customHeight="1" x14ac:dyDescent="0.2">
      <c r="A2746" s="247" t="s">
        <v>990</v>
      </c>
      <c r="B2746" s="316">
        <v>3046</v>
      </c>
      <c r="C2746" s="247" t="s">
        <v>975</v>
      </c>
      <c r="D2746" s="317">
        <v>42673</v>
      </c>
      <c r="E2746" s="318">
        <v>0.62069444444444444</v>
      </c>
      <c r="F2746" s="247" t="s">
        <v>976</v>
      </c>
      <c r="G2746" s="247"/>
      <c r="H2746" s="248" t="s">
        <v>404</v>
      </c>
      <c r="I2746" s="248" t="s">
        <v>404</v>
      </c>
      <c r="J2746" s="247" t="s">
        <v>809</v>
      </c>
      <c r="K2746" s="249">
        <v>0</v>
      </c>
      <c r="M2746" s="90">
        <v>0</v>
      </c>
      <c r="N2746" s="90">
        <v>0</v>
      </c>
      <c r="O2746" s="90">
        <v>255</v>
      </c>
    </row>
    <row r="2747" spans="1:15" s="90" customFormat="1" ht="12.75" customHeight="1" x14ac:dyDescent="0.2">
      <c r="A2747" s="247" t="s">
        <v>989</v>
      </c>
      <c r="B2747" s="316">
        <v>3046</v>
      </c>
      <c r="C2747" s="247" t="s">
        <v>975</v>
      </c>
      <c r="D2747" s="317">
        <v>42673</v>
      </c>
      <c r="E2747" s="318">
        <v>0.66236111111111107</v>
      </c>
      <c r="F2747" s="247" t="s">
        <v>976</v>
      </c>
      <c r="G2747" s="247"/>
      <c r="H2747" s="248" t="s">
        <v>404</v>
      </c>
      <c r="I2747" s="248" t="s">
        <v>404</v>
      </c>
      <c r="J2747" s="247" t="s">
        <v>809</v>
      </c>
      <c r="K2747" s="249">
        <v>0</v>
      </c>
      <c r="M2747" s="90">
        <v>0</v>
      </c>
      <c r="N2747" s="90">
        <v>0</v>
      </c>
      <c r="O2747" s="90">
        <v>255</v>
      </c>
    </row>
    <row r="2748" spans="1:15" s="90" customFormat="1" ht="12.75" customHeight="1" x14ac:dyDescent="0.2">
      <c r="A2748" s="247" t="s">
        <v>990</v>
      </c>
      <c r="B2748" s="316">
        <v>3046</v>
      </c>
      <c r="C2748" s="247" t="s">
        <v>975</v>
      </c>
      <c r="D2748" s="317">
        <v>42673</v>
      </c>
      <c r="E2748" s="318">
        <v>0.66260416666666666</v>
      </c>
      <c r="F2748" s="247" t="s">
        <v>976</v>
      </c>
      <c r="G2748" s="247"/>
      <c r="H2748" s="248" t="s">
        <v>404</v>
      </c>
      <c r="I2748" s="248" t="s">
        <v>404</v>
      </c>
      <c r="J2748" s="247" t="s">
        <v>809</v>
      </c>
      <c r="K2748" s="249">
        <v>0</v>
      </c>
      <c r="M2748" s="90">
        <v>0</v>
      </c>
      <c r="N2748" s="90">
        <v>0</v>
      </c>
      <c r="O2748" s="90">
        <v>255</v>
      </c>
    </row>
    <row r="2749" spans="1:15" s="90" customFormat="1" ht="12.75" customHeight="1" x14ac:dyDescent="0.2">
      <c r="A2749" s="247" t="s">
        <v>993</v>
      </c>
      <c r="B2749" s="316">
        <v>3217</v>
      </c>
      <c r="C2749" s="247" t="s">
        <v>975</v>
      </c>
      <c r="D2749" s="317">
        <v>42673</v>
      </c>
      <c r="E2749" s="318">
        <v>0.66260416666666666</v>
      </c>
      <c r="F2749" s="247" t="s">
        <v>235</v>
      </c>
      <c r="G2749" s="247"/>
      <c r="H2749" s="248" t="s">
        <v>234</v>
      </c>
      <c r="I2749" s="248" t="s">
        <v>235</v>
      </c>
      <c r="J2749" s="247" t="s">
        <v>809</v>
      </c>
      <c r="K2749" s="249">
        <v>0</v>
      </c>
      <c r="M2749" s="90">
        <v>0</v>
      </c>
      <c r="N2749" s="90">
        <v>0</v>
      </c>
      <c r="O2749" s="90">
        <v>255</v>
      </c>
    </row>
    <row r="2750" spans="1:15" s="90" customFormat="1" ht="12.75" customHeight="1" x14ac:dyDescent="0.2">
      <c r="A2750" s="247" t="s">
        <v>989</v>
      </c>
      <c r="B2750" s="316">
        <v>3046</v>
      </c>
      <c r="C2750" s="247" t="s">
        <v>975</v>
      </c>
      <c r="D2750" s="317">
        <v>42673</v>
      </c>
      <c r="E2750" s="318">
        <v>0.70428240740740744</v>
      </c>
      <c r="F2750" s="247" t="s">
        <v>976</v>
      </c>
      <c r="G2750" s="247"/>
      <c r="H2750" s="248" t="s">
        <v>404</v>
      </c>
      <c r="I2750" s="248" t="s">
        <v>404</v>
      </c>
      <c r="J2750" s="247" t="s">
        <v>809</v>
      </c>
      <c r="K2750" s="249">
        <v>0</v>
      </c>
      <c r="M2750" s="90">
        <v>0</v>
      </c>
      <c r="N2750" s="90">
        <v>0</v>
      </c>
      <c r="O2750" s="90">
        <v>255</v>
      </c>
    </row>
    <row r="2751" spans="1:15" s="90" customFormat="1" ht="12.75" customHeight="1" x14ac:dyDescent="0.2">
      <c r="A2751" s="247" t="s">
        <v>990</v>
      </c>
      <c r="B2751" s="316">
        <v>3046</v>
      </c>
      <c r="C2751" s="247" t="s">
        <v>975</v>
      </c>
      <c r="D2751" s="317">
        <v>42673</v>
      </c>
      <c r="E2751" s="318">
        <v>0.70452546296296292</v>
      </c>
      <c r="F2751" s="247" t="s">
        <v>976</v>
      </c>
      <c r="G2751" s="247"/>
      <c r="H2751" s="248" t="s">
        <v>404</v>
      </c>
      <c r="I2751" s="248" t="s">
        <v>404</v>
      </c>
      <c r="J2751" s="247" t="s">
        <v>809</v>
      </c>
      <c r="K2751" s="249">
        <v>0</v>
      </c>
      <c r="M2751" s="90">
        <v>0</v>
      </c>
      <c r="N2751" s="90">
        <v>0</v>
      </c>
      <c r="O2751" s="90">
        <v>255</v>
      </c>
    </row>
    <row r="2752" spans="1:15" s="90" customFormat="1" ht="12.75" customHeight="1" x14ac:dyDescent="0.2">
      <c r="A2752" s="247" t="s">
        <v>993</v>
      </c>
      <c r="B2752" s="316">
        <v>3217</v>
      </c>
      <c r="C2752" s="247" t="s">
        <v>975</v>
      </c>
      <c r="D2752" s="317">
        <v>42673</v>
      </c>
      <c r="E2752" s="318">
        <v>0.70452546296296292</v>
      </c>
      <c r="F2752" s="247" t="s">
        <v>235</v>
      </c>
      <c r="G2752" s="247"/>
      <c r="H2752" s="248" t="s">
        <v>234</v>
      </c>
      <c r="I2752" s="248" t="s">
        <v>235</v>
      </c>
      <c r="J2752" s="247" t="s">
        <v>809</v>
      </c>
      <c r="K2752" s="249">
        <v>0</v>
      </c>
      <c r="M2752" s="90">
        <v>0</v>
      </c>
      <c r="N2752" s="90">
        <v>0</v>
      </c>
      <c r="O2752" s="90">
        <v>255</v>
      </c>
    </row>
    <row r="2753" spans="1:15" s="90" customFormat="1" ht="12.75" customHeight="1" x14ac:dyDescent="0.2">
      <c r="A2753" s="247" t="s">
        <v>989</v>
      </c>
      <c r="B2753" s="316">
        <v>3046</v>
      </c>
      <c r="C2753" s="247" t="s">
        <v>975</v>
      </c>
      <c r="D2753" s="317">
        <v>42673</v>
      </c>
      <c r="E2753" s="318">
        <v>0.74619212962962955</v>
      </c>
      <c r="F2753" s="247" t="s">
        <v>976</v>
      </c>
      <c r="G2753" s="247"/>
      <c r="H2753" s="248" t="s">
        <v>404</v>
      </c>
      <c r="I2753" s="248" t="s">
        <v>404</v>
      </c>
      <c r="J2753" s="247" t="s">
        <v>809</v>
      </c>
      <c r="K2753" s="249">
        <v>0</v>
      </c>
      <c r="M2753" s="90">
        <v>0</v>
      </c>
      <c r="N2753" s="90">
        <v>0</v>
      </c>
      <c r="O2753" s="90">
        <v>255</v>
      </c>
    </row>
    <row r="2754" spans="1:15" s="90" customFormat="1" ht="12.75" customHeight="1" x14ac:dyDescent="0.2">
      <c r="A2754" s="247" t="s">
        <v>990</v>
      </c>
      <c r="B2754" s="316">
        <v>3046</v>
      </c>
      <c r="C2754" s="247" t="s">
        <v>975</v>
      </c>
      <c r="D2754" s="317">
        <v>42673</v>
      </c>
      <c r="E2754" s="318">
        <v>0.7464467592592593</v>
      </c>
      <c r="F2754" s="247" t="s">
        <v>976</v>
      </c>
      <c r="G2754" s="247"/>
      <c r="H2754" s="248" t="s">
        <v>404</v>
      </c>
      <c r="I2754" s="248" t="s">
        <v>404</v>
      </c>
      <c r="J2754" s="247" t="s">
        <v>809</v>
      </c>
      <c r="K2754" s="249">
        <v>0</v>
      </c>
      <c r="M2754" s="90">
        <v>0</v>
      </c>
      <c r="N2754" s="90">
        <v>0</v>
      </c>
      <c r="O2754" s="90">
        <v>255</v>
      </c>
    </row>
    <row r="2755" spans="1:15" s="90" customFormat="1" ht="12.75" customHeight="1" x14ac:dyDescent="0.2">
      <c r="A2755" s="247" t="s">
        <v>993</v>
      </c>
      <c r="B2755" s="316">
        <v>3217</v>
      </c>
      <c r="C2755" s="247" t="s">
        <v>975</v>
      </c>
      <c r="D2755" s="317">
        <v>42673</v>
      </c>
      <c r="E2755" s="318">
        <v>0.7464467592592593</v>
      </c>
      <c r="F2755" s="247" t="s">
        <v>235</v>
      </c>
      <c r="G2755" s="247"/>
      <c r="H2755" s="248" t="s">
        <v>234</v>
      </c>
      <c r="I2755" s="248" t="s">
        <v>235</v>
      </c>
      <c r="J2755" s="247" t="s">
        <v>809</v>
      </c>
      <c r="K2755" s="249">
        <v>0</v>
      </c>
      <c r="M2755" s="90">
        <v>0</v>
      </c>
      <c r="N2755" s="90">
        <v>0</v>
      </c>
      <c r="O2755" s="90">
        <v>255</v>
      </c>
    </row>
    <row r="2756" spans="1:15" s="90" customFormat="1" ht="12.75" customHeight="1" x14ac:dyDescent="0.2">
      <c r="A2756" s="247" t="s">
        <v>989</v>
      </c>
      <c r="B2756" s="316">
        <v>3046</v>
      </c>
      <c r="C2756" s="247" t="s">
        <v>975</v>
      </c>
      <c r="D2756" s="317">
        <v>42673</v>
      </c>
      <c r="E2756" s="318">
        <v>0.78811342592592604</v>
      </c>
      <c r="F2756" s="247" t="s">
        <v>976</v>
      </c>
      <c r="G2756" s="247"/>
      <c r="H2756" s="248" t="s">
        <v>404</v>
      </c>
      <c r="I2756" s="248" t="s">
        <v>404</v>
      </c>
      <c r="J2756" s="247" t="s">
        <v>809</v>
      </c>
      <c r="K2756" s="249">
        <v>0</v>
      </c>
      <c r="M2756" s="90">
        <v>0</v>
      </c>
      <c r="N2756" s="90">
        <v>0</v>
      </c>
      <c r="O2756" s="90">
        <v>255</v>
      </c>
    </row>
    <row r="2757" spans="1:15" s="90" customFormat="1" ht="12.75" customHeight="1" x14ac:dyDescent="0.2">
      <c r="A2757" s="247" t="s">
        <v>990</v>
      </c>
      <c r="B2757" s="316">
        <v>3046</v>
      </c>
      <c r="C2757" s="247" t="s">
        <v>975</v>
      </c>
      <c r="D2757" s="317">
        <v>42673</v>
      </c>
      <c r="E2757" s="318">
        <v>0.78836805555555556</v>
      </c>
      <c r="F2757" s="247" t="s">
        <v>976</v>
      </c>
      <c r="G2757" s="247"/>
      <c r="H2757" s="248" t="s">
        <v>404</v>
      </c>
      <c r="I2757" s="248" t="s">
        <v>404</v>
      </c>
      <c r="J2757" s="247" t="s">
        <v>809</v>
      </c>
      <c r="K2757" s="249">
        <v>0</v>
      </c>
      <c r="M2757" s="90">
        <v>0</v>
      </c>
      <c r="N2757" s="90">
        <v>0</v>
      </c>
      <c r="O2757" s="90">
        <v>255</v>
      </c>
    </row>
    <row r="2758" spans="1:15" s="90" customFormat="1" ht="12.75" customHeight="1" x14ac:dyDescent="0.2">
      <c r="A2758" s="247" t="s">
        <v>993</v>
      </c>
      <c r="B2758" s="316">
        <v>3217</v>
      </c>
      <c r="C2758" s="247" t="s">
        <v>975</v>
      </c>
      <c r="D2758" s="317">
        <v>42673</v>
      </c>
      <c r="E2758" s="318">
        <v>0.78836805555555556</v>
      </c>
      <c r="F2758" s="247" t="s">
        <v>235</v>
      </c>
      <c r="G2758" s="247"/>
      <c r="H2758" s="248" t="s">
        <v>234</v>
      </c>
      <c r="I2758" s="248" t="s">
        <v>235</v>
      </c>
      <c r="J2758" s="247" t="s">
        <v>809</v>
      </c>
      <c r="K2758" s="249">
        <v>0</v>
      </c>
      <c r="M2758" s="90">
        <v>0</v>
      </c>
      <c r="N2758" s="90">
        <v>0</v>
      </c>
      <c r="O2758" s="90">
        <v>255</v>
      </c>
    </row>
    <row r="2759" spans="1:15" s="90" customFormat="1" ht="12.75" customHeight="1" x14ac:dyDescent="0.2">
      <c r="A2759" s="247" t="s">
        <v>989</v>
      </c>
      <c r="B2759" s="316">
        <v>3046</v>
      </c>
      <c r="C2759" s="247" t="s">
        <v>975</v>
      </c>
      <c r="D2759" s="317">
        <v>42673</v>
      </c>
      <c r="E2759" s="318">
        <v>0.8300347222222223</v>
      </c>
      <c r="F2759" s="247" t="s">
        <v>976</v>
      </c>
      <c r="G2759" s="247"/>
      <c r="H2759" s="248" t="s">
        <v>404</v>
      </c>
      <c r="I2759" s="248" t="s">
        <v>404</v>
      </c>
      <c r="J2759" s="247" t="s">
        <v>809</v>
      </c>
      <c r="K2759" s="249">
        <v>0</v>
      </c>
      <c r="M2759" s="90">
        <v>0</v>
      </c>
      <c r="N2759" s="90">
        <v>0</v>
      </c>
      <c r="O2759" s="90">
        <v>255</v>
      </c>
    </row>
    <row r="2760" spans="1:15" s="90" customFormat="1" ht="12.75" customHeight="1" x14ac:dyDescent="0.2">
      <c r="A2760" s="247" t="s">
        <v>990</v>
      </c>
      <c r="B2760" s="316">
        <v>3046</v>
      </c>
      <c r="C2760" s="247" t="s">
        <v>975</v>
      </c>
      <c r="D2760" s="317">
        <v>42673</v>
      </c>
      <c r="E2760" s="318">
        <v>0.83028935185185182</v>
      </c>
      <c r="F2760" s="247" t="s">
        <v>976</v>
      </c>
      <c r="G2760" s="247"/>
      <c r="H2760" s="248" t="s">
        <v>404</v>
      </c>
      <c r="I2760" s="248" t="s">
        <v>404</v>
      </c>
      <c r="J2760" s="247" t="s">
        <v>809</v>
      </c>
      <c r="K2760" s="249">
        <v>0</v>
      </c>
      <c r="M2760" s="90">
        <v>0</v>
      </c>
      <c r="N2760" s="90">
        <v>0</v>
      </c>
      <c r="O2760" s="90">
        <v>255</v>
      </c>
    </row>
    <row r="2761" spans="1:15" s="90" customFormat="1" ht="12.75" customHeight="1" x14ac:dyDescent="0.2">
      <c r="A2761" s="247" t="s">
        <v>993</v>
      </c>
      <c r="B2761" s="316">
        <v>3217</v>
      </c>
      <c r="C2761" s="247" t="s">
        <v>975</v>
      </c>
      <c r="D2761" s="317">
        <v>42673</v>
      </c>
      <c r="E2761" s="318">
        <v>0.83028935185185182</v>
      </c>
      <c r="F2761" s="247" t="s">
        <v>235</v>
      </c>
      <c r="G2761" s="247"/>
      <c r="H2761" s="248" t="s">
        <v>234</v>
      </c>
      <c r="I2761" s="248" t="s">
        <v>235</v>
      </c>
      <c r="J2761" s="247" t="s">
        <v>809</v>
      </c>
      <c r="K2761" s="249">
        <v>0</v>
      </c>
      <c r="M2761" s="90">
        <v>0</v>
      </c>
      <c r="N2761" s="90">
        <v>0</v>
      </c>
      <c r="O2761" s="90">
        <v>255</v>
      </c>
    </row>
    <row r="2762" spans="1:15" s="90" customFormat="1" ht="12.75" customHeight="1" x14ac:dyDescent="0.2">
      <c r="A2762" s="247" t="s">
        <v>989</v>
      </c>
      <c r="B2762" s="316">
        <v>3046</v>
      </c>
      <c r="C2762" s="247" t="s">
        <v>975</v>
      </c>
      <c r="D2762" s="317">
        <v>42673</v>
      </c>
      <c r="E2762" s="318">
        <v>0.87195601851851856</v>
      </c>
      <c r="F2762" s="247" t="s">
        <v>976</v>
      </c>
      <c r="G2762" s="247"/>
      <c r="H2762" s="248" t="s">
        <v>404</v>
      </c>
      <c r="I2762" s="248" t="s">
        <v>404</v>
      </c>
      <c r="J2762" s="247" t="s">
        <v>809</v>
      </c>
      <c r="K2762" s="249">
        <v>0</v>
      </c>
      <c r="M2762" s="90">
        <v>0</v>
      </c>
      <c r="N2762" s="90">
        <v>0</v>
      </c>
      <c r="O2762" s="90">
        <v>255</v>
      </c>
    </row>
    <row r="2763" spans="1:15" s="90" customFormat="1" ht="12.75" customHeight="1" x14ac:dyDescent="0.2">
      <c r="A2763" s="247" t="s">
        <v>993</v>
      </c>
      <c r="B2763" s="316">
        <v>3217</v>
      </c>
      <c r="C2763" s="247" t="s">
        <v>975</v>
      </c>
      <c r="D2763" s="317">
        <v>42673</v>
      </c>
      <c r="E2763" s="318">
        <v>0.87219907407407404</v>
      </c>
      <c r="F2763" s="247" t="s">
        <v>235</v>
      </c>
      <c r="G2763" s="247"/>
      <c r="H2763" s="248" t="s">
        <v>234</v>
      </c>
      <c r="I2763" s="248" t="s">
        <v>235</v>
      </c>
      <c r="J2763" s="247" t="s">
        <v>809</v>
      </c>
      <c r="K2763" s="249">
        <v>0</v>
      </c>
      <c r="M2763" s="90">
        <v>0</v>
      </c>
      <c r="N2763" s="90">
        <v>0</v>
      </c>
      <c r="O2763" s="90">
        <v>255</v>
      </c>
    </row>
    <row r="2764" spans="1:15" s="90" customFormat="1" ht="12.75" customHeight="1" x14ac:dyDescent="0.2">
      <c r="A2764" s="247" t="s">
        <v>990</v>
      </c>
      <c r="B2764" s="316">
        <v>3046</v>
      </c>
      <c r="C2764" s="247" t="s">
        <v>975</v>
      </c>
      <c r="D2764" s="317">
        <v>42673</v>
      </c>
      <c r="E2764" s="318">
        <v>0.87221064814814808</v>
      </c>
      <c r="F2764" s="247" t="s">
        <v>976</v>
      </c>
      <c r="G2764" s="247"/>
      <c r="H2764" s="248" t="s">
        <v>404</v>
      </c>
      <c r="I2764" s="248" t="s">
        <v>404</v>
      </c>
      <c r="J2764" s="247" t="s">
        <v>809</v>
      </c>
      <c r="K2764" s="249">
        <v>0</v>
      </c>
      <c r="M2764" s="90">
        <v>0</v>
      </c>
      <c r="N2764" s="90">
        <v>0</v>
      </c>
      <c r="O2764" s="90">
        <v>255</v>
      </c>
    </row>
    <row r="2765" spans="1:15" s="90" customFormat="1" ht="12.75" customHeight="1" x14ac:dyDescent="0.2">
      <c r="A2765" s="247" t="s">
        <v>989</v>
      </c>
      <c r="B2765" s="316">
        <v>3046</v>
      </c>
      <c r="C2765" s="247" t="s">
        <v>975</v>
      </c>
      <c r="D2765" s="317">
        <v>42673</v>
      </c>
      <c r="E2765" s="318">
        <v>0.91387731481481482</v>
      </c>
      <c r="F2765" s="247" t="s">
        <v>976</v>
      </c>
      <c r="G2765" s="247"/>
      <c r="H2765" s="248" t="s">
        <v>404</v>
      </c>
      <c r="I2765" s="248" t="s">
        <v>404</v>
      </c>
      <c r="J2765" s="247" t="s">
        <v>809</v>
      </c>
      <c r="K2765" s="249">
        <v>0</v>
      </c>
      <c r="M2765" s="90">
        <v>0</v>
      </c>
      <c r="N2765" s="90">
        <v>0</v>
      </c>
      <c r="O2765" s="90">
        <v>255</v>
      </c>
    </row>
    <row r="2766" spans="1:15" s="90" customFormat="1" ht="12.75" customHeight="1" x14ac:dyDescent="0.2">
      <c r="A2766" s="247" t="s">
        <v>993</v>
      </c>
      <c r="B2766" s="316">
        <v>3217</v>
      </c>
      <c r="C2766" s="247" t="s">
        <v>975</v>
      </c>
      <c r="D2766" s="317">
        <v>42673</v>
      </c>
      <c r="E2766" s="318">
        <v>0.91412037037037042</v>
      </c>
      <c r="F2766" s="247" t="s">
        <v>235</v>
      </c>
      <c r="G2766" s="247"/>
      <c r="H2766" s="248" t="s">
        <v>234</v>
      </c>
      <c r="I2766" s="248" t="s">
        <v>235</v>
      </c>
      <c r="J2766" s="247" t="s">
        <v>809</v>
      </c>
      <c r="K2766" s="249">
        <v>0</v>
      </c>
      <c r="M2766" s="90">
        <v>0</v>
      </c>
      <c r="N2766" s="90">
        <v>0</v>
      </c>
      <c r="O2766" s="90">
        <v>255</v>
      </c>
    </row>
    <row r="2767" spans="1:15" s="90" customFormat="1" ht="12.75" customHeight="1" x14ac:dyDescent="0.2">
      <c r="A2767" s="247" t="s">
        <v>990</v>
      </c>
      <c r="B2767" s="316">
        <v>3046</v>
      </c>
      <c r="C2767" s="247" t="s">
        <v>975</v>
      </c>
      <c r="D2767" s="317">
        <v>42673</v>
      </c>
      <c r="E2767" s="318">
        <v>0.91413194444444434</v>
      </c>
      <c r="F2767" s="247" t="s">
        <v>976</v>
      </c>
      <c r="G2767" s="247"/>
      <c r="H2767" s="248" t="s">
        <v>404</v>
      </c>
      <c r="I2767" s="248" t="s">
        <v>404</v>
      </c>
      <c r="J2767" s="247" t="s">
        <v>809</v>
      </c>
      <c r="K2767" s="249">
        <v>0</v>
      </c>
      <c r="M2767" s="90">
        <v>0</v>
      </c>
      <c r="N2767" s="90">
        <v>0</v>
      </c>
      <c r="O2767" s="90">
        <v>255</v>
      </c>
    </row>
    <row r="2768" spans="1:15" s="90" customFormat="1" ht="12.75" customHeight="1" x14ac:dyDescent="0.2">
      <c r="A2768" s="247" t="s">
        <v>989</v>
      </c>
      <c r="B2768" s="316">
        <v>3046</v>
      </c>
      <c r="C2768" s="247" t="s">
        <v>975</v>
      </c>
      <c r="D2768" s="317">
        <v>42673</v>
      </c>
      <c r="E2768" s="318">
        <v>0.95579861111111108</v>
      </c>
      <c r="F2768" s="247" t="s">
        <v>976</v>
      </c>
      <c r="G2768" s="247"/>
      <c r="H2768" s="248" t="s">
        <v>404</v>
      </c>
      <c r="I2768" s="248" t="s">
        <v>404</v>
      </c>
      <c r="J2768" s="247" t="s">
        <v>809</v>
      </c>
      <c r="K2768" s="249">
        <v>0</v>
      </c>
      <c r="M2768" s="90">
        <v>0</v>
      </c>
      <c r="N2768" s="90">
        <v>0</v>
      </c>
      <c r="O2768" s="90">
        <v>255</v>
      </c>
    </row>
    <row r="2769" spans="1:15" s="90" customFormat="1" ht="12.75" customHeight="1" x14ac:dyDescent="0.2">
      <c r="A2769" s="247" t="s">
        <v>993</v>
      </c>
      <c r="B2769" s="316">
        <v>3217</v>
      </c>
      <c r="C2769" s="247" t="s">
        <v>975</v>
      </c>
      <c r="D2769" s="317">
        <v>42673</v>
      </c>
      <c r="E2769" s="318">
        <v>0.95604166666666668</v>
      </c>
      <c r="F2769" s="247" t="s">
        <v>235</v>
      </c>
      <c r="G2769" s="247"/>
      <c r="H2769" s="248" t="s">
        <v>234</v>
      </c>
      <c r="I2769" s="248" t="s">
        <v>235</v>
      </c>
      <c r="J2769" s="247" t="s">
        <v>809</v>
      </c>
      <c r="K2769" s="249">
        <v>0</v>
      </c>
      <c r="M2769" s="90">
        <v>0</v>
      </c>
      <c r="N2769" s="90">
        <v>0</v>
      </c>
      <c r="O2769" s="90">
        <v>255</v>
      </c>
    </row>
    <row r="2770" spans="1:15" s="90" customFormat="1" ht="12.75" customHeight="1" x14ac:dyDescent="0.2">
      <c r="A2770" s="247" t="s">
        <v>990</v>
      </c>
      <c r="B2770" s="316">
        <v>3046</v>
      </c>
      <c r="C2770" s="247" t="s">
        <v>975</v>
      </c>
      <c r="D2770" s="317">
        <v>42673</v>
      </c>
      <c r="E2770" s="318">
        <v>0.95605324074074083</v>
      </c>
      <c r="F2770" s="247" t="s">
        <v>976</v>
      </c>
      <c r="G2770" s="247"/>
      <c r="H2770" s="248" t="s">
        <v>404</v>
      </c>
      <c r="I2770" s="248" t="s">
        <v>404</v>
      </c>
      <c r="J2770" s="247" t="s">
        <v>809</v>
      </c>
      <c r="K2770" s="249">
        <v>0</v>
      </c>
      <c r="M2770" s="90">
        <v>0</v>
      </c>
      <c r="N2770" s="90">
        <v>0</v>
      </c>
      <c r="O2770" s="90">
        <v>255</v>
      </c>
    </row>
    <row r="2771" spans="1:15" s="90" customFormat="1" ht="12.75" customHeight="1" x14ac:dyDescent="0.2">
      <c r="A2771" s="247" t="s">
        <v>989</v>
      </c>
      <c r="B2771" s="316">
        <v>3046</v>
      </c>
      <c r="C2771" s="247" t="s">
        <v>975</v>
      </c>
      <c r="D2771" s="317">
        <v>42673</v>
      </c>
      <c r="E2771" s="318">
        <v>0.99771990740740746</v>
      </c>
      <c r="F2771" s="247" t="s">
        <v>976</v>
      </c>
      <c r="G2771" s="247"/>
      <c r="H2771" s="248" t="s">
        <v>404</v>
      </c>
      <c r="I2771" s="248" t="s">
        <v>404</v>
      </c>
      <c r="J2771" s="247" t="s">
        <v>809</v>
      </c>
      <c r="K2771" s="249">
        <v>0</v>
      </c>
      <c r="M2771" s="90">
        <v>0</v>
      </c>
      <c r="N2771" s="90">
        <v>0</v>
      </c>
      <c r="O2771" s="90">
        <v>255</v>
      </c>
    </row>
    <row r="2772" spans="1:15" s="90" customFormat="1" ht="12.75" customHeight="1" x14ac:dyDescent="0.2">
      <c r="A2772" s="247" t="s">
        <v>990</v>
      </c>
      <c r="B2772" s="316">
        <v>3046</v>
      </c>
      <c r="C2772" s="247" t="s">
        <v>975</v>
      </c>
      <c r="D2772" s="317">
        <v>42673</v>
      </c>
      <c r="E2772" s="318">
        <v>0.99796296296296294</v>
      </c>
      <c r="F2772" s="247" t="s">
        <v>976</v>
      </c>
      <c r="G2772" s="247"/>
      <c r="H2772" s="248" t="s">
        <v>404</v>
      </c>
      <c r="I2772" s="248" t="s">
        <v>404</v>
      </c>
      <c r="J2772" s="247" t="s">
        <v>809</v>
      </c>
      <c r="K2772" s="249">
        <v>0</v>
      </c>
      <c r="M2772" s="90">
        <v>0</v>
      </c>
      <c r="N2772" s="90">
        <v>0</v>
      </c>
      <c r="O2772" s="90">
        <v>255</v>
      </c>
    </row>
    <row r="2773" spans="1:15" s="90" customFormat="1" ht="12.75" customHeight="1" x14ac:dyDescent="0.2">
      <c r="A2773" s="247" t="s">
        <v>993</v>
      </c>
      <c r="B2773" s="316">
        <v>3217</v>
      </c>
      <c r="C2773" s="247" t="s">
        <v>975</v>
      </c>
      <c r="D2773" s="317">
        <v>42673</v>
      </c>
      <c r="E2773" s="318">
        <v>0.99796296296296294</v>
      </c>
      <c r="F2773" s="247" t="s">
        <v>235</v>
      </c>
      <c r="G2773" s="247"/>
      <c r="H2773" s="248" t="s">
        <v>234</v>
      </c>
      <c r="I2773" s="248" t="s">
        <v>235</v>
      </c>
      <c r="J2773" s="247" t="s">
        <v>809</v>
      </c>
      <c r="K2773" s="249">
        <v>0</v>
      </c>
      <c r="M2773" s="90">
        <v>0</v>
      </c>
      <c r="N2773" s="90">
        <v>0</v>
      </c>
      <c r="O2773" s="90">
        <v>255</v>
      </c>
    </row>
    <row r="2774" spans="1:15" s="90" customFormat="1" ht="12.75" customHeight="1" x14ac:dyDescent="0.2">
      <c r="A2774" s="247" t="s">
        <v>989</v>
      </c>
      <c r="B2774" s="316">
        <v>3046</v>
      </c>
      <c r="C2774" s="247" t="s">
        <v>975</v>
      </c>
      <c r="D2774" s="317">
        <v>42674</v>
      </c>
      <c r="E2774" s="318">
        <v>3.9641203703703706E-2</v>
      </c>
      <c r="F2774" s="247" t="s">
        <v>976</v>
      </c>
      <c r="G2774" s="247"/>
      <c r="H2774" s="248" t="s">
        <v>404</v>
      </c>
      <c r="I2774" s="248" t="s">
        <v>404</v>
      </c>
      <c r="J2774" s="247" t="s">
        <v>809</v>
      </c>
      <c r="K2774" s="249">
        <v>0</v>
      </c>
      <c r="M2774" s="90">
        <v>0</v>
      </c>
      <c r="N2774" s="90">
        <v>0</v>
      </c>
      <c r="O2774" s="90">
        <v>255</v>
      </c>
    </row>
    <row r="2775" spans="1:15" s="90" customFormat="1" ht="12.75" customHeight="1" x14ac:dyDescent="0.2">
      <c r="A2775" s="247" t="s">
        <v>990</v>
      </c>
      <c r="B2775" s="316">
        <v>3046</v>
      </c>
      <c r="C2775" s="247" t="s">
        <v>975</v>
      </c>
      <c r="D2775" s="317">
        <v>42674</v>
      </c>
      <c r="E2775" s="318">
        <v>3.9884259259259258E-2</v>
      </c>
      <c r="F2775" s="247" t="s">
        <v>976</v>
      </c>
      <c r="G2775" s="247"/>
      <c r="H2775" s="248" t="s">
        <v>404</v>
      </c>
      <c r="I2775" s="248" t="s">
        <v>404</v>
      </c>
      <c r="J2775" s="247" t="s">
        <v>809</v>
      </c>
      <c r="K2775" s="249">
        <v>0</v>
      </c>
      <c r="M2775" s="90">
        <v>0</v>
      </c>
      <c r="N2775" s="90">
        <v>0</v>
      </c>
      <c r="O2775" s="90">
        <v>255</v>
      </c>
    </row>
    <row r="2776" spans="1:15" s="90" customFormat="1" ht="12.75" customHeight="1" x14ac:dyDescent="0.2">
      <c r="A2776" s="247" t="s">
        <v>993</v>
      </c>
      <c r="B2776" s="316">
        <v>3217</v>
      </c>
      <c r="C2776" s="247" t="s">
        <v>975</v>
      </c>
      <c r="D2776" s="317">
        <v>42674</v>
      </c>
      <c r="E2776" s="318">
        <v>3.9884259259259258E-2</v>
      </c>
      <c r="F2776" s="247" t="s">
        <v>235</v>
      </c>
      <c r="G2776" s="247"/>
      <c r="H2776" s="248" t="s">
        <v>234</v>
      </c>
      <c r="I2776" s="248" t="s">
        <v>235</v>
      </c>
      <c r="J2776" s="247" t="s">
        <v>809</v>
      </c>
      <c r="K2776" s="249">
        <v>0</v>
      </c>
      <c r="M2776" s="90">
        <v>0</v>
      </c>
      <c r="N2776" s="90">
        <v>0</v>
      </c>
      <c r="O2776" s="90">
        <v>255</v>
      </c>
    </row>
    <row r="2777" spans="1:15" s="90" customFormat="1" ht="12.75" customHeight="1" x14ac:dyDescent="0.2">
      <c r="A2777" s="247" t="s">
        <v>989</v>
      </c>
      <c r="B2777" s="316">
        <v>3046</v>
      </c>
      <c r="C2777" s="247" t="s">
        <v>975</v>
      </c>
      <c r="D2777" s="317">
        <v>42674</v>
      </c>
      <c r="E2777" s="318">
        <v>8.1562499999999996E-2</v>
      </c>
      <c r="F2777" s="247" t="s">
        <v>976</v>
      </c>
      <c r="G2777" s="247"/>
      <c r="H2777" s="248" t="s">
        <v>404</v>
      </c>
      <c r="I2777" s="248" t="s">
        <v>404</v>
      </c>
      <c r="J2777" s="247" t="s">
        <v>809</v>
      </c>
      <c r="K2777" s="249">
        <v>0</v>
      </c>
      <c r="M2777" s="90">
        <v>0</v>
      </c>
      <c r="N2777" s="90">
        <v>0</v>
      </c>
      <c r="O2777" s="90">
        <v>255</v>
      </c>
    </row>
    <row r="2778" spans="1:15" s="90" customFormat="1" ht="12.75" customHeight="1" x14ac:dyDescent="0.2">
      <c r="A2778" s="247" t="s">
        <v>990</v>
      </c>
      <c r="B2778" s="316">
        <v>3046</v>
      </c>
      <c r="C2778" s="247" t="s">
        <v>975</v>
      </c>
      <c r="D2778" s="317">
        <v>42674</v>
      </c>
      <c r="E2778" s="318">
        <v>8.1805555555555562E-2</v>
      </c>
      <c r="F2778" s="247" t="s">
        <v>976</v>
      </c>
      <c r="G2778" s="247"/>
      <c r="H2778" s="248" t="s">
        <v>404</v>
      </c>
      <c r="I2778" s="248" t="s">
        <v>404</v>
      </c>
      <c r="J2778" s="247" t="s">
        <v>809</v>
      </c>
      <c r="K2778" s="249">
        <v>0</v>
      </c>
      <c r="M2778" s="90">
        <v>0</v>
      </c>
      <c r="N2778" s="90">
        <v>0</v>
      </c>
      <c r="O2778" s="90">
        <v>255</v>
      </c>
    </row>
    <row r="2779" spans="1:15" s="90" customFormat="1" ht="12.75" customHeight="1" x14ac:dyDescent="0.2">
      <c r="A2779" s="247" t="s">
        <v>993</v>
      </c>
      <c r="B2779" s="316">
        <v>3217</v>
      </c>
      <c r="C2779" s="247" t="s">
        <v>975</v>
      </c>
      <c r="D2779" s="317">
        <v>42674</v>
      </c>
      <c r="E2779" s="318">
        <v>8.1805555555555562E-2</v>
      </c>
      <c r="F2779" s="247" t="s">
        <v>235</v>
      </c>
      <c r="G2779" s="247"/>
      <c r="H2779" s="248" t="s">
        <v>234</v>
      </c>
      <c r="I2779" s="248" t="s">
        <v>235</v>
      </c>
      <c r="J2779" s="247" t="s">
        <v>809</v>
      </c>
      <c r="K2779" s="249">
        <v>0</v>
      </c>
      <c r="M2779" s="90">
        <v>0</v>
      </c>
      <c r="N2779" s="90">
        <v>0</v>
      </c>
      <c r="O2779" s="90">
        <v>255</v>
      </c>
    </row>
    <row r="2780" spans="1:15" s="90" customFormat="1" ht="12.75" customHeight="1" x14ac:dyDescent="0.2">
      <c r="A2780" s="247" t="s">
        <v>989</v>
      </c>
      <c r="B2780" s="316">
        <v>3046</v>
      </c>
      <c r="C2780" s="247" t="s">
        <v>975</v>
      </c>
      <c r="D2780" s="317">
        <v>42674</v>
      </c>
      <c r="E2780" s="318">
        <v>0.1234837962962963</v>
      </c>
      <c r="F2780" s="247" t="s">
        <v>976</v>
      </c>
      <c r="G2780" s="247"/>
      <c r="H2780" s="248" t="s">
        <v>404</v>
      </c>
      <c r="I2780" s="248" t="s">
        <v>404</v>
      </c>
      <c r="J2780" s="247" t="s">
        <v>809</v>
      </c>
      <c r="K2780" s="249">
        <v>0</v>
      </c>
      <c r="M2780" s="90">
        <v>0</v>
      </c>
      <c r="N2780" s="90">
        <v>0</v>
      </c>
      <c r="O2780" s="90">
        <v>255</v>
      </c>
    </row>
    <row r="2781" spans="1:15" s="90" customFormat="1" ht="12.75" customHeight="1" x14ac:dyDescent="0.2">
      <c r="A2781" s="247" t="s">
        <v>990</v>
      </c>
      <c r="B2781" s="316">
        <v>3046</v>
      </c>
      <c r="C2781" s="247" t="s">
        <v>975</v>
      </c>
      <c r="D2781" s="317">
        <v>42674</v>
      </c>
      <c r="E2781" s="318">
        <v>0.12372685185185185</v>
      </c>
      <c r="F2781" s="247" t="s">
        <v>976</v>
      </c>
      <c r="G2781" s="247"/>
      <c r="H2781" s="248" t="s">
        <v>404</v>
      </c>
      <c r="I2781" s="248" t="s">
        <v>404</v>
      </c>
      <c r="J2781" s="247" t="s">
        <v>809</v>
      </c>
      <c r="K2781" s="249">
        <v>0</v>
      </c>
      <c r="M2781" s="90">
        <v>0</v>
      </c>
      <c r="N2781" s="90">
        <v>0</v>
      </c>
      <c r="O2781" s="90">
        <v>255</v>
      </c>
    </row>
    <row r="2782" spans="1:15" s="90" customFormat="1" ht="12.75" customHeight="1" x14ac:dyDescent="0.2">
      <c r="A2782" s="247" t="s">
        <v>993</v>
      </c>
      <c r="B2782" s="316">
        <v>3217</v>
      </c>
      <c r="C2782" s="247" t="s">
        <v>975</v>
      </c>
      <c r="D2782" s="317">
        <v>42674</v>
      </c>
      <c r="E2782" s="318">
        <v>0.12372685185185185</v>
      </c>
      <c r="F2782" s="247" t="s">
        <v>235</v>
      </c>
      <c r="G2782" s="247"/>
      <c r="H2782" s="248" t="s">
        <v>234</v>
      </c>
      <c r="I2782" s="248" t="s">
        <v>235</v>
      </c>
      <c r="J2782" s="247" t="s">
        <v>809</v>
      </c>
      <c r="K2782" s="249">
        <v>0</v>
      </c>
      <c r="M2782" s="90">
        <v>0</v>
      </c>
      <c r="N2782" s="90">
        <v>0</v>
      </c>
      <c r="O2782" s="90">
        <v>255</v>
      </c>
    </row>
    <row r="2783" spans="1:15" s="90" customFormat="1" ht="12.75" customHeight="1" x14ac:dyDescent="0.2">
      <c r="A2783" s="247" t="s">
        <v>989</v>
      </c>
      <c r="B2783" s="316">
        <v>3046</v>
      </c>
      <c r="C2783" s="247" t="s">
        <v>975</v>
      </c>
      <c r="D2783" s="317">
        <v>42674</v>
      </c>
      <c r="E2783" s="318">
        <v>0.16540509259259259</v>
      </c>
      <c r="F2783" s="247" t="s">
        <v>976</v>
      </c>
      <c r="G2783" s="247"/>
      <c r="H2783" s="248" t="s">
        <v>404</v>
      </c>
      <c r="I2783" s="248" t="s">
        <v>404</v>
      </c>
      <c r="J2783" s="247" t="s">
        <v>809</v>
      </c>
      <c r="K2783" s="249">
        <v>0</v>
      </c>
      <c r="M2783" s="90">
        <v>0</v>
      </c>
      <c r="N2783" s="90">
        <v>0</v>
      </c>
      <c r="O2783" s="90">
        <v>255</v>
      </c>
    </row>
    <row r="2784" spans="1:15" s="90" customFormat="1" ht="12.75" customHeight="1" x14ac:dyDescent="0.2">
      <c r="A2784" s="247" t="s">
        <v>990</v>
      </c>
      <c r="B2784" s="316">
        <v>3046</v>
      </c>
      <c r="C2784" s="247" t="s">
        <v>975</v>
      </c>
      <c r="D2784" s="317">
        <v>42674</v>
      </c>
      <c r="E2784" s="318">
        <v>0.16564814814814813</v>
      </c>
      <c r="F2784" s="247" t="s">
        <v>976</v>
      </c>
      <c r="G2784" s="247"/>
      <c r="H2784" s="248" t="s">
        <v>404</v>
      </c>
      <c r="I2784" s="248" t="s">
        <v>404</v>
      </c>
      <c r="J2784" s="247" t="s">
        <v>809</v>
      </c>
      <c r="K2784" s="249">
        <v>0</v>
      </c>
      <c r="M2784" s="90">
        <v>0</v>
      </c>
      <c r="N2784" s="90">
        <v>0</v>
      </c>
      <c r="O2784" s="90">
        <v>255</v>
      </c>
    </row>
    <row r="2785" spans="1:15" s="90" customFormat="1" ht="12.75" customHeight="1" x14ac:dyDescent="0.2">
      <c r="A2785" s="247" t="s">
        <v>993</v>
      </c>
      <c r="B2785" s="316">
        <v>3217</v>
      </c>
      <c r="C2785" s="247" t="s">
        <v>975</v>
      </c>
      <c r="D2785" s="317">
        <v>42674</v>
      </c>
      <c r="E2785" s="318">
        <v>0.16564814814814813</v>
      </c>
      <c r="F2785" s="247" t="s">
        <v>235</v>
      </c>
      <c r="G2785" s="247"/>
      <c r="H2785" s="248" t="s">
        <v>234</v>
      </c>
      <c r="I2785" s="248" t="s">
        <v>235</v>
      </c>
      <c r="J2785" s="247" t="s">
        <v>809</v>
      </c>
      <c r="K2785" s="249">
        <v>0</v>
      </c>
      <c r="M2785" s="90">
        <v>0</v>
      </c>
      <c r="N2785" s="90">
        <v>0</v>
      </c>
      <c r="O2785" s="90">
        <v>255</v>
      </c>
    </row>
    <row r="2786" spans="1:15" s="90" customFormat="1" ht="12.75" customHeight="1" x14ac:dyDescent="0.2">
      <c r="A2786" s="247" t="s">
        <v>989</v>
      </c>
      <c r="B2786" s="316">
        <v>3046</v>
      </c>
      <c r="C2786" s="247" t="s">
        <v>975</v>
      </c>
      <c r="D2786" s="317">
        <v>42674</v>
      </c>
      <c r="E2786" s="318">
        <v>0.20732638888888888</v>
      </c>
      <c r="F2786" s="247" t="s">
        <v>976</v>
      </c>
      <c r="G2786" s="247"/>
      <c r="H2786" s="248" t="s">
        <v>404</v>
      </c>
      <c r="I2786" s="248" t="s">
        <v>404</v>
      </c>
      <c r="J2786" s="247" t="s">
        <v>809</v>
      </c>
      <c r="K2786" s="249">
        <v>0</v>
      </c>
      <c r="M2786" s="90">
        <v>0</v>
      </c>
      <c r="N2786" s="90">
        <v>0</v>
      </c>
      <c r="O2786" s="90">
        <v>255</v>
      </c>
    </row>
    <row r="2787" spans="1:15" s="90" customFormat="1" ht="12.75" customHeight="1" x14ac:dyDescent="0.2">
      <c r="A2787" s="247" t="s">
        <v>990</v>
      </c>
      <c r="B2787" s="316">
        <v>3046</v>
      </c>
      <c r="C2787" s="247" t="s">
        <v>975</v>
      </c>
      <c r="D2787" s="317">
        <v>42674</v>
      </c>
      <c r="E2787" s="318">
        <v>0.20756944444444445</v>
      </c>
      <c r="F2787" s="247" t="s">
        <v>976</v>
      </c>
      <c r="G2787" s="247"/>
      <c r="H2787" s="248" t="s">
        <v>404</v>
      </c>
      <c r="I2787" s="248" t="s">
        <v>404</v>
      </c>
      <c r="J2787" s="247" t="s">
        <v>809</v>
      </c>
      <c r="K2787" s="249">
        <v>0</v>
      </c>
      <c r="M2787" s="90">
        <v>0</v>
      </c>
      <c r="N2787" s="90">
        <v>0</v>
      </c>
      <c r="O2787" s="90">
        <v>255</v>
      </c>
    </row>
    <row r="2788" spans="1:15" s="90" customFormat="1" ht="12.75" customHeight="1" x14ac:dyDescent="0.2">
      <c r="A2788" s="247" t="s">
        <v>993</v>
      </c>
      <c r="B2788" s="316">
        <v>3217</v>
      </c>
      <c r="C2788" s="247" t="s">
        <v>975</v>
      </c>
      <c r="D2788" s="317">
        <v>42674</v>
      </c>
      <c r="E2788" s="318">
        <v>0.20756944444444445</v>
      </c>
      <c r="F2788" s="247" t="s">
        <v>235</v>
      </c>
      <c r="G2788" s="247"/>
      <c r="H2788" s="248" t="s">
        <v>234</v>
      </c>
      <c r="I2788" s="248" t="s">
        <v>235</v>
      </c>
      <c r="J2788" s="247" t="s">
        <v>809</v>
      </c>
      <c r="K2788" s="249">
        <v>0</v>
      </c>
      <c r="M2788" s="90">
        <v>0</v>
      </c>
      <c r="N2788" s="90">
        <v>0</v>
      </c>
      <c r="O2788" s="90">
        <v>255</v>
      </c>
    </row>
    <row r="2789" spans="1:15" s="90" customFormat="1" ht="12.75" customHeight="1" x14ac:dyDescent="0.2">
      <c r="A2789" s="247" t="s">
        <v>989</v>
      </c>
      <c r="B2789" s="316">
        <v>3046</v>
      </c>
      <c r="C2789" s="247" t="s">
        <v>975</v>
      </c>
      <c r="D2789" s="317">
        <v>42674</v>
      </c>
      <c r="E2789" s="318">
        <v>0.24924768518518517</v>
      </c>
      <c r="F2789" s="247" t="s">
        <v>976</v>
      </c>
      <c r="G2789" s="247"/>
      <c r="H2789" s="248" t="s">
        <v>404</v>
      </c>
      <c r="I2789" s="248" t="s">
        <v>404</v>
      </c>
      <c r="J2789" s="247" t="s">
        <v>809</v>
      </c>
      <c r="K2789" s="249">
        <v>0</v>
      </c>
      <c r="M2789" s="90">
        <v>0</v>
      </c>
      <c r="N2789" s="90">
        <v>0</v>
      </c>
      <c r="O2789" s="90">
        <v>255</v>
      </c>
    </row>
    <row r="2790" spans="1:15" s="90" customFormat="1" ht="12.75" customHeight="1" x14ac:dyDescent="0.2">
      <c r="A2790" s="247" t="s">
        <v>990</v>
      </c>
      <c r="B2790" s="316">
        <v>3046</v>
      </c>
      <c r="C2790" s="247" t="s">
        <v>975</v>
      </c>
      <c r="D2790" s="317">
        <v>42674</v>
      </c>
      <c r="E2790" s="318">
        <v>0.24949074074074074</v>
      </c>
      <c r="F2790" s="247" t="s">
        <v>976</v>
      </c>
      <c r="G2790" s="247"/>
      <c r="H2790" s="248" t="s">
        <v>404</v>
      </c>
      <c r="I2790" s="248" t="s">
        <v>404</v>
      </c>
      <c r="J2790" s="247" t="s">
        <v>809</v>
      </c>
      <c r="K2790" s="249">
        <v>0</v>
      </c>
      <c r="M2790" s="90">
        <v>0</v>
      </c>
      <c r="N2790" s="90">
        <v>0</v>
      </c>
      <c r="O2790" s="90">
        <v>255</v>
      </c>
    </row>
    <row r="2791" spans="1:15" s="90" customFormat="1" ht="12.75" customHeight="1" x14ac:dyDescent="0.2">
      <c r="A2791" s="247" t="s">
        <v>993</v>
      </c>
      <c r="B2791" s="316">
        <v>3217</v>
      </c>
      <c r="C2791" s="247" t="s">
        <v>975</v>
      </c>
      <c r="D2791" s="317">
        <v>42674</v>
      </c>
      <c r="E2791" s="318">
        <v>0.24949074074074074</v>
      </c>
      <c r="F2791" s="247" t="s">
        <v>235</v>
      </c>
      <c r="G2791" s="247"/>
      <c r="H2791" s="248" t="s">
        <v>234</v>
      </c>
      <c r="I2791" s="248" t="s">
        <v>235</v>
      </c>
      <c r="J2791" s="247" t="s">
        <v>809</v>
      </c>
      <c r="K2791" s="249">
        <v>0</v>
      </c>
      <c r="M2791" s="90">
        <v>0</v>
      </c>
      <c r="N2791" s="90">
        <v>0</v>
      </c>
      <c r="O2791" s="90">
        <v>255</v>
      </c>
    </row>
    <row r="2792" spans="1:15" s="90" customFormat="1" ht="12.75" customHeight="1" x14ac:dyDescent="0.2">
      <c r="A2792" s="247" t="s">
        <v>989</v>
      </c>
      <c r="B2792" s="316">
        <v>3046</v>
      </c>
      <c r="C2792" s="247" t="s">
        <v>975</v>
      </c>
      <c r="D2792" s="317">
        <v>42674</v>
      </c>
      <c r="E2792" s="318">
        <v>0.29116898148148146</v>
      </c>
      <c r="F2792" s="247" t="s">
        <v>976</v>
      </c>
      <c r="G2792" s="247"/>
      <c r="H2792" s="248" t="s">
        <v>404</v>
      </c>
      <c r="I2792" s="248" t="s">
        <v>404</v>
      </c>
      <c r="J2792" s="247" t="s">
        <v>809</v>
      </c>
      <c r="K2792" s="249">
        <v>0</v>
      </c>
      <c r="M2792" s="90">
        <v>0</v>
      </c>
      <c r="N2792" s="90">
        <v>0</v>
      </c>
      <c r="O2792" s="90">
        <v>255</v>
      </c>
    </row>
    <row r="2793" spans="1:15" s="90" customFormat="1" ht="12.75" customHeight="1" x14ac:dyDescent="0.2">
      <c r="A2793" s="247" t="s">
        <v>990</v>
      </c>
      <c r="B2793" s="316">
        <v>3046</v>
      </c>
      <c r="C2793" s="247" t="s">
        <v>975</v>
      </c>
      <c r="D2793" s="317">
        <v>42674</v>
      </c>
      <c r="E2793" s="318">
        <v>0.29141203703703705</v>
      </c>
      <c r="F2793" s="247" t="s">
        <v>976</v>
      </c>
      <c r="G2793" s="247"/>
      <c r="H2793" s="248" t="s">
        <v>404</v>
      </c>
      <c r="I2793" s="248" t="s">
        <v>404</v>
      </c>
      <c r="J2793" s="247" t="s">
        <v>809</v>
      </c>
      <c r="K2793" s="249">
        <v>0</v>
      </c>
      <c r="M2793" s="90">
        <v>0</v>
      </c>
      <c r="N2793" s="90">
        <v>0</v>
      </c>
      <c r="O2793" s="90">
        <v>255</v>
      </c>
    </row>
    <row r="2794" spans="1:15" s="90" customFormat="1" ht="12.75" customHeight="1" x14ac:dyDescent="0.2">
      <c r="A2794" s="247" t="s">
        <v>993</v>
      </c>
      <c r="B2794" s="316">
        <v>3217</v>
      </c>
      <c r="C2794" s="247" t="s">
        <v>975</v>
      </c>
      <c r="D2794" s="317">
        <v>42674</v>
      </c>
      <c r="E2794" s="318">
        <v>0.29141203703703705</v>
      </c>
      <c r="F2794" s="247" t="s">
        <v>235</v>
      </c>
      <c r="G2794" s="247"/>
      <c r="H2794" s="248" t="s">
        <v>234</v>
      </c>
      <c r="I2794" s="248" t="s">
        <v>235</v>
      </c>
      <c r="J2794" s="247" t="s">
        <v>809</v>
      </c>
      <c r="K2794" s="249">
        <v>0</v>
      </c>
      <c r="M2794" s="90">
        <v>0</v>
      </c>
      <c r="N2794" s="90">
        <v>0</v>
      </c>
      <c r="O2794" s="90">
        <v>255</v>
      </c>
    </row>
    <row r="2795" spans="1:15" s="90" customFormat="1" ht="12.75" customHeight="1" x14ac:dyDescent="0.2">
      <c r="A2795" s="247" t="s">
        <v>989</v>
      </c>
      <c r="B2795" s="316">
        <v>3046</v>
      </c>
      <c r="C2795" s="247" t="s">
        <v>975</v>
      </c>
      <c r="D2795" s="317">
        <v>42674</v>
      </c>
      <c r="E2795" s="318">
        <v>0.33307870370370368</v>
      </c>
      <c r="F2795" s="247" t="s">
        <v>976</v>
      </c>
      <c r="G2795" s="247"/>
      <c r="H2795" s="248" t="s">
        <v>404</v>
      </c>
      <c r="I2795" s="248" t="s">
        <v>404</v>
      </c>
      <c r="J2795" s="247" t="s">
        <v>809</v>
      </c>
      <c r="K2795" s="249">
        <v>0</v>
      </c>
      <c r="M2795" s="90">
        <v>0</v>
      </c>
      <c r="N2795" s="90">
        <v>0</v>
      </c>
      <c r="O2795" s="90">
        <v>255</v>
      </c>
    </row>
    <row r="2796" spans="1:15" s="90" customFormat="1" ht="12.75" customHeight="1" x14ac:dyDescent="0.2">
      <c r="A2796" s="247" t="s">
        <v>990</v>
      </c>
      <c r="B2796" s="316">
        <v>3046</v>
      </c>
      <c r="C2796" s="247" t="s">
        <v>975</v>
      </c>
      <c r="D2796" s="317">
        <v>42674</v>
      </c>
      <c r="E2796" s="318">
        <v>0.33333333333333331</v>
      </c>
      <c r="F2796" s="247" t="s">
        <v>976</v>
      </c>
      <c r="G2796" s="247"/>
      <c r="H2796" s="248" t="s">
        <v>404</v>
      </c>
      <c r="I2796" s="248" t="s">
        <v>404</v>
      </c>
      <c r="J2796" s="247" t="s">
        <v>809</v>
      </c>
      <c r="K2796" s="249">
        <v>0</v>
      </c>
      <c r="M2796" s="90">
        <v>0</v>
      </c>
      <c r="N2796" s="90">
        <v>0</v>
      </c>
      <c r="O2796" s="90">
        <v>255</v>
      </c>
    </row>
    <row r="2797" spans="1:15" s="90" customFormat="1" ht="12.75" customHeight="1" x14ac:dyDescent="0.2">
      <c r="A2797" s="247" t="s">
        <v>993</v>
      </c>
      <c r="B2797" s="316">
        <v>3217</v>
      </c>
      <c r="C2797" s="247" t="s">
        <v>975</v>
      </c>
      <c r="D2797" s="317">
        <v>42674</v>
      </c>
      <c r="E2797" s="318">
        <v>0.33333333333333331</v>
      </c>
      <c r="F2797" s="247" t="s">
        <v>235</v>
      </c>
      <c r="G2797" s="247"/>
      <c r="H2797" s="248" t="s">
        <v>234</v>
      </c>
      <c r="I2797" s="248" t="s">
        <v>235</v>
      </c>
      <c r="J2797" s="247" t="s">
        <v>809</v>
      </c>
      <c r="K2797" s="249">
        <v>0</v>
      </c>
      <c r="M2797" s="90">
        <v>0</v>
      </c>
      <c r="N2797" s="90">
        <v>0</v>
      </c>
      <c r="O2797" s="90">
        <v>255</v>
      </c>
    </row>
    <row r="2798" spans="1:15" s="90" customFormat="1" ht="12.75" customHeight="1" x14ac:dyDescent="0.2">
      <c r="A2798" s="247" t="s">
        <v>989</v>
      </c>
      <c r="B2798" s="316">
        <v>3046</v>
      </c>
      <c r="C2798" s="247" t="s">
        <v>975</v>
      </c>
      <c r="D2798" s="317">
        <v>42674</v>
      </c>
      <c r="E2798" s="318">
        <v>0.375</v>
      </c>
      <c r="F2798" s="247" t="s">
        <v>976</v>
      </c>
      <c r="G2798" s="247"/>
      <c r="H2798" s="248" t="s">
        <v>404</v>
      </c>
      <c r="I2798" s="248" t="s">
        <v>404</v>
      </c>
      <c r="J2798" s="247" t="s">
        <v>809</v>
      </c>
      <c r="K2798" s="249">
        <v>0</v>
      </c>
      <c r="M2798" s="90">
        <v>0</v>
      </c>
      <c r="N2798" s="90">
        <v>0</v>
      </c>
      <c r="O2798" s="90">
        <v>255</v>
      </c>
    </row>
    <row r="2799" spans="1:15" s="90" customFormat="1" ht="12.75" customHeight="1" x14ac:dyDescent="0.2">
      <c r="A2799" s="247" t="s">
        <v>990</v>
      </c>
      <c r="B2799" s="316">
        <v>3046</v>
      </c>
      <c r="C2799" s="247" t="s">
        <v>975</v>
      </c>
      <c r="D2799" s="317">
        <v>42674</v>
      </c>
      <c r="E2799" s="318">
        <v>0.37609953703703702</v>
      </c>
      <c r="F2799" s="247" t="s">
        <v>976</v>
      </c>
      <c r="G2799" s="247"/>
      <c r="H2799" s="248" t="s">
        <v>404</v>
      </c>
      <c r="I2799" s="248" t="s">
        <v>404</v>
      </c>
      <c r="J2799" s="247" t="s">
        <v>809</v>
      </c>
      <c r="K2799" s="249">
        <v>0</v>
      </c>
      <c r="M2799" s="90">
        <v>0</v>
      </c>
      <c r="N2799" s="90">
        <v>0</v>
      </c>
      <c r="O2799" s="90">
        <v>255</v>
      </c>
    </row>
    <row r="2800" spans="1:15" s="90" customFormat="1" ht="12.75" customHeight="1" x14ac:dyDescent="0.2">
      <c r="A2800" s="247" t="s">
        <v>993</v>
      </c>
      <c r="B2800" s="316">
        <v>3217</v>
      </c>
      <c r="C2800" s="247" t="s">
        <v>975</v>
      </c>
      <c r="D2800" s="317">
        <v>42674</v>
      </c>
      <c r="E2800" s="318">
        <v>0.37609953703703702</v>
      </c>
      <c r="F2800" s="247" t="s">
        <v>235</v>
      </c>
      <c r="G2800" s="247"/>
      <c r="H2800" s="248" t="s">
        <v>234</v>
      </c>
      <c r="I2800" s="248" t="s">
        <v>235</v>
      </c>
      <c r="J2800" s="247" t="s">
        <v>809</v>
      </c>
      <c r="K2800" s="249">
        <v>0</v>
      </c>
      <c r="M2800" s="90">
        <v>0</v>
      </c>
      <c r="N2800" s="90">
        <v>0</v>
      </c>
      <c r="O2800" s="90">
        <v>255</v>
      </c>
    </row>
    <row r="2801" spans="1:15" s="90" customFormat="1" ht="12.75" customHeight="1" x14ac:dyDescent="0.2">
      <c r="A2801" s="247" t="s">
        <v>989</v>
      </c>
      <c r="B2801" s="316">
        <v>3046</v>
      </c>
      <c r="C2801" s="247" t="s">
        <v>975</v>
      </c>
      <c r="D2801" s="317">
        <v>42674</v>
      </c>
      <c r="E2801" s="318">
        <v>0.41776620370370371</v>
      </c>
      <c r="F2801" s="247" t="s">
        <v>976</v>
      </c>
      <c r="G2801" s="247"/>
      <c r="H2801" s="248" t="s">
        <v>404</v>
      </c>
      <c r="I2801" s="248" t="s">
        <v>404</v>
      </c>
      <c r="J2801" s="247" t="s">
        <v>809</v>
      </c>
      <c r="K2801" s="249">
        <v>0</v>
      </c>
      <c r="M2801" s="90">
        <v>0</v>
      </c>
      <c r="N2801" s="90">
        <v>0</v>
      </c>
      <c r="O2801" s="90">
        <v>255</v>
      </c>
    </row>
    <row r="2802" spans="1:15" s="90" customFormat="1" ht="12.75" customHeight="1" x14ac:dyDescent="0.2">
      <c r="A2802" s="247" t="s">
        <v>993</v>
      </c>
      <c r="B2802" s="316">
        <v>3217</v>
      </c>
      <c r="C2802" s="247" t="s">
        <v>975</v>
      </c>
      <c r="D2802" s="317">
        <v>42674</v>
      </c>
      <c r="E2802" s="318">
        <v>0.41800925925925925</v>
      </c>
      <c r="F2802" s="247" t="s">
        <v>235</v>
      </c>
      <c r="G2802" s="247"/>
      <c r="H2802" s="248" t="s">
        <v>234</v>
      </c>
      <c r="I2802" s="248" t="s">
        <v>235</v>
      </c>
      <c r="J2802" s="247" t="s">
        <v>809</v>
      </c>
      <c r="K2802" s="249">
        <v>0</v>
      </c>
      <c r="M2802" s="90">
        <v>0</v>
      </c>
      <c r="N2802" s="90">
        <v>0</v>
      </c>
      <c r="O2802" s="90">
        <v>255</v>
      </c>
    </row>
    <row r="2803" spans="1:15" s="90" customFormat="1" ht="12.75" customHeight="1" x14ac:dyDescent="0.2">
      <c r="A2803" s="247" t="s">
        <v>990</v>
      </c>
      <c r="B2803" s="316">
        <v>3046</v>
      </c>
      <c r="C2803" s="247" t="s">
        <v>975</v>
      </c>
      <c r="D2803" s="317">
        <v>42674</v>
      </c>
      <c r="E2803" s="318">
        <v>0.41802083333333334</v>
      </c>
      <c r="F2803" s="247" t="s">
        <v>976</v>
      </c>
      <c r="G2803" s="247"/>
      <c r="H2803" s="248" t="s">
        <v>404</v>
      </c>
      <c r="I2803" s="248" t="s">
        <v>404</v>
      </c>
      <c r="J2803" s="247" t="s">
        <v>809</v>
      </c>
      <c r="K2803" s="249">
        <v>0</v>
      </c>
      <c r="M2803" s="90">
        <v>0</v>
      </c>
      <c r="N2803" s="90">
        <v>0</v>
      </c>
      <c r="O2803" s="90">
        <v>255</v>
      </c>
    </row>
    <row r="2804" spans="1:15" s="90" customFormat="1" ht="12.75" customHeight="1" x14ac:dyDescent="0.2">
      <c r="A2804" s="247" t="s">
        <v>1034</v>
      </c>
      <c r="B2804" s="316">
        <v>3106</v>
      </c>
      <c r="C2804" s="247" t="s">
        <v>975</v>
      </c>
      <c r="D2804" s="317">
        <v>42674</v>
      </c>
      <c r="E2804" s="318">
        <v>0.45689814814814816</v>
      </c>
      <c r="F2804" s="247" t="s">
        <v>978</v>
      </c>
      <c r="G2804" s="247" t="s">
        <v>1035</v>
      </c>
      <c r="H2804" s="248" t="s">
        <v>234</v>
      </c>
      <c r="I2804" s="248" t="s">
        <v>677</v>
      </c>
      <c r="J2804" s="247" t="s">
        <v>809</v>
      </c>
      <c r="K2804" s="249">
        <v>0</v>
      </c>
      <c r="M2804" s="90">
        <v>0</v>
      </c>
      <c r="N2804" s="90">
        <v>0</v>
      </c>
      <c r="O2804" s="90">
        <v>255</v>
      </c>
    </row>
    <row r="2805" spans="1:15" s="90" customFormat="1" ht="12.75" customHeight="1" x14ac:dyDescent="0.2">
      <c r="A2805" s="247" t="s">
        <v>989</v>
      </c>
      <c r="B2805" s="316">
        <v>3046</v>
      </c>
      <c r="C2805" s="247" t="s">
        <v>975</v>
      </c>
      <c r="D2805" s="317">
        <v>42674</v>
      </c>
      <c r="E2805" s="318">
        <v>0.45968750000000003</v>
      </c>
      <c r="F2805" s="247" t="s">
        <v>976</v>
      </c>
      <c r="G2805" s="247" t="s">
        <v>1035</v>
      </c>
      <c r="H2805" s="248" t="s">
        <v>404</v>
      </c>
      <c r="I2805" s="248" t="s">
        <v>404</v>
      </c>
      <c r="J2805" s="247" t="s">
        <v>809</v>
      </c>
      <c r="K2805" s="249">
        <v>0</v>
      </c>
      <c r="M2805" s="90">
        <v>0</v>
      </c>
      <c r="N2805" s="90">
        <v>0</v>
      </c>
      <c r="O2805" s="90">
        <v>255</v>
      </c>
    </row>
    <row r="2806" spans="1:15" s="90" customFormat="1" ht="12.75" customHeight="1" x14ac:dyDescent="0.2">
      <c r="A2806" s="247" t="s">
        <v>993</v>
      </c>
      <c r="B2806" s="316">
        <v>3217</v>
      </c>
      <c r="C2806" s="247" t="s">
        <v>975</v>
      </c>
      <c r="D2806" s="317">
        <v>42674</v>
      </c>
      <c r="E2806" s="318">
        <v>0.45993055555555556</v>
      </c>
      <c r="F2806" s="247" t="s">
        <v>235</v>
      </c>
      <c r="G2806" s="247" t="s">
        <v>1035</v>
      </c>
      <c r="H2806" s="248" t="s">
        <v>234</v>
      </c>
      <c r="I2806" s="248" t="s">
        <v>235</v>
      </c>
      <c r="J2806" s="247" t="s">
        <v>809</v>
      </c>
      <c r="K2806" s="249">
        <v>0</v>
      </c>
      <c r="M2806" s="90">
        <v>0</v>
      </c>
      <c r="N2806" s="90">
        <v>0</v>
      </c>
      <c r="O2806" s="90">
        <v>255</v>
      </c>
    </row>
    <row r="2807" spans="1:15" s="90" customFormat="1" ht="12.75" customHeight="1" x14ac:dyDescent="0.2">
      <c r="A2807" s="247" t="s">
        <v>990</v>
      </c>
      <c r="B2807" s="316">
        <v>3046</v>
      </c>
      <c r="C2807" s="247" t="s">
        <v>975</v>
      </c>
      <c r="D2807" s="317">
        <v>42674</v>
      </c>
      <c r="E2807" s="318">
        <v>0.4599421296296296</v>
      </c>
      <c r="F2807" s="247" t="s">
        <v>976</v>
      </c>
      <c r="G2807" s="247" t="s">
        <v>1035</v>
      </c>
      <c r="H2807" s="248" t="s">
        <v>404</v>
      </c>
      <c r="I2807" s="248" t="s">
        <v>404</v>
      </c>
      <c r="J2807" s="247" t="s">
        <v>809</v>
      </c>
      <c r="K2807" s="249">
        <v>0</v>
      </c>
      <c r="M2807" s="90">
        <v>0</v>
      </c>
      <c r="N2807" s="90">
        <v>0</v>
      </c>
      <c r="O2807" s="90">
        <v>255</v>
      </c>
    </row>
    <row r="2808" spans="1:15" s="90" customFormat="1" ht="12.75" customHeight="1" x14ac:dyDescent="0.2">
      <c r="A2808" s="247" t="s">
        <v>989</v>
      </c>
      <c r="B2808" s="316">
        <v>3046</v>
      </c>
      <c r="C2808" s="247" t="s">
        <v>975</v>
      </c>
      <c r="D2808" s="317">
        <v>42674</v>
      </c>
      <c r="E2808" s="318">
        <v>0.50160879629629629</v>
      </c>
      <c r="F2808" s="247" t="s">
        <v>976</v>
      </c>
      <c r="G2808" s="247" t="s">
        <v>1035</v>
      </c>
      <c r="H2808" s="248" t="s">
        <v>404</v>
      </c>
      <c r="I2808" s="248" t="s">
        <v>404</v>
      </c>
      <c r="J2808" s="247" t="s">
        <v>809</v>
      </c>
      <c r="K2808" s="249">
        <v>0</v>
      </c>
      <c r="M2808" s="90">
        <v>0</v>
      </c>
      <c r="N2808" s="90">
        <v>0</v>
      </c>
      <c r="O2808" s="90">
        <v>255</v>
      </c>
    </row>
    <row r="2809" spans="1:15" s="90" customFormat="1" ht="12.75" customHeight="1" x14ac:dyDescent="0.2">
      <c r="A2809" s="247" t="s">
        <v>990</v>
      </c>
      <c r="B2809" s="316">
        <v>3046</v>
      </c>
      <c r="C2809" s="247" t="s">
        <v>975</v>
      </c>
      <c r="D2809" s="317">
        <v>42674</v>
      </c>
      <c r="E2809" s="318">
        <v>0.50185185185185188</v>
      </c>
      <c r="F2809" s="247" t="s">
        <v>976</v>
      </c>
      <c r="G2809" s="247" t="s">
        <v>1035</v>
      </c>
      <c r="H2809" s="248" t="s">
        <v>404</v>
      </c>
      <c r="I2809" s="248" t="s">
        <v>404</v>
      </c>
      <c r="J2809" s="247" t="s">
        <v>809</v>
      </c>
      <c r="K2809" s="249">
        <v>0</v>
      </c>
      <c r="M2809" s="90">
        <v>0</v>
      </c>
      <c r="N2809" s="90">
        <v>0</v>
      </c>
      <c r="O2809" s="90">
        <v>255</v>
      </c>
    </row>
    <row r="2810" spans="1:15" s="90" customFormat="1" ht="12.75" customHeight="1" x14ac:dyDescent="0.2">
      <c r="A2810" s="247" t="s">
        <v>993</v>
      </c>
      <c r="B2810" s="316">
        <v>3217</v>
      </c>
      <c r="C2810" s="247" t="s">
        <v>975</v>
      </c>
      <c r="D2810" s="317">
        <v>42674</v>
      </c>
      <c r="E2810" s="318">
        <v>0.50185185185185188</v>
      </c>
      <c r="F2810" s="247" t="s">
        <v>235</v>
      </c>
      <c r="G2810" s="247" t="s">
        <v>1035</v>
      </c>
      <c r="H2810" s="248" t="s">
        <v>234</v>
      </c>
      <c r="I2810" s="248" t="s">
        <v>235</v>
      </c>
      <c r="J2810" s="247" t="s">
        <v>809</v>
      </c>
      <c r="K2810" s="249">
        <v>0</v>
      </c>
      <c r="M2810" s="90">
        <v>0</v>
      </c>
      <c r="N2810" s="90">
        <v>0</v>
      </c>
      <c r="O2810" s="90">
        <v>255</v>
      </c>
    </row>
    <row r="2811" spans="1:15" s="90" customFormat="1" ht="12.75" customHeight="1" x14ac:dyDescent="0.2">
      <c r="A2811" s="247" t="s">
        <v>1405</v>
      </c>
      <c r="B2811" s="316">
        <v>3121</v>
      </c>
      <c r="C2811" s="247" t="s">
        <v>975</v>
      </c>
      <c r="D2811" s="317">
        <v>42674</v>
      </c>
      <c r="E2811" s="318">
        <v>0.52126157407407414</v>
      </c>
      <c r="F2811" s="247" t="s">
        <v>978</v>
      </c>
      <c r="G2811" s="247" t="s">
        <v>1035</v>
      </c>
      <c r="H2811" s="248"/>
      <c r="I2811" s="248"/>
      <c r="J2811" s="247"/>
      <c r="K2811" s="249"/>
      <c r="M2811" s="90">
        <v>0</v>
      </c>
      <c r="N2811" s="90">
        <v>0</v>
      </c>
      <c r="O2811" s="90">
        <v>255</v>
      </c>
    </row>
    <row r="2812" spans="1:15" s="90" customFormat="1" ht="12.75" customHeight="1" x14ac:dyDescent="0.2">
      <c r="A2812" s="247" t="s">
        <v>989</v>
      </c>
      <c r="B2812" s="316">
        <v>3046</v>
      </c>
      <c r="C2812" s="247" t="s">
        <v>975</v>
      </c>
      <c r="D2812" s="317">
        <v>42674</v>
      </c>
      <c r="E2812" s="318">
        <v>0.54353009259259266</v>
      </c>
      <c r="F2812" s="247" t="s">
        <v>976</v>
      </c>
      <c r="G2812" s="247"/>
      <c r="H2812" s="248" t="s">
        <v>404</v>
      </c>
      <c r="I2812" s="248" t="s">
        <v>404</v>
      </c>
      <c r="J2812" s="247" t="s">
        <v>809</v>
      </c>
      <c r="K2812" s="249">
        <v>0</v>
      </c>
      <c r="M2812" s="90">
        <v>0</v>
      </c>
      <c r="N2812" s="90">
        <v>0</v>
      </c>
      <c r="O2812" s="90">
        <v>255</v>
      </c>
    </row>
    <row r="2813" spans="1:15" s="90" customFormat="1" ht="12.75" customHeight="1" x14ac:dyDescent="0.2">
      <c r="A2813" s="247" t="s">
        <v>990</v>
      </c>
      <c r="B2813" s="316">
        <v>3046</v>
      </c>
      <c r="C2813" s="247" t="s">
        <v>975</v>
      </c>
      <c r="D2813" s="317">
        <v>42674</v>
      </c>
      <c r="E2813" s="318">
        <v>0.54377314814814814</v>
      </c>
      <c r="F2813" s="247" t="s">
        <v>976</v>
      </c>
      <c r="G2813" s="247"/>
      <c r="H2813" s="248" t="s">
        <v>404</v>
      </c>
      <c r="I2813" s="248" t="s">
        <v>404</v>
      </c>
      <c r="J2813" s="247" t="s">
        <v>809</v>
      </c>
      <c r="K2813" s="249">
        <v>0</v>
      </c>
      <c r="M2813" s="90">
        <v>0</v>
      </c>
      <c r="N2813" s="90">
        <v>0</v>
      </c>
      <c r="O2813" s="90">
        <v>255</v>
      </c>
    </row>
    <row r="2814" spans="1:15" s="90" customFormat="1" ht="12.75" customHeight="1" x14ac:dyDescent="0.2">
      <c r="A2814" s="247" t="s">
        <v>993</v>
      </c>
      <c r="B2814" s="316">
        <v>3217</v>
      </c>
      <c r="C2814" s="247" t="s">
        <v>975</v>
      </c>
      <c r="D2814" s="317">
        <v>42674</v>
      </c>
      <c r="E2814" s="318">
        <v>0.54377314814814814</v>
      </c>
      <c r="F2814" s="247" t="s">
        <v>235</v>
      </c>
      <c r="G2814" s="247"/>
      <c r="H2814" s="248" t="s">
        <v>234</v>
      </c>
      <c r="I2814" s="248" t="s">
        <v>235</v>
      </c>
      <c r="J2814" s="247" t="s">
        <v>809</v>
      </c>
      <c r="K2814" s="249">
        <v>0</v>
      </c>
      <c r="M2814" s="90">
        <v>0</v>
      </c>
      <c r="N2814" s="90">
        <v>0</v>
      </c>
      <c r="O2814" s="90">
        <v>255</v>
      </c>
    </row>
    <row r="2815" spans="1:15" s="90" customFormat="1" ht="12.75" customHeight="1" x14ac:dyDescent="0.2">
      <c r="A2815" s="247" t="s">
        <v>1455</v>
      </c>
      <c r="B2815" s="316">
        <v>3107</v>
      </c>
      <c r="C2815" s="247" t="s">
        <v>975</v>
      </c>
      <c r="D2815" s="317">
        <v>42674</v>
      </c>
      <c r="E2815" s="318">
        <v>0.55710648148148145</v>
      </c>
      <c r="F2815" s="247" t="s">
        <v>978</v>
      </c>
      <c r="G2815" s="247"/>
      <c r="H2815" s="248" t="s">
        <v>234</v>
      </c>
      <c r="I2815" s="248" t="s">
        <v>677</v>
      </c>
      <c r="J2815" s="247" t="s">
        <v>809</v>
      </c>
      <c r="K2815" s="249">
        <v>0</v>
      </c>
      <c r="M2815" s="90">
        <v>0</v>
      </c>
      <c r="N2815" s="90">
        <v>0</v>
      </c>
      <c r="O2815" s="90">
        <v>255</v>
      </c>
    </row>
    <row r="2816" spans="1:15" s="90" customFormat="1" ht="12.75" customHeight="1" x14ac:dyDescent="0.2">
      <c r="A2816" s="247" t="s">
        <v>989</v>
      </c>
      <c r="B2816" s="316">
        <v>3046</v>
      </c>
      <c r="C2816" s="247" t="s">
        <v>975</v>
      </c>
      <c r="D2816" s="317">
        <v>42674</v>
      </c>
      <c r="E2816" s="318">
        <v>0.58543981481481489</v>
      </c>
      <c r="F2816" s="247" t="s">
        <v>976</v>
      </c>
      <c r="G2816" s="247"/>
      <c r="H2816" s="248" t="s">
        <v>404</v>
      </c>
      <c r="I2816" s="248" t="s">
        <v>404</v>
      </c>
      <c r="J2816" s="247" t="s">
        <v>809</v>
      </c>
      <c r="K2816" s="249">
        <v>0</v>
      </c>
      <c r="M2816" s="90">
        <v>0</v>
      </c>
      <c r="N2816" s="90">
        <v>0</v>
      </c>
      <c r="O2816" s="90">
        <v>255</v>
      </c>
    </row>
    <row r="2817" spans="1:15" s="90" customFormat="1" ht="12.75" customHeight="1" x14ac:dyDescent="0.2">
      <c r="A2817" s="247" t="s">
        <v>990</v>
      </c>
      <c r="B2817" s="316">
        <v>3046</v>
      </c>
      <c r="C2817" s="247" t="s">
        <v>975</v>
      </c>
      <c r="D2817" s="317">
        <v>42674</v>
      </c>
      <c r="E2817" s="318">
        <v>0.58569444444444441</v>
      </c>
      <c r="F2817" s="247" t="s">
        <v>976</v>
      </c>
      <c r="G2817" s="247"/>
      <c r="H2817" s="248" t="s">
        <v>404</v>
      </c>
      <c r="I2817" s="248" t="s">
        <v>404</v>
      </c>
      <c r="J2817" s="247" t="s">
        <v>809</v>
      </c>
      <c r="K2817" s="249">
        <v>0</v>
      </c>
      <c r="M2817" s="90">
        <v>0</v>
      </c>
      <c r="N2817" s="90">
        <v>0</v>
      </c>
      <c r="O2817" s="90">
        <v>255</v>
      </c>
    </row>
    <row r="2818" spans="1:15" s="90" customFormat="1" ht="12.75" customHeight="1" x14ac:dyDescent="0.2">
      <c r="A2818" s="247" t="s">
        <v>993</v>
      </c>
      <c r="B2818" s="316">
        <v>3217</v>
      </c>
      <c r="C2818" s="247" t="s">
        <v>975</v>
      </c>
      <c r="D2818" s="317">
        <v>42674</v>
      </c>
      <c r="E2818" s="318">
        <v>0.58569444444444441</v>
      </c>
      <c r="F2818" s="247" t="s">
        <v>235</v>
      </c>
      <c r="G2818" s="247"/>
      <c r="H2818" s="248" t="s">
        <v>234</v>
      </c>
      <c r="I2818" s="248" t="s">
        <v>235</v>
      </c>
      <c r="J2818" s="247" t="s">
        <v>809</v>
      </c>
      <c r="K2818" s="249">
        <v>0</v>
      </c>
      <c r="M2818" s="90">
        <v>0</v>
      </c>
      <c r="N2818" s="90">
        <v>0</v>
      </c>
      <c r="O2818" s="90">
        <v>255</v>
      </c>
    </row>
    <row r="2819" spans="1:15" s="90" customFormat="1" ht="12.75" customHeight="1" x14ac:dyDescent="0.2">
      <c r="A2819" s="247" t="s">
        <v>989</v>
      </c>
      <c r="B2819" s="316">
        <v>3046</v>
      </c>
      <c r="C2819" s="247" t="s">
        <v>975</v>
      </c>
      <c r="D2819" s="317">
        <v>42674</v>
      </c>
      <c r="E2819" s="318">
        <v>0.62736111111111115</v>
      </c>
      <c r="F2819" s="247" t="s">
        <v>976</v>
      </c>
      <c r="G2819" s="247"/>
      <c r="H2819" s="248" t="s">
        <v>404</v>
      </c>
      <c r="I2819" s="248" t="s">
        <v>404</v>
      </c>
      <c r="J2819" s="247" t="s">
        <v>809</v>
      </c>
      <c r="K2819" s="249">
        <v>0</v>
      </c>
      <c r="M2819" s="90">
        <v>0</v>
      </c>
      <c r="N2819" s="90">
        <v>0</v>
      </c>
      <c r="O2819" s="90">
        <v>255</v>
      </c>
    </row>
    <row r="2820" spans="1:15" s="90" customFormat="1" ht="12.75" customHeight="1" x14ac:dyDescent="0.2">
      <c r="A2820" s="247" t="s">
        <v>990</v>
      </c>
      <c r="B2820" s="316">
        <v>3046</v>
      </c>
      <c r="C2820" s="247" t="s">
        <v>975</v>
      </c>
      <c r="D2820" s="317">
        <v>42674</v>
      </c>
      <c r="E2820" s="318">
        <v>0.62761574074074067</v>
      </c>
      <c r="F2820" s="247" t="s">
        <v>976</v>
      </c>
      <c r="G2820" s="247"/>
      <c r="H2820" s="248" t="s">
        <v>404</v>
      </c>
      <c r="I2820" s="248" t="s">
        <v>404</v>
      </c>
      <c r="J2820" s="247" t="s">
        <v>809</v>
      </c>
      <c r="K2820" s="249">
        <v>0</v>
      </c>
      <c r="M2820" s="90">
        <v>0</v>
      </c>
      <c r="N2820" s="90">
        <v>0</v>
      </c>
      <c r="O2820" s="90">
        <v>255</v>
      </c>
    </row>
    <row r="2821" spans="1:15" s="90" customFormat="1" ht="12.75" customHeight="1" x14ac:dyDescent="0.2">
      <c r="A2821" s="247" t="s">
        <v>993</v>
      </c>
      <c r="B2821" s="316">
        <v>3217</v>
      </c>
      <c r="C2821" s="247" t="s">
        <v>975</v>
      </c>
      <c r="D2821" s="317">
        <v>42674</v>
      </c>
      <c r="E2821" s="318">
        <v>0.62761574074074067</v>
      </c>
      <c r="F2821" s="247" t="s">
        <v>235</v>
      </c>
      <c r="G2821" s="247"/>
      <c r="H2821" s="248" t="s">
        <v>234</v>
      </c>
      <c r="I2821" s="248" t="s">
        <v>235</v>
      </c>
      <c r="J2821" s="247" t="s">
        <v>809</v>
      </c>
      <c r="K2821" s="249">
        <v>0</v>
      </c>
      <c r="M2821" s="90">
        <v>0</v>
      </c>
      <c r="N2821" s="90">
        <v>0</v>
      </c>
      <c r="O2821" s="90">
        <v>255</v>
      </c>
    </row>
    <row r="2822" spans="1:15" s="90" customFormat="1" ht="12.75" customHeight="1" x14ac:dyDescent="0.2">
      <c r="A2822" s="247" t="s">
        <v>989</v>
      </c>
      <c r="B2822" s="316">
        <v>3046</v>
      </c>
      <c r="C2822" s="247" t="s">
        <v>975</v>
      </c>
      <c r="D2822" s="317">
        <v>42674</v>
      </c>
      <c r="E2822" s="318">
        <v>0.66928240740740741</v>
      </c>
      <c r="F2822" s="247" t="s">
        <v>976</v>
      </c>
      <c r="G2822" s="247"/>
      <c r="H2822" s="248" t="s">
        <v>404</v>
      </c>
      <c r="I2822" s="248" t="s">
        <v>404</v>
      </c>
      <c r="J2822" s="247" t="s">
        <v>809</v>
      </c>
      <c r="K2822" s="249">
        <v>0</v>
      </c>
      <c r="M2822" s="90">
        <v>0</v>
      </c>
      <c r="N2822" s="90">
        <v>0</v>
      </c>
      <c r="O2822" s="90">
        <v>255</v>
      </c>
    </row>
    <row r="2823" spans="1:15" s="90" customFormat="1" ht="12.75" customHeight="1" x14ac:dyDescent="0.2">
      <c r="A2823" s="247" t="s">
        <v>990</v>
      </c>
      <c r="B2823" s="316">
        <v>3046</v>
      </c>
      <c r="C2823" s="247" t="s">
        <v>975</v>
      </c>
      <c r="D2823" s="317">
        <v>42674</v>
      </c>
      <c r="E2823" s="318">
        <v>0.66953703703703704</v>
      </c>
      <c r="F2823" s="247" t="s">
        <v>976</v>
      </c>
      <c r="G2823" s="247"/>
      <c r="H2823" s="248" t="s">
        <v>404</v>
      </c>
      <c r="I2823" s="248" t="s">
        <v>404</v>
      </c>
      <c r="J2823" s="247" t="s">
        <v>809</v>
      </c>
      <c r="K2823" s="249">
        <v>0</v>
      </c>
      <c r="M2823" s="90">
        <v>0</v>
      </c>
      <c r="N2823" s="90">
        <v>0</v>
      </c>
      <c r="O2823" s="90">
        <v>255</v>
      </c>
    </row>
    <row r="2824" spans="1:15" s="90" customFormat="1" ht="12.75" customHeight="1" x14ac:dyDescent="0.2">
      <c r="A2824" s="247" t="s">
        <v>993</v>
      </c>
      <c r="B2824" s="316">
        <v>3217</v>
      </c>
      <c r="C2824" s="247" t="s">
        <v>975</v>
      </c>
      <c r="D2824" s="317">
        <v>42674</v>
      </c>
      <c r="E2824" s="318">
        <v>0.66953703703703704</v>
      </c>
      <c r="F2824" s="247" t="s">
        <v>235</v>
      </c>
      <c r="G2824" s="247"/>
      <c r="H2824" s="248" t="s">
        <v>234</v>
      </c>
      <c r="I2824" s="248" t="s">
        <v>235</v>
      </c>
      <c r="J2824" s="247" t="s">
        <v>809</v>
      </c>
      <c r="K2824" s="249">
        <v>0</v>
      </c>
      <c r="M2824" s="90">
        <v>0</v>
      </c>
      <c r="N2824" s="90">
        <v>0</v>
      </c>
      <c r="O2824" s="90">
        <v>255</v>
      </c>
    </row>
    <row r="2825" spans="1:15" s="90" customFormat="1" ht="12.75" customHeight="1" x14ac:dyDescent="0.2">
      <c r="A2825" s="247" t="s">
        <v>989</v>
      </c>
      <c r="B2825" s="316">
        <v>3046</v>
      </c>
      <c r="C2825" s="247" t="s">
        <v>975</v>
      </c>
      <c r="D2825" s="317">
        <v>42674</v>
      </c>
      <c r="E2825" s="318">
        <v>0.71120370370370367</v>
      </c>
      <c r="F2825" s="247" t="s">
        <v>976</v>
      </c>
      <c r="G2825" s="247"/>
      <c r="H2825" s="248" t="s">
        <v>404</v>
      </c>
      <c r="I2825" s="248" t="s">
        <v>404</v>
      </c>
      <c r="J2825" s="247" t="s">
        <v>809</v>
      </c>
      <c r="K2825" s="249">
        <v>0</v>
      </c>
      <c r="M2825" s="90">
        <v>0</v>
      </c>
      <c r="N2825" s="90">
        <v>0</v>
      </c>
      <c r="O2825" s="90">
        <v>255</v>
      </c>
    </row>
    <row r="2826" spans="1:15" s="90" customFormat="1" ht="12.75" customHeight="1" x14ac:dyDescent="0.2">
      <c r="A2826" s="247" t="s">
        <v>993</v>
      </c>
      <c r="B2826" s="316">
        <v>3217</v>
      </c>
      <c r="C2826" s="247" t="s">
        <v>975</v>
      </c>
      <c r="D2826" s="317">
        <v>42674</v>
      </c>
      <c r="E2826" s="318">
        <v>0.71144675925925915</v>
      </c>
      <c r="F2826" s="247" t="s">
        <v>235</v>
      </c>
      <c r="G2826" s="247"/>
      <c r="H2826" s="248" t="s">
        <v>234</v>
      </c>
      <c r="I2826" s="248" t="s">
        <v>235</v>
      </c>
      <c r="J2826" s="247" t="s">
        <v>809</v>
      </c>
      <c r="K2826" s="249">
        <v>0</v>
      </c>
      <c r="M2826" s="90">
        <v>0</v>
      </c>
      <c r="N2826" s="90">
        <v>0</v>
      </c>
      <c r="O2826" s="90">
        <v>255</v>
      </c>
    </row>
    <row r="2827" spans="1:15" s="90" customFormat="1" ht="12.75" customHeight="1" x14ac:dyDescent="0.2">
      <c r="A2827" s="247" t="s">
        <v>990</v>
      </c>
      <c r="B2827" s="316">
        <v>3046</v>
      </c>
      <c r="C2827" s="247" t="s">
        <v>975</v>
      </c>
      <c r="D2827" s="317">
        <v>42674</v>
      </c>
      <c r="E2827" s="318">
        <v>0.7114583333333333</v>
      </c>
      <c r="F2827" s="247" t="s">
        <v>976</v>
      </c>
      <c r="G2827" s="247"/>
      <c r="H2827" s="248" t="s">
        <v>404</v>
      </c>
      <c r="I2827" s="248" t="s">
        <v>404</v>
      </c>
      <c r="J2827" s="247" t="s">
        <v>809</v>
      </c>
      <c r="K2827" s="249">
        <v>0</v>
      </c>
      <c r="M2827" s="90">
        <v>0</v>
      </c>
      <c r="N2827" s="90">
        <v>0</v>
      </c>
      <c r="O2827" s="90">
        <v>255</v>
      </c>
    </row>
    <row r="2828" spans="1:15" s="90" customFormat="1" ht="12.75" customHeight="1" x14ac:dyDescent="0.2">
      <c r="A2828" s="247" t="s">
        <v>989</v>
      </c>
      <c r="B2828" s="316">
        <v>3046</v>
      </c>
      <c r="C2828" s="247" t="s">
        <v>975</v>
      </c>
      <c r="D2828" s="317">
        <v>42674</v>
      </c>
      <c r="E2828" s="318">
        <v>0.75312499999999993</v>
      </c>
      <c r="F2828" s="247" t="s">
        <v>976</v>
      </c>
      <c r="G2828" s="247"/>
      <c r="H2828" s="248" t="s">
        <v>404</v>
      </c>
      <c r="I2828" s="248" t="s">
        <v>404</v>
      </c>
      <c r="J2828" s="247" t="s">
        <v>809</v>
      </c>
      <c r="K2828" s="249">
        <v>0</v>
      </c>
      <c r="M2828" s="90">
        <v>0</v>
      </c>
      <c r="N2828" s="90">
        <v>0</v>
      </c>
      <c r="O2828" s="90">
        <v>255</v>
      </c>
    </row>
    <row r="2829" spans="1:15" s="90" customFormat="1" ht="12.75" customHeight="1" x14ac:dyDescent="0.2">
      <c r="A2829" s="247" t="s">
        <v>993</v>
      </c>
      <c r="B2829" s="316">
        <v>3217</v>
      </c>
      <c r="C2829" s="247" t="s">
        <v>975</v>
      </c>
      <c r="D2829" s="317">
        <v>42674</v>
      </c>
      <c r="E2829" s="318">
        <v>0.75336805555555564</v>
      </c>
      <c r="F2829" s="247" t="s">
        <v>235</v>
      </c>
      <c r="G2829" s="247"/>
      <c r="H2829" s="248" t="s">
        <v>234</v>
      </c>
      <c r="I2829" s="248" t="s">
        <v>235</v>
      </c>
      <c r="J2829" s="247" t="s">
        <v>809</v>
      </c>
      <c r="K2829" s="249">
        <v>0</v>
      </c>
      <c r="M2829" s="90">
        <v>0</v>
      </c>
      <c r="N2829" s="90">
        <v>0</v>
      </c>
      <c r="O2829" s="90">
        <v>255</v>
      </c>
    </row>
    <row r="2830" spans="1:15" s="90" customFormat="1" ht="12.75" customHeight="1" x14ac:dyDescent="0.2">
      <c r="A2830" s="247" t="s">
        <v>990</v>
      </c>
      <c r="B2830" s="316">
        <v>3046</v>
      </c>
      <c r="C2830" s="247" t="s">
        <v>975</v>
      </c>
      <c r="D2830" s="317">
        <v>42674</v>
      </c>
      <c r="E2830" s="318">
        <v>0.75337962962962957</v>
      </c>
      <c r="F2830" s="247" t="s">
        <v>976</v>
      </c>
      <c r="G2830" s="247"/>
      <c r="H2830" s="248" t="s">
        <v>404</v>
      </c>
      <c r="I2830" s="248" t="s">
        <v>404</v>
      </c>
      <c r="J2830" s="247" t="s">
        <v>809</v>
      </c>
      <c r="K2830" s="249">
        <v>0</v>
      </c>
      <c r="M2830" s="90">
        <v>0</v>
      </c>
      <c r="N2830" s="90">
        <v>0</v>
      </c>
      <c r="O2830" s="90">
        <v>255</v>
      </c>
    </row>
    <row r="2831" spans="1:15" s="90" customFormat="1" ht="12.75" customHeight="1" x14ac:dyDescent="0.2">
      <c r="A2831" s="247" t="s">
        <v>989</v>
      </c>
      <c r="B2831" s="316">
        <v>3046</v>
      </c>
      <c r="C2831" s="247" t="s">
        <v>975</v>
      </c>
      <c r="D2831" s="317">
        <v>42674</v>
      </c>
      <c r="E2831" s="318">
        <v>0.7950462962962962</v>
      </c>
      <c r="F2831" s="247" t="s">
        <v>976</v>
      </c>
      <c r="G2831" s="247"/>
      <c r="H2831" s="248" t="s">
        <v>404</v>
      </c>
      <c r="I2831" s="248" t="s">
        <v>404</v>
      </c>
      <c r="J2831" s="247" t="s">
        <v>809</v>
      </c>
      <c r="K2831" s="249">
        <v>0</v>
      </c>
      <c r="M2831" s="90">
        <v>0</v>
      </c>
      <c r="N2831" s="90">
        <v>0</v>
      </c>
      <c r="O2831" s="90">
        <v>255</v>
      </c>
    </row>
    <row r="2832" spans="1:15" s="90" customFormat="1" ht="12.75" customHeight="1" x14ac:dyDescent="0.2">
      <c r="A2832" s="247" t="s">
        <v>993</v>
      </c>
      <c r="B2832" s="316">
        <v>3217</v>
      </c>
      <c r="C2832" s="247" t="s">
        <v>975</v>
      </c>
      <c r="D2832" s="317">
        <v>42674</v>
      </c>
      <c r="E2832" s="318">
        <v>0.7952893518518519</v>
      </c>
      <c r="F2832" s="247" t="s">
        <v>235</v>
      </c>
      <c r="G2832" s="247"/>
      <c r="H2832" s="248" t="s">
        <v>234</v>
      </c>
      <c r="I2832" s="248" t="s">
        <v>235</v>
      </c>
      <c r="J2832" s="247" t="s">
        <v>809</v>
      </c>
      <c r="K2832" s="249">
        <v>0</v>
      </c>
      <c r="M2832" s="90">
        <v>0</v>
      </c>
      <c r="N2832" s="90">
        <v>0</v>
      </c>
      <c r="O2832" s="90">
        <v>255</v>
      </c>
    </row>
    <row r="2833" spans="1:15" s="90" customFormat="1" ht="12.75" customHeight="1" x14ac:dyDescent="0.2">
      <c r="A2833" s="247" t="s">
        <v>990</v>
      </c>
      <c r="B2833" s="316">
        <v>3046</v>
      </c>
      <c r="C2833" s="247" t="s">
        <v>975</v>
      </c>
      <c r="D2833" s="317">
        <v>42674</v>
      </c>
      <c r="E2833" s="318">
        <v>0.79530092592592594</v>
      </c>
      <c r="F2833" s="247" t="s">
        <v>976</v>
      </c>
      <c r="G2833" s="247"/>
      <c r="H2833" s="248" t="s">
        <v>404</v>
      </c>
      <c r="I2833" s="248" t="s">
        <v>404</v>
      </c>
      <c r="J2833" s="247" t="s">
        <v>809</v>
      </c>
      <c r="K2833" s="249">
        <v>0</v>
      </c>
      <c r="M2833" s="90">
        <v>0</v>
      </c>
      <c r="N2833" s="90">
        <v>0</v>
      </c>
      <c r="O2833" s="90">
        <v>255</v>
      </c>
    </row>
    <row r="2834" spans="1:15" s="90" customFormat="1" ht="12.75" customHeight="1" x14ac:dyDescent="0.2">
      <c r="A2834" s="247" t="s">
        <v>989</v>
      </c>
      <c r="B2834" s="316">
        <v>3046</v>
      </c>
      <c r="C2834" s="247" t="s">
        <v>975</v>
      </c>
      <c r="D2834" s="317">
        <v>42674</v>
      </c>
      <c r="E2834" s="318">
        <v>0.83696759259259268</v>
      </c>
      <c r="F2834" s="247" t="s">
        <v>976</v>
      </c>
      <c r="G2834" s="247"/>
      <c r="H2834" s="248" t="s">
        <v>404</v>
      </c>
      <c r="I2834" s="248" t="s">
        <v>404</v>
      </c>
      <c r="J2834" s="247" t="s">
        <v>809</v>
      </c>
      <c r="K2834" s="249">
        <v>0</v>
      </c>
      <c r="M2834" s="90">
        <v>0</v>
      </c>
      <c r="N2834" s="90">
        <v>0</v>
      </c>
      <c r="O2834" s="90">
        <v>255</v>
      </c>
    </row>
    <row r="2835" spans="1:15" s="90" customFormat="1" ht="12.75" customHeight="1" x14ac:dyDescent="0.2">
      <c r="A2835" s="247" t="s">
        <v>993</v>
      </c>
      <c r="B2835" s="316">
        <v>3217</v>
      </c>
      <c r="C2835" s="247" t="s">
        <v>975</v>
      </c>
      <c r="D2835" s="317">
        <v>42674</v>
      </c>
      <c r="E2835" s="318">
        <v>0.83721064814814816</v>
      </c>
      <c r="F2835" s="247" t="s">
        <v>235</v>
      </c>
      <c r="G2835" s="247"/>
      <c r="H2835" s="248" t="s">
        <v>234</v>
      </c>
      <c r="I2835" s="248" t="s">
        <v>235</v>
      </c>
      <c r="J2835" s="247" t="s">
        <v>809</v>
      </c>
      <c r="K2835" s="249">
        <v>0</v>
      </c>
      <c r="M2835" s="90">
        <v>0</v>
      </c>
      <c r="N2835" s="90">
        <v>0</v>
      </c>
      <c r="O2835" s="90">
        <v>255</v>
      </c>
    </row>
    <row r="2836" spans="1:15" s="90" customFormat="1" ht="12.75" customHeight="1" x14ac:dyDescent="0.2">
      <c r="A2836" s="247" t="s">
        <v>990</v>
      </c>
      <c r="B2836" s="316">
        <v>3046</v>
      </c>
      <c r="C2836" s="247" t="s">
        <v>975</v>
      </c>
      <c r="D2836" s="317">
        <v>42674</v>
      </c>
      <c r="E2836" s="318">
        <v>0.8372222222222222</v>
      </c>
      <c r="F2836" s="247" t="s">
        <v>976</v>
      </c>
      <c r="G2836" s="247"/>
      <c r="H2836" s="248" t="s">
        <v>404</v>
      </c>
      <c r="I2836" s="248" t="s">
        <v>404</v>
      </c>
      <c r="J2836" s="247" t="s">
        <v>809</v>
      </c>
      <c r="K2836" s="249">
        <v>0</v>
      </c>
      <c r="M2836" s="90">
        <v>0</v>
      </c>
      <c r="N2836" s="90">
        <v>0</v>
      </c>
      <c r="O2836" s="90">
        <v>255</v>
      </c>
    </row>
    <row r="2837" spans="1:15" s="90" customFormat="1" ht="12.75" customHeight="1" x14ac:dyDescent="0.2">
      <c r="A2837" s="247" t="s">
        <v>989</v>
      </c>
      <c r="B2837" s="316">
        <v>3046</v>
      </c>
      <c r="C2837" s="247" t="s">
        <v>975</v>
      </c>
      <c r="D2837" s="317">
        <v>42674</v>
      </c>
      <c r="E2837" s="318">
        <v>0.87888888888888894</v>
      </c>
      <c r="F2837" s="247" t="s">
        <v>976</v>
      </c>
      <c r="G2837" s="247"/>
      <c r="H2837" s="248" t="s">
        <v>404</v>
      </c>
      <c r="I2837" s="248" t="s">
        <v>404</v>
      </c>
      <c r="J2837" s="247" t="s">
        <v>809</v>
      </c>
      <c r="K2837" s="249">
        <v>0</v>
      </c>
      <c r="M2837" s="90">
        <v>0</v>
      </c>
      <c r="N2837" s="90">
        <v>0</v>
      </c>
      <c r="O2837" s="90">
        <v>255</v>
      </c>
    </row>
    <row r="2838" spans="1:15" s="90" customFormat="1" ht="12.75" customHeight="1" x14ac:dyDescent="0.2">
      <c r="A2838" s="247" t="s">
        <v>990</v>
      </c>
      <c r="B2838" s="316">
        <v>3046</v>
      </c>
      <c r="C2838" s="247" t="s">
        <v>975</v>
      </c>
      <c r="D2838" s="317">
        <v>42674</v>
      </c>
      <c r="E2838" s="318">
        <v>0.87913194444444442</v>
      </c>
      <c r="F2838" s="247" t="s">
        <v>976</v>
      </c>
      <c r="G2838" s="247"/>
      <c r="H2838" s="248" t="s">
        <v>404</v>
      </c>
      <c r="I2838" s="248" t="s">
        <v>404</v>
      </c>
      <c r="J2838" s="247" t="s">
        <v>809</v>
      </c>
      <c r="K2838" s="249">
        <v>0</v>
      </c>
      <c r="M2838" s="90">
        <v>0</v>
      </c>
      <c r="N2838" s="90">
        <v>0</v>
      </c>
      <c r="O2838" s="90">
        <v>255</v>
      </c>
    </row>
    <row r="2839" spans="1:15" s="90" customFormat="1" ht="12.75" customHeight="1" x14ac:dyDescent="0.2">
      <c r="A2839" s="247" t="s">
        <v>993</v>
      </c>
      <c r="B2839" s="316">
        <v>3217</v>
      </c>
      <c r="C2839" s="247" t="s">
        <v>975</v>
      </c>
      <c r="D2839" s="317">
        <v>42674</v>
      </c>
      <c r="E2839" s="318">
        <v>0.87913194444444442</v>
      </c>
      <c r="F2839" s="247" t="s">
        <v>235</v>
      </c>
      <c r="G2839" s="247"/>
      <c r="H2839" s="248" t="s">
        <v>234</v>
      </c>
      <c r="I2839" s="248" t="s">
        <v>235</v>
      </c>
      <c r="J2839" s="247" t="s">
        <v>809</v>
      </c>
      <c r="K2839" s="249">
        <v>0</v>
      </c>
      <c r="M2839" s="90">
        <v>0</v>
      </c>
      <c r="N2839" s="90">
        <v>0</v>
      </c>
      <c r="O2839" s="90">
        <v>255</v>
      </c>
    </row>
    <row r="2840" spans="1:15" s="90" customFormat="1" ht="12.75" customHeight="1" x14ac:dyDescent="0.2">
      <c r="A2840" s="247" t="s">
        <v>989</v>
      </c>
      <c r="B2840" s="316">
        <v>3046</v>
      </c>
      <c r="C2840" s="247" t="s">
        <v>975</v>
      </c>
      <c r="D2840" s="317">
        <v>42674</v>
      </c>
      <c r="E2840" s="318">
        <v>0.9208101851851852</v>
      </c>
      <c r="F2840" s="247" t="s">
        <v>976</v>
      </c>
      <c r="G2840" s="247"/>
      <c r="H2840" s="248" t="s">
        <v>404</v>
      </c>
      <c r="I2840" s="248" t="s">
        <v>404</v>
      </c>
      <c r="J2840" s="247" t="s">
        <v>809</v>
      </c>
      <c r="K2840" s="249">
        <v>0</v>
      </c>
      <c r="M2840" s="90">
        <v>0</v>
      </c>
      <c r="N2840" s="90">
        <v>0</v>
      </c>
      <c r="O2840" s="90">
        <v>255</v>
      </c>
    </row>
    <row r="2841" spans="1:15" s="90" customFormat="1" ht="12.75" customHeight="1" x14ac:dyDescent="0.2">
      <c r="A2841" s="247" t="s">
        <v>990</v>
      </c>
      <c r="B2841" s="316">
        <v>3046</v>
      </c>
      <c r="C2841" s="247" t="s">
        <v>975</v>
      </c>
      <c r="D2841" s="317">
        <v>42674</v>
      </c>
      <c r="E2841" s="318">
        <v>0.9210532407407408</v>
      </c>
      <c r="F2841" s="247" t="s">
        <v>976</v>
      </c>
      <c r="G2841" s="247"/>
      <c r="H2841" s="248" t="s">
        <v>404</v>
      </c>
      <c r="I2841" s="248" t="s">
        <v>404</v>
      </c>
      <c r="J2841" s="247" t="s">
        <v>809</v>
      </c>
      <c r="K2841" s="249">
        <v>0</v>
      </c>
      <c r="M2841" s="90">
        <v>0</v>
      </c>
      <c r="N2841" s="90">
        <v>0</v>
      </c>
      <c r="O2841" s="90">
        <v>255</v>
      </c>
    </row>
    <row r="2842" spans="1:15" s="90" customFormat="1" ht="12.75" customHeight="1" x14ac:dyDescent="0.2">
      <c r="A2842" s="247" t="s">
        <v>993</v>
      </c>
      <c r="B2842" s="316">
        <v>3217</v>
      </c>
      <c r="C2842" s="247" t="s">
        <v>975</v>
      </c>
      <c r="D2842" s="317">
        <v>42674</v>
      </c>
      <c r="E2842" s="318">
        <v>0.9210532407407408</v>
      </c>
      <c r="F2842" s="247" t="s">
        <v>235</v>
      </c>
      <c r="G2842" s="247"/>
      <c r="H2842" s="248" t="s">
        <v>234</v>
      </c>
      <c r="I2842" s="248" t="s">
        <v>235</v>
      </c>
      <c r="J2842" s="247" t="s">
        <v>809</v>
      </c>
      <c r="K2842" s="249">
        <v>0</v>
      </c>
      <c r="M2842" s="90">
        <v>0</v>
      </c>
      <c r="N2842" s="90">
        <v>0</v>
      </c>
      <c r="O2842" s="90">
        <v>255</v>
      </c>
    </row>
    <row r="2843" spans="1:15" s="90" customFormat="1" ht="12.75" customHeight="1" x14ac:dyDescent="0.2">
      <c r="A2843" s="247" t="s">
        <v>989</v>
      </c>
      <c r="B2843" s="316">
        <v>3046</v>
      </c>
      <c r="C2843" s="247" t="s">
        <v>975</v>
      </c>
      <c r="D2843" s="317">
        <v>42674</v>
      </c>
      <c r="E2843" s="318">
        <v>0.96273148148148147</v>
      </c>
      <c r="F2843" s="247" t="s">
        <v>976</v>
      </c>
      <c r="G2843" s="247"/>
      <c r="H2843" s="248" t="s">
        <v>404</v>
      </c>
      <c r="I2843" s="248" t="s">
        <v>404</v>
      </c>
      <c r="J2843" s="247" t="s">
        <v>809</v>
      </c>
      <c r="K2843" s="249">
        <v>0</v>
      </c>
      <c r="M2843" s="90">
        <v>0</v>
      </c>
      <c r="N2843" s="90">
        <v>0</v>
      </c>
      <c r="O2843" s="90">
        <v>255</v>
      </c>
    </row>
    <row r="2844" spans="1:15" s="90" customFormat="1" ht="12.75" customHeight="1" x14ac:dyDescent="0.2">
      <c r="A2844" s="247" t="s">
        <v>990</v>
      </c>
      <c r="B2844" s="316">
        <v>3046</v>
      </c>
      <c r="C2844" s="247" t="s">
        <v>975</v>
      </c>
      <c r="D2844" s="317">
        <v>42674</v>
      </c>
      <c r="E2844" s="318">
        <v>0.96297453703703706</v>
      </c>
      <c r="F2844" s="247" t="s">
        <v>976</v>
      </c>
      <c r="G2844" s="247"/>
      <c r="H2844" s="248" t="s">
        <v>404</v>
      </c>
      <c r="I2844" s="248" t="s">
        <v>404</v>
      </c>
      <c r="J2844" s="247" t="s">
        <v>809</v>
      </c>
      <c r="K2844" s="249">
        <v>0</v>
      </c>
      <c r="M2844" s="90">
        <v>0</v>
      </c>
      <c r="N2844" s="90">
        <v>0</v>
      </c>
      <c r="O2844" s="90">
        <v>255</v>
      </c>
    </row>
    <row r="2845" spans="1:15" s="90" customFormat="1" ht="12.75" customHeight="1" x14ac:dyDescent="0.2">
      <c r="A2845" s="247" t="s">
        <v>993</v>
      </c>
      <c r="B2845" s="316">
        <v>3217</v>
      </c>
      <c r="C2845" s="247" t="s">
        <v>975</v>
      </c>
      <c r="D2845" s="317">
        <v>42674</v>
      </c>
      <c r="E2845" s="318">
        <v>0.96297453703703706</v>
      </c>
      <c r="F2845" s="247" t="s">
        <v>235</v>
      </c>
      <c r="G2845" s="247"/>
      <c r="H2845" s="248" t="s">
        <v>234</v>
      </c>
      <c r="I2845" s="248" t="s">
        <v>235</v>
      </c>
      <c r="J2845" s="247" t="s">
        <v>809</v>
      </c>
      <c r="K2845" s="249">
        <v>0</v>
      </c>
      <c r="M2845" s="90">
        <v>0</v>
      </c>
      <c r="N2845" s="90">
        <v>0</v>
      </c>
      <c r="O2845" s="90">
        <v>255</v>
      </c>
    </row>
    <row r="2846" spans="1:15" s="90" customFormat="1" ht="12.75" customHeight="1" x14ac:dyDescent="0.2">
      <c r="A2846" s="247" t="s">
        <v>989</v>
      </c>
      <c r="B2846" s="316">
        <v>3046</v>
      </c>
      <c r="C2846" s="247" t="s">
        <v>975</v>
      </c>
      <c r="D2846" s="317">
        <v>42675</v>
      </c>
      <c r="E2846" s="318">
        <v>4.6412037037037038E-3</v>
      </c>
      <c r="F2846" s="247" t="s">
        <v>976</v>
      </c>
      <c r="G2846" s="247"/>
      <c r="H2846" s="248" t="s">
        <v>404</v>
      </c>
      <c r="I2846" s="248" t="s">
        <v>404</v>
      </c>
      <c r="J2846" s="247" t="s">
        <v>809</v>
      </c>
      <c r="K2846" s="249">
        <v>0</v>
      </c>
      <c r="M2846" s="90">
        <v>0</v>
      </c>
      <c r="N2846" s="90">
        <v>0</v>
      </c>
      <c r="O2846" s="90">
        <v>255</v>
      </c>
    </row>
    <row r="2847" spans="1:15" s="90" customFormat="1" ht="12.75" customHeight="1" x14ac:dyDescent="0.2">
      <c r="A2847" s="247" t="s">
        <v>990</v>
      </c>
      <c r="B2847" s="316">
        <v>3046</v>
      </c>
      <c r="C2847" s="247" t="s">
        <v>975</v>
      </c>
      <c r="D2847" s="317">
        <v>42675</v>
      </c>
      <c r="E2847" s="318">
        <v>4.8958333333333328E-3</v>
      </c>
      <c r="F2847" s="247" t="s">
        <v>976</v>
      </c>
      <c r="G2847" s="247"/>
      <c r="H2847" s="248" t="s">
        <v>404</v>
      </c>
      <c r="I2847" s="248" t="s">
        <v>404</v>
      </c>
      <c r="J2847" s="247" t="s">
        <v>809</v>
      </c>
      <c r="K2847" s="249">
        <v>0</v>
      </c>
      <c r="M2847" s="90">
        <v>0</v>
      </c>
      <c r="N2847" s="90">
        <v>0</v>
      </c>
      <c r="O2847" s="90">
        <v>255</v>
      </c>
    </row>
    <row r="2848" spans="1:15" s="90" customFormat="1" ht="12.75" customHeight="1" x14ac:dyDescent="0.2">
      <c r="A2848" s="247" t="s">
        <v>993</v>
      </c>
      <c r="B2848" s="316">
        <v>3217</v>
      </c>
      <c r="C2848" s="247" t="s">
        <v>975</v>
      </c>
      <c r="D2848" s="317">
        <v>42675</v>
      </c>
      <c r="E2848" s="318">
        <v>4.8958333333333328E-3</v>
      </c>
      <c r="F2848" s="247" t="s">
        <v>235</v>
      </c>
      <c r="G2848" s="247"/>
      <c r="H2848" s="248" t="s">
        <v>234</v>
      </c>
      <c r="I2848" s="248" t="s">
        <v>235</v>
      </c>
      <c r="J2848" s="247" t="s">
        <v>809</v>
      </c>
      <c r="K2848" s="249">
        <v>0</v>
      </c>
      <c r="M2848" s="90">
        <v>0</v>
      </c>
      <c r="N2848" s="90">
        <v>0</v>
      </c>
      <c r="O2848" s="90">
        <v>255</v>
      </c>
    </row>
    <row r="2849" spans="1:15" s="90" customFormat="1" ht="12.75" customHeight="1" x14ac:dyDescent="0.2">
      <c r="A2849" s="247" t="s">
        <v>989</v>
      </c>
      <c r="B2849" s="316">
        <v>3046</v>
      </c>
      <c r="C2849" s="247" t="s">
        <v>975</v>
      </c>
      <c r="D2849" s="317">
        <v>42675</v>
      </c>
      <c r="E2849" s="318">
        <v>4.65625E-2</v>
      </c>
      <c r="F2849" s="247" t="s">
        <v>976</v>
      </c>
      <c r="G2849" s="247"/>
      <c r="H2849" s="248" t="s">
        <v>404</v>
      </c>
      <c r="I2849" s="248" t="s">
        <v>404</v>
      </c>
      <c r="J2849" s="247" t="s">
        <v>809</v>
      </c>
      <c r="K2849" s="249">
        <v>0</v>
      </c>
      <c r="M2849" s="90">
        <v>0</v>
      </c>
      <c r="N2849" s="90">
        <v>0</v>
      </c>
      <c r="O2849" s="90">
        <v>255</v>
      </c>
    </row>
    <row r="2850" spans="1:15" s="90" customFormat="1" ht="12.75" customHeight="1" x14ac:dyDescent="0.2">
      <c r="A2850" s="247" t="s">
        <v>990</v>
      </c>
      <c r="B2850" s="316">
        <v>3046</v>
      </c>
      <c r="C2850" s="247" t="s">
        <v>975</v>
      </c>
      <c r="D2850" s="317">
        <v>42675</v>
      </c>
      <c r="E2850" s="318">
        <v>4.6817129629629632E-2</v>
      </c>
      <c r="F2850" s="247" t="s">
        <v>976</v>
      </c>
      <c r="G2850" s="247"/>
      <c r="H2850" s="248" t="s">
        <v>404</v>
      </c>
      <c r="I2850" s="248" t="s">
        <v>404</v>
      </c>
      <c r="J2850" s="247" t="s">
        <v>809</v>
      </c>
      <c r="K2850" s="249">
        <v>0</v>
      </c>
      <c r="M2850" s="90">
        <v>0</v>
      </c>
      <c r="N2850" s="90">
        <v>0</v>
      </c>
      <c r="O2850" s="90">
        <v>255</v>
      </c>
    </row>
    <row r="2851" spans="1:15" s="90" customFormat="1" ht="12.75" customHeight="1" x14ac:dyDescent="0.2">
      <c r="A2851" s="247" t="s">
        <v>993</v>
      </c>
      <c r="B2851" s="316">
        <v>3217</v>
      </c>
      <c r="C2851" s="247" t="s">
        <v>975</v>
      </c>
      <c r="D2851" s="317">
        <v>42675</v>
      </c>
      <c r="E2851" s="318">
        <v>4.6817129629629632E-2</v>
      </c>
      <c r="F2851" s="247" t="s">
        <v>235</v>
      </c>
      <c r="G2851" s="247"/>
      <c r="H2851" s="248" t="s">
        <v>234</v>
      </c>
      <c r="I2851" s="248" t="s">
        <v>235</v>
      </c>
      <c r="J2851" s="247" t="s">
        <v>809</v>
      </c>
      <c r="K2851" s="249">
        <v>0</v>
      </c>
      <c r="M2851" s="90">
        <v>0</v>
      </c>
      <c r="N2851" s="90">
        <v>0</v>
      </c>
      <c r="O2851" s="90">
        <v>255</v>
      </c>
    </row>
    <row r="2852" spans="1:15" s="90" customFormat="1" ht="12.75" customHeight="1" x14ac:dyDescent="0.2">
      <c r="A2852" s="247" t="s">
        <v>989</v>
      </c>
      <c r="B2852" s="316">
        <v>3046</v>
      </c>
      <c r="C2852" s="247" t="s">
        <v>975</v>
      </c>
      <c r="D2852" s="317">
        <v>42675</v>
      </c>
      <c r="E2852" s="318">
        <v>8.8483796296296283E-2</v>
      </c>
      <c r="F2852" s="247" t="s">
        <v>976</v>
      </c>
      <c r="G2852" s="247"/>
      <c r="H2852" s="248" t="s">
        <v>404</v>
      </c>
      <c r="I2852" s="248" t="s">
        <v>404</v>
      </c>
      <c r="J2852" s="247" t="s">
        <v>809</v>
      </c>
      <c r="K2852" s="249">
        <v>0</v>
      </c>
      <c r="M2852" s="90">
        <v>0</v>
      </c>
      <c r="N2852" s="90">
        <v>0</v>
      </c>
      <c r="O2852" s="90">
        <v>255</v>
      </c>
    </row>
    <row r="2853" spans="1:15" s="90" customFormat="1" ht="12.75" customHeight="1" x14ac:dyDescent="0.2">
      <c r="A2853" s="247" t="s">
        <v>990</v>
      </c>
      <c r="B2853" s="316">
        <v>3046</v>
      </c>
      <c r="C2853" s="247" t="s">
        <v>975</v>
      </c>
      <c r="D2853" s="317">
        <v>42675</v>
      </c>
      <c r="E2853" s="318">
        <v>8.8738425925925915E-2</v>
      </c>
      <c r="F2853" s="247" t="s">
        <v>976</v>
      </c>
      <c r="G2853" s="247"/>
      <c r="H2853" s="248" t="s">
        <v>404</v>
      </c>
      <c r="I2853" s="248" t="s">
        <v>404</v>
      </c>
      <c r="J2853" s="247" t="s">
        <v>809</v>
      </c>
      <c r="K2853" s="249">
        <v>0</v>
      </c>
      <c r="M2853" s="90">
        <v>0</v>
      </c>
      <c r="N2853" s="90">
        <v>0</v>
      </c>
      <c r="O2853" s="90">
        <v>255</v>
      </c>
    </row>
    <row r="2854" spans="1:15" s="90" customFormat="1" ht="12.75" customHeight="1" x14ac:dyDescent="0.2">
      <c r="A2854" s="247" t="s">
        <v>993</v>
      </c>
      <c r="B2854" s="316">
        <v>3217</v>
      </c>
      <c r="C2854" s="247" t="s">
        <v>975</v>
      </c>
      <c r="D2854" s="317">
        <v>42675</v>
      </c>
      <c r="E2854" s="318">
        <v>8.8738425925925915E-2</v>
      </c>
      <c r="F2854" s="247" t="s">
        <v>235</v>
      </c>
      <c r="G2854" s="247"/>
      <c r="H2854" s="248" t="s">
        <v>234</v>
      </c>
      <c r="I2854" s="248" t="s">
        <v>235</v>
      </c>
      <c r="J2854" s="247" t="s">
        <v>809</v>
      </c>
      <c r="K2854" s="249">
        <v>0</v>
      </c>
      <c r="M2854" s="90">
        <v>0</v>
      </c>
      <c r="N2854" s="90">
        <v>0</v>
      </c>
      <c r="O2854" s="90">
        <v>255</v>
      </c>
    </row>
    <row r="2855" spans="1:15" s="90" customFormat="1" ht="12.75" customHeight="1" x14ac:dyDescent="0.2">
      <c r="A2855" s="247" t="s">
        <v>989</v>
      </c>
      <c r="B2855" s="316">
        <v>3046</v>
      </c>
      <c r="C2855" s="247" t="s">
        <v>975</v>
      </c>
      <c r="D2855" s="317">
        <v>42675</v>
      </c>
      <c r="E2855" s="318">
        <v>0.13040509259259259</v>
      </c>
      <c r="F2855" s="247" t="s">
        <v>976</v>
      </c>
      <c r="G2855" s="247"/>
      <c r="H2855" s="248" t="s">
        <v>404</v>
      </c>
      <c r="I2855" s="248" t="s">
        <v>404</v>
      </c>
      <c r="J2855" s="247" t="s">
        <v>809</v>
      </c>
      <c r="K2855" s="249">
        <v>0</v>
      </c>
      <c r="M2855" s="90">
        <v>0</v>
      </c>
      <c r="N2855" s="90">
        <v>0</v>
      </c>
      <c r="O2855" s="90">
        <v>255</v>
      </c>
    </row>
    <row r="2856" spans="1:15" s="90" customFormat="1" ht="12.75" customHeight="1" x14ac:dyDescent="0.2">
      <c r="A2856" s="247" t="s">
        <v>990</v>
      </c>
      <c r="B2856" s="316">
        <v>3046</v>
      </c>
      <c r="C2856" s="247" t="s">
        <v>975</v>
      </c>
      <c r="D2856" s="317">
        <v>42675</v>
      </c>
      <c r="E2856" s="318">
        <v>0.13065972222222222</v>
      </c>
      <c r="F2856" s="247" t="s">
        <v>976</v>
      </c>
      <c r="G2856" s="247"/>
      <c r="H2856" s="248" t="s">
        <v>404</v>
      </c>
      <c r="I2856" s="248" t="s">
        <v>404</v>
      </c>
      <c r="J2856" s="247" t="s">
        <v>809</v>
      </c>
      <c r="K2856" s="249">
        <v>0</v>
      </c>
      <c r="M2856" s="90">
        <v>0</v>
      </c>
      <c r="N2856" s="90">
        <v>0</v>
      </c>
      <c r="O2856" s="90">
        <v>255</v>
      </c>
    </row>
    <row r="2857" spans="1:15" s="90" customFormat="1" ht="12.75" customHeight="1" x14ac:dyDescent="0.2">
      <c r="A2857" s="247" t="s">
        <v>993</v>
      </c>
      <c r="B2857" s="316">
        <v>3217</v>
      </c>
      <c r="C2857" s="247" t="s">
        <v>975</v>
      </c>
      <c r="D2857" s="317">
        <v>42675</v>
      </c>
      <c r="E2857" s="318">
        <v>0.13065972222222222</v>
      </c>
      <c r="F2857" s="247" t="s">
        <v>235</v>
      </c>
      <c r="G2857" s="247"/>
      <c r="H2857" s="248" t="s">
        <v>234</v>
      </c>
      <c r="I2857" s="248" t="s">
        <v>235</v>
      </c>
      <c r="J2857" s="247" t="s">
        <v>809</v>
      </c>
      <c r="K2857" s="249">
        <v>0</v>
      </c>
      <c r="M2857" s="90">
        <v>0</v>
      </c>
      <c r="N2857" s="90">
        <v>0</v>
      </c>
      <c r="O2857" s="90">
        <v>255</v>
      </c>
    </row>
    <row r="2858" spans="1:15" s="90" customFormat="1" ht="12.75" customHeight="1" x14ac:dyDescent="0.2">
      <c r="A2858" s="247" t="s">
        <v>989</v>
      </c>
      <c r="B2858" s="316">
        <v>3046</v>
      </c>
      <c r="C2858" s="247" t="s">
        <v>975</v>
      </c>
      <c r="D2858" s="317">
        <v>42675</v>
      </c>
      <c r="E2858" s="318">
        <v>0.17232638888888888</v>
      </c>
      <c r="F2858" s="247" t="s">
        <v>976</v>
      </c>
      <c r="G2858" s="247"/>
      <c r="H2858" s="248" t="s">
        <v>404</v>
      </c>
      <c r="I2858" s="248" t="s">
        <v>404</v>
      </c>
      <c r="J2858" s="247" t="s">
        <v>809</v>
      </c>
      <c r="K2858" s="249">
        <v>0</v>
      </c>
      <c r="M2858" s="90">
        <v>0</v>
      </c>
      <c r="N2858" s="90">
        <v>0</v>
      </c>
      <c r="O2858" s="90">
        <v>255</v>
      </c>
    </row>
    <row r="2859" spans="1:15" s="90" customFormat="1" ht="12.75" customHeight="1" x14ac:dyDescent="0.2">
      <c r="A2859" s="247" t="s">
        <v>990</v>
      </c>
      <c r="B2859" s="316">
        <v>3046</v>
      </c>
      <c r="C2859" s="247" t="s">
        <v>975</v>
      </c>
      <c r="D2859" s="317">
        <v>42675</v>
      </c>
      <c r="E2859" s="318">
        <v>0.17258101851851851</v>
      </c>
      <c r="F2859" s="247" t="s">
        <v>976</v>
      </c>
      <c r="G2859" s="247"/>
      <c r="H2859" s="248" t="s">
        <v>404</v>
      </c>
      <c r="I2859" s="248" t="s">
        <v>404</v>
      </c>
      <c r="J2859" s="247" t="s">
        <v>809</v>
      </c>
      <c r="K2859" s="249">
        <v>0</v>
      </c>
      <c r="M2859" s="90">
        <v>0</v>
      </c>
      <c r="N2859" s="90">
        <v>0</v>
      </c>
      <c r="O2859" s="90">
        <v>255</v>
      </c>
    </row>
    <row r="2860" spans="1:15" s="90" customFormat="1" ht="12.75" customHeight="1" x14ac:dyDescent="0.2">
      <c r="A2860" s="247" t="s">
        <v>993</v>
      </c>
      <c r="B2860" s="316">
        <v>3217</v>
      </c>
      <c r="C2860" s="247" t="s">
        <v>975</v>
      </c>
      <c r="D2860" s="317">
        <v>42675</v>
      </c>
      <c r="E2860" s="318">
        <v>0.17258101851851851</v>
      </c>
      <c r="F2860" s="247" t="s">
        <v>235</v>
      </c>
      <c r="G2860" s="247"/>
      <c r="H2860" s="248" t="s">
        <v>234</v>
      </c>
      <c r="I2860" s="248" t="s">
        <v>235</v>
      </c>
      <c r="J2860" s="247" t="s">
        <v>809</v>
      </c>
      <c r="K2860" s="249">
        <v>0</v>
      </c>
      <c r="M2860" s="90">
        <v>0</v>
      </c>
      <c r="N2860" s="90">
        <v>0</v>
      </c>
      <c r="O2860" s="90">
        <v>255</v>
      </c>
    </row>
    <row r="2861" spans="1:15" s="90" customFormat="1" ht="12.75" customHeight="1" x14ac:dyDescent="0.2">
      <c r="A2861" s="247" t="s">
        <v>989</v>
      </c>
      <c r="B2861" s="316">
        <v>3046</v>
      </c>
      <c r="C2861" s="247" t="s">
        <v>975</v>
      </c>
      <c r="D2861" s="317">
        <v>42675</v>
      </c>
      <c r="E2861" s="318">
        <v>0.21424768518518519</v>
      </c>
      <c r="F2861" s="247" t="s">
        <v>976</v>
      </c>
      <c r="G2861" s="247"/>
      <c r="H2861" s="248" t="s">
        <v>404</v>
      </c>
      <c r="I2861" s="248" t="s">
        <v>404</v>
      </c>
      <c r="J2861" s="247" t="s">
        <v>809</v>
      </c>
      <c r="K2861" s="249">
        <v>0</v>
      </c>
      <c r="M2861" s="90">
        <v>0</v>
      </c>
      <c r="N2861" s="90">
        <v>0</v>
      </c>
      <c r="O2861" s="90">
        <v>255</v>
      </c>
    </row>
    <row r="2862" spans="1:15" s="90" customFormat="1" ht="12.75" customHeight="1" x14ac:dyDescent="0.2">
      <c r="A2862" s="247" t="s">
        <v>990</v>
      </c>
      <c r="B2862" s="316">
        <v>3046</v>
      </c>
      <c r="C2862" s="247" t="s">
        <v>975</v>
      </c>
      <c r="D2862" s="317">
        <v>42675</v>
      </c>
      <c r="E2862" s="318">
        <v>0.21450231481481483</v>
      </c>
      <c r="F2862" s="247" t="s">
        <v>976</v>
      </c>
      <c r="G2862" s="247"/>
      <c r="H2862" s="248" t="s">
        <v>404</v>
      </c>
      <c r="I2862" s="248" t="s">
        <v>404</v>
      </c>
      <c r="J2862" s="247" t="s">
        <v>809</v>
      </c>
      <c r="K2862" s="249">
        <v>0</v>
      </c>
      <c r="M2862" s="90">
        <v>0</v>
      </c>
      <c r="N2862" s="90">
        <v>0</v>
      </c>
      <c r="O2862" s="90">
        <v>255</v>
      </c>
    </row>
    <row r="2863" spans="1:15" s="90" customFormat="1" ht="12.75" customHeight="1" x14ac:dyDescent="0.2">
      <c r="A2863" s="247" t="s">
        <v>993</v>
      </c>
      <c r="B2863" s="316">
        <v>3217</v>
      </c>
      <c r="C2863" s="247" t="s">
        <v>975</v>
      </c>
      <c r="D2863" s="317">
        <v>42675</v>
      </c>
      <c r="E2863" s="318">
        <v>0.21450231481481483</v>
      </c>
      <c r="F2863" s="247" t="s">
        <v>235</v>
      </c>
      <c r="G2863" s="247"/>
      <c r="H2863" s="248" t="s">
        <v>234</v>
      </c>
      <c r="I2863" s="248" t="s">
        <v>235</v>
      </c>
      <c r="J2863" s="247" t="s">
        <v>809</v>
      </c>
      <c r="K2863" s="249">
        <v>0</v>
      </c>
      <c r="M2863" s="90">
        <v>0</v>
      </c>
      <c r="N2863" s="90">
        <v>0</v>
      </c>
      <c r="O2863" s="90">
        <v>255</v>
      </c>
    </row>
    <row r="2864" spans="1:15" s="90" customFormat="1" ht="12.75" customHeight="1" x14ac:dyDescent="0.2">
      <c r="A2864" s="247" t="s">
        <v>989</v>
      </c>
      <c r="B2864" s="316">
        <v>3046</v>
      </c>
      <c r="C2864" s="247" t="s">
        <v>975</v>
      </c>
      <c r="D2864" s="317">
        <v>42675</v>
      </c>
      <c r="E2864" s="318">
        <v>0.25616898148148148</v>
      </c>
      <c r="F2864" s="247" t="s">
        <v>976</v>
      </c>
      <c r="G2864" s="247"/>
      <c r="H2864" s="248" t="s">
        <v>404</v>
      </c>
      <c r="I2864" s="248" t="s">
        <v>404</v>
      </c>
      <c r="J2864" s="247" t="s">
        <v>809</v>
      </c>
      <c r="K2864" s="249">
        <v>0</v>
      </c>
      <c r="M2864" s="90">
        <v>0</v>
      </c>
      <c r="N2864" s="90">
        <v>0</v>
      </c>
      <c r="O2864" s="90">
        <v>255</v>
      </c>
    </row>
    <row r="2865" spans="1:15" s="90" customFormat="1" ht="12.75" customHeight="1" x14ac:dyDescent="0.2">
      <c r="A2865" s="247" t="s">
        <v>990</v>
      </c>
      <c r="B2865" s="316">
        <v>3046</v>
      </c>
      <c r="C2865" s="247" t="s">
        <v>975</v>
      </c>
      <c r="D2865" s="317">
        <v>42675</v>
      </c>
      <c r="E2865" s="318">
        <v>0.25642361111111112</v>
      </c>
      <c r="F2865" s="247" t="s">
        <v>976</v>
      </c>
      <c r="G2865" s="247"/>
      <c r="H2865" s="248" t="s">
        <v>404</v>
      </c>
      <c r="I2865" s="248" t="s">
        <v>404</v>
      </c>
      <c r="J2865" s="247" t="s">
        <v>809</v>
      </c>
      <c r="K2865" s="249">
        <v>0</v>
      </c>
      <c r="M2865" s="90">
        <v>0</v>
      </c>
      <c r="N2865" s="90">
        <v>0</v>
      </c>
      <c r="O2865" s="90">
        <v>255</v>
      </c>
    </row>
    <row r="2866" spans="1:15" s="90" customFormat="1" ht="12.75" customHeight="1" x14ac:dyDescent="0.2">
      <c r="A2866" s="247" t="s">
        <v>993</v>
      </c>
      <c r="B2866" s="316">
        <v>3217</v>
      </c>
      <c r="C2866" s="247" t="s">
        <v>975</v>
      </c>
      <c r="D2866" s="317">
        <v>42675</v>
      </c>
      <c r="E2866" s="318">
        <v>0.25642361111111112</v>
      </c>
      <c r="F2866" s="247" t="s">
        <v>235</v>
      </c>
      <c r="G2866" s="247"/>
      <c r="H2866" s="248" t="s">
        <v>234</v>
      </c>
      <c r="I2866" s="248" t="s">
        <v>235</v>
      </c>
      <c r="J2866" s="247" t="s">
        <v>809</v>
      </c>
      <c r="K2866" s="249">
        <v>0</v>
      </c>
      <c r="M2866" s="90">
        <v>0</v>
      </c>
      <c r="N2866" s="90">
        <v>0</v>
      </c>
      <c r="O2866" s="90">
        <v>255</v>
      </c>
    </row>
    <row r="2867" spans="1:15" s="90" customFormat="1" ht="12.75" customHeight="1" x14ac:dyDescent="0.2">
      <c r="A2867" s="247" t="s">
        <v>989</v>
      </c>
      <c r="B2867" s="316">
        <v>3046</v>
      </c>
      <c r="C2867" s="247" t="s">
        <v>975</v>
      </c>
      <c r="D2867" s="317">
        <v>42675</v>
      </c>
      <c r="E2867" s="318">
        <v>0.2980902777777778</v>
      </c>
      <c r="F2867" s="247" t="s">
        <v>976</v>
      </c>
      <c r="G2867" s="247"/>
      <c r="H2867" s="248" t="s">
        <v>404</v>
      </c>
      <c r="I2867" s="248" t="s">
        <v>404</v>
      </c>
      <c r="J2867" s="247" t="s">
        <v>809</v>
      </c>
      <c r="K2867" s="249">
        <v>0</v>
      </c>
      <c r="M2867" s="90">
        <v>0</v>
      </c>
      <c r="N2867" s="90">
        <v>0</v>
      </c>
      <c r="O2867" s="90">
        <v>255</v>
      </c>
    </row>
    <row r="2868" spans="1:15" s="90" customFormat="1" ht="12.75" customHeight="1" x14ac:dyDescent="0.2">
      <c r="A2868" s="247" t="s">
        <v>990</v>
      </c>
      <c r="B2868" s="316">
        <v>3046</v>
      </c>
      <c r="C2868" s="247" t="s">
        <v>975</v>
      </c>
      <c r="D2868" s="317">
        <v>42675</v>
      </c>
      <c r="E2868" s="318">
        <v>0.29834490740740743</v>
      </c>
      <c r="F2868" s="247" t="s">
        <v>976</v>
      </c>
      <c r="G2868" s="247"/>
      <c r="H2868" s="248" t="s">
        <v>404</v>
      </c>
      <c r="I2868" s="248" t="s">
        <v>404</v>
      </c>
      <c r="J2868" s="247" t="s">
        <v>809</v>
      </c>
      <c r="K2868" s="249">
        <v>0</v>
      </c>
      <c r="M2868" s="90">
        <v>0</v>
      </c>
      <c r="N2868" s="90">
        <v>0</v>
      </c>
      <c r="O2868" s="90">
        <v>255</v>
      </c>
    </row>
    <row r="2869" spans="1:15" s="90" customFormat="1" ht="12.75" customHeight="1" x14ac:dyDescent="0.2">
      <c r="A2869" s="247" t="s">
        <v>993</v>
      </c>
      <c r="B2869" s="316">
        <v>3217</v>
      </c>
      <c r="C2869" s="247" t="s">
        <v>975</v>
      </c>
      <c r="D2869" s="317">
        <v>42675</v>
      </c>
      <c r="E2869" s="318">
        <v>0.29834490740740743</v>
      </c>
      <c r="F2869" s="247" t="s">
        <v>235</v>
      </c>
      <c r="G2869" s="247"/>
      <c r="H2869" s="248" t="s">
        <v>234</v>
      </c>
      <c r="I2869" s="248" t="s">
        <v>235</v>
      </c>
      <c r="J2869" s="247" t="s">
        <v>809</v>
      </c>
      <c r="K2869" s="249">
        <v>0</v>
      </c>
      <c r="M2869" s="90">
        <v>0</v>
      </c>
      <c r="N2869" s="90">
        <v>0</v>
      </c>
      <c r="O2869" s="90">
        <v>255</v>
      </c>
    </row>
    <row r="2870" spans="1:15" s="90" customFormat="1" ht="12.75" customHeight="1" x14ac:dyDescent="0.2">
      <c r="A2870" s="247" t="s">
        <v>301</v>
      </c>
      <c r="B2870" s="316">
        <v>3042</v>
      </c>
      <c r="C2870" s="247" t="s">
        <v>979</v>
      </c>
      <c r="D2870" s="317">
        <v>42675</v>
      </c>
      <c r="E2870" s="318">
        <v>0.31384259259259256</v>
      </c>
      <c r="F2870" s="247" t="s">
        <v>980</v>
      </c>
      <c r="G2870" s="247"/>
      <c r="H2870" s="248" t="s">
        <v>234</v>
      </c>
      <c r="I2870" s="248" t="s">
        <v>263</v>
      </c>
      <c r="J2870" s="247" t="s">
        <v>809</v>
      </c>
      <c r="K2870" s="249">
        <v>0</v>
      </c>
      <c r="M2870" s="90">
        <v>0</v>
      </c>
      <c r="N2870" s="90">
        <v>0</v>
      </c>
      <c r="O2870" s="90">
        <v>255</v>
      </c>
    </row>
    <row r="2871" spans="1:15" s="90" customFormat="1" ht="12.75" customHeight="1" x14ac:dyDescent="0.2">
      <c r="A2871" s="247" t="s">
        <v>1034</v>
      </c>
      <c r="B2871" s="316">
        <v>3106</v>
      </c>
      <c r="C2871" s="247" t="s">
        <v>975</v>
      </c>
      <c r="D2871" s="317">
        <v>42675</v>
      </c>
      <c r="E2871" s="318">
        <v>0.31450231481481478</v>
      </c>
      <c r="F2871" s="247" t="s">
        <v>978</v>
      </c>
      <c r="G2871" s="247" t="s">
        <v>1035</v>
      </c>
      <c r="H2871" s="248" t="s">
        <v>234</v>
      </c>
      <c r="I2871" s="248" t="s">
        <v>677</v>
      </c>
      <c r="J2871" s="247" t="s">
        <v>809</v>
      </c>
      <c r="K2871" s="249">
        <v>0</v>
      </c>
      <c r="M2871" s="90">
        <v>0</v>
      </c>
      <c r="N2871" s="90">
        <v>0</v>
      </c>
      <c r="O2871" s="90">
        <v>255</v>
      </c>
    </row>
    <row r="2872" spans="1:15" s="90" customFormat="1" ht="12.75" customHeight="1" x14ac:dyDescent="0.2">
      <c r="A2872" s="247" t="s">
        <v>989</v>
      </c>
      <c r="B2872" s="316">
        <v>3046</v>
      </c>
      <c r="C2872" s="247" t="s">
        <v>975</v>
      </c>
      <c r="D2872" s="317">
        <v>42675</v>
      </c>
      <c r="E2872" s="318">
        <v>0.34001157407407406</v>
      </c>
      <c r="F2872" s="247" t="s">
        <v>976</v>
      </c>
      <c r="G2872" s="247" t="s">
        <v>1035</v>
      </c>
      <c r="H2872" s="248" t="s">
        <v>404</v>
      </c>
      <c r="I2872" s="248" t="s">
        <v>404</v>
      </c>
      <c r="J2872" s="247" t="s">
        <v>809</v>
      </c>
      <c r="K2872" s="249">
        <v>0</v>
      </c>
      <c r="M2872" s="90">
        <v>0</v>
      </c>
      <c r="N2872" s="90">
        <v>0</v>
      </c>
      <c r="O2872" s="90">
        <v>255</v>
      </c>
    </row>
    <row r="2873" spans="1:15" s="90" customFormat="1" ht="12.75" customHeight="1" x14ac:dyDescent="0.2">
      <c r="A2873" s="247" t="s">
        <v>990</v>
      </c>
      <c r="B2873" s="316">
        <v>3046</v>
      </c>
      <c r="C2873" s="247" t="s">
        <v>975</v>
      </c>
      <c r="D2873" s="317">
        <v>42675</v>
      </c>
      <c r="E2873" s="318">
        <v>0.3402662037037037</v>
      </c>
      <c r="F2873" s="247" t="s">
        <v>976</v>
      </c>
      <c r="G2873" s="247" t="s">
        <v>1035</v>
      </c>
      <c r="H2873" s="248" t="s">
        <v>404</v>
      </c>
      <c r="I2873" s="248" t="s">
        <v>404</v>
      </c>
      <c r="J2873" s="247" t="s">
        <v>809</v>
      </c>
      <c r="K2873" s="249">
        <v>0</v>
      </c>
      <c r="M2873" s="90">
        <v>0</v>
      </c>
      <c r="N2873" s="90">
        <v>0</v>
      </c>
      <c r="O2873" s="90">
        <v>255</v>
      </c>
    </row>
    <row r="2874" spans="1:15" s="90" customFormat="1" ht="12.75" customHeight="1" x14ac:dyDescent="0.2">
      <c r="A2874" s="247" t="s">
        <v>993</v>
      </c>
      <c r="B2874" s="316">
        <v>3217</v>
      </c>
      <c r="C2874" s="247" t="s">
        <v>975</v>
      </c>
      <c r="D2874" s="317">
        <v>42675</v>
      </c>
      <c r="E2874" s="318">
        <v>0.3402662037037037</v>
      </c>
      <c r="F2874" s="247" t="s">
        <v>235</v>
      </c>
      <c r="G2874" s="247" t="s">
        <v>1035</v>
      </c>
      <c r="H2874" s="248" t="s">
        <v>234</v>
      </c>
      <c r="I2874" s="248" t="s">
        <v>235</v>
      </c>
      <c r="J2874" s="247" t="s">
        <v>809</v>
      </c>
      <c r="K2874" s="249">
        <v>0</v>
      </c>
      <c r="M2874" s="90">
        <v>0</v>
      </c>
      <c r="N2874" s="90">
        <v>0</v>
      </c>
      <c r="O2874" s="90">
        <v>255</v>
      </c>
    </row>
    <row r="2875" spans="1:15" s="90" customFormat="1" ht="12.75" customHeight="1" x14ac:dyDescent="0.2">
      <c r="A2875" s="247" t="s">
        <v>989</v>
      </c>
      <c r="B2875" s="316">
        <v>3046</v>
      </c>
      <c r="C2875" s="247" t="s">
        <v>975</v>
      </c>
      <c r="D2875" s="317">
        <v>42675</v>
      </c>
      <c r="E2875" s="318">
        <v>0.35508101851851853</v>
      </c>
      <c r="F2875" s="247" t="s">
        <v>976</v>
      </c>
      <c r="G2875" s="247" t="s">
        <v>1035</v>
      </c>
      <c r="H2875" s="248" t="s">
        <v>404</v>
      </c>
      <c r="I2875" s="248" t="s">
        <v>404</v>
      </c>
      <c r="J2875" s="247" t="s">
        <v>809</v>
      </c>
      <c r="K2875" s="249">
        <v>0</v>
      </c>
      <c r="M2875" s="90">
        <v>0</v>
      </c>
      <c r="N2875" s="90">
        <v>0</v>
      </c>
      <c r="O2875" s="90">
        <v>255</v>
      </c>
    </row>
    <row r="2876" spans="1:15" s="90" customFormat="1" ht="12.75" customHeight="1" x14ac:dyDescent="0.2">
      <c r="A2876" s="247" t="s">
        <v>1027</v>
      </c>
      <c r="B2876" s="316">
        <v>3051</v>
      </c>
      <c r="C2876" s="247" t="s">
        <v>975</v>
      </c>
      <c r="D2876" s="317">
        <v>42675</v>
      </c>
      <c r="E2876" s="318">
        <v>0.35737268518518522</v>
      </c>
      <c r="F2876" s="247" t="s">
        <v>235</v>
      </c>
      <c r="G2876" s="247" t="s">
        <v>1035</v>
      </c>
      <c r="H2876" s="248" t="s">
        <v>234</v>
      </c>
      <c r="I2876" s="248" t="s">
        <v>235</v>
      </c>
      <c r="J2876" s="247" t="s">
        <v>809</v>
      </c>
      <c r="K2876" s="249">
        <v>0</v>
      </c>
      <c r="M2876" s="90">
        <v>0</v>
      </c>
      <c r="N2876" s="90">
        <v>0</v>
      </c>
      <c r="O2876" s="90">
        <v>255</v>
      </c>
    </row>
    <row r="2877" spans="1:15" s="90" customFormat="1" ht="12.75" customHeight="1" x14ac:dyDescent="0.2">
      <c r="A2877" s="247" t="s">
        <v>1028</v>
      </c>
      <c r="B2877" s="316">
        <v>3051</v>
      </c>
      <c r="C2877" s="247" t="s">
        <v>975</v>
      </c>
      <c r="D2877" s="317">
        <v>42675</v>
      </c>
      <c r="E2877" s="318">
        <v>0.35737268518518522</v>
      </c>
      <c r="F2877" s="247" t="s">
        <v>235</v>
      </c>
      <c r="G2877" s="247" t="s">
        <v>1035</v>
      </c>
      <c r="H2877" s="248" t="s">
        <v>234</v>
      </c>
      <c r="I2877" s="248" t="s">
        <v>235</v>
      </c>
      <c r="J2877" s="247" t="s">
        <v>809</v>
      </c>
      <c r="K2877" s="249">
        <v>0</v>
      </c>
      <c r="M2877" s="90">
        <v>0</v>
      </c>
      <c r="N2877" s="90">
        <v>0</v>
      </c>
      <c r="O2877" s="90">
        <v>255</v>
      </c>
    </row>
    <row r="2878" spans="1:15" s="90" customFormat="1" ht="12.75" customHeight="1" x14ac:dyDescent="0.2">
      <c r="A2878" s="247" t="s">
        <v>1026</v>
      </c>
      <c r="B2878" s="316">
        <v>3216</v>
      </c>
      <c r="C2878" s="247" t="s">
        <v>975</v>
      </c>
      <c r="D2878" s="317">
        <v>42675</v>
      </c>
      <c r="E2878" s="318">
        <v>0.35737268518518522</v>
      </c>
      <c r="F2878" s="247" t="s">
        <v>235</v>
      </c>
      <c r="G2878" s="247" t="s">
        <v>1035</v>
      </c>
      <c r="H2878" s="248" t="s">
        <v>234</v>
      </c>
      <c r="I2878" s="248" t="s">
        <v>235</v>
      </c>
      <c r="J2878" s="247" t="s">
        <v>809</v>
      </c>
      <c r="K2878" s="249">
        <v>0</v>
      </c>
      <c r="M2878" s="90">
        <v>0</v>
      </c>
      <c r="N2878" s="90">
        <v>0</v>
      </c>
      <c r="O2878" s="90">
        <v>255</v>
      </c>
    </row>
    <row r="2879" spans="1:15" s="90" customFormat="1" ht="12.75" customHeight="1" x14ac:dyDescent="0.2">
      <c r="A2879" s="247" t="s">
        <v>990</v>
      </c>
      <c r="B2879" s="316">
        <v>3046</v>
      </c>
      <c r="C2879" s="247" t="s">
        <v>975</v>
      </c>
      <c r="D2879" s="317">
        <v>42675</v>
      </c>
      <c r="E2879" s="318">
        <v>0.35738425925925926</v>
      </c>
      <c r="F2879" s="247" t="s">
        <v>976</v>
      </c>
      <c r="G2879" s="247" t="s">
        <v>1035</v>
      </c>
      <c r="H2879" s="248" t="s">
        <v>404</v>
      </c>
      <c r="I2879" s="248" t="s">
        <v>404</v>
      </c>
      <c r="J2879" s="247" t="s">
        <v>809</v>
      </c>
      <c r="K2879" s="249">
        <v>0</v>
      </c>
      <c r="M2879" s="90">
        <v>0</v>
      </c>
      <c r="N2879" s="90">
        <v>0</v>
      </c>
      <c r="O2879" s="90">
        <v>255</v>
      </c>
    </row>
    <row r="2880" spans="1:15" s="90" customFormat="1" ht="12.75" customHeight="1" x14ac:dyDescent="0.2">
      <c r="A2880" s="247" t="s">
        <v>1456</v>
      </c>
      <c r="B2880" s="316">
        <v>3007</v>
      </c>
      <c r="C2880" s="247" t="s">
        <v>979</v>
      </c>
      <c r="D2880" s="317">
        <v>42675</v>
      </c>
      <c r="E2880" s="318">
        <v>0.35800925925925925</v>
      </c>
      <c r="F2880" s="247" t="s">
        <v>702</v>
      </c>
      <c r="G2880" s="247" t="s">
        <v>1035</v>
      </c>
      <c r="H2880" s="248" t="s">
        <v>234</v>
      </c>
      <c r="I2880" s="248" t="s">
        <v>702</v>
      </c>
      <c r="J2880" s="247" t="s">
        <v>809</v>
      </c>
      <c r="K2880" s="249">
        <v>0</v>
      </c>
      <c r="M2880" s="90">
        <v>0</v>
      </c>
      <c r="N2880" s="90">
        <v>0</v>
      </c>
      <c r="O2880" s="90">
        <v>255</v>
      </c>
    </row>
    <row r="2881" spans="1:15" s="90" customFormat="1" ht="12.75" customHeight="1" x14ac:dyDescent="0.2">
      <c r="A2881" s="247" t="s">
        <v>989</v>
      </c>
      <c r="B2881" s="316">
        <v>3046</v>
      </c>
      <c r="C2881" s="247" t="s">
        <v>975</v>
      </c>
      <c r="D2881" s="317">
        <v>42675</v>
      </c>
      <c r="E2881" s="318">
        <v>0.35810185185185189</v>
      </c>
      <c r="F2881" s="247" t="s">
        <v>976</v>
      </c>
      <c r="G2881" s="247" t="s">
        <v>1035</v>
      </c>
      <c r="H2881" s="248" t="s">
        <v>404</v>
      </c>
      <c r="I2881" s="248" t="s">
        <v>404</v>
      </c>
      <c r="J2881" s="247" t="s">
        <v>809</v>
      </c>
      <c r="K2881" s="249">
        <v>0</v>
      </c>
      <c r="M2881" s="90">
        <v>0</v>
      </c>
      <c r="N2881" s="90">
        <v>0</v>
      </c>
      <c r="O2881" s="90">
        <v>255</v>
      </c>
    </row>
    <row r="2882" spans="1:15" s="90" customFormat="1" ht="12.75" customHeight="1" x14ac:dyDescent="0.2">
      <c r="A2882" s="247" t="s">
        <v>1005</v>
      </c>
      <c r="B2882" s="316">
        <v>3051</v>
      </c>
      <c r="C2882" s="247" t="s">
        <v>975</v>
      </c>
      <c r="D2882" s="317">
        <v>42675</v>
      </c>
      <c r="E2882" s="318">
        <v>0.35813657407407407</v>
      </c>
      <c r="F2882" s="247" t="s">
        <v>235</v>
      </c>
      <c r="G2882" s="247" t="s">
        <v>1035</v>
      </c>
      <c r="H2882" s="248" t="s">
        <v>234</v>
      </c>
      <c r="I2882" s="248" t="s">
        <v>235</v>
      </c>
      <c r="J2882" s="247" t="s">
        <v>809</v>
      </c>
      <c r="K2882" s="249">
        <v>0</v>
      </c>
      <c r="M2882" s="90">
        <v>0</v>
      </c>
      <c r="N2882" s="90">
        <v>0</v>
      </c>
      <c r="O2882" s="90">
        <v>255</v>
      </c>
    </row>
    <row r="2883" spans="1:15" s="90" customFormat="1" ht="12.75" customHeight="1" x14ac:dyDescent="0.2">
      <c r="A2883" s="247" t="s">
        <v>1066</v>
      </c>
      <c r="B2883" s="316">
        <v>3052</v>
      </c>
      <c r="C2883" s="247" t="s">
        <v>975</v>
      </c>
      <c r="D2883" s="317">
        <v>42675</v>
      </c>
      <c r="E2883" s="318">
        <v>0.35813657407407407</v>
      </c>
      <c r="F2883" s="247" t="s">
        <v>235</v>
      </c>
      <c r="G2883" s="247" t="s">
        <v>1035</v>
      </c>
      <c r="H2883" s="248" t="s">
        <v>234</v>
      </c>
      <c r="I2883" s="248" t="s">
        <v>235</v>
      </c>
      <c r="J2883" s="247" t="s">
        <v>809</v>
      </c>
      <c r="K2883" s="249">
        <v>0</v>
      </c>
      <c r="M2883" s="90">
        <v>0</v>
      </c>
      <c r="N2883" s="90">
        <v>0</v>
      </c>
      <c r="O2883" s="90">
        <v>255</v>
      </c>
    </row>
    <row r="2884" spans="1:15" s="90" customFormat="1" ht="12.75" customHeight="1" x14ac:dyDescent="0.2">
      <c r="A2884" s="247" t="s">
        <v>990</v>
      </c>
      <c r="B2884" s="316">
        <v>3046</v>
      </c>
      <c r="C2884" s="247" t="s">
        <v>975</v>
      </c>
      <c r="D2884" s="317">
        <v>42675</v>
      </c>
      <c r="E2884" s="318">
        <v>0.35853009259259255</v>
      </c>
      <c r="F2884" s="247" t="s">
        <v>976</v>
      </c>
      <c r="G2884" s="247" t="s">
        <v>1035</v>
      </c>
      <c r="H2884" s="248" t="s">
        <v>404</v>
      </c>
      <c r="I2884" s="248" t="s">
        <v>404</v>
      </c>
      <c r="J2884" s="247" t="s">
        <v>809</v>
      </c>
      <c r="K2884" s="249">
        <v>0</v>
      </c>
      <c r="M2884" s="90">
        <v>0</v>
      </c>
      <c r="N2884" s="90">
        <v>0</v>
      </c>
      <c r="O2884" s="90">
        <v>255</v>
      </c>
    </row>
    <row r="2885" spans="1:15" s="90" customFormat="1" ht="12.75" customHeight="1" x14ac:dyDescent="0.2">
      <c r="A2885" s="247" t="s">
        <v>989</v>
      </c>
      <c r="B2885" s="316">
        <v>3046</v>
      </c>
      <c r="C2885" s="247" t="s">
        <v>975</v>
      </c>
      <c r="D2885" s="317">
        <v>42675</v>
      </c>
      <c r="E2885" s="318">
        <v>0.35857638888888888</v>
      </c>
      <c r="F2885" s="247" t="s">
        <v>976</v>
      </c>
      <c r="G2885" s="247" t="s">
        <v>1035</v>
      </c>
      <c r="H2885" s="248" t="s">
        <v>404</v>
      </c>
      <c r="I2885" s="248" t="s">
        <v>404</v>
      </c>
      <c r="J2885" s="247" t="s">
        <v>809</v>
      </c>
      <c r="K2885" s="249">
        <v>0</v>
      </c>
      <c r="M2885" s="90">
        <v>0</v>
      </c>
      <c r="N2885" s="90">
        <v>0</v>
      </c>
      <c r="O2885" s="90">
        <v>255</v>
      </c>
    </row>
    <row r="2886" spans="1:15" s="90" customFormat="1" ht="12.75" customHeight="1" x14ac:dyDescent="0.2">
      <c r="A2886" s="247" t="s">
        <v>1006</v>
      </c>
      <c r="B2886" s="316">
        <v>3051</v>
      </c>
      <c r="C2886" s="247" t="s">
        <v>975</v>
      </c>
      <c r="D2886" s="317">
        <v>42675</v>
      </c>
      <c r="E2886" s="318">
        <v>0.35858796296296297</v>
      </c>
      <c r="F2886" s="247" t="s">
        <v>235</v>
      </c>
      <c r="G2886" s="247" t="s">
        <v>1035</v>
      </c>
      <c r="H2886" s="248" t="s">
        <v>234</v>
      </c>
      <c r="I2886" s="248" t="s">
        <v>235</v>
      </c>
      <c r="J2886" s="247" t="s">
        <v>809</v>
      </c>
      <c r="K2886" s="249">
        <v>0</v>
      </c>
      <c r="M2886" s="90">
        <v>0</v>
      </c>
      <c r="N2886" s="90">
        <v>0</v>
      </c>
      <c r="O2886" s="90">
        <v>255</v>
      </c>
    </row>
    <row r="2887" spans="1:15" s="90" customFormat="1" ht="12.75" customHeight="1" x14ac:dyDescent="0.2">
      <c r="A2887" s="247" t="s">
        <v>1065</v>
      </c>
      <c r="B2887" s="316">
        <v>3052</v>
      </c>
      <c r="C2887" s="247" t="s">
        <v>975</v>
      </c>
      <c r="D2887" s="317">
        <v>42675</v>
      </c>
      <c r="E2887" s="318">
        <v>0.35858796296296297</v>
      </c>
      <c r="F2887" s="247" t="s">
        <v>235</v>
      </c>
      <c r="G2887" s="247" t="s">
        <v>1035</v>
      </c>
      <c r="H2887" s="248" t="s">
        <v>234</v>
      </c>
      <c r="I2887" s="248" t="s">
        <v>235</v>
      </c>
      <c r="J2887" s="247" t="s">
        <v>809</v>
      </c>
      <c r="K2887" s="249">
        <v>0</v>
      </c>
      <c r="M2887" s="90">
        <v>0</v>
      </c>
      <c r="N2887" s="90">
        <v>0</v>
      </c>
      <c r="O2887" s="90">
        <v>255</v>
      </c>
    </row>
    <row r="2888" spans="1:15" s="90" customFormat="1" ht="12.75" customHeight="1" x14ac:dyDescent="0.2">
      <c r="A2888" s="247" t="s">
        <v>990</v>
      </c>
      <c r="B2888" s="316">
        <v>3046</v>
      </c>
      <c r="C2888" s="247" t="s">
        <v>975</v>
      </c>
      <c r="D2888" s="317">
        <v>42675</v>
      </c>
      <c r="E2888" s="318">
        <v>0.35859953703703701</v>
      </c>
      <c r="F2888" s="247" t="s">
        <v>976</v>
      </c>
      <c r="G2888" s="247" t="s">
        <v>1035</v>
      </c>
      <c r="H2888" s="248" t="s">
        <v>404</v>
      </c>
      <c r="I2888" s="248" t="s">
        <v>404</v>
      </c>
      <c r="J2888" s="247" t="s">
        <v>809</v>
      </c>
      <c r="K2888" s="249">
        <v>0</v>
      </c>
      <c r="M2888" s="90">
        <v>0</v>
      </c>
      <c r="N2888" s="90">
        <v>0</v>
      </c>
      <c r="O2888" s="90">
        <v>255</v>
      </c>
    </row>
    <row r="2889" spans="1:15" s="90" customFormat="1" ht="12.75" customHeight="1" x14ac:dyDescent="0.2">
      <c r="A2889" s="247" t="s">
        <v>301</v>
      </c>
      <c r="B2889" s="316">
        <v>3042</v>
      </c>
      <c r="C2889" s="247" t="s">
        <v>979</v>
      </c>
      <c r="D2889" s="317">
        <v>42675</v>
      </c>
      <c r="E2889" s="318">
        <v>0.36245370370370367</v>
      </c>
      <c r="F2889" s="247" t="s">
        <v>980</v>
      </c>
      <c r="G2889" s="247" t="s">
        <v>1035</v>
      </c>
      <c r="H2889" s="248" t="s">
        <v>234</v>
      </c>
      <c r="I2889" s="248" t="s">
        <v>263</v>
      </c>
      <c r="J2889" s="247" t="s">
        <v>809</v>
      </c>
      <c r="K2889" s="249">
        <v>0</v>
      </c>
      <c r="M2889" s="90">
        <v>0</v>
      </c>
      <c r="N2889" s="90">
        <v>0</v>
      </c>
      <c r="O2889" s="90">
        <v>255</v>
      </c>
    </row>
    <row r="2890" spans="1:15" s="90" customFormat="1" ht="12.75" customHeight="1" x14ac:dyDescent="0.2">
      <c r="A2890" s="247" t="s">
        <v>1457</v>
      </c>
      <c r="B2890" s="316">
        <v>3071</v>
      </c>
      <c r="C2890" s="247" t="s">
        <v>975</v>
      </c>
      <c r="D2890" s="317">
        <v>42675</v>
      </c>
      <c r="E2890" s="318">
        <v>0.36311342592592594</v>
      </c>
      <c r="F2890" s="247" t="s">
        <v>981</v>
      </c>
      <c r="G2890" s="247" t="s">
        <v>1035</v>
      </c>
      <c r="H2890" s="248" t="s">
        <v>234</v>
      </c>
      <c r="I2890" s="248" t="s">
        <v>702</v>
      </c>
      <c r="J2890" s="247" t="s">
        <v>809</v>
      </c>
      <c r="K2890" s="249">
        <v>0</v>
      </c>
      <c r="M2890" s="90">
        <v>0</v>
      </c>
      <c r="N2890" s="90">
        <v>0</v>
      </c>
      <c r="O2890" s="90">
        <v>255</v>
      </c>
    </row>
    <row r="2891" spans="1:15" s="90" customFormat="1" ht="12.75" customHeight="1" x14ac:dyDescent="0.2">
      <c r="A2891" s="247" t="s">
        <v>1172</v>
      </c>
      <c r="B2891" s="316">
        <v>3072</v>
      </c>
      <c r="C2891" s="247" t="s">
        <v>975</v>
      </c>
      <c r="D2891" s="317">
        <v>42675</v>
      </c>
      <c r="E2891" s="318">
        <v>0.3633912037037037</v>
      </c>
      <c r="F2891" s="247" t="s">
        <v>981</v>
      </c>
      <c r="G2891" s="247" t="s">
        <v>1035</v>
      </c>
      <c r="H2891" s="248" t="s">
        <v>234</v>
      </c>
      <c r="I2891" s="248" t="s">
        <v>702</v>
      </c>
      <c r="J2891" s="247" t="s">
        <v>809</v>
      </c>
      <c r="K2891" s="249">
        <v>0</v>
      </c>
      <c r="M2891" s="90">
        <v>0</v>
      </c>
      <c r="N2891" s="90">
        <v>0</v>
      </c>
      <c r="O2891" s="90">
        <v>255</v>
      </c>
    </row>
    <row r="2892" spans="1:15" s="90" customFormat="1" ht="12.75" customHeight="1" x14ac:dyDescent="0.2">
      <c r="A2892" s="247" t="s">
        <v>1458</v>
      </c>
      <c r="B2892" s="316">
        <v>3078</v>
      </c>
      <c r="C2892" s="247" t="s">
        <v>975</v>
      </c>
      <c r="D2892" s="317">
        <v>42675</v>
      </c>
      <c r="E2892" s="318">
        <v>0.36344907407407406</v>
      </c>
      <c r="F2892" s="247" t="s">
        <v>981</v>
      </c>
      <c r="G2892" s="247" t="s">
        <v>1035</v>
      </c>
      <c r="H2892" s="248" t="s">
        <v>234</v>
      </c>
      <c r="I2892" s="248" t="s">
        <v>656</v>
      </c>
      <c r="J2892" s="247" t="s">
        <v>809</v>
      </c>
      <c r="K2892" s="249">
        <v>0</v>
      </c>
      <c r="M2892" s="90">
        <v>0</v>
      </c>
      <c r="N2892" s="90">
        <v>0</v>
      </c>
      <c r="O2892" s="90">
        <v>255</v>
      </c>
    </row>
    <row r="2893" spans="1:15" s="90" customFormat="1" ht="12.75" customHeight="1" x14ac:dyDescent="0.2">
      <c r="A2893" s="247" t="s">
        <v>1459</v>
      </c>
      <c r="B2893" s="316">
        <v>3079</v>
      </c>
      <c r="C2893" s="247" t="s">
        <v>975</v>
      </c>
      <c r="D2893" s="317">
        <v>42675</v>
      </c>
      <c r="E2893" s="318">
        <v>0.36344907407407406</v>
      </c>
      <c r="F2893" s="247" t="s">
        <v>981</v>
      </c>
      <c r="G2893" s="247" t="s">
        <v>1035</v>
      </c>
      <c r="H2893" s="248" t="s">
        <v>234</v>
      </c>
      <c r="I2893" s="248" t="s">
        <v>656</v>
      </c>
      <c r="J2893" s="247" t="s">
        <v>809</v>
      </c>
      <c r="K2893" s="249">
        <v>0</v>
      </c>
      <c r="M2893" s="90">
        <v>0</v>
      </c>
      <c r="N2893" s="90">
        <v>0</v>
      </c>
      <c r="O2893" s="90">
        <v>255</v>
      </c>
    </row>
    <row r="2894" spans="1:15" s="90" customFormat="1" ht="12.75" customHeight="1" x14ac:dyDescent="0.2">
      <c r="A2894" s="247" t="s">
        <v>1460</v>
      </c>
      <c r="B2894" s="316">
        <v>3078</v>
      </c>
      <c r="C2894" s="247" t="s">
        <v>975</v>
      </c>
      <c r="D2894" s="317">
        <v>42675</v>
      </c>
      <c r="E2894" s="318">
        <v>0.36346064814814816</v>
      </c>
      <c r="F2894" s="247" t="s">
        <v>981</v>
      </c>
      <c r="G2894" s="247" t="s">
        <v>1035</v>
      </c>
      <c r="H2894" s="248" t="s">
        <v>234</v>
      </c>
      <c r="I2894" s="248" t="s">
        <v>656</v>
      </c>
      <c r="J2894" s="247" t="s">
        <v>809</v>
      </c>
      <c r="K2894" s="249">
        <v>0</v>
      </c>
      <c r="M2894" s="90">
        <v>0</v>
      </c>
      <c r="N2894" s="90">
        <v>0</v>
      </c>
      <c r="O2894" s="90">
        <v>255</v>
      </c>
    </row>
    <row r="2895" spans="1:15" s="90" customFormat="1" ht="12.75" customHeight="1" x14ac:dyDescent="0.2">
      <c r="A2895" s="247" t="s">
        <v>1462</v>
      </c>
      <c r="B2895" s="316">
        <v>3078</v>
      </c>
      <c r="C2895" s="247" t="s">
        <v>975</v>
      </c>
      <c r="D2895" s="317">
        <v>42675</v>
      </c>
      <c r="E2895" s="318">
        <v>0.36346064814814816</v>
      </c>
      <c r="F2895" s="247" t="s">
        <v>981</v>
      </c>
      <c r="G2895" s="247" t="s">
        <v>1035</v>
      </c>
      <c r="H2895" s="248" t="s">
        <v>234</v>
      </c>
      <c r="I2895" s="248" t="s">
        <v>656</v>
      </c>
      <c r="J2895" s="247" t="s">
        <v>809</v>
      </c>
      <c r="K2895" s="249">
        <v>0</v>
      </c>
      <c r="M2895" s="90">
        <v>0</v>
      </c>
      <c r="N2895" s="90">
        <v>0</v>
      </c>
      <c r="O2895" s="90">
        <v>255</v>
      </c>
    </row>
    <row r="2896" spans="1:15" s="90" customFormat="1" ht="12.75" customHeight="1" x14ac:dyDescent="0.2">
      <c r="A2896" s="247" t="s">
        <v>1461</v>
      </c>
      <c r="B2896" s="316">
        <v>3079</v>
      </c>
      <c r="C2896" s="247" t="s">
        <v>975</v>
      </c>
      <c r="D2896" s="317">
        <v>42675</v>
      </c>
      <c r="E2896" s="318">
        <v>0.36346064814814816</v>
      </c>
      <c r="F2896" s="247" t="s">
        <v>981</v>
      </c>
      <c r="G2896" s="247" t="s">
        <v>1035</v>
      </c>
      <c r="H2896" s="248" t="s">
        <v>234</v>
      </c>
      <c r="I2896" s="248" t="s">
        <v>656</v>
      </c>
      <c r="J2896" s="247" t="s">
        <v>809</v>
      </c>
      <c r="K2896" s="249">
        <v>0</v>
      </c>
      <c r="M2896" s="90">
        <v>0</v>
      </c>
      <c r="N2896" s="90">
        <v>0</v>
      </c>
      <c r="O2896" s="90">
        <v>255</v>
      </c>
    </row>
    <row r="2897" spans="1:15" s="90" customFormat="1" ht="12.75" customHeight="1" x14ac:dyDescent="0.2">
      <c r="A2897" s="247" t="s">
        <v>1463</v>
      </c>
      <c r="B2897" s="316">
        <v>3079</v>
      </c>
      <c r="C2897" s="247" t="s">
        <v>975</v>
      </c>
      <c r="D2897" s="317">
        <v>42675</v>
      </c>
      <c r="E2897" s="318">
        <v>0.36346064814814816</v>
      </c>
      <c r="F2897" s="247" t="s">
        <v>981</v>
      </c>
      <c r="G2897" s="247" t="s">
        <v>1035</v>
      </c>
      <c r="H2897" s="248" t="s">
        <v>234</v>
      </c>
      <c r="I2897" s="248" t="s">
        <v>656</v>
      </c>
      <c r="J2897" s="247" t="s">
        <v>809</v>
      </c>
      <c r="K2897" s="249">
        <v>0</v>
      </c>
      <c r="M2897" s="90">
        <v>0</v>
      </c>
      <c r="N2897" s="90">
        <v>0</v>
      </c>
      <c r="O2897" s="90">
        <v>255</v>
      </c>
    </row>
    <row r="2898" spans="1:15" s="90" customFormat="1" ht="12.75" customHeight="1" x14ac:dyDescent="0.2">
      <c r="A2898" s="247" t="s">
        <v>1464</v>
      </c>
      <c r="B2898" s="316">
        <v>3078</v>
      </c>
      <c r="C2898" s="247" t="s">
        <v>975</v>
      </c>
      <c r="D2898" s="317">
        <v>42675</v>
      </c>
      <c r="E2898" s="318">
        <v>0.3634722222222222</v>
      </c>
      <c r="F2898" s="247" t="s">
        <v>981</v>
      </c>
      <c r="G2898" s="247" t="s">
        <v>1035</v>
      </c>
      <c r="H2898" s="248" t="s">
        <v>234</v>
      </c>
      <c r="I2898" s="248" t="s">
        <v>656</v>
      </c>
      <c r="J2898" s="247" t="s">
        <v>809</v>
      </c>
      <c r="K2898" s="249">
        <v>0</v>
      </c>
      <c r="M2898" s="90">
        <v>0</v>
      </c>
      <c r="N2898" s="90">
        <v>0</v>
      </c>
      <c r="O2898" s="90">
        <v>255</v>
      </c>
    </row>
    <row r="2899" spans="1:15" s="90" customFormat="1" ht="12.75" customHeight="1" x14ac:dyDescent="0.2">
      <c r="A2899" s="247" t="s">
        <v>1466</v>
      </c>
      <c r="B2899" s="316">
        <v>3078</v>
      </c>
      <c r="C2899" s="247" t="s">
        <v>975</v>
      </c>
      <c r="D2899" s="317">
        <v>42675</v>
      </c>
      <c r="E2899" s="318">
        <v>0.3634722222222222</v>
      </c>
      <c r="F2899" s="247" t="s">
        <v>981</v>
      </c>
      <c r="G2899" s="247" t="s">
        <v>1035</v>
      </c>
      <c r="H2899" s="248" t="s">
        <v>234</v>
      </c>
      <c r="I2899" s="248" t="s">
        <v>656</v>
      </c>
      <c r="J2899" s="247" t="s">
        <v>809</v>
      </c>
      <c r="K2899" s="249">
        <v>0</v>
      </c>
      <c r="M2899" s="90">
        <v>0</v>
      </c>
      <c r="N2899" s="90">
        <v>0</v>
      </c>
      <c r="O2899" s="90">
        <v>255</v>
      </c>
    </row>
    <row r="2900" spans="1:15" s="90" customFormat="1" ht="12.75" customHeight="1" x14ac:dyDescent="0.2">
      <c r="A2900" s="247" t="s">
        <v>1465</v>
      </c>
      <c r="B2900" s="316">
        <v>3079</v>
      </c>
      <c r="C2900" s="247" t="s">
        <v>975</v>
      </c>
      <c r="D2900" s="317">
        <v>42675</v>
      </c>
      <c r="E2900" s="318">
        <v>0.3634722222222222</v>
      </c>
      <c r="F2900" s="247" t="s">
        <v>981</v>
      </c>
      <c r="G2900" s="247" t="s">
        <v>1035</v>
      </c>
      <c r="H2900" s="248" t="s">
        <v>234</v>
      </c>
      <c r="I2900" s="248" t="s">
        <v>656</v>
      </c>
      <c r="J2900" s="247" t="s">
        <v>809</v>
      </c>
      <c r="K2900" s="249">
        <v>0</v>
      </c>
      <c r="M2900" s="90">
        <v>0</v>
      </c>
      <c r="N2900" s="90">
        <v>0</v>
      </c>
      <c r="O2900" s="90">
        <v>255</v>
      </c>
    </row>
    <row r="2901" spans="1:15" s="90" customFormat="1" ht="12.75" customHeight="1" x14ac:dyDescent="0.2">
      <c r="A2901" s="247" t="s">
        <v>1467</v>
      </c>
      <c r="B2901" s="316">
        <v>3079</v>
      </c>
      <c r="C2901" s="247" t="s">
        <v>975</v>
      </c>
      <c r="D2901" s="317">
        <v>42675</v>
      </c>
      <c r="E2901" s="318">
        <v>0.3634722222222222</v>
      </c>
      <c r="F2901" s="247" t="s">
        <v>981</v>
      </c>
      <c r="G2901" s="247" t="s">
        <v>1035</v>
      </c>
      <c r="H2901" s="248" t="s">
        <v>234</v>
      </c>
      <c r="I2901" s="248" t="s">
        <v>656</v>
      </c>
      <c r="J2901" s="247" t="s">
        <v>809</v>
      </c>
      <c r="K2901" s="249">
        <v>0</v>
      </c>
      <c r="M2901" s="90">
        <v>0</v>
      </c>
      <c r="N2901" s="90">
        <v>0</v>
      </c>
      <c r="O2901" s="90">
        <v>255</v>
      </c>
    </row>
    <row r="2902" spans="1:15" s="90" customFormat="1" ht="12.75" customHeight="1" x14ac:dyDescent="0.2">
      <c r="A2902" s="247" t="s">
        <v>1468</v>
      </c>
      <c r="B2902" s="316">
        <v>3078</v>
      </c>
      <c r="C2902" s="247" t="s">
        <v>975</v>
      </c>
      <c r="D2902" s="317">
        <v>42675</v>
      </c>
      <c r="E2902" s="318">
        <v>0.36348379629629629</v>
      </c>
      <c r="F2902" s="247" t="s">
        <v>981</v>
      </c>
      <c r="G2902" s="247" t="s">
        <v>1035</v>
      </c>
      <c r="H2902" s="248" t="s">
        <v>234</v>
      </c>
      <c r="I2902" s="248" t="s">
        <v>656</v>
      </c>
      <c r="J2902" s="247" t="s">
        <v>809</v>
      </c>
      <c r="K2902" s="249">
        <v>0</v>
      </c>
      <c r="M2902" s="90">
        <v>0</v>
      </c>
      <c r="N2902" s="90">
        <v>0</v>
      </c>
      <c r="O2902" s="90">
        <v>255</v>
      </c>
    </row>
    <row r="2903" spans="1:15" s="90" customFormat="1" ht="12.75" customHeight="1" x14ac:dyDescent="0.2">
      <c r="A2903" s="247" t="s">
        <v>1470</v>
      </c>
      <c r="B2903" s="316">
        <v>3078</v>
      </c>
      <c r="C2903" s="247" t="s">
        <v>975</v>
      </c>
      <c r="D2903" s="317">
        <v>42675</v>
      </c>
      <c r="E2903" s="318">
        <v>0.36348379629629629</v>
      </c>
      <c r="F2903" s="247" t="s">
        <v>981</v>
      </c>
      <c r="G2903" s="247" t="s">
        <v>1035</v>
      </c>
      <c r="H2903" s="248" t="s">
        <v>234</v>
      </c>
      <c r="I2903" s="248" t="s">
        <v>656</v>
      </c>
      <c r="J2903" s="247" t="s">
        <v>809</v>
      </c>
      <c r="K2903" s="249">
        <v>0</v>
      </c>
      <c r="M2903" s="90">
        <v>0</v>
      </c>
      <c r="N2903" s="90">
        <v>0</v>
      </c>
      <c r="O2903" s="90">
        <v>255</v>
      </c>
    </row>
    <row r="2904" spans="1:15" s="90" customFormat="1" ht="12.75" customHeight="1" x14ac:dyDescent="0.2">
      <c r="A2904" s="247" t="s">
        <v>1469</v>
      </c>
      <c r="B2904" s="316">
        <v>3079</v>
      </c>
      <c r="C2904" s="247" t="s">
        <v>975</v>
      </c>
      <c r="D2904" s="317">
        <v>42675</v>
      </c>
      <c r="E2904" s="318">
        <v>0.36348379629629629</v>
      </c>
      <c r="F2904" s="247" t="s">
        <v>981</v>
      </c>
      <c r="G2904" s="247" t="s">
        <v>1035</v>
      </c>
      <c r="H2904" s="248" t="s">
        <v>234</v>
      </c>
      <c r="I2904" s="248" t="s">
        <v>656</v>
      </c>
      <c r="J2904" s="247" t="s">
        <v>809</v>
      </c>
      <c r="K2904" s="249">
        <v>0</v>
      </c>
      <c r="M2904" s="90">
        <v>0</v>
      </c>
      <c r="N2904" s="90">
        <v>0</v>
      </c>
      <c r="O2904" s="90">
        <v>255</v>
      </c>
    </row>
    <row r="2905" spans="1:15" s="90" customFormat="1" ht="12.75" customHeight="1" x14ac:dyDescent="0.2">
      <c r="A2905" s="247" t="s">
        <v>1471</v>
      </c>
      <c r="B2905" s="316">
        <v>3079</v>
      </c>
      <c r="C2905" s="247" t="s">
        <v>975</v>
      </c>
      <c r="D2905" s="317">
        <v>42675</v>
      </c>
      <c r="E2905" s="318">
        <v>0.36348379629629629</v>
      </c>
      <c r="F2905" s="247" t="s">
        <v>981</v>
      </c>
      <c r="G2905" s="247" t="s">
        <v>1035</v>
      </c>
      <c r="H2905" s="248" t="s">
        <v>234</v>
      </c>
      <c r="I2905" s="248" t="s">
        <v>656</v>
      </c>
      <c r="J2905" s="247" t="s">
        <v>809</v>
      </c>
      <c r="K2905" s="249">
        <v>0</v>
      </c>
      <c r="M2905" s="90">
        <v>0</v>
      </c>
      <c r="N2905" s="90">
        <v>0</v>
      </c>
      <c r="O2905" s="90">
        <v>255</v>
      </c>
    </row>
    <row r="2906" spans="1:15" s="90" customFormat="1" ht="12.75" customHeight="1" x14ac:dyDescent="0.2">
      <c r="A2906" s="247" t="s">
        <v>1472</v>
      </c>
      <c r="B2906" s="316">
        <v>3078</v>
      </c>
      <c r="C2906" s="247" t="s">
        <v>975</v>
      </c>
      <c r="D2906" s="317">
        <v>42675</v>
      </c>
      <c r="E2906" s="318">
        <v>0.36349537037037033</v>
      </c>
      <c r="F2906" s="247" t="s">
        <v>981</v>
      </c>
      <c r="G2906" s="247" t="s">
        <v>1035</v>
      </c>
      <c r="H2906" s="248" t="s">
        <v>234</v>
      </c>
      <c r="I2906" s="248" t="s">
        <v>656</v>
      </c>
      <c r="J2906" s="247" t="s">
        <v>809</v>
      </c>
      <c r="K2906" s="249">
        <v>0</v>
      </c>
      <c r="M2906" s="90">
        <v>0</v>
      </c>
      <c r="N2906" s="90">
        <v>0</v>
      </c>
      <c r="O2906" s="90">
        <v>255</v>
      </c>
    </row>
    <row r="2907" spans="1:15" s="90" customFormat="1" ht="12.75" customHeight="1" x14ac:dyDescent="0.2">
      <c r="A2907" s="247" t="s">
        <v>1138</v>
      </c>
      <c r="B2907" s="316">
        <v>3078</v>
      </c>
      <c r="C2907" s="247" t="s">
        <v>975</v>
      </c>
      <c r="D2907" s="317">
        <v>42675</v>
      </c>
      <c r="E2907" s="318">
        <v>0.36349537037037033</v>
      </c>
      <c r="F2907" s="247" t="s">
        <v>981</v>
      </c>
      <c r="G2907" s="247" t="s">
        <v>1035</v>
      </c>
      <c r="H2907" s="248" t="s">
        <v>234</v>
      </c>
      <c r="I2907" s="248" t="s">
        <v>656</v>
      </c>
      <c r="J2907" s="247" t="s">
        <v>809</v>
      </c>
      <c r="K2907" s="249">
        <v>0</v>
      </c>
      <c r="M2907" s="90">
        <v>0</v>
      </c>
      <c r="N2907" s="90">
        <v>0</v>
      </c>
      <c r="O2907" s="90">
        <v>255</v>
      </c>
    </row>
    <row r="2908" spans="1:15" s="90" customFormat="1" ht="12.75" customHeight="1" x14ac:dyDescent="0.2">
      <c r="A2908" s="247" t="s">
        <v>1473</v>
      </c>
      <c r="B2908" s="316">
        <v>3079</v>
      </c>
      <c r="C2908" s="247" t="s">
        <v>975</v>
      </c>
      <c r="D2908" s="317">
        <v>42675</v>
      </c>
      <c r="E2908" s="318">
        <v>0.36349537037037033</v>
      </c>
      <c r="F2908" s="247" t="s">
        <v>981</v>
      </c>
      <c r="G2908" s="247" t="s">
        <v>1035</v>
      </c>
      <c r="H2908" s="248" t="s">
        <v>234</v>
      </c>
      <c r="I2908" s="248" t="s">
        <v>656</v>
      </c>
      <c r="J2908" s="247" t="s">
        <v>809</v>
      </c>
      <c r="K2908" s="249">
        <v>0</v>
      </c>
      <c r="M2908" s="90">
        <v>0</v>
      </c>
      <c r="N2908" s="90">
        <v>0</v>
      </c>
      <c r="O2908" s="90">
        <v>255</v>
      </c>
    </row>
    <row r="2909" spans="1:15" s="90" customFormat="1" ht="12.75" customHeight="1" x14ac:dyDescent="0.2">
      <c r="A2909" s="247" t="s">
        <v>1474</v>
      </c>
      <c r="B2909" s="316">
        <v>3079</v>
      </c>
      <c r="C2909" s="247" t="s">
        <v>975</v>
      </c>
      <c r="D2909" s="317">
        <v>42675</v>
      </c>
      <c r="E2909" s="318">
        <v>0.36349537037037033</v>
      </c>
      <c r="F2909" s="247" t="s">
        <v>981</v>
      </c>
      <c r="G2909" s="247" t="s">
        <v>1035</v>
      </c>
      <c r="H2909" s="248" t="s">
        <v>234</v>
      </c>
      <c r="I2909" s="248" t="s">
        <v>656</v>
      </c>
      <c r="J2909" s="247" t="s">
        <v>809</v>
      </c>
      <c r="K2909" s="249">
        <v>0</v>
      </c>
      <c r="M2909" s="90">
        <v>0</v>
      </c>
      <c r="N2909" s="90">
        <v>0</v>
      </c>
      <c r="O2909" s="90">
        <v>255</v>
      </c>
    </row>
    <row r="2910" spans="1:15" s="90" customFormat="1" ht="12.75" customHeight="1" x14ac:dyDescent="0.2">
      <c r="A2910" s="247" t="s">
        <v>1475</v>
      </c>
      <c r="B2910" s="316">
        <v>3078</v>
      </c>
      <c r="C2910" s="247" t="s">
        <v>975</v>
      </c>
      <c r="D2910" s="317">
        <v>42675</v>
      </c>
      <c r="E2910" s="318">
        <v>0.36350694444444448</v>
      </c>
      <c r="F2910" s="247" t="s">
        <v>981</v>
      </c>
      <c r="G2910" s="247" t="s">
        <v>1035</v>
      </c>
      <c r="H2910" s="248" t="s">
        <v>234</v>
      </c>
      <c r="I2910" s="248" t="s">
        <v>656</v>
      </c>
      <c r="J2910" s="247" t="s">
        <v>809</v>
      </c>
      <c r="K2910" s="249">
        <v>0</v>
      </c>
      <c r="M2910" s="90">
        <v>0</v>
      </c>
      <c r="N2910" s="90">
        <v>0</v>
      </c>
      <c r="O2910" s="90">
        <v>255</v>
      </c>
    </row>
    <row r="2911" spans="1:15" s="90" customFormat="1" ht="12.75" customHeight="1" x14ac:dyDescent="0.2">
      <c r="A2911" s="247" t="s">
        <v>1477</v>
      </c>
      <c r="B2911" s="316">
        <v>3078</v>
      </c>
      <c r="C2911" s="247" t="s">
        <v>975</v>
      </c>
      <c r="D2911" s="317">
        <v>42675</v>
      </c>
      <c r="E2911" s="318">
        <v>0.36350694444444448</v>
      </c>
      <c r="F2911" s="247" t="s">
        <v>981</v>
      </c>
      <c r="G2911" s="247" t="s">
        <v>1035</v>
      </c>
      <c r="H2911" s="248" t="s">
        <v>234</v>
      </c>
      <c r="I2911" s="248" t="s">
        <v>656</v>
      </c>
      <c r="J2911" s="247" t="s">
        <v>809</v>
      </c>
      <c r="K2911" s="249">
        <v>0</v>
      </c>
      <c r="M2911" s="90">
        <v>0</v>
      </c>
      <c r="N2911" s="90">
        <v>0</v>
      </c>
      <c r="O2911" s="90">
        <v>255</v>
      </c>
    </row>
    <row r="2912" spans="1:15" s="90" customFormat="1" ht="12.75" customHeight="1" x14ac:dyDescent="0.2">
      <c r="A2912" s="247" t="s">
        <v>1476</v>
      </c>
      <c r="B2912" s="316">
        <v>3079</v>
      </c>
      <c r="C2912" s="247" t="s">
        <v>975</v>
      </c>
      <c r="D2912" s="317">
        <v>42675</v>
      </c>
      <c r="E2912" s="318">
        <v>0.36350694444444448</v>
      </c>
      <c r="F2912" s="247" t="s">
        <v>981</v>
      </c>
      <c r="G2912" s="247" t="s">
        <v>1035</v>
      </c>
      <c r="H2912" s="248" t="s">
        <v>234</v>
      </c>
      <c r="I2912" s="248" t="s">
        <v>656</v>
      </c>
      <c r="J2912" s="247" t="s">
        <v>809</v>
      </c>
      <c r="K2912" s="249">
        <v>0</v>
      </c>
      <c r="M2912" s="90">
        <v>0</v>
      </c>
      <c r="N2912" s="90">
        <v>0</v>
      </c>
      <c r="O2912" s="90">
        <v>255</v>
      </c>
    </row>
    <row r="2913" spans="1:15" s="90" customFormat="1" ht="12.75" customHeight="1" x14ac:dyDescent="0.2">
      <c r="A2913" s="247" t="s">
        <v>1478</v>
      </c>
      <c r="B2913" s="316">
        <v>3079</v>
      </c>
      <c r="C2913" s="247" t="s">
        <v>975</v>
      </c>
      <c r="D2913" s="317">
        <v>42675</v>
      </c>
      <c r="E2913" s="318">
        <v>0.36350694444444448</v>
      </c>
      <c r="F2913" s="247" t="s">
        <v>981</v>
      </c>
      <c r="G2913" s="247" t="s">
        <v>1035</v>
      </c>
      <c r="H2913" s="248" t="s">
        <v>234</v>
      </c>
      <c r="I2913" s="248" t="s">
        <v>656</v>
      </c>
      <c r="J2913" s="247" t="s">
        <v>809</v>
      </c>
      <c r="K2913" s="249">
        <v>0</v>
      </c>
      <c r="M2913" s="90">
        <v>0</v>
      </c>
      <c r="N2913" s="90">
        <v>0</v>
      </c>
      <c r="O2913" s="90">
        <v>255</v>
      </c>
    </row>
    <row r="2914" spans="1:15" s="90" customFormat="1" ht="12.75" customHeight="1" x14ac:dyDescent="0.2">
      <c r="A2914" s="247" t="s">
        <v>1479</v>
      </c>
      <c r="B2914" s="316">
        <v>3078</v>
      </c>
      <c r="C2914" s="247" t="s">
        <v>975</v>
      </c>
      <c r="D2914" s="317">
        <v>42675</v>
      </c>
      <c r="E2914" s="318">
        <v>0.36351851851851852</v>
      </c>
      <c r="F2914" s="247" t="s">
        <v>981</v>
      </c>
      <c r="G2914" s="247" t="s">
        <v>1035</v>
      </c>
      <c r="H2914" s="248" t="s">
        <v>234</v>
      </c>
      <c r="I2914" s="248" t="s">
        <v>656</v>
      </c>
      <c r="J2914" s="247" t="s">
        <v>809</v>
      </c>
      <c r="K2914" s="249">
        <v>0</v>
      </c>
      <c r="M2914" s="90">
        <v>0</v>
      </c>
      <c r="N2914" s="90">
        <v>0</v>
      </c>
      <c r="O2914" s="90">
        <v>255</v>
      </c>
    </row>
    <row r="2915" spans="1:15" s="90" customFormat="1" ht="12.75" customHeight="1" x14ac:dyDescent="0.2">
      <c r="A2915" s="247" t="s">
        <v>1481</v>
      </c>
      <c r="B2915" s="316">
        <v>3078</v>
      </c>
      <c r="C2915" s="247" t="s">
        <v>975</v>
      </c>
      <c r="D2915" s="317">
        <v>42675</v>
      </c>
      <c r="E2915" s="318">
        <v>0.36351851851851852</v>
      </c>
      <c r="F2915" s="247" t="s">
        <v>981</v>
      </c>
      <c r="G2915" s="247" t="s">
        <v>1035</v>
      </c>
      <c r="H2915" s="248" t="s">
        <v>234</v>
      </c>
      <c r="I2915" s="248" t="s">
        <v>656</v>
      </c>
      <c r="J2915" s="247" t="s">
        <v>809</v>
      </c>
      <c r="K2915" s="249">
        <v>0</v>
      </c>
      <c r="M2915" s="90">
        <v>0</v>
      </c>
      <c r="N2915" s="90">
        <v>0</v>
      </c>
      <c r="O2915" s="90">
        <v>255</v>
      </c>
    </row>
    <row r="2916" spans="1:15" s="90" customFormat="1" ht="12.75" customHeight="1" x14ac:dyDescent="0.2">
      <c r="A2916" s="247" t="s">
        <v>1480</v>
      </c>
      <c r="B2916" s="316">
        <v>3079</v>
      </c>
      <c r="C2916" s="247" t="s">
        <v>975</v>
      </c>
      <c r="D2916" s="317">
        <v>42675</v>
      </c>
      <c r="E2916" s="318">
        <v>0.36351851851851852</v>
      </c>
      <c r="F2916" s="247" t="s">
        <v>981</v>
      </c>
      <c r="G2916" s="247" t="s">
        <v>1035</v>
      </c>
      <c r="H2916" s="248" t="s">
        <v>234</v>
      </c>
      <c r="I2916" s="248" t="s">
        <v>656</v>
      </c>
      <c r="J2916" s="247" t="s">
        <v>809</v>
      </c>
      <c r="K2916" s="249">
        <v>0</v>
      </c>
      <c r="M2916" s="90">
        <v>0</v>
      </c>
      <c r="N2916" s="90">
        <v>0</v>
      </c>
      <c r="O2916" s="90">
        <v>255</v>
      </c>
    </row>
    <row r="2917" spans="1:15" s="90" customFormat="1" ht="12.75" customHeight="1" x14ac:dyDescent="0.2">
      <c r="A2917" s="247" t="s">
        <v>1482</v>
      </c>
      <c r="B2917" s="316">
        <v>3079</v>
      </c>
      <c r="C2917" s="247" t="s">
        <v>975</v>
      </c>
      <c r="D2917" s="317">
        <v>42675</v>
      </c>
      <c r="E2917" s="318">
        <v>0.36351851851851852</v>
      </c>
      <c r="F2917" s="247" t="s">
        <v>981</v>
      </c>
      <c r="G2917" s="247" t="s">
        <v>1035</v>
      </c>
      <c r="H2917" s="248" t="s">
        <v>234</v>
      </c>
      <c r="I2917" s="248" t="s">
        <v>656</v>
      </c>
      <c r="J2917" s="247" t="s">
        <v>809</v>
      </c>
      <c r="K2917" s="249">
        <v>0</v>
      </c>
      <c r="M2917" s="90">
        <v>0</v>
      </c>
      <c r="N2917" s="90">
        <v>0</v>
      </c>
      <c r="O2917" s="90">
        <v>255</v>
      </c>
    </row>
    <row r="2918" spans="1:15" s="90" customFormat="1" ht="12.75" customHeight="1" x14ac:dyDescent="0.2">
      <c r="A2918" s="247" t="s">
        <v>1483</v>
      </c>
      <c r="B2918" s="316">
        <v>3078</v>
      </c>
      <c r="C2918" s="247" t="s">
        <v>975</v>
      </c>
      <c r="D2918" s="317">
        <v>42675</v>
      </c>
      <c r="E2918" s="318">
        <v>0.36353009259259261</v>
      </c>
      <c r="F2918" s="247" t="s">
        <v>981</v>
      </c>
      <c r="G2918" s="247" t="s">
        <v>1035</v>
      </c>
      <c r="H2918" s="248" t="s">
        <v>234</v>
      </c>
      <c r="I2918" s="248" t="s">
        <v>656</v>
      </c>
      <c r="J2918" s="247" t="s">
        <v>809</v>
      </c>
      <c r="K2918" s="249">
        <v>0</v>
      </c>
      <c r="M2918" s="90">
        <v>0</v>
      </c>
      <c r="N2918" s="90">
        <v>0</v>
      </c>
      <c r="O2918" s="90">
        <v>255</v>
      </c>
    </row>
    <row r="2919" spans="1:15" s="90" customFormat="1" ht="12.75" customHeight="1" x14ac:dyDescent="0.2">
      <c r="A2919" s="247" t="s">
        <v>1485</v>
      </c>
      <c r="B2919" s="316">
        <v>3078</v>
      </c>
      <c r="C2919" s="247" t="s">
        <v>975</v>
      </c>
      <c r="D2919" s="317">
        <v>42675</v>
      </c>
      <c r="E2919" s="318">
        <v>0.36353009259259261</v>
      </c>
      <c r="F2919" s="247" t="s">
        <v>981</v>
      </c>
      <c r="G2919" s="247" t="s">
        <v>1035</v>
      </c>
      <c r="H2919" s="248" t="s">
        <v>234</v>
      </c>
      <c r="I2919" s="248" t="s">
        <v>656</v>
      </c>
      <c r="J2919" s="247" t="s">
        <v>809</v>
      </c>
      <c r="K2919" s="249">
        <v>0</v>
      </c>
      <c r="M2919" s="90">
        <v>0</v>
      </c>
      <c r="N2919" s="90">
        <v>0</v>
      </c>
      <c r="O2919" s="90">
        <v>255</v>
      </c>
    </row>
    <row r="2920" spans="1:15" s="90" customFormat="1" ht="12.75" customHeight="1" x14ac:dyDescent="0.2">
      <c r="A2920" s="247" t="s">
        <v>1484</v>
      </c>
      <c r="B2920" s="316">
        <v>3079</v>
      </c>
      <c r="C2920" s="247" t="s">
        <v>975</v>
      </c>
      <c r="D2920" s="317">
        <v>42675</v>
      </c>
      <c r="E2920" s="318">
        <v>0.36353009259259261</v>
      </c>
      <c r="F2920" s="247" t="s">
        <v>981</v>
      </c>
      <c r="G2920" s="247" t="s">
        <v>1035</v>
      </c>
      <c r="H2920" s="248" t="s">
        <v>234</v>
      </c>
      <c r="I2920" s="248" t="s">
        <v>656</v>
      </c>
      <c r="J2920" s="247" t="s">
        <v>809</v>
      </c>
      <c r="K2920" s="249">
        <v>0</v>
      </c>
      <c r="M2920" s="90">
        <v>0</v>
      </c>
      <c r="N2920" s="90">
        <v>0</v>
      </c>
      <c r="O2920" s="90">
        <v>255</v>
      </c>
    </row>
    <row r="2921" spans="1:15" s="90" customFormat="1" ht="12.75" customHeight="1" x14ac:dyDescent="0.2">
      <c r="A2921" s="247" t="s">
        <v>1486</v>
      </c>
      <c r="B2921" s="316">
        <v>3079</v>
      </c>
      <c r="C2921" s="247" t="s">
        <v>975</v>
      </c>
      <c r="D2921" s="317">
        <v>42675</v>
      </c>
      <c r="E2921" s="318">
        <v>0.36353009259259261</v>
      </c>
      <c r="F2921" s="247" t="s">
        <v>981</v>
      </c>
      <c r="G2921" s="247" t="s">
        <v>1035</v>
      </c>
      <c r="H2921" s="248" t="s">
        <v>234</v>
      </c>
      <c r="I2921" s="248" t="s">
        <v>656</v>
      </c>
      <c r="J2921" s="247" t="s">
        <v>809</v>
      </c>
      <c r="K2921" s="249">
        <v>0</v>
      </c>
      <c r="M2921" s="90">
        <v>0</v>
      </c>
      <c r="N2921" s="90">
        <v>0</v>
      </c>
      <c r="O2921" s="90">
        <v>255</v>
      </c>
    </row>
    <row r="2922" spans="1:15" s="90" customFormat="1" ht="12.75" customHeight="1" x14ac:dyDescent="0.2">
      <c r="A2922" s="247" t="s">
        <v>1487</v>
      </c>
      <c r="B2922" s="316">
        <v>4065</v>
      </c>
      <c r="C2922" s="247" t="s">
        <v>975</v>
      </c>
      <c r="D2922" s="317">
        <v>42675</v>
      </c>
      <c r="E2922" s="318">
        <v>0.36357638888888894</v>
      </c>
      <c r="F2922" s="247" t="s">
        <v>981</v>
      </c>
      <c r="G2922" s="247" t="s">
        <v>1035</v>
      </c>
      <c r="H2922" s="248"/>
      <c r="I2922" s="248"/>
      <c r="J2922" s="247"/>
      <c r="K2922" s="249"/>
      <c r="M2922" s="90">
        <v>0</v>
      </c>
      <c r="N2922" s="90">
        <v>0</v>
      </c>
      <c r="O2922" s="90">
        <v>255</v>
      </c>
    </row>
    <row r="2923" spans="1:15" s="90" customFormat="1" ht="12.75" customHeight="1" x14ac:dyDescent="0.2">
      <c r="A2923" s="247" t="s">
        <v>1456</v>
      </c>
      <c r="B2923" s="316">
        <v>3007</v>
      </c>
      <c r="C2923" s="247" t="s">
        <v>979</v>
      </c>
      <c r="D2923" s="317">
        <v>42675</v>
      </c>
      <c r="E2923" s="318">
        <v>0.3639236111111111</v>
      </c>
      <c r="F2923" s="247" t="s">
        <v>702</v>
      </c>
      <c r="G2923" s="247" t="s">
        <v>1035</v>
      </c>
      <c r="H2923" s="248" t="s">
        <v>234</v>
      </c>
      <c r="I2923" s="248" t="s">
        <v>702</v>
      </c>
      <c r="J2923" s="247" t="s">
        <v>809</v>
      </c>
      <c r="K2923" s="249">
        <v>0</v>
      </c>
      <c r="M2923" s="90">
        <v>0</v>
      </c>
      <c r="N2923" s="90">
        <v>0</v>
      </c>
      <c r="O2923" s="90">
        <v>255</v>
      </c>
    </row>
    <row r="2924" spans="1:15" s="90" customFormat="1" ht="12.75" customHeight="1" x14ac:dyDescent="0.2">
      <c r="A2924" s="247" t="s">
        <v>1488</v>
      </c>
      <c r="B2924" s="316">
        <v>3068</v>
      </c>
      <c r="C2924" s="247" t="s">
        <v>975</v>
      </c>
      <c r="D2924" s="317">
        <v>42675</v>
      </c>
      <c r="E2924" s="318">
        <v>0.3649074074074074</v>
      </c>
      <c r="F2924" s="247" t="s">
        <v>981</v>
      </c>
      <c r="G2924" s="247" t="s">
        <v>1035</v>
      </c>
      <c r="H2924" s="248" t="s">
        <v>234</v>
      </c>
      <c r="I2924" s="248" t="s">
        <v>702</v>
      </c>
      <c r="J2924" s="247" t="s">
        <v>809</v>
      </c>
      <c r="K2924" s="249">
        <v>0</v>
      </c>
      <c r="M2924" s="90">
        <v>0</v>
      </c>
      <c r="N2924" s="90">
        <v>0</v>
      </c>
      <c r="O2924" s="90">
        <v>255</v>
      </c>
    </row>
    <row r="2925" spans="1:15" s="90" customFormat="1" ht="12.75" customHeight="1" x14ac:dyDescent="0.2">
      <c r="A2925" s="247" t="s">
        <v>1031</v>
      </c>
      <c r="B2925" s="316">
        <v>3046</v>
      </c>
      <c r="C2925" s="247" t="s">
        <v>975</v>
      </c>
      <c r="D2925" s="317">
        <v>42675</v>
      </c>
      <c r="E2925" s="318">
        <v>0.36828703703703702</v>
      </c>
      <c r="F2925" s="247" t="s">
        <v>976</v>
      </c>
      <c r="G2925" s="247" t="s">
        <v>1035</v>
      </c>
      <c r="H2925" s="248" t="s">
        <v>404</v>
      </c>
      <c r="I2925" s="248" t="s">
        <v>404</v>
      </c>
      <c r="J2925" s="247" t="s">
        <v>809</v>
      </c>
      <c r="K2925" s="249">
        <v>0</v>
      </c>
      <c r="M2925" s="90">
        <v>0</v>
      </c>
      <c r="N2925" s="90">
        <v>0</v>
      </c>
      <c r="O2925" s="90">
        <v>255</v>
      </c>
    </row>
    <row r="2926" spans="1:15" s="90" customFormat="1" ht="12.75" customHeight="1" x14ac:dyDescent="0.2">
      <c r="A2926" s="247" t="s">
        <v>1489</v>
      </c>
      <c r="B2926" s="316">
        <v>3088</v>
      </c>
      <c r="C2926" s="247" t="s">
        <v>979</v>
      </c>
      <c r="D2926" s="317">
        <v>42675</v>
      </c>
      <c r="E2926" s="318">
        <v>0.37222222222222223</v>
      </c>
      <c r="F2926" s="247" t="s">
        <v>656</v>
      </c>
      <c r="G2926" s="247" t="s">
        <v>1035</v>
      </c>
      <c r="H2926" s="248" t="s">
        <v>234</v>
      </c>
      <c r="I2926" s="248" t="s">
        <v>702</v>
      </c>
      <c r="J2926" s="247" t="s">
        <v>809</v>
      </c>
      <c r="K2926" s="249">
        <v>0</v>
      </c>
      <c r="M2926" s="90">
        <v>0</v>
      </c>
      <c r="N2926" s="90">
        <v>0</v>
      </c>
      <c r="O2926" s="90">
        <v>255</v>
      </c>
    </row>
    <row r="2927" spans="1:15" s="90" customFormat="1" ht="12.75" customHeight="1" x14ac:dyDescent="0.2">
      <c r="A2927" s="247" t="s">
        <v>1032</v>
      </c>
      <c r="B2927" s="316">
        <v>3046</v>
      </c>
      <c r="C2927" s="247" t="s">
        <v>975</v>
      </c>
      <c r="D2927" s="317">
        <v>42675</v>
      </c>
      <c r="E2927" s="318">
        <v>0.37261574074074072</v>
      </c>
      <c r="F2927" s="247" t="s">
        <v>976</v>
      </c>
      <c r="G2927" s="247" t="s">
        <v>1035</v>
      </c>
      <c r="H2927" s="248" t="s">
        <v>404</v>
      </c>
      <c r="I2927" s="248" t="s">
        <v>404</v>
      </c>
      <c r="J2927" s="247" t="s">
        <v>809</v>
      </c>
      <c r="K2927" s="249">
        <v>0</v>
      </c>
      <c r="M2927" s="90">
        <v>0</v>
      </c>
      <c r="N2927" s="90">
        <v>0</v>
      </c>
      <c r="O2927" s="90">
        <v>255</v>
      </c>
    </row>
    <row r="2928" spans="1:15" s="90" customFormat="1" ht="12.75" customHeight="1" x14ac:dyDescent="0.2">
      <c r="A2928" s="247" t="s">
        <v>989</v>
      </c>
      <c r="B2928" s="316">
        <v>3046</v>
      </c>
      <c r="C2928" s="247" t="s">
        <v>975</v>
      </c>
      <c r="D2928" s="317">
        <v>42675</v>
      </c>
      <c r="E2928" s="318">
        <v>0.37261574074074072</v>
      </c>
      <c r="F2928" s="247" t="s">
        <v>976</v>
      </c>
      <c r="G2928" s="247" t="s">
        <v>1035</v>
      </c>
      <c r="H2928" s="248" t="s">
        <v>404</v>
      </c>
      <c r="I2928" s="248" t="s">
        <v>404</v>
      </c>
      <c r="J2928" s="247" t="s">
        <v>809</v>
      </c>
      <c r="K2928" s="249">
        <v>0</v>
      </c>
      <c r="M2928" s="90">
        <v>0</v>
      </c>
      <c r="N2928" s="90">
        <v>0</v>
      </c>
      <c r="O2928" s="90">
        <v>255</v>
      </c>
    </row>
    <row r="2929" spans="1:15" s="90" customFormat="1" ht="12.75" customHeight="1" x14ac:dyDescent="0.2">
      <c r="A2929" s="247" t="s">
        <v>990</v>
      </c>
      <c r="B2929" s="316">
        <v>3046</v>
      </c>
      <c r="C2929" s="247" t="s">
        <v>975</v>
      </c>
      <c r="D2929" s="317">
        <v>42675</v>
      </c>
      <c r="E2929" s="318">
        <v>0.37335648148148143</v>
      </c>
      <c r="F2929" s="247" t="s">
        <v>976</v>
      </c>
      <c r="G2929" s="247" t="s">
        <v>1035</v>
      </c>
      <c r="H2929" s="248" t="s">
        <v>404</v>
      </c>
      <c r="I2929" s="248" t="s">
        <v>404</v>
      </c>
      <c r="J2929" s="247" t="s">
        <v>809</v>
      </c>
      <c r="K2929" s="249">
        <v>0</v>
      </c>
      <c r="M2929" s="90">
        <v>0</v>
      </c>
      <c r="N2929" s="90">
        <v>0</v>
      </c>
      <c r="O2929" s="90">
        <v>255</v>
      </c>
    </row>
    <row r="2930" spans="1:15" s="90" customFormat="1" ht="12.75" customHeight="1" x14ac:dyDescent="0.2">
      <c r="A2930" s="247" t="s">
        <v>1033</v>
      </c>
      <c r="B2930" s="316">
        <v>3217</v>
      </c>
      <c r="C2930" s="247" t="s">
        <v>975</v>
      </c>
      <c r="D2930" s="317">
        <v>42675</v>
      </c>
      <c r="E2930" s="318">
        <v>0.37335648148148143</v>
      </c>
      <c r="F2930" s="247" t="s">
        <v>235</v>
      </c>
      <c r="G2930" s="247" t="s">
        <v>1035</v>
      </c>
      <c r="H2930" s="248" t="s">
        <v>234</v>
      </c>
      <c r="I2930" s="248" t="s">
        <v>235</v>
      </c>
      <c r="J2930" s="247" t="s">
        <v>809</v>
      </c>
      <c r="K2930" s="249">
        <v>0</v>
      </c>
      <c r="M2930" s="90">
        <v>0</v>
      </c>
      <c r="N2930" s="90">
        <v>0</v>
      </c>
      <c r="O2930" s="90">
        <v>255</v>
      </c>
    </row>
    <row r="2931" spans="1:15" s="90" customFormat="1" ht="12.75" customHeight="1" x14ac:dyDescent="0.2">
      <c r="A2931" s="247" t="s">
        <v>1031</v>
      </c>
      <c r="B2931" s="316">
        <v>3046</v>
      </c>
      <c r="C2931" s="247" t="s">
        <v>975</v>
      </c>
      <c r="D2931" s="317">
        <v>42675</v>
      </c>
      <c r="E2931" s="318">
        <v>0.37353009259259262</v>
      </c>
      <c r="F2931" s="247" t="s">
        <v>976</v>
      </c>
      <c r="G2931" s="247" t="s">
        <v>1035</v>
      </c>
      <c r="H2931" s="248" t="s">
        <v>404</v>
      </c>
      <c r="I2931" s="248" t="s">
        <v>404</v>
      </c>
      <c r="J2931" s="247" t="s">
        <v>809</v>
      </c>
      <c r="K2931" s="249">
        <v>0</v>
      </c>
      <c r="M2931" s="90">
        <v>0</v>
      </c>
      <c r="N2931" s="90">
        <v>0</v>
      </c>
      <c r="O2931" s="90">
        <v>255</v>
      </c>
    </row>
    <row r="2932" spans="1:15" s="90" customFormat="1" ht="12.75" customHeight="1" x14ac:dyDescent="0.2">
      <c r="A2932" s="247" t="s">
        <v>1489</v>
      </c>
      <c r="B2932" s="316">
        <v>3088</v>
      </c>
      <c r="C2932" s="247" t="s">
        <v>979</v>
      </c>
      <c r="D2932" s="317">
        <v>42675</v>
      </c>
      <c r="E2932" s="318">
        <v>0.37694444444444447</v>
      </c>
      <c r="F2932" s="247" t="s">
        <v>656</v>
      </c>
      <c r="G2932" s="247" t="s">
        <v>1035</v>
      </c>
      <c r="H2932" s="248" t="s">
        <v>234</v>
      </c>
      <c r="I2932" s="248" t="s">
        <v>702</v>
      </c>
      <c r="J2932" s="247" t="s">
        <v>809</v>
      </c>
      <c r="K2932" s="249">
        <v>0</v>
      </c>
      <c r="M2932" s="90">
        <v>0</v>
      </c>
      <c r="N2932" s="90">
        <v>0</v>
      </c>
      <c r="O2932" s="90">
        <v>255</v>
      </c>
    </row>
    <row r="2933" spans="1:15" s="90" customFormat="1" ht="12.75" customHeight="1" x14ac:dyDescent="0.2">
      <c r="A2933" s="247" t="s">
        <v>1032</v>
      </c>
      <c r="B2933" s="316">
        <v>3046</v>
      </c>
      <c r="C2933" s="247" t="s">
        <v>975</v>
      </c>
      <c r="D2933" s="317">
        <v>42675</v>
      </c>
      <c r="E2933" s="318">
        <v>0.37695601851851851</v>
      </c>
      <c r="F2933" s="247" t="s">
        <v>976</v>
      </c>
      <c r="G2933" s="247" t="s">
        <v>1035</v>
      </c>
      <c r="H2933" s="248" t="s">
        <v>404</v>
      </c>
      <c r="I2933" s="248" t="s">
        <v>404</v>
      </c>
      <c r="J2933" s="247" t="s">
        <v>809</v>
      </c>
      <c r="K2933" s="249">
        <v>0</v>
      </c>
      <c r="M2933" s="90">
        <v>0</v>
      </c>
      <c r="N2933" s="90">
        <v>0</v>
      </c>
      <c r="O2933" s="90">
        <v>255</v>
      </c>
    </row>
    <row r="2934" spans="1:15" s="90" customFormat="1" ht="12.75" customHeight="1" x14ac:dyDescent="0.2">
      <c r="A2934" s="247" t="s">
        <v>989</v>
      </c>
      <c r="B2934" s="316">
        <v>3046</v>
      </c>
      <c r="C2934" s="247" t="s">
        <v>975</v>
      </c>
      <c r="D2934" s="317">
        <v>42675</v>
      </c>
      <c r="E2934" s="318">
        <v>0.37695601851851851</v>
      </c>
      <c r="F2934" s="247" t="s">
        <v>976</v>
      </c>
      <c r="G2934" s="247" t="s">
        <v>1035</v>
      </c>
      <c r="H2934" s="248" t="s">
        <v>404</v>
      </c>
      <c r="I2934" s="248" t="s">
        <v>404</v>
      </c>
      <c r="J2934" s="247" t="s">
        <v>809</v>
      </c>
      <c r="K2934" s="249">
        <v>0</v>
      </c>
      <c r="M2934" s="90">
        <v>0</v>
      </c>
      <c r="N2934" s="90">
        <v>0</v>
      </c>
      <c r="O2934" s="90">
        <v>255</v>
      </c>
    </row>
    <row r="2935" spans="1:15" s="90" customFormat="1" ht="12.75" customHeight="1" x14ac:dyDescent="0.2">
      <c r="A2935" s="247" t="s">
        <v>990</v>
      </c>
      <c r="B2935" s="316">
        <v>3046</v>
      </c>
      <c r="C2935" s="247" t="s">
        <v>975</v>
      </c>
      <c r="D2935" s="317">
        <v>42675</v>
      </c>
      <c r="E2935" s="318">
        <v>0.37813657407407408</v>
      </c>
      <c r="F2935" s="247" t="s">
        <v>976</v>
      </c>
      <c r="G2935" s="247" t="s">
        <v>1035</v>
      </c>
      <c r="H2935" s="248" t="s">
        <v>404</v>
      </c>
      <c r="I2935" s="248" t="s">
        <v>404</v>
      </c>
      <c r="J2935" s="247" t="s">
        <v>809</v>
      </c>
      <c r="K2935" s="249">
        <v>0</v>
      </c>
      <c r="M2935" s="90">
        <v>0</v>
      </c>
      <c r="N2935" s="90">
        <v>0</v>
      </c>
      <c r="O2935" s="90">
        <v>255</v>
      </c>
    </row>
    <row r="2936" spans="1:15" s="90" customFormat="1" ht="12.75" customHeight="1" x14ac:dyDescent="0.2">
      <c r="A2936" s="247" t="s">
        <v>1033</v>
      </c>
      <c r="B2936" s="316">
        <v>3217</v>
      </c>
      <c r="C2936" s="247" t="s">
        <v>975</v>
      </c>
      <c r="D2936" s="317">
        <v>42675</v>
      </c>
      <c r="E2936" s="318">
        <v>0.37813657407407408</v>
      </c>
      <c r="F2936" s="247" t="s">
        <v>235</v>
      </c>
      <c r="G2936" s="247" t="s">
        <v>1035</v>
      </c>
      <c r="H2936" s="248" t="s">
        <v>234</v>
      </c>
      <c r="I2936" s="248" t="s">
        <v>235</v>
      </c>
      <c r="J2936" s="247" t="s">
        <v>809</v>
      </c>
      <c r="K2936" s="249">
        <v>0</v>
      </c>
      <c r="M2936" s="90">
        <v>0</v>
      </c>
      <c r="N2936" s="90">
        <v>0</v>
      </c>
      <c r="O2936" s="90">
        <v>255</v>
      </c>
    </row>
    <row r="2937" spans="1:15" s="90" customFormat="1" ht="12.75" customHeight="1" x14ac:dyDescent="0.2">
      <c r="A2937" s="247" t="s">
        <v>1490</v>
      </c>
      <c r="B2937" s="316">
        <v>3078</v>
      </c>
      <c r="C2937" s="247" t="s">
        <v>975</v>
      </c>
      <c r="D2937" s="317">
        <v>42675</v>
      </c>
      <c r="E2937" s="318">
        <v>0.3790162037037037</v>
      </c>
      <c r="F2937" s="247" t="s">
        <v>981</v>
      </c>
      <c r="G2937" s="247" t="s">
        <v>1035</v>
      </c>
      <c r="H2937" s="248" t="s">
        <v>234</v>
      </c>
      <c r="I2937" s="248" t="s">
        <v>656</v>
      </c>
      <c r="J2937" s="247" t="s">
        <v>809</v>
      </c>
      <c r="K2937" s="249">
        <v>0</v>
      </c>
      <c r="M2937" s="90">
        <v>0</v>
      </c>
      <c r="N2937" s="90">
        <v>0</v>
      </c>
      <c r="O2937" s="90">
        <v>255</v>
      </c>
    </row>
    <row r="2938" spans="1:15" s="90" customFormat="1" ht="12.75" customHeight="1" x14ac:dyDescent="0.2">
      <c r="A2938" s="247" t="s">
        <v>1491</v>
      </c>
      <c r="B2938" s="316">
        <v>3079</v>
      </c>
      <c r="C2938" s="247" t="s">
        <v>975</v>
      </c>
      <c r="D2938" s="317">
        <v>42675</v>
      </c>
      <c r="E2938" s="318">
        <v>0.3790162037037037</v>
      </c>
      <c r="F2938" s="247" t="s">
        <v>981</v>
      </c>
      <c r="G2938" s="247" t="s">
        <v>1035</v>
      </c>
      <c r="H2938" s="248" t="s">
        <v>234</v>
      </c>
      <c r="I2938" s="248" t="s">
        <v>656</v>
      </c>
      <c r="J2938" s="247" t="s">
        <v>809</v>
      </c>
      <c r="K2938" s="249">
        <v>0</v>
      </c>
      <c r="M2938" s="90">
        <v>0</v>
      </c>
      <c r="N2938" s="90">
        <v>0</v>
      </c>
      <c r="O2938" s="90">
        <v>255</v>
      </c>
    </row>
    <row r="2939" spans="1:15" s="90" customFormat="1" ht="12.75" customHeight="1" x14ac:dyDescent="0.2">
      <c r="A2939" s="247" t="s">
        <v>1068</v>
      </c>
      <c r="B2939" s="316">
        <v>3002</v>
      </c>
      <c r="C2939" s="247" t="s">
        <v>996</v>
      </c>
      <c r="D2939" s="317">
        <v>42675</v>
      </c>
      <c r="E2939" s="318">
        <v>0.37912037037037033</v>
      </c>
      <c r="F2939" s="247" t="s">
        <v>702</v>
      </c>
      <c r="G2939" s="247" t="s">
        <v>1035</v>
      </c>
      <c r="H2939" s="248" t="s">
        <v>234</v>
      </c>
      <c r="I2939" s="248" t="s">
        <v>702</v>
      </c>
      <c r="J2939" s="247" t="s">
        <v>809</v>
      </c>
      <c r="K2939" s="249">
        <v>0</v>
      </c>
      <c r="M2939" s="90">
        <v>0</v>
      </c>
      <c r="N2939" s="90">
        <v>0</v>
      </c>
      <c r="O2939" s="90">
        <v>255</v>
      </c>
    </row>
    <row r="2940" spans="1:15" s="90" customFormat="1" ht="12.75" customHeight="1" x14ac:dyDescent="0.2">
      <c r="A2940" s="247" t="s">
        <v>1069</v>
      </c>
      <c r="B2940" s="316">
        <v>3002</v>
      </c>
      <c r="C2940" s="247" t="s">
        <v>996</v>
      </c>
      <c r="D2940" s="317">
        <v>42675</v>
      </c>
      <c r="E2940" s="318">
        <v>0.37912037037037033</v>
      </c>
      <c r="F2940" s="247" t="s">
        <v>702</v>
      </c>
      <c r="G2940" s="247" t="s">
        <v>1035</v>
      </c>
      <c r="H2940" s="248" t="s">
        <v>234</v>
      </c>
      <c r="I2940" s="248" t="s">
        <v>702</v>
      </c>
      <c r="J2940" s="247" t="s">
        <v>809</v>
      </c>
      <c r="K2940" s="249">
        <v>0</v>
      </c>
      <c r="M2940" s="90">
        <v>0</v>
      </c>
      <c r="N2940" s="90">
        <v>0</v>
      </c>
      <c r="O2940" s="90">
        <v>255</v>
      </c>
    </row>
    <row r="2941" spans="1:15" s="90" customFormat="1" ht="12.75" customHeight="1" x14ac:dyDescent="0.2">
      <c r="A2941" s="247" t="s">
        <v>1492</v>
      </c>
      <c r="B2941" s="316">
        <v>3146</v>
      </c>
      <c r="C2941" s="247" t="s">
        <v>975</v>
      </c>
      <c r="D2941" s="317">
        <v>42675</v>
      </c>
      <c r="E2941" s="318">
        <v>0.37939814814814815</v>
      </c>
      <c r="F2941" s="247" t="s">
        <v>981</v>
      </c>
      <c r="G2941" s="247" t="s">
        <v>1035</v>
      </c>
      <c r="H2941" s="248" t="s">
        <v>234</v>
      </c>
      <c r="I2941" s="248" t="s">
        <v>656</v>
      </c>
      <c r="J2941" s="247" t="s">
        <v>809</v>
      </c>
      <c r="K2941" s="249">
        <v>0</v>
      </c>
      <c r="M2941" s="90">
        <v>0</v>
      </c>
      <c r="N2941" s="90">
        <v>0</v>
      </c>
      <c r="O2941" s="90">
        <v>255</v>
      </c>
    </row>
    <row r="2942" spans="1:15" s="90" customFormat="1" ht="12.75" customHeight="1" x14ac:dyDescent="0.2">
      <c r="A2942" s="247" t="s">
        <v>1031</v>
      </c>
      <c r="B2942" s="316">
        <v>3046</v>
      </c>
      <c r="C2942" s="247" t="s">
        <v>975</v>
      </c>
      <c r="D2942" s="317">
        <v>42675</v>
      </c>
      <c r="E2942" s="318">
        <v>0.37973379629629633</v>
      </c>
      <c r="F2942" s="247" t="s">
        <v>976</v>
      </c>
      <c r="G2942" s="247" t="s">
        <v>1035</v>
      </c>
      <c r="H2942" s="248" t="s">
        <v>404</v>
      </c>
      <c r="I2942" s="248" t="s">
        <v>404</v>
      </c>
      <c r="J2942" s="247" t="s">
        <v>809</v>
      </c>
      <c r="K2942" s="249">
        <v>0</v>
      </c>
      <c r="M2942" s="90">
        <v>0</v>
      </c>
      <c r="N2942" s="90">
        <v>0</v>
      </c>
      <c r="O2942" s="90">
        <v>255</v>
      </c>
    </row>
    <row r="2943" spans="1:15" s="90" customFormat="1" ht="12.75" customHeight="1" x14ac:dyDescent="0.2">
      <c r="A2943" s="247" t="s">
        <v>1032</v>
      </c>
      <c r="B2943" s="316">
        <v>3046</v>
      </c>
      <c r="C2943" s="247" t="s">
        <v>975</v>
      </c>
      <c r="D2943" s="317">
        <v>42675</v>
      </c>
      <c r="E2943" s="318">
        <v>0.38315972222222222</v>
      </c>
      <c r="F2943" s="247" t="s">
        <v>976</v>
      </c>
      <c r="G2943" s="247" t="s">
        <v>1035</v>
      </c>
      <c r="H2943" s="248" t="s">
        <v>404</v>
      </c>
      <c r="I2943" s="248" t="s">
        <v>404</v>
      </c>
      <c r="J2943" s="247" t="s">
        <v>809</v>
      </c>
      <c r="K2943" s="249">
        <v>0</v>
      </c>
      <c r="M2943" s="90">
        <v>0</v>
      </c>
      <c r="N2943" s="90">
        <v>0</v>
      </c>
      <c r="O2943" s="90">
        <v>255</v>
      </c>
    </row>
    <row r="2944" spans="1:15" s="90" customFormat="1" ht="12.75" customHeight="1" x14ac:dyDescent="0.2">
      <c r="A2944" s="247" t="s">
        <v>989</v>
      </c>
      <c r="B2944" s="316">
        <v>3046</v>
      </c>
      <c r="C2944" s="247" t="s">
        <v>975</v>
      </c>
      <c r="D2944" s="317">
        <v>42675</v>
      </c>
      <c r="E2944" s="318">
        <v>0.38317129629629632</v>
      </c>
      <c r="F2944" s="247" t="s">
        <v>976</v>
      </c>
      <c r="G2944" s="247" t="s">
        <v>1035</v>
      </c>
      <c r="H2944" s="248" t="s">
        <v>404</v>
      </c>
      <c r="I2944" s="248" t="s">
        <v>404</v>
      </c>
      <c r="J2944" s="247" t="s">
        <v>809</v>
      </c>
      <c r="K2944" s="249">
        <v>0</v>
      </c>
      <c r="M2944" s="90">
        <v>0</v>
      </c>
      <c r="N2944" s="90">
        <v>0</v>
      </c>
      <c r="O2944" s="90">
        <v>255</v>
      </c>
    </row>
    <row r="2945" spans="1:15" s="90" customFormat="1" ht="12.75" customHeight="1" x14ac:dyDescent="0.2">
      <c r="A2945" s="247" t="s">
        <v>990</v>
      </c>
      <c r="B2945" s="316">
        <v>3046</v>
      </c>
      <c r="C2945" s="247" t="s">
        <v>975</v>
      </c>
      <c r="D2945" s="317">
        <v>42675</v>
      </c>
      <c r="E2945" s="318">
        <v>0.38348379629629631</v>
      </c>
      <c r="F2945" s="247" t="s">
        <v>976</v>
      </c>
      <c r="G2945" s="247" t="s">
        <v>1035</v>
      </c>
      <c r="H2945" s="248" t="s">
        <v>404</v>
      </c>
      <c r="I2945" s="248" t="s">
        <v>404</v>
      </c>
      <c r="J2945" s="247" t="s">
        <v>809</v>
      </c>
      <c r="K2945" s="249">
        <v>0</v>
      </c>
      <c r="M2945" s="90">
        <v>0</v>
      </c>
      <c r="N2945" s="90">
        <v>0</v>
      </c>
      <c r="O2945" s="90">
        <v>255</v>
      </c>
    </row>
    <row r="2946" spans="1:15" s="90" customFormat="1" ht="12.75" customHeight="1" x14ac:dyDescent="0.2">
      <c r="A2946" s="247" t="s">
        <v>1033</v>
      </c>
      <c r="B2946" s="316">
        <v>3217</v>
      </c>
      <c r="C2946" s="247" t="s">
        <v>975</v>
      </c>
      <c r="D2946" s="317">
        <v>42675</v>
      </c>
      <c r="E2946" s="318">
        <v>0.38348379629629631</v>
      </c>
      <c r="F2946" s="247" t="s">
        <v>235</v>
      </c>
      <c r="G2946" s="247" t="s">
        <v>1035</v>
      </c>
      <c r="H2946" s="248" t="s">
        <v>234</v>
      </c>
      <c r="I2946" s="248" t="s">
        <v>235</v>
      </c>
      <c r="J2946" s="247" t="s">
        <v>809</v>
      </c>
      <c r="K2946" s="249">
        <v>0</v>
      </c>
      <c r="M2946" s="90">
        <v>0</v>
      </c>
      <c r="N2946" s="90">
        <v>0</v>
      </c>
      <c r="O2946" s="90">
        <v>255</v>
      </c>
    </row>
    <row r="2947" spans="1:15" s="90" customFormat="1" ht="12.75" customHeight="1" x14ac:dyDescent="0.2">
      <c r="A2947" s="247" t="s">
        <v>1031</v>
      </c>
      <c r="B2947" s="316">
        <v>3046</v>
      </c>
      <c r="C2947" s="247" t="s">
        <v>975</v>
      </c>
      <c r="D2947" s="317">
        <v>42675</v>
      </c>
      <c r="E2947" s="318">
        <v>0.41471064814814818</v>
      </c>
      <c r="F2947" s="247" t="s">
        <v>976</v>
      </c>
      <c r="G2947" s="247" t="s">
        <v>1035</v>
      </c>
      <c r="H2947" s="248" t="s">
        <v>404</v>
      </c>
      <c r="I2947" s="248" t="s">
        <v>404</v>
      </c>
      <c r="J2947" s="247" t="s">
        <v>809</v>
      </c>
      <c r="K2947" s="249">
        <v>0</v>
      </c>
      <c r="M2947" s="90">
        <v>0</v>
      </c>
      <c r="N2947" s="90">
        <v>0</v>
      </c>
      <c r="O2947" s="90">
        <v>255</v>
      </c>
    </row>
    <row r="2948" spans="1:15" s="90" customFormat="1" ht="12.75" customHeight="1" x14ac:dyDescent="0.2">
      <c r="A2948" s="247" t="s">
        <v>1032</v>
      </c>
      <c r="B2948" s="316">
        <v>3046</v>
      </c>
      <c r="C2948" s="247" t="s">
        <v>975</v>
      </c>
      <c r="D2948" s="317">
        <v>42675</v>
      </c>
      <c r="E2948" s="318">
        <v>0.41717592592592595</v>
      </c>
      <c r="F2948" s="247" t="s">
        <v>976</v>
      </c>
      <c r="G2948" s="247" t="s">
        <v>1035</v>
      </c>
      <c r="H2948" s="248" t="s">
        <v>404</v>
      </c>
      <c r="I2948" s="248" t="s">
        <v>404</v>
      </c>
      <c r="J2948" s="247" t="s">
        <v>809</v>
      </c>
      <c r="K2948" s="249">
        <v>0</v>
      </c>
      <c r="M2948" s="90">
        <v>0</v>
      </c>
      <c r="N2948" s="90">
        <v>0</v>
      </c>
      <c r="O2948" s="90">
        <v>255</v>
      </c>
    </row>
    <row r="2949" spans="1:15" s="90" customFormat="1" ht="12.75" customHeight="1" x14ac:dyDescent="0.2">
      <c r="A2949" s="247" t="s">
        <v>989</v>
      </c>
      <c r="B2949" s="316">
        <v>3046</v>
      </c>
      <c r="C2949" s="247" t="s">
        <v>975</v>
      </c>
      <c r="D2949" s="317">
        <v>42675</v>
      </c>
      <c r="E2949" s="318">
        <v>0.41717592592592595</v>
      </c>
      <c r="F2949" s="247" t="s">
        <v>976</v>
      </c>
      <c r="G2949" s="247" t="s">
        <v>1035</v>
      </c>
      <c r="H2949" s="248" t="s">
        <v>404</v>
      </c>
      <c r="I2949" s="248" t="s">
        <v>404</v>
      </c>
      <c r="J2949" s="247" t="s">
        <v>809</v>
      </c>
      <c r="K2949" s="249">
        <v>0</v>
      </c>
      <c r="M2949" s="90">
        <v>0</v>
      </c>
      <c r="N2949" s="90">
        <v>0</v>
      </c>
      <c r="O2949" s="90">
        <v>255</v>
      </c>
    </row>
    <row r="2950" spans="1:15" s="90" customFormat="1" ht="12.75" customHeight="1" x14ac:dyDescent="0.2">
      <c r="A2950" s="247" t="s">
        <v>1033</v>
      </c>
      <c r="B2950" s="316">
        <v>3217</v>
      </c>
      <c r="C2950" s="247" t="s">
        <v>975</v>
      </c>
      <c r="D2950" s="317">
        <v>42675</v>
      </c>
      <c r="E2950" s="318">
        <v>0.41746527777777781</v>
      </c>
      <c r="F2950" s="247" t="s">
        <v>235</v>
      </c>
      <c r="G2950" s="247" t="s">
        <v>1035</v>
      </c>
      <c r="H2950" s="248" t="s">
        <v>234</v>
      </c>
      <c r="I2950" s="248" t="s">
        <v>235</v>
      </c>
      <c r="J2950" s="247" t="s">
        <v>809</v>
      </c>
      <c r="K2950" s="249">
        <v>0</v>
      </c>
      <c r="M2950" s="90">
        <v>0</v>
      </c>
      <c r="N2950" s="90">
        <v>0</v>
      </c>
      <c r="O2950" s="90">
        <v>255</v>
      </c>
    </row>
    <row r="2951" spans="1:15" s="90" customFormat="1" ht="12.75" customHeight="1" x14ac:dyDescent="0.2">
      <c r="A2951" s="247" t="s">
        <v>990</v>
      </c>
      <c r="B2951" s="316">
        <v>3046</v>
      </c>
      <c r="C2951" s="247" t="s">
        <v>975</v>
      </c>
      <c r="D2951" s="317">
        <v>42675</v>
      </c>
      <c r="E2951" s="318">
        <v>0.41747685185185185</v>
      </c>
      <c r="F2951" s="247" t="s">
        <v>976</v>
      </c>
      <c r="G2951" s="247" t="s">
        <v>1035</v>
      </c>
      <c r="H2951" s="248" t="s">
        <v>404</v>
      </c>
      <c r="I2951" s="248" t="s">
        <v>404</v>
      </c>
      <c r="J2951" s="247" t="s">
        <v>809</v>
      </c>
      <c r="K2951" s="249">
        <v>0</v>
      </c>
      <c r="M2951" s="90">
        <v>0</v>
      </c>
      <c r="N2951" s="90">
        <v>0</v>
      </c>
      <c r="O2951" s="90">
        <v>255</v>
      </c>
    </row>
    <row r="2952" spans="1:15" s="90" customFormat="1" ht="12.75" customHeight="1" x14ac:dyDescent="0.2">
      <c r="A2952" s="247" t="s">
        <v>1031</v>
      </c>
      <c r="B2952" s="316">
        <v>3046</v>
      </c>
      <c r="C2952" s="247" t="s">
        <v>975</v>
      </c>
      <c r="D2952" s="317">
        <v>42675</v>
      </c>
      <c r="E2952" s="318">
        <v>0.42846064814814816</v>
      </c>
      <c r="F2952" s="247" t="s">
        <v>976</v>
      </c>
      <c r="G2952" s="247" t="s">
        <v>1035</v>
      </c>
      <c r="H2952" s="248" t="s">
        <v>404</v>
      </c>
      <c r="I2952" s="248" t="s">
        <v>404</v>
      </c>
      <c r="J2952" s="247" t="s">
        <v>809</v>
      </c>
      <c r="K2952" s="249">
        <v>0</v>
      </c>
      <c r="M2952" s="90">
        <v>0</v>
      </c>
      <c r="N2952" s="90">
        <v>0</v>
      </c>
      <c r="O2952" s="90">
        <v>255</v>
      </c>
    </row>
    <row r="2953" spans="1:15" s="90" customFormat="1" ht="12.75" customHeight="1" x14ac:dyDescent="0.2">
      <c r="A2953" s="247" t="s">
        <v>1032</v>
      </c>
      <c r="B2953" s="316">
        <v>3046</v>
      </c>
      <c r="C2953" s="247" t="s">
        <v>975</v>
      </c>
      <c r="D2953" s="317">
        <v>42675</v>
      </c>
      <c r="E2953" s="318">
        <v>0.43270833333333331</v>
      </c>
      <c r="F2953" s="247" t="s">
        <v>976</v>
      </c>
      <c r="G2953" s="247" t="s">
        <v>1035</v>
      </c>
      <c r="H2953" s="248" t="s">
        <v>404</v>
      </c>
      <c r="I2953" s="248" t="s">
        <v>404</v>
      </c>
      <c r="J2953" s="247" t="s">
        <v>809</v>
      </c>
      <c r="K2953" s="249">
        <v>0</v>
      </c>
      <c r="M2953" s="90">
        <v>0</v>
      </c>
      <c r="N2953" s="90">
        <v>0</v>
      </c>
      <c r="O2953" s="90">
        <v>255</v>
      </c>
    </row>
    <row r="2954" spans="1:15" s="90" customFormat="1" ht="12.75" customHeight="1" x14ac:dyDescent="0.2">
      <c r="A2954" s="247" t="s">
        <v>989</v>
      </c>
      <c r="B2954" s="316">
        <v>3046</v>
      </c>
      <c r="C2954" s="247" t="s">
        <v>975</v>
      </c>
      <c r="D2954" s="317">
        <v>42675</v>
      </c>
      <c r="E2954" s="318">
        <v>0.43270833333333331</v>
      </c>
      <c r="F2954" s="247" t="s">
        <v>976</v>
      </c>
      <c r="G2954" s="247" t="s">
        <v>1035</v>
      </c>
      <c r="H2954" s="248" t="s">
        <v>404</v>
      </c>
      <c r="I2954" s="248" t="s">
        <v>404</v>
      </c>
      <c r="J2954" s="247" t="s">
        <v>809</v>
      </c>
      <c r="K2954" s="249">
        <v>0</v>
      </c>
      <c r="M2954" s="90">
        <v>0</v>
      </c>
      <c r="N2954" s="90">
        <v>0</v>
      </c>
      <c r="O2954" s="90">
        <v>255</v>
      </c>
    </row>
    <row r="2955" spans="1:15" s="90" customFormat="1" ht="12.75" customHeight="1" x14ac:dyDescent="0.2">
      <c r="A2955" s="247" t="s">
        <v>1033</v>
      </c>
      <c r="B2955" s="316">
        <v>3217</v>
      </c>
      <c r="C2955" s="247" t="s">
        <v>975</v>
      </c>
      <c r="D2955" s="317">
        <v>42675</v>
      </c>
      <c r="E2955" s="318">
        <v>0.43299768518518517</v>
      </c>
      <c r="F2955" s="247" t="s">
        <v>235</v>
      </c>
      <c r="G2955" s="247" t="s">
        <v>1035</v>
      </c>
      <c r="H2955" s="248" t="s">
        <v>234</v>
      </c>
      <c r="I2955" s="248" t="s">
        <v>235</v>
      </c>
      <c r="J2955" s="247" t="s">
        <v>809</v>
      </c>
      <c r="K2955" s="249">
        <v>0</v>
      </c>
      <c r="M2955" s="90">
        <v>0</v>
      </c>
      <c r="N2955" s="90">
        <v>0</v>
      </c>
      <c r="O2955" s="90">
        <v>255</v>
      </c>
    </row>
    <row r="2956" spans="1:15" s="90" customFormat="1" ht="12.75" customHeight="1" x14ac:dyDescent="0.2">
      <c r="A2956" s="247" t="s">
        <v>990</v>
      </c>
      <c r="B2956" s="316">
        <v>3046</v>
      </c>
      <c r="C2956" s="247" t="s">
        <v>975</v>
      </c>
      <c r="D2956" s="317">
        <v>42675</v>
      </c>
      <c r="E2956" s="318">
        <v>0.43300925925925932</v>
      </c>
      <c r="F2956" s="247" t="s">
        <v>976</v>
      </c>
      <c r="G2956" s="247" t="s">
        <v>1035</v>
      </c>
      <c r="H2956" s="248" t="s">
        <v>404</v>
      </c>
      <c r="I2956" s="248" t="s">
        <v>404</v>
      </c>
      <c r="J2956" s="247" t="s">
        <v>809</v>
      </c>
      <c r="K2956" s="249">
        <v>0</v>
      </c>
      <c r="M2956" s="90">
        <v>0</v>
      </c>
      <c r="N2956" s="90">
        <v>0</v>
      </c>
      <c r="O2956" s="90">
        <v>255</v>
      </c>
    </row>
    <row r="2957" spans="1:15" s="90" customFormat="1" ht="12.75" customHeight="1" x14ac:dyDescent="0.2">
      <c r="A2957" s="247" t="s">
        <v>1493</v>
      </c>
      <c r="B2957" s="316">
        <v>3218</v>
      </c>
      <c r="C2957" s="247" t="s">
        <v>979</v>
      </c>
      <c r="D2957" s="317">
        <v>42675</v>
      </c>
      <c r="E2957" s="318">
        <v>0.43614583333333329</v>
      </c>
      <c r="F2957" s="247" t="s">
        <v>702</v>
      </c>
      <c r="G2957" s="247" t="s">
        <v>1035</v>
      </c>
      <c r="H2957" s="248"/>
      <c r="I2957" s="248"/>
      <c r="J2957" s="247"/>
      <c r="K2957" s="249"/>
      <c r="M2957" s="90">
        <v>0</v>
      </c>
      <c r="N2957" s="90">
        <v>0</v>
      </c>
      <c r="O2957" s="90">
        <v>255</v>
      </c>
    </row>
    <row r="2958" spans="1:15" s="90" customFormat="1" ht="12.75" customHeight="1" x14ac:dyDescent="0.2">
      <c r="A2958" s="247" t="s">
        <v>1031</v>
      </c>
      <c r="B2958" s="316">
        <v>3046</v>
      </c>
      <c r="C2958" s="247" t="s">
        <v>975</v>
      </c>
      <c r="D2958" s="317">
        <v>42675</v>
      </c>
      <c r="E2958" s="318">
        <v>0.43621527777777774</v>
      </c>
      <c r="F2958" s="247" t="s">
        <v>976</v>
      </c>
      <c r="G2958" s="247" t="s">
        <v>1035</v>
      </c>
      <c r="H2958" s="248" t="s">
        <v>404</v>
      </c>
      <c r="I2958" s="248" t="s">
        <v>404</v>
      </c>
      <c r="J2958" s="247" t="s">
        <v>809</v>
      </c>
      <c r="K2958" s="249">
        <v>0</v>
      </c>
      <c r="M2958" s="90">
        <v>0</v>
      </c>
      <c r="N2958" s="90">
        <v>0</v>
      </c>
      <c r="O2958" s="90">
        <v>255</v>
      </c>
    </row>
    <row r="2959" spans="1:15" s="90" customFormat="1" ht="12.75" customHeight="1" x14ac:dyDescent="0.2">
      <c r="A2959" s="247" t="s">
        <v>1032</v>
      </c>
      <c r="B2959" s="316">
        <v>3046</v>
      </c>
      <c r="C2959" s="247" t="s">
        <v>975</v>
      </c>
      <c r="D2959" s="317">
        <v>42675</v>
      </c>
      <c r="E2959" s="318">
        <v>0.43888888888888888</v>
      </c>
      <c r="F2959" s="247" t="s">
        <v>976</v>
      </c>
      <c r="G2959" s="247" t="s">
        <v>1035</v>
      </c>
      <c r="H2959" s="248" t="s">
        <v>404</v>
      </c>
      <c r="I2959" s="248" t="s">
        <v>404</v>
      </c>
      <c r="J2959" s="247" t="s">
        <v>809</v>
      </c>
      <c r="K2959" s="249">
        <v>0</v>
      </c>
      <c r="M2959" s="90">
        <v>0</v>
      </c>
      <c r="N2959" s="90">
        <v>0</v>
      </c>
      <c r="O2959" s="90">
        <v>255</v>
      </c>
    </row>
    <row r="2960" spans="1:15" s="90" customFormat="1" ht="12.75" customHeight="1" x14ac:dyDescent="0.2">
      <c r="A2960" s="247" t="s">
        <v>989</v>
      </c>
      <c r="B2960" s="316">
        <v>3046</v>
      </c>
      <c r="C2960" s="247" t="s">
        <v>975</v>
      </c>
      <c r="D2960" s="317">
        <v>42675</v>
      </c>
      <c r="E2960" s="318">
        <v>0.43888888888888888</v>
      </c>
      <c r="F2960" s="247" t="s">
        <v>976</v>
      </c>
      <c r="G2960" s="247" t="s">
        <v>1035</v>
      </c>
      <c r="H2960" s="248" t="s">
        <v>404</v>
      </c>
      <c r="I2960" s="248" t="s">
        <v>404</v>
      </c>
      <c r="J2960" s="247" t="s">
        <v>809</v>
      </c>
      <c r="K2960" s="249">
        <v>0</v>
      </c>
      <c r="M2960" s="90">
        <v>0</v>
      </c>
      <c r="N2960" s="90">
        <v>0</v>
      </c>
      <c r="O2960" s="90">
        <v>255</v>
      </c>
    </row>
    <row r="2961" spans="1:15" s="90" customFormat="1" ht="12.75" customHeight="1" x14ac:dyDescent="0.2">
      <c r="A2961" s="247" t="s">
        <v>990</v>
      </c>
      <c r="B2961" s="316">
        <v>3046</v>
      </c>
      <c r="C2961" s="247" t="s">
        <v>975</v>
      </c>
      <c r="D2961" s="317">
        <v>42675</v>
      </c>
      <c r="E2961" s="318">
        <v>0.43916666666666665</v>
      </c>
      <c r="F2961" s="247" t="s">
        <v>976</v>
      </c>
      <c r="G2961" s="247" t="s">
        <v>1035</v>
      </c>
      <c r="H2961" s="248" t="s">
        <v>404</v>
      </c>
      <c r="I2961" s="248" t="s">
        <v>404</v>
      </c>
      <c r="J2961" s="247" t="s">
        <v>809</v>
      </c>
      <c r="K2961" s="249">
        <v>0</v>
      </c>
      <c r="M2961" s="90">
        <v>0</v>
      </c>
      <c r="N2961" s="90">
        <v>0</v>
      </c>
      <c r="O2961" s="90">
        <v>255</v>
      </c>
    </row>
    <row r="2962" spans="1:15" s="90" customFormat="1" ht="12.75" customHeight="1" x14ac:dyDescent="0.2">
      <c r="A2962" s="247" t="s">
        <v>1033</v>
      </c>
      <c r="B2962" s="316">
        <v>3217</v>
      </c>
      <c r="C2962" s="247" t="s">
        <v>975</v>
      </c>
      <c r="D2962" s="317">
        <v>42675</v>
      </c>
      <c r="E2962" s="318">
        <v>0.43916666666666665</v>
      </c>
      <c r="F2962" s="247" t="s">
        <v>235</v>
      </c>
      <c r="G2962" s="247" t="s">
        <v>1035</v>
      </c>
      <c r="H2962" s="248" t="s">
        <v>234</v>
      </c>
      <c r="I2962" s="248" t="s">
        <v>235</v>
      </c>
      <c r="J2962" s="247" t="s">
        <v>809</v>
      </c>
      <c r="K2962" s="249">
        <v>0</v>
      </c>
      <c r="M2962" s="90">
        <v>0</v>
      </c>
      <c r="N2962" s="90">
        <v>0</v>
      </c>
      <c r="O2962" s="90">
        <v>255</v>
      </c>
    </row>
    <row r="2963" spans="1:15" s="90" customFormat="1" ht="12.75" customHeight="1" x14ac:dyDescent="0.2">
      <c r="A2963" s="247" t="s">
        <v>1031</v>
      </c>
      <c r="B2963" s="316">
        <v>3046</v>
      </c>
      <c r="C2963" s="247" t="s">
        <v>975</v>
      </c>
      <c r="D2963" s="317">
        <v>42675</v>
      </c>
      <c r="E2963" s="318">
        <v>0.4418287037037037</v>
      </c>
      <c r="F2963" s="247" t="s">
        <v>976</v>
      </c>
      <c r="G2963" s="247" t="s">
        <v>1035</v>
      </c>
      <c r="H2963" s="248" t="s">
        <v>404</v>
      </c>
      <c r="I2963" s="248" t="s">
        <v>404</v>
      </c>
      <c r="J2963" s="247" t="s">
        <v>809</v>
      </c>
      <c r="K2963" s="249">
        <v>0</v>
      </c>
      <c r="M2963" s="90">
        <v>0</v>
      </c>
      <c r="N2963" s="90">
        <v>0</v>
      </c>
      <c r="O2963" s="90">
        <v>255</v>
      </c>
    </row>
    <row r="2964" spans="1:15" s="90" customFormat="1" ht="12.75" customHeight="1" x14ac:dyDescent="0.2">
      <c r="A2964" s="247" t="s">
        <v>1494</v>
      </c>
      <c r="B2964" s="316">
        <v>3037</v>
      </c>
      <c r="C2964" s="247" t="s">
        <v>996</v>
      </c>
      <c r="D2964" s="317">
        <v>42675</v>
      </c>
      <c r="E2964" s="318">
        <v>0.44217592592592592</v>
      </c>
      <c r="F2964" s="247" t="s">
        <v>980</v>
      </c>
      <c r="G2964" s="247" t="s">
        <v>1035</v>
      </c>
      <c r="H2964" s="248" t="s">
        <v>234</v>
      </c>
      <c r="I2964" s="248" t="s">
        <v>263</v>
      </c>
      <c r="J2964" s="247" t="s">
        <v>809</v>
      </c>
      <c r="K2964" s="249">
        <v>0</v>
      </c>
      <c r="M2964" s="90">
        <v>0</v>
      </c>
      <c r="N2964" s="90">
        <v>0</v>
      </c>
      <c r="O2964" s="90">
        <v>255</v>
      </c>
    </row>
    <row r="2965" spans="1:15" s="90" customFormat="1" ht="12.75" customHeight="1" x14ac:dyDescent="0.2">
      <c r="A2965" s="247" t="s">
        <v>1032</v>
      </c>
      <c r="B2965" s="316">
        <v>3046</v>
      </c>
      <c r="C2965" s="247" t="s">
        <v>975</v>
      </c>
      <c r="D2965" s="317">
        <v>42675</v>
      </c>
      <c r="E2965" s="318">
        <v>0.44575231481481481</v>
      </c>
      <c r="F2965" s="247" t="s">
        <v>976</v>
      </c>
      <c r="G2965" s="247" t="s">
        <v>1035</v>
      </c>
      <c r="H2965" s="248" t="s">
        <v>404</v>
      </c>
      <c r="I2965" s="248" t="s">
        <v>404</v>
      </c>
      <c r="J2965" s="247" t="s">
        <v>809</v>
      </c>
      <c r="K2965" s="249">
        <v>0</v>
      </c>
      <c r="M2965" s="90">
        <v>0</v>
      </c>
      <c r="N2965" s="90">
        <v>0</v>
      </c>
      <c r="O2965" s="90">
        <v>255</v>
      </c>
    </row>
    <row r="2966" spans="1:15" s="90" customFormat="1" ht="12.75" customHeight="1" x14ac:dyDescent="0.2">
      <c r="A2966" s="247" t="s">
        <v>989</v>
      </c>
      <c r="B2966" s="316">
        <v>3046</v>
      </c>
      <c r="C2966" s="247" t="s">
        <v>975</v>
      </c>
      <c r="D2966" s="317">
        <v>42675</v>
      </c>
      <c r="E2966" s="318">
        <v>0.44575231481481481</v>
      </c>
      <c r="F2966" s="247" t="s">
        <v>976</v>
      </c>
      <c r="G2966" s="247" t="s">
        <v>1035</v>
      </c>
      <c r="H2966" s="248" t="s">
        <v>404</v>
      </c>
      <c r="I2966" s="248" t="s">
        <v>404</v>
      </c>
      <c r="J2966" s="247" t="s">
        <v>809</v>
      </c>
      <c r="K2966" s="249">
        <v>0</v>
      </c>
      <c r="M2966" s="90">
        <v>0</v>
      </c>
      <c r="N2966" s="90">
        <v>0</v>
      </c>
      <c r="O2966" s="90">
        <v>255</v>
      </c>
    </row>
    <row r="2967" spans="1:15" s="90" customFormat="1" ht="12.75" customHeight="1" x14ac:dyDescent="0.2">
      <c r="A2967" s="247" t="s">
        <v>1033</v>
      </c>
      <c r="B2967" s="316">
        <v>3217</v>
      </c>
      <c r="C2967" s="247" t="s">
        <v>975</v>
      </c>
      <c r="D2967" s="317">
        <v>42675</v>
      </c>
      <c r="E2967" s="318">
        <v>0.44612268518518516</v>
      </c>
      <c r="F2967" s="247" t="s">
        <v>235</v>
      </c>
      <c r="G2967" s="247" t="s">
        <v>1035</v>
      </c>
      <c r="H2967" s="248" t="s">
        <v>234</v>
      </c>
      <c r="I2967" s="248" t="s">
        <v>235</v>
      </c>
      <c r="J2967" s="247" t="s">
        <v>809</v>
      </c>
      <c r="K2967" s="249">
        <v>0</v>
      </c>
      <c r="M2967" s="90">
        <v>0</v>
      </c>
      <c r="N2967" s="90">
        <v>0</v>
      </c>
      <c r="O2967" s="90">
        <v>255</v>
      </c>
    </row>
    <row r="2968" spans="1:15" s="90" customFormat="1" ht="12.75" customHeight="1" x14ac:dyDescent="0.2">
      <c r="A2968" s="247" t="s">
        <v>990</v>
      </c>
      <c r="B2968" s="316">
        <v>3046</v>
      </c>
      <c r="C2968" s="247" t="s">
        <v>975</v>
      </c>
      <c r="D2968" s="317">
        <v>42675</v>
      </c>
      <c r="E2968" s="318">
        <v>0.44613425925925926</v>
      </c>
      <c r="F2968" s="247" t="s">
        <v>976</v>
      </c>
      <c r="G2968" s="247" t="s">
        <v>1035</v>
      </c>
      <c r="H2968" s="248" t="s">
        <v>404</v>
      </c>
      <c r="I2968" s="248" t="s">
        <v>404</v>
      </c>
      <c r="J2968" s="247" t="s">
        <v>809</v>
      </c>
      <c r="K2968" s="249">
        <v>0</v>
      </c>
      <c r="M2968" s="90">
        <v>0</v>
      </c>
      <c r="N2968" s="90">
        <v>0</v>
      </c>
      <c r="O2968" s="90">
        <v>255</v>
      </c>
    </row>
    <row r="2969" spans="1:15" s="90" customFormat="1" ht="12.75" customHeight="1" x14ac:dyDescent="0.2">
      <c r="A2969" s="247" t="s">
        <v>760</v>
      </c>
      <c r="B2969" s="316">
        <v>3120</v>
      </c>
      <c r="C2969" s="247" t="s">
        <v>975</v>
      </c>
      <c r="D2969" s="317">
        <v>42675</v>
      </c>
      <c r="E2969" s="318">
        <v>0.4496412037037037</v>
      </c>
      <c r="F2969" s="247" t="s">
        <v>981</v>
      </c>
      <c r="G2969" s="247" t="s">
        <v>1035</v>
      </c>
      <c r="H2969" s="248" t="s">
        <v>234</v>
      </c>
      <c r="I2969" s="248" t="s">
        <v>677</v>
      </c>
      <c r="J2969" s="247" t="s">
        <v>809</v>
      </c>
      <c r="K2969" s="249">
        <v>0</v>
      </c>
      <c r="M2969" s="90">
        <v>0</v>
      </c>
      <c r="N2969" s="90">
        <v>0</v>
      </c>
      <c r="O2969" s="90">
        <v>255</v>
      </c>
    </row>
    <row r="2970" spans="1:15" s="90" customFormat="1" ht="12.75" customHeight="1" x14ac:dyDescent="0.2">
      <c r="A2970" s="247" t="s">
        <v>1031</v>
      </c>
      <c r="B2970" s="316">
        <v>3046</v>
      </c>
      <c r="C2970" s="247" t="s">
        <v>975</v>
      </c>
      <c r="D2970" s="317">
        <v>42675</v>
      </c>
      <c r="E2970" s="318">
        <v>0.4695023148148148</v>
      </c>
      <c r="F2970" s="247" t="s">
        <v>976</v>
      </c>
      <c r="G2970" s="247" t="s">
        <v>1035</v>
      </c>
      <c r="H2970" s="248" t="s">
        <v>404</v>
      </c>
      <c r="I2970" s="248" t="s">
        <v>404</v>
      </c>
      <c r="J2970" s="247" t="s">
        <v>809</v>
      </c>
      <c r="K2970" s="249">
        <v>0</v>
      </c>
      <c r="M2970" s="90">
        <v>0</v>
      </c>
      <c r="N2970" s="90">
        <v>0</v>
      </c>
      <c r="O2970" s="90">
        <v>255</v>
      </c>
    </row>
    <row r="2971" spans="1:15" s="90" customFormat="1" ht="12.75" customHeight="1" x14ac:dyDescent="0.2">
      <c r="A2971" s="247" t="s">
        <v>1032</v>
      </c>
      <c r="B2971" s="316">
        <v>3046</v>
      </c>
      <c r="C2971" s="247" t="s">
        <v>975</v>
      </c>
      <c r="D2971" s="317">
        <v>42675</v>
      </c>
      <c r="E2971" s="318">
        <v>0.4714930555555556</v>
      </c>
      <c r="F2971" s="247" t="s">
        <v>976</v>
      </c>
      <c r="G2971" s="247" t="s">
        <v>1035</v>
      </c>
      <c r="H2971" s="248" t="s">
        <v>404</v>
      </c>
      <c r="I2971" s="248" t="s">
        <v>404</v>
      </c>
      <c r="J2971" s="247" t="s">
        <v>809</v>
      </c>
      <c r="K2971" s="249">
        <v>0</v>
      </c>
      <c r="M2971" s="90">
        <v>0</v>
      </c>
      <c r="N2971" s="90">
        <v>0</v>
      </c>
      <c r="O2971" s="90">
        <v>255</v>
      </c>
    </row>
    <row r="2972" spans="1:15" s="90" customFormat="1" ht="12.75" customHeight="1" x14ac:dyDescent="0.2">
      <c r="A2972" s="247" t="s">
        <v>989</v>
      </c>
      <c r="B2972" s="316">
        <v>3046</v>
      </c>
      <c r="C2972" s="247" t="s">
        <v>975</v>
      </c>
      <c r="D2972" s="317">
        <v>42675</v>
      </c>
      <c r="E2972" s="318">
        <v>0.4714930555555556</v>
      </c>
      <c r="F2972" s="247" t="s">
        <v>976</v>
      </c>
      <c r="G2972" s="247" t="s">
        <v>1035</v>
      </c>
      <c r="H2972" s="248" t="s">
        <v>404</v>
      </c>
      <c r="I2972" s="248" t="s">
        <v>404</v>
      </c>
      <c r="J2972" s="247" t="s">
        <v>809</v>
      </c>
      <c r="K2972" s="249">
        <v>0</v>
      </c>
      <c r="M2972" s="90">
        <v>0</v>
      </c>
      <c r="N2972" s="90">
        <v>0</v>
      </c>
      <c r="O2972" s="90">
        <v>255</v>
      </c>
    </row>
    <row r="2973" spans="1:15" s="90" customFormat="1" ht="12.75" customHeight="1" x14ac:dyDescent="0.2">
      <c r="A2973" s="247" t="s">
        <v>990</v>
      </c>
      <c r="B2973" s="316">
        <v>3046</v>
      </c>
      <c r="C2973" s="247" t="s">
        <v>975</v>
      </c>
      <c r="D2973" s="317">
        <v>42675</v>
      </c>
      <c r="E2973" s="318">
        <v>0.47178240740740746</v>
      </c>
      <c r="F2973" s="247" t="s">
        <v>976</v>
      </c>
      <c r="G2973" s="247" t="s">
        <v>1035</v>
      </c>
      <c r="H2973" s="248" t="s">
        <v>404</v>
      </c>
      <c r="I2973" s="248" t="s">
        <v>404</v>
      </c>
      <c r="J2973" s="247" t="s">
        <v>809</v>
      </c>
      <c r="K2973" s="249">
        <v>0</v>
      </c>
      <c r="M2973" s="90">
        <v>0</v>
      </c>
      <c r="N2973" s="90">
        <v>0</v>
      </c>
      <c r="O2973" s="90">
        <v>255</v>
      </c>
    </row>
    <row r="2974" spans="1:15" s="90" customFormat="1" ht="12.75" customHeight="1" x14ac:dyDescent="0.2">
      <c r="A2974" s="247" t="s">
        <v>1033</v>
      </c>
      <c r="B2974" s="316">
        <v>3217</v>
      </c>
      <c r="C2974" s="247" t="s">
        <v>975</v>
      </c>
      <c r="D2974" s="317">
        <v>42675</v>
      </c>
      <c r="E2974" s="318">
        <v>0.47178240740740746</v>
      </c>
      <c r="F2974" s="247" t="s">
        <v>235</v>
      </c>
      <c r="G2974" s="247" t="s">
        <v>1035</v>
      </c>
      <c r="H2974" s="248" t="s">
        <v>234</v>
      </c>
      <c r="I2974" s="248" t="s">
        <v>235</v>
      </c>
      <c r="J2974" s="247" t="s">
        <v>809</v>
      </c>
      <c r="K2974" s="249">
        <v>0</v>
      </c>
      <c r="M2974" s="90">
        <v>0</v>
      </c>
      <c r="N2974" s="90">
        <v>0</v>
      </c>
      <c r="O2974" s="90">
        <v>255</v>
      </c>
    </row>
    <row r="2975" spans="1:15" s="90" customFormat="1" ht="12.75" customHeight="1" x14ac:dyDescent="0.2">
      <c r="A2975" s="247" t="s">
        <v>1031</v>
      </c>
      <c r="B2975" s="316">
        <v>3046</v>
      </c>
      <c r="C2975" s="247" t="s">
        <v>975</v>
      </c>
      <c r="D2975" s="317">
        <v>42675</v>
      </c>
      <c r="E2975" s="318">
        <v>0.47187499999999999</v>
      </c>
      <c r="F2975" s="247" t="s">
        <v>976</v>
      </c>
      <c r="G2975" s="247" t="s">
        <v>1035</v>
      </c>
      <c r="H2975" s="248" t="s">
        <v>404</v>
      </c>
      <c r="I2975" s="248" t="s">
        <v>404</v>
      </c>
      <c r="J2975" s="247" t="s">
        <v>809</v>
      </c>
      <c r="K2975" s="249">
        <v>0</v>
      </c>
      <c r="M2975" s="90">
        <v>0</v>
      </c>
      <c r="N2975" s="90">
        <v>0</v>
      </c>
      <c r="O2975" s="90">
        <v>255</v>
      </c>
    </row>
    <row r="2976" spans="1:15" s="90" customFormat="1" ht="12.75" customHeight="1" x14ac:dyDescent="0.2">
      <c r="A2976" s="247" t="s">
        <v>1032</v>
      </c>
      <c r="B2976" s="316">
        <v>3046</v>
      </c>
      <c r="C2976" s="247" t="s">
        <v>975</v>
      </c>
      <c r="D2976" s="317">
        <v>42675</v>
      </c>
      <c r="E2976" s="318">
        <v>0.47523148148148148</v>
      </c>
      <c r="F2976" s="247" t="s">
        <v>976</v>
      </c>
      <c r="G2976" s="247" t="s">
        <v>1035</v>
      </c>
      <c r="H2976" s="248" t="s">
        <v>404</v>
      </c>
      <c r="I2976" s="248" t="s">
        <v>404</v>
      </c>
      <c r="J2976" s="247" t="s">
        <v>809</v>
      </c>
      <c r="K2976" s="249">
        <v>0</v>
      </c>
      <c r="M2976" s="90">
        <v>0</v>
      </c>
      <c r="N2976" s="90">
        <v>0</v>
      </c>
      <c r="O2976" s="90">
        <v>255</v>
      </c>
    </row>
    <row r="2977" spans="1:15" s="90" customFormat="1" ht="12.75" customHeight="1" x14ac:dyDescent="0.2">
      <c r="A2977" s="247" t="s">
        <v>989</v>
      </c>
      <c r="B2977" s="316">
        <v>3046</v>
      </c>
      <c r="C2977" s="247" t="s">
        <v>975</v>
      </c>
      <c r="D2977" s="317">
        <v>42675</v>
      </c>
      <c r="E2977" s="318">
        <v>0.47523148148148148</v>
      </c>
      <c r="F2977" s="247" t="s">
        <v>976</v>
      </c>
      <c r="G2977" s="247" t="s">
        <v>1035</v>
      </c>
      <c r="H2977" s="248" t="s">
        <v>404</v>
      </c>
      <c r="I2977" s="248" t="s">
        <v>404</v>
      </c>
      <c r="J2977" s="247" t="s">
        <v>809</v>
      </c>
      <c r="K2977" s="249">
        <v>0</v>
      </c>
      <c r="M2977" s="90">
        <v>0</v>
      </c>
      <c r="N2977" s="90">
        <v>0</v>
      </c>
      <c r="O2977" s="90">
        <v>255</v>
      </c>
    </row>
    <row r="2978" spans="1:15" s="90" customFormat="1" ht="12.75" customHeight="1" x14ac:dyDescent="0.2">
      <c r="A2978" s="247" t="s">
        <v>990</v>
      </c>
      <c r="B2978" s="316">
        <v>3046</v>
      </c>
      <c r="C2978" s="247" t="s">
        <v>975</v>
      </c>
      <c r="D2978" s="317">
        <v>42675</v>
      </c>
      <c r="E2978" s="318">
        <v>0.47555555555555556</v>
      </c>
      <c r="F2978" s="247" t="s">
        <v>976</v>
      </c>
      <c r="G2978" s="247" t="s">
        <v>1035</v>
      </c>
      <c r="H2978" s="248" t="s">
        <v>404</v>
      </c>
      <c r="I2978" s="248" t="s">
        <v>404</v>
      </c>
      <c r="J2978" s="247" t="s">
        <v>809</v>
      </c>
      <c r="K2978" s="249">
        <v>0</v>
      </c>
      <c r="M2978" s="90">
        <v>0</v>
      </c>
      <c r="N2978" s="90">
        <v>0</v>
      </c>
      <c r="O2978" s="90">
        <v>255</v>
      </c>
    </row>
    <row r="2979" spans="1:15" s="90" customFormat="1" ht="12.75" customHeight="1" x14ac:dyDescent="0.2">
      <c r="A2979" s="247" t="s">
        <v>1033</v>
      </c>
      <c r="B2979" s="316">
        <v>3217</v>
      </c>
      <c r="C2979" s="247" t="s">
        <v>975</v>
      </c>
      <c r="D2979" s="317">
        <v>42675</v>
      </c>
      <c r="E2979" s="318">
        <v>0.47555555555555556</v>
      </c>
      <c r="F2979" s="247" t="s">
        <v>235</v>
      </c>
      <c r="G2979" s="247" t="s">
        <v>1035</v>
      </c>
      <c r="H2979" s="248" t="s">
        <v>234</v>
      </c>
      <c r="I2979" s="248" t="s">
        <v>235</v>
      </c>
      <c r="J2979" s="247" t="s">
        <v>809</v>
      </c>
      <c r="K2979" s="249">
        <v>0</v>
      </c>
      <c r="M2979" s="90">
        <v>0</v>
      </c>
      <c r="N2979" s="90">
        <v>0</v>
      </c>
      <c r="O2979" s="90">
        <v>255</v>
      </c>
    </row>
    <row r="2980" spans="1:15" s="90" customFormat="1" ht="12.75" customHeight="1" x14ac:dyDescent="0.2">
      <c r="A2980" s="247" t="s">
        <v>1031</v>
      </c>
      <c r="B2980" s="316">
        <v>3046</v>
      </c>
      <c r="C2980" s="247" t="s">
        <v>975</v>
      </c>
      <c r="D2980" s="317">
        <v>42675</v>
      </c>
      <c r="E2980" s="318">
        <v>0.49347222222222226</v>
      </c>
      <c r="F2980" s="247" t="s">
        <v>976</v>
      </c>
      <c r="G2980" s="247" t="s">
        <v>1035</v>
      </c>
      <c r="H2980" s="248" t="s">
        <v>404</v>
      </c>
      <c r="I2980" s="248" t="s">
        <v>404</v>
      </c>
      <c r="J2980" s="247" t="s">
        <v>809</v>
      </c>
      <c r="K2980" s="249">
        <v>0</v>
      </c>
      <c r="M2980" s="90">
        <v>0</v>
      </c>
      <c r="N2980" s="90">
        <v>0</v>
      </c>
      <c r="O2980" s="90">
        <v>255</v>
      </c>
    </row>
    <row r="2981" spans="1:15" s="90" customFormat="1" ht="12.75" customHeight="1" x14ac:dyDescent="0.2">
      <c r="A2981" s="247" t="s">
        <v>1032</v>
      </c>
      <c r="B2981" s="316">
        <v>3046</v>
      </c>
      <c r="C2981" s="247" t="s">
        <v>975</v>
      </c>
      <c r="D2981" s="317">
        <v>42675</v>
      </c>
      <c r="E2981" s="318">
        <v>0.49856481481481479</v>
      </c>
      <c r="F2981" s="247" t="s">
        <v>976</v>
      </c>
      <c r="G2981" s="247" t="s">
        <v>1035</v>
      </c>
      <c r="H2981" s="248" t="s">
        <v>404</v>
      </c>
      <c r="I2981" s="248" t="s">
        <v>404</v>
      </c>
      <c r="J2981" s="247" t="s">
        <v>809</v>
      </c>
      <c r="K2981" s="249">
        <v>0</v>
      </c>
      <c r="M2981" s="90">
        <v>0</v>
      </c>
      <c r="N2981" s="90">
        <v>0</v>
      </c>
      <c r="O2981" s="90">
        <v>255</v>
      </c>
    </row>
    <row r="2982" spans="1:15" s="90" customFormat="1" ht="12.75" customHeight="1" x14ac:dyDescent="0.2">
      <c r="A2982" s="247" t="s">
        <v>989</v>
      </c>
      <c r="B2982" s="316">
        <v>3046</v>
      </c>
      <c r="C2982" s="247" t="s">
        <v>975</v>
      </c>
      <c r="D2982" s="317">
        <v>42675</v>
      </c>
      <c r="E2982" s="318">
        <v>0.49856481481481479</v>
      </c>
      <c r="F2982" s="247" t="s">
        <v>976</v>
      </c>
      <c r="G2982" s="247" t="s">
        <v>1035</v>
      </c>
      <c r="H2982" s="248" t="s">
        <v>404</v>
      </c>
      <c r="I2982" s="248" t="s">
        <v>404</v>
      </c>
      <c r="J2982" s="247" t="s">
        <v>809</v>
      </c>
      <c r="K2982" s="249">
        <v>0</v>
      </c>
      <c r="M2982" s="90">
        <v>0</v>
      </c>
      <c r="N2982" s="90">
        <v>0</v>
      </c>
      <c r="O2982" s="90">
        <v>255</v>
      </c>
    </row>
    <row r="2983" spans="1:15" s="90" customFormat="1" ht="12.75" customHeight="1" x14ac:dyDescent="0.2">
      <c r="A2983" s="247" t="s">
        <v>990</v>
      </c>
      <c r="B2983" s="316">
        <v>3046</v>
      </c>
      <c r="C2983" s="247" t="s">
        <v>975</v>
      </c>
      <c r="D2983" s="317">
        <v>42675</v>
      </c>
      <c r="E2983" s="318">
        <v>0.49886574074074069</v>
      </c>
      <c r="F2983" s="247" t="s">
        <v>976</v>
      </c>
      <c r="G2983" s="247" t="s">
        <v>1035</v>
      </c>
      <c r="H2983" s="248" t="s">
        <v>404</v>
      </c>
      <c r="I2983" s="248" t="s">
        <v>404</v>
      </c>
      <c r="J2983" s="247" t="s">
        <v>809</v>
      </c>
      <c r="K2983" s="249">
        <v>0</v>
      </c>
      <c r="M2983" s="90">
        <v>0</v>
      </c>
      <c r="N2983" s="90">
        <v>0</v>
      </c>
      <c r="O2983" s="90">
        <v>255</v>
      </c>
    </row>
    <row r="2984" spans="1:15" s="90" customFormat="1" ht="12.75" customHeight="1" x14ac:dyDescent="0.2">
      <c r="A2984" s="247" t="s">
        <v>1033</v>
      </c>
      <c r="B2984" s="316">
        <v>3217</v>
      </c>
      <c r="C2984" s="247" t="s">
        <v>975</v>
      </c>
      <c r="D2984" s="317">
        <v>42675</v>
      </c>
      <c r="E2984" s="318">
        <v>0.49886574074074069</v>
      </c>
      <c r="F2984" s="247" t="s">
        <v>235</v>
      </c>
      <c r="G2984" s="247" t="s">
        <v>1035</v>
      </c>
      <c r="H2984" s="248" t="s">
        <v>234</v>
      </c>
      <c r="I2984" s="248" t="s">
        <v>235</v>
      </c>
      <c r="J2984" s="247" t="s">
        <v>809</v>
      </c>
      <c r="K2984" s="249">
        <v>0</v>
      </c>
      <c r="M2984" s="90">
        <v>0</v>
      </c>
      <c r="N2984" s="90">
        <v>0</v>
      </c>
      <c r="O2984" s="90">
        <v>255</v>
      </c>
    </row>
    <row r="2985" spans="1:15" s="90" customFormat="1" ht="12.75" customHeight="1" x14ac:dyDescent="0.2">
      <c r="A2985" s="247" t="s">
        <v>1031</v>
      </c>
      <c r="B2985" s="316">
        <v>3046</v>
      </c>
      <c r="C2985" s="247" t="s">
        <v>975</v>
      </c>
      <c r="D2985" s="317">
        <v>42675</v>
      </c>
      <c r="E2985" s="318">
        <v>0.50384259259259256</v>
      </c>
      <c r="F2985" s="247" t="s">
        <v>976</v>
      </c>
      <c r="G2985" s="247" t="s">
        <v>1035</v>
      </c>
      <c r="H2985" s="248" t="s">
        <v>404</v>
      </c>
      <c r="I2985" s="248" t="s">
        <v>404</v>
      </c>
      <c r="J2985" s="247" t="s">
        <v>809</v>
      </c>
      <c r="K2985" s="249">
        <v>0</v>
      </c>
      <c r="M2985" s="90">
        <v>0</v>
      </c>
      <c r="N2985" s="90">
        <v>0</v>
      </c>
      <c r="O2985" s="90">
        <v>255</v>
      </c>
    </row>
    <row r="2986" spans="1:15" s="90" customFormat="1" ht="12.75" customHeight="1" x14ac:dyDescent="0.2">
      <c r="A2986" s="247" t="s">
        <v>1032</v>
      </c>
      <c r="B2986" s="316">
        <v>3046</v>
      </c>
      <c r="C2986" s="247" t="s">
        <v>975</v>
      </c>
      <c r="D2986" s="317">
        <v>42675</v>
      </c>
      <c r="E2986" s="318">
        <v>0.50599537037037035</v>
      </c>
      <c r="F2986" s="247" t="s">
        <v>976</v>
      </c>
      <c r="G2986" s="247" t="s">
        <v>1035</v>
      </c>
      <c r="H2986" s="248" t="s">
        <v>404</v>
      </c>
      <c r="I2986" s="248" t="s">
        <v>404</v>
      </c>
      <c r="J2986" s="247" t="s">
        <v>809</v>
      </c>
      <c r="K2986" s="249">
        <v>0</v>
      </c>
      <c r="M2986" s="90">
        <v>0</v>
      </c>
      <c r="N2986" s="90">
        <v>0</v>
      </c>
      <c r="O2986" s="90">
        <v>255</v>
      </c>
    </row>
    <row r="2987" spans="1:15" s="90" customFormat="1" ht="12.75" customHeight="1" x14ac:dyDescent="0.2">
      <c r="A2987" s="247" t="s">
        <v>989</v>
      </c>
      <c r="B2987" s="316">
        <v>3046</v>
      </c>
      <c r="C2987" s="247" t="s">
        <v>975</v>
      </c>
      <c r="D2987" s="317">
        <v>42675</v>
      </c>
      <c r="E2987" s="318">
        <v>0.50599537037037035</v>
      </c>
      <c r="F2987" s="247" t="s">
        <v>976</v>
      </c>
      <c r="G2987" s="247" t="s">
        <v>1035</v>
      </c>
      <c r="H2987" s="248" t="s">
        <v>404</v>
      </c>
      <c r="I2987" s="248" t="s">
        <v>404</v>
      </c>
      <c r="J2987" s="247" t="s">
        <v>809</v>
      </c>
      <c r="K2987" s="249">
        <v>0</v>
      </c>
      <c r="M2987" s="90">
        <v>0</v>
      </c>
      <c r="N2987" s="90">
        <v>0</v>
      </c>
      <c r="O2987" s="90">
        <v>255</v>
      </c>
    </row>
    <row r="2988" spans="1:15" s="90" customFormat="1" ht="12.75" customHeight="1" x14ac:dyDescent="0.2">
      <c r="A2988" s="247" t="s">
        <v>990</v>
      </c>
      <c r="B2988" s="316">
        <v>3046</v>
      </c>
      <c r="C2988" s="247" t="s">
        <v>975</v>
      </c>
      <c r="D2988" s="317">
        <v>42675</v>
      </c>
      <c r="E2988" s="318">
        <v>0.50629629629629636</v>
      </c>
      <c r="F2988" s="247" t="s">
        <v>976</v>
      </c>
      <c r="G2988" s="247" t="s">
        <v>1035</v>
      </c>
      <c r="H2988" s="248" t="s">
        <v>404</v>
      </c>
      <c r="I2988" s="248" t="s">
        <v>404</v>
      </c>
      <c r="J2988" s="247" t="s">
        <v>809</v>
      </c>
      <c r="K2988" s="249">
        <v>0</v>
      </c>
      <c r="M2988" s="90">
        <v>0</v>
      </c>
      <c r="N2988" s="90">
        <v>0</v>
      </c>
      <c r="O2988" s="90">
        <v>255</v>
      </c>
    </row>
    <row r="2989" spans="1:15" s="90" customFormat="1" ht="12.75" customHeight="1" x14ac:dyDescent="0.2">
      <c r="A2989" s="247" t="s">
        <v>1033</v>
      </c>
      <c r="B2989" s="316">
        <v>3217</v>
      </c>
      <c r="C2989" s="247" t="s">
        <v>975</v>
      </c>
      <c r="D2989" s="317">
        <v>42675</v>
      </c>
      <c r="E2989" s="318">
        <v>0.50629629629629636</v>
      </c>
      <c r="F2989" s="247" t="s">
        <v>235</v>
      </c>
      <c r="G2989" s="247" t="s">
        <v>1035</v>
      </c>
      <c r="H2989" s="248" t="s">
        <v>234</v>
      </c>
      <c r="I2989" s="248" t="s">
        <v>235</v>
      </c>
      <c r="J2989" s="247" t="s">
        <v>809</v>
      </c>
      <c r="K2989" s="249">
        <v>0</v>
      </c>
      <c r="M2989" s="90">
        <v>0</v>
      </c>
      <c r="N2989" s="90">
        <v>0</v>
      </c>
      <c r="O2989" s="90">
        <v>255</v>
      </c>
    </row>
    <row r="2990" spans="1:15" s="90" customFormat="1" ht="12.75" customHeight="1" x14ac:dyDescent="0.2">
      <c r="A2990" s="247" t="s">
        <v>301</v>
      </c>
      <c r="B2990" s="316">
        <v>3042</v>
      </c>
      <c r="C2990" s="247" t="s">
        <v>979</v>
      </c>
      <c r="D2990" s="317">
        <v>42675</v>
      </c>
      <c r="E2990" s="318">
        <v>0.51106481481481481</v>
      </c>
      <c r="F2990" s="247" t="s">
        <v>980</v>
      </c>
      <c r="G2990" s="247" t="s">
        <v>1035</v>
      </c>
      <c r="H2990" s="248" t="s">
        <v>234</v>
      </c>
      <c r="I2990" s="248" t="s">
        <v>263</v>
      </c>
      <c r="J2990" s="247" t="s">
        <v>809</v>
      </c>
      <c r="K2990" s="249">
        <v>0</v>
      </c>
      <c r="M2990" s="90">
        <v>0</v>
      </c>
      <c r="N2990" s="90">
        <v>0</v>
      </c>
      <c r="O2990" s="90">
        <v>255</v>
      </c>
    </row>
    <row r="2991" spans="1:15" s="90" customFormat="1" ht="12.75" customHeight="1" x14ac:dyDescent="0.2">
      <c r="A2991" s="247" t="s">
        <v>1495</v>
      </c>
      <c r="B2991" s="316">
        <v>3037</v>
      </c>
      <c r="C2991" s="247" t="s">
        <v>996</v>
      </c>
      <c r="D2991" s="317">
        <v>42675</v>
      </c>
      <c r="E2991" s="318">
        <v>0.51162037037037034</v>
      </c>
      <c r="F2991" s="247" t="s">
        <v>980</v>
      </c>
      <c r="G2991" s="247" t="s">
        <v>1035</v>
      </c>
      <c r="H2991" s="248" t="s">
        <v>234</v>
      </c>
      <c r="I2991" s="248" t="s">
        <v>263</v>
      </c>
      <c r="J2991" s="247" t="s">
        <v>809</v>
      </c>
      <c r="K2991" s="249">
        <v>0</v>
      </c>
      <c r="M2991" s="90">
        <v>0</v>
      </c>
      <c r="N2991" s="90">
        <v>0</v>
      </c>
      <c r="O2991" s="90">
        <v>255</v>
      </c>
    </row>
    <row r="2992" spans="1:15" s="90" customFormat="1" ht="12.75" customHeight="1" x14ac:dyDescent="0.2">
      <c r="A2992" s="247" t="s">
        <v>1495</v>
      </c>
      <c r="B2992" s="316">
        <v>3037</v>
      </c>
      <c r="C2992" s="247" t="s">
        <v>996</v>
      </c>
      <c r="D2992" s="317">
        <v>42675</v>
      </c>
      <c r="E2992" s="318">
        <v>0.51231481481481478</v>
      </c>
      <c r="F2992" s="247" t="s">
        <v>980</v>
      </c>
      <c r="G2992" s="247" t="s">
        <v>1035</v>
      </c>
      <c r="H2992" s="248" t="s">
        <v>234</v>
      </c>
      <c r="I2992" s="248" t="s">
        <v>263</v>
      </c>
      <c r="J2992" s="247" t="s">
        <v>809</v>
      </c>
      <c r="K2992" s="249">
        <v>0</v>
      </c>
      <c r="M2992" s="90">
        <v>0</v>
      </c>
      <c r="N2992" s="90">
        <v>0</v>
      </c>
      <c r="O2992" s="90">
        <v>255</v>
      </c>
    </row>
    <row r="2993" spans="1:15" s="90" customFormat="1" ht="12.75" customHeight="1" x14ac:dyDescent="0.2">
      <c r="A2993" s="247" t="s">
        <v>1031</v>
      </c>
      <c r="B2993" s="316">
        <v>3046</v>
      </c>
      <c r="C2993" s="247" t="s">
        <v>975</v>
      </c>
      <c r="D2993" s="317">
        <v>42675</v>
      </c>
      <c r="E2993" s="318">
        <v>0.51248842592592592</v>
      </c>
      <c r="F2993" s="247" t="s">
        <v>976</v>
      </c>
      <c r="G2993" s="247" t="s">
        <v>1035</v>
      </c>
      <c r="H2993" s="248" t="s">
        <v>404</v>
      </c>
      <c r="I2993" s="248" t="s">
        <v>404</v>
      </c>
      <c r="J2993" s="247" t="s">
        <v>809</v>
      </c>
      <c r="K2993" s="249">
        <v>0</v>
      </c>
      <c r="M2993" s="90">
        <v>0</v>
      </c>
      <c r="N2993" s="90">
        <v>0</v>
      </c>
      <c r="O2993" s="90">
        <v>255</v>
      </c>
    </row>
    <row r="2994" spans="1:15" s="90" customFormat="1" ht="12.75" customHeight="1" x14ac:dyDescent="0.2">
      <c r="A2994" s="247" t="s">
        <v>1495</v>
      </c>
      <c r="B2994" s="316">
        <v>3037</v>
      </c>
      <c r="C2994" s="247" t="s">
        <v>996</v>
      </c>
      <c r="D2994" s="317">
        <v>42675</v>
      </c>
      <c r="E2994" s="318">
        <v>0.51300925925925933</v>
      </c>
      <c r="F2994" s="247" t="s">
        <v>980</v>
      </c>
      <c r="G2994" s="247" t="s">
        <v>1035</v>
      </c>
      <c r="H2994" s="248" t="s">
        <v>234</v>
      </c>
      <c r="I2994" s="248" t="s">
        <v>263</v>
      </c>
      <c r="J2994" s="247" t="s">
        <v>809</v>
      </c>
      <c r="K2994" s="249">
        <v>0</v>
      </c>
      <c r="M2994" s="90">
        <v>0</v>
      </c>
      <c r="N2994" s="90">
        <v>0</v>
      </c>
      <c r="O2994" s="90">
        <v>255</v>
      </c>
    </row>
    <row r="2995" spans="1:15" s="90" customFormat="1" ht="12.75" customHeight="1" x14ac:dyDescent="0.2">
      <c r="A2995" s="247" t="s">
        <v>1495</v>
      </c>
      <c r="B2995" s="316">
        <v>3037</v>
      </c>
      <c r="C2995" s="247" t="s">
        <v>996</v>
      </c>
      <c r="D2995" s="317">
        <v>42675</v>
      </c>
      <c r="E2995" s="318">
        <v>0.51370370370370366</v>
      </c>
      <c r="F2995" s="247" t="s">
        <v>980</v>
      </c>
      <c r="G2995" s="247" t="s">
        <v>1035</v>
      </c>
      <c r="H2995" s="248" t="s">
        <v>234</v>
      </c>
      <c r="I2995" s="248" t="s">
        <v>263</v>
      </c>
      <c r="J2995" s="247" t="s">
        <v>809</v>
      </c>
      <c r="K2995" s="249">
        <v>0</v>
      </c>
      <c r="M2995" s="90">
        <v>0</v>
      </c>
      <c r="N2995" s="90">
        <v>0</v>
      </c>
      <c r="O2995" s="90">
        <v>255</v>
      </c>
    </row>
    <row r="2996" spans="1:15" s="90" customFormat="1" ht="12.75" customHeight="1" x14ac:dyDescent="0.2">
      <c r="A2996" s="247" t="s">
        <v>1495</v>
      </c>
      <c r="B2996" s="316">
        <v>3037</v>
      </c>
      <c r="C2996" s="247" t="s">
        <v>996</v>
      </c>
      <c r="D2996" s="317">
        <v>42675</v>
      </c>
      <c r="E2996" s="318">
        <v>0.51439814814814822</v>
      </c>
      <c r="F2996" s="247" t="s">
        <v>980</v>
      </c>
      <c r="G2996" s="247" t="s">
        <v>1035</v>
      </c>
      <c r="H2996" s="248" t="s">
        <v>234</v>
      </c>
      <c r="I2996" s="248" t="s">
        <v>263</v>
      </c>
      <c r="J2996" s="247" t="s">
        <v>809</v>
      </c>
      <c r="K2996" s="249">
        <v>0</v>
      </c>
      <c r="M2996" s="90">
        <v>0</v>
      </c>
      <c r="N2996" s="90">
        <v>0</v>
      </c>
      <c r="O2996" s="90">
        <v>255</v>
      </c>
    </row>
    <row r="2997" spans="1:15" s="90" customFormat="1" ht="12.75" customHeight="1" x14ac:dyDescent="0.2">
      <c r="A2997" s="247" t="s">
        <v>1496</v>
      </c>
      <c r="B2997" s="316">
        <v>3037</v>
      </c>
      <c r="C2997" s="247" t="s">
        <v>996</v>
      </c>
      <c r="D2997" s="317">
        <v>42675</v>
      </c>
      <c r="E2997" s="318">
        <v>0.51439814814814822</v>
      </c>
      <c r="F2997" s="247" t="s">
        <v>980</v>
      </c>
      <c r="G2997" s="247" t="s">
        <v>1035</v>
      </c>
      <c r="H2997" s="248" t="s">
        <v>234</v>
      </c>
      <c r="I2997" s="248" t="s">
        <v>263</v>
      </c>
      <c r="J2997" s="247" t="s">
        <v>809</v>
      </c>
      <c r="K2997" s="249">
        <v>0</v>
      </c>
      <c r="M2997" s="90">
        <v>0</v>
      </c>
      <c r="N2997" s="90">
        <v>0</v>
      </c>
      <c r="O2997" s="90">
        <v>255</v>
      </c>
    </row>
    <row r="2998" spans="1:15" s="90" customFormat="1" ht="12.75" customHeight="1" x14ac:dyDescent="0.2">
      <c r="A2998" s="247" t="s">
        <v>1497</v>
      </c>
      <c r="B2998" s="316">
        <v>3037</v>
      </c>
      <c r="C2998" s="247" t="s">
        <v>996</v>
      </c>
      <c r="D2998" s="317">
        <v>42675</v>
      </c>
      <c r="E2998" s="318">
        <v>0.51440972222222225</v>
      </c>
      <c r="F2998" s="247" t="s">
        <v>980</v>
      </c>
      <c r="G2998" s="247" t="s">
        <v>1035</v>
      </c>
      <c r="H2998" s="248" t="s">
        <v>234</v>
      </c>
      <c r="I2998" s="248" t="s">
        <v>263</v>
      </c>
      <c r="J2998" s="247" t="s">
        <v>809</v>
      </c>
      <c r="K2998" s="249">
        <v>0</v>
      </c>
      <c r="M2998" s="90">
        <v>0</v>
      </c>
      <c r="N2998" s="90">
        <v>0</v>
      </c>
      <c r="O2998" s="90">
        <v>255</v>
      </c>
    </row>
    <row r="2999" spans="1:15" s="90" customFormat="1" ht="12.75" customHeight="1" x14ac:dyDescent="0.2">
      <c r="A2999" s="247" t="s">
        <v>1498</v>
      </c>
      <c r="B2999" s="316">
        <v>3037</v>
      </c>
      <c r="C2999" s="247" t="s">
        <v>996</v>
      </c>
      <c r="D2999" s="317">
        <v>42675</v>
      </c>
      <c r="E2999" s="318">
        <v>0.51440972222222225</v>
      </c>
      <c r="F2999" s="247" t="s">
        <v>980</v>
      </c>
      <c r="G2999" s="247" t="s">
        <v>1035</v>
      </c>
      <c r="H2999" s="248" t="s">
        <v>234</v>
      </c>
      <c r="I2999" s="248" t="s">
        <v>263</v>
      </c>
      <c r="J2999" s="247" t="s">
        <v>809</v>
      </c>
      <c r="K2999" s="249">
        <v>0</v>
      </c>
      <c r="M2999" s="90">
        <v>0</v>
      </c>
      <c r="N2999" s="90">
        <v>0</v>
      </c>
      <c r="O2999" s="90">
        <v>255</v>
      </c>
    </row>
    <row r="3000" spans="1:15" s="90" customFormat="1" ht="12.75" customHeight="1" x14ac:dyDescent="0.2">
      <c r="A3000" s="247" t="s">
        <v>1499</v>
      </c>
      <c r="B3000" s="316">
        <v>3037</v>
      </c>
      <c r="C3000" s="247" t="s">
        <v>996</v>
      </c>
      <c r="D3000" s="317">
        <v>42675</v>
      </c>
      <c r="E3000" s="318">
        <v>0.51440972222222225</v>
      </c>
      <c r="F3000" s="247" t="s">
        <v>980</v>
      </c>
      <c r="G3000" s="247" t="s">
        <v>1035</v>
      </c>
      <c r="H3000" s="248" t="s">
        <v>234</v>
      </c>
      <c r="I3000" s="248" t="s">
        <v>263</v>
      </c>
      <c r="J3000" s="247" t="s">
        <v>809</v>
      </c>
      <c r="K3000" s="249">
        <v>0</v>
      </c>
      <c r="M3000" s="90">
        <v>0</v>
      </c>
      <c r="N3000" s="90">
        <v>0</v>
      </c>
      <c r="O3000" s="90">
        <v>255</v>
      </c>
    </row>
    <row r="3001" spans="1:15" s="90" customFormat="1" ht="12.75" customHeight="1" x14ac:dyDescent="0.2">
      <c r="A3001" s="247" t="s">
        <v>1495</v>
      </c>
      <c r="B3001" s="316">
        <v>3037</v>
      </c>
      <c r="C3001" s="247" t="s">
        <v>996</v>
      </c>
      <c r="D3001" s="317">
        <v>42675</v>
      </c>
      <c r="E3001" s="318">
        <v>0.51509259259259255</v>
      </c>
      <c r="F3001" s="247" t="s">
        <v>980</v>
      </c>
      <c r="G3001" s="247" t="s">
        <v>1035</v>
      </c>
      <c r="H3001" s="248" t="s">
        <v>234</v>
      </c>
      <c r="I3001" s="248" t="s">
        <v>263</v>
      </c>
      <c r="J3001" s="247" t="s">
        <v>809</v>
      </c>
      <c r="K3001" s="249">
        <v>0</v>
      </c>
      <c r="M3001" s="90">
        <v>0</v>
      </c>
      <c r="N3001" s="90">
        <v>0</v>
      </c>
      <c r="O3001" s="90">
        <v>255</v>
      </c>
    </row>
    <row r="3002" spans="1:15" s="90" customFormat="1" ht="12.75" customHeight="1" x14ac:dyDescent="0.2">
      <c r="A3002" s="247" t="s">
        <v>1496</v>
      </c>
      <c r="B3002" s="316">
        <v>3037</v>
      </c>
      <c r="C3002" s="247" t="s">
        <v>996</v>
      </c>
      <c r="D3002" s="317">
        <v>42675</v>
      </c>
      <c r="E3002" s="318">
        <v>0.51509259259259255</v>
      </c>
      <c r="F3002" s="247" t="s">
        <v>980</v>
      </c>
      <c r="G3002" s="247" t="s">
        <v>1035</v>
      </c>
      <c r="H3002" s="248" t="s">
        <v>234</v>
      </c>
      <c r="I3002" s="248" t="s">
        <v>263</v>
      </c>
      <c r="J3002" s="247" t="s">
        <v>809</v>
      </c>
      <c r="K3002" s="249">
        <v>0</v>
      </c>
      <c r="M3002" s="90">
        <v>0</v>
      </c>
      <c r="N3002" s="90">
        <v>0</v>
      </c>
      <c r="O3002" s="90">
        <v>255</v>
      </c>
    </row>
    <row r="3003" spans="1:15" s="90" customFormat="1" ht="12.75" customHeight="1" x14ac:dyDescent="0.2">
      <c r="A3003" s="247" t="s">
        <v>1497</v>
      </c>
      <c r="B3003" s="316">
        <v>3037</v>
      </c>
      <c r="C3003" s="247" t="s">
        <v>996</v>
      </c>
      <c r="D3003" s="317">
        <v>42675</v>
      </c>
      <c r="E3003" s="318">
        <v>0.5151041666666667</v>
      </c>
      <c r="F3003" s="247" t="s">
        <v>980</v>
      </c>
      <c r="G3003" s="247" t="s">
        <v>1035</v>
      </c>
      <c r="H3003" s="248" t="s">
        <v>234</v>
      </c>
      <c r="I3003" s="248" t="s">
        <v>263</v>
      </c>
      <c r="J3003" s="247" t="s">
        <v>809</v>
      </c>
      <c r="K3003" s="249">
        <v>0</v>
      </c>
      <c r="M3003" s="90">
        <v>0</v>
      </c>
      <c r="N3003" s="90">
        <v>0</v>
      </c>
      <c r="O3003" s="90">
        <v>255</v>
      </c>
    </row>
    <row r="3004" spans="1:15" s="90" customFormat="1" ht="12.75" customHeight="1" x14ac:dyDescent="0.2">
      <c r="A3004" s="247" t="s">
        <v>1498</v>
      </c>
      <c r="B3004" s="316">
        <v>3037</v>
      </c>
      <c r="C3004" s="247" t="s">
        <v>996</v>
      </c>
      <c r="D3004" s="317">
        <v>42675</v>
      </c>
      <c r="E3004" s="318">
        <v>0.5151041666666667</v>
      </c>
      <c r="F3004" s="247" t="s">
        <v>980</v>
      </c>
      <c r="G3004" s="247" t="s">
        <v>1035</v>
      </c>
      <c r="H3004" s="248" t="s">
        <v>234</v>
      </c>
      <c r="I3004" s="248" t="s">
        <v>263</v>
      </c>
      <c r="J3004" s="247" t="s">
        <v>809</v>
      </c>
      <c r="K3004" s="249">
        <v>0</v>
      </c>
      <c r="M3004" s="90">
        <v>0</v>
      </c>
      <c r="N3004" s="90">
        <v>0</v>
      </c>
      <c r="O3004" s="90">
        <v>255</v>
      </c>
    </row>
    <row r="3005" spans="1:15" s="90" customFormat="1" ht="12.75" customHeight="1" x14ac:dyDescent="0.2">
      <c r="A3005" s="247" t="s">
        <v>1499</v>
      </c>
      <c r="B3005" s="316">
        <v>3037</v>
      </c>
      <c r="C3005" s="247" t="s">
        <v>996</v>
      </c>
      <c r="D3005" s="317">
        <v>42675</v>
      </c>
      <c r="E3005" s="318">
        <v>0.5151041666666667</v>
      </c>
      <c r="F3005" s="247" t="s">
        <v>980</v>
      </c>
      <c r="G3005" s="247" t="s">
        <v>1035</v>
      </c>
      <c r="H3005" s="248" t="s">
        <v>234</v>
      </c>
      <c r="I3005" s="248" t="s">
        <v>263</v>
      </c>
      <c r="J3005" s="247" t="s">
        <v>809</v>
      </c>
      <c r="K3005" s="249">
        <v>0</v>
      </c>
      <c r="M3005" s="90">
        <v>0</v>
      </c>
      <c r="N3005" s="90">
        <v>0</v>
      </c>
      <c r="O3005" s="90">
        <v>255</v>
      </c>
    </row>
    <row r="3006" spans="1:15" s="90" customFormat="1" ht="12.75" customHeight="1" x14ac:dyDescent="0.2">
      <c r="A3006" s="247" t="s">
        <v>301</v>
      </c>
      <c r="B3006" s="316">
        <v>3042</v>
      </c>
      <c r="C3006" s="247" t="s">
        <v>979</v>
      </c>
      <c r="D3006" s="317">
        <v>42675</v>
      </c>
      <c r="E3006" s="318">
        <v>0.5159259259259259</v>
      </c>
      <c r="F3006" s="247" t="s">
        <v>980</v>
      </c>
      <c r="G3006" s="247" t="s">
        <v>1035</v>
      </c>
      <c r="H3006" s="248" t="s">
        <v>234</v>
      </c>
      <c r="I3006" s="248" t="s">
        <v>263</v>
      </c>
      <c r="J3006" s="247" t="s">
        <v>809</v>
      </c>
      <c r="K3006" s="249">
        <v>0</v>
      </c>
      <c r="M3006" s="90">
        <v>0</v>
      </c>
      <c r="N3006" s="90">
        <v>0</v>
      </c>
      <c r="O3006" s="90">
        <v>255</v>
      </c>
    </row>
    <row r="3007" spans="1:15" s="90" customFormat="1" ht="12.75" customHeight="1" x14ac:dyDescent="0.2">
      <c r="A3007" s="247" t="s">
        <v>1495</v>
      </c>
      <c r="B3007" s="316">
        <v>3037</v>
      </c>
      <c r="C3007" s="247" t="s">
        <v>996</v>
      </c>
      <c r="D3007" s="317">
        <v>42675</v>
      </c>
      <c r="E3007" s="318">
        <v>0.51629629629629636</v>
      </c>
      <c r="F3007" s="247" t="s">
        <v>980</v>
      </c>
      <c r="G3007" s="247" t="s">
        <v>1035</v>
      </c>
      <c r="H3007" s="248" t="s">
        <v>234</v>
      </c>
      <c r="I3007" s="248" t="s">
        <v>263</v>
      </c>
      <c r="J3007" s="247" t="s">
        <v>809</v>
      </c>
      <c r="K3007" s="249">
        <v>0</v>
      </c>
      <c r="M3007" s="90">
        <v>0</v>
      </c>
      <c r="N3007" s="90">
        <v>0</v>
      </c>
      <c r="O3007" s="90">
        <v>255</v>
      </c>
    </row>
    <row r="3008" spans="1:15" s="90" customFormat="1" ht="12.75" customHeight="1" x14ac:dyDescent="0.2">
      <c r="A3008" s="247" t="s">
        <v>1496</v>
      </c>
      <c r="B3008" s="316">
        <v>3037</v>
      </c>
      <c r="C3008" s="247" t="s">
        <v>996</v>
      </c>
      <c r="D3008" s="317">
        <v>42675</v>
      </c>
      <c r="E3008" s="318">
        <v>0.51629629629629636</v>
      </c>
      <c r="F3008" s="247" t="s">
        <v>980</v>
      </c>
      <c r="G3008" s="247" t="s">
        <v>1035</v>
      </c>
      <c r="H3008" s="248" t="s">
        <v>234</v>
      </c>
      <c r="I3008" s="248" t="s">
        <v>263</v>
      </c>
      <c r="J3008" s="247" t="s">
        <v>809</v>
      </c>
      <c r="K3008" s="249">
        <v>0</v>
      </c>
      <c r="M3008" s="90">
        <v>0</v>
      </c>
      <c r="N3008" s="90">
        <v>0</v>
      </c>
      <c r="O3008" s="90">
        <v>255</v>
      </c>
    </row>
    <row r="3009" spans="1:15" s="90" customFormat="1" ht="12.75" customHeight="1" x14ac:dyDescent="0.2">
      <c r="A3009" s="247" t="s">
        <v>1497</v>
      </c>
      <c r="B3009" s="316">
        <v>3037</v>
      </c>
      <c r="C3009" s="247" t="s">
        <v>996</v>
      </c>
      <c r="D3009" s="317">
        <v>42675</v>
      </c>
      <c r="E3009" s="318">
        <v>0.5163078703703704</v>
      </c>
      <c r="F3009" s="247" t="s">
        <v>980</v>
      </c>
      <c r="G3009" s="247" t="s">
        <v>1035</v>
      </c>
      <c r="H3009" s="248" t="s">
        <v>234</v>
      </c>
      <c r="I3009" s="248" t="s">
        <v>263</v>
      </c>
      <c r="J3009" s="247" t="s">
        <v>809</v>
      </c>
      <c r="K3009" s="249">
        <v>0</v>
      </c>
      <c r="M3009" s="90">
        <v>0</v>
      </c>
      <c r="N3009" s="90">
        <v>0</v>
      </c>
      <c r="O3009" s="90">
        <v>255</v>
      </c>
    </row>
    <row r="3010" spans="1:15" s="90" customFormat="1" ht="12.75" customHeight="1" x14ac:dyDescent="0.2">
      <c r="A3010" s="247" t="s">
        <v>1498</v>
      </c>
      <c r="B3010" s="316">
        <v>3037</v>
      </c>
      <c r="C3010" s="247" t="s">
        <v>996</v>
      </c>
      <c r="D3010" s="317">
        <v>42675</v>
      </c>
      <c r="E3010" s="318">
        <v>0.5163078703703704</v>
      </c>
      <c r="F3010" s="247" t="s">
        <v>980</v>
      </c>
      <c r="G3010" s="247" t="s">
        <v>1035</v>
      </c>
      <c r="H3010" s="248" t="s">
        <v>234</v>
      </c>
      <c r="I3010" s="248" t="s">
        <v>263</v>
      </c>
      <c r="J3010" s="247" t="s">
        <v>809</v>
      </c>
      <c r="K3010" s="249">
        <v>0</v>
      </c>
      <c r="M3010" s="90">
        <v>0</v>
      </c>
      <c r="N3010" s="90">
        <v>0</v>
      </c>
      <c r="O3010" s="90">
        <v>255</v>
      </c>
    </row>
    <row r="3011" spans="1:15" s="90" customFormat="1" ht="12.75" customHeight="1" x14ac:dyDescent="0.2">
      <c r="A3011" s="247" t="s">
        <v>1499</v>
      </c>
      <c r="B3011" s="316">
        <v>3037</v>
      </c>
      <c r="C3011" s="247" t="s">
        <v>996</v>
      </c>
      <c r="D3011" s="317">
        <v>42675</v>
      </c>
      <c r="E3011" s="318">
        <v>0.5163078703703704</v>
      </c>
      <c r="F3011" s="247" t="s">
        <v>980</v>
      </c>
      <c r="G3011" s="247" t="s">
        <v>1035</v>
      </c>
      <c r="H3011" s="248" t="s">
        <v>234</v>
      </c>
      <c r="I3011" s="248" t="s">
        <v>263</v>
      </c>
      <c r="J3011" s="247" t="s">
        <v>809</v>
      </c>
      <c r="K3011" s="249">
        <v>0</v>
      </c>
      <c r="M3011" s="90">
        <v>0</v>
      </c>
      <c r="N3011" s="90">
        <v>0</v>
      </c>
      <c r="O3011" s="90">
        <v>255</v>
      </c>
    </row>
    <row r="3012" spans="1:15" s="90" customFormat="1" ht="12.75" customHeight="1" x14ac:dyDescent="0.2">
      <c r="A3012" s="247" t="s">
        <v>1495</v>
      </c>
      <c r="B3012" s="316">
        <v>3037</v>
      </c>
      <c r="C3012" s="247" t="s">
        <v>996</v>
      </c>
      <c r="D3012" s="317">
        <v>42675</v>
      </c>
      <c r="E3012" s="318">
        <v>0.51648148148148143</v>
      </c>
      <c r="F3012" s="247" t="s">
        <v>980</v>
      </c>
      <c r="G3012" s="247" t="s">
        <v>1035</v>
      </c>
      <c r="H3012" s="248" t="s">
        <v>234</v>
      </c>
      <c r="I3012" s="248" t="s">
        <v>263</v>
      </c>
      <c r="J3012" s="247" t="s">
        <v>809</v>
      </c>
      <c r="K3012" s="249">
        <v>0</v>
      </c>
      <c r="M3012" s="90">
        <v>0</v>
      </c>
      <c r="N3012" s="90">
        <v>0</v>
      </c>
      <c r="O3012" s="90">
        <v>255</v>
      </c>
    </row>
    <row r="3013" spans="1:15" s="90" customFormat="1" ht="12.75" customHeight="1" x14ac:dyDescent="0.2">
      <c r="A3013" s="247" t="s">
        <v>1496</v>
      </c>
      <c r="B3013" s="316">
        <v>3037</v>
      </c>
      <c r="C3013" s="247" t="s">
        <v>996</v>
      </c>
      <c r="D3013" s="317">
        <v>42675</v>
      </c>
      <c r="E3013" s="318">
        <v>0.51648148148148143</v>
      </c>
      <c r="F3013" s="247" t="s">
        <v>980</v>
      </c>
      <c r="G3013" s="247" t="s">
        <v>1035</v>
      </c>
      <c r="H3013" s="248" t="s">
        <v>234</v>
      </c>
      <c r="I3013" s="248" t="s">
        <v>263</v>
      </c>
      <c r="J3013" s="247" t="s">
        <v>809</v>
      </c>
      <c r="K3013" s="249">
        <v>0</v>
      </c>
      <c r="M3013" s="90">
        <v>0</v>
      </c>
      <c r="N3013" s="90">
        <v>0</v>
      </c>
      <c r="O3013" s="90">
        <v>255</v>
      </c>
    </row>
    <row r="3014" spans="1:15" s="90" customFormat="1" ht="12.75" customHeight="1" x14ac:dyDescent="0.2">
      <c r="A3014" s="247" t="s">
        <v>1497</v>
      </c>
      <c r="B3014" s="316">
        <v>3037</v>
      </c>
      <c r="C3014" s="247" t="s">
        <v>996</v>
      </c>
      <c r="D3014" s="317">
        <v>42675</v>
      </c>
      <c r="E3014" s="318">
        <v>0.51649305555555558</v>
      </c>
      <c r="F3014" s="247" t="s">
        <v>980</v>
      </c>
      <c r="G3014" s="247" t="s">
        <v>1035</v>
      </c>
      <c r="H3014" s="248" t="s">
        <v>234</v>
      </c>
      <c r="I3014" s="248" t="s">
        <v>263</v>
      </c>
      <c r="J3014" s="247" t="s">
        <v>809</v>
      </c>
      <c r="K3014" s="249">
        <v>0</v>
      </c>
      <c r="M3014" s="90">
        <v>0</v>
      </c>
      <c r="N3014" s="90">
        <v>0</v>
      </c>
      <c r="O3014" s="90">
        <v>255</v>
      </c>
    </row>
    <row r="3015" spans="1:15" s="90" customFormat="1" ht="12.75" customHeight="1" x14ac:dyDescent="0.2">
      <c r="A3015" s="247" t="s">
        <v>1498</v>
      </c>
      <c r="B3015" s="316">
        <v>3037</v>
      </c>
      <c r="C3015" s="247" t="s">
        <v>996</v>
      </c>
      <c r="D3015" s="317">
        <v>42675</v>
      </c>
      <c r="E3015" s="318">
        <v>0.51649305555555558</v>
      </c>
      <c r="F3015" s="247" t="s">
        <v>980</v>
      </c>
      <c r="G3015" s="247" t="s">
        <v>1035</v>
      </c>
      <c r="H3015" s="248" t="s">
        <v>234</v>
      </c>
      <c r="I3015" s="248" t="s">
        <v>263</v>
      </c>
      <c r="J3015" s="247" t="s">
        <v>809</v>
      </c>
      <c r="K3015" s="249">
        <v>0</v>
      </c>
      <c r="M3015" s="90">
        <v>0</v>
      </c>
      <c r="N3015" s="90">
        <v>0</v>
      </c>
      <c r="O3015" s="90">
        <v>255</v>
      </c>
    </row>
    <row r="3016" spans="1:15" s="90" customFormat="1" ht="12.75" customHeight="1" x14ac:dyDescent="0.2">
      <c r="A3016" s="247" t="s">
        <v>1499</v>
      </c>
      <c r="B3016" s="316">
        <v>3037</v>
      </c>
      <c r="C3016" s="247" t="s">
        <v>996</v>
      </c>
      <c r="D3016" s="317">
        <v>42675</v>
      </c>
      <c r="E3016" s="318">
        <v>0.51649305555555558</v>
      </c>
      <c r="F3016" s="247" t="s">
        <v>980</v>
      </c>
      <c r="G3016" s="247" t="s">
        <v>1035</v>
      </c>
      <c r="H3016" s="248" t="s">
        <v>234</v>
      </c>
      <c r="I3016" s="248" t="s">
        <v>263</v>
      </c>
      <c r="J3016" s="247" t="s">
        <v>809</v>
      </c>
      <c r="K3016" s="249">
        <v>0</v>
      </c>
      <c r="M3016" s="90">
        <v>0</v>
      </c>
      <c r="N3016" s="90">
        <v>0</v>
      </c>
      <c r="O3016" s="90">
        <v>255</v>
      </c>
    </row>
    <row r="3017" spans="1:15" s="90" customFormat="1" ht="12.75" customHeight="1" x14ac:dyDescent="0.2">
      <c r="A3017" s="247" t="s">
        <v>1032</v>
      </c>
      <c r="B3017" s="316">
        <v>3046</v>
      </c>
      <c r="C3017" s="247" t="s">
        <v>975</v>
      </c>
      <c r="D3017" s="317">
        <v>42675</v>
      </c>
      <c r="E3017" s="318">
        <v>0.51702546296296303</v>
      </c>
      <c r="F3017" s="247" t="s">
        <v>976</v>
      </c>
      <c r="G3017" s="247" t="s">
        <v>1035</v>
      </c>
      <c r="H3017" s="248" t="s">
        <v>404</v>
      </c>
      <c r="I3017" s="248" t="s">
        <v>404</v>
      </c>
      <c r="J3017" s="247" t="s">
        <v>809</v>
      </c>
      <c r="K3017" s="249">
        <v>0</v>
      </c>
      <c r="M3017" s="90">
        <v>0</v>
      </c>
      <c r="N3017" s="90">
        <v>0</v>
      </c>
      <c r="O3017" s="90">
        <v>255</v>
      </c>
    </row>
    <row r="3018" spans="1:15" s="90" customFormat="1" ht="12.75" customHeight="1" x14ac:dyDescent="0.2">
      <c r="A3018" s="247" t="s">
        <v>989</v>
      </c>
      <c r="B3018" s="316">
        <v>3046</v>
      </c>
      <c r="C3018" s="247" t="s">
        <v>975</v>
      </c>
      <c r="D3018" s="317">
        <v>42675</v>
      </c>
      <c r="E3018" s="318">
        <v>0.51702546296296303</v>
      </c>
      <c r="F3018" s="247" t="s">
        <v>976</v>
      </c>
      <c r="G3018" s="247" t="s">
        <v>1035</v>
      </c>
      <c r="H3018" s="248" t="s">
        <v>404</v>
      </c>
      <c r="I3018" s="248" t="s">
        <v>404</v>
      </c>
      <c r="J3018" s="247" t="s">
        <v>809</v>
      </c>
      <c r="K3018" s="249">
        <v>0</v>
      </c>
      <c r="M3018" s="90">
        <v>0</v>
      </c>
      <c r="N3018" s="90">
        <v>0</v>
      </c>
      <c r="O3018" s="90">
        <v>255</v>
      </c>
    </row>
    <row r="3019" spans="1:15" s="90" customFormat="1" ht="12.75" customHeight="1" x14ac:dyDescent="0.2">
      <c r="A3019" s="247" t="s">
        <v>1495</v>
      </c>
      <c r="B3019" s="316">
        <v>3037</v>
      </c>
      <c r="C3019" s="247" t="s">
        <v>996</v>
      </c>
      <c r="D3019" s="317">
        <v>42675</v>
      </c>
      <c r="E3019" s="318">
        <v>0.51717592592592598</v>
      </c>
      <c r="F3019" s="247" t="s">
        <v>980</v>
      </c>
      <c r="G3019" s="247" t="s">
        <v>1035</v>
      </c>
      <c r="H3019" s="248" t="s">
        <v>234</v>
      </c>
      <c r="I3019" s="248" t="s">
        <v>263</v>
      </c>
      <c r="J3019" s="247" t="s">
        <v>809</v>
      </c>
      <c r="K3019" s="249">
        <v>0</v>
      </c>
      <c r="M3019" s="90">
        <v>0</v>
      </c>
      <c r="N3019" s="90">
        <v>0</v>
      </c>
      <c r="O3019" s="90">
        <v>255</v>
      </c>
    </row>
    <row r="3020" spans="1:15" s="90" customFormat="1" ht="12.75" customHeight="1" x14ac:dyDescent="0.2">
      <c r="A3020" s="247" t="s">
        <v>1496</v>
      </c>
      <c r="B3020" s="316">
        <v>3037</v>
      </c>
      <c r="C3020" s="247" t="s">
        <v>996</v>
      </c>
      <c r="D3020" s="317">
        <v>42675</v>
      </c>
      <c r="E3020" s="318">
        <v>0.51717592592592598</v>
      </c>
      <c r="F3020" s="247" t="s">
        <v>980</v>
      </c>
      <c r="G3020" s="247" t="s">
        <v>1035</v>
      </c>
      <c r="H3020" s="248" t="s">
        <v>234</v>
      </c>
      <c r="I3020" s="248" t="s">
        <v>263</v>
      </c>
      <c r="J3020" s="247" t="s">
        <v>809</v>
      </c>
      <c r="K3020" s="249">
        <v>0</v>
      </c>
      <c r="M3020" s="90">
        <v>0</v>
      </c>
      <c r="N3020" s="90">
        <v>0</v>
      </c>
      <c r="O3020" s="90">
        <v>255</v>
      </c>
    </row>
    <row r="3021" spans="1:15" s="90" customFormat="1" ht="12.75" customHeight="1" x14ac:dyDescent="0.2">
      <c r="A3021" s="247" t="s">
        <v>1497</v>
      </c>
      <c r="B3021" s="316">
        <v>3037</v>
      </c>
      <c r="C3021" s="247" t="s">
        <v>996</v>
      </c>
      <c r="D3021" s="317">
        <v>42675</v>
      </c>
      <c r="E3021" s="318">
        <v>0.51718750000000002</v>
      </c>
      <c r="F3021" s="247" t="s">
        <v>980</v>
      </c>
      <c r="G3021" s="247" t="s">
        <v>1035</v>
      </c>
      <c r="H3021" s="248" t="s">
        <v>234</v>
      </c>
      <c r="I3021" s="248" t="s">
        <v>263</v>
      </c>
      <c r="J3021" s="247" t="s">
        <v>809</v>
      </c>
      <c r="K3021" s="249">
        <v>0</v>
      </c>
      <c r="M3021" s="90">
        <v>0</v>
      </c>
      <c r="N3021" s="90">
        <v>0</v>
      </c>
      <c r="O3021" s="90">
        <v>255</v>
      </c>
    </row>
    <row r="3022" spans="1:15" s="90" customFormat="1" ht="12.75" customHeight="1" x14ac:dyDescent="0.2">
      <c r="A3022" s="247" t="s">
        <v>1498</v>
      </c>
      <c r="B3022" s="316">
        <v>3037</v>
      </c>
      <c r="C3022" s="247" t="s">
        <v>996</v>
      </c>
      <c r="D3022" s="317">
        <v>42675</v>
      </c>
      <c r="E3022" s="318">
        <v>0.51718750000000002</v>
      </c>
      <c r="F3022" s="247" t="s">
        <v>980</v>
      </c>
      <c r="G3022" s="247" t="s">
        <v>1035</v>
      </c>
      <c r="H3022" s="248" t="s">
        <v>234</v>
      </c>
      <c r="I3022" s="248" t="s">
        <v>263</v>
      </c>
      <c r="J3022" s="247" t="s">
        <v>809</v>
      </c>
      <c r="K3022" s="249">
        <v>0</v>
      </c>
      <c r="M3022" s="90">
        <v>0</v>
      </c>
      <c r="N3022" s="90">
        <v>0</v>
      </c>
      <c r="O3022" s="90">
        <v>255</v>
      </c>
    </row>
    <row r="3023" spans="1:15" s="90" customFormat="1" ht="12.75" customHeight="1" x14ac:dyDescent="0.2">
      <c r="A3023" s="247" t="s">
        <v>1499</v>
      </c>
      <c r="B3023" s="316">
        <v>3037</v>
      </c>
      <c r="C3023" s="247" t="s">
        <v>996</v>
      </c>
      <c r="D3023" s="317">
        <v>42675</v>
      </c>
      <c r="E3023" s="318">
        <v>0.51718750000000002</v>
      </c>
      <c r="F3023" s="247" t="s">
        <v>980</v>
      </c>
      <c r="G3023" s="247" t="s">
        <v>1035</v>
      </c>
      <c r="H3023" s="248" t="s">
        <v>234</v>
      </c>
      <c r="I3023" s="248" t="s">
        <v>263</v>
      </c>
      <c r="J3023" s="247" t="s">
        <v>809</v>
      </c>
      <c r="K3023" s="249">
        <v>0</v>
      </c>
      <c r="M3023" s="90">
        <v>0</v>
      </c>
      <c r="N3023" s="90">
        <v>0</v>
      </c>
      <c r="O3023" s="90">
        <v>255</v>
      </c>
    </row>
    <row r="3024" spans="1:15" s="90" customFormat="1" ht="12.75" customHeight="1" x14ac:dyDescent="0.2">
      <c r="A3024" s="247" t="s">
        <v>990</v>
      </c>
      <c r="B3024" s="316">
        <v>3046</v>
      </c>
      <c r="C3024" s="247" t="s">
        <v>975</v>
      </c>
      <c r="D3024" s="317">
        <v>42675</v>
      </c>
      <c r="E3024" s="318">
        <v>0.51731481481481478</v>
      </c>
      <c r="F3024" s="247" t="s">
        <v>976</v>
      </c>
      <c r="G3024" s="247" t="s">
        <v>1035</v>
      </c>
      <c r="H3024" s="248" t="s">
        <v>404</v>
      </c>
      <c r="I3024" s="248" t="s">
        <v>404</v>
      </c>
      <c r="J3024" s="247" t="s">
        <v>809</v>
      </c>
      <c r="K3024" s="249">
        <v>0</v>
      </c>
      <c r="M3024" s="90">
        <v>0</v>
      </c>
      <c r="N3024" s="90">
        <v>0</v>
      </c>
      <c r="O3024" s="90">
        <v>255</v>
      </c>
    </row>
    <row r="3025" spans="1:15" s="90" customFormat="1" ht="12.75" customHeight="1" x14ac:dyDescent="0.2">
      <c r="A3025" s="247" t="s">
        <v>1033</v>
      </c>
      <c r="B3025" s="316">
        <v>3217</v>
      </c>
      <c r="C3025" s="247" t="s">
        <v>975</v>
      </c>
      <c r="D3025" s="317">
        <v>42675</v>
      </c>
      <c r="E3025" s="318">
        <v>0.51731481481481478</v>
      </c>
      <c r="F3025" s="247" t="s">
        <v>235</v>
      </c>
      <c r="G3025" s="247" t="s">
        <v>1035</v>
      </c>
      <c r="H3025" s="248" t="s">
        <v>234</v>
      </c>
      <c r="I3025" s="248" t="s">
        <v>235</v>
      </c>
      <c r="J3025" s="247" t="s">
        <v>809</v>
      </c>
      <c r="K3025" s="249">
        <v>0</v>
      </c>
      <c r="M3025" s="90">
        <v>0</v>
      </c>
      <c r="N3025" s="90">
        <v>0</v>
      </c>
      <c r="O3025" s="90">
        <v>255</v>
      </c>
    </row>
    <row r="3026" spans="1:15" s="90" customFormat="1" ht="12.75" customHeight="1" x14ac:dyDescent="0.2">
      <c r="A3026" s="247" t="s">
        <v>1495</v>
      </c>
      <c r="B3026" s="316">
        <v>3037</v>
      </c>
      <c r="C3026" s="247" t="s">
        <v>996</v>
      </c>
      <c r="D3026" s="317">
        <v>42675</v>
      </c>
      <c r="E3026" s="318">
        <v>0.51787037037037031</v>
      </c>
      <c r="F3026" s="247" t="s">
        <v>980</v>
      </c>
      <c r="G3026" s="247" t="s">
        <v>1035</v>
      </c>
      <c r="H3026" s="248" t="s">
        <v>234</v>
      </c>
      <c r="I3026" s="248" t="s">
        <v>263</v>
      </c>
      <c r="J3026" s="247" t="s">
        <v>809</v>
      </c>
      <c r="K3026" s="249">
        <v>0</v>
      </c>
      <c r="M3026" s="90">
        <v>0</v>
      </c>
      <c r="N3026" s="90">
        <v>0</v>
      </c>
      <c r="O3026" s="90">
        <v>255</v>
      </c>
    </row>
    <row r="3027" spans="1:15" s="90" customFormat="1" ht="12.75" customHeight="1" x14ac:dyDescent="0.2">
      <c r="A3027" s="247" t="s">
        <v>1496</v>
      </c>
      <c r="B3027" s="316">
        <v>3037</v>
      </c>
      <c r="C3027" s="247" t="s">
        <v>996</v>
      </c>
      <c r="D3027" s="317">
        <v>42675</v>
      </c>
      <c r="E3027" s="318">
        <v>0.51788194444444446</v>
      </c>
      <c r="F3027" s="247" t="s">
        <v>980</v>
      </c>
      <c r="G3027" s="247" t="s">
        <v>1035</v>
      </c>
      <c r="H3027" s="248" t="s">
        <v>234</v>
      </c>
      <c r="I3027" s="248" t="s">
        <v>263</v>
      </c>
      <c r="J3027" s="247" t="s">
        <v>809</v>
      </c>
      <c r="K3027" s="249">
        <v>0</v>
      </c>
      <c r="M3027" s="90">
        <v>0</v>
      </c>
      <c r="N3027" s="90">
        <v>0</v>
      </c>
      <c r="O3027" s="90">
        <v>255</v>
      </c>
    </row>
    <row r="3028" spans="1:15" s="90" customFormat="1" ht="12.75" customHeight="1" x14ac:dyDescent="0.2">
      <c r="A3028" s="247" t="s">
        <v>1497</v>
      </c>
      <c r="B3028" s="316">
        <v>3037</v>
      </c>
      <c r="C3028" s="247" t="s">
        <v>996</v>
      </c>
      <c r="D3028" s="317">
        <v>42675</v>
      </c>
      <c r="E3028" s="318">
        <v>0.51788194444444446</v>
      </c>
      <c r="F3028" s="247" t="s">
        <v>980</v>
      </c>
      <c r="G3028" s="247" t="s">
        <v>1035</v>
      </c>
      <c r="H3028" s="248" t="s">
        <v>234</v>
      </c>
      <c r="I3028" s="248" t="s">
        <v>263</v>
      </c>
      <c r="J3028" s="247" t="s">
        <v>809</v>
      </c>
      <c r="K3028" s="249">
        <v>0</v>
      </c>
      <c r="M3028" s="90">
        <v>0</v>
      </c>
      <c r="N3028" s="90">
        <v>0</v>
      </c>
      <c r="O3028" s="90">
        <v>255</v>
      </c>
    </row>
    <row r="3029" spans="1:15" s="90" customFormat="1" ht="12.75" customHeight="1" x14ac:dyDescent="0.2">
      <c r="A3029" s="247" t="s">
        <v>1498</v>
      </c>
      <c r="B3029" s="316">
        <v>3037</v>
      </c>
      <c r="C3029" s="247" t="s">
        <v>996</v>
      </c>
      <c r="D3029" s="317">
        <v>42675</v>
      </c>
      <c r="E3029" s="318">
        <v>0.51788194444444446</v>
      </c>
      <c r="F3029" s="247" t="s">
        <v>980</v>
      </c>
      <c r="G3029" s="247" t="s">
        <v>1035</v>
      </c>
      <c r="H3029" s="248" t="s">
        <v>234</v>
      </c>
      <c r="I3029" s="248" t="s">
        <v>263</v>
      </c>
      <c r="J3029" s="247" t="s">
        <v>809</v>
      </c>
      <c r="K3029" s="249">
        <v>0</v>
      </c>
      <c r="M3029" s="90">
        <v>0</v>
      </c>
      <c r="N3029" s="90">
        <v>0</v>
      </c>
      <c r="O3029" s="90">
        <v>255</v>
      </c>
    </row>
    <row r="3030" spans="1:15" s="90" customFormat="1" ht="12.75" customHeight="1" x14ac:dyDescent="0.2">
      <c r="A3030" s="247" t="s">
        <v>1499</v>
      </c>
      <c r="B3030" s="316">
        <v>3037</v>
      </c>
      <c r="C3030" s="247" t="s">
        <v>996</v>
      </c>
      <c r="D3030" s="317">
        <v>42675</v>
      </c>
      <c r="E3030" s="318">
        <v>0.51788194444444446</v>
      </c>
      <c r="F3030" s="247" t="s">
        <v>980</v>
      </c>
      <c r="G3030" s="247" t="s">
        <v>1035</v>
      </c>
      <c r="H3030" s="248" t="s">
        <v>234</v>
      </c>
      <c r="I3030" s="248" t="s">
        <v>263</v>
      </c>
      <c r="J3030" s="247" t="s">
        <v>809</v>
      </c>
      <c r="K3030" s="249">
        <v>0</v>
      </c>
      <c r="M3030" s="90">
        <v>0</v>
      </c>
      <c r="N3030" s="90">
        <v>0</v>
      </c>
      <c r="O3030" s="90">
        <v>255</v>
      </c>
    </row>
    <row r="3031" spans="1:15" s="90" customFormat="1" ht="12.75" customHeight="1" x14ac:dyDescent="0.2">
      <c r="A3031" s="247" t="s">
        <v>1031</v>
      </c>
      <c r="B3031" s="316">
        <v>3046</v>
      </c>
      <c r="C3031" s="247" t="s">
        <v>975</v>
      </c>
      <c r="D3031" s="317">
        <v>42675</v>
      </c>
      <c r="E3031" s="318">
        <v>0.51792824074074073</v>
      </c>
      <c r="F3031" s="247" t="s">
        <v>976</v>
      </c>
      <c r="G3031" s="247" t="s">
        <v>1035</v>
      </c>
      <c r="H3031" s="248" t="s">
        <v>404</v>
      </c>
      <c r="I3031" s="248" t="s">
        <v>404</v>
      </c>
      <c r="J3031" s="247" t="s">
        <v>809</v>
      </c>
      <c r="K3031" s="249">
        <v>0</v>
      </c>
      <c r="M3031" s="90">
        <v>0</v>
      </c>
      <c r="N3031" s="90">
        <v>0</v>
      </c>
      <c r="O3031" s="90">
        <v>255</v>
      </c>
    </row>
    <row r="3032" spans="1:15" s="90" customFormat="1" ht="12.75" customHeight="1" x14ac:dyDescent="0.2">
      <c r="A3032" s="247" t="s">
        <v>1109</v>
      </c>
      <c r="B3032" s="316">
        <v>3075</v>
      </c>
      <c r="C3032" s="247" t="s">
        <v>975</v>
      </c>
      <c r="D3032" s="317">
        <v>42675</v>
      </c>
      <c r="E3032" s="318">
        <v>0.51807870370370368</v>
      </c>
      <c r="F3032" s="247" t="s">
        <v>981</v>
      </c>
      <c r="G3032" s="247" t="s">
        <v>1035</v>
      </c>
      <c r="H3032" s="248" t="s">
        <v>234</v>
      </c>
      <c r="I3032" s="248" t="s">
        <v>263</v>
      </c>
      <c r="J3032" s="247" t="s">
        <v>809</v>
      </c>
      <c r="K3032" s="249">
        <v>0</v>
      </c>
      <c r="M3032" s="90">
        <v>0</v>
      </c>
      <c r="N3032" s="90">
        <v>0</v>
      </c>
      <c r="O3032" s="90">
        <v>255</v>
      </c>
    </row>
    <row r="3033" spans="1:15" s="90" customFormat="1" ht="12.75" customHeight="1" x14ac:dyDescent="0.2">
      <c r="A3033" s="247" t="s">
        <v>1032</v>
      </c>
      <c r="B3033" s="316">
        <v>3046</v>
      </c>
      <c r="C3033" s="247" t="s">
        <v>975</v>
      </c>
      <c r="D3033" s="317">
        <v>42675</v>
      </c>
      <c r="E3033" s="318">
        <v>0.52027777777777773</v>
      </c>
      <c r="F3033" s="247" t="s">
        <v>976</v>
      </c>
      <c r="G3033" s="247" t="s">
        <v>1035</v>
      </c>
      <c r="H3033" s="248" t="s">
        <v>404</v>
      </c>
      <c r="I3033" s="248" t="s">
        <v>404</v>
      </c>
      <c r="J3033" s="247" t="s">
        <v>809</v>
      </c>
      <c r="K3033" s="249">
        <v>0</v>
      </c>
      <c r="M3033" s="90">
        <v>0</v>
      </c>
      <c r="N3033" s="90">
        <v>0</v>
      </c>
      <c r="O3033" s="90">
        <v>255</v>
      </c>
    </row>
    <row r="3034" spans="1:15" s="90" customFormat="1" ht="12.75" customHeight="1" x14ac:dyDescent="0.2">
      <c r="A3034" s="247" t="s">
        <v>989</v>
      </c>
      <c r="B3034" s="316">
        <v>3046</v>
      </c>
      <c r="C3034" s="247" t="s">
        <v>975</v>
      </c>
      <c r="D3034" s="317">
        <v>42675</v>
      </c>
      <c r="E3034" s="318">
        <v>0.52027777777777773</v>
      </c>
      <c r="F3034" s="247" t="s">
        <v>976</v>
      </c>
      <c r="G3034" s="247" t="s">
        <v>1035</v>
      </c>
      <c r="H3034" s="248" t="s">
        <v>404</v>
      </c>
      <c r="I3034" s="248" t="s">
        <v>404</v>
      </c>
      <c r="J3034" s="247" t="s">
        <v>809</v>
      </c>
      <c r="K3034" s="249">
        <v>0</v>
      </c>
      <c r="M3034" s="90">
        <v>0</v>
      </c>
      <c r="N3034" s="90">
        <v>0</v>
      </c>
      <c r="O3034" s="90">
        <v>255</v>
      </c>
    </row>
    <row r="3035" spans="1:15" s="90" customFormat="1" ht="12.75" customHeight="1" x14ac:dyDescent="0.2">
      <c r="A3035" s="247" t="s">
        <v>990</v>
      </c>
      <c r="B3035" s="316">
        <v>3046</v>
      </c>
      <c r="C3035" s="247" t="s">
        <v>975</v>
      </c>
      <c r="D3035" s="317">
        <v>42675</v>
      </c>
      <c r="E3035" s="318">
        <v>0.52056712962962959</v>
      </c>
      <c r="F3035" s="247" t="s">
        <v>976</v>
      </c>
      <c r="G3035" s="247" t="s">
        <v>1035</v>
      </c>
      <c r="H3035" s="248" t="s">
        <v>404</v>
      </c>
      <c r="I3035" s="248" t="s">
        <v>404</v>
      </c>
      <c r="J3035" s="247" t="s">
        <v>809</v>
      </c>
      <c r="K3035" s="249">
        <v>0</v>
      </c>
      <c r="M3035" s="90">
        <v>0</v>
      </c>
      <c r="N3035" s="90">
        <v>0</v>
      </c>
      <c r="O3035" s="90">
        <v>255</v>
      </c>
    </row>
    <row r="3036" spans="1:15" s="90" customFormat="1" ht="12.75" customHeight="1" x14ac:dyDescent="0.2">
      <c r="A3036" s="247" t="s">
        <v>1033</v>
      </c>
      <c r="B3036" s="316">
        <v>3217</v>
      </c>
      <c r="C3036" s="247" t="s">
        <v>975</v>
      </c>
      <c r="D3036" s="317">
        <v>42675</v>
      </c>
      <c r="E3036" s="318">
        <v>0.52056712962962959</v>
      </c>
      <c r="F3036" s="247" t="s">
        <v>235</v>
      </c>
      <c r="G3036" s="247" t="s">
        <v>1035</v>
      </c>
      <c r="H3036" s="248" t="s">
        <v>234</v>
      </c>
      <c r="I3036" s="248" t="s">
        <v>235</v>
      </c>
      <c r="J3036" s="247" t="s">
        <v>809</v>
      </c>
      <c r="K3036" s="249">
        <v>0</v>
      </c>
      <c r="M3036" s="90">
        <v>0</v>
      </c>
      <c r="N3036" s="90">
        <v>0</v>
      </c>
      <c r="O3036" s="90">
        <v>255</v>
      </c>
    </row>
    <row r="3037" spans="1:15" s="90" customFormat="1" ht="12.75" customHeight="1" x14ac:dyDescent="0.2">
      <c r="A3037" s="247" t="s">
        <v>1031</v>
      </c>
      <c r="B3037" s="316">
        <v>3046</v>
      </c>
      <c r="C3037" s="247" t="s">
        <v>975</v>
      </c>
      <c r="D3037" s="317">
        <v>42675</v>
      </c>
      <c r="E3037" s="318">
        <v>0.5207060185185185</v>
      </c>
      <c r="F3037" s="247" t="s">
        <v>976</v>
      </c>
      <c r="G3037" s="247" t="s">
        <v>1035</v>
      </c>
      <c r="H3037" s="248" t="s">
        <v>404</v>
      </c>
      <c r="I3037" s="248" t="s">
        <v>404</v>
      </c>
      <c r="J3037" s="247" t="s">
        <v>809</v>
      </c>
      <c r="K3037" s="249">
        <v>0</v>
      </c>
      <c r="M3037" s="90">
        <v>0</v>
      </c>
      <c r="N3037" s="90">
        <v>0</v>
      </c>
      <c r="O3037" s="90">
        <v>255</v>
      </c>
    </row>
    <row r="3038" spans="1:15" s="90" customFormat="1" ht="12.75" customHeight="1" x14ac:dyDescent="0.2">
      <c r="A3038" s="247" t="s">
        <v>1500</v>
      </c>
      <c r="B3038" s="316">
        <v>3218</v>
      </c>
      <c r="C3038" s="247" t="s">
        <v>979</v>
      </c>
      <c r="D3038" s="317">
        <v>42675</v>
      </c>
      <c r="E3038" s="318">
        <v>0.522974537037037</v>
      </c>
      <c r="F3038" s="247" t="s">
        <v>702</v>
      </c>
      <c r="G3038" s="247" t="s">
        <v>1035</v>
      </c>
      <c r="H3038" s="248"/>
      <c r="I3038" s="248"/>
      <c r="J3038" s="247"/>
      <c r="K3038" s="249"/>
      <c r="M3038" s="90">
        <v>0</v>
      </c>
      <c r="N3038" s="90">
        <v>0</v>
      </c>
      <c r="O3038" s="90">
        <v>255</v>
      </c>
    </row>
    <row r="3039" spans="1:15" s="90" customFormat="1" ht="12.75" customHeight="1" x14ac:dyDescent="0.2">
      <c r="A3039" s="247" t="s">
        <v>1032</v>
      </c>
      <c r="B3039" s="316">
        <v>3046</v>
      </c>
      <c r="C3039" s="247" t="s">
        <v>975</v>
      </c>
      <c r="D3039" s="317">
        <v>42675</v>
      </c>
      <c r="E3039" s="318">
        <v>0.52541666666666664</v>
      </c>
      <c r="F3039" s="247" t="s">
        <v>976</v>
      </c>
      <c r="G3039" s="247" t="s">
        <v>1035</v>
      </c>
      <c r="H3039" s="248" t="s">
        <v>404</v>
      </c>
      <c r="I3039" s="248" t="s">
        <v>404</v>
      </c>
      <c r="J3039" s="247" t="s">
        <v>809</v>
      </c>
      <c r="K3039" s="249">
        <v>0</v>
      </c>
      <c r="M3039" s="90">
        <v>0</v>
      </c>
      <c r="N3039" s="90">
        <v>0</v>
      </c>
      <c r="O3039" s="90">
        <v>255</v>
      </c>
    </row>
    <row r="3040" spans="1:15" s="90" customFormat="1" ht="12.75" customHeight="1" x14ac:dyDescent="0.2">
      <c r="A3040" s="247" t="s">
        <v>989</v>
      </c>
      <c r="B3040" s="316">
        <v>3046</v>
      </c>
      <c r="C3040" s="247" t="s">
        <v>975</v>
      </c>
      <c r="D3040" s="317">
        <v>42675</v>
      </c>
      <c r="E3040" s="318">
        <v>0.52542824074074079</v>
      </c>
      <c r="F3040" s="247" t="s">
        <v>976</v>
      </c>
      <c r="G3040" s="247" t="s">
        <v>1035</v>
      </c>
      <c r="H3040" s="248" t="s">
        <v>404</v>
      </c>
      <c r="I3040" s="248" t="s">
        <v>404</v>
      </c>
      <c r="J3040" s="247" t="s">
        <v>809</v>
      </c>
      <c r="K3040" s="249">
        <v>0</v>
      </c>
      <c r="M3040" s="90">
        <v>0</v>
      </c>
      <c r="N3040" s="90">
        <v>0</v>
      </c>
      <c r="O3040" s="90">
        <v>255</v>
      </c>
    </row>
    <row r="3041" spans="1:15" s="90" customFormat="1" ht="12.75" customHeight="1" x14ac:dyDescent="0.2">
      <c r="A3041" s="247" t="s">
        <v>990</v>
      </c>
      <c r="B3041" s="316">
        <v>3046</v>
      </c>
      <c r="C3041" s="247" t="s">
        <v>975</v>
      </c>
      <c r="D3041" s="317">
        <v>42675</v>
      </c>
      <c r="E3041" s="318">
        <v>0.52572916666666669</v>
      </c>
      <c r="F3041" s="247" t="s">
        <v>976</v>
      </c>
      <c r="G3041" s="247" t="s">
        <v>1035</v>
      </c>
      <c r="H3041" s="248" t="s">
        <v>404</v>
      </c>
      <c r="I3041" s="248" t="s">
        <v>404</v>
      </c>
      <c r="J3041" s="247" t="s">
        <v>809</v>
      </c>
      <c r="K3041" s="249">
        <v>0</v>
      </c>
      <c r="M3041" s="90">
        <v>0</v>
      </c>
      <c r="N3041" s="90">
        <v>0</v>
      </c>
      <c r="O3041" s="90">
        <v>255</v>
      </c>
    </row>
    <row r="3042" spans="1:15" s="90" customFormat="1" ht="12.75" customHeight="1" x14ac:dyDescent="0.2">
      <c r="A3042" s="247" t="s">
        <v>1033</v>
      </c>
      <c r="B3042" s="316">
        <v>3217</v>
      </c>
      <c r="C3042" s="247" t="s">
        <v>975</v>
      </c>
      <c r="D3042" s="317">
        <v>42675</v>
      </c>
      <c r="E3042" s="318">
        <v>0.52572916666666669</v>
      </c>
      <c r="F3042" s="247" t="s">
        <v>235</v>
      </c>
      <c r="G3042" s="247" t="s">
        <v>1035</v>
      </c>
      <c r="H3042" s="248" t="s">
        <v>234</v>
      </c>
      <c r="I3042" s="248" t="s">
        <v>235</v>
      </c>
      <c r="J3042" s="247" t="s">
        <v>809</v>
      </c>
      <c r="K3042" s="249">
        <v>0</v>
      </c>
      <c r="M3042" s="90">
        <v>0</v>
      </c>
      <c r="N3042" s="90">
        <v>0</v>
      </c>
      <c r="O3042" s="90">
        <v>255</v>
      </c>
    </row>
    <row r="3043" spans="1:15" s="90" customFormat="1" ht="12.75" customHeight="1" x14ac:dyDescent="0.2">
      <c r="A3043" s="247" t="s">
        <v>1501</v>
      </c>
      <c r="B3043" s="316">
        <v>3218</v>
      </c>
      <c r="C3043" s="247" t="s">
        <v>979</v>
      </c>
      <c r="D3043" s="317">
        <v>42675</v>
      </c>
      <c r="E3043" s="318">
        <v>0.52770833333333333</v>
      </c>
      <c r="F3043" s="247" t="s">
        <v>702</v>
      </c>
      <c r="G3043" s="247" t="s">
        <v>1035</v>
      </c>
      <c r="H3043" s="248"/>
      <c r="I3043" s="248"/>
      <c r="J3043" s="247"/>
      <c r="K3043" s="249"/>
      <c r="M3043" s="90">
        <v>0</v>
      </c>
      <c r="N3043" s="90">
        <v>0</v>
      </c>
      <c r="O3043" s="90">
        <v>255</v>
      </c>
    </row>
    <row r="3044" spans="1:15" s="90" customFormat="1" ht="12.75" customHeight="1" x14ac:dyDescent="0.2">
      <c r="A3044" s="247" t="s">
        <v>1496</v>
      </c>
      <c r="B3044" s="316">
        <v>3037</v>
      </c>
      <c r="C3044" s="247" t="s">
        <v>996</v>
      </c>
      <c r="D3044" s="317">
        <v>42675</v>
      </c>
      <c r="E3044" s="318">
        <v>0.52774305555555556</v>
      </c>
      <c r="F3044" s="247" t="s">
        <v>980</v>
      </c>
      <c r="G3044" s="247" t="s">
        <v>1035</v>
      </c>
      <c r="H3044" s="248" t="s">
        <v>234</v>
      </c>
      <c r="I3044" s="248" t="s">
        <v>263</v>
      </c>
      <c r="J3044" s="247" t="s">
        <v>809</v>
      </c>
      <c r="K3044" s="249">
        <v>0</v>
      </c>
      <c r="M3044" s="90">
        <v>0</v>
      </c>
      <c r="N3044" s="90">
        <v>0</v>
      </c>
      <c r="O3044" s="90">
        <v>255</v>
      </c>
    </row>
    <row r="3045" spans="1:15" s="90" customFormat="1" ht="12.75" customHeight="1" x14ac:dyDescent="0.2">
      <c r="A3045" s="247" t="s">
        <v>1497</v>
      </c>
      <c r="B3045" s="316">
        <v>3037</v>
      </c>
      <c r="C3045" s="247" t="s">
        <v>996</v>
      </c>
      <c r="D3045" s="317">
        <v>42675</v>
      </c>
      <c r="E3045" s="318">
        <v>0.52774305555555556</v>
      </c>
      <c r="F3045" s="247" t="s">
        <v>980</v>
      </c>
      <c r="G3045" s="247" t="s">
        <v>1035</v>
      </c>
      <c r="H3045" s="248" t="s">
        <v>234</v>
      </c>
      <c r="I3045" s="248" t="s">
        <v>263</v>
      </c>
      <c r="J3045" s="247" t="s">
        <v>809</v>
      </c>
      <c r="K3045" s="249">
        <v>0</v>
      </c>
      <c r="M3045" s="90">
        <v>0</v>
      </c>
      <c r="N3045" s="90">
        <v>0</v>
      </c>
      <c r="O3045" s="90">
        <v>255</v>
      </c>
    </row>
    <row r="3046" spans="1:15" s="90" customFormat="1" ht="12.75" customHeight="1" x14ac:dyDescent="0.2">
      <c r="A3046" s="247" t="s">
        <v>1498</v>
      </c>
      <c r="B3046" s="316">
        <v>3037</v>
      </c>
      <c r="C3046" s="247" t="s">
        <v>996</v>
      </c>
      <c r="D3046" s="317">
        <v>42675</v>
      </c>
      <c r="E3046" s="318">
        <v>0.52774305555555556</v>
      </c>
      <c r="F3046" s="247" t="s">
        <v>980</v>
      </c>
      <c r="G3046" s="247" t="s">
        <v>1035</v>
      </c>
      <c r="H3046" s="248" t="s">
        <v>234</v>
      </c>
      <c r="I3046" s="248" t="s">
        <v>263</v>
      </c>
      <c r="J3046" s="247" t="s">
        <v>809</v>
      </c>
      <c r="K3046" s="249">
        <v>0</v>
      </c>
      <c r="M3046" s="90">
        <v>0</v>
      </c>
      <c r="N3046" s="90">
        <v>0</v>
      </c>
      <c r="O3046" s="90">
        <v>255</v>
      </c>
    </row>
    <row r="3047" spans="1:15" s="90" customFormat="1" ht="12.75" customHeight="1" x14ac:dyDescent="0.2">
      <c r="A3047" s="247" t="s">
        <v>1031</v>
      </c>
      <c r="B3047" s="316">
        <v>3046</v>
      </c>
      <c r="C3047" s="247" t="s">
        <v>975</v>
      </c>
      <c r="D3047" s="317">
        <v>42675</v>
      </c>
      <c r="E3047" s="318">
        <v>0.52780092592592587</v>
      </c>
      <c r="F3047" s="247" t="s">
        <v>976</v>
      </c>
      <c r="G3047" s="247" t="s">
        <v>1035</v>
      </c>
      <c r="H3047" s="248" t="s">
        <v>404</v>
      </c>
      <c r="I3047" s="248" t="s">
        <v>404</v>
      </c>
      <c r="J3047" s="247" t="s">
        <v>809</v>
      </c>
      <c r="K3047" s="249">
        <v>0</v>
      </c>
      <c r="M3047" s="90">
        <v>0</v>
      </c>
      <c r="N3047" s="90">
        <v>0</v>
      </c>
      <c r="O3047" s="90">
        <v>255</v>
      </c>
    </row>
    <row r="3048" spans="1:15" s="90" customFormat="1" ht="12.75" customHeight="1" x14ac:dyDescent="0.2">
      <c r="A3048" s="247" t="s">
        <v>1032</v>
      </c>
      <c r="B3048" s="316">
        <v>3046</v>
      </c>
      <c r="C3048" s="247" t="s">
        <v>975</v>
      </c>
      <c r="D3048" s="317">
        <v>42675</v>
      </c>
      <c r="E3048" s="318">
        <v>0.5326157407407407</v>
      </c>
      <c r="F3048" s="247" t="s">
        <v>976</v>
      </c>
      <c r="G3048" s="247" t="s">
        <v>1035</v>
      </c>
      <c r="H3048" s="248" t="s">
        <v>404</v>
      </c>
      <c r="I3048" s="248" t="s">
        <v>404</v>
      </c>
      <c r="J3048" s="247" t="s">
        <v>809</v>
      </c>
      <c r="K3048" s="249">
        <v>0</v>
      </c>
      <c r="M3048" s="90">
        <v>0</v>
      </c>
      <c r="N3048" s="90">
        <v>0</v>
      </c>
      <c r="O3048" s="90">
        <v>255</v>
      </c>
    </row>
    <row r="3049" spans="1:15" s="90" customFormat="1" ht="12.75" customHeight="1" x14ac:dyDescent="0.2">
      <c r="A3049" s="247" t="s">
        <v>989</v>
      </c>
      <c r="B3049" s="316">
        <v>3046</v>
      </c>
      <c r="C3049" s="247" t="s">
        <v>975</v>
      </c>
      <c r="D3049" s="317">
        <v>42675</v>
      </c>
      <c r="E3049" s="318">
        <v>0.5326157407407407</v>
      </c>
      <c r="F3049" s="247" t="s">
        <v>976</v>
      </c>
      <c r="G3049" s="247" t="s">
        <v>1035</v>
      </c>
      <c r="H3049" s="248" t="s">
        <v>404</v>
      </c>
      <c r="I3049" s="248" t="s">
        <v>404</v>
      </c>
      <c r="J3049" s="247" t="s">
        <v>809</v>
      </c>
      <c r="K3049" s="249">
        <v>0</v>
      </c>
      <c r="M3049" s="90">
        <v>0</v>
      </c>
      <c r="N3049" s="90">
        <v>0</v>
      </c>
      <c r="O3049" s="90">
        <v>255</v>
      </c>
    </row>
    <row r="3050" spans="1:15" s="90" customFormat="1" ht="12.75" customHeight="1" x14ac:dyDescent="0.2">
      <c r="A3050" s="247" t="s">
        <v>990</v>
      </c>
      <c r="B3050" s="316">
        <v>3046</v>
      </c>
      <c r="C3050" s="247" t="s">
        <v>975</v>
      </c>
      <c r="D3050" s="317">
        <v>42675</v>
      </c>
      <c r="E3050" s="318">
        <v>0.53290509259259256</v>
      </c>
      <c r="F3050" s="247" t="s">
        <v>976</v>
      </c>
      <c r="G3050" s="247" t="s">
        <v>1035</v>
      </c>
      <c r="H3050" s="248" t="s">
        <v>404</v>
      </c>
      <c r="I3050" s="248" t="s">
        <v>404</v>
      </c>
      <c r="J3050" s="247" t="s">
        <v>809</v>
      </c>
      <c r="K3050" s="249">
        <v>0</v>
      </c>
      <c r="M3050" s="90">
        <v>0</v>
      </c>
      <c r="N3050" s="90">
        <v>0</v>
      </c>
      <c r="O3050" s="90">
        <v>255</v>
      </c>
    </row>
    <row r="3051" spans="1:15" s="90" customFormat="1" ht="12.75" customHeight="1" x14ac:dyDescent="0.2">
      <c r="A3051" s="247" t="s">
        <v>1033</v>
      </c>
      <c r="B3051" s="316">
        <v>3217</v>
      </c>
      <c r="C3051" s="247" t="s">
        <v>975</v>
      </c>
      <c r="D3051" s="317">
        <v>42675</v>
      </c>
      <c r="E3051" s="318">
        <v>0.53290509259259256</v>
      </c>
      <c r="F3051" s="247" t="s">
        <v>235</v>
      </c>
      <c r="G3051" s="247" t="s">
        <v>1035</v>
      </c>
      <c r="H3051" s="248" t="s">
        <v>234</v>
      </c>
      <c r="I3051" s="248" t="s">
        <v>235</v>
      </c>
      <c r="J3051" s="247" t="s">
        <v>809</v>
      </c>
      <c r="K3051" s="249">
        <v>0</v>
      </c>
      <c r="M3051" s="90">
        <v>0</v>
      </c>
      <c r="N3051" s="90">
        <v>0</v>
      </c>
      <c r="O3051" s="90">
        <v>255</v>
      </c>
    </row>
    <row r="3052" spans="1:15" s="90" customFormat="1" ht="12.75" customHeight="1" x14ac:dyDescent="0.2">
      <c r="A3052" s="247" t="s">
        <v>1031</v>
      </c>
      <c r="B3052" s="316">
        <v>3046</v>
      </c>
      <c r="C3052" s="247" t="s">
        <v>975</v>
      </c>
      <c r="D3052" s="317">
        <v>42675</v>
      </c>
      <c r="E3052" s="318">
        <v>0.53592592592592592</v>
      </c>
      <c r="F3052" s="247" t="s">
        <v>976</v>
      </c>
      <c r="G3052" s="247" t="s">
        <v>1035</v>
      </c>
      <c r="H3052" s="248" t="s">
        <v>404</v>
      </c>
      <c r="I3052" s="248" t="s">
        <v>404</v>
      </c>
      <c r="J3052" s="247" t="s">
        <v>809</v>
      </c>
      <c r="K3052" s="249">
        <v>0</v>
      </c>
      <c r="M3052" s="90">
        <v>0</v>
      </c>
      <c r="N3052" s="90">
        <v>0</v>
      </c>
      <c r="O3052" s="90">
        <v>255</v>
      </c>
    </row>
    <row r="3053" spans="1:15" s="90" customFormat="1" ht="12.75" customHeight="1" x14ac:dyDescent="0.2">
      <c r="A3053" s="247" t="s">
        <v>1032</v>
      </c>
      <c r="B3053" s="316">
        <v>3046</v>
      </c>
      <c r="C3053" s="247" t="s">
        <v>975</v>
      </c>
      <c r="D3053" s="317">
        <v>42675</v>
      </c>
      <c r="E3053" s="318">
        <v>0.53790509259259256</v>
      </c>
      <c r="F3053" s="247" t="s">
        <v>976</v>
      </c>
      <c r="G3053" s="247" t="s">
        <v>1035</v>
      </c>
      <c r="H3053" s="248" t="s">
        <v>404</v>
      </c>
      <c r="I3053" s="248" t="s">
        <v>404</v>
      </c>
      <c r="J3053" s="247" t="s">
        <v>809</v>
      </c>
      <c r="K3053" s="249">
        <v>0</v>
      </c>
      <c r="M3053" s="90">
        <v>0</v>
      </c>
      <c r="N3053" s="90">
        <v>0</v>
      </c>
      <c r="O3053" s="90">
        <v>255</v>
      </c>
    </row>
    <row r="3054" spans="1:15" s="90" customFormat="1" ht="12.75" customHeight="1" x14ac:dyDescent="0.2">
      <c r="A3054" s="247" t="s">
        <v>989</v>
      </c>
      <c r="B3054" s="316">
        <v>3046</v>
      </c>
      <c r="C3054" s="247" t="s">
        <v>975</v>
      </c>
      <c r="D3054" s="317">
        <v>42675</v>
      </c>
      <c r="E3054" s="318">
        <v>0.53790509259259256</v>
      </c>
      <c r="F3054" s="247" t="s">
        <v>976</v>
      </c>
      <c r="G3054" s="247" t="s">
        <v>1035</v>
      </c>
      <c r="H3054" s="248" t="s">
        <v>404</v>
      </c>
      <c r="I3054" s="248" t="s">
        <v>404</v>
      </c>
      <c r="J3054" s="247" t="s">
        <v>809</v>
      </c>
      <c r="K3054" s="249">
        <v>0</v>
      </c>
      <c r="M3054" s="90">
        <v>0</v>
      </c>
      <c r="N3054" s="90">
        <v>0</v>
      </c>
      <c r="O3054" s="90">
        <v>255</v>
      </c>
    </row>
    <row r="3055" spans="1:15" s="90" customFormat="1" ht="12.75" customHeight="1" x14ac:dyDescent="0.2">
      <c r="A3055" s="247" t="s">
        <v>990</v>
      </c>
      <c r="B3055" s="316">
        <v>3046</v>
      </c>
      <c r="C3055" s="247" t="s">
        <v>975</v>
      </c>
      <c r="D3055" s="317">
        <v>42675</v>
      </c>
      <c r="E3055" s="318">
        <v>0.53820601851851857</v>
      </c>
      <c r="F3055" s="247" t="s">
        <v>976</v>
      </c>
      <c r="G3055" s="247" t="s">
        <v>1035</v>
      </c>
      <c r="H3055" s="248" t="s">
        <v>404</v>
      </c>
      <c r="I3055" s="248" t="s">
        <v>404</v>
      </c>
      <c r="J3055" s="247" t="s">
        <v>809</v>
      </c>
      <c r="K3055" s="249">
        <v>0</v>
      </c>
      <c r="M3055" s="90">
        <v>0</v>
      </c>
      <c r="N3055" s="90">
        <v>0</v>
      </c>
      <c r="O3055" s="90">
        <v>255</v>
      </c>
    </row>
    <row r="3056" spans="1:15" s="90" customFormat="1" ht="12.75" customHeight="1" x14ac:dyDescent="0.2">
      <c r="A3056" s="247" t="s">
        <v>1033</v>
      </c>
      <c r="B3056" s="316">
        <v>3217</v>
      </c>
      <c r="C3056" s="247" t="s">
        <v>975</v>
      </c>
      <c r="D3056" s="317">
        <v>42675</v>
      </c>
      <c r="E3056" s="318">
        <v>0.53820601851851857</v>
      </c>
      <c r="F3056" s="247" t="s">
        <v>235</v>
      </c>
      <c r="G3056" s="247" t="s">
        <v>1035</v>
      </c>
      <c r="H3056" s="248" t="s">
        <v>234</v>
      </c>
      <c r="I3056" s="248" t="s">
        <v>235</v>
      </c>
      <c r="J3056" s="247" t="s">
        <v>809</v>
      </c>
      <c r="K3056" s="249">
        <v>0</v>
      </c>
      <c r="M3056" s="90">
        <v>0</v>
      </c>
      <c r="N3056" s="90">
        <v>0</v>
      </c>
      <c r="O3056" s="90">
        <v>255</v>
      </c>
    </row>
    <row r="3057" spans="1:15" s="90" customFormat="1" ht="12.75" customHeight="1" x14ac:dyDescent="0.2">
      <c r="A3057" s="247" t="s">
        <v>1031</v>
      </c>
      <c r="B3057" s="316">
        <v>3046</v>
      </c>
      <c r="C3057" s="247" t="s">
        <v>975</v>
      </c>
      <c r="D3057" s="317">
        <v>42675</v>
      </c>
      <c r="E3057" s="318">
        <v>0.53874999999999995</v>
      </c>
      <c r="F3057" s="247" t="s">
        <v>976</v>
      </c>
      <c r="G3057" s="247" t="s">
        <v>1035</v>
      </c>
      <c r="H3057" s="248" t="s">
        <v>404</v>
      </c>
      <c r="I3057" s="248" t="s">
        <v>404</v>
      </c>
      <c r="J3057" s="247" t="s">
        <v>809</v>
      </c>
      <c r="K3057" s="249">
        <v>0</v>
      </c>
      <c r="M3057" s="90">
        <v>0</v>
      </c>
      <c r="N3057" s="90">
        <v>0</v>
      </c>
      <c r="O3057" s="90">
        <v>255</v>
      </c>
    </row>
    <row r="3058" spans="1:15" s="90" customFormat="1" ht="12.75" customHeight="1" x14ac:dyDescent="0.2">
      <c r="A3058" s="247" t="s">
        <v>1196</v>
      </c>
      <c r="B3058" s="316">
        <v>1255</v>
      </c>
      <c r="C3058" s="247" t="s">
        <v>979</v>
      </c>
      <c r="D3058" s="317">
        <v>42675</v>
      </c>
      <c r="E3058" s="318">
        <v>0.54003472222222226</v>
      </c>
      <c r="F3058" s="247" t="s">
        <v>976</v>
      </c>
      <c r="G3058" s="247" t="s">
        <v>1035</v>
      </c>
      <c r="H3058" s="248" t="s">
        <v>863</v>
      </c>
      <c r="I3058" s="248" t="s">
        <v>319</v>
      </c>
      <c r="J3058" s="247" t="s">
        <v>405</v>
      </c>
      <c r="K3058" s="249">
        <v>0.25</v>
      </c>
      <c r="L3058" s="90" t="s">
        <v>1781</v>
      </c>
      <c r="M3058" s="90">
        <v>622</v>
      </c>
      <c r="N3058" s="90">
        <v>0</v>
      </c>
      <c r="O3058" s="90">
        <v>0</v>
      </c>
    </row>
    <row r="3059" spans="1:15" s="90" customFormat="1" ht="12.75" customHeight="1" x14ac:dyDescent="0.2">
      <c r="A3059" s="247" t="s">
        <v>1074</v>
      </c>
      <c r="B3059" s="316">
        <v>3046</v>
      </c>
      <c r="C3059" s="247" t="s">
        <v>975</v>
      </c>
      <c r="D3059" s="317">
        <v>42675</v>
      </c>
      <c r="E3059" s="318">
        <v>0.54003472222222226</v>
      </c>
      <c r="F3059" s="247" t="s">
        <v>976</v>
      </c>
      <c r="G3059" s="247" t="s">
        <v>1035</v>
      </c>
      <c r="H3059" s="248" t="s">
        <v>404</v>
      </c>
      <c r="I3059" s="248" t="s">
        <v>404</v>
      </c>
      <c r="J3059" s="247" t="s">
        <v>809</v>
      </c>
      <c r="K3059" s="249">
        <v>0</v>
      </c>
      <c r="M3059" s="90">
        <v>0</v>
      </c>
      <c r="N3059" s="90">
        <v>0</v>
      </c>
      <c r="O3059" s="90">
        <v>255</v>
      </c>
    </row>
    <row r="3060" spans="1:15" s="90" customFormat="1" ht="12.75" customHeight="1" x14ac:dyDescent="0.2">
      <c r="A3060" s="247" t="s">
        <v>1075</v>
      </c>
      <c r="B3060" s="316">
        <v>3046</v>
      </c>
      <c r="C3060" s="247" t="s">
        <v>975</v>
      </c>
      <c r="D3060" s="317">
        <v>42675</v>
      </c>
      <c r="E3060" s="318">
        <v>0.54046296296296303</v>
      </c>
      <c r="F3060" s="247" t="s">
        <v>976</v>
      </c>
      <c r="G3060" s="247" t="s">
        <v>1035</v>
      </c>
      <c r="H3060" s="248" t="s">
        <v>404</v>
      </c>
      <c r="I3060" s="248" t="s">
        <v>404</v>
      </c>
      <c r="J3060" s="247" t="s">
        <v>809</v>
      </c>
      <c r="K3060" s="249">
        <v>0</v>
      </c>
      <c r="M3060" s="90">
        <v>0</v>
      </c>
      <c r="N3060" s="90">
        <v>0</v>
      </c>
      <c r="O3060" s="90">
        <v>255</v>
      </c>
    </row>
    <row r="3061" spans="1:15" s="90" customFormat="1" ht="12.75" customHeight="1" x14ac:dyDescent="0.2">
      <c r="A3061" s="247" t="s">
        <v>1502</v>
      </c>
      <c r="B3061" s="316">
        <v>3037</v>
      </c>
      <c r="C3061" s="247" t="s">
        <v>996</v>
      </c>
      <c r="D3061" s="317">
        <v>42675</v>
      </c>
      <c r="E3061" s="318">
        <v>0.54251157407407413</v>
      </c>
      <c r="F3061" s="247" t="s">
        <v>980</v>
      </c>
      <c r="G3061" s="247" t="s">
        <v>1035</v>
      </c>
      <c r="H3061" s="248" t="s">
        <v>234</v>
      </c>
      <c r="I3061" s="248" t="s">
        <v>263</v>
      </c>
      <c r="J3061" s="247" t="s">
        <v>809</v>
      </c>
      <c r="K3061" s="249">
        <v>0</v>
      </c>
      <c r="M3061" s="90">
        <v>0</v>
      </c>
      <c r="N3061" s="90">
        <v>0</v>
      </c>
      <c r="O3061" s="90">
        <v>255</v>
      </c>
    </row>
    <row r="3062" spans="1:15" s="90" customFormat="1" ht="12.75" customHeight="1" x14ac:dyDescent="0.2">
      <c r="A3062" s="247" t="s">
        <v>1032</v>
      </c>
      <c r="B3062" s="316">
        <v>3046</v>
      </c>
      <c r="C3062" s="247" t="s">
        <v>975</v>
      </c>
      <c r="D3062" s="317">
        <v>42675</v>
      </c>
      <c r="E3062" s="318">
        <v>0.54459490740740735</v>
      </c>
      <c r="F3062" s="247" t="s">
        <v>976</v>
      </c>
      <c r="G3062" s="247" t="s">
        <v>1035</v>
      </c>
      <c r="H3062" s="248" t="s">
        <v>404</v>
      </c>
      <c r="I3062" s="248" t="s">
        <v>404</v>
      </c>
      <c r="J3062" s="247" t="s">
        <v>809</v>
      </c>
      <c r="K3062" s="249">
        <v>0</v>
      </c>
      <c r="M3062" s="90">
        <v>0</v>
      </c>
      <c r="N3062" s="90">
        <v>0</v>
      </c>
      <c r="O3062" s="90">
        <v>255</v>
      </c>
    </row>
    <row r="3063" spans="1:15" s="90" customFormat="1" ht="12.75" customHeight="1" x14ac:dyDescent="0.2">
      <c r="A3063" s="247" t="s">
        <v>989</v>
      </c>
      <c r="B3063" s="316">
        <v>3046</v>
      </c>
      <c r="C3063" s="247" t="s">
        <v>975</v>
      </c>
      <c r="D3063" s="317">
        <v>42675</v>
      </c>
      <c r="E3063" s="318">
        <v>0.54459490740740735</v>
      </c>
      <c r="F3063" s="247" t="s">
        <v>976</v>
      </c>
      <c r="G3063" s="247" t="s">
        <v>1035</v>
      </c>
      <c r="H3063" s="248" t="s">
        <v>404</v>
      </c>
      <c r="I3063" s="248" t="s">
        <v>404</v>
      </c>
      <c r="J3063" s="247" t="s">
        <v>809</v>
      </c>
      <c r="K3063" s="249">
        <v>0</v>
      </c>
      <c r="M3063" s="90">
        <v>0</v>
      </c>
      <c r="N3063" s="90">
        <v>0</v>
      </c>
      <c r="O3063" s="90">
        <v>255</v>
      </c>
    </row>
    <row r="3064" spans="1:15" s="90" customFormat="1" ht="12.75" customHeight="1" x14ac:dyDescent="0.2">
      <c r="A3064" s="247" t="s">
        <v>990</v>
      </c>
      <c r="B3064" s="316">
        <v>3046</v>
      </c>
      <c r="C3064" s="247" t="s">
        <v>975</v>
      </c>
      <c r="D3064" s="317">
        <v>42675</v>
      </c>
      <c r="E3064" s="318">
        <v>0.54489583333333336</v>
      </c>
      <c r="F3064" s="247" t="s">
        <v>976</v>
      </c>
      <c r="G3064" s="247" t="s">
        <v>1035</v>
      </c>
      <c r="H3064" s="248" t="s">
        <v>404</v>
      </c>
      <c r="I3064" s="248" t="s">
        <v>404</v>
      </c>
      <c r="J3064" s="247" t="s">
        <v>809</v>
      </c>
      <c r="K3064" s="249">
        <v>0</v>
      </c>
      <c r="M3064" s="90">
        <v>0</v>
      </c>
      <c r="N3064" s="90">
        <v>0</v>
      </c>
      <c r="O3064" s="90">
        <v>255</v>
      </c>
    </row>
    <row r="3065" spans="1:15" s="90" customFormat="1" ht="12.75" customHeight="1" x14ac:dyDescent="0.2">
      <c r="A3065" s="247" t="s">
        <v>1033</v>
      </c>
      <c r="B3065" s="316">
        <v>3217</v>
      </c>
      <c r="C3065" s="247" t="s">
        <v>975</v>
      </c>
      <c r="D3065" s="317">
        <v>42675</v>
      </c>
      <c r="E3065" s="318">
        <v>0.54489583333333336</v>
      </c>
      <c r="F3065" s="247" t="s">
        <v>235</v>
      </c>
      <c r="G3065" s="247" t="s">
        <v>1035</v>
      </c>
      <c r="H3065" s="248" t="s">
        <v>234</v>
      </c>
      <c r="I3065" s="248" t="s">
        <v>235</v>
      </c>
      <c r="J3065" s="247" t="s">
        <v>809</v>
      </c>
      <c r="K3065" s="249">
        <v>0</v>
      </c>
      <c r="M3065" s="90">
        <v>0</v>
      </c>
      <c r="N3065" s="90">
        <v>0</v>
      </c>
      <c r="O3065" s="90">
        <v>255</v>
      </c>
    </row>
    <row r="3066" spans="1:15" s="90" customFormat="1" ht="12.75" customHeight="1" x14ac:dyDescent="0.2">
      <c r="A3066" s="247" t="s">
        <v>1031</v>
      </c>
      <c r="B3066" s="316">
        <v>3046</v>
      </c>
      <c r="C3066" s="247" t="s">
        <v>975</v>
      </c>
      <c r="D3066" s="317">
        <v>42675</v>
      </c>
      <c r="E3066" s="318">
        <v>0.5458912037037037</v>
      </c>
      <c r="F3066" s="247" t="s">
        <v>976</v>
      </c>
      <c r="G3066" s="247" t="s">
        <v>1035</v>
      </c>
      <c r="H3066" s="248" t="s">
        <v>404</v>
      </c>
      <c r="I3066" s="248" t="s">
        <v>404</v>
      </c>
      <c r="J3066" s="247" t="s">
        <v>809</v>
      </c>
      <c r="K3066" s="249">
        <v>0</v>
      </c>
      <c r="M3066" s="90">
        <v>0</v>
      </c>
      <c r="N3066" s="90">
        <v>0</v>
      </c>
      <c r="O3066" s="90">
        <v>255</v>
      </c>
    </row>
    <row r="3067" spans="1:15" s="90" customFormat="1" ht="12.75" customHeight="1" x14ac:dyDescent="0.2">
      <c r="A3067" s="247" t="s">
        <v>1032</v>
      </c>
      <c r="B3067" s="316">
        <v>3046</v>
      </c>
      <c r="C3067" s="247" t="s">
        <v>975</v>
      </c>
      <c r="D3067" s="317">
        <v>42675</v>
      </c>
      <c r="E3067" s="318">
        <v>0.54811342592592593</v>
      </c>
      <c r="F3067" s="247" t="s">
        <v>976</v>
      </c>
      <c r="G3067" s="247" t="s">
        <v>1035</v>
      </c>
      <c r="H3067" s="248" t="s">
        <v>404</v>
      </c>
      <c r="I3067" s="248" t="s">
        <v>404</v>
      </c>
      <c r="J3067" s="247" t="s">
        <v>809</v>
      </c>
      <c r="K3067" s="249">
        <v>0</v>
      </c>
      <c r="M3067" s="90">
        <v>0</v>
      </c>
      <c r="N3067" s="90">
        <v>0</v>
      </c>
      <c r="O3067" s="90">
        <v>255</v>
      </c>
    </row>
    <row r="3068" spans="1:15" s="90" customFormat="1" ht="12.75" customHeight="1" x14ac:dyDescent="0.2">
      <c r="A3068" s="247" t="s">
        <v>989</v>
      </c>
      <c r="B3068" s="316">
        <v>3046</v>
      </c>
      <c r="C3068" s="247" t="s">
        <v>975</v>
      </c>
      <c r="D3068" s="317">
        <v>42675</v>
      </c>
      <c r="E3068" s="318">
        <v>0.54811342592592593</v>
      </c>
      <c r="F3068" s="247" t="s">
        <v>976</v>
      </c>
      <c r="G3068" s="247" t="s">
        <v>1035</v>
      </c>
      <c r="H3068" s="248" t="s">
        <v>404</v>
      </c>
      <c r="I3068" s="248" t="s">
        <v>404</v>
      </c>
      <c r="J3068" s="247" t="s">
        <v>809</v>
      </c>
      <c r="K3068" s="249">
        <v>0</v>
      </c>
      <c r="M3068" s="90">
        <v>0</v>
      </c>
      <c r="N3068" s="90">
        <v>0</v>
      </c>
      <c r="O3068" s="90">
        <v>255</v>
      </c>
    </row>
    <row r="3069" spans="1:15" s="90" customFormat="1" ht="12.75" customHeight="1" x14ac:dyDescent="0.2">
      <c r="A3069" s="247" t="s">
        <v>990</v>
      </c>
      <c r="B3069" s="316">
        <v>3046</v>
      </c>
      <c r="C3069" s="247" t="s">
        <v>975</v>
      </c>
      <c r="D3069" s="317">
        <v>42675</v>
      </c>
      <c r="E3069" s="318">
        <v>0.54842592592592598</v>
      </c>
      <c r="F3069" s="247" t="s">
        <v>976</v>
      </c>
      <c r="G3069" s="247" t="s">
        <v>1035</v>
      </c>
      <c r="H3069" s="248" t="s">
        <v>404</v>
      </c>
      <c r="I3069" s="248" t="s">
        <v>404</v>
      </c>
      <c r="J3069" s="247" t="s">
        <v>809</v>
      </c>
      <c r="K3069" s="249">
        <v>0</v>
      </c>
      <c r="M3069" s="90">
        <v>0</v>
      </c>
      <c r="N3069" s="90">
        <v>0</v>
      </c>
      <c r="O3069" s="90">
        <v>255</v>
      </c>
    </row>
    <row r="3070" spans="1:15" s="90" customFormat="1" ht="12.75" customHeight="1" x14ac:dyDescent="0.2">
      <c r="A3070" s="247" t="s">
        <v>1033</v>
      </c>
      <c r="B3070" s="316">
        <v>3217</v>
      </c>
      <c r="C3070" s="247" t="s">
        <v>975</v>
      </c>
      <c r="D3070" s="317">
        <v>42675</v>
      </c>
      <c r="E3070" s="318">
        <v>0.54842592592592598</v>
      </c>
      <c r="F3070" s="247" t="s">
        <v>235</v>
      </c>
      <c r="G3070" s="247" t="s">
        <v>1035</v>
      </c>
      <c r="H3070" s="248" t="s">
        <v>234</v>
      </c>
      <c r="I3070" s="248" t="s">
        <v>235</v>
      </c>
      <c r="J3070" s="247" t="s">
        <v>809</v>
      </c>
      <c r="K3070" s="249">
        <v>0</v>
      </c>
      <c r="M3070" s="90">
        <v>0</v>
      </c>
      <c r="N3070" s="90">
        <v>0</v>
      </c>
      <c r="O3070" s="90">
        <v>255</v>
      </c>
    </row>
    <row r="3071" spans="1:15" s="90" customFormat="1" ht="12.75" customHeight="1" x14ac:dyDescent="0.2">
      <c r="A3071" s="247" t="s">
        <v>1330</v>
      </c>
      <c r="B3071" s="316">
        <v>3218</v>
      </c>
      <c r="C3071" s="247" t="s">
        <v>979</v>
      </c>
      <c r="D3071" s="317">
        <v>42675</v>
      </c>
      <c r="E3071" s="318">
        <v>0.55376157407407411</v>
      </c>
      <c r="F3071" s="247" t="s">
        <v>702</v>
      </c>
      <c r="G3071" s="247" t="s">
        <v>1035</v>
      </c>
      <c r="H3071" s="248"/>
      <c r="I3071" s="248"/>
      <c r="J3071" s="247"/>
      <c r="K3071" s="249"/>
      <c r="M3071" s="90">
        <v>0</v>
      </c>
      <c r="N3071" s="90">
        <v>0</v>
      </c>
      <c r="O3071" s="90">
        <v>255</v>
      </c>
    </row>
    <row r="3072" spans="1:15" s="90" customFormat="1" ht="12.75" customHeight="1" x14ac:dyDescent="0.2">
      <c r="A3072" s="247" t="s">
        <v>1331</v>
      </c>
      <c r="B3072" s="316">
        <v>3218</v>
      </c>
      <c r="C3072" s="247" t="s">
        <v>979</v>
      </c>
      <c r="D3072" s="317">
        <v>42675</v>
      </c>
      <c r="E3072" s="318">
        <v>0.55376157407407411</v>
      </c>
      <c r="F3072" s="247" t="s">
        <v>702</v>
      </c>
      <c r="G3072" s="247" t="s">
        <v>1035</v>
      </c>
      <c r="H3072" s="248"/>
      <c r="I3072" s="248"/>
      <c r="J3072" s="247"/>
      <c r="K3072" s="249"/>
      <c r="M3072" s="90">
        <v>0</v>
      </c>
      <c r="N3072" s="90">
        <v>0</v>
      </c>
      <c r="O3072" s="90">
        <v>255</v>
      </c>
    </row>
    <row r="3073" spans="1:15" s="90" customFormat="1" ht="12.75" customHeight="1" x14ac:dyDescent="0.2">
      <c r="A3073" s="247" t="s">
        <v>1331</v>
      </c>
      <c r="B3073" s="316">
        <v>3218</v>
      </c>
      <c r="C3073" s="247" t="s">
        <v>979</v>
      </c>
      <c r="D3073" s="317">
        <v>42675</v>
      </c>
      <c r="E3073" s="318">
        <v>0.55386574074074069</v>
      </c>
      <c r="F3073" s="247" t="s">
        <v>702</v>
      </c>
      <c r="G3073" s="247" t="s">
        <v>1035</v>
      </c>
      <c r="H3073" s="248"/>
      <c r="I3073" s="248"/>
      <c r="J3073" s="247"/>
      <c r="K3073" s="249"/>
      <c r="M3073" s="90">
        <v>0</v>
      </c>
      <c r="N3073" s="90">
        <v>0</v>
      </c>
      <c r="O3073" s="90">
        <v>255</v>
      </c>
    </row>
    <row r="3074" spans="1:15" s="90" customFormat="1" ht="12.75" customHeight="1" x14ac:dyDescent="0.2">
      <c r="A3074" s="247" t="s">
        <v>1031</v>
      </c>
      <c r="B3074" s="316">
        <v>3046</v>
      </c>
      <c r="C3074" s="247" t="s">
        <v>975</v>
      </c>
      <c r="D3074" s="317">
        <v>42675</v>
      </c>
      <c r="E3074" s="318">
        <v>0.55395833333333333</v>
      </c>
      <c r="F3074" s="247" t="s">
        <v>976</v>
      </c>
      <c r="G3074" s="247" t="s">
        <v>1035</v>
      </c>
      <c r="H3074" s="248" t="s">
        <v>404</v>
      </c>
      <c r="I3074" s="248" t="s">
        <v>404</v>
      </c>
      <c r="J3074" s="247" t="s">
        <v>809</v>
      </c>
      <c r="K3074" s="249">
        <v>0</v>
      </c>
      <c r="M3074" s="90">
        <v>0</v>
      </c>
      <c r="N3074" s="90">
        <v>0</v>
      </c>
      <c r="O3074" s="90">
        <v>255</v>
      </c>
    </row>
    <row r="3075" spans="1:15" s="90" customFormat="1" ht="12.75" customHeight="1" x14ac:dyDescent="0.2">
      <c r="A3075" s="247" t="s">
        <v>1032</v>
      </c>
      <c r="B3075" s="316">
        <v>3046</v>
      </c>
      <c r="C3075" s="247" t="s">
        <v>975</v>
      </c>
      <c r="D3075" s="317">
        <v>42675</v>
      </c>
      <c r="E3075" s="318">
        <v>0.55820601851851859</v>
      </c>
      <c r="F3075" s="247" t="s">
        <v>976</v>
      </c>
      <c r="G3075" s="247" t="s">
        <v>1035</v>
      </c>
      <c r="H3075" s="248" t="s">
        <v>404</v>
      </c>
      <c r="I3075" s="248" t="s">
        <v>404</v>
      </c>
      <c r="J3075" s="247" t="s">
        <v>809</v>
      </c>
      <c r="K3075" s="249">
        <v>0</v>
      </c>
      <c r="M3075" s="90">
        <v>0</v>
      </c>
      <c r="N3075" s="90">
        <v>0</v>
      </c>
      <c r="O3075" s="90">
        <v>255</v>
      </c>
    </row>
    <row r="3076" spans="1:15" s="90" customFormat="1" ht="12.75" customHeight="1" x14ac:dyDescent="0.2">
      <c r="A3076" s="247" t="s">
        <v>989</v>
      </c>
      <c r="B3076" s="316">
        <v>3046</v>
      </c>
      <c r="C3076" s="247" t="s">
        <v>975</v>
      </c>
      <c r="D3076" s="317">
        <v>42675</v>
      </c>
      <c r="E3076" s="318">
        <v>0.55821759259259263</v>
      </c>
      <c r="F3076" s="247" t="s">
        <v>976</v>
      </c>
      <c r="G3076" s="247" t="s">
        <v>1035</v>
      </c>
      <c r="H3076" s="248" t="s">
        <v>404</v>
      </c>
      <c r="I3076" s="248" t="s">
        <v>404</v>
      </c>
      <c r="J3076" s="247" t="s">
        <v>809</v>
      </c>
      <c r="K3076" s="249">
        <v>0</v>
      </c>
      <c r="M3076" s="90">
        <v>0</v>
      </c>
      <c r="N3076" s="90">
        <v>0</v>
      </c>
      <c r="O3076" s="90">
        <v>255</v>
      </c>
    </row>
    <row r="3077" spans="1:15" s="90" customFormat="1" ht="12.75" customHeight="1" x14ac:dyDescent="0.2">
      <c r="A3077" s="247" t="s">
        <v>990</v>
      </c>
      <c r="B3077" s="316">
        <v>3046</v>
      </c>
      <c r="C3077" s="247" t="s">
        <v>975</v>
      </c>
      <c r="D3077" s="317">
        <v>42675</v>
      </c>
      <c r="E3077" s="318">
        <v>0.55855324074074075</v>
      </c>
      <c r="F3077" s="247" t="s">
        <v>976</v>
      </c>
      <c r="G3077" s="247" t="s">
        <v>1035</v>
      </c>
      <c r="H3077" s="248" t="s">
        <v>404</v>
      </c>
      <c r="I3077" s="248" t="s">
        <v>404</v>
      </c>
      <c r="J3077" s="247" t="s">
        <v>809</v>
      </c>
      <c r="K3077" s="249">
        <v>0</v>
      </c>
      <c r="M3077" s="90">
        <v>0</v>
      </c>
      <c r="N3077" s="90">
        <v>0</v>
      </c>
      <c r="O3077" s="90">
        <v>255</v>
      </c>
    </row>
    <row r="3078" spans="1:15" s="90" customFormat="1" ht="12.75" customHeight="1" x14ac:dyDescent="0.2">
      <c r="A3078" s="247" t="s">
        <v>1033</v>
      </c>
      <c r="B3078" s="316">
        <v>3217</v>
      </c>
      <c r="C3078" s="247" t="s">
        <v>975</v>
      </c>
      <c r="D3078" s="317">
        <v>42675</v>
      </c>
      <c r="E3078" s="318">
        <v>0.55855324074074075</v>
      </c>
      <c r="F3078" s="247" t="s">
        <v>235</v>
      </c>
      <c r="G3078" s="247" t="s">
        <v>1035</v>
      </c>
      <c r="H3078" s="248" t="s">
        <v>234</v>
      </c>
      <c r="I3078" s="248" t="s">
        <v>235</v>
      </c>
      <c r="J3078" s="247" t="s">
        <v>809</v>
      </c>
      <c r="K3078" s="249">
        <v>0</v>
      </c>
      <c r="M3078" s="90">
        <v>0</v>
      </c>
      <c r="N3078" s="90">
        <v>0</v>
      </c>
      <c r="O3078" s="90">
        <v>255</v>
      </c>
    </row>
    <row r="3079" spans="1:15" s="90" customFormat="1" ht="12.75" customHeight="1" x14ac:dyDescent="0.2">
      <c r="A3079" s="247" t="s">
        <v>1031</v>
      </c>
      <c r="B3079" s="316">
        <v>3046</v>
      </c>
      <c r="C3079" s="247" t="s">
        <v>975</v>
      </c>
      <c r="D3079" s="317">
        <v>42675</v>
      </c>
      <c r="E3079" s="318">
        <v>0.57534722222222223</v>
      </c>
      <c r="F3079" s="247" t="s">
        <v>976</v>
      </c>
      <c r="G3079" s="247" t="s">
        <v>1035</v>
      </c>
      <c r="H3079" s="248" t="s">
        <v>404</v>
      </c>
      <c r="I3079" s="248" t="s">
        <v>404</v>
      </c>
      <c r="J3079" s="247" t="s">
        <v>809</v>
      </c>
      <c r="K3079" s="249">
        <v>0</v>
      </c>
      <c r="M3079" s="90">
        <v>0</v>
      </c>
      <c r="N3079" s="90">
        <v>0</v>
      </c>
      <c r="O3079" s="90">
        <v>255</v>
      </c>
    </row>
    <row r="3080" spans="1:15" s="90" customFormat="1" ht="12.75" customHeight="1" x14ac:dyDescent="0.2">
      <c r="A3080" s="247" t="s">
        <v>1032</v>
      </c>
      <c r="B3080" s="316">
        <v>3046</v>
      </c>
      <c r="C3080" s="247" t="s">
        <v>975</v>
      </c>
      <c r="D3080" s="317">
        <v>42675</v>
      </c>
      <c r="E3080" s="318">
        <v>0.57745370370370364</v>
      </c>
      <c r="F3080" s="247" t="s">
        <v>976</v>
      </c>
      <c r="G3080" s="247" t="s">
        <v>1035</v>
      </c>
      <c r="H3080" s="248" t="s">
        <v>404</v>
      </c>
      <c r="I3080" s="248" t="s">
        <v>404</v>
      </c>
      <c r="J3080" s="247" t="s">
        <v>809</v>
      </c>
      <c r="K3080" s="249">
        <v>0</v>
      </c>
      <c r="M3080" s="90">
        <v>0</v>
      </c>
      <c r="N3080" s="90">
        <v>0</v>
      </c>
      <c r="O3080" s="90">
        <v>255</v>
      </c>
    </row>
    <row r="3081" spans="1:15" s="90" customFormat="1" ht="12.75" customHeight="1" x14ac:dyDescent="0.2">
      <c r="A3081" s="247" t="s">
        <v>989</v>
      </c>
      <c r="B3081" s="316">
        <v>3046</v>
      </c>
      <c r="C3081" s="247" t="s">
        <v>975</v>
      </c>
      <c r="D3081" s="317">
        <v>42675</v>
      </c>
      <c r="E3081" s="318">
        <v>0.57746527777777779</v>
      </c>
      <c r="F3081" s="247" t="s">
        <v>976</v>
      </c>
      <c r="G3081" s="247" t="s">
        <v>1035</v>
      </c>
      <c r="H3081" s="248" t="s">
        <v>404</v>
      </c>
      <c r="I3081" s="248" t="s">
        <v>404</v>
      </c>
      <c r="J3081" s="247" t="s">
        <v>809</v>
      </c>
      <c r="K3081" s="249">
        <v>0</v>
      </c>
      <c r="M3081" s="90">
        <v>0</v>
      </c>
      <c r="N3081" s="90">
        <v>0</v>
      </c>
      <c r="O3081" s="90">
        <v>255</v>
      </c>
    </row>
    <row r="3082" spans="1:15" s="90" customFormat="1" ht="12.75" customHeight="1" x14ac:dyDescent="0.2">
      <c r="A3082" s="247" t="s">
        <v>990</v>
      </c>
      <c r="B3082" s="316">
        <v>3046</v>
      </c>
      <c r="C3082" s="247" t="s">
        <v>975</v>
      </c>
      <c r="D3082" s="317">
        <v>42675</v>
      </c>
      <c r="E3082" s="318">
        <v>0.57775462962962965</v>
      </c>
      <c r="F3082" s="247" t="s">
        <v>976</v>
      </c>
      <c r="G3082" s="247" t="s">
        <v>1035</v>
      </c>
      <c r="H3082" s="248" t="s">
        <v>404</v>
      </c>
      <c r="I3082" s="248" t="s">
        <v>404</v>
      </c>
      <c r="J3082" s="247" t="s">
        <v>809</v>
      </c>
      <c r="K3082" s="249">
        <v>0</v>
      </c>
      <c r="M3082" s="90">
        <v>0</v>
      </c>
      <c r="N3082" s="90">
        <v>0</v>
      </c>
      <c r="O3082" s="90">
        <v>255</v>
      </c>
    </row>
    <row r="3083" spans="1:15" s="90" customFormat="1" ht="12.75" customHeight="1" x14ac:dyDescent="0.2">
      <c r="A3083" s="247" t="s">
        <v>1033</v>
      </c>
      <c r="B3083" s="316">
        <v>3217</v>
      </c>
      <c r="C3083" s="247" t="s">
        <v>975</v>
      </c>
      <c r="D3083" s="317">
        <v>42675</v>
      </c>
      <c r="E3083" s="318">
        <v>0.57775462962962965</v>
      </c>
      <c r="F3083" s="247" t="s">
        <v>235</v>
      </c>
      <c r="G3083" s="247" t="s">
        <v>1035</v>
      </c>
      <c r="H3083" s="248" t="s">
        <v>234</v>
      </c>
      <c r="I3083" s="248" t="s">
        <v>235</v>
      </c>
      <c r="J3083" s="247" t="s">
        <v>809</v>
      </c>
      <c r="K3083" s="249">
        <v>0</v>
      </c>
      <c r="M3083" s="90">
        <v>0</v>
      </c>
      <c r="N3083" s="90">
        <v>0</v>
      </c>
      <c r="O3083" s="90">
        <v>255</v>
      </c>
    </row>
    <row r="3084" spans="1:15" s="90" customFormat="1" ht="12.75" customHeight="1" x14ac:dyDescent="0.2">
      <c r="A3084" s="247" t="s">
        <v>1031</v>
      </c>
      <c r="B3084" s="316">
        <v>3046</v>
      </c>
      <c r="C3084" s="247" t="s">
        <v>975</v>
      </c>
      <c r="D3084" s="317">
        <v>42675</v>
      </c>
      <c r="E3084" s="318">
        <v>0.58449074074074081</v>
      </c>
      <c r="F3084" s="247" t="s">
        <v>976</v>
      </c>
      <c r="G3084" s="247" t="s">
        <v>1035</v>
      </c>
      <c r="H3084" s="248" t="s">
        <v>404</v>
      </c>
      <c r="I3084" s="248" t="s">
        <v>404</v>
      </c>
      <c r="J3084" s="247" t="s">
        <v>809</v>
      </c>
      <c r="K3084" s="249">
        <v>0</v>
      </c>
      <c r="M3084" s="90">
        <v>0</v>
      </c>
      <c r="N3084" s="90">
        <v>0</v>
      </c>
      <c r="O3084" s="90">
        <v>255</v>
      </c>
    </row>
    <row r="3085" spans="1:15" s="90" customFormat="1" ht="12.75" customHeight="1" x14ac:dyDescent="0.2">
      <c r="A3085" s="247" t="s">
        <v>1032</v>
      </c>
      <c r="B3085" s="316">
        <v>3046</v>
      </c>
      <c r="C3085" s="247" t="s">
        <v>975</v>
      </c>
      <c r="D3085" s="317">
        <v>42675</v>
      </c>
      <c r="E3085" s="318">
        <v>0.58646990740740745</v>
      </c>
      <c r="F3085" s="247" t="s">
        <v>976</v>
      </c>
      <c r="G3085" s="247" t="s">
        <v>1035</v>
      </c>
      <c r="H3085" s="248" t="s">
        <v>404</v>
      </c>
      <c r="I3085" s="248" t="s">
        <v>404</v>
      </c>
      <c r="J3085" s="247" t="s">
        <v>809</v>
      </c>
      <c r="K3085" s="249">
        <v>0</v>
      </c>
      <c r="M3085" s="90">
        <v>0</v>
      </c>
      <c r="N3085" s="90">
        <v>0</v>
      </c>
      <c r="O3085" s="90">
        <v>255</v>
      </c>
    </row>
    <row r="3086" spans="1:15" s="90" customFormat="1" ht="12.75" customHeight="1" x14ac:dyDescent="0.2">
      <c r="A3086" s="247" t="s">
        <v>989</v>
      </c>
      <c r="B3086" s="316">
        <v>3046</v>
      </c>
      <c r="C3086" s="247" t="s">
        <v>975</v>
      </c>
      <c r="D3086" s="317">
        <v>42675</v>
      </c>
      <c r="E3086" s="318">
        <v>0.58646990740740745</v>
      </c>
      <c r="F3086" s="247" t="s">
        <v>976</v>
      </c>
      <c r="G3086" s="247" t="s">
        <v>1035</v>
      </c>
      <c r="H3086" s="248" t="s">
        <v>404</v>
      </c>
      <c r="I3086" s="248" t="s">
        <v>404</v>
      </c>
      <c r="J3086" s="247" t="s">
        <v>809</v>
      </c>
      <c r="K3086" s="249">
        <v>0</v>
      </c>
      <c r="M3086" s="90">
        <v>0</v>
      </c>
      <c r="N3086" s="90">
        <v>0</v>
      </c>
      <c r="O3086" s="90">
        <v>255</v>
      </c>
    </row>
    <row r="3087" spans="1:15" s="90" customFormat="1" ht="12.75" customHeight="1" x14ac:dyDescent="0.2">
      <c r="A3087" s="247" t="s">
        <v>990</v>
      </c>
      <c r="B3087" s="316">
        <v>3046</v>
      </c>
      <c r="C3087" s="247" t="s">
        <v>975</v>
      </c>
      <c r="D3087" s="317">
        <v>42675</v>
      </c>
      <c r="E3087" s="318">
        <v>0.58677083333333335</v>
      </c>
      <c r="F3087" s="247" t="s">
        <v>976</v>
      </c>
      <c r="G3087" s="247" t="s">
        <v>1035</v>
      </c>
      <c r="H3087" s="248" t="s">
        <v>404</v>
      </c>
      <c r="I3087" s="248" t="s">
        <v>404</v>
      </c>
      <c r="J3087" s="247" t="s">
        <v>809</v>
      </c>
      <c r="K3087" s="249">
        <v>0</v>
      </c>
      <c r="M3087" s="90">
        <v>0</v>
      </c>
      <c r="N3087" s="90">
        <v>0</v>
      </c>
      <c r="O3087" s="90">
        <v>255</v>
      </c>
    </row>
    <row r="3088" spans="1:15" s="90" customFormat="1" ht="12.75" customHeight="1" x14ac:dyDescent="0.2">
      <c r="A3088" s="247" t="s">
        <v>1033</v>
      </c>
      <c r="B3088" s="316">
        <v>3217</v>
      </c>
      <c r="C3088" s="247" t="s">
        <v>975</v>
      </c>
      <c r="D3088" s="317">
        <v>42675</v>
      </c>
      <c r="E3088" s="318">
        <v>0.58677083333333335</v>
      </c>
      <c r="F3088" s="247" t="s">
        <v>235</v>
      </c>
      <c r="G3088" s="247" t="s">
        <v>1035</v>
      </c>
      <c r="H3088" s="248" t="s">
        <v>234</v>
      </c>
      <c r="I3088" s="248" t="s">
        <v>235</v>
      </c>
      <c r="J3088" s="247" t="s">
        <v>809</v>
      </c>
      <c r="K3088" s="249">
        <v>0</v>
      </c>
      <c r="M3088" s="90">
        <v>0</v>
      </c>
      <c r="N3088" s="90">
        <v>0</v>
      </c>
      <c r="O3088" s="90">
        <v>255</v>
      </c>
    </row>
    <row r="3089" spans="1:15" s="90" customFormat="1" ht="12.75" customHeight="1" x14ac:dyDescent="0.2">
      <c r="A3089" s="247" t="s">
        <v>1031</v>
      </c>
      <c r="B3089" s="316">
        <v>3046</v>
      </c>
      <c r="C3089" s="247" t="s">
        <v>975</v>
      </c>
      <c r="D3089" s="317">
        <v>42675</v>
      </c>
      <c r="E3089" s="318">
        <v>0.5958796296296297</v>
      </c>
      <c r="F3089" s="247" t="s">
        <v>976</v>
      </c>
      <c r="G3089" s="247" t="s">
        <v>1035</v>
      </c>
      <c r="H3089" s="248" t="s">
        <v>404</v>
      </c>
      <c r="I3089" s="248" t="s">
        <v>404</v>
      </c>
      <c r="J3089" s="247" t="s">
        <v>809</v>
      </c>
      <c r="K3089" s="249">
        <v>0</v>
      </c>
      <c r="M3089" s="90">
        <v>0</v>
      </c>
      <c r="N3089" s="90">
        <v>0</v>
      </c>
      <c r="O3089" s="90">
        <v>255</v>
      </c>
    </row>
    <row r="3090" spans="1:15" s="90" customFormat="1" ht="12.75" customHeight="1" x14ac:dyDescent="0.2">
      <c r="A3090" s="247" t="s">
        <v>1032</v>
      </c>
      <c r="B3090" s="316">
        <v>3046</v>
      </c>
      <c r="C3090" s="247" t="s">
        <v>975</v>
      </c>
      <c r="D3090" s="317">
        <v>42675</v>
      </c>
      <c r="E3090" s="318">
        <v>0.60002314814814817</v>
      </c>
      <c r="F3090" s="247" t="s">
        <v>976</v>
      </c>
      <c r="G3090" s="247" t="s">
        <v>1035</v>
      </c>
      <c r="H3090" s="248" t="s">
        <v>404</v>
      </c>
      <c r="I3090" s="248" t="s">
        <v>404</v>
      </c>
      <c r="J3090" s="247" t="s">
        <v>809</v>
      </c>
      <c r="K3090" s="249">
        <v>0</v>
      </c>
      <c r="M3090" s="90">
        <v>0</v>
      </c>
      <c r="N3090" s="90">
        <v>0</v>
      </c>
      <c r="O3090" s="90">
        <v>255</v>
      </c>
    </row>
    <row r="3091" spans="1:15" s="90" customFormat="1" ht="12.75" customHeight="1" x14ac:dyDescent="0.2">
      <c r="A3091" s="247" t="s">
        <v>989</v>
      </c>
      <c r="B3091" s="316">
        <v>3046</v>
      </c>
      <c r="C3091" s="247" t="s">
        <v>975</v>
      </c>
      <c r="D3091" s="317">
        <v>42675</v>
      </c>
      <c r="E3091" s="318">
        <v>0.60002314814814817</v>
      </c>
      <c r="F3091" s="247" t="s">
        <v>976</v>
      </c>
      <c r="G3091" s="247" t="s">
        <v>1035</v>
      </c>
      <c r="H3091" s="248" t="s">
        <v>404</v>
      </c>
      <c r="I3091" s="248" t="s">
        <v>404</v>
      </c>
      <c r="J3091" s="247" t="s">
        <v>809</v>
      </c>
      <c r="K3091" s="249">
        <v>0</v>
      </c>
      <c r="M3091" s="90">
        <v>0</v>
      </c>
      <c r="N3091" s="90">
        <v>0</v>
      </c>
      <c r="O3091" s="90">
        <v>255</v>
      </c>
    </row>
    <row r="3092" spans="1:15" s="90" customFormat="1" ht="12.75" customHeight="1" x14ac:dyDescent="0.2">
      <c r="A3092" s="247" t="s">
        <v>1033</v>
      </c>
      <c r="B3092" s="316">
        <v>3217</v>
      </c>
      <c r="C3092" s="247" t="s">
        <v>975</v>
      </c>
      <c r="D3092" s="317">
        <v>42675</v>
      </c>
      <c r="E3092" s="318">
        <v>0.60030092592592588</v>
      </c>
      <c r="F3092" s="247" t="s">
        <v>235</v>
      </c>
      <c r="G3092" s="247" t="s">
        <v>1035</v>
      </c>
      <c r="H3092" s="248" t="s">
        <v>234</v>
      </c>
      <c r="I3092" s="248" t="s">
        <v>235</v>
      </c>
      <c r="J3092" s="247" t="s">
        <v>809</v>
      </c>
      <c r="K3092" s="249">
        <v>0</v>
      </c>
      <c r="M3092" s="90">
        <v>0</v>
      </c>
      <c r="N3092" s="90">
        <v>0</v>
      </c>
      <c r="O3092" s="90">
        <v>255</v>
      </c>
    </row>
    <row r="3093" spans="1:15" s="90" customFormat="1" ht="12.75" customHeight="1" x14ac:dyDescent="0.2">
      <c r="A3093" s="247" t="s">
        <v>990</v>
      </c>
      <c r="B3093" s="316">
        <v>3046</v>
      </c>
      <c r="C3093" s="247" t="s">
        <v>975</v>
      </c>
      <c r="D3093" s="317">
        <v>42675</v>
      </c>
      <c r="E3093" s="318">
        <v>0.60031250000000003</v>
      </c>
      <c r="F3093" s="247" t="s">
        <v>976</v>
      </c>
      <c r="G3093" s="247" t="s">
        <v>1035</v>
      </c>
      <c r="H3093" s="248" t="s">
        <v>404</v>
      </c>
      <c r="I3093" s="248" t="s">
        <v>404</v>
      </c>
      <c r="J3093" s="247" t="s">
        <v>809</v>
      </c>
      <c r="K3093" s="249">
        <v>0</v>
      </c>
      <c r="M3093" s="90">
        <v>0</v>
      </c>
      <c r="N3093" s="90">
        <v>0</v>
      </c>
      <c r="O3093" s="90">
        <v>255</v>
      </c>
    </row>
    <row r="3094" spans="1:15" s="90" customFormat="1" ht="12.75" customHeight="1" x14ac:dyDescent="0.2">
      <c r="A3094" s="247" t="s">
        <v>1031</v>
      </c>
      <c r="B3094" s="316">
        <v>3046</v>
      </c>
      <c r="C3094" s="247" t="s">
        <v>975</v>
      </c>
      <c r="D3094" s="317">
        <v>42675</v>
      </c>
      <c r="E3094" s="318">
        <v>0.60877314814814809</v>
      </c>
      <c r="F3094" s="247" t="s">
        <v>976</v>
      </c>
      <c r="G3094" s="247" t="s">
        <v>1035</v>
      </c>
      <c r="H3094" s="248" t="s">
        <v>404</v>
      </c>
      <c r="I3094" s="248" t="s">
        <v>404</v>
      </c>
      <c r="J3094" s="247" t="s">
        <v>809</v>
      </c>
      <c r="K3094" s="249">
        <v>0</v>
      </c>
      <c r="M3094" s="90">
        <v>0</v>
      </c>
      <c r="N3094" s="90">
        <v>0</v>
      </c>
      <c r="O3094" s="90">
        <v>255</v>
      </c>
    </row>
    <row r="3095" spans="1:15" s="90" customFormat="1" ht="12.75" customHeight="1" x14ac:dyDescent="0.2">
      <c r="A3095" s="247" t="s">
        <v>1032</v>
      </c>
      <c r="B3095" s="316">
        <v>3046</v>
      </c>
      <c r="C3095" s="247" t="s">
        <v>975</v>
      </c>
      <c r="D3095" s="317">
        <v>42675</v>
      </c>
      <c r="E3095" s="318">
        <v>0.61266203703703703</v>
      </c>
      <c r="F3095" s="247" t="s">
        <v>976</v>
      </c>
      <c r="G3095" s="247" t="s">
        <v>1035</v>
      </c>
      <c r="H3095" s="248" t="s">
        <v>404</v>
      </c>
      <c r="I3095" s="248" t="s">
        <v>404</v>
      </c>
      <c r="J3095" s="247" t="s">
        <v>809</v>
      </c>
      <c r="K3095" s="249">
        <v>0</v>
      </c>
      <c r="M3095" s="90">
        <v>0</v>
      </c>
      <c r="N3095" s="90">
        <v>0</v>
      </c>
      <c r="O3095" s="90">
        <v>255</v>
      </c>
    </row>
    <row r="3096" spans="1:15" s="90" customFormat="1" ht="12.75" customHeight="1" x14ac:dyDescent="0.2">
      <c r="A3096" s="247" t="s">
        <v>989</v>
      </c>
      <c r="B3096" s="316">
        <v>3046</v>
      </c>
      <c r="C3096" s="247" t="s">
        <v>975</v>
      </c>
      <c r="D3096" s="317">
        <v>42675</v>
      </c>
      <c r="E3096" s="318">
        <v>0.61266203703703703</v>
      </c>
      <c r="F3096" s="247" t="s">
        <v>976</v>
      </c>
      <c r="G3096" s="247" t="s">
        <v>1035</v>
      </c>
      <c r="H3096" s="248" t="s">
        <v>404</v>
      </c>
      <c r="I3096" s="248" t="s">
        <v>404</v>
      </c>
      <c r="J3096" s="247" t="s">
        <v>809</v>
      </c>
      <c r="K3096" s="249">
        <v>0</v>
      </c>
      <c r="M3096" s="90">
        <v>0</v>
      </c>
      <c r="N3096" s="90">
        <v>0</v>
      </c>
      <c r="O3096" s="90">
        <v>255</v>
      </c>
    </row>
    <row r="3097" spans="1:15" s="90" customFormat="1" ht="12.75" customHeight="1" x14ac:dyDescent="0.2">
      <c r="A3097" s="247" t="s">
        <v>990</v>
      </c>
      <c r="B3097" s="316">
        <v>3046</v>
      </c>
      <c r="C3097" s="247" t="s">
        <v>975</v>
      </c>
      <c r="D3097" s="317">
        <v>42675</v>
      </c>
      <c r="E3097" s="318">
        <v>0.61295138888888889</v>
      </c>
      <c r="F3097" s="247" t="s">
        <v>976</v>
      </c>
      <c r="G3097" s="247" t="s">
        <v>1035</v>
      </c>
      <c r="H3097" s="248" t="s">
        <v>404</v>
      </c>
      <c r="I3097" s="248" t="s">
        <v>404</v>
      </c>
      <c r="J3097" s="247" t="s">
        <v>809</v>
      </c>
      <c r="K3097" s="249">
        <v>0</v>
      </c>
      <c r="M3097" s="90">
        <v>0</v>
      </c>
      <c r="N3097" s="90">
        <v>0</v>
      </c>
      <c r="O3097" s="90">
        <v>255</v>
      </c>
    </row>
    <row r="3098" spans="1:15" s="90" customFormat="1" ht="12.75" customHeight="1" x14ac:dyDescent="0.2">
      <c r="A3098" s="247" t="s">
        <v>1033</v>
      </c>
      <c r="B3098" s="316">
        <v>3217</v>
      </c>
      <c r="C3098" s="247" t="s">
        <v>975</v>
      </c>
      <c r="D3098" s="317">
        <v>42675</v>
      </c>
      <c r="E3098" s="318">
        <v>0.61295138888888889</v>
      </c>
      <c r="F3098" s="247" t="s">
        <v>235</v>
      </c>
      <c r="G3098" s="247" t="s">
        <v>1035</v>
      </c>
      <c r="H3098" s="248" t="s">
        <v>234</v>
      </c>
      <c r="I3098" s="248" t="s">
        <v>235</v>
      </c>
      <c r="J3098" s="247" t="s">
        <v>809</v>
      </c>
      <c r="K3098" s="249">
        <v>0</v>
      </c>
      <c r="M3098" s="90">
        <v>0</v>
      </c>
      <c r="N3098" s="90">
        <v>0</v>
      </c>
      <c r="O3098" s="90">
        <v>255</v>
      </c>
    </row>
    <row r="3099" spans="1:15" s="90" customFormat="1" ht="12.75" customHeight="1" x14ac:dyDescent="0.2">
      <c r="A3099" s="247" t="s">
        <v>1503</v>
      </c>
      <c r="B3099" s="316">
        <v>3218</v>
      </c>
      <c r="C3099" s="247" t="s">
        <v>979</v>
      </c>
      <c r="D3099" s="317">
        <v>42675</v>
      </c>
      <c r="E3099" s="318">
        <v>0.61488425925925927</v>
      </c>
      <c r="F3099" s="247" t="s">
        <v>702</v>
      </c>
      <c r="G3099" s="247" t="s">
        <v>1035</v>
      </c>
      <c r="H3099" s="248"/>
      <c r="I3099" s="248"/>
      <c r="J3099" s="247"/>
      <c r="K3099" s="249"/>
      <c r="M3099" s="90">
        <v>0</v>
      </c>
      <c r="N3099" s="90">
        <v>0</v>
      </c>
      <c r="O3099" s="90">
        <v>255</v>
      </c>
    </row>
    <row r="3100" spans="1:15" s="90" customFormat="1" ht="12.75" customHeight="1" x14ac:dyDescent="0.2">
      <c r="A3100" s="247" t="s">
        <v>1031</v>
      </c>
      <c r="B3100" s="316">
        <v>3046</v>
      </c>
      <c r="C3100" s="247" t="s">
        <v>975</v>
      </c>
      <c r="D3100" s="317">
        <v>42675</v>
      </c>
      <c r="E3100" s="318">
        <v>0.61503472222222222</v>
      </c>
      <c r="F3100" s="247" t="s">
        <v>976</v>
      </c>
      <c r="G3100" s="247" t="s">
        <v>1035</v>
      </c>
      <c r="H3100" s="248" t="s">
        <v>404</v>
      </c>
      <c r="I3100" s="248" t="s">
        <v>404</v>
      </c>
      <c r="J3100" s="247" t="s">
        <v>809</v>
      </c>
      <c r="K3100" s="249">
        <v>0</v>
      </c>
      <c r="M3100" s="90">
        <v>0</v>
      </c>
      <c r="N3100" s="90">
        <v>0</v>
      </c>
      <c r="O3100" s="90">
        <v>255</v>
      </c>
    </row>
    <row r="3101" spans="1:15" s="90" customFormat="1" ht="12.75" customHeight="1" x14ac:dyDescent="0.2">
      <c r="A3101" s="247" t="s">
        <v>1032</v>
      </c>
      <c r="B3101" s="316">
        <v>3046</v>
      </c>
      <c r="C3101" s="247" t="s">
        <v>975</v>
      </c>
      <c r="D3101" s="317">
        <v>42675</v>
      </c>
      <c r="E3101" s="318">
        <v>0.61704861111111109</v>
      </c>
      <c r="F3101" s="247" t="s">
        <v>976</v>
      </c>
      <c r="G3101" s="247" t="s">
        <v>1035</v>
      </c>
      <c r="H3101" s="248" t="s">
        <v>404</v>
      </c>
      <c r="I3101" s="248" t="s">
        <v>404</v>
      </c>
      <c r="J3101" s="247" t="s">
        <v>809</v>
      </c>
      <c r="K3101" s="249">
        <v>0</v>
      </c>
      <c r="M3101" s="90">
        <v>0</v>
      </c>
      <c r="N3101" s="90">
        <v>0</v>
      </c>
      <c r="O3101" s="90">
        <v>255</v>
      </c>
    </row>
    <row r="3102" spans="1:15" s="90" customFormat="1" ht="12.75" customHeight="1" x14ac:dyDescent="0.2">
      <c r="A3102" s="247" t="s">
        <v>989</v>
      </c>
      <c r="B3102" s="316">
        <v>3046</v>
      </c>
      <c r="C3102" s="247" t="s">
        <v>975</v>
      </c>
      <c r="D3102" s="317">
        <v>42675</v>
      </c>
      <c r="E3102" s="318">
        <v>0.61704861111111109</v>
      </c>
      <c r="F3102" s="247" t="s">
        <v>976</v>
      </c>
      <c r="G3102" s="247" t="s">
        <v>1035</v>
      </c>
      <c r="H3102" s="248" t="s">
        <v>404</v>
      </c>
      <c r="I3102" s="248" t="s">
        <v>404</v>
      </c>
      <c r="J3102" s="247" t="s">
        <v>809</v>
      </c>
      <c r="K3102" s="249">
        <v>0</v>
      </c>
      <c r="M3102" s="90">
        <v>0</v>
      </c>
      <c r="N3102" s="90">
        <v>0</v>
      </c>
      <c r="O3102" s="90">
        <v>255</v>
      </c>
    </row>
    <row r="3103" spans="1:15" s="90" customFormat="1" ht="12.75" customHeight="1" x14ac:dyDescent="0.2">
      <c r="A3103" s="247" t="s">
        <v>990</v>
      </c>
      <c r="B3103" s="316">
        <v>3046</v>
      </c>
      <c r="C3103" s="247" t="s">
        <v>975</v>
      </c>
      <c r="D3103" s="317">
        <v>42675</v>
      </c>
      <c r="E3103" s="318">
        <v>0.6173495370370371</v>
      </c>
      <c r="F3103" s="247" t="s">
        <v>976</v>
      </c>
      <c r="G3103" s="247" t="s">
        <v>1035</v>
      </c>
      <c r="H3103" s="248" t="s">
        <v>404</v>
      </c>
      <c r="I3103" s="248" t="s">
        <v>404</v>
      </c>
      <c r="J3103" s="247" t="s">
        <v>809</v>
      </c>
      <c r="K3103" s="249">
        <v>0</v>
      </c>
      <c r="M3103" s="90">
        <v>0</v>
      </c>
      <c r="N3103" s="90">
        <v>0</v>
      </c>
      <c r="O3103" s="90">
        <v>255</v>
      </c>
    </row>
    <row r="3104" spans="1:15" s="90" customFormat="1" ht="12.75" customHeight="1" x14ac:dyDescent="0.2">
      <c r="A3104" s="247" t="s">
        <v>1033</v>
      </c>
      <c r="B3104" s="316">
        <v>3217</v>
      </c>
      <c r="C3104" s="247" t="s">
        <v>975</v>
      </c>
      <c r="D3104" s="317">
        <v>42675</v>
      </c>
      <c r="E3104" s="318">
        <v>0.6173495370370371</v>
      </c>
      <c r="F3104" s="247" t="s">
        <v>235</v>
      </c>
      <c r="G3104" s="247" t="s">
        <v>1035</v>
      </c>
      <c r="H3104" s="248" t="s">
        <v>234</v>
      </c>
      <c r="I3104" s="248" t="s">
        <v>235</v>
      </c>
      <c r="J3104" s="247" t="s">
        <v>809</v>
      </c>
      <c r="K3104" s="249">
        <v>0</v>
      </c>
      <c r="M3104" s="90">
        <v>0</v>
      </c>
      <c r="N3104" s="90">
        <v>0</v>
      </c>
      <c r="O3104" s="90">
        <v>255</v>
      </c>
    </row>
    <row r="3105" spans="1:15" s="90" customFormat="1" ht="12.75" customHeight="1" x14ac:dyDescent="0.2">
      <c r="A3105" s="247" t="s">
        <v>1031</v>
      </c>
      <c r="B3105" s="316">
        <v>3046</v>
      </c>
      <c r="C3105" s="247" t="s">
        <v>975</v>
      </c>
      <c r="D3105" s="317">
        <v>42675</v>
      </c>
      <c r="E3105" s="318">
        <v>0.6224884259259259</v>
      </c>
      <c r="F3105" s="247" t="s">
        <v>976</v>
      </c>
      <c r="G3105" s="247" t="s">
        <v>1035</v>
      </c>
      <c r="H3105" s="248" t="s">
        <v>404</v>
      </c>
      <c r="I3105" s="248" t="s">
        <v>404</v>
      </c>
      <c r="J3105" s="247" t="s">
        <v>809</v>
      </c>
      <c r="K3105" s="249">
        <v>0</v>
      </c>
      <c r="M3105" s="90">
        <v>0</v>
      </c>
      <c r="N3105" s="90">
        <v>0</v>
      </c>
      <c r="O3105" s="90">
        <v>255</v>
      </c>
    </row>
    <row r="3106" spans="1:15" s="90" customFormat="1" ht="12.75" customHeight="1" x14ac:dyDescent="0.2">
      <c r="A3106" s="247" t="s">
        <v>1032</v>
      </c>
      <c r="B3106" s="316">
        <v>3046</v>
      </c>
      <c r="C3106" s="247" t="s">
        <v>975</v>
      </c>
      <c r="D3106" s="317">
        <v>42675</v>
      </c>
      <c r="E3106" s="318">
        <v>0.6247800925925926</v>
      </c>
      <c r="F3106" s="247" t="s">
        <v>976</v>
      </c>
      <c r="G3106" s="247" t="s">
        <v>1035</v>
      </c>
      <c r="H3106" s="248" t="s">
        <v>404</v>
      </c>
      <c r="I3106" s="248" t="s">
        <v>404</v>
      </c>
      <c r="J3106" s="247" t="s">
        <v>809</v>
      </c>
      <c r="K3106" s="249">
        <v>0</v>
      </c>
      <c r="M3106" s="90">
        <v>0</v>
      </c>
      <c r="N3106" s="90">
        <v>0</v>
      </c>
      <c r="O3106" s="90">
        <v>255</v>
      </c>
    </row>
    <row r="3107" spans="1:15" s="90" customFormat="1" ht="12.75" customHeight="1" x14ac:dyDescent="0.2">
      <c r="A3107" s="247" t="s">
        <v>989</v>
      </c>
      <c r="B3107" s="316">
        <v>3046</v>
      </c>
      <c r="C3107" s="247" t="s">
        <v>975</v>
      </c>
      <c r="D3107" s="317">
        <v>42675</v>
      </c>
      <c r="E3107" s="318">
        <v>0.6247800925925926</v>
      </c>
      <c r="F3107" s="247" t="s">
        <v>976</v>
      </c>
      <c r="G3107" s="247" t="s">
        <v>1035</v>
      </c>
      <c r="H3107" s="248" t="s">
        <v>404</v>
      </c>
      <c r="I3107" s="248" t="s">
        <v>404</v>
      </c>
      <c r="J3107" s="247" t="s">
        <v>809</v>
      </c>
      <c r="K3107" s="249">
        <v>0</v>
      </c>
      <c r="M3107" s="90">
        <v>0</v>
      </c>
      <c r="N3107" s="90">
        <v>0</v>
      </c>
      <c r="O3107" s="90">
        <v>255</v>
      </c>
    </row>
    <row r="3108" spans="1:15" s="90" customFormat="1" ht="12.75" customHeight="1" x14ac:dyDescent="0.2">
      <c r="A3108" s="247" t="s">
        <v>1033</v>
      </c>
      <c r="B3108" s="316">
        <v>3217</v>
      </c>
      <c r="C3108" s="247" t="s">
        <v>975</v>
      </c>
      <c r="D3108" s="317">
        <v>42675</v>
      </c>
      <c r="E3108" s="318">
        <v>0.62508101851851849</v>
      </c>
      <c r="F3108" s="247" t="s">
        <v>235</v>
      </c>
      <c r="G3108" s="247" t="s">
        <v>1035</v>
      </c>
      <c r="H3108" s="248" t="s">
        <v>234</v>
      </c>
      <c r="I3108" s="248" t="s">
        <v>235</v>
      </c>
      <c r="J3108" s="247" t="s">
        <v>809</v>
      </c>
      <c r="K3108" s="249">
        <v>0</v>
      </c>
      <c r="M3108" s="90">
        <v>0</v>
      </c>
      <c r="N3108" s="90">
        <v>0</v>
      </c>
      <c r="O3108" s="90">
        <v>255</v>
      </c>
    </row>
    <row r="3109" spans="1:15" s="90" customFormat="1" ht="12.75" customHeight="1" x14ac:dyDescent="0.2">
      <c r="A3109" s="247" t="s">
        <v>990</v>
      </c>
      <c r="B3109" s="316">
        <v>3046</v>
      </c>
      <c r="C3109" s="247" t="s">
        <v>975</v>
      </c>
      <c r="D3109" s="317">
        <v>42675</v>
      </c>
      <c r="E3109" s="318">
        <v>0.62509259259259264</v>
      </c>
      <c r="F3109" s="247" t="s">
        <v>976</v>
      </c>
      <c r="G3109" s="247" t="s">
        <v>1035</v>
      </c>
      <c r="H3109" s="248" t="s">
        <v>404</v>
      </c>
      <c r="I3109" s="248" t="s">
        <v>404</v>
      </c>
      <c r="J3109" s="247" t="s">
        <v>809</v>
      </c>
      <c r="K3109" s="249">
        <v>0</v>
      </c>
      <c r="M3109" s="90">
        <v>0</v>
      </c>
      <c r="N3109" s="90">
        <v>0</v>
      </c>
      <c r="O3109" s="90">
        <v>255</v>
      </c>
    </row>
    <row r="3110" spans="1:15" s="90" customFormat="1" ht="12.75" customHeight="1" x14ac:dyDescent="0.2">
      <c r="A3110" s="247" t="s">
        <v>1031</v>
      </c>
      <c r="B3110" s="316">
        <v>3046</v>
      </c>
      <c r="C3110" s="247" t="s">
        <v>975</v>
      </c>
      <c r="D3110" s="317">
        <v>42675</v>
      </c>
      <c r="E3110" s="318">
        <v>0.62796296296296295</v>
      </c>
      <c r="F3110" s="247" t="s">
        <v>976</v>
      </c>
      <c r="G3110" s="247" t="s">
        <v>1035</v>
      </c>
      <c r="H3110" s="248" t="s">
        <v>404</v>
      </c>
      <c r="I3110" s="248" t="s">
        <v>404</v>
      </c>
      <c r="J3110" s="247" t="s">
        <v>809</v>
      </c>
      <c r="K3110" s="249">
        <v>0</v>
      </c>
      <c r="M3110" s="90">
        <v>0</v>
      </c>
      <c r="N3110" s="90">
        <v>0</v>
      </c>
      <c r="O3110" s="90">
        <v>255</v>
      </c>
    </row>
    <row r="3111" spans="1:15" s="90" customFormat="1" ht="12.75" customHeight="1" x14ac:dyDescent="0.2">
      <c r="A3111" s="247" t="s">
        <v>613</v>
      </c>
      <c r="B3111" s="316">
        <v>4035</v>
      </c>
      <c r="C3111" s="247" t="s">
        <v>996</v>
      </c>
      <c r="D3111" s="317">
        <v>42675</v>
      </c>
      <c r="E3111" s="318">
        <v>0.62840277777777775</v>
      </c>
      <c r="F3111" s="247" t="s">
        <v>702</v>
      </c>
      <c r="G3111" s="247" t="s">
        <v>1035</v>
      </c>
      <c r="H3111" s="248" t="s">
        <v>860</v>
      </c>
      <c r="I3111" s="248" t="s">
        <v>40</v>
      </c>
      <c r="J3111" s="247" t="s">
        <v>809</v>
      </c>
      <c r="K3111" s="249">
        <v>0</v>
      </c>
      <c r="L3111" s="90" t="s">
        <v>1775</v>
      </c>
      <c r="M3111" s="90">
        <v>258</v>
      </c>
      <c r="N3111" s="90">
        <v>1</v>
      </c>
      <c r="O3111" s="90">
        <v>0</v>
      </c>
    </row>
    <row r="3112" spans="1:15" s="90" customFormat="1" ht="12.75" customHeight="1" x14ac:dyDescent="0.2">
      <c r="A3112" s="247" t="s">
        <v>1032</v>
      </c>
      <c r="B3112" s="316">
        <v>3046</v>
      </c>
      <c r="C3112" s="247" t="s">
        <v>975</v>
      </c>
      <c r="D3112" s="317">
        <v>42675</v>
      </c>
      <c r="E3112" s="318">
        <v>0.63261574074074078</v>
      </c>
      <c r="F3112" s="247" t="s">
        <v>976</v>
      </c>
      <c r="G3112" s="247" t="s">
        <v>1035</v>
      </c>
      <c r="H3112" s="248" t="s">
        <v>404</v>
      </c>
      <c r="I3112" s="248" t="s">
        <v>404</v>
      </c>
      <c r="J3112" s="247" t="s">
        <v>809</v>
      </c>
      <c r="K3112" s="249">
        <v>0</v>
      </c>
      <c r="M3112" s="90">
        <v>0</v>
      </c>
      <c r="N3112" s="90">
        <v>0</v>
      </c>
      <c r="O3112" s="90">
        <v>255</v>
      </c>
    </row>
    <row r="3113" spans="1:15" s="90" customFormat="1" ht="12.75" customHeight="1" x14ac:dyDescent="0.2">
      <c r="A3113" s="247" t="s">
        <v>989</v>
      </c>
      <c r="B3113" s="316">
        <v>3046</v>
      </c>
      <c r="C3113" s="247" t="s">
        <v>975</v>
      </c>
      <c r="D3113" s="317">
        <v>42675</v>
      </c>
      <c r="E3113" s="318">
        <v>0.63262731481481482</v>
      </c>
      <c r="F3113" s="247" t="s">
        <v>976</v>
      </c>
      <c r="G3113" s="247" t="s">
        <v>1035</v>
      </c>
      <c r="H3113" s="248" t="s">
        <v>404</v>
      </c>
      <c r="I3113" s="248" t="s">
        <v>404</v>
      </c>
      <c r="J3113" s="247" t="s">
        <v>809</v>
      </c>
      <c r="K3113" s="249">
        <v>0</v>
      </c>
      <c r="M3113" s="90">
        <v>0</v>
      </c>
      <c r="N3113" s="90">
        <v>0</v>
      </c>
      <c r="O3113" s="90">
        <v>255</v>
      </c>
    </row>
    <row r="3114" spans="1:15" s="90" customFormat="1" ht="12.75" customHeight="1" x14ac:dyDescent="0.2">
      <c r="A3114" s="247" t="s">
        <v>990</v>
      </c>
      <c r="B3114" s="316">
        <v>3046</v>
      </c>
      <c r="C3114" s="247" t="s">
        <v>975</v>
      </c>
      <c r="D3114" s="317">
        <v>42675</v>
      </c>
      <c r="E3114" s="318">
        <v>0.63291666666666668</v>
      </c>
      <c r="F3114" s="247" t="s">
        <v>976</v>
      </c>
      <c r="G3114" s="247" t="s">
        <v>1035</v>
      </c>
      <c r="H3114" s="248" t="s">
        <v>404</v>
      </c>
      <c r="I3114" s="248" t="s">
        <v>404</v>
      </c>
      <c r="J3114" s="247" t="s">
        <v>809</v>
      </c>
      <c r="K3114" s="249">
        <v>0</v>
      </c>
      <c r="M3114" s="90">
        <v>0</v>
      </c>
      <c r="N3114" s="90">
        <v>0</v>
      </c>
      <c r="O3114" s="90">
        <v>255</v>
      </c>
    </row>
    <row r="3115" spans="1:15" s="90" customFormat="1" ht="12.75" customHeight="1" x14ac:dyDescent="0.2">
      <c r="A3115" s="247" t="s">
        <v>1033</v>
      </c>
      <c r="B3115" s="316">
        <v>3217</v>
      </c>
      <c r="C3115" s="247" t="s">
        <v>975</v>
      </c>
      <c r="D3115" s="317">
        <v>42675</v>
      </c>
      <c r="E3115" s="318">
        <v>0.63291666666666668</v>
      </c>
      <c r="F3115" s="247" t="s">
        <v>235</v>
      </c>
      <c r="G3115" s="247" t="s">
        <v>1035</v>
      </c>
      <c r="H3115" s="248" t="s">
        <v>234</v>
      </c>
      <c r="I3115" s="248" t="s">
        <v>235</v>
      </c>
      <c r="J3115" s="247" t="s">
        <v>809</v>
      </c>
      <c r="K3115" s="249">
        <v>0</v>
      </c>
      <c r="M3115" s="90">
        <v>0</v>
      </c>
      <c r="N3115" s="90">
        <v>0</v>
      </c>
      <c r="O3115" s="90">
        <v>255</v>
      </c>
    </row>
    <row r="3116" spans="1:15" s="90" customFormat="1" ht="12.75" customHeight="1" x14ac:dyDescent="0.2">
      <c r="A3116" s="247" t="s">
        <v>1037</v>
      </c>
      <c r="B3116" s="316">
        <v>3108</v>
      </c>
      <c r="C3116" s="247" t="s">
        <v>975</v>
      </c>
      <c r="D3116" s="317">
        <v>42675</v>
      </c>
      <c r="E3116" s="318">
        <v>0.63556712962962958</v>
      </c>
      <c r="F3116" s="247" t="s">
        <v>978</v>
      </c>
      <c r="G3116" s="247" t="s">
        <v>1035</v>
      </c>
      <c r="H3116" s="248" t="s">
        <v>234</v>
      </c>
      <c r="I3116" s="248" t="s">
        <v>677</v>
      </c>
      <c r="J3116" s="247" t="s">
        <v>809</v>
      </c>
      <c r="K3116" s="249">
        <v>0</v>
      </c>
      <c r="M3116" s="90">
        <v>0</v>
      </c>
      <c r="N3116" s="90">
        <v>0</v>
      </c>
      <c r="O3116" s="90">
        <v>255</v>
      </c>
    </row>
    <row r="3117" spans="1:15" s="90" customFormat="1" ht="12.75" customHeight="1" x14ac:dyDescent="0.2">
      <c r="A3117" s="247" t="s">
        <v>1504</v>
      </c>
      <c r="B3117" s="316">
        <v>3106</v>
      </c>
      <c r="C3117" s="247" t="s">
        <v>975</v>
      </c>
      <c r="D3117" s="317">
        <v>42675</v>
      </c>
      <c r="E3117" s="318">
        <v>0.63572916666666668</v>
      </c>
      <c r="F3117" s="247" t="s">
        <v>978</v>
      </c>
      <c r="G3117" s="247" t="s">
        <v>1505</v>
      </c>
      <c r="H3117" s="248" t="s">
        <v>234</v>
      </c>
      <c r="I3117" s="248" t="s">
        <v>677</v>
      </c>
      <c r="J3117" s="247" t="s">
        <v>809</v>
      </c>
      <c r="K3117" s="249">
        <v>0</v>
      </c>
      <c r="M3117" s="90">
        <v>0</v>
      </c>
      <c r="N3117" s="90">
        <v>0</v>
      </c>
      <c r="O3117" s="90">
        <v>255</v>
      </c>
    </row>
    <row r="3118" spans="1:15" s="90" customFormat="1" ht="12.75" customHeight="1" x14ac:dyDescent="0.2">
      <c r="A3118" s="247" t="s">
        <v>1031</v>
      </c>
      <c r="B3118" s="316">
        <v>3046</v>
      </c>
      <c r="C3118" s="247" t="s">
        <v>975</v>
      </c>
      <c r="D3118" s="317">
        <v>42675</v>
      </c>
      <c r="E3118" s="318">
        <v>0.63790509259259254</v>
      </c>
      <c r="F3118" s="247" t="s">
        <v>976</v>
      </c>
      <c r="G3118" s="247" t="s">
        <v>1505</v>
      </c>
      <c r="H3118" s="248" t="s">
        <v>404</v>
      </c>
      <c r="I3118" s="248" t="s">
        <v>404</v>
      </c>
      <c r="J3118" s="247" t="s">
        <v>809</v>
      </c>
      <c r="K3118" s="249">
        <v>0</v>
      </c>
      <c r="M3118" s="90">
        <v>0</v>
      </c>
      <c r="N3118" s="90">
        <v>0</v>
      </c>
      <c r="O3118" s="90">
        <v>255</v>
      </c>
    </row>
    <row r="3119" spans="1:15" s="90" customFormat="1" ht="12.75" customHeight="1" x14ac:dyDescent="0.2">
      <c r="A3119" s="247" t="s">
        <v>1032</v>
      </c>
      <c r="B3119" s="316">
        <v>3046</v>
      </c>
      <c r="C3119" s="247" t="s">
        <v>975</v>
      </c>
      <c r="D3119" s="317">
        <v>42675</v>
      </c>
      <c r="E3119" s="318">
        <v>0.64229166666666659</v>
      </c>
      <c r="F3119" s="247" t="s">
        <v>976</v>
      </c>
      <c r="G3119" s="247" t="s">
        <v>1505</v>
      </c>
      <c r="H3119" s="248" t="s">
        <v>404</v>
      </c>
      <c r="I3119" s="248" t="s">
        <v>404</v>
      </c>
      <c r="J3119" s="247" t="s">
        <v>809</v>
      </c>
      <c r="K3119" s="249">
        <v>0</v>
      </c>
      <c r="M3119" s="90">
        <v>0</v>
      </c>
      <c r="N3119" s="90">
        <v>0</v>
      </c>
      <c r="O3119" s="90">
        <v>255</v>
      </c>
    </row>
    <row r="3120" spans="1:15" s="90" customFormat="1" ht="12.75" customHeight="1" x14ac:dyDescent="0.2">
      <c r="A3120" s="247" t="s">
        <v>989</v>
      </c>
      <c r="B3120" s="316">
        <v>3046</v>
      </c>
      <c r="C3120" s="247" t="s">
        <v>975</v>
      </c>
      <c r="D3120" s="317">
        <v>42675</v>
      </c>
      <c r="E3120" s="318">
        <v>0.64229166666666659</v>
      </c>
      <c r="F3120" s="247" t="s">
        <v>976</v>
      </c>
      <c r="G3120" s="247" t="s">
        <v>1505</v>
      </c>
      <c r="H3120" s="248" t="s">
        <v>404</v>
      </c>
      <c r="I3120" s="248" t="s">
        <v>404</v>
      </c>
      <c r="J3120" s="247" t="s">
        <v>809</v>
      </c>
      <c r="K3120" s="249">
        <v>0</v>
      </c>
      <c r="M3120" s="90">
        <v>0</v>
      </c>
      <c r="N3120" s="90">
        <v>0</v>
      </c>
      <c r="O3120" s="90">
        <v>255</v>
      </c>
    </row>
    <row r="3121" spans="1:15" s="90" customFormat="1" ht="12.75" customHeight="1" x14ac:dyDescent="0.2">
      <c r="A3121" s="247" t="s">
        <v>990</v>
      </c>
      <c r="B3121" s="316">
        <v>3046</v>
      </c>
      <c r="C3121" s="247" t="s">
        <v>975</v>
      </c>
      <c r="D3121" s="317">
        <v>42675</v>
      </c>
      <c r="E3121" s="318">
        <v>0.64258101851851845</v>
      </c>
      <c r="F3121" s="247" t="s">
        <v>976</v>
      </c>
      <c r="G3121" s="247" t="s">
        <v>1505</v>
      </c>
      <c r="H3121" s="248" t="s">
        <v>404</v>
      </c>
      <c r="I3121" s="248" t="s">
        <v>404</v>
      </c>
      <c r="J3121" s="247" t="s">
        <v>809</v>
      </c>
      <c r="K3121" s="249">
        <v>0</v>
      </c>
      <c r="M3121" s="90">
        <v>0</v>
      </c>
      <c r="N3121" s="90">
        <v>0</v>
      </c>
      <c r="O3121" s="90">
        <v>255</v>
      </c>
    </row>
    <row r="3122" spans="1:15" s="90" customFormat="1" ht="12.75" customHeight="1" x14ac:dyDescent="0.2">
      <c r="A3122" s="247" t="s">
        <v>1033</v>
      </c>
      <c r="B3122" s="316">
        <v>3217</v>
      </c>
      <c r="C3122" s="247" t="s">
        <v>975</v>
      </c>
      <c r="D3122" s="317">
        <v>42675</v>
      </c>
      <c r="E3122" s="318">
        <v>0.64258101851851845</v>
      </c>
      <c r="F3122" s="247" t="s">
        <v>235</v>
      </c>
      <c r="G3122" s="247" t="s">
        <v>1505</v>
      </c>
      <c r="H3122" s="248" t="s">
        <v>234</v>
      </c>
      <c r="I3122" s="248" t="s">
        <v>235</v>
      </c>
      <c r="J3122" s="247" t="s">
        <v>809</v>
      </c>
      <c r="K3122" s="249">
        <v>0</v>
      </c>
      <c r="M3122" s="90">
        <v>0</v>
      </c>
      <c r="N3122" s="90">
        <v>0</v>
      </c>
      <c r="O3122" s="90">
        <v>255</v>
      </c>
    </row>
    <row r="3123" spans="1:15" s="90" customFormat="1" ht="12.75" customHeight="1" x14ac:dyDescent="0.2">
      <c r="A3123" s="247" t="s">
        <v>1031</v>
      </c>
      <c r="B3123" s="316">
        <v>3046</v>
      </c>
      <c r="C3123" s="247" t="s">
        <v>975</v>
      </c>
      <c r="D3123" s="317">
        <v>42675</v>
      </c>
      <c r="E3123" s="318">
        <v>0.66722222222222216</v>
      </c>
      <c r="F3123" s="247" t="s">
        <v>976</v>
      </c>
      <c r="G3123" s="247" t="s">
        <v>1505</v>
      </c>
      <c r="H3123" s="248" t="s">
        <v>404</v>
      </c>
      <c r="I3123" s="248" t="s">
        <v>404</v>
      </c>
      <c r="J3123" s="247" t="s">
        <v>809</v>
      </c>
      <c r="K3123" s="249">
        <v>0</v>
      </c>
      <c r="M3123" s="90">
        <v>0</v>
      </c>
      <c r="N3123" s="90">
        <v>0</v>
      </c>
      <c r="O3123" s="90">
        <v>255</v>
      </c>
    </row>
    <row r="3124" spans="1:15" s="90" customFormat="1" ht="12.75" customHeight="1" x14ac:dyDescent="0.2">
      <c r="A3124" s="247" t="s">
        <v>1032</v>
      </c>
      <c r="B3124" s="316">
        <v>3046</v>
      </c>
      <c r="C3124" s="247" t="s">
        <v>975</v>
      </c>
      <c r="D3124" s="317">
        <v>42675</v>
      </c>
      <c r="E3124" s="318">
        <v>0.67112268518518514</v>
      </c>
      <c r="F3124" s="247" t="s">
        <v>976</v>
      </c>
      <c r="G3124" s="247" t="s">
        <v>1505</v>
      </c>
      <c r="H3124" s="248" t="s">
        <v>404</v>
      </c>
      <c r="I3124" s="248" t="s">
        <v>404</v>
      </c>
      <c r="J3124" s="247" t="s">
        <v>809</v>
      </c>
      <c r="K3124" s="249">
        <v>0</v>
      </c>
      <c r="M3124" s="90">
        <v>0</v>
      </c>
      <c r="N3124" s="90">
        <v>0</v>
      </c>
      <c r="O3124" s="90">
        <v>255</v>
      </c>
    </row>
    <row r="3125" spans="1:15" s="90" customFormat="1" ht="12.75" customHeight="1" x14ac:dyDescent="0.2">
      <c r="A3125" s="247" t="s">
        <v>989</v>
      </c>
      <c r="B3125" s="316">
        <v>3046</v>
      </c>
      <c r="C3125" s="247" t="s">
        <v>975</v>
      </c>
      <c r="D3125" s="317">
        <v>42675</v>
      </c>
      <c r="E3125" s="318">
        <v>0.67113425925925929</v>
      </c>
      <c r="F3125" s="247" t="s">
        <v>976</v>
      </c>
      <c r="G3125" s="247" t="s">
        <v>1505</v>
      </c>
      <c r="H3125" s="248" t="s">
        <v>404</v>
      </c>
      <c r="I3125" s="248" t="s">
        <v>404</v>
      </c>
      <c r="J3125" s="247" t="s">
        <v>809</v>
      </c>
      <c r="K3125" s="249">
        <v>0</v>
      </c>
      <c r="M3125" s="90">
        <v>0</v>
      </c>
      <c r="N3125" s="90">
        <v>0</v>
      </c>
      <c r="O3125" s="90">
        <v>255</v>
      </c>
    </row>
    <row r="3126" spans="1:15" s="90" customFormat="1" ht="12.75" customHeight="1" x14ac:dyDescent="0.2">
      <c r="A3126" s="247" t="s">
        <v>990</v>
      </c>
      <c r="B3126" s="316">
        <v>3046</v>
      </c>
      <c r="C3126" s="247" t="s">
        <v>975</v>
      </c>
      <c r="D3126" s="317">
        <v>42675</v>
      </c>
      <c r="E3126" s="318">
        <v>0.671412037037037</v>
      </c>
      <c r="F3126" s="247" t="s">
        <v>976</v>
      </c>
      <c r="G3126" s="247" t="s">
        <v>1505</v>
      </c>
      <c r="H3126" s="248" t="s">
        <v>404</v>
      </c>
      <c r="I3126" s="248" t="s">
        <v>404</v>
      </c>
      <c r="J3126" s="247" t="s">
        <v>809</v>
      </c>
      <c r="K3126" s="249">
        <v>0</v>
      </c>
      <c r="M3126" s="90">
        <v>0</v>
      </c>
      <c r="N3126" s="90">
        <v>0</v>
      </c>
      <c r="O3126" s="90">
        <v>255</v>
      </c>
    </row>
    <row r="3127" spans="1:15" s="90" customFormat="1" ht="12.75" customHeight="1" x14ac:dyDescent="0.2">
      <c r="A3127" s="247" t="s">
        <v>1033</v>
      </c>
      <c r="B3127" s="316">
        <v>3217</v>
      </c>
      <c r="C3127" s="247" t="s">
        <v>975</v>
      </c>
      <c r="D3127" s="317">
        <v>42675</v>
      </c>
      <c r="E3127" s="318">
        <v>0.671412037037037</v>
      </c>
      <c r="F3127" s="247" t="s">
        <v>235</v>
      </c>
      <c r="G3127" s="247" t="s">
        <v>1505</v>
      </c>
      <c r="H3127" s="248" t="s">
        <v>234</v>
      </c>
      <c r="I3127" s="248" t="s">
        <v>235</v>
      </c>
      <c r="J3127" s="247" t="s">
        <v>809</v>
      </c>
      <c r="K3127" s="249">
        <v>0</v>
      </c>
      <c r="M3127" s="90">
        <v>0</v>
      </c>
      <c r="N3127" s="90">
        <v>0</v>
      </c>
      <c r="O3127" s="90">
        <v>255</v>
      </c>
    </row>
    <row r="3128" spans="1:15" s="90" customFormat="1" ht="12.75" customHeight="1" x14ac:dyDescent="0.2">
      <c r="A3128" s="247" t="s">
        <v>1031</v>
      </c>
      <c r="B3128" s="316">
        <v>3046</v>
      </c>
      <c r="C3128" s="247" t="s">
        <v>975</v>
      </c>
      <c r="D3128" s="317">
        <v>42675</v>
      </c>
      <c r="E3128" s="318">
        <v>0.67221064814814813</v>
      </c>
      <c r="F3128" s="247" t="s">
        <v>976</v>
      </c>
      <c r="G3128" s="247" t="s">
        <v>1505</v>
      </c>
      <c r="H3128" s="248" t="s">
        <v>404</v>
      </c>
      <c r="I3128" s="248" t="s">
        <v>404</v>
      </c>
      <c r="J3128" s="247" t="s">
        <v>809</v>
      </c>
      <c r="K3128" s="249">
        <v>0</v>
      </c>
      <c r="M3128" s="90">
        <v>0</v>
      </c>
      <c r="N3128" s="90">
        <v>0</v>
      </c>
      <c r="O3128" s="90">
        <v>255</v>
      </c>
    </row>
    <row r="3129" spans="1:15" s="90" customFormat="1" ht="12.75" customHeight="1" x14ac:dyDescent="0.2">
      <c r="A3129" s="247" t="s">
        <v>1032</v>
      </c>
      <c r="B3129" s="316">
        <v>3046</v>
      </c>
      <c r="C3129" s="247" t="s">
        <v>975</v>
      </c>
      <c r="D3129" s="317">
        <v>42675</v>
      </c>
      <c r="E3129" s="318">
        <v>0.67959490740740736</v>
      </c>
      <c r="F3129" s="247" t="s">
        <v>976</v>
      </c>
      <c r="G3129" s="247" t="s">
        <v>1505</v>
      </c>
      <c r="H3129" s="248" t="s">
        <v>404</v>
      </c>
      <c r="I3129" s="248" t="s">
        <v>404</v>
      </c>
      <c r="J3129" s="247" t="s">
        <v>809</v>
      </c>
      <c r="K3129" s="249">
        <v>0</v>
      </c>
      <c r="M3129" s="90">
        <v>0</v>
      </c>
      <c r="N3129" s="90">
        <v>0</v>
      </c>
      <c r="O3129" s="90">
        <v>255</v>
      </c>
    </row>
    <row r="3130" spans="1:15" s="90" customFormat="1" ht="12.75" customHeight="1" x14ac:dyDescent="0.2">
      <c r="A3130" s="247" t="s">
        <v>989</v>
      </c>
      <c r="B3130" s="316">
        <v>3046</v>
      </c>
      <c r="C3130" s="247" t="s">
        <v>975</v>
      </c>
      <c r="D3130" s="317">
        <v>42675</v>
      </c>
      <c r="E3130" s="318">
        <v>0.67960648148148151</v>
      </c>
      <c r="F3130" s="247" t="s">
        <v>976</v>
      </c>
      <c r="G3130" s="247" t="s">
        <v>1505</v>
      </c>
      <c r="H3130" s="248" t="s">
        <v>404</v>
      </c>
      <c r="I3130" s="248" t="s">
        <v>404</v>
      </c>
      <c r="J3130" s="247" t="s">
        <v>809</v>
      </c>
      <c r="K3130" s="249">
        <v>0</v>
      </c>
      <c r="M3130" s="90">
        <v>0</v>
      </c>
      <c r="N3130" s="90">
        <v>0</v>
      </c>
      <c r="O3130" s="90">
        <v>255</v>
      </c>
    </row>
    <row r="3131" spans="1:15" s="90" customFormat="1" ht="12.75" customHeight="1" x14ac:dyDescent="0.2">
      <c r="A3131" s="247" t="s">
        <v>990</v>
      </c>
      <c r="B3131" s="316">
        <v>3046</v>
      </c>
      <c r="C3131" s="247" t="s">
        <v>975</v>
      </c>
      <c r="D3131" s="317">
        <v>42675</v>
      </c>
      <c r="E3131" s="318">
        <v>0.67988425925925933</v>
      </c>
      <c r="F3131" s="247" t="s">
        <v>976</v>
      </c>
      <c r="G3131" s="247" t="s">
        <v>1505</v>
      </c>
      <c r="H3131" s="248" t="s">
        <v>404</v>
      </c>
      <c r="I3131" s="248" t="s">
        <v>404</v>
      </c>
      <c r="J3131" s="247" t="s">
        <v>809</v>
      </c>
      <c r="K3131" s="249">
        <v>0</v>
      </c>
      <c r="M3131" s="90">
        <v>0</v>
      </c>
      <c r="N3131" s="90">
        <v>0</v>
      </c>
      <c r="O3131" s="90">
        <v>255</v>
      </c>
    </row>
    <row r="3132" spans="1:15" s="90" customFormat="1" ht="12.75" customHeight="1" x14ac:dyDescent="0.2">
      <c r="A3132" s="247" t="s">
        <v>1033</v>
      </c>
      <c r="B3132" s="316">
        <v>3217</v>
      </c>
      <c r="C3132" s="247" t="s">
        <v>975</v>
      </c>
      <c r="D3132" s="317">
        <v>42675</v>
      </c>
      <c r="E3132" s="318">
        <v>0.67988425925925933</v>
      </c>
      <c r="F3132" s="247" t="s">
        <v>235</v>
      </c>
      <c r="G3132" s="247" t="s">
        <v>1505</v>
      </c>
      <c r="H3132" s="248" t="s">
        <v>234</v>
      </c>
      <c r="I3132" s="248" t="s">
        <v>235</v>
      </c>
      <c r="J3132" s="247" t="s">
        <v>809</v>
      </c>
      <c r="K3132" s="249">
        <v>0</v>
      </c>
      <c r="M3132" s="90">
        <v>0</v>
      </c>
      <c r="N3132" s="90">
        <v>0</v>
      </c>
      <c r="O3132" s="90">
        <v>255</v>
      </c>
    </row>
    <row r="3133" spans="1:15" s="90" customFormat="1" ht="12.75" customHeight="1" x14ac:dyDescent="0.2">
      <c r="A3133" s="247" t="s">
        <v>1031</v>
      </c>
      <c r="B3133" s="316">
        <v>3046</v>
      </c>
      <c r="C3133" s="247" t="s">
        <v>975</v>
      </c>
      <c r="D3133" s="317">
        <v>42675</v>
      </c>
      <c r="E3133" s="318">
        <v>0.68461805555555555</v>
      </c>
      <c r="F3133" s="247" t="s">
        <v>976</v>
      </c>
      <c r="G3133" s="247" t="s">
        <v>1505</v>
      </c>
      <c r="H3133" s="248" t="s">
        <v>404</v>
      </c>
      <c r="I3133" s="248" t="s">
        <v>404</v>
      </c>
      <c r="J3133" s="247" t="s">
        <v>809</v>
      </c>
      <c r="K3133" s="249">
        <v>0</v>
      </c>
      <c r="M3133" s="90">
        <v>0</v>
      </c>
      <c r="N3133" s="90">
        <v>0</v>
      </c>
      <c r="O3133" s="90">
        <v>255</v>
      </c>
    </row>
    <row r="3134" spans="1:15" s="90" customFormat="1" ht="12.75" customHeight="1" x14ac:dyDescent="0.2">
      <c r="A3134" s="247" t="s">
        <v>1032</v>
      </c>
      <c r="B3134" s="316">
        <v>3046</v>
      </c>
      <c r="C3134" s="247" t="s">
        <v>975</v>
      </c>
      <c r="D3134" s="317">
        <v>42675</v>
      </c>
      <c r="E3134" s="318">
        <v>0.68896990740740749</v>
      </c>
      <c r="F3134" s="247" t="s">
        <v>976</v>
      </c>
      <c r="G3134" s="247" t="s">
        <v>1505</v>
      </c>
      <c r="H3134" s="248" t="s">
        <v>404</v>
      </c>
      <c r="I3134" s="248" t="s">
        <v>404</v>
      </c>
      <c r="J3134" s="247" t="s">
        <v>809</v>
      </c>
      <c r="K3134" s="249">
        <v>0</v>
      </c>
      <c r="M3134" s="90">
        <v>0</v>
      </c>
      <c r="N3134" s="90">
        <v>0</v>
      </c>
      <c r="O3134" s="90">
        <v>255</v>
      </c>
    </row>
    <row r="3135" spans="1:15" s="90" customFormat="1" ht="12.75" customHeight="1" x14ac:dyDescent="0.2">
      <c r="A3135" s="247" t="s">
        <v>989</v>
      </c>
      <c r="B3135" s="316">
        <v>3046</v>
      </c>
      <c r="C3135" s="247" t="s">
        <v>975</v>
      </c>
      <c r="D3135" s="317">
        <v>42675</v>
      </c>
      <c r="E3135" s="318">
        <v>0.68896990740740749</v>
      </c>
      <c r="F3135" s="247" t="s">
        <v>976</v>
      </c>
      <c r="G3135" s="247" t="s">
        <v>1505</v>
      </c>
      <c r="H3135" s="248" t="s">
        <v>404</v>
      </c>
      <c r="I3135" s="248" t="s">
        <v>404</v>
      </c>
      <c r="J3135" s="247" t="s">
        <v>809</v>
      </c>
      <c r="K3135" s="249">
        <v>0</v>
      </c>
      <c r="M3135" s="90">
        <v>0</v>
      </c>
      <c r="N3135" s="90">
        <v>0</v>
      </c>
      <c r="O3135" s="90">
        <v>255</v>
      </c>
    </row>
    <row r="3136" spans="1:15" s="90" customFormat="1" ht="12.75" customHeight="1" x14ac:dyDescent="0.2">
      <c r="A3136" s="247" t="s">
        <v>990</v>
      </c>
      <c r="B3136" s="316">
        <v>3046</v>
      </c>
      <c r="C3136" s="247" t="s">
        <v>975</v>
      </c>
      <c r="D3136" s="317">
        <v>42675</v>
      </c>
      <c r="E3136" s="318">
        <v>0.68927083333333339</v>
      </c>
      <c r="F3136" s="247" t="s">
        <v>976</v>
      </c>
      <c r="G3136" s="247" t="s">
        <v>1505</v>
      </c>
      <c r="H3136" s="248" t="s">
        <v>404</v>
      </c>
      <c r="I3136" s="248" t="s">
        <v>404</v>
      </c>
      <c r="J3136" s="247" t="s">
        <v>809</v>
      </c>
      <c r="K3136" s="249">
        <v>0</v>
      </c>
      <c r="M3136" s="90">
        <v>0</v>
      </c>
      <c r="N3136" s="90">
        <v>0</v>
      </c>
      <c r="O3136" s="90">
        <v>255</v>
      </c>
    </row>
    <row r="3137" spans="1:15" s="90" customFormat="1" ht="12.75" customHeight="1" x14ac:dyDescent="0.2">
      <c r="A3137" s="247" t="s">
        <v>1033</v>
      </c>
      <c r="B3137" s="316">
        <v>3217</v>
      </c>
      <c r="C3137" s="247" t="s">
        <v>975</v>
      </c>
      <c r="D3137" s="317">
        <v>42675</v>
      </c>
      <c r="E3137" s="318">
        <v>0.68927083333333339</v>
      </c>
      <c r="F3137" s="247" t="s">
        <v>235</v>
      </c>
      <c r="G3137" s="247" t="s">
        <v>1505</v>
      </c>
      <c r="H3137" s="248" t="s">
        <v>234</v>
      </c>
      <c r="I3137" s="248" t="s">
        <v>235</v>
      </c>
      <c r="J3137" s="247" t="s">
        <v>809</v>
      </c>
      <c r="K3137" s="249">
        <v>0</v>
      </c>
      <c r="M3137" s="90">
        <v>0</v>
      </c>
      <c r="N3137" s="90">
        <v>0</v>
      </c>
      <c r="O3137" s="90">
        <v>255</v>
      </c>
    </row>
    <row r="3138" spans="1:15" s="90" customFormat="1" ht="12.75" customHeight="1" x14ac:dyDescent="0.2">
      <c r="A3138" s="247" t="s">
        <v>1031</v>
      </c>
      <c r="B3138" s="316">
        <v>3046</v>
      </c>
      <c r="C3138" s="247" t="s">
        <v>975</v>
      </c>
      <c r="D3138" s="317">
        <v>42675</v>
      </c>
      <c r="E3138" s="318">
        <v>0.69792824074074078</v>
      </c>
      <c r="F3138" s="247" t="s">
        <v>976</v>
      </c>
      <c r="G3138" s="247" t="s">
        <v>1505</v>
      </c>
      <c r="H3138" s="248" t="s">
        <v>404</v>
      </c>
      <c r="I3138" s="248" t="s">
        <v>404</v>
      </c>
      <c r="J3138" s="247" t="s">
        <v>809</v>
      </c>
      <c r="K3138" s="249">
        <v>0</v>
      </c>
      <c r="M3138" s="90">
        <v>0</v>
      </c>
      <c r="N3138" s="90">
        <v>0</v>
      </c>
      <c r="O3138" s="90">
        <v>255</v>
      </c>
    </row>
    <row r="3139" spans="1:15" s="90" customFormat="1" ht="12.75" customHeight="1" x14ac:dyDescent="0.2">
      <c r="A3139" s="247" t="s">
        <v>1032</v>
      </c>
      <c r="B3139" s="316">
        <v>3046</v>
      </c>
      <c r="C3139" s="247" t="s">
        <v>975</v>
      </c>
      <c r="D3139" s="317">
        <v>42675</v>
      </c>
      <c r="E3139" s="318">
        <v>0.70030092592592597</v>
      </c>
      <c r="F3139" s="247" t="s">
        <v>976</v>
      </c>
      <c r="G3139" s="247" t="s">
        <v>1505</v>
      </c>
      <c r="H3139" s="248" t="s">
        <v>404</v>
      </c>
      <c r="I3139" s="248" t="s">
        <v>404</v>
      </c>
      <c r="J3139" s="247" t="s">
        <v>809</v>
      </c>
      <c r="K3139" s="249">
        <v>0</v>
      </c>
      <c r="M3139" s="90">
        <v>0</v>
      </c>
      <c r="N3139" s="90">
        <v>0</v>
      </c>
      <c r="O3139" s="90">
        <v>255</v>
      </c>
    </row>
    <row r="3140" spans="1:15" s="90" customFormat="1" ht="12.75" customHeight="1" x14ac:dyDescent="0.2">
      <c r="A3140" s="247" t="s">
        <v>989</v>
      </c>
      <c r="B3140" s="316">
        <v>3046</v>
      </c>
      <c r="C3140" s="247" t="s">
        <v>975</v>
      </c>
      <c r="D3140" s="317">
        <v>42675</v>
      </c>
      <c r="E3140" s="318">
        <v>0.7003125</v>
      </c>
      <c r="F3140" s="247" t="s">
        <v>976</v>
      </c>
      <c r="G3140" s="247" t="s">
        <v>1505</v>
      </c>
      <c r="H3140" s="248" t="s">
        <v>404</v>
      </c>
      <c r="I3140" s="248" t="s">
        <v>404</v>
      </c>
      <c r="J3140" s="247" t="s">
        <v>809</v>
      </c>
      <c r="K3140" s="249">
        <v>0</v>
      </c>
      <c r="M3140" s="90">
        <v>0</v>
      </c>
      <c r="N3140" s="90">
        <v>0</v>
      </c>
      <c r="O3140" s="90">
        <v>255</v>
      </c>
    </row>
    <row r="3141" spans="1:15" s="90" customFormat="1" ht="12.75" customHeight="1" x14ac:dyDescent="0.2">
      <c r="A3141" s="247" t="s">
        <v>990</v>
      </c>
      <c r="B3141" s="316">
        <v>3046</v>
      </c>
      <c r="C3141" s="247" t="s">
        <v>975</v>
      </c>
      <c r="D3141" s="317">
        <v>42675</v>
      </c>
      <c r="E3141" s="318">
        <v>0.7006134259259259</v>
      </c>
      <c r="F3141" s="247" t="s">
        <v>976</v>
      </c>
      <c r="G3141" s="247" t="s">
        <v>1505</v>
      </c>
      <c r="H3141" s="248" t="s">
        <v>404</v>
      </c>
      <c r="I3141" s="248" t="s">
        <v>404</v>
      </c>
      <c r="J3141" s="247" t="s">
        <v>809</v>
      </c>
      <c r="K3141" s="249">
        <v>0</v>
      </c>
      <c r="M3141" s="90">
        <v>0</v>
      </c>
      <c r="N3141" s="90">
        <v>0</v>
      </c>
      <c r="O3141" s="90">
        <v>255</v>
      </c>
    </row>
    <row r="3142" spans="1:15" s="90" customFormat="1" ht="12.75" customHeight="1" x14ac:dyDescent="0.2">
      <c r="A3142" s="247" t="s">
        <v>1033</v>
      </c>
      <c r="B3142" s="316">
        <v>3217</v>
      </c>
      <c r="C3142" s="247" t="s">
        <v>975</v>
      </c>
      <c r="D3142" s="317">
        <v>42675</v>
      </c>
      <c r="E3142" s="318">
        <v>0.7006134259259259</v>
      </c>
      <c r="F3142" s="247" t="s">
        <v>235</v>
      </c>
      <c r="G3142" s="247" t="s">
        <v>1505</v>
      </c>
      <c r="H3142" s="248" t="s">
        <v>234</v>
      </c>
      <c r="I3142" s="248" t="s">
        <v>235</v>
      </c>
      <c r="J3142" s="247" t="s">
        <v>809</v>
      </c>
      <c r="K3142" s="249">
        <v>0</v>
      </c>
      <c r="M3142" s="90">
        <v>0</v>
      </c>
      <c r="N3142" s="90">
        <v>0</v>
      </c>
      <c r="O3142" s="90">
        <v>255</v>
      </c>
    </row>
    <row r="3143" spans="1:15" s="90" customFormat="1" ht="12.75" customHeight="1" x14ac:dyDescent="0.2">
      <c r="A3143" s="247" t="s">
        <v>1031</v>
      </c>
      <c r="B3143" s="316">
        <v>3046</v>
      </c>
      <c r="C3143" s="247" t="s">
        <v>975</v>
      </c>
      <c r="D3143" s="317">
        <v>42675</v>
      </c>
      <c r="E3143" s="318">
        <v>0.70087962962962969</v>
      </c>
      <c r="F3143" s="247" t="s">
        <v>976</v>
      </c>
      <c r="G3143" s="247" t="s">
        <v>1505</v>
      </c>
      <c r="H3143" s="248" t="s">
        <v>404</v>
      </c>
      <c r="I3143" s="248" t="s">
        <v>404</v>
      </c>
      <c r="J3143" s="247" t="s">
        <v>809</v>
      </c>
      <c r="K3143" s="249">
        <v>0</v>
      </c>
      <c r="M3143" s="90">
        <v>0</v>
      </c>
      <c r="N3143" s="90">
        <v>0</v>
      </c>
      <c r="O3143" s="90">
        <v>255</v>
      </c>
    </row>
    <row r="3144" spans="1:15" s="90" customFormat="1" ht="12.75" customHeight="1" x14ac:dyDescent="0.2">
      <c r="A3144" s="247" t="s">
        <v>1032</v>
      </c>
      <c r="B3144" s="316">
        <v>3046</v>
      </c>
      <c r="C3144" s="247" t="s">
        <v>975</v>
      </c>
      <c r="D3144" s="317">
        <v>42675</v>
      </c>
      <c r="E3144" s="318">
        <v>0.70622685185185186</v>
      </c>
      <c r="F3144" s="247" t="s">
        <v>976</v>
      </c>
      <c r="G3144" s="247" t="s">
        <v>1505</v>
      </c>
      <c r="H3144" s="248" t="s">
        <v>404</v>
      </c>
      <c r="I3144" s="248" t="s">
        <v>404</v>
      </c>
      <c r="J3144" s="247" t="s">
        <v>809</v>
      </c>
      <c r="K3144" s="249">
        <v>0</v>
      </c>
      <c r="M3144" s="90">
        <v>0</v>
      </c>
      <c r="N3144" s="90">
        <v>0</v>
      </c>
      <c r="O3144" s="90">
        <v>255</v>
      </c>
    </row>
    <row r="3145" spans="1:15" s="90" customFormat="1" ht="12.75" customHeight="1" x14ac:dyDescent="0.2">
      <c r="A3145" s="247" t="s">
        <v>989</v>
      </c>
      <c r="B3145" s="316">
        <v>3046</v>
      </c>
      <c r="C3145" s="247" t="s">
        <v>975</v>
      </c>
      <c r="D3145" s="317">
        <v>42675</v>
      </c>
      <c r="E3145" s="318">
        <v>0.70622685185185186</v>
      </c>
      <c r="F3145" s="247" t="s">
        <v>976</v>
      </c>
      <c r="G3145" s="247" t="s">
        <v>1505</v>
      </c>
      <c r="H3145" s="248" t="s">
        <v>404</v>
      </c>
      <c r="I3145" s="248" t="s">
        <v>404</v>
      </c>
      <c r="J3145" s="247" t="s">
        <v>809</v>
      </c>
      <c r="K3145" s="249">
        <v>0</v>
      </c>
      <c r="M3145" s="90">
        <v>0</v>
      </c>
      <c r="N3145" s="90">
        <v>0</v>
      </c>
      <c r="O3145" s="90">
        <v>255</v>
      </c>
    </row>
    <row r="3146" spans="1:15" s="90" customFormat="1" ht="12.75" customHeight="1" x14ac:dyDescent="0.2">
      <c r="A3146" s="247" t="s">
        <v>990</v>
      </c>
      <c r="B3146" s="316">
        <v>3046</v>
      </c>
      <c r="C3146" s="247" t="s">
        <v>975</v>
      </c>
      <c r="D3146" s="317">
        <v>42675</v>
      </c>
      <c r="E3146" s="318">
        <v>0.70652777777777775</v>
      </c>
      <c r="F3146" s="247" t="s">
        <v>976</v>
      </c>
      <c r="G3146" s="247" t="s">
        <v>1505</v>
      </c>
      <c r="H3146" s="248" t="s">
        <v>404</v>
      </c>
      <c r="I3146" s="248" t="s">
        <v>404</v>
      </c>
      <c r="J3146" s="247" t="s">
        <v>809</v>
      </c>
      <c r="K3146" s="249">
        <v>0</v>
      </c>
      <c r="M3146" s="90">
        <v>0</v>
      </c>
      <c r="N3146" s="90">
        <v>0</v>
      </c>
      <c r="O3146" s="90">
        <v>255</v>
      </c>
    </row>
    <row r="3147" spans="1:15" s="90" customFormat="1" ht="12.75" customHeight="1" x14ac:dyDescent="0.2">
      <c r="A3147" s="247" t="s">
        <v>1033</v>
      </c>
      <c r="B3147" s="316">
        <v>3217</v>
      </c>
      <c r="C3147" s="247" t="s">
        <v>975</v>
      </c>
      <c r="D3147" s="317">
        <v>42675</v>
      </c>
      <c r="E3147" s="318">
        <v>0.70652777777777775</v>
      </c>
      <c r="F3147" s="247" t="s">
        <v>235</v>
      </c>
      <c r="G3147" s="247" t="s">
        <v>1505</v>
      </c>
      <c r="H3147" s="248" t="s">
        <v>234</v>
      </c>
      <c r="I3147" s="248" t="s">
        <v>235</v>
      </c>
      <c r="J3147" s="247" t="s">
        <v>809</v>
      </c>
      <c r="K3147" s="249">
        <v>0</v>
      </c>
      <c r="M3147" s="90">
        <v>0</v>
      </c>
      <c r="N3147" s="90">
        <v>0</v>
      </c>
      <c r="O3147" s="90">
        <v>255</v>
      </c>
    </row>
    <row r="3148" spans="1:15" s="90" customFormat="1" ht="12.75" customHeight="1" x14ac:dyDescent="0.2">
      <c r="A3148" s="247" t="s">
        <v>1031</v>
      </c>
      <c r="B3148" s="316">
        <v>3046</v>
      </c>
      <c r="C3148" s="247" t="s">
        <v>975</v>
      </c>
      <c r="D3148" s="317">
        <v>42675</v>
      </c>
      <c r="E3148" s="318">
        <v>0.71049768518518519</v>
      </c>
      <c r="F3148" s="247" t="s">
        <v>976</v>
      </c>
      <c r="G3148" s="247" t="s">
        <v>1505</v>
      </c>
      <c r="H3148" s="248" t="s">
        <v>404</v>
      </c>
      <c r="I3148" s="248" t="s">
        <v>404</v>
      </c>
      <c r="J3148" s="247" t="s">
        <v>809</v>
      </c>
      <c r="K3148" s="249">
        <v>0</v>
      </c>
      <c r="M3148" s="90">
        <v>0</v>
      </c>
      <c r="N3148" s="90">
        <v>0</v>
      </c>
      <c r="O3148" s="90">
        <v>255</v>
      </c>
    </row>
    <row r="3149" spans="1:15" s="90" customFormat="1" ht="12.75" customHeight="1" x14ac:dyDescent="0.2">
      <c r="A3149" s="247" t="s">
        <v>1032</v>
      </c>
      <c r="B3149" s="316">
        <v>3046</v>
      </c>
      <c r="C3149" s="247" t="s">
        <v>975</v>
      </c>
      <c r="D3149" s="317">
        <v>42675</v>
      </c>
      <c r="E3149" s="318">
        <v>0.71260416666666659</v>
      </c>
      <c r="F3149" s="247" t="s">
        <v>976</v>
      </c>
      <c r="G3149" s="247" t="s">
        <v>1505</v>
      </c>
      <c r="H3149" s="248" t="s">
        <v>404</v>
      </c>
      <c r="I3149" s="248" t="s">
        <v>404</v>
      </c>
      <c r="J3149" s="247" t="s">
        <v>809</v>
      </c>
      <c r="K3149" s="249">
        <v>0</v>
      </c>
      <c r="M3149" s="90">
        <v>0</v>
      </c>
      <c r="N3149" s="90">
        <v>0</v>
      </c>
      <c r="O3149" s="90">
        <v>255</v>
      </c>
    </row>
    <row r="3150" spans="1:15" s="90" customFormat="1" ht="12.75" customHeight="1" x14ac:dyDescent="0.2">
      <c r="A3150" s="247" t="s">
        <v>989</v>
      </c>
      <c r="B3150" s="316">
        <v>3046</v>
      </c>
      <c r="C3150" s="247" t="s">
        <v>975</v>
      </c>
      <c r="D3150" s="317">
        <v>42675</v>
      </c>
      <c r="E3150" s="318">
        <v>0.71260416666666659</v>
      </c>
      <c r="F3150" s="247" t="s">
        <v>976</v>
      </c>
      <c r="G3150" s="247" t="s">
        <v>1505</v>
      </c>
      <c r="H3150" s="248" t="s">
        <v>404</v>
      </c>
      <c r="I3150" s="248" t="s">
        <v>404</v>
      </c>
      <c r="J3150" s="247" t="s">
        <v>809</v>
      </c>
      <c r="K3150" s="249">
        <v>0</v>
      </c>
      <c r="M3150" s="90">
        <v>0</v>
      </c>
      <c r="N3150" s="90">
        <v>0</v>
      </c>
      <c r="O3150" s="90">
        <v>255</v>
      </c>
    </row>
    <row r="3151" spans="1:15" s="90" customFormat="1" ht="12.75" customHeight="1" x14ac:dyDescent="0.2">
      <c r="A3151" s="247" t="s">
        <v>990</v>
      </c>
      <c r="B3151" s="316">
        <v>3046</v>
      </c>
      <c r="C3151" s="247" t="s">
        <v>975</v>
      </c>
      <c r="D3151" s="317">
        <v>42675</v>
      </c>
      <c r="E3151" s="318">
        <v>0.71290509259259249</v>
      </c>
      <c r="F3151" s="247" t="s">
        <v>976</v>
      </c>
      <c r="G3151" s="247" t="s">
        <v>1505</v>
      </c>
      <c r="H3151" s="248" t="s">
        <v>404</v>
      </c>
      <c r="I3151" s="248" t="s">
        <v>404</v>
      </c>
      <c r="J3151" s="247" t="s">
        <v>809</v>
      </c>
      <c r="K3151" s="249">
        <v>0</v>
      </c>
      <c r="M3151" s="90">
        <v>0</v>
      </c>
      <c r="N3151" s="90">
        <v>0</v>
      </c>
      <c r="O3151" s="90">
        <v>255</v>
      </c>
    </row>
    <row r="3152" spans="1:15" s="90" customFormat="1" ht="12.75" customHeight="1" x14ac:dyDescent="0.2">
      <c r="A3152" s="247" t="s">
        <v>1033</v>
      </c>
      <c r="B3152" s="316">
        <v>3217</v>
      </c>
      <c r="C3152" s="247" t="s">
        <v>975</v>
      </c>
      <c r="D3152" s="317">
        <v>42675</v>
      </c>
      <c r="E3152" s="318">
        <v>0.71290509259259249</v>
      </c>
      <c r="F3152" s="247" t="s">
        <v>235</v>
      </c>
      <c r="G3152" s="247" t="s">
        <v>1505</v>
      </c>
      <c r="H3152" s="248" t="s">
        <v>234</v>
      </c>
      <c r="I3152" s="248" t="s">
        <v>235</v>
      </c>
      <c r="J3152" s="247" t="s">
        <v>809</v>
      </c>
      <c r="K3152" s="249">
        <v>0</v>
      </c>
      <c r="M3152" s="90">
        <v>0</v>
      </c>
      <c r="N3152" s="90">
        <v>0</v>
      </c>
      <c r="O3152" s="90">
        <v>255</v>
      </c>
    </row>
    <row r="3153" spans="1:15" s="90" customFormat="1" ht="12.75" customHeight="1" x14ac:dyDescent="0.2">
      <c r="A3153" s="247" t="s">
        <v>1506</v>
      </c>
      <c r="B3153" s="316">
        <v>3218</v>
      </c>
      <c r="C3153" s="247" t="s">
        <v>979</v>
      </c>
      <c r="D3153" s="317">
        <v>42675</v>
      </c>
      <c r="E3153" s="318">
        <v>0.71710648148148148</v>
      </c>
      <c r="F3153" s="247" t="s">
        <v>702</v>
      </c>
      <c r="G3153" s="247" t="s">
        <v>1505</v>
      </c>
      <c r="H3153" s="248"/>
      <c r="I3153" s="248"/>
      <c r="J3153" s="247"/>
      <c r="K3153" s="249"/>
      <c r="M3153" s="90">
        <v>0</v>
      </c>
      <c r="N3153" s="90">
        <v>0</v>
      </c>
      <c r="O3153" s="90">
        <v>255</v>
      </c>
    </row>
    <row r="3154" spans="1:15" s="90" customFormat="1" ht="12.75" customHeight="1" x14ac:dyDescent="0.2">
      <c r="A3154" s="247" t="s">
        <v>1031</v>
      </c>
      <c r="B3154" s="316">
        <v>3046</v>
      </c>
      <c r="C3154" s="247" t="s">
        <v>975</v>
      </c>
      <c r="D3154" s="317">
        <v>42675</v>
      </c>
      <c r="E3154" s="318">
        <v>0.71730324074074081</v>
      </c>
      <c r="F3154" s="247" t="s">
        <v>976</v>
      </c>
      <c r="G3154" s="247" t="s">
        <v>1505</v>
      </c>
      <c r="H3154" s="248" t="s">
        <v>404</v>
      </c>
      <c r="I3154" s="248" t="s">
        <v>404</v>
      </c>
      <c r="J3154" s="247" t="s">
        <v>809</v>
      </c>
      <c r="K3154" s="249">
        <v>0</v>
      </c>
      <c r="M3154" s="90">
        <v>0</v>
      </c>
      <c r="N3154" s="90">
        <v>0</v>
      </c>
      <c r="O3154" s="90">
        <v>255</v>
      </c>
    </row>
    <row r="3155" spans="1:15" s="90" customFormat="1" ht="12.75" customHeight="1" x14ac:dyDescent="0.2">
      <c r="A3155" s="247" t="s">
        <v>1106</v>
      </c>
      <c r="B3155" s="316">
        <v>3001</v>
      </c>
      <c r="C3155" s="247" t="s">
        <v>996</v>
      </c>
      <c r="D3155" s="317">
        <v>42675</v>
      </c>
      <c r="E3155" s="318">
        <v>0.71923611111111108</v>
      </c>
      <c r="F3155" s="247" t="s">
        <v>702</v>
      </c>
      <c r="G3155" s="247" t="s">
        <v>1505</v>
      </c>
      <c r="H3155" s="248" t="s">
        <v>121</v>
      </c>
      <c r="I3155" s="248" t="s">
        <v>122</v>
      </c>
      <c r="J3155" s="247" t="s">
        <v>809</v>
      </c>
      <c r="K3155" s="249">
        <v>0</v>
      </c>
      <c r="M3155" s="90">
        <v>0</v>
      </c>
      <c r="N3155" s="90">
        <v>0</v>
      </c>
      <c r="O3155" s="90">
        <v>255</v>
      </c>
    </row>
    <row r="3156" spans="1:15" s="90" customFormat="1" ht="12.75" customHeight="1" x14ac:dyDescent="0.2">
      <c r="A3156" s="247" t="s">
        <v>1032</v>
      </c>
      <c r="B3156" s="316">
        <v>3046</v>
      </c>
      <c r="C3156" s="247" t="s">
        <v>975</v>
      </c>
      <c r="D3156" s="317">
        <v>42675</v>
      </c>
      <c r="E3156" s="318">
        <v>0.72119212962962964</v>
      </c>
      <c r="F3156" s="247" t="s">
        <v>976</v>
      </c>
      <c r="G3156" s="247" t="s">
        <v>1505</v>
      </c>
      <c r="H3156" s="248" t="s">
        <v>404</v>
      </c>
      <c r="I3156" s="248" t="s">
        <v>404</v>
      </c>
      <c r="J3156" s="247" t="s">
        <v>809</v>
      </c>
      <c r="K3156" s="249">
        <v>0</v>
      </c>
      <c r="M3156" s="90">
        <v>0</v>
      </c>
      <c r="N3156" s="90">
        <v>0</v>
      </c>
      <c r="O3156" s="90">
        <v>255</v>
      </c>
    </row>
    <row r="3157" spans="1:15" s="90" customFormat="1" ht="12.75" customHeight="1" x14ac:dyDescent="0.2">
      <c r="A3157" s="247" t="s">
        <v>989</v>
      </c>
      <c r="B3157" s="316">
        <v>3046</v>
      </c>
      <c r="C3157" s="247" t="s">
        <v>975</v>
      </c>
      <c r="D3157" s="317">
        <v>42675</v>
      </c>
      <c r="E3157" s="318">
        <v>0.72120370370370368</v>
      </c>
      <c r="F3157" s="247" t="s">
        <v>976</v>
      </c>
      <c r="G3157" s="247" t="s">
        <v>1505</v>
      </c>
      <c r="H3157" s="248" t="s">
        <v>404</v>
      </c>
      <c r="I3157" s="248" t="s">
        <v>404</v>
      </c>
      <c r="J3157" s="247" t="s">
        <v>809</v>
      </c>
      <c r="K3157" s="249">
        <v>0</v>
      </c>
      <c r="M3157" s="90">
        <v>0</v>
      </c>
      <c r="N3157" s="90">
        <v>0</v>
      </c>
      <c r="O3157" s="90">
        <v>255</v>
      </c>
    </row>
    <row r="3158" spans="1:15" s="90" customFormat="1" ht="12.75" customHeight="1" x14ac:dyDescent="0.2">
      <c r="A3158" s="247" t="s">
        <v>990</v>
      </c>
      <c r="B3158" s="316">
        <v>3046</v>
      </c>
      <c r="C3158" s="247" t="s">
        <v>975</v>
      </c>
      <c r="D3158" s="317">
        <v>42675</v>
      </c>
      <c r="E3158" s="318">
        <v>0.7214814814814815</v>
      </c>
      <c r="F3158" s="247" t="s">
        <v>976</v>
      </c>
      <c r="G3158" s="247" t="s">
        <v>1505</v>
      </c>
      <c r="H3158" s="248" t="s">
        <v>404</v>
      </c>
      <c r="I3158" s="248" t="s">
        <v>404</v>
      </c>
      <c r="J3158" s="247" t="s">
        <v>809</v>
      </c>
      <c r="K3158" s="249">
        <v>0</v>
      </c>
      <c r="M3158" s="90">
        <v>0</v>
      </c>
      <c r="N3158" s="90">
        <v>0</v>
      </c>
      <c r="O3158" s="90">
        <v>255</v>
      </c>
    </row>
    <row r="3159" spans="1:15" s="90" customFormat="1" ht="12.75" customHeight="1" x14ac:dyDescent="0.2">
      <c r="A3159" s="247" t="s">
        <v>1033</v>
      </c>
      <c r="B3159" s="316">
        <v>3217</v>
      </c>
      <c r="C3159" s="247" t="s">
        <v>975</v>
      </c>
      <c r="D3159" s="317">
        <v>42675</v>
      </c>
      <c r="E3159" s="318">
        <v>0.7214814814814815</v>
      </c>
      <c r="F3159" s="247" t="s">
        <v>235</v>
      </c>
      <c r="G3159" s="247" t="s">
        <v>1505</v>
      </c>
      <c r="H3159" s="248" t="s">
        <v>234</v>
      </c>
      <c r="I3159" s="248" t="s">
        <v>235</v>
      </c>
      <c r="J3159" s="247" t="s">
        <v>809</v>
      </c>
      <c r="K3159" s="249">
        <v>0</v>
      </c>
      <c r="M3159" s="90">
        <v>0</v>
      </c>
      <c r="N3159" s="90">
        <v>0</v>
      </c>
      <c r="O3159" s="90">
        <v>255</v>
      </c>
    </row>
    <row r="3160" spans="1:15" s="90" customFormat="1" ht="12.75" customHeight="1" x14ac:dyDescent="0.2">
      <c r="A3160" s="247" t="s">
        <v>1106</v>
      </c>
      <c r="B3160" s="316">
        <v>3001</v>
      </c>
      <c r="C3160" s="247" t="s">
        <v>996</v>
      </c>
      <c r="D3160" s="317">
        <v>42675</v>
      </c>
      <c r="E3160" s="318">
        <v>0.7233680555555555</v>
      </c>
      <c r="F3160" s="247" t="s">
        <v>702</v>
      </c>
      <c r="G3160" s="247" t="s">
        <v>1505</v>
      </c>
      <c r="H3160" s="248" t="s">
        <v>121</v>
      </c>
      <c r="I3160" s="248" t="s">
        <v>122</v>
      </c>
      <c r="J3160" s="247" t="s">
        <v>809</v>
      </c>
      <c r="K3160" s="249">
        <v>0</v>
      </c>
      <c r="M3160" s="90">
        <v>0</v>
      </c>
      <c r="N3160" s="90">
        <v>0</v>
      </c>
      <c r="O3160" s="90">
        <v>255</v>
      </c>
    </row>
    <row r="3161" spans="1:15" s="90" customFormat="1" ht="12.75" customHeight="1" x14ac:dyDescent="0.2">
      <c r="A3161" s="247" t="s">
        <v>1507</v>
      </c>
      <c r="B3161" s="316">
        <v>3010</v>
      </c>
      <c r="C3161" s="247" t="s">
        <v>979</v>
      </c>
      <c r="D3161" s="317">
        <v>42675</v>
      </c>
      <c r="E3161" s="318">
        <v>0.72524305555555557</v>
      </c>
      <c r="F3161" s="247" t="s">
        <v>702</v>
      </c>
      <c r="G3161" s="247" t="s">
        <v>1505</v>
      </c>
      <c r="H3161" s="248" t="s">
        <v>234</v>
      </c>
      <c r="I3161" s="248" t="s">
        <v>702</v>
      </c>
      <c r="J3161" s="247" t="s">
        <v>809</v>
      </c>
      <c r="K3161" s="249">
        <v>0</v>
      </c>
      <c r="M3161" s="90">
        <v>0</v>
      </c>
      <c r="N3161" s="90">
        <v>0</v>
      </c>
      <c r="O3161" s="90">
        <v>255</v>
      </c>
    </row>
    <row r="3162" spans="1:15" s="90" customFormat="1" ht="12.75" customHeight="1" x14ac:dyDescent="0.2">
      <c r="A3162" s="247" t="s">
        <v>1508</v>
      </c>
      <c r="B3162" s="316">
        <v>3010</v>
      </c>
      <c r="C3162" s="247" t="s">
        <v>979</v>
      </c>
      <c r="D3162" s="317">
        <v>42675</v>
      </c>
      <c r="E3162" s="318">
        <v>0.72524305555555557</v>
      </c>
      <c r="F3162" s="247" t="s">
        <v>702</v>
      </c>
      <c r="G3162" s="247" t="s">
        <v>1505</v>
      </c>
      <c r="H3162" s="248" t="s">
        <v>234</v>
      </c>
      <c r="I3162" s="248" t="s">
        <v>702</v>
      </c>
      <c r="J3162" s="247" t="s">
        <v>809</v>
      </c>
      <c r="K3162" s="249">
        <v>0</v>
      </c>
      <c r="M3162" s="90">
        <v>0</v>
      </c>
      <c r="N3162" s="90">
        <v>0</v>
      </c>
      <c r="O3162" s="90">
        <v>255</v>
      </c>
    </row>
    <row r="3163" spans="1:15" s="90" customFormat="1" ht="12.75" customHeight="1" x14ac:dyDescent="0.2">
      <c r="A3163" s="247" t="s">
        <v>1509</v>
      </c>
      <c r="B3163" s="316">
        <v>3010</v>
      </c>
      <c r="C3163" s="247" t="s">
        <v>979</v>
      </c>
      <c r="D3163" s="317">
        <v>42675</v>
      </c>
      <c r="E3163" s="318">
        <v>0.72524305555555557</v>
      </c>
      <c r="F3163" s="247" t="s">
        <v>702</v>
      </c>
      <c r="G3163" s="247" t="s">
        <v>1505</v>
      </c>
      <c r="H3163" s="248" t="s">
        <v>234</v>
      </c>
      <c r="I3163" s="248" t="s">
        <v>702</v>
      </c>
      <c r="J3163" s="247" t="s">
        <v>809</v>
      </c>
      <c r="K3163" s="249">
        <v>0</v>
      </c>
      <c r="M3163" s="90">
        <v>0</v>
      </c>
      <c r="N3163" s="90">
        <v>0</v>
      </c>
      <c r="O3163" s="90">
        <v>255</v>
      </c>
    </row>
    <row r="3164" spans="1:15" s="90" customFormat="1" ht="12.75" customHeight="1" x14ac:dyDescent="0.2">
      <c r="A3164" s="247" t="s">
        <v>1510</v>
      </c>
      <c r="B3164" s="316">
        <v>3010</v>
      </c>
      <c r="C3164" s="247" t="s">
        <v>979</v>
      </c>
      <c r="D3164" s="317">
        <v>42675</v>
      </c>
      <c r="E3164" s="318">
        <v>0.72524305555555557</v>
      </c>
      <c r="F3164" s="247" t="s">
        <v>702</v>
      </c>
      <c r="G3164" s="247" t="s">
        <v>1505</v>
      </c>
      <c r="H3164" s="248" t="s">
        <v>234</v>
      </c>
      <c r="I3164" s="248" t="s">
        <v>702</v>
      </c>
      <c r="J3164" s="247" t="s">
        <v>809</v>
      </c>
      <c r="K3164" s="249">
        <v>0</v>
      </c>
      <c r="M3164" s="90">
        <v>0</v>
      </c>
      <c r="N3164" s="90">
        <v>0</v>
      </c>
      <c r="O3164" s="90">
        <v>255</v>
      </c>
    </row>
    <row r="3165" spans="1:15" s="90" customFormat="1" ht="12.75" customHeight="1" x14ac:dyDescent="0.2">
      <c r="A3165" s="247" t="s">
        <v>1511</v>
      </c>
      <c r="B3165" s="316">
        <v>3010</v>
      </c>
      <c r="C3165" s="247" t="s">
        <v>979</v>
      </c>
      <c r="D3165" s="317">
        <v>42675</v>
      </c>
      <c r="E3165" s="318">
        <v>0.72524305555555557</v>
      </c>
      <c r="F3165" s="247" t="s">
        <v>702</v>
      </c>
      <c r="G3165" s="247" t="s">
        <v>1505</v>
      </c>
      <c r="H3165" s="248" t="s">
        <v>234</v>
      </c>
      <c r="I3165" s="248" t="s">
        <v>702</v>
      </c>
      <c r="J3165" s="247" t="s">
        <v>809</v>
      </c>
      <c r="K3165" s="249">
        <v>0</v>
      </c>
      <c r="M3165" s="90">
        <v>0</v>
      </c>
      <c r="N3165" s="90">
        <v>0</v>
      </c>
      <c r="O3165" s="90">
        <v>255</v>
      </c>
    </row>
    <row r="3166" spans="1:15" s="90" customFormat="1" ht="12.75" customHeight="1" x14ac:dyDescent="0.2">
      <c r="A3166" s="247" t="s">
        <v>1512</v>
      </c>
      <c r="B3166" s="316">
        <v>3010</v>
      </c>
      <c r="C3166" s="247" t="s">
        <v>979</v>
      </c>
      <c r="D3166" s="317">
        <v>42675</v>
      </c>
      <c r="E3166" s="318">
        <v>0.72524305555555557</v>
      </c>
      <c r="F3166" s="247" t="s">
        <v>702</v>
      </c>
      <c r="G3166" s="247" t="s">
        <v>1505</v>
      </c>
      <c r="H3166" s="248" t="s">
        <v>234</v>
      </c>
      <c r="I3166" s="248" t="s">
        <v>702</v>
      </c>
      <c r="J3166" s="247" t="s">
        <v>809</v>
      </c>
      <c r="K3166" s="249">
        <v>0</v>
      </c>
      <c r="M3166" s="90">
        <v>0</v>
      </c>
      <c r="N3166" s="90">
        <v>0</v>
      </c>
      <c r="O3166" s="90">
        <v>255</v>
      </c>
    </row>
    <row r="3167" spans="1:15" s="90" customFormat="1" ht="12.75" customHeight="1" x14ac:dyDescent="0.2">
      <c r="A3167" s="247" t="s">
        <v>1513</v>
      </c>
      <c r="B3167" s="316">
        <v>3010</v>
      </c>
      <c r="C3167" s="247" t="s">
        <v>979</v>
      </c>
      <c r="D3167" s="317">
        <v>42675</v>
      </c>
      <c r="E3167" s="318">
        <v>0.72524305555555557</v>
      </c>
      <c r="F3167" s="247" t="s">
        <v>702</v>
      </c>
      <c r="G3167" s="247" t="s">
        <v>1505</v>
      </c>
      <c r="H3167" s="248" t="s">
        <v>234</v>
      </c>
      <c r="I3167" s="248" t="s">
        <v>702</v>
      </c>
      <c r="J3167" s="247" t="s">
        <v>809</v>
      </c>
      <c r="K3167" s="249">
        <v>0</v>
      </c>
      <c r="M3167" s="90">
        <v>0</v>
      </c>
      <c r="N3167" s="90">
        <v>0</v>
      </c>
      <c r="O3167" s="90">
        <v>255</v>
      </c>
    </row>
    <row r="3168" spans="1:15" s="90" customFormat="1" ht="12.75" customHeight="1" x14ac:dyDescent="0.2">
      <c r="A3168" s="247" t="s">
        <v>1106</v>
      </c>
      <c r="B3168" s="316">
        <v>3001</v>
      </c>
      <c r="C3168" s="247" t="s">
        <v>996</v>
      </c>
      <c r="D3168" s="317">
        <v>42675</v>
      </c>
      <c r="E3168" s="318">
        <v>0.72559027777777774</v>
      </c>
      <c r="F3168" s="247" t="s">
        <v>702</v>
      </c>
      <c r="G3168" s="247" t="s">
        <v>1505</v>
      </c>
      <c r="H3168" s="248" t="s">
        <v>121</v>
      </c>
      <c r="I3168" s="248" t="s">
        <v>122</v>
      </c>
      <c r="J3168" s="247" t="s">
        <v>809</v>
      </c>
      <c r="K3168" s="249">
        <v>0</v>
      </c>
      <c r="M3168" s="90">
        <v>0</v>
      </c>
      <c r="N3168" s="90">
        <v>0</v>
      </c>
      <c r="O3168" s="90">
        <v>255</v>
      </c>
    </row>
    <row r="3169" spans="1:15" s="90" customFormat="1" ht="12.75" customHeight="1" x14ac:dyDescent="0.2">
      <c r="A3169" s="247" t="s">
        <v>1514</v>
      </c>
      <c r="B3169" s="316">
        <v>3004</v>
      </c>
      <c r="C3169" s="247" t="s">
        <v>979</v>
      </c>
      <c r="D3169" s="317">
        <v>42675</v>
      </c>
      <c r="E3169" s="318">
        <v>0.72783564814814816</v>
      </c>
      <c r="F3169" s="247" t="s">
        <v>702</v>
      </c>
      <c r="G3169" s="247" t="s">
        <v>1505</v>
      </c>
      <c r="H3169" s="248" t="s">
        <v>234</v>
      </c>
      <c r="I3169" s="248" t="s">
        <v>702</v>
      </c>
      <c r="J3169" s="247" t="s">
        <v>809</v>
      </c>
      <c r="K3169" s="249">
        <v>0</v>
      </c>
      <c r="M3169" s="90">
        <v>0</v>
      </c>
      <c r="N3169" s="90">
        <v>0</v>
      </c>
      <c r="O3169" s="90">
        <v>255</v>
      </c>
    </row>
    <row r="3170" spans="1:15" s="90" customFormat="1" ht="12.75" customHeight="1" x14ac:dyDescent="0.2">
      <c r="A3170" s="247" t="s">
        <v>1515</v>
      </c>
      <c r="B3170" s="316">
        <v>3004</v>
      </c>
      <c r="C3170" s="247" t="s">
        <v>979</v>
      </c>
      <c r="D3170" s="317">
        <v>42675</v>
      </c>
      <c r="E3170" s="318">
        <v>0.72783564814814816</v>
      </c>
      <c r="F3170" s="247" t="s">
        <v>702</v>
      </c>
      <c r="G3170" s="247" t="s">
        <v>1505</v>
      </c>
      <c r="H3170" s="248" t="s">
        <v>234</v>
      </c>
      <c r="I3170" s="248" t="s">
        <v>702</v>
      </c>
      <c r="J3170" s="247" t="s">
        <v>809</v>
      </c>
      <c r="K3170" s="249">
        <v>0</v>
      </c>
      <c r="M3170" s="90">
        <v>0</v>
      </c>
      <c r="N3170" s="90">
        <v>0</v>
      </c>
      <c r="O3170" s="90">
        <v>255</v>
      </c>
    </row>
    <row r="3171" spans="1:15" s="90" customFormat="1" ht="12.75" customHeight="1" x14ac:dyDescent="0.2">
      <c r="A3171" s="247" t="s">
        <v>1072</v>
      </c>
      <c r="B3171" s="316">
        <v>3218</v>
      </c>
      <c r="C3171" s="247" t="s">
        <v>979</v>
      </c>
      <c r="D3171" s="317">
        <v>42675</v>
      </c>
      <c r="E3171" s="318">
        <v>0.72886574074074073</v>
      </c>
      <c r="F3171" s="247" t="s">
        <v>702</v>
      </c>
      <c r="G3171" s="247" t="s">
        <v>1505</v>
      </c>
      <c r="H3171" s="248"/>
      <c r="I3171" s="248"/>
      <c r="J3171" s="247"/>
      <c r="K3171" s="249"/>
      <c r="M3171" s="90">
        <v>0</v>
      </c>
      <c r="N3171" s="90">
        <v>0</v>
      </c>
      <c r="O3171" s="90">
        <v>255</v>
      </c>
    </row>
    <row r="3172" spans="1:15" s="90" customFormat="1" ht="12.75" customHeight="1" x14ac:dyDescent="0.2">
      <c r="A3172" s="247" t="s">
        <v>1031</v>
      </c>
      <c r="B3172" s="316">
        <v>3046</v>
      </c>
      <c r="C3172" s="247" t="s">
        <v>975</v>
      </c>
      <c r="D3172" s="317">
        <v>42675</v>
      </c>
      <c r="E3172" s="318">
        <v>0.72953703703703709</v>
      </c>
      <c r="F3172" s="247" t="s">
        <v>976</v>
      </c>
      <c r="G3172" s="247" t="s">
        <v>1505</v>
      </c>
      <c r="H3172" s="248" t="s">
        <v>404</v>
      </c>
      <c r="I3172" s="248" t="s">
        <v>404</v>
      </c>
      <c r="J3172" s="247" t="s">
        <v>809</v>
      </c>
      <c r="K3172" s="249">
        <v>0</v>
      </c>
      <c r="M3172" s="90">
        <v>0</v>
      </c>
      <c r="N3172" s="90">
        <v>0</v>
      </c>
      <c r="O3172" s="90">
        <v>255</v>
      </c>
    </row>
    <row r="3173" spans="1:15" s="90" customFormat="1" ht="12.75" customHeight="1" x14ac:dyDescent="0.2">
      <c r="A3173" s="247" t="s">
        <v>1032</v>
      </c>
      <c r="B3173" s="316">
        <v>3046</v>
      </c>
      <c r="C3173" s="247" t="s">
        <v>975</v>
      </c>
      <c r="D3173" s="317">
        <v>42675</v>
      </c>
      <c r="E3173" s="318">
        <v>0.73157407407407404</v>
      </c>
      <c r="F3173" s="247" t="s">
        <v>976</v>
      </c>
      <c r="G3173" s="247" t="s">
        <v>1505</v>
      </c>
      <c r="H3173" s="248" t="s">
        <v>404</v>
      </c>
      <c r="I3173" s="248" t="s">
        <v>404</v>
      </c>
      <c r="J3173" s="247" t="s">
        <v>809</v>
      </c>
      <c r="K3173" s="249">
        <v>0</v>
      </c>
      <c r="M3173" s="90">
        <v>0</v>
      </c>
      <c r="N3173" s="90">
        <v>0</v>
      </c>
      <c r="O3173" s="90">
        <v>255</v>
      </c>
    </row>
    <row r="3174" spans="1:15" s="90" customFormat="1" ht="12.75" customHeight="1" x14ac:dyDescent="0.2">
      <c r="A3174" s="247" t="s">
        <v>989</v>
      </c>
      <c r="B3174" s="316">
        <v>3046</v>
      </c>
      <c r="C3174" s="247" t="s">
        <v>975</v>
      </c>
      <c r="D3174" s="317">
        <v>42675</v>
      </c>
      <c r="E3174" s="318">
        <v>0.73157407407407404</v>
      </c>
      <c r="F3174" s="247" t="s">
        <v>976</v>
      </c>
      <c r="G3174" s="247" t="s">
        <v>1505</v>
      </c>
      <c r="H3174" s="248" t="s">
        <v>404</v>
      </c>
      <c r="I3174" s="248" t="s">
        <v>404</v>
      </c>
      <c r="J3174" s="247" t="s">
        <v>809</v>
      </c>
      <c r="K3174" s="249">
        <v>0</v>
      </c>
      <c r="M3174" s="90">
        <v>0</v>
      </c>
      <c r="N3174" s="90">
        <v>0</v>
      </c>
      <c r="O3174" s="90">
        <v>255</v>
      </c>
    </row>
    <row r="3175" spans="1:15" s="90" customFormat="1" ht="12.75" customHeight="1" x14ac:dyDescent="0.2">
      <c r="A3175" s="247" t="s">
        <v>1033</v>
      </c>
      <c r="B3175" s="316">
        <v>3217</v>
      </c>
      <c r="C3175" s="247" t="s">
        <v>975</v>
      </c>
      <c r="D3175" s="317">
        <v>42675</v>
      </c>
      <c r="E3175" s="318">
        <v>0.7318634259259259</v>
      </c>
      <c r="F3175" s="247" t="s">
        <v>235</v>
      </c>
      <c r="G3175" s="247" t="s">
        <v>1505</v>
      </c>
      <c r="H3175" s="248" t="s">
        <v>234</v>
      </c>
      <c r="I3175" s="248" t="s">
        <v>235</v>
      </c>
      <c r="J3175" s="247" t="s">
        <v>809</v>
      </c>
      <c r="K3175" s="249">
        <v>0</v>
      </c>
      <c r="M3175" s="90">
        <v>0</v>
      </c>
      <c r="N3175" s="90">
        <v>0</v>
      </c>
      <c r="O3175" s="90">
        <v>255</v>
      </c>
    </row>
    <row r="3176" spans="1:15" s="90" customFormat="1" ht="12.75" customHeight="1" x14ac:dyDescent="0.2">
      <c r="A3176" s="247" t="s">
        <v>990</v>
      </c>
      <c r="B3176" s="316">
        <v>3046</v>
      </c>
      <c r="C3176" s="247" t="s">
        <v>975</v>
      </c>
      <c r="D3176" s="317">
        <v>42675</v>
      </c>
      <c r="E3176" s="318">
        <v>0.73187500000000005</v>
      </c>
      <c r="F3176" s="247" t="s">
        <v>976</v>
      </c>
      <c r="G3176" s="247" t="s">
        <v>1505</v>
      </c>
      <c r="H3176" s="248" t="s">
        <v>404</v>
      </c>
      <c r="I3176" s="248" t="s">
        <v>404</v>
      </c>
      <c r="J3176" s="247" t="s">
        <v>809</v>
      </c>
      <c r="K3176" s="249">
        <v>0</v>
      </c>
      <c r="M3176" s="90">
        <v>0</v>
      </c>
      <c r="N3176" s="90">
        <v>0</v>
      </c>
      <c r="O3176" s="90">
        <v>255</v>
      </c>
    </row>
    <row r="3177" spans="1:15" s="90" customFormat="1" ht="12.75" customHeight="1" x14ac:dyDescent="0.2">
      <c r="A3177" s="247" t="s">
        <v>1051</v>
      </c>
      <c r="B3177" s="316">
        <v>3218</v>
      </c>
      <c r="C3177" s="247" t="s">
        <v>979</v>
      </c>
      <c r="D3177" s="317">
        <v>42675</v>
      </c>
      <c r="E3177" s="318">
        <v>0.73540509259259268</v>
      </c>
      <c r="F3177" s="247" t="s">
        <v>702</v>
      </c>
      <c r="G3177" s="247" t="s">
        <v>1505</v>
      </c>
      <c r="H3177" s="248"/>
      <c r="I3177" s="248"/>
      <c r="J3177" s="247"/>
      <c r="K3177" s="249"/>
      <c r="M3177" s="90">
        <v>0</v>
      </c>
      <c r="N3177" s="90">
        <v>0</v>
      </c>
      <c r="O3177" s="90">
        <v>255</v>
      </c>
    </row>
    <row r="3178" spans="1:15" s="90" customFormat="1" ht="12.75" customHeight="1" x14ac:dyDescent="0.2">
      <c r="A3178" s="247" t="s">
        <v>1052</v>
      </c>
      <c r="B3178" s="316">
        <v>3218</v>
      </c>
      <c r="C3178" s="247" t="s">
        <v>979</v>
      </c>
      <c r="D3178" s="317">
        <v>42675</v>
      </c>
      <c r="E3178" s="318">
        <v>0.73540509259259268</v>
      </c>
      <c r="F3178" s="247" t="s">
        <v>702</v>
      </c>
      <c r="G3178" s="247" t="s">
        <v>1505</v>
      </c>
      <c r="H3178" s="248"/>
      <c r="I3178" s="248"/>
      <c r="J3178" s="247"/>
      <c r="K3178" s="249"/>
      <c r="M3178" s="90">
        <v>0</v>
      </c>
      <c r="N3178" s="90">
        <v>0</v>
      </c>
      <c r="O3178" s="90">
        <v>255</v>
      </c>
    </row>
    <row r="3179" spans="1:15" s="90" customFormat="1" ht="12.75" customHeight="1" x14ac:dyDescent="0.2">
      <c r="A3179" s="247" t="s">
        <v>1053</v>
      </c>
      <c r="B3179" s="316">
        <v>3218</v>
      </c>
      <c r="C3179" s="247" t="s">
        <v>979</v>
      </c>
      <c r="D3179" s="317">
        <v>42675</v>
      </c>
      <c r="E3179" s="318">
        <v>0.73540509259259268</v>
      </c>
      <c r="F3179" s="247" t="s">
        <v>702</v>
      </c>
      <c r="G3179" s="247" t="s">
        <v>1505</v>
      </c>
      <c r="H3179" s="248"/>
      <c r="I3179" s="248"/>
      <c r="J3179" s="247"/>
      <c r="K3179" s="249"/>
      <c r="M3179" s="90">
        <v>0</v>
      </c>
      <c r="N3179" s="90">
        <v>0</v>
      </c>
      <c r="O3179" s="90">
        <v>255</v>
      </c>
    </row>
    <row r="3180" spans="1:15" s="90" customFormat="1" ht="12.75" customHeight="1" x14ac:dyDescent="0.2">
      <c r="A3180" s="247" t="s">
        <v>1054</v>
      </c>
      <c r="B3180" s="316">
        <v>3218</v>
      </c>
      <c r="C3180" s="247" t="s">
        <v>979</v>
      </c>
      <c r="D3180" s="317">
        <v>42675</v>
      </c>
      <c r="E3180" s="318">
        <v>0.73540509259259268</v>
      </c>
      <c r="F3180" s="247" t="s">
        <v>702</v>
      </c>
      <c r="G3180" s="247" t="s">
        <v>1505</v>
      </c>
      <c r="H3180" s="248"/>
      <c r="I3180" s="248"/>
      <c r="J3180" s="247"/>
      <c r="K3180" s="249"/>
      <c r="M3180" s="90">
        <v>0</v>
      </c>
      <c r="N3180" s="90">
        <v>0</v>
      </c>
      <c r="O3180" s="90">
        <v>255</v>
      </c>
    </row>
    <row r="3181" spans="1:15" s="90" customFormat="1" ht="12.75" customHeight="1" x14ac:dyDescent="0.2">
      <c r="A3181" s="247" t="s">
        <v>1055</v>
      </c>
      <c r="B3181" s="316">
        <v>3218</v>
      </c>
      <c r="C3181" s="247" t="s">
        <v>979</v>
      </c>
      <c r="D3181" s="317">
        <v>42675</v>
      </c>
      <c r="E3181" s="318">
        <v>0.73540509259259268</v>
      </c>
      <c r="F3181" s="247" t="s">
        <v>702</v>
      </c>
      <c r="G3181" s="247" t="s">
        <v>1505</v>
      </c>
      <c r="H3181" s="248"/>
      <c r="I3181" s="248"/>
      <c r="J3181" s="247"/>
      <c r="K3181" s="249"/>
      <c r="M3181" s="90">
        <v>0</v>
      </c>
      <c r="N3181" s="90">
        <v>0</v>
      </c>
      <c r="O3181" s="90">
        <v>255</v>
      </c>
    </row>
    <row r="3182" spans="1:15" s="90" customFormat="1" ht="12.75" customHeight="1" x14ac:dyDescent="0.2">
      <c r="A3182" s="247" t="s">
        <v>1056</v>
      </c>
      <c r="B3182" s="316">
        <v>3218</v>
      </c>
      <c r="C3182" s="247" t="s">
        <v>979</v>
      </c>
      <c r="D3182" s="317">
        <v>42675</v>
      </c>
      <c r="E3182" s="318">
        <v>0.73540509259259268</v>
      </c>
      <c r="F3182" s="247" t="s">
        <v>702</v>
      </c>
      <c r="G3182" s="247" t="s">
        <v>1505</v>
      </c>
      <c r="H3182" s="248"/>
      <c r="I3182" s="248"/>
      <c r="J3182" s="247"/>
      <c r="K3182" s="249"/>
      <c r="M3182" s="90">
        <v>0</v>
      </c>
      <c r="N3182" s="90">
        <v>0</v>
      </c>
      <c r="O3182" s="90">
        <v>255</v>
      </c>
    </row>
    <row r="3183" spans="1:15" s="90" customFormat="1" ht="12.75" customHeight="1" x14ac:dyDescent="0.2">
      <c r="A3183" s="247" t="s">
        <v>1051</v>
      </c>
      <c r="B3183" s="316">
        <v>3218</v>
      </c>
      <c r="C3183" s="247" t="s">
        <v>979</v>
      </c>
      <c r="D3183" s="317">
        <v>42675</v>
      </c>
      <c r="E3183" s="318">
        <v>0.73552083333333329</v>
      </c>
      <c r="F3183" s="247" t="s">
        <v>702</v>
      </c>
      <c r="G3183" s="247" t="s">
        <v>1505</v>
      </c>
      <c r="H3183" s="248"/>
      <c r="I3183" s="248"/>
      <c r="J3183" s="247"/>
      <c r="K3183" s="249"/>
      <c r="M3183" s="90">
        <v>0</v>
      </c>
      <c r="N3183" s="90">
        <v>0</v>
      </c>
      <c r="O3183" s="90">
        <v>255</v>
      </c>
    </row>
    <row r="3184" spans="1:15" s="90" customFormat="1" ht="12.75" customHeight="1" x14ac:dyDescent="0.2">
      <c r="A3184" s="247" t="s">
        <v>1031</v>
      </c>
      <c r="B3184" s="316">
        <v>3046</v>
      </c>
      <c r="C3184" s="247" t="s">
        <v>975</v>
      </c>
      <c r="D3184" s="317">
        <v>42675</v>
      </c>
      <c r="E3184" s="318">
        <v>0.73569444444444443</v>
      </c>
      <c r="F3184" s="247" t="s">
        <v>976</v>
      </c>
      <c r="G3184" s="247" t="s">
        <v>1505</v>
      </c>
      <c r="H3184" s="248" t="s">
        <v>404</v>
      </c>
      <c r="I3184" s="248" t="s">
        <v>404</v>
      </c>
      <c r="J3184" s="247" t="s">
        <v>809</v>
      </c>
      <c r="K3184" s="249">
        <v>0</v>
      </c>
      <c r="M3184" s="90">
        <v>0</v>
      </c>
      <c r="N3184" s="90">
        <v>0</v>
      </c>
      <c r="O3184" s="90">
        <v>255</v>
      </c>
    </row>
    <row r="3185" spans="1:15" s="90" customFormat="1" ht="12.75" customHeight="1" x14ac:dyDescent="0.2">
      <c r="A3185" s="247" t="s">
        <v>1052</v>
      </c>
      <c r="B3185" s="316">
        <v>3218</v>
      </c>
      <c r="C3185" s="247" t="s">
        <v>979</v>
      </c>
      <c r="D3185" s="317">
        <v>42675</v>
      </c>
      <c r="E3185" s="318">
        <v>0.73579861111111111</v>
      </c>
      <c r="F3185" s="247" t="s">
        <v>702</v>
      </c>
      <c r="G3185" s="247" t="s">
        <v>1505</v>
      </c>
      <c r="H3185" s="248"/>
      <c r="I3185" s="248"/>
      <c r="J3185" s="247"/>
      <c r="K3185" s="249"/>
      <c r="M3185" s="90">
        <v>0</v>
      </c>
      <c r="N3185" s="90">
        <v>0</v>
      </c>
      <c r="O3185" s="90">
        <v>255</v>
      </c>
    </row>
    <row r="3186" spans="1:15" s="90" customFormat="1" ht="12.75" customHeight="1" x14ac:dyDescent="0.2">
      <c r="A3186" s="247" t="s">
        <v>1053</v>
      </c>
      <c r="B3186" s="316">
        <v>3218</v>
      </c>
      <c r="C3186" s="247" t="s">
        <v>979</v>
      </c>
      <c r="D3186" s="317">
        <v>42675</v>
      </c>
      <c r="E3186" s="318">
        <v>0.73616898148148147</v>
      </c>
      <c r="F3186" s="247" t="s">
        <v>702</v>
      </c>
      <c r="G3186" s="247" t="s">
        <v>1505</v>
      </c>
      <c r="H3186" s="248"/>
      <c r="I3186" s="248"/>
      <c r="J3186" s="247"/>
      <c r="K3186" s="249"/>
      <c r="M3186" s="90">
        <v>0</v>
      </c>
      <c r="N3186" s="90">
        <v>0</v>
      </c>
      <c r="O3186" s="90">
        <v>255</v>
      </c>
    </row>
    <row r="3187" spans="1:15" s="90" customFormat="1" ht="12.75" customHeight="1" x14ac:dyDescent="0.2">
      <c r="A3187" s="247" t="s">
        <v>1054</v>
      </c>
      <c r="B3187" s="316">
        <v>3218</v>
      </c>
      <c r="C3187" s="247" t="s">
        <v>979</v>
      </c>
      <c r="D3187" s="317">
        <v>42675</v>
      </c>
      <c r="E3187" s="318">
        <v>0.73642361111111121</v>
      </c>
      <c r="F3187" s="247" t="s">
        <v>702</v>
      </c>
      <c r="G3187" s="247" t="s">
        <v>1505</v>
      </c>
      <c r="H3187" s="248"/>
      <c r="I3187" s="248"/>
      <c r="J3187" s="247"/>
      <c r="K3187" s="249"/>
      <c r="M3187" s="90">
        <v>0</v>
      </c>
      <c r="N3187" s="90">
        <v>0</v>
      </c>
      <c r="O3187" s="90">
        <v>255</v>
      </c>
    </row>
    <row r="3188" spans="1:15" s="90" customFormat="1" ht="12.75" customHeight="1" x14ac:dyDescent="0.2">
      <c r="A3188" s="247" t="s">
        <v>1055</v>
      </c>
      <c r="B3188" s="316">
        <v>3218</v>
      </c>
      <c r="C3188" s="247" t="s">
        <v>979</v>
      </c>
      <c r="D3188" s="317">
        <v>42675</v>
      </c>
      <c r="E3188" s="318">
        <v>0.7365856481481482</v>
      </c>
      <c r="F3188" s="247" t="s">
        <v>702</v>
      </c>
      <c r="G3188" s="247" t="s">
        <v>1505</v>
      </c>
      <c r="H3188" s="248"/>
      <c r="I3188" s="248"/>
      <c r="J3188" s="247"/>
      <c r="K3188" s="249"/>
      <c r="M3188" s="90">
        <v>0</v>
      </c>
      <c r="N3188" s="90">
        <v>0</v>
      </c>
      <c r="O3188" s="90">
        <v>255</v>
      </c>
    </row>
    <row r="3189" spans="1:15" s="90" customFormat="1" ht="12.75" customHeight="1" x14ac:dyDescent="0.2">
      <c r="A3189" s="247" t="s">
        <v>1056</v>
      </c>
      <c r="B3189" s="316">
        <v>3218</v>
      </c>
      <c r="C3189" s="247" t="s">
        <v>979</v>
      </c>
      <c r="D3189" s="317">
        <v>42675</v>
      </c>
      <c r="E3189" s="318">
        <v>0.7368055555555556</v>
      </c>
      <c r="F3189" s="247" t="s">
        <v>702</v>
      </c>
      <c r="G3189" s="247" t="s">
        <v>1505</v>
      </c>
      <c r="H3189" s="248"/>
      <c r="I3189" s="248"/>
      <c r="J3189" s="247"/>
      <c r="K3189" s="249"/>
      <c r="M3189" s="90">
        <v>0</v>
      </c>
      <c r="N3189" s="90">
        <v>0</v>
      </c>
      <c r="O3189" s="90">
        <v>255</v>
      </c>
    </row>
    <row r="3190" spans="1:15" s="90" customFormat="1" ht="12.75" customHeight="1" x14ac:dyDescent="0.2">
      <c r="A3190" s="247" t="s">
        <v>1032</v>
      </c>
      <c r="B3190" s="316">
        <v>3046</v>
      </c>
      <c r="C3190" s="247" t="s">
        <v>975</v>
      </c>
      <c r="D3190" s="317">
        <v>42675</v>
      </c>
      <c r="E3190" s="318">
        <v>0.74163194444444447</v>
      </c>
      <c r="F3190" s="247" t="s">
        <v>976</v>
      </c>
      <c r="G3190" s="247" t="s">
        <v>1505</v>
      </c>
      <c r="H3190" s="248" t="s">
        <v>404</v>
      </c>
      <c r="I3190" s="248" t="s">
        <v>404</v>
      </c>
      <c r="J3190" s="247" t="s">
        <v>809</v>
      </c>
      <c r="K3190" s="249">
        <v>0</v>
      </c>
      <c r="M3190" s="90">
        <v>0</v>
      </c>
      <c r="N3190" s="90">
        <v>0</v>
      </c>
      <c r="O3190" s="90">
        <v>255</v>
      </c>
    </row>
    <row r="3191" spans="1:15" s="90" customFormat="1" ht="12.75" customHeight="1" x14ac:dyDescent="0.2">
      <c r="A3191" s="247" t="s">
        <v>989</v>
      </c>
      <c r="B3191" s="316">
        <v>3046</v>
      </c>
      <c r="C3191" s="247" t="s">
        <v>975</v>
      </c>
      <c r="D3191" s="317">
        <v>42675</v>
      </c>
      <c r="E3191" s="318">
        <v>0.74163194444444447</v>
      </c>
      <c r="F3191" s="247" t="s">
        <v>976</v>
      </c>
      <c r="G3191" s="247" t="s">
        <v>1505</v>
      </c>
      <c r="H3191" s="248" t="s">
        <v>404</v>
      </c>
      <c r="I3191" s="248" t="s">
        <v>404</v>
      </c>
      <c r="J3191" s="247" t="s">
        <v>809</v>
      </c>
      <c r="K3191" s="249">
        <v>0</v>
      </c>
      <c r="M3191" s="90">
        <v>0</v>
      </c>
      <c r="N3191" s="90">
        <v>0</v>
      </c>
      <c r="O3191" s="90">
        <v>255</v>
      </c>
    </row>
    <row r="3192" spans="1:15" s="90" customFormat="1" ht="12.75" customHeight="1" x14ac:dyDescent="0.2">
      <c r="A3192" s="247" t="s">
        <v>990</v>
      </c>
      <c r="B3192" s="316">
        <v>3046</v>
      </c>
      <c r="C3192" s="247" t="s">
        <v>975</v>
      </c>
      <c r="D3192" s="317">
        <v>42675</v>
      </c>
      <c r="E3192" s="318">
        <v>0.74200231481481482</v>
      </c>
      <c r="F3192" s="247" t="s">
        <v>976</v>
      </c>
      <c r="G3192" s="247" t="s">
        <v>1505</v>
      </c>
      <c r="H3192" s="248" t="s">
        <v>404</v>
      </c>
      <c r="I3192" s="248" t="s">
        <v>404</v>
      </c>
      <c r="J3192" s="247" t="s">
        <v>809</v>
      </c>
      <c r="K3192" s="249">
        <v>0</v>
      </c>
      <c r="M3192" s="90">
        <v>0</v>
      </c>
      <c r="N3192" s="90">
        <v>0</v>
      </c>
      <c r="O3192" s="90">
        <v>255</v>
      </c>
    </row>
    <row r="3193" spans="1:15" s="90" customFormat="1" ht="12.75" customHeight="1" x14ac:dyDescent="0.2">
      <c r="A3193" s="247" t="s">
        <v>1033</v>
      </c>
      <c r="B3193" s="316">
        <v>3217</v>
      </c>
      <c r="C3193" s="247" t="s">
        <v>975</v>
      </c>
      <c r="D3193" s="317">
        <v>42675</v>
      </c>
      <c r="E3193" s="318">
        <v>0.74200231481481482</v>
      </c>
      <c r="F3193" s="247" t="s">
        <v>235</v>
      </c>
      <c r="G3193" s="247" t="s">
        <v>1505</v>
      </c>
      <c r="H3193" s="248" t="s">
        <v>234</v>
      </c>
      <c r="I3193" s="248" t="s">
        <v>235</v>
      </c>
      <c r="J3193" s="247" t="s">
        <v>809</v>
      </c>
      <c r="K3193" s="249">
        <v>0</v>
      </c>
      <c r="M3193" s="90">
        <v>0</v>
      </c>
      <c r="N3193" s="90">
        <v>0</v>
      </c>
      <c r="O3193" s="90">
        <v>255</v>
      </c>
    </row>
    <row r="3194" spans="1:15" s="90" customFormat="1" ht="12.75" customHeight="1" x14ac:dyDescent="0.2">
      <c r="A3194" s="247" t="s">
        <v>1274</v>
      </c>
      <c r="B3194" s="316">
        <v>3218</v>
      </c>
      <c r="C3194" s="247" t="s">
        <v>979</v>
      </c>
      <c r="D3194" s="317">
        <v>42675</v>
      </c>
      <c r="E3194" s="318">
        <v>0.74744212962962964</v>
      </c>
      <c r="F3194" s="247" t="s">
        <v>702</v>
      </c>
      <c r="G3194" s="247" t="s">
        <v>1505</v>
      </c>
      <c r="H3194" s="248"/>
      <c r="I3194" s="248"/>
      <c r="J3194" s="247"/>
      <c r="K3194" s="249"/>
      <c r="M3194" s="90">
        <v>0</v>
      </c>
      <c r="N3194" s="90">
        <v>0</v>
      </c>
      <c r="O3194" s="90">
        <v>255</v>
      </c>
    </row>
    <row r="3195" spans="1:15" s="90" customFormat="1" ht="12.75" customHeight="1" x14ac:dyDescent="0.2">
      <c r="A3195" s="247" t="s">
        <v>1031</v>
      </c>
      <c r="B3195" s="316">
        <v>3046</v>
      </c>
      <c r="C3195" s="247" t="s">
        <v>975</v>
      </c>
      <c r="D3195" s="317">
        <v>42675</v>
      </c>
      <c r="E3195" s="318">
        <v>0.74752314814814813</v>
      </c>
      <c r="F3195" s="247" t="s">
        <v>976</v>
      </c>
      <c r="G3195" s="247" t="s">
        <v>1505</v>
      </c>
      <c r="H3195" s="248" t="s">
        <v>404</v>
      </c>
      <c r="I3195" s="248" t="s">
        <v>404</v>
      </c>
      <c r="J3195" s="247" t="s">
        <v>809</v>
      </c>
      <c r="K3195" s="249">
        <v>0</v>
      </c>
      <c r="M3195" s="90">
        <v>0</v>
      </c>
      <c r="N3195" s="90">
        <v>0</v>
      </c>
      <c r="O3195" s="90">
        <v>255</v>
      </c>
    </row>
    <row r="3196" spans="1:15" s="90" customFormat="1" ht="12.75" customHeight="1" x14ac:dyDescent="0.2">
      <c r="A3196" s="247" t="s">
        <v>1032</v>
      </c>
      <c r="B3196" s="316">
        <v>3046</v>
      </c>
      <c r="C3196" s="247" t="s">
        <v>975</v>
      </c>
      <c r="D3196" s="317">
        <v>42675</v>
      </c>
      <c r="E3196" s="318">
        <v>0.74961805555555561</v>
      </c>
      <c r="F3196" s="247" t="s">
        <v>976</v>
      </c>
      <c r="G3196" s="247" t="s">
        <v>1505</v>
      </c>
      <c r="H3196" s="248" t="s">
        <v>404</v>
      </c>
      <c r="I3196" s="248" t="s">
        <v>404</v>
      </c>
      <c r="J3196" s="247" t="s">
        <v>809</v>
      </c>
      <c r="K3196" s="249">
        <v>0</v>
      </c>
      <c r="M3196" s="90">
        <v>0</v>
      </c>
      <c r="N3196" s="90">
        <v>0</v>
      </c>
      <c r="O3196" s="90">
        <v>255</v>
      </c>
    </row>
    <row r="3197" spans="1:15" s="90" customFormat="1" ht="12.75" customHeight="1" x14ac:dyDescent="0.2">
      <c r="A3197" s="247" t="s">
        <v>989</v>
      </c>
      <c r="B3197" s="316">
        <v>3046</v>
      </c>
      <c r="C3197" s="247" t="s">
        <v>975</v>
      </c>
      <c r="D3197" s="317">
        <v>42675</v>
      </c>
      <c r="E3197" s="318">
        <v>0.74961805555555561</v>
      </c>
      <c r="F3197" s="247" t="s">
        <v>976</v>
      </c>
      <c r="G3197" s="247" t="s">
        <v>1505</v>
      </c>
      <c r="H3197" s="248" t="s">
        <v>404</v>
      </c>
      <c r="I3197" s="248" t="s">
        <v>404</v>
      </c>
      <c r="J3197" s="247" t="s">
        <v>809</v>
      </c>
      <c r="K3197" s="249">
        <v>0</v>
      </c>
      <c r="M3197" s="90">
        <v>0</v>
      </c>
      <c r="N3197" s="90">
        <v>0</v>
      </c>
      <c r="O3197" s="90">
        <v>255</v>
      </c>
    </row>
    <row r="3198" spans="1:15" s="90" customFormat="1" ht="12.75" customHeight="1" x14ac:dyDescent="0.2">
      <c r="A3198" s="247" t="s">
        <v>990</v>
      </c>
      <c r="B3198" s="316">
        <v>3046</v>
      </c>
      <c r="C3198" s="247" t="s">
        <v>975</v>
      </c>
      <c r="D3198" s="317">
        <v>42675</v>
      </c>
      <c r="E3198" s="318">
        <v>0.74990740740740736</v>
      </c>
      <c r="F3198" s="247" t="s">
        <v>976</v>
      </c>
      <c r="G3198" s="247" t="s">
        <v>1505</v>
      </c>
      <c r="H3198" s="248" t="s">
        <v>404</v>
      </c>
      <c r="I3198" s="248" t="s">
        <v>404</v>
      </c>
      <c r="J3198" s="247" t="s">
        <v>809</v>
      </c>
      <c r="K3198" s="249">
        <v>0</v>
      </c>
      <c r="M3198" s="90">
        <v>0</v>
      </c>
      <c r="N3198" s="90">
        <v>0</v>
      </c>
      <c r="O3198" s="90">
        <v>255</v>
      </c>
    </row>
    <row r="3199" spans="1:15" s="90" customFormat="1" ht="12.75" customHeight="1" x14ac:dyDescent="0.2">
      <c r="A3199" s="247" t="s">
        <v>1033</v>
      </c>
      <c r="B3199" s="316">
        <v>3217</v>
      </c>
      <c r="C3199" s="247" t="s">
        <v>975</v>
      </c>
      <c r="D3199" s="317">
        <v>42675</v>
      </c>
      <c r="E3199" s="318">
        <v>0.74990740740740736</v>
      </c>
      <c r="F3199" s="247" t="s">
        <v>235</v>
      </c>
      <c r="G3199" s="247" t="s">
        <v>1505</v>
      </c>
      <c r="H3199" s="248" t="s">
        <v>234</v>
      </c>
      <c r="I3199" s="248" t="s">
        <v>235</v>
      </c>
      <c r="J3199" s="247" t="s">
        <v>809</v>
      </c>
      <c r="K3199" s="249">
        <v>0</v>
      </c>
      <c r="M3199" s="90">
        <v>0</v>
      </c>
      <c r="N3199" s="90">
        <v>0</v>
      </c>
      <c r="O3199" s="90">
        <v>255</v>
      </c>
    </row>
    <row r="3200" spans="1:15" s="90" customFormat="1" ht="12.75" customHeight="1" x14ac:dyDescent="0.2">
      <c r="A3200" s="247" t="s">
        <v>1031</v>
      </c>
      <c r="B3200" s="316">
        <v>3046</v>
      </c>
      <c r="C3200" s="247" t="s">
        <v>975</v>
      </c>
      <c r="D3200" s="317">
        <v>42675</v>
      </c>
      <c r="E3200" s="318">
        <v>0.75696759259259261</v>
      </c>
      <c r="F3200" s="247" t="s">
        <v>976</v>
      </c>
      <c r="G3200" s="247" t="s">
        <v>1505</v>
      </c>
      <c r="H3200" s="248" t="s">
        <v>404</v>
      </c>
      <c r="I3200" s="248" t="s">
        <v>404</v>
      </c>
      <c r="J3200" s="247" t="s">
        <v>809</v>
      </c>
      <c r="K3200" s="249">
        <v>0</v>
      </c>
      <c r="M3200" s="90">
        <v>0</v>
      </c>
      <c r="N3200" s="90">
        <v>0</v>
      </c>
      <c r="O3200" s="90">
        <v>255</v>
      </c>
    </row>
    <row r="3201" spans="1:15" s="90" customFormat="1" ht="12.75" customHeight="1" x14ac:dyDescent="0.2">
      <c r="A3201" s="247" t="s">
        <v>1032</v>
      </c>
      <c r="B3201" s="316">
        <v>3046</v>
      </c>
      <c r="C3201" s="247" t="s">
        <v>975</v>
      </c>
      <c r="D3201" s="317">
        <v>42675</v>
      </c>
      <c r="E3201" s="318">
        <v>0.75966435185185188</v>
      </c>
      <c r="F3201" s="247" t="s">
        <v>976</v>
      </c>
      <c r="G3201" s="247" t="s">
        <v>1505</v>
      </c>
      <c r="H3201" s="248" t="s">
        <v>404</v>
      </c>
      <c r="I3201" s="248" t="s">
        <v>404</v>
      </c>
      <c r="J3201" s="247" t="s">
        <v>809</v>
      </c>
      <c r="K3201" s="249">
        <v>0</v>
      </c>
      <c r="M3201" s="90">
        <v>0</v>
      </c>
      <c r="N3201" s="90">
        <v>0</v>
      </c>
      <c r="O3201" s="90">
        <v>255</v>
      </c>
    </row>
    <row r="3202" spans="1:15" s="90" customFormat="1" ht="12.75" customHeight="1" x14ac:dyDescent="0.2">
      <c r="A3202" s="247" t="s">
        <v>989</v>
      </c>
      <c r="B3202" s="316">
        <v>3046</v>
      </c>
      <c r="C3202" s="247" t="s">
        <v>975</v>
      </c>
      <c r="D3202" s="317">
        <v>42675</v>
      </c>
      <c r="E3202" s="318">
        <v>0.75967592592592592</v>
      </c>
      <c r="F3202" s="247" t="s">
        <v>976</v>
      </c>
      <c r="G3202" s="247" t="s">
        <v>1505</v>
      </c>
      <c r="H3202" s="248" t="s">
        <v>404</v>
      </c>
      <c r="I3202" s="248" t="s">
        <v>404</v>
      </c>
      <c r="J3202" s="247" t="s">
        <v>809</v>
      </c>
      <c r="K3202" s="249">
        <v>0</v>
      </c>
      <c r="M3202" s="90">
        <v>0</v>
      </c>
      <c r="N3202" s="90">
        <v>0</v>
      </c>
      <c r="O3202" s="90">
        <v>255</v>
      </c>
    </row>
    <row r="3203" spans="1:15" s="90" customFormat="1" ht="12.75" customHeight="1" x14ac:dyDescent="0.2">
      <c r="A3203" s="247" t="s">
        <v>990</v>
      </c>
      <c r="B3203" s="316">
        <v>3046</v>
      </c>
      <c r="C3203" s="247" t="s">
        <v>975</v>
      </c>
      <c r="D3203" s="317">
        <v>42675</v>
      </c>
      <c r="E3203" s="318">
        <v>0.75997685185185182</v>
      </c>
      <c r="F3203" s="247" t="s">
        <v>976</v>
      </c>
      <c r="G3203" s="247" t="s">
        <v>1505</v>
      </c>
      <c r="H3203" s="248" t="s">
        <v>404</v>
      </c>
      <c r="I3203" s="248" t="s">
        <v>404</v>
      </c>
      <c r="J3203" s="247" t="s">
        <v>809</v>
      </c>
      <c r="K3203" s="249">
        <v>0</v>
      </c>
      <c r="M3203" s="90">
        <v>0</v>
      </c>
      <c r="N3203" s="90">
        <v>0</v>
      </c>
      <c r="O3203" s="90">
        <v>255</v>
      </c>
    </row>
    <row r="3204" spans="1:15" s="90" customFormat="1" ht="12.75" customHeight="1" x14ac:dyDescent="0.2">
      <c r="A3204" s="247" t="s">
        <v>1033</v>
      </c>
      <c r="B3204" s="316">
        <v>3217</v>
      </c>
      <c r="C3204" s="247" t="s">
        <v>975</v>
      </c>
      <c r="D3204" s="317">
        <v>42675</v>
      </c>
      <c r="E3204" s="318">
        <v>0.75997685185185182</v>
      </c>
      <c r="F3204" s="247" t="s">
        <v>235</v>
      </c>
      <c r="G3204" s="247" t="s">
        <v>1505</v>
      </c>
      <c r="H3204" s="248" t="s">
        <v>234</v>
      </c>
      <c r="I3204" s="248" t="s">
        <v>235</v>
      </c>
      <c r="J3204" s="247" t="s">
        <v>809</v>
      </c>
      <c r="K3204" s="249">
        <v>0</v>
      </c>
      <c r="M3204" s="90">
        <v>0</v>
      </c>
      <c r="N3204" s="90">
        <v>0</v>
      </c>
      <c r="O3204" s="90">
        <v>255</v>
      </c>
    </row>
    <row r="3205" spans="1:15" s="90" customFormat="1" ht="12.75" customHeight="1" x14ac:dyDescent="0.2">
      <c r="A3205" s="247" t="s">
        <v>1031</v>
      </c>
      <c r="B3205" s="316">
        <v>3046</v>
      </c>
      <c r="C3205" s="247" t="s">
        <v>975</v>
      </c>
      <c r="D3205" s="317">
        <v>42675</v>
      </c>
      <c r="E3205" s="318">
        <v>0.76086805555555559</v>
      </c>
      <c r="F3205" s="247" t="s">
        <v>976</v>
      </c>
      <c r="G3205" s="247" t="s">
        <v>1505</v>
      </c>
      <c r="H3205" s="248" t="s">
        <v>404</v>
      </c>
      <c r="I3205" s="248" t="s">
        <v>404</v>
      </c>
      <c r="J3205" s="247" t="s">
        <v>809</v>
      </c>
      <c r="K3205" s="249">
        <v>0</v>
      </c>
      <c r="M3205" s="90">
        <v>0</v>
      </c>
      <c r="N3205" s="90">
        <v>0</v>
      </c>
      <c r="O3205" s="90">
        <v>255</v>
      </c>
    </row>
    <row r="3206" spans="1:15" s="90" customFormat="1" ht="12.75" customHeight="1" x14ac:dyDescent="0.2">
      <c r="A3206" s="247" t="s">
        <v>1032</v>
      </c>
      <c r="B3206" s="316">
        <v>3046</v>
      </c>
      <c r="C3206" s="247" t="s">
        <v>975</v>
      </c>
      <c r="D3206" s="317">
        <v>42675</v>
      </c>
      <c r="E3206" s="318">
        <v>0.76693287037037028</v>
      </c>
      <c r="F3206" s="247" t="s">
        <v>976</v>
      </c>
      <c r="G3206" s="247" t="s">
        <v>1505</v>
      </c>
      <c r="H3206" s="248" t="s">
        <v>404</v>
      </c>
      <c r="I3206" s="248" t="s">
        <v>404</v>
      </c>
      <c r="J3206" s="247" t="s">
        <v>809</v>
      </c>
      <c r="K3206" s="249">
        <v>0</v>
      </c>
      <c r="M3206" s="90">
        <v>0</v>
      </c>
      <c r="N3206" s="90">
        <v>0</v>
      </c>
      <c r="O3206" s="90">
        <v>255</v>
      </c>
    </row>
    <row r="3207" spans="1:15" s="90" customFormat="1" ht="12.75" customHeight="1" x14ac:dyDescent="0.2">
      <c r="A3207" s="247" t="s">
        <v>989</v>
      </c>
      <c r="B3207" s="316">
        <v>3046</v>
      </c>
      <c r="C3207" s="247" t="s">
        <v>975</v>
      </c>
      <c r="D3207" s="317">
        <v>42675</v>
      </c>
      <c r="E3207" s="318">
        <v>0.76693287037037028</v>
      </c>
      <c r="F3207" s="247" t="s">
        <v>976</v>
      </c>
      <c r="G3207" s="247" t="s">
        <v>1505</v>
      </c>
      <c r="H3207" s="248" t="s">
        <v>404</v>
      </c>
      <c r="I3207" s="248" t="s">
        <v>404</v>
      </c>
      <c r="J3207" s="247" t="s">
        <v>809</v>
      </c>
      <c r="K3207" s="249">
        <v>0</v>
      </c>
      <c r="M3207" s="90">
        <v>0</v>
      </c>
      <c r="N3207" s="90">
        <v>0</v>
      </c>
      <c r="O3207" s="90">
        <v>255</v>
      </c>
    </row>
    <row r="3208" spans="1:15" s="90" customFormat="1" ht="12.75" customHeight="1" x14ac:dyDescent="0.2">
      <c r="A3208" s="247" t="s">
        <v>990</v>
      </c>
      <c r="B3208" s="316">
        <v>3046</v>
      </c>
      <c r="C3208" s="247" t="s">
        <v>975</v>
      </c>
      <c r="D3208" s="317">
        <v>42675</v>
      </c>
      <c r="E3208" s="318">
        <v>0.76722222222222225</v>
      </c>
      <c r="F3208" s="247" t="s">
        <v>976</v>
      </c>
      <c r="G3208" s="247" t="s">
        <v>1505</v>
      </c>
      <c r="H3208" s="248" t="s">
        <v>404</v>
      </c>
      <c r="I3208" s="248" t="s">
        <v>404</v>
      </c>
      <c r="J3208" s="247" t="s">
        <v>809</v>
      </c>
      <c r="K3208" s="249">
        <v>0</v>
      </c>
      <c r="M3208" s="90">
        <v>0</v>
      </c>
      <c r="N3208" s="90">
        <v>0</v>
      </c>
      <c r="O3208" s="90">
        <v>255</v>
      </c>
    </row>
    <row r="3209" spans="1:15" s="90" customFormat="1" ht="12.75" customHeight="1" x14ac:dyDescent="0.2">
      <c r="A3209" s="247" t="s">
        <v>1033</v>
      </c>
      <c r="B3209" s="316">
        <v>3217</v>
      </c>
      <c r="C3209" s="247" t="s">
        <v>975</v>
      </c>
      <c r="D3209" s="317">
        <v>42675</v>
      </c>
      <c r="E3209" s="318">
        <v>0.76722222222222225</v>
      </c>
      <c r="F3209" s="247" t="s">
        <v>235</v>
      </c>
      <c r="G3209" s="247" t="s">
        <v>1505</v>
      </c>
      <c r="H3209" s="248" t="s">
        <v>234</v>
      </c>
      <c r="I3209" s="248" t="s">
        <v>235</v>
      </c>
      <c r="J3209" s="247" t="s">
        <v>809</v>
      </c>
      <c r="K3209" s="249">
        <v>0</v>
      </c>
      <c r="M3209" s="90">
        <v>0</v>
      </c>
      <c r="N3209" s="90">
        <v>0</v>
      </c>
      <c r="O3209" s="90">
        <v>255</v>
      </c>
    </row>
    <row r="3210" spans="1:15" s="90" customFormat="1" ht="12.75" customHeight="1" x14ac:dyDescent="0.2">
      <c r="A3210" s="247" t="s">
        <v>1031</v>
      </c>
      <c r="B3210" s="316">
        <v>3046</v>
      </c>
      <c r="C3210" s="247" t="s">
        <v>975</v>
      </c>
      <c r="D3210" s="317">
        <v>42675</v>
      </c>
      <c r="E3210" s="318">
        <v>0.77918981481481486</v>
      </c>
      <c r="F3210" s="247" t="s">
        <v>976</v>
      </c>
      <c r="G3210" s="247" t="s">
        <v>1505</v>
      </c>
      <c r="H3210" s="248" t="s">
        <v>404</v>
      </c>
      <c r="I3210" s="248" t="s">
        <v>404</v>
      </c>
      <c r="J3210" s="247" t="s">
        <v>809</v>
      </c>
      <c r="K3210" s="249">
        <v>0</v>
      </c>
      <c r="M3210" s="90">
        <v>0</v>
      </c>
      <c r="N3210" s="90">
        <v>0</v>
      </c>
      <c r="O3210" s="90">
        <v>255</v>
      </c>
    </row>
    <row r="3211" spans="1:15" s="90" customFormat="1" ht="12.75" customHeight="1" x14ac:dyDescent="0.2">
      <c r="A3211" s="247" t="s">
        <v>1032</v>
      </c>
      <c r="B3211" s="316">
        <v>3046</v>
      </c>
      <c r="C3211" s="247" t="s">
        <v>975</v>
      </c>
      <c r="D3211" s="317">
        <v>42675</v>
      </c>
      <c r="E3211" s="318">
        <v>0.78924768518518518</v>
      </c>
      <c r="F3211" s="247" t="s">
        <v>976</v>
      </c>
      <c r="G3211" s="247" t="s">
        <v>1505</v>
      </c>
      <c r="H3211" s="248" t="s">
        <v>404</v>
      </c>
      <c r="I3211" s="248" t="s">
        <v>404</v>
      </c>
      <c r="J3211" s="247" t="s">
        <v>809</v>
      </c>
      <c r="K3211" s="249">
        <v>0</v>
      </c>
      <c r="M3211" s="90">
        <v>0</v>
      </c>
      <c r="N3211" s="90">
        <v>0</v>
      </c>
      <c r="O3211" s="90">
        <v>255</v>
      </c>
    </row>
    <row r="3212" spans="1:15" s="90" customFormat="1" ht="12.75" customHeight="1" x14ac:dyDescent="0.2">
      <c r="A3212" s="247" t="s">
        <v>989</v>
      </c>
      <c r="B3212" s="316">
        <v>3046</v>
      </c>
      <c r="C3212" s="247" t="s">
        <v>975</v>
      </c>
      <c r="D3212" s="317">
        <v>42675</v>
      </c>
      <c r="E3212" s="318">
        <v>0.78924768518518518</v>
      </c>
      <c r="F3212" s="247" t="s">
        <v>976</v>
      </c>
      <c r="G3212" s="247" t="s">
        <v>1505</v>
      </c>
      <c r="H3212" s="248" t="s">
        <v>404</v>
      </c>
      <c r="I3212" s="248" t="s">
        <v>404</v>
      </c>
      <c r="J3212" s="247" t="s">
        <v>809</v>
      </c>
      <c r="K3212" s="249">
        <v>0</v>
      </c>
      <c r="M3212" s="90">
        <v>0</v>
      </c>
      <c r="N3212" s="90">
        <v>0</v>
      </c>
      <c r="O3212" s="90">
        <v>255</v>
      </c>
    </row>
    <row r="3213" spans="1:15" s="90" customFormat="1" ht="12.75" customHeight="1" x14ac:dyDescent="0.2">
      <c r="A3213" s="247" t="s">
        <v>990</v>
      </c>
      <c r="B3213" s="316">
        <v>3046</v>
      </c>
      <c r="C3213" s="247" t="s">
        <v>975</v>
      </c>
      <c r="D3213" s="317">
        <v>42675</v>
      </c>
      <c r="E3213" s="318">
        <v>0.78960648148148149</v>
      </c>
      <c r="F3213" s="247" t="s">
        <v>976</v>
      </c>
      <c r="G3213" s="247" t="s">
        <v>1505</v>
      </c>
      <c r="H3213" s="248" t="s">
        <v>404</v>
      </c>
      <c r="I3213" s="248" t="s">
        <v>404</v>
      </c>
      <c r="J3213" s="247" t="s">
        <v>809</v>
      </c>
      <c r="K3213" s="249">
        <v>0</v>
      </c>
      <c r="M3213" s="90">
        <v>0</v>
      </c>
      <c r="N3213" s="90">
        <v>0</v>
      </c>
      <c r="O3213" s="90">
        <v>255</v>
      </c>
    </row>
    <row r="3214" spans="1:15" s="90" customFormat="1" ht="12.75" customHeight="1" x14ac:dyDescent="0.2">
      <c r="A3214" s="247" t="s">
        <v>1033</v>
      </c>
      <c r="B3214" s="316">
        <v>3217</v>
      </c>
      <c r="C3214" s="247" t="s">
        <v>975</v>
      </c>
      <c r="D3214" s="317">
        <v>42675</v>
      </c>
      <c r="E3214" s="318">
        <v>0.78960648148148149</v>
      </c>
      <c r="F3214" s="247" t="s">
        <v>235</v>
      </c>
      <c r="G3214" s="247" t="s">
        <v>1505</v>
      </c>
      <c r="H3214" s="248" t="s">
        <v>234</v>
      </c>
      <c r="I3214" s="248" t="s">
        <v>235</v>
      </c>
      <c r="J3214" s="247" t="s">
        <v>809</v>
      </c>
      <c r="K3214" s="249">
        <v>0</v>
      </c>
      <c r="M3214" s="90">
        <v>0</v>
      </c>
      <c r="N3214" s="90">
        <v>0</v>
      </c>
      <c r="O3214" s="90">
        <v>255</v>
      </c>
    </row>
    <row r="3215" spans="1:15" s="90" customFormat="1" ht="12.75" customHeight="1" x14ac:dyDescent="0.2">
      <c r="A3215" s="247" t="s">
        <v>1031</v>
      </c>
      <c r="B3215" s="316">
        <v>3046</v>
      </c>
      <c r="C3215" s="247" t="s">
        <v>975</v>
      </c>
      <c r="D3215" s="317">
        <v>42675</v>
      </c>
      <c r="E3215" s="318">
        <v>0.79245370370370372</v>
      </c>
      <c r="F3215" s="247" t="s">
        <v>976</v>
      </c>
      <c r="G3215" s="247" t="s">
        <v>1505</v>
      </c>
      <c r="H3215" s="248" t="s">
        <v>404</v>
      </c>
      <c r="I3215" s="248" t="s">
        <v>404</v>
      </c>
      <c r="J3215" s="247" t="s">
        <v>809</v>
      </c>
      <c r="K3215" s="249">
        <v>0</v>
      </c>
      <c r="M3215" s="90">
        <v>0</v>
      </c>
      <c r="N3215" s="90">
        <v>0</v>
      </c>
      <c r="O3215" s="90">
        <v>255</v>
      </c>
    </row>
    <row r="3216" spans="1:15" s="90" customFormat="1" ht="12.75" customHeight="1" x14ac:dyDescent="0.2">
      <c r="A3216" s="247" t="s">
        <v>1516</v>
      </c>
      <c r="B3216" s="316">
        <v>3218</v>
      </c>
      <c r="C3216" s="247" t="s">
        <v>979</v>
      </c>
      <c r="D3216" s="317">
        <v>42675</v>
      </c>
      <c r="E3216" s="318">
        <v>0.79343750000000002</v>
      </c>
      <c r="F3216" s="247" t="s">
        <v>702</v>
      </c>
      <c r="G3216" s="247" t="s">
        <v>1505</v>
      </c>
      <c r="H3216" s="248"/>
      <c r="I3216" s="248"/>
      <c r="J3216" s="247"/>
      <c r="K3216" s="249"/>
      <c r="M3216" s="90">
        <v>0</v>
      </c>
      <c r="N3216" s="90">
        <v>0</v>
      </c>
      <c r="O3216" s="90">
        <v>255</v>
      </c>
    </row>
    <row r="3217" spans="1:15" s="90" customFormat="1" ht="12.75" customHeight="1" x14ac:dyDescent="0.2">
      <c r="A3217" s="247" t="s">
        <v>1517</v>
      </c>
      <c r="B3217" s="316">
        <v>3218</v>
      </c>
      <c r="C3217" s="247" t="s">
        <v>979</v>
      </c>
      <c r="D3217" s="317">
        <v>42675</v>
      </c>
      <c r="E3217" s="318">
        <v>0.79812500000000008</v>
      </c>
      <c r="F3217" s="247" t="s">
        <v>702</v>
      </c>
      <c r="G3217" s="247" t="s">
        <v>1505</v>
      </c>
      <c r="H3217" s="248"/>
      <c r="I3217" s="248"/>
      <c r="J3217" s="247"/>
      <c r="K3217" s="249"/>
      <c r="M3217" s="90">
        <v>0</v>
      </c>
      <c r="N3217" s="90">
        <v>0</v>
      </c>
      <c r="O3217" s="90">
        <v>255</v>
      </c>
    </row>
    <row r="3218" spans="1:15" s="90" customFormat="1" ht="12.75" customHeight="1" x14ac:dyDescent="0.2">
      <c r="A3218" s="247" t="s">
        <v>1032</v>
      </c>
      <c r="B3218" s="316">
        <v>3046</v>
      </c>
      <c r="C3218" s="247" t="s">
        <v>975</v>
      </c>
      <c r="D3218" s="317">
        <v>42675</v>
      </c>
      <c r="E3218" s="318">
        <v>0.80253472222222222</v>
      </c>
      <c r="F3218" s="247" t="s">
        <v>976</v>
      </c>
      <c r="G3218" s="247" t="s">
        <v>1505</v>
      </c>
      <c r="H3218" s="248" t="s">
        <v>404</v>
      </c>
      <c r="I3218" s="248" t="s">
        <v>404</v>
      </c>
      <c r="J3218" s="247" t="s">
        <v>809</v>
      </c>
      <c r="K3218" s="249">
        <v>0</v>
      </c>
      <c r="M3218" s="90">
        <v>0</v>
      </c>
      <c r="N3218" s="90">
        <v>0</v>
      </c>
      <c r="O3218" s="90">
        <v>255</v>
      </c>
    </row>
    <row r="3219" spans="1:15" s="90" customFormat="1" ht="12.75" customHeight="1" x14ac:dyDescent="0.2">
      <c r="A3219" s="247" t="s">
        <v>989</v>
      </c>
      <c r="B3219" s="316">
        <v>3046</v>
      </c>
      <c r="C3219" s="247" t="s">
        <v>975</v>
      </c>
      <c r="D3219" s="317">
        <v>42675</v>
      </c>
      <c r="E3219" s="318">
        <v>0.80254629629629637</v>
      </c>
      <c r="F3219" s="247" t="s">
        <v>976</v>
      </c>
      <c r="G3219" s="247" t="s">
        <v>1505</v>
      </c>
      <c r="H3219" s="248" t="s">
        <v>404</v>
      </c>
      <c r="I3219" s="248" t="s">
        <v>404</v>
      </c>
      <c r="J3219" s="247" t="s">
        <v>809</v>
      </c>
      <c r="K3219" s="249">
        <v>0</v>
      </c>
      <c r="M3219" s="90">
        <v>0</v>
      </c>
      <c r="N3219" s="90">
        <v>0</v>
      </c>
      <c r="O3219" s="90">
        <v>255</v>
      </c>
    </row>
    <row r="3220" spans="1:15" s="90" customFormat="1" ht="12.75" customHeight="1" x14ac:dyDescent="0.2">
      <c r="A3220" s="247" t="s">
        <v>990</v>
      </c>
      <c r="B3220" s="316">
        <v>3046</v>
      </c>
      <c r="C3220" s="247" t="s">
        <v>975</v>
      </c>
      <c r="D3220" s="317">
        <v>42675</v>
      </c>
      <c r="E3220" s="318">
        <v>0.80282407407407408</v>
      </c>
      <c r="F3220" s="247" t="s">
        <v>976</v>
      </c>
      <c r="G3220" s="247" t="s">
        <v>1505</v>
      </c>
      <c r="H3220" s="248" t="s">
        <v>404</v>
      </c>
      <c r="I3220" s="248" t="s">
        <v>404</v>
      </c>
      <c r="J3220" s="247" t="s">
        <v>809</v>
      </c>
      <c r="K3220" s="249">
        <v>0</v>
      </c>
      <c r="M3220" s="90">
        <v>0</v>
      </c>
      <c r="N3220" s="90">
        <v>0</v>
      </c>
      <c r="O3220" s="90">
        <v>255</v>
      </c>
    </row>
    <row r="3221" spans="1:15" s="90" customFormat="1" ht="12.75" customHeight="1" x14ac:dyDescent="0.2">
      <c r="A3221" s="247" t="s">
        <v>1033</v>
      </c>
      <c r="B3221" s="316">
        <v>3217</v>
      </c>
      <c r="C3221" s="247" t="s">
        <v>975</v>
      </c>
      <c r="D3221" s="317">
        <v>42675</v>
      </c>
      <c r="E3221" s="318">
        <v>0.80282407407407408</v>
      </c>
      <c r="F3221" s="247" t="s">
        <v>235</v>
      </c>
      <c r="G3221" s="247" t="s">
        <v>1505</v>
      </c>
      <c r="H3221" s="248" t="s">
        <v>234</v>
      </c>
      <c r="I3221" s="248" t="s">
        <v>235</v>
      </c>
      <c r="J3221" s="247" t="s">
        <v>809</v>
      </c>
      <c r="K3221" s="249">
        <v>0</v>
      </c>
      <c r="M3221" s="90">
        <v>0</v>
      </c>
      <c r="N3221" s="90">
        <v>0</v>
      </c>
      <c r="O3221" s="90">
        <v>255</v>
      </c>
    </row>
    <row r="3222" spans="1:15" s="90" customFormat="1" ht="12.75" customHeight="1" x14ac:dyDescent="0.2">
      <c r="A3222" s="247" t="s">
        <v>1095</v>
      </c>
      <c r="B3222" s="316">
        <v>3058</v>
      </c>
      <c r="C3222" s="247" t="s">
        <v>975</v>
      </c>
      <c r="D3222" s="317">
        <v>42675</v>
      </c>
      <c r="E3222" s="318">
        <v>0.80284722222222227</v>
      </c>
      <c r="F3222" s="247" t="s">
        <v>1004</v>
      </c>
      <c r="G3222" s="247" t="s">
        <v>1505</v>
      </c>
      <c r="H3222" s="248" t="s">
        <v>234</v>
      </c>
      <c r="I3222" s="248" t="s">
        <v>677</v>
      </c>
      <c r="J3222" s="247" t="s">
        <v>809</v>
      </c>
      <c r="K3222" s="249">
        <v>0</v>
      </c>
      <c r="M3222" s="90">
        <v>0</v>
      </c>
      <c r="N3222" s="90">
        <v>0</v>
      </c>
      <c r="O3222" s="90">
        <v>255</v>
      </c>
    </row>
    <row r="3223" spans="1:15" s="90" customFormat="1" ht="12.75" customHeight="1" x14ac:dyDescent="0.2">
      <c r="A3223" s="247" t="s">
        <v>1095</v>
      </c>
      <c r="B3223" s="316">
        <v>3058</v>
      </c>
      <c r="C3223" s="247" t="s">
        <v>975</v>
      </c>
      <c r="D3223" s="317">
        <v>42675</v>
      </c>
      <c r="E3223" s="318">
        <v>0.80295138888888884</v>
      </c>
      <c r="F3223" s="247" t="s">
        <v>1004</v>
      </c>
      <c r="G3223" s="247" t="s">
        <v>1505</v>
      </c>
      <c r="H3223" s="248" t="s">
        <v>234</v>
      </c>
      <c r="I3223" s="248" t="s">
        <v>677</v>
      </c>
      <c r="J3223" s="247" t="s">
        <v>809</v>
      </c>
      <c r="K3223" s="249">
        <v>0</v>
      </c>
      <c r="M3223" s="90">
        <v>0</v>
      </c>
      <c r="N3223" s="90">
        <v>0</v>
      </c>
      <c r="O3223" s="90">
        <v>255</v>
      </c>
    </row>
    <row r="3224" spans="1:15" s="90" customFormat="1" ht="12.75" customHeight="1" x14ac:dyDescent="0.2">
      <c r="A3224" s="247" t="s">
        <v>1095</v>
      </c>
      <c r="B3224" s="316">
        <v>3058</v>
      </c>
      <c r="C3224" s="247" t="s">
        <v>975</v>
      </c>
      <c r="D3224" s="317">
        <v>42675</v>
      </c>
      <c r="E3224" s="318">
        <v>0.8031018518518519</v>
      </c>
      <c r="F3224" s="247" t="s">
        <v>1004</v>
      </c>
      <c r="G3224" s="247" t="s">
        <v>1505</v>
      </c>
      <c r="H3224" s="248" t="s">
        <v>234</v>
      </c>
      <c r="I3224" s="248" t="s">
        <v>677</v>
      </c>
      <c r="J3224" s="247" t="s">
        <v>809</v>
      </c>
      <c r="K3224" s="249">
        <v>0</v>
      </c>
      <c r="M3224" s="90">
        <v>0</v>
      </c>
      <c r="N3224" s="90">
        <v>0</v>
      </c>
      <c r="O3224" s="90">
        <v>255</v>
      </c>
    </row>
    <row r="3225" spans="1:15" s="90" customFormat="1" ht="12.75" customHeight="1" x14ac:dyDescent="0.2">
      <c r="A3225" s="247" t="s">
        <v>1031</v>
      </c>
      <c r="B3225" s="316">
        <v>3046</v>
      </c>
      <c r="C3225" s="247" t="s">
        <v>975</v>
      </c>
      <c r="D3225" s="317">
        <v>42675</v>
      </c>
      <c r="E3225" s="318">
        <v>0.80368055555555562</v>
      </c>
      <c r="F3225" s="247" t="s">
        <v>976</v>
      </c>
      <c r="G3225" s="247" t="s">
        <v>1505</v>
      </c>
      <c r="H3225" s="248" t="s">
        <v>404</v>
      </c>
      <c r="I3225" s="248" t="s">
        <v>404</v>
      </c>
      <c r="J3225" s="247" t="s">
        <v>809</v>
      </c>
      <c r="K3225" s="249">
        <v>0</v>
      </c>
      <c r="M3225" s="90">
        <v>0</v>
      </c>
      <c r="N3225" s="90">
        <v>0</v>
      </c>
      <c r="O3225" s="90">
        <v>255</v>
      </c>
    </row>
    <row r="3226" spans="1:15" s="90" customFormat="1" ht="12.75" customHeight="1" x14ac:dyDescent="0.2">
      <c r="A3226" s="247" t="s">
        <v>1518</v>
      </c>
      <c r="B3226" s="316">
        <v>3218</v>
      </c>
      <c r="C3226" s="247" t="s">
        <v>979</v>
      </c>
      <c r="D3226" s="317">
        <v>42675</v>
      </c>
      <c r="E3226" s="318">
        <v>0.80476851851851849</v>
      </c>
      <c r="F3226" s="247" t="s">
        <v>702</v>
      </c>
      <c r="G3226" s="247" t="s">
        <v>1505</v>
      </c>
      <c r="H3226" s="248"/>
      <c r="I3226" s="248"/>
      <c r="J3226" s="247"/>
      <c r="K3226" s="249"/>
      <c r="M3226" s="90">
        <v>0</v>
      </c>
      <c r="N3226" s="90">
        <v>0</v>
      </c>
      <c r="O3226" s="90">
        <v>255</v>
      </c>
    </row>
    <row r="3227" spans="1:15" s="90" customFormat="1" ht="12.75" customHeight="1" x14ac:dyDescent="0.2">
      <c r="A3227" s="247" t="s">
        <v>1070</v>
      </c>
      <c r="B3227" s="316">
        <v>3001</v>
      </c>
      <c r="C3227" s="247" t="s">
        <v>996</v>
      </c>
      <c r="D3227" s="317">
        <v>42675</v>
      </c>
      <c r="E3227" s="318">
        <v>0.80826388888888889</v>
      </c>
      <c r="F3227" s="247" t="s">
        <v>702</v>
      </c>
      <c r="G3227" s="247" t="s">
        <v>1505</v>
      </c>
      <c r="H3227" s="248" t="s">
        <v>121</v>
      </c>
      <c r="I3227" s="248" t="s">
        <v>122</v>
      </c>
      <c r="J3227" s="247" t="s">
        <v>809</v>
      </c>
      <c r="K3227" s="249">
        <v>0</v>
      </c>
      <c r="M3227" s="90">
        <v>0</v>
      </c>
      <c r="N3227" s="90">
        <v>0</v>
      </c>
      <c r="O3227" s="90">
        <v>255</v>
      </c>
    </row>
    <row r="3228" spans="1:15" s="90" customFormat="1" ht="12.75" customHeight="1" x14ac:dyDescent="0.2">
      <c r="A3228" s="247" t="s">
        <v>1032</v>
      </c>
      <c r="B3228" s="316">
        <v>3046</v>
      </c>
      <c r="C3228" s="247" t="s">
        <v>975</v>
      </c>
      <c r="D3228" s="317">
        <v>42675</v>
      </c>
      <c r="E3228" s="318">
        <v>0.81166666666666665</v>
      </c>
      <c r="F3228" s="247" t="s">
        <v>976</v>
      </c>
      <c r="G3228" s="247" t="s">
        <v>1505</v>
      </c>
      <c r="H3228" s="248" t="s">
        <v>404</v>
      </c>
      <c r="I3228" s="248" t="s">
        <v>404</v>
      </c>
      <c r="J3228" s="247" t="s">
        <v>809</v>
      </c>
      <c r="K3228" s="249">
        <v>0</v>
      </c>
      <c r="M3228" s="90">
        <v>0</v>
      </c>
      <c r="N3228" s="90">
        <v>0</v>
      </c>
      <c r="O3228" s="90">
        <v>255</v>
      </c>
    </row>
    <row r="3229" spans="1:15" s="90" customFormat="1" ht="12.75" customHeight="1" x14ac:dyDescent="0.2">
      <c r="A3229" s="247" t="s">
        <v>989</v>
      </c>
      <c r="B3229" s="316">
        <v>3046</v>
      </c>
      <c r="C3229" s="247" t="s">
        <v>975</v>
      </c>
      <c r="D3229" s="317">
        <v>42675</v>
      </c>
      <c r="E3229" s="318">
        <v>0.8116782407407408</v>
      </c>
      <c r="F3229" s="247" t="s">
        <v>976</v>
      </c>
      <c r="G3229" s="247" t="s">
        <v>1505</v>
      </c>
      <c r="H3229" s="248" t="s">
        <v>404</v>
      </c>
      <c r="I3229" s="248" t="s">
        <v>404</v>
      </c>
      <c r="J3229" s="247" t="s">
        <v>809</v>
      </c>
      <c r="K3229" s="249">
        <v>0</v>
      </c>
      <c r="M3229" s="90">
        <v>0</v>
      </c>
      <c r="N3229" s="90">
        <v>0</v>
      </c>
      <c r="O3229" s="90">
        <v>255</v>
      </c>
    </row>
    <row r="3230" spans="1:15" s="90" customFormat="1" ht="12.75" customHeight="1" x14ac:dyDescent="0.2">
      <c r="A3230" s="247" t="s">
        <v>990</v>
      </c>
      <c r="B3230" s="316">
        <v>3046</v>
      </c>
      <c r="C3230" s="247" t="s">
        <v>975</v>
      </c>
      <c r="D3230" s="317">
        <v>42675</v>
      </c>
      <c r="E3230" s="318">
        <v>0.8119791666666667</v>
      </c>
      <c r="F3230" s="247" t="s">
        <v>976</v>
      </c>
      <c r="G3230" s="247" t="s">
        <v>1505</v>
      </c>
      <c r="H3230" s="248" t="s">
        <v>404</v>
      </c>
      <c r="I3230" s="248" t="s">
        <v>404</v>
      </c>
      <c r="J3230" s="247" t="s">
        <v>809</v>
      </c>
      <c r="K3230" s="249">
        <v>0</v>
      </c>
      <c r="M3230" s="90">
        <v>0</v>
      </c>
      <c r="N3230" s="90">
        <v>0</v>
      </c>
      <c r="O3230" s="90">
        <v>255</v>
      </c>
    </row>
    <row r="3231" spans="1:15" s="90" customFormat="1" ht="12.75" customHeight="1" x14ac:dyDescent="0.2">
      <c r="A3231" s="247" t="s">
        <v>1033</v>
      </c>
      <c r="B3231" s="316">
        <v>3217</v>
      </c>
      <c r="C3231" s="247" t="s">
        <v>975</v>
      </c>
      <c r="D3231" s="317">
        <v>42675</v>
      </c>
      <c r="E3231" s="318">
        <v>0.8119791666666667</v>
      </c>
      <c r="F3231" s="247" t="s">
        <v>235</v>
      </c>
      <c r="G3231" s="247" t="s">
        <v>1505</v>
      </c>
      <c r="H3231" s="248" t="s">
        <v>234</v>
      </c>
      <c r="I3231" s="248" t="s">
        <v>235</v>
      </c>
      <c r="J3231" s="247" t="s">
        <v>809</v>
      </c>
      <c r="K3231" s="249">
        <v>0</v>
      </c>
      <c r="M3231" s="90">
        <v>0</v>
      </c>
      <c r="N3231" s="90">
        <v>0</v>
      </c>
      <c r="O3231" s="90">
        <v>255</v>
      </c>
    </row>
    <row r="3232" spans="1:15" s="90" customFormat="1" ht="12.75" customHeight="1" x14ac:dyDescent="0.2">
      <c r="A3232" s="247" t="s">
        <v>1031</v>
      </c>
      <c r="B3232" s="316">
        <v>3046</v>
      </c>
      <c r="C3232" s="247" t="s">
        <v>975</v>
      </c>
      <c r="D3232" s="317">
        <v>42675</v>
      </c>
      <c r="E3232" s="318">
        <v>0.81718750000000007</v>
      </c>
      <c r="F3232" s="247" t="s">
        <v>976</v>
      </c>
      <c r="G3232" s="247" t="s">
        <v>1505</v>
      </c>
      <c r="H3232" s="248" t="s">
        <v>404</v>
      </c>
      <c r="I3232" s="248" t="s">
        <v>404</v>
      </c>
      <c r="J3232" s="247" t="s">
        <v>809</v>
      </c>
      <c r="K3232" s="249">
        <v>0</v>
      </c>
      <c r="M3232" s="90">
        <v>0</v>
      </c>
      <c r="N3232" s="90">
        <v>0</v>
      </c>
      <c r="O3232" s="90">
        <v>255</v>
      </c>
    </row>
    <row r="3233" spans="1:15" s="90" customFormat="1" ht="12.75" customHeight="1" x14ac:dyDescent="0.2">
      <c r="A3233" s="247" t="s">
        <v>1032</v>
      </c>
      <c r="B3233" s="316">
        <v>3046</v>
      </c>
      <c r="C3233" s="247" t="s">
        <v>975</v>
      </c>
      <c r="D3233" s="317">
        <v>42675</v>
      </c>
      <c r="E3233" s="318">
        <v>0.81917824074074075</v>
      </c>
      <c r="F3233" s="247" t="s">
        <v>976</v>
      </c>
      <c r="G3233" s="247" t="s">
        <v>1505</v>
      </c>
      <c r="H3233" s="248" t="s">
        <v>404</v>
      </c>
      <c r="I3233" s="248" t="s">
        <v>404</v>
      </c>
      <c r="J3233" s="247" t="s">
        <v>809</v>
      </c>
      <c r="K3233" s="249">
        <v>0</v>
      </c>
      <c r="M3233" s="90">
        <v>0</v>
      </c>
      <c r="N3233" s="90">
        <v>0</v>
      </c>
      <c r="O3233" s="90">
        <v>255</v>
      </c>
    </row>
    <row r="3234" spans="1:15" s="90" customFormat="1" ht="12.75" customHeight="1" x14ac:dyDescent="0.2">
      <c r="A3234" s="247" t="s">
        <v>989</v>
      </c>
      <c r="B3234" s="316">
        <v>3046</v>
      </c>
      <c r="C3234" s="247" t="s">
        <v>975</v>
      </c>
      <c r="D3234" s="317">
        <v>42675</v>
      </c>
      <c r="E3234" s="318">
        <v>0.81917824074074075</v>
      </c>
      <c r="F3234" s="247" t="s">
        <v>976</v>
      </c>
      <c r="G3234" s="247" t="s">
        <v>1505</v>
      </c>
      <c r="H3234" s="248" t="s">
        <v>404</v>
      </c>
      <c r="I3234" s="248" t="s">
        <v>404</v>
      </c>
      <c r="J3234" s="247" t="s">
        <v>809</v>
      </c>
      <c r="K3234" s="249">
        <v>0</v>
      </c>
      <c r="M3234" s="90">
        <v>0</v>
      </c>
      <c r="N3234" s="90">
        <v>0</v>
      </c>
      <c r="O3234" s="90">
        <v>255</v>
      </c>
    </row>
    <row r="3235" spans="1:15" s="90" customFormat="1" ht="12.75" customHeight="1" x14ac:dyDescent="0.2">
      <c r="A3235" s="247" t="s">
        <v>1033</v>
      </c>
      <c r="B3235" s="316">
        <v>3217</v>
      </c>
      <c r="C3235" s="247" t="s">
        <v>975</v>
      </c>
      <c r="D3235" s="317">
        <v>42675</v>
      </c>
      <c r="E3235" s="318">
        <v>0.81945601851851846</v>
      </c>
      <c r="F3235" s="247" t="s">
        <v>235</v>
      </c>
      <c r="G3235" s="247" t="s">
        <v>1505</v>
      </c>
      <c r="H3235" s="248" t="s">
        <v>234</v>
      </c>
      <c r="I3235" s="248" t="s">
        <v>235</v>
      </c>
      <c r="J3235" s="247" t="s">
        <v>809</v>
      </c>
      <c r="K3235" s="249">
        <v>0</v>
      </c>
      <c r="M3235" s="90">
        <v>0</v>
      </c>
      <c r="N3235" s="90">
        <v>0</v>
      </c>
      <c r="O3235" s="90">
        <v>255</v>
      </c>
    </row>
    <row r="3236" spans="1:15" s="90" customFormat="1" ht="12.75" customHeight="1" x14ac:dyDescent="0.2">
      <c r="A3236" s="247" t="s">
        <v>990</v>
      </c>
      <c r="B3236" s="316">
        <v>3046</v>
      </c>
      <c r="C3236" s="247" t="s">
        <v>975</v>
      </c>
      <c r="D3236" s="317">
        <v>42675</v>
      </c>
      <c r="E3236" s="318">
        <v>0.81946759259259261</v>
      </c>
      <c r="F3236" s="247" t="s">
        <v>976</v>
      </c>
      <c r="G3236" s="247" t="s">
        <v>1505</v>
      </c>
      <c r="H3236" s="248" t="s">
        <v>404</v>
      </c>
      <c r="I3236" s="248" t="s">
        <v>404</v>
      </c>
      <c r="J3236" s="247" t="s">
        <v>809</v>
      </c>
      <c r="K3236" s="249">
        <v>0</v>
      </c>
      <c r="M3236" s="90">
        <v>0</v>
      </c>
      <c r="N3236" s="90">
        <v>0</v>
      </c>
      <c r="O3236" s="90">
        <v>255</v>
      </c>
    </row>
    <row r="3237" spans="1:15" s="90" customFormat="1" ht="12.75" customHeight="1" x14ac:dyDescent="0.2">
      <c r="A3237" s="247" t="s">
        <v>1031</v>
      </c>
      <c r="B3237" s="316">
        <v>3046</v>
      </c>
      <c r="C3237" s="247" t="s">
        <v>975</v>
      </c>
      <c r="D3237" s="317">
        <v>42675</v>
      </c>
      <c r="E3237" s="318">
        <v>0.84733796296296304</v>
      </c>
      <c r="F3237" s="247" t="s">
        <v>976</v>
      </c>
      <c r="G3237" s="247" t="s">
        <v>1505</v>
      </c>
      <c r="H3237" s="248" t="s">
        <v>404</v>
      </c>
      <c r="I3237" s="248" t="s">
        <v>404</v>
      </c>
      <c r="J3237" s="247" t="s">
        <v>809</v>
      </c>
      <c r="K3237" s="249">
        <v>0</v>
      </c>
      <c r="M3237" s="90">
        <v>0</v>
      </c>
      <c r="N3237" s="90">
        <v>0</v>
      </c>
      <c r="O3237" s="90">
        <v>255</v>
      </c>
    </row>
    <row r="3238" spans="1:15" s="90" customFormat="1" ht="12.75" customHeight="1" x14ac:dyDescent="0.2">
      <c r="A3238" s="247" t="s">
        <v>1032</v>
      </c>
      <c r="B3238" s="316">
        <v>3046</v>
      </c>
      <c r="C3238" s="247" t="s">
        <v>975</v>
      </c>
      <c r="D3238" s="317">
        <v>42675</v>
      </c>
      <c r="E3238" s="318">
        <v>0.85146990740740736</v>
      </c>
      <c r="F3238" s="247" t="s">
        <v>976</v>
      </c>
      <c r="G3238" s="247" t="s">
        <v>1505</v>
      </c>
      <c r="H3238" s="248" t="s">
        <v>404</v>
      </c>
      <c r="I3238" s="248" t="s">
        <v>404</v>
      </c>
      <c r="J3238" s="247" t="s">
        <v>809</v>
      </c>
      <c r="K3238" s="249">
        <v>0</v>
      </c>
      <c r="M3238" s="90">
        <v>0</v>
      </c>
      <c r="N3238" s="90">
        <v>0</v>
      </c>
      <c r="O3238" s="90">
        <v>255</v>
      </c>
    </row>
    <row r="3239" spans="1:15" s="90" customFormat="1" ht="12.75" customHeight="1" x14ac:dyDescent="0.2">
      <c r="A3239" s="247" t="s">
        <v>989</v>
      </c>
      <c r="B3239" s="316">
        <v>3046</v>
      </c>
      <c r="C3239" s="247" t="s">
        <v>975</v>
      </c>
      <c r="D3239" s="317">
        <v>42675</v>
      </c>
      <c r="E3239" s="318">
        <v>0.85146990740740736</v>
      </c>
      <c r="F3239" s="247" t="s">
        <v>976</v>
      </c>
      <c r="G3239" s="247" t="s">
        <v>1505</v>
      </c>
      <c r="H3239" s="248" t="s">
        <v>404</v>
      </c>
      <c r="I3239" s="248" t="s">
        <v>404</v>
      </c>
      <c r="J3239" s="247" t="s">
        <v>809</v>
      </c>
      <c r="K3239" s="249">
        <v>0</v>
      </c>
      <c r="M3239" s="90">
        <v>0</v>
      </c>
      <c r="N3239" s="90">
        <v>0</v>
      </c>
      <c r="O3239" s="90">
        <v>255</v>
      </c>
    </row>
    <row r="3240" spans="1:15" s="90" customFormat="1" ht="12.75" customHeight="1" x14ac:dyDescent="0.2">
      <c r="A3240" s="247" t="s">
        <v>990</v>
      </c>
      <c r="B3240" s="316">
        <v>3046</v>
      </c>
      <c r="C3240" s="247" t="s">
        <v>975</v>
      </c>
      <c r="D3240" s="317">
        <v>42675</v>
      </c>
      <c r="E3240" s="318">
        <v>0.85175925925925933</v>
      </c>
      <c r="F3240" s="247" t="s">
        <v>976</v>
      </c>
      <c r="G3240" s="247" t="s">
        <v>1505</v>
      </c>
      <c r="H3240" s="248" t="s">
        <v>404</v>
      </c>
      <c r="I3240" s="248" t="s">
        <v>404</v>
      </c>
      <c r="J3240" s="247" t="s">
        <v>809</v>
      </c>
      <c r="K3240" s="249">
        <v>0</v>
      </c>
      <c r="M3240" s="90">
        <v>0</v>
      </c>
      <c r="N3240" s="90">
        <v>0</v>
      </c>
      <c r="O3240" s="90">
        <v>255</v>
      </c>
    </row>
    <row r="3241" spans="1:15" s="90" customFormat="1" ht="12.75" customHeight="1" x14ac:dyDescent="0.2">
      <c r="A3241" s="247" t="s">
        <v>1033</v>
      </c>
      <c r="B3241" s="316">
        <v>3217</v>
      </c>
      <c r="C3241" s="247" t="s">
        <v>975</v>
      </c>
      <c r="D3241" s="317">
        <v>42675</v>
      </c>
      <c r="E3241" s="318">
        <v>0.85175925925925933</v>
      </c>
      <c r="F3241" s="247" t="s">
        <v>235</v>
      </c>
      <c r="G3241" s="247" t="s">
        <v>1505</v>
      </c>
      <c r="H3241" s="248" t="s">
        <v>234</v>
      </c>
      <c r="I3241" s="248" t="s">
        <v>235</v>
      </c>
      <c r="J3241" s="247" t="s">
        <v>809</v>
      </c>
      <c r="K3241" s="249">
        <v>0</v>
      </c>
      <c r="M3241" s="90">
        <v>0</v>
      </c>
      <c r="N3241" s="90">
        <v>0</v>
      </c>
      <c r="O3241" s="90">
        <v>255</v>
      </c>
    </row>
    <row r="3242" spans="1:15" s="90" customFormat="1" ht="12.75" customHeight="1" x14ac:dyDescent="0.2">
      <c r="A3242" s="247" t="s">
        <v>1031</v>
      </c>
      <c r="B3242" s="316">
        <v>3046</v>
      </c>
      <c r="C3242" s="247" t="s">
        <v>975</v>
      </c>
      <c r="D3242" s="317">
        <v>42675</v>
      </c>
      <c r="E3242" s="318">
        <v>0.85612268518518519</v>
      </c>
      <c r="F3242" s="247" t="s">
        <v>976</v>
      </c>
      <c r="G3242" s="247" t="s">
        <v>1505</v>
      </c>
      <c r="H3242" s="248" t="s">
        <v>404</v>
      </c>
      <c r="I3242" s="248" t="s">
        <v>404</v>
      </c>
      <c r="J3242" s="247" t="s">
        <v>809</v>
      </c>
      <c r="K3242" s="249">
        <v>0</v>
      </c>
      <c r="M3242" s="90">
        <v>0</v>
      </c>
      <c r="N3242" s="90">
        <v>0</v>
      </c>
      <c r="O3242" s="90">
        <v>255</v>
      </c>
    </row>
    <row r="3243" spans="1:15" s="90" customFormat="1" ht="12.75" customHeight="1" x14ac:dyDescent="0.2">
      <c r="A3243" s="247" t="s">
        <v>1350</v>
      </c>
      <c r="B3243" s="316">
        <v>3001</v>
      </c>
      <c r="C3243" s="247" t="s">
        <v>996</v>
      </c>
      <c r="D3243" s="317">
        <v>42675</v>
      </c>
      <c r="E3243" s="318">
        <v>0.85738425925925921</v>
      </c>
      <c r="F3243" s="247" t="s">
        <v>702</v>
      </c>
      <c r="G3243" s="247" t="s">
        <v>1505</v>
      </c>
      <c r="H3243" s="248" t="s">
        <v>121</v>
      </c>
      <c r="I3243" s="248" t="s">
        <v>122</v>
      </c>
      <c r="J3243" s="247" t="s">
        <v>809</v>
      </c>
      <c r="K3243" s="249">
        <v>0</v>
      </c>
      <c r="M3243" s="90">
        <v>0</v>
      </c>
      <c r="N3243" s="90">
        <v>0</v>
      </c>
      <c r="O3243" s="90">
        <v>255</v>
      </c>
    </row>
    <row r="3244" spans="1:15" s="90" customFormat="1" ht="12.75" customHeight="1" x14ac:dyDescent="0.2">
      <c r="A3244" s="247" t="s">
        <v>1032</v>
      </c>
      <c r="B3244" s="316">
        <v>3046</v>
      </c>
      <c r="C3244" s="247" t="s">
        <v>975</v>
      </c>
      <c r="D3244" s="317">
        <v>42675</v>
      </c>
      <c r="E3244" s="318">
        <v>0.85883101851851851</v>
      </c>
      <c r="F3244" s="247" t="s">
        <v>976</v>
      </c>
      <c r="G3244" s="247" t="s">
        <v>1505</v>
      </c>
      <c r="H3244" s="248" t="s">
        <v>404</v>
      </c>
      <c r="I3244" s="248" t="s">
        <v>404</v>
      </c>
      <c r="J3244" s="247" t="s">
        <v>809</v>
      </c>
      <c r="K3244" s="249">
        <v>0</v>
      </c>
      <c r="M3244" s="90">
        <v>0</v>
      </c>
      <c r="N3244" s="90">
        <v>0</v>
      </c>
      <c r="O3244" s="90">
        <v>255</v>
      </c>
    </row>
    <row r="3245" spans="1:15" s="90" customFormat="1" ht="12.75" customHeight="1" x14ac:dyDescent="0.2">
      <c r="A3245" s="247" t="s">
        <v>989</v>
      </c>
      <c r="B3245" s="316">
        <v>3046</v>
      </c>
      <c r="C3245" s="247" t="s">
        <v>975</v>
      </c>
      <c r="D3245" s="317">
        <v>42675</v>
      </c>
      <c r="E3245" s="318">
        <v>0.85884259259259255</v>
      </c>
      <c r="F3245" s="247" t="s">
        <v>976</v>
      </c>
      <c r="G3245" s="247" t="s">
        <v>1505</v>
      </c>
      <c r="H3245" s="248" t="s">
        <v>404</v>
      </c>
      <c r="I3245" s="248" t="s">
        <v>404</v>
      </c>
      <c r="J3245" s="247" t="s">
        <v>809</v>
      </c>
      <c r="K3245" s="249">
        <v>0</v>
      </c>
      <c r="M3245" s="90">
        <v>0</v>
      </c>
      <c r="N3245" s="90">
        <v>0</v>
      </c>
      <c r="O3245" s="90">
        <v>255</v>
      </c>
    </row>
    <row r="3246" spans="1:15" s="90" customFormat="1" ht="12.75" customHeight="1" x14ac:dyDescent="0.2">
      <c r="A3246" s="247" t="s">
        <v>990</v>
      </c>
      <c r="B3246" s="316">
        <v>3046</v>
      </c>
      <c r="C3246" s="247" t="s">
        <v>975</v>
      </c>
      <c r="D3246" s="317">
        <v>42675</v>
      </c>
      <c r="E3246" s="318">
        <v>0.85914351851851845</v>
      </c>
      <c r="F3246" s="247" t="s">
        <v>976</v>
      </c>
      <c r="G3246" s="247" t="s">
        <v>1505</v>
      </c>
      <c r="H3246" s="248" t="s">
        <v>404</v>
      </c>
      <c r="I3246" s="248" t="s">
        <v>404</v>
      </c>
      <c r="J3246" s="247" t="s">
        <v>809</v>
      </c>
      <c r="K3246" s="249">
        <v>0</v>
      </c>
      <c r="M3246" s="90">
        <v>0</v>
      </c>
      <c r="N3246" s="90">
        <v>0</v>
      </c>
      <c r="O3246" s="90">
        <v>255</v>
      </c>
    </row>
    <row r="3247" spans="1:15" s="90" customFormat="1" ht="12.75" customHeight="1" x14ac:dyDescent="0.2">
      <c r="A3247" s="247" t="s">
        <v>1033</v>
      </c>
      <c r="B3247" s="316">
        <v>3217</v>
      </c>
      <c r="C3247" s="247" t="s">
        <v>975</v>
      </c>
      <c r="D3247" s="317">
        <v>42675</v>
      </c>
      <c r="E3247" s="318">
        <v>0.85914351851851845</v>
      </c>
      <c r="F3247" s="247" t="s">
        <v>235</v>
      </c>
      <c r="G3247" s="247" t="s">
        <v>1505</v>
      </c>
      <c r="H3247" s="248" t="s">
        <v>234</v>
      </c>
      <c r="I3247" s="248" t="s">
        <v>235</v>
      </c>
      <c r="J3247" s="247" t="s">
        <v>809</v>
      </c>
      <c r="K3247" s="249">
        <v>0</v>
      </c>
      <c r="M3247" s="90">
        <v>0</v>
      </c>
      <c r="N3247" s="90">
        <v>0</v>
      </c>
      <c r="O3247" s="90">
        <v>255</v>
      </c>
    </row>
    <row r="3248" spans="1:15" s="90" customFormat="1" ht="12.75" customHeight="1" x14ac:dyDescent="0.2">
      <c r="A3248" s="247" t="s">
        <v>989</v>
      </c>
      <c r="B3248" s="316">
        <v>3046</v>
      </c>
      <c r="C3248" s="247" t="s">
        <v>975</v>
      </c>
      <c r="D3248" s="317">
        <v>42675</v>
      </c>
      <c r="E3248" s="318">
        <v>0.90081018518518519</v>
      </c>
      <c r="F3248" s="247" t="s">
        <v>976</v>
      </c>
      <c r="G3248" s="247" t="s">
        <v>1505</v>
      </c>
      <c r="H3248" s="248" t="s">
        <v>404</v>
      </c>
      <c r="I3248" s="248" t="s">
        <v>404</v>
      </c>
      <c r="J3248" s="247" t="s">
        <v>809</v>
      </c>
      <c r="K3248" s="249">
        <v>0</v>
      </c>
      <c r="M3248" s="90">
        <v>0</v>
      </c>
      <c r="N3248" s="90">
        <v>0</v>
      </c>
      <c r="O3248" s="90">
        <v>255</v>
      </c>
    </row>
    <row r="3249" spans="1:15" s="90" customFormat="1" ht="12.75" customHeight="1" x14ac:dyDescent="0.2">
      <c r="A3249" s="247" t="s">
        <v>990</v>
      </c>
      <c r="B3249" s="316">
        <v>3046</v>
      </c>
      <c r="C3249" s="247" t="s">
        <v>975</v>
      </c>
      <c r="D3249" s="317">
        <v>42675</v>
      </c>
      <c r="E3249" s="318">
        <v>0.90106481481481471</v>
      </c>
      <c r="F3249" s="247" t="s">
        <v>976</v>
      </c>
      <c r="G3249" s="247" t="s">
        <v>1505</v>
      </c>
      <c r="H3249" s="248" t="s">
        <v>404</v>
      </c>
      <c r="I3249" s="248" t="s">
        <v>404</v>
      </c>
      <c r="J3249" s="247" t="s">
        <v>809</v>
      </c>
      <c r="K3249" s="249">
        <v>0</v>
      </c>
      <c r="M3249" s="90">
        <v>0</v>
      </c>
      <c r="N3249" s="90">
        <v>0</v>
      </c>
      <c r="O3249" s="90">
        <v>255</v>
      </c>
    </row>
    <row r="3250" spans="1:15" s="90" customFormat="1" ht="12.75" customHeight="1" x14ac:dyDescent="0.2">
      <c r="A3250" s="247" t="s">
        <v>993</v>
      </c>
      <c r="B3250" s="316">
        <v>3217</v>
      </c>
      <c r="C3250" s="247" t="s">
        <v>975</v>
      </c>
      <c r="D3250" s="317">
        <v>42675</v>
      </c>
      <c r="E3250" s="318">
        <v>0.90106481481481471</v>
      </c>
      <c r="F3250" s="247" t="s">
        <v>235</v>
      </c>
      <c r="G3250" s="247" t="s">
        <v>1505</v>
      </c>
      <c r="H3250" s="248" t="s">
        <v>234</v>
      </c>
      <c r="I3250" s="248" t="s">
        <v>235</v>
      </c>
      <c r="J3250" s="247" t="s">
        <v>809</v>
      </c>
      <c r="K3250" s="249">
        <v>0</v>
      </c>
      <c r="M3250" s="90">
        <v>0</v>
      </c>
      <c r="N3250" s="90">
        <v>0</v>
      </c>
      <c r="O3250" s="90">
        <v>255</v>
      </c>
    </row>
    <row r="3251" spans="1:15" s="90" customFormat="1" ht="12.75" customHeight="1" x14ac:dyDescent="0.2">
      <c r="A3251" s="247" t="s">
        <v>989</v>
      </c>
      <c r="B3251" s="316">
        <v>3046</v>
      </c>
      <c r="C3251" s="247" t="s">
        <v>975</v>
      </c>
      <c r="D3251" s="317">
        <v>42675</v>
      </c>
      <c r="E3251" s="318">
        <v>0.94274305555555549</v>
      </c>
      <c r="F3251" s="247" t="s">
        <v>976</v>
      </c>
      <c r="G3251" s="247" t="s">
        <v>1505</v>
      </c>
      <c r="H3251" s="248" t="s">
        <v>404</v>
      </c>
      <c r="I3251" s="248" t="s">
        <v>404</v>
      </c>
      <c r="J3251" s="247" t="s">
        <v>809</v>
      </c>
      <c r="K3251" s="249">
        <v>0</v>
      </c>
      <c r="M3251" s="90">
        <v>0</v>
      </c>
      <c r="N3251" s="90">
        <v>0</v>
      </c>
      <c r="O3251" s="90">
        <v>255</v>
      </c>
    </row>
    <row r="3252" spans="1:15" s="90" customFormat="1" ht="12.75" customHeight="1" x14ac:dyDescent="0.2">
      <c r="A3252" s="247" t="s">
        <v>990</v>
      </c>
      <c r="B3252" s="316">
        <v>3046</v>
      </c>
      <c r="C3252" s="247" t="s">
        <v>975</v>
      </c>
      <c r="D3252" s="317">
        <v>42675</v>
      </c>
      <c r="E3252" s="318">
        <v>0.94298611111111119</v>
      </c>
      <c r="F3252" s="247" t="s">
        <v>976</v>
      </c>
      <c r="G3252" s="247" t="s">
        <v>1505</v>
      </c>
      <c r="H3252" s="248" t="s">
        <v>404</v>
      </c>
      <c r="I3252" s="248" t="s">
        <v>404</v>
      </c>
      <c r="J3252" s="247" t="s">
        <v>809</v>
      </c>
      <c r="K3252" s="249">
        <v>0</v>
      </c>
      <c r="M3252" s="90">
        <v>0</v>
      </c>
      <c r="N3252" s="90">
        <v>0</v>
      </c>
      <c r="O3252" s="90">
        <v>255</v>
      </c>
    </row>
    <row r="3253" spans="1:15" s="90" customFormat="1" ht="12.75" customHeight="1" x14ac:dyDescent="0.2">
      <c r="A3253" s="247" t="s">
        <v>993</v>
      </c>
      <c r="B3253" s="316">
        <v>3217</v>
      </c>
      <c r="C3253" s="247" t="s">
        <v>975</v>
      </c>
      <c r="D3253" s="317">
        <v>42675</v>
      </c>
      <c r="E3253" s="318">
        <v>0.94298611111111119</v>
      </c>
      <c r="F3253" s="247" t="s">
        <v>235</v>
      </c>
      <c r="G3253" s="247" t="s">
        <v>1505</v>
      </c>
      <c r="H3253" s="248" t="s">
        <v>234</v>
      </c>
      <c r="I3253" s="248" t="s">
        <v>235</v>
      </c>
      <c r="J3253" s="247" t="s">
        <v>809</v>
      </c>
      <c r="K3253" s="249">
        <v>0</v>
      </c>
      <c r="M3253" s="90">
        <v>0</v>
      </c>
      <c r="N3253" s="90">
        <v>0</v>
      </c>
      <c r="O3253" s="90">
        <v>255</v>
      </c>
    </row>
    <row r="3254" spans="1:15" s="90" customFormat="1" ht="12.75" customHeight="1" x14ac:dyDescent="0.2">
      <c r="A3254" s="247" t="s">
        <v>1031</v>
      </c>
      <c r="B3254" s="316">
        <v>3046</v>
      </c>
      <c r="C3254" s="247" t="s">
        <v>975</v>
      </c>
      <c r="D3254" s="317">
        <v>42675</v>
      </c>
      <c r="E3254" s="318">
        <v>0.94321759259259252</v>
      </c>
      <c r="F3254" s="247" t="s">
        <v>976</v>
      </c>
      <c r="G3254" s="247" t="s">
        <v>1505</v>
      </c>
      <c r="H3254" s="248" t="s">
        <v>404</v>
      </c>
      <c r="I3254" s="248" t="s">
        <v>404</v>
      </c>
      <c r="J3254" s="247" t="s">
        <v>809</v>
      </c>
      <c r="K3254" s="249">
        <v>0</v>
      </c>
      <c r="M3254" s="90">
        <v>0</v>
      </c>
      <c r="N3254" s="90">
        <v>0</v>
      </c>
      <c r="O3254" s="90">
        <v>255</v>
      </c>
    </row>
    <row r="3255" spans="1:15" s="90" customFormat="1" ht="12.75" customHeight="1" x14ac:dyDescent="0.2">
      <c r="A3255" s="247" t="s">
        <v>1032</v>
      </c>
      <c r="B3255" s="316">
        <v>3046</v>
      </c>
      <c r="C3255" s="247" t="s">
        <v>975</v>
      </c>
      <c r="D3255" s="317">
        <v>42675</v>
      </c>
      <c r="E3255" s="318">
        <v>0.94718750000000007</v>
      </c>
      <c r="F3255" s="247" t="s">
        <v>976</v>
      </c>
      <c r="G3255" s="247" t="s">
        <v>1505</v>
      </c>
      <c r="H3255" s="248" t="s">
        <v>404</v>
      </c>
      <c r="I3255" s="248" t="s">
        <v>404</v>
      </c>
      <c r="J3255" s="247" t="s">
        <v>809</v>
      </c>
      <c r="K3255" s="249">
        <v>0</v>
      </c>
      <c r="M3255" s="90">
        <v>0</v>
      </c>
      <c r="N3255" s="90">
        <v>0</v>
      </c>
      <c r="O3255" s="90">
        <v>255</v>
      </c>
    </row>
    <row r="3256" spans="1:15" s="90" customFormat="1" ht="12.75" customHeight="1" x14ac:dyDescent="0.2">
      <c r="A3256" s="247" t="s">
        <v>989</v>
      </c>
      <c r="B3256" s="316">
        <v>3046</v>
      </c>
      <c r="C3256" s="247" t="s">
        <v>975</v>
      </c>
      <c r="D3256" s="317">
        <v>42675</v>
      </c>
      <c r="E3256" s="318">
        <v>0.94718750000000007</v>
      </c>
      <c r="F3256" s="247" t="s">
        <v>976</v>
      </c>
      <c r="G3256" s="247" t="s">
        <v>1505</v>
      </c>
      <c r="H3256" s="248" t="s">
        <v>404</v>
      </c>
      <c r="I3256" s="248" t="s">
        <v>404</v>
      </c>
      <c r="J3256" s="247" t="s">
        <v>809</v>
      </c>
      <c r="K3256" s="249">
        <v>0</v>
      </c>
      <c r="M3256" s="90">
        <v>0</v>
      </c>
      <c r="N3256" s="90">
        <v>0</v>
      </c>
      <c r="O3256" s="90">
        <v>255</v>
      </c>
    </row>
    <row r="3257" spans="1:15" s="90" customFormat="1" ht="12.75" customHeight="1" x14ac:dyDescent="0.2">
      <c r="A3257" s="247" t="s">
        <v>990</v>
      </c>
      <c r="B3257" s="316">
        <v>3046</v>
      </c>
      <c r="C3257" s="247" t="s">
        <v>975</v>
      </c>
      <c r="D3257" s="317">
        <v>42675</v>
      </c>
      <c r="E3257" s="318">
        <v>0.94795138888888886</v>
      </c>
      <c r="F3257" s="247" t="s">
        <v>976</v>
      </c>
      <c r="G3257" s="247" t="s">
        <v>1505</v>
      </c>
      <c r="H3257" s="248" t="s">
        <v>404</v>
      </c>
      <c r="I3257" s="248" t="s">
        <v>404</v>
      </c>
      <c r="J3257" s="247" t="s">
        <v>809</v>
      </c>
      <c r="K3257" s="249">
        <v>0</v>
      </c>
      <c r="M3257" s="90">
        <v>0</v>
      </c>
      <c r="N3257" s="90">
        <v>0</v>
      </c>
      <c r="O3257" s="90">
        <v>255</v>
      </c>
    </row>
    <row r="3258" spans="1:15" s="90" customFormat="1" ht="12.75" customHeight="1" x14ac:dyDescent="0.2">
      <c r="A3258" s="247" t="s">
        <v>1033</v>
      </c>
      <c r="B3258" s="316">
        <v>3217</v>
      </c>
      <c r="C3258" s="247" t="s">
        <v>975</v>
      </c>
      <c r="D3258" s="317">
        <v>42675</v>
      </c>
      <c r="E3258" s="318">
        <v>0.94795138888888886</v>
      </c>
      <c r="F3258" s="247" t="s">
        <v>235</v>
      </c>
      <c r="G3258" s="247" t="s">
        <v>1505</v>
      </c>
      <c r="H3258" s="248" t="s">
        <v>234</v>
      </c>
      <c r="I3258" s="248" t="s">
        <v>235</v>
      </c>
      <c r="J3258" s="247" t="s">
        <v>809</v>
      </c>
      <c r="K3258" s="249">
        <v>0</v>
      </c>
      <c r="M3258" s="90">
        <v>0</v>
      </c>
      <c r="N3258" s="90">
        <v>0</v>
      </c>
      <c r="O3258" s="90">
        <v>255</v>
      </c>
    </row>
    <row r="3259" spans="1:15" s="90" customFormat="1" ht="12.75" customHeight="1" x14ac:dyDescent="0.2">
      <c r="A3259" s="247" t="s">
        <v>1442</v>
      </c>
      <c r="B3259" s="316">
        <v>3218</v>
      </c>
      <c r="C3259" s="247" t="s">
        <v>979</v>
      </c>
      <c r="D3259" s="317">
        <v>42675</v>
      </c>
      <c r="E3259" s="318">
        <v>0.95122685185185185</v>
      </c>
      <c r="F3259" s="247" t="s">
        <v>702</v>
      </c>
      <c r="G3259" s="247" t="s">
        <v>1505</v>
      </c>
      <c r="H3259" s="248"/>
      <c r="I3259" s="248"/>
      <c r="J3259" s="247"/>
      <c r="K3259" s="249"/>
      <c r="M3259" s="90">
        <v>0</v>
      </c>
      <c r="N3259" s="90">
        <v>0</v>
      </c>
      <c r="O3259" s="90">
        <v>255</v>
      </c>
    </row>
    <row r="3260" spans="1:15" s="90" customFormat="1" ht="12.75" customHeight="1" x14ac:dyDescent="0.2">
      <c r="A3260" s="247" t="s">
        <v>1031</v>
      </c>
      <c r="B3260" s="316">
        <v>3046</v>
      </c>
      <c r="C3260" s="247" t="s">
        <v>975</v>
      </c>
      <c r="D3260" s="317">
        <v>42675</v>
      </c>
      <c r="E3260" s="318">
        <v>0.95148148148148148</v>
      </c>
      <c r="F3260" s="247" t="s">
        <v>976</v>
      </c>
      <c r="G3260" s="247" t="s">
        <v>1505</v>
      </c>
      <c r="H3260" s="248" t="s">
        <v>404</v>
      </c>
      <c r="I3260" s="248" t="s">
        <v>404</v>
      </c>
      <c r="J3260" s="247" t="s">
        <v>809</v>
      </c>
      <c r="K3260" s="249">
        <v>0</v>
      </c>
      <c r="M3260" s="90">
        <v>0</v>
      </c>
      <c r="N3260" s="90">
        <v>0</v>
      </c>
      <c r="O3260" s="90">
        <v>255</v>
      </c>
    </row>
    <row r="3261" spans="1:15" s="90" customFormat="1" ht="12.75" customHeight="1" x14ac:dyDescent="0.2">
      <c r="A3261" s="247" t="s">
        <v>1032</v>
      </c>
      <c r="B3261" s="316">
        <v>3046</v>
      </c>
      <c r="C3261" s="247" t="s">
        <v>975</v>
      </c>
      <c r="D3261" s="317">
        <v>42675</v>
      </c>
      <c r="E3261" s="318">
        <v>0.95590277777777777</v>
      </c>
      <c r="F3261" s="247" t="s">
        <v>976</v>
      </c>
      <c r="G3261" s="247" t="s">
        <v>1505</v>
      </c>
      <c r="H3261" s="248" t="s">
        <v>404</v>
      </c>
      <c r="I3261" s="248" t="s">
        <v>404</v>
      </c>
      <c r="J3261" s="247" t="s">
        <v>809</v>
      </c>
      <c r="K3261" s="249">
        <v>0</v>
      </c>
      <c r="M3261" s="90">
        <v>0</v>
      </c>
      <c r="N3261" s="90">
        <v>0</v>
      </c>
      <c r="O3261" s="90">
        <v>255</v>
      </c>
    </row>
    <row r="3262" spans="1:15" s="90" customFormat="1" ht="12.75" customHeight="1" x14ac:dyDescent="0.2">
      <c r="A3262" s="247" t="s">
        <v>989</v>
      </c>
      <c r="B3262" s="316">
        <v>3046</v>
      </c>
      <c r="C3262" s="247" t="s">
        <v>975</v>
      </c>
      <c r="D3262" s="317">
        <v>42675</v>
      </c>
      <c r="E3262" s="318">
        <v>0.95590277777777777</v>
      </c>
      <c r="F3262" s="247" t="s">
        <v>976</v>
      </c>
      <c r="G3262" s="247" t="s">
        <v>1505</v>
      </c>
      <c r="H3262" s="248" t="s">
        <v>404</v>
      </c>
      <c r="I3262" s="248" t="s">
        <v>404</v>
      </c>
      <c r="J3262" s="247" t="s">
        <v>809</v>
      </c>
      <c r="K3262" s="249">
        <v>0</v>
      </c>
      <c r="M3262" s="90">
        <v>0</v>
      </c>
      <c r="N3262" s="90">
        <v>0</v>
      </c>
      <c r="O3262" s="90">
        <v>255</v>
      </c>
    </row>
    <row r="3263" spans="1:15" s="90" customFormat="1" ht="12.75" customHeight="1" x14ac:dyDescent="0.2">
      <c r="A3263" s="247" t="s">
        <v>990</v>
      </c>
      <c r="B3263" s="316">
        <v>3046</v>
      </c>
      <c r="C3263" s="247" t="s">
        <v>975</v>
      </c>
      <c r="D3263" s="317">
        <v>42675</v>
      </c>
      <c r="E3263" s="318">
        <v>0.95621527777777782</v>
      </c>
      <c r="F3263" s="247" t="s">
        <v>976</v>
      </c>
      <c r="G3263" s="247" t="s">
        <v>1505</v>
      </c>
      <c r="H3263" s="248" t="s">
        <v>404</v>
      </c>
      <c r="I3263" s="248" t="s">
        <v>404</v>
      </c>
      <c r="J3263" s="247" t="s">
        <v>809</v>
      </c>
      <c r="K3263" s="249">
        <v>0</v>
      </c>
      <c r="M3263" s="90">
        <v>0</v>
      </c>
      <c r="N3263" s="90">
        <v>0</v>
      </c>
      <c r="O3263" s="90">
        <v>255</v>
      </c>
    </row>
    <row r="3264" spans="1:15" s="90" customFormat="1" ht="12.75" customHeight="1" x14ac:dyDescent="0.2">
      <c r="A3264" s="247" t="s">
        <v>1033</v>
      </c>
      <c r="B3264" s="316">
        <v>3217</v>
      </c>
      <c r="C3264" s="247" t="s">
        <v>975</v>
      </c>
      <c r="D3264" s="317">
        <v>42675</v>
      </c>
      <c r="E3264" s="318">
        <v>0.95621527777777782</v>
      </c>
      <c r="F3264" s="247" t="s">
        <v>235</v>
      </c>
      <c r="G3264" s="247" t="s">
        <v>1505</v>
      </c>
      <c r="H3264" s="248" t="s">
        <v>234</v>
      </c>
      <c r="I3264" s="248" t="s">
        <v>235</v>
      </c>
      <c r="J3264" s="247" t="s">
        <v>809</v>
      </c>
      <c r="K3264" s="249">
        <v>0</v>
      </c>
      <c r="M3264" s="90">
        <v>0</v>
      </c>
      <c r="N3264" s="90">
        <v>0</v>
      </c>
      <c r="O3264" s="90">
        <v>255</v>
      </c>
    </row>
    <row r="3265" spans="1:15" s="90" customFormat="1" ht="12.75" customHeight="1" x14ac:dyDescent="0.2">
      <c r="A3265" s="247" t="s">
        <v>1031</v>
      </c>
      <c r="B3265" s="316">
        <v>3046</v>
      </c>
      <c r="C3265" s="247" t="s">
        <v>975</v>
      </c>
      <c r="D3265" s="317">
        <v>42675</v>
      </c>
      <c r="E3265" s="318">
        <v>0.97025462962962961</v>
      </c>
      <c r="F3265" s="247" t="s">
        <v>976</v>
      </c>
      <c r="G3265" s="247" t="s">
        <v>1505</v>
      </c>
      <c r="H3265" s="248" t="s">
        <v>404</v>
      </c>
      <c r="I3265" s="248" t="s">
        <v>404</v>
      </c>
      <c r="J3265" s="247" t="s">
        <v>809</v>
      </c>
      <c r="K3265" s="249">
        <v>0</v>
      </c>
      <c r="M3265" s="90">
        <v>0</v>
      </c>
      <c r="N3265" s="90">
        <v>0</v>
      </c>
      <c r="O3265" s="90">
        <v>255</v>
      </c>
    </row>
    <row r="3266" spans="1:15" s="90" customFormat="1" ht="12.75" customHeight="1" x14ac:dyDescent="0.2">
      <c r="A3266" s="247" t="s">
        <v>1519</v>
      </c>
      <c r="B3266" s="316">
        <v>3108</v>
      </c>
      <c r="C3266" s="247" t="s">
        <v>975</v>
      </c>
      <c r="D3266" s="317">
        <v>42675</v>
      </c>
      <c r="E3266" s="318">
        <v>0.97391203703703699</v>
      </c>
      <c r="F3266" s="247" t="s">
        <v>978</v>
      </c>
      <c r="G3266" s="247" t="s">
        <v>1505</v>
      </c>
      <c r="H3266" s="248" t="s">
        <v>234</v>
      </c>
      <c r="I3266" s="248" t="s">
        <v>677</v>
      </c>
      <c r="J3266" s="247" t="s">
        <v>809</v>
      </c>
      <c r="K3266" s="249">
        <v>0</v>
      </c>
      <c r="M3266" s="90">
        <v>0</v>
      </c>
      <c r="N3266" s="90">
        <v>0</v>
      </c>
      <c r="O3266" s="90">
        <v>255</v>
      </c>
    </row>
    <row r="3267" spans="1:15" s="90" customFormat="1" ht="12.75" customHeight="1" x14ac:dyDescent="0.2">
      <c r="A3267" s="247" t="s">
        <v>1520</v>
      </c>
      <c r="B3267" s="316">
        <v>3106</v>
      </c>
      <c r="C3267" s="247" t="s">
        <v>975</v>
      </c>
      <c r="D3267" s="317">
        <v>42675</v>
      </c>
      <c r="E3267" s="318">
        <v>0.97434027777777776</v>
      </c>
      <c r="F3267" s="247" t="s">
        <v>978</v>
      </c>
      <c r="G3267" s="247" t="s">
        <v>1521</v>
      </c>
      <c r="H3267" s="248" t="s">
        <v>234</v>
      </c>
      <c r="I3267" s="248" t="s">
        <v>677</v>
      </c>
      <c r="J3267" s="247" t="s">
        <v>809</v>
      </c>
      <c r="K3267" s="249">
        <v>0</v>
      </c>
      <c r="M3267" s="90">
        <v>0</v>
      </c>
      <c r="N3267" s="90">
        <v>0</v>
      </c>
      <c r="O3267" s="90">
        <v>255</v>
      </c>
    </row>
    <row r="3268" spans="1:15" s="90" customFormat="1" ht="12.75" customHeight="1" x14ac:dyDescent="0.2">
      <c r="A3268" s="247" t="s">
        <v>1032</v>
      </c>
      <c r="B3268" s="316">
        <v>3046</v>
      </c>
      <c r="C3268" s="247" t="s">
        <v>975</v>
      </c>
      <c r="D3268" s="317">
        <v>42675</v>
      </c>
      <c r="E3268" s="318">
        <v>0.97464120370370377</v>
      </c>
      <c r="F3268" s="247" t="s">
        <v>976</v>
      </c>
      <c r="G3268" s="247" t="s">
        <v>1521</v>
      </c>
      <c r="H3268" s="248" t="s">
        <v>404</v>
      </c>
      <c r="I3268" s="248" t="s">
        <v>404</v>
      </c>
      <c r="J3268" s="247" t="s">
        <v>809</v>
      </c>
      <c r="K3268" s="249">
        <v>0</v>
      </c>
      <c r="M3268" s="90">
        <v>0</v>
      </c>
      <c r="N3268" s="90">
        <v>0</v>
      </c>
      <c r="O3268" s="90">
        <v>255</v>
      </c>
    </row>
    <row r="3269" spans="1:15" s="90" customFormat="1" ht="12.75" customHeight="1" x14ac:dyDescent="0.2">
      <c r="A3269" s="247" t="s">
        <v>989</v>
      </c>
      <c r="B3269" s="316">
        <v>3046</v>
      </c>
      <c r="C3269" s="247" t="s">
        <v>975</v>
      </c>
      <c r="D3269" s="317">
        <v>42675</v>
      </c>
      <c r="E3269" s="318">
        <v>0.97464120370370377</v>
      </c>
      <c r="F3269" s="247" t="s">
        <v>976</v>
      </c>
      <c r="G3269" s="247" t="s">
        <v>1521</v>
      </c>
      <c r="H3269" s="248" t="s">
        <v>404</v>
      </c>
      <c r="I3269" s="248" t="s">
        <v>404</v>
      </c>
      <c r="J3269" s="247" t="s">
        <v>809</v>
      </c>
      <c r="K3269" s="249">
        <v>0</v>
      </c>
      <c r="M3269" s="90">
        <v>0</v>
      </c>
      <c r="N3269" s="90">
        <v>0</v>
      </c>
      <c r="O3269" s="90">
        <v>255</v>
      </c>
    </row>
    <row r="3270" spans="1:15" s="90" customFormat="1" ht="12.75" customHeight="1" x14ac:dyDescent="0.2">
      <c r="A3270" s="247" t="s">
        <v>990</v>
      </c>
      <c r="B3270" s="316">
        <v>3046</v>
      </c>
      <c r="C3270" s="247" t="s">
        <v>975</v>
      </c>
      <c r="D3270" s="317">
        <v>42675</v>
      </c>
      <c r="E3270" s="318">
        <v>0.97498842592592594</v>
      </c>
      <c r="F3270" s="247" t="s">
        <v>976</v>
      </c>
      <c r="G3270" s="247" t="s">
        <v>1521</v>
      </c>
      <c r="H3270" s="248" t="s">
        <v>404</v>
      </c>
      <c r="I3270" s="248" t="s">
        <v>404</v>
      </c>
      <c r="J3270" s="247" t="s">
        <v>809</v>
      </c>
      <c r="K3270" s="249">
        <v>0</v>
      </c>
      <c r="M3270" s="90">
        <v>0</v>
      </c>
      <c r="N3270" s="90">
        <v>0</v>
      </c>
      <c r="O3270" s="90">
        <v>255</v>
      </c>
    </row>
    <row r="3271" spans="1:15" s="90" customFormat="1" ht="12.75" customHeight="1" x14ac:dyDescent="0.2">
      <c r="A3271" s="247" t="s">
        <v>1033</v>
      </c>
      <c r="B3271" s="316">
        <v>3217</v>
      </c>
      <c r="C3271" s="247" t="s">
        <v>975</v>
      </c>
      <c r="D3271" s="317">
        <v>42675</v>
      </c>
      <c r="E3271" s="318">
        <v>0.97498842592592594</v>
      </c>
      <c r="F3271" s="247" t="s">
        <v>235</v>
      </c>
      <c r="G3271" s="247" t="s">
        <v>1521</v>
      </c>
      <c r="H3271" s="248" t="s">
        <v>234</v>
      </c>
      <c r="I3271" s="248" t="s">
        <v>235</v>
      </c>
      <c r="J3271" s="247" t="s">
        <v>809</v>
      </c>
      <c r="K3271" s="249">
        <v>0</v>
      </c>
      <c r="M3271" s="90">
        <v>0</v>
      </c>
      <c r="N3271" s="90">
        <v>0</v>
      </c>
      <c r="O3271" s="90">
        <v>255</v>
      </c>
    </row>
    <row r="3272" spans="1:15" s="90" customFormat="1" ht="12.75" customHeight="1" x14ac:dyDescent="0.2">
      <c r="A3272" s="247" t="s">
        <v>1031</v>
      </c>
      <c r="B3272" s="316">
        <v>3046</v>
      </c>
      <c r="C3272" s="247" t="s">
        <v>975</v>
      </c>
      <c r="D3272" s="317">
        <v>42675</v>
      </c>
      <c r="E3272" s="318">
        <v>0.98031250000000003</v>
      </c>
      <c r="F3272" s="247" t="s">
        <v>976</v>
      </c>
      <c r="G3272" s="247" t="s">
        <v>1521</v>
      </c>
      <c r="H3272" s="248" t="s">
        <v>404</v>
      </c>
      <c r="I3272" s="248" t="s">
        <v>404</v>
      </c>
      <c r="J3272" s="247" t="s">
        <v>809</v>
      </c>
      <c r="K3272" s="249">
        <v>0</v>
      </c>
      <c r="M3272" s="90">
        <v>0</v>
      </c>
      <c r="N3272" s="90">
        <v>0</v>
      </c>
      <c r="O3272" s="90">
        <v>255</v>
      </c>
    </row>
    <row r="3273" spans="1:15" s="90" customFormat="1" ht="12.75" customHeight="1" x14ac:dyDescent="0.2">
      <c r="A3273" s="247" t="s">
        <v>1032</v>
      </c>
      <c r="B3273" s="316">
        <v>3046</v>
      </c>
      <c r="C3273" s="247" t="s">
        <v>975</v>
      </c>
      <c r="D3273" s="317">
        <v>42675</v>
      </c>
      <c r="E3273" s="318">
        <v>0.98237268518518517</v>
      </c>
      <c r="F3273" s="247" t="s">
        <v>976</v>
      </c>
      <c r="G3273" s="247" t="s">
        <v>1521</v>
      </c>
      <c r="H3273" s="248" t="s">
        <v>404</v>
      </c>
      <c r="I3273" s="248" t="s">
        <v>404</v>
      </c>
      <c r="J3273" s="247" t="s">
        <v>809</v>
      </c>
      <c r="K3273" s="249">
        <v>0</v>
      </c>
      <c r="M3273" s="90">
        <v>0</v>
      </c>
      <c r="N3273" s="90">
        <v>0</v>
      </c>
      <c r="O3273" s="90">
        <v>255</v>
      </c>
    </row>
    <row r="3274" spans="1:15" s="90" customFormat="1" ht="12.75" customHeight="1" x14ac:dyDescent="0.2">
      <c r="A3274" s="247" t="s">
        <v>989</v>
      </c>
      <c r="B3274" s="316">
        <v>3046</v>
      </c>
      <c r="C3274" s="247" t="s">
        <v>975</v>
      </c>
      <c r="D3274" s="317">
        <v>42675</v>
      </c>
      <c r="E3274" s="318">
        <v>0.98237268518518517</v>
      </c>
      <c r="F3274" s="247" t="s">
        <v>976</v>
      </c>
      <c r="G3274" s="247" t="s">
        <v>1521</v>
      </c>
      <c r="H3274" s="248" t="s">
        <v>404</v>
      </c>
      <c r="I3274" s="248" t="s">
        <v>404</v>
      </c>
      <c r="J3274" s="247" t="s">
        <v>809</v>
      </c>
      <c r="K3274" s="249">
        <v>0</v>
      </c>
      <c r="M3274" s="90">
        <v>0</v>
      </c>
      <c r="N3274" s="90">
        <v>0</v>
      </c>
      <c r="O3274" s="90">
        <v>255</v>
      </c>
    </row>
    <row r="3275" spans="1:15" s="90" customFormat="1" ht="12.75" customHeight="1" x14ac:dyDescent="0.2">
      <c r="A3275" s="247" t="s">
        <v>1033</v>
      </c>
      <c r="B3275" s="316">
        <v>3217</v>
      </c>
      <c r="C3275" s="247" t="s">
        <v>975</v>
      </c>
      <c r="D3275" s="317">
        <v>42675</v>
      </c>
      <c r="E3275" s="318">
        <v>0.98266203703703703</v>
      </c>
      <c r="F3275" s="247" t="s">
        <v>235</v>
      </c>
      <c r="G3275" s="247" t="s">
        <v>1521</v>
      </c>
      <c r="H3275" s="248" t="s">
        <v>234</v>
      </c>
      <c r="I3275" s="248" t="s">
        <v>235</v>
      </c>
      <c r="J3275" s="247" t="s">
        <v>809</v>
      </c>
      <c r="K3275" s="249">
        <v>0</v>
      </c>
      <c r="M3275" s="90">
        <v>0</v>
      </c>
      <c r="N3275" s="90">
        <v>0</v>
      </c>
      <c r="O3275" s="90">
        <v>255</v>
      </c>
    </row>
    <row r="3276" spans="1:15" s="90" customFormat="1" ht="12.75" customHeight="1" x14ac:dyDescent="0.2">
      <c r="A3276" s="247" t="s">
        <v>990</v>
      </c>
      <c r="B3276" s="316">
        <v>3046</v>
      </c>
      <c r="C3276" s="247" t="s">
        <v>975</v>
      </c>
      <c r="D3276" s="317">
        <v>42675</v>
      </c>
      <c r="E3276" s="318">
        <v>0.98267361111111118</v>
      </c>
      <c r="F3276" s="247" t="s">
        <v>976</v>
      </c>
      <c r="G3276" s="247" t="s">
        <v>1521</v>
      </c>
      <c r="H3276" s="248" t="s">
        <v>404</v>
      </c>
      <c r="I3276" s="248" t="s">
        <v>404</v>
      </c>
      <c r="J3276" s="247" t="s">
        <v>809</v>
      </c>
      <c r="K3276" s="249">
        <v>0</v>
      </c>
      <c r="M3276" s="90">
        <v>0</v>
      </c>
      <c r="N3276" s="90">
        <v>0</v>
      </c>
      <c r="O3276" s="90">
        <v>255</v>
      </c>
    </row>
    <row r="3277" spans="1:15" s="90" customFormat="1" ht="12.75" customHeight="1" x14ac:dyDescent="0.2">
      <c r="A3277" s="247" t="s">
        <v>1031</v>
      </c>
      <c r="B3277" s="316">
        <v>3046</v>
      </c>
      <c r="C3277" s="247" t="s">
        <v>975</v>
      </c>
      <c r="D3277" s="317">
        <v>42675</v>
      </c>
      <c r="E3277" s="318">
        <v>0.99961805555555561</v>
      </c>
      <c r="F3277" s="247" t="s">
        <v>976</v>
      </c>
      <c r="G3277" s="247" t="s">
        <v>1521</v>
      </c>
      <c r="H3277" s="248" t="s">
        <v>404</v>
      </c>
      <c r="I3277" s="248" t="s">
        <v>404</v>
      </c>
      <c r="J3277" s="247" t="s">
        <v>809</v>
      </c>
      <c r="K3277" s="249">
        <v>0</v>
      </c>
      <c r="M3277" s="90">
        <v>0</v>
      </c>
      <c r="N3277" s="90">
        <v>0</v>
      </c>
      <c r="O3277" s="90">
        <v>255</v>
      </c>
    </row>
    <row r="3278" spans="1:15" s="90" customFormat="1" ht="12.75" customHeight="1" x14ac:dyDescent="0.2">
      <c r="A3278" s="247" t="s">
        <v>1032</v>
      </c>
      <c r="B3278" s="316">
        <v>3046</v>
      </c>
      <c r="C3278" s="247" t="s">
        <v>975</v>
      </c>
      <c r="D3278" s="317">
        <v>42676</v>
      </c>
      <c r="E3278" s="318">
        <v>4.108796296296297E-3</v>
      </c>
      <c r="F3278" s="247" t="s">
        <v>976</v>
      </c>
      <c r="G3278" s="247" t="s">
        <v>1521</v>
      </c>
      <c r="H3278" s="248" t="s">
        <v>404</v>
      </c>
      <c r="I3278" s="248" t="s">
        <v>404</v>
      </c>
      <c r="J3278" s="247" t="s">
        <v>809</v>
      </c>
      <c r="K3278" s="249">
        <v>0</v>
      </c>
      <c r="M3278" s="90">
        <v>0</v>
      </c>
      <c r="N3278" s="90">
        <v>0</v>
      </c>
      <c r="O3278" s="90">
        <v>255</v>
      </c>
    </row>
    <row r="3279" spans="1:15" s="90" customFormat="1" ht="12.75" customHeight="1" x14ac:dyDescent="0.2">
      <c r="A3279" s="247" t="s">
        <v>989</v>
      </c>
      <c r="B3279" s="316">
        <v>3046</v>
      </c>
      <c r="C3279" s="247" t="s">
        <v>975</v>
      </c>
      <c r="D3279" s="317">
        <v>42676</v>
      </c>
      <c r="E3279" s="318">
        <v>4.108796296296297E-3</v>
      </c>
      <c r="F3279" s="247" t="s">
        <v>976</v>
      </c>
      <c r="G3279" s="247" t="s">
        <v>1521</v>
      </c>
      <c r="H3279" s="248" t="s">
        <v>404</v>
      </c>
      <c r="I3279" s="248" t="s">
        <v>404</v>
      </c>
      <c r="J3279" s="247" t="s">
        <v>809</v>
      </c>
      <c r="K3279" s="249">
        <v>0</v>
      </c>
      <c r="M3279" s="90">
        <v>0</v>
      </c>
      <c r="N3279" s="90">
        <v>0</v>
      </c>
      <c r="O3279" s="90">
        <v>255</v>
      </c>
    </row>
    <row r="3280" spans="1:15" s="90" customFormat="1" ht="12.75" customHeight="1" x14ac:dyDescent="0.2">
      <c r="A3280" s="247" t="s">
        <v>990</v>
      </c>
      <c r="B3280" s="316">
        <v>3046</v>
      </c>
      <c r="C3280" s="247" t="s">
        <v>975</v>
      </c>
      <c r="D3280" s="317">
        <v>42676</v>
      </c>
      <c r="E3280" s="318">
        <v>4.409722222222222E-3</v>
      </c>
      <c r="F3280" s="247" t="s">
        <v>976</v>
      </c>
      <c r="G3280" s="247" t="s">
        <v>1521</v>
      </c>
      <c r="H3280" s="248" t="s">
        <v>404</v>
      </c>
      <c r="I3280" s="248" t="s">
        <v>404</v>
      </c>
      <c r="J3280" s="247" t="s">
        <v>809</v>
      </c>
      <c r="K3280" s="249">
        <v>0</v>
      </c>
      <c r="M3280" s="90">
        <v>0</v>
      </c>
      <c r="N3280" s="90">
        <v>0</v>
      </c>
      <c r="O3280" s="90">
        <v>255</v>
      </c>
    </row>
    <row r="3281" spans="1:15" s="90" customFormat="1" ht="12.75" customHeight="1" x14ac:dyDescent="0.2">
      <c r="A3281" s="247" t="s">
        <v>1033</v>
      </c>
      <c r="B3281" s="316">
        <v>3217</v>
      </c>
      <c r="C3281" s="247" t="s">
        <v>975</v>
      </c>
      <c r="D3281" s="317">
        <v>42676</v>
      </c>
      <c r="E3281" s="318">
        <v>4.409722222222222E-3</v>
      </c>
      <c r="F3281" s="247" t="s">
        <v>235</v>
      </c>
      <c r="G3281" s="247" t="s">
        <v>1521</v>
      </c>
      <c r="H3281" s="248" t="s">
        <v>234</v>
      </c>
      <c r="I3281" s="248" t="s">
        <v>235</v>
      </c>
      <c r="J3281" s="247" t="s">
        <v>809</v>
      </c>
      <c r="K3281" s="249">
        <v>0</v>
      </c>
      <c r="M3281" s="90">
        <v>0</v>
      </c>
      <c r="N3281" s="90">
        <v>0</v>
      </c>
      <c r="O3281" s="90">
        <v>255</v>
      </c>
    </row>
    <row r="3282" spans="1:15" s="90" customFormat="1" ht="12.75" customHeight="1" x14ac:dyDescent="0.2">
      <c r="A3282" s="247" t="s">
        <v>1031</v>
      </c>
      <c r="B3282" s="316">
        <v>3046</v>
      </c>
      <c r="C3282" s="247" t="s">
        <v>975</v>
      </c>
      <c r="D3282" s="317">
        <v>42676</v>
      </c>
      <c r="E3282" s="318">
        <v>2.2800925925925929E-2</v>
      </c>
      <c r="F3282" s="247" t="s">
        <v>976</v>
      </c>
      <c r="G3282" s="247" t="s">
        <v>1521</v>
      </c>
      <c r="H3282" s="248" t="s">
        <v>404</v>
      </c>
      <c r="I3282" s="248" t="s">
        <v>404</v>
      </c>
      <c r="J3282" s="247" t="s">
        <v>809</v>
      </c>
      <c r="K3282" s="249">
        <v>0</v>
      </c>
      <c r="M3282" s="90">
        <v>0</v>
      </c>
      <c r="N3282" s="90">
        <v>0</v>
      </c>
      <c r="O3282" s="90">
        <v>255</v>
      </c>
    </row>
    <row r="3283" spans="1:15" s="90" customFormat="1" ht="12.75" customHeight="1" x14ac:dyDescent="0.2">
      <c r="A3283" s="247" t="s">
        <v>1032</v>
      </c>
      <c r="B3283" s="316">
        <v>3046</v>
      </c>
      <c r="C3283" s="247" t="s">
        <v>975</v>
      </c>
      <c r="D3283" s="317">
        <v>42676</v>
      </c>
      <c r="E3283" s="318">
        <v>2.478009259259259E-2</v>
      </c>
      <c r="F3283" s="247" t="s">
        <v>976</v>
      </c>
      <c r="G3283" s="247" t="s">
        <v>1521</v>
      </c>
      <c r="H3283" s="248" t="s">
        <v>404</v>
      </c>
      <c r="I3283" s="248" t="s">
        <v>404</v>
      </c>
      <c r="J3283" s="247" t="s">
        <v>809</v>
      </c>
      <c r="K3283" s="249">
        <v>0</v>
      </c>
      <c r="M3283" s="90">
        <v>0</v>
      </c>
      <c r="N3283" s="90">
        <v>0</v>
      </c>
      <c r="O3283" s="90">
        <v>255</v>
      </c>
    </row>
    <row r="3284" spans="1:15" s="90" customFormat="1" ht="12.75" customHeight="1" x14ac:dyDescent="0.2">
      <c r="A3284" s="247" t="s">
        <v>989</v>
      </c>
      <c r="B3284" s="316">
        <v>3046</v>
      </c>
      <c r="C3284" s="247" t="s">
        <v>975</v>
      </c>
      <c r="D3284" s="317">
        <v>42676</v>
      </c>
      <c r="E3284" s="318">
        <v>2.478009259259259E-2</v>
      </c>
      <c r="F3284" s="247" t="s">
        <v>976</v>
      </c>
      <c r="G3284" s="247" t="s">
        <v>1521</v>
      </c>
      <c r="H3284" s="248" t="s">
        <v>404</v>
      </c>
      <c r="I3284" s="248" t="s">
        <v>404</v>
      </c>
      <c r="J3284" s="247" t="s">
        <v>809</v>
      </c>
      <c r="K3284" s="249">
        <v>0</v>
      </c>
      <c r="M3284" s="90">
        <v>0</v>
      </c>
      <c r="N3284" s="90">
        <v>0</v>
      </c>
      <c r="O3284" s="90">
        <v>255</v>
      </c>
    </row>
    <row r="3285" spans="1:15" s="90" customFormat="1" ht="12.75" customHeight="1" x14ac:dyDescent="0.2">
      <c r="A3285" s="247" t="s">
        <v>1033</v>
      </c>
      <c r="B3285" s="316">
        <v>3217</v>
      </c>
      <c r="C3285" s="247" t="s">
        <v>975</v>
      </c>
      <c r="D3285" s="317">
        <v>42676</v>
      </c>
      <c r="E3285" s="318">
        <v>2.5057870370370373E-2</v>
      </c>
      <c r="F3285" s="247" t="s">
        <v>235</v>
      </c>
      <c r="G3285" s="247" t="s">
        <v>1521</v>
      </c>
      <c r="H3285" s="248" t="s">
        <v>234</v>
      </c>
      <c r="I3285" s="248" t="s">
        <v>235</v>
      </c>
      <c r="J3285" s="247" t="s">
        <v>809</v>
      </c>
      <c r="K3285" s="249">
        <v>0</v>
      </c>
      <c r="M3285" s="90">
        <v>0</v>
      </c>
      <c r="N3285" s="90">
        <v>0</v>
      </c>
      <c r="O3285" s="90">
        <v>255</v>
      </c>
    </row>
    <row r="3286" spans="1:15" s="90" customFormat="1" ht="12.75" customHeight="1" x14ac:dyDescent="0.2">
      <c r="A3286" s="247" t="s">
        <v>990</v>
      </c>
      <c r="B3286" s="316">
        <v>3046</v>
      </c>
      <c r="C3286" s="247" t="s">
        <v>975</v>
      </c>
      <c r="D3286" s="317">
        <v>42676</v>
      </c>
      <c r="E3286" s="318">
        <v>2.5069444444444446E-2</v>
      </c>
      <c r="F3286" s="247" t="s">
        <v>976</v>
      </c>
      <c r="G3286" s="247" t="s">
        <v>1521</v>
      </c>
      <c r="H3286" s="248" t="s">
        <v>404</v>
      </c>
      <c r="I3286" s="248" t="s">
        <v>404</v>
      </c>
      <c r="J3286" s="247" t="s">
        <v>809</v>
      </c>
      <c r="K3286" s="249">
        <v>0</v>
      </c>
      <c r="M3286" s="90">
        <v>0</v>
      </c>
      <c r="N3286" s="90">
        <v>0</v>
      </c>
      <c r="O3286" s="90">
        <v>255</v>
      </c>
    </row>
    <row r="3287" spans="1:15" s="90" customFormat="1" ht="12.75" customHeight="1" x14ac:dyDescent="0.2">
      <c r="A3287" s="247" t="s">
        <v>1031</v>
      </c>
      <c r="B3287" s="316">
        <v>3046</v>
      </c>
      <c r="C3287" s="247" t="s">
        <v>975</v>
      </c>
      <c r="D3287" s="317">
        <v>42676</v>
      </c>
      <c r="E3287" s="318">
        <v>3.3090277777777781E-2</v>
      </c>
      <c r="F3287" s="247" t="s">
        <v>976</v>
      </c>
      <c r="G3287" s="247" t="s">
        <v>1521</v>
      </c>
      <c r="H3287" s="248" t="s">
        <v>404</v>
      </c>
      <c r="I3287" s="248" t="s">
        <v>404</v>
      </c>
      <c r="J3287" s="247" t="s">
        <v>809</v>
      </c>
      <c r="K3287" s="249">
        <v>0</v>
      </c>
      <c r="M3287" s="90">
        <v>0</v>
      </c>
      <c r="N3287" s="90">
        <v>0</v>
      </c>
      <c r="O3287" s="90">
        <v>255</v>
      </c>
    </row>
    <row r="3288" spans="1:15" s="90" customFormat="1" ht="12.75" customHeight="1" x14ac:dyDescent="0.2">
      <c r="A3288" s="247" t="s">
        <v>1032</v>
      </c>
      <c r="B3288" s="316">
        <v>3046</v>
      </c>
      <c r="C3288" s="247" t="s">
        <v>975</v>
      </c>
      <c r="D3288" s="317">
        <v>42676</v>
      </c>
      <c r="E3288" s="318">
        <v>3.7372685185185189E-2</v>
      </c>
      <c r="F3288" s="247" t="s">
        <v>976</v>
      </c>
      <c r="G3288" s="247" t="s">
        <v>1521</v>
      </c>
      <c r="H3288" s="248" t="s">
        <v>404</v>
      </c>
      <c r="I3288" s="248" t="s">
        <v>404</v>
      </c>
      <c r="J3288" s="247" t="s">
        <v>809</v>
      </c>
      <c r="K3288" s="249">
        <v>0</v>
      </c>
      <c r="M3288" s="90">
        <v>0</v>
      </c>
      <c r="N3288" s="90">
        <v>0</v>
      </c>
      <c r="O3288" s="90">
        <v>255</v>
      </c>
    </row>
    <row r="3289" spans="1:15" s="90" customFormat="1" ht="12.75" customHeight="1" x14ac:dyDescent="0.2">
      <c r="A3289" s="247" t="s">
        <v>989</v>
      </c>
      <c r="B3289" s="316">
        <v>3046</v>
      </c>
      <c r="C3289" s="247" t="s">
        <v>975</v>
      </c>
      <c r="D3289" s="317">
        <v>42676</v>
      </c>
      <c r="E3289" s="318">
        <v>3.7372685185185189E-2</v>
      </c>
      <c r="F3289" s="247" t="s">
        <v>976</v>
      </c>
      <c r="G3289" s="247" t="s">
        <v>1521</v>
      </c>
      <c r="H3289" s="248" t="s">
        <v>404</v>
      </c>
      <c r="I3289" s="248" t="s">
        <v>404</v>
      </c>
      <c r="J3289" s="247" t="s">
        <v>809</v>
      </c>
      <c r="K3289" s="249">
        <v>0</v>
      </c>
      <c r="M3289" s="90">
        <v>0</v>
      </c>
      <c r="N3289" s="90">
        <v>0</v>
      </c>
      <c r="O3289" s="90">
        <v>255</v>
      </c>
    </row>
    <row r="3290" spans="1:15" s="90" customFormat="1" ht="12.75" customHeight="1" x14ac:dyDescent="0.2">
      <c r="A3290" s="247" t="s">
        <v>990</v>
      </c>
      <c r="B3290" s="316">
        <v>3046</v>
      </c>
      <c r="C3290" s="247" t="s">
        <v>975</v>
      </c>
      <c r="D3290" s="317">
        <v>42676</v>
      </c>
      <c r="E3290" s="318">
        <v>3.7685185185185183E-2</v>
      </c>
      <c r="F3290" s="247" t="s">
        <v>976</v>
      </c>
      <c r="G3290" s="247" t="s">
        <v>1521</v>
      </c>
      <c r="H3290" s="248" t="s">
        <v>404</v>
      </c>
      <c r="I3290" s="248" t="s">
        <v>404</v>
      </c>
      <c r="J3290" s="247" t="s">
        <v>809</v>
      </c>
      <c r="K3290" s="249">
        <v>0</v>
      </c>
      <c r="M3290" s="90">
        <v>0</v>
      </c>
      <c r="N3290" s="90">
        <v>0</v>
      </c>
      <c r="O3290" s="90">
        <v>255</v>
      </c>
    </row>
    <row r="3291" spans="1:15" s="90" customFormat="1" ht="12.75" customHeight="1" x14ac:dyDescent="0.2">
      <c r="A3291" s="247" t="s">
        <v>1033</v>
      </c>
      <c r="B3291" s="316">
        <v>3217</v>
      </c>
      <c r="C3291" s="247" t="s">
        <v>975</v>
      </c>
      <c r="D3291" s="317">
        <v>42676</v>
      </c>
      <c r="E3291" s="318">
        <v>3.7685185185185183E-2</v>
      </c>
      <c r="F3291" s="247" t="s">
        <v>235</v>
      </c>
      <c r="G3291" s="247" t="s">
        <v>1521</v>
      </c>
      <c r="H3291" s="248" t="s">
        <v>234</v>
      </c>
      <c r="I3291" s="248" t="s">
        <v>235</v>
      </c>
      <c r="J3291" s="247" t="s">
        <v>809</v>
      </c>
      <c r="K3291" s="249">
        <v>0</v>
      </c>
      <c r="M3291" s="90">
        <v>0</v>
      </c>
      <c r="N3291" s="90">
        <v>0</v>
      </c>
      <c r="O3291" s="90">
        <v>255</v>
      </c>
    </row>
    <row r="3292" spans="1:15" s="90" customFormat="1" ht="12.75" customHeight="1" x14ac:dyDescent="0.2">
      <c r="A3292" s="247" t="s">
        <v>1031</v>
      </c>
      <c r="B3292" s="316">
        <v>3046</v>
      </c>
      <c r="C3292" s="247" t="s">
        <v>975</v>
      </c>
      <c r="D3292" s="317">
        <v>42676</v>
      </c>
      <c r="E3292" s="318">
        <v>4.2719907407407408E-2</v>
      </c>
      <c r="F3292" s="247" t="s">
        <v>976</v>
      </c>
      <c r="G3292" s="247" t="s">
        <v>1521</v>
      </c>
      <c r="H3292" s="248" t="s">
        <v>404</v>
      </c>
      <c r="I3292" s="248" t="s">
        <v>404</v>
      </c>
      <c r="J3292" s="247" t="s">
        <v>809</v>
      </c>
      <c r="K3292" s="249">
        <v>0</v>
      </c>
      <c r="M3292" s="90">
        <v>0</v>
      </c>
      <c r="N3292" s="90">
        <v>0</v>
      </c>
      <c r="O3292" s="90">
        <v>255</v>
      </c>
    </row>
    <row r="3293" spans="1:15" s="90" customFormat="1" ht="12.75" customHeight="1" x14ac:dyDescent="0.2">
      <c r="A3293" s="247" t="s">
        <v>1032</v>
      </c>
      <c r="B3293" s="316">
        <v>3046</v>
      </c>
      <c r="C3293" s="247" t="s">
        <v>975</v>
      </c>
      <c r="D3293" s="317">
        <v>42676</v>
      </c>
      <c r="E3293" s="318">
        <v>4.7118055555555559E-2</v>
      </c>
      <c r="F3293" s="247" t="s">
        <v>976</v>
      </c>
      <c r="G3293" s="247" t="s">
        <v>1521</v>
      </c>
      <c r="H3293" s="248" t="s">
        <v>404</v>
      </c>
      <c r="I3293" s="248" t="s">
        <v>404</v>
      </c>
      <c r="J3293" s="247" t="s">
        <v>809</v>
      </c>
      <c r="K3293" s="249">
        <v>0</v>
      </c>
      <c r="M3293" s="90">
        <v>0</v>
      </c>
      <c r="N3293" s="90">
        <v>0</v>
      </c>
      <c r="O3293" s="90">
        <v>255</v>
      </c>
    </row>
    <row r="3294" spans="1:15" s="90" customFormat="1" ht="12.75" customHeight="1" x14ac:dyDescent="0.2">
      <c r="A3294" s="247" t="s">
        <v>989</v>
      </c>
      <c r="B3294" s="316">
        <v>3046</v>
      </c>
      <c r="C3294" s="247" t="s">
        <v>975</v>
      </c>
      <c r="D3294" s="317">
        <v>42676</v>
      </c>
      <c r="E3294" s="318">
        <v>4.7118055555555559E-2</v>
      </c>
      <c r="F3294" s="247" t="s">
        <v>976</v>
      </c>
      <c r="G3294" s="247" t="s">
        <v>1521</v>
      </c>
      <c r="H3294" s="248" t="s">
        <v>404</v>
      </c>
      <c r="I3294" s="248" t="s">
        <v>404</v>
      </c>
      <c r="J3294" s="247" t="s">
        <v>809</v>
      </c>
      <c r="K3294" s="249">
        <v>0</v>
      </c>
      <c r="M3294" s="90">
        <v>0</v>
      </c>
      <c r="N3294" s="90">
        <v>0</v>
      </c>
      <c r="O3294" s="90">
        <v>255</v>
      </c>
    </row>
    <row r="3295" spans="1:15" s="90" customFormat="1" ht="12.75" customHeight="1" x14ac:dyDescent="0.2">
      <c r="A3295" s="247" t="s">
        <v>990</v>
      </c>
      <c r="B3295" s="316">
        <v>3046</v>
      </c>
      <c r="C3295" s="247" t="s">
        <v>975</v>
      </c>
      <c r="D3295" s="317">
        <v>42676</v>
      </c>
      <c r="E3295" s="318">
        <v>4.7407407407407405E-2</v>
      </c>
      <c r="F3295" s="247" t="s">
        <v>976</v>
      </c>
      <c r="G3295" s="247" t="s">
        <v>1521</v>
      </c>
      <c r="H3295" s="248" t="s">
        <v>404</v>
      </c>
      <c r="I3295" s="248" t="s">
        <v>404</v>
      </c>
      <c r="J3295" s="247" t="s">
        <v>809</v>
      </c>
      <c r="K3295" s="249">
        <v>0</v>
      </c>
      <c r="M3295" s="90">
        <v>0</v>
      </c>
      <c r="N3295" s="90">
        <v>0</v>
      </c>
      <c r="O3295" s="90">
        <v>255</v>
      </c>
    </row>
    <row r="3296" spans="1:15" s="90" customFormat="1" ht="12.75" customHeight="1" x14ac:dyDescent="0.2">
      <c r="A3296" s="247" t="s">
        <v>1033</v>
      </c>
      <c r="B3296" s="316">
        <v>3217</v>
      </c>
      <c r="C3296" s="247" t="s">
        <v>975</v>
      </c>
      <c r="D3296" s="317">
        <v>42676</v>
      </c>
      <c r="E3296" s="318">
        <v>4.7407407407407405E-2</v>
      </c>
      <c r="F3296" s="247" t="s">
        <v>235</v>
      </c>
      <c r="G3296" s="247" t="s">
        <v>1521</v>
      </c>
      <c r="H3296" s="248" t="s">
        <v>234</v>
      </c>
      <c r="I3296" s="248" t="s">
        <v>235</v>
      </c>
      <c r="J3296" s="247" t="s">
        <v>809</v>
      </c>
      <c r="K3296" s="249">
        <v>0</v>
      </c>
      <c r="M3296" s="90">
        <v>0</v>
      </c>
      <c r="N3296" s="90">
        <v>0</v>
      </c>
      <c r="O3296" s="90">
        <v>255</v>
      </c>
    </row>
    <row r="3297" spans="1:15" s="90" customFormat="1" ht="12.75" customHeight="1" x14ac:dyDescent="0.2">
      <c r="A3297" s="247" t="s">
        <v>1031</v>
      </c>
      <c r="B3297" s="316">
        <v>3046</v>
      </c>
      <c r="C3297" s="247" t="s">
        <v>975</v>
      </c>
      <c r="D3297" s="317">
        <v>42676</v>
      </c>
      <c r="E3297" s="318">
        <v>5.5497685185185185E-2</v>
      </c>
      <c r="F3297" s="247" t="s">
        <v>976</v>
      </c>
      <c r="G3297" s="247" t="s">
        <v>1521</v>
      </c>
      <c r="H3297" s="248" t="s">
        <v>404</v>
      </c>
      <c r="I3297" s="248" t="s">
        <v>404</v>
      </c>
      <c r="J3297" s="247" t="s">
        <v>809</v>
      </c>
      <c r="K3297" s="249">
        <v>0</v>
      </c>
      <c r="M3297" s="90">
        <v>0</v>
      </c>
      <c r="N3297" s="90">
        <v>0</v>
      </c>
      <c r="O3297" s="90">
        <v>255</v>
      </c>
    </row>
    <row r="3298" spans="1:15" s="90" customFormat="1" ht="12.75" customHeight="1" x14ac:dyDescent="0.2">
      <c r="A3298" s="247" t="s">
        <v>1032</v>
      </c>
      <c r="B3298" s="316">
        <v>3046</v>
      </c>
      <c r="C3298" s="247" t="s">
        <v>975</v>
      </c>
      <c r="D3298" s="317">
        <v>42676</v>
      </c>
      <c r="E3298" s="318">
        <v>5.7488425925925929E-2</v>
      </c>
      <c r="F3298" s="247" t="s">
        <v>976</v>
      </c>
      <c r="G3298" s="247" t="s">
        <v>1521</v>
      </c>
      <c r="H3298" s="248" t="s">
        <v>404</v>
      </c>
      <c r="I3298" s="248" t="s">
        <v>404</v>
      </c>
      <c r="J3298" s="247" t="s">
        <v>809</v>
      </c>
      <c r="K3298" s="249">
        <v>0</v>
      </c>
      <c r="M3298" s="90">
        <v>0</v>
      </c>
      <c r="N3298" s="90">
        <v>0</v>
      </c>
      <c r="O3298" s="90">
        <v>255</v>
      </c>
    </row>
    <row r="3299" spans="1:15" s="90" customFormat="1" ht="12.75" customHeight="1" x14ac:dyDescent="0.2">
      <c r="A3299" s="247" t="s">
        <v>989</v>
      </c>
      <c r="B3299" s="316">
        <v>3046</v>
      </c>
      <c r="C3299" s="247" t="s">
        <v>975</v>
      </c>
      <c r="D3299" s="317">
        <v>42676</v>
      </c>
      <c r="E3299" s="318">
        <v>5.7488425925925929E-2</v>
      </c>
      <c r="F3299" s="247" t="s">
        <v>976</v>
      </c>
      <c r="G3299" s="247" t="s">
        <v>1521</v>
      </c>
      <c r="H3299" s="248" t="s">
        <v>404</v>
      </c>
      <c r="I3299" s="248" t="s">
        <v>404</v>
      </c>
      <c r="J3299" s="247" t="s">
        <v>809</v>
      </c>
      <c r="K3299" s="249">
        <v>0</v>
      </c>
      <c r="M3299" s="90">
        <v>0</v>
      </c>
      <c r="N3299" s="90">
        <v>0</v>
      </c>
      <c r="O3299" s="90">
        <v>255</v>
      </c>
    </row>
    <row r="3300" spans="1:15" s="90" customFormat="1" ht="12.75" customHeight="1" x14ac:dyDescent="0.2">
      <c r="A3300" s="247" t="s">
        <v>990</v>
      </c>
      <c r="B3300" s="316">
        <v>3046</v>
      </c>
      <c r="C3300" s="247" t="s">
        <v>975</v>
      </c>
      <c r="D3300" s="317">
        <v>42676</v>
      </c>
      <c r="E3300" s="318">
        <v>5.7777777777777782E-2</v>
      </c>
      <c r="F3300" s="247" t="s">
        <v>976</v>
      </c>
      <c r="G3300" s="247" t="s">
        <v>1521</v>
      </c>
      <c r="H3300" s="248" t="s">
        <v>404</v>
      </c>
      <c r="I3300" s="248" t="s">
        <v>404</v>
      </c>
      <c r="J3300" s="247" t="s">
        <v>809</v>
      </c>
      <c r="K3300" s="249">
        <v>0</v>
      </c>
      <c r="M3300" s="90">
        <v>0</v>
      </c>
      <c r="N3300" s="90">
        <v>0</v>
      </c>
      <c r="O3300" s="90">
        <v>255</v>
      </c>
    </row>
    <row r="3301" spans="1:15" s="90" customFormat="1" ht="12.75" customHeight="1" x14ac:dyDescent="0.2">
      <c r="A3301" s="247" t="s">
        <v>1033</v>
      </c>
      <c r="B3301" s="316">
        <v>3217</v>
      </c>
      <c r="C3301" s="247" t="s">
        <v>975</v>
      </c>
      <c r="D3301" s="317">
        <v>42676</v>
      </c>
      <c r="E3301" s="318">
        <v>5.7777777777777782E-2</v>
      </c>
      <c r="F3301" s="247" t="s">
        <v>235</v>
      </c>
      <c r="G3301" s="247" t="s">
        <v>1521</v>
      </c>
      <c r="H3301" s="248" t="s">
        <v>234</v>
      </c>
      <c r="I3301" s="248" t="s">
        <v>235</v>
      </c>
      <c r="J3301" s="247" t="s">
        <v>809</v>
      </c>
      <c r="K3301" s="249">
        <v>0</v>
      </c>
      <c r="M3301" s="90">
        <v>0</v>
      </c>
      <c r="N3301" s="90">
        <v>0</v>
      </c>
      <c r="O3301" s="90">
        <v>255</v>
      </c>
    </row>
    <row r="3302" spans="1:15" s="90" customFormat="1" ht="12.75" customHeight="1" x14ac:dyDescent="0.2">
      <c r="A3302" s="247" t="s">
        <v>1522</v>
      </c>
      <c r="B3302" s="316">
        <v>3218</v>
      </c>
      <c r="C3302" s="247" t="s">
        <v>979</v>
      </c>
      <c r="D3302" s="317">
        <v>42676</v>
      </c>
      <c r="E3302" s="318">
        <v>9.600694444444445E-2</v>
      </c>
      <c r="F3302" s="247" t="s">
        <v>702</v>
      </c>
      <c r="G3302" s="247" t="s">
        <v>1521</v>
      </c>
      <c r="H3302" s="248"/>
      <c r="I3302" s="248"/>
      <c r="J3302" s="247"/>
      <c r="K3302" s="249"/>
      <c r="M3302" s="90">
        <v>0</v>
      </c>
      <c r="N3302" s="90">
        <v>0</v>
      </c>
      <c r="O3302" s="90">
        <v>255</v>
      </c>
    </row>
    <row r="3303" spans="1:15" s="90" customFormat="1" ht="12.75" customHeight="1" x14ac:dyDescent="0.2">
      <c r="A3303" s="247" t="s">
        <v>1031</v>
      </c>
      <c r="B3303" s="316">
        <v>3046</v>
      </c>
      <c r="C3303" s="247" t="s">
        <v>975</v>
      </c>
      <c r="D3303" s="317">
        <v>42676</v>
      </c>
      <c r="E3303" s="318">
        <v>9.6076388888888878E-2</v>
      </c>
      <c r="F3303" s="247" t="s">
        <v>976</v>
      </c>
      <c r="G3303" s="247" t="s">
        <v>1521</v>
      </c>
      <c r="H3303" s="248" t="s">
        <v>404</v>
      </c>
      <c r="I3303" s="248" t="s">
        <v>404</v>
      </c>
      <c r="J3303" s="247" t="s">
        <v>809</v>
      </c>
      <c r="K3303" s="249">
        <v>0</v>
      </c>
      <c r="M3303" s="90">
        <v>0</v>
      </c>
      <c r="N3303" s="90">
        <v>0</v>
      </c>
      <c r="O3303" s="90">
        <v>255</v>
      </c>
    </row>
    <row r="3304" spans="1:15" s="90" customFormat="1" ht="12.75" customHeight="1" x14ac:dyDescent="0.2">
      <c r="A3304" s="247" t="s">
        <v>1032</v>
      </c>
      <c r="B3304" s="316">
        <v>3046</v>
      </c>
      <c r="C3304" s="247" t="s">
        <v>975</v>
      </c>
      <c r="D3304" s="317">
        <v>42676</v>
      </c>
      <c r="E3304" s="318">
        <v>9.8298611111111114E-2</v>
      </c>
      <c r="F3304" s="247" t="s">
        <v>976</v>
      </c>
      <c r="G3304" s="247" t="s">
        <v>1521</v>
      </c>
      <c r="H3304" s="248" t="s">
        <v>404</v>
      </c>
      <c r="I3304" s="248" t="s">
        <v>404</v>
      </c>
      <c r="J3304" s="247" t="s">
        <v>809</v>
      </c>
      <c r="K3304" s="249">
        <v>0</v>
      </c>
      <c r="M3304" s="90">
        <v>0</v>
      </c>
      <c r="N3304" s="90">
        <v>0</v>
      </c>
      <c r="O3304" s="90">
        <v>255</v>
      </c>
    </row>
    <row r="3305" spans="1:15" s="90" customFormat="1" ht="12.75" customHeight="1" x14ac:dyDescent="0.2">
      <c r="A3305" s="247" t="s">
        <v>989</v>
      </c>
      <c r="B3305" s="316">
        <v>3046</v>
      </c>
      <c r="C3305" s="247" t="s">
        <v>975</v>
      </c>
      <c r="D3305" s="317">
        <v>42676</v>
      </c>
      <c r="E3305" s="318">
        <v>9.8298611111111114E-2</v>
      </c>
      <c r="F3305" s="247" t="s">
        <v>976</v>
      </c>
      <c r="G3305" s="247" t="s">
        <v>1521</v>
      </c>
      <c r="H3305" s="248" t="s">
        <v>404</v>
      </c>
      <c r="I3305" s="248" t="s">
        <v>404</v>
      </c>
      <c r="J3305" s="247" t="s">
        <v>809</v>
      </c>
      <c r="K3305" s="249">
        <v>0</v>
      </c>
      <c r="M3305" s="90">
        <v>0</v>
      </c>
      <c r="N3305" s="90">
        <v>0</v>
      </c>
      <c r="O3305" s="90">
        <v>255</v>
      </c>
    </row>
    <row r="3306" spans="1:15" s="90" customFormat="1" ht="12.75" customHeight="1" x14ac:dyDescent="0.2">
      <c r="A3306" s="247" t="s">
        <v>1033</v>
      </c>
      <c r="B3306" s="316">
        <v>3217</v>
      </c>
      <c r="C3306" s="247" t="s">
        <v>975</v>
      </c>
      <c r="D3306" s="317">
        <v>42676</v>
      </c>
      <c r="E3306" s="318">
        <v>9.8599537037037041E-2</v>
      </c>
      <c r="F3306" s="247" t="s">
        <v>235</v>
      </c>
      <c r="G3306" s="247" t="s">
        <v>1521</v>
      </c>
      <c r="H3306" s="248" t="s">
        <v>234</v>
      </c>
      <c r="I3306" s="248" t="s">
        <v>235</v>
      </c>
      <c r="J3306" s="247" t="s">
        <v>809</v>
      </c>
      <c r="K3306" s="249">
        <v>0</v>
      </c>
      <c r="M3306" s="90">
        <v>0</v>
      </c>
      <c r="N3306" s="90">
        <v>0</v>
      </c>
      <c r="O3306" s="90">
        <v>255</v>
      </c>
    </row>
    <row r="3307" spans="1:15" s="90" customFormat="1" ht="12.75" customHeight="1" x14ac:dyDescent="0.2">
      <c r="A3307" s="247" t="s">
        <v>990</v>
      </c>
      <c r="B3307" s="316">
        <v>3046</v>
      </c>
      <c r="C3307" s="247" t="s">
        <v>975</v>
      </c>
      <c r="D3307" s="317">
        <v>42676</v>
      </c>
      <c r="E3307" s="318">
        <v>9.8611111111111108E-2</v>
      </c>
      <c r="F3307" s="247" t="s">
        <v>976</v>
      </c>
      <c r="G3307" s="247" t="s">
        <v>1521</v>
      </c>
      <c r="H3307" s="248" t="s">
        <v>404</v>
      </c>
      <c r="I3307" s="248" t="s">
        <v>404</v>
      </c>
      <c r="J3307" s="247" t="s">
        <v>809</v>
      </c>
      <c r="K3307" s="249">
        <v>0</v>
      </c>
      <c r="M3307" s="90">
        <v>0</v>
      </c>
      <c r="N3307" s="90">
        <v>0</v>
      </c>
      <c r="O3307" s="90">
        <v>255</v>
      </c>
    </row>
    <row r="3308" spans="1:15" s="90" customFormat="1" ht="12.75" customHeight="1" x14ac:dyDescent="0.2">
      <c r="A3308" s="247" t="s">
        <v>1031</v>
      </c>
      <c r="B3308" s="316">
        <v>3046</v>
      </c>
      <c r="C3308" s="247" t="s">
        <v>975</v>
      </c>
      <c r="D3308" s="317">
        <v>42676</v>
      </c>
      <c r="E3308" s="318">
        <v>0.10697916666666667</v>
      </c>
      <c r="F3308" s="247" t="s">
        <v>976</v>
      </c>
      <c r="G3308" s="247" t="s">
        <v>1521</v>
      </c>
      <c r="H3308" s="248" t="s">
        <v>404</v>
      </c>
      <c r="I3308" s="248" t="s">
        <v>404</v>
      </c>
      <c r="J3308" s="247" t="s">
        <v>809</v>
      </c>
      <c r="K3308" s="249">
        <v>0</v>
      </c>
      <c r="M3308" s="90">
        <v>0</v>
      </c>
      <c r="N3308" s="90">
        <v>0</v>
      </c>
      <c r="O3308" s="90">
        <v>255</v>
      </c>
    </row>
    <row r="3309" spans="1:15" s="90" customFormat="1" ht="12.75" customHeight="1" x14ac:dyDescent="0.2">
      <c r="A3309" s="247" t="s">
        <v>1032</v>
      </c>
      <c r="B3309" s="316">
        <v>3046</v>
      </c>
      <c r="C3309" s="247" t="s">
        <v>975</v>
      </c>
      <c r="D3309" s="317">
        <v>42676</v>
      </c>
      <c r="E3309" s="318">
        <v>0.1146875</v>
      </c>
      <c r="F3309" s="247" t="s">
        <v>976</v>
      </c>
      <c r="G3309" s="247" t="s">
        <v>1521</v>
      </c>
      <c r="H3309" s="248" t="s">
        <v>404</v>
      </c>
      <c r="I3309" s="248" t="s">
        <v>404</v>
      </c>
      <c r="J3309" s="247" t="s">
        <v>809</v>
      </c>
      <c r="K3309" s="249">
        <v>0</v>
      </c>
      <c r="M3309" s="90">
        <v>0</v>
      </c>
      <c r="N3309" s="90">
        <v>0</v>
      </c>
      <c r="O3309" s="90">
        <v>255</v>
      </c>
    </row>
    <row r="3310" spans="1:15" s="90" customFormat="1" ht="12.75" customHeight="1" x14ac:dyDescent="0.2">
      <c r="A3310" s="247" t="s">
        <v>989</v>
      </c>
      <c r="B3310" s="316">
        <v>3046</v>
      </c>
      <c r="C3310" s="247" t="s">
        <v>975</v>
      </c>
      <c r="D3310" s="317">
        <v>42676</v>
      </c>
      <c r="E3310" s="318">
        <v>0.1146875</v>
      </c>
      <c r="F3310" s="247" t="s">
        <v>976</v>
      </c>
      <c r="G3310" s="247" t="s">
        <v>1521</v>
      </c>
      <c r="H3310" s="248" t="s">
        <v>404</v>
      </c>
      <c r="I3310" s="248" t="s">
        <v>404</v>
      </c>
      <c r="J3310" s="247" t="s">
        <v>809</v>
      </c>
      <c r="K3310" s="249">
        <v>0</v>
      </c>
      <c r="M3310" s="90">
        <v>0</v>
      </c>
      <c r="N3310" s="90">
        <v>0</v>
      </c>
      <c r="O3310" s="90">
        <v>255</v>
      </c>
    </row>
    <row r="3311" spans="1:15" s="90" customFormat="1" ht="12.75" customHeight="1" x14ac:dyDescent="0.2">
      <c r="A3311" s="247" t="s">
        <v>990</v>
      </c>
      <c r="B3311" s="316">
        <v>3046</v>
      </c>
      <c r="C3311" s="247" t="s">
        <v>975</v>
      </c>
      <c r="D3311" s="317">
        <v>42676</v>
      </c>
      <c r="E3311" s="318">
        <v>0.11497685185185186</v>
      </c>
      <c r="F3311" s="247" t="s">
        <v>976</v>
      </c>
      <c r="G3311" s="247" t="s">
        <v>1521</v>
      </c>
      <c r="H3311" s="248" t="s">
        <v>404</v>
      </c>
      <c r="I3311" s="248" t="s">
        <v>404</v>
      </c>
      <c r="J3311" s="247" t="s">
        <v>809</v>
      </c>
      <c r="K3311" s="249">
        <v>0</v>
      </c>
      <c r="M3311" s="90">
        <v>0</v>
      </c>
      <c r="N3311" s="90">
        <v>0</v>
      </c>
      <c r="O3311" s="90">
        <v>255</v>
      </c>
    </row>
    <row r="3312" spans="1:15" s="90" customFormat="1" ht="12.75" customHeight="1" x14ac:dyDescent="0.2">
      <c r="A3312" s="247" t="s">
        <v>1033</v>
      </c>
      <c r="B3312" s="316">
        <v>3217</v>
      </c>
      <c r="C3312" s="247" t="s">
        <v>975</v>
      </c>
      <c r="D3312" s="317">
        <v>42676</v>
      </c>
      <c r="E3312" s="318">
        <v>0.11497685185185186</v>
      </c>
      <c r="F3312" s="247" t="s">
        <v>235</v>
      </c>
      <c r="G3312" s="247" t="s">
        <v>1521</v>
      </c>
      <c r="H3312" s="248" t="s">
        <v>234</v>
      </c>
      <c r="I3312" s="248" t="s">
        <v>235</v>
      </c>
      <c r="J3312" s="247" t="s">
        <v>809</v>
      </c>
      <c r="K3312" s="249">
        <v>0</v>
      </c>
      <c r="M3312" s="90">
        <v>0</v>
      </c>
      <c r="N3312" s="90">
        <v>0</v>
      </c>
      <c r="O3312" s="90">
        <v>255</v>
      </c>
    </row>
    <row r="3313" spans="1:15" s="90" customFormat="1" ht="12.75" customHeight="1" x14ac:dyDescent="0.2">
      <c r="A3313" s="247" t="s">
        <v>1168</v>
      </c>
      <c r="B3313" s="316">
        <v>3218</v>
      </c>
      <c r="C3313" s="247" t="s">
        <v>979</v>
      </c>
      <c r="D3313" s="317">
        <v>42676</v>
      </c>
      <c r="E3313" s="318">
        <v>0.12027777777777778</v>
      </c>
      <c r="F3313" s="247" t="s">
        <v>702</v>
      </c>
      <c r="G3313" s="247" t="s">
        <v>1521</v>
      </c>
      <c r="H3313" s="248"/>
      <c r="I3313" s="248"/>
      <c r="J3313" s="247"/>
      <c r="K3313" s="249"/>
      <c r="M3313" s="90">
        <v>0</v>
      </c>
      <c r="N3313" s="90">
        <v>0</v>
      </c>
      <c r="O3313" s="90">
        <v>255</v>
      </c>
    </row>
    <row r="3314" spans="1:15" s="90" customFormat="1" ht="12.75" customHeight="1" x14ac:dyDescent="0.2">
      <c r="A3314" s="247" t="s">
        <v>1031</v>
      </c>
      <c r="B3314" s="316">
        <v>3046</v>
      </c>
      <c r="C3314" s="247" t="s">
        <v>975</v>
      </c>
      <c r="D3314" s="317">
        <v>42676</v>
      </c>
      <c r="E3314" s="318">
        <v>0.12033564814814814</v>
      </c>
      <c r="F3314" s="247" t="s">
        <v>976</v>
      </c>
      <c r="G3314" s="247" t="s">
        <v>1521</v>
      </c>
      <c r="H3314" s="248" t="s">
        <v>404</v>
      </c>
      <c r="I3314" s="248" t="s">
        <v>404</v>
      </c>
      <c r="J3314" s="247" t="s">
        <v>809</v>
      </c>
      <c r="K3314" s="249">
        <v>0</v>
      </c>
      <c r="M3314" s="90">
        <v>0</v>
      </c>
      <c r="N3314" s="90">
        <v>0</v>
      </c>
      <c r="O3314" s="90">
        <v>255</v>
      </c>
    </row>
    <row r="3315" spans="1:15" s="90" customFormat="1" ht="12.75" customHeight="1" x14ac:dyDescent="0.2">
      <c r="A3315" s="247" t="s">
        <v>1032</v>
      </c>
      <c r="B3315" s="316">
        <v>3046</v>
      </c>
      <c r="C3315" s="247" t="s">
        <v>975</v>
      </c>
      <c r="D3315" s="317">
        <v>42676</v>
      </c>
      <c r="E3315" s="318">
        <v>0.12233796296296295</v>
      </c>
      <c r="F3315" s="247" t="s">
        <v>976</v>
      </c>
      <c r="G3315" s="247" t="s">
        <v>1521</v>
      </c>
      <c r="H3315" s="248" t="s">
        <v>404</v>
      </c>
      <c r="I3315" s="248" t="s">
        <v>404</v>
      </c>
      <c r="J3315" s="247" t="s">
        <v>809</v>
      </c>
      <c r="K3315" s="249">
        <v>0</v>
      </c>
      <c r="M3315" s="90">
        <v>0</v>
      </c>
      <c r="N3315" s="90">
        <v>0</v>
      </c>
      <c r="O3315" s="90">
        <v>255</v>
      </c>
    </row>
    <row r="3316" spans="1:15" s="90" customFormat="1" ht="12.75" customHeight="1" x14ac:dyDescent="0.2">
      <c r="A3316" s="247" t="s">
        <v>989</v>
      </c>
      <c r="B3316" s="316">
        <v>3046</v>
      </c>
      <c r="C3316" s="247" t="s">
        <v>975</v>
      </c>
      <c r="D3316" s="317">
        <v>42676</v>
      </c>
      <c r="E3316" s="318">
        <v>0.12233796296296295</v>
      </c>
      <c r="F3316" s="247" t="s">
        <v>976</v>
      </c>
      <c r="G3316" s="247" t="s">
        <v>1521</v>
      </c>
      <c r="H3316" s="248" t="s">
        <v>404</v>
      </c>
      <c r="I3316" s="248" t="s">
        <v>404</v>
      </c>
      <c r="J3316" s="247" t="s">
        <v>809</v>
      </c>
      <c r="K3316" s="249">
        <v>0</v>
      </c>
      <c r="M3316" s="90">
        <v>0</v>
      </c>
      <c r="N3316" s="90">
        <v>0</v>
      </c>
      <c r="O3316" s="90">
        <v>255</v>
      </c>
    </row>
    <row r="3317" spans="1:15" s="90" customFormat="1" ht="12.75" customHeight="1" x14ac:dyDescent="0.2">
      <c r="A3317" s="247" t="s">
        <v>1033</v>
      </c>
      <c r="B3317" s="316">
        <v>3217</v>
      </c>
      <c r="C3317" s="247" t="s">
        <v>975</v>
      </c>
      <c r="D3317" s="317">
        <v>42676</v>
      </c>
      <c r="E3317" s="318">
        <v>0.12262731481481481</v>
      </c>
      <c r="F3317" s="247" t="s">
        <v>235</v>
      </c>
      <c r="G3317" s="247" t="s">
        <v>1521</v>
      </c>
      <c r="H3317" s="248" t="s">
        <v>234</v>
      </c>
      <c r="I3317" s="248" t="s">
        <v>235</v>
      </c>
      <c r="J3317" s="247" t="s">
        <v>809</v>
      </c>
      <c r="K3317" s="249">
        <v>0</v>
      </c>
      <c r="M3317" s="90">
        <v>0</v>
      </c>
      <c r="N3317" s="90">
        <v>0</v>
      </c>
      <c r="O3317" s="90">
        <v>255</v>
      </c>
    </row>
    <row r="3318" spans="1:15" s="90" customFormat="1" ht="12.75" customHeight="1" x14ac:dyDescent="0.2">
      <c r="A3318" s="247" t="s">
        <v>990</v>
      </c>
      <c r="B3318" s="316">
        <v>3046</v>
      </c>
      <c r="C3318" s="247" t="s">
        <v>975</v>
      </c>
      <c r="D3318" s="317">
        <v>42676</v>
      </c>
      <c r="E3318" s="318">
        <v>0.12263888888888889</v>
      </c>
      <c r="F3318" s="247" t="s">
        <v>976</v>
      </c>
      <c r="G3318" s="247" t="s">
        <v>1521</v>
      </c>
      <c r="H3318" s="248" t="s">
        <v>404</v>
      </c>
      <c r="I3318" s="248" t="s">
        <v>404</v>
      </c>
      <c r="J3318" s="247" t="s">
        <v>809</v>
      </c>
      <c r="K3318" s="249">
        <v>0</v>
      </c>
      <c r="M3318" s="90">
        <v>0</v>
      </c>
      <c r="N3318" s="90">
        <v>0</v>
      </c>
      <c r="O3318" s="90">
        <v>255</v>
      </c>
    </row>
    <row r="3319" spans="1:15" s="90" customFormat="1" ht="12.75" customHeight="1" x14ac:dyDescent="0.2">
      <c r="A3319" s="247" t="s">
        <v>1031</v>
      </c>
      <c r="B3319" s="316">
        <v>3046</v>
      </c>
      <c r="C3319" s="247" t="s">
        <v>975</v>
      </c>
      <c r="D3319" s="317">
        <v>42676</v>
      </c>
      <c r="E3319" s="318">
        <v>0.12730324074074076</v>
      </c>
      <c r="F3319" s="247" t="s">
        <v>976</v>
      </c>
      <c r="G3319" s="247" t="s">
        <v>1521</v>
      </c>
      <c r="H3319" s="248" t="s">
        <v>404</v>
      </c>
      <c r="I3319" s="248" t="s">
        <v>404</v>
      </c>
      <c r="J3319" s="247" t="s">
        <v>809</v>
      </c>
      <c r="K3319" s="249">
        <v>0</v>
      </c>
      <c r="M3319" s="90">
        <v>0</v>
      </c>
      <c r="N3319" s="90">
        <v>0</v>
      </c>
      <c r="O3319" s="90">
        <v>255</v>
      </c>
    </row>
    <row r="3320" spans="1:15" s="90" customFormat="1" ht="12.75" customHeight="1" x14ac:dyDescent="0.2">
      <c r="A3320" s="247" t="s">
        <v>1032</v>
      </c>
      <c r="B3320" s="316">
        <v>3046</v>
      </c>
      <c r="C3320" s="247" t="s">
        <v>975</v>
      </c>
      <c r="D3320" s="317">
        <v>42676</v>
      </c>
      <c r="E3320" s="318">
        <v>0.13244212962962962</v>
      </c>
      <c r="F3320" s="247" t="s">
        <v>976</v>
      </c>
      <c r="G3320" s="247" t="s">
        <v>1521</v>
      </c>
      <c r="H3320" s="248" t="s">
        <v>404</v>
      </c>
      <c r="I3320" s="248" t="s">
        <v>404</v>
      </c>
      <c r="J3320" s="247" t="s">
        <v>809</v>
      </c>
      <c r="K3320" s="249">
        <v>0</v>
      </c>
      <c r="M3320" s="90">
        <v>0</v>
      </c>
      <c r="N3320" s="90">
        <v>0</v>
      </c>
      <c r="O3320" s="90">
        <v>255</v>
      </c>
    </row>
    <row r="3321" spans="1:15" s="90" customFormat="1" ht="12.75" customHeight="1" x14ac:dyDescent="0.2">
      <c r="A3321" s="247" t="s">
        <v>989</v>
      </c>
      <c r="B3321" s="316">
        <v>3046</v>
      </c>
      <c r="C3321" s="247" t="s">
        <v>975</v>
      </c>
      <c r="D3321" s="317">
        <v>42676</v>
      </c>
      <c r="E3321" s="318">
        <v>0.13244212962962962</v>
      </c>
      <c r="F3321" s="247" t="s">
        <v>976</v>
      </c>
      <c r="G3321" s="247" t="s">
        <v>1521</v>
      </c>
      <c r="H3321" s="248" t="s">
        <v>404</v>
      </c>
      <c r="I3321" s="248" t="s">
        <v>404</v>
      </c>
      <c r="J3321" s="247" t="s">
        <v>809</v>
      </c>
      <c r="K3321" s="249">
        <v>0</v>
      </c>
      <c r="M3321" s="90">
        <v>0</v>
      </c>
      <c r="N3321" s="90">
        <v>0</v>
      </c>
      <c r="O3321" s="90">
        <v>255</v>
      </c>
    </row>
    <row r="3322" spans="1:15" s="90" customFormat="1" ht="12.75" customHeight="1" x14ac:dyDescent="0.2">
      <c r="A3322" s="247" t="s">
        <v>990</v>
      </c>
      <c r="B3322" s="316">
        <v>3046</v>
      </c>
      <c r="C3322" s="247" t="s">
        <v>975</v>
      </c>
      <c r="D3322" s="317">
        <v>42676</v>
      </c>
      <c r="E3322" s="318">
        <v>0.13273148148148148</v>
      </c>
      <c r="F3322" s="247" t="s">
        <v>976</v>
      </c>
      <c r="G3322" s="247" t="s">
        <v>1521</v>
      </c>
      <c r="H3322" s="248" t="s">
        <v>404</v>
      </c>
      <c r="I3322" s="248" t="s">
        <v>404</v>
      </c>
      <c r="J3322" s="247" t="s">
        <v>809</v>
      </c>
      <c r="K3322" s="249">
        <v>0</v>
      </c>
      <c r="M3322" s="90">
        <v>0</v>
      </c>
      <c r="N3322" s="90">
        <v>0</v>
      </c>
      <c r="O3322" s="90">
        <v>255</v>
      </c>
    </row>
    <row r="3323" spans="1:15" s="90" customFormat="1" ht="12.75" customHeight="1" x14ac:dyDescent="0.2">
      <c r="A3323" s="247" t="s">
        <v>1033</v>
      </c>
      <c r="B3323" s="316">
        <v>3217</v>
      </c>
      <c r="C3323" s="247" t="s">
        <v>975</v>
      </c>
      <c r="D3323" s="317">
        <v>42676</v>
      </c>
      <c r="E3323" s="318">
        <v>0.13273148148148148</v>
      </c>
      <c r="F3323" s="247" t="s">
        <v>235</v>
      </c>
      <c r="G3323" s="247" t="s">
        <v>1521</v>
      </c>
      <c r="H3323" s="248" t="s">
        <v>234</v>
      </c>
      <c r="I3323" s="248" t="s">
        <v>235</v>
      </c>
      <c r="J3323" s="247" t="s">
        <v>809</v>
      </c>
      <c r="K3323" s="249">
        <v>0</v>
      </c>
      <c r="M3323" s="90">
        <v>0</v>
      </c>
      <c r="N3323" s="90">
        <v>0</v>
      </c>
      <c r="O3323" s="90">
        <v>255</v>
      </c>
    </row>
    <row r="3324" spans="1:15" s="90" customFormat="1" ht="12.75" customHeight="1" x14ac:dyDescent="0.2">
      <c r="A3324" s="247" t="s">
        <v>1031</v>
      </c>
      <c r="B3324" s="316">
        <v>3046</v>
      </c>
      <c r="C3324" s="247" t="s">
        <v>975</v>
      </c>
      <c r="D3324" s="317">
        <v>42676</v>
      </c>
      <c r="E3324" s="318">
        <v>0.13957175925925927</v>
      </c>
      <c r="F3324" s="247" t="s">
        <v>976</v>
      </c>
      <c r="G3324" s="247" t="s">
        <v>1521</v>
      </c>
      <c r="H3324" s="248" t="s">
        <v>404</v>
      </c>
      <c r="I3324" s="248" t="s">
        <v>404</v>
      </c>
      <c r="J3324" s="247" t="s">
        <v>809</v>
      </c>
      <c r="K3324" s="249">
        <v>0</v>
      </c>
      <c r="M3324" s="90">
        <v>0</v>
      </c>
      <c r="N3324" s="90">
        <v>0</v>
      </c>
      <c r="O3324" s="90">
        <v>255</v>
      </c>
    </row>
    <row r="3325" spans="1:15" s="90" customFormat="1" ht="12.75" customHeight="1" x14ac:dyDescent="0.2">
      <c r="A3325" s="247" t="s">
        <v>611</v>
      </c>
      <c r="B3325" s="316">
        <v>4030</v>
      </c>
      <c r="C3325" s="247" t="s">
        <v>996</v>
      </c>
      <c r="D3325" s="317">
        <v>42676</v>
      </c>
      <c r="E3325" s="318">
        <v>0.14108796296296297</v>
      </c>
      <c r="F3325" s="247" t="s">
        <v>702</v>
      </c>
      <c r="G3325" s="247" t="s">
        <v>1521</v>
      </c>
      <c r="H3325" s="248" t="s">
        <v>4</v>
      </c>
      <c r="I3325" s="248" t="s">
        <v>14</v>
      </c>
      <c r="J3325" s="247" t="s">
        <v>809</v>
      </c>
      <c r="K3325" s="249">
        <v>0</v>
      </c>
      <c r="L3325" s="90" t="s">
        <v>1780</v>
      </c>
      <c r="M3325" s="90">
        <v>327</v>
      </c>
      <c r="N3325" s="90">
        <v>-1</v>
      </c>
      <c r="O3325" s="90">
        <v>0</v>
      </c>
    </row>
    <row r="3326" spans="1:15" s="90" customFormat="1" ht="12.75" customHeight="1" x14ac:dyDescent="0.2">
      <c r="A3326" s="247" t="s">
        <v>1378</v>
      </c>
      <c r="B3326" s="316">
        <v>3001</v>
      </c>
      <c r="C3326" s="247" t="s">
        <v>996</v>
      </c>
      <c r="D3326" s="317">
        <v>42676</v>
      </c>
      <c r="E3326" s="318">
        <v>0.14311342592592594</v>
      </c>
      <c r="F3326" s="247" t="s">
        <v>702</v>
      </c>
      <c r="G3326" s="247" t="s">
        <v>1521</v>
      </c>
      <c r="H3326" s="248" t="s">
        <v>121</v>
      </c>
      <c r="I3326" s="248" t="s">
        <v>122</v>
      </c>
      <c r="J3326" s="247" t="s">
        <v>809</v>
      </c>
      <c r="K3326" s="249">
        <v>0</v>
      </c>
      <c r="M3326" s="90">
        <v>0</v>
      </c>
      <c r="N3326" s="90">
        <v>0</v>
      </c>
      <c r="O3326" s="90">
        <v>255</v>
      </c>
    </row>
    <row r="3327" spans="1:15" s="90" customFormat="1" ht="12.75" customHeight="1" x14ac:dyDescent="0.2">
      <c r="A3327" s="247" t="s">
        <v>615</v>
      </c>
      <c r="B3327" s="316">
        <v>4040</v>
      </c>
      <c r="C3327" s="247" t="s">
        <v>996</v>
      </c>
      <c r="D3327" s="317">
        <v>42676</v>
      </c>
      <c r="E3327" s="318">
        <v>0.14462962962962964</v>
      </c>
      <c r="F3327" s="247" t="s">
        <v>702</v>
      </c>
      <c r="G3327" s="247" t="s">
        <v>1521</v>
      </c>
      <c r="H3327" s="248" t="s">
        <v>860</v>
      </c>
      <c r="I3327" s="248" t="s">
        <v>30</v>
      </c>
      <c r="J3327" s="247" t="s">
        <v>809</v>
      </c>
      <c r="K3327" s="249">
        <v>0</v>
      </c>
      <c r="L3327" s="90" t="s">
        <v>1778</v>
      </c>
      <c r="M3327" s="90">
        <v>319</v>
      </c>
      <c r="N3327" s="90">
        <v>1</v>
      </c>
      <c r="O3327" s="90">
        <v>0</v>
      </c>
    </row>
    <row r="3328" spans="1:15" s="90" customFormat="1" ht="12.75" customHeight="1" x14ac:dyDescent="0.2">
      <c r="A3328" s="247" t="s">
        <v>1032</v>
      </c>
      <c r="B3328" s="316">
        <v>3046</v>
      </c>
      <c r="C3328" s="247" t="s">
        <v>975</v>
      </c>
      <c r="D3328" s="317">
        <v>42676</v>
      </c>
      <c r="E3328" s="318">
        <v>0.1471412037037037</v>
      </c>
      <c r="F3328" s="247" t="s">
        <v>976</v>
      </c>
      <c r="G3328" s="247" t="s">
        <v>1521</v>
      </c>
      <c r="H3328" s="248" t="s">
        <v>404</v>
      </c>
      <c r="I3328" s="248" t="s">
        <v>404</v>
      </c>
      <c r="J3328" s="247" t="s">
        <v>809</v>
      </c>
      <c r="K3328" s="249">
        <v>0</v>
      </c>
      <c r="M3328" s="90">
        <v>0</v>
      </c>
      <c r="N3328" s="90">
        <v>0</v>
      </c>
      <c r="O3328" s="90">
        <v>255</v>
      </c>
    </row>
    <row r="3329" spans="1:15" s="90" customFormat="1" ht="12.75" customHeight="1" x14ac:dyDescent="0.2">
      <c r="A3329" s="247" t="s">
        <v>989</v>
      </c>
      <c r="B3329" s="316">
        <v>3046</v>
      </c>
      <c r="C3329" s="247" t="s">
        <v>975</v>
      </c>
      <c r="D3329" s="317">
        <v>42676</v>
      </c>
      <c r="E3329" s="318">
        <v>0.1471412037037037</v>
      </c>
      <c r="F3329" s="247" t="s">
        <v>976</v>
      </c>
      <c r="G3329" s="247" t="s">
        <v>1521</v>
      </c>
      <c r="H3329" s="248" t="s">
        <v>404</v>
      </c>
      <c r="I3329" s="248" t="s">
        <v>404</v>
      </c>
      <c r="J3329" s="247" t="s">
        <v>809</v>
      </c>
      <c r="K3329" s="249">
        <v>0</v>
      </c>
      <c r="M3329" s="90">
        <v>0</v>
      </c>
      <c r="N3329" s="90">
        <v>0</v>
      </c>
      <c r="O3329" s="90">
        <v>255</v>
      </c>
    </row>
    <row r="3330" spans="1:15" s="90" customFormat="1" ht="12.75" customHeight="1" x14ac:dyDescent="0.2">
      <c r="A3330" s="247" t="s">
        <v>990</v>
      </c>
      <c r="B3330" s="316">
        <v>3046</v>
      </c>
      <c r="C3330" s="247" t="s">
        <v>975</v>
      </c>
      <c r="D3330" s="317">
        <v>42676</v>
      </c>
      <c r="E3330" s="318">
        <v>0.14743055555555554</v>
      </c>
      <c r="F3330" s="247" t="s">
        <v>976</v>
      </c>
      <c r="G3330" s="247" t="s">
        <v>1521</v>
      </c>
      <c r="H3330" s="248" t="s">
        <v>404</v>
      </c>
      <c r="I3330" s="248" t="s">
        <v>404</v>
      </c>
      <c r="J3330" s="247" t="s">
        <v>809</v>
      </c>
      <c r="K3330" s="249">
        <v>0</v>
      </c>
      <c r="M3330" s="90">
        <v>0</v>
      </c>
      <c r="N3330" s="90">
        <v>0</v>
      </c>
      <c r="O3330" s="90">
        <v>255</v>
      </c>
    </row>
    <row r="3331" spans="1:15" s="90" customFormat="1" ht="12.75" customHeight="1" x14ac:dyDescent="0.2">
      <c r="A3331" s="247" t="s">
        <v>1033</v>
      </c>
      <c r="B3331" s="316">
        <v>3217</v>
      </c>
      <c r="C3331" s="247" t="s">
        <v>975</v>
      </c>
      <c r="D3331" s="317">
        <v>42676</v>
      </c>
      <c r="E3331" s="318">
        <v>0.14743055555555554</v>
      </c>
      <c r="F3331" s="247" t="s">
        <v>235</v>
      </c>
      <c r="G3331" s="247" t="s">
        <v>1521</v>
      </c>
      <c r="H3331" s="248" t="s">
        <v>234</v>
      </c>
      <c r="I3331" s="248" t="s">
        <v>235</v>
      </c>
      <c r="J3331" s="247" t="s">
        <v>809</v>
      </c>
      <c r="K3331" s="249">
        <v>0</v>
      </c>
      <c r="M3331" s="90">
        <v>0</v>
      </c>
      <c r="N3331" s="90">
        <v>0</v>
      </c>
      <c r="O3331" s="90">
        <v>255</v>
      </c>
    </row>
    <row r="3332" spans="1:15" s="90" customFormat="1" ht="12.75" customHeight="1" x14ac:dyDescent="0.2">
      <c r="A3332" s="247" t="s">
        <v>1031</v>
      </c>
      <c r="B3332" s="316">
        <v>3046</v>
      </c>
      <c r="C3332" s="247" t="s">
        <v>975</v>
      </c>
      <c r="D3332" s="317">
        <v>42676</v>
      </c>
      <c r="E3332" s="318">
        <v>0.16184027777777779</v>
      </c>
      <c r="F3332" s="247" t="s">
        <v>976</v>
      </c>
      <c r="G3332" s="247" t="s">
        <v>1521</v>
      </c>
      <c r="H3332" s="248" t="s">
        <v>404</v>
      </c>
      <c r="I3332" s="248" t="s">
        <v>404</v>
      </c>
      <c r="J3332" s="247" t="s">
        <v>809</v>
      </c>
      <c r="K3332" s="249">
        <v>0</v>
      </c>
      <c r="M3332" s="90">
        <v>0</v>
      </c>
      <c r="N3332" s="90">
        <v>0</v>
      </c>
      <c r="O3332" s="90">
        <v>255</v>
      </c>
    </row>
    <row r="3333" spans="1:15" s="90" customFormat="1" ht="12.75" customHeight="1" x14ac:dyDescent="0.2">
      <c r="A3333" s="247" t="s">
        <v>1032</v>
      </c>
      <c r="B3333" s="316">
        <v>3046</v>
      </c>
      <c r="C3333" s="247" t="s">
        <v>975</v>
      </c>
      <c r="D3333" s="317">
        <v>42676</v>
      </c>
      <c r="E3333" s="318">
        <v>0.16438657407407406</v>
      </c>
      <c r="F3333" s="247" t="s">
        <v>976</v>
      </c>
      <c r="G3333" s="247" t="s">
        <v>1521</v>
      </c>
      <c r="H3333" s="248" t="s">
        <v>404</v>
      </c>
      <c r="I3333" s="248" t="s">
        <v>404</v>
      </c>
      <c r="J3333" s="247" t="s">
        <v>809</v>
      </c>
      <c r="K3333" s="249">
        <v>0</v>
      </c>
      <c r="M3333" s="90">
        <v>0</v>
      </c>
      <c r="N3333" s="90">
        <v>0</v>
      </c>
      <c r="O3333" s="90">
        <v>255</v>
      </c>
    </row>
    <row r="3334" spans="1:15" s="90" customFormat="1" ht="12.75" customHeight="1" x14ac:dyDescent="0.2">
      <c r="A3334" s="247" t="s">
        <v>989</v>
      </c>
      <c r="B3334" s="316">
        <v>3046</v>
      </c>
      <c r="C3334" s="247" t="s">
        <v>975</v>
      </c>
      <c r="D3334" s="317">
        <v>42676</v>
      </c>
      <c r="E3334" s="318">
        <v>0.16438657407407406</v>
      </c>
      <c r="F3334" s="247" t="s">
        <v>976</v>
      </c>
      <c r="G3334" s="247" t="s">
        <v>1521</v>
      </c>
      <c r="H3334" s="248" t="s">
        <v>404</v>
      </c>
      <c r="I3334" s="248" t="s">
        <v>404</v>
      </c>
      <c r="J3334" s="247" t="s">
        <v>809</v>
      </c>
      <c r="K3334" s="249">
        <v>0</v>
      </c>
      <c r="M3334" s="90">
        <v>0</v>
      </c>
      <c r="N3334" s="90">
        <v>0</v>
      </c>
      <c r="O3334" s="90">
        <v>255</v>
      </c>
    </row>
    <row r="3335" spans="1:15" s="90" customFormat="1" ht="12.75" customHeight="1" x14ac:dyDescent="0.2">
      <c r="A3335" s="247" t="s">
        <v>990</v>
      </c>
      <c r="B3335" s="316">
        <v>3046</v>
      </c>
      <c r="C3335" s="247" t="s">
        <v>975</v>
      </c>
      <c r="D3335" s="317">
        <v>42676</v>
      </c>
      <c r="E3335" s="318">
        <v>0.16469907407407405</v>
      </c>
      <c r="F3335" s="247" t="s">
        <v>976</v>
      </c>
      <c r="G3335" s="247" t="s">
        <v>1521</v>
      </c>
      <c r="H3335" s="248" t="s">
        <v>404</v>
      </c>
      <c r="I3335" s="248" t="s">
        <v>404</v>
      </c>
      <c r="J3335" s="247" t="s">
        <v>809</v>
      </c>
      <c r="K3335" s="249">
        <v>0</v>
      </c>
      <c r="M3335" s="90">
        <v>0</v>
      </c>
      <c r="N3335" s="90">
        <v>0</v>
      </c>
      <c r="O3335" s="90">
        <v>255</v>
      </c>
    </row>
    <row r="3336" spans="1:15" s="90" customFormat="1" ht="12.75" customHeight="1" x14ac:dyDescent="0.2">
      <c r="A3336" s="247" t="s">
        <v>1033</v>
      </c>
      <c r="B3336" s="316">
        <v>3217</v>
      </c>
      <c r="C3336" s="247" t="s">
        <v>975</v>
      </c>
      <c r="D3336" s="317">
        <v>42676</v>
      </c>
      <c r="E3336" s="318">
        <v>0.16469907407407405</v>
      </c>
      <c r="F3336" s="247" t="s">
        <v>235</v>
      </c>
      <c r="G3336" s="247" t="s">
        <v>1521</v>
      </c>
      <c r="H3336" s="248" t="s">
        <v>234</v>
      </c>
      <c r="I3336" s="248" t="s">
        <v>235</v>
      </c>
      <c r="J3336" s="247" t="s">
        <v>809</v>
      </c>
      <c r="K3336" s="249">
        <v>0</v>
      </c>
      <c r="M3336" s="90">
        <v>0</v>
      </c>
      <c r="N3336" s="90">
        <v>0</v>
      </c>
      <c r="O3336" s="90">
        <v>255</v>
      </c>
    </row>
    <row r="3337" spans="1:15" s="90" customFormat="1" ht="12.75" customHeight="1" x14ac:dyDescent="0.2">
      <c r="A3337" s="247" t="s">
        <v>1031</v>
      </c>
      <c r="B3337" s="316">
        <v>3046</v>
      </c>
      <c r="C3337" s="247" t="s">
        <v>975</v>
      </c>
      <c r="D3337" s="317">
        <v>42676</v>
      </c>
      <c r="E3337" s="318">
        <v>0.17079861111111114</v>
      </c>
      <c r="F3337" s="247" t="s">
        <v>976</v>
      </c>
      <c r="G3337" s="247" t="s">
        <v>1521</v>
      </c>
      <c r="H3337" s="248" t="s">
        <v>404</v>
      </c>
      <c r="I3337" s="248" t="s">
        <v>404</v>
      </c>
      <c r="J3337" s="247" t="s">
        <v>809</v>
      </c>
      <c r="K3337" s="249">
        <v>0</v>
      </c>
      <c r="M3337" s="90">
        <v>0</v>
      </c>
      <c r="N3337" s="90">
        <v>0</v>
      </c>
      <c r="O3337" s="90">
        <v>255</v>
      </c>
    </row>
    <row r="3338" spans="1:15" s="90" customFormat="1" ht="12.75" customHeight="1" x14ac:dyDescent="0.2">
      <c r="A3338" s="247" t="s">
        <v>1032</v>
      </c>
      <c r="B3338" s="316">
        <v>3046</v>
      </c>
      <c r="C3338" s="247" t="s">
        <v>975</v>
      </c>
      <c r="D3338" s="317">
        <v>42676</v>
      </c>
      <c r="E3338" s="318">
        <v>0.1761574074074074</v>
      </c>
      <c r="F3338" s="247" t="s">
        <v>976</v>
      </c>
      <c r="G3338" s="247" t="s">
        <v>1521</v>
      </c>
      <c r="H3338" s="248" t="s">
        <v>404</v>
      </c>
      <c r="I3338" s="248" t="s">
        <v>404</v>
      </c>
      <c r="J3338" s="247" t="s">
        <v>809</v>
      </c>
      <c r="K3338" s="249">
        <v>0</v>
      </c>
      <c r="M3338" s="90">
        <v>0</v>
      </c>
      <c r="N3338" s="90">
        <v>0</v>
      </c>
      <c r="O3338" s="90">
        <v>255</v>
      </c>
    </row>
    <row r="3339" spans="1:15" s="90" customFormat="1" ht="12.75" customHeight="1" x14ac:dyDescent="0.2">
      <c r="A3339" s="247" t="s">
        <v>989</v>
      </c>
      <c r="B3339" s="316">
        <v>3046</v>
      </c>
      <c r="C3339" s="247" t="s">
        <v>975</v>
      </c>
      <c r="D3339" s="317">
        <v>42676</v>
      </c>
      <c r="E3339" s="318">
        <v>0.1761689814814815</v>
      </c>
      <c r="F3339" s="247" t="s">
        <v>976</v>
      </c>
      <c r="G3339" s="247" t="s">
        <v>1521</v>
      </c>
      <c r="H3339" s="248" t="s">
        <v>404</v>
      </c>
      <c r="I3339" s="248" t="s">
        <v>404</v>
      </c>
      <c r="J3339" s="247" t="s">
        <v>809</v>
      </c>
      <c r="K3339" s="249">
        <v>0</v>
      </c>
      <c r="M3339" s="90">
        <v>0</v>
      </c>
      <c r="N3339" s="90">
        <v>0</v>
      </c>
      <c r="O3339" s="90">
        <v>255</v>
      </c>
    </row>
    <row r="3340" spans="1:15" s="90" customFormat="1" ht="12.75" customHeight="1" x14ac:dyDescent="0.2">
      <c r="A3340" s="247" t="s">
        <v>990</v>
      </c>
      <c r="B3340" s="316">
        <v>3046</v>
      </c>
      <c r="C3340" s="247" t="s">
        <v>975</v>
      </c>
      <c r="D3340" s="317">
        <v>42676</v>
      </c>
      <c r="E3340" s="318">
        <v>0.17651620370370369</v>
      </c>
      <c r="F3340" s="247" t="s">
        <v>976</v>
      </c>
      <c r="G3340" s="247" t="s">
        <v>1521</v>
      </c>
      <c r="H3340" s="248" t="s">
        <v>404</v>
      </c>
      <c r="I3340" s="248" t="s">
        <v>404</v>
      </c>
      <c r="J3340" s="247" t="s">
        <v>809</v>
      </c>
      <c r="K3340" s="249">
        <v>0</v>
      </c>
      <c r="M3340" s="90">
        <v>0</v>
      </c>
      <c r="N3340" s="90">
        <v>0</v>
      </c>
      <c r="O3340" s="90">
        <v>255</v>
      </c>
    </row>
    <row r="3341" spans="1:15" s="90" customFormat="1" ht="12.75" customHeight="1" x14ac:dyDescent="0.2">
      <c r="A3341" s="247" t="s">
        <v>1033</v>
      </c>
      <c r="B3341" s="316">
        <v>3217</v>
      </c>
      <c r="C3341" s="247" t="s">
        <v>975</v>
      </c>
      <c r="D3341" s="317">
        <v>42676</v>
      </c>
      <c r="E3341" s="318">
        <v>0.17651620370370369</v>
      </c>
      <c r="F3341" s="247" t="s">
        <v>235</v>
      </c>
      <c r="G3341" s="247" t="s">
        <v>1521</v>
      </c>
      <c r="H3341" s="248" t="s">
        <v>234</v>
      </c>
      <c r="I3341" s="248" t="s">
        <v>235</v>
      </c>
      <c r="J3341" s="247" t="s">
        <v>809</v>
      </c>
      <c r="K3341" s="249">
        <v>0</v>
      </c>
      <c r="M3341" s="90">
        <v>0</v>
      </c>
      <c r="N3341" s="90">
        <v>0</v>
      </c>
      <c r="O3341" s="90">
        <v>255</v>
      </c>
    </row>
    <row r="3342" spans="1:15" s="90" customFormat="1" ht="12.75" customHeight="1" x14ac:dyDescent="0.2">
      <c r="A3342" s="247" t="s">
        <v>787</v>
      </c>
      <c r="B3342" s="316">
        <v>2025</v>
      </c>
      <c r="C3342" s="247" t="s">
        <v>979</v>
      </c>
      <c r="D3342" s="317">
        <v>42676</v>
      </c>
      <c r="E3342" s="318">
        <v>0.18142361111111113</v>
      </c>
      <c r="F3342" s="247" t="s">
        <v>702</v>
      </c>
      <c r="G3342" s="247" t="s">
        <v>1521</v>
      </c>
      <c r="H3342" s="248" t="s">
        <v>860</v>
      </c>
      <c r="I3342" s="248" t="s">
        <v>30</v>
      </c>
      <c r="J3342" s="247" t="s">
        <v>809</v>
      </c>
      <c r="K3342" s="249">
        <v>0</v>
      </c>
      <c r="L3342" s="90" t="s">
        <v>1778</v>
      </c>
      <c r="M3342" s="90">
        <v>374</v>
      </c>
      <c r="N3342" s="90">
        <v>3</v>
      </c>
      <c r="O3342" s="90">
        <v>0</v>
      </c>
    </row>
    <row r="3343" spans="1:15" s="90" customFormat="1" ht="12.75" customHeight="1" x14ac:dyDescent="0.2">
      <c r="A3343" s="247" t="s">
        <v>1064</v>
      </c>
      <c r="B3343" s="316">
        <v>3046</v>
      </c>
      <c r="C3343" s="247" t="s">
        <v>975</v>
      </c>
      <c r="D3343" s="317">
        <v>42676</v>
      </c>
      <c r="E3343" s="318">
        <v>0.18142361111111113</v>
      </c>
      <c r="F3343" s="247" t="s">
        <v>976</v>
      </c>
      <c r="G3343" s="247" t="s">
        <v>1521</v>
      </c>
      <c r="H3343" s="248" t="s">
        <v>404</v>
      </c>
      <c r="I3343" s="248" t="s">
        <v>404</v>
      </c>
      <c r="J3343" s="247" t="s">
        <v>809</v>
      </c>
      <c r="K3343" s="249">
        <v>0</v>
      </c>
      <c r="M3343" s="90">
        <v>0</v>
      </c>
      <c r="N3343" s="90">
        <v>0</v>
      </c>
      <c r="O3343" s="90">
        <v>255</v>
      </c>
    </row>
    <row r="3344" spans="1:15" s="90" customFormat="1" ht="12.75" customHeight="1" x14ac:dyDescent="0.2">
      <c r="A3344" s="247" t="s">
        <v>1000</v>
      </c>
      <c r="B3344" s="316">
        <v>3046</v>
      </c>
      <c r="C3344" s="247" t="s">
        <v>975</v>
      </c>
      <c r="D3344" s="317">
        <v>42676</v>
      </c>
      <c r="E3344" s="318">
        <v>0.18199074074074073</v>
      </c>
      <c r="F3344" s="247" t="s">
        <v>976</v>
      </c>
      <c r="G3344" s="247" t="s">
        <v>1521</v>
      </c>
      <c r="H3344" s="248" t="s">
        <v>404</v>
      </c>
      <c r="I3344" s="248" t="s">
        <v>404</v>
      </c>
      <c r="J3344" s="247" t="s">
        <v>809</v>
      </c>
      <c r="K3344" s="249">
        <v>0</v>
      </c>
      <c r="M3344" s="90">
        <v>0</v>
      </c>
      <c r="N3344" s="90">
        <v>0</v>
      </c>
      <c r="O3344" s="90">
        <v>255</v>
      </c>
    </row>
    <row r="3345" spans="1:15" s="90" customFormat="1" ht="12.75" customHeight="1" x14ac:dyDescent="0.2">
      <c r="A3345" s="247" t="s">
        <v>777</v>
      </c>
      <c r="B3345" s="316">
        <v>2000</v>
      </c>
      <c r="C3345" s="247" t="s">
        <v>979</v>
      </c>
      <c r="D3345" s="317">
        <v>42676</v>
      </c>
      <c r="E3345" s="318">
        <v>0.18658564814814815</v>
      </c>
      <c r="F3345" s="247" t="s">
        <v>702</v>
      </c>
      <c r="G3345" s="247" t="s">
        <v>1521</v>
      </c>
      <c r="H3345" s="248" t="s">
        <v>4</v>
      </c>
      <c r="I3345" s="248" t="s">
        <v>14</v>
      </c>
      <c r="J3345" s="247" t="s">
        <v>809</v>
      </c>
      <c r="K3345" s="249">
        <v>0</v>
      </c>
      <c r="L3345" s="90" t="s">
        <v>1780</v>
      </c>
      <c r="M3345" s="90">
        <v>338</v>
      </c>
      <c r="N3345" s="90">
        <v>-1</v>
      </c>
      <c r="O3345" s="90">
        <v>0</v>
      </c>
    </row>
    <row r="3346" spans="1:15" s="90" customFormat="1" ht="12.75" customHeight="1" x14ac:dyDescent="0.2">
      <c r="A3346" s="247" t="s">
        <v>1064</v>
      </c>
      <c r="B3346" s="316">
        <v>3046</v>
      </c>
      <c r="C3346" s="247" t="s">
        <v>975</v>
      </c>
      <c r="D3346" s="317">
        <v>42676</v>
      </c>
      <c r="E3346" s="318">
        <v>0.18658564814814815</v>
      </c>
      <c r="F3346" s="247" t="s">
        <v>976</v>
      </c>
      <c r="G3346" s="247" t="s">
        <v>1521</v>
      </c>
      <c r="H3346" s="248" t="s">
        <v>404</v>
      </c>
      <c r="I3346" s="248" t="s">
        <v>404</v>
      </c>
      <c r="J3346" s="247" t="s">
        <v>809</v>
      </c>
      <c r="K3346" s="249">
        <v>0</v>
      </c>
      <c r="M3346" s="90">
        <v>0</v>
      </c>
      <c r="N3346" s="90">
        <v>0</v>
      </c>
      <c r="O3346" s="90">
        <v>255</v>
      </c>
    </row>
    <row r="3347" spans="1:15" s="90" customFormat="1" ht="12.75" customHeight="1" x14ac:dyDescent="0.2">
      <c r="A3347" s="247" t="s">
        <v>1000</v>
      </c>
      <c r="B3347" s="316">
        <v>3046</v>
      </c>
      <c r="C3347" s="247" t="s">
        <v>975</v>
      </c>
      <c r="D3347" s="317">
        <v>42676</v>
      </c>
      <c r="E3347" s="318">
        <v>0.1882638888888889</v>
      </c>
      <c r="F3347" s="247" t="s">
        <v>976</v>
      </c>
      <c r="G3347" s="247" t="s">
        <v>1521</v>
      </c>
      <c r="H3347" s="248" t="s">
        <v>404</v>
      </c>
      <c r="I3347" s="248" t="s">
        <v>404</v>
      </c>
      <c r="J3347" s="247" t="s">
        <v>809</v>
      </c>
      <c r="K3347" s="249">
        <v>0</v>
      </c>
      <c r="M3347" s="90">
        <v>0</v>
      </c>
      <c r="N3347" s="90">
        <v>0</v>
      </c>
      <c r="O3347" s="90">
        <v>255</v>
      </c>
    </row>
    <row r="3348" spans="1:15" s="90" customFormat="1" ht="12.75" customHeight="1" x14ac:dyDescent="0.2">
      <c r="A3348" s="247" t="s">
        <v>1523</v>
      </c>
      <c r="B3348" s="316">
        <v>3037</v>
      </c>
      <c r="C3348" s="247" t="s">
        <v>996</v>
      </c>
      <c r="D3348" s="317">
        <v>42676</v>
      </c>
      <c r="E3348" s="318">
        <v>0.18857638888888886</v>
      </c>
      <c r="F3348" s="247" t="s">
        <v>980</v>
      </c>
      <c r="G3348" s="247" t="s">
        <v>1521</v>
      </c>
      <c r="H3348" s="248" t="s">
        <v>234</v>
      </c>
      <c r="I3348" s="248" t="s">
        <v>263</v>
      </c>
      <c r="J3348" s="247" t="s">
        <v>809</v>
      </c>
      <c r="K3348" s="249">
        <v>0</v>
      </c>
      <c r="M3348" s="90">
        <v>0</v>
      </c>
      <c r="N3348" s="90">
        <v>0</v>
      </c>
      <c r="O3348" s="90">
        <v>255</v>
      </c>
    </row>
    <row r="3349" spans="1:15" s="90" customFormat="1" ht="12.75" customHeight="1" x14ac:dyDescent="0.2">
      <c r="A3349" s="247" t="s">
        <v>1524</v>
      </c>
      <c r="B3349" s="316">
        <v>3037</v>
      </c>
      <c r="C3349" s="247" t="s">
        <v>996</v>
      </c>
      <c r="D3349" s="317">
        <v>42676</v>
      </c>
      <c r="E3349" s="318">
        <v>0.18857638888888886</v>
      </c>
      <c r="F3349" s="247" t="s">
        <v>980</v>
      </c>
      <c r="G3349" s="247" t="s">
        <v>1521</v>
      </c>
      <c r="H3349" s="248" t="s">
        <v>234</v>
      </c>
      <c r="I3349" s="248" t="s">
        <v>263</v>
      </c>
      <c r="J3349" s="247" t="s">
        <v>809</v>
      </c>
      <c r="K3349" s="249">
        <v>0</v>
      </c>
      <c r="M3349" s="90">
        <v>0</v>
      </c>
      <c r="N3349" s="90">
        <v>0</v>
      </c>
      <c r="O3349" s="90">
        <v>255</v>
      </c>
    </row>
    <row r="3350" spans="1:15" s="90" customFormat="1" ht="12.75" customHeight="1" x14ac:dyDescent="0.2">
      <c r="A3350" s="247" t="s">
        <v>1031</v>
      </c>
      <c r="B3350" s="316">
        <v>3046</v>
      </c>
      <c r="C3350" s="247" t="s">
        <v>975</v>
      </c>
      <c r="D3350" s="317">
        <v>42676</v>
      </c>
      <c r="E3350" s="318">
        <v>0.18863425925925925</v>
      </c>
      <c r="F3350" s="247" t="s">
        <v>976</v>
      </c>
      <c r="G3350" s="247" t="s">
        <v>1521</v>
      </c>
      <c r="H3350" s="248" t="s">
        <v>404</v>
      </c>
      <c r="I3350" s="248" t="s">
        <v>404</v>
      </c>
      <c r="J3350" s="247" t="s">
        <v>809</v>
      </c>
      <c r="K3350" s="249">
        <v>0</v>
      </c>
      <c r="M3350" s="90">
        <v>0</v>
      </c>
      <c r="N3350" s="90">
        <v>0</v>
      </c>
      <c r="O3350" s="90">
        <v>255</v>
      </c>
    </row>
    <row r="3351" spans="1:15" s="90" customFormat="1" ht="12.75" customHeight="1" x14ac:dyDescent="0.2">
      <c r="A3351" s="247" t="s">
        <v>1032</v>
      </c>
      <c r="B3351" s="316">
        <v>3046</v>
      </c>
      <c r="C3351" s="247" t="s">
        <v>975</v>
      </c>
      <c r="D3351" s="317">
        <v>42676</v>
      </c>
      <c r="E3351" s="318">
        <v>0.19252314814814817</v>
      </c>
      <c r="F3351" s="247" t="s">
        <v>976</v>
      </c>
      <c r="G3351" s="247" t="s">
        <v>1521</v>
      </c>
      <c r="H3351" s="248" t="s">
        <v>404</v>
      </c>
      <c r="I3351" s="248" t="s">
        <v>404</v>
      </c>
      <c r="J3351" s="247" t="s">
        <v>809</v>
      </c>
      <c r="K3351" s="249">
        <v>0</v>
      </c>
      <c r="M3351" s="90">
        <v>0</v>
      </c>
      <c r="N3351" s="90">
        <v>0</v>
      </c>
      <c r="O3351" s="90">
        <v>255</v>
      </c>
    </row>
    <row r="3352" spans="1:15" s="90" customFormat="1" ht="12.75" customHeight="1" x14ac:dyDescent="0.2">
      <c r="A3352" s="247" t="s">
        <v>989</v>
      </c>
      <c r="B3352" s="316">
        <v>3046</v>
      </c>
      <c r="C3352" s="247" t="s">
        <v>975</v>
      </c>
      <c r="D3352" s="317">
        <v>42676</v>
      </c>
      <c r="E3352" s="318">
        <v>0.19253472222222223</v>
      </c>
      <c r="F3352" s="247" t="s">
        <v>976</v>
      </c>
      <c r="G3352" s="247" t="s">
        <v>1521</v>
      </c>
      <c r="H3352" s="248" t="s">
        <v>404</v>
      </c>
      <c r="I3352" s="248" t="s">
        <v>404</v>
      </c>
      <c r="J3352" s="247" t="s">
        <v>809</v>
      </c>
      <c r="K3352" s="249">
        <v>0</v>
      </c>
      <c r="M3352" s="90">
        <v>0</v>
      </c>
      <c r="N3352" s="90">
        <v>0</v>
      </c>
      <c r="O3352" s="90">
        <v>255</v>
      </c>
    </row>
    <row r="3353" spans="1:15" s="90" customFormat="1" ht="12.75" customHeight="1" x14ac:dyDescent="0.2">
      <c r="A3353" s="247" t="s">
        <v>990</v>
      </c>
      <c r="B3353" s="316">
        <v>3046</v>
      </c>
      <c r="C3353" s="247" t="s">
        <v>975</v>
      </c>
      <c r="D3353" s="317">
        <v>42676</v>
      </c>
      <c r="E3353" s="318">
        <v>0.19281249999999997</v>
      </c>
      <c r="F3353" s="247" t="s">
        <v>976</v>
      </c>
      <c r="G3353" s="247" t="s">
        <v>1521</v>
      </c>
      <c r="H3353" s="248" t="s">
        <v>404</v>
      </c>
      <c r="I3353" s="248" t="s">
        <v>404</v>
      </c>
      <c r="J3353" s="247" t="s">
        <v>809</v>
      </c>
      <c r="K3353" s="249">
        <v>0</v>
      </c>
      <c r="M3353" s="90">
        <v>0</v>
      </c>
      <c r="N3353" s="90">
        <v>0</v>
      </c>
      <c r="O3353" s="90">
        <v>255</v>
      </c>
    </row>
    <row r="3354" spans="1:15" s="90" customFormat="1" ht="12.75" customHeight="1" x14ac:dyDescent="0.2">
      <c r="A3354" s="247" t="s">
        <v>1033</v>
      </c>
      <c r="B3354" s="316">
        <v>3217</v>
      </c>
      <c r="C3354" s="247" t="s">
        <v>975</v>
      </c>
      <c r="D3354" s="317">
        <v>42676</v>
      </c>
      <c r="E3354" s="318">
        <v>0.19281249999999997</v>
      </c>
      <c r="F3354" s="247" t="s">
        <v>235</v>
      </c>
      <c r="G3354" s="247" t="s">
        <v>1521</v>
      </c>
      <c r="H3354" s="248" t="s">
        <v>234</v>
      </c>
      <c r="I3354" s="248" t="s">
        <v>235</v>
      </c>
      <c r="J3354" s="247" t="s">
        <v>809</v>
      </c>
      <c r="K3354" s="249">
        <v>0</v>
      </c>
      <c r="M3354" s="90">
        <v>0</v>
      </c>
      <c r="N3354" s="90">
        <v>0</v>
      </c>
      <c r="O3354" s="90">
        <v>255</v>
      </c>
    </row>
    <row r="3355" spans="1:15" s="90" customFormat="1" ht="12.75" customHeight="1" x14ac:dyDescent="0.2">
      <c r="A3355" s="247" t="s">
        <v>1031</v>
      </c>
      <c r="B3355" s="316">
        <v>3046</v>
      </c>
      <c r="C3355" s="247" t="s">
        <v>975</v>
      </c>
      <c r="D3355" s="317">
        <v>42676</v>
      </c>
      <c r="E3355" s="318">
        <v>0.20002314814814814</v>
      </c>
      <c r="F3355" s="247" t="s">
        <v>976</v>
      </c>
      <c r="G3355" s="247" t="s">
        <v>1521</v>
      </c>
      <c r="H3355" s="248" t="s">
        <v>404</v>
      </c>
      <c r="I3355" s="248" t="s">
        <v>404</v>
      </c>
      <c r="J3355" s="247" t="s">
        <v>809</v>
      </c>
      <c r="K3355" s="249">
        <v>0</v>
      </c>
      <c r="M3355" s="90">
        <v>0</v>
      </c>
      <c r="N3355" s="90">
        <v>0</v>
      </c>
      <c r="O3355" s="90">
        <v>255</v>
      </c>
    </row>
    <row r="3356" spans="1:15" s="90" customFormat="1" ht="12.75" customHeight="1" x14ac:dyDescent="0.2">
      <c r="A3356" s="247" t="s">
        <v>617</v>
      </c>
      <c r="B3356" s="316">
        <v>4050</v>
      </c>
      <c r="C3356" s="247" t="s">
        <v>996</v>
      </c>
      <c r="D3356" s="317">
        <v>42676</v>
      </c>
      <c r="E3356" s="318">
        <v>0.20327546296296295</v>
      </c>
      <c r="F3356" s="247" t="s">
        <v>702</v>
      </c>
      <c r="G3356" s="247" t="s">
        <v>1521</v>
      </c>
      <c r="H3356" s="248" t="s">
        <v>4</v>
      </c>
      <c r="I3356" s="248" t="s">
        <v>18</v>
      </c>
      <c r="J3356" s="247" t="s">
        <v>809</v>
      </c>
      <c r="K3356" s="249">
        <v>0</v>
      </c>
      <c r="L3356" s="90" t="s">
        <v>1776</v>
      </c>
      <c r="M3356" s="90">
        <v>539</v>
      </c>
      <c r="N3356" s="90">
        <v>-1</v>
      </c>
      <c r="O3356" s="90">
        <v>0</v>
      </c>
    </row>
    <row r="3357" spans="1:15" s="90" customFormat="1" ht="12.75" customHeight="1" x14ac:dyDescent="0.2">
      <c r="A3357" s="247" t="s">
        <v>617</v>
      </c>
      <c r="B3357" s="316">
        <v>4050</v>
      </c>
      <c r="C3357" s="247" t="s">
        <v>996</v>
      </c>
      <c r="D3357" s="317">
        <v>42676</v>
      </c>
      <c r="E3357" s="318">
        <v>0.20616898148148147</v>
      </c>
      <c r="F3357" s="247" t="s">
        <v>702</v>
      </c>
      <c r="G3357" s="247" t="s">
        <v>1521</v>
      </c>
      <c r="H3357" s="248" t="s">
        <v>4</v>
      </c>
      <c r="I3357" s="248" t="s">
        <v>18</v>
      </c>
      <c r="J3357" s="247" t="s">
        <v>809</v>
      </c>
      <c r="K3357" s="249">
        <v>0</v>
      </c>
      <c r="L3357" s="90" t="s">
        <v>1776</v>
      </c>
      <c r="M3357" s="90">
        <v>539</v>
      </c>
      <c r="N3357" s="90">
        <v>-1</v>
      </c>
      <c r="O3357" s="90">
        <v>0</v>
      </c>
    </row>
    <row r="3358" spans="1:15" s="90" customFormat="1" ht="12.75" customHeight="1" x14ac:dyDescent="0.2">
      <c r="A3358" s="247" t="s">
        <v>1032</v>
      </c>
      <c r="B3358" s="316">
        <v>3046</v>
      </c>
      <c r="C3358" s="247" t="s">
        <v>975</v>
      </c>
      <c r="D3358" s="317">
        <v>42676</v>
      </c>
      <c r="E3358" s="318">
        <v>0.2065740740740741</v>
      </c>
      <c r="F3358" s="247" t="s">
        <v>976</v>
      </c>
      <c r="G3358" s="247" t="s">
        <v>1521</v>
      </c>
      <c r="H3358" s="248" t="s">
        <v>404</v>
      </c>
      <c r="I3358" s="248" t="s">
        <v>404</v>
      </c>
      <c r="J3358" s="247" t="s">
        <v>809</v>
      </c>
      <c r="K3358" s="249">
        <v>0</v>
      </c>
      <c r="M3358" s="90">
        <v>0</v>
      </c>
      <c r="N3358" s="90">
        <v>0</v>
      </c>
      <c r="O3358" s="90">
        <v>255</v>
      </c>
    </row>
    <row r="3359" spans="1:15" s="90" customFormat="1" ht="12.75" customHeight="1" x14ac:dyDescent="0.2">
      <c r="A3359" s="247" t="s">
        <v>989</v>
      </c>
      <c r="B3359" s="316">
        <v>3046</v>
      </c>
      <c r="C3359" s="247" t="s">
        <v>975</v>
      </c>
      <c r="D3359" s="317">
        <v>42676</v>
      </c>
      <c r="E3359" s="318">
        <v>0.2065740740740741</v>
      </c>
      <c r="F3359" s="247" t="s">
        <v>976</v>
      </c>
      <c r="G3359" s="247" t="s">
        <v>1521</v>
      </c>
      <c r="H3359" s="248" t="s">
        <v>404</v>
      </c>
      <c r="I3359" s="248" t="s">
        <v>404</v>
      </c>
      <c r="J3359" s="247" t="s">
        <v>809</v>
      </c>
      <c r="K3359" s="249">
        <v>0</v>
      </c>
      <c r="M3359" s="90">
        <v>0</v>
      </c>
      <c r="N3359" s="90">
        <v>0</v>
      </c>
      <c r="O3359" s="90">
        <v>255</v>
      </c>
    </row>
    <row r="3360" spans="1:15" s="90" customFormat="1" ht="12.75" customHeight="1" x14ac:dyDescent="0.2">
      <c r="A3360" s="247" t="s">
        <v>990</v>
      </c>
      <c r="B3360" s="316">
        <v>3046</v>
      </c>
      <c r="C3360" s="247" t="s">
        <v>975</v>
      </c>
      <c r="D3360" s="317">
        <v>42676</v>
      </c>
      <c r="E3360" s="318">
        <v>0.206875</v>
      </c>
      <c r="F3360" s="247" t="s">
        <v>976</v>
      </c>
      <c r="G3360" s="247" t="s">
        <v>1521</v>
      </c>
      <c r="H3360" s="248" t="s">
        <v>404</v>
      </c>
      <c r="I3360" s="248" t="s">
        <v>404</v>
      </c>
      <c r="J3360" s="247" t="s">
        <v>809</v>
      </c>
      <c r="K3360" s="249">
        <v>0</v>
      </c>
      <c r="M3360" s="90">
        <v>0</v>
      </c>
      <c r="N3360" s="90">
        <v>0</v>
      </c>
      <c r="O3360" s="90">
        <v>255</v>
      </c>
    </row>
    <row r="3361" spans="1:15" s="90" customFormat="1" ht="12.75" customHeight="1" x14ac:dyDescent="0.2">
      <c r="A3361" s="247" t="s">
        <v>1033</v>
      </c>
      <c r="B3361" s="316">
        <v>3217</v>
      </c>
      <c r="C3361" s="247" t="s">
        <v>975</v>
      </c>
      <c r="D3361" s="317">
        <v>42676</v>
      </c>
      <c r="E3361" s="318">
        <v>0.206875</v>
      </c>
      <c r="F3361" s="247" t="s">
        <v>235</v>
      </c>
      <c r="G3361" s="247" t="s">
        <v>1521</v>
      </c>
      <c r="H3361" s="248" t="s">
        <v>234</v>
      </c>
      <c r="I3361" s="248" t="s">
        <v>235</v>
      </c>
      <c r="J3361" s="247" t="s">
        <v>809</v>
      </c>
      <c r="K3361" s="249">
        <v>0</v>
      </c>
      <c r="M3361" s="90">
        <v>0</v>
      </c>
      <c r="N3361" s="90">
        <v>0</v>
      </c>
      <c r="O3361" s="90">
        <v>255</v>
      </c>
    </row>
    <row r="3362" spans="1:15" s="90" customFormat="1" ht="12.75" customHeight="1" x14ac:dyDescent="0.2">
      <c r="A3362" s="247" t="s">
        <v>1070</v>
      </c>
      <c r="B3362" s="316">
        <v>3001</v>
      </c>
      <c r="C3362" s="247" t="s">
        <v>996</v>
      </c>
      <c r="D3362" s="317">
        <v>42676</v>
      </c>
      <c r="E3362" s="318">
        <v>0.21079861111111112</v>
      </c>
      <c r="F3362" s="247" t="s">
        <v>702</v>
      </c>
      <c r="G3362" s="247" t="s">
        <v>1521</v>
      </c>
      <c r="H3362" s="248" t="s">
        <v>121</v>
      </c>
      <c r="I3362" s="248" t="s">
        <v>122</v>
      </c>
      <c r="J3362" s="247" t="s">
        <v>809</v>
      </c>
      <c r="K3362" s="249">
        <v>0</v>
      </c>
      <c r="M3362" s="90">
        <v>0</v>
      </c>
      <c r="N3362" s="90">
        <v>0</v>
      </c>
      <c r="O3362" s="90">
        <v>255</v>
      </c>
    </row>
    <row r="3363" spans="1:15" s="90" customFormat="1" ht="12.75" customHeight="1" x14ac:dyDescent="0.2">
      <c r="A3363" s="247" t="s">
        <v>1350</v>
      </c>
      <c r="B3363" s="316">
        <v>3001</v>
      </c>
      <c r="C3363" s="247" t="s">
        <v>996</v>
      </c>
      <c r="D3363" s="317">
        <v>42676</v>
      </c>
      <c r="E3363" s="318">
        <v>0.21141203703703704</v>
      </c>
      <c r="F3363" s="247" t="s">
        <v>702</v>
      </c>
      <c r="G3363" s="247" t="s">
        <v>1521</v>
      </c>
      <c r="H3363" s="248" t="s">
        <v>121</v>
      </c>
      <c r="I3363" s="248" t="s">
        <v>122</v>
      </c>
      <c r="J3363" s="247" t="s">
        <v>809</v>
      </c>
      <c r="K3363" s="249">
        <v>0</v>
      </c>
      <c r="M3363" s="90">
        <v>0</v>
      </c>
      <c r="N3363" s="90">
        <v>0</v>
      </c>
      <c r="O3363" s="90">
        <v>255</v>
      </c>
    </row>
    <row r="3364" spans="1:15" s="90" customFormat="1" ht="12.75" customHeight="1" x14ac:dyDescent="0.2">
      <c r="A3364" s="247" t="s">
        <v>1525</v>
      </c>
      <c r="B3364" s="316">
        <v>3001</v>
      </c>
      <c r="C3364" s="247" t="s">
        <v>996</v>
      </c>
      <c r="D3364" s="317">
        <v>42676</v>
      </c>
      <c r="E3364" s="318">
        <v>0.21438657407407405</v>
      </c>
      <c r="F3364" s="247" t="s">
        <v>702</v>
      </c>
      <c r="G3364" s="247" t="s">
        <v>1521</v>
      </c>
      <c r="H3364" s="248" t="s">
        <v>121</v>
      </c>
      <c r="I3364" s="248" t="s">
        <v>122</v>
      </c>
      <c r="J3364" s="247" t="s">
        <v>809</v>
      </c>
      <c r="K3364" s="249">
        <v>0</v>
      </c>
      <c r="M3364" s="90">
        <v>0</v>
      </c>
      <c r="N3364" s="90">
        <v>0</v>
      </c>
      <c r="O3364" s="90">
        <v>255</v>
      </c>
    </row>
    <row r="3365" spans="1:15" s="90" customFormat="1" ht="12.75" customHeight="1" x14ac:dyDescent="0.2">
      <c r="A3365" s="247" t="s">
        <v>1266</v>
      </c>
      <c r="B3365" s="316">
        <v>3001</v>
      </c>
      <c r="C3365" s="247" t="s">
        <v>996</v>
      </c>
      <c r="D3365" s="317">
        <v>42676</v>
      </c>
      <c r="E3365" s="318">
        <v>0.21460648148148151</v>
      </c>
      <c r="F3365" s="247" t="s">
        <v>702</v>
      </c>
      <c r="G3365" s="247" t="s">
        <v>1521</v>
      </c>
      <c r="H3365" s="248" t="s">
        <v>121</v>
      </c>
      <c r="I3365" s="248" t="s">
        <v>122</v>
      </c>
      <c r="J3365" s="247" t="s">
        <v>809</v>
      </c>
      <c r="K3365" s="249">
        <v>0</v>
      </c>
      <c r="M3365" s="90">
        <v>0</v>
      </c>
      <c r="N3365" s="90">
        <v>0</v>
      </c>
      <c r="O3365" s="90">
        <v>255</v>
      </c>
    </row>
    <row r="3366" spans="1:15" s="90" customFormat="1" ht="12.75" customHeight="1" x14ac:dyDescent="0.2">
      <c r="A3366" s="247" t="s">
        <v>1128</v>
      </c>
      <c r="B3366" s="316">
        <v>2083</v>
      </c>
      <c r="C3366" s="247" t="s">
        <v>979</v>
      </c>
      <c r="D3366" s="317">
        <v>42676</v>
      </c>
      <c r="E3366" s="318">
        <v>0.2146875</v>
      </c>
      <c r="F3366" s="247" t="s">
        <v>702</v>
      </c>
      <c r="G3366" s="247" t="s">
        <v>1521</v>
      </c>
      <c r="H3366" s="248" t="s">
        <v>121</v>
      </c>
      <c r="I3366" s="248" t="s">
        <v>122</v>
      </c>
      <c r="J3366" s="247" t="s">
        <v>809</v>
      </c>
      <c r="K3366" s="249">
        <v>0</v>
      </c>
      <c r="M3366" s="90">
        <v>0</v>
      </c>
      <c r="N3366" s="90">
        <v>0</v>
      </c>
      <c r="O3366" s="90">
        <v>255</v>
      </c>
    </row>
    <row r="3367" spans="1:15" s="90" customFormat="1" ht="12.75" customHeight="1" x14ac:dyDescent="0.2">
      <c r="A3367" s="247" t="s">
        <v>617</v>
      </c>
      <c r="B3367" s="316">
        <v>4050</v>
      </c>
      <c r="C3367" s="247" t="s">
        <v>996</v>
      </c>
      <c r="D3367" s="317">
        <v>42676</v>
      </c>
      <c r="E3367" s="318">
        <v>0.21583333333333332</v>
      </c>
      <c r="F3367" s="247" t="s">
        <v>702</v>
      </c>
      <c r="G3367" s="247" t="s">
        <v>1521</v>
      </c>
      <c r="H3367" s="248" t="s">
        <v>4</v>
      </c>
      <c r="I3367" s="248" t="s">
        <v>18</v>
      </c>
      <c r="J3367" s="247" t="s">
        <v>809</v>
      </c>
      <c r="K3367" s="249">
        <v>0</v>
      </c>
      <c r="L3367" s="90" t="s">
        <v>1776</v>
      </c>
      <c r="M3367" s="90">
        <v>539</v>
      </c>
      <c r="N3367" s="90">
        <v>-1</v>
      </c>
      <c r="O3367" s="90">
        <v>0</v>
      </c>
    </row>
    <row r="3368" spans="1:15" s="90" customFormat="1" ht="12.75" customHeight="1" x14ac:dyDescent="0.2">
      <c r="A3368" s="247" t="s">
        <v>1525</v>
      </c>
      <c r="B3368" s="316">
        <v>3001</v>
      </c>
      <c r="C3368" s="247" t="s">
        <v>996</v>
      </c>
      <c r="D3368" s="317">
        <v>42676</v>
      </c>
      <c r="E3368" s="318">
        <v>0.21609953703703702</v>
      </c>
      <c r="F3368" s="247" t="s">
        <v>702</v>
      </c>
      <c r="G3368" s="247" t="s">
        <v>1521</v>
      </c>
      <c r="H3368" s="248" t="s">
        <v>121</v>
      </c>
      <c r="I3368" s="248" t="s">
        <v>122</v>
      </c>
      <c r="J3368" s="247" t="s">
        <v>809</v>
      </c>
      <c r="K3368" s="249">
        <v>0</v>
      </c>
      <c r="M3368" s="90">
        <v>0</v>
      </c>
      <c r="N3368" s="90">
        <v>0</v>
      </c>
      <c r="O3368" s="90">
        <v>255</v>
      </c>
    </row>
    <row r="3369" spans="1:15" s="90" customFormat="1" ht="12.75" customHeight="1" x14ac:dyDescent="0.2">
      <c r="A3369" s="247" t="s">
        <v>1266</v>
      </c>
      <c r="B3369" s="316">
        <v>3001</v>
      </c>
      <c r="C3369" s="247" t="s">
        <v>996</v>
      </c>
      <c r="D3369" s="317">
        <v>42676</v>
      </c>
      <c r="E3369" s="318">
        <v>0.21609953703703702</v>
      </c>
      <c r="F3369" s="247" t="s">
        <v>702</v>
      </c>
      <c r="G3369" s="247" t="s">
        <v>1521</v>
      </c>
      <c r="H3369" s="248" t="s">
        <v>121</v>
      </c>
      <c r="I3369" s="248" t="s">
        <v>122</v>
      </c>
      <c r="J3369" s="247" t="s">
        <v>809</v>
      </c>
      <c r="K3369" s="249">
        <v>0</v>
      </c>
      <c r="M3369" s="90">
        <v>0</v>
      </c>
      <c r="N3369" s="90">
        <v>0</v>
      </c>
      <c r="O3369" s="90">
        <v>255</v>
      </c>
    </row>
    <row r="3370" spans="1:15" s="90" customFormat="1" ht="12.75" customHeight="1" x14ac:dyDescent="0.2">
      <c r="A3370" s="247" t="s">
        <v>617</v>
      </c>
      <c r="B3370" s="316">
        <v>4050</v>
      </c>
      <c r="C3370" s="247" t="s">
        <v>996</v>
      </c>
      <c r="D3370" s="317">
        <v>42676</v>
      </c>
      <c r="E3370" s="318">
        <v>0.21732638888888889</v>
      </c>
      <c r="F3370" s="247" t="s">
        <v>702</v>
      </c>
      <c r="G3370" s="247" t="s">
        <v>1521</v>
      </c>
      <c r="H3370" s="248" t="s">
        <v>4</v>
      </c>
      <c r="I3370" s="248" t="s">
        <v>18</v>
      </c>
      <c r="J3370" s="247" t="s">
        <v>809</v>
      </c>
      <c r="K3370" s="249">
        <v>0</v>
      </c>
      <c r="L3370" s="90" t="s">
        <v>1776</v>
      </c>
      <c r="M3370" s="90">
        <v>539</v>
      </c>
      <c r="N3370" s="90">
        <v>-1</v>
      </c>
      <c r="O3370" s="90">
        <v>0</v>
      </c>
    </row>
    <row r="3371" spans="1:15" s="90" customFormat="1" ht="12.75" customHeight="1" x14ac:dyDescent="0.2">
      <c r="A3371" s="247" t="s">
        <v>1057</v>
      </c>
      <c r="B3371" s="316">
        <v>3218</v>
      </c>
      <c r="C3371" s="247" t="s">
        <v>979</v>
      </c>
      <c r="D3371" s="317">
        <v>42676</v>
      </c>
      <c r="E3371" s="318">
        <v>0.21788194444444445</v>
      </c>
      <c r="F3371" s="247" t="s">
        <v>702</v>
      </c>
      <c r="G3371" s="247" t="s">
        <v>1521</v>
      </c>
      <c r="H3371" s="248"/>
      <c r="I3371" s="248"/>
      <c r="J3371" s="247"/>
      <c r="K3371" s="249"/>
      <c r="M3371" s="90">
        <v>0</v>
      </c>
      <c r="N3371" s="90">
        <v>0</v>
      </c>
      <c r="O3371" s="90">
        <v>255</v>
      </c>
    </row>
    <row r="3372" spans="1:15" s="90" customFormat="1" ht="12.75" customHeight="1" x14ac:dyDescent="0.2">
      <c r="A3372" s="247" t="s">
        <v>1031</v>
      </c>
      <c r="B3372" s="316">
        <v>3046</v>
      </c>
      <c r="C3372" s="247" t="s">
        <v>975</v>
      </c>
      <c r="D3372" s="317">
        <v>42676</v>
      </c>
      <c r="E3372" s="318">
        <v>0.21795138888888888</v>
      </c>
      <c r="F3372" s="247" t="s">
        <v>976</v>
      </c>
      <c r="G3372" s="247" t="s">
        <v>1521</v>
      </c>
      <c r="H3372" s="248" t="s">
        <v>404</v>
      </c>
      <c r="I3372" s="248" t="s">
        <v>404</v>
      </c>
      <c r="J3372" s="247" t="s">
        <v>809</v>
      </c>
      <c r="K3372" s="249">
        <v>0</v>
      </c>
      <c r="M3372" s="90">
        <v>0</v>
      </c>
      <c r="N3372" s="90">
        <v>0</v>
      </c>
      <c r="O3372" s="90">
        <v>255</v>
      </c>
    </row>
    <row r="3373" spans="1:15" s="90" customFormat="1" ht="12.75" customHeight="1" x14ac:dyDescent="0.2">
      <c r="A3373" s="247" t="s">
        <v>1032</v>
      </c>
      <c r="B3373" s="316">
        <v>3046</v>
      </c>
      <c r="C3373" s="247" t="s">
        <v>975</v>
      </c>
      <c r="D3373" s="317">
        <v>42676</v>
      </c>
      <c r="E3373" s="318">
        <v>0.22209490740740742</v>
      </c>
      <c r="F3373" s="247" t="s">
        <v>976</v>
      </c>
      <c r="G3373" s="247" t="s">
        <v>1521</v>
      </c>
      <c r="H3373" s="248" t="s">
        <v>404</v>
      </c>
      <c r="I3373" s="248" t="s">
        <v>404</v>
      </c>
      <c r="J3373" s="247" t="s">
        <v>809</v>
      </c>
      <c r="K3373" s="249">
        <v>0</v>
      </c>
      <c r="M3373" s="90">
        <v>0</v>
      </c>
      <c r="N3373" s="90">
        <v>0</v>
      </c>
      <c r="O3373" s="90">
        <v>255</v>
      </c>
    </row>
    <row r="3374" spans="1:15" s="90" customFormat="1" ht="12.75" customHeight="1" x14ac:dyDescent="0.2">
      <c r="A3374" s="247" t="s">
        <v>989</v>
      </c>
      <c r="B3374" s="316">
        <v>3046</v>
      </c>
      <c r="C3374" s="247" t="s">
        <v>975</v>
      </c>
      <c r="D3374" s="317">
        <v>42676</v>
      </c>
      <c r="E3374" s="318">
        <v>0.22209490740740742</v>
      </c>
      <c r="F3374" s="247" t="s">
        <v>976</v>
      </c>
      <c r="G3374" s="247" t="s">
        <v>1521</v>
      </c>
      <c r="H3374" s="248" t="s">
        <v>404</v>
      </c>
      <c r="I3374" s="248" t="s">
        <v>404</v>
      </c>
      <c r="J3374" s="247" t="s">
        <v>809</v>
      </c>
      <c r="K3374" s="249">
        <v>0</v>
      </c>
      <c r="M3374" s="90">
        <v>0</v>
      </c>
      <c r="N3374" s="90">
        <v>0</v>
      </c>
      <c r="O3374" s="90">
        <v>255</v>
      </c>
    </row>
    <row r="3375" spans="1:15" s="90" customFormat="1" ht="12.75" customHeight="1" x14ac:dyDescent="0.2">
      <c r="A3375" s="247" t="s">
        <v>990</v>
      </c>
      <c r="B3375" s="316">
        <v>3046</v>
      </c>
      <c r="C3375" s="247" t="s">
        <v>975</v>
      </c>
      <c r="D3375" s="317">
        <v>42676</v>
      </c>
      <c r="E3375" s="318">
        <v>0.22237268518518519</v>
      </c>
      <c r="F3375" s="247" t="s">
        <v>976</v>
      </c>
      <c r="G3375" s="247" t="s">
        <v>1521</v>
      </c>
      <c r="H3375" s="248" t="s">
        <v>404</v>
      </c>
      <c r="I3375" s="248" t="s">
        <v>404</v>
      </c>
      <c r="J3375" s="247" t="s">
        <v>809</v>
      </c>
      <c r="K3375" s="249">
        <v>0</v>
      </c>
      <c r="M3375" s="90">
        <v>0</v>
      </c>
      <c r="N3375" s="90">
        <v>0</v>
      </c>
      <c r="O3375" s="90">
        <v>255</v>
      </c>
    </row>
    <row r="3376" spans="1:15" s="90" customFormat="1" ht="12.75" customHeight="1" x14ac:dyDescent="0.2">
      <c r="A3376" s="247" t="s">
        <v>1033</v>
      </c>
      <c r="B3376" s="316">
        <v>3217</v>
      </c>
      <c r="C3376" s="247" t="s">
        <v>975</v>
      </c>
      <c r="D3376" s="317">
        <v>42676</v>
      </c>
      <c r="E3376" s="318">
        <v>0.22237268518518519</v>
      </c>
      <c r="F3376" s="247" t="s">
        <v>235</v>
      </c>
      <c r="G3376" s="247" t="s">
        <v>1521</v>
      </c>
      <c r="H3376" s="248" t="s">
        <v>234</v>
      </c>
      <c r="I3376" s="248" t="s">
        <v>235</v>
      </c>
      <c r="J3376" s="247" t="s">
        <v>809</v>
      </c>
      <c r="K3376" s="249">
        <v>0</v>
      </c>
      <c r="M3376" s="90">
        <v>0</v>
      </c>
      <c r="N3376" s="90">
        <v>0</v>
      </c>
      <c r="O3376" s="90">
        <v>255</v>
      </c>
    </row>
    <row r="3377" spans="1:15" s="90" customFormat="1" ht="12.75" customHeight="1" x14ac:dyDescent="0.2">
      <c r="A3377" s="247" t="s">
        <v>1072</v>
      </c>
      <c r="B3377" s="316">
        <v>3218</v>
      </c>
      <c r="C3377" s="247" t="s">
        <v>979</v>
      </c>
      <c r="D3377" s="317">
        <v>42676</v>
      </c>
      <c r="E3377" s="318">
        <v>0.22570601851851854</v>
      </c>
      <c r="F3377" s="247" t="s">
        <v>702</v>
      </c>
      <c r="G3377" s="247" t="s">
        <v>1521</v>
      </c>
      <c r="H3377" s="248"/>
      <c r="I3377" s="248"/>
      <c r="J3377" s="247"/>
      <c r="K3377" s="249"/>
      <c r="M3377" s="90">
        <v>0</v>
      </c>
      <c r="N3377" s="90">
        <v>0</v>
      </c>
      <c r="O3377" s="90">
        <v>255</v>
      </c>
    </row>
    <row r="3378" spans="1:15" s="90" customFormat="1" ht="12.75" customHeight="1" x14ac:dyDescent="0.2">
      <c r="A3378" s="247" t="s">
        <v>1073</v>
      </c>
      <c r="B3378" s="316">
        <v>3218</v>
      </c>
      <c r="C3378" s="247" t="s">
        <v>979</v>
      </c>
      <c r="D3378" s="317">
        <v>42676</v>
      </c>
      <c r="E3378" s="318">
        <v>0.22570601851851854</v>
      </c>
      <c r="F3378" s="247" t="s">
        <v>702</v>
      </c>
      <c r="G3378" s="247" t="s">
        <v>1521</v>
      </c>
      <c r="H3378" s="248"/>
      <c r="I3378" s="248"/>
      <c r="J3378" s="247"/>
      <c r="K3378" s="249"/>
      <c r="M3378" s="90">
        <v>0</v>
      </c>
      <c r="N3378" s="90">
        <v>0</v>
      </c>
      <c r="O3378" s="90">
        <v>255</v>
      </c>
    </row>
    <row r="3379" spans="1:15" s="90" customFormat="1" ht="12.75" customHeight="1" x14ac:dyDescent="0.2">
      <c r="A3379" s="247" t="s">
        <v>1526</v>
      </c>
      <c r="B3379" s="316">
        <v>3218</v>
      </c>
      <c r="C3379" s="247" t="s">
        <v>979</v>
      </c>
      <c r="D3379" s="317">
        <v>42676</v>
      </c>
      <c r="E3379" s="318">
        <v>0.22570601851851854</v>
      </c>
      <c r="F3379" s="247" t="s">
        <v>702</v>
      </c>
      <c r="G3379" s="247" t="s">
        <v>1521</v>
      </c>
      <c r="H3379" s="248"/>
      <c r="I3379" s="248"/>
      <c r="J3379" s="247"/>
      <c r="K3379" s="249"/>
      <c r="M3379" s="90">
        <v>0</v>
      </c>
      <c r="N3379" s="90">
        <v>0</v>
      </c>
      <c r="O3379" s="90">
        <v>255</v>
      </c>
    </row>
    <row r="3380" spans="1:15" s="90" customFormat="1" ht="12.75" customHeight="1" x14ac:dyDescent="0.2">
      <c r="A3380" s="247" t="s">
        <v>1527</v>
      </c>
      <c r="B3380" s="316">
        <v>3218</v>
      </c>
      <c r="C3380" s="247" t="s">
        <v>979</v>
      </c>
      <c r="D3380" s="317">
        <v>42676</v>
      </c>
      <c r="E3380" s="318">
        <v>0.22570601851851854</v>
      </c>
      <c r="F3380" s="247" t="s">
        <v>702</v>
      </c>
      <c r="G3380" s="247" t="s">
        <v>1521</v>
      </c>
      <c r="H3380" s="248"/>
      <c r="I3380" s="248"/>
      <c r="J3380" s="247"/>
      <c r="K3380" s="249"/>
      <c r="M3380" s="90">
        <v>0</v>
      </c>
      <c r="N3380" s="90">
        <v>0</v>
      </c>
      <c r="O3380" s="90">
        <v>255</v>
      </c>
    </row>
    <row r="3381" spans="1:15" s="90" customFormat="1" ht="12.75" customHeight="1" x14ac:dyDescent="0.2">
      <c r="A3381" s="247" t="s">
        <v>1528</v>
      </c>
      <c r="B3381" s="316">
        <v>3218</v>
      </c>
      <c r="C3381" s="247" t="s">
        <v>979</v>
      </c>
      <c r="D3381" s="317">
        <v>42676</v>
      </c>
      <c r="E3381" s="318">
        <v>0.22570601851851854</v>
      </c>
      <c r="F3381" s="247" t="s">
        <v>702</v>
      </c>
      <c r="G3381" s="247" t="s">
        <v>1521</v>
      </c>
      <c r="H3381" s="248"/>
      <c r="I3381" s="248"/>
      <c r="J3381" s="247"/>
      <c r="K3381" s="249"/>
      <c r="M3381" s="90">
        <v>0</v>
      </c>
      <c r="N3381" s="90">
        <v>0</v>
      </c>
      <c r="O3381" s="90">
        <v>255</v>
      </c>
    </row>
    <row r="3382" spans="1:15" s="90" customFormat="1" ht="12.75" customHeight="1" x14ac:dyDescent="0.2">
      <c r="A3382" s="247" t="s">
        <v>1529</v>
      </c>
      <c r="B3382" s="316">
        <v>3218</v>
      </c>
      <c r="C3382" s="247" t="s">
        <v>979</v>
      </c>
      <c r="D3382" s="317">
        <v>42676</v>
      </c>
      <c r="E3382" s="318">
        <v>0.22570601851851854</v>
      </c>
      <c r="F3382" s="247" t="s">
        <v>702</v>
      </c>
      <c r="G3382" s="247" t="s">
        <v>1521</v>
      </c>
      <c r="H3382" s="248"/>
      <c r="I3382" s="248"/>
      <c r="J3382" s="247"/>
      <c r="K3382" s="249"/>
      <c r="M3382" s="90">
        <v>0</v>
      </c>
      <c r="N3382" s="90">
        <v>0</v>
      </c>
      <c r="O3382" s="90">
        <v>255</v>
      </c>
    </row>
    <row r="3383" spans="1:15" s="90" customFormat="1" ht="12.75" customHeight="1" x14ac:dyDescent="0.2">
      <c r="A3383" s="247" t="s">
        <v>1031</v>
      </c>
      <c r="B3383" s="316">
        <v>3046</v>
      </c>
      <c r="C3383" s="247" t="s">
        <v>975</v>
      </c>
      <c r="D3383" s="317">
        <v>42676</v>
      </c>
      <c r="E3383" s="318">
        <v>0.22592592592592595</v>
      </c>
      <c r="F3383" s="247" t="s">
        <v>976</v>
      </c>
      <c r="G3383" s="247" t="s">
        <v>1521</v>
      </c>
      <c r="H3383" s="248" t="s">
        <v>404</v>
      </c>
      <c r="I3383" s="248" t="s">
        <v>404</v>
      </c>
      <c r="J3383" s="247" t="s">
        <v>809</v>
      </c>
      <c r="K3383" s="249">
        <v>0</v>
      </c>
      <c r="M3383" s="90">
        <v>0</v>
      </c>
      <c r="N3383" s="90">
        <v>0</v>
      </c>
      <c r="O3383" s="90">
        <v>255</v>
      </c>
    </row>
    <row r="3384" spans="1:15" s="90" customFormat="1" ht="12.75" customHeight="1" x14ac:dyDescent="0.2">
      <c r="A3384" s="247" t="s">
        <v>1211</v>
      </c>
      <c r="B3384" s="316">
        <v>3088</v>
      </c>
      <c r="C3384" s="247" t="s">
        <v>979</v>
      </c>
      <c r="D3384" s="317">
        <v>42676</v>
      </c>
      <c r="E3384" s="318">
        <v>0.22953703703703701</v>
      </c>
      <c r="F3384" s="247" t="s">
        <v>656</v>
      </c>
      <c r="G3384" s="247" t="s">
        <v>1521</v>
      </c>
      <c r="H3384" s="248" t="s">
        <v>234</v>
      </c>
      <c r="I3384" s="248" t="s">
        <v>702</v>
      </c>
      <c r="J3384" s="247" t="s">
        <v>809</v>
      </c>
      <c r="K3384" s="249">
        <v>0</v>
      </c>
      <c r="M3384" s="90">
        <v>0</v>
      </c>
      <c r="N3384" s="90">
        <v>0</v>
      </c>
      <c r="O3384" s="90">
        <v>255</v>
      </c>
    </row>
    <row r="3385" spans="1:15" s="90" customFormat="1" ht="12.75" customHeight="1" x14ac:dyDescent="0.2">
      <c r="A3385" s="247" t="s">
        <v>1032</v>
      </c>
      <c r="B3385" s="316">
        <v>3046</v>
      </c>
      <c r="C3385" s="247" t="s">
        <v>975</v>
      </c>
      <c r="D3385" s="317">
        <v>42676</v>
      </c>
      <c r="E3385" s="318">
        <v>0.22998842592592594</v>
      </c>
      <c r="F3385" s="247" t="s">
        <v>976</v>
      </c>
      <c r="G3385" s="247" t="s">
        <v>1521</v>
      </c>
      <c r="H3385" s="248" t="s">
        <v>404</v>
      </c>
      <c r="I3385" s="248" t="s">
        <v>404</v>
      </c>
      <c r="J3385" s="247" t="s">
        <v>809</v>
      </c>
      <c r="K3385" s="249">
        <v>0</v>
      </c>
      <c r="M3385" s="90">
        <v>0</v>
      </c>
      <c r="N3385" s="90">
        <v>0</v>
      </c>
      <c r="O3385" s="90">
        <v>255</v>
      </c>
    </row>
    <row r="3386" spans="1:15" s="90" customFormat="1" ht="12.75" customHeight="1" x14ac:dyDescent="0.2">
      <c r="A3386" s="247" t="s">
        <v>989</v>
      </c>
      <c r="B3386" s="316">
        <v>3046</v>
      </c>
      <c r="C3386" s="247" t="s">
        <v>975</v>
      </c>
      <c r="D3386" s="317">
        <v>42676</v>
      </c>
      <c r="E3386" s="318">
        <v>0.22998842592592594</v>
      </c>
      <c r="F3386" s="247" t="s">
        <v>976</v>
      </c>
      <c r="G3386" s="247" t="s">
        <v>1521</v>
      </c>
      <c r="H3386" s="248" t="s">
        <v>404</v>
      </c>
      <c r="I3386" s="248" t="s">
        <v>404</v>
      </c>
      <c r="J3386" s="247" t="s">
        <v>809</v>
      </c>
      <c r="K3386" s="249">
        <v>0</v>
      </c>
      <c r="M3386" s="90">
        <v>0</v>
      </c>
      <c r="N3386" s="90">
        <v>0</v>
      </c>
      <c r="O3386" s="90">
        <v>255</v>
      </c>
    </row>
    <row r="3387" spans="1:15" s="90" customFormat="1" ht="12.75" customHeight="1" x14ac:dyDescent="0.2">
      <c r="A3387" s="247" t="s">
        <v>990</v>
      </c>
      <c r="B3387" s="316">
        <v>3046</v>
      </c>
      <c r="C3387" s="247" t="s">
        <v>975</v>
      </c>
      <c r="D3387" s="317">
        <v>42676</v>
      </c>
      <c r="E3387" s="318">
        <v>0.23028935185185184</v>
      </c>
      <c r="F3387" s="247" t="s">
        <v>976</v>
      </c>
      <c r="G3387" s="247" t="s">
        <v>1521</v>
      </c>
      <c r="H3387" s="248" t="s">
        <v>404</v>
      </c>
      <c r="I3387" s="248" t="s">
        <v>404</v>
      </c>
      <c r="J3387" s="247" t="s">
        <v>809</v>
      </c>
      <c r="K3387" s="249">
        <v>0</v>
      </c>
      <c r="M3387" s="90">
        <v>0</v>
      </c>
      <c r="N3387" s="90">
        <v>0</v>
      </c>
      <c r="O3387" s="90">
        <v>255</v>
      </c>
    </row>
    <row r="3388" spans="1:15" s="90" customFormat="1" ht="12.75" customHeight="1" x14ac:dyDescent="0.2">
      <c r="A3388" s="247" t="s">
        <v>1033</v>
      </c>
      <c r="B3388" s="316">
        <v>3217</v>
      </c>
      <c r="C3388" s="247" t="s">
        <v>975</v>
      </c>
      <c r="D3388" s="317">
        <v>42676</v>
      </c>
      <c r="E3388" s="318">
        <v>0.23028935185185184</v>
      </c>
      <c r="F3388" s="247" t="s">
        <v>235</v>
      </c>
      <c r="G3388" s="247" t="s">
        <v>1521</v>
      </c>
      <c r="H3388" s="248" t="s">
        <v>234</v>
      </c>
      <c r="I3388" s="248" t="s">
        <v>235</v>
      </c>
      <c r="J3388" s="247" t="s">
        <v>809</v>
      </c>
      <c r="K3388" s="249">
        <v>0</v>
      </c>
      <c r="M3388" s="90">
        <v>0</v>
      </c>
      <c r="N3388" s="90">
        <v>0</v>
      </c>
      <c r="O3388" s="90">
        <v>255</v>
      </c>
    </row>
    <row r="3389" spans="1:15" s="90" customFormat="1" ht="12.75" customHeight="1" x14ac:dyDescent="0.2">
      <c r="A3389" s="247" t="s">
        <v>1530</v>
      </c>
      <c r="B3389" s="316">
        <v>3218</v>
      </c>
      <c r="C3389" s="247" t="s">
        <v>979</v>
      </c>
      <c r="D3389" s="317">
        <v>42676</v>
      </c>
      <c r="E3389" s="318">
        <v>0.23086805555555556</v>
      </c>
      <c r="F3389" s="247" t="s">
        <v>702</v>
      </c>
      <c r="G3389" s="247" t="s">
        <v>1521</v>
      </c>
      <c r="H3389" s="248"/>
      <c r="I3389" s="248"/>
      <c r="J3389" s="247"/>
      <c r="K3389" s="249"/>
      <c r="M3389" s="90">
        <v>0</v>
      </c>
      <c r="N3389" s="90">
        <v>0</v>
      </c>
      <c r="O3389" s="90">
        <v>255</v>
      </c>
    </row>
    <row r="3390" spans="1:15" s="90" customFormat="1" ht="12.75" customHeight="1" x14ac:dyDescent="0.2">
      <c r="A3390" s="247" t="s">
        <v>1031</v>
      </c>
      <c r="B3390" s="316">
        <v>3046</v>
      </c>
      <c r="C3390" s="247" t="s">
        <v>975</v>
      </c>
      <c r="D3390" s="317">
        <v>42676</v>
      </c>
      <c r="E3390" s="318">
        <v>0.23097222222222222</v>
      </c>
      <c r="F3390" s="247" t="s">
        <v>976</v>
      </c>
      <c r="G3390" s="247" t="s">
        <v>1521</v>
      </c>
      <c r="H3390" s="248" t="s">
        <v>404</v>
      </c>
      <c r="I3390" s="248" t="s">
        <v>404</v>
      </c>
      <c r="J3390" s="247" t="s">
        <v>809</v>
      </c>
      <c r="K3390" s="249">
        <v>0</v>
      </c>
      <c r="M3390" s="90">
        <v>0</v>
      </c>
      <c r="N3390" s="90">
        <v>0</v>
      </c>
      <c r="O3390" s="90">
        <v>255</v>
      </c>
    </row>
    <row r="3391" spans="1:15" s="90" customFormat="1" ht="12.75" customHeight="1" x14ac:dyDescent="0.2">
      <c r="A3391" s="247" t="s">
        <v>1531</v>
      </c>
      <c r="B3391" s="316">
        <v>3037</v>
      </c>
      <c r="C3391" s="247" t="s">
        <v>996</v>
      </c>
      <c r="D3391" s="317">
        <v>42676</v>
      </c>
      <c r="E3391" s="318">
        <v>0.23113425925925926</v>
      </c>
      <c r="F3391" s="247" t="s">
        <v>980</v>
      </c>
      <c r="G3391" s="247" t="s">
        <v>1521</v>
      </c>
      <c r="H3391" s="248" t="s">
        <v>234</v>
      </c>
      <c r="I3391" s="248" t="s">
        <v>263</v>
      </c>
      <c r="J3391" s="247" t="s">
        <v>809</v>
      </c>
      <c r="K3391" s="249">
        <v>0</v>
      </c>
      <c r="M3391" s="90">
        <v>0</v>
      </c>
      <c r="N3391" s="90">
        <v>0</v>
      </c>
      <c r="O3391" s="90">
        <v>255</v>
      </c>
    </row>
    <row r="3392" spans="1:15" s="90" customFormat="1" ht="12.75" customHeight="1" x14ac:dyDescent="0.2">
      <c r="A3392" s="247" t="s">
        <v>1532</v>
      </c>
      <c r="B3392" s="316">
        <v>3037</v>
      </c>
      <c r="C3392" s="247" t="s">
        <v>996</v>
      </c>
      <c r="D3392" s="317">
        <v>42676</v>
      </c>
      <c r="E3392" s="318">
        <v>0.23113425925925926</v>
      </c>
      <c r="F3392" s="247" t="s">
        <v>980</v>
      </c>
      <c r="G3392" s="247" t="s">
        <v>1521</v>
      </c>
      <c r="H3392" s="248" t="s">
        <v>234</v>
      </c>
      <c r="I3392" s="248" t="s">
        <v>263</v>
      </c>
      <c r="J3392" s="247" t="s">
        <v>809</v>
      </c>
      <c r="K3392" s="249">
        <v>0</v>
      </c>
      <c r="M3392" s="90">
        <v>0</v>
      </c>
      <c r="N3392" s="90">
        <v>0</v>
      </c>
      <c r="O3392" s="90">
        <v>255</v>
      </c>
    </row>
    <row r="3393" spans="1:15" s="90" customFormat="1" ht="12.75" customHeight="1" x14ac:dyDescent="0.2">
      <c r="A3393" s="247" t="s">
        <v>1533</v>
      </c>
      <c r="B3393" s="316">
        <v>3037</v>
      </c>
      <c r="C3393" s="247" t="s">
        <v>996</v>
      </c>
      <c r="D3393" s="317">
        <v>42676</v>
      </c>
      <c r="E3393" s="318">
        <v>0.23113425925925926</v>
      </c>
      <c r="F3393" s="247" t="s">
        <v>980</v>
      </c>
      <c r="G3393" s="247" t="s">
        <v>1521</v>
      </c>
      <c r="H3393" s="248" t="s">
        <v>234</v>
      </c>
      <c r="I3393" s="248" t="s">
        <v>263</v>
      </c>
      <c r="J3393" s="247" t="s">
        <v>809</v>
      </c>
      <c r="K3393" s="249">
        <v>0</v>
      </c>
      <c r="M3393" s="90">
        <v>0</v>
      </c>
      <c r="N3393" s="90">
        <v>0</v>
      </c>
      <c r="O3393" s="90">
        <v>255</v>
      </c>
    </row>
    <row r="3394" spans="1:15" s="90" customFormat="1" ht="12.75" customHeight="1" x14ac:dyDescent="0.2">
      <c r="A3394" s="247" t="s">
        <v>1534</v>
      </c>
      <c r="B3394" s="316">
        <v>3037</v>
      </c>
      <c r="C3394" s="247" t="s">
        <v>996</v>
      </c>
      <c r="D3394" s="317">
        <v>42676</v>
      </c>
      <c r="E3394" s="318">
        <v>0.23113425925925926</v>
      </c>
      <c r="F3394" s="247" t="s">
        <v>980</v>
      </c>
      <c r="G3394" s="247" t="s">
        <v>1521</v>
      </c>
      <c r="H3394" s="248" t="s">
        <v>234</v>
      </c>
      <c r="I3394" s="248" t="s">
        <v>263</v>
      </c>
      <c r="J3394" s="247" t="s">
        <v>809</v>
      </c>
      <c r="K3394" s="249">
        <v>0</v>
      </c>
      <c r="M3394" s="90">
        <v>0</v>
      </c>
      <c r="N3394" s="90">
        <v>0</v>
      </c>
      <c r="O3394" s="90">
        <v>255</v>
      </c>
    </row>
    <row r="3395" spans="1:15" s="90" customFormat="1" ht="12.75" customHeight="1" x14ac:dyDescent="0.2">
      <c r="A3395" s="247" t="s">
        <v>1535</v>
      </c>
      <c r="B3395" s="316">
        <v>3037</v>
      </c>
      <c r="C3395" s="247" t="s">
        <v>996</v>
      </c>
      <c r="D3395" s="317">
        <v>42676</v>
      </c>
      <c r="E3395" s="318">
        <v>0.23113425925925926</v>
      </c>
      <c r="F3395" s="247" t="s">
        <v>980</v>
      </c>
      <c r="G3395" s="247" t="s">
        <v>1521</v>
      </c>
      <c r="H3395" s="248" t="s">
        <v>234</v>
      </c>
      <c r="I3395" s="248" t="s">
        <v>263</v>
      </c>
      <c r="J3395" s="247" t="s">
        <v>809</v>
      </c>
      <c r="K3395" s="249">
        <v>0</v>
      </c>
      <c r="M3395" s="90">
        <v>0</v>
      </c>
      <c r="N3395" s="90">
        <v>0</v>
      </c>
      <c r="O3395" s="90">
        <v>255</v>
      </c>
    </row>
    <row r="3396" spans="1:15" s="90" customFormat="1" ht="12.75" customHeight="1" x14ac:dyDescent="0.2">
      <c r="A3396" s="247" t="s">
        <v>1032</v>
      </c>
      <c r="B3396" s="316">
        <v>3046</v>
      </c>
      <c r="C3396" s="247" t="s">
        <v>975</v>
      </c>
      <c r="D3396" s="317">
        <v>42676</v>
      </c>
      <c r="E3396" s="318">
        <v>0.23480324074074074</v>
      </c>
      <c r="F3396" s="247" t="s">
        <v>976</v>
      </c>
      <c r="G3396" s="247" t="s">
        <v>1521</v>
      </c>
      <c r="H3396" s="248" t="s">
        <v>404</v>
      </c>
      <c r="I3396" s="248" t="s">
        <v>404</v>
      </c>
      <c r="J3396" s="247" t="s">
        <v>809</v>
      </c>
      <c r="K3396" s="249">
        <v>0</v>
      </c>
      <c r="M3396" s="90">
        <v>0</v>
      </c>
      <c r="N3396" s="90">
        <v>0</v>
      </c>
      <c r="O3396" s="90">
        <v>255</v>
      </c>
    </row>
    <row r="3397" spans="1:15" s="90" customFormat="1" ht="12.75" customHeight="1" x14ac:dyDescent="0.2">
      <c r="A3397" s="247" t="s">
        <v>989</v>
      </c>
      <c r="B3397" s="316">
        <v>3046</v>
      </c>
      <c r="C3397" s="247" t="s">
        <v>975</v>
      </c>
      <c r="D3397" s="317">
        <v>42676</v>
      </c>
      <c r="E3397" s="318">
        <v>0.23481481481481481</v>
      </c>
      <c r="F3397" s="247" t="s">
        <v>976</v>
      </c>
      <c r="G3397" s="247" t="s">
        <v>1521</v>
      </c>
      <c r="H3397" s="248" t="s">
        <v>404</v>
      </c>
      <c r="I3397" s="248" t="s">
        <v>404</v>
      </c>
      <c r="J3397" s="247" t="s">
        <v>809</v>
      </c>
      <c r="K3397" s="249">
        <v>0</v>
      </c>
      <c r="M3397" s="90">
        <v>0</v>
      </c>
      <c r="N3397" s="90">
        <v>0</v>
      </c>
      <c r="O3397" s="90">
        <v>255</v>
      </c>
    </row>
    <row r="3398" spans="1:15" s="90" customFormat="1" ht="12.75" customHeight="1" x14ac:dyDescent="0.2">
      <c r="A3398" s="247" t="s">
        <v>990</v>
      </c>
      <c r="B3398" s="316">
        <v>3046</v>
      </c>
      <c r="C3398" s="247" t="s">
        <v>975</v>
      </c>
      <c r="D3398" s="317">
        <v>42676</v>
      </c>
      <c r="E3398" s="318">
        <v>0.23517361111111112</v>
      </c>
      <c r="F3398" s="247" t="s">
        <v>976</v>
      </c>
      <c r="G3398" s="247" t="s">
        <v>1521</v>
      </c>
      <c r="H3398" s="248" t="s">
        <v>404</v>
      </c>
      <c r="I3398" s="248" t="s">
        <v>404</v>
      </c>
      <c r="J3398" s="247" t="s">
        <v>809</v>
      </c>
      <c r="K3398" s="249">
        <v>0</v>
      </c>
      <c r="M3398" s="90">
        <v>0</v>
      </c>
      <c r="N3398" s="90">
        <v>0</v>
      </c>
      <c r="O3398" s="90">
        <v>255</v>
      </c>
    </row>
    <row r="3399" spans="1:15" s="90" customFormat="1" ht="12.75" customHeight="1" x14ac:dyDescent="0.2">
      <c r="A3399" s="247" t="s">
        <v>1033</v>
      </c>
      <c r="B3399" s="316">
        <v>3217</v>
      </c>
      <c r="C3399" s="247" t="s">
        <v>975</v>
      </c>
      <c r="D3399" s="317">
        <v>42676</v>
      </c>
      <c r="E3399" s="318">
        <v>0.23517361111111112</v>
      </c>
      <c r="F3399" s="247" t="s">
        <v>235</v>
      </c>
      <c r="G3399" s="247" t="s">
        <v>1521</v>
      </c>
      <c r="H3399" s="248" t="s">
        <v>234</v>
      </c>
      <c r="I3399" s="248" t="s">
        <v>235</v>
      </c>
      <c r="J3399" s="247" t="s">
        <v>809</v>
      </c>
      <c r="K3399" s="249">
        <v>0</v>
      </c>
      <c r="M3399" s="90">
        <v>0</v>
      </c>
      <c r="N3399" s="90">
        <v>0</v>
      </c>
      <c r="O3399" s="90">
        <v>255</v>
      </c>
    </row>
    <row r="3400" spans="1:15" s="90" customFormat="1" ht="12.75" customHeight="1" x14ac:dyDescent="0.2">
      <c r="A3400" s="247" t="s">
        <v>1064</v>
      </c>
      <c r="B3400" s="316">
        <v>3046</v>
      </c>
      <c r="C3400" s="247" t="s">
        <v>975</v>
      </c>
      <c r="D3400" s="317">
        <v>42676</v>
      </c>
      <c r="E3400" s="318">
        <v>0.23609953703703704</v>
      </c>
      <c r="F3400" s="247" t="s">
        <v>976</v>
      </c>
      <c r="G3400" s="247" t="s">
        <v>1521</v>
      </c>
      <c r="H3400" s="248" t="s">
        <v>404</v>
      </c>
      <c r="I3400" s="248" t="s">
        <v>404</v>
      </c>
      <c r="J3400" s="247" t="s">
        <v>809</v>
      </c>
      <c r="K3400" s="249">
        <v>0</v>
      </c>
      <c r="M3400" s="90">
        <v>0</v>
      </c>
      <c r="N3400" s="90">
        <v>0</v>
      </c>
      <c r="O3400" s="90">
        <v>255</v>
      </c>
    </row>
    <row r="3401" spans="1:15" s="90" customFormat="1" ht="12.75" customHeight="1" x14ac:dyDescent="0.2">
      <c r="A3401" s="247" t="s">
        <v>385</v>
      </c>
      <c r="B3401" s="316">
        <v>4056</v>
      </c>
      <c r="C3401" s="247" t="s">
        <v>979</v>
      </c>
      <c r="D3401" s="317">
        <v>42676</v>
      </c>
      <c r="E3401" s="318">
        <v>0.23609953703703704</v>
      </c>
      <c r="F3401" s="247" t="s">
        <v>702</v>
      </c>
      <c r="G3401" s="247" t="s">
        <v>1521</v>
      </c>
      <c r="H3401" s="248" t="s">
        <v>4</v>
      </c>
      <c r="I3401" s="248" t="s">
        <v>18</v>
      </c>
      <c r="J3401" s="247" t="s">
        <v>809</v>
      </c>
      <c r="K3401" s="249">
        <v>0</v>
      </c>
      <c r="L3401" s="90" t="s">
        <v>1776</v>
      </c>
      <c r="M3401" s="90">
        <v>569</v>
      </c>
      <c r="N3401" s="90">
        <v>-1</v>
      </c>
      <c r="O3401" s="90">
        <v>0</v>
      </c>
    </row>
    <row r="3402" spans="1:15" s="90" customFormat="1" ht="12.75" customHeight="1" x14ac:dyDescent="0.2">
      <c r="A3402" s="247" t="s">
        <v>1000</v>
      </c>
      <c r="B3402" s="316">
        <v>3046</v>
      </c>
      <c r="C3402" s="247" t="s">
        <v>975</v>
      </c>
      <c r="D3402" s="317">
        <v>42676</v>
      </c>
      <c r="E3402" s="318">
        <v>0.23736111111111111</v>
      </c>
      <c r="F3402" s="247" t="s">
        <v>976</v>
      </c>
      <c r="G3402" s="247" t="s">
        <v>1521</v>
      </c>
      <c r="H3402" s="248" t="s">
        <v>404</v>
      </c>
      <c r="I3402" s="248" t="s">
        <v>404</v>
      </c>
      <c r="J3402" s="247" t="s">
        <v>809</v>
      </c>
      <c r="K3402" s="249">
        <v>0</v>
      </c>
      <c r="M3402" s="90">
        <v>0</v>
      </c>
      <c r="N3402" s="90">
        <v>0</v>
      </c>
      <c r="O3402" s="90">
        <v>255</v>
      </c>
    </row>
    <row r="3403" spans="1:15" s="90" customFormat="1" ht="12.75" customHeight="1" x14ac:dyDescent="0.2">
      <c r="A3403" s="247" t="s">
        <v>1031</v>
      </c>
      <c r="B3403" s="316">
        <v>3046</v>
      </c>
      <c r="C3403" s="247" t="s">
        <v>975</v>
      </c>
      <c r="D3403" s="317">
        <v>42676</v>
      </c>
      <c r="E3403" s="318">
        <v>0.23748842592592592</v>
      </c>
      <c r="F3403" s="247" t="s">
        <v>976</v>
      </c>
      <c r="G3403" s="247" t="s">
        <v>1521</v>
      </c>
      <c r="H3403" s="248" t="s">
        <v>404</v>
      </c>
      <c r="I3403" s="248" t="s">
        <v>404</v>
      </c>
      <c r="J3403" s="247" t="s">
        <v>809</v>
      </c>
      <c r="K3403" s="249">
        <v>0</v>
      </c>
      <c r="M3403" s="90">
        <v>0</v>
      </c>
      <c r="N3403" s="90">
        <v>0</v>
      </c>
      <c r="O3403" s="90">
        <v>255</v>
      </c>
    </row>
    <row r="3404" spans="1:15" s="90" customFormat="1" ht="12.75" customHeight="1" x14ac:dyDescent="0.2">
      <c r="A3404" s="247" t="s">
        <v>1032</v>
      </c>
      <c r="B3404" s="316">
        <v>3046</v>
      </c>
      <c r="C3404" s="247" t="s">
        <v>975</v>
      </c>
      <c r="D3404" s="317">
        <v>42676</v>
      </c>
      <c r="E3404" s="318">
        <v>0.23961805555555557</v>
      </c>
      <c r="F3404" s="247" t="s">
        <v>976</v>
      </c>
      <c r="G3404" s="247" t="s">
        <v>1521</v>
      </c>
      <c r="H3404" s="248" t="s">
        <v>404</v>
      </c>
      <c r="I3404" s="248" t="s">
        <v>404</v>
      </c>
      <c r="J3404" s="247" t="s">
        <v>809</v>
      </c>
      <c r="K3404" s="249">
        <v>0</v>
      </c>
      <c r="M3404" s="90">
        <v>0</v>
      </c>
      <c r="N3404" s="90">
        <v>0</v>
      </c>
      <c r="O3404" s="90">
        <v>255</v>
      </c>
    </row>
    <row r="3405" spans="1:15" s="90" customFormat="1" ht="12.75" customHeight="1" x14ac:dyDescent="0.2">
      <c r="A3405" s="247" t="s">
        <v>989</v>
      </c>
      <c r="B3405" s="316">
        <v>3046</v>
      </c>
      <c r="C3405" s="247" t="s">
        <v>975</v>
      </c>
      <c r="D3405" s="317">
        <v>42676</v>
      </c>
      <c r="E3405" s="318">
        <v>0.23961805555555557</v>
      </c>
      <c r="F3405" s="247" t="s">
        <v>976</v>
      </c>
      <c r="G3405" s="247" t="s">
        <v>1521</v>
      </c>
      <c r="H3405" s="248" t="s">
        <v>404</v>
      </c>
      <c r="I3405" s="248" t="s">
        <v>404</v>
      </c>
      <c r="J3405" s="247" t="s">
        <v>809</v>
      </c>
      <c r="K3405" s="249">
        <v>0</v>
      </c>
      <c r="M3405" s="90">
        <v>0</v>
      </c>
      <c r="N3405" s="90">
        <v>0</v>
      </c>
      <c r="O3405" s="90">
        <v>255</v>
      </c>
    </row>
    <row r="3406" spans="1:15" s="90" customFormat="1" ht="12.75" customHeight="1" x14ac:dyDescent="0.2">
      <c r="A3406" s="247" t="s">
        <v>990</v>
      </c>
      <c r="B3406" s="316">
        <v>3046</v>
      </c>
      <c r="C3406" s="247" t="s">
        <v>975</v>
      </c>
      <c r="D3406" s="317">
        <v>42676</v>
      </c>
      <c r="E3406" s="318">
        <v>0.2399189814814815</v>
      </c>
      <c r="F3406" s="247" t="s">
        <v>976</v>
      </c>
      <c r="G3406" s="247" t="s">
        <v>1521</v>
      </c>
      <c r="H3406" s="248" t="s">
        <v>404</v>
      </c>
      <c r="I3406" s="248" t="s">
        <v>404</v>
      </c>
      <c r="J3406" s="247" t="s">
        <v>809</v>
      </c>
      <c r="K3406" s="249">
        <v>0</v>
      </c>
      <c r="M3406" s="90">
        <v>0</v>
      </c>
      <c r="N3406" s="90">
        <v>0</v>
      </c>
      <c r="O3406" s="90">
        <v>255</v>
      </c>
    </row>
    <row r="3407" spans="1:15" s="90" customFormat="1" ht="12.75" customHeight="1" x14ac:dyDescent="0.2">
      <c r="A3407" s="247" t="s">
        <v>1033</v>
      </c>
      <c r="B3407" s="316">
        <v>3217</v>
      </c>
      <c r="C3407" s="247" t="s">
        <v>975</v>
      </c>
      <c r="D3407" s="317">
        <v>42676</v>
      </c>
      <c r="E3407" s="318">
        <v>0.2399189814814815</v>
      </c>
      <c r="F3407" s="247" t="s">
        <v>235</v>
      </c>
      <c r="G3407" s="247" t="s">
        <v>1521</v>
      </c>
      <c r="H3407" s="248" t="s">
        <v>234</v>
      </c>
      <c r="I3407" s="248" t="s">
        <v>235</v>
      </c>
      <c r="J3407" s="247" t="s">
        <v>809</v>
      </c>
      <c r="K3407" s="249">
        <v>0</v>
      </c>
      <c r="M3407" s="90">
        <v>0</v>
      </c>
      <c r="N3407" s="90">
        <v>0</v>
      </c>
      <c r="O3407" s="90">
        <v>255</v>
      </c>
    </row>
    <row r="3408" spans="1:15" s="90" customFormat="1" ht="12.75" customHeight="1" x14ac:dyDescent="0.2">
      <c r="A3408" s="247" t="s">
        <v>1072</v>
      </c>
      <c r="B3408" s="316">
        <v>3218</v>
      </c>
      <c r="C3408" s="247" t="s">
        <v>979</v>
      </c>
      <c r="D3408" s="317">
        <v>42676</v>
      </c>
      <c r="E3408" s="318">
        <v>0.24052083333333332</v>
      </c>
      <c r="F3408" s="247" t="s">
        <v>702</v>
      </c>
      <c r="G3408" s="247" t="s">
        <v>1521</v>
      </c>
      <c r="H3408" s="248"/>
      <c r="I3408" s="248"/>
      <c r="J3408" s="247"/>
      <c r="K3408" s="249"/>
      <c r="M3408" s="90">
        <v>0</v>
      </c>
      <c r="N3408" s="90">
        <v>0</v>
      </c>
      <c r="O3408" s="90">
        <v>255</v>
      </c>
    </row>
    <row r="3409" spans="1:15" s="90" customFormat="1" ht="12.75" customHeight="1" x14ac:dyDescent="0.2">
      <c r="A3409" s="247" t="s">
        <v>1031</v>
      </c>
      <c r="B3409" s="316">
        <v>3046</v>
      </c>
      <c r="C3409" s="247" t="s">
        <v>975</v>
      </c>
      <c r="D3409" s="317">
        <v>42676</v>
      </c>
      <c r="E3409" s="318">
        <v>0.24060185185185187</v>
      </c>
      <c r="F3409" s="247" t="s">
        <v>976</v>
      </c>
      <c r="G3409" s="247" t="s">
        <v>1521</v>
      </c>
      <c r="H3409" s="248" t="s">
        <v>404</v>
      </c>
      <c r="I3409" s="248" t="s">
        <v>404</v>
      </c>
      <c r="J3409" s="247" t="s">
        <v>809</v>
      </c>
      <c r="K3409" s="249">
        <v>0</v>
      </c>
      <c r="M3409" s="90">
        <v>0</v>
      </c>
      <c r="N3409" s="90">
        <v>0</v>
      </c>
      <c r="O3409" s="90">
        <v>255</v>
      </c>
    </row>
    <row r="3410" spans="1:15" s="90" customFormat="1" ht="12.75" customHeight="1" x14ac:dyDescent="0.2">
      <c r="A3410" s="247" t="s">
        <v>1032</v>
      </c>
      <c r="B3410" s="316">
        <v>3046</v>
      </c>
      <c r="C3410" s="247" t="s">
        <v>975</v>
      </c>
      <c r="D3410" s="317">
        <v>42676</v>
      </c>
      <c r="E3410" s="318">
        <v>0.24270833333333333</v>
      </c>
      <c r="F3410" s="247" t="s">
        <v>976</v>
      </c>
      <c r="G3410" s="247" t="s">
        <v>1521</v>
      </c>
      <c r="H3410" s="248" t="s">
        <v>404</v>
      </c>
      <c r="I3410" s="248" t="s">
        <v>404</v>
      </c>
      <c r="J3410" s="247" t="s">
        <v>809</v>
      </c>
      <c r="K3410" s="249">
        <v>0</v>
      </c>
      <c r="M3410" s="90">
        <v>0</v>
      </c>
      <c r="N3410" s="90">
        <v>0</v>
      </c>
      <c r="O3410" s="90">
        <v>255</v>
      </c>
    </row>
    <row r="3411" spans="1:15" s="90" customFormat="1" ht="12.75" customHeight="1" x14ac:dyDescent="0.2">
      <c r="A3411" s="247" t="s">
        <v>989</v>
      </c>
      <c r="B3411" s="316">
        <v>3046</v>
      </c>
      <c r="C3411" s="247" t="s">
        <v>975</v>
      </c>
      <c r="D3411" s="317">
        <v>42676</v>
      </c>
      <c r="E3411" s="318">
        <v>0.24270833333333333</v>
      </c>
      <c r="F3411" s="247" t="s">
        <v>976</v>
      </c>
      <c r="G3411" s="247" t="s">
        <v>1521</v>
      </c>
      <c r="H3411" s="248" t="s">
        <v>404</v>
      </c>
      <c r="I3411" s="248" t="s">
        <v>404</v>
      </c>
      <c r="J3411" s="247" t="s">
        <v>809</v>
      </c>
      <c r="K3411" s="249">
        <v>0</v>
      </c>
      <c r="M3411" s="90">
        <v>0</v>
      </c>
      <c r="N3411" s="90">
        <v>0</v>
      </c>
      <c r="O3411" s="90">
        <v>255</v>
      </c>
    </row>
    <row r="3412" spans="1:15" s="90" customFormat="1" ht="12.75" customHeight="1" x14ac:dyDescent="0.2">
      <c r="A3412" s="247" t="s">
        <v>990</v>
      </c>
      <c r="B3412" s="316">
        <v>3046</v>
      </c>
      <c r="C3412" s="247" t="s">
        <v>975</v>
      </c>
      <c r="D3412" s="317">
        <v>42676</v>
      </c>
      <c r="E3412" s="318">
        <v>0.24298611111111112</v>
      </c>
      <c r="F3412" s="247" t="s">
        <v>976</v>
      </c>
      <c r="G3412" s="247" t="s">
        <v>1521</v>
      </c>
      <c r="H3412" s="248" t="s">
        <v>404</v>
      </c>
      <c r="I3412" s="248" t="s">
        <v>404</v>
      </c>
      <c r="J3412" s="247" t="s">
        <v>809</v>
      </c>
      <c r="K3412" s="249">
        <v>0</v>
      </c>
      <c r="M3412" s="90">
        <v>0</v>
      </c>
      <c r="N3412" s="90">
        <v>0</v>
      </c>
      <c r="O3412" s="90">
        <v>255</v>
      </c>
    </row>
    <row r="3413" spans="1:15" s="90" customFormat="1" ht="12.75" customHeight="1" x14ac:dyDescent="0.2">
      <c r="A3413" s="247" t="s">
        <v>1033</v>
      </c>
      <c r="B3413" s="316">
        <v>3217</v>
      </c>
      <c r="C3413" s="247" t="s">
        <v>975</v>
      </c>
      <c r="D3413" s="317">
        <v>42676</v>
      </c>
      <c r="E3413" s="318">
        <v>0.24298611111111112</v>
      </c>
      <c r="F3413" s="247" t="s">
        <v>235</v>
      </c>
      <c r="G3413" s="247" t="s">
        <v>1521</v>
      </c>
      <c r="H3413" s="248" t="s">
        <v>234</v>
      </c>
      <c r="I3413" s="248" t="s">
        <v>235</v>
      </c>
      <c r="J3413" s="247" t="s">
        <v>809</v>
      </c>
      <c r="K3413" s="249">
        <v>0</v>
      </c>
      <c r="M3413" s="90">
        <v>0</v>
      </c>
      <c r="N3413" s="90">
        <v>0</v>
      </c>
      <c r="O3413" s="90">
        <v>255</v>
      </c>
    </row>
    <row r="3414" spans="1:15" s="90" customFormat="1" ht="12.75" customHeight="1" x14ac:dyDescent="0.2">
      <c r="A3414" s="247" t="s">
        <v>1435</v>
      </c>
      <c r="B3414" s="316">
        <v>3218</v>
      </c>
      <c r="C3414" s="247" t="s">
        <v>979</v>
      </c>
      <c r="D3414" s="317">
        <v>42676</v>
      </c>
      <c r="E3414" s="318">
        <v>0.24305555555555555</v>
      </c>
      <c r="F3414" s="247" t="s">
        <v>702</v>
      </c>
      <c r="G3414" s="247" t="s">
        <v>1521</v>
      </c>
      <c r="H3414" s="248"/>
      <c r="I3414" s="248"/>
      <c r="J3414" s="247"/>
      <c r="K3414" s="249"/>
      <c r="M3414" s="90">
        <v>0</v>
      </c>
      <c r="N3414" s="90">
        <v>0</v>
      </c>
      <c r="O3414" s="90">
        <v>255</v>
      </c>
    </row>
    <row r="3415" spans="1:15" s="90" customFormat="1" ht="12.75" customHeight="1" x14ac:dyDescent="0.2">
      <c r="A3415" s="247" t="s">
        <v>1031</v>
      </c>
      <c r="B3415" s="316">
        <v>3046</v>
      </c>
      <c r="C3415" s="247" t="s">
        <v>975</v>
      </c>
      <c r="D3415" s="317">
        <v>42676</v>
      </c>
      <c r="E3415" s="318">
        <v>0.24315972222222224</v>
      </c>
      <c r="F3415" s="247" t="s">
        <v>976</v>
      </c>
      <c r="G3415" s="247" t="s">
        <v>1521</v>
      </c>
      <c r="H3415" s="248" t="s">
        <v>404</v>
      </c>
      <c r="I3415" s="248" t="s">
        <v>404</v>
      </c>
      <c r="J3415" s="247" t="s">
        <v>809</v>
      </c>
      <c r="K3415" s="249">
        <v>0</v>
      </c>
      <c r="M3415" s="90">
        <v>0</v>
      </c>
      <c r="N3415" s="90">
        <v>0</v>
      </c>
      <c r="O3415" s="90">
        <v>255</v>
      </c>
    </row>
    <row r="3416" spans="1:15" s="90" customFormat="1" ht="12.75" customHeight="1" x14ac:dyDescent="0.2">
      <c r="A3416" s="247" t="s">
        <v>1536</v>
      </c>
      <c r="B3416" s="316">
        <v>3037</v>
      </c>
      <c r="C3416" s="247" t="s">
        <v>996</v>
      </c>
      <c r="D3416" s="317">
        <v>42676</v>
      </c>
      <c r="E3416" s="318">
        <v>0.24325231481481482</v>
      </c>
      <c r="F3416" s="247" t="s">
        <v>980</v>
      </c>
      <c r="G3416" s="247" t="s">
        <v>1521</v>
      </c>
      <c r="H3416" s="248" t="s">
        <v>234</v>
      </c>
      <c r="I3416" s="248" t="s">
        <v>263</v>
      </c>
      <c r="J3416" s="247" t="s">
        <v>809</v>
      </c>
      <c r="K3416" s="249">
        <v>0</v>
      </c>
      <c r="M3416" s="90">
        <v>0</v>
      </c>
      <c r="N3416" s="90">
        <v>0</v>
      </c>
      <c r="O3416" s="90">
        <v>255</v>
      </c>
    </row>
    <row r="3417" spans="1:15" s="90" customFormat="1" ht="12.75" customHeight="1" x14ac:dyDescent="0.2">
      <c r="A3417" s="247" t="s">
        <v>1537</v>
      </c>
      <c r="B3417" s="316">
        <v>3037</v>
      </c>
      <c r="C3417" s="247" t="s">
        <v>996</v>
      </c>
      <c r="D3417" s="317">
        <v>42676</v>
      </c>
      <c r="E3417" s="318">
        <v>0.24326388888888886</v>
      </c>
      <c r="F3417" s="247" t="s">
        <v>980</v>
      </c>
      <c r="G3417" s="247" t="s">
        <v>1521</v>
      </c>
      <c r="H3417" s="248" t="s">
        <v>234</v>
      </c>
      <c r="I3417" s="248" t="s">
        <v>263</v>
      </c>
      <c r="J3417" s="247" t="s">
        <v>809</v>
      </c>
      <c r="K3417" s="249">
        <v>0</v>
      </c>
      <c r="M3417" s="90">
        <v>0</v>
      </c>
      <c r="N3417" s="90">
        <v>0</v>
      </c>
      <c r="O3417" s="90">
        <v>255</v>
      </c>
    </row>
    <row r="3418" spans="1:15" s="90" customFormat="1" ht="12.75" customHeight="1" x14ac:dyDescent="0.2">
      <c r="A3418" s="247" t="s">
        <v>1032</v>
      </c>
      <c r="B3418" s="316">
        <v>3046</v>
      </c>
      <c r="C3418" s="247" t="s">
        <v>975</v>
      </c>
      <c r="D3418" s="317">
        <v>42676</v>
      </c>
      <c r="E3418" s="318">
        <v>0.24888888888888891</v>
      </c>
      <c r="F3418" s="247" t="s">
        <v>976</v>
      </c>
      <c r="G3418" s="247" t="s">
        <v>1521</v>
      </c>
      <c r="H3418" s="248" t="s">
        <v>404</v>
      </c>
      <c r="I3418" s="248" t="s">
        <v>404</v>
      </c>
      <c r="J3418" s="247" t="s">
        <v>809</v>
      </c>
      <c r="K3418" s="249">
        <v>0</v>
      </c>
      <c r="M3418" s="90">
        <v>0</v>
      </c>
      <c r="N3418" s="90">
        <v>0</v>
      </c>
      <c r="O3418" s="90">
        <v>255</v>
      </c>
    </row>
    <row r="3419" spans="1:15" s="90" customFormat="1" ht="12.75" customHeight="1" x14ac:dyDescent="0.2">
      <c r="A3419" s="247" t="s">
        <v>989</v>
      </c>
      <c r="B3419" s="316">
        <v>3046</v>
      </c>
      <c r="C3419" s="247" t="s">
        <v>975</v>
      </c>
      <c r="D3419" s="317">
        <v>42676</v>
      </c>
      <c r="E3419" s="318">
        <v>0.24888888888888891</v>
      </c>
      <c r="F3419" s="247" t="s">
        <v>976</v>
      </c>
      <c r="G3419" s="247" t="s">
        <v>1521</v>
      </c>
      <c r="H3419" s="248" t="s">
        <v>404</v>
      </c>
      <c r="I3419" s="248" t="s">
        <v>404</v>
      </c>
      <c r="J3419" s="247" t="s">
        <v>809</v>
      </c>
      <c r="K3419" s="249">
        <v>0</v>
      </c>
      <c r="M3419" s="90">
        <v>0</v>
      </c>
      <c r="N3419" s="90">
        <v>0</v>
      </c>
      <c r="O3419" s="90">
        <v>255</v>
      </c>
    </row>
    <row r="3420" spans="1:15" s="90" customFormat="1" ht="12.75" customHeight="1" x14ac:dyDescent="0.2">
      <c r="A3420" s="247" t="s">
        <v>1033</v>
      </c>
      <c r="B3420" s="316">
        <v>3217</v>
      </c>
      <c r="C3420" s="247" t="s">
        <v>975</v>
      </c>
      <c r="D3420" s="317">
        <v>42676</v>
      </c>
      <c r="E3420" s="318">
        <v>0.24920138888888888</v>
      </c>
      <c r="F3420" s="247" t="s">
        <v>235</v>
      </c>
      <c r="G3420" s="247" t="s">
        <v>1521</v>
      </c>
      <c r="H3420" s="248" t="s">
        <v>234</v>
      </c>
      <c r="I3420" s="248" t="s">
        <v>235</v>
      </c>
      <c r="J3420" s="247" t="s">
        <v>809</v>
      </c>
      <c r="K3420" s="249">
        <v>0</v>
      </c>
      <c r="M3420" s="90">
        <v>0</v>
      </c>
      <c r="N3420" s="90">
        <v>0</v>
      </c>
      <c r="O3420" s="90">
        <v>255</v>
      </c>
    </row>
    <row r="3421" spans="1:15" s="90" customFormat="1" ht="12.75" customHeight="1" x14ac:dyDescent="0.2">
      <c r="A3421" s="247" t="s">
        <v>990</v>
      </c>
      <c r="B3421" s="316">
        <v>3046</v>
      </c>
      <c r="C3421" s="247" t="s">
        <v>975</v>
      </c>
      <c r="D3421" s="317">
        <v>42676</v>
      </c>
      <c r="E3421" s="318">
        <v>0.24921296296296294</v>
      </c>
      <c r="F3421" s="247" t="s">
        <v>976</v>
      </c>
      <c r="G3421" s="247" t="s">
        <v>1521</v>
      </c>
      <c r="H3421" s="248" t="s">
        <v>404</v>
      </c>
      <c r="I3421" s="248" t="s">
        <v>404</v>
      </c>
      <c r="J3421" s="247" t="s">
        <v>809</v>
      </c>
      <c r="K3421" s="249">
        <v>0</v>
      </c>
      <c r="M3421" s="90">
        <v>0</v>
      </c>
      <c r="N3421" s="90">
        <v>0</v>
      </c>
      <c r="O3421" s="90">
        <v>255</v>
      </c>
    </row>
    <row r="3422" spans="1:15" s="90" customFormat="1" ht="12.75" customHeight="1" x14ac:dyDescent="0.2">
      <c r="A3422" s="247" t="s">
        <v>1031</v>
      </c>
      <c r="B3422" s="316">
        <v>3046</v>
      </c>
      <c r="C3422" s="247" t="s">
        <v>975</v>
      </c>
      <c r="D3422" s="317">
        <v>42676</v>
      </c>
      <c r="E3422" s="318">
        <v>0.24984953703703705</v>
      </c>
      <c r="F3422" s="247" t="s">
        <v>976</v>
      </c>
      <c r="G3422" s="247" t="s">
        <v>1521</v>
      </c>
      <c r="H3422" s="248" t="s">
        <v>404</v>
      </c>
      <c r="I3422" s="248" t="s">
        <v>404</v>
      </c>
      <c r="J3422" s="247" t="s">
        <v>809</v>
      </c>
      <c r="K3422" s="249">
        <v>0</v>
      </c>
      <c r="M3422" s="90">
        <v>0</v>
      </c>
      <c r="N3422" s="90">
        <v>0</v>
      </c>
      <c r="O3422" s="90">
        <v>255</v>
      </c>
    </row>
    <row r="3423" spans="1:15" s="90" customFormat="1" ht="12.75" customHeight="1" x14ac:dyDescent="0.2">
      <c r="A3423" s="247" t="s">
        <v>1032</v>
      </c>
      <c r="B3423" s="316">
        <v>3046</v>
      </c>
      <c r="C3423" s="247" t="s">
        <v>975</v>
      </c>
      <c r="D3423" s="317">
        <v>42676</v>
      </c>
      <c r="E3423" s="318">
        <v>0.25380787037037039</v>
      </c>
      <c r="F3423" s="247" t="s">
        <v>976</v>
      </c>
      <c r="G3423" s="247" t="s">
        <v>1521</v>
      </c>
      <c r="H3423" s="248" t="s">
        <v>404</v>
      </c>
      <c r="I3423" s="248" t="s">
        <v>404</v>
      </c>
      <c r="J3423" s="247" t="s">
        <v>809</v>
      </c>
      <c r="K3423" s="249">
        <v>0</v>
      </c>
      <c r="M3423" s="90">
        <v>0</v>
      </c>
      <c r="N3423" s="90">
        <v>0</v>
      </c>
      <c r="O3423" s="90">
        <v>255</v>
      </c>
    </row>
    <row r="3424" spans="1:15" s="90" customFormat="1" ht="12.75" customHeight="1" x14ac:dyDescent="0.2">
      <c r="A3424" s="247" t="s">
        <v>989</v>
      </c>
      <c r="B3424" s="316">
        <v>3046</v>
      </c>
      <c r="C3424" s="247" t="s">
        <v>975</v>
      </c>
      <c r="D3424" s="317">
        <v>42676</v>
      </c>
      <c r="E3424" s="318">
        <v>0.25380787037037039</v>
      </c>
      <c r="F3424" s="247" t="s">
        <v>976</v>
      </c>
      <c r="G3424" s="247" t="s">
        <v>1521</v>
      </c>
      <c r="H3424" s="248" t="s">
        <v>404</v>
      </c>
      <c r="I3424" s="248" t="s">
        <v>404</v>
      </c>
      <c r="J3424" s="247" t="s">
        <v>809</v>
      </c>
      <c r="K3424" s="249">
        <v>0</v>
      </c>
      <c r="M3424" s="90">
        <v>0</v>
      </c>
      <c r="N3424" s="90">
        <v>0</v>
      </c>
      <c r="O3424" s="90">
        <v>255</v>
      </c>
    </row>
    <row r="3425" spans="1:15" s="90" customFormat="1" ht="12.75" customHeight="1" x14ac:dyDescent="0.2">
      <c r="A3425" s="247" t="s">
        <v>1033</v>
      </c>
      <c r="B3425" s="316">
        <v>3217</v>
      </c>
      <c r="C3425" s="247" t="s">
        <v>975</v>
      </c>
      <c r="D3425" s="317">
        <v>42676</v>
      </c>
      <c r="E3425" s="318">
        <v>0.25408564814814816</v>
      </c>
      <c r="F3425" s="247" t="s">
        <v>235</v>
      </c>
      <c r="G3425" s="247" t="s">
        <v>1521</v>
      </c>
      <c r="H3425" s="248" t="s">
        <v>234</v>
      </c>
      <c r="I3425" s="248" t="s">
        <v>235</v>
      </c>
      <c r="J3425" s="247" t="s">
        <v>809</v>
      </c>
      <c r="K3425" s="249">
        <v>0</v>
      </c>
      <c r="M3425" s="90">
        <v>0</v>
      </c>
      <c r="N3425" s="90">
        <v>0</v>
      </c>
      <c r="O3425" s="90">
        <v>255</v>
      </c>
    </row>
    <row r="3426" spans="1:15" s="90" customFormat="1" ht="12.75" customHeight="1" x14ac:dyDescent="0.2">
      <c r="A3426" s="247" t="s">
        <v>990</v>
      </c>
      <c r="B3426" s="316">
        <v>3046</v>
      </c>
      <c r="C3426" s="247" t="s">
        <v>975</v>
      </c>
      <c r="D3426" s="317">
        <v>42676</v>
      </c>
      <c r="E3426" s="318">
        <v>0.25409722222222225</v>
      </c>
      <c r="F3426" s="247" t="s">
        <v>976</v>
      </c>
      <c r="G3426" s="247" t="s">
        <v>1521</v>
      </c>
      <c r="H3426" s="248" t="s">
        <v>404</v>
      </c>
      <c r="I3426" s="248" t="s">
        <v>404</v>
      </c>
      <c r="J3426" s="247" t="s">
        <v>809</v>
      </c>
      <c r="K3426" s="249">
        <v>0</v>
      </c>
      <c r="M3426" s="90">
        <v>0</v>
      </c>
      <c r="N3426" s="90">
        <v>0</v>
      </c>
      <c r="O3426" s="90">
        <v>255</v>
      </c>
    </row>
    <row r="3427" spans="1:15" s="90" customFormat="1" ht="12.75" customHeight="1" x14ac:dyDescent="0.2">
      <c r="A3427" s="247" t="s">
        <v>1031</v>
      </c>
      <c r="B3427" s="316">
        <v>3046</v>
      </c>
      <c r="C3427" s="247" t="s">
        <v>975</v>
      </c>
      <c r="D3427" s="317">
        <v>42676</v>
      </c>
      <c r="E3427" s="318">
        <v>0.26193287037037039</v>
      </c>
      <c r="F3427" s="247" t="s">
        <v>976</v>
      </c>
      <c r="G3427" s="247" t="s">
        <v>1521</v>
      </c>
      <c r="H3427" s="248" t="s">
        <v>404</v>
      </c>
      <c r="I3427" s="248" t="s">
        <v>404</v>
      </c>
      <c r="J3427" s="247" t="s">
        <v>809</v>
      </c>
      <c r="K3427" s="249">
        <v>0</v>
      </c>
      <c r="M3427" s="90">
        <v>0</v>
      </c>
      <c r="N3427" s="90">
        <v>0</v>
      </c>
      <c r="O3427" s="90">
        <v>255</v>
      </c>
    </row>
    <row r="3428" spans="1:15" s="90" customFormat="1" ht="12.75" customHeight="1" x14ac:dyDescent="0.2">
      <c r="A3428" s="247" t="s">
        <v>1032</v>
      </c>
      <c r="B3428" s="316">
        <v>3046</v>
      </c>
      <c r="C3428" s="247" t="s">
        <v>975</v>
      </c>
      <c r="D3428" s="317">
        <v>42676</v>
      </c>
      <c r="E3428" s="318">
        <v>0.26519675925925928</v>
      </c>
      <c r="F3428" s="247" t="s">
        <v>976</v>
      </c>
      <c r="G3428" s="247" t="s">
        <v>1521</v>
      </c>
      <c r="H3428" s="248" t="s">
        <v>404</v>
      </c>
      <c r="I3428" s="248" t="s">
        <v>404</v>
      </c>
      <c r="J3428" s="247" t="s">
        <v>809</v>
      </c>
      <c r="K3428" s="249">
        <v>0</v>
      </c>
      <c r="M3428" s="90">
        <v>0</v>
      </c>
      <c r="N3428" s="90">
        <v>0</v>
      </c>
      <c r="O3428" s="90">
        <v>255</v>
      </c>
    </row>
    <row r="3429" spans="1:15" s="90" customFormat="1" ht="12.75" customHeight="1" x14ac:dyDescent="0.2">
      <c r="A3429" s="247" t="s">
        <v>989</v>
      </c>
      <c r="B3429" s="316">
        <v>3046</v>
      </c>
      <c r="C3429" s="247" t="s">
        <v>975</v>
      </c>
      <c r="D3429" s="317">
        <v>42676</v>
      </c>
      <c r="E3429" s="318">
        <v>0.26519675925925928</v>
      </c>
      <c r="F3429" s="247" t="s">
        <v>976</v>
      </c>
      <c r="G3429" s="247" t="s">
        <v>1521</v>
      </c>
      <c r="H3429" s="248" t="s">
        <v>404</v>
      </c>
      <c r="I3429" s="248" t="s">
        <v>404</v>
      </c>
      <c r="J3429" s="247" t="s">
        <v>809</v>
      </c>
      <c r="K3429" s="249">
        <v>0</v>
      </c>
      <c r="M3429" s="90">
        <v>0</v>
      </c>
      <c r="N3429" s="90">
        <v>0</v>
      </c>
      <c r="O3429" s="90">
        <v>255</v>
      </c>
    </row>
    <row r="3430" spans="1:15" s="90" customFormat="1" ht="12.75" customHeight="1" x14ac:dyDescent="0.2">
      <c r="A3430" s="247" t="s">
        <v>990</v>
      </c>
      <c r="B3430" s="316">
        <v>3046</v>
      </c>
      <c r="C3430" s="247" t="s">
        <v>975</v>
      </c>
      <c r="D3430" s="317">
        <v>42676</v>
      </c>
      <c r="E3430" s="318">
        <v>0.26549768518518518</v>
      </c>
      <c r="F3430" s="247" t="s">
        <v>976</v>
      </c>
      <c r="G3430" s="247" t="s">
        <v>1521</v>
      </c>
      <c r="H3430" s="248" t="s">
        <v>404</v>
      </c>
      <c r="I3430" s="248" t="s">
        <v>404</v>
      </c>
      <c r="J3430" s="247" t="s">
        <v>809</v>
      </c>
      <c r="K3430" s="249">
        <v>0</v>
      </c>
      <c r="M3430" s="90">
        <v>0</v>
      </c>
      <c r="N3430" s="90">
        <v>0</v>
      </c>
      <c r="O3430" s="90">
        <v>255</v>
      </c>
    </row>
    <row r="3431" spans="1:15" s="90" customFormat="1" ht="12.75" customHeight="1" x14ac:dyDescent="0.2">
      <c r="A3431" s="247" t="s">
        <v>1033</v>
      </c>
      <c r="B3431" s="316">
        <v>3217</v>
      </c>
      <c r="C3431" s="247" t="s">
        <v>975</v>
      </c>
      <c r="D3431" s="317">
        <v>42676</v>
      </c>
      <c r="E3431" s="318">
        <v>0.26549768518518518</v>
      </c>
      <c r="F3431" s="247" t="s">
        <v>235</v>
      </c>
      <c r="G3431" s="247" t="s">
        <v>1521</v>
      </c>
      <c r="H3431" s="248" t="s">
        <v>234</v>
      </c>
      <c r="I3431" s="248" t="s">
        <v>235</v>
      </c>
      <c r="J3431" s="247" t="s">
        <v>809</v>
      </c>
      <c r="K3431" s="249">
        <v>0</v>
      </c>
      <c r="M3431" s="90">
        <v>0</v>
      </c>
      <c r="N3431" s="90">
        <v>0</v>
      </c>
      <c r="O3431" s="90">
        <v>255</v>
      </c>
    </row>
    <row r="3432" spans="1:15" s="90" customFormat="1" ht="12.75" customHeight="1" x14ac:dyDescent="0.2">
      <c r="A3432" s="247" t="s">
        <v>1031</v>
      </c>
      <c r="B3432" s="316">
        <v>3046</v>
      </c>
      <c r="C3432" s="247" t="s">
        <v>975</v>
      </c>
      <c r="D3432" s="317">
        <v>42676</v>
      </c>
      <c r="E3432" s="318">
        <v>0.27104166666666668</v>
      </c>
      <c r="F3432" s="247" t="s">
        <v>976</v>
      </c>
      <c r="G3432" s="247" t="s">
        <v>1521</v>
      </c>
      <c r="H3432" s="248" t="s">
        <v>404</v>
      </c>
      <c r="I3432" s="248" t="s">
        <v>404</v>
      </c>
      <c r="J3432" s="247" t="s">
        <v>809</v>
      </c>
      <c r="K3432" s="249">
        <v>0</v>
      </c>
      <c r="M3432" s="90">
        <v>0</v>
      </c>
      <c r="N3432" s="90">
        <v>0</v>
      </c>
      <c r="O3432" s="90">
        <v>255</v>
      </c>
    </row>
    <row r="3433" spans="1:15" s="90" customFormat="1" ht="12.75" customHeight="1" x14ac:dyDescent="0.2">
      <c r="A3433" s="247" t="s">
        <v>1032</v>
      </c>
      <c r="B3433" s="316">
        <v>3046</v>
      </c>
      <c r="C3433" s="247" t="s">
        <v>975</v>
      </c>
      <c r="D3433" s="317">
        <v>42676</v>
      </c>
      <c r="E3433" s="318">
        <v>0.27487268518518521</v>
      </c>
      <c r="F3433" s="247" t="s">
        <v>976</v>
      </c>
      <c r="G3433" s="247" t="s">
        <v>1521</v>
      </c>
      <c r="H3433" s="248" t="s">
        <v>404</v>
      </c>
      <c r="I3433" s="248" t="s">
        <v>404</v>
      </c>
      <c r="J3433" s="247" t="s">
        <v>809</v>
      </c>
      <c r="K3433" s="249">
        <v>0</v>
      </c>
      <c r="M3433" s="90">
        <v>0</v>
      </c>
      <c r="N3433" s="90">
        <v>0</v>
      </c>
      <c r="O3433" s="90">
        <v>255</v>
      </c>
    </row>
    <row r="3434" spans="1:15" s="90" customFormat="1" ht="12.75" customHeight="1" x14ac:dyDescent="0.2">
      <c r="A3434" s="247" t="s">
        <v>989</v>
      </c>
      <c r="B3434" s="316">
        <v>3046</v>
      </c>
      <c r="C3434" s="247" t="s">
        <v>975</v>
      </c>
      <c r="D3434" s="317">
        <v>42676</v>
      </c>
      <c r="E3434" s="318">
        <v>0.27487268518518521</v>
      </c>
      <c r="F3434" s="247" t="s">
        <v>976</v>
      </c>
      <c r="G3434" s="247" t="s">
        <v>1521</v>
      </c>
      <c r="H3434" s="248" t="s">
        <v>404</v>
      </c>
      <c r="I3434" s="248" t="s">
        <v>404</v>
      </c>
      <c r="J3434" s="247" t="s">
        <v>809</v>
      </c>
      <c r="K3434" s="249">
        <v>0</v>
      </c>
      <c r="M3434" s="90">
        <v>0</v>
      </c>
      <c r="N3434" s="90">
        <v>0</v>
      </c>
      <c r="O3434" s="90">
        <v>255</v>
      </c>
    </row>
    <row r="3435" spans="1:15" s="90" customFormat="1" ht="12.75" customHeight="1" x14ac:dyDescent="0.2">
      <c r="A3435" s="247" t="s">
        <v>990</v>
      </c>
      <c r="B3435" s="316">
        <v>3046</v>
      </c>
      <c r="C3435" s="247" t="s">
        <v>975</v>
      </c>
      <c r="D3435" s="317">
        <v>42676</v>
      </c>
      <c r="E3435" s="318">
        <v>0.27524305555555556</v>
      </c>
      <c r="F3435" s="247" t="s">
        <v>976</v>
      </c>
      <c r="G3435" s="247" t="s">
        <v>1521</v>
      </c>
      <c r="H3435" s="248" t="s">
        <v>404</v>
      </c>
      <c r="I3435" s="248" t="s">
        <v>404</v>
      </c>
      <c r="J3435" s="247" t="s">
        <v>809</v>
      </c>
      <c r="K3435" s="249">
        <v>0</v>
      </c>
      <c r="M3435" s="90">
        <v>0</v>
      </c>
      <c r="N3435" s="90">
        <v>0</v>
      </c>
      <c r="O3435" s="90">
        <v>255</v>
      </c>
    </row>
    <row r="3436" spans="1:15" s="90" customFormat="1" ht="12.75" customHeight="1" x14ac:dyDescent="0.2">
      <c r="A3436" s="247" t="s">
        <v>1033</v>
      </c>
      <c r="B3436" s="316">
        <v>3217</v>
      </c>
      <c r="C3436" s="247" t="s">
        <v>975</v>
      </c>
      <c r="D3436" s="317">
        <v>42676</v>
      </c>
      <c r="E3436" s="318">
        <v>0.27524305555555556</v>
      </c>
      <c r="F3436" s="247" t="s">
        <v>235</v>
      </c>
      <c r="G3436" s="247" t="s">
        <v>1521</v>
      </c>
      <c r="H3436" s="248" t="s">
        <v>234</v>
      </c>
      <c r="I3436" s="248" t="s">
        <v>235</v>
      </c>
      <c r="J3436" s="247" t="s">
        <v>809</v>
      </c>
      <c r="K3436" s="249">
        <v>0</v>
      </c>
      <c r="M3436" s="90">
        <v>0</v>
      </c>
      <c r="N3436" s="90">
        <v>0</v>
      </c>
      <c r="O3436" s="90">
        <v>255</v>
      </c>
    </row>
    <row r="3437" spans="1:15" s="90" customFormat="1" ht="12.75" customHeight="1" x14ac:dyDescent="0.2">
      <c r="A3437" s="247" t="s">
        <v>1031</v>
      </c>
      <c r="B3437" s="316">
        <v>3046</v>
      </c>
      <c r="C3437" s="247" t="s">
        <v>975</v>
      </c>
      <c r="D3437" s="317">
        <v>42676</v>
      </c>
      <c r="E3437" s="318">
        <v>0.28280092592592593</v>
      </c>
      <c r="F3437" s="247" t="s">
        <v>976</v>
      </c>
      <c r="G3437" s="247" t="s">
        <v>1521</v>
      </c>
      <c r="H3437" s="248" t="s">
        <v>404</v>
      </c>
      <c r="I3437" s="248" t="s">
        <v>404</v>
      </c>
      <c r="J3437" s="247" t="s">
        <v>809</v>
      </c>
      <c r="K3437" s="249">
        <v>0</v>
      </c>
      <c r="M3437" s="90">
        <v>0</v>
      </c>
      <c r="N3437" s="90">
        <v>0</v>
      </c>
      <c r="O3437" s="90">
        <v>255</v>
      </c>
    </row>
    <row r="3438" spans="1:15" s="90" customFormat="1" ht="12.75" customHeight="1" x14ac:dyDescent="0.2">
      <c r="A3438" s="247" t="s">
        <v>1032</v>
      </c>
      <c r="B3438" s="316">
        <v>3046</v>
      </c>
      <c r="C3438" s="247" t="s">
        <v>975</v>
      </c>
      <c r="D3438" s="317">
        <v>42676</v>
      </c>
      <c r="E3438" s="318">
        <v>0.28489583333333335</v>
      </c>
      <c r="F3438" s="247" t="s">
        <v>976</v>
      </c>
      <c r="G3438" s="247" t="s">
        <v>1521</v>
      </c>
      <c r="H3438" s="248" t="s">
        <v>404</v>
      </c>
      <c r="I3438" s="248" t="s">
        <v>404</v>
      </c>
      <c r="J3438" s="247" t="s">
        <v>809</v>
      </c>
      <c r="K3438" s="249">
        <v>0</v>
      </c>
      <c r="M3438" s="90">
        <v>0</v>
      </c>
      <c r="N3438" s="90">
        <v>0</v>
      </c>
      <c r="O3438" s="90">
        <v>255</v>
      </c>
    </row>
    <row r="3439" spans="1:15" s="90" customFormat="1" ht="12.75" customHeight="1" x14ac:dyDescent="0.2">
      <c r="A3439" s="247" t="s">
        <v>989</v>
      </c>
      <c r="B3439" s="316">
        <v>3046</v>
      </c>
      <c r="C3439" s="247" t="s">
        <v>975</v>
      </c>
      <c r="D3439" s="317">
        <v>42676</v>
      </c>
      <c r="E3439" s="318">
        <v>0.28489583333333335</v>
      </c>
      <c r="F3439" s="247" t="s">
        <v>976</v>
      </c>
      <c r="G3439" s="247" t="s">
        <v>1521</v>
      </c>
      <c r="H3439" s="248" t="s">
        <v>404</v>
      </c>
      <c r="I3439" s="248" t="s">
        <v>404</v>
      </c>
      <c r="J3439" s="247" t="s">
        <v>809</v>
      </c>
      <c r="K3439" s="249">
        <v>0</v>
      </c>
      <c r="M3439" s="90">
        <v>0</v>
      </c>
      <c r="N3439" s="90">
        <v>0</v>
      </c>
      <c r="O3439" s="90">
        <v>255</v>
      </c>
    </row>
    <row r="3440" spans="1:15" s="90" customFormat="1" ht="12.75" customHeight="1" x14ac:dyDescent="0.2">
      <c r="A3440" s="247" t="s">
        <v>990</v>
      </c>
      <c r="B3440" s="316">
        <v>3046</v>
      </c>
      <c r="C3440" s="247" t="s">
        <v>975</v>
      </c>
      <c r="D3440" s="317">
        <v>42676</v>
      </c>
      <c r="E3440" s="318">
        <v>0.28518518518518515</v>
      </c>
      <c r="F3440" s="247" t="s">
        <v>976</v>
      </c>
      <c r="G3440" s="247" t="s">
        <v>1521</v>
      </c>
      <c r="H3440" s="248" t="s">
        <v>404</v>
      </c>
      <c r="I3440" s="248" t="s">
        <v>404</v>
      </c>
      <c r="J3440" s="247" t="s">
        <v>809</v>
      </c>
      <c r="K3440" s="249">
        <v>0</v>
      </c>
      <c r="M3440" s="90">
        <v>0</v>
      </c>
      <c r="N3440" s="90">
        <v>0</v>
      </c>
      <c r="O3440" s="90">
        <v>255</v>
      </c>
    </row>
    <row r="3441" spans="1:15" s="90" customFormat="1" ht="12.75" customHeight="1" x14ac:dyDescent="0.2">
      <c r="A3441" s="247" t="s">
        <v>1033</v>
      </c>
      <c r="B3441" s="316">
        <v>3217</v>
      </c>
      <c r="C3441" s="247" t="s">
        <v>975</v>
      </c>
      <c r="D3441" s="317">
        <v>42676</v>
      </c>
      <c r="E3441" s="318">
        <v>0.28518518518518515</v>
      </c>
      <c r="F3441" s="247" t="s">
        <v>235</v>
      </c>
      <c r="G3441" s="247" t="s">
        <v>1521</v>
      </c>
      <c r="H3441" s="248" t="s">
        <v>234</v>
      </c>
      <c r="I3441" s="248" t="s">
        <v>235</v>
      </c>
      <c r="J3441" s="247" t="s">
        <v>809</v>
      </c>
      <c r="K3441" s="249">
        <v>0</v>
      </c>
      <c r="M3441" s="90">
        <v>0</v>
      </c>
      <c r="N3441" s="90">
        <v>0</v>
      </c>
      <c r="O3441" s="90">
        <v>255</v>
      </c>
    </row>
    <row r="3442" spans="1:15" s="90" customFormat="1" ht="12.75" customHeight="1" x14ac:dyDescent="0.2">
      <c r="A3442" s="247" t="s">
        <v>1538</v>
      </c>
      <c r="B3442" s="316">
        <v>3108</v>
      </c>
      <c r="C3442" s="247" t="s">
        <v>975</v>
      </c>
      <c r="D3442" s="317">
        <v>42676</v>
      </c>
      <c r="E3442" s="318">
        <v>0.29142361111111109</v>
      </c>
      <c r="F3442" s="247" t="s">
        <v>978</v>
      </c>
      <c r="G3442" s="247" t="s">
        <v>1521</v>
      </c>
      <c r="H3442" s="248" t="s">
        <v>234</v>
      </c>
      <c r="I3442" s="248" t="s">
        <v>677</v>
      </c>
      <c r="J3442" s="247" t="s">
        <v>809</v>
      </c>
      <c r="K3442" s="249">
        <v>0</v>
      </c>
      <c r="M3442" s="90">
        <v>0</v>
      </c>
      <c r="N3442" s="90">
        <v>0</v>
      </c>
      <c r="O3442" s="90">
        <v>255</v>
      </c>
    </row>
    <row r="3443" spans="1:15" s="90" customFormat="1" ht="12.75" customHeight="1" x14ac:dyDescent="0.2">
      <c r="A3443" s="247" t="s">
        <v>1539</v>
      </c>
      <c r="B3443" s="316">
        <v>3106</v>
      </c>
      <c r="C3443" s="247" t="s">
        <v>975</v>
      </c>
      <c r="D3443" s="317">
        <v>42676</v>
      </c>
      <c r="E3443" s="318">
        <v>0.29166666666666669</v>
      </c>
      <c r="F3443" s="247" t="s">
        <v>978</v>
      </c>
      <c r="G3443" s="247" t="s">
        <v>1540</v>
      </c>
      <c r="H3443" s="248" t="s">
        <v>234</v>
      </c>
      <c r="I3443" s="248" t="s">
        <v>677</v>
      </c>
      <c r="J3443" s="247" t="s">
        <v>809</v>
      </c>
      <c r="K3443" s="249">
        <v>0</v>
      </c>
      <c r="M3443" s="90">
        <v>0</v>
      </c>
      <c r="N3443" s="90">
        <v>0</v>
      </c>
      <c r="O3443" s="90">
        <v>255</v>
      </c>
    </row>
    <row r="3444" spans="1:15" s="90" customFormat="1" ht="12.75" customHeight="1" x14ac:dyDescent="0.2">
      <c r="A3444" s="247" t="s">
        <v>1541</v>
      </c>
      <c r="B3444" s="316">
        <v>3218</v>
      </c>
      <c r="C3444" s="247" t="s">
        <v>979</v>
      </c>
      <c r="D3444" s="317">
        <v>42676</v>
      </c>
      <c r="E3444" s="318">
        <v>0.29776620370370371</v>
      </c>
      <c r="F3444" s="247" t="s">
        <v>702</v>
      </c>
      <c r="G3444" s="247" t="s">
        <v>1540</v>
      </c>
      <c r="H3444" s="248"/>
      <c r="I3444" s="248"/>
      <c r="J3444" s="247"/>
      <c r="K3444" s="249"/>
      <c r="M3444" s="90">
        <v>0</v>
      </c>
      <c r="N3444" s="90">
        <v>0</v>
      </c>
      <c r="O3444" s="90">
        <v>255</v>
      </c>
    </row>
    <row r="3445" spans="1:15" s="90" customFormat="1" ht="12.75" customHeight="1" x14ac:dyDescent="0.2">
      <c r="A3445" s="247" t="s">
        <v>1031</v>
      </c>
      <c r="B3445" s="316">
        <v>3046</v>
      </c>
      <c r="C3445" s="247" t="s">
        <v>975</v>
      </c>
      <c r="D3445" s="317">
        <v>42676</v>
      </c>
      <c r="E3445" s="318">
        <v>0.2978703703703704</v>
      </c>
      <c r="F3445" s="247" t="s">
        <v>976</v>
      </c>
      <c r="G3445" s="247" t="s">
        <v>1540</v>
      </c>
      <c r="H3445" s="248" t="s">
        <v>404</v>
      </c>
      <c r="I3445" s="248" t="s">
        <v>404</v>
      </c>
      <c r="J3445" s="247" t="s">
        <v>809</v>
      </c>
      <c r="K3445" s="249">
        <v>0</v>
      </c>
      <c r="M3445" s="90">
        <v>0</v>
      </c>
      <c r="N3445" s="90">
        <v>0</v>
      </c>
      <c r="O3445" s="90">
        <v>255</v>
      </c>
    </row>
    <row r="3446" spans="1:15" s="90" customFormat="1" ht="12.75" customHeight="1" x14ac:dyDescent="0.2">
      <c r="A3446" s="247" t="s">
        <v>1142</v>
      </c>
      <c r="B3446" s="316">
        <v>3047</v>
      </c>
      <c r="C3446" s="247" t="s">
        <v>996</v>
      </c>
      <c r="D3446" s="317">
        <v>42676</v>
      </c>
      <c r="E3446" s="318">
        <v>0.29863425925925929</v>
      </c>
      <c r="F3446" s="247" t="s">
        <v>235</v>
      </c>
      <c r="G3446" s="247" t="s">
        <v>1540</v>
      </c>
      <c r="H3446" s="248" t="s">
        <v>234</v>
      </c>
      <c r="I3446" s="248" t="s">
        <v>235</v>
      </c>
      <c r="J3446" s="247" t="s">
        <v>809</v>
      </c>
      <c r="K3446" s="249">
        <v>0</v>
      </c>
      <c r="M3446" s="90">
        <v>0</v>
      </c>
      <c r="N3446" s="90">
        <v>0</v>
      </c>
      <c r="O3446" s="90">
        <v>255</v>
      </c>
    </row>
    <row r="3447" spans="1:15" s="90" customFormat="1" ht="12.75" customHeight="1" x14ac:dyDescent="0.2">
      <c r="A3447" s="247" t="s">
        <v>1102</v>
      </c>
      <c r="B3447" s="316">
        <v>3047</v>
      </c>
      <c r="C3447" s="247" t="s">
        <v>996</v>
      </c>
      <c r="D3447" s="317">
        <v>42676</v>
      </c>
      <c r="E3447" s="318">
        <v>0.29863425925925929</v>
      </c>
      <c r="F3447" s="247" t="s">
        <v>235</v>
      </c>
      <c r="G3447" s="247" t="s">
        <v>1540</v>
      </c>
      <c r="H3447" s="248" t="s">
        <v>234</v>
      </c>
      <c r="I3447" s="248" t="s">
        <v>235</v>
      </c>
      <c r="J3447" s="247" t="s">
        <v>809</v>
      </c>
      <c r="K3447" s="249">
        <v>0</v>
      </c>
      <c r="M3447" s="90">
        <v>0</v>
      </c>
      <c r="N3447" s="90">
        <v>0</v>
      </c>
      <c r="O3447" s="90">
        <v>255</v>
      </c>
    </row>
    <row r="3448" spans="1:15" s="90" customFormat="1" ht="12.75" customHeight="1" x14ac:dyDescent="0.2">
      <c r="A3448" s="247" t="s">
        <v>1141</v>
      </c>
      <c r="B3448" s="316">
        <v>3047</v>
      </c>
      <c r="C3448" s="247" t="s">
        <v>996</v>
      </c>
      <c r="D3448" s="317">
        <v>42676</v>
      </c>
      <c r="E3448" s="318">
        <v>0.29863425925925929</v>
      </c>
      <c r="F3448" s="247" t="s">
        <v>235</v>
      </c>
      <c r="G3448" s="247" t="s">
        <v>1540</v>
      </c>
      <c r="H3448" s="248" t="s">
        <v>234</v>
      </c>
      <c r="I3448" s="248" t="s">
        <v>235</v>
      </c>
      <c r="J3448" s="247" t="s">
        <v>809</v>
      </c>
      <c r="K3448" s="249">
        <v>0</v>
      </c>
      <c r="M3448" s="90">
        <v>0</v>
      </c>
      <c r="N3448" s="90">
        <v>0</v>
      </c>
      <c r="O3448" s="90">
        <v>255</v>
      </c>
    </row>
    <row r="3449" spans="1:15" s="90" customFormat="1" ht="12.75" customHeight="1" x14ac:dyDescent="0.2">
      <c r="A3449" s="247" t="s">
        <v>1032</v>
      </c>
      <c r="B3449" s="316">
        <v>3046</v>
      </c>
      <c r="C3449" s="247" t="s">
        <v>975</v>
      </c>
      <c r="D3449" s="317">
        <v>42676</v>
      </c>
      <c r="E3449" s="318">
        <v>0.30146990740740742</v>
      </c>
      <c r="F3449" s="247" t="s">
        <v>976</v>
      </c>
      <c r="G3449" s="247" t="s">
        <v>1540</v>
      </c>
      <c r="H3449" s="248" t="s">
        <v>404</v>
      </c>
      <c r="I3449" s="248" t="s">
        <v>404</v>
      </c>
      <c r="J3449" s="247" t="s">
        <v>809</v>
      </c>
      <c r="K3449" s="249">
        <v>0</v>
      </c>
      <c r="M3449" s="90">
        <v>0</v>
      </c>
      <c r="N3449" s="90">
        <v>0</v>
      </c>
      <c r="O3449" s="90">
        <v>255</v>
      </c>
    </row>
    <row r="3450" spans="1:15" s="90" customFormat="1" ht="12.75" customHeight="1" x14ac:dyDescent="0.2">
      <c r="A3450" s="247" t="s">
        <v>989</v>
      </c>
      <c r="B3450" s="316">
        <v>3046</v>
      </c>
      <c r="C3450" s="247" t="s">
        <v>975</v>
      </c>
      <c r="D3450" s="317">
        <v>42676</v>
      </c>
      <c r="E3450" s="318">
        <v>0.30146990740740742</v>
      </c>
      <c r="F3450" s="247" t="s">
        <v>976</v>
      </c>
      <c r="G3450" s="247" t="s">
        <v>1540</v>
      </c>
      <c r="H3450" s="248" t="s">
        <v>404</v>
      </c>
      <c r="I3450" s="248" t="s">
        <v>404</v>
      </c>
      <c r="J3450" s="247" t="s">
        <v>809</v>
      </c>
      <c r="K3450" s="249">
        <v>0</v>
      </c>
      <c r="M3450" s="90">
        <v>0</v>
      </c>
      <c r="N3450" s="90">
        <v>0</v>
      </c>
      <c r="O3450" s="90">
        <v>255</v>
      </c>
    </row>
    <row r="3451" spans="1:15" s="90" customFormat="1" ht="12.75" customHeight="1" x14ac:dyDescent="0.2">
      <c r="A3451" s="247" t="s">
        <v>990</v>
      </c>
      <c r="B3451" s="316">
        <v>3046</v>
      </c>
      <c r="C3451" s="247" t="s">
        <v>975</v>
      </c>
      <c r="D3451" s="317">
        <v>42676</v>
      </c>
      <c r="E3451" s="318">
        <v>0.30179398148148145</v>
      </c>
      <c r="F3451" s="247" t="s">
        <v>976</v>
      </c>
      <c r="G3451" s="247" t="s">
        <v>1540</v>
      </c>
      <c r="H3451" s="248" t="s">
        <v>404</v>
      </c>
      <c r="I3451" s="248" t="s">
        <v>404</v>
      </c>
      <c r="J3451" s="247" t="s">
        <v>809</v>
      </c>
      <c r="K3451" s="249">
        <v>0</v>
      </c>
      <c r="M3451" s="90">
        <v>0</v>
      </c>
      <c r="N3451" s="90">
        <v>0</v>
      </c>
      <c r="O3451" s="90">
        <v>255</v>
      </c>
    </row>
    <row r="3452" spans="1:15" s="90" customFormat="1" ht="12.75" customHeight="1" x14ac:dyDescent="0.2">
      <c r="A3452" s="247" t="s">
        <v>1033</v>
      </c>
      <c r="B3452" s="316">
        <v>3217</v>
      </c>
      <c r="C3452" s="247" t="s">
        <v>975</v>
      </c>
      <c r="D3452" s="317">
        <v>42676</v>
      </c>
      <c r="E3452" s="318">
        <v>0.30179398148148145</v>
      </c>
      <c r="F3452" s="247" t="s">
        <v>235</v>
      </c>
      <c r="G3452" s="247" t="s">
        <v>1540</v>
      </c>
      <c r="H3452" s="248" t="s">
        <v>234</v>
      </c>
      <c r="I3452" s="248" t="s">
        <v>235</v>
      </c>
      <c r="J3452" s="247" t="s">
        <v>809</v>
      </c>
      <c r="K3452" s="249">
        <v>0</v>
      </c>
      <c r="M3452" s="90">
        <v>0</v>
      </c>
      <c r="N3452" s="90">
        <v>0</v>
      </c>
      <c r="O3452" s="90">
        <v>255</v>
      </c>
    </row>
    <row r="3453" spans="1:15" s="90" customFormat="1" ht="12.75" customHeight="1" x14ac:dyDescent="0.2">
      <c r="A3453" s="247" t="s">
        <v>1031</v>
      </c>
      <c r="B3453" s="316">
        <v>3046</v>
      </c>
      <c r="C3453" s="247" t="s">
        <v>975</v>
      </c>
      <c r="D3453" s="317">
        <v>42676</v>
      </c>
      <c r="E3453" s="318">
        <v>0.30391203703703701</v>
      </c>
      <c r="F3453" s="247" t="s">
        <v>976</v>
      </c>
      <c r="G3453" s="247" t="s">
        <v>1540</v>
      </c>
      <c r="H3453" s="248" t="s">
        <v>404</v>
      </c>
      <c r="I3453" s="248" t="s">
        <v>404</v>
      </c>
      <c r="J3453" s="247" t="s">
        <v>809</v>
      </c>
      <c r="K3453" s="249">
        <v>0</v>
      </c>
      <c r="M3453" s="90">
        <v>0</v>
      </c>
      <c r="N3453" s="90">
        <v>0</v>
      </c>
      <c r="O3453" s="90">
        <v>255</v>
      </c>
    </row>
    <row r="3454" spans="1:15" s="90" customFormat="1" ht="12.75" customHeight="1" x14ac:dyDescent="0.2">
      <c r="A3454" s="247" t="s">
        <v>1493</v>
      </c>
      <c r="B3454" s="316">
        <v>3218</v>
      </c>
      <c r="C3454" s="247" t="s">
        <v>979</v>
      </c>
      <c r="D3454" s="317">
        <v>42676</v>
      </c>
      <c r="E3454" s="318">
        <v>0.30638888888888888</v>
      </c>
      <c r="F3454" s="247" t="s">
        <v>702</v>
      </c>
      <c r="G3454" s="247" t="s">
        <v>1540</v>
      </c>
      <c r="H3454" s="248"/>
      <c r="I3454" s="248"/>
      <c r="J3454" s="247"/>
      <c r="K3454" s="249"/>
      <c r="M3454" s="90">
        <v>0</v>
      </c>
      <c r="N3454" s="90">
        <v>0</v>
      </c>
      <c r="O3454" s="90">
        <v>255</v>
      </c>
    </row>
    <row r="3455" spans="1:15" s="90" customFormat="1" ht="12.75" customHeight="1" x14ac:dyDescent="0.2">
      <c r="A3455" s="247" t="s">
        <v>613</v>
      </c>
      <c r="B3455" s="316">
        <v>4035</v>
      </c>
      <c r="C3455" s="247" t="s">
        <v>996</v>
      </c>
      <c r="D3455" s="317">
        <v>42676</v>
      </c>
      <c r="E3455" s="318">
        <v>0.30702546296296296</v>
      </c>
      <c r="F3455" s="247" t="s">
        <v>702</v>
      </c>
      <c r="G3455" s="247" t="s">
        <v>1540</v>
      </c>
      <c r="H3455" s="248" t="s">
        <v>860</v>
      </c>
      <c r="I3455" s="248" t="s">
        <v>40</v>
      </c>
      <c r="J3455" s="247" t="s">
        <v>809</v>
      </c>
      <c r="K3455" s="249">
        <v>0</v>
      </c>
      <c r="L3455" s="90" t="s">
        <v>1775</v>
      </c>
      <c r="M3455" s="90">
        <v>258</v>
      </c>
      <c r="N3455" s="90">
        <v>1</v>
      </c>
      <c r="O3455" s="90">
        <v>0</v>
      </c>
    </row>
    <row r="3456" spans="1:15" s="90" customFormat="1" ht="12.75" customHeight="1" x14ac:dyDescent="0.2">
      <c r="A3456" s="247" t="s">
        <v>1136</v>
      </c>
      <c r="B3456" s="316">
        <v>3001</v>
      </c>
      <c r="C3456" s="247" t="s">
        <v>996</v>
      </c>
      <c r="D3456" s="317">
        <v>42676</v>
      </c>
      <c r="E3456" s="318">
        <v>0.30762731481481481</v>
      </c>
      <c r="F3456" s="247" t="s">
        <v>702</v>
      </c>
      <c r="G3456" s="247" t="s">
        <v>1540</v>
      </c>
      <c r="H3456" s="248" t="s">
        <v>121</v>
      </c>
      <c r="I3456" s="248" t="s">
        <v>122</v>
      </c>
      <c r="J3456" s="247" t="s">
        <v>809</v>
      </c>
      <c r="K3456" s="249">
        <v>0</v>
      </c>
      <c r="M3456" s="90">
        <v>0</v>
      </c>
      <c r="N3456" s="90">
        <v>0</v>
      </c>
      <c r="O3456" s="90">
        <v>255</v>
      </c>
    </row>
    <row r="3457" spans="1:15" s="90" customFormat="1" ht="12.75" customHeight="1" x14ac:dyDescent="0.2">
      <c r="A3457" s="247" t="s">
        <v>1096</v>
      </c>
      <c r="B3457" s="316">
        <v>3058</v>
      </c>
      <c r="C3457" s="247" t="s">
        <v>975</v>
      </c>
      <c r="D3457" s="317">
        <v>42676</v>
      </c>
      <c r="E3457" s="318">
        <v>0.31010416666666668</v>
      </c>
      <c r="F3457" s="247" t="s">
        <v>1004</v>
      </c>
      <c r="G3457" s="247" t="s">
        <v>1540</v>
      </c>
      <c r="H3457" s="248" t="s">
        <v>234</v>
      </c>
      <c r="I3457" s="248" t="s">
        <v>677</v>
      </c>
      <c r="J3457" s="247" t="s">
        <v>809</v>
      </c>
      <c r="K3457" s="249">
        <v>0</v>
      </c>
      <c r="M3457" s="90">
        <v>0</v>
      </c>
      <c r="N3457" s="90">
        <v>0</v>
      </c>
      <c r="O3457" s="90">
        <v>255</v>
      </c>
    </row>
    <row r="3458" spans="1:15" s="90" customFormat="1" ht="12.75" customHeight="1" x14ac:dyDescent="0.2">
      <c r="A3458" s="247" t="s">
        <v>1099</v>
      </c>
      <c r="B3458" s="316">
        <v>3047</v>
      </c>
      <c r="C3458" s="247" t="s">
        <v>996</v>
      </c>
      <c r="D3458" s="317">
        <v>42676</v>
      </c>
      <c r="E3458" s="318">
        <v>0.31037037037037035</v>
      </c>
      <c r="F3458" s="247" t="s">
        <v>235</v>
      </c>
      <c r="G3458" s="247" t="s">
        <v>1540</v>
      </c>
      <c r="H3458" s="248" t="s">
        <v>234</v>
      </c>
      <c r="I3458" s="248" t="s">
        <v>235</v>
      </c>
      <c r="J3458" s="247" t="s">
        <v>809</v>
      </c>
      <c r="K3458" s="249">
        <v>0</v>
      </c>
      <c r="M3458" s="90">
        <v>0</v>
      </c>
      <c r="N3458" s="90">
        <v>0</v>
      </c>
      <c r="O3458" s="90">
        <v>255</v>
      </c>
    </row>
    <row r="3459" spans="1:15" s="90" customFormat="1" ht="12.75" customHeight="1" x14ac:dyDescent="0.2">
      <c r="A3459" s="247" t="s">
        <v>1032</v>
      </c>
      <c r="B3459" s="316">
        <v>3046</v>
      </c>
      <c r="C3459" s="247" t="s">
        <v>975</v>
      </c>
      <c r="D3459" s="317">
        <v>42676</v>
      </c>
      <c r="E3459" s="318">
        <v>0.3104513888888889</v>
      </c>
      <c r="F3459" s="247" t="s">
        <v>976</v>
      </c>
      <c r="G3459" s="247" t="s">
        <v>1540</v>
      </c>
      <c r="H3459" s="248" t="s">
        <v>404</v>
      </c>
      <c r="I3459" s="248" t="s">
        <v>404</v>
      </c>
      <c r="J3459" s="247" t="s">
        <v>809</v>
      </c>
      <c r="K3459" s="249">
        <v>0</v>
      </c>
      <c r="M3459" s="90">
        <v>0</v>
      </c>
      <c r="N3459" s="90">
        <v>0</v>
      </c>
      <c r="O3459" s="90">
        <v>255</v>
      </c>
    </row>
    <row r="3460" spans="1:15" s="90" customFormat="1" ht="12.75" customHeight="1" x14ac:dyDescent="0.2">
      <c r="A3460" s="247" t="s">
        <v>989</v>
      </c>
      <c r="B3460" s="316">
        <v>3046</v>
      </c>
      <c r="C3460" s="247" t="s">
        <v>975</v>
      </c>
      <c r="D3460" s="317">
        <v>42676</v>
      </c>
      <c r="E3460" s="318">
        <v>0.3104513888888889</v>
      </c>
      <c r="F3460" s="247" t="s">
        <v>976</v>
      </c>
      <c r="G3460" s="247" t="s">
        <v>1540</v>
      </c>
      <c r="H3460" s="248" t="s">
        <v>404</v>
      </c>
      <c r="I3460" s="248" t="s">
        <v>404</v>
      </c>
      <c r="J3460" s="247" t="s">
        <v>809</v>
      </c>
      <c r="K3460" s="249">
        <v>0</v>
      </c>
      <c r="M3460" s="90">
        <v>0</v>
      </c>
      <c r="N3460" s="90">
        <v>0</v>
      </c>
      <c r="O3460" s="90">
        <v>255</v>
      </c>
    </row>
    <row r="3461" spans="1:15" s="90" customFormat="1" ht="12.75" customHeight="1" x14ac:dyDescent="0.2">
      <c r="A3461" s="247" t="s">
        <v>1033</v>
      </c>
      <c r="B3461" s="316">
        <v>3217</v>
      </c>
      <c r="C3461" s="247" t="s">
        <v>975</v>
      </c>
      <c r="D3461" s="317">
        <v>42676</v>
      </c>
      <c r="E3461" s="318">
        <v>0.31078703703703703</v>
      </c>
      <c r="F3461" s="247" t="s">
        <v>235</v>
      </c>
      <c r="G3461" s="247" t="s">
        <v>1540</v>
      </c>
      <c r="H3461" s="248" t="s">
        <v>234</v>
      </c>
      <c r="I3461" s="248" t="s">
        <v>235</v>
      </c>
      <c r="J3461" s="247" t="s">
        <v>809</v>
      </c>
      <c r="K3461" s="249">
        <v>0</v>
      </c>
      <c r="M3461" s="90">
        <v>0</v>
      </c>
      <c r="N3461" s="90">
        <v>0</v>
      </c>
      <c r="O3461" s="90">
        <v>255</v>
      </c>
    </row>
    <row r="3462" spans="1:15" s="90" customFormat="1" ht="12.75" customHeight="1" x14ac:dyDescent="0.2">
      <c r="A3462" s="247" t="s">
        <v>990</v>
      </c>
      <c r="B3462" s="316">
        <v>3046</v>
      </c>
      <c r="C3462" s="247" t="s">
        <v>975</v>
      </c>
      <c r="D3462" s="317">
        <v>42676</v>
      </c>
      <c r="E3462" s="318">
        <v>0.31079861111111112</v>
      </c>
      <c r="F3462" s="247" t="s">
        <v>976</v>
      </c>
      <c r="G3462" s="247" t="s">
        <v>1540</v>
      </c>
      <c r="H3462" s="248" t="s">
        <v>404</v>
      </c>
      <c r="I3462" s="248" t="s">
        <v>404</v>
      </c>
      <c r="J3462" s="247" t="s">
        <v>809</v>
      </c>
      <c r="K3462" s="249">
        <v>0</v>
      </c>
      <c r="M3462" s="90">
        <v>0</v>
      </c>
      <c r="N3462" s="90">
        <v>0</v>
      </c>
      <c r="O3462" s="90">
        <v>255</v>
      </c>
    </row>
    <row r="3463" spans="1:15" s="90" customFormat="1" ht="12.75" customHeight="1" x14ac:dyDescent="0.2">
      <c r="A3463" s="247" t="s">
        <v>1542</v>
      </c>
      <c r="B3463" s="316">
        <v>3108</v>
      </c>
      <c r="C3463" s="247" t="s">
        <v>975</v>
      </c>
      <c r="D3463" s="317">
        <v>42676</v>
      </c>
      <c r="E3463" s="318">
        <v>0.31234953703703705</v>
      </c>
      <c r="F3463" s="247" t="s">
        <v>978</v>
      </c>
      <c r="G3463" s="247" t="s">
        <v>1540</v>
      </c>
      <c r="H3463" s="248" t="s">
        <v>234</v>
      </c>
      <c r="I3463" s="248" t="s">
        <v>677</v>
      </c>
      <c r="J3463" s="247" t="s">
        <v>809</v>
      </c>
      <c r="K3463" s="249">
        <v>0</v>
      </c>
      <c r="M3463" s="90">
        <v>0</v>
      </c>
      <c r="N3463" s="90">
        <v>0</v>
      </c>
      <c r="O3463" s="90">
        <v>255</v>
      </c>
    </row>
    <row r="3464" spans="1:15" s="90" customFormat="1" ht="12.75" customHeight="1" x14ac:dyDescent="0.2">
      <c r="A3464" s="247" t="s">
        <v>1034</v>
      </c>
      <c r="B3464" s="316">
        <v>3106</v>
      </c>
      <c r="C3464" s="247" t="s">
        <v>975</v>
      </c>
      <c r="D3464" s="317">
        <v>42676</v>
      </c>
      <c r="E3464" s="318">
        <v>0.31243055555555554</v>
      </c>
      <c r="F3464" s="247" t="s">
        <v>978</v>
      </c>
      <c r="G3464" s="247" t="s">
        <v>1035</v>
      </c>
      <c r="H3464" s="248" t="s">
        <v>234</v>
      </c>
      <c r="I3464" s="248" t="s">
        <v>677</v>
      </c>
      <c r="J3464" s="247" t="s">
        <v>809</v>
      </c>
      <c r="K3464" s="249">
        <v>0</v>
      </c>
      <c r="M3464" s="90">
        <v>0</v>
      </c>
      <c r="N3464" s="90">
        <v>0</v>
      </c>
      <c r="O3464" s="90">
        <v>255</v>
      </c>
    </row>
    <row r="3465" spans="1:15" s="90" customFormat="1" ht="12.75" customHeight="1" x14ac:dyDescent="0.2">
      <c r="A3465" s="247" t="s">
        <v>1037</v>
      </c>
      <c r="B3465" s="316">
        <v>3108</v>
      </c>
      <c r="C3465" s="247" t="s">
        <v>975</v>
      </c>
      <c r="D3465" s="317">
        <v>42676</v>
      </c>
      <c r="E3465" s="318">
        <v>0.31290509259259258</v>
      </c>
      <c r="F3465" s="247" t="s">
        <v>978</v>
      </c>
      <c r="G3465" s="247" t="s">
        <v>1035</v>
      </c>
      <c r="H3465" s="248" t="s">
        <v>234</v>
      </c>
      <c r="I3465" s="248" t="s">
        <v>677</v>
      </c>
      <c r="J3465" s="247" t="s">
        <v>809</v>
      </c>
      <c r="K3465" s="249">
        <v>0</v>
      </c>
      <c r="M3465" s="90">
        <v>0</v>
      </c>
      <c r="N3465" s="90">
        <v>0</v>
      </c>
      <c r="O3465" s="90">
        <v>255</v>
      </c>
    </row>
    <row r="3466" spans="1:15" s="90" customFormat="1" ht="12.75" customHeight="1" x14ac:dyDescent="0.2">
      <c r="A3466" s="247" t="s">
        <v>1034</v>
      </c>
      <c r="B3466" s="316">
        <v>3106</v>
      </c>
      <c r="C3466" s="247" t="s">
        <v>975</v>
      </c>
      <c r="D3466" s="317">
        <v>42676</v>
      </c>
      <c r="E3466" s="318">
        <v>0.31302083333333336</v>
      </c>
      <c r="F3466" s="247" t="s">
        <v>978</v>
      </c>
      <c r="G3466" s="247" t="s">
        <v>1035</v>
      </c>
      <c r="H3466" s="248" t="s">
        <v>234</v>
      </c>
      <c r="I3466" s="248" t="s">
        <v>677</v>
      </c>
      <c r="J3466" s="247" t="s">
        <v>809</v>
      </c>
      <c r="K3466" s="249">
        <v>0</v>
      </c>
      <c r="M3466" s="90">
        <v>0</v>
      </c>
      <c r="N3466" s="90">
        <v>0</v>
      </c>
      <c r="O3466" s="90">
        <v>255</v>
      </c>
    </row>
    <row r="3467" spans="1:15" s="90" customFormat="1" ht="12.75" customHeight="1" x14ac:dyDescent="0.2">
      <c r="A3467" s="247" t="s">
        <v>1031</v>
      </c>
      <c r="B3467" s="316">
        <v>3046</v>
      </c>
      <c r="C3467" s="247" t="s">
        <v>975</v>
      </c>
      <c r="D3467" s="317">
        <v>42676</v>
      </c>
      <c r="E3467" s="318">
        <v>0.31440972222222224</v>
      </c>
      <c r="F3467" s="247" t="s">
        <v>976</v>
      </c>
      <c r="G3467" s="247" t="s">
        <v>1035</v>
      </c>
      <c r="H3467" s="248" t="s">
        <v>404</v>
      </c>
      <c r="I3467" s="248" t="s">
        <v>404</v>
      </c>
      <c r="J3467" s="247" t="s">
        <v>809</v>
      </c>
      <c r="K3467" s="249">
        <v>0</v>
      </c>
      <c r="M3467" s="90">
        <v>0</v>
      </c>
      <c r="N3467" s="90">
        <v>0</v>
      </c>
      <c r="O3467" s="90">
        <v>255</v>
      </c>
    </row>
    <row r="3468" spans="1:15" s="90" customFormat="1" ht="12.75" customHeight="1" x14ac:dyDescent="0.2">
      <c r="A3468" s="247" t="s">
        <v>1080</v>
      </c>
      <c r="B3468" s="316">
        <v>3047</v>
      </c>
      <c r="C3468" s="247" t="s">
        <v>996</v>
      </c>
      <c r="D3468" s="317">
        <v>42676</v>
      </c>
      <c r="E3468" s="318">
        <v>0.31570601851851854</v>
      </c>
      <c r="F3468" s="247" t="s">
        <v>235</v>
      </c>
      <c r="G3468" s="247" t="s">
        <v>1035</v>
      </c>
      <c r="H3468" s="248" t="s">
        <v>234</v>
      </c>
      <c r="I3468" s="248" t="s">
        <v>235</v>
      </c>
      <c r="J3468" s="247" t="s">
        <v>809</v>
      </c>
      <c r="K3468" s="249">
        <v>0</v>
      </c>
      <c r="M3468" s="90">
        <v>0</v>
      </c>
      <c r="N3468" s="90">
        <v>0</v>
      </c>
      <c r="O3468" s="90">
        <v>255</v>
      </c>
    </row>
    <row r="3469" spans="1:15" s="90" customFormat="1" ht="12.75" customHeight="1" x14ac:dyDescent="0.2">
      <c r="A3469" s="247" t="s">
        <v>1079</v>
      </c>
      <c r="B3469" s="316">
        <v>3047</v>
      </c>
      <c r="C3469" s="247" t="s">
        <v>996</v>
      </c>
      <c r="D3469" s="317">
        <v>42676</v>
      </c>
      <c r="E3469" s="318">
        <v>0.31570601851851854</v>
      </c>
      <c r="F3469" s="247" t="s">
        <v>235</v>
      </c>
      <c r="G3469" s="247" t="s">
        <v>1035</v>
      </c>
      <c r="H3469" s="248" t="s">
        <v>234</v>
      </c>
      <c r="I3469" s="248" t="s">
        <v>235</v>
      </c>
      <c r="J3469" s="247" t="s">
        <v>809</v>
      </c>
      <c r="K3469" s="249">
        <v>0</v>
      </c>
      <c r="M3469" s="90">
        <v>0</v>
      </c>
      <c r="N3469" s="90">
        <v>0</v>
      </c>
      <c r="O3469" s="90">
        <v>255</v>
      </c>
    </row>
    <row r="3470" spans="1:15" s="90" customFormat="1" ht="12.75" customHeight="1" x14ac:dyDescent="0.2">
      <c r="A3470" s="247" t="s">
        <v>1081</v>
      </c>
      <c r="B3470" s="316">
        <v>3047</v>
      </c>
      <c r="C3470" s="247" t="s">
        <v>996</v>
      </c>
      <c r="D3470" s="317">
        <v>42676</v>
      </c>
      <c r="E3470" s="318">
        <v>0.31646990740740738</v>
      </c>
      <c r="F3470" s="247" t="s">
        <v>235</v>
      </c>
      <c r="G3470" s="247" t="s">
        <v>1035</v>
      </c>
      <c r="H3470" s="248" t="s">
        <v>234</v>
      </c>
      <c r="I3470" s="248" t="s">
        <v>235</v>
      </c>
      <c r="J3470" s="247" t="s">
        <v>809</v>
      </c>
      <c r="K3470" s="249">
        <v>0</v>
      </c>
      <c r="M3470" s="90">
        <v>0</v>
      </c>
      <c r="N3470" s="90">
        <v>0</v>
      </c>
      <c r="O3470" s="90">
        <v>255</v>
      </c>
    </row>
    <row r="3471" spans="1:15" s="90" customFormat="1" ht="12.75" customHeight="1" x14ac:dyDescent="0.2">
      <c r="A3471" s="247" t="s">
        <v>1032</v>
      </c>
      <c r="B3471" s="316">
        <v>3046</v>
      </c>
      <c r="C3471" s="247" t="s">
        <v>975</v>
      </c>
      <c r="D3471" s="317">
        <v>42676</v>
      </c>
      <c r="E3471" s="318">
        <v>0.31675925925925924</v>
      </c>
      <c r="F3471" s="247" t="s">
        <v>976</v>
      </c>
      <c r="G3471" s="247" t="s">
        <v>1035</v>
      </c>
      <c r="H3471" s="248" t="s">
        <v>404</v>
      </c>
      <c r="I3471" s="248" t="s">
        <v>404</v>
      </c>
      <c r="J3471" s="247" t="s">
        <v>809</v>
      </c>
      <c r="K3471" s="249">
        <v>0</v>
      </c>
      <c r="M3471" s="90">
        <v>0</v>
      </c>
      <c r="N3471" s="90">
        <v>0</v>
      </c>
      <c r="O3471" s="90">
        <v>255</v>
      </c>
    </row>
    <row r="3472" spans="1:15" s="90" customFormat="1" ht="12.75" customHeight="1" x14ac:dyDescent="0.2">
      <c r="A3472" s="247" t="s">
        <v>989</v>
      </c>
      <c r="B3472" s="316">
        <v>3046</v>
      </c>
      <c r="C3472" s="247" t="s">
        <v>975</v>
      </c>
      <c r="D3472" s="317">
        <v>42676</v>
      </c>
      <c r="E3472" s="318">
        <v>0.31675925925925924</v>
      </c>
      <c r="F3472" s="247" t="s">
        <v>976</v>
      </c>
      <c r="G3472" s="247" t="s">
        <v>1035</v>
      </c>
      <c r="H3472" s="248" t="s">
        <v>404</v>
      </c>
      <c r="I3472" s="248" t="s">
        <v>404</v>
      </c>
      <c r="J3472" s="247" t="s">
        <v>809</v>
      </c>
      <c r="K3472" s="249">
        <v>0</v>
      </c>
      <c r="M3472" s="90">
        <v>0</v>
      </c>
      <c r="N3472" s="90">
        <v>0</v>
      </c>
      <c r="O3472" s="90">
        <v>255</v>
      </c>
    </row>
    <row r="3473" spans="1:15" s="90" customFormat="1" ht="12.75" customHeight="1" x14ac:dyDescent="0.2">
      <c r="A3473" s="247" t="s">
        <v>1082</v>
      </c>
      <c r="B3473" s="316">
        <v>3047</v>
      </c>
      <c r="C3473" s="247" t="s">
        <v>996</v>
      </c>
      <c r="D3473" s="317">
        <v>42676</v>
      </c>
      <c r="E3473" s="318">
        <v>0.31692129629629628</v>
      </c>
      <c r="F3473" s="247" t="s">
        <v>235</v>
      </c>
      <c r="G3473" s="247" t="s">
        <v>1035</v>
      </c>
      <c r="H3473" s="248" t="s">
        <v>234</v>
      </c>
      <c r="I3473" s="248" t="s">
        <v>235</v>
      </c>
      <c r="J3473" s="247" t="s">
        <v>809</v>
      </c>
      <c r="K3473" s="249">
        <v>0</v>
      </c>
      <c r="M3473" s="90">
        <v>0</v>
      </c>
      <c r="N3473" s="90">
        <v>0</v>
      </c>
      <c r="O3473" s="90">
        <v>255</v>
      </c>
    </row>
    <row r="3474" spans="1:15" s="90" customFormat="1" ht="12.75" customHeight="1" x14ac:dyDescent="0.2">
      <c r="A3474" s="247" t="s">
        <v>990</v>
      </c>
      <c r="B3474" s="316">
        <v>3046</v>
      </c>
      <c r="C3474" s="247" t="s">
        <v>975</v>
      </c>
      <c r="D3474" s="317">
        <v>42676</v>
      </c>
      <c r="E3474" s="318">
        <v>0.3170486111111111</v>
      </c>
      <c r="F3474" s="247" t="s">
        <v>976</v>
      </c>
      <c r="G3474" s="247" t="s">
        <v>1035</v>
      </c>
      <c r="H3474" s="248" t="s">
        <v>404</v>
      </c>
      <c r="I3474" s="248" t="s">
        <v>404</v>
      </c>
      <c r="J3474" s="247" t="s">
        <v>809</v>
      </c>
      <c r="K3474" s="249">
        <v>0</v>
      </c>
      <c r="M3474" s="90">
        <v>0</v>
      </c>
      <c r="N3474" s="90">
        <v>0</v>
      </c>
      <c r="O3474" s="90">
        <v>255</v>
      </c>
    </row>
    <row r="3475" spans="1:15" s="90" customFormat="1" ht="12.75" customHeight="1" x14ac:dyDescent="0.2">
      <c r="A3475" s="247" t="s">
        <v>1033</v>
      </c>
      <c r="B3475" s="316">
        <v>3217</v>
      </c>
      <c r="C3475" s="247" t="s">
        <v>975</v>
      </c>
      <c r="D3475" s="317">
        <v>42676</v>
      </c>
      <c r="E3475" s="318">
        <v>0.3170486111111111</v>
      </c>
      <c r="F3475" s="247" t="s">
        <v>235</v>
      </c>
      <c r="G3475" s="247" t="s">
        <v>1035</v>
      </c>
      <c r="H3475" s="248" t="s">
        <v>234</v>
      </c>
      <c r="I3475" s="248" t="s">
        <v>235</v>
      </c>
      <c r="J3475" s="247" t="s">
        <v>809</v>
      </c>
      <c r="K3475" s="249">
        <v>0</v>
      </c>
      <c r="M3475" s="90">
        <v>0</v>
      </c>
      <c r="N3475" s="90">
        <v>0</v>
      </c>
      <c r="O3475" s="90">
        <v>255</v>
      </c>
    </row>
    <row r="3476" spans="1:15" s="90" customFormat="1" ht="12.75" customHeight="1" x14ac:dyDescent="0.2">
      <c r="A3476" s="247" t="s">
        <v>1037</v>
      </c>
      <c r="B3476" s="316">
        <v>3108</v>
      </c>
      <c r="C3476" s="247" t="s">
        <v>975</v>
      </c>
      <c r="D3476" s="317">
        <v>42676</v>
      </c>
      <c r="E3476" s="318">
        <v>0.31980324074074074</v>
      </c>
      <c r="F3476" s="247" t="s">
        <v>978</v>
      </c>
      <c r="G3476" s="247" t="s">
        <v>1035</v>
      </c>
      <c r="H3476" s="248" t="s">
        <v>234</v>
      </c>
      <c r="I3476" s="248" t="s">
        <v>677</v>
      </c>
      <c r="J3476" s="247" t="s">
        <v>809</v>
      </c>
      <c r="K3476" s="249">
        <v>0</v>
      </c>
      <c r="M3476" s="90">
        <v>0</v>
      </c>
      <c r="N3476" s="90">
        <v>0</v>
      </c>
      <c r="O3476" s="90">
        <v>255</v>
      </c>
    </row>
    <row r="3477" spans="1:15" s="90" customFormat="1" ht="12.75" customHeight="1" x14ac:dyDescent="0.2">
      <c r="A3477" s="247" t="s">
        <v>1539</v>
      </c>
      <c r="B3477" s="316">
        <v>3106</v>
      </c>
      <c r="C3477" s="247" t="s">
        <v>975</v>
      </c>
      <c r="D3477" s="317">
        <v>42676</v>
      </c>
      <c r="E3477" s="318">
        <v>0.32010416666666669</v>
      </c>
      <c r="F3477" s="247" t="s">
        <v>978</v>
      </c>
      <c r="G3477" s="247" t="s">
        <v>1540</v>
      </c>
      <c r="H3477" s="248" t="s">
        <v>234</v>
      </c>
      <c r="I3477" s="248" t="s">
        <v>677</v>
      </c>
      <c r="J3477" s="247" t="s">
        <v>809</v>
      </c>
      <c r="K3477" s="249">
        <v>0</v>
      </c>
      <c r="M3477" s="90">
        <v>0</v>
      </c>
      <c r="N3477" s="90">
        <v>0</v>
      </c>
      <c r="O3477" s="90">
        <v>255</v>
      </c>
    </row>
    <row r="3478" spans="1:15" s="90" customFormat="1" ht="12.75" customHeight="1" x14ac:dyDescent="0.2">
      <c r="A3478" s="247" t="s">
        <v>1031</v>
      </c>
      <c r="B3478" s="316">
        <v>3046</v>
      </c>
      <c r="C3478" s="247" t="s">
        <v>975</v>
      </c>
      <c r="D3478" s="317">
        <v>42676</v>
      </c>
      <c r="E3478" s="318">
        <v>0.32376157407407408</v>
      </c>
      <c r="F3478" s="247" t="s">
        <v>976</v>
      </c>
      <c r="G3478" s="247" t="s">
        <v>1540</v>
      </c>
      <c r="H3478" s="248" t="s">
        <v>404</v>
      </c>
      <c r="I3478" s="248" t="s">
        <v>404</v>
      </c>
      <c r="J3478" s="247" t="s">
        <v>809</v>
      </c>
      <c r="K3478" s="249">
        <v>0</v>
      </c>
      <c r="M3478" s="90">
        <v>0</v>
      </c>
      <c r="N3478" s="90">
        <v>0</v>
      </c>
      <c r="O3478" s="90">
        <v>255</v>
      </c>
    </row>
    <row r="3479" spans="1:15" s="90" customFormat="1" ht="12.75" customHeight="1" x14ac:dyDescent="0.2">
      <c r="A3479" s="247" t="s">
        <v>1330</v>
      </c>
      <c r="B3479" s="316">
        <v>3218</v>
      </c>
      <c r="C3479" s="247" t="s">
        <v>979</v>
      </c>
      <c r="D3479" s="317">
        <v>42676</v>
      </c>
      <c r="E3479" s="318">
        <v>0.32571759259259259</v>
      </c>
      <c r="F3479" s="247" t="s">
        <v>702</v>
      </c>
      <c r="G3479" s="247" t="s">
        <v>1540</v>
      </c>
      <c r="H3479" s="248"/>
      <c r="I3479" s="248"/>
      <c r="J3479" s="247"/>
      <c r="K3479" s="249"/>
      <c r="M3479" s="90">
        <v>0</v>
      </c>
      <c r="N3479" s="90">
        <v>0</v>
      </c>
      <c r="O3479" s="90">
        <v>255</v>
      </c>
    </row>
    <row r="3480" spans="1:15" s="90" customFormat="1" ht="12.75" customHeight="1" x14ac:dyDescent="0.2">
      <c r="A3480" s="247" t="s">
        <v>1543</v>
      </c>
      <c r="B3480" s="316">
        <v>2083</v>
      </c>
      <c r="C3480" s="247" t="s">
        <v>979</v>
      </c>
      <c r="D3480" s="317">
        <v>42676</v>
      </c>
      <c r="E3480" s="318">
        <v>0.32685185185185184</v>
      </c>
      <c r="F3480" s="247" t="s">
        <v>702</v>
      </c>
      <c r="G3480" s="247" t="s">
        <v>1540</v>
      </c>
      <c r="H3480" s="248" t="s">
        <v>121</v>
      </c>
      <c r="I3480" s="248" t="s">
        <v>122</v>
      </c>
      <c r="J3480" s="247" t="s">
        <v>809</v>
      </c>
      <c r="K3480" s="249">
        <v>0</v>
      </c>
      <c r="M3480" s="90">
        <v>0</v>
      </c>
      <c r="N3480" s="90">
        <v>0</v>
      </c>
      <c r="O3480" s="90">
        <v>255</v>
      </c>
    </row>
    <row r="3481" spans="1:15" s="90" customFormat="1" ht="12.75" customHeight="1" x14ac:dyDescent="0.2">
      <c r="A3481" s="247" t="s">
        <v>1110</v>
      </c>
      <c r="B3481" s="316">
        <v>2083</v>
      </c>
      <c r="C3481" s="247" t="s">
        <v>979</v>
      </c>
      <c r="D3481" s="317">
        <v>42676</v>
      </c>
      <c r="E3481" s="318">
        <v>0.32695601851851852</v>
      </c>
      <c r="F3481" s="247" t="s">
        <v>702</v>
      </c>
      <c r="G3481" s="247" t="s">
        <v>1540</v>
      </c>
      <c r="H3481" s="248" t="s">
        <v>121</v>
      </c>
      <c r="I3481" s="248" t="s">
        <v>122</v>
      </c>
      <c r="J3481" s="247" t="s">
        <v>809</v>
      </c>
      <c r="K3481" s="249">
        <v>0</v>
      </c>
      <c r="M3481" s="90">
        <v>0</v>
      </c>
      <c r="N3481" s="90">
        <v>0</v>
      </c>
      <c r="O3481" s="90">
        <v>255</v>
      </c>
    </row>
    <row r="3482" spans="1:15" s="90" customFormat="1" ht="12.75" customHeight="1" x14ac:dyDescent="0.2">
      <c r="A3482" s="247" t="s">
        <v>1032</v>
      </c>
      <c r="B3482" s="316">
        <v>3046</v>
      </c>
      <c r="C3482" s="247" t="s">
        <v>975</v>
      </c>
      <c r="D3482" s="317">
        <v>42676</v>
      </c>
      <c r="E3482" s="318">
        <v>0.32918981481481485</v>
      </c>
      <c r="F3482" s="247" t="s">
        <v>976</v>
      </c>
      <c r="G3482" s="247" t="s">
        <v>1540</v>
      </c>
      <c r="H3482" s="248" t="s">
        <v>404</v>
      </c>
      <c r="I3482" s="248" t="s">
        <v>404</v>
      </c>
      <c r="J3482" s="247" t="s">
        <v>809</v>
      </c>
      <c r="K3482" s="249">
        <v>0</v>
      </c>
      <c r="M3482" s="90">
        <v>0</v>
      </c>
      <c r="N3482" s="90">
        <v>0</v>
      </c>
      <c r="O3482" s="90">
        <v>255</v>
      </c>
    </row>
    <row r="3483" spans="1:15" s="90" customFormat="1" ht="12.75" customHeight="1" x14ac:dyDescent="0.2">
      <c r="A3483" s="247" t="s">
        <v>989</v>
      </c>
      <c r="B3483" s="316">
        <v>3046</v>
      </c>
      <c r="C3483" s="247" t="s">
        <v>975</v>
      </c>
      <c r="D3483" s="317">
        <v>42676</v>
      </c>
      <c r="E3483" s="318">
        <v>0.32918981481481485</v>
      </c>
      <c r="F3483" s="247" t="s">
        <v>976</v>
      </c>
      <c r="G3483" s="247" t="s">
        <v>1540</v>
      </c>
      <c r="H3483" s="248" t="s">
        <v>404</v>
      </c>
      <c r="I3483" s="248" t="s">
        <v>404</v>
      </c>
      <c r="J3483" s="247" t="s">
        <v>809</v>
      </c>
      <c r="K3483" s="249">
        <v>0</v>
      </c>
      <c r="M3483" s="90">
        <v>0</v>
      </c>
      <c r="N3483" s="90">
        <v>0</v>
      </c>
      <c r="O3483" s="90">
        <v>255</v>
      </c>
    </row>
    <row r="3484" spans="1:15" s="90" customFormat="1" ht="12.75" customHeight="1" x14ac:dyDescent="0.2">
      <c r="A3484" s="247" t="s">
        <v>1033</v>
      </c>
      <c r="B3484" s="316">
        <v>3217</v>
      </c>
      <c r="C3484" s="247" t="s">
        <v>975</v>
      </c>
      <c r="D3484" s="317">
        <v>42676</v>
      </c>
      <c r="E3484" s="318">
        <v>0.32946759259259256</v>
      </c>
      <c r="F3484" s="247" t="s">
        <v>235</v>
      </c>
      <c r="G3484" s="247" t="s">
        <v>1540</v>
      </c>
      <c r="H3484" s="248" t="s">
        <v>234</v>
      </c>
      <c r="I3484" s="248" t="s">
        <v>235</v>
      </c>
      <c r="J3484" s="247" t="s">
        <v>809</v>
      </c>
      <c r="K3484" s="249">
        <v>0</v>
      </c>
      <c r="M3484" s="90">
        <v>0</v>
      </c>
      <c r="N3484" s="90">
        <v>0</v>
      </c>
      <c r="O3484" s="90">
        <v>255</v>
      </c>
    </row>
    <row r="3485" spans="1:15" s="90" customFormat="1" ht="12.75" customHeight="1" x14ac:dyDescent="0.2">
      <c r="A3485" s="247" t="s">
        <v>990</v>
      </c>
      <c r="B3485" s="316">
        <v>3046</v>
      </c>
      <c r="C3485" s="247" t="s">
        <v>975</v>
      </c>
      <c r="D3485" s="317">
        <v>42676</v>
      </c>
      <c r="E3485" s="318">
        <v>0.32947916666666666</v>
      </c>
      <c r="F3485" s="247" t="s">
        <v>976</v>
      </c>
      <c r="G3485" s="247" t="s">
        <v>1540</v>
      </c>
      <c r="H3485" s="248" t="s">
        <v>404</v>
      </c>
      <c r="I3485" s="248" t="s">
        <v>404</v>
      </c>
      <c r="J3485" s="247" t="s">
        <v>809</v>
      </c>
      <c r="K3485" s="249">
        <v>0</v>
      </c>
      <c r="M3485" s="90">
        <v>0</v>
      </c>
      <c r="N3485" s="90">
        <v>0</v>
      </c>
      <c r="O3485" s="90">
        <v>255</v>
      </c>
    </row>
    <row r="3486" spans="1:15" s="90" customFormat="1" ht="12.75" customHeight="1" x14ac:dyDescent="0.2">
      <c r="A3486" s="247" t="s">
        <v>301</v>
      </c>
      <c r="B3486" s="316">
        <v>3042</v>
      </c>
      <c r="C3486" s="247" t="s">
        <v>979</v>
      </c>
      <c r="D3486" s="317">
        <v>42676</v>
      </c>
      <c r="E3486" s="318">
        <v>0.33561342592592597</v>
      </c>
      <c r="F3486" s="247" t="s">
        <v>980</v>
      </c>
      <c r="G3486" s="247" t="s">
        <v>1540</v>
      </c>
      <c r="H3486" s="248" t="s">
        <v>234</v>
      </c>
      <c r="I3486" s="248" t="s">
        <v>263</v>
      </c>
      <c r="J3486" s="247" t="s">
        <v>809</v>
      </c>
      <c r="K3486" s="249">
        <v>0</v>
      </c>
      <c r="M3486" s="90">
        <v>0</v>
      </c>
      <c r="N3486" s="90">
        <v>0</v>
      </c>
      <c r="O3486" s="90">
        <v>255</v>
      </c>
    </row>
    <row r="3487" spans="1:15" s="90" customFormat="1" ht="12.75" customHeight="1" x14ac:dyDescent="0.2">
      <c r="A3487" s="247" t="s">
        <v>1544</v>
      </c>
      <c r="B3487" s="316">
        <v>3218</v>
      </c>
      <c r="C3487" s="247" t="s">
        <v>979</v>
      </c>
      <c r="D3487" s="317">
        <v>42676</v>
      </c>
      <c r="E3487" s="318">
        <v>0.34568287037037032</v>
      </c>
      <c r="F3487" s="247" t="s">
        <v>702</v>
      </c>
      <c r="G3487" s="247" t="s">
        <v>1540</v>
      </c>
      <c r="H3487" s="248"/>
      <c r="I3487" s="248"/>
      <c r="J3487" s="247"/>
      <c r="K3487" s="249"/>
      <c r="M3487" s="90">
        <v>0</v>
      </c>
      <c r="N3487" s="90">
        <v>0</v>
      </c>
      <c r="O3487" s="90">
        <v>255</v>
      </c>
    </row>
    <row r="3488" spans="1:15" s="90" customFormat="1" ht="12.75" customHeight="1" x14ac:dyDescent="0.2">
      <c r="A3488" s="247" t="s">
        <v>1031</v>
      </c>
      <c r="B3488" s="316">
        <v>3046</v>
      </c>
      <c r="C3488" s="247" t="s">
        <v>975</v>
      </c>
      <c r="D3488" s="317">
        <v>42676</v>
      </c>
      <c r="E3488" s="318">
        <v>0.34577546296296297</v>
      </c>
      <c r="F3488" s="247" t="s">
        <v>976</v>
      </c>
      <c r="G3488" s="247" t="s">
        <v>1540</v>
      </c>
      <c r="H3488" s="248" t="s">
        <v>404</v>
      </c>
      <c r="I3488" s="248" t="s">
        <v>404</v>
      </c>
      <c r="J3488" s="247" t="s">
        <v>809</v>
      </c>
      <c r="K3488" s="249">
        <v>0</v>
      </c>
      <c r="M3488" s="90">
        <v>0</v>
      </c>
      <c r="N3488" s="90">
        <v>0</v>
      </c>
      <c r="O3488" s="90">
        <v>255</v>
      </c>
    </row>
    <row r="3489" spans="1:15" s="90" customFormat="1" ht="12.75" customHeight="1" x14ac:dyDescent="0.2">
      <c r="A3489" s="247" t="s">
        <v>1182</v>
      </c>
      <c r="B3489" s="316">
        <v>3218</v>
      </c>
      <c r="C3489" s="247" t="s">
        <v>979</v>
      </c>
      <c r="D3489" s="317">
        <v>42676</v>
      </c>
      <c r="E3489" s="318">
        <v>0.34918981481481487</v>
      </c>
      <c r="F3489" s="247" t="s">
        <v>702</v>
      </c>
      <c r="G3489" s="247" t="s">
        <v>1540</v>
      </c>
      <c r="H3489" s="248"/>
      <c r="I3489" s="248"/>
      <c r="J3489" s="247"/>
      <c r="K3489" s="249"/>
      <c r="M3489" s="90">
        <v>0</v>
      </c>
      <c r="N3489" s="90">
        <v>0</v>
      </c>
      <c r="O3489" s="90">
        <v>255</v>
      </c>
    </row>
    <row r="3490" spans="1:15" s="90" customFormat="1" ht="12.75" customHeight="1" x14ac:dyDescent="0.2">
      <c r="A3490" s="247" t="s">
        <v>1032</v>
      </c>
      <c r="B3490" s="316">
        <v>3046</v>
      </c>
      <c r="C3490" s="247" t="s">
        <v>975</v>
      </c>
      <c r="D3490" s="317">
        <v>42676</v>
      </c>
      <c r="E3490" s="318">
        <v>0.35412037037037036</v>
      </c>
      <c r="F3490" s="247" t="s">
        <v>976</v>
      </c>
      <c r="G3490" s="247" t="s">
        <v>1540</v>
      </c>
      <c r="H3490" s="248" t="s">
        <v>404</v>
      </c>
      <c r="I3490" s="248" t="s">
        <v>404</v>
      </c>
      <c r="J3490" s="247" t="s">
        <v>809</v>
      </c>
      <c r="K3490" s="249">
        <v>0</v>
      </c>
      <c r="M3490" s="90">
        <v>0</v>
      </c>
      <c r="N3490" s="90">
        <v>0</v>
      </c>
      <c r="O3490" s="90">
        <v>255</v>
      </c>
    </row>
    <row r="3491" spans="1:15" s="90" customFormat="1" ht="12.75" customHeight="1" x14ac:dyDescent="0.2">
      <c r="A3491" s="247" t="s">
        <v>989</v>
      </c>
      <c r="B3491" s="316">
        <v>3046</v>
      </c>
      <c r="C3491" s="247" t="s">
        <v>975</v>
      </c>
      <c r="D3491" s="317">
        <v>42676</v>
      </c>
      <c r="E3491" s="318">
        <v>0.35412037037037036</v>
      </c>
      <c r="F3491" s="247" t="s">
        <v>976</v>
      </c>
      <c r="G3491" s="247" t="s">
        <v>1540</v>
      </c>
      <c r="H3491" s="248" t="s">
        <v>404</v>
      </c>
      <c r="I3491" s="248" t="s">
        <v>404</v>
      </c>
      <c r="J3491" s="247" t="s">
        <v>809</v>
      </c>
      <c r="K3491" s="249">
        <v>0</v>
      </c>
      <c r="M3491" s="90">
        <v>0</v>
      </c>
      <c r="N3491" s="90">
        <v>0</v>
      </c>
      <c r="O3491" s="90">
        <v>255</v>
      </c>
    </row>
    <row r="3492" spans="1:15" s="90" customFormat="1" ht="12.75" customHeight="1" x14ac:dyDescent="0.2">
      <c r="A3492" s="247" t="s">
        <v>1033</v>
      </c>
      <c r="B3492" s="316">
        <v>3217</v>
      </c>
      <c r="C3492" s="247" t="s">
        <v>975</v>
      </c>
      <c r="D3492" s="317">
        <v>42676</v>
      </c>
      <c r="E3492" s="318">
        <v>0.35439814814814818</v>
      </c>
      <c r="F3492" s="247" t="s">
        <v>235</v>
      </c>
      <c r="G3492" s="247" t="s">
        <v>1540</v>
      </c>
      <c r="H3492" s="248" t="s">
        <v>234</v>
      </c>
      <c r="I3492" s="248" t="s">
        <v>235</v>
      </c>
      <c r="J3492" s="247" t="s">
        <v>809</v>
      </c>
      <c r="K3492" s="249">
        <v>0</v>
      </c>
      <c r="M3492" s="90">
        <v>0</v>
      </c>
      <c r="N3492" s="90">
        <v>0</v>
      </c>
      <c r="O3492" s="90">
        <v>255</v>
      </c>
    </row>
    <row r="3493" spans="1:15" s="90" customFormat="1" ht="12.75" customHeight="1" x14ac:dyDescent="0.2">
      <c r="A3493" s="247" t="s">
        <v>990</v>
      </c>
      <c r="B3493" s="316">
        <v>3046</v>
      </c>
      <c r="C3493" s="247" t="s">
        <v>975</v>
      </c>
      <c r="D3493" s="317">
        <v>42676</v>
      </c>
      <c r="E3493" s="318">
        <v>0.35440972222222222</v>
      </c>
      <c r="F3493" s="247" t="s">
        <v>976</v>
      </c>
      <c r="G3493" s="247" t="s">
        <v>1540</v>
      </c>
      <c r="H3493" s="248" t="s">
        <v>404</v>
      </c>
      <c r="I3493" s="248" t="s">
        <v>404</v>
      </c>
      <c r="J3493" s="247" t="s">
        <v>809</v>
      </c>
      <c r="K3493" s="249">
        <v>0</v>
      </c>
      <c r="M3493" s="90">
        <v>0</v>
      </c>
      <c r="N3493" s="90">
        <v>0</v>
      </c>
      <c r="O3493" s="90">
        <v>255</v>
      </c>
    </row>
    <row r="3494" spans="1:15" s="90" customFormat="1" ht="12.75" customHeight="1" x14ac:dyDescent="0.2">
      <c r="A3494" s="247" t="s">
        <v>1084</v>
      </c>
      <c r="B3494" s="316">
        <v>3089</v>
      </c>
      <c r="C3494" s="247" t="s">
        <v>996</v>
      </c>
      <c r="D3494" s="317">
        <v>42676</v>
      </c>
      <c r="E3494" s="318">
        <v>0.35737268518518522</v>
      </c>
      <c r="F3494" s="247" t="s">
        <v>235</v>
      </c>
      <c r="G3494" s="247" t="s">
        <v>1540</v>
      </c>
      <c r="H3494" s="248" t="s">
        <v>234</v>
      </c>
      <c r="I3494" s="248" t="s">
        <v>235</v>
      </c>
      <c r="J3494" s="247" t="s">
        <v>809</v>
      </c>
      <c r="K3494" s="249">
        <v>0</v>
      </c>
      <c r="M3494" s="90">
        <v>0</v>
      </c>
      <c r="N3494" s="90">
        <v>0</v>
      </c>
      <c r="O3494" s="90">
        <v>255</v>
      </c>
    </row>
    <row r="3495" spans="1:15" s="90" customFormat="1" ht="12.75" customHeight="1" x14ac:dyDescent="0.2">
      <c r="A3495" s="247" t="s">
        <v>1083</v>
      </c>
      <c r="B3495" s="316">
        <v>3089</v>
      </c>
      <c r="C3495" s="247" t="s">
        <v>996</v>
      </c>
      <c r="D3495" s="317">
        <v>42676</v>
      </c>
      <c r="E3495" s="318">
        <v>0.35737268518518522</v>
      </c>
      <c r="F3495" s="247" t="s">
        <v>235</v>
      </c>
      <c r="G3495" s="247" t="s">
        <v>1540</v>
      </c>
      <c r="H3495" s="248" t="s">
        <v>234</v>
      </c>
      <c r="I3495" s="248" t="s">
        <v>235</v>
      </c>
      <c r="J3495" s="247" t="s">
        <v>809</v>
      </c>
      <c r="K3495" s="249">
        <v>0</v>
      </c>
      <c r="M3495" s="90">
        <v>0</v>
      </c>
      <c r="N3495" s="90">
        <v>0</v>
      </c>
      <c r="O3495" s="90">
        <v>255</v>
      </c>
    </row>
    <row r="3496" spans="1:15" s="90" customFormat="1" ht="12.75" customHeight="1" x14ac:dyDescent="0.2">
      <c r="A3496" s="247" t="s">
        <v>1031</v>
      </c>
      <c r="B3496" s="316">
        <v>3046</v>
      </c>
      <c r="C3496" s="247" t="s">
        <v>975</v>
      </c>
      <c r="D3496" s="317">
        <v>42676</v>
      </c>
      <c r="E3496" s="318">
        <v>0.35753472222222221</v>
      </c>
      <c r="F3496" s="247" t="s">
        <v>976</v>
      </c>
      <c r="G3496" s="247" t="s">
        <v>1540</v>
      </c>
      <c r="H3496" s="248" t="s">
        <v>404</v>
      </c>
      <c r="I3496" s="248" t="s">
        <v>404</v>
      </c>
      <c r="J3496" s="247" t="s">
        <v>809</v>
      </c>
      <c r="K3496" s="249">
        <v>0</v>
      </c>
      <c r="M3496" s="90">
        <v>0</v>
      </c>
      <c r="N3496" s="90">
        <v>0</v>
      </c>
      <c r="O3496" s="90">
        <v>255</v>
      </c>
    </row>
    <row r="3497" spans="1:15" s="90" customFormat="1" ht="12.75" customHeight="1" x14ac:dyDescent="0.2">
      <c r="A3497" s="247" t="s">
        <v>1085</v>
      </c>
      <c r="B3497" s="316">
        <v>3089</v>
      </c>
      <c r="C3497" s="247" t="s">
        <v>996</v>
      </c>
      <c r="D3497" s="317">
        <v>42676</v>
      </c>
      <c r="E3497" s="318">
        <v>0.35813657407407407</v>
      </c>
      <c r="F3497" s="247" t="s">
        <v>235</v>
      </c>
      <c r="G3497" s="247" t="s">
        <v>1540</v>
      </c>
      <c r="H3497" s="248" t="s">
        <v>234</v>
      </c>
      <c r="I3497" s="248" t="s">
        <v>235</v>
      </c>
      <c r="J3497" s="247" t="s">
        <v>809</v>
      </c>
      <c r="K3497" s="249">
        <v>0</v>
      </c>
      <c r="M3497" s="90">
        <v>0</v>
      </c>
      <c r="N3497" s="90">
        <v>0</v>
      </c>
      <c r="O3497" s="90">
        <v>255</v>
      </c>
    </row>
    <row r="3498" spans="1:15" s="90" customFormat="1" ht="12.75" customHeight="1" x14ac:dyDescent="0.2">
      <c r="A3498" s="247" t="s">
        <v>1086</v>
      </c>
      <c r="B3498" s="316">
        <v>3089</v>
      </c>
      <c r="C3498" s="247" t="s">
        <v>996</v>
      </c>
      <c r="D3498" s="317">
        <v>42676</v>
      </c>
      <c r="E3498" s="318">
        <v>0.35858796296296297</v>
      </c>
      <c r="F3498" s="247" t="s">
        <v>235</v>
      </c>
      <c r="G3498" s="247" t="s">
        <v>1540</v>
      </c>
      <c r="H3498" s="248" t="s">
        <v>234</v>
      </c>
      <c r="I3498" s="248" t="s">
        <v>235</v>
      </c>
      <c r="J3498" s="247" t="s">
        <v>809</v>
      </c>
      <c r="K3498" s="249">
        <v>0</v>
      </c>
      <c r="M3498" s="90">
        <v>0</v>
      </c>
      <c r="N3498" s="90">
        <v>0</v>
      </c>
      <c r="O3498" s="90">
        <v>255</v>
      </c>
    </row>
    <row r="3499" spans="1:15" s="90" customFormat="1" ht="12.75" customHeight="1" x14ac:dyDescent="0.2">
      <c r="A3499" s="247" t="s">
        <v>1032</v>
      </c>
      <c r="B3499" s="316">
        <v>3046</v>
      </c>
      <c r="C3499" s="247" t="s">
        <v>975</v>
      </c>
      <c r="D3499" s="317">
        <v>42676</v>
      </c>
      <c r="E3499" s="318">
        <v>0.36443287037037037</v>
      </c>
      <c r="F3499" s="247" t="s">
        <v>976</v>
      </c>
      <c r="G3499" s="247" t="s">
        <v>1540</v>
      </c>
      <c r="H3499" s="248" t="s">
        <v>404</v>
      </c>
      <c r="I3499" s="248" t="s">
        <v>404</v>
      </c>
      <c r="J3499" s="247" t="s">
        <v>809</v>
      </c>
      <c r="K3499" s="249">
        <v>0</v>
      </c>
      <c r="M3499" s="90">
        <v>0</v>
      </c>
      <c r="N3499" s="90">
        <v>0</v>
      </c>
      <c r="O3499" s="90">
        <v>255</v>
      </c>
    </row>
    <row r="3500" spans="1:15" s="90" customFormat="1" ht="12.75" customHeight="1" x14ac:dyDescent="0.2">
      <c r="A3500" s="247" t="s">
        <v>989</v>
      </c>
      <c r="B3500" s="316">
        <v>3046</v>
      </c>
      <c r="C3500" s="247" t="s">
        <v>975</v>
      </c>
      <c r="D3500" s="317">
        <v>42676</v>
      </c>
      <c r="E3500" s="318">
        <v>0.36443287037037037</v>
      </c>
      <c r="F3500" s="247" t="s">
        <v>976</v>
      </c>
      <c r="G3500" s="247" t="s">
        <v>1540</v>
      </c>
      <c r="H3500" s="248" t="s">
        <v>404</v>
      </c>
      <c r="I3500" s="248" t="s">
        <v>404</v>
      </c>
      <c r="J3500" s="247" t="s">
        <v>809</v>
      </c>
      <c r="K3500" s="249">
        <v>0</v>
      </c>
      <c r="M3500" s="90">
        <v>0</v>
      </c>
      <c r="N3500" s="90">
        <v>0</v>
      </c>
      <c r="O3500" s="90">
        <v>255</v>
      </c>
    </row>
    <row r="3501" spans="1:15" s="90" customFormat="1" ht="12.75" customHeight="1" x14ac:dyDescent="0.2">
      <c r="A3501" s="247" t="s">
        <v>990</v>
      </c>
      <c r="B3501" s="316">
        <v>3046</v>
      </c>
      <c r="C3501" s="247" t="s">
        <v>975</v>
      </c>
      <c r="D3501" s="317">
        <v>42676</v>
      </c>
      <c r="E3501" s="318">
        <v>0.36473379629629626</v>
      </c>
      <c r="F3501" s="247" t="s">
        <v>976</v>
      </c>
      <c r="G3501" s="247" t="s">
        <v>1540</v>
      </c>
      <c r="H3501" s="248" t="s">
        <v>404</v>
      </c>
      <c r="I3501" s="248" t="s">
        <v>404</v>
      </c>
      <c r="J3501" s="247" t="s">
        <v>809</v>
      </c>
      <c r="K3501" s="249">
        <v>0</v>
      </c>
      <c r="M3501" s="90">
        <v>0</v>
      </c>
      <c r="N3501" s="90">
        <v>0</v>
      </c>
      <c r="O3501" s="90">
        <v>255</v>
      </c>
    </row>
    <row r="3502" spans="1:15" s="90" customFormat="1" ht="12.75" customHeight="1" x14ac:dyDescent="0.2">
      <c r="A3502" s="247" t="s">
        <v>1033</v>
      </c>
      <c r="B3502" s="316">
        <v>3217</v>
      </c>
      <c r="C3502" s="247" t="s">
        <v>975</v>
      </c>
      <c r="D3502" s="317">
        <v>42676</v>
      </c>
      <c r="E3502" s="318">
        <v>0.36473379629629626</v>
      </c>
      <c r="F3502" s="247" t="s">
        <v>235</v>
      </c>
      <c r="G3502" s="247" t="s">
        <v>1540</v>
      </c>
      <c r="H3502" s="248" t="s">
        <v>234</v>
      </c>
      <c r="I3502" s="248" t="s">
        <v>235</v>
      </c>
      <c r="J3502" s="247" t="s">
        <v>809</v>
      </c>
      <c r="K3502" s="249">
        <v>0</v>
      </c>
      <c r="M3502" s="90">
        <v>0</v>
      </c>
      <c r="N3502" s="90">
        <v>0</v>
      </c>
      <c r="O3502" s="90">
        <v>255</v>
      </c>
    </row>
    <row r="3503" spans="1:15" s="90" customFormat="1" ht="12.75" customHeight="1" x14ac:dyDescent="0.2">
      <c r="A3503" s="247" t="s">
        <v>1542</v>
      </c>
      <c r="B3503" s="316">
        <v>3108</v>
      </c>
      <c r="C3503" s="247" t="s">
        <v>975</v>
      </c>
      <c r="D3503" s="317">
        <v>42676</v>
      </c>
      <c r="E3503" s="318">
        <v>0.37163194444444447</v>
      </c>
      <c r="F3503" s="247" t="s">
        <v>978</v>
      </c>
      <c r="G3503" s="247" t="s">
        <v>1540</v>
      </c>
      <c r="H3503" s="248" t="s">
        <v>234</v>
      </c>
      <c r="I3503" s="248" t="s">
        <v>677</v>
      </c>
      <c r="J3503" s="247" t="s">
        <v>809</v>
      </c>
      <c r="K3503" s="249">
        <v>0</v>
      </c>
      <c r="M3503" s="90">
        <v>0</v>
      </c>
      <c r="N3503" s="90">
        <v>0</v>
      </c>
      <c r="O3503" s="90">
        <v>255</v>
      </c>
    </row>
    <row r="3504" spans="1:15" s="90" customFormat="1" ht="12.75" customHeight="1" x14ac:dyDescent="0.2">
      <c r="A3504" s="247" t="s">
        <v>1034</v>
      </c>
      <c r="B3504" s="316">
        <v>3106</v>
      </c>
      <c r="C3504" s="247" t="s">
        <v>975</v>
      </c>
      <c r="D3504" s="317">
        <v>42676</v>
      </c>
      <c r="E3504" s="318">
        <v>0.37168981481481483</v>
      </c>
      <c r="F3504" s="247" t="s">
        <v>978</v>
      </c>
      <c r="G3504" s="247" t="s">
        <v>1035</v>
      </c>
      <c r="H3504" s="248" t="s">
        <v>234</v>
      </c>
      <c r="I3504" s="248" t="s">
        <v>677</v>
      </c>
      <c r="J3504" s="247" t="s">
        <v>809</v>
      </c>
      <c r="K3504" s="249">
        <v>0</v>
      </c>
      <c r="M3504" s="90">
        <v>0</v>
      </c>
      <c r="N3504" s="90">
        <v>0</v>
      </c>
      <c r="O3504" s="90">
        <v>255</v>
      </c>
    </row>
    <row r="3505" spans="1:15" s="90" customFormat="1" ht="12.75" customHeight="1" x14ac:dyDescent="0.2">
      <c r="A3505" s="247" t="s">
        <v>1067</v>
      </c>
      <c r="B3505" s="316">
        <v>3061</v>
      </c>
      <c r="C3505" s="247" t="s">
        <v>975</v>
      </c>
      <c r="D3505" s="317">
        <v>42676</v>
      </c>
      <c r="E3505" s="318">
        <v>0.37197916666666669</v>
      </c>
      <c r="F3505" s="247" t="s">
        <v>981</v>
      </c>
      <c r="G3505" s="247" t="s">
        <v>1035</v>
      </c>
      <c r="H3505" s="248" t="s">
        <v>234</v>
      </c>
      <c r="I3505" s="248" t="s">
        <v>677</v>
      </c>
      <c r="J3505" s="247" t="s">
        <v>809</v>
      </c>
      <c r="K3505" s="249">
        <v>0</v>
      </c>
      <c r="M3505" s="90">
        <v>0</v>
      </c>
      <c r="N3505" s="90">
        <v>0</v>
      </c>
      <c r="O3505" s="90">
        <v>255</v>
      </c>
    </row>
    <row r="3506" spans="1:15" s="90" customFormat="1" ht="12.75" customHeight="1" x14ac:dyDescent="0.2">
      <c r="A3506" s="247" t="s">
        <v>1067</v>
      </c>
      <c r="B3506" s="316">
        <v>3061</v>
      </c>
      <c r="C3506" s="247" t="s">
        <v>975</v>
      </c>
      <c r="D3506" s="317">
        <v>42676</v>
      </c>
      <c r="E3506" s="318">
        <v>0.37217592592592591</v>
      </c>
      <c r="F3506" s="247" t="s">
        <v>981</v>
      </c>
      <c r="G3506" s="247" t="s">
        <v>1035</v>
      </c>
      <c r="H3506" s="248" t="s">
        <v>234</v>
      </c>
      <c r="I3506" s="248" t="s">
        <v>677</v>
      </c>
      <c r="J3506" s="247" t="s">
        <v>809</v>
      </c>
      <c r="K3506" s="249">
        <v>0</v>
      </c>
      <c r="M3506" s="90">
        <v>0</v>
      </c>
      <c r="N3506" s="90">
        <v>0</v>
      </c>
      <c r="O3506" s="90">
        <v>255</v>
      </c>
    </row>
    <row r="3507" spans="1:15" s="90" customFormat="1" ht="12.75" customHeight="1" x14ac:dyDescent="0.2">
      <c r="A3507" s="247" t="s">
        <v>1078</v>
      </c>
      <c r="B3507" s="316">
        <v>3061</v>
      </c>
      <c r="C3507" s="247" t="s">
        <v>975</v>
      </c>
      <c r="D3507" s="317">
        <v>42676</v>
      </c>
      <c r="E3507" s="318">
        <v>0.3721990740740741</v>
      </c>
      <c r="F3507" s="247" t="s">
        <v>981</v>
      </c>
      <c r="G3507" s="247" t="s">
        <v>1035</v>
      </c>
      <c r="H3507" s="248" t="s">
        <v>234</v>
      </c>
      <c r="I3507" s="248" t="s">
        <v>677</v>
      </c>
      <c r="J3507" s="247" t="s">
        <v>809</v>
      </c>
      <c r="K3507" s="249">
        <v>0</v>
      </c>
      <c r="M3507" s="90">
        <v>0</v>
      </c>
      <c r="N3507" s="90">
        <v>0</v>
      </c>
      <c r="O3507" s="90">
        <v>255</v>
      </c>
    </row>
    <row r="3508" spans="1:15" s="90" customFormat="1" ht="12.75" customHeight="1" x14ac:dyDescent="0.2">
      <c r="A3508" s="247" t="s">
        <v>1011</v>
      </c>
      <c r="B3508" s="316">
        <v>3061</v>
      </c>
      <c r="C3508" s="247" t="s">
        <v>975</v>
      </c>
      <c r="D3508" s="317">
        <v>42676</v>
      </c>
      <c r="E3508" s="318">
        <v>0.37222222222222223</v>
      </c>
      <c r="F3508" s="247" t="s">
        <v>981</v>
      </c>
      <c r="G3508" s="247" t="s">
        <v>1035</v>
      </c>
      <c r="H3508" s="248" t="s">
        <v>234</v>
      </c>
      <c r="I3508" s="248" t="s">
        <v>677</v>
      </c>
      <c r="J3508" s="247" t="s">
        <v>809</v>
      </c>
      <c r="K3508" s="249">
        <v>0</v>
      </c>
      <c r="M3508" s="90">
        <v>0</v>
      </c>
      <c r="N3508" s="90">
        <v>0</v>
      </c>
      <c r="O3508" s="90">
        <v>255</v>
      </c>
    </row>
    <row r="3509" spans="1:15" s="90" customFormat="1" ht="12.75" customHeight="1" x14ac:dyDescent="0.2">
      <c r="A3509" s="247" t="s">
        <v>1078</v>
      </c>
      <c r="B3509" s="316">
        <v>3061</v>
      </c>
      <c r="C3509" s="247" t="s">
        <v>975</v>
      </c>
      <c r="D3509" s="317">
        <v>42676</v>
      </c>
      <c r="E3509" s="318">
        <v>0.37223379629629627</v>
      </c>
      <c r="F3509" s="247" t="s">
        <v>981</v>
      </c>
      <c r="G3509" s="247" t="s">
        <v>1035</v>
      </c>
      <c r="H3509" s="248" t="s">
        <v>234</v>
      </c>
      <c r="I3509" s="248" t="s">
        <v>677</v>
      </c>
      <c r="J3509" s="247" t="s">
        <v>809</v>
      </c>
      <c r="K3509" s="249">
        <v>0</v>
      </c>
      <c r="M3509" s="90">
        <v>0</v>
      </c>
      <c r="N3509" s="90">
        <v>0</v>
      </c>
      <c r="O3509" s="90">
        <v>255</v>
      </c>
    </row>
    <row r="3510" spans="1:15" s="90" customFormat="1" ht="12.75" customHeight="1" x14ac:dyDescent="0.2">
      <c r="A3510" s="247" t="s">
        <v>1031</v>
      </c>
      <c r="B3510" s="316">
        <v>3046</v>
      </c>
      <c r="C3510" s="247" t="s">
        <v>975</v>
      </c>
      <c r="D3510" s="317">
        <v>42676</v>
      </c>
      <c r="E3510" s="318">
        <v>0.37677083333333333</v>
      </c>
      <c r="F3510" s="247" t="s">
        <v>976</v>
      </c>
      <c r="G3510" s="247" t="s">
        <v>1035</v>
      </c>
      <c r="H3510" s="248" t="s">
        <v>404</v>
      </c>
      <c r="I3510" s="248" t="s">
        <v>404</v>
      </c>
      <c r="J3510" s="247" t="s">
        <v>809</v>
      </c>
      <c r="K3510" s="249">
        <v>0</v>
      </c>
      <c r="M3510" s="90">
        <v>0</v>
      </c>
      <c r="N3510" s="90">
        <v>0</v>
      </c>
      <c r="O3510" s="90">
        <v>255</v>
      </c>
    </row>
    <row r="3511" spans="1:15" s="90" customFormat="1" ht="12.75" customHeight="1" x14ac:dyDescent="0.2">
      <c r="A3511" s="247" t="s">
        <v>760</v>
      </c>
      <c r="B3511" s="316">
        <v>3120</v>
      </c>
      <c r="C3511" s="247" t="s">
        <v>975</v>
      </c>
      <c r="D3511" s="317">
        <v>42676</v>
      </c>
      <c r="E3511" s="318">
        <v>0.3778819444444444</v>
      </c>
      <c r="F3511" s="247" t="s">
        <v>981</v>
      </c>
      <c r="G3511" s="247" t="s">
        <v>1035</v>
      </c>
      <c r="H3511" s="248" t="s">
        <v>234</v>
      </c>
      <c r="I3511" s="248" t="s">
        <v>677</v>
      </c>
      <c r="J3511" s="247" t="s">
        <v>809</v>
      </c>
      <c r="K3511" s="249">
        <v>0</v>
      </c>
      <c r="M3511" s="90">
        <v>0</v>
      </c>
      <c r="N3511" s="90">
        <v>0</v>
      </c>
      <c r="O3511" s="90">
        <v>255</v>
      </c>
    </row>
    <row r="3512" spans="1:15" s="90" customFormat="1" ht="12.75" customHeight="1" x14ac:dyDescent="0.2">
      <c r="A3512" s="247" t="s">
        <v>1032</v>
      </c>
      <c r="B3512" s="316">
        <v>3046</v>
      </c>
      <c r="C3512" s="247" t="s">
        <v>975</v>
      </c>
      <c r="D3512" s="317">
        <v>42676</v>
      </c>
      <c r="E3512" s="318">
        <v>0.37880787037037034</v>
      </c>
      <c r="F3512" s="247" t="s">
        <v>976</v>
      </c>
      <c r="G3512" s="247" t="s">
        <v>1035</v>
      </c>
      <c r="H3512" s="248" t="s">
        <v>404</v>
      </c>
      <c r="I3512" s="248" t="s">
        <v>404</v>
      </c>
      <c r="J3512" s="247" t="s">
        <v>809</v>
      </c>
      <c r="K3512" s="249">
        <v>0</v>
      </c>
      <c r="M3512" s="90">
        <v>0</v>
      </c>
      <c r="N3512" s="90">
        <v>0</v>
      </c>
      <c r="O3512" s="90">
        <v>255</v>
      </c>
    </row>
    <row r="3513" spans="1:15" s="90" customFormat="1" ht="12.75" customHeight="1" x14ac:dyDescent="0.2">
      <c r="A3513" s="247" t="s">
        <v>989</v>
      </c>
      <c r="B3513" s="316">
        <v>3046</v>
      </c>
      <c r="C3513" s="247" t="s">
        <v>975</v>
      </c>
      <c r="D3513" s="317">
        <v>42676</v>
      </c>
      <c r="E3513" s="318">
        <v>0.37880787037037034</v>
      </c>
      <c r="F3513" s="247" t="s">
        <v>976</v>
      </c>
      <c r="G3513" s="247" t="s">
        <v>1035</v>
      </c>
      <c r="H3513" s="248" t="s">
        <v>404</v>
      </c>
      <c r="I3513" s="248" t="s">
        <v>404</v>
      </c>
      <c r="J3513" s="247" t="s">
        <v>809</v>
      </c>
      <c r="K3513" s="249">
        <v>0</v>
      </c>
      <c r="M3513" s="90">
        <v>0</v>
      </c>
      <c r="N3513" s="90">
        <v>0</v>
      </c>
      <c r="O3513" s="90">
        <v>255</v>
      </c>
    </row>
    <row r="3514" spans="1:15" s="90" customFormat="1" ht="12.75" customHeight="1" x14ac:dyDescent="0.2">
      <c r="A3514" s="247" t="s">
        <v>990</v>
      </c>
      <c r="B3514" s="316">
        <v>3046</v>
      </c>
      <c r="C3514" s="247" t="s">
        <v>975</v>
      </c>
      <c r="D3514" s="317">
        <v>42676</v>
      </c>
      <c r="E3514" s="318">
        <v>0.37996527777777778</v>
      </c>
      <c r="F3514" s="247" t="s">
        <v>976</v>
      </c>
      <c r="G3514" s="247" t="s">
        <v>1035</v>
      </c>
      <c r="H3514" s="248" t="s">
        <v>404</v>
      </c>
      <c r="I3514" s="248" t="s">
        <v>404</v>
      </c>
      <c r="J3514" s="247" t="s">
        <v>809</v>
      </c>
      <c r="K3514" s="249">
        <v>0</v>
      </c>
      <c r="M3514" s="90">
        <v>0</v>
      </c>
      <c r="N3514" s="90">
        <v>0</v>
      </c>
      <c r="O3514" s="90">
        <v>255</v>
      </c>
    </row>
    <row r="3515" spans="1:15" s="90" customFormat="1" ht="12.75" customHeight="1" x14ac:dyDescent="0.2">
      <c r="A3515" s="247" t="s">
        <v>1033</v>
      </c>
      <c r="B3515" s="316">
        <v>3217</v>
      </c>
      <c r="C3515" s="247" t="s">
        <v>975</v>
      </c>
      <c r="D3515" s="317">
        <v>42676</v>
      </c>
      <c r="E3515" s="318">
        <v>0.37996527777777778</v>
      </c>
      <c r="F3515" s="247" t="s">
        <v>235</v>
      </c>
      <c r="G3515" s="247" t="s">
        <v>1035</v>
      </c>
      <c r="H3515" s="248" t="s">
        <v>234</v>
      </c>
      <c r="I3515" s="248" t="s">
        <v>235</v>
      </c>
      <c r="J3515" s="247" t="s">
        <v>809</v>
      </c>
      <c r="K3515" s="249">
        <v>0</v>
      </c>
      <c r="M3515" s="90">
        <v>0</v>
      </c>
      <c r="N3515" s="90">
        <v>0</v>
      </c>
      <c r="O3515" s="90">
        <v>255</v>
      </c>
    </row>
    <row r="3516" spans="1:15" s="90" customFormat="1" ht="12.75" customHeight="1" x14ac:dyDescent="0.2">
      <c r="A3516" s="247" t="s">
        <v>1109</v>
      </c>
      <c r="B3516" s="316">
        <v>3075</v>
      </c>
      <c r="C3516" s="247" t="s">
        <v>975</v>
      </c>
      <c r="D3516" s="317">
        <v>42676</v>
      </c>
      <c r="E3516" s="318">
        <v>0.38219907407407411</v>
      </c>
      <c r="F3516" s="247" t="s">
        <v>981</v>
      </c>
      <c r="G3516" s="247" t="s">
        <v>1035</v>
      </c>
      <c r="H3516" s="248" t="s">
        <v>234</v>
      </c>
      <c r="I3516" s="248" t="s">
        <v>263</v>
      </c>
      <c r="J3516" s="247" t="s">
        <v>809</v>
      </c>
      <c r="K3516" s="249">
        <v>0</v>
      </c>
      <c r="M3516" s="90">
        <v>0</v>
      </c>
      <c r="N3516" s="90">
        <v>0</v>
      </c>
      <c r="O3516" s="90">
        <v>255</v>
      </c>
    </row>
    <row r="3517" spans="1:15" s="90" customFormat="1" ht="12.75" customHeight="1" x14ac:dyDescent="0.2">
      <c r="A3517" s="247" t="s">
        <v>1109</v>
      </c>
      <c r="B3517" s="316">
        <v>3075</v>
      </c>
      <c r="C3517" s="247" t="s">
        <v>975</v>
      </c>
      <c r="D3517" s="317">
        <v>42676</v>
      </c>
      <c r="E3517" s="318">
        <v>0.38231481481481483</v>
      </c>
      <c r="F3517" s="247" t="s">
        <v>981</v>
      </c>
      <c r="G3517" s="247" t="s">
        <v>1035</v>
      </c>
      <c r="H3517" s="248" t="s">
        <v>234</v>
      </c>
      <c r="I3517" s="248" t="s">
        <v>263</v>
      </c>
      <c r="J3517" s="247" t="s">
        <v>809</v>
      </c>
      <c r="K3517" s="249">
        <v>0</v>
      </c>
      <c r="M3517" s="90">
        <v>0</v>
      </c>
      <c r="N3517" s="90">
        <v>0</v>
      </c>
      <c r="O3517" s="90">
        <v>255</v>
      </c>
    </row>
    <row r="3518" spans="1:15" s="90" customFormat="1" ht="12.75" customHeight="1" x14ac:dyDescent="0.2">
      <c r="A3518" s="247" t="s">
        <v>1109</v>
      </c>
      <c r="B3518" s="316">
        <v>3075</v>
      </c>
      <c r="C3518" s="247" t="s">
        <v>975</v>
      </c>
      <c r="D3518" s="317">
        <v>42676</v>
      </c>
      <c r="E3518" s="318">
        <v>0.38593749999999999</v>
      </c>
      <c r="F3518" s="247" t="s">
        <v>981</v>
      </c>
      <c r="G3518" s="247" t="s">
        <v>1035</v>
      </c>
      <c r="H3518" s="248" t="s">
        <v>234</v>
      </c>
      <c r="I3518" s="248" t="s">
        <v>263</v>
      </c>
      <c r="J3518" s="247" t="s">
        <v>809</v>
      </c>
      <c r="K3518" s="249">
        <v>0</v>
      </c>
      <c r="M3518" s="90">
        <v>0</v>
      </c>
      <c r="N3518" s="90">
        <v>0</v>
      </c>
      <c r="O3518" s="90">
        <v>255</v>
      </c>
    </row>
    <row r="3519" spans="1:15" s="90" customFormat="1" ht="12.75" customHeight="1" x14ac:dyDescent="0.2">
      <c r="A3519" s="247" t="s">
        <v>1031</v>
      </c>
      <c r="B3519" s="316">
        <v>3046</v>
      </c>
      <c r="C3519" s="247" t="s">
        <v>975</v>
      </c>
      <c r="D3519" s="317">
        <v>42676</v>
      </c>
      <c r="E3519" s="318">
        <v>0.38914351851851853</v>
      </c>
      <c r="F3519" s="247" t="s">
        <v>976</v>
      </c>
      <c r="G3519" s="247" t="s">
        <v>1035</v>
      </c>
      <c r="H3519" s="248" t="s">
        <v>404</v>
      </c>
      <c r="I3519" s="248" t="s">
        <v>404</v>
      </c>
      <c r="J3519" s="247" t="s">
        <v>809</v>
      </c>
      <c r="K3519" s="249">
        <v>0</v>
      </c>
      <c r="M3519" s="90">
        <v>0</v>
      </c>
      <c r="N3519" s="90">
        <v>0</v>
      </c>
      <c r="O3519" s="90">
        <v>255</v>
      </c>
    </row>
    <row r="3520" spans="1:15" s="90" customFormat="1" ht="12.75" customHeight="1" x14ac:dyDescent="0.2">
      <c r="A3520" s="247" t="s">
        <v>742</v>
      </c>
      <c r="B3520" s="316">
        <v>3100</v>
      </c>
      <c r="C3520" s="247" t="s">
        <v>975</v>
      </c>
      <c r="D3520" s="317">
        <v>42676</v>
      </c>
      <c r="E3520" s="318">
        <v>0.38929398148148148</v>
      </c>
      <c r="F3520" s="247" t="s">
        <v>981</v>
      </c>
      <c r="G3520" s="247" t="s">
        <v>1035</v>
      </c>
      <c r="H3520" s="248" t="s">
        <v>234</v>
      </c>
      <c r="I3520" s="248" t="s">
        <v>677</v>
      </c>
      <c r="J3520" s="247" t="s">
        <v>809</v>
      </c>
      <c r="K3520" s="249">
        <v>0</v>
      </c>
      <c r="M3520" s="90">
        <v>0</v>
      </c>
      <c r="N3520" s="90">
        <v>0</v>
      </c>
      <c r="O3520" s="90">
        <v>255</v>
      </c>
    </row>
    <row r="3521" spans="1:15" s="90" customFormat="1" ht="12.75" customHeight="1" x14ac:dyDescent="0.2">
      <c r="A3521" s="247" t="s">
        <v>1032</v>
      </c>
      <c r="B3521" s="316">
        <v>3046</v>
      </c>
      <c r="C3521" s="247" t="s">
        <v>975</v>
      </c>
      <c r="D3521" s="317">
        <v>42676</v>
      </c>
      <c r="E3521" s="318">
        <v>0.39356481481481481</v>
      </c>
      <c r="F3521" s="247" t="s">
        <v>976</v>
      </c>
      <c r="G3521" s="247" t="s">
        <v>1035</v>
      </c>
      <c r="H3521" s="248" t="s">
        <v>404</v>
      </c>
      <c r="I3521" s="248" t="s">
        <v>404</v>
      </c>
      <c r="J3521" s="247" t="s">
        <v>809</v>
      </c>
      <c r="K3521" s="249">
        <v>0</v>
      </c>
      <c r="M3521" s="90">
        <v>0</v>
      </c>
      <c r="N3521" s="90">
        <v>0</v>
      </c>
      <c r="O3521" s="90">
        <v>255</v>
      </c>
    </row>
    <row r="3522" spans="1:15" s="90" customFormat="1" ht="12.75" customHeight="1" x14ac:dyDescent="0.2">
      <c r="A3522" s="247" t="s">
        <v>989</v>
      </c>
      <c r="B3522" s="316">
        <v>3046</v>
      </c>
      <c r="C3522" s="247" t="s">
        <v>975</v>
      </c>
      <c r="D3522" s="317">
        <v>42676</v>
      </c>
      <c r="E3522" s="318">
        <v>0.39356481481481481</v>
      </c>
      <c r="F3522" s="247" t="s">
        <v>976</v>
      </c>
      <c r="G3522" s="247" t="s">
        <v>1035</v>
      </c>
      <c r="H3522" s="248" t="s">
        <v>404</v>
      </c>
      <c r="I3522" s="248" t="s">
        <v>404</v>
      </c>
      <c r="J3522" s="247" t="s">
        <v>809</v>
      </c>
      <c r="K3522" s="249">
        <v>0</v>
      </c>
      <c r="M3522" s="90">
        <v>0</v>
      </c>
      <c r="N3522" s="90">
        <v>0</v>
      </c>
      <c r="O3522" s="90">
        <v>255</v>
      </c>
    </row>
    <row r="3523" spans="1:15" s="90" customFormat="1" ht="12.75" customHeight="1" x14ac:dyDescent="0.2">
      <c r="A3523" s="247" t="s">
        <v>990</v>
      </c>
      <c r="B3523" s="316">
        <v>3046</v>
      </c>
      <c r="C3523" s="247" t="s">
        <v>975</v>
      </c>
      <c r="D3523" s="317">
        <v>42676</v>
      </c>
      <c r="E3523" s="318">
        <v>0.39385416666666667</v>
      </c>
      <c r="F3523" s="247" t="s">
        <v>976</v>
      </c>
      <c r="G3523" s="247" t="s">
        <v>1035</v>
      </c>
      <c r="H3523" s="248" t="s">
        <v>404</v>
      </c>
      <c r="I3523" s="248" t="s">
        <v>404</v>
      </c>
      <c r="J3523" s="247" t="s">
        <v>809</v>
      </c>
      <c r="K3523" s="249">
        <v>0</v>
      </c>
      <c r="M3523" s="90">
        <v>0</v>
      </c>
      <c r="N3523" s="90">
        <v>0</v>
      </c>
      <c r="O3523" s="90">
        <v>255</v>
      </c>
    </row>
    <row r="3524" spans="1:15" s="90" customFormat="1" ht="12.75" customHeight="1" x14ac:dyDescent="0.2">
      <c r="A3524" s="247" t="s">
        <v>1033</v>
      </c>
      <c r="B3524" s="316">
        <v>3217</v>
      </c>
      <c r="C3524" s="247" t="s">
        <v>975</v>
      </c>
      <c r="D3524" s="317">
        <v>42676</v>
      </c>
      <c r="E3524" s="318">
        <v>0.39385416666666667</v>
      </c>
      <c r="F3524" s="247" t="s">
        <v>235</v>
      </c>
      <c r="G3524" s="247" t="s">
        <v>1035</v>
      </c>
      <c r="H3524" s="248" t="s">
        <v>234</v>
      </c>
      <c r="I3524" s="248" t="s">
        <v>235</v>
      </c>
      <c r="J3524" s="247" t="s">
        <v>809</v>
      </c>
      <c r="K3524" s="249">
        <v>0</v>
      </c>
      <c r="M3524" s="90">
        <v>0</v>
      </c>
      <c r="N3524" s="90">
        <v>0</v>
      </c>
      <c r="O3524" s="90">
        <v>255</v>
      </c>
    </row>
    <row r="3525" spans="1:15" s="90" customFormat="1" ht="12.75" customHeight="1" x14ac:dyDescent="0.2">
      <c r="A3525" s="247" t="s">
        <v>301</v>
      </c>
      <c r="B3525" s="316">
        <v>3042</v>
      </c>
      <c r="C3525" s="247" t="s">
        <v>979</v>
      </c>
      <c r="D3525" s="317">
        <v>42676</v>
      </c>
      <c r="E3525" s="318">
        <v>0.40145833333333331</v>
      </c>
      <c r="F3525" s="247" t="s">
        <v>980</v>
      </c>
      <c r="G3525" s="247" t="s">
        <v>1035</v>
      </c>
      <c r="H3525" s="248" t="s">
        <v>234</v>
      </c>
      <c r="I3525" s="248" t="s">
        <v>263</v>
      </c>
      <c r="J3525" s="247" t="s">
        <v>809</v>
      </c>
      <c r="K3525" s="249">
        <v>0</v>
      </c>
      <c r="M3525" s="90">
        <v>0</v>
      </c>
      <c r="N3525" s="90">
        <v>0</v>
      </c>
      <c r="O3525" s="90">
        <v>255</v>
      </c>
    </row>
    <row r="3526" spans="1:15" s="90" customFormat="1" ht="12.75" customHeight="1" x14ac:dyDescent="0.2">
      <c r="A3526" s="247" t="s">
        <v>1088</v>
      </c>
      <c r="B3526" s="316">
        <v>3046</v>
      </c>
      <c r="C3526" s="247" t="s">
        <v>975</v>
      </c>
      <c r="D3526" s="317">
        <v>42676</v>
      </c>
      <c r="E3526" s="318">
        <v>0.40749999999999997</v>
      </c>
      <c r="F3526" s="247" t="s">
        <v>976</v>
      </c>
      <c r="G3526" s="247" t="s">
        <v>1035</v>
      </c>
      <c r="H3526" s="248" t="s">
        <v>404</v>
      </c>
      <c r="I3526" s="248" t="s">
        <v>404</v>
      </c>
      <c r="J3526" s="247" t="s">
        <v>809</v>
      </c>
      <c r="K3526" s="249">
        <v>0</v>
      </c>
      <c r="M3526" s="90">
        <v>0</v>
      </c>
      <c r="N3526" s="90">
        <v>0</v>
      </c>
      <c r="O3526" s="90">
        <v>255</v>
      </c>
    </row>
    <row r="3527" spans="1:15" s="90" customFormat="1" ht="12.75" customHeight="1" x14ac:dyDescent="0.2">
      <c r="A3527" s="247" t="s">
        <v>1037</v>
      </c>
      <c r="B3527" s="316">
        <v>3108</v>
      </c>
      <c r="C3527" s="247" t="s">
        <v>975</v>
      </c>
      <c r="D3527" s="317">
        <v>42676</v>
      </c>
      <c r="E3527" s="318">
        <v>0.40812500000000002</v>
      </c>
      <c r="F3527" s="247" t="s">
        <v>978</v>
      </c>
      <c r="G3527" s="247" t="s">
        <v>1035</v>
      </c>
      <c r="H3527" s="248" t="s">
        <v>234</v>
      </c>
      <c r="I3527" s="248" t="s">
        <v>677</v>
      </c>
      <c r="J3527" s="247" t="s">
        <v>809</v>
      </c>
      <c r="K3527" s="249">
        <v>0</v>
      </c>
      <c r="M3527" s="90">
        <v>0</v>
      </c>
      <c r="N3527" s="90">
        <v>0</v>
      </c>
      <c r="O3527" s="90">
        <v>255</v>
      </c>
    </row>
    <row r="3528" spans="1:15" s="90" customFormat="1" ht="12.75" customHeight="1" x14ac:dyDescent="0.2">
      <c r="A3528" s="247" t="s">
        <v>493</v>
      </c>
      <c r="B3528" s="316">
        <v>4059</v>
      </c>
      <c r="C3528" s="247" t="s">
        <v>979</v>
      </c>
      <c r="D3528" s="317">
        <v>42676</v>
      </c>
      <c r="E3528" s="318">
        <v>0.40979166666666672</v>
      </c>
      <c r="F3528" s="247" t="s">
        <v>980</v>
      </c>
      <c r="G3528" s="247"/>
      <c r="H3528" s="248" t="s">
        <v>234</v>
      </c>
      <c r="I3528" s="248" t="s">
        <v>494</v>
      </c>
      <c r="J3528" s="247" t="s">
        <v>809</v>
      </c>
      <c r="K3528" s="249">
        <v>0</v>
      </c>
      <c r="M3528" s="90">
        <v>0</v>
      </c>
      <c r="N3528" s="90">
        <v>0</v>
      </c>
      <c r="O3528" s="90">
        <v>255</v>
      </c>
    </row>
    <row r="3529" spans="1:15" s="90" customFormat="1" ht="12.75" customHeight="1" x14ac:dyDescent="0.2">
      <c r="A3529" s="247" t="s">
        <v>1034</v>
      </c>
      <c r="B3529" s="316">
        <v>3106</v>
      </c>
      <c r="C3529" s="247" t="s">
        <v>975</v>
      </c>
      <c r="D3529" s="317">
        <v>42676</v>
      </c>
      <c r="E3529" s="318">
        <v>0.40993055555555552</v>
      </c>
      <c r="F3529" s="247" t="s">
        <v>978</v>
      </c>
      <c r="G3529" s="247" t="s">
        <v>1035</v>
      </c>
      <c r="H3529" s="248" t="s">
        <v>234</v>
      </c>
      <c r="I3529" s="248" t="s">
        <v>677</v>
      </c>
      <c r="J3529" s="247" t="s">
        <v>809</v>
      </c>
      <c r="K3529" s="249">
        <v>0</v>
      </c>
      <c r="M3529" s="90">
        <v>0</v>
      </c>
      <c r="N3529" s="90">
        <v>0</v>
      </c>
      <c r="O3529" s="90">
        <v>255</v>
      </c>
    </row>
    <row r="3530" spans="1:15" s="90" customFormat="1" ht="12.75" customHeight="1" x14ac:dyDescent="0.2">
      <c r="A3530" s="247" t="s">
        <v>983</v>
      </c>
      <c r="B3530" s="316">
        <v>3046</v>
      </c>
      <c r="C3530" s="247" t="s">
        <v>975</v>
      </c>
      <c r="D3530" s="317">
        <v>42676</v>
      </c>
      <c r="E3530" s="318">
        <v>0.41</v>
      </c>
      <c r="F3530" s="247" t="s">
        <v>976</v>
      </c>
      <c r="G3530" s="247" t="s">
        <v>1035</v>
      </c>
      <c r="H3530" s="248" t="s">
        <v>404</v>
      </c>
      <c r="I3530" s="248" t="s">
        <v>404</v>
      </c>
      <c r="J3530" s="247" t="s">
        <v>809</v>
      </c>
      <c r="K3530" s="249">
        <v>0</v>
      </c>
      <c r="M3530" s="90">
        <v>0</v>
      </c>
      <c r="N3530" s="90">
        <v>0</v>
      </c>
      <c r="O3530" s="90">
        <v>255</v>
      </c>
    </row>
    <row r="3531" spans="1:15" s="90" customFormat="1" ht="12.75" customHeight="1" x14ac:dyDescent="0.2">
      <c r="A3531" s="247" t="s">
        <v>991</v>
      </c>
      <c r="B3531" s="316">
        <v>3046</v>
      </c>
      <c r="C3531" s="247" t="s">
        <v>975</v>
      </c>
      <c r="D3531" s="317">
        <v>42676</v>
      </c>
      <c r="E3531" s="318">
        <v>0.41011574074074075</v>
      </c>
      <c r="F3531" s="247" t="s">
        <v>976</v>
      </c>
      <c r="G3531" s="247" t="s">
        <v>1035</v>
      </c>
      <c r="H3531" s="248" t="s">
        <v>404</v>
      </c>
      <c r="I3531" s="248" t="s">
        <v>404</v>
      </c>
      <c r="J3531" s="247" t="s">
        <v>809</v>
      </c>
      <c r="K3531" s="249">
        <v>0</v>
      </c>
      <c r="M3531" s="90">
        <v>0</v>
      </c>
      <c r="N3531" s="90">
        <v>0</v>
      </c>
      <c r="O3531" s="90">
        <v>255</v>
      </c>
    </row>
    <row r="3532" spans="1:15" s="90" customFormat="1" ht="12.75" customHeight="1" x14ac:dyDescent="0.2">
      <c r="A3532" s="247" t="s">
        <v>992</v>
      </c>
      <c r="B3532" s="316">
        <v>3046</v>
      </c>
      <c r="C3532" s="247" t="s">
        <v>975</v>
      </c>
      <c r="D3532" s="317">
        <v>42676</v>
      </c>
      <c r="E3532" s="318">
        <v>0.41136574074074073</v>
      </c>
      <c r="F3532" s="247" t="s">
        <v>976</v>
      </c>
      <c r="G3532" s="247" t="s">
        <v>1035</v>
      </c>
      <c r="H3532" s="248" t="s">
        <v>404</v>
      </c>
      <c r="I3532" s="248" t="s">
        <v>404</v>
      </c>
      <c r="J3532" s="247" t="s">
        <v>809</v>
      </c>
      <c r="K3532" s="249">
        <v>0</v>
      </c>
      <c r="M3532" s="90">
        <v>0</v>
      </c>
      <c r="N3532" s="90">
        <v>0</v>
      </c>
      <c r="O3532" s="90">
        <v>255</v>
      </c>
    </row>
    <row r="3533" spans="1:15" s="90" customFormat="1" ht="12.75" customHeight="1" x14ac:dyDescent="0.2">
      <c r="A3533" s="247" t="s">
        <v>988</v>
      </c>
      <c r="B3533" s="316">
        <v>3046</v>
      </c>
      <c r="C3533" s="247" t="s">
        <v>975</v>
      </c>
      <c r="D3533" s="317">
        <v>42676</v>
      </c>
      <c r="E3533" s="318">
        <v>0.4128472222222222</v>
      </c>
      <c r="F3533" s="247" t="s">
        <v>976</v>
      </c>
      <c r="G3533" s="247" t="s">
        <v>1035</v>
      </c>
      <c r="H3533" s="248" t="s">
        <v>404</v>
      </c>
      <c r="I3533" s="248" t="s">
        <v>404</v>
      </c>
      <c r="J3533" s="247" t="s">
        <v>809</v>
      </c>
      <c r="K3533" s="249">
        <v>0</v>
      </c>
      <c r="M3533" s="90">
        <v>0</v>
      </c>
      <c r="N3533" s="90">
        <v>0</v>
      </c>
      <c r="O3533" s="90">
        <v>255</v>
      </c>
    </row>
    <row r="3534" spans="1:15" s="90" customFormat="1" ht="12.75" customHeight="1" x14ac:dyDescent="0.2">
      <c r="A3534" s="247" t="s">
        <v>989</v>
      </c>
      <c r="B3534" s="316">
        <v>3046</v>
      </c>
      <c r="C3534" s="247" t="s">
        <v>975</v>
      </c>
      <c r="D3534" s="317">
        <v>42676</v>
      </c>
      <c r="E3534" s="318">
        <v>0.4128472222222222</v>
      </c>
      <c r="F3534" s="247" t="s">
        <v>976</v>
      </c>
      <c r="G3534" s="247" t="s">
        <v>1035</v>
      </c>
      <c r="H3534" s="248" t="s">
        <v>404</v>
      </c>
      <c r="I3534" s="248" t="s">
        <v>404</v>
      </c>
      <c r="J3534" s="247" t="s">
        <v>809</v>
      </c>
      <c r="K3534" s="249">
        <v>0</v>
      </c>
      <c r="M3534" s="90">
        <v>0</v>
      </c>
      <c r="N3534" s="90">
        <v>0</v>
      </c>
      <c r="O3534" s="90">
        <v>255</v>
      </c>
    </row>
    <row r="3535" spans="1:15" s="90" customFormat="1" ht="12.75" customHeight="1" x14ac:dyDescent="0.2">
      <c r="A3535" s="247" t="s">
        <v>990</v>
      </c>
      <c r="B3535" s="316">
        <v>3046</v>
      </c>
      <c r="C3535" s="247" t="s">
        <v>975</v>
      </c>
      <c r="D3535" s="317">
        <v>42676</v>
      </c>
      <c r="E3535" s="318">
        <v>0.41370370370370368</v>
      </c>
      <c r="F3535" s="247" t="s">
        <v>976</v>
      </c>
      <c r="G3535" s="247" t="s">
        <v>1035</v>
      </c>
      <c r="H3535" s="248" t="s">
        <v>404</v>
      </c>
      <c r="I3535" s="248" t="s">
        <v>404</v>
      </c>
      <c r="J3535" s="247" t="s">
        <v>809</v>
      </c>
      <c r="K3535" s="249">
        <v>0</v>
      </c>
      <c r="M3535" s="90">
        <v>0</v>
      </c>
      <c r="N3535" s="90">
        <v>0</v>
      </c>
      <c r="O3535" s="90">
        <v>255</v>
      </c>
    </row>
    <row r="3536" spans="1:15" s="90" customFormat="1" ht="12.75" customHeight="1" x14ac:dyDescent="0.2">
      <c r="A3536" s="247" t="s">
        <v>989</v>
      </c>
      <c r="B3536" s="316">
        <v>3046</v>
      </c>
      <c r="C3536" s="247" t="s">
        <v>975</v>
      </c>
      <c r="D3536" s="317">
        <v>42676</v>
      </c>
      <c r="E3536" s="318">
        <v>0.41836805555555556</v>
      </c>
      <c r="F3536" s="247" t="s">
        <v>976</v>
      </c>
      <c r="G3536" s="247" t="s">
        <v>1035</v>
      </c>
      <c r="H3536" s="248" t="s">
        <v>404</v>
      </c>
      <c r="I3536" s="248" t="s">
        <v>404</v>
      </c>
      <c r="J3536" s="247" t="s">
        <v>809</v>
      </c>
      <c r="K3536" s="249">
        <v>0</v>
      </c>
      <c r="M3536" s="90">
        <v>0</v>
      </c>
      <c r="N3536" s="90">
        <v>0</v>
      </c>
      <c r="O3536" s="90">
        <v>255</v>
      </c>
    </row>
    <row r="3537" spans="1:15" s="90" customFormat="1" ht="12.75" customHeight="1" x14ac:dyDescent="0.2">
      <c r="A3537" s="247" t="s">
        <v>1027</v>
      </c>
      <c r="B3537" s="316">
        <v>3051</v>
      </c>
      <c r="C3537" s="247" t="s">
        <v>975</v>
      </c>
      <c r="D3537" s="317">
        <v>42676</v>
      </c>
      <c r="E3537" s="318">
        <v>0.42060185185185189</v>
      </c>
      <c r="F3537" s="247" t="s">
        <v>235</v>
      </c>
      <c r="G3537" s="247" t="s">
        <v>1035</v>
      </c>
      <c r="H3537" s="248" t="s">
        <v>234</v>
      </c>
      <c r="I3537" s="248" t="s">
        <v>235</v>
      </c>
      <c r="J3537" s="247" t="s">
        <v>809</v>
      </c>
      <c r="K3537" s="249">
        <v>0</v>
      </c>
      <c r="M3537" s="90">
        <v>0</v>
      </c>
      <c r="N3537" s="90">
        <v>0</v>
      </c>
      <c r="O3537" s="90">
        <v>255</v>
      </c>
    </row>
    <row r="3538" spans="1:15" s="90" customFormat="1" ht="12.75" customHeight="1" x14ac:dyDescent="0.2">
      <c r="A3538" s="247" t="s">
        <v>1028</v>
      </c>
      <c r="B3538" s="316">
        <v>3051</v>
      </c>
      <c r="C3538" s="247" t="s">
        <v>975</v>
      </c>
      <c r="D3538" s="317">
        <v>42676</v>
      </c>
      <c r="E3538" s="318">
        <v>0.42060185185185189</v>
      </c>
      <c r="F3538" s="247" t="s">
        <v>235</v>
      </c>
      <c r="G3538" s="247" t="s">
        <v>1035</v>
      </c>
      <c r="H3538" s="248" t="s">
        <v>234</v>
      </c>
      <c r="I3538" s="248" t="s">
        <v>235</v>
      </c>
      <c r="J3538" s="247" t="s">
        <v>809</v>
      </c>
      <c r="K3538" s="249">
        <v>0</v>
      </c>
      <c r="M3538" s="90">
        <v>0</v>
      </c>
      <c r="N3538" s="90">
        <v>0</v>
      </c>
      <c r="O3538" s="90">
        <v>255</v>
      </c>
    </row>
    <row r="3539" spans="1:15" s="90" customFormat="1" ht="12.75" customHeight="1" x14ac:dyDescent="0.2">
      <c r="A3539" s="247" t="s">
        <v>1026</v>
      </c>
      <c r="B3539" s="316">
        <v>3216</v>
      </c>
      <c r="C3539" s="247" t="s">
        <v>975</v>
      </c>
      <c r="D3539" s="317">
        <v>42676</v>
      </c>
      <c r="E3539" s="318">
        <v>0.42060185185185189</v>
      </c>
      <c r="F3539" s="247" t="s">
        <v>235</v>
      </c>
      <c r="G3539" s="247" t="s">
        <v>1035</v>
      </c>
      <c r="H3539" s="248" t="s">
        <v>234</v>
      </c>
      <c r="I3539" s="248" t="s">
        <v>235</v>
      </c>
      <c r="J3539" s="247" t="s">
        <v>809</v>
      </c>
      <c r="K3539" s="249">
        <v>0</v>
      </c>
      <c r="M3539" s="90">
        <v>0</v>
      </c>
      <c r="N3539" s="90">
        <v>0</v>
      </c>
      <c r="O3539" s="90">
        <v>255</v>
      </c>
    </row>
    <row r="3540" spans="1:15" s="90" customFormat="1" ht="12.75" customHeight="1" x14ac:dyDescent="0.2">
      <c r="A3540" s="247" t="s">
        <v>990</v>
      </c>
      <c r="B3540" s="316">
        <v>3046</v>
      </c>
      <c r="C3540" s="247" t="s">
        <v>975</v>
      </c>
      <c r="D3540" s="317">
        <v>42676</v>
      </c>
      <c r="E3540" s="318">
        <v>0.42061342592592593</v>
      </c>
      <c r="F3540" s="247" t="s">
        <v>976</v>
      </c>
      <c r="G3540" s="247" t="s">
        <v>1035</v>
      </c>
      <c r="H3540" s="248" t="s">
        <v>404</v>
      </c>
      <c r="I3540" s="248" t="s">
        <v>404</v>
      </c>
      <c r="J3540" s="247" t="s">
        <v>809</v>
      </c>
      <c r="K3540" s="249">
        <v>0</v>
      </c>
      <c r="M3540" s="90">
        <v>0</v>
      </c>
      <c r="N3540" s="90">
        <v>0</v>
      </c>
      <c r="O3540" s="90">
        <v>255</v>
      </c>
    </row>
    <row r="3541" spans="1:15" s="90" customFormat="1" ht="12.75" customHeight="1" x14ac:dyDescent="0.2">
      <c r="A3541" s="247" t="s">
        <v>1109</v>
      </c>
      <c r="B3541" s="316">
        <v>3075</v>
      </c>
      <c r="C3541" s="247" t="s">
        <v>975</v>
      </c>
      <c r="D3541" s="317">
        <v>42676</v>
      </c>
      <c r="E3541" s="318">
        <v>0.42329861111111117</v>
      </c>
      <c r="F3541" s="247" t="s">
        <v>981</v>
      </c>
      <c r="G3541" s="247" t="s">
        <v>1035</v>
      </c>
      <c r="H3541" s="248" t="s">
        <v>234</v>
      </c>
      <c r="I3541" s="248" t="s">
        <v>263</v>
      </c>
      <c r="J3541" s="247" t="s">
        <v>809</v>
      </c>
      <c r="K3541" s="249">
        <v>0</v>
      </c>
      <c r="M3541" s="90">
        <v>0</v>
      </c>
      <c r="N3541" s="90">
        <v>0</v>
      </c>
      <c r="O3541" s="90">
        <v>255</v>
      </c>
    </row>
    <row r="3542" spans="1:15" s="90" customFormat="1" ht="12.75" customHeight="1" x14ac:dyDescent="0.2">
      <c r="A3542" s="247" t="s">
        <v>989</v>
      </c>
      <c r="B3542" s="316">
        <v>3046</v>
      </c>
      <c r="C3542" s="247" t="s">
        <v>975</v>
      </c>
      <c r="D3542" s="317">
        <v>42676</v>
      </c>
      <c r="E3542" s="318">
        <v>0.4236111111111111</v>
      </c>
      <c r="F3542" s="247" t="s">
        <v>976</v>
      </c>
      <c r="G3542" s="247" t="s">
        <v>1035</v>
      </c>
      <c r="H3542" s="248" t="s">
        <v>404</v>
      </c>
      <c r="I3542" s="248" t="s">
        <v>404</v>
      </c>
      <c r="J3542" s="247" t="s">
        <v>809</v>
      </c>
      <c r="K3542" s="249">
        <v>0</v>
      </c>
      <c r="M3542" s="90">
        <v>0</v>
      </c>
      <c r="N3542" s="90">
        <v>0</v>
      </c>
      <c r="O3542" s="90">
        <v>255</v>
      </c>
    </row>
    <row r="3543" spans="1:15" s="90" customFormat="1" ht="12.75" customHeight="1" x14ac:dyDescent="0.2">
      <c r="A3543" s="247" t="s">
        <v>990</v>
      </c>
      <c r="B3543" s="316">
        <v>3046</v>
      </c>
      <c r="C3543" s="247" t="s">
        <v>975</v>
      </c>
      <c r="D3543" s="317">
        <v>42676</v>
      </c>
      <c r="E3543" s="318">
        <v>0.42365740740740737</v>
      </c>
      <c r="F3543" s="247" t="s">
        <v>976</v>
      </c>
      <c r="G3543" s="247" t="s">
        <v>1035</v>
      </c>
      <c r="H3543" s="248" t="s">
        <v>404</v>
      </c>
      <c r="I3543" s="248" t="s">
        <v>404</v>
      </c>
      <c r="J3543" s="247" t="s">
        <v>809</v>
      </c>
      <c r="K3543" s="249">
        <v>0</v>
      </c>
      <c r="M3543" s="90">
        <v>0</v>
      </c>
      <c r="N3543" s="90">
        <v>0</v>
      </c>
      <c r="O3543" s="90">
        <v>255</v>
      </c>
    </row>
    <row r="3544" spans="1:15" s="90" customFormat="1" ht="12.75" customHeight="1" x14ac:dyDescent="0.2">
      <c r="A3544" s="247" t="s">
        <v>1005</v>
      </c>
      <c r="B3544" s="316">
        <v>3051</v>
      </c>
      <c r="C3544" s="247" t="s">
        <v>975</v>
      </c>
      <c r="D3544" s="317">
        <v>42676</v>
      </c>
      <c r="E3544" s="318">
        <v>0.42365740740740737</v>
      </c>
      <c r="F3544" s="247" t="s">
        <v>235</v>
      </c>
      <c r="G3544" s="247" t="s">
        <v>1035</v>
      </c>
      <c r="H3544" s="248" t="s">
        <v>234</v>
      </c>
      <c r="I3544" s="248" t="s">
        <v>235</v>
      </c>
      <c r="J3544" s="247" t="s">
        <v>809</v>
      </c>
      <c r="K3544" s="249">
        <v>0</v>
      </c>
      <c r="M3544" s="90">
        <v>0</v>
      </c>
      <c r="N3544" s="90">
        <v>0</v>
      </c>
      <c r="O3544" s="90">
        <v>255</v>
      </c>
    </row>
    <row r="3545" spans="1:15" s="90" customFormat="1" ht="12.75" customHeight="1" x14ac:dyDescent="0.2">
      <c r="A3545" s="247" t="s">
        <v>1066</v>
      </c>
      <c r="B3545" s="316">
        <v>3052</v>
      </c>
      <c r="C3545" s="247" t="s">
        <v>975</v>
      </c>
      <c r="D3545" s="317">
        <v>42676</v>
      </c>
      <c r="E3545" s="318">
        <v>0.42365740740740737</v>
      </c>
      <c r="F3545" s="247" t="s">
        <v>235</v>
      </c>
      <c r="G3545" s="247" t="s">
        <v>1035</v>
      </c>
      <c r="H3545" s="248" t="s">
        <v>234</v>
      </c>
      <c r="I3545" s="248" t="s">
        <v>235</v>
      </c>
      <c r="J3545" s="247" t="s">
        <v>809</v>
      </c>
      <c r="K3545" s="249">
        <v>0</v>
      </c>
      <c r="M3545" s="90">
        <v>0</v>
      </c>
      <c r="N3545" s="90">
        <v>0</v>
      </c>
      <c r="O3545" s="90">
        <v>255</v>
      </c>
    </row>
    <row r="3546" spans="1:15" s="90" customFormat="1" ht="12.75" customHeight="1" x14ac:dyDescent="0.2">
      <c r="A3546" s="247" t="s">
        <v>989</v>
      </c>
      <c r="B3546" s="316">
        <v>3046</v>
      </c>
      <c r="C3546" s="247" t="s">
        <v>975</v>
      </c>
      <c r="D3546" s="317">
        <v>42676</v>
      </c>
      <c r="E3546" s="318">
        <v>0.42370370370370369</v>
      </c>
      <c r="F3546" s="247" t="s">
        <v>976</v>
      </c>
      <c r="G3546" s="247" t="s">
        <v>1035</v>
      </c>
      <c r="H3546" s="248" t="s">
        <v>404</v>
      </c>
      <c r="I3546" s="248" t="s">
        <v>404</v>
      </c>
      <c r="J3546" s="247" t="s">
        <v>809</v>
      </c>
      <c r="K3546" s="249">
        <v>0</v>
      </c>
      <c r="M3546" s="90">
        <v>0</v>
      </c>
      <c r="N3546" s="90">
        <v>0</v>
      </c>
      <c r="O3546" s="90">
        <v>255</v>
      </c>
    </row>
    <row r="3547" spans="1:15" s="90" customFormat="1" ht="12.75" customHeight="1" x14ac:dyDescent="0.2">
      <c r="A3547" s="247" t="s">
        <v>1065</v>
      </c>
      <c r="B3547" s="316">
        <v>3052</v>
      </c>
      <c r="C3547" s="247" t="s">
        <v>975</v>
      </c>
      <c r="D3547" s="317">
        <v>42676</v>
      </c>
      <c r="E3547" s="318">
        <v>0.42373842592592598</v>
      </c>
      <c r="F3547" s="247" t="s">
        <v>235</v>
      </c>
      <c r="G3547" s="247" t="s">
        <v>1035</v>
      </c>
      <c r="H3547" s="248" t="s">
        <v>234</v>
      </c>
      <c r="I3547" s="248" t="s">
        <v>235</v>
      </c>
      <c r="J3547" s="247" t="s">
        <v>809</v>
      </c>
      <c r="K3547" s="249">
        <v>0</v>
      </c>
      <c r="M3547" s="90">
        <v>0</v>
      </c>
      <c r="N3547" s="90">
        <v>0</v>
      </c>
      <c r="O3547" s="90">
        <v>255</v>
      </c>
    </row>
    <row r="3548" spans="1:15" s="90" customFormat="1" ht="12.75" customHeight="1" x14ac:dyDescent="0.2">
      <c r="A3548" s="247" t="s">
        <v>990</v>
      </c>
      <c r="B3548" s="316">
        <v>3046</v>
      </c>
      <c r="C3548" s="247" t="s">
        <v>975</v>
      </c>
      <c r="D3548" s="317">
        <v>42676</v>
      </c>
      <c r="E3548" s="318">
        <v>0.42375000000000002</v>
      </c>
      <c r="F3548" s="247" t="s">
        <v>976</v>
      </c>
      <c r="G3548" s="247" t="s">
        <v>1035</v>
      </c>
      <c r="H3548" s="248" t="s">
        <v>404</v>
      </c>
      <c r="I3548" s="248" t="s">
        <v>404</v>
      </c>
      <c r="J3548" s="247" t="s">
        <v>809</v>
      </c>
      <c r="K3548" s="249">
        <v>0</v>
      </c>
      <c r="M3548" s="90">
        <v>0</v>
      </c>
      <c r="N3548" s="90">
        <v>0</v>
      </c>
      <c r="O3548" s="90">
        <v>255</v>
      </c>
    </row>
    <row r="3549" spans="1:15" s="90" customFormat="1" ht="12.75" customHeight="1" x14ac:dyDescent="0.2">
      <c r="A3549" s="247" t="s">
        <v>1006</v>
      </c>
      <c r="B3549" s="316">
        <v>3051</v>
      </c>
      <c r="C3549" s="247" t="s">
        <v>975</v>
      </c>
      <c r="D3549" s="317">
        <v>42676</v>
      </c>
      <c r="E3549" s="318">
        <v>0.42375000000000002</v>
      </c>
      <c r="F3549" s="247" t="s">
        <v>235</v>
      </c>
      <c r="G3549" s="247" t="s">
        <v>1035</v>
      </c>
      <c r="H3549" s="248" t="s">
        <v>234</v>
      </c>
      <c r="I3549" s="248" t="s">
        <v>235</v>
      </c>
      <c r="J3549" s="247" t="s">
        <v>809</v>
      </c>
      <c r="K3549" s="249">
        <v>0</v>
      </c>
      <c r="M3549" s="90">
        <v>0</v>
      </c>
      <c r="N3549" s="90">
        <v>0</v>
      </c>
      <c r="O3549" s="90">
        <v>255</v>
      </c>
    </row>
    <row r="3550" spans="1:15" s="90" customFormat="1" ht="12.75" customHeight="1" x14ac:dyDescent="0.2">
      <c r="A3550" s="247" t="s">
        <v>787</v>
      </c>
      <c r="B3550" s="316">
        <v>2025</v>
      </c>
      <c r="C3550" s="247" t="s">
        <v>979</v>
      </c>
      <c r="D3550" s="317">
        <v>42676</v>
      </c>
      <c r="E3550" s="318">
        <v>0.4239236111111111</v>
      </c>
      <c r="F3550" s="247" t="s">
        <v>702</v>
      </c>
      <c r="G3550" s="247" t="s">
        <v>1035</v>
      </c>
      <c r="H3550" s="248" t="s">
        <v>860</v>
      </c>
      <c r="I3550" s="248" t="s">
        <v>30</v>
      </c>
      <c r="J3550" s="247" t="s">
        <v>809</v>
      </c>
      <c r="K3550" s="249">
        <v>0</v>
      </c>
      <c r="L3550" s="90" t="s">
        <v>1778</v>
      </c>
      <c r="M3550" s="90">
        <v>374</v>
      </c>
      <c r="N3550" s="90">
        <v>3</v>
      </c>
      <c r="O3550" s="90">
        <v>0</v>
      </c>
    </row>
    <row r="3551" spans="1:15" s="90" customFormat="1" ht="12.75" customHeight="1" x14ac:dyDescent="0.2">
      <c r="A3551" s="247" t="s">
        <v>1064</v>
      </c>
      <c r="B3551" s="316">
        <v>3046</v>
      </c>
      <c r="C3551" s="247" t="s">
        <v>975</v>
      </c>
      <c r="D3551" s="317">
        <v>42676</v>
      </c>
      <c r="E3551" s="318">
        <v>0.4239236111111111</v>
      </c>
      <c r="F3551" s="247" t="s">
        <v>976</v>
      </c>
      <c r="G3551" s="247" t="s">
        <v>1035</v>
      </c>
      <c r="H3551" s="248" t="s">
        <v>404</v>
      </c>
      <c r="I3551" s="248" t="s">
        <v>404</v>
      </c>
      <c r="J3551" s="247" t="s">
        <v>809</v>
      </c>
      <c r="K3551" s="249">
        <v>0</v>
      </c>
      <c r="M3551" s="90">
        <v>0</v>
      </c>
      <c r="N3551" s="90">
        <v>0</v>
      </c>
      <c r="O3551" s="90">
        <v>255</v>
      </c>
    </row>
    <row r="3552" spans="1:15" s="90" customFormat="1" ht="12.75" customHeight="1" x14ac:dyDescent="0.2">
      <c r="A3552" s="247" t="s">
        <v>1000</v>
      </c>
      <c r="B3552" s="316">
        <v>3046</v>
      </c>
      <c r="C3552" s="247" t="s">
        <v>975</v>
      </c>
      <c r="D3552" s="317">
        <v>42676</v>
      </c>
      <c r="E3552" s="318">
        <v>0.42432870370370374</v>
      </c>
      <c r="F3552" s="247" t="s">
        <v>976</v>
      </c>
      <c r="G3552" s="247" t="s">
        <v>1035</v>
      </c>
      <c r="H3552" s="248" t="s">
        <v>404</v>
      </c>
      <c r="I3552" s="248" t="s">
        <v>404</v>
      </c>
      <c r="J3552" s="247" t="s">
        <v>809</v>
      </c>
      <c r="K3552" s="249">
        <v>0</v>
      </c>
      <c r="M3552" s="90">
        <v>0</v>
      </c>
      <c r="N3552" s="90">
        <v>0</v>
      </c>
      <c r="O3552" s="90">
        <v>255</v>
      </c>
    </row>
    <row r="3553" spans="1:15" s="90" customFormat="1" ht="12.75" customHeight="1" x14ac:dyDescent="0.2">
      <c r="A3553" s="247" t="s">
        <v>989</v>
      </c>
      <c r="B3553" s="316">
        <v>3046</v>
      </c>
      <c r="C3553" s="247" t="s">
        <v>975</v>
      </c>
      <c r="D3553" s="317">
        <v>42676</v>
      </c>
      <c r="E3553" s="318">
        <v>0.42438657407407404</v>
      </c>
      <c r="F3553" s="247" t="s">
        <v>976</v>
      </c>
      <c r="G3553" s="247" t="s">
        <v>1035</v>
      </c>
      <c r="H3553" s="248" t="s">
        <v>404</v>
      </c>
      <c r="I3553" s="248" t="s">
        <v>404</v>
      </c>
      <c r="J3553" s="247" t="s">
        <v>809</v>
      </c>
      <c r="K3553" s="249">
        <v>0</v>
      </c>
      <c r="M3553" s="90">
        <v>0</v>
      </c>
      <c r="N3553" s="90">
        <v>0</v>
      </c>
      <c r="O3553" s="90">
        <v>255</v>
      </c>
    </row>
    <row r="3554" spans="1:15" s="90" customFormat="1" ht="12.75" customHeight="1" x14ac:dyDescent="0.2">
      <c r="A3554" s="247" t="s">
        <v>990</v>
      </c>
      <c r="B3554" s="316">
        <v>3046</v>
      </c>
      <c r="C3554" s="247" t="s">
        <v>975</v>
      </c>
      <c r="D3554" s="317">
        <v>42676</v>
      </c>
      <c r="E3554" s="318">
        <v>0.42443287037037036</v>
      </c>
      <c r="F3554" s="247" t="s">
        <v>976</v>
      </c>
      <c r="G3554" s="247" t="s">
        <v>1035</v>
      </c>
      <c r="H3554" s="248" t="s">
        <v>404</v>
      </c>
      <c r="I3554" s="248" t="s">
        <v>404</v>
      </c>
      <c r="J3554" s="247" t="s">
        <v>809</v>
      </c>
      <c r="K3554" s="249">
        <v>0</v>
      </c>
      <c r="M3554" s="90">
        <v>0</v>
      </c>
      <c r="N3554" s="90">
        <v>0</v>
      </c>
      <c r="O3554" s="90">
        <v>255</v>
      </c>
    </row>
    <row r="3555" spans="1:15" s="90" customFormat="1" ht="12.75" customHeight="1" x14ac:dyDescent="0.2">
      <c r="A3555" s="247" t="s">
        <v>1010</v>
      </c>
      <c r="B3555" s="316">
        <v>3051</v>
      </c>
      <c r="C3555" s="247" t="s">
        <v>975</v>
      </c>
      <c r="D3555" s="317">
        <v>42676</v>
      </c>
      <c r="E3555" s="318">
        <v>0.42443287037037036</v>
      </c>
      <c r="F3555" s="247" t="s">
        <v>235</v>
      </c>
      <c r="G3555" s="247" t="s">
        <v>1035</v>
      </c>
      <c r="H3555" s="248" t="s">
        <v>234</v>
      </c>
      <c r="I3555" s="248" t="s">
        <v>235</v>
      </c>
      <c r="J3555" s="247" t="s">
        <v>809</v>
      </c>
      <c r="K3555" s="249">
        <v>0</v>
      </c>
      <c r="M3555" s="90">
        <v>0</v>
      </c>
      <c r="N3555" s="90">
        <v>0</v>
      </c>
      <c r="O3555" s="90">
        <v>255</v>
      </c>
    </row>
    <row r="3556" spans="1:15" s="90" customFormat="1" ht="12.75" customHeight="1" x14ac:dyDescent="0.2">
      <c r="A3556" s="247" t="s">
        <v>1009</v>
      </c>
      <c r="B3556" s="316">
        <v>3052</v>
      </c>
      <c r="C3556" s="247" t="s">
        <v>975</v>
      </c>
      <c r="D3556" s="317">
        <v>42676</v>
      </c>
      <c r="E3556" s="318">
        <v>0.42443287037037036</v>
      </c>
      <c r="F3556" s="247" t="s">
        <v>235</v>
      </c>
      <c r="G3556" s="247" t="s">
        <v>1035</v>
      </c>
      <c r="H3556" s="248" t="s">
        <v>234</v>
      </c>
      <c r="I3556" s="248" t="s">
        <v>235</v>
      </c>
      <c r="J3556" s="247" t="s">
        <v>809</v>
      </c>
      <c r="K3556" s="249">
        <v>0</v>
      </c>
      <c r="M3556" s="90">
        <v>0</v>
      </c>
      <c r="N3556" s="90">
        <v>0</v>
      </c>
      <c r="O3556" s="90">
        <v>255</v>
      </c>
    </row>
    <row r="3557" spans="1:15" s="90" customFormat="1" ht="12.75" customHeight="1" x14ac:dyDescent="0.2">
      <c r="A3557" s="247" t="s">
        <v>989</v>
      </c>
      <c r="B3557" s="316">
        <v>3046</v>
      </c>
      <c r="C3557" s="247" t="s">
        <v>975</v>
      </c>
      <c r="D3557" s="317">
        <v>42676</v>
      </c>
      <c r="E3557" s="318">
        <v>0.42457175925925927</v>
      </c>
      <c r="F3557" s="247" t="s">
        <v>976</v>
      </c>
      <c r="G3557" s="247" t="s">
        <v>1035</v>
      </c>
      <c r="H3557" s="248" t="s">
        <v>404</v>
      </c>
      <c r="I3557" s="248" t="s">
        <v>404</v>
      </c>
      <c r="J3557" s="247" t="s">
        <v>809</v>
      </c>
      <c r="K3557" s="249">
        <v>0</v>
      </c>
      <c r="M3557" s="90">
        <v>0</v>
      </c>
      <c r="N3557" s="90">
        <v>0</v>
      </c>
      <c r="O3557" s="90">
        <v>255</v>
      </c>
    </row>
    <row r="3558" spans="1:15" s="90" customFormat="1" ht="12.75" customHeight="1" x14ac:dyDescent="0.2">
      <c r="A3558" s="247" t="s">
        <v>1029</v>
      </c>
      <c r="B3558" s="316">
        <v>3046</v>
      </c>
      <c r="C3558" s="247" t="s">
        <v>975</v>
      </c>
      <c r="D3558" s="317">
        <v>42676</v>
      </c>
      <c r="E3558" s="318">
        <v>0.4256712962962963</v>
      </c>
      <c r="F3558" s="247" t="s">
        <v>976</v>
      </c>
      <c r="G3558" s="247" t="s">
        <v>1035</v>
      </c>
      <c r="H3558" s="248" t="s">
        <v>404</v>
      </c>
      <c r="I3558" s="248" t="s">
        <v>404</v>
      </c>
      <c r="J3558" s="247" t="s">
        <v>809</v>
      </c>
      <c r="K3558" s="249">
        <v>0</v>
      </c>
      <c r="M3558" s="90">
        <v>0</v>
      </c>
      <c r="N3558" s="90">
        <v>0</v>
      </c>
      <c r="O3558" s="90">
        <v>255</v>
      </c>
    </row>
    <row r="3559" spans="1:15" s="90" customFormat="1" ht="12.75" customHeight="1" x14ac:dyDescent="0.2">
      <c r="A3559" s="247" t="s">
        <v>977</v>
      </c>
      <c r="B3559" s="316">
        <v>3046</v>
      </c>
      <c r="C3559" s="247" t="s">
        <v>975</v>
      </c>
      <c r="D3559" s="317">
        <v>42676</v>
      </c>
      <c r="E3559" s="318">
        <v>0.4256712962962963</v>
      </c>
      <c r="F3559" s="247" t="s">
        <v>976</v>
      </c>
      <c r="G3559" s="247" t="s">
        <v>1035</v>
      </c>
      <c r="H3559" s="248" t="s">
        <v>404</v>
      </c>
      <c r="I3559" s="248" t="s">
        <v>404</v>
      </c>
      <c r="J3559" s="247" t="s">
        <v>809</v>
      </c>
      <c r="K3559" s="249">
        <v>0</v>
      </c>
      <c r="M3559" s="90">
        <v>0</v>
      </c>
      <c r="N3559" s="90">
        <v>0</v>
      </c>
      <c r="O3559" s="90">
        <v>255</v>
      </c>
    </row>
    <row r="3560" spans="1:15" s="90" customFormat="1" ht="12.75" customHeight="1" x14ac:dyDescent="0.2">
      <c r="A3560" s="247" t="s">
        <v>1143</v>
      </c>
      <c r="B3560" s="316">
        <v>3051</v>
      </c>
      <c r="C3560" s="247" t="s">
        <v>975</v>
      </c>
      <c r="D3560" s="317">
        <v>42676</v>
      </c>
      <c r="E3560" s="318">
        <v>0.42575231481481479</v>
      </c>
      <c r="F3560" s="247" t="s">
        <v>235</v>
      </c>
      <c r="G3560" s="247" t="s">
        <v>1035</v>
      </c>
      <c r="H3560" s="248" t="s">
        <v>234</v>
      </c>
      <c r="I3560" s="248" t="s">
        <v>235</v>
      </c>
      <c r="J3560" s="247" t="s">
        <v>809</v>
      </c>
      <c r="K3560" s="249">
        <v>0</v>
      </c>
      <c r="M3560" s="90">
        <v>0</v>
      </c>
      <c r="N3560" s="90">
        <v>0</v>
      </c>
      <c r="O3560" s="90">
        <v>255</v>
      </c>
    </row>
    <row r="3561" spans="1:15" s="90" customFormat="1" ht="12.75" customHeight="1" x14ac:dyDescent="0.2">
      <c r="A3561" s="247" t="s">
        <v>1030</v>
      </c>
      <c r="B3561" s="316">
        <v>3051</v>
      </c>
      <c r="C3561" s="247" t="s">
        <v>975</v>
      </c>
      <c r="D3561" s="317">
        <v>42676</v>
      </c>
      <c r="E3561" s="318">
        <v>0.42575231481481479</v>
      </c>
      <c r="F3561" s="247" t="s">
        <v>235</v>
      </c>
      <c r="G3561" s="247" t="s">
        <v>1035</v>
      </c>
      <c r="H3561" s="248" t="s">
        <v>234</v>
      </c>
      <c r="I3561" s="248" t="s">
        <v>235</v>
      </c>
      <c r="J3561" s="247" t="s">
        <v>809</v>
      </c>
      <c r="K3561" s="249">
        <v>0</v>
      </c>
      <c r="M3561" s="90">
        <v>0</v>
      </c>
      <c r="N3561" s="90">
        <v>0</v>
      </c>
      <c r="O3561" s="90">
        <v>255</v>
      </c>
    </row>
    <row r="3562" spans="1:15" s="90" customFormat="1" ht="12.75" customHeight="1" x14ac:dyDescent="0.2">
      <c r="A3562" s="247" t="s">
        <v>1036</v>
      </c>
      <c r="B3562" s="316">
        <v>3051</v>
      </c>
      <c r="C3562" s="247" t="s">
        <v>975</v>
      </c>
      <c r="D3562" s="317">
        <v>42676</v>
      </c>
      <c r="E3562" s="318">
        <v>0.42575231481481479</v>
      </c>
      <c r="F3562" s="247" t="s">
        <v>235</v>
      </c>
      <c r="G3562" s="247" t="s">
        <v>1035</v>
      </c>
      <c r="H3562" s="248" t="s">
        <v>234</v>
      </c>
      <c r="I3562" s="248" t="s">
        <v>235</v>
      </c>
      <c r="J3562" s="247" t="s">
        <v>809</v>
      </c>
      <c r="K3562" s="249">
        <v>0</v>
      </c>
      <c r="M3562" s="90">
        <v>0</v>
      </c>
      <c r="N3562" s="90">
        <v>0</v>
      </c>
      <c r="O3562" s="90">
        <v>255</v>
      </c>
    </row>
    <row r="3563" spans="1:15" s="90" customFormat="1" ht="12.75" customHeight="1" x14ac:dyDescent="0.2">
      <c r="A3563" s="247" t="s">
        <v>1104</v>
      </c>
      <c r="B3563" s="316">
        <v>3052</v>
      </c>
      <c r="C3563" s="247" t="s">
        <v>975</v>
      </c>
      <c r="D3563" s="317">
        <v>42676</v>
      </c>
      <c r="E3563" s="318">
        <v>0.42575231481481479</v>
      </c>
      <c r="F3563" s="247" t="s">
        <v>235</v>
      </c>
      <c r="G3563" s="247" t="s">
        <v>1035</v>
      </c>
      <c r="H3563" s="248" t="s">
        <v>234</v>
      </c>
      <c r="I3563" s="248" t="s">
        <v>235</v>
      </c>
      <c r="J3563" s="247" t="s">
        <v>809</v>
      </c>
      <c r="K3563" s="249">
        <v>0</v>
      </c>
      <c r="M3563" s="90">
        <v>0</v>
      </c>
      <c r="N3563" s="90">
        <v>0</v>
      </c>
      <c r="O3563" s="90">
        <v>255</v>
      </c>
    </row>
    <row r="3564" spans="1:15" s="90" customFormat="1" ht="12.75" customHeight="1" x14ac:dyDescent="0.2">
      <c r="A3564" s="247" t="s">
        <v>983</v>
      </c>
      <c r="B3564" s="316">
        <v>3046</v>
      </c>
      <c r="C3564" s="247" t="s">
        <v>975</v>
      </c>
      <c r="D3564" s="317">
        <v>42676</v>
      </c>
      <c r="E3564" s="318">
        <v>0.42622685185185188</v>
      </c>
      <c r="F3564" s="247" t="s">
        <v>976</v>
      </c>
      <c r="G3564" s="247" t="s">
        <v>1035</v>
      </c>
      <c r="H3564" s="248" t="s">
        <v>404</v>
      </c>
      <c r="I3564" s="248" t="s">
        <v>404</v>
      </c>
      <c r="J3564" s="247" t="s">
        <v>809</v>
      </c>
      <c r="K3564" s="249">
        <v>0</v>
      </c>
      <c r="M3564" s="90">
        <v>0</v>
      </c>
      <c r="N3564" s="90">
        <v>0</v>
      </c>
      <c r="O3564" s="90">
        <v>255</v>
      </c>
    </row>
    <row r="3565" spans="1:15" s="90" customFormat="1" ht="12.75" customHeight="1" x14ac:dyDescent="0.2">
      <c r="A3565" s="247" t="s">
        <v>991</v>
      </c>
      <c r="B3565" s="316">
        <v>3046</v>
      </c>
      <c r="C3565" s="247" t="s">
        <v>975</v>
      </c>
      <c r="D3565" s="317">
        <v>42676</v>
      </c>
      <c r="E3565" s="318">
        <v>0.42634259259259261</v>
      </c>
      <c r="F3565" s="247" t="s">
        <v>976</v>
      </c>
      <c r="G3565" s="247" t="s">
        <v>1035</v>
      </c>
      <c r="H3565" s="248" t="s">
        <v>404</v>
      </c>
      <c r="I3565" s="248" t="s">
        <v>404</v>
      </c>
      <c r="J3565" s="247" t="s">
        <v>809</v>
      </c>
      <c r="K3565" s="249">
        <v>0</v>
      </c>
      <c r="M3565" s="90">
        <v>0</v>
      </c>
      <c r="N3565" s="90">
        <v>0</v>
      </c>
      <c r="O3565" s="90">
        <v>255</v>
      </c>
    </row>
    <row r="3566" spans="1:15" s="90" customFormat="1" ht="12.75" customHeight="1" x14ac:dyDescent="0.2">
      <c r="A3566" s="247" t="s">
        <v>1136</v>
      </c>
      <c r="B3566" s="316">
        <v>3001</v>
      </c>
      <c r="C3566" s="247" t="s">
        <v>996</v>
      </c>
      <c r="D3566" s="317">
        <v>42676</v>
      </c>
      <c r="E3566" s="318">
        <v>0.42682870370370374</v>
      </c>
      <c r="F3566" s="247" t="s">
        <v>702</v>
      </c>
      <c r="G3566" s="247" t="s">
        <v>1035</v>
      </c>
      <c r="H3566" s="248" t="s">
        <v>121</v>
      </c>
      <c r="I3566" s="248" t="s">
        <v>122</v>
      </c>
      <c r="J3566" s="247" t="s">
        <v>809</v>
      </c>
      <c r="K3566" s="249">
        <v>0</v>
      </c>
      <c r="M3566" s="90">
        <v>0</v>
      </c>
      <c r="N3566" s="90">
        <v>0</v>
      </c>
      <c r="O3566" s="90">
        <v>255</v>
      </c>
    </row>
    <row r="3567" spans="1:15" s="90" customFormat="1" ht="12.75" customHeight="1" x14ac:dyDescent="0.2">
      <c r="A3567" s="247" t="s">
        <v>992</v>
      </c>
      <c r="B3567" s="316">
        <v>3046</v>
      </c>
      <c r="C3567" s="247" t="s">
        <v>975</v>
      </c>
      <c r="D3567" s="317">
        <v>42676</v>
      </c>
      <c r="E3567" s="318">
        <v>0.42759259259259258</v>
      </c>
      <c r="F3567" s="247" t="s">
        <v>976</v>
      </c>
      <c r="G3567" s="247" t="s">
        <v>1035</v>
      </c>
      <c r="H3567" s="248" t="s">
        <v>404</v>
      </c>
      <c r="I3567" s="248" t="s">
        <v>404</v>
      </c>
      <c r="J3567" s="247" t="s">
        <v>809</v>
      </c>
      <c r="K3567" s="249">
        <v>0</v>
      </c>
      <c r="M3567" s="90">
        <v>0</v>
      </c>
      <c r="N3567" s="90">
        <v>0</v>
      </c>
      <c r="O3567" s="90">
        <v>255</v>
      </c>
    </row>
    <row r="3568" spans="1:15" s="90" customFormat="1" ht="12.75" customHeight="1" x14ac:dyDescent="0.2">
      <c r="A3568" s="247" t="s">
        <v>1136</v>
      </c>
      <c r="B3568" s="316">
        <v>3001</v>
      </c>
      <c r="C3568" s="247" t="s">
        <v>996</v>
      </c>
      <c r="D3568" s="317">
        <v>42676</v>
      </c>
      <c r="E3568" s="318">
        <v>0.42788194444444444</v>
      </c>
      <c r="F3568" s="247" t="s">
        <v>702</v>
      </c>
      <c r="G3568" s="247" t="s">
        <v>1035</v>
      </c>
      <c r="H3568" s="248" t="s">
        <v>121</v>
      </c>
      <c r="I3568" s="248" t="s">
        <v>122</v>
      </c>
      <c r="J3568" s="247" t="s">
        <v>809</v>
      </c>
      <c r="K3568" s="249">
        <v>0</v>
      </c>
      <c r="M3568" s="90">
        <v>0</v>
      </c>
      <c r="N3568" s="90">
        <v>0</v>
      </c>
      <c r="O3568" s="90">
        <v>255</v>
      </c>
    </row>
    <row r="3569" spans="1:15" s="90" customFormat="1" ht="12.75" customHeight="1" x14ac:dyDescent="0.2">
      <c r="A3569" s="247" t="s">
        <v>760</v>
      </c>
      <c r="B3569" s="316">
        <v>3120</v>
      </c>
      <c r="C3569" s="247" t="s">
        <v>975</v>
      </c>
      <c r="D3569" s="317">
        <v>42676</v>
      </c>
      <c r="E3569" s="318">
        <v>0.42913194444444441</v>
      </c>
      <c r="F3569" s="247" t="s">
        <v>981</v>
      </c>
      <c r="G3569" s="247" t="s">
        <v>1035</v>
      </c>
      <c r="H3569" s="248" t="s">
        <v>234</v>
      </c>
      <c r="I3569" s="248" t="s">
        <v>677</v>
      </c>
      <c r="J3569" s="247" t="s">
        <v>809</v>
      </c>
      <c r="K3569" s="249">
        <v>0</v>
      </c>
      <c r="M3569" s="90">
        <v>0</v>
      </c>
      <c r="N3569" s="90">
        <v>0</v>
      </c>
      <c r="O3569" s="90">
        <v>255</v>
      </c>
    </row>
    <row r="3570" spans="1:15" s="90" customFormat="1" ht="12.75" customHeight="1" x14ac:dyDescent="0.2">
      <c r="A3570" s="247" t="s">
        <v>988</v>
      </c>
      <c r="B3570" s="316">
        <v>3046</v>
      </c>
      <c r="C3570" s="247" t="s">
        <v>975</v>
      </c>
      <c r="D3570" s="317">
        <v>42676</v>
      </c>
      <c r="E3570" s="318">
        <v>0.42920138888888887</v>
      </c>
      <c r="F3570" s="247" t="s">
        <v>976</v>
      </c>
      <c r="G3570" s="247" t="s">
        <v>1035</v>
      </c>
      <c r="H3570" s="248" t="s">
        <v>404</v>
      </c>
      <c r="I3570" s="248" t="s">
        <v>404</v>
      </c>
      <c r="J3570" s="247" t="s">
        <v>809</v>
      </c>
      <c r="K3570" s="249">
        <v>0</v>
      </c>
      <c r="M3570" s="90">
        <v>0</v>
      </c>
      <c r="N3570" s="90">
        <v>0</v>
      </c>
      <c r="O3570" s="90">
        <v>255</v>
      </c>
    </row>
    <row r="3571" spans="1:15" s="90" customFormat="1" ht="12.75" customHeight="1" x14ac:dyDescent="0.2">
      <c r="A3571" s="247" t="s">
        <v>989</v>
      </c>
      <c r="B3571" s="316">
        <v>3046</v>
      </c>
      <c r="C3571" s="247" t="s">
        <v>975</v>
      </c>
      <c r="D3571" s="317">
        <v>42676</v>
      </c>
      <c r="E3571" s="318">
        <v>0.42920138888888887</v>
      </c>
      <c r="F3571" s="247" t="s">
        <v>976</v>
      </c>
      <c r="G3571" s="247" t="s">
        <v>1035</v>
      </c>
      <c r="H3571" s="248" t="s">
        <v>404</v>
      </c>
      <c r="I3571" s="248" t="s">
        <v>404</v>
      </c>
      <c r="J3571" s="247" t="s">
        <v>809</v>
      </c>
      <c r="K3571" s="249">
        <v>0</v>
      </c>
      <c r="M3571" s="90">
        <v>0</v>
      </c>
      <c r="N3571" s="90">
        <v>0</v>
      </c>
      <c r="O3571" s="90">
        <v>255</v>
      </c>
    </row>
    <row r="3572" spans="1:15" s="90" customFormat="1" ht="12.75" customHeight="1" x14ac:dyDescent="0.2">
      <c r="A3572" s="247" t="s">
        <v>990</v>
      </c>
      <c r="B3572" s="316">
        <v>3046</v>
      </c>
      <c r="C3572" s="247" t="s">
        <v>975</v>
      </c>
      <c r="D3572" s="317">
        <v>42676</v>
      </c>
      <c r="E3572" s="318">
        <v>0.43005787037037035</v>
      </c>
      <c r="F3572" s="247" t="s">
        <v>976</v>
      </c>
      <c r="G3572" s="247" t="s">
        <v>1035</v>
      </c>
      <c r="H3572" s="248" t="s">
        <v>404</v>
      </c>
      <c r="I3572" s="248" t="s">
        <v>404</v>
      </c>
      <c r="J3572" s="247" t="s">
        <v>809</v>
      </c>
      <c r="K3572" s="249">
        <v>0</v>
      </c>
      <c r="M3572" s="90">
        <v>0</v>
      </c>
      <c r="N3572" s="90">
        <v>0</v>
      </c>
      <c r="O3572" s="90">
        <v>255</v>
      </c>
    </row>
    <row r="3573" spans="1:15" s="90" customFormat="1" ht="12.75" customHeight="1" x14ac:dyDescent="0.2">
      <c r="A3573" s="247" t="s">
        <v>1031</v>
      </c>
      <c r="B3573" s="316">
        <v>3046</v>
      </c>
      <c r="C3573" s="247" t="s">
        <v>975</v>
      </c>
      <c r="D3573" s="317">
        <v>42676</v>
      </c>
      <c r="E3573" s="318">
        <v>0.43276620370370367</v>
      </c>
      <c r="F3573" s="247" t="s">
        <v>976</v>
      </c>
      <c r="G3573" s="247" t="s">
        <v>1035</v>
      </c>
      <c r="H3573" s="248" t="s">
        <v>404</v>
      </c>
      <c r="I3573" s="248" t="s">
        <v>404</v>
      </c>
      <c r="J3573" s="247" t="s">
        <v>809</v>
      </c>
      <c r="K3573" s="249">
        <v>0</v>
      </c>
      <c r="M3573" s="90">
        <v>0</v>
      </c>
      <c r="N3573" s="90">
        <v>0</v>
      </c>
      <c r="O3573" s="90">
        <v>255</v>
      </c>
    </row>
    <row r="3574" spans="1:15" s="90" customFormat="1" ht="12.75" customHeight="1" x14ac:dyDescent="0.2">
      <c r="A3574" s="247" t="s">
        <v>1032</v>
      </c>
      <c r="B3574" s="316">
        <v>3046</v>
      </c>
      <c r="C3574" s="247" t="s">
        <v>975</v>
      </c>
      <c r="D3574" s="317">
        <v>42676</v>
      </c>
      <c r="E3574" s="318">
        <v>0.43708333333333332</v>
      </c>
      <c r="F3574" s="247" t="s">
        <v>976</v>
      </c>
      <c r="G3574" s="247" t="s">
        <v>1035</v>
      </c>
      <c r="H3574" s="248" t="s">
        <v>404</v>
      </c>
      <c r="I3574" s="248" t="s">
        <v>404</v>
      </c>
      <c r="J3574" s="247" t="s">
        <v>809</v>
      </c>
      <c r="K3574" s="249">
        <v>0</v>
      </c>
      <c r="M3574" s="90">
        <v>0</v>
      </c>
      <c r="N3574" s="90">
        <v>0</v>
      </c>
      <c r="O3574" s="90">
        <v>255</v>
      </c>
    </row>
    <row r="3575" spans="1:15" s="90" customFormat="1" ht="12.75" customHeight="1" x14ac:dyDescent="0.2">
      <c r="A3575" s="247" t="s">
        <v>989</v>
      </c>
      <c r="B3575" s="316">
        <v>3046</v>
      </c>
      <c r="C3575" s="247" t="s">
        <v>975</v>
      </c>
      <c r="D3575" s="317">
        <v>42676</v>
      </c>
      <c r="E3575" s="318">
        <v>0.43709490740740736</v>
      </c>
      <c r="F3575" s="247" t="s">
        <v>976</v>
      </c>
      <c r="G3575" s="247" t="s">
        <v>1035</v>
      </c>
      <c r="H3575" s="248" t="s">
        <v>404</v>
      </c>
      <c r="I3575" s="248" t="s">
        <v>404</v>
      </c>
      <c r="J3575" s="247" t="s">
        <v>809</v>
      </c>
      <c r="K3575" s="249">
        <v>0</v>
      </c>
      <c r="M3575" s="90">
        <v>0</v>
      </c>
      <c r="N3575" s="90">
        <v>0</v>
      </c>
      <c r="O3575" s="90">
        <v>255</v>
      </c>
    </row>
    <row r="3576" spans="1:15" s="90" customFormat="1" ht="12.75" customHeight="1" x14ac:dyDescent="0.2">
      <c r="A3576" s="247" t="s">
        <v>1033</v>
      </c>
      <c r="B3576" s="316">
        <v>3217</v>
      </c>
      <c r="C3576" s="247" t="s">
        <v>975</v>
      </c>
      <c r="D3576" s="317">
        <v>42676</v>
      </c>
      <c r="E3576" s="318">
        <v>0.43739583333333337</v>
      </c>
      <c r="F3576" s="247" t="s">
        <v>235</v>
      </c>
      <c r="G3576" s="247" t="s">
        <v>1035</v>
      </c>
      <c r="H3576" s="248" t="s">
        <v>234</v>
      </c>
      <c r="I3576" s="248" t="s">
        <v>235</v>
      </c>
      <c r="J3576" s="247" t="s">
        <v>809</v>
      </c>
      <c r="K3576" s="249">
        <v>0</v>
      </c>
      <c r="M3576" s="90">
        <v>0</v>
      </c>
      <c r="N3576" s="90">
        <v>0</v>
      </c>
      <c r="O3576" s="90">
        <v>255</v>
      </c>
    </row>
    <row r="3577" spans="1:15" s="90" customFormat="1" ht="12.75" customHeight="1" x14ac:dyDescent="0.2">
      <c r="A3577" s="247" t="s">
        <v>990</v>
      </c>
      <c r="B3577" s="316">
        <v>3046</v>
      </c>
      <c r="C3577" s="247" t="s">
        <v>975</v>
      </c>
      <c r="D3577" s="317">
        <v>42676</v>
      </c>
      <c r="E3577" s="318">
        <v>0.43740740740740741</v>
      </c>
      <c r="F3577" s="247" t="s">
        <v>976</v>
      </c>
      <c r="G3577" s="247" t="s">
        <v>1035</v>
      </c>
      <c r="H3577" s="248" t="s">
        <v>404</v>
      </c>
      <c r="I3577" s="248" t="s">
        <v>404</v>
      </c>
      <c r="J3577" s="247" t="s">
        <v>809</v>
      </c>
      <c r="K3577" s="249">
        <v>0</v>
      </c>
      <c r="M3577" s="90">
        <v>0</v>
      </c>
      <c r="N3577" s="90">
        <v>0</v>
      </c>
      <c r="O3577" s="90">
        <v>255</v>
      </c>
    </row>
    <row r="3578" spans="1:15" s="90" customFormat="1" ht="12.75" customHeight="1" x14ac:dyDescent="0.2">
      <c r="A3578" s="247" t="s">
        <v>1031</v>
      </c>
      <c r="B3578" s="316">
        <v>3046</v>
      </c>
      <c r="C3578" s="247" t="s">
        <v>975</v>
      </c>
      <c r="D3578" s="317">
        <v>42676</v>
      </c>
      <c r="E3578" s="318">
        <v>0.44077546296296299</v>
      </c>
      <c r="F3578" s="247" t="s">
        <v>976</v>
      </c>
      <c r="G3578" s="247" t="s">
        <v>1035</v>
      </c>
      <c r="H3578" s="248" t="s">
        <v>404</v>
      </c>
      <c r="I3578" s="248" t="s">
        <v>404</v>
      </c>
      <c r="J3578" s="247" t="s">
        <v>809</v>
      </c>
      <c r="K3578" s="249">
        <v>0</v>
      </c>
      <c r="M3578" s="90">
        <v>0</v>
      </c>
      <c r="N3578" s="90">
        <v>0</v>
      </c>
      <c r="O3578" s="90">
        <v>255</v>
      </c>
    </row>
    <row r="3579" spans="1:15" s="90" customFormat="1" ht="12.75" customHeight="1" x14ac:dyDescent="0.2">
      <c r="A3579" s="247" t="s">
        <v>1032</v>
      </c>
      <c r="B3579" s="316">
        <v>3046</v>
      </c>
      <c r="C3579" s="247" t="s">
        <v>975</v>
      </c>
      <c r="D3579" s="317">
        <v>42676</v>
      </c>
      <c r="E3579" s="318">
        <v>0.44726851851851851</v>
      </c>
      <c r="F3579" s="247" t="s">
        <v>976</v>
      </c>
      <c r="G3579" s="247" t="s">
        <v>1035</v>
      </c>
      <c r="H3579" s="248" t="s">
        <v>404</v>
      </c>
      <c r="I3579" s="248" t="s">
        <v>404</v>
      </c>
      <c r="J3579" s="247" t="s">
        <v>809</v>
      </c>
      <c r="K3579" s="249">
        <v>0</v>
      </c>
      <c r="M3579" s="90">
        <v>0</v>
      </c>
      <c r="N3579" s="90">
        <v>0</v>
      </c>
      <c r="O3579" s="90">
        <v>255</v>
      </c>
    </row>
    <row r="3580" spans="1:15" s="90" customFormat="1" ht="12.75" customHeight="1" x14ac:dyDescent="0.2">
      <c r="A3580" s="247" t="s">
        <v>989</v>
      </c>
      <c r="B3580" s="316">
        <v>3046</v>
      </c>
      <c r="C3580" s="247" t="s">
        <v>975</v>
      </c>
      <c r="D3580" s="317">
        <v>42676</v>
      </c>
      <c r="E3580" s="318">
        <v>0.4472800925925926</v>
      </c>
      <c r="F3580" s="247" t="s">
        <v>976</v>
      </c>
      <c r="G3580" s="247" t="s">
        <v>1035</v>
      </c>
      <c r="H3580" s="248" t="s">
        <v>404</v>
      </c>
      <c r="I3580" s="248" t="s">
        <v>404</v>
      </c>
      <c r="J3580" s="247" t="s">
        <v>809</v>
      </c>
      <c r="K3580" s="249">
        <v>0</v>
      </c>
      <c r="M3580" s="90">
        <v>0</v>
      </c>
      <c r="N3580" s="90">
        <v>0</v>
      </c>
      <c r="O3580" s="90">
        <v>255</v>
      </c>
    </row>
    <row r="3581" spans="1:15" s="90" customFormat="1" ht="12.75" customHeight="1" x14ac:dyDescent="0.2">
      <c r="A3581" s="247" t="s">
        <v>990</v>
      </c>
      <c r="B3581" s="316">
        <v>3046</v>
      </c>
      <c r="C3581" s="247" t="s">
        <v>975</v>
      </c>
      <c r="D3581" s="317">
        <v>42676</v>
      </c>
      <c r="E3581" s="318">
        <v>0.44756944444444446</v>
      </c>
      <c r="F3581" s="247" t="s">
        <v>976</v>
      </c>
      <c r="G3581" s="247" t="s">
        <v>1035</v>
      </c>
      <c r="H3581" s="248" t="s">
        <v>404</v>
      </c>
      <c r="I3581" s="248" t="s">
        <v>404</v>
      </c>
      <c r="J3581" s="247" t="s">
        <v>809</v>
      </c>
      <c r="K3581" s="249">
        <v>0</v>
      </c>
      <c r="M3581" s="90">
        <v>0</v>
      </c>
      <c r="N3581" s="90">
        <v>0</v>
      </c>
      <c r="O3581" s="90">
        <v>255</v>
      </c>
    </row>
    <row r="3582" spans="1:15" s="90" customFormat="1" ht="12.75" customHeight="1" x14ac:dyDescent="0.2">
      <c r="A3582" s="247" t="s">
        <v>1033</v>
      </c>
      <c r="B3582" s="316">
        <v>3217</v>
      </c>
      <c r="C3582" s="247" t="s">
        <v>975</v>
      </c>
      <c r="D3582" s="317">
        <v>42676</v>
      </c>
      <c r="E3582" s="318">
        <v>0.44756944444444446</v>
      </c>
      <c r="F3582" s="247" t="s">
        <v>235</v>
      </c>
      <c r="G3582" s="247" t="s">
        <v>1035</v>
      </c>
      <c r="H3582" s="248" t="s">
        <v>234</v>
      </c>
      <c r="I3582" s="248" t="s">
        <v>235</v>
      </c>
      <c r="J3582" s="247" t="s">
        <v>809</v>
      </c>
      <c r="K3582" s="249">
        <v>0</v>
      </c>
      <c r="M3582" s="90">
        <v>0</v>
      </c>
      <c r="N3582" s="90">
        <v>0</v>
      </c>
      <c r="O3582" s="90">
        <v>255</v>
      </c>
    </row>
    <row r="3583" spans="1:15" s="90" customFormat="1" ht="12.75" customHeight="1" x14ac:dyDescent="0.2">
      <c r="A3583" s="247" t="s">
        <v>1031</v>
      </c>
      <c r="B3583" s="316">
        <v>3046</v>
      </c>
      <c r="C3583" s="247" t="s">
        <v>975</v>
      </c>
      <c r="D3583" s="317">
        <v>42676</v>
      </c>
      <c r="E3583" s="318">
        <v>0.45078703703703704</v>
      </c>
      <c r="F3583" s="247" t="s">
        <v>976</v>
      </c>
      <c r="G3583" s="247" t="s">
        <v>1035</v>
      </c>
      <c r="H3583" s="248" t="s">
        <v>404</v>
      </c>
      <c r="I3583" s="248" t="s">
        <v>404</v>
      </c>
      <c r="J3583" s="247" t="s">
        <v>809</v>
      </c>
      <c r="K3583" s="249">
        <v>0</v>
      </c>
      <c r="M3583" s="90">
        <v>0</v>
      </c>
      <c r="N3583" s="90">
        <v>0</v>
      </c>
      <c r="O3583" s="90">
        <v>255</v>
      </c>
    </row>
    <row r="3584" spans="1:15" s="90" customFormat="1" ht="12.75" customHeight="1" x14ac:dyDescent="0.2">
      <c r="A3584" s="247" t="s">
        <v>1032</v>
      </c>
      <c r="B3584" s="316">
        <v>3046</v>
      </c>
      <c r="C3584" s="247" t="s">
        <v>975</v>
      </c>
      <c r="D3584" s="317">
        <v>42676</v>
      </c>
      <c r="E3584" s="318">
        <v>0.45472222222222225</v>
      </c>
      <c r="F3584" s="247" t="s">
        <v>976</v>
      </c>
      <c r="G3584" s="247" t="s">
        <v>1035</v>
      </c>
      <c r="H3584" s="248" t="s">
        <v>404</v>
      </c>
      <c r="I3584" s="248" t="s">
        <v>404</v>
      </c>
      <c r="J3584" s="247" t="s">
        <v>809</v>
      </c>
      <c r="K3584" s="249">
        <v>0</v>
      </c>
      <c r="M3584" s="90">
        <v>0</v>
      </c>
      <c r="N3584" s="90">
        <v>0</v>
      </c>
      <c r="O3584" s="90">
        <v>255</v>
      </c>
    </row>
    <row r="3585" spans="1:15" s="90" customFormat="1" ht="12.75" customHeight="1" x14ac:dyDescent="0.2">
      <c r="A3585" s="247" t="s">
        <v>989</v>
      </c>
      <c r="B3585" s="316">
        <v>3046</v>
      </c>
      <c r="C3585" s="247" t="s">
        <v>975</v>
      </c>
      <c r="D3585" s="317">
        <v>42676</v>
      </c>
      <c r="E3585" s="318">
        <v>0.45473379629629629</v>
      </c>
      <c r="F3585" s="247" t="s">
        <v>976</v>
      </c>
      <c r="G3585" s="247" t="s">
        <v>1035</v>
      </c>
      <c r="H3585" s="248" t="s">
        <v>404</v>
      </c>
      <c r="I3585" s="248" t="s">
        <v>404</v>
      </c>
      <c r="J3585" s="247" t="s">
        <v>809</v>
      </c>
      <c r="K3585" s="249">
        <v>0</v>
      </c>
      <c r="M3585" s="90">
        <v>0</v>
      </c>
      <c r="N3585" s="90">
        <v>0</v>
      </c>
      <c r="O3585" s="90">
        <v>255</v>
      </c>
    </row>
    <row r="3586" spans="1:15" s="90" customFormat="1" ht="12.75" customHeight="1" x14ac:dyDescent="0.2">
      <c r="A3586" s="247" t="s">
        <v>990</v>
      </c>
      <c r="B3586" s="316">
        <v>3046</v>
      </c>
      <c r="C3586" s="247" t="s">
        <v>975</v>
      </c>
      <c r="D3586" s="317">
        <v>42676</v>
      </c>
      <c r="E3586" s="318">
        <v>0.45506944444444447</v>
      </c>
      <c r="F3586" s="247" t="s">
        <v>976</v>
      </c>
      <c r="G3586" s="247" t="s">
        <v>1035</v>
      </c>
      <c r="H3586" s="248" t="s">
        <v>404</v>
      </c>
      <c r="I3586" s="248" t="s">
        <v>404</v>
      </c>
      <c r="J3586" s="247" t="s">
        <v>809</v>
      </c>
      <c r="K3586" s="249">
        <v>0</v>
      </c>
      <c r="M3586" s="90">
        <v>0</v>
      </c>
      <c r="N3586" s="90">
        <v>0</v>
      </c>
      <c r="O3586" s="90">
        <v>255</v>
      </c>
    </row>
    <row r="3587" spans="1:15" s="90" customFormat="1" ht="12.75" customHeight="1" x14ac:dyDescent="0.2">
      <c r="A3587" s="247" t="s">
        <v>1033</v>
      </c>
      <c r="B3587" s="316">
        <v>3217</v>
      </c>
      <c r="C3587" s="247" t="s">
        <v>975</v>
      </c>
      <c r="D3587" s="317">
        <v>42676</v>
      </c>
      <c r="E3587" s="318">
        <v>0.45506944444444447</v>
      </c>
      <c r="F3587" s="247" t="s">
        <v>235</v>
      </c>
      <c r="G3587" s="247" t="s">
        <v>1035</v>
      </c>
      <c r="H3587" s="248" t="s">
        <v>234</v>
      </c>
      <c r="I3587" s="248" t="s">
        <v>235</v>
      </c>
      <c r="J3587" s="247" t="s">
        <v>809</v>
      </c>
      <c r="K3587" s="249">
        <v>0</v>
      </c>
      <c r="M3587" s="90">
        <v>0</v>
      </c>
      <c r="N3587" s="90">
        <v>0</v>
      </c>
      <c r="O3587" s="90">
        <v>255</v>
      </c>
    </row>
    <row r="3588" spans="1:15" s="90" customFormat="1" ht="12.75" customHeight="1" x14ac:dyDescent="0.2">
      <c r="A3588" s="247" t="s">
        <v>1031</v>
      </c>
      <c r="B3588" s="316">
        <v>3046</v>
      </c>
      <c r="C3588" s="247" t="s">
        <v>975</v>
      </c>
      <c r="D3588" s="317">
        <v>42676</v>
      </c>
      <c r="E3588" s="318">
        <v>0.46239583333333334</v>
      </c>
      <c r="F3588" s="247" t="s">
        <v>976</v>
      </c>
      <c r="G3588" s="247" t="s">
        <v>1035</v>
      </c>
      <c r="H3588" s="248" t="s">
        <v>404</v>
      </c>
      <c r="I3588" s="248" t="s">
        <v>404</v>
      </c>
      <c r="J3588" s="247" t="s">
        <v>809</v>
      </c>
      <c r="K3588" s="249">
        <v>0</v>
      </c>
      <c r="M3588" s="90">
        <v>0</v>
      </c>
      <c r="N3588" s="90">
        <v>0</v>
      </c>
      <c r="O3588" s="90">
        <v>255</v>
      </c>
    </row>
    <row r="3589" spans="1:15" s="90" customFormat="1" ht="12.75" customHeight="1" x14ac:dyDescent="0.2">
      <c r="A3589" s="247" t="s">
        <v>1032</v>
      </c>
      <c r="B3589" s="316">
        <v>3046</v>
      </c>
      <c r="C3589" s="247" t="s">
        <v>975</v>
      </c>
      <c r="D3589" s="317">
        <v>42676</v>
      </c>
      <c r="E3589" s="318">
        <v>0.46468749999999998</v>
      </c>
      <c r="F3589" s="247" t="s">
        <v>976</v>
      </c>
      <c r="G3589" s="247" t="s">
        <v>1035</v>
      </c>
      <c r="H3589" s="248" t="s">
        <v>404</v>
      </c>
      <c r="I3589" s="248" t="s">
        <v>404</v>
      </c>
      <c r="J3589" s="247" t="s">
        <v>809</v>
      </c>
      <c r="K3589" s="249">
        <v>0</v>
      </c>
      <c r="M3589" s="90">
        <v>0</v>
      </c>
      <c r="N3589" s="90">
        <v>0</v>
      </c>
      <c r="O3589" s="90">
        <v>255</v>
      </c>
    </row>
    <row r="3590" spans="1:15" s="90" customFormat="1" ht="12.75" customHeight="1" x14ac:dyDescent="0.2">
      <c r="A3590" s="247" t="s">
        <v>989</v>
      </c>
      <c r="B3590" s="316">
        <v>3046</v>
      </c>
      <c r="C3590" s="247" t="s">
        <v>975</v>
      </c>
      <c r="D3590" s="317">
        <v>42676</v>
      </c>
      <c r="E3590" s="318">
        <v>0.46468749999999998</v>
      </c>
      <c r="F3590" s="247" t="s">
        <v>976</v>
      </c>
      <c r="G3590" s="247" t="s">
        <v>1035</v>
      </c>
      <c r="H3590" s="248" t="s">
        <v>404</v>
      </c>
      <c r="I3590" s="248" t="s">
        <v>404</v>
      </c>
      <c r="J3590" s="247" t="s">
        <v>809</v>
      </c>
      <c r="K3590" s="249">
        <v>0</v>
      </c>
      <c r="M3590" s="90">
        <v>0</v>
      </c>
      <c r="N3590" s="90">
        <v>0</v>
      </c>
      <c r="O3590" s="90">
        <v>255</v>
      </c>
    </row>
    <row r="3591" spans="1:15" s="90" customFormat="1" ht="12.75" customHeight="1" x14ac:dyDescent="0.2">
      <c r="A3591" s="247" t="s">
        <v>990</v>
      </c>
      <c r="B3591" s="316">
        <v>3046</v>
      </c>
      <c r="C3591" s="247" t="s">
        <v>975</v>
      </c>
      <c r="D3591" s="317">
        <v>42676</v>
      </c>
      <c r="E3591" s="318">
        <v>0.46500000000000002</v>
      </c>
      <c r="F3591" s="247" t="s">
        <v>976</v>
      </c>
      <c r="G3591" s="247" t="s">
        <v>1035</v>
      </c>
      <c r="H3591" s="248" t="s">
        <v>404</v>
      </c>
      <c r="I3591" s="248" t="s">
        <v>404</v>
      </c>
      <c r="J3591" s="247" t="s">
        <v>809</v>
      </c>
      <c r="K3591" s="249">
        <v>0</v>
      </c>
      <c r="M3591" s="90">
        <v>0</v>
      </c>
      <c r="N3591" s="90">
        <v>0</v>
      </c>
      <c r="O3591" s="90">
        <v>255</v>
      </c>
    </row>
    <row r="3592" spans="1:15" s="90" customFormat="1" ht="12.75" customHeight="1" x14ac:dyDescent="0.2">
      <c r="A3592" s="247" t="s">
        <v>1033</v>
      </c>
      <c r="B3592" s="316">
        <v>3217</v>
      </c>
      <c r="C3592" s="247" t="s">
        <v>975</v>
      </c>
      <c r="D3592" s="317">
        <v>42676</v>
      </c>
      <c r="E3592" s="318">
        <v>0.46500000000000002</v>
      </c>
      <c r="F3592" s="247" t="s">
        <v>235</v>
      </c>
      <c r="G3592" s="247" t="s">
        <v>1035</v>
      </c>
      <c r="H3592" s="248" t="s">
        <v>234</v>
      </c>
      <c r="I3592" s="248" t="s">
        <v>235</v>
      </c>
      <c r="J3592" s="247" t="s">
        <v>809</v>
      </c>
      <c r="K3592" s="249">
        <v>0</v>
      </c>
      <c r="M3592" s="90">
        <v>0</v>
      </c>
      <c r="N3592" s="90">
        <v>0</v>
      </c>
      <c r="O3592" s="90">
        <v>255</v>
      </c>
    </row>
    <row r="3593" spans="1:15" s="90" customFormat="1" ht="12.75" customHeight="1" x14ac:dyDescent="0.2">
      <c r="A3593" s="247" t="s">
        <v>1031</v>
      </c>
      <c r="B3593" s="316">
        <v>3046</v>
      </c>
      <c r="C3593" s="247" t="s">
        <v>975</v>
      </c>
      <c r="D3593" s="317">
        <v>42676</v>
      </c>
      <c r="E3593" s="318">
        <v>0.46574074074074073</v>
      </c>
      <c r="F3593" s="247" t="s">
        <v>976</v>
      </c>
      <c r="G3593" s="247" t="s">
        <v>1035</v>
      </c>
      <c r="H3593" s="248" t="s">
        <v>404</v>
      </c>
      <c r="I3593" s="248" t="s">
        <v>404</v>
      </c>
      <c r="J3593" s="247" t="s">
        <v>809</v>
      </c>
      <c r="K3593" s="249">
        <v>0</v>
      </c>
      <c r="M3593" s="90">
        <v>0</v>
      </c>
      <c r="N3593" s="90">
        <v>0</v>
      </c>
      <c r="O3593" s="90">
        <v>255</v>
      </c>
    </row>
    <row r="3594" spans="1:15" s="90" customFormat="1" ht="12.75" customHeight="1" x14ac:dyDescent="0.2">
      <c r="A3594" s="247" t="s">
        <v>1032</v>
      </c>
      <c r="B3594" s="316">
        <v>3046</v>
      </c>
      <c r="C3594" s="247" t="s">
        <v>975</v>
      </c>
      <c r="D3594" s="317">
        <v>42676</v>
      </c>
      <c r="E3594" s="318">
        <v>0.47090277777777773</v>
      </c>
      <c r="F3594" s="247" t="s">
        <v>976</v>
      </c>
      <c r="G3594" s="247" t="s">
        <v>1035</v>
      </c>
      <c r="H3594" s="248" t="s">
        <v>404</v>
      </c>
      <c r="I3594" s="248" t="s">
        <v>404</v>
      </c>
      <c r="J3594" s="247" t="s">
        <v>809</v>
      </c>
      <c r="K3594" s="249">
        <v>0</v>
      </c>
      <c r="M3594" s="90">
        <v>0</v>
      </c>
      <c r="N3594" s="90">
        <v>0</v>
      </c>
      <c r="O3594" s="90">
        <v>255</v>
      </c>
    </row>
    <row r="3595" spans="1:15" s="90" customFormat="1" ht="12.75" customHeight="1" x14ac:dyDescent="0.2">
      <c r="A3595" s="247" t="s">
        <v>989</v>
      </c>
      <c r="B3595" s="316">
        <v>3046</v>
      </c>
      <c r="C3595" s="247" t="s">
        <v>975</v>
      </c>
      <c r="D3595" s="317">
        <v>42676</v>
      </c>
      <c r="E3595" s="318">
        <v>0.47091435185185188</v>
      </c>
      <c r="F3595" s="247" t="s">
        <v>976</v>
      </c>
      <c r="G3595" s="247" t="s">
        <v>1035</v>
      </c>
      <c r="H3595" s="248" t="s">
        <v>404</v>
      </c>
      <c r="I3595" s="248" t="s">
        <v>404</v>
      </c>
      <c r="J3595" s="247" t="s">
        <v>809</v>
      </c>
      <c r="K3595" s="249">
        <v>0</v>
      </c>
      <c r="M3595" s="90">
        <v>0</v>
      </c>
      <c r="N3595" s="90">
        <v>0</v>
      </c>
      <c r="O3595" s="90">
        <v>255</v>
      </c>
    </row>
    <row r="3596" spans="1:15" s="90" customFormat="1" ht="12.75" customHeight="1" x14ac:dyDescent="0.2">
      <c r="A3596" s="247" t="s">
        <v>990</v>
      </c>
      <c r="B3596" s="316">
        <v>3046</v>
      </c>
      <c r="C3596" s="247" t="s">
        <v>975</v>
      </c>
      <c r="D3596" s="317">
        <v>42676</v>
      </c>
      <c r="E3596" s="318">
        <v>0.47121527777777777</v>
      </c>
      <c r="F3596" s="247" t="s">
        <v>976</v>
      </c>
      <c r="G3596" s="247" t="s">
        <v>1035</v>
      </c>
      <c r="H3596" s="248" t="s">
        <v>404</v>
      </c>
      <c r="I3596" s="248" t="s">
        <v>404</v>
      </c>
      <c r="J3596" s="247" t="s">
        <v>809</v>
      </c>
      <c r="K3596" s="249">
        <v>0</v>
      </c>
      <c r="M3596" s="90">
        <v>0</v>
      </c>
      <c r="N3596" s="90">
        <v>0</v>
      </c>
      <c r="O3596" s="90">
        <v>255</v>
      </c>
    </row>
    <row r="3597" spans="1:15" s="90" customFormat="1" ht="12.75" customHeight="1" x14ac:dyDescent="0.2">
      <c r="A3597" s="247" t="s">
        <v>1033</v>
      </c>
      <c r="B3597" s="316">
        <v>3217</v>
      </c>
      <c r="C3597" s="247" t="s">
        <v>975</v>
      </c>
      <c r="D3597" s="317">
        <v>42676</v>
      </c>
      <c r="E3597" s="318">
        <v>0.47121527777777777</v>
      </c>
      <c r="F3597" s="247" t="s">
        <v>235</v>
      </c>
      <c r="G3597" s="247" t="s">
        <v>1035</v>
      </c>
      <c r="H3597" s="248" t="s">
        <v>234</v>
      </c>
      <c r="I3597" s="248" t="s">
        <v>235</v>
      </c>
      <c r="J3597" s="247" t="s">
        <v>809</v>
      </c>
      <c r="K3597" s="249">
        <v>0</v>
      </c>
      <c r="M3597" s="90">
        <v>0</v>
      </c>
      <c r="N3597" s="90">
        <v>0</v>
      </c>
      <c r="O3597" s="90">
        <v>255</v>
      </c>
    </row>
    <row r="3598" spans="1:15" s="90" customFormat="1" ht="12.75" customHeight="1" x14ac:dyDescent="0.2">
      <c r="A3598" s="247" t="s">
        <v>301</v>
      </c>
      <c r="B3598" s="316">
        <v>3042</v>
      </c>
      <c r="C3598" s="247" t="s">
        <v>979</v>
      </c>
      <c r="D3598" s="317">
        <v>42676</v>
      </c>
      <c r="E3598" s="318">
        <v>0.47810185185185183</v>
      </c>
      <c r="F3598" s="247" t="s">
        <v>980</v>
      </c>
      <c r="G3598" s="247" t="s">
        <v>1035</v>
      </c>
      <c r="H3598" s="248" t="s">
        <v>234</v>
      </c>
      <c r="I3598" s="248" t="s">
        <v>263</v>
      </c>
      <c r="J3598" s="247" t="s">
        <v>809</v>
      </c>
      <c r="K3598" s="249">
        <v>0</v>
      </c>
      <c r="M3598" s="90">
        <v>0</v>
      </c>
      <c r="N3598" s="90">
        <v>0</v>
      </c>
      <c r="O3598" s="90">
        <v>255</v>
      </c>
    </row>
    <row r="3599" spans="1:15" s="90" customFormat="1" ht="12.75" customHeight="1" x14ac:dyDescent="0.2">
      <c r="A3599" s="247" t="s">
        <v>301</v>
      </c>
      <c r="B3599" s="316">
        <v>3042</v>
      </c>
      <c r="C3599" s="247" t="s">
        <v>979</v>
      </c>
      <c r="D3599" s="317">
        <v>42676</v>
      </c>
      <c r="E3599" s="318">
        <v>0.48289351851851853</v>
      </c>
      <c r="F3599" s="247" t="s">
        <v>980</v>
      </c>
      <c r="G3599" s="247" t="s">
        <v>1035</v>
      </c>
      <c r="H3599" s="248" t="s">
        <v>234</v>
      </c>
      <c r="I3599" s="248" t="s">
        <v>263</v>
      </c>
      <c r="J3599" s="247" t="s">
        <v>809</v>
      </c>
      <c r="K3599" s="249">
        <v>0</v>
      </c>
      <c r="M3599" s="90">
        <v>0</v>
      </c>
      <c r="N3599" s="90">
        <v>0</v>
      </c>
      <c r="O3599" s="90">
        <v>255</v>
      </c>
    </row>
    <row r="3600" spans="1:15" s="90" customFormat="1" ht="12.75" customHeight="1" x14ac:dyDescent="0.2">
      <c r="A3600" s="247" t="s">
        <v>1031</v>
      </c>
      <c r="B3600" s="316">
        <v>3046</v>
      </c>
      <c r="C3600" s="247" t="s">
        <v>975</v>
      </c>
      <c r="D3600" s="317">
        <v>42676</v>
      </c>
      <c r="E3600" s="318">
        <v>0.49033564814814817</v>
      </c>
      <c r="F3600" s="247" t="s">
        <v>976</v>
      </c>
      <c r="G3600" s="247" t="s">
        <v>1035</v>
      </c>
      <c r="H3600" s="248" t="s">
        <v>404</v>
      </c>
      <c r="I3600" s="248" t="s">
        <v>404</v>
      </c>
      <c r="J3600" s="247" t="s">
        <v>809</v>
      </c>
      <c r="K3600" s="249">
        <v>0</v>
      </c>
      <c r="M3600" s="90">
        <v>0</v>
      </c>
      <c r="N3600" s="90">
        <v>0</v>
      </c>
      <c r="O3600" s="90">
        <v>255</v>
      </c>
    </row>
    <row r="3601" spans="1:15" s="90" customFormat="1" ht="12.75" customHeight="1" x14ac:dyDescent="0.2">
      <c r="A3601" s="247" t="s">
        <v>1032</v>
      </c>
      <c r="B3601" s="316">
        <v>3046</v>
      </c>
      <c r="C3601" s="247" t="s">
        <v>975</v>
      </c>
      <c r="D3601" s="317">
        <v>42676</v>
      </c>
      <c r="E3601" s="318">
        <v>0.4926388888888889</v>
      </c>
      <c r="F3601" s="247" t="s">
        <v>976</v>
      </c>
      <c r="G3601" s="247" t="s">
        <v>1035</v>
      </c>
      <c r="H3601" s="248" t="s">
        <v>404</v>
      </c>
      <c r="I3601" s="248" t="s">
        <v>404</v>
      </c>
      <c r="J3601" s="247" t="s">
        <v>809</v>
      </c>
      <c r="K3601" s="249">
        <v>0</v>
      </c>
      <c r="M3601" s="90">
        <v>0</v>
      </c>
      <c r="N3601" s="90">
        <v>0</v>
      </c>
      <c r="O3601" s="90">
        <v>255</v>
      </c>
    </row>
    <row r="3602" spans="1:15" s="90" customFormat="1" ht="12.75" customHeight="1" x14ac:dyDescent="0.2">
      <c r="A3602" s="247" t="s">
        <v>989</v>
      </c>
      <c r="B3602" s="316">
        <v>3046</v>
      </c>
      <c r="C3602" s="247" t="s">
        <v>975</v>
      </c>
      <c r="D3602" s="317">
        <v>42676</v>
      </c>
      <c r="E3602" s="318">
        <v>0.4926388888888889</v>
      </c>
      <c r="F3602" s="247" t="s">
        <v>976</v>
      </c>
      <c r="G3602" s="247" t="s">
        <v>1035</v>
      </c>
      <c r="H3602" s="248" t="s">
        <v>404</v>
      </c>
      <c r="I3602" s="248" t="s">
        <v>404</v>
      </c>
      <c r="J3602" s="247" t="s">
        <v>809</v>
      </c>
      <c r="K3602" s="249">
        <v>0</v>
      </c>
      <c r="M3602" s="90">
        <v>0</v>
      </c>
      <c r="N3602" s="90">
        <v>0</v>
      </c>
      <c r="O3602" s="90">
        <v>255</v>
      </c>
    </row>
    <row r="3603" spans="1:15" s="90" customFormat="1" ht="12.75" customHeight="1" x14ac:dyDescent="0.2">
      <c r="A3603" s="247" t="s">
        <v>990</v>
      </c>
      <c r="B3603" s="316">
        <v>3046</v>
      </c>
      <c r="C3603" s="247" t="s">
        <v>975</v>
      </c>
      <c r="D3603" s="317">
        <v>42676</v>
      </c>
      <c r="E3603" s="318">
        <v>0.49292824074074071</v>
      </c>
      <c r="F3603" s="247" t="s">
        <v>976</v>
      </c>
      <c r="G3603" s="247" t="s">
        <v>1035</v>
      </c>
      <c r="H3603" s="248" t="s">
        <v>404</v>
      </c>
      <c r="I3603" s="248" t="s">
        <v>404</v>
      </c>
      <c r="J3603" s="247" t="s">
        <v>809</v>
      </c>
      <c r="K3603" s="249">
        <v>0</v>
      </c>
      <c r="M3603" s="90">
        <v>0</v>
      </c>
      <c r="N3603" s="90">
        <v>0</v>
      </c>
      <c r="O3603" s="90">
        <v>255</v>
      </c>
    </row>
    <row r="3604" spans="1:15" s="90" customFormat="1" ht="12.75" customHeight="1" x14ac:dyDescent="0.2">
      <c r="A3604" s="247" t="s">
        <v>1033</v>
      </c>
      <c r="B3604" s="316">
        <v>3217</v>
      </c>
      <c r="C3604" s="247" t="s">
        <v>975</v>
      </c>
      <c r="D3604" s="317">
        <v>42676</v>
      </c>
      <c r="E3604" s="318">
        <v>0.49292824074074071</v>
      </c>
      <c r="F3604" s="247" t="s">
        <v>235</v>
      </c>
      <c r="G3604" s="247" t="s">
        <v>1035</v>
      </c>
      <c r="H3604" s="248" t="s">
        <v>234</v>
      </c>
      <c r="I3604" s="248" t="s">
        <v>235</v>
      </c>
      <c r="J3604" s="247" t="s">
        <v>809</v>
      </c>
      <c r="K3604" s="249">
        <v>0</v>
      </c>
      <c r="M3604" s="90">
        <v>0</v>
      </c>
      <c r="N3604" s="90">
        <v>0</v>
      </c>
      <c r="O3604" s="90">
        <v>255</v>
      </c>
    </row>
    <row r="3605" spans="1:15" s="90" customFormat="1" ht="12.75" customHeight="1" x14ac:dyDescent="0.2">
      <c r="A3605" s="247" t="s">
        <v>1031</v>
      </c>
      <c r="B3605" s="316">
        <v>3046</v>
      </c>
      <c r="C3605" s="247" t="s">
        <v>975</v>
      </c>
      <c r="D3605" s="317">
        <v>42676</v>
      </c>
      <c r="E3605" s="318">
        <v>0.49810185185185185</v>
      </c>
      <c r="F3605" s="247" t="s">
        <v>976</v>
      </c>
      <c r="G3605" s="247" t="s">
        <v>1035</v>
      </c>
      <c r="H3605" s="248" t="s">
        <v>404</v>
      </c>
      <c r="I3605" s="248" t="s">
        <v>404</v>
      </c>
      <c r="J3605" s="247" t="s">
        <v>809</v>
      </c>
      <c r="K3605" s="249">
        <v>0</v>
      </c>
      <c r="M3605" s="90">
        <v>0</v>
      </c>
      <c r="N3605" s="90">
        <v>0</v>
      </c>
      <c r="O3605" s="90">
        <v>255</v>
      </c>
    </row>
    <row r="3606" spans="1:15" s="90" customFormat="1" ht="12.75" customHeight="1" x14ac:dyDescent="0.2">
      <c r="A3606" s="247" t="s">
        <v>1129</v>
      </c>
      <c r="B3606" s="316">
        <v>3001</v>
      </c>
      <c r="C3606" s="247" t="s">
        <v>996</v>
      </c>
      <c r="D3606" s="317">
        <v>42676</v>
      </c>
      <c r="E3606" s="318">
        <v>0.4992476851851852</v>
      </c>
      <c r="F3606" s="247" t="s">
        <v>702</v>
      </c>
      <c r="G3606" s="247" t="s">
        <v>1035</v>
      </c>
      <c r="H3606" s="248" t="s">
        <v>121</v>
      </c>
      <c r="I3606" s="248" t="s">
        <v>122</v>
      </c>
      <c r="J3606" s="247" t="s">
        <v>809</v>
      </c>
      <c r="K3606" s="249">
        <v>0</v>
      </c>
      <c r="M3606" s="90">
        <v>0</v>
      </c>
      <c r="N3606" s="90">
        <v>0</v>
      </c>
      <c r="O3606" s="90">
        <v>255</v>
      </c>
    </row>
    <row r="3607" spans="1:15" s="90" customFormat="1" ht="12.75" customHeight="1" x14ac:dyDescent="0.2">
      <c r="A3607" s="247" t="s">
        <v>1109</v>
      </c>
      <c r="B3607" s="316">
        <v>3075</v>
      </c>
      <c r="C3607" s="247" t="s">
        <v>975</v>
      </c>
      <c r="D3607" s="317">
        <v>42676</v>
      </c>
      <c r="E3607" s="318">
        <v>0.50015046296296295</v>
      </c>
      <c r="F3607" s="247" t="s">
        <v>981</v>
      </c>
      <c r="G3607" s="247" t="s">
        <v>1035</v>
      </c>
      <c r="H3607" s="248" t="s">
        <v>234</v>
      </c>
      <c r="I3607" s="248" t="s">
        <v>263</v>
      </c>
      <c r="J3607" s="247" t="s">
        <v>809</v>
      </c>
      <c r="K3607" s="249">
        <v>0</v>
      </c>
      <c r="M3607" s="90">
        <v>0</v>
      </c>
      <c r="N3607" s="90">
        <v>0</v>
      </c>
      <c r="O3607" s="90">
        <v>255</v>
      </c>
    </row>
    <row r="3608" spans="1:15" s="90" customFormat="1" ht="12.75" customHeight="1" x14ac:dyDescent="0.2">
      <c r="A3608" s="247" t="s">
        <v>1495</v>
      </c>
      <c r="B3608" s="316">
        <v>3037</v>
      </c>
      <c r="C3608" s="247" t="s">
        <v>996</v>
      </c>
      <c r="D3608" s="317">
        <v>42676</v>
      </c>
      <c r="E3608" s="318">
        <v>0.50104166666666672</v>
      </c>
      <c r="F3608" s="247" t="s">
        <v>980</v>
      </c>
      <c r="G3608" s="247" t="s">
        <v>1035</v>
      </c>
      <c r="H3608" s="248" t="s">
        <v>234</v>
      </c>
      <c r="I3608" s="248" t="s">
        <v>263</v>
      </c>
      <c r="J3608" s="247" t="s">
        <v>809</v>
      </c>
      <c r="K3608" s="249">
        <v>0</v>
      </c>
      <c r="M3608" s="90">
        <v>0</v>
      </c>
      <c r="N3608" s="90">
        <v>0</v>
      </c>
      <c r="O3608" s="90">
        <v>255</v>
      </c>
    </row>
    <row r="3609" spans="1:15" s="90" customFormat="1" ht="12.75" customHeight="1" x14ac:dyDescent="0.2">
      <c r="A3609" s="247" t="s">
        <v>1499</v>
      </c>
      <c r="B3609" s="316">
        <v>3037</v>
      </c>
      <c r="C3609" s="247" t="s">
        <v>996</v>
      </c>
      <c r="D3609" s="317">
        <v>42676</v>
      </c>
      <c r="E3609" s="318">
        <v>0.5010648148148148</v>
      </c>
      <c r="F3609" s="247" t="s">
        <v>980</v>
      </c>
      <c r="G3609" s="247" t="s">
        <v>1035</v>
      </c>
      <c r="H3609" s="248" t="s">
        <v>234</v>
      </c>
      <c r="I3609" s="248" t="s">
        <v>263</v>
      </c>
      <c r="J3609" s="247" t="s">
        <v>809</v>
      </c>
      <c r="K3609" s="249">
        <v>0</v>
      </c>
      <c r="M3609" s="90">
        <v>0</v>
      </c>
      <c r="N3609" s="90">
        <v>0</v>
      </c>
      <c r="O3609" s="90">
        <v>255</v>
      </c>
    </row>
    <row r="3610" spans="1:15" s="90" customFormat="1" ht="12.75" customHeight="1" x14ac:dyDescent="0.2">
      <c r="A3610" s="247" t="s">
        <v>1545</v>
      </c>
      <c r="B3610" s="316">
        <v>3037</v>
      </c>
      <c r="C3610" s="247" t="s">
        <v>996</v>
      </c>
      <c r="D3610" s="317">
        <v>42676</v>
      </c>
      <c r="E3610" s="318">
        <v>0.50153935185185183</v>
      </c>
      <c r="F3610" s="247" t="s">
        <v>980</v>
      </c>
      <c r="G3610" s="247" t="s">
        <v>1035</v>
      </c>
      <c r="H3610" s="248" t="s">
        <v>234</v>
      </c>
      <c r="I3610" s="248" t="s">
        <v>263</v>
      </c>
      <c r="J3610" s="247" t="s">
        <v>809</v>
      </c>
      <c r="K3610" s="249">
        <v>0</v>
      </c>
      <c r="M3610" s="90">
        <v>0</v>
      </c>
      <c r="N3610" s="90">
        <v>0</v>
      </c>
      <c r="O3610" s="90">
        <v>255</v>
      </c>
    </row>
    <row r="3611" spans="1:15" s="90" customFormat="1" ht="12.75" customHeight="1" x14ac:dyDescent="0.2">
      <c r="A3611" s="247" t="s">
        <v>1546</v>
      </c>
      <c r="B3611" s="316">
        <v>3037</v>
      </c>
      <c r="C3611" s="247" t="s">
        <v>996</v>
      </c>
      <c r="D3611" s="317">
        <v>42676</v>
      </c>
      <c r="E3611" s="318">
        <v>0.50182870370370369</v>
      </c>
      <c r="F3611" s="247" t="s">
        <v>980</v>
      </c>
      <c r="G3611" s="247" t="s">
        <v>1035</v>
      </c>
      <c r="H3611" s="248" t="s">
        <v>234</v>
      </c>
      <c r="I3611" s="248" t="s">
        <v>263</v>
      </c>
      <c r="J3611" s="247" t="s">
        <v>809</v>
      </c>
      <c r="K3611" s="249">
        <v>0</v>
      </c>
      <c r="M3611" s="90">
        <v>0</v>
      </c>
      <c r="N3611" s="90">
        <v>0</v>
      </c>
      <c r="O3611" s="90">
        <v>255</v>
      </c>
    </row>
    <row r="3612" spans="1:15" s="90" customFormat="1" ht="12.75" customHeight="1" x14ac:dyDescent="0.2">
      <c r="A3612" s="247" t="s">
        <v>1495</v>
      </c>
      <c r="B3612" s="316">
        <v>3037</v>
      </c>
      <c r="C3612" s="247" t="s">
        <v>996</v>
      </c>
      <c r="D3612" s="317">
        <v>42676</v>
      </c>
      <c r="E3612" s="318">
        <v>0.50182870370370369</v>
      </c>
      <c r="F3612" s="247" t="s">
        <v>980</v>
      </c>
      <c r="G3612" s="247" t="s">
        <v>1035</v>
      </c>
      <c r="H3612" s="248" t="s">
        <v>234</v>
      </c>
      <c r="I3612" s="248" t="s">
        <v>263</v>
      </c>
      <c r="J3612" s="247" t="s">
        <v>809</v>
      </c>
      <c r="K3612" s="249">
        <v>0</v>
      </c>
      <c r="M3612" s="90">
        <v>0</v>
      </c>
      <c r="N3612" s="90">
        <v>0</v>
      </c>
      <c r="O3612" s="90">
        <v>255</v>
      </c>
    </row>
    <row r="3613" spans="1:15" s="90" customFormat="1" ht="12.75" customHeight="1" x14ac:dyDescent="0.2">
      <c r="A3613" s="247" t="s">
        <v>1496</v>
      </c>
      <c r="B3613" s="316">
        <v>3037</v>
      </c>
      <c r="C3613" s="247" t="s">
        <v>996</v>
      </c>
      <c r="D3613" s="317">
        <v>42676</v>
      </c>
      <c r="E3613" s="318">
        <v>0.50182870370370369</v>
      </c>
      <c r="F3613" s="247" t="s">
        <v>980</v>
      </c>
      <c r="G3613" s="247" t="s">
        <v>1035</v>
      </c>
      <c r="H3613" s="248" t="s">
        <v>234</v>
      </c>
      <c r="I3613" s="248" t="s">
        <v>263</v>
      </c>
      <c r="J3613" s="247" t="s">
        <v>809</v>
      </c>
      <c r="K3613" s="249">
        <v>0</v>
      </c>
      <c r="M3613" s="90">
        <v>0</v>
      </c>
      <c r="N3613" s="90">
        <v>0</v>
      </c>
      <c r="O3613" s="90">
        <v>255</v>
      </c>
    </row>
    <row r="3614" spans="1:15" s="90" customFormat="1" ht="12.75" customHeight="1" x14ac:dyDescent="0.2">
      <c r="A3614" s="247" t="s">
        <v>1497</v>
      </c>
      <c r="B3614" s="316">
        <v>3037</v>
      </c>
      <c r="C3614" s="247" t="s">
        <v>996</v>
      </c>
      <c r="D3614" s="317">
        <v>42676</v>
      </c>
      <c r="E3614" s="318">
        <v>0.50184027777777784</v>
      </c>
      <c r="F3614" s="247" t="s">
        <v>980</v>
      </c>
      <c r="G3614" s="247" t="s">
        <v>1035</v>
      </c>
      <c r="H3614" s="248" t="s">
        <v>234</v>
      </c>
      <c r="I3614" s="248" t="s">
        <v>263</v>
      </c>
      <c r="J3614" s="247" t="s">
        <v>809</v>
      </c>
      <c r="K3614" s="249">
        <v>0</v>
      </c>
      <c r="M3614" s="90">
        <v>0</v>
      </c>
      <c r="N3614" s="90">
        <v>0</v>
      </c>
      <c r="O3614" s="90">
        <v>255</v>
      </c>
    </row>
    <row r="3615" spans="1:15" s="90" customFormat="1" ht="12.75" customHeight="1" x14ac:dyDescent="0.2">
      <c r="A3615" s="247" t="s">
        <v>1498</v>
      </c>
      <c r="B3615" s="316">
        <v>3037</v>
      </c>
      <c r="C3615" s="247" t="s">
        <v>996</v>
      </c>
      <c r="D3615" s="317">
        <v>42676</v>
      </c>
      <c r="E3615" s="318">
        <v>0.50184027777777784</v>
      </c>
      <c r="F3615" s="247" t="s">
        <v>980</v>
      </c>
      <c r="G3615" s="247" t="s">
        <v>1035</v>
      </c>
      <c r="H3615" s="248" t="s">
        <v>234</v>
      </c>
      <c r="I3615" s="248" t="s">
        <v>263</v>
      </c>
      <c r="J3615" s="247" t="s">
        <v>809</v>
      </c>
      <c r="K3615" s="249">
        <v>0</v>
      </c>
      <c r="M3615" s="90">
        <v>0</v>
      </c>
      <c r="N3615" s="90">
        <v>0</v>
      </c>
      <c r="O3615" s="90">
        <v>255</v>
      </c>
    </row>
    <row r="3616" spans="1:15" s="90" customFormat="1" ht="12.75" customHeight="1" x14ac:dyDescent="0.2">
      <c r="A3616" s="247" t="s">
        <v>1499</v>
      </c>
      <c r="B3616" s="316">
        <v>3037</v>
      </c>
      <c r="C3616" s="247" t="s">
        <v>996</v>
      </c>
      <c r="D3616" s="317">
        <v>42676</v>
      </c>
      <c r="E3616" s="318">
        <v>0.50184027777777784</v>
      </c>
      <c r="F3616" s="247" t="s">
        <v>980</v>
      </c>
      <c r="G3616" s="247" t="s">
        <v>1035</v>
      </c>
      <c r="H3616" s="248" t="s">
        <v>234</v>
      </c>
      <c r="I3616" s="248" t="s">
        <v>263</v>
      </c>
      <c r="J3616" s="247" t="s">
        <v>809</v>
      </c>
      <c r="K3616" s="249">
        <v>0</v>
      </c>
      <c r="M3616" s="90">
        <v>0</v>
      </c>
      <c r="N3616" s="90">
        <v>0</v>
      </c>
      <c r="O3616" s="90">
        <v>255</v>
      </c>
    </row>
    <row r="3617" spans="1:15" s="90" customFormat="1" ht="12.75" customHeight="1" x14ac:dyDescent="0.2">
      <c r="A3617" s="247" t="s">
        <v>1502</v>
      </c>
      <c r="B3617" s="316">
        <v>3037</v>
      </c>
      <c r="C3617" s="247" t="s">
        <v>996</v>
      </c>
      <c r="D3617" s="317">
        <v>42676</v>
      </c>
      <c r="E3617" s="318">
        <v>0.50184027777777784</v>
      </c>
      <c r="F3617" s="247" t="s">
        <v>980</v>
      </c>
      <c r="G3617" s="247" t="s">
        <v>1035</v>
      </c>
      <c r="H3617" s="248" t="s">
        <v>234</v>
      </c>
      <c r="I3617" s="248" t="s">
        <v>263</v>
      </c>
      <c r="J3617" s="247" t="s">
        <v>809</v>
      </c>
      <c r="K3617" s="249">
        <v>0</v>
      </c>
      <c r="M3617" s="90">
        <v>0</v>
      </c>
      <c r="N3617" s="90">
        <v>0</v>
      </c>
      <c r="O3617" s="90">
        <v>255</v>
      </c>
    </row>
    <row r="3618" spans="1:15" s="90" customFormat="1" ht="12.75" customHeight="1" x14ac:dyDescent="0.2">
      <c r="A3618" s="247" t="s">
        <v>1547</v>
      </c>
      <c r="B3618" s="316">
        <v>3037</v>
      </c>
      <c r="C3618" s="247" t="s">
        <v>996</v>
      </c>
      <c r="D3618" s="317">
        <v>42676</v>
      </c>
      <c r="E3618" s="318">
        <v>0.50184027777777784</v>
      </c>
      <c r="F3618" s="247" t="s">
        <v>980</v>
      </c>
      <c r="G3618" s="247" t="s">
        <v>1035</v>
      </c>
      <c r="H3618" s="248" t="s">
        <v>234</v>
      </c>
      <c r="I3618" s="248" t="s">
        <v>263</v>
      </c>
      <c r="J3618" s="247" t="s">
        <v>809</v>
      </c>
      <c r="K3618" s="249">
        <v>0</v>
      </c>
      <c r="M3618" s="90">
        <v>0</v>
      </c>
      <c r="N3618" s="90">
        <v>0</v>
      </c>
      <c r="O3618" s="90">
        <v>255</v>
      </c>
    </row>
    <row r="3619" spans="1:15" s="90" customFormat="1" ht="12.75" customHeight="1" x14ac:dyDescent="0.2">
      <c r="A3619" s="247" t="s">
        <v>1548</v>
      </c>
      <c r="B3619" s="316">
        <v>3037</v>
      </c>
      <c r="C3619" s="247" t="s">
        <v>996</v>
      </c>
      <c r="D3619" s="317">
        <v>42676</v>
      </c>
      <c r="E3619" s="318">
        <v>0.50185185185185188</v>
      </c>
      <c r="F3619" s="247" t="s">
        <v>980</v>
      </c>
      <c r="G3619" s="247" t="s">
        <v>1035</v>
      </c>
      <c r="H3619" s="248" t="s">
        <v>234</v>
      </c>
      <c r="I3619" s="248" t="s">
        <v>263</v>
      </c>
      <c r="J3619" s="247" t="s">
        <v>809</v>
      </c>
      <c r="K3619" s="249">
        <v>0</v>
      </c>
      <c r="M3619" s="90">
        <v>0</v>
      </c>
      <c r="N3619" s="90">
        <v>0</v>
      </c>
      <c r="O3619" s="90">
        <v>255</v>
      </c>
    </row>
    <row r="3620" spans="1:15" s="90" customFormat="1" ht="12.75" customHeight="1" x14ac:dyDescent="0.2">
      <c r="A3620" s="247" t="s">
        <v>1549</v>
      </c>
      <c r="B3620" s="316">
        <v>3037</v>
      </c>
      <c r="C3620" s="247" t="s">
        <v>996</v>
      </c>
      <c r="D3620" s="317">
        <v>42676</v>
      </c>
      <c r="E3620" s="318">
        <v>0.50185185185185188</v>
      </c>
      <c r="F3620" s="247" t="s">
        <v>980</v>
      </c>
      <c r="G3620" s="247" t="s">
        <v>1035</v>
      </c>
      <c r="H3620" s="248" t="s">
        <v>234</v>
      </c>
      <c r="I3620" s="248" t="s">
        <v>263</v>
      </c>
      <c r="J3620" s="247" t="s">
        <v>809</v>
      </c>
      <c r="K3620" s="249">
        <v>0</v>
      </c>
      <c r="M3620" s="90">
        <v>0</v>
      </c>
      <c r="N3620" s="90">
        <v>0</v>
      </c>
      <c r="O3620" s="90">
        <v>255</v>
      </c>
    </row>
    <row r="3621" spans="1:15" s="90" customFormat="1" ht="12.75" customHeight="1" x14ac:dyDescent="0.2">
      <c r="A3621" s="247" t="s">
        <v>1550</v>
      </c>
      <c r="B3621" s="316">
        <v>3037</v>
      </c>
      <c r="C3621" s="247" t="s">
        <v>996</v>
      </c>
      <c r="D3621" s="317">
        <v>42676</v>
      </c>
      <c r="E3621" s="318">
        <v>0.50186342592592592</v>
      </c>
      <c r="F3621" s="247" t="s">
        <v>980</v>
      </c>
      <c r="G3621" s="247" t="s">
        <v>1035</v>
      </c>
      <c r="H3621" s="248" t="s">
        <v>234</v>
      </c>
      <c r="I3621" s="248" t="s">
        <v>263</v>
      </c>
      <c r="J3621" s="247" t="s">
        <v>809</v>
      </c>
      <c r="K3621" s="249">
        <v>0</v>
      </c>
      <c r="M3621" s="90">
        <v>0</v>
      </c>
      <c r="N3621" s="90">
        <v>0</v>
      </c>
      <c r="O3621" s="90">
        <v>255</v>
      </c>
    </row>
    <row r="3622" spans="1:15" s="90" customFormat="1" ht="12.75" customHeight="1" x14ac:dyDescent="0.2">
      <c r="A3622" s="247" t="s">
        <v>1551</v>
      </c>
      <c r="B3622" s="316">
        <v>3037</v>
      </c>
      <c r="C3622" s="247" t="s">
        <v>996</v>
      </c>
      <c r="D3622" s="317">
        <v>42676</v>
      </c>
      <c r="E3622" s="318">
        <v>0.50186342592592592</v>
      </c>
      <c r="F3622" s="247" t="s">
        <v>980</v>
      </c>
      <c r="G3622" s="247" t="s">
        <v>1035</v>
      </c>
      <c r="H3622" s="248" t="s">
        <v>234</v>
      </c>
      <c r="I3622" s="248" t="s">
        <v>263</v>
      </c>
      <c r="J3622" s="247" t="s">
        <v>809</v>
      </c>
      <c r="K3622" s="249">
        <v>0</v>
      </c>
      <c r="M3622" s="90">
        <v>0</v>
      </c>
      <c r="N3622" s="90">
        <v>0</v>
      </c>
      <c r="O3622" s="90">
        <v>255</v>
      </c>
    </row>
    <row r="3623" spans="1:15" s="90" customFormat="1" ht="12.75" customHeight="1" x14ac:dyDescent="0.2">
      <c r="A3623" s="247" t="s">
        <v>1552</v>
      </c>
      <c r="B3623" s="316">
        <v>3037</v>
      </c>
      <c r="C3623" s="247" t="s">
        <v>996</v>
      </c>
      <c r="D3623" s="317">
        <v>42676</v>
      </c>
      <c r="E3623" s="318">
        <v>0.50186342592592592</v>
      </c>
      <c r="F3623" s="247" t="s">
        <v>980</v>
      </c>
      <c r="G3623" s="247" t="s">
        <v>1035</v>
      </c>
      <c r="H3623" s="248" t="s">
        <v>234</v>
      </c>
      <c r="I3623" s="248" t="s">
        <v>263</v>
      </c>
      <c r="J3623" s="247" t="s">
        <v>809</v>
      </c>
      <c r="K3623" s="249">
        <v>0</v>
      </c>
      <c r="M3623" s="90">
        <v>0</v>
      </c>
      <c r="N3623" s="90">
        <v>0</v>
      </c>
      <c r="O3623" s="90">
        <v>255</v>
      </c>
    </row>
    <row r="3624" spans="1:15" s="90" customFormat="1" ht="12.75" customHeight="1" x14ac:dyDescent="0.2">
      <c r="A3624" s="247" t="s">
        <v>1553</v>
      </c>
      <c r="B3624" s="316">
        <v>3037</v>
      </c>
      <c r="C3624" s="247" t="s">
        <v>996</v>
      </c>
      <c r="D3624" s="317">
        <v>42676</v>
      </c>
      <c r="E3624" s="318">
        <v>0.50186342592592592</v>
      </c>
      <c r="F3624" s="247" t="s">
        <v>980</v>
      </c>
      <c r="G3624" s="247" t="s">
        <v>1035</v>
      </c>
      <c r="H3624" s="248" t="s">
        <v>234</v>
      </c>
      <c r="I3624" s="248" t="s">
        <v>263</v>
      </c>
      <c r="J3624" s="247" t="s">
        <v>809</v>
      </c>
      <c r="K3624" s="249">
        <v>0</v>
      </c>
      <c r="M3624" s="90">
        <v>0</v>
      </c>
      <c r="N3624" s="90">
        <v>0</v>
      </c>
      <c r="O3624" s="90">
        <v>255</v>
      </c>
    </row>
    <row r="3625" spans="1:15" s="90" customFormat="1" ht="12.75" customHeight="1" x14ac:dyDescent="0.2">
      <c r="A3625" s="247" t="s">
        <v>1554</v>
      </c>
      <c r="B3625" s="316">
        <v>3037</v>
      </c>
      <c r="C3625" s="247" t="s">
        <v>996</v>
      </c>
      <c r="D3625" s="317">
        <v>42676</v>
      </c>
      <c r="E3625" s="318">
        <v>0.50186342592592592</v>
      </c>
      <c r="F3625" s="247" t="s">
        <v>980</v>
      </c>
      <c r="G3625" s="247" t="s">
        <v>1035</v>
      </c>
      <c r="H3625" s="248" t="s">
        <v>234</v>
      </c>
      <c r="I3625" s="248" t="s">
        <v>263</v>
      </c>
      <c r="J3625" s="247" t="s">
        <v>809</v>
      </c>
      <c r="K3625" s="249">
        <v>0</v>
      </c>
      <c r="M3625" s="90">
        <v>0</v>
      </c>
      <c r="N3625" s="90">
        <v>0</v>
      </c>
      <c r="O3625" s="90">
        <v>255</v>
      </c>
    </row>
    <row r="3626" spans="1:15" s="90" customFormat="1" ht="12.75" customHeight="1" x14ac:dyDescent="0.2">
      <c r="A3626" s="247" t="s">
        <v>1555</v>
      </c>
      <c r="B3626" s="316">
        <v>3037</v>
      </c>
      <c r="C3626" s="247" t="s">
        <v>996</v>
      </c>
      <c r="D3626" s="317">
        <v>42676</v>
      </c>
      <c r="E3626" s="318">
        <v>0.50186342592592592</v>
      </c>
      <c r="F3626" s="247" t="s">
        <v>980</v>
      </c>
      <c r="G3626" s="247" t="s">
        <v>1035</v>
      </c>
      <c r="H3626" s="248" t="s">
        <v>234</v>
      </c>
      <c r="I3626" s="248" t="s">
        <v>263</v>
      </c>
      <c r="J3626" s="247" t="s">
        <v>809</v>
      </c>
      <c r="K3626" s="249">
        <v>0</v>
      </c>
      <c r="M3626" s="90">
        <v>0</v>
      </c>
      <c r="N3626" s="90">
        <v>0</v>
      </c>
      <c r="O3626" s="90">
        <v>255</v>
      </c>
    </row>
    <row r="3627" spans="1:15" s="90" customFormat="1" ht="12.75" customHeight="1" x14ac:dyDescent="0.2">
      <c r="A3627" s="247" t="s">
        <v>1556</v>
      </c>
      <c r="B3627" s="316">
        <v>3037</v>
      </c>
      <c r="C3627" s="247" t="s">
        <v>996</v>
      </c>
      <c r="D3627" s="317">
        <v>42676</v>
      </c>
      <c r="E3627" s="318">
        <v>0.50187499999999996</v>
      </c>
      <c r="F3627" s="247" t="s">
        <v>980</v>
      </c>
      <c r="G3627" s="247" t="s">
        <v>1035</v>
      </c>
      <c r="H3627" s="248" t="s">
        <v>234</v>
      </c>
      <c r="I3627" s="248" t="s">
        <v>263</v>
      </c>
      <c r="J3627" s="247" t="s">
        <v>809</v>
      </c>
      <c r="K3627" s="249">
        <v>0</v>
      </c>
      <c r="M3627" s="90">
        <v>0</v>
      </c>
      <c r="N3627" s="90">
        <v>0</v>
      </c>
      <c r="O3627" s="90">
        <v>255</v>
      </c>
    </row>
    <row r="3628" spans="1:15" s="90" customFormat="1" ht="12.75" customHeight="1" x14ac:dyDescent="0.2">
      <c r="A3628" s="247" t="s">
        <v>1557</v>
      </c>
      <c r="B3628" s="316">
        <v>3037</v>
      </c>
      <c r="C3628" s="247" t="s">
        <v>996</v>
      </c>
      <c r="D3628" s="317">
        <v>42676</v>
      </c>
      <c r="E3628" s="318">
        <v>0.50187499999999996</v>
      </c>
      <c r="F3628" s="247" t="s">
        <v>980</v>
      </c>
      <c r="G3628" s="247" t="s">
        <v>1035</v>
      </c>
      <c r="H3628" s="248" t="s">
        <v>234</v>
      </c>
      <c r="I3628" s="248" t="s">
        <v>263</v>
      </c>
      <c r="J3628" s="247" t="s">
        <v>809</v>
      </c>
      <c r="K3628" s="249">
        <v>0</v>
      </c>
      <c r="M3628" s="90">
        <v>0</v>
      </c>
      <c r="N3628" s="90">
        <v>0</v>
      </c>
      <c r="O3628" s="90">
        <v>255</v>
      </c>
    </row>
    <row r="3629" spans="1:15" s="90" customFormat="1" ht="12.75" customHeight="1" x14ac:dyDescent="0.2">
      <c r="A3629" s="247" t="s">
        <v>1558</v>
      </c>
      <c r="B3629" s="316">
        <v>3037</v>
      </c>
      <c r="C3629" s="247" t="s">
        <v>996</v>
      </c>
      <c r="D3629" s="317">
        <v>42676</v>
      </c>
      <c r="E3629" s="318">
        <v>0.50187499999999996</v>
      </c>
      <c r="F3629" s="247" t="s">
        <v>980</v>
      </c>
      <c r="G3629" s="247" t="s">
        <v>1035</v>
      </c>
      <c r="H3629" s="248" t="s">
        <v>234</v>
      </c>
      <c r="I3629" s="248" t="s">
        <v>263</v>
      </c>
      <c r="J3629" s="247" t="s">
        <v>809</v>
      </c>
      <c r="K3629" s="249">
        <v>0</v>
      </c>
      <c r="M3629" s="90">
        <v>0</v>
      </c>
      <c r="N3629" s="90">
        <v>0</v>
      </c>
      <c r="O3629" s="90">
        <v>255</v>
      </c>
    </row>
    <row r="3630" spans="1:15" s="90" customFormat="1" ht="12.75" customHeight="1" x14ac:dyDescent="0.2">
      <c r="A3630" s="247" t="s">
        <v>1559</v>
      </c>
      <c r="B3630" s="316">
        <v>3037</v>
      </c>
      <c r="C3630" s="247" t="s">
        <v>996</v>
      </c>
      <c r="D3630" s="317">
        <v>42676</v>
      </c>
      <c r="E3630" s="318">
        <v>0.50187499999999996</v>
      </c>
      <c r="F3630" s="247" t="s">
        <v>980</v>
      </c>
      <c r="G3630" s="247" t="s">
        <v>1035</v>
      </c>
      <c r="H3630" s="248" t="s">
        <v>234</v>
      </c>
      <c r="I3630" s="248" t="s">
        <v>263</v>
      </c>
      <c r="J3630" s="247" t="s">
        <v>809</v>
      </c>
      <c r="K3630" s="249">
        <v>0</v>
      </c>
      <c r="M3630" s="90">
        <v>0</v>
      </c>
      <c r="N3630" s="90">
        <v>0</v>
      </c>
      <c r="O3630" s="90">
        <v>255</v>
      </c>
    </row>
    <row r="3631" spans="1:15" s="90" customFormat="1" ht="12.75" customHeight="1" x14ac:dyDescent="0.2">
      <c r="A3631" s="247" t="s">
        <v>1560</v>
      </c>
      <c r="B3631" s="316">
        <v>3037</v>
      </c>
      <c r="C3631" s="247" t="s">
        <v>996</v>
      </c>
      <c r="D3631" s="317">
        <v>42676</v>
      </c>
      <c r="E3631" s="318">
        <v>0.50187499999999996</v>
      </c>
      <c r="F3631" s="247" t="s">
        <v>980</v>
      </c>
      <c r="G3631" s="247" t="s">
        <v>1035</v>
      </c>
      <c r="H3631" s="248" t="s">
        <v>234</v>
      </c>
      <c r="I3631" s="248" t="s">
        <v>263</v>
      </c>
      <c r="J3631" s="247" t="s">
        <v>809</v>
      </c>
      <c r="K3631" s="249">
        <v>0</v>
      </c>
      <c r="M3631" s="90">
        <v>0</v>
      </c>
      <c r="N3631" s="90">
        <v>0</v>
      </c>
      <c r="O3631" s="90">
        <v>255</v>
      </c>
    </row>
    <row r="3632" spans="1:15" s="90" customFormat="1" ht="12.75" customHeight="1" x14ac:dyDescent="0.2">
      <c r="A3632" s="247" t="s">
        <v>1561</v>
      </c>
      <c r="B3632" s="316">
        <v>3037</v>
      </c>
      <c r="C3632" s="247" t="s">
        <v>996</v>
      </c>
      <c r="D3632" s="317">
        <v>42676</v>
      </c>
      <c r="E3632" s="318">
        <v>0.50187499999999996</v>
      </c>
      <c r="F3632" s="247" t="s">
        <v>980</v>
      </c>
      <c r="G3632" s="247" t="s">
        <v>1035</v>
      </c>
      <c r="H3632" s="248" t="s">
        <v>234</v>
      </c>
      <c r="I3632" s="248" t="s">
        <v>263</v>
      </c>
      <c r="J3632" s="247" t="s">
        <v>809</v>
      </c>
      <c r="K3632" s="249">
        <v>0</v>
      </c>
      <c r="M3632" s="90">
        <v>0</v>
      </c>
      <c r="N3632" s="90">
        <v>0</v>
      </c>
      <c r="O3632" s="90">
        <v>255</v>
      </c>
    </row>
    <row r="3633" spans="1:15" s="90" customFormat="1" ht="12.75" customHeight="1" x14ac:dyDescent="0.2">
      <c r="A3633" s="247" t="s">
        <v>1562</v>
      </c>
      <c r="B3633" s="316">
        <v>3037</v>
      </c>
      <c r="C3633" s="247" t="s">
        <v>996</v>
      </c>
      <c r="D3633" s="317">
        <v>42676</v>
      </c>
      <c r="E3633" s="318">
        <v>0.50187499999999996</v>
      </c>
      <c r="F3633" s="247" t="s">
        <v>980</v>
      </c>
      <c r="G3633" s="247" t="s">
        <v>1035</v>
      </c>
      <c r="H3633" s="248" t="s">
        <v>234</v>
      </c>
      <c r="I3633" s="248" t="s">
        <v>263</v>
      </c>
      <c r="J3633" s="247" t="s">
        <v>809</v>
      </c>
      <c r="K3633" s="249">
        <v>0</v>
      </c>
      <c r="M3633" s="90">
        <v>0</v>
      </c>
      <c r="N3633" s="90">
        <v>0</v>
      </c>
      <c r="O3633" s="90">
        <v>255</v>
      </c>
    </row>
    <row r="3634" spans="1:15" s="90" customFormat="1" ht="12.75" customHeight="1" x14ac:dyDescent="0.2">
      <c r="A3634" s="247" t="s">
        <v>1563</v>
      </c>
      <c r="B3634" s="316">
        <v>3037</v>
      </c>
      <c r="C3634" s="247" t="s">
        <v>996</v>
      </c>
      <c r="D3634" s="317">
        <v>42676</v>
      </c>
      <c r="E3634" s="318">
        <v>0.50188657407407411</v>
      </c>
      <c r="F3634" s="247" t="s">
        <v>980</v>
      </c>
      <c r="G3634" s="247" t="s">
        <v>1035</v>
      </c>
      <c r="H3634" s="248" t="s">
        <v>234</v>
      </c>
      <c r="I3634" s="248" t="s">
        <v>263</v>
      </c>
      <c r="J3634" s="247" t="s">
        <v>809</v>
      </c>
      <c r="K3634" s="249">
        <v>0</v>
      </c>
      <c r="M3634" s="90">
        <v>0</v>
      </c>
      <c r="N3634" s="90">
        <v>0</v>
      </c>
      <c r="O3634" s="90">
        <v>255</v>
      </c>
    </row>
    <row r="3635" spans="1:15" s="90" customFormat="1" ht="12.75" customHeight="1" x14ac:dyDescent="0.2">
      <c r="A3635" s="247" t="s">
        <v>1564</v>
      </c>
      <c r="B3635" s="316">
        <v>3037</v>
      </c>
      <c r="C3635" s="247" t="s">
        <v>996</v>
      </c>
      <c r="D3635" s="317">
        <v>42676</v>
      </c>
      <c r="E3635" s="318">
        <v>0.50188657407407411</v>
      </c>
      <c r="F3635" s="247" t="s">
        <v>980</v>
      </c>
      <c r="G3635" s="247" t="s">
        <v>1035</v>
      </c>
      <c r="H3635" s="248" t="s">
        <v>234</v>
      </c>
      <c r="I3635" s="248" t="s">
        <v>263</v>
      </c>
      <c r="J3635" s="247" t="s">
        <v>809</v>
      </c>
      <c r="K3635" s="249">
        <v>0</v>
      </c>
      <c r="M3635" s="90">
        <v>0</v>
      </c>
      <c r="N3635" s="90">
        <v>0</v>
      </c>
      <c r="O3635" s="90">
        <v>255</v>
      </c>
    </row>
    <row r="3636" spans="1:15" s="90" customFormat="1" ht="12.75" customHeight="1" x14ac:dyDescent="0.2">
      <c r="A3636" s="247" t="s">
        <v>1565</v>
      </c>
      <c r="B3636" s="316">
        <v>3037</v>
      </c>
      <c r="C3636" s="247" t="s">
        <v>996</v>
      </c>
      <c r="D3636" s="317">
        <v>42676</v>
      </c>
      <c r="E3636" s="318">
        <v>0.50189814814814815</v>
      </c>
      <c r="F3636" s="247" t="s">
        <v>980</v>
      </c>
      <c r="G3636" s="247" t="s">
        <v>1035</v>
      </c>
      <c r="H3636" s="248" t="s">
        <v>234</v>
      </c>
      <c r="I3636" s="248" t="s">
        <v>263</v>
      </c>
      <c r="J3636" s="247" t="s">
        <v>809</v>
      </c>
      <c r="K3636" s="249">
        <v>0</v>
      </c>
      <c r="M3636" s="90">
        <v>0</v>
      </c>
      <c r="N3636" s="90">
        <v>0</v>
      </c>
      <c r="O3636" s="90">
        <v>255</v>
      </c>
    </row>
    <row r="3637" spans="1:15" s="90" customFormat="1" ht="12.75" customHeight="1" x14ac:dyDescent="0.2">
      <c r="A3637" s="247" t="s">
        <v>1566</v>
      </c>
      <c r="B3637" s="316">
        <v>3037</v>
      </c>
      <c r="C3637" s="247" t="s">
        <v>996</v>
      </c>
      <c r="D3637" s="317">
        <v>42676</v>
      </c>
      <c r="E3637" s="318">
        <v>0.50189814814814815</v>
      </c>
      <c r="F3637" s="247" t="s">
        <v>980</v>
      </c>
      <c r="G3637" s="247" t="s">
        <v>1035</v>
      </c>
      <c r="H3637" s="248" t="s">
        <v>234</v>
      </c>
      <c r="I3637" s="248" t="s">
        <v>263</v>
      </c>
      <c r="J3637" s="247" t="s">
        <v>809</v>
      </c>
      <c r="K3637" s="249">
        <v>0</v>
      </c>
      <c r="M3637" s="90">
        <v>0</v>
      </c>
      <c r="N3637" s="90">
        <v>0</v>
      </c>
      <c r="O3637" s="90">
        <v>255</v>
      </c>
    </row>
    <row r="3638" spans="1:15" s="90" customFormat="1" ht="12.75" customHeight="1" x14ac:dyDescent="0.2">
      <c r="A3638" s="247" t="s">
        <v>1567</v>
      </c>
      <c r="B3638" s="316">
        <v>3037</v>
      </c>
      <c r="C3638" s="247" t="s">
        <v>996</v>
      </c>
      <c r="D3638" s="317">
        <v>42676</v>
      </c>
      <c r="E3638" s="318">
        <v>0.50189814814814815</v>
      </c>
      <c r="F3638" s="247" t="s">
        <v>980</v>
      </c>
      <c r="G3638" s="247" t="s">
        <v>1035</v>
      </c>
      <c r="H3638" s="248" t="s">
        <v>234</v>
      </c>
      <c r="I3638" s="248" t="s">
        <v>263</v>
      </c>
      <c r="J3638" s="247" t="s">
        <v>809</v>
      </c>
      <c r="K3638" s="249">
        <v>0</v>
      </c>
      <c r="M3638" s="90">
        <v>0</v>
      </c>
      <c r="N3638" s="90">
        <v>0</v>
      </c>
      <c r="O3638" s="90">
        <v>255</v>
      </c>
    </row>
    <row r="3639" spans="1:15" s="90" customFormat="1" ht="12.75" customHeight="1" x14ac:dyDescent="0.2">
      <c r="A3639" s="247" t="s">
        <v>1568</v>
      </c>
      <c r="B3639" s="316">
        <v>3037</v>
      </c>
      <c r="C3639" s="247" t="s">
        <v>996</v>
      </c>
      <c r="D3639" s="317">
        <v>42676</v>
      </c>
      <c r="E3639" s="318">
        <v>0.50189814814814815</v>
      </c>
      <c r="F3639" s="247" t="s">
        <v>980</v>
      </c>
      <c r="G3639" s="247" t="s">
        <v>1035</v>
      </c>
      <c r="H3639" s="248" t="s">
        <v>234</v>
      </c>
      <c r="I3639" s="248" t="s">
        <v>263</v>
      </c>
      <c r="J3639" s="247" t="s">
        <v>809</v>
      </c>
      <c r="K3639" s="249">
        <v>0</v>
      </c>
      <c r="M3639" s="90">
        <v>0</v>
      </c>
      <c r="N3639" s="90">
        <v>0</v>
      </c>
      <c r="O3639" s="90">
        <v>255</v>
      </c>
    </row>
    <row r="3640" spans="1:15" s="90" customFormat="1" ht="12.75" customHeight="1" x14ac:dyDescent="0.2">
      <c r="A3640" s="247" t="s">
        <v>1569</v>
      </c>
      <c r="B3640" s="316">
        <v>3037</v>
      </c>
      <c r="C3640" s="247" t="s">
        <v>996</v>
      </c>
      <c r="D3640" s="317">
        <v>42676</v>
      </c>
      <c r="E3640" s="318">
        <v>0.50189814814814815</v>
      </c>
      <c r="F3640" s="247" t="s">
        <v>980</v>
      </c>
      <c r="G3640" s="247" t="s">
        <v>1035</v>
      </c>
      <c r="H3640" s="248" t="s">
        <v>234</v>
      </c>
      <c r="I3640" s="248" t="s">
        <v>263</v>
      </c>
      <c r="J3640" s="247" t="s">
        <v>809</v>
      </c>
      <c r="K3640" s="249">
        <v>0</v>
      </c>
      <c r="M3640" s="90">
        <v>0</v>
      </c>
      <c r="N3640" s="90">
        <v>0</v>
      </c>
      <c r="O3640" s="90">
        <v>255</v>
      </c>
    </row>
    <row r="3641" spans="1:15" s="90" customFormat="1" ht="12.75" customHeight="1" x14ac:dyDescent="0.2">
      <c r="A3641" s="247" t="s">
        <v>1570</v>
      </c>
      <c r="B3641" s="316">
        <v>3037</v>
      </c>
      <c r="C3641" s="247" t="s">
        <v>996</v>
      </c>
      <c r="D3641" s="317">
        <v>42676</v>
      </c>
      <c r="E3641" s="318">
        <v>0.50189814814814815</v>
      </c>
      <c r="F3641" s="247" t="s">
        <v>980</v>
      </c>
      <c r="G3641" s="247" t="s">
        <v>1035</v>
      </c>
      <c r="H3641" s="248" t="s">
        <v>234</v>
      </c>
      <c r="I3641" s="248" t="s">
        <v>263</v>
      </c>
      <c r="J3641" s="247" t="s">
        <v>809</v>
      </c>
      <c r="K3641" s="249">
        <v>0</v>
      </c>
      <c r="M3641" s="90">
        <v>0</v>
      </c>
      <c r="N3641" s="90">
        <v>0</v>
      </c>
      <c r="O3641" s="90">
        <v>255</v>
      </c>
    </row>
    <row r="3642" spans="1:15" s="90" customFormat="1" ht="12.75" customHeight="1" x14ac:dyDescent="0.2">
      <c r="A3642" s="247" t="s">
        <v>1571</v>
      </c>
      <c r="B3642" s="316">
        <v>3037</v>
      </c>
      <c r="C3642" s="247" t="s">
        <v>996</v>
      </c>
      <c r="D3642" s="317">
        <v>42676</v>
      </c>
      <c r="E3642" s="318">
        <v>0.50190972222222219</v>
      </c>
      <c r="F3642" s="247" t="s">
        <v>980</v>
      </c>
      <c r="G3642" s="247" t="s">
        <v>1035</v>
      </c>
      <c r="H3642" s="248" t="s">
        <v>234</v>
      </c>
      <c r="I3642" s="248" t="s">
        <v>263</v>
      </c>
      <c r="J3642" s="247" t="s">
        <v>809</v>
      </c>
      <c r="K3642" s="249">
        <v>0</v>
      </c>
      <c r="M3642" s="90">
        <v>0</v>
      </c>
      <c r="N3642" s="90">
        <v>0</v>
      </c>
      <c r="O3642" s="90">
        <v>255</v>
      </c>
    </row>
    <row r="3643" spans="1:15" s="90" customFormat="1" ht="12.75" customHeight="1" x14ac:dyDescent="0.2">
      <c r="A3643" s="247" t="s">
        <v>1572</v>
      </c>
      <c r="B3643" s="316">
        <v>3037</v>
      </c>
      <c r="C3643" s="247" t="s">
        <v>996</v>
      </c>
      <c r="D3643" s="317">
        <v>42676</v>
      </c>
      <c r="E3643" s="318">
        <v>0.50190972222222219</v>
      </c>
      <c r="F3643" s="247" t="s">
        <v>980</v>
      </c>
      <c r="G3643" s="247" t="s">
        <v>1035</v>
      </c>
      <c r="H3643" s="248" t="s">
        <v>234</v>
      </c>
      <c r="I3643" s="248" t="s">
        <v>263</v>
      </c>
      <c r="J3643" s="247" t="s">
        <v>809</v>
      </c>
      <c r="K3643" s="249">
        <v>0</v>
      </c>
      <c r="M3643" s="90">
        <v>0</v>
      </c>
      <c r="N3643" s="90">
        <v>0</v>
      </c>
      <c r="O3643" s="90">
        <v>255</v>
      </c>
    </row>
    <row r="3644" spans="1:15" s="90" customFormat="1" ht="12.75" customHeight="1" x14ac:dyDescent="0.2">
      <c r="A3644" s="247" t="s">
        <v>1573</v>
      </c>
      <c r="B3644" s="316">
        <v>3037</v>
      </c>
      <c r="C3644" s="247" t="s">
        <v>996</v>
      </c>
      <c r="D3644" s="317">
        <v>42676</v>
      </c>
      <c r="E3644" s="318">
        <v>0.50190972222222219</v>
      </c>
      <c r="F3644" s="247" t="s">
        <v>980</v>
      </c>
      <c r="G3644" s="247" t="s">
        <v>1035</v>
      </c>
      <c r="H3644" s="248" t="s">
        <v>234</v>
      </c>
      <c r="I3644" s="248" t="s">
        <v>263</v>
      </c>
      <c r="J3644" s="247" t="s">
        <v>809</v>
      </c>
      <c r="K3644" s="249">
        <v>0</v>
      </c>
      <c r="M3644" s="90">
        <v>0</v>
      </c>
      <c r="N3644" s="90">
        <v>0</v>
      </c>
      <c r="O3644" s="90">
        <v>255</v>
      </c>
    </row>
    <row r="3645" spans="1:15" s="90" customFormat="1" ht="12.75" customHeight="1" x14ac:dyDescent="0.2">
      <c r="A3645" s="247" t="s">
        <v>1574</v>
      </c>
      <c r="B3645" s="316">
        <v>3037</v>
      </c>
      <c r="C3645" s="247" t="s">
        <v>996</v>
      </c>
      <c r="D3645" s="317">
        <v>42676</v>
      </c>
      <c r="E3645" s="318">
        <v>0.50190972222222219</v>
      </c>
      <c r="F3645" s="247" t="s">
        <v>980</v>
      </c>
      <c r="G3645" s="247" t="s">
        <v>1035</v>
      </c>
      <c r="H3645" s="248" t="s">
        <v>234</v>
      </c>
      <c r="I3645" s="248" t="s">
        <v>263</v>
      </c>
      <c r="J3645" s="247" t="s">
        <v>809</v>
      </c>
      <c r="K3645" s="249">
        <v>0</v>
      </c>
      <c r="M3645" s="90">
        <v>0</v>
      </c>
      <c r="N3645" s="90">
        <v>0</v>
      </c>
      <c r="O3645" s="90">
        <v>255</v>
      </c>
    </row>
    <row r="3646" spans="1:15" s="90" customFormat="1" ht="12.75" customHeight="1" x14ac:dyDescent="0.2">
      <c r="A3646" s="247" t="s">
        <v>1575</v>
      </c>
      <c r="B3646" s="316">
        <v>3037</v>
      </c>
      <c r="C3646" s="247" t="s">
        <v>996</v>
      </c>
      <c r="D3646" s="317">
        <v>42676</v>
      </c>
      <c r="E3646" s="318">
        <v>0.50190972222222219</v>
      </c>
      <c r="F3646" s="247" t="s">
        <v>980</v>
      </c>
      <c r="G3646" s="247" t="s">
        <v>1035</v>
      </c>
      <c r="H3646" s="248" t="s">
        <v>234</v>
      </c>
      <c r="I3646" s="248" t="s">
        <v>263</v>
      </c>
      <c r="J3646" s="247" t="s">
        <v>809</v>
      </c>
      <c r="K3646" s="249">
        <v>0</v>
      </c>
      <c r="M3646" s="90">
        <v>0</v>
      </c>
      <c r="N3646" s="90">
        <v>0</v>
      </c>
      <c r="O3646" s="90">
        <v>255</v>
      </c>
    </row>
    <row r="3647" spans="1:15" s="90" customFormat="1" ht="12.75" customHeight="1" x14ac:dyDescent="0.2">
      <c r="A3647" s="247" t="s">
        <v>1576</v>
      </c>
      <c r="B3647" s="316">
        <v>3037</v>
      </c>
      <c r="C3647" s="247" t="s">
        <v>996</v>
      </c>
      <c r="D3647" s="317">
        <v>42676</v>
      </c>
      <c r="E3647" s="318">
        <v>0.50192129629629634</v>
      </c>
      <c r="F3647" s="247" t="s">
        <v>980</v>
      </c>
      <c r="G3647" s="247" t="s">
        <v>1035</v>
      </c>
      <c r="H3647" s="248" t="s">
        <v>234</v>
      </c>
      <c r="I3647" s="248" t="s">
        <v>263</v>
      </c>
      <c r="J3647" s="247" t="s">
        <v>809</v>
      </c>
      <c r="K3647" s="249">
        <v>0</v>
      </c>
      <c r="M3647" s="90">
        <v>0</v>
      </c>
      <c r="N3647" s="90">
        <v>0</v>
      </c>
      <c r="O3647" s="90">
        <v>255</v>
      </c>
    </row>
    <row r="3648" spans="1:15" s="90" customFormat="1" ht="12.75" customHeight="1" x14ac:dyDescent="0.2">
      <c r="A3648" s="247" t="s">
        <v>1577</v>
      </c>
      <c r="B3648" s="316">
        <v>3037</v>
      </c>
      <c r="C3648" s="247" t="s">
        <v>996</v>
      </c>
      <c r="D3648" s="317">
        <v>42676</v>
      </c>
      <c r="E3648" s="318">
        <v>0.50192129629629634</v>
      </c>
      <c r="F3648" s="247" t="s">
        <v>980</v>
      </c>
      <c r="G3648" s="247" t="s">
        <v>1035</v>
      </c>
      <c r="H3648" s="248" t="s">
        <v>234</v>
      </c>
      <c r="I3648" s="248" t="s">
        <v>263</v>
      </c>
      <c r="J3648" s="247" t="s">
        <v>809</v>
      </c>
      <c r="K3648" s="249">
        <v>0</v>
      </c>
      <c r="M3648" s="90">
        <v>0</v>
      </c>
      <c r="N3648" s="90">
        <v>0</v>
      </c>
      <c r="O3648" s="90">
        <v>255</v>
      </c>
    </row>
    <row r="3649" spans="1:15" s="90" customFormat="1" ht="12.75" customHeight="1" x14ac:dyDescent="0.2">
      <c r="A3649" s="247" t="s">
        <v>1578</v>
      </c>
      <c r="B3649" s="316">
        <v>3037</v>
      </c>
      <c r="C3649" s="247" t="s">
        <v>996</v>
      </c>
      <c r="D3649" s="317">
        <v>42676</v>
      </c>
      <c r="E3649" s="318">
        <v>0.50192129629629634</v>
      </c>
      <c r="F3649" s="247" t="s">
        <v>980</v>
      </c>
      <c r="G3649" s="247" t="s">
        <v>1035</v>
      </c>
      <c r="H3649" s="248" t="s">
        <v>234</v>
      </c>
      <c r="I3649" s="248" t="s">
        <v>263</v>
      </c>
      <c r="J3649" s="247" t="s">
        <v>809</v>
      </c>
      <c r="K3649" s="249">
        <v>0</v>
      </c>
      <c r="M3649" s="90">
        <v>0</v>
      </c>
      <c r="N3649" s="90">
        <v>0</v>
      </c>
      <c r="O3649" s="90">
        <v>255</v>
      </c>
    </row>
    <row r="3650" spans="1:15" s="90" customFormat="1" ht="12.75" customHeight="1" x14ac:dyDescent="0.2">
      <c r="A3650" s="247" t="s">
        <v>1579</v>
      </c>
      <c r="B3650" s="316">
        <v>3037</v>
      </c>
      <c r="C3650" s="247" t="s">
        <v>996</v>
      </c>
      <c r="D3650" s="317">
        <v>42676</v>
      </c>
      <c r="E3650" s="318">
        <v>0.50192129629629634</v>
      </c>
      <c r="F3650" s="247" t="s">
        <v>980</v>
      </c>
      <c r="G3650" s="247" t="s">
        <v>1035</v>
      </c>
      <c r="H3650" s="248" t="s">
        <v>234</v>
      </c>
      <c r="I3650" s="248" t="s">
        <v>263</v>
      </c>
      <c r="J3650" s="247" t="s">
        <v>809</v>
      </c>
      <c r="K3650" s="249">
        <v>0</v>
      </c>
      <c r="M3650" s="90">
        <v>0</v>
      </c>
      <c r="N3650" s="90">
        <v>0</v>
      </c>
      <c r="O3650" s="90">
        <v>255</v>
      </c>
    </row>
    <row r="3651" spans="1:15" s="90" customFormat="1" ht="12.75" customHeight="1" x14ac:dyDescent="0.2">
      <c r="A3651" s="247" t="s">
        <v>1580</v>
      </c>
      <c r="B3651" s="316">
        <v>3037</v>
      </c>
      <c r="C3651" s="247" t="s">
        <v>996</v>
      </c>
      <c r="D3651" s="317">
        <v>42676</v>
      </c>
      <c r="E3651" s="318">
        <v>0.50193287037037038</v>
      </c>
      <c r="F3651" s="247" t="s">
        <v>980</v>
      </c>
      <c r="G3651" s="247" t="s">
        <v>1035</v>
      </c>
      <c r="H3651" s="248" t="s">
        <v>234</v>
      </c>
      <c r="I3651" s="248" t="s">
        <v>263</v>
      </c>
      <c r="J3651" s="247" t="s">
        <v>809</v>
      </c>
      <c r="K3651" s="249">
        <v>0</v>
      </c>
      <c r="M3651" s="90">
        <v>0</v>
      </c>
      <c r="N3651" s="90">
        <v>0</v>
      </c>
      <c r="O3651" s="90">
        <v>255</v>
      </c>
    </row>
    <row r="3652" spans="1:15" s="90" customFormat="1" ht="12.75" customHeight="1" x14ac:dyDescent="0.2">
      <c r="A3652" s="247" t="s">
        <v>1581</v>
      </c>
      <c r="B3652" s="316">
        <v>3037</v>
      </c>
      <c r="C3652" s="247" t="s">
        <v>996</v>
      </c>
      <c r="D3652" s="317">
        <v>42676</v>
      </c>
      <c r="E3652" s="318">
        <v>0.50193287037037038</v>
      </c>
      <c r="F3652" s="247" t="s">
        <v>980</v>
      </c>
      <c r="G3652" s="247" t="s">
        <v>1035</v>
      </c>
      <c r="H3652" s="248" t="s">
        <v>234</v>
      </c>
      <c r="I3652" s="248" t="s">
        <v>263</v>
      </c>
      <c r="J3652" s="247" t="s">
        <v>809</v>
      </c>
      <c r="K3652" s="249">
        <v>0</v>
      </c>
      <c r="M3652" s="90">
        <v>0</v>
      </c>
      <c r="N3652" s="90">
        <v>0</v>
      </c>
      <c r="O3652" s="90">
        <v>255</v>
      </c>
    </row>
    <row r="3653" spans="1:15" s="90" customFormat="1" ht="12.75" customHeight="1" x14ac:dyDescent="0.2">
      <c r="A3653" s="247" t="s">
        <v>1582</v>
      </c>
      <c r="B3653" s="316">
        <v>3037</v>
      </c>
      <c r="C3653" s="247" t="s">
        <v>996</v>
      </c>
      <c r="D3653" s="317">
        <v>42676</v>
      </c>
      <c r="E3653" s="318">
        <v>0.50193287037037038</v>
      </c>
      <c r="F3653" s="247" t="s">
        <v>980</v>
      </c>
      <c r="G3653" s="247" t="s">
        <v>1035</v>
      </c>
      <c r="H3653" s="248" t="s">
        <v>234</v>
      </c>
      <c r="I3653" s="248" t="s">
        <v>263</v>
      </c>
      <c r="J3653" s="247" t="s">
        <v>809</v>
      </c>
      <c r="K3653" s="249">
        <v>0</v>
      </c>
      <c r="M3653" s="90">
        <v>0</v>
      </c>
      <c r="N3653" s="90">
        <v>0</v>
      </c>
      <c r="O3653" s="90">
        <v>255</v>
      </c>
    </row>
    <row r="3654" spans="1:15" s="90" customFormat="1" ht="12.75" customHeight="1" x14ac:dyDescent="0.2">
      <c r="A3654" s="247" t="s">
        <v>1583</v>
      </c>
      <c r="B3654" s="316">
        <v>3037</v>
      </c>
      <c r="C3654" s="247" t="s">
        <v>996</v>
      </c>
      <c r="D3654" s="317">
        <v>42676</v>
      </c>
      <c r="E3654" s="318">
        <v>0.50193287037037038</v>
      </c>
      <c r="F3654" s="247" t="s">
        <v>980</v>
      </c>
      <c r="G3654" s="247" t="s">
        <v>1035</v>
      </c>
      <c r="H3654" s="248" t="s">
        <v>234</v>
      </c>
      <c r="I3654" s="248" t="s">
        <v>263</v>
      </c>
      <c r="J3654" s="247" t="s">
        <v>809</v>
      </c>
      <c r="K3654" s="249">
        <v>0</v>
      </c>
      <c r="M3654" s="90">
        <v>0</v>
      </c>
      <c r="N3654" s="90">
        <v>0</v>
      </c>
      <c r="O3654" s="90">
        <v>255</v>
      </c>
    </row>
    <row r="3655" spans="1:15" s="90" customFormat="1" ht="12.75" customHeight="1" x14ac:dyDescent="0.2">
      <c r="A3655" s="247" t="s">
        <v>1584</v>
      </c>
      <c r="B3655" s="316">
        <v>3037</v>
      </c>
      <c r="C3655" s="247" t="s">
        <v>996</v>
      </c>
      <c r="D3655" s="317">
        <v>42676</v>
      </c>
      <c r="E3655" s="318">
        <v>0.50194444444444442</v>
      </c>
      <c r="F3655" s="247" t="s">
        <v>980</v>
      </c>
      <c r="G3655" s="247" t="s">
        <v>1035</v>
      </c>
      <c r="H3655" s="248" t="s">
        <v>234</v>
      </c>
      <c r="I3655" s="248" t="s">
        <v>263</v>
      </c>
      <c r="J3655" s="247" t="s">
        <v>809</v>
      </c>
      <c r="K3655" s="249">
        <v>0</v>
      </c>
      <c r="M3655" s="90">
        <v>0</v>
      </c>
      <c r="N3655" s="90">
        <v>0</v>
      </c>
      <c r="O3655" s="90">
        <v>255</v>
      </c>
    </row>
    <row r="3656" spans="1:15" s="90" customFormat="1" ht="12.75" customHeight="1" x14ac:dyDescent="0.2">
      <c r="A3656" s="247" t="s">
        <v>1585</v>
      </c>
      <c r="B3656" s="316">
        <v>3037</v>
      </c>
      <c r="C3656" s="247" t="s">
        <v>996</v>
      </c>
      <c r="D3656" s="317">
        <v>42676</v>
      </c>
      <c r="E3656" s="318">
        <v>0.50194444444444442</v>
      </c>
      <c r="F3656" s="247" t="s">
        <v>980</v>
      </c>
      <c r="G3656" s="247" t="s">
        <v>1035</v>
      </c>
      <c r="H3656" s="248" t="s">
        <v>234</v>
      </c>
      <c r="I3656" s="248" t="s">
        <v>263</v>
      </c>
      <c r="J3656" s="247" t="s">
        <v>809</v>
      </c>
      <c r="K3656" s="249">
        <v>0</v>
      </c>
      <c r="M3656" s="90">
        <v>0</v>
      </c>
      <c r="N3656" s="90">
        <v>0</v>
      </c>
      <c r="O3656" s="90">
        <v>255</v>
      </c>
    </row>
    <row r="3657" spans="1:15" s="90" customFormat="1" ht="12.75" customHeight="1" x14ac:dyDescent="0.2">
      <c r="A3657" s="247" t="s">
        <v>1586</v>
      </c>
      <c r="B3657" s="316">
        <v>3037</v>
      </c>
      <c r="C3657" s="247" t="s">
        <v>996</v>
      </c>
      <c r="D3657" s="317">
        <v>42676</v>
      </c>
      <c r="E3657" s="318">
        <v>0.50194444444444442</v>
      </c>
      <c r="F3657" s="247" t="s">
        <v>980</v>
      </c>
      <c r="G3657" s="247" t="s">
        <v>1035</v>
      </c>
      <c r="H3657" s="248" t="s">
        <v>234</v>
      </c>
      <c r="I3657" s="248" t="s">
        <v>263</v>
      </c>
      <c r="J3657" s="247" t="s">
        <v>809</v>
      </c>
      <c r="K3657" s="249">
        <v>0</v>
      </c>
      <c r="M3657" s="90">
        <v>0</v>
      </c>
      <c r="N3657" s="90">
        <v>0</v>
      </c>
      <c r="O3657" s="90">
        <v>255</v>
      </c>
    </row>
    <row r="3658" spans="1:15" s="90" customFormat="1" ht="12.75" customHeight="1" x14ac:dyDescent="0.2">
      <c r="A3658" s="247" t="s">
        <v>1587</v>
      </c>
      <c r="B3658" s="316">
        <v>3037</v>
      </c>
      <c r="C3658" s="247" t="s">
        <v>996</v>
      </c>
      <c r="D3658" s="317">
        <v>42676</v>
      </c>
      <c r="E3658" s="318">
        <v>0.50194444444444442</v>
      </c>
      <c r="F3658" s="247" t="s">
        <v>980</v>
      </c>
      <c r="G3658" s="247" t="s">
        <v>1035</v>
      </c>
      <c r="H3658" s="248" t="s">
        <v>234</v>
      </c>
      <c r="I3658" s="248" t="s">
        <v>263</v>
      </c>
      <c r="J3658" s="247" t="s">
        <v>809</v>
      </c>
      <c r="K3658" s="249">
        <v>0</v>
      </c>
      <c r="M3658" s="90">
        <v>0</v>
      </c>
      <c r="N3658" s="90">
        <v>0</v>
      </c>
      <c r="O3658" s="90">
        <v>255</v>
      </c>
    </row>
    <row r="3659" spans="1:15" s="90" customFormat="1" ht="12.75" customHeight="1" x14ac:dyDescent="0.2">
      <c r="A3659" s="247" t="s">
        <v>1588</v>
      </c>
      <c r="B3659" s="316">
        <v>3037</v>
      </c>
      <c r="C3659" s="247" t="s">
        <v>996</v>
      </c>
      <c r="D3659" s="317">
        <v>42676</v>
      </c>
      <c r="E3659" s="318">
        <v>0.50195601851851845</v>
      </c>
      <c r="F3659" s="247" t="s">
        <v>980</v>
      </c>
      <c r="G3659" s="247" t="s">
        <v>1035</v>
      </c>
      <c r="H3659" s="248" t="s">
        <v>234</v>
      </c>
      <c r="I3659" s="248" t="s">
        <v>263</v>
      </c>
      <c r="J3659" s="247" t="s">
        <v>809</v>
      </c>
      <c r="K3659" s="249">
        <v>0</v>
      </c>
      <c r="M3659" s="90">
        <v>0</v>
      </c>
      <c r="N3659" s="90">
        <v>0</v>
      </c>
      <c r="O3659" s="90">
        <v>255</v>
      </c>
    </row>
    <row r="3660" spans="1:15" s="90" customFormat="1" ht="12.75" customHeight="1" x14ac:dyDescent="0.2">
      <c r="A3660" s="247" t="s">
        <v>1589</v>
      </c>
      <c r="B3660" s="316">
        <v>3037</v>
      </c>
      <c r="C3660" s="247" t="s">
        <v>996</v>
      </c>
      <c r="D3660" s="317">
        <v>42676</v>
      </c>
      <c r="E3660" s="318">
        <v>0.50195601851851845</v>
      </c>
      <c r="F3660" s="247" t="s">
        <v>980</v>
      </c>
      <c r="G3660" s="247" t="s">
        <v>1035</v>
      </c>
      <c r="H3660" s="248" t="s">
        <v>234</v>
      </c>
      <c r="I3660" s="248" t="s">
        <v>263</v>
      </c>
      <c r="J3660" s="247" t="s">
        <v>809</v>
      </c>
      <c r="K3660" s="249">
        <v>0</v>
      </c>
      <c r="M3660" s="90">
        <v>0</v>
      </c>
      <c r="N3660" s="90">
        <v>0</v>
      </c>
      <c r="O3660" s="90">
        <v>255</v>
      </c>
    </row>
    <row r="3661" spans="1:15" s="90" customFormat="1" ht="12.75" customHeight="1" x14ac:dyDescent="0.2">
      <c r="A3661" s="247" t="s">
        <v>1590</v>
      </c>
      <c r="B3661" s="316">
        <v>3037</v>
      </c>
      <c r="C3661" s="247" t="s">
        <v>996</v>
      </c>
      <c r="D3661" s="317">
        <v>42676</v>
      </c>
      <c r="E3661" s="318">
        <v>0.50195601851851845</v>
      </c>
      <c r="F3661" s="247" t="s">
        <v>980</v>
      </c>
      <c r="G3661" s="247" t="s">
        <v>1035</v>
      </c>
      <c r="H3661" s="248" t="s">
        <v>234</v>
      </c>
      <c r="I3661" s="248" t="s">
        <v>263</v>
      </c>
      <c r="J3661" s="247" t="s">
        <v>809</v>
      </c>
      <c r="K3661" s="249">
        <v>0</v>
      </c>
      <c r="M3661" s="90">
        <v>0</v>
      </c>
      <c r="N3661" s="90">
        <v>0</v>
      </c>
      <c r="O3661" s="90">
        <v>255</v>
      </c>
    </row>
    <row r="3662" spans="1:15" s="90" customFormat="1" ht="12.75" customHeight="1" x14ac:dyDescent="0.2">
      <c r="A3662" s="247" t="s">
        <v>1591</v>
      </c>
      <c r="B3662" s="316">
        <v>3037</v>
      </c>
      <c r="C3662" s="247" t="s">
        <v>996</v>
      </c>
      <c r="D3662" s="317">
        <v>42676</v>
      </c>
      <c r="E3662" s="318">
        <v>0.50195601851851845</v>
      </c>
      <c r="F3662" s="247" t="s">
        <v>980</v>
      </c>
      <c r="G3662" s="247" t="s">
        <v>1035</v>
      </c>
      <c r="H3662" s="248" t="s">
        <v>234</v>
      </c>
      <c r="I3662" s="248" t="s">
        <v>263</v>
      </c>
      <c r="J3662" s="247" t="s">
        <v>809</v>
      </c>
      <c r="K3662" s="249">
        <v>0</v>
      </c>
      <c r="M3662" s="90">
        <v>0</v>
      </c>
      <c r="N3662" s="90">
        <v>0</v>
      </c>
      <c r="O3662" s="90">
        <v>255</v>
      </c>
    </row>
    <row r="3663" spans="1:15" s="90" customFormat="1" ht="12.75" customHeight="1" x14ac:dyDescent="0.2">
      <c r="A3663" s="247" t="s">
        <v>1592</v>
      </c>
      <c r="B3663" s="316">
        <v>3037</v>
      </c>
      <c r="C3663" s="247" t="s">
        <v>996</v>
      </c>
      <c r="D3663" s="317">
        <v>42676</v>
      </c>
      <c r="E3663" s="318">
        <v>0.50195601851851845</v>
      </c>
      <c r="F3663" s="247" t="s">
        <v>980</v>
      </c>
      <c r="G3663" s="247" t="s">
        <v>1035</v>
      </c>
      <c r="H3663" s="248" t="s">
        <v>234</v>
      </c>
      <c r="I3663" s="248" t="s">
        <v>263</v>
      </c>
      <c r="J3663" s="247" t="s">
        <v>809</v>
      </c>
      <c r="K3663" s="249">
        <v>0</v>
      </c>
      <c r="M3663" s="90">
        <v>0</v>
      </c>
      <c r="N3663" s="90">
        <v>0</v>
      </c>
      <c r="O3663" s="90">
        <v>255</v>
      </c>
    </row>
    <row r="3664" spans="1:15" s="90" customFormat="1" ht="12.75" customHeight="1" x14ac:dyDescent="0.2">
      <c r="A3664" s="247" t="s">
        <v>1593</v>
      </c>
      <c r="B3664" s="316">
        <v>3037</v>
      </c>
      <c r="C3664" s="247" t="s">
        <v>996</v>
      </c>
      <c r="D3664" s="317">
        <v>42676</v>
      </c>
      <c r="E3664" s="318">
        <v>0.50195601851851845</v>
      </c>
      <c r="F3664" s="247" t="s">
        <v>980</v>
      </c>
      <c r="G3664" s="247" t="s">
        <v>1035</v>
      </c>
      <c r="H3664" s="248" t="s">
        <v>234</v>
      </c>
      <c r="I3664" s="248" t="s">
        <v>263</v>
      </c>
      <c r="J3664" s="247" t="s">
        <v>809</v>
      </c>
      <c r="K3664" s="249">
        <v>0</v>
      </c>
      <c r="M3664" s="90">
        <v>0</v>
      </c>
      <c r="N3664" s="90">
        <v>0</v>
      </c>
      <c r="O3664" s="90">
        <v>255</v>
      </c>
    </row>
    <row r="3665" spans="1:15" s="90" customFormat="1" ht="12.75" customHeight="1" x14ac:dyDescent="0.2">
      <c r="A3665" s="247" t="s">
        <v>1594</v>
      </c>
      <c r="B3665" s="316">
        <v>3037</v>
      </c>
      <c r="C3665" s="247" t="s">
        <v>996</v>
      </c>
      <c r="D3665" s="317">
        <v>42676</v>
      </c>
      <c r="E3665" s="318">
        <v>0.5019675925925926</v>
      </c>
      <c r="F3665" s="247" t="s">
        <v>980</v>
      </c>
      <c r="G3665" s="247" t="s">
        <v>1035</v>
      </c>
      <c r="H3665" s="248" t="s">
        <v>234</v>
      </c>
      <c r="I3665" s="248" t="s">
        <v>263</v>
      </c>
      <c r="J3665" s="247" t="s">
        <v>809</v>
      </c>
      <c r="K3665" s="249">
        <v>0</v>
      </c>
      <c r="M3665" s="90">
        <v>0</v>
      </c>
      <c r="N3665" s="90">
        <v>0</v>
      </c>
      <c r="O3665" s="90">
        <v>255</v>
      </c>
    </row>
    <row r="3666" spans="1:15" s="90" customFormat="1" ht="12.75" customHeight="1" x14ac:dyDescent="0.2">
      <c r="A3666" s="247" t="s">
        <v>1595</v>
      </c>
      <c r="B3666" s="316">
        <v>3037</v>
      </c>
      <c r="C3666" s="247" t="s">
        <v>996</v>
      </c>
      <c r="D3666" s="317">
        <v>42676</v>
      </c>
      <c r="E3666" s="318">
        <v>0.5019675925925926</v>
      </c>
      <c r="F3666" s="247" t="s">
        <v>980</v>
      </c>
      <c r="G3666" s="247" t="s">
        <v>1035</v>
      </c>
      <c r="H3666" s="248" t="s">
        <v>234</v>
      </c>
      <c r="I3666" s="248" t="s">
        <v>263</v>
      </c>
      <c r="J3666" s="247" t="s">
        <v>809</v>
      </c>
      <c r="K3666" s="249">
        <v>0</v>
      </c>
      <c r="M3666" s="90">
        <v>0</v>
      </c>
      <c r="N3666" s="90">
        <v>0</v>
      </c>
      <c r="O3666" s="90">
        <v>255</v>
      </c>
    </row>
    <row r="3667" spans="1:15" s="90" customFormat="1" ht="12.75" customHeight="1" x14ac:dyDescent="0.2">
      <c r="A3667" s="247" t="s">
        <v>1596</v>
      </c>
      <c r="B3667" s="316">
        <v>3037</v>
      </c>
      <c r="C3667" s="247" t="s">
        <v>996</v>
      </c>
      <c r="D3667" s="317">
        <v>42676</v>
      </c>
      <c r="E3667" s="318">
        <v>0.5019675925925926</v>
      </c>
      <c r="F3667" s="247" t="s">
        <v>980</v>
      </c>
      <c r="G3667" s="247" t="s">
        <v>1035</v>
      </c>
      <c r="H3667" s="248" t="s">
        <v>234</v>
      </c>
      <c r="I3667" s="248" t="s">
        <v>263</v>
      </c>
      <c r="J3667" s="247" t="s">
        <v>809</v>
      </c>
      <c r="K3667" s="249">
        <v>0</v>
      </c>
      <c r="M3667" s="90">
        <v>0</v>
      </c>
      <c r="N3667" s="90">
        <v>0</v>
      </c>
      <c r="O3667" s="90">
        <v>255</v>
      </c>
    </row>
    <row r="3668" spans="1:15" s="90" customFormat="1" ht="12.75" customHeight="1" x14ac:dyDescent="0.2">
      <c r="A3668" s="247" t="s">
        <v>1597</v>
      </c>
      <c r="B3668" s="316">
        <v>3037</v>
      </c>
      <c r="C3668" s="247" t="s">
        <v>996</v>
      </c>
      <c r="D3668" s="317">
        <v>42676</v>
      </c>
      <c r="E3668" s="318">
        <v>0.5019675925925926</v>
      </c>
      <c r="F3668" s="247" t="s">
        <v>980</v>
      </c>
      <c r="G3668" s="247" t="s">
        <v>1035</v>
      </c>
      <c r="H3668" s="248" t="s">
        <v>234</v>
      </c>
      <c r="I3668" s="248" t="s">
        <v>263</v>
      </c>
      <c r="J3668" s="247" t="s">
        <v>809</v>
      </c>
      <c r="K3668" s="249">
        <v>0</v>
      </c>
      <c r="M3668" s="90">
        <v>0</v>
      </c>
      <c r="N3668" s="90">
        <v>0</v>
      </c>
      <c r="O3668" s="90">
        <v>255</v>
      </c>
    </row>
    <row r="3669" spans="1:15" s="90" customFormat="1" ht="12.75" customHeight="1" x14ac:dyDescent="0.2">
      <c r="A3669" s="247" t="s">
        <v>1598</v>
      </c>
      <c r="B3669" s="316">
        <v>3037</v>
      </c>
      <c r="C3669" s="247" t="s">
        <v>996</v>
      </c>
      <c r="D3669" s="317">
        <v>42676</v>
      </c>
      <c r="E3669" s="318">
        <v>0.50197916666666664</v>
      </c>
      <c r="F3669" s="247" t="s">
        <v>980</v>
      </c>
      <c r="G3669" s="247" t="s">
        <v>1035</v>
      </c>
      <c r="H3669" s="248" t="s">
        <v>234</v>
      </c>
      <c r="I3669" s="248" t="s">
        <v>263</v>
      </c>
      <c r="J3669" s="247" t="s">
        <v>809</v>
      </c>
      <c r="K3669" s="249">
        <v>0</v>
      </c>
      <c r="M3669" s="90">
        <v>0</v>
      </c>
      <c r="N3669" s="90">
        <v>0</v>
      </c>
      <c r="O3669" s="90">
        <v>255</v>
      </c>
    </row>
    <row r="3670" spans="1:15" s="90" customFormat="1" ht="12.75" customHeight="1" x14ac:dyDescent="0.2">
      <c r="A3670" s="247" t="s">
        <v>1599</v>
      </c>
      <c r="B3670" s="316">
        <v>3037</v>
      </c>
      <c r="C3670" s="247" t="s">
        <v>996</v>
      </c>
      <c r="D3670" s="317">
        <v>42676</v>
      </c>
      <c r="E3670" s="318">
        <v>0.50197916666666664</v>
      </c>
      <c r="F3670" s="247" t="s">
        <v>980</v>
      </c>
      <c r="G3670" s="247" t="s">
        <v>1035</v>
      </c>
      <c r="H3670" s="248" t="s">
        <v>234</v>
      </c>
      <c r="I3670" s="248" t="s">
        <v>263</v>
      </c>
      <c r="J3670" s="247" t="s">
        <v>809</v>
      </c>
      <c r="K3670" s="249">
        <v>0</v>
      </c>
      <c r="M3670" s="90">
        <v>0</v>
      </c>
      <c r="N3670" s="90">
        <v>0</v>
      </c>
      <c r="O3670" s="90">
        <v>255</v>
      </c>
    </row>
    <row r="3671" spans="1:15" s="90" customFormat="1" ht="12.75" customHeight="1" x14ac:dyDescent="0.2">
      <c r="A3671" s="247" t="s">
        <v>1600</v>
      </c>
      <c r="B3671" s="316">
        <v>3037</v>
      </c>
      <c r="C3671" s="247" t="s">
        <v>996</v>
      </c>
      <c r="D3671" s="317">
        <v>42676</v>
      </c>
      <c r="E3671" s="318">
        <v>0.50197916666666664</v>
      </c>
      <c r="F3671" s="247" t="s">
        <v>980</v>
      </c>
      <c r="G3671" s="247" t="s">
        <v>1035</v>
      </c>
      <c r="H3671" s="248" t="s">
        <v>234</v>
      </c>
      <c r="I3671" s="248" t="s">
        <v>263</v>
      </c>
      <c r="J3671" s="247" t="s">
        <v>809</v>
      </c>
      <c r="K3671" s="249">
        <v>0</v>
      </c>
      <c r="M3671" s="90">
        <v>0</v>
      </c>
      <c r="N3671" s="90">
        <v>0</v>
      </c>
      <c r="O3671" s="90">
        <v>255</v>
      </c>
    </row>
    <row r="3672" spans="1:15" s="90" customFormat="1" ht="12.75" customHeight="1" x14ac:dyDescent="0.2">
      <c r="A3672" s="247" t="s">
        <v>1601</v>
      </c>
      <c r="B3672" s="316">
        <v>3037</v>
      </c>
      <c r="C3672" s="247" t="s">
        <v>996</v>
      </c>
      <c r="D3672" s="317">
        <v>42676</v>
      </c>
      <c r="E3672" s="318">
        <v>0.50197916666666664</v>
      </c>
      <c r="F3672" s="247" t="s">
        <v>980</v>
      </c>
      <c r="G3672" s="247" t="s">
        <v>1035</v>
      </c>
      <c r="H3672" s="248" t="s">
        <v>234</v>
      </c>
      <c r="I3672" s="248" t="s">
        <v>263</v>
      </c>
      <c r="J3672" s="247" t="s">
        <v>809</v>
      </c>
      <c r="K3672" s="249">
        <v>0</v>
      </c>
      <c r="M3672" s="90">
        <v>0</v>
      </c>
      <c r="N3672" s="90">
        <v>0</v>
      </c>
      <c r="O3672" s="90">
        <v>255</v>
      </c>
    </row>
    <row r="3673" spans="1:15" s="90" customFormat="1" ht="12.75" customHeight="1" x14ac:dyDescent="0.2">
      <c r="A3673" s="247" t="s">
        <v>1602</v>
      </c>
      <c r="B3673" s="316">
        <v>3037</v>
      </c>
      <c r="C3673" s="247" t="s">
        <v>996</v>
      </c>
      <c r="D3673" s="317">
        <v>42676</v>
      </c>
      <c r="E3673" s="318">
        <v>0.50197916666666664</v>
      </c>
      <c r="F3673" s="247" t="s">
        <v>980</v>
      </c>
      <c r="G3673" s="247" t="s">
        <v>1035</v>
      </c>
      <c r="H3673" s="248" t="s">
        <v>234</v>
      </c>
      <c r="I3673" s="248" t="s">
        <v>263</v>
      </c>
      <c r="J3673" s="247" t="s">
        <v>809</v>
      </c>
      <c r="K3673" s="249">
        <v>0</v>
      </c>
      <c r="M3673" s="90">
        <v>0</v>
      </c>
      <c r="N3673" s="90">
        <v>0</v>
      </c>
      <c r="O3673" s="90">
        <v>255</v>
      </c>
    </row>
    <row r="3674" spans="1:15" s="90" customFormat="1" ht="12.75" customHeight="1" x14ac:dyDescent="0.2">
      <c r="A3674" s="247" t="s">
        <v>1603</v>
      </c>
      <c r="B3674" s="316">
        <v>3037</v>
      </c>
      <c r="C3674" s="247" t="s">
        <v>996</v>
      </c>
      <c r="D3674" s="317">
        <v>42676</v>
      </c>
      <c r="E3674" s="318">
        <v>0.50197916666666664</v>
      </c>
      <c r="F3674" s="247" t="s">
        <v>980</v>
      </c>
      <c r="G3674" s="247" t="s">
        <v>1035</v>
      </c>
      <c r="H3674" s="248" t="s">
        <v>234</v>
      </c>
      <c r="I3674" s="248" t="s">
        <v>263</v>
      </c>
      <c r="J3674" s="247" t="s">
        <v>809</v>
      </c>
      <c r="K3674" s="249">
        <v>0</v>
      </c>
      <c r="M3674" s="90">
        <v>0</v>
      </c>
      <c r="N3674" s="90">
        <v>0</v>
      </c>
      <c r="O3674" s="90">
        <v>255</v>
      </c>
    </row>
    <row r="3675" spans="1:15" s="90" customFormat="1" ht="12.75" customHeight="1" x14ac:dyDescent="0.2">
      <c r="A3675" s="247" t="s">
        <v>1604</v>
      </c>
      <c r="B3675" s="316">
        <v>3037</v>
      </c>
      <c r="C3675" s="247" t="s">
        <v>996</v>
      </c>
      <c r="D3675" s="317">
        <v>42676</v>
      </c>
      <c r="E3675" s="318">
        <v>0.50197916666666664</v>
      </c>
      <c r="F3675" s="247" t="s">
        <v>980</v>
      </c>
      <c r="G3675" s="247" t="s">
        <v>1035</v>
      </c>
      <c r="H3675" s="248" t="s">
        <v>234</v>
      </c>
      <c r="I3675" s="248" t="s">
        <v>263</v>
      </c>
      <c r="J3675" s="247" t="s">
        <v>809</v>
      </c>
      <c r="K3675" s="249">
        <v>0</v>
      </c>
      <c r="M3675" s="90">
        <v>0</v>
      </c>
      <c r="N3675" s="90">
        <v>0</v>
      </c>
      <c r="O3675" s="90">
        <v>255</v>
      </c>
    </row>
    <row r="3676" spans="1:15" s="90" customFormat="1" ht="12.75" customHeight="1" x14ac:dyDescent="0.2">
      <c r="A3676" s="247" t="s">
        <v>1605</v>
      </c>
      <c r="B3676" s="316">
        <v>3037</v>
      </c>
      <c r="C3676" s="247" t="s">
        <v>996</v>
      </c>
      <c r="D3676" s="317">
        <v>42676</v>
      </c>
      <c r="E3676" s="318">
        <v>0.50199074074074079</v>
      </c>
      <c r="F3676" s="247" t="s">
        <v>980</v>
      </c>
      <c r="G3676" s="247" t="s">
        <v>1035</v>
      </c>
      <c r="H3676" s="248" t="s">
        <v>234</v>
      </c>
      <c r="I3676" s="248" t="s">
        <v>263</v>
      </c>
      <c r="J3676" s="247" t="s">
        <v>809</v>
      </c>
      <c r="K3676" s="249">
        <v>0</v>
      </c>
      <c r="M3676" s="90">
        <v>0</v>
      </c>
      <c r="N3676" s="90">
        <v>0</v>
      </c>
      <c r="O3676" s="90">
        <v>255</v>
      </c>
    </row>
    <row r="3677" spans="1:15" s="90" customFormat="1" ht="12.75" customHeight="1" x14ac:dyDescent="0.2">
      <c r="A3677" s="247" t="s">
        <v>1606</v>
      </c>
      <c r="B3677" s="316">
        <v>3037</v>
      </c>
      <c r="C3677" s="247" t="s">
        <v>996</v>
      </c>
      <c r="D3677" s="317">
        <v>42676</v>
      </c>
      <c r="E3677" s="318">
        <v>0.50199074074074079</v>
      </c>
      <c r="F3677" s="247" t="s">
        <v>980</v>
      </c>
      <c r="G3677" s="247" t="s">
        <v>1035</v>
      </c>
      <c r="H3677" s="248" t="s">
        <v>234</v>
      </c>
      <c r="I3677" s="248" t="s">
        <v>263</v>
      </c>
      <c r="J3677" s="247" t="s">
        <v>809</v>
      </c>
      <c r="K3677" s="249">
        <v>0</v>
      </c>
      <c r="M3677" s="90">
        <v>0</v>
      </c>
      <c r="N3677" s="90">
        <v>0</v>
      </c>
      <c r="O3677" s="90">
        <v>255</v>
      </c>
    </row>
    <row r="3678" spans="1:15" s="90" customFormat="1" ht="12.75" customHeight="1" x14ac:dyDescent="0.2">
      <c r="A3678" s="247" t="s">
        <v>1607</v>
      </c>
      <c r="B3678" s="316">
        <v>3037</v>
      </c>
      <c r="C3678" s="247" t="s">
        <v>996</v>
      </c>
      <c r="D3678" s="317">
        <v>42676</v>
      </c>
      <c r="E3678" s="318">
        <v>0.50199074074074079</v>
      </c>
      <c r="F3678" s="247" t="s">
        <v>980</v>
      </c>
      <c r="G3678" s="247" t="s">
        <v>1035</v>
      </c>
      <c r="H3678" s="248" t="s">
        <v>234</v>
      </c>
      <c r="I3678" s="248" t="s">
        <v>263</v>
      </c>
      <c r="J3678" s="247" t="s">
        <v>809</v>
      </c>
      <c r="K3678" s="249">
        <v>0</v>
      </c>
      <c r="M3678" s="90">
        <v>0</v>
      </c>
      <c r="N3678" s="90">
        <v>0</v>
      </c>
      <c r="O3678" s="90">
        <v>255</v>
      </c>
    </row>
    <row r="3679" spans="1:15" s="90" customFormat="1" ht="12.75" customHeight="1" x14ac:dyDescent="0.2">
      <c r="A3679" s="247" t="s">
        <v>1608</v>
      </c>
      <c r="B3679" s="316">
        <v>3037</v>
      </c>
      <c r="C3679" s="247" t="s">
        <v>996</v>
      </c>
      <c r="D3679" s="317">
        <v>42676</v>
      </c>
      <c r="E3679" s="318">
        <v>0.50199074074074079</v>
      </c>
      <c r="F3679" s="247" t="s">
        <v>980</v>
      </c>
      <c r="G3679" s="247" t="s">
        <v>1035</v>
      </c>
      <c r="H3679" s="248" t="s">
        <v>234</v>
      </c>
      <c r="I3679" s="248" t="s">
        <v>263</v>
      </c>
      <c r="J3679" s="247" t="s">
        <v>809</v>
      </c>
      <c r="K3679" s="249">
        <v>0</v>
      </c>
      <c r="M3679" s="90">
        <v>0</v>
      </c>
      <c r="N3679" s="90">
        <v>0</v>
      </c>
      <c r="O3679" s="90">
        <v>255</v>
      </c>
    </row>
    <row r="3680" spans="1:15" s="90" customFormat="1" ht="12.75" customHeight="1" x14ac:dyDescent="0.2">
      <c r="A3680" s="247" t="s">
        <v>1609</v>
      </c>
      <c r="B3680" s="316">
        <v>3037</v>
      </c>
      <c r="C3680" s="247" t="s">
        <v>996</v>
      </c>
      <c r="D3680" s="317">
        <v>42676</v>
      </c>
      <c r="E3680" s="318">
        <v>0.50199074074074079</v>
      </c>
      <c r="F3680" s="247" t="s">
        <v>980</v>
      </c>
      <c r="G3680" s="247" t="s">
        <v>1035</v>
      </c>
      <c r="H3680" s="248" t="s">
        <v>234</v>
      </c>
      <c r="I3680" s="248" t="s">
        <v>263</v>
      </c>
      <c r="J3680" s="247" t="s">
        <v>809</v>
      </c>
      <c r="K3680" s="249">
        <v>0</v>
      </c>
      <c r="M3680" s="90">
        <v>0</v>
      </c>
      <c r="N3680" s="90">
        <v>0</v>
      </c>
      <c r="O3680" s="90">
        <v>255</v>
      </c>
    </row>
    <row r="3681" spans="1:15" s="90" customFormat="1" ht="12.75" customHeight="1" x14ac:dyDescent="0.2">
      <c r="A3681" s="247" t="s">
        <v>1610</v>
      </c>
      <c r="B3681" s="316">
        <v>3037</v>
      </c>
      <c r="C3681" s="247" t="s">
        <v>996</v>
      </c>
      <c r="D3681" s="317">
        <v>42676</v>
      </c>
      <c r="E3681" s="318">
        <v>0.50200231481481483</v>
      </c>
      <c r="F3681" s="247" t="s">
        <v>980</v>
      </c>
      <c r="G3681" s="247" t="s">
        <v>1035</v>
      </c>
      <c r="H3681" s="248" t="s">
        <v>234</v>
      </c>
      <c r="I3681" s="248" t="s">
        <v>263</v>
      </c>
      <c r="J3681" s="247" t="s">
        <v>809</v>
      </c>
      <c r="K3681" s="249">
        <v>0</v>
      </c>
      <c r="M3681" s="90">
        <v>0</v>
      </c>
      <c r="N3681" s="90">
        <v>0</v>
      </c>
      <c r="O3681" s="90">
        <v>255</v>
      </c>
    </row>
    <row r="3682" spans="1:15" s="90" customFormat="1" ht="12.75" customHeight="1" x14ac:dyDescent="0.2">
      <c r="A3682" s="247" t="s">
        <v>1611</v>
      </c>
      <c r="B3682" s="316">
        <v>3037</v>
      </c>
      <c r="C3682" s="247" t="s">
        <v>996</v>
      </c>
      <c r="D3682" s="317">
        <v>42676</v>
      </c>
      <c r="E3682" s="318">
        <v>0.50200231481481483</v>
      </c>
      <c r="F3682" s="247" t="s">
        <v>980</v>
      </c>
      <c r="G3682" s="247" t="s">
        <v>1035</v>
      </c>
      <c r="H3682" s="248" t="s">
        <v>234</v>
      </c>
      <c r="I3682" s="248" t="s">
        <v>263</v>
      </c>
      <c r="J3682" s="247" t="s">
        <v>809</v>
      </c>
      <c r="K3682" s="249">
        <v>0</v>
      </c>
      <c r="M3682" s="90">
        <v>0</v>
      </c>
      <c r="N3682" s="90">
        <v>0</v>
      </c>
      <c r="O3682" s="90">
        <v>255</v>
      </c>
    </row>
    <row r="3683" spans="1:15" s="90" customFormat="1" ht="12.75" customHeight="1" x14ac:dyDescent="0.2">
      <c r="A3683" s="247" t="s">
        <v>1612</v>
      </c>
      <c r="B3683" s="316">
        <v>3037</v>
      </c>
      <c r="C3683" s="247" t="s">
        <v>996</v>
      </c>
      <c r="D3683" s="317">
        <v>42676</v>
      </c>
      <c r="E3683" s="318">
        <v>0.50200231481481483</v>
      </c>
      <c r="F3683" s="247" t="s">
        <v>980</v>
      </c>
      <c r="G3683" s="247" t="s">
        <v>1035</v>
      </c>
      <c r="H3683" s="248" t="s">
        <v>234</v>
      </c>
      <c r="I3683" s="248" t="s">
        <v>263</v>
      </c>
      <c r="J3683" s="247" t="s">
        <v>809</v>
      </c>
      <c r="K3683" s="249">
        <v>0</v>
      </c>
      <c r="M3683" s="90">
        <v>0</v>
      </c>
      <c r="N3683" s="90">
        <v>0</v>
      </c>
      <c r="O3683" s="90">
        <v>255</v>
      </c>
    </row>
    <row r="3684" spans="1:15" s="90" customFormat="1" ht="12.75" customHeight="1" x14ac:dyDescent="0.2">
      <c r="A3684" s="247" t="s">
        <v>1613</v>
      </c>
      <c r="B3684" s="316">
        <v>3037</v>
      </c>
      <c r="C3684" s="247" t="s">
        <v>996</v>
      </c>
      <c r="D3684" s="317">
        <v>42676</v>
      </c>
      <c r="E3684" s="318">
        <v>0.50200231481481483</v>
      </c>
      <c r="F3684" s="247" t="s">
        <v>980</v>
      </c>
      <c r="G3684" s="247" t="s">
        <v>1035</v>
      </c>
      <c r="H3684" s="248" t="s">
        <v>234</v>
      </c>
      <c r="I3684" s="248" t="s">
        <v>263</v>
      </c>
      <c r="J3684" s="247" t="s">
        <v>809</v>
      </c>
      <c r="K3684" s="249">
        <v>0</v>
      </c>
      <c r="M3684" s="90">
        <v>0</v>
      </c>
      <c r="N3684" s="90">
        <v>0</v>
      </c>
      <c r="O3684" s="90">
        <v>255</v>
      </c>
    </row>
    <row r="3685" spans="1:15" s="90" customFormat="1" ht="12.75" customHeight="1" x14ac:dyDescent="0.2">
      <c r="A3685" s="247" t="s">
        <v>1614</v>
      </c>
      <c r="B3685" s="316">
        <v>3037</v>
      </c>
      <c r="C3685" s="247" t="s">
        <v>996</v>
      </c>
      <c r="D3685" s="317">
        <v>42676</v>
      </c>
      <c r="E3685" s="318">
        <v>0.50200231481481483</v>
      </c>
      <c r="F3685" s="247" t="s">
        <v>980</v>
      </c>
      <c r="G3685" s="247" t="s">
        <v>1035</v>
      </c>
      <c r="H3685" s="248" t="s">
        <v>234</v>
      </c>
      <c r="I3685" s="248" t="s">
        <v>263</v>
      </c>
      <c r="J3685" s="247" t="s">
        <v>809</v>
      </c>
      <c r="K3685" s="249">
        <v>0</v>
      </c>
      <c r="M3685" s="90">
        <v>0</v>
      </c>
      <c r="N3685" s="90">
        <v>0</v>
      </c>
      <c r="O3685" s="90">
        <v>255</v>
      </c>
    </row>
    <row r="3686" spans="1:15" s="90" customFormat="1" ht="12.75" customHeight="1" x14ac:dyDescent="0.2">
      <c r="A3686" s="247" t="s">
        <v>1615</v>
      </c>
      <c r="B3686" s="316">
        <v>3037</v>
      </c>
      <c r="C3686" s="247" t="s">
        <v>996</v>
      </c>
      <c r="D3686" s="317">
        <v>42676</v>
      </c>
      <c r="E3686" s="318">
        <v>0.50201388888888887</v>
      </c>
      <c r="F3686" s="247" t="s">
        <v>980</v>
      </c>
      <c r="G3686" s="247" t="s">
        <v>1035</v>
      </c>
      <c r="H3686" s="248" t="s">
        <v>234</v>
      </c>
      <c r="I3686" s="248" t="s">
        <v>263</v>
      </c>
      <c r="J3686" s="247" t="s">
        <v>809</v>
      </c>
      <c r="K3686" s="249">
        <v>0</v>
      </c>
      <c r="M3686" s="90">
        <v>0</v>
      </c>
      <c r="N3686" s="90">
        <v>0</v>
      </c>
      <c r="O3686" s="90">
        <v>255</v>
      </c>
    </row>
    <row r="3687" spans="1:15" s="90" customFormat="1" ht="12.75" customHeight="1" x14ac:dyDescent="0.2">
      <c r="A3687" s="247" t="s">
        <v>1616</v>
      </c>
      <c r="B3687" s="316">
        <v>3037</v>
      </c>
      <c r="C3687" s="247" t="s">
        <v>996</v>
      </c>
      <c r="D3687" s="317">
        <v>42676</v>
      </c>
      <c r="E3687" s="318">
        <v>0.50201388888888887</v>
      </c>
      <c r="F3687" s="247" t="s">
        <v>980</v>
      </c>
      <c r="G3687" s="247" t="s">
        <v>1035</v>
      </c>
      <c r="H3687" s="248" t="s">
        <v>234</v>
      </c>
      <c r="I3687" s="248" t="s">
        <v>263</v>
      </c>
      <c r="J3687" s="247" t="s">
        <v>809</v>
      </c>
      <c r="K3687" s="249">
        <v>0</v>
      </c>
      <c r="M3687" s="90">
        <v>0</v>
      </c>
      <c r="N3687" s="90">
        <v>0</v>
      </c>
      <c r="O3687" s="90">
        <v>255</v>
      </c>
    </row>
    <row r="3688" spans="1:15" s="90" customFormat="1" ht="12.75" customHeight="1" x14ac:dyDescent="0.2">
      <c r="A3688" s="247" t="s">
        <v>1617</v>
      </c>
      <c r="B3688" s="316">
        <v>3037</v>
      </c>
      <c r="C3688" s="247" t="s">
        <v>996</v>
      </c>
      <c r="D3688" s="317">
        <v>42676</v>
      </c>
      <c r="E3688" s="318">
        <v>0.50201388888888887</v>
      </c>
      <c r="F3688" s="247" t="s">
        <v>980</v>
      </c>
      <c r="G3688" s="247" t="s">
        <v>1035</v>
      </c>
      <c r="H3688" s="248" t="s">
        <v>234</v>
      </c>
      <c r="I3688" s="248" t="s">
        <v>263</v>
      </c>
      <c r="J3688" s="247" t="s">
        <v>809</v>
      </c>
      <c r="K3688" s="249">
        <v>0</v>
      </c>
      <c r="M3688" s="90">
        <v>0</v>
      </c>
      <c r="N3688" s="90">
        <v>0</v>
      </c>
      <c r="O3688" s="90">
        <v>255</v>
      </c>
    </row>
    <row r="3689" spans="1:15" s="90" customFormat="1" ht="12.75" customHeight="1" x14ac:dyDescent="0.2">
      <c r="A3689" s="247" t="s">
        <v>1618</v>
      </c>
      <c r="B3689" s="316">
        <v>3037</v>
      </c>
      <c r="C3689" s="247" t="s">
        <v>996</v>
      </c>
      <c r="D3689" s="317">
        <v>42676</v>
      </c>
      <c r="E3689" s="318">
        <v>0.50201388888888887</v>
      </c>
      <c r="F3689" s="247" t="s">
        <v>980</v>
      </c>
      <c r="G3689" s="247" t="s">
        <v>1035</v>
      </c>
      <c r="H3689" s="248" t="s">
        <v>234</v>
      </c>
      <c r="I3689" s="248" t="s">
        <v>263</v>
      </c>
      <c r="J3689" s="247" t="s">
        <v>809</v>
      </c>
      <c r="K3689" s="249">
        <v>0</v>
      </c>
      <c r="M3689" s="90">
        <v>0</v>
      </c>
      <c r="N3689" s="90">
        <v>0</v>
      </c>
      <c r="O3689" s="90">
        <v>255</v>
      </c>
    </row>
    <row r="3690" spans="1:15" s="90" customFormat="1" ht="12.75" customHeight="1" x14ac:dyDescent="0.2">
      <c r="A3690" s="247" t="s">
        <v>1619</v>
      </c>
      <c r="B3690" s="316">
        <v>3037</v>
      </c>
      <c r="C3690" s="247" t="s">
        <v>996</v>
      </c>
      <c r="D3690" s="317">
        <v>42676</v>
      </c>
      <c r="E3690" s="318">
        <v>0.50201388888888887</v>
      </c>
      <c r="F3690" s="247" t="s">
        <v>980</v>
      </c>
      <c r="G3690" s="247" t="s">
        <v>1035</v>
      </c>
      <c r="H3690" s="248" t="s">
        <v>234</v>
      </c>
      <c r="I3690" s="248" t="s">
        <v>263</v>
      </c>
      <c r="J3690" s="247" t="s">
        <v>809</v>
      </c>
      <c r="K3690" s="249">
        <v>0</v>
      </c>
      <c r="M3690" s="90">
        <v>0</v>
      </c>
      <c r="N3690" s="90">
        <v>0</v>
      </c>
      <c r="O3690" s="90">
        <v>255</v>
      </c>
    </row>
    <row r="3691" spans="1:15" s="90" customFormat="1" ht="12.75" customHeight="1" x14ac:dyDescent="0.2">
      <c r="A3691" s="247" t="s">
        <v>1620</v>
      </c>
      <c r="B3691" s="316">
        <v>3037</v>
      </c>
      <c r="C3691" s="247" t="s">
        <v>996</v>
      </c>
      <c r="D3691" s="317">
        <v>42676</v>
      </c>
      <c r="E3691" s="318">
        <v>0.50202546296296291</v>
      </c>
      <c r="F3691" s="247" t="s">
        <v>980</v>
      </c>
      <c r="G3691" s="247" t="s">
        <v>1035</v>
      </c>
      <c r="H3691" s="248" t="s">
        <v>234</v>
      </c>
      <c r="I3691" s="248" t="s">
        <v>263</v>
      </c>
      <c r="J3691" s="247" t="s">
        <v>809</v>
      </c>
      <c r="K3691" s="249">
        <v>0</v>
      </c>
      <c r="M3691" s="90">
        <v>0</v>
      </c>
      <c r="N3691" s="90">
        <v>0</v>
      </c>
      <c r="O3691" s="90">
        <v>255</v>
      </c>
    </row>
    <row r="3692" spans="1:15" s="90" customFormat="1" ht="12.75" customHeight="1" x14ac:dyDescent="0.2">
      <c r="A3692" s="247" t="s">
        <v>1621</v>
      </c>
      <c r="B3692" s="316">
        <v>3037</v>
      </c>
      <c r="C3692" s="247" t="s">
        <v>996</v>
      </c>
      <c r="D3692" s="317">
        <v>42676</v>
      </c>
      <c r="E3692" s="318">
        <v>0.50203703703703706</v>
      </c>
      <c r="F3692" s="247" t="s">
        <v>980</v>
      </c>
      <c r="G3692" s="247" t="s">
        <v>1035</v>
      </c>
      <c r="H3692" s="248" t="s">
        <v>234</v>
      </c>
      <c r="I3692" s="248" t="s">
        <v>263</v>
      </c>
      <c r="J3692" s="247" t="s">
        <v>809</v>
      </c>
      <c r="K3692" s="249">
        <v>0</v>
      </c>
      <c r="M3692" s="90">
        <v>0</v>
      </c>
      <c r="N3692" s="90">
        <v>0</v>
      </c>
      <c r="O3692" s="90">
        <v>255</v>
      </c>
    </row>
    <row r="3693" spans="1:15" s="90" customFormat="1" ht="12.75" customHeight="1" x14ac:dyDescent="0.2">
      <c r="A3693" s="247" t="s">
        <v>1622</v>
      </c>
      <c r="B3693" s="316">
        <v>3037</v>
      </c>
      <c r="C3693" s="247" t="s">
        <v>996</v>
      </c>
      <c r="D3693" s="317">
        <v>42676</v>
      </c>
      <c r="E3693" s="318">
        <v>0.50203703703703706</v>
      </c>
      <c r="F3693" s="247" t="s">
        <v>980</v>
      </c>
      <c r="G3693" s="247" t="s">
        <v>1035</v>
      </c>
      <c r="H3693" s="248" t="s">
        <v>234</v>
      </c>
      <c r="I3693" s="248" t="s">
        <v>263</v>
      </c>
      <c r="J3693" s="247" t="s">
        <v>809</v>
      </c>
      <c r="K3693" s="249">
        <v>0</v>
      </c>
      <c r="M3693" s="90">
        <v>0</v>
      </c>
      <c r="N3693" s="90">
        <v>0</v>
      </c>
      <c r="O3693" s="90">
        <v>255</v>
      </c>
    </row>
    <row r="3694" spans="1:15" s="90" customFormat="1" ht="12.75" customHeight="1" x14ac:dyDescent="0.2">
      <c r="A3694" s="247" t="s">
        <v>1623</v>
      </c>
      <c r="B3694" s="316">
        <v>3037</v>
      </c>
      <c r="C3694" s="247" t="s">
        <v>996</v>
      </c>
      <c r="D3694" s="317">
        <v>42676</v>
      </c>
      <c r="E3694" s="318">
        <v>0.50203703703703706</v>
      </c>
      <c r="F3694" s="247" t="s">
        <v>980</v>
      </c>
      <c r="G3694" s="247" t="s">
        <v>1035</v>
      </c>
      <c r="H3694" s="248" t="s">
        <v>234</v>
      </c>
      <c r="I3694" s="248" t="s">
        <v>263</v>
      </c>
      <c r="J3694" s="247" t="s">
        <v>809</v>
      </c>
      <c r="K3694" s="249">
        <v>0</v>
      </c>
      <c r="M3694" s="90">
        <v>0</v>
      </c>
      <c r="N3694" s="90">
        <v>0</v>
      </c>
      <c r="O3694" s="90">
        <v>255</v>
      </c>
    </row>
    <row r="3695" spans="1:15" s="90" customFormat="1" ht="12.75" customHeight="1" x14ac:dyDescent="0.2">
      <c r="A3695" s="247" t="s">
        <v>1624</v>
      </c>
      <c r="B3695" s="316">
        <v>3037</v>
      </c>
      <c r="C3695" s="247" t="s">
        <v>996</v>
      </c>
      <c r="D3695" s="317">
        <v>42676</v>
      </c>
      <c r="E3695" s="318">
        <v>0.50203703703703706</v>
      </c>
      <c r="F3695" s="247" t="s">
        <v>980</v>
      </c>
      <c r="G3695" s="247" t="s">
        <v>1035</v>
      </c>
      <c r="H3695" s="248" t="s">
        <v>234</v>
      </c>
      <c r="I3695" s="248" t="s">
        <v>263</v>
      </c>
      <c r="J3695" s="247" t="s">
        <v>809</v>
      </c>
      <c r="K3695" s="249">
        <v>0</v>
      </c>
      <c r="M3695" s="90">
        <v>0</v>
      </c>
      <c r="N3695" s="90">
        <v>0</v>
      </c>
      <c r="O3695" s="90">
        <v>255</v>
      </c>
    </row>
    <row r="3696" spans="1:15" s="90" customFormat="1" ht="12.75" customHeight="1" x14ac:dyDescent="0.2">
      <c r="A3696" s="247" t="s">
        <v>1625</v>
      </c>
      <c r="B3696" s="316">
        <v>3037</v>
      </c>
      <c r="C3696" s="247" t="s">
        <v>996</v>
      </c>
      <c r="D3696" s="317">
        <v>42676</v>
      </c>
      <c r="E3696" s="318">
        <v>0.5020486111111111</v>
      </c>
      <c r="F3696" s="247" t="s">
        <v>980</v>
      </c>
      <c r="G3696" s="247" t="s">
        <v>1035</v>
      </c>
      <c r="H3696" s="248" t="s">
        <v>234</v>
      </c>
      <c r="I3696" s="248" t="s">
        <v>263</v>
      </c>
      <c r="J3696" s="247" t="s">
        <v>809</v>
      </c>
      <c r="K3696" s="249">
        <v>0</v>
      </c>
      <c r="M3696" s="90">
        <v>0</v>
      </c>
      <c r="N3696" s="90">
        <v>0</v>
      </c>
      <c r="O3696" s="90">
        <v>255</v>
      </c>
    </row>
    <row r="3697" spans="1:15" s="90" customFormat="1" ht="12.75" customHeight="1" x14ac:dyDescent="0.2">
      <c r="A3697" s="247" t="s">
        <v>1626</v>
      </c>
      <c r="B3697" s="316">
        <v>3037</v>
      </c>
      <c r="C3697" s="247" t="s">
        <v>996</v>
      </c>
      <c r="D3697" s="317">
        <v>42676</v>
      </c>
      <c r="E3697" s="318">
        <v>0.5020486111111111</v>
      </c>
      <c r="F3697" s="247" t="s">
        <v>980</v>
      </c>
      <c r="G3697" s="247" t="s">
        <v>1035</v>
      </c>
      <c r="H3697" s="248" t="s">
        <v>234</v>
      </c>
      <c r="I3697" s="248" t="s">
        <v>263</v>
      </c>
      <c r="J3697" s="247" t="s">
        <v>809</v>
      </c>
      <c r="K3697" s="249">
        <v>0</v>
      </c>
      <c r="M3697" s="90">
        <v>0</v>
      </c>
      <c r="N3697" s="90">
        <v>0</v>
      </c>
      <c r="O3697" s="90">
        <v>255</v>
      </c>
    </row>
    <row r="3698" spans="1:15" s="90" customFormat="1" ht="12.75" customHeight="1" x14ac:dyDescent="0.2">
      <c r="A3698" s="247" t="s">
        <v>1627</v>
      </c>
      <c r="B3698" s="316">
        <v>3037</v>
      </c>
      <c r="C3698" s="247" t="s">
        <v>996</v>
      </c>
      <c r="D3698" s="317">
        <v>42676</v>
      </c>
      <c r="E3698" s="318">
        <v>0.5020486111111111</v>
      </c>
      <c r="F3698" s="247" t="s">
        <v>980</v>
      </c>
      <c r="G3698" s="247" t="s">
        <v>1035</v>
      </c>
      <c r="H3698" s="248" t="s">
        <v>234</v>
      </c>
      <c r="I3698" s="248" t="s">
        <v>263</v>
      </c>
      <c r="J3698" s="247" t="s">
        <v>809</v>
      </c>
      <c r="K3698" s="249">
        <v>0</v>
      </c>
      <c r="M3698" s="90">
        <v>0</v>
      </c>
      <c r="N3698" s="90">
        <v>0</v>
      </c>
      <c r="O3698" s="90">
        <v>255</v>
      </c>
    </row>
    <row r="3699" spans="1:15" s="90" customFormat="1" ht="12.75" customHeight="1" x14ac:dyDescent="0.2">
      <c r="A3699" s="247" t="s">
        <v>1628</v>
      </c>
      <c r="B3699" s="316">
        <v>3037</v>
      </c>
      <c r="C3699" s="247" t="s">
        <v>996</v>
      </c>
      <c r="D3699" s="317">
        <v>42676</v>
      </c>
      <c r="E3699" s="318">
        <v>0.5020486111111111</v>
      </c>
      <c r="F3699" s="247" t="s">
        <v>980</v>
      </c>
      <c r="G3699" s="247" t="s">
        <v>1035</v>
      </c>
      <c r="H3699" s="248" t="s">
        <v>234</v>
      </c>
      <c r="I3699" s="248" t="s">
        <v>263</v>
      </c>
      <c r="J3699" s="247" t="s">
        <v>809</v>
      </c>
      <c r="K3699" s="249">
        <v>0</v>
      </c>
      <c r="M3699" s="90">
        <v>0</v>
      </c>
      <c r="N3699" s="90">
        <v>0</v>
      </c>
      <c r="O3699" s="90">
        <v>255</v>
      </c>
    </row>
    <row r="3700" spans="1:15" s="90" customFormat="1" ht="12.75" customHeight="1" x14ac:dyDescent="0.2">
      <c r="A3700" s="247" t="s">
        <v>1629</v>
      </c>
      <c r="B3700" s="316">
        <v>3037</v>
      </c>
      <c r="C3700" s="247" t="s">
        <v>996</v>
      </c>
      <c r="D3700" s="317">
        <v>42676</v>
      </c>
      <c r="E3700" s="318">
        <v>0.50206018518518525</v>
      </c>
      <c r="F3700" s="247" t="s">
        <v>980</v>
      </c>
      <c r="G3700" s="247" t="s">
        <v>1035</v>
      </c>
      <c r="H3700" s="248" t="s">
        <v>234</v>
      </c>
      <c r="I3700" s="248" t="s">
        <v>263</v>
      </c>
      <c r="J3700" s="247" t="s">
        <v>809</v>
      </c>
      <c r="K3700" s="249">
        <v>0</v>
      </c>
      <c r="M3700" s="90">
        <v>0</v>
      </c>
      <c r="N3700" s="90">
        <v>0</v>
      </c>
      <c r="O3700" s="90">
        <v>255</v>
      </c>
    </row>
    <row r="3701" spans="1:15" s="90" customFormat="1" ht="12.75" customHeight="1" x14ac:dyDescent="0.2">
      <c r="A3701" s="247" t="s">
        <v>1630</v>
      </c>
      <c r="B3701" s="316">
        <v>3037</v>
      </c>
      <c r="C3701" s="247" t="s">
        <v>996</v>
      </c>
      <c r="D3701" s="317">
        <v>42676</v>
      </c>
      <c r="E3701" s="318">
        <v>0.50206018518518525</v>
      </c>
      <c r="F3701" s="247" t="s">
        <v>980</v>
      </c>
      <c r="G3701" s="247" t="s">
        <v>1035</v>
      </c>
      <c r="H3701" s="248" t="s">
        <v>234</v>
      </c>
      <c r="I3701" s="248" t="s">
        <v>263</v>
      </c>
      <c r="J3701" s="247" t="s">
        <v>809</v>
      </c>
      <c r="K3701" s="249">
        <v>0</v>
      </c>
      <c r="M3701" s="90">
        <v>0</v>
      </c>
      <c r="N3701" s="90">
        <v>0</v>
      </c>
      <c r="O3701" s="90">
        <v>255</v>
      </c>
    </row>
    <row r="3702" spans="1:15" s="90" customFormat="1" ht="12.75" customHeight="1" x14ac:dyDescent="0.2">
      <c r="A3702" s="247" t="s">
        <v>1631</v>
      </c>
      <c r="B3702" s="316">
        <v>3037</v>
      </c>
      <c r="C3702" s="247" t="s">
        <v>996</v>
      </c>
      <c r="D3702" s="317">
        <v>42676</v>
      </c>
      <c r="E3702" s="318">
        <v>0.50206018518518525</v>
      </c>
      <c r="F3702" s="247" t="s">
        <v>980</v>
      </c>
      <c r="G3702" s="247" t="s">
        <v>1035</v>
      </c>
      <c r="H3702" s="248" t="s">
        <v>234</v>
      </c>
      <c r="I3702" s="248" t="s">
        <v>263</v>
      </c>
      <c r="J3702" s="247" t="s">
        <v>809</v>
      </c>
      <c r="K3702" s="249">
        <v>0</v>
      </c>
      <c r="M3702" s="90">
        <v>0</v>
      </c>
      <c r="N3702" s="90">
        <v>0</v>
      </c>
      <c r="O3702" s="90">
        <v>255</v>
      </c>
    </row>
    <row r="3703" spans="1:15" s="90" customFormat="1" ht="12.75" customHeight="1" x14ac:dyDescent="0.2">
      <c r="A3703" s="247" t="s">
        <v>1632</v>
      </c>
      <c r="B3703" s="316">
        <v>3037</v>
      </c>
      <c r="C3703" s="247" t="s">
        <v>996</v>
      </c>
      <c r="D3703" s="317">
        <v>42676</v>
      </c>
      <c r="E3703" s="318">
        <v>0.50206018518518525</v>
      </c>
      <c r="F3703" s="247" t="s">
        <v>980</v>
      </c>
      <c r="G3703" s="247" t="s">
        <v>1035</v>
      </c>
      <c r="H3703" s="248" t="s">
        <v>234</v>
      </c>
      <c r="I3703" s="248" t="s">
        <v>263</v>
      </c>
      <c r="J3703" s="247" t="s">
        <v>809</v>
      </c>
      <c r="K3703" s="249">
        <v>0</v>
      </c>
      <c r="M3703" s="90">
        <v>0</v>
      </c>
      <c r="N3703" s="90">
        <v>0</v>
      </c>
      <c r="O3703" s="90">
        <v>255</v>
      </c>
    </row>
    <row r="3704" spans="1:15" s="90" customFormat="1" ht="12.75" customHeight="1" x14ac:dyDescent="0.2">
      <c r="A3704" s="247" t="s">
        <v>1633</v>
      </c>
      <c r="B3704" s="316">
        <v>3037</v>
      </c>
      <c r="C3704" s="247" t="s">
        <v>996</v>
      </c>
      <c r="D3704" s="317">
        <v>42676</v>
      </c>
      <c r="E3704" s="318">
        <v>0.50206018518518525</v>
      </c>
      <c r="F3704" s="247" t="s">
        <v>980</v>
      </c>
      <c r="G3704" s="247" t="s">
        <v>1035</v>
      </c>
      <c r="H3704" s="248" t="s">
        <v>234</v>
      </c>
      <c r="I3704" s="248" t="s">
        <v>263</v>
      </c>
      <c r="J3704" s="247" t="s">
        <v>809</v>
      </c>
      <c r="K3704" s="249">
        <v>0</v>
      </c>
      <c r="M3704" s="90">
        <v>0</v>
      </c>
      <c r="N3704" s="90">
        <v>0</v>
      </c>
      <c r="O3704" s="90">
        <v>255</v>
      </c>
    </row>
    <row r="3705" spans="1:15" s="90" customFormat="1" ht="12.75" customHeight="1" x14ac:dyDescent="0.2">
      <c r="A3705" s="247" t="s">
        <v>1634</v>
      </c>
      <c r="B3705" s="316">
        <v>3037</v>
      </c>
      <c r="C3705" s="247" t="s">
        <v>996</v>
      </c>
      <c r="D3705" s="317">
        <v>42676</v>
      </c>
      <c r="E3705" s="318">
        <v>0.50206018518518525</v>
      </c>
      <c r="F3705" s="247" t="s">
        <v>980</v>
      </c>
      <c r="G3705" s="247" t="s">
        <v>1035</v>
      </c>
      <c r="H3705" s="248" t="s">
        <v>234</v>
      </c>
      <c r="I3705" s="248" t="s">
        <v>263</v>
      </c>
      <c r="J3705" s="247" t="s">
        <v>809</v>
      </c>
      <c r="K3705" s="249">
        <v>0</v>
      </c>
      <c r="M3705" s="90">
        <v>0</v>
      </c>
      <c r="N3705" s="90">
        <v>0</v>
      </c>
      <c r="O3705" s="90">
        <v>255</v>
      </c>
    </row>
    <row r="3706" spans="1:15" s="90" customFormat="1" ht="12.75" customHeight="1" x14ac:dyDescent="0.2">
      <c r="A3706" s="247" t="s">
        <v>1635</v>
      </c>
      <c r="B3706" s="316">
        <v>3037</v>
      </c>
      <c r="C3706" s="247" t="s">
        <v>996</v>
      </c>
      <c r="D3706" s="317">
        <v>42676</v>
      </c>
      <c r="E3706" s="318">
        <v>0.50206018518518525</v>
      </c>
      <c r="F3706" s="247" t="s">
        <v>980</v>
      </c>
      <c r="G3706" s="247" t="s">
        <v>1035</v>
      </c>
      <c r="H3706" s="248" t="s">
        <v>234</v>
      </c>
      <c r="I3706" s="248" t="s">
        <v>263</v>
      </c>
      <c r="J3706" s="247" t="s">
        <v>809</v>
      </c>
      <c r="K3706" s="249">
        <v>0</v>
      </c>
      <c r="M3706" s="90">
        <v>0</v>
      </c>
      <c r="N3706" s="90">
        <v>0</v>
      </c>
      <c r="O3706" s="90">
        <v>255</v>
      </c>
    </row>
    <row r="3707" spans="1:15" s="90" customFormat="1" ht="12.75" customHeight="1" x14ac:dyDescent="0.2">
      <c r="A3707" s="247" t="s">
        <v>1636</v>
      </c>
      <c r="B3707" s="316">
        <v>3037</v>
      </c>
      <c r="C3707" s="247" t="s">
        <v>996</v>
      </c>
      <c r="D3707" s="317">
        <v>42676</v>
      </c>
      <c r="E3707" s="318">
        <v>0.50206018518518525</v>
      </c>
      <c r="F3707" s="247" t="s">
        <v>980</v>
      </c>
      <c r="G3707" s="247" t="s">
        <v>1035</v>
      </c>
      <c r="H3707" s="248" t="s">
        <v>234</v>
      </c>
      <c r="I3707" s="248" t="s">
        <v>263</v>
      </c>
      <c r="J3707" s="247" t="s">
        <v>809</v>
      </c>
      <c r="K3707" s="249">
        <v>0</v>
      </c>
      <c r="M3707" s="90">
        <v>0</v>
      </c>
      <c r="N3707" s="90">
        <v>0</v>
      </c>
      <c r="O3707" s="90">
        <v>255</v>
      </c>
    </row>
    <row r="3708" spans="1:15" s="90" customFormat="1" ht="12.75" customHeight="1" x14ac:dyDescent="0.2">
      <c r="A3708" s="247" t="s">
        <v>1637</v>
      </c>
      <c r="B3708" s="316">
        <v>3037</v>
      </c>
      <c r="C3708" s="247" t="s">
        <v>996</v>
      </c>
      <c r="D3708" s="317">
        <v>42676</v>
      </c>
      <c r="E3708" s="318">
        <v>0.50207175925925929</v>
      </c>
      <c r="F3708" s="247" t="s">
        <v>980</v>
      </c>
      <c r="G3708" s="247" t="s">
        <v>1035</v>
      </c>
      <c r="H3708" s="248" t="s">
        <v>234</v>
      </c>
      <c r="I3708" s="248" t="s">
        <v>263</v>
      </c>
      <c r="J3708" s="247" t="s">
        <v>809</v>
      </c>
      <c r="K3708" s="249">
        <v>0</v>
      </c>
      <c r="M3708" s="90">
        <v>0</v>
      </c>
      <c r="N3708" s="90">
        <v>0</v>
      </c>
      <c r="O3708" s="90">
        <v>255</v>
      </c>
    </row>
    <row r="3709" spans="1:15" s="90" customFormat="1" ht="12.75" customHeight="1" x14ac:dyDescent="0.2">
      <c r="A3709" s="247" t="s">
        <v>1638</v>
      </c>
      <c r="B3709" s="316">
        <v>3037</v>
      </c>
      <c r="C3709" s="247" t="s">
        <v>996</v>
      </c>
      <c r="D3709" s="317">
        <v>42676</v>
      </c>
      <c r="E3709" s="318">
        <v>0.50207175925925929</v>
      </c>
      <c r="F3709" s="247" t="s">
        <v>980</v>
      </c>
      <c r="G3709" s="247" t="s">
        <v>1035</v>
      </c>
      <c r="H3709" s="248" t="s">
        <v>234</v>
      </c>
      <c r="I3709" s="248" t="s">
        <v>263</v>
      </c>
      <c r="J3709" s="247" t="s">
        <v>809</v>
      </c>
      <c r="K3709" s="249">
        <v>0</v>
      </c>
      <c r="M3709" s="90">
        <v>0</v>
      </c>
      <c r="N3709" s="90">
        <v>0</v>
      </c>
      <c r="O3709" s="90">
        <v>255</v>
      </c>
    </row>
    <row r="3710" spans="1:15" s="90" customFormat="1" ht="12.75" customHeight="1" x14ac:dyDescent="0.2">
      <c r="A3710" s="247" t="s">
        <v>1639</v>
      </c>
      <c r="B3710" s="316">
        <v>3037</v>
      </c>
      <c r="C3710" s="247" t="s">
        <v>996</v>
      </c>
      <c r="D3710" s="317">
        <v>42676</v>
      </c>
      <c r="E3710" s="318">
        <v>0.50208333333333333</v>
      </c>
      <c r="F3710" s="247" t="s">
        <v>980</v>
      </c>
      <c r="G3710" s="247" t="s">
        <v>1035</v>
      </c>
      <c r="H3710" s="248" t="s">
        <v>234</v>
      </c>
      <c r="I3710" s="248" t="s">
        <v>263</v>
      </c>
      <c r="J3710" s="247" t="s">
        <v>809</v>
      </c>
      <c r="K3710" s="249">
        <v>0</v>
      </c>
      <c r="M3710" s="90">
        <v>0</v>
      </c>
      <c r="N3710" s="90">
        <v>0</v>
      </c>
      <c r="O3710" s="90">
        <v>255</v>
      </c>
    </row>
    <row r="3711" spans="1:15" s="90" customFormat="1" ht="12.75" customHeight="1" x14ac:dyDescent="0.2">
      <c r="A3711" s="247" t="s">
        <v>1640</v>
      </c>
      <c r="B3711" s="316">
        <v>3037</v>
      </c>
      <c r="C3711" s="247" t="s">
        <v>996</v>
      </c>
      <c r="D3711" s="317">
        <v>42676</v>
      </c>
      <c r="E3711" s="318">
        <v>0.50208333333333333</v>
      </c>
      <c r="F3711" s="247" t="s">
        <v>980</v>
      </c>
      <c r="G3711" s="247" t="s">
        <v>1035</v>
      </c>
      <c r="H3711" s="248" t="s">
        <v>234</v>
      </c>
      <c r="I3711" s="248" t="s">
        <v>263</v>
      </c>
      <c r="J3711" s="247" t="s">
        <v>809</v>
      </c>
      <c r="K3711" s="249">
        <v>0</v>
      </c>
      <c r="M3711" s="90">
        <v>0</v>
      </c>
      <c r="N3711" s="90">
        <v>0</v>
      </c>
      <c r="O3711" s="90">
        <v>255</v>
      </c>
    </row>
    <row r="3712" spans="1:15" s="90" customFormat="1" ht="12.75" customHeight="1" x14ac:dyDescent="0.2">
      <c r="A3712" s="247" t="s">
        <v>1641</v>
      </c>
      <c r="B3712" s="316">
        <v>3037</v>
      </c>
      <c r="C3712" s="247" t="s">
        <v>996</v>
      </c>
      <c r="D3712" s="317">
        <v>42676</v>
      </c>
      <c r="E3712" s="318">
        <v>0.50208333333333333</v>
      </c>
      <c r="F3712" s="247" t="s">
        <v>980</v>
      </c>
      <c r="G3712" s="247" t="s">
        <v>1035</v>
      </c>
      <c r="H3712" s="248" t="s">
        <v>234</v>
      </c>
      <c r="I3712" s="248" t="s">
        <v>263</v>
      </c>
      <c r="J3712" s="247" t="s">
        <v>809</v>
      </c>
      <c r="K3712" s="249">
        <v>0</v>
      </c>
      <c r="M3712" s="90">
        <v>0</v>
      </c>
      <c r="N3712" s="90">
        <v>0</v>
      </c>
      <c r="O3712" s="90">
        <v>255</v>
      </c>
    </row>
    <row r="3713" spans="1:15" s="90" customFormat="1" ht="12.75" customHeight="1" x14ac:dyDescent="0.2">
      <c r="A3713" s="247" t="s">
        <v>1642</v>
      </c>
      <c r="B3713" s="316">
        <v>3037</v>
      </c>
      <c r="C3713" s="247" t="s">
        <v>996</v>
      </c>
      <c r="D3713" s="317">
        <v>42676</v>
      </c>
      <c r="E3713" s="318">
        <v>0.50209490740740736</v>
      </c>
      <c r="F3713" s="247" t="s">
        <v>980</v>
      </c>
      <c r="G3713" s="247" t="s">
        <v>1035</v>
      </c>
      <c r="H3713" s="248" t="s">
        <v>234</v>
      </c>
      <c r="I3713" s="248" t="s">
        <v>263</v>
      </c>
      <c r="J3713" s="247" t="s">
        <v>809</v>
      </c>
      <c r="K3713" s="249">
        <v>0</v>
      </c>
      <c r="M3713" s="90">
        <v>0</v>
      </c>
      <c r="N3713" s="90">
        <v>0</v>
      </c>
      <c r="O3713" s="90">
        <v>255</v>
      </c>
    </row>
    <row r="3714" spans="1:15" s="90" customFormat="1" ht="12.75" customHeight="1" x14ac:dyDescent="0.2">
      <c r="A3714" s="247" t="s">
        <v>1643</v>
      </c>
      <c r="B3714" s="316">
        <v>3037</v>
      </c>
      <c r="C3714" s="247" t="s">
        <v>996</v>
      </c>
      <c r="D3714" s="317">
        <v>42676</v>
      </c>
      <c r="E3714" s="318">
        <v>0.50209490740740736</v>
      </c>
      <c r="F3714" s="247" t="s">
        <v>980</v>
      </c>
      <c r="G3714" s="247" t="s">
        <v>1035</v>
      </c>
      <c r="H3714" s="248" t="s">
        <v>234</v>
      </c>
      <c r="I3714" s="248" t="s">
        <v>263</v>
      </c>
      <c r="J3714" s="247" t="s">
        <v>809</v>
      </c>
      <c r="K3714" s="249">
        <v>0</v>
      </c>
      <c r="M3714" s="90">
        <v>0</v>
      </c>
      <c r="N3714" s="90">
        <v>0</v>
      </c>
      <c r="O3714" s="90">
        <v>255</v>
      </c>
    </row>
    <row r="3715" spans="1:15" s="90" customFormat="1" ht="12.75" customHeight="1" x14ac:dyDescent="0.2">
      <c r="A3715" s="247" t="s">
        <v>1644</v>
      </c>
      <c r="B3715" s="316">
        <v>3037</v>
      </c>
      <c r="C3715" s="247" t="s">
        <v>996</v>
      </c>
      <c r="D3715" s="317">
        <v>42676</v>
      </c>
      <c r="E3715" s="318">
        <v>0.50209490740740736</v>
      </c>
      <c r="F3715" s="247" t="s">
        <v>980</v>
      </c>
      <c r="G3715" s="247" t="s">
        <v>1035</v>
      </c>
      <c r="H3715" s="248" t="s">
        <v>234</v>
      </c>
      <c r="I3715" s="248" t="s">
        <v>263</v>
      </c>
      <c r="J3715" s="247" t="s">
        <v>809</v>
      </c>
      <c r="K3715" s="249">
        <v>0</v>
      </c>
      <c r="M3715" s="90">
        <v>0</v>
      </c>
      <c r="N3715" s="90">
        <v>0</v>
      </c>
      <c r="O3715" s="90">
        <v>255</v>
      </c>
    </row>
    <row r="3716" spans="1:15" s="90" customFormat="1" ht="12.75" customHeight="1" x14ac:dyDescent="0.2">
      <c r="A3716" s="247" t="s">
        <v>1645</v>
      </c>
      <c r="B3716" s="316">
        <v>3037</v>
      </c>
      <c r="C3716" s="247" t="s">
        <v>996</v>
      </c>
      <c r="D3716" s="317">
        <v>42676</v>
      </c>
      <c r="E3716" s="318">
        <v>0.50210648148148151</v>
      </c>
      <c r="F3716" s="247" t="s">
        <v>980</v>
      </c>
      <c r="G3716" s="247" t="s">
        <v>1035</v>
      </c>
      <c r="H3716" s="248" t="s">
        <v>234</v>
      </c>
      <c r="I3716" s="248" t="s">
        <v>263</v>
      </c>
      <c r="J3716" s="247" t="s">
        <v>809</v>
      </c>
      <c r="K3716" s="249">
        <v>0</v>
      </c>
      <c r="M3716" s="90">
        <v>0</v>
      </c>
      <c r="N3716" s="90">
        <v>0</v>
      </c>
      <c r="O3716" s="90">
        <v>255</v>
      </c>
    </row>
    <row r="3717" spans="1:15" s="90" customFormat="1" ht="12.75" customHeight="1" x14ac:dyDescent="0.2">
      <c r="A3717" s="247" t="s">
        <v>1646</v>
      </c>
      <c r="B3717" s="316">
        <v>3037</v>
      </c>
      <c r="C3717" s="247" t="s">
        <v>996</v>
      </c>
      <c r="D3717" s="317">
        <v>42676</v>
      </c>
      <c r="E3717" s="318">
        <v>0.50210648148148151</v>
      </c>
      <c r="F3717" s="247" t="s">
        <v>980</v>
      </c>
      <c r="G3717" s="247" t="s">
        <v>1035</v>
      </c>
      <c r="H3717" s="248" t="s">
        <v>234</v>
      </c>
      <c r="I3717" s="248" t="s">
        <v>263</v>
      </c>
      <c r="J3717" s="247" t="s">
        <v>809</v>
      </c>
      <c r="K3717" s="249">
        <v>0</v>
      </c>
      <c r="M3717" s="90">
        <v>0</v>
      </c>
      <c r="N3717" s="90">
        <v>0</v>
      </c>
      <c r="O3717" s="90">
        <v>255</v>
      </c>
    </row>
    <row r="3718" spans="1:15" s="90" customFormat="1" ht="12.75" customHeight="1" x14ac:dyDescent="0.2">
      <c r="A3718" s="247" t="s">
        <v>1647</v>
      </c>
      <c r="B3718" s="316">
        <v>3037</v>
      </c>
      <c r="C3718" s="247" t="s">
        <v>996</v>
      </c>
      <c r="D3718" s="317">
        <v>42676</v>
      </c>
      <c r="E3718" s="318">
        <v>0.50210648148148151</v>
      </c>
      <c r="F3718" s="247" t="s">
        <v>980</v>
      </c>
      <c r="G3718" s="247" t="s">
        <v>1035</v>
      </c>
      <c r="H3718" s="248" t="s">
        <v>234</v>
      </c>
      <c r="I3718" s="248" t="s">
        <v>263</v>
      </c>
      <c r="J3718" s="247" t="s">
        <v>809</v>
      </c>
      <c r="K3718" s="249">
        <v>0</v>
      </c>
      <c r="M3718" s="90">
        <v>0</v>
      </c>
      <c r="N3718" s="90">
        <v>0</v>
      </c>
      <c r="O3718" s="90">
        <v>255</v>
      </c>
    </row>
    <row r="3719" spans="1:15" s="90" customFormat="1" ht="12.75" customHeight="1" x14ac:dyDescent="0.2">
      <c r="A3719" s="247" t="s">
        <v>1648</v>
      </c>
      <c r="B3719" s="316">
        <v>3037</v>
      </c>
      <c r="C3719" s="247" t="s">
        <v>996</v>
      </c>
      <c r="D3719" s="317">
        <v>42676</v>
      </c>
      <c r="E3719" s="318">
        <v>0.50210648148148151</v>
      </c>
      <c r="F3719" s="247" t="s">
        <v>980</v>
      </c>
      <c r="G3719" s="247" t="s">
        <v>1035</v>
      </c>
      <c r="H3719" s="248" t="s">
        <v>234</v>
      </c>
      <c r="I3719" s="248" t="s">
        <v>263</v>
      </c>
      <c r="J3719" s="247" t="s">
        <v>809</v>
      </c>
      <c r="K3719" s="249">
        <v>0</v>
      </c>
      <c r="M3719" s="90">
        <v>0</v>
      </c>
      <c r="N3719" s="90">
        <v>0</v>
      </c>
      <c r="O3719" s="90">
        <v>255</v>
      </c>
    </row>
    <row r="3720" spans="1:15" s="90" customFormat="1" ht="12.75" customHeight="1" x14ac:dyDescent="0.2">
      <c r="A3720" s="247" t="s">
        <v>1649</v>
      </c>
      <c r="B3720" s="316">
        <v>3037</v>
      </c>
      <c r="C3720" s="247" t="s">
        <v>996</v>
      </c>
      <c r="D3720" s="317">
        <v>42676</v>
      </c>
      <c r="E3720" s="318">
        <v>0.50210648148148151</v>
      </c>
      <c r="F3720" s="247" t="s">
        <v>980</v>
      </c>
      <c r="G3720" s="247" t="s">
        <v>1035</v>
      </c>
      <c r="H3720" s="248" t="s">
        <v>234</v>
      </c>
      <c r="I3720" s="248" t="s">
        <v>263</v>
      </c>
      <c r="J3720" s="247" t="s">
        <v>809</v>
      </c>
      <c r="K3720" s="249">
        <v>0</v>
      </c>
      <c r="M3720" s="90">
        <v>0</v>
      </c>
      <c r="N3720" s="90">
        <v>0</v>
      </c>
      <c r="O3720" s="90">
        <v>255</v>
      </c>
    </row>
    <row r="3721" spans="1:15" s="90" customFormat="1" ht="12.75" customHeight="1" x14ac:dyDescent="0.2">
      <c r="A3721" s="247" t="s">
        <v>1650</v>
      </c>
      <c r="B3721" s="316">
        <v>3037</v>
      </c>
      <c r="C3721" s="247" t="s">
        <v>996</v>
      </c>
      <c r="D3721" s="317">
        <v>42676</v>
      </c>
      <c r="E3721" s="318">
        <v>0.50210648148148151</v>
      </c>
      <c r="F3721" s="247" t="s">
        <v>980</v>
      </c>
      <c r="G3721" s="247" t="s">
        <v>1035</v>
      </c>
      <c r="H3721" s="248" t="s">
        <v>234</v>
      </c>
      <c r="I3721" s="248" t="s">
        <v>263</v>
      </c>
      <c r="J3721" s="247" t="s">
        <v>809</v>
      </c>
      <c r="K3721" s="249">
        <v>0</v>
      </c>
      <c r="M3721" s="90">
        <v>0</v>
      </c>
      <c r="N3721" s="90">
        <v>0</v>
      </c>
      <c r="O3721" s="90">
        <v>255</v>
      </c>
    </row>
    <row r="3722" spans="1:15" s="90" customFormat="1" ht="12.75" customHeight="1" x14ac:dyDescent="0.2">
      <c r="A3722" s="247" t="s">
        <v>1651</v>
      </c>
      <c r="B3722" s="316">
        <v>3037</v>
      </c>
      <c r="C3722" s="247" t="s">
        <v>996</v>
      </c>
      <c r="D3722" s="317">
        <v>42676</v>
      </c>
      <c r="E3722" s="318">
        <v>0.50210648148148151</v>
      </c>
      <c r="F3722" s="247" t="s">
        <v>980</v>
      </c>
      <c r="G3722" s="247" t="s">
        <v>1035</v>
      </c>
      <c r="H3722" s="248" t="s">
        <v>234</v>
      </c>
      <c r="I3722" s="248" t="s">
        <v>263</v>
      </c>
      <c r="J3722" s="247" t="s">
        <v>809</v>
      </c>
      <c r="K3722" s="249">
        <v>0</v>
      </c>
      <c r="M3722" s="90">
        <v>0</v>
      </c>
      <c r="N3722" s="90">
        <v>0</v>
      </c>
      <c r="O3722" s="90">
        <v>255</v>
      </c>
    </row>
    <row r="3723" spans="1:15" s="90" customFormat="1" ht="12.75" customHeight="1" x14ac:dyDescent="0.2">
      <c r="A3723" s="247" t="s">
        <v>1652</v>
      </c>
      <c r="B3723" s="316">
        <v>3037</v>
      </c>
      <c r="C3723" s="247" t="s">
        <v>996</v>
      </c>
      <c r="D3723" s="317">
        <v>42676</v>
      </c>
      <c r="E3723" s="318">
        <v>0.50211805555555555</v>
      </c>
      <c r="F3723" s="247" t="s">
        <v>980</v>
      </c>
      <c r="G3723" s="247" t="s">
        <v>1035</v>
      </c>
      <c r="H3723" s="248" t="s">
        <v>234</v>
      </c>
      <c r="I3723" s="248" t="s">
        <v>263</v>
      </c>
      <c r="J3723" s="247" t="s">
        <v>809</v>
      </c>
      <c r="K3723" s="249">
        <v>0</v>
      </c>
      <c r="M3723" s="90">
        <v>0</v>
      </c>
      <c r="N3723" s="90">
        <v>0</v>
      </c>
      <c r="O3723" s="90">
        <v>255</v>
      </c>
    </row>
    <row r="3724" spans="1:15" s="90" customFormat="1" ht="12.75" customHeight="1" x14ac:dyDescent="0.2">
      <c r="A3724" s="247" t="s">
        <v>1653</v>
      </c>
      <c r="B3724" s="316">
        <v>3037</v>
      </c>
      <c r="C3724" s="247" t="s">
        <v>996</v>
      </c>
      <c r="D3724" s="317">
        <v>42676</v>
      </c>
      <c r="E3724" s="318">
        <v>0.50211805555555555</v>
      </c>
      <c r="F3724" s="247" t="s">
        <v>980</v>
      </c>
      <c r="G3724" s="247" t="s">
        <v>1035</v>
      </c>
      <c r="H3724" s="248" t="s">
        <v>234</v>
      </c>
      <c r="I3724" s="248" t="s">
        <v>263</v>
      </c>
      <c r="J3724" s="247" t="s">
        <v>809</v>
      </c>
      <c r="K3724" s="249">
        <v>0</v>
      </c>
      <c r="M3724" s="90">
        <v>0</v>
      </c>
      <c r="N3724" s="90">
        <v>0</v>
      </c>
      <c r="O3724" s="90">
        <v>255</v>
      </c>
    </row>
    <row r="3725" spans="1:15" s="90" customFormat="1" ht="12.75" customHeight="1" x14ac:dyDescent="0.2">
      <c r="A3725" s="247" t="s">
        <v>1654</v>
      </c>
      <c r="B3725" s="316">
        <v>3037</v>
      </c>
      <c r="C3725" s="247" t="s">
        <v>996</v>
      </c>
      <c r="D3725" s="317">
        <v>42676</v>
      </c>
      <c r="E3725" s="318">
        <v>0.5021296296296297</v>
      </c>
      <c r="F3725" s="247" t="s">
        <v>980</v>
      </c>
      <c r="G3725" s="247" t="s">
        <v>1035</v>
      </c>
      <c r="H3725" s="248" t="s">
        <v>234</v>
      </c>
      <c r="I3725" s="248" t="s">
        <v>263</v>
      </c>
      <c r="J3725" s="247" t="s">
        <v>809</v>
      </c>
      <c r="K3725" s="249">
        <v>0</v>
      </c>
      <c r="M3725" s="90">
        <v>0</v>
      </c>
      <c r="N3725" s="90">
        <v>0</v>
      </c>
      <c r="O3725" s="90">
        <v>255</v>
      </c>
    </row>
    <row r="3726" spans="1:15" s="90" customFormat="1" ht="12.75" customHeight="1" x14ac:dyDescent="0.2">
      <c r="A3726" s="247" t="s">
        <v>1655</v>
      </c>
      <c r="B3726" s="316">
        <v>3037</v>
      </c>
      <c r="C3726" s="247" t="s">
        <v>996</v>
      </c>
      <c r="D3726" s="317">
        <v>42676</v>
      </c>
      <c r="E3726" s="318">
        <v>0.5021296296296297</v>
      </c>
      <c r="F3726" s="247" t="s">
        <v>980</v>
      </c>
      <c r="G3726" s="247" t="s">
        <v>1035</v>
      </c>
      <c r="H3726" s="248" t="s">
        <v>234</v>
      </c>
      <c r="I3726" s="248" t="s">
        <v>263</v>
      </c>
      <c r="J3726" s="247" t="s">
        <v>809</v>
      </c>
      <c r="K3726" s="249">
        <v>0</v>
      </c>
      <c r="M3726" s="90">
        <v>0</v>
      </c>
      <c r="N3726" s="90">
        <v>0</v>
      </c>
      <c r="O3726" s="90">
        <v>255</v>
      </c>
    </row>
    <row r="3727" spans="1:15" s="90" customFormat="1" ht="12.75" customHeight="1" x14ac:dyDescent="0.2">
      <c r="A3727" s="247" t="s">
        <v>1656</v>
      </c>
      <c r="B3727" s="316">
        <v>3037</v>
      </c>
      <c r="C3727" s="247" t="s">
        <v>996</v>
      </c>
      <c r="D3727" s="317">
        <v>42676</v>
      </c>
      <c r="E3727" s="318">
        <v>0.5021296296296297</v>
      </c>
      <c r="F3727" s="247" t="s">
        <v>980</v>
      </c>
      <c r="G3727" s="247" t="s">
        <v>1035</v>
      </c>
      <c r="H3727" s="248" t="s">
        <v>234</v>
      </c>
      <c r="I3727" s="248" t="s">
        <v>263</v>
      </c>
      <c r="J3727" s="247" t="s">
        <v>809</v>
      </c>
      <c r="K3727" s="249">
        <v>0</v>
      </c>
      <c r="M3727" s="90">
        <v>0</v>
      </c>
      <c r="N3727" s="90">
        <v>0</v>
      </c>
      <c r="O3727" s="90">
        <v>255</v>
      </c>
    </row>
    <row r="3728" spans="1:15" s="90" customFormat="1" ht="12.75" customHeight="1" x14ac:dyDescent="0.2">
      <c r="A3728" s="247" t="s">
        <v>1657</v>
      </c>
      <c r="B3728" s="316">
        <v>3037</v>
      </c>
      <c r="C3728" s="247" t="s">
        <v>996</v>
      </c>
      <c r="D3728" s="317">
        <v>42676</v>
      </c>
      <c r="E3728" s="318">
        <v>0.50214120370370374</v>
      </c>
      <c r="F3728" s="247" t="s">
        <v>980</v>
      </c>
      <c r="G3728" s="247" t="s">
        <v>1035</v>
      </c>
      <c r="H3728" s="248" t="s">
        <v>234</v>
      </c>
      <c r="I3728" s="248" t="s">
        <v>263</v>
      </c>
      <c r="J3728" s="247" t="s">
        <v>809</v>
      </c>
      <c r="K3728" s="249">
        <v>0</v>
      </c>
      <c r="M3728" s="90">
        <v>0</v>
      </c>
      <c r="N3728" s="90">
        <v>0</v>
      </c>
      <c r="O3728" s="90">
        <v>255</v>
      </c>
    </row>
    <row r="3729" spans="1:15" s="90" customFormat="1" ht="12.75" customHeight="1" x14ac:dyDescent="0.2">
      <c r="A3729" s="247" t="s">
        <v>1658</v>
      </c>
      <c r="B3729" s="316">
        <v>3037</v>
      </c>
      <c r="C3729" s="247" t="s">
        <v>996</v>
      </c>
      <c r="D3729" s="317">
        <v>42676</v>
      </c>
      <c r="E3729" s="318">
        <v>0.50214120370370374</v>
      </c>
      <c r="F3729" s="247" t="s">
        <v>980</v>
      </c>
      <c r="G3729" s="247" t="s">
        <v>1035</v>
      </c>
      <c r="H3729" s="248" t="s">
        <v>234</v>
      </c>
      <c r="I3729" s="248" t="s">
        <v>263</v>
      </c>
      <c r="J3729" s="247" t="s">
        <v>809</v>
      </c>
      <c r="K3729" s="249">
        <v>0</v>
      </c>
      <c r="M3729" s="90">
        <v>0</v>
      </c>
      <c r="N3729" s="90">
        <v>0</v>
      </c>
      <c r="O3729" s="90">
        <v>255</v>
      </c>
    </row>
    <row r="3730" spans="1:15" s="90" customFormat="1" ht="12.75" customHeight="1" x14ac:dyDescent="0.2">
      <c r="A3730" s="247" t="s">
        <v>1659</v>
      </c>
      <c r="B3730" s="316">
        <v>3037</v>
      </c>
      <c r="C3730" s="247" t="s">
        <v>996</v>
      </c>
      <c r="D3730" s="317">
        <v>42676</v>
      </c>
      <c r="E3730" s="318">
        <v>0.50214120370370374</v>
      </c>
      <c r="F3730" s="247" t="s">
        <v>980</v>
      </c>
      <c r="G3730" s="247" t="s">
        <v>1035</v>
      </c>
      <c r="H3730" s="248" t="s">
        <v>234</v>
      </c>
      <c r="I3730" s="248" t="s">
        <v>263</v>
      </c>
      <c r="J3730" s="247" t="s">
        <v>809</v>
      </c>
      <c r="K3730" s="249">
        <v>0</v>
      </c>
      <c r="M3730" s="90">
        <v>0</v>
      </c>
      <c r="N3730" s="90">
        <v>0</v>
      </c>
      <c r="O3730" s="90">
        <v>255</v>
      </c>
    </row>
    <row r="3731" spans="1:15" s="90" customFormat="1" ht="12.75" customHeight="1" x14ac:dyDescent="0.2">
      <c r="A3731" s="247" t="s">
        <v>1660</v>
      </c>
      <c r="B3731" s="316">
        <v>3037</v>
      </c>
      <c r="C3731" s="247" t="s">
        <v>996</v>
      </c>
      <c r="D3731" s="317">
        <v>42676</v>
      </c>
      <c r="E3731" s="318">
        <v>0.50214120370370374</v>
      </c>
      <c r="F3731" s="247" t="s">
        <v>980</v>
      </c>
      <c r="G3731" s="247" t="s">
        <v>1035</v>
      </c>
      <c r="H3731" s="248" t="s">
        <v>234</v>
      </c>
      <c r="I3731" s="248" t="s">
        <v>263</v>
      </c>
      <c r="J3731" s="247" t="s">
        <v>809</v>
      </c>
      <c r="K3731" s="249">
        <v>0</v>
      </c>
      <c r="M3731" s="90">
        <v>0</v>
      </c>
      <c r="N3731" s="90">
        <v>0</v>
      </c>
      <c r="O3731" s="90">
        <v>255</v>
      </c>
    </row>
    <row r="3732" spans="1:15" s="90" customFormat="1" ht="12.75" customHeight="1" x14ac:dyDescent="0.2">
      <c r="A3732" s="247" t="s">
        <v>1661</v>
      </c>
      <c r="B3732" s="316">
        <v>3037</v>
      </c>
      <c r="C3732" s="247" t="s">
        <v>996</v>
      </c>
      <c r="D3732" s="317">
        <v>42676</v>
      </c>
      <c r="E3732" s="318">
        <v>0.50215277777777778</v>
      </c>
      <c r="F3732" s="247" t="s">
        <v>980</v>
      </c>
      <c r="G3732" s="247" t="s">
        <v>1035</v>
      </c>
      <c r="H3732" s="248" t="s">
        <v>234</v>
      </c>
      <c r="I3732" s="248" t="s">
        <v>263</v>
      </c>
      <c r="J3732" s="247" t="s">
        <v>809</v>
      </c>
      <c r="K3732" s="249">
        <v>0</v>
      </c>
      <c r="M3732" s="90">
        <v>0</v>
      </c>
      <c r="N3732" s="90">
        <v>0</v>
      </c>
      <c r="O3732" s="90">
        <v>255</v>
      </c>
    </row>
    <row r="3733" spans="1:15" s="90" customFormat="1" ht="12.75" customHeight="1" x14ac:dyDescent="0.2">
      <c r="A3733" s="247" t="s">
        <v>1662</v>
      </c>
      <c r="B3733" s="316">
        <v>3037</v>
      </c>
      <c r="C3733" s="247" t="s">
        <v>996</v>
      </c>
      <c r="D3733" s="317">
        <v>42676</v>
      </c>
      <c r="E3733" s="318">
        <v>0.50215277777777778</v>
      </c>
      <c r="F3733" s="247" t="s">
        <v>980</v>
      </c>
      <c r="G3733" s="247" t="s">
        <v>1035</v>
      </c>
      <c r="H3733" s="248" t="s">
        <v>234</v>
      </c>
      <c r="I3733" s="248" t="s">
        <v>263</v>
      </c>
      <c r="J3733" s="247" t="s">
        <v>809</v>
      </c>
      <c r="K3733" s="249">
        <v>0</v>
      </c>
      <c r="M3733" s="90">
        <v>0</v>
      </c>
      <c r="N3733" s="90">
        <v>0</v>
      </c>
      <c r="O3733" s="90">
        <v>255</v>
      </c>
    </row>
    <row r="3734" spans="1:15" s="90" customFormat="1" ht="12.75" customHeight="1" x14ac:dyDescent="0.2">
      <c r="A3734" s="247" t="s">
        <v>1663</v>
      </c>
      <c r="B3734" s="316">
        <v>3037</v>
      </c>
      <c r="C3734" s="247" t="s">
        <v>996</v>
      </c>
      <c r="D3734" s="317">
        <v>42676</v>
      </c>
      <c r="E3734" s="318">
        <v>0.50215277777777778</v>
      </c>
      <c r="F3734" s="247" t="s">
        <v>980</v>
      </c>
      <c r="G3734" s="247" t="s">
        <v>1035</v>
      </c>
      <c r="H3734" s="248" t="s">
        <v>234</v>
      </c>
      <c r="I3734" s="248" t="s">
        <v>263</v>
      </c>
      <c r="J3734" s="247" t="s">
        <v>809</v>
      </c>
      <c r="K3734" s="249">
        <v>0</v>
      </c>
      <c r="M3734" s="90">
        <v>0</v>
      </c>
      <c r="N3734" s="90">
        <v>0</v>
      </c>
      <c r="O3734" s="90">
        <v>255</v>
      </c>
    </row>
    <row r="3735" spans="1:15" s="90" customFormat="1" ht="12.75" customHeight="1" x14ac:dyDescent="0.2">
      <c r="A3735" s="247" t="s">
        <v>1664</v>
      </c>
      <c r="B3735" s="316">
        <v>3037</v>
      </c>
      <c r="C3735" s="247" t="s">
        <v>996</v>
      </c>
      <c r="D3735" s="317">
        <v>42676</v>
      </c>
      <c r="E3735" s="318">
        <v>0.50215277777777778</v>
      </c>
      <c r="F3735" s="247" t="s">
        <v>980</v>
      </c>
      <c r="G3735" s="247" t="s">
        <v>1035</v>
      </c>
      <c r="H3735" s="248" t="s">
        <v>234</v>
      </c>
      <c r="I3735" s="248" t="s">
        <v>263</v>
      </c>
      <c r="J3735" s="247" t="s">
        <v>809</v>
      </c>
      <c r="K3735" s="249">
        <v>0</v>
      </c>
      <c r="M3735" s="90">
        <v>0</v>
      </c>
      <c r="N3735" s="90">
        <v>0</v>
      </c>
      <c r="O3735" s="90">
        <v>255</v>
      </c>
    </row>
    <row r="3736" spans="1:15" s="90" customFormat="1" ht="12.75" customHeight="1" x14ac:dyDescent="0.2">
      <c r="A3736" s="247" t="s">
        <v>1665</v>
      </c>
      <c r="B3736" s="316">
        <v>3037</v>
      </c>
      <c r="C3736" s="247" t="s">
        <v>996</v>
      </c>
      <c r="D3736" s="317">
        <v>42676</v>
      </c>
      <c r="E3736" s="318">
        <v>0.50216435185185182</v>
      </c>
      <c r="F3736" s="247" t="s">
        <v>980</v>
      </c>
      <c r="G3736" s="247" t="s">
        <v>1035</v>
      </c>
      <c r="H3736" s="248" t="s">
        <v>234</v>
      </c>
      <c r="I3736" s="248" t="s">
        <v>263</v>
      </c>
      <c r="J3736" s="247" t="s">
        <v>809</v>
      </c>
      <c r="K3736" s="249">
        <v>0</v>
      </c>
      <c r="M3736" s="90">
        <v>0</v>
      </c>
      <c r="N3736" s="90">
        <v>0</v>
      </c>
      <c r="O3736" s="90">
        <v>255</v>
      </c>
    </row>
    <row r="3737" spans="1:15" s="90" customFormat="1" ht="12.75" customHeight="1" x14ac:dyDescent="0.2">
      <c r="A3737" s="247" t="s">
        <v>1666</v>
      </c>
      <c r="B3737" s="316">
        <v>3037</v>
      </c>
      <c r="C3737" s="247" t="s">
        <v>996</v>
      </c>
      <c r="D3737" s="317">
        <v>42676</v>
      </c>
      <c r="E3737" s="318">
        <v>0.50216435185185182</v>
      </c>
      <c r="F3737" s="247" t="s">
        <v>980</v>
      </c>
      <c r="G3737" s="247" t="s">
        <v>1035</v>
      </c>
      <c r="H3737" s="248" t="s">
        <v>234</v>
      </c>
      <c r="I3737" s="248" t="s">
        <v>263</v>
      </c>
      <c r="J3737" s="247" t="s">
        <v>809</v>
      </c>
      <c r="K3737" s="249">
        <v>0</v>
      </c>
      <c r="M3737" s="90">
        <v>0</v>
      </c>
      <c r="N3737" s="90">
        <v>0</v>
      </c>
      <c r="O3737" s="90">
        <v>255</v>
      </c>
    </row>
    <row r="3738" spans="1:15" s="90" customFormat="1" ht="12.75" customHeight="1" x14ac:dyDescent="0.2">
      <c r="A3738" s="247" t="s">
        <v>1667</v>
      </c>
      <c r="B3738" s="316">
        <v>3037</v>
      </c>
      <c r="C3738" s="247" t="s">
        <v>996</v>
      </c>
      <c r="D3738" s="317">
        <v>42676</v>
      </c>
      <c r="E3738" s="318">
        <v>0.50216435185185182</v>
      </c>
      <c r="F3738" s="247" t="s">
        <v>980</v>
      </c>
      <c r="G3738" s="247" t="s">
        <v>1035</v>
      </c>
      <c r="H3738" s="248" t="s">
        <v>234</v>
      </c>
      <c r="I3738" s="248" t="s">
        <v>263</v>
      </c>
      <c r="J3738" s="247" t="s">
        <v>809</v>
      </c>
      <c r="K3738" s="249">
        <v>0</v>
      </c>
      <c r="M3738" s="90">
        <v>0</v>
      </c>
      <c r="N3738" s="90">
        <v>0</v>
      </c>
      <c r="O3738" s="90">
        <v>255</v>
      </c>
    </row>
    <row r="3739" spans="1:15" s="90" customFormat="1" ht="12.75" customHeight="1" x14ac:dyDescent="0.2">
      <c r="A3739" s="247" t="s">
        <v>1668</v>
      </c>
      <c r="B3739" s="316">
        <v>3037</v>
      </c>
      <c r="C3739" s="247" t="s">
        <v>996</v>
      </c>
      <c r="D3739" s="317">
        <v>42676</v>
      </c>
      <c r="E3739" s="318">
        <v>0.50217592592592586</v>
      </c>
      <c r="F3739" s="247" t="s">
        <v>980</v>
      </c>
      <c r="G3739" s="247" t="s">
        <v>1035</v>
      </c>
      <c r="H3739" s="248" t="s">
        <v>234</v>
      </c>
      <c r="I3739" s="248" t="s">
        <v>263</v>
      </c>
      <c r="J3739" s="247" t="s">
        <v>809</v>
      </c>
      <c r="K3739" s="249">
        <v>0</v>
      </c>
      <c r="M3739" s="90">
        <v>0</v>
      </c>
      <c r="N3739" s="90">
        <v>0</v>
      </c>
      <c r="O3739" s="90">
        <v>255</v>
      </c>
    </row>
    <row r="3740" spans="1:15" s="90" customFormat="1" ht="12.75" customHeight="1" x14ac:dyDescent="0.2">
      <c r="A3740" s="247" t="s">
        <v>1669</v>
      </c>
      <c r="B3740" s="316">
        <v>3037</v>
      </c>
      <c r="C3740" s="247" t="s">
        <v>996</v>
      </c>
      <c r="D3740" s="317">
        <v>42676</v>
      </c>
      <c r="E3740" s="318">
        <v>0.50217592592592586</v>
      </c>
      <c r="F3740" s="247" t="s">
        <v>980</v>
      </c>
      <c r="G3740" s="247" t="s">
        <v>1035</v>
      </c>
      <c r="H3740" s="248" t="s">
        <v>234</v>
      </c>
      <c r="I3740" s="248" t="s">
        <v>263</v>
      </c>
      <c r="J3740" s="247" t="s">
        <v>809</v>
      </c>
      <c r="K3740" s="249">
        <v>0</v>
      </c>
      <c r="M3740" s="90">
        <v>0</v>
      </c>
      <c r="N3740" s="90">
        <v>0</v>
      </c>
      <c r="O3740" s="90">
        <v>255</v>
      </c>
    </row>
    <row r="3741" spans="1:15" s="90" customFormat="1" ht="12.75" customHeight="1" x14ac:dyDescent="0.2">
      <c r="A3741" s="247" t="s">
        <v>1670</v>
      </c>
      <c r="B3741" s="316">
        <v>3037</v>
      </c>
      <c r="C3741" s="247" t="s">
        <v>996</v>
      </c>
      <c r="D3741" s="317">
        <v>42676</v>
      </c>
      <c r="E3741" s="318">
        <v>0.50217592592592586</v>
      </c>
      <c r="F3741" s="247" t="s">
        <v>980</v>
      </c>
      <c r="G3741" s="247" t="s">
        <v>1035</v>
      </c>
      <c r="H3741" s="248" t="s">
        <v>234</v>
      </c>
      <c r="I3741" s="248" t="s">
        <v>263</v>
      </c>
      <c r="J3741" s="247" t="s">
        <v>809</v>
      </c>
      <c r="K3741" s="249">
        <v>0</v>
      </c>
      <c r="M3741" s="90">
        <v>0</v>
      </c>
      <c r="N3741" s="90">
        <v>0</v>
      </c>
      <c r="O3741" s="90">
        <v>255</v>
      </c>
    </row>
    <row r="3742" spans="1:15" s="90" customFormat="1" ht="12.75" customHeight="1" x14ac:dyDescent="0.2">
      <c r="A3742" s="247" t="s">
        <v>1671</v>
      </c>
      <c r="B3742" s="316">
        <v>3037</v>
      </c>
      <c r="C3742" s="247" t="s">
        <v>996</v>
      </c>
      <c r="D3742" s="317">
        <v>42676</v>
      </c>
      <c r="E3742" s="318">
        <v>0.50218750000000001</v>
      </c>
      <c r="F3742" s="247" t="s">
        <v>980</v>
      </c>
      <c r="G3742" s="247" t="s">
        <v>1035</v>
      </c>
      <c r="H3742" s="248" t="s">
        <v>234</v>
      </c>
      <c r="I3742" s="248" t="s">
        <v>263</v>
      </c>
      <c r="J3742" s="247" t="s">
        <v>809</v>
      </c>
      <c r="K3742" s="249">
        <v>0</v>
      </c>
      <c r="M3742" s="90">
        <v>0</v>
      </c>
      <c r="N3742" s="90">
        <v>0</v>
      </c>
      <c r="O3742" s="90">
        <v>255</v>
      </c>
    </row>
    <row r="3743" spans="1:15" s="90" customFormat="1" ht="12.75" customHeight="1" x14ac:dyDescent="0.2">
      <c r="A3743" s="247" t="s">
        <v>1672</v>
      </c>
      <c r="B3743" s="316">
        <v>3037</v>
      </c>
      <c r="C3743" s="247" t="s">
        <v>996</v>
      </c>
      <c r="D3743" s="317">
        <v>42676</v>
      </c>
      <c r="E3743" s="318">
        <v>0.50218750000000001</v>
      </c>
      <c r="F3743" s="247" t="s">
        <v>980</v>
      </c>
      <c r="G3743" s="247" t="s">
        <v>1035</v>
      </c>
      <c r="H3743" s="248" t="s">
        <v>234</v>
      </c>
      <c r="I3743" s="248" t="s">
        <v>263</v>
      </c>
      <c r="J3743" s="247" t="s">
        <v>809</v>
      </c>
      <c r="K3743" s="249">
        <v>0</v>
      </c>
      <c r="M3743" s="90">
        <v>0</v>
      </c>
      <c r="N3743" s="90">
        <v>0</v>
      </c>
      <c r="O3743" s="90">
        <v>255</v>
      </c>
    </row>
    <row r="3744" spans="1:15" s="90" customFormat="1" ht="12.75" customHeight="1" x14ac:dyDescent="0.2">
      <c r="A3744" s="247" t="s">
        <v>1673</v>
      </c>
      <c r="B3744" s="316">
        <v>3037</v>
      </c>
      <c r="C3744" s="247" t="s">
        <v>996</v>
      </c>
      <c r="D3744" s="317">
        <v>42676</v>
      </c>
      <c r="E3744" s="318">
        <v>0.50218750000000001</v>
      </c>
      <c r="F3744" s="247" t="s">
        <v>980</v>
      </c>
      <c r="G3744" s="247" t="s">
        <v>1035</v>
      </c>
      <c r="H3744" s="248" t="s">
        <v>234</v>
      </c>
      <c r="I3744" s="248" t="s">
        <v>263</v>
      </c>
      <c r="J3744" s="247" t="s">
        <v>809</v>
      </c>
      <c r="K3744" s="249">
        <v>0</v>
      </c>
      <c r="M3744" s="90">
        <v>0</v>
      </c>
      <c r="N3744" s="90">
        <v>0</v>
      </c>
      <c r="O3744" s="90">
        <v>255</v>
      </c>
    </row>
    <row r="3745" spans="1:15" s="90" customFormat="1" ht="12.75" customHeight="1" x14ac:dyDescent="0.2">
      <c r="A3745" s="247" t="s">
        <v>1674</v>
      </c>
      <c r="B3745" s="316">
        <v>3037</v>
      </c>
      <c r="C3745" s="247" t="s">
        <v>996</v>
      </c>
      <c r="D3745" s="317">
        <v>42676</v>
      </c>
      <c r="E3745" s="318">
        <v>0.50218750000000001</v>
      </c>
      <c r="F3745" s="247" t="s">
        <v>980</v>
      </c>
      <c r="G3745" s="247" t="s">
        <v>1035</v>
      </c>
      <c r="H3745" s="248" t="s">
        <v>234</v>
      </c>
      <c r="I3745" s="248" t="s">
        <v>263</v>
      </c>
      <c r="J3745" s="247" t="s">
        <v>809</v>
      </c>
      <c r="K3745" s="249">
        <v>0</v>
      </c>
      <c r="M3745" s="90">
        <v>0</v>
      </c>
      <c r="N3745" s="90">
        <v>0</v>
      </c>
      <c r="O3745" s="90">
        <v>255</v>
      </c>
    </row>
    <row r="3746" spans="1:15" s="90" customFormat="1" ht="12.75" customHeight="1" x14ac:dyDescent="0.2">
      <c r="A3746" s="247" t="s">
        <v>1675</v>
      </c>
      <c r="B3746" s="316">
        <v>3037</v>
      </c>
      <c r="C3746" s="247" t="s">
        <v>996</v>
      </c>
      <c r="D3746" s="317">
        <v>42676</v>
      </c>
      <c r="E3746" s="318">
        <v>0.50218750000000001</v>
      </c>
      <c r="F3746" s="247" t="s">
        <v>980</v>
      </c>
      <c r="G3746" s="247" t="s">
        <v>1035</v>
      </c>
      <c r="H3746" s="248" t="s">
        <v>234</v>
      </c>
      <c r="I3746" s="248" t="s">
        <v>263</v>
      </c>
      <c r="J3746" s="247" t="s">
        <v>809</v>
      </c>
      <c r="K3746" s="249">
        <v>0</v>
      </c>
      <c r="M3746" s="90">
        <v>0</v>
      </c>
      <c r="N3746" s="90">
        <v>0</v>
      </c>
      <c r="O3746" s="90">
        <v>255</v>
      </c>
    </row>
    <row r="3747" spans="1:15" s="90" customFormat="1" ht="12.75" customHeight="1" x14ac:dyDescent="0.2">
      <c r="A3747" s="247" t="s">
        <v>1676</v>
      </c>
      <c r="B3747" s="316">
        <v>3037</v>
      </c>
      <c r="C3747" s="247" t="s">
        <v>996</v>
      </c>
      <c r="D3747" s="317">
        <v>42676</v>
      </c>
      <c r="E3747" s="318">
        <v>0.50219907407407405</v>
      </c>
      <c r="F3747" s="247" t="s">
        <v>980</v>
      </c>
      <c r="G3747" s="247" t="s">
        <v>1035</v>
      </c>
      <c r="H3747" s="248" t="s">
        <v>234</v>
      </c>
      <c r="I3747" s="248" t="s">
        <v>263</v>
      </c>
      <c r="J3747" s="247" t="s">
        <v>809</v>
      </c>
      <c r="K3747" s="249">
        <v>0</v>
      </c>
      <c r="M3747" s="90">
        <v>0</v>
      </c>
      <c r="N3747" s="90">
        <v>0</v>
      </c>
      <c r="O3747" s="90">
        <v>255</v>
      </c>
    </row>
    <row r="3748" spans="1:15" s="90" customFormat="1" ht="12.75" customHeight="1" x14ac:dyDescent="0.2">
      <c r="A3748" s="247" t="s">
        <v>1677</v>
      </c>
      <c r="B3748" s="316">
        <v>3037</v>
      </c>
      <c r="C3748" s="247" t="s">
        <v>996</v>
      </c>
      <c r="D3748" s="317">
        <v>42676</v>
      </c>
      <c r="E3748" s="318">
        <v>0.50219907407407405</v>
      </c>
      <c r="F3748" s="247" t="s">
        <v>980</v>
      </c>
      <c r="G3748" s="247" t="s">
        <v>1035</v>
      </c>
      <c r="H3748" s="248" t="s">
        <v>234</v>
      </c>
      <c r="I3748" s="248" t="s">
        <v>263</v>
      </c>
      <c r="J3748" s="247" t="s">
        <v>809</v>
      </c>
      <c r="K3748" s="249">
        <v>0</v>
      </c>
      <c r="M3748" s="90">
        <v>0</v>
      </c>
      <c r="N3748" s="90">
        <v>0</v>
      </c>
      <c r="O3748" s="90">
        <v>255</v>
      </c>
    </row>
    <row r="3749" spans="1:15" s="90" customFormat="1" ht="12.75" customHeight="1" x14ac:dyDescent="0.2">
      <c r="A3749" s="247" t="s">
        <v>1678</v>
      </c>
      <c r="B3749" s="316">
        <v>3037</v>
      </c>
      <c r="C3749" s="247" t="s">
        <v>996</v>
      </c>
      <c r="D3749" s="317">
        <v>42676</v>
      </c>
      <c r="E3749" s="318">
        <v>0.50219907407407405</v>
      </c>
      <c r="F3749" s="247" t="s">
        <v>980</v>
      </c>
      <c r="G3749" s="247" t="s">
        <v>1035</v>
      </c>
      <c r="H3749" s="248" t="s">
        <v>234</v>
      </c>
      <c r="I3749" s="248" t="s">
        <v>263</v>
      </c>
      <c r="J3749" s="247" t="s">
        <v>809</v>
      </c>
      <c r="K3749" s="249">
        <v>0</v>
      </c>
      <c r="M3749" s="90">
        <v>0</v>
      </c>
      <c r="N3749" s="90">
        <v>0</v>
      </c>
      <c r="O3749" s="90">
        <v>255</v>
      </c>
    </row>
    <row r="3750" spans="1:15" s="90" customFormat="1" ht="12.75" customHeight="1" x14ac:dyDescent="0.2">
      <c r="A3750" s="247" t="s">
        <v>1679</v>
      </c>
      <c r="B3750" s="316">
        <v>3037</v>
      </c>
      <c r="C3750" s="247" t="s">
        <v>996</v>
      </c>
      <c r="D3750" s="317">
        <v>42676</v>
      </c>
      <c r="E3750" s="318">
        <v>0.50219907407407405</v>
      </c>
      <c r="F3750" s="247" t="s">
        <v>980</v>
      </c>
      <c r="G3750" s="247" t="s">
        <v>1035</v>
      </c>
      <c r="H3750" s="248" t="s">
        <v>234</v>
      </c>
      <c r="I3750" s="248" t="s">
        <v>263</v>
      </c>
      <c r="J3750" s="247" t="s">
        <v>809</v>
      </c>
      <c r="K3750" s="249">
        <v>0</v>
      </c>
      <c r="M3750" s="90">
        <v>0</v>
      </c>
      <c r="N3750" s="90">
        <v>0</v>
      </c>
      <c r="O3750" s="90">
        <v>255</v>
      </c>
    </row>
    <row r="3751" spans="1:15" s="90" customFormat="1" ht="12.75" customHeight="1" x14ac:dyDescent="0.2">
      <c r="A3751" s="247" t="s">
        <v>1680</v>
      </c>
      <c r="B3751" s="316">
        <v>3037</v>
      </c>
      <c r="C3751" s="247" t="s">
        <v>996</v>
      </c>
      <c r="D3751" s="317">
        <v>42676</v>
      </c>
      <c r="E3751" s="318">
        <v>0.50219907407407405</v>
      </c>
      <c r="F3751" s="247" t="s">
        <v>980</v>
      </c>
      <c r="G3751" s="247" t="s">
        <v>1035</v>
      </c>
      <c r="H3751" s="248" t="s">
        <v>234</v>
      </c>
      <c r="I3751" s="248" t="s">
        <v>263</v>
      </c>
      <c r="J3751" s="247" t="s">
        <v>809</v>
      </c>
      <c r="K3751" s="249">
        <v>0</v>
      </c>
      <c r="M3751" s="90">
        <v>0</v>
      </c>
      <c r="N3751" s="90">
        <v>0</v>
      </c>
      <c r="O3751" s="90">
        <v>255</v>
      </c>
    </row>
    <row r="3752" spans="1:15" s="90" customFormat="1" ht="12.75" customHeight="1" x14ac:dyDescent="0.2">
      <c r="A3752" s="247" t="s">
        <v>1681</v>
      </c>
      <c r="B3752" s="316">
        <v>3037</v>
      </c>
      <c r="C3752" s="247" t="s">
        <v>996</v>
      </c>
      <c r="D3752" s="317">
        <v>42676</v>
      </c>
      <c r="E3752" s="318">
        <v>0.50219907407407405</v>
      </c>
      <c r="F3752" s="247" t="s">
        <v>980</v>
      </c>
      <c r="G3752" s="247" t="s">
        <v>1035</v>
      </c>
      <c r="H3752" s="248" t="s">
        <v>234</v>
      </c>
      <c r="I3752" s="248" t="s">
        <v>263</v>
      </c>
      <c r="J3752" s="247" t="s">
        <v>809</v>
      </c>
      <c r="K3752" s="249">
        <v>0</v>
      </c>
      <c r="M3752" s="90">
        <v>0</v>
      </c>
      <c r="N3752" s="90">
        <v>0</v>
      </c>
      <c r="O3752" s="90">
        <v>255</v>
      </c>
    </row>
    <row r="3753" spans="1:15" s="90" customFormat="1" ht="12.75" customHeight="1" x14ac:dyDescent="0.2">
      <c r="A3753" s="247" t="s">
        <v>1532</v>
      </c>
      <c r="B3753" s="316">
        <v>3037</v>
      </c>
      <c r="C3753" s="247" t="s">
        <v>996</v>
      </c>
      <c r="D3753" s="317">
        <v>42676</v>
      </c>
      <c r="E3753" s="318">
        <v>0.50219907407407405</v>
      </c>
      <c r="F3753" s="247" t="s">
        <v>980</v>
      </c>
      <c r="G3753" s="247" t="s">
        <v>1035</v>
      </c>
      <c r="H3753" s="248" t="s">
        <v>234</v>
      </c>
      <c r="I3753" s="248" t="s">
        <v>263</v>
      </c>
      <c r="J3753" s="247" t="s">
        <v>809</v>
      </c>
      <c r="K3753" s="249">
        <v>0</v>
      </c>
      <c r="M3753" s="90">
        <v>0</v>
      </c>
      <c r="N3753" s="90">
        <v>0</v>
      </c>
      <c r="O3753" s="90">
        <v>255</v>
      </c>
    </row>
    <row r="3754" spans="1:15" s="90" customFormat="1" ht="12.75" customHeight="1" x14ac:dyDescent="0.2">
      <c r="A3754" s="247" t="s">
        <v>1533</v>
      </c>
      <c r="B3754" s="316">
        <v>3037</v>
      </c>
      <c r="C3754" s="247" t="s">
        <v>996</v>
      </c>
      <c r="D3754" s="317">
        <v>42676</v>
      </c>
      <c r="E3754" s="318">
        <v>0.5022106481481482</v>
      </c>
      <c r="F3754" s="247" t="s">
        <v>980</v>
      </c>
      <c r="G3754" s="247" t="s">
        <v>1035</v>
      </c>
      <c r="H3754" s="248" t="s">
        <v>234</v>
      </c>
      <c r="I3754" s="248" t="s">
        <v>263</v>
      </c>
      <c r="J3754" s="247" t="s">
        <v>809</v>
      </c>
      <c r="K3754" s="249">
        <v>0</v>
      </c>
      <c r="M3754" s="90">
        <v>0</v>
      </c>
      <c r="N3754" s="90">
        <v>0</v>
      </c>
      <c r="O3754" s="90">
        <v>255</v>
      </c>
    </row>
    <row r="3755" spans="1:15" s="90" customFormat="1" ht="12.75" customHeight="1" x14ac:dyDescent="0.2">
      <c r="A3755" s="247" t="s">
        <v>1682</v>
      </c>
      <c r="B3755" s="316">
        <v>3037</v>
      </c>
      <c r="C3755" s="247" t="s">
        <v>996</v>
      </c>
      <c r="D3755" s="317">
        <v>42676</v>
      </c>
      <c r="E3755" s="318">
        <v>0.5022106481481482</v>
      </c>
      <c r="F3755" s="247" t="s">
        <v>980</v>
      </c>
      <c r="G3755" s="247" t="s">
        <v>1035</v>
      </c>
      <c r="H3755" s="248" t="s">
        <v>234</v>
      </c>
      <c r="I3755" s="248" t="s">
        <v>263</v>
      </c>
      <c r="J3755" s="247" t="s">
        <v>809</v>
      </c>
      <c r="K3755" s="249">
        <v>0</v>
      </c>
      <c r="M3755" s="90">
        <v>0</v>
      </c>
      <c r="N3755" s="90">
        <v>0</v>
      </c>
      <c r="O3755" s="90">
        <v>255</v>
      </c>
    </row>
    <row r="3756" spans="1:15" s="90" customFormat="1" ht="12.75" customHeight="1" x14ac:dyDescent="0.2">
      <c r="A3756" s="247" t="s">
        <v>1683</v>
      </c>
      <c r="B3756" s="316">
        <v>3037</v>
      </c>
      <c r="C3756" s="247" t="s">
        <v>996</v>
      </c>
      <c r="D3756" s="317">
        <v>42676</v>
      </c>
      <c r="E3756" s="318">
        <v>0.5022106481481482</v>
      </c>
      <c r="F3756" s="247" t="s">
        <v>980</v>
      </c>
      <c r="G3756" s="247" t="s">
        <v>1035</v>
      </c>
      <c r="H3756" s="248" t="s">
        <v>234</v>
      </c>
      <c r="I3756" s="248" t="s">
        <v>263</v>
      </c>
      <c r="J3756" s="247" t="s">
        <v>809</v>
      </c>
      <c r="K3756" s="249">
        <v>0</v>
      </c>
      <c r="M3756" s="90">
        <v>0</v>
      </c>
      <c r="N3756" s="90">
        <v>0</v>
      </c>
      <c r="O3756" s="90">
        <v>255</v>
      </c>
    </row>
    <row r="3757" spans="1:15" s="90" customFormat="1" ht="12.75" customHeight="1" x14ac:dyDescent="0.2">
      <c r="A3757" s="247" t="s">
        <v>1684</v>
      </c>
      <c r="B3757" s="316">
        <v>3037</v>
      </c>
      <c r="C3757" s="247" t="s">
        <v>996</v>
      </c>
      <c r="D3757" s="317">
        <v>42676</v>
      </c>
      <c r="E3757" s="318">
        <v>0.5022106481481482</v>
      </c>
      <c r="F3757" s="247" t="s">
        <v>980</v>
      </c>
      <c r="G3757" s="247" t="s">
        <v>1035</v>
      </c>
      <c r="H3757" s="248" t="s">
        <v>234</v>
      </c>
      <c r="I3757" s="248" t="s">
        <v>263</v>
      </c>
      <c r="J3757" s="247" t="s">
        <v>809</v>
      </c>
      <c r="K3757" s="249">
        <v>0</v>
      </c>
      <c r="M3757" s="90">
        <v>0</v>
      </c>
      <c r="N3757" s="90">
        <v>0</v>
      </c>
      <c r="O3757" s="90">
        <v>255</v>
      </c>
    </row>
    <row r="3758" spans="1:15" s="90" customFormat="1" ht="12.75" customHeight="1" x14ac:dyDescent="0.2">
      <c r="A3758" s="247" t="s">
        <v>1531</v>
      </c>
      <c r="B3758" s="316">
        <v>3037</v>
      </c>
      <c r="C3758" s="247" t="s">
        <v>996</v>
      </c>
      <c r="D3758" s="317">
        <v>42676</v>
      </c>
      <c r="E3758" s="318">
        <v>0.5022106481481482</v>
      </c>
      <c r="F3758" s="247" t="s">
        <v>980</v>
      </c>
      <c r="G3758" s="247" t="s">
        <v>1035</v>
      </c>
      <c r="H3758" s="248" t="s">
        <v>234</v>
      </c>
      <c r="I3758" s="248" t="s">
        <v>263</v>
      </c>
      <c r="J3758" s="247" t="s">
        <v>809</v>
      </c>
      <c r="K3758" s="249">
        <v>0</v>
      </c>
      <c r="M3758" s="90">
        <v>0</v>
      </c>
      <c r="N3758" s="90">
        <v>0</v>
      </c>
      <c r="O3758" s="90">
        <v>255</v>
      </c>
    </row>
    <row r="3759" spans="1:15" s="90" customFormat="1" ht="12.75" customHeight="1" x14ac:dyDescent="0.2">
      <c r="A3759" s="247" t="s">
        <v>1685</v>
      </c>
      <c r="B3759" s="316">
        <v>3037</v>
      </c>
      <c r="C3759" s="247" t="s">
        <v>996</v>
      </c>
      <c r="D3759" s="317">
        <v>42676</v>
      </c>
      <c r="E3759" s="318">
        <v>0.5022106481481482</v>
      </c>
      <c r="F3759" s="247" t="s">
        <v>980</v>
      </c>
      <c r="G3759" s="247" t="s">
        <v>1035</v>
      </c>
      <c r="H3759" s="248" t="s">
        <v>234</v>
      </c>
      <c r="I3759" s="248" t="s">
        <v>263</v>
      </c>
      <c r="J3759" s="247" t="s">
        <v>809</v>
      </c>
      <c r="K3759" s="249">
        <v>0</v>
      </c>
      <c r="M3759" s="90">
        <v>0</v>
      </c>
      <c r="N3759" s="90">
        <v>0</v>
      </c>
      <c r="O3759" s="90">
        <v>255</v>
      </c>
    </row>
    <row r="3760" spans="1:15" s="90" customFormat="1" ht="12.75" customHeight="1" x14ac:dyDescent="0.2">
      <c r="A3760" s="247" t="s">
        <v>1686</v>
      </c>
      <c r="B3760" s="316">
        <v>3037</v>
      </c>
      <c r="C3760" s="247" t="s">
        <v>996</v>
      </c>
      <c r="D3760" s="317">
        <v>42676</v>
      </c>
      <c r="E3760" s="318">
        <v>0.50222222222222224</v>
      </c>
      <c r="F3760" s="247" t="s">
        <v>980</v>
      </c>
      <c r="G3760" s="247" t="s">
        <v>1035</v>
      </c>
      <c r="H3760" s="248" t="s">
        <v>234</v>
      </c>
      <c r="I3760" s="248" t="s">
        <v>263</v>
      </c>
      <c r="J3760" s="247" t="s">
        <v>809</v>
      </c>
      <c r="K3760" s="249">
        <v>0</v>
      </c>
      <c r="M3760" s="90">
        <v>0</v>
      </c>
      <c r="N3760" s="90">
        <v>0</v>
      </c>
      <c r="O3760" s="90">
        <v>255</v>
      </c>
    </row>
    <row r="3761" spans="1:15" s="90" customFormat="1" ht="12.75" customHeight="1" x14ac:dyDescent="0.2">
      <c r="A3761" s="247" t="s">
        <v>1687</v>
      </c>
      <c r="B3761" s="316">
        <v>3037</v>
      </c>
      <c r="C3761" s="247" t="s">
        <v>996</v>
      </c>
      <c r="D3761" s="317">
        <v>42676</v>
      </c>
      <c r="E3761" s="318">
        <v>0.50222222222222224</v>
      </c>
      <c r="F3761" s="247" t="s">
        <v>980</v>
      </c>
      <c r="G3761" s="247" t="s">
        <v>1035</v>
      </c>
      <c r="H3761" s="248" t="s">
        <v>234</v>
      </c>
      <c r="I3761" s="248" t="s">
        <v>263</v>
      </c>
      <c r="J3761" s="247" t="s">
        <v>809</v>
      </c>
      <c r="K3761" s="249">
        <v>0</v>
      </c>
      <c r="M3761" s="90">
        <v>0</v>
      </c>
      <c r="N3761" s="90">
        <v>0</v>
      </c>
      <c r="O3761" s="90">
        <v>255</v>
      </c>
    </row>
    <row r="3762" spans="1:15" s="90" customFormat="1" ht="12.75" customHeight="1" x14ac:dyDescent="0.2">
      <c r="A3762" s="247" t="s">
        <v>1688</v>
      </c>
      <c r="B3762" s="316">
        <v>3037</v>
      </c>
      <c r="C3762" s="247" t="s">
        <v>996</v>
      </c>
      <c r="D3762" s="317">
        <v>42676</v>
      </c>
      <c r="E3762" s="318">
        <v>0.50222222222222224</v>
      </c>
      <c r="F3762" s="247" t="s">
        <v>980</v>
      </c>
      <c r="G3762" s="247" t="s">
        <v>1035</v>
      </c>
      <c r="H3762" s="248" t="s">
        <v>234</v>
      </c>
      <c r="I3762" s="248" t="s">
        <v>263</v>
      </c>
      <c r="J3762" s="247" t="s">
        <v>809</v>
      </c>
      <c r="K3762" s="249">
        <v>0</v>
      </c>
      <c r="M3762" s="90">
        <v>0</v>
      </c>
      <c r="N3762" s="90">
        <v>0</v>
      </c>
      <c r="O3762" s="90">
        <v>255</v>
      </c>
    </row>
    <row r="3763" spans="1:15" s="90" customFormat="1" ht="12.75" customHeight="1" x14ac:dyDescent="0.2">
      <c r="A3763" s="247" t="s">
        <v>1689</v>
      </c>
      <c r="B3763" s="316">
        <v>3037</v>
      </c>
      <c r="C3763" s="247" t="s">
        <v>996</v>
      </c>
      <c r="D3763" s="317">
        <v>42676</v>
      </c>
      <c r="E3763" s="318">
        <v>0.50222222222222224</v>
      </c>
      <c r="F3763" s="247" t="s">
        <v>980</v>
      </c>
      <c r="G3763" s="247" t="s">
        <v>1035</v>
      </c>
      <c r="H3763" s="248" t="s">
        <v>234</v>
      </c>
      <c r="I3763" s="248" t="s">
        <v>263</v>
      </c>
      <c r="J3763" s="247" t="s">
        <v>809</v>
      </c>
      <c r="K3763" s="249">
        <v>0</v>
      </c>
      <c r="M3763" s="90">
        <v>0</v>
      </c>
      <c r="N3763" s="90">
        <v>0</v>
      </c>
      <c r="O3763" s="90">
        <v>255</v>
      </c>
    </row>
    <row r="3764" spans="1:15" s="90" customFormat="1" ht="12.75" customHeight="1" x14ac:dyDescent="0.2">
      <c r="A3764" s="247" t="s">
        <v>1690</v>
      </c>
      <c r="B3764" s="316">
        <v>3037</v>
      </c>
      <c r="C3764" s="247" t="s">
        <v>996</v>
      </c>
      <c r="D3764" s="317">
        <v>42676</v>
      </c>
      <c r="E3764" s="318">
        <v>0.50223379629629628</v>
      </c>
      <c r="F3764" s="247" t="s">
        <v>980</v>
      </c>
      <c r="G3764" s="247" t="s">
        <v>1035</v>
      </c>
      <c r="H3764" s="248" t="s">
        <v>234</v>
      </c>
      <c r="I3764" s="248" t="s">
        <v>263</v>
      </c>
      <c r="J3764" s="247" t="s">
        <v>809</v>
      </c>
      <c r="K3764" s="249">
        <v>0</v>
      </c>
      <c r="M3764" s="90">
        <v>0</v>
      </c>
      <c r="N3764" s="90">
        <v>0</v>
      </c>
      <c r="O3764" s="90">
        <v>255</v>
      </c>
    </row>
    <row r="3765" spans="1:15" s="90" customFormat="1" ht="12.75" customHeight="1" x14ac:dyDescent="0.2">
      <c r="A3765" s="247" t="s">
        <v>1691</v>
      </c>
      <c r="B3765" s="316">
        <v>3037</v>
      </c>
      <c r="C3765" s="247" t="s">
        <v>996</v>
      </c>
      <c r="D3765" s="317">
        <v>42676</v>
      </c>
      <c r="E3765" s="318">
        <v>0.50223379629629628</v>
      </c>
      <c r="F3765" s="247" t="s">
        <v>980</v>
      </c>
      <c r="G3765" s="247" t="s">
        <v>1035</v>
      </c>
      <c r="H3765" s="248" t="s">
        <v>234</v>
      </c>
      <c r="I3765" s="248" t="s">
        <v>263</v>
      </c>
      <c r="J3765" s="247" t="s">
        <v>809</v>
      </c>
      <c r="K3765" s="249">
        <v>0</v>
      </c>
      <c r="M3765" s="90">
        <v>0</v>
      </c>
      <c r="N3765" s="90">
        <v>0</v>
      </c>
      <c r="O3765" s="90">
        <v>255</v>
      </c>
    </row>
    <row r="3766" spans="1:15" s="90" customFormat="1" ht="12.75" customHeight="1" x14ac:dyDescent="0.2">
      <c r="A3766" s="247" t="s">
        <v>1692</v>
      </c>
      <c r="B3766" s="316">
        <v>3037</v>
      </c>
      <c r="C3766" s="247" t="s">
        <v>996</v>
      </c>
      <c r="D3766" s="317">
        <v>42676</v>
      </c>
      <c r="E3766" s="318">
        <v>0.50223379629629628</v>
      </c>
      <c r="F3766" s="247" t="s">
        <v>980</v>
      </c>
      <c r="G3766" s="247" t="s">
        <v>1035</v>
      </c>
      <c r="H3766" s="248" t="s">
        <v>234</v>
      </c>
      <c r="I3766" s="248" t="s">
        <v>263</v>
      </c>
      <c r="J3766" s="247" t="s">
        <v>809</v>
      </c>
      <c r="K3766" s="249">
        <v>0</v>
      </c>
      <c r="M3766" s="90">
        <v>0</v>
      </c>
      <c r="N3766" s="90">
        <v>0</v>
      </c>
      <c r="O3766" s="90">
        <v>255</v>
      </c>
    </row>
    <row r="3767" spans="1:15" s="90" customFormat="1" ht="12.75" customHeight="1" x14ac:dyDescent="0.2">
      <c r="A3767" s="247" t="s">
        <v>1534</v>
      </c>
      <c r="B3767" s="316">
        <v>3037</v>
      </c>
      <c r="C3767" s="247" t="s">
        <v>996</v>
      </c>
      <c r="D3767" s="317">
        <v>42676</v>
      </c>
      <c r="E3767" s="318">
        <v>0.50223379629629628</v>
      </c>
      <c r="F3767" s="247" t="s">
        <v>980</v>
      </c>
      <c r="G3767" s="247" t="s">
        <v>1035</v>
      </c>
      <c r="H3767" s="248" t="s">
        <v>234</v>
      </c>
      <c r="I3767" s="248" t="s">
        <v>263</v>
      </c>
      <c r="J3767" s="247" t="s">
        <v>809</v>
      </c>
      <c r="K3767" s="249">
        <v>0</v>
      </c>
      <c r="M3767" s="90">
        <v>0</v>
      </c>
      <c r="N3767" s="90">
        <v>0</v>
      </c>
      <c r="O3767" s="90">
        <v>255</v>
      </c>
    </row>
    <row r="3768" spans="1:15" s="90" customFormat="1" ht="12.75" customHeight="1" x14ac:dyDescent="0.2">
      <c r="A3768" s="247" t="s">
        <v>1693</v>
      </c>
      <c r="B3768" s="316">
        <v>3037</v>
      </c>
      <c r="C3768" s="247" t="s">
        <v>996</v>
      </c>
      <c r="D3768" s="317">
        <v>42676</v>
      </c>
      <c r="E3768" s="318">
        <v>0.50223379629629628</v>
      </c>
      <c r="F3768" s="247" t="s">
        <v>980</v>
      </c>
      <c r="G3768" s="247" t="s">
        <v>1035</v>
      </c>
      <c r="H3768" s="248" t="s">
        <v>234</v>
      </c>
      <c r="I3768" s="248" t="s">
        <v>263</v>
      </c>
      <c r="J3768" s="247" t="s">
        <v>809</v>
      </c>
      <c r="K3768" s="249">
        <v>0</v>
      </c>
      <c r="M3768" s="90">
        <v>0</v>
      </c>
      <c r="N3768" s="90">
        <v>0</v>
      </c>
      <c r="O3768" s="90">
        <v>255</v>
      </c>
    </row>
    <row r="3769" spans="1:15" s="90" customFormat="1" ht="12.75" customHeight="1" x14ac:dyDescent="0.2">
      <c r="A3769" s="247" t="s">
        <v>1694</v>
      </c>
      <c r="B3769" s="316">
        <v>3037</v>
      </c>
      <c r="C3769" s="247" t="s">
        <v>996</v>
      </c>
      <c r="D3769" s="317">
        <v>42676</v>
      </c>
      <c r="E3769" s="318">
        <v>0.50223379629629628</v>
      </c>
      <c r="F3769" s="247" t="s">
        <v>980</v>
      </c>
      <c r="G3769" s="247" t="s">
        <v>1035</v>
      </c>
      <c r="H3769" s="248" t="s">
        <v>234</v>
      </c>
      <c r="I3769" s="248" t="s">
        <v>263</v>
      </c>
      <c r="J3769" s="247" t="s">
        <v>809</v>
      </c>
      <c r="K3769" s="249">
        <v>0</v>
      </c>
      <c r="M3769" s="90">
        <v>0</v>
      </c>
      <c r="N3769" s="90">
        <v>0</v>
      </c>
      <c r="O3769" s="90">
        <v>255</v>
      </c>
    </row>
    <row r="3770" spans="1:15" s="90" customFormat="1" ht="12.75" customHeight="1" x14ac:dyDescent="0.2">
      <c r="A3770" s="247" t="s">
        <v>1695</v>
      </c>
      <c r="B3770" s="316">
        <v>3037</v>
      </c>
      <c r="C3770" s="247" t="s">
        <v>996</v>
      </c>
      <c r="D3770" s="317">
        <v>42676</v>
      </c>
      <c r="E3770" s="318">
        <v>0.50224537037037031</v>
      </c>
      <c r="F3770" s="247" t="s">
        <v>980</v>
      </c>
      <c r="G3770" s="247" t="s">
        <v>1035</v>
      </c>
      <c r="H3770" s="248" t="s">
        <v>234</v>
      </c>
      <c r="I3770" s="248" t="s">
        <v>263</v>
      </c>
      <c r="J3770" s="247" t="s">
        <v>809</v>
      </c>
      <c r="K3770" s="249">
        <v>0</v>
      </c>
      <c r="M3770" s="90">
        <v>0</v>
      </c>
      <c r="N3770" s="90">
        <v>0</v>
      </c>
      <c r="O3770" s="90">
        <v>255</v>
      </c>
    </row>
    <row r="3771" spans="1:15" s="90" customFormat="1" ht="12.75" customHeight="1" x14ac:dyDescent="0.2">
      <c r="A3771" s="247" t="s">
        <v>1696</v>
      </c>
      <c r="B3771" s="316">
        <v>3037</v>
      </c>
      <c r="C3771" s="247" t="s">
        <v>996</v>
      </c>
      <c r="D3771" s="317">
        <v>42676</v>
      </c>
      <c r="E3771" s="318">
        <v>0.50224537037037031</v>
      </c>
      <c r="F3771" s="247" t="s">
        <v>980</v>
      </c>
      <c r="G3771" s="247" t="s">
        <v>1035</v>
      </c>
      <c r="H3771" s="248" t="s">
        <v>234</v>
      </c>
      <c r="I3771" s="248" t="s">
        <v>263</v>
      </c>
      <c r="J3771" s="247" t="s">
        <v>809</v>
      </c>
      <c r="K3771" s="249">
        <v>0</v>
      </c>
      <c r="M3771" s="90">
        <v>0</v>
      </c>
      <c r="N3771" s="90">
        <v>0</v>
      </c>
      <c r="O3771" s="90">
        <v>255</v>
      </c>
    </row>
    <row r="3772" spans="1:15" s="90" customFormat="1" ht="12.75" customHeight="1" x14ac:dyDescent="0.2">
      <c r="A3772" s="247" t="s">
        <v>1697</v>
      </c>
      <c r="B3772" s="316">
        <v>3037</v>
      </c>
      <c r="C3772" s="247" t="s">
        <v>996</v>
      </c>
      <c r="D3772" s="317">
        <v>42676</v>
      </c>
      <c r="E3772" s="318">
        <v>0.50225694444444446</v>
      </c>
      <c r="F3772" s="247" t="s">
        <v>980</v>
      </c>
      <c r="G3772" s="247" t="s">
        <v>1035</v>
      </c>
      <c r="H3772" s="248" t="s">
        <v>234</v>
      </c>
      <c r="I3772" s="248" t="s">
        <v>263</v>
      </c>
      <c r="J3772" s="247" t="s">
        <v>809</v>
      </c>
      <c r="K3772" s="249">
        <v>0</v>
      </c>
      <c r="M3772" s="90">
        <v>0</v>
      </c>
      <c r="N3772" s="90">
        <v>0</v>
      </c>
      <c r="O3772" s="90">
        <v>255</v>
      </c>
    </row>
    <row r="3773" spans="1:15" s="90" customFormat="1" ht="12.75" customHeight="1" x14ac:dyDescent="0.2">
      <c r="A3773" s="247" t="s">
        <v>1698</v>
      </c>
      <c r="B3773" s="316">
        <v>3037</v>
      </c>
      <c r="C3773" s="247" t="s">
        <v>996</v>
      </c>
      <c r="D3773" s="317">
        <v>42676</v>
      </c>
      <c r="E3773" s="318">
        <v>0.50225694444444446</v>
      </c>
      <c r="F3773" s="247" t="s">
        <v>980</v>
      </c>
      <c r="G3773" s="247" t="s">
        <v>1035</v>
      </c>
      <c r="H3773" s="248" t="s">
        <v>234</v>
      </c>
      <c r="I3773" s="248" t="s">
        <v>263</v>
      </c>
      <c r="J3773" s="247" t="s">
        <v>809</v>
      </c>
      <c r="K3773" s="249">
        <v>0</v>
      </c>
      <c r="M3773" s="90">
        <v>0</v>
      </c>
      <c r="N3773" s="90">
        <v>0</v>
      </c>
      <c r="O3773" s="90">
        <v>255</v>
      </c>
    </row>
    <row r="3774" spans="1:15" s="90" customFormat="1" ht="12.75" customHeight="1" x14ac:dyDescent="0.2">
      <c r="A3774" s="247" t="s">
        <v>1699</v>
      </c>
      <c r="B3774" s="316">
        <v>3037</v>
      </c>
      <c r="C3774" s="247" t="s">
        <v>996</v>
      </c>
      <c r="D3774" s="317">
        <v>42676</v>
      </c>
      <c r="E3774" s="318">
        <v>0.50225694444444446</v>
      </c>
      <c r="F3774" s="247" t="s">
        <v>980</v>
      </c>
      <c r="G3774" s="247" t="s">
        <v>1035</v>
      </c>
      <c r="H3774" s="248" t="s">
        <v>234</v>
      </c>
      <c r="I3774" s="248" t="s">
        <v>263</v>
      </c>
      <c r="J3774" s="247" t="s">
        <v>809</v>
      </c>
      <c r="K3774" s="249">
        <v>0</v>
      </c>
      <c r="M3774" s="90">
        <v>0</v>
      </c>
      <c r="N3774" s="90">
        <v>0</v>
      </c>
      <c r="O3774" s="90">
        <v>255</v>
      </c>
    </row>
    <row r="3775" spans="1:15" s="90" customFormat="1" ht="12.75" customHeight="1" x14ac:dyDescent="0.2">
      <c r="A3775" s="247" t="s">
        <v>1700</v>
      </c>
      <c r="B3775" s="316">
        <v>3037</v>
      </c>
      <c r="C3775" s="247" t="s">
        <v>996</v>
      </c>
      <c r="D3775" s="317">
        <v>42676</v>
      </c>
      <c r="E3775" s="318">
        <v>0.50225694444444446</v>
      </c>
      <c r="F3775" s="247" t="s">
        <v>980</v>
      </c>
      <c r="G3775" s="247" t="s">
        <v>1035</v>
      </c>
      <c r="H3775" s="248" t="s">
        <v>234</v>
      </c>
      <c r="I3775" s="248" t="s">
        <v>263</v>
      </c>
      <c r="J3775" s="247" t="s">
        <v>809</v>
      </c>
      <c r="K3775" s="249">
        <v>0</v>
      </c>
      <c r="M3775" s="90">
        <v>0</v>
      </c>
      <c r="N3775" s="90">
        <v>0</v>
      </c>
      <c r="O3775" s="90">
        <v>255</v>
      </c>
    </row>
    <row r="3776" spans="1:15" s="90" customFormat="1" ht="12.75" customHeight="1" x14ac:dyDescent="0.2">
      <c r="A3776" s="247" t="s">
        <v>1701</v>
      </c>
      <c r="B3776" s="316">
        <v>3037</v>
      </c>
      <c r="C3776" s="247" t="s">
        <v>996</v>
      </c>
      <c r="D3776" s="317">
        <v>42676</v>
      </c>
      <c r="E3776" s="318">
        <v>0.50225694444444446</v>
      </c>
      <c r="F3776" s="247" t="s">
        <v>980</v>
      </c>
      <c r="G3776" s="247" t="s">
        <v>1035</v>
      </c>
      <c r="H3776" s="248" t="s">
        <v>234</v>
      </c>
      <c r="I3776" s="248" t="s">
        <v>263</v>
      </c>
      <c r="J3776" s="247" t="s">
        <v>809</v>
      </c>
      <c r="K3776" s="249">
        <v>0</v>
      </c>
      <c r="M3776" s="90">
        <v>0</v>
      </c>
      <c r="N3776" s="90">
        <v>0</v>
      </c>
      <c r="O3776" s="90">
        <v>255</v>
      </c>
    </row>
    <row r="3777" spans="1:15" s="90" customFormat="1" ht="12.75" customHeight="1" x14ac:dyDescent="0.2">
      <c r="A3777" s="247" t="s">
        <v>1702</v>
      </c>
      <c r="B3777" s="316">
        <v>3037</v>
      </c>
      <c r="C3777" s="247" t="s">
        <v>996</v>
      </c>
      <c r="D3777" s="317">
        <v>42676</v>
      </c>
      <c r="E3777" s="318">
        <v>0.50225694444444446</v>
      </c>
      <c r="F3777" s="247" t="s">
        <v>980</v>
      </c>
      <c r="G3777" s="247" t="s">
        <v>1035</v>
      </c>
      <c r="H3777" s="248" t="s">
        <v>234</v>
      </c>
      <c r="I3777" s="248" t="s">
        <v>263</v>
      </c>
      <c r="J3777" s="247" t="s">
        <v>809</v>
      </c>
      <c r="K3777" s="249">
        <v>0</v>
      </c>
      <c r="M3777" s="90">
        <v>0</v>
      </c>
      <c r="N3777" s="90">
        <v>0</v>
      </c>
      <c r="O3777" s="90">
        <v>255</v>
      </c>
    </row>
    <row r="3778" spans="1:15" s="90" customFormat="1" ht="12.75" customHeight="1" x14ac:dyDescent="0.2">
      <c r="A3778" s="247" t="s">
        <v>1703</v>
      </c>
      <c r="B3778" s="316">
        <v>3037</v>
      </c>
      <c r="C3778" s="247" t="s">
        <v>996</v>
      </c>
      <c r="D3778" s="317">
        <v>42676</v>
      </c>
      <c r="E3778" s="318">
        <v>0.5022685185185185</v>
      </c>
      <c r="F3778" s="247" t="s">
        <v>980</v>
      </c>
      <c r="G3778" s="247" t="s">
        <v>1035</v>
      </c>
      <c r="H3778" s="248" t="s">
        <v>234</v>
      </c>
      <c r="I3778" s="248" t="s">
        <v>263</v>
      </c>
      <c r="J3778" s="247" t="s">
        <v>809</v>
      </c>
      <c r="K3778" s="249">
        <v>0</v>
      </c>
      <c r="M3778" s="90">
        <v>0</v>
      </c>
      <c r="N3778" s="90">
        <v>0</v>
      </c>
      <c r="O3778" s="90">
        <v>255</v>
      </c>
    </row>
    <row r="3779" spans="1:15" s="90" customFormat="1" ht="12.75" customHeight="1" x14ac:dyDescent="0.2">
      <c r="A3779" s="247" t="s">
        <v>1523</v>
      </c>
      <c r="B3779" s="316">
        <v>3037</v>
      </c>
      <c r="C3779" s="247" t="s">
        <v>996</v>
      </c>
      <c r="D3779" s="317">
        <v>42676</v>
      </c>
      <c r="E3779" s="318">
        <v>0.5022685185185185</v>
      </c>
      <c r="F3779" s="247" t="s">
        <v>980</v>
      </c>
      <c r="G3779" s="247" t="s">
        <v>1035</v>
      </c>
      <c r="H3779" s="248" t="s">
        <v>234</v>
      </c>
      <c r="I3779" s="248" t="s">
        <v>263</v>
      </c>
      <c r="J3779" s="247" t="s">
        <v>809</v>
      </c>
      <c r="K3779" s="249">
        <v>0</v>
      </c>
      <c r="M3779" s="90">
        <v>0</v>
      </c>
      <c r="N3779" s="90">
        <v>0</v>
      </c>
      <c r="O3779" s="90">
        <v>255</v>
      </c>
    </row>
    <row r="3780" spans="1:15" s="90" customFormat="1" ht="12.75" customHeight="1" x14ac:dyDescent="0.2">
      <c r="A3780" s="247" t="s">
        <v>1524</v>
      </c>
      <c r="B3780" s="316">
        <v>3037</v>
      </c>
      <c r="C3780" s="247" t="s">
        <v>996</v>
      </c>
      <c r="D3780" s="317">
        <v>42676</v>
      </c>
      <c r="E3780" s="318">
        <v>0.5022685185185185</v>
      </c>
      <c r="F3780" s="247" t="s">
        <v>980</v>
      </c>
      <c r="G3780" s="247" t="s">
        <v>1035</v>
      </c>
      <c r="H3780" s="248" t="s">
        <v>234</v>
      </c>
      <c r="I3780" s="248" t="s">
        <v>263</v>
      </c>
      <c r="J3780" s="247" t="s">
        <v>809</v>
      </c>
      <c r="K3780" s="249">
        <v>0</v>
      </c>
      <c r="M3780" s="90">
        <v>0</v>
      </c>
      <c r="N3780" s="90">
        <v>0</v>
      </c>
      <c r="O3780" s="90">
        <v>255</v>
      </c>
    </row>
    <row r="3781" spans="1:15" s="90" customFormat="1" ht="12.75" customHeight="1" x14ac:dyDescent="0.2">
      <c r="A3781" s="247" t="s">
        <v>1704</v>
      </c>
      <c r="B3781" s="316">
        <v>3037</v>
      </c>
      <c r="C3781" s="247" t="s">
        <v>996</v>
      </c>
      <c r="D3781" s="317">
        <v>42676</v>
      </c>
      <c r="E3781" s="318">
        <v>0.5022685185185185</v>
      </c>
      <c r="F3781" s="247" t="s">
        <v>980</v>
      </c>
      <c r="G3781" s="247" t="s">
        <v>1035</v>
      </c>
      <c r="H3781" s="248" t="s">
        <v>234</v>
      </c>
      <c r="I3781" s="248" t="s">
        <v>263</v>
      </c>
      <c r="J3781" s="247" t="s">
        <v>809</v>
      </c>
      <c r="K3781" s="249">
        <v>0</v>
      </c>
      <c r="M3781" s="90">
        <v>0</v>
      </c>
      <c r="N3781" s="90">
        <v>0</v>
      </c>
      <c r="O3781" s="90">
        <v>255</v>
      </c>
    </row>
    <row r="3782" spans="1:15" s="90" customFormat="1" ht="12.75" customHeight="1" x14ac:dyDescent="0.2">
      <c r="A3782" s="247" t="s">
        <v>1070</v>
      </c>
      <c r="B3782" s="316">
        <v>3001</v>
      </c>
      <c r="C3782" s="247" t="s">
        <v>996</v>
      </c>
      <c r="D3782" s="317">
        <v>42676</v>
      </c>
      <c r="E3782" s="318">
        <v>0.50228009259259265</v>
      </c>
      <c r="F3782" s="247" t="s">
        <v>702</v>
      </c>
      <c r="G3782" s="247" t="s">
        <v>1035</v>
      </c>
      <c r="H3782" s="248" t="s">
        <v>121</v>
      </c>
      <c r="I3782" s="248" t="s">
        <v>122</v>
      </c>
      <c r="J3782" s="247" t="s">
        <v>809</v>
      </c>
      <c r="K3782" s="249">
        <v>0</v>
      </c>
      <c r="M3782" s="90">
        <v>0</v>
      </c>
      <c r="N3782" s="90">
        <v>0</v>
      </c>
      <c r="O3782" s="90">
        <v>255</v>
      </c>
    </row>
    <row r="3783" spans="1:15" s="90" customFormat="1" ht="12.75" customHeight="1" x14ac:dyDescent="0.2">
      <c r="A3783" s="247" t="s">
        <v>1705</v>
      </c>
      <c r="B3783" s="316">
        <v>3037</v>
      </c>
      <c r="C3783" s="247" t="s">
        <v>996</v>
      </c>
      <c r="D3783" s="317">
        <v>42676</v>
      </c>
      <c r="E3783" s="318">
        <v>0.50228009259259265</v>
      </c>
      <c r="F3783" s="247" t="s">
        <v>980</v>
      </c>
      <c r="G3783" s="247" t="s">
        <v>1035</v>
      </c>
      <c r="H3783" s="248" t="s">
        <v>234</v>
      </c>
      <c r="I3783" s="248" t="s">
        <v>263</v>
      </c>
      <c r="J3783" s="247" t="s">
        <v>809</v>
      </c>
      <c r="K3783" s="249">
        <v>0</v>
      </c>
      <c r="M3783" s="90">
        <v>0</v>
      </c>
      <c r="N3783" s="90">
        <v>0</v>
      </c>
      <c r="O3783" s="90">
        <v>255</v>
      </c>
    </row>
    <row r="3784" spans="1:15" s="90" customFormat="1" ht="12.75" customHeight="1" x14ac:dyDescent="0.2">
      <c r="A3784" s="247" t="s">
        <v>1535</v>
      </c>
      <c r="B3784" s="316">
        <v>3037</v>
      </c>
      <c r="C3784" s="247" t="s">
        <v>996</v>
      </c>
      <c r="D3784" s="317">
        <v>42676</v>
      </c>
      <c r="E3784" s="318">
        <v>0.50228009259259265</v>
      </c>
      <c r="F3784" s="247" t="s">
        <v>980</v>
      </c>
      <c r="G3784" s="247" t="s">
        <v>1035</v>
      </c>
      <c r="H3784" s="248" t="s">
        <v>234</v>
      </c>
      <c r="I3784" s="248" t="s">
        <v>263</v>
      </c>
      <c r="J3784" s="247" t="s">
        <v>809</v>
      </c>
      <c r="K3784" s="249">
        <v>0</v>
      </c>
      <c r="M3784" s="90">
        <v>0</v>
      </c>
      <c r="N3784" s="90">
        <v>0</v>
      </c>
      <c r="O3784" s="90">
        <v>255</v>
      </c>
    </row>
    <row r="3785" spans="1:15" s="90" customFormat="1" ht="12.75" customHeight="1" x14ac:dyDescent="0.2">
      <c r="A3785" s="247" t="s">
        <v>1706</v>
      </c>
      <c r="B3785" s="316">
        <v>3037</v>
      </c>
      <c r="C3785" s="247" t="s">
        <v>996</v>
      </c>
      <c r="D3785" s="317">
        <v>42676</v>
      </c>
      <c r="E3785" s="318">
        <v>0.50228009259259265</v>
      </c>
      <c r="F3785" s="247" t="s">
        <v>980</v>
      </c>
      <c r="G3785" s="247" t="s">
        <v>1035</v>
      </c>
      <c r="H3785" s="248" t="s">
        <v>234</v>
      </c>
      <c r="I3785" s="248" t="s">
        <v>263</v>
      </c>
      <c r="J3785" s="247" t="s">
        <v>809</v>
      </c>
      <c r="K3785" s="249">
        <v>0</v>
      </c>
      <c r="M3785" s="90">
        <v>0</v>
      </c>
      <c r="N3785" s="90">
        <v>0</v>
      </c>
      <c r="O3785" s="90">
        <v>255</v>
      </c>
    </row>
    <row r="3786" spans="1:15" s="90" customFormat="1" ht="12.75" customHeight="1" x14ac:dyDescent="0.2">
      <c r="A3786" s="247" t="s">
        <v>1707</v>
      </c>
      <c r="B3786" s="316">
        <v>3037</v>
      </c>
      <c r="C3786" s="247" t="s">
        <v>996</v>
      </c>
      <c r="D3786" s="317">
        <v>42676</v>
      </c>
      <c r="E3786" s="318">
        <v>0.50228009259259265</v>
      </c>
      <c r="F3786" s="247" t="s">
        <v>980</v>
      </c>
      <c r="G3786" s="247" t="s">
        <v>1035</v>
      </c>
      <c r="H3786" s="248" t="s">
        <v>234</v>
      </c>
      <c r="I3786" s="248" t="s">
        <v>263</v>
      </c>
      <c r="J3786" s="247" t="s">
        <v>809</v>
      </c>
      <c r="K3786" s="249">
        <v>0</v>
      </c>
      <c r="M3786" s="90">
        <v>0</v>
      </c>
      <c r="N3786" s="90">
        <v>0</v>
      </c>
      <c r="O3786" s="90">
        <v>255</v>
      </c>
    </row>
    <row r="3787" spans="1:15" s="90" customFormat="1" ht="12.75" customHeight="1" x14ac:dyDescent="0.2">
      <c r="A3787" s="247" t="s">
        <v>1536</v>
      </c>
      <c r="B3787" s="316">
        <v>3037</v>
      </c>
      <c r="C3787" s="247" t="s">
        <v>996</v>
      </c>
      <c r="D3787" s="317">
        <v>42676</v>
      </c>
      <c r="E3787" s="318">
        <v>0.50228009259259265</v>
      </c>
      <c r="F3787" s="247" t="s">
        <v>980</v>
      </c>
      <c r="G3787" s="247" t="s">
        <v>1035</v>
      </c>
      <c r="H3787" s="248" t="s">
        <v>234</v>
      </c>
      <c r="I3787" s="248" t="s">
        <v>263</v>
      </c>
      <c r="J3787" s="247" t="s">
        <v>809</v>
      </c>
      <c r="K3787" s="249">
        <v>0</v>
      </c>
      <c r="M3787" s="90">
        <v>0</v>
      </c>
      <c r="N3787" s="90">
        <v>0</v>
      </c>
      <c r="O3787" s="90">
        <v>255</v>
      </c>
    </row>
    <row r="3788" spans="1:15" s="90" customFormat="1" ht="12.75" customHeight="1" x14ac:dyDescent="0.2">
      <c r="A3788" s="247" t="s">
        <v>1537</v>
      </c>
      <c r="B3788" s="316">
        <v>3037</v>
      </c>
      <c r="C3788" s="247" t="s">
        <v>996</v>
      </c>
      <c r="D3788" s="317">
        <v>42676</v>
      </c>
      <c r="E3788" s="318">
        <v>0.50229166666666669</v>
      </c>
      <c r="F3788" s="247" t="s">
        <v>980</v>
      </c>
      <c r="G3788" s="247" t="s">
        <v>1035</v>
      </c>
      <c r="H3788" s="248" t="s">
        <v>234</v>
      </c>
      <c r="I3788" s="248" t="s">
        <v>263</v>
      </c>
      <c r="J3788" s="247" t="s">
        <v>809</v>
      </c>
      <c r="K3788" s="249">
        <v>0</v>
      </c>
      <c r="M3788" s="90">
        <v>0</v>
      </c>
      <c r="N3788" s="90">
        <v>0</v>
      </c>
      <c r="O3788" s="90">
        <v>255</v>
      </c>
    </row>
    <row r="3789" spans="1:15" s="90" customFormat="1" ht="12.75" customHeight="1" x14ac:dyDescent="0.2">
      <c r="A3789" s="247" t="s">
        <v>1708</v>
      </c>
      <c r="B3789" s="316">
        <v>3037</v>
      </c>
      <c r="C3789" s="247" t="s">
        <v>996</v>
      </c>
      <c r="D3789" s="317">
        <v>42676</v>
      </c>
      <c r="E3789" s="318">
        <v>0.50229166666666669</v>
      </c>
      <c r="F3789" s="247" t="s">
        <v>980</v>
      </c>
      <c r="G3789" s="247" t="s">
        <v>1035</v>
      </c>
      <c r="H3789" s="248" t="s">
        <v>234</v>
      </c>
      <c r="I3789" s="248" t="s">
        <v>263</v>
      </c>
      <c r="J3789" s="247" t="s">
        <v>809</v>
      </c>
      <c r="K3789" s="249">
        <v>0</v>
      </c>
      <c r="M3789" s="90">
        <v>0</v>
      </c>
      <c r="N3789" s="90">
        <v>0</v>
      </c>
      <c r="O3789" s="90">
        <v>255</v>
      </c>
    </row>
    <row r="3790" spans="1:15" s="90" customFormat="1" ht="12.75" customHeight="1" x14ac:dyDescent="0.2">
      <c r="A3790" s="247" t="s">
        <v>1709</v>
      </c>
      <c r="B3790" s="316">
        <v>3037</v>
      </c>
      <c r="C3790" s="247" t="s">
        <v>996</v>
      </c>
      <c r="D3790" s="317">
        <v>42676</v>
      </c>
      <c r="E3790" s="318">
        <v>0.50230324074074073</v>
      </c>
      <c r="F3790" s="247" t="s">
        <v>980</v>
      </c>
      <c r="G3790" s="247" t="s">
        <v>1035</v>
      </c>
      <c r="H3790" s="248" t="s">
        <v>234</v>
      </c>
      <c r="I3790" s="248" t="s">
        <v>263</v>
      </c>
      <c r="J3790" s="247" t="s">
        <v>809</v>
      </c>
      <c r="K3790" s="249">
        <v>0</v>
      </c>
      <c r="M3790" s="90">
        <v>0</v>
      </c>
      <c r="N3790" s="90">
        <v>0</v>
      </c>
      <c r="O3790" s="90">
        <v>255</v>
      </c>
    </row>
    <row r="3791" spans="1:15" s="90" customFormat="1" ht="12.75" customHeight="1" x14ac:dyDescent="0.2">
      <c r="A3791" s="247" t="s">
        <v>1710</v>
      </c>
      <c r="B3791" s="316">
        <v>3037</v>
      </c>
      <c r="C3791" s="247" t="s">
        <v>996</v>
      </c>
      <c r="D3791" s="317">
        <v>42676</v>
      </c>
      <c r="E3791" s="318">
        <v>0.50230324074074073</v>
      </c>
      <c r="F3791" s="247" t="s">
        <v>980</v>
      </c>
      <c r="G3791" s="247" t="s">
        <v>1035</v>
      </c>
      <c r="H3791" s="248" t="s">
        <v>234</v>
      </c>
      <c r="I3791" s="248" t="s">
        <v>263</v>
      </c>
      <c r="J3791" s="247" t="s">
        <v>809</v>
      </c>
      <c r="K3791" s="249">
        <v>0</v>
      </c>
      <c r="M3791" s="90">
        <v>0</v>
      </c>
      <c r="N3791" s="90">
        <v>0</v>
      </c>
      <c r="O3791" s="90">
        <v>255</v>
      </c>
    </row>
    <row r="3792" spans="1:15" s="90" customFormat="1" ht="12.75" customHeight="1" x14ac:dyDescent="0.2">
      <c r="A3792" s="247" t="s">
        <v>1711</v>
      </c>
      <c r="B3792" s="316">
        <v>3037</v>
      </c>
      <c r="C3792" s="247" t="s">
        <v>996</v>
      </c>
      <c r="D3792" s="317">
        <v>42676</v>
      </c>
      <c r="E3792" s="318">
        <v>0.50231481481481477</v>
      </c>
      <c r="F3792" s="247" t="s">
        <v>980</v>
      </c>
      <c r="G3792" s="247" t="s">
        <v>1035</v>
      </c>
      <c r="H3792" s="248" t="s">
        <v>234</v>
      </c>
      <c r="I3792" s="248" t="s">
        <v>263</v>
      </c>
      <c r="J3792" s="247" t="s">
        <v>809</v>
      </c>
      <c r="K3792" s="249">
        <v>0</v>
      </c>
      <c r="M3792" s="90">
        <v>0</v>
      </c>
      <c r="N3792" s="90">
        <v>0</v>
      </c>
      <c r="O3792" s="90">
        <v>255</v>
      </c>
    </row>
    <row r="3793" spans="1:15" s="90" customFormat="1" ht="12.75" customHeight="1" x14ac:dyDescent="0.2">
      <c r="A3793" s="247" t="s">
        <v>1712</v>
      </c>
      <c r="B3793" s="316">
        <v>3037</v>
      </c>
      <c r="C3793" s="247" t="s">
        <v>996</v>
      </c>
      <c r="D3793" s="317">
        <v>42676</v>
      </c>
      <c r="E3793" s="318">
        <v>0.50231481481481477</v>
      </c>
      <c r="F3793" s="247" t="s">
        <v>980</v>
      </c>
      <c r="G3793" s="247" t="s">
        <v>1035</v>
      </c>
      <c r="H3793" s="248" t="s">
        <v>234</v>
      </c>
      <c r="I3793" s="248" t="s">
        <v>263</v>
      </c>
      <c r="J3793" s="247" t="s">
        <v>809</v>
      </c>
      <c r="K3793" s="249">
        <v>0</v>
      </c>
      <c r="M3793" s="90">
        <v>0</v>
      </c>
      <c r="N3793" s="90">
        <v>0</v>
      </c>
      <c r="O3793" s="90">
        <v>255</v>
      </c>
    </row>
    <row r="3794" spans="1:15" s="90" customFormat="1" ht="12.75" customHeight="1" x14ac:dyDescent="0.2">
      <c r="A3794" s="247" t="s">
        <v>1713</v>
      </c>
      <c r="B3794" s="316">
        <v>3037</v>
      </c>
      <c r="C3794" s="247" t="s">
        <v>996</v>
      </c>
      <c r="D3794" s="317">
        <v>42676</v>
      </c>
      <c r="E3794" s="318">
        <v>0.50231481481481477</v>
      </c>
      <c r="F3794" s="247" t="s">
        <v>980</v>
      </c>
      <c r="G3794" s="247" t="s">
        <v>1035</v>
      </c>
      <c r="H3794" s="248" t="s">
        <v>234</v>
      </c>
      <c r="I3794" s="248" t="s">
        <v>263</v>
      </c>
      <c r="J3794" s="247" t="s">
        <v>809</v>
      </c>
      <c r="K3794" s="249">
        <v>0</v>
      </c>
      <c r="M3794" s="90">
        <v>0</v>
      </c>
      <c r="N3794" s="90">
        <v>0</v>
      </c>
      <c r="O3794" s="90">
        <v>255</v>
      </c>
    </row>
    <row r="3795" spans="1:15" s="90" customFormat="1" ht="12.75" customHeight="1" x14ac:dyDescent="0.2">
      <c r="A3795" s="247" t="s">
        <v>1714</v>
      </c>
      <c r="B3795" s="316">
        <v>3037</v>
      </c>
      <c r="C3795" s="247" t="s">
        <v>996</v>
      </c>
      <c r="D3795" s="317">
        <v>42676</v>
      </c>
      <c r="E3795" s="318">
        <v>0.50231481481481477</v>
      </c>
      <c r="F3795" s="247" t="s">
        <v>980</v>
      </c>
      <c r="G3795" s="247" t="s">
        <v>1035</v>
      </c>
      <c r="H3795" s="248" t="s">
        <v>234</v>
      </c>
      <c r="I3795" s="248" t="s">
        <v>263</v>
      </c>
      <c r="J3795" s="247" t="s">
        <v>809</v>
      </c>
      <c r="K3795" s="249">
        <v>0</v>
      </c>
      <c r="M3795" s="90">
        <v>0</v>
      </c>
      <c r="N3795" s="90">
        <v>0</v>
      </c>
      <c r="O3795" s="90">
        <v>255</v>
      </c>
    </row>
    <row r="3796" spans="1:15" s="90" customFormat="1" ht="12.75" customHeight="1" x14ac:dyDescent="0.2">
      <c r="A3796" s="247" t="s">
        <v>1715</v>
      </c>
      <c r="B3796" s="316">
        <v>3037</v>
      </c>
      <c r="C3796" s="247" t="s">
        <v>996</v>
      </c>
      <c r="D3796" s="317">
        <v>42676</v>
      </c>
      <c r="E3796" s="318">
        <v>0.50231481481481477</v>
      </c>
      <c r="F3796" s="247" t="s">
        <v>980</v>
      </c>
      <c r="G3796" s="247" t="s">
        <v>1035</v>
      </c>
      <c r="H3796" s="248" t="s">
        <v>234</v>
      </c>
      <c r="I3796" s="248" t="s">
        <v>263</v>
      </c>
      <c r="J3796" s="247" t="s">
        <v>809</v>
      </c>
      <c r="K3796" s="249">
        <v>0</v>
      </c>
      <c r="M3796" s="90">
        <v>0</v>
      </c>
      <c r="N3796" s="90">
        <v>0</v>
      </c>
      <c r="O3796" s="90">
        <v>255</v>
      </c>
    </row>
    <row r="3797" spans="1:15" s="90" customFormat="1" ht="12.75" customHeight="1" x14ac:dyDescent="0.2">
      <c r="A3797" s="247" t="s">
        <v>1716</v>
      </c>
      <c r="B3797" s="316">
        <v>3037</v>
      </c>
      <c r="C3797" s="247" t="s">
        <v>996</v>
      </c>
      <c r="D3797" s="317">
        <v>42676</v>
      </c>
      <c r="E3797" s="318">
        <v>0.50232638888888892</v>
      </c>
      <c r="F3797" s="247" t="s">
        <v>980</v>
      </c>
      <c r="G3797" s="247" t="s">
        <v>1035</v>
      </c>
      <c r="H3797" s="248" t="s">
        <v>234</v>
      </c>
      <c r="I3797" s="248" t="s">
        <v>263</v>
      </c>
      <c r="J3797" s="247" t="s">
        <v>809</v>
      </c>
      <c r="K3797" s="249">
        <v>0</v>
      </c>
      <c r="M3797" s="90">
        <v>0</v>
      </c>
      <c r="N3797" s="90">
        <v>0</v>
      </c>
      <c r="O3797" s="90">
        <v>255</v>
      </c>
    </row>
    <row r="3798" spans="1:15" s="90" customFormat="1" ht="12.75" customHeight="1" x14ac:dyDescent="0.2">
      <c r="A3798" s="247" t="s">
        <v>1717</v>
      </c>
      <c r="B3798" s="316">
        <v>3037</v>
      </c>
      <c r="C3798" s="247" t="s">
        <v>996</v>
      </c>
      <c r="D3798" s="317">
        <v>42676</v>
      </c>
      <c r="E3798" s="318">
        <v>0.50232638888888892</v>
      </c>
      <c r="F3798" s="247" t="s">
        <v>980</v>
      </c>
      <c r="G3798" s="247" t="s">
        <v>1035</v>
      </c>
      <c r="H3798" s="248" t="s">
        <v>234</v>
      </c>
      <c r="I3798" s="248" t="s">
        <v>263</v>
      </c>
      <c r="J3798" s="247" t="s">
        <v>809</v>
      </c>
      <c r="K3798" s="249">
        <v>0</v>
      </c>
      <c r="M3798" s="90">
        <v>0</v>
      </c>
      <c r="N3798" s="90">
        <v>0</v>
      </c>
      <c r="O3798" s="90">
        <v>255</v>
      </c>
    </row>
    <row r="3799" spans="1:15" s="90" customFormat="1" ht="12.75" customHeight="1" x14ac:dyDescent="0.2">
      <c r="A3799" s="247" t="s">
        <v>1718</v>
      </c>
      <c r="B3799" s="316">
        <v>3037</v>
      </c>
      <c r="C3799" s="247" t="s">
        <v>996</v>
      </c>
      <c r="D3799" s="317">
        <v>42676</v>
      </c>
      <c r="E3799" s="318">
        <v>0.50232638888888892</v>
      </c>
      <c r="F3799" s="247" t="s">
        <v>980</v>
      </c>
      <c r="G3799" s="247" t="s">
        <v>1035</v>
      </c>
      <c r="H3799" s="248" t="s">
        <v>234</v>
      </c>
      <c r="I3799" s="248" t="s">
        <v>263</v>
      </c>
      <c r="J3799" s="247" t="s">
        <v>809</v>
      </c>
      <c r="K3799" s="249">
        <v>0</v>
      </c>
      <c r="M3799" s="90">
        <v>0</v>
      </c>
      <c r="N3799" s="90">
        <v>0</v>
      </c>
      <c r="O3799" s="90">
        <v>255</v>
      </c>
    </row>
    <row r="3800" spans="1:15" s="90" customFormat="1" ht="12.75" customHeight="1" x14ac:dyDescent="0.2">
      <c r="A3800" s="247" t="s">
        <v>1719</v>
      </c>
      <c r="B3800" s="316">
        <v>3037</v>
      </c>
      <c r="C3800" s="247" t="s">
        <v>996</v>
      </c>
      <c r="D3800" s="317">
        <v>42676</v>
      </c>
      <c r="E3800" s="318">
        <v>0.50232638888888892</v>
      </c>
      <c r="F3800" s="247" t="s">
        <v>980</v>
      </c>
      <c r="G3800" s="247" t="s">
        <v>1035</v>
      </c>
      <c r="H3800" s="248" t="s">
        <v>234</v>
      </c>
      <c r="I3800" s="248" t="s">
        <v>263</v>
      </c>
      <c r="J3800" s="247" t="s">
        <v>809</v>
      </c>
      <c r="K3800" s="249">
        <v>0</v>
      </c>
      <c r="M3800" s="90">
        <v>0</v>
      </c>
      <c r="N3800" s="90">
        <v>0</v>
      </c>
      <c r="O3800" s="90">
        <v>255</v>
      </c>
    </row>
    <row r="3801" spans="1:15" s="90" customFormat="1" ht="12.75" customHeight="1" x14ac:dyDescent="0.2">
      <c r="A3801" s="247" t="s">
        <v>1720</v>
      </c>
      <c r="B3801" s="316">
        <v>3037</v>
      </c>
      <c r="C3801" s="247" t="s">
        <v>996</v>
      </c>
      <c r="D3801" s="317">
        <v>42676</v>
      </c>
      <c r="E3801" s="318">
        <v>0.50232638888888892</v>
      </c>
      <c r="F3801" s="247" t="s">
        <v>980</v>
      </c>
      <c r="G3801" s="247" t="s">
        <v>1035</v>
      </c>
      <c r="H3801" s="248" t="s">
        <v>234</v>
      </c>
      <c r="I3801" s="248" t="s">
        <v>263</v>
      </c>
      <c r="J3801" s="247" t="s">
        <v>809</v>
      </c>
      <c r="K3801" s="249">
        <v>0</v>
      </c>
      <c r="M3801" s="90">
        <v>0</v>
      </c>
      <c r="N3801" s="90">
        <v>0</v>
      </c>
      <c r="O3801" s="90">
        <v>255</v>
      </c>
    </row>
    <row r="3802" spans="1:15" s="90" customFormat="1" ht="12.75" customHeight="1" x14ac:dyDescent="0.2">
      <c r="A3802" s="247" t="s">
        <v>1721</v>
      </c>
      <c r="B3802" s="316">
        <v>3037</v>
      </c>
      <c r="C3802" s="247" t="s">
        <v>996</v>
      </c>
      <c r="D3802" s="317">
        <v>42676</v>
      </c>
      <c r="E3802" s="318">
        <v>0.50232638888888892</v>
      </c>
      <c r="F3802" s="247" t="s">
        <v>980</v>
      </c>
      <c r="G3802" s="247" t="s">
        <v>1035</v>
      </c>
      <c r="H3802" s="248" t="s">
        <v>234</v>
      </c>
      <c r="I3802" s="248" t="s">
        <v>263</v>
      </c>
      <c r="J3802" s="247" t="s">
        <v>809</v>
      </c>
      <c r="K3802" s="249">
        <v>0</v>
      </c>
      <c r="M3802" s="90">
        <v>0</v>
      </c>
      <c r="N3802" s="90">
        <v>0</v>
      </c>
      <c r="O3802" s="90">
        <v>255</v>
      </c>
    </row>
    <row r="3803" spans="1:15" s="90" customFormat="1" ht="12.75" customHeight="1" x14ac:dyDescent="0.2">
      <c r="A3803" s="247" t="s">
        <v>1722</v>
      </c>
      <c r="B3803" s="316">
        <v>3037</v>
      </c>
      <c r="C3803" s="247" t="s">
        <v>996</v>
      </c>
      <c r="D3803" s="317">
        <v>42676</v>
      </c>
      <c r="E3803" s="318">
        <v>0.50233796296296296</v>
      </c>
      <c r="F3803" s="247" t="s">
        <v>980</v>
      </c>
      <c r="G3803" s="247" t="s">
        <v>1035</v>
      </c>
      <c r="H3803" s="248" t="s">
        <v>234</v>
      </c>
      <c r="I3803" s="248" t="s">
        <v>263</v>
      </c>
      <c r="J3803" s="247" t="s">
        <v>809</v>
      </c>
      <c r="K3803" s="249">
        <v>0</v>
      </c>
      <c r="M3803" s="90">
        <v>0</v>
      </c>
      <c r="N3803" s="90">
        <v>0</v>
      </c>
      <c r="O3803" s="90">
        <v>255</v>
      </c>
    </row>
    <row r="3804" spans="1:15" s="90" customFormat="1" ht="12.75" customHeight="1" x14ac:dyDescent="0.2">
      <c r="A3804" s="247" t="s">
        <v>1723</v>
      </c>
      <c r="B3804" s="316">
        <v>3037</v>
      </c>
      <c r="C3804" s="247" t="s">
        <v>996</v>
      </c>
      <c r="D3804" s="317">
        <v>42676</v>
      </c>
      <c r="E3804" s="318">
        <v>0.50233796296296296</v>
      </c>
      <c r="F3804" s="247" t="s">
        <v>980</v>
      </c>
      <c r="G3804" s="247" t="s">
        <v>1035</v>
      </c>
      <c r="H3804" s="248" t="s">
        <v>234</v>
      </c>
      <c r="I3804" s="248" t="s">
        <v>263</v>
      </c>
      <c r="J3804" s="247" t="s">
        <v>809</v>
      </c>
      <c r="K3804" s="249">
        <v>0</v>
      </c>
      <c r="M3804" s="90">
        <v>0</v>
      </c>
      <c r="N3804" s="90">
        <v>0</v>
      </c>
      <c r="O3804" s="90">
        <v>255</v>
      </c>
    </row>
    <row r="3805" spans="1:15" s="90" customFormat="1" ht="12.75" customHeight="1" x14ac:dyDescent="0.2">
      <c r="A3805" s="247" t="s">
        <v>1724</v>
      </c>
      <c r="B3805" s="316">
        <v>3037</v>
      </c>
      <c r="C3805" s="247" t="s">
        <v>996</v>
      </c>
      <c r="D3805" s="317">
        <v>42676</v>
      </c>
      <c r="E3805" s="318">
        <v>0.50233796296296296</v>
      </c>
      <c r="F3805" s="247" t="s">
        <v>980</v>
      </c>
      <c r="G3805" s="247" t="s">
        <v>1035</v>
      </c>
      <c r="H3805" s="248" t="s">
        <v>234</v>
      </c>
      <c r="I3805" s="248" t="s">
        <v>263</v>
      </c>
      <c r="J3805" s="247" t="s">
        <v>809</v>
      </c>
      <c r="K3805" s="249">
        <v>0</v>
      </c>
      <c r="M3805" s="90">
        <v>0</v>
      </c>
      <c r="N3805" s="90">
        <v>0</v>
      </c>
      <c r="O3805" s="90">
        <v>255</v>
      </c>
    </row>
    <row r="3806" spans="1:15" s="90" customFormat="1" ht="12.75" customHeight="1" x14ac:dyDescent="0.2">
      <c r="A3806" s="247" t="s">
        <v>1725</v>
      </c>
      <c r="B3806" s="316">
        <v>3037</v>
      </c>
      <c r="C3806" s="247" t="s">
        <v>996</v>
      </c>
      <c r="D3806" s="317">
        <v>42676</v>
      </c>
      <c r="E3806" s="318">
        <v>0.50233796296296296</v>
      </c>
      <c r="F3806" s="247" t="s">
        <v>980</v>
      </c>
      <c r="G3806" s="247" t="s">
        <v>1035</v>
      </c>
      <c r="H3806" s="248" t="s">
        <v>234</v>
      </c>
      <c r="I3806" s="248" t="s">
        <v>263</v>
      </c>
      <c r="J3806" s="247" t="s">
        <v>809</v>
      </c>
      <c r="K3806" s="249">
        <v>0</v>
      </c>
      <c r="M3806" s="90">
        <v>0</v>
      </c>
      <c r="N3806" s="90">
        <v>0</v>
      </c>
      <c r="O3806" s="90">
        <v>255</v>
      </c>
    </row>
    <row r="3807" spans="1:15" s="90" customFormat="1" ht="12.75" customHeight="1" x14ac:dyDescent="0.2">
      <c r="A3807" s="247" t="s">
        <v>1726</v>
      </c>
      <c r="B3807" s="316">
        <v>3037</v>
      </c>
      <c r="C3807" s="247" t="s">
        <v>996</v>
      </c>
      <c r="D3807" s="317">
        <v>42676</v>
      </c>
      <c r="E3807" s="318">
        <v>0.50233796296296296</v>
      </c>
      <c r="F3807" s="247" t="s">
        <v>980</v>
      </c>
      <c r="G3807" s="247" t="s">
        <v>1035</v>
      </c>
      <c r="H3807" s="248" t="s">
        <v>234</v>
      </c>
      <c r="I3807" s="248" t="s">
        <v>263</v>
      </c>
      <c r="J3807" s="247" t="s">
        <v>809</v>
      </c>
      <c r="K3807" s="249">
        <v>0</v>
      </c>
      <c r="M3807" s="90">
        <v>0</v>
      </c>
      <c r="N3807" s="90">
        <v>0</v>
      </c>
      <c r="O3807" s="90">
        <v>255</v>
      </c>
    </row>
    <row r="3808" spans="1:15" s="90" customFormat="1" ht="12.75" customHeight="1" x14ac:dyDescent="0.2">
      <c r="A3808" s="247" t="s">
        <v>1727</v>
      </c>
      <c r="B3808" s="316">
        <v>3037</v>
      </c>
      <c r="C3808" s="247" t="s">
        <v>996</v>
      </c>
      <c r="D3808" s="317">
        <v>42676</v>
      </c>
      <c r="E3808" s="318">
        <v>0.50233796296296296</v>
      </c>
      <c r="F3808" s="247" t="s">
        <v>980</v>
      </c>
      <c r="G3808" s="247" t="s">
        <v>1035</v>
      </c>
      <c r="H3808" s="248" t="s">
        <v>234</v>
      </c>
      <c r="I3808" s="248" t="s">
        <v>263</v>
      </c>
      <c r="J3808" s="247" t="s">
        <v>809</v>
      </c>
      <c r="K3808" s="249">
        <v>0</v>
      </c>
      <c r="M3808" s="90">
        <v>0</v>
      </c>
      <c r="N3808" s="90">
        <v>0</v>
      </c>
      <c r="O3808" s="90">
        <v>255</v>
      </c>
    </row>
    <row r="3809" spans="1:15" s="90" customFormat="1" ht="12.75" customHeight="1" x14ac:dyDescent="0.2">
      <c r="A3809" s="247" t="s">
        <v>1728</v>
      </c>
      <c r="B3809" s="316">
        <v>3037</v>
      </c>
      <c r="C3809" s="247" t="s">
        <v>996</v>
      </c>
      <c r="D3809" s="317">
        <v>42676</v>
      </c>
      <c r="E3809" s="318">
        <v>0.50234953703703711</v>
      </c>
      <c r="F3809" s="247" t="s">
        <v>980</v>
      </c>
      <c r="G3809" s="247" t="s">
        <v>1035</v>
      </c>
      <c r="H3809" s="248" t="s">
        <v>234</v>
      </c>
      <c r="I3809" s="248" t="s">
        <v>263</v>
      </c>
      <c r="J3809" s="247" t="s">
        <v>809</v>
      </c>
      <c r="K3809" s="249">
        <v>0</v>
      </c>
      <c r="M3809" s="90">
        <v>0</v>
      </c>
      <c r="N3809" s="90">
        <v>0</v>
      </c>
      <c r="O3809" s="90">
        <v>255</v>
      </c>
    </row>
    <row r="3810" spans="1:15" s="90" customFormat="1" ht="12.75" customHeight="1" x14ac:dyDescent="0.2">
      <c r="A3810" s="247" t="s">
        <v>1729</v>
      </c>
      <c r="B3810" s="316">
        <v>3037</v>
      </c>
      <c r="C3810" s="247" t="s">
        <v>996</v>
      </c>
      <c r="D3810" s="317">
        <v>42676</v>
      </c>
      <c r="E3810" s="318">
        <v>0.50234953703703711</v>
      </c>
      <c r="F3810" s="247" t="s">
        <v>980</v>
      </c>
      <c r="G3810" s="247" t="s">
        <v>1035</v>
      </c>
      <c r="H3810" s="248" t="s">
        <v>234</v>
      </c>
      <c r="I3810" s="248" t="s">
        <v>263</v>
      </c>
      <c r="J3810" s="247" t="s">
        <v>809</v>
      </c>
      <c r="K3810" s="249">
        <v>0</v>
      </c>
      <c r="M3810" s="90">
        <v>0</v>
      </c>
      <c r="N3810" s="90">
        <v>0</v>
      </c>
      <c r="O3810" s="90">
        <v>255</v>
      </c>
    </row>
    <row r="3811" spans="1:15" s="90" customFormat="1" ht="12.75" customHeight="1" x14ac:dyDescent="0.2">
      <c r="A3811" s="247" t="s">
        <v>1730</v>
      </c>
      <c r="B3811" s="316">
        <v>3037</v>
      </c>
      <c r="C3811" s="247" t="s">
        <v>996</v>
      </c>
      <c r="D3811" s="317">
        <v>42676</v>
      </c>
      <c r="E3811" s="318">
        <v>0.50234953703703711</v>
      </c>
      <c r="F3811" s="247" t="s">
        <v>980</v>
      </c>
      <c r="G3811" s="247" t="s">
        <v>1035</v>
      </c>
      <c r="H3811" s="248" t="s">
        <v>234</v>
      </c>
      <c r="I3811" s="248" t="s">
        <v>263</v>
      </c>
      <c r="J3811" s="247" t="s">
        <v>809</v>
      </c>
      <c r="K3811" s="249">
        <v>0</v>
      </c>
      <c r="M3811" s="90">
        <v>0</v>
      </c>
      <c r="N3811" s="90">
        <v>0</v>
      </c>
      <c r="O3811" s="90">
        <v>255</v>
      </c>
    </row>
    <row r="3812" spans="1:15" s="90" customFormat="1" ht="12.75" customHeight="1" x14ac:dyDescent="0.2">
      <c r="A3812" s="247" t="s">
        <v>1731</v>
      </c>
      <c r="B3812" s="316">
        <v>3037</v>
      </c>
      <c r="C3812" s="247" t="s">
        <v>996</v>
      </c>
      <c r="D3812" s="317">
        <v>42676</v>
      </c>
      <c r="E3812" s="318">
        <v>0.50234953703703711</v>
      </c>
      <c r="F3812" s="247" t="s">
        <v>980</v>
      </c>
      <c r="G3812" s="247" t="s">
        <v>1035</v>
      </c>
      <c r="H3812" s="248" t="s">
        <v>234</v>
      </c>
      <c r="I3812" s="248" t="s">
        <v>263</v>
      </c>
      <c r="J3812" s="247" t="s">
        <v>809</v>
      </c>
      <c r="K3812" s="249">
        <v>0</v>
      </c>
      <c r="M3812" s="90">
        <v>0</v>
      </c>
      <c r="N3812" s="90">
        <v>0</v>
      </c>
      <c r="O3812" s="90">
        <v>255</v>
      </c>
    </row>
    <row r="3813" spans="1:15" s="90" customFormat="1" ht="12.75" customHeight="1" x14ac:dyDescent="0.2">
      <c r="A3813" s="247" t="s">
        <v>1732</v>
      </c>
      <c r="B3813" s="316">
        <v>3037</v>
      </c>
      <c r="C3813" s="247" t="s">
        <v>996</v>
      </c>
      <c r="D3813" s="317">
        <v>42676</v>
      </c>
      <c r="E3813" s="318">
        <v>0.50234953703703711</v>
      </c>
      <c r="F3813" s="247" t="s">
        <v>980</v>
      </c>
      <c r="G3813" s="247" t="s">
        <v>1035</v>
      </c>
      <c r="H3813" s="248" t="s">
        <v>234</v>
      </c>
      <c r="I3813" s="248" t="s">
        <v>263</v>
      </c>
      <c r="J3813" s="247" t="s">
        <v>809</v>
      </c>
      <c r="K3813" s="249">
        <v>0</v>
      </c>
      <c r="M3813" s="90">
        <v>0</v>
      </c>
      <c r="N3813" s="90">
        <v>0</v>
      </c>
      <c r="O3813" s="90">
        <v>255</v>
      </c>
    </row>
    <row r="3814" spans="1:15" s="90" customFormat="1" ht="12.75" customHeight="1" x14ac:dyDescent="0.2">
      <c r="A3814" s="247" t="s">
        <v>1733</v>
      </c>
      <c r="B3814" s="316">
        <v>3037</v>
      </c>
      <c r="C3814" s="247" t="s">
        <v>996</v>
      </c>
      <c r="D3814" s="317">
        <v>42676</v>
      </c>
      <c r="E3814" s="318">
        <v>0.50236111111111115</v>
      </c>
      <c r="F3814" s="247" t="s">
        <v>980</v>
      </c>
      <c r="G3814" s="247" t="s">
        <v>1035</v>
      </c>
      <c r="H3814" s="248" t="s">
        <v>234</v>
      </c>
      <c r="I3814" s="248" t="s">
        <v>263</v>
      </c>
      <c r="J3814" s="247" t="s">
        <v>809</v>
      </c>
      <c r="K3814" s="249">
        <v>0</v>
      </c>
      <c r="M3814" s="90">
        <v>0</v>
      </c>
      <c r="N3814" s="90">
        <v>0</v>
      </c>
      <c r="O3814" s="90">
        <v>255</v>
      </c>
    </row>
    <row r="3815" spans="1:15" s="90" customFormat="1" ht="12.75" customHeight="1" x14ac:dyDescent="0.2">
      <c r="A3815" s="247" t="s">
        <v>1734</v>
      </c>
      <c r="B3815" s="316">
        <v>3037</v>
      </c>
      <c r="C3815" s="247" t="s">
        <v>996</v>
      </c>
      <c r="D3815" s="317">
        <v>42676</v>
      </c>
      <c r="E3815" s="318">
        <v>0.50236111111111115</v>
      </c>
      <c r="F3815" s="247" t="s">
        <v>980</v>
      </c>
      <c r="G3815" s="247" t="s">
        <v>1035</v>
      </c>
      <c r="H3815" s="248" t="s">
        <v>234</v>
      </c>
      <c r="I3815" s="248" t="s">
        <v>263</v>
      </c>
      <c r="J3815" s="247" t="s">
        <v>809</v>
      </c>
      <c r="K3815" s="249">
        <v>0</v>
      </c>
      <c r="M3815" s="90">
        <v>0</v>
      </c>
      <c r="N3815" s="90">
        <v>0</v>
      </c>
      <c r="O3815" s="90">
        <v>255</v>
      </c>
    </row>
    <row r="3816" spans="1:15" s="90" customFormat="1" ht="12.75" customHeight="1" x14ac:dyDescent="0.2">
      <c r="A3816" s="247" t="s">
        <v>1735</v>
      </c>
      <c r="B3816" s="316">
        <v>3037</v>
      </c>
      <c r="C3816" s="247" t="s">
        <v>996</v>
      </c>
      <c r="D3816" s="317">
        <v>42676</v>
      </c>
      <c r="E3816" s="318">
        <v>0.50237268518518519</v>
      </c>
      <c r="F3816" s="247" t="s">
        <v>980</v>
      </c>
      <c r="G3816" s="247" t="s">
        <v>1035</v>
      </c>
      <c r="H3816" s="248" t="s">
        <v>234</v>
      </c>
      <c r="I3816" s="248" t="s">
        <v>263</v>
      </c>
      <c r="J3816" s="247" t="s">
        <v>809</v>
      </c>
      <c r="K3816" s="249">
        <v>0</v>
      </c>
      <c r="M3816" s="90">
        <v>0</v>
      </c>
      <c r="N3816" s="90">
        <v>0</v>
      </c>
      <c r="O3816" s="90">
        <v>255</v>
      </c>
    </row>
    <row r="3817" spans="1:15" s="90" customFormat="1" ht="12.75" customHeight="1" x14ac:dyDescent="0.2">
      <c r="A3817" s="247" t="s">
        <v>1736</v>
      </c>
      <c r="B3817" s="316">
        <v>3037</v>
      </c>
      <c r="C3817" s="247" t="s">
        <v>996</v>
      </c>
      <c r="D3817" s="317">
        <v>42676</v>
      </c>
      <c r="E3817" s="318">
        <v>0.50237268518518519</v>
      </c>
      <c r="F3817" s="247" t="s">
        <v>980</v>
      </c>
      <c r="G3817" s="247" t="s">
        <v>1035</v>
      </c>
      <c r="H3817" s="248" t="s">
        <v>234</v>
      </c>
      <c r="I3817" s="248" t="s">
        <v>263</v>
      </c>
      <c r="J3817" s="247" t="s">
        <v>809</v>
      </c>
      <c r="K3817" s="249">
        <v>0</v>
      </c>
      <c r="M3817" s="90">
        <v>0</v>
      </c>
      <c r="N3817" s="90">
        <v>0</v>
      </c>
      <c r="O3817" s="90">
        <v>255</v>
      </c>
    </row>
    <row r="3818" spans="1:15" s="90" customFormat="1" ht="12.75" customHeight="1" x14ac:dyDescent="0.2">
      <c r="A3818" s="247" t="s">
        <v>1737</v>
      </c>
      <c r="B3818" s="316">
        <v>3037</v>
      </c>
      <c r="C3818" s="247" t="s">
        <v>996</v>
      </c>
      <c r="D3818" s="317">
        <v>42676</v>
      </c>
      <c r="E3818" s="318">
        <v>0.50238425925925922</v>
      </c>
      <c r="F3818" s="247" t="s">
        <v>980</v>
      </c>
      <c r="G3818" s="247" t="s">
        <v>1035</v>
      </c>
      <c r="H3818" s="248" t="s">
        <v>234</v>
      </c>
      <c r="I3818" s="248" t="s">
        <v>263</v>
      </c>
      <c r="J3818" s="247" t="s">
        <v>809</v>
      </c>
      <c r="K3818" s="249">
        <v>0</v>
      </c>
      <c r="M3818" s="90">
        <v>0</v>
      </c>
      <c r="N3818" s="90">
        <v>0</v>
      </c>
      <c r="O3818" s="90">
        <v>255</v>
      </c>
    </row>
    <row r="3819" spans="1:15" s="90" customFormat="1" ht="12.75" customHeight="1" x14ac:dyDescent="0.2">
      <c r="A3819" s="247" t="s">
        <v>1738</v>
      </c>
      <c r="B3819" s="316">
        <v>3037</v>
      </c>
      <c r="C3819" s="247" t="s">
        <v>996</v>
      </c>
      <c r="D3819" s="317">
        <v>42676</v>
      </c>
      <c r="E3819" s="318">
        <v>0.50238425925925922</v>
      </c>
      <c r="F3819" s="247" t="s">
        <v>980</v>
      </c>
      <c r="G3819" s="247" t="s">
        <v>1035</v>
      </c>
      <c r="H3819" s="248" t="s">
        <v>234</v>
      </c>
      <c r="I3819" s="248" t="s">
        <v>263</v>
      </c>
      <c r="J3819" s="247" t="s">
        <v>809</v>
      </c>
      <c r="K3819" s="249">
        <v>0</v>
      </c>
      <c r="M3819" s="90">
        <v>0</v>
      </c>
      <c r="N3819" s="90">
        <v>0</v>
      </c>
      <c r="O3819" s="90">
        <v>255</v>
      </c>
    </row>
    <row r="3820" spans="1:15" s="90" customFormat="1" ht="12.75" customHeight="1" x14ac:dyDescent="0.2">
      <c r="A3820" s="247" t="s">
        <v>1739</v>
      </c>
      <c r="B3820" s="316">
        <v>3037</v>
      </c>
      <c r="C3820" s="247" t="s">
        <v>996</v>
      </c>
      <c r="D3820" s="317">
        <v>42676</v>
      </c>
      <c r="E3820" s="318">
        <v>0.50238425925925922</v>
      </c>
      <c r="F3820" s="247" t="s">
        <v>980</v>
      </c>
      <c r="G3820" s="247" t="s">
        <v>1035</v>
      </c>
      <c r="H3820" s="248" t="s">
        <v>234</v>
      </c>
      <c r="I3820" s="248" t="s">
        <v>263</v>
      </c>
      <c r="J3820" s="247" t="s">
        <v>809</v>
      </c>
      <c r="K3820" s="249">
        <v>0</v>
      </c>
      <c r="M3820" s="90">
        <v>0</v>
      </c>
      <c r="N3820" s="90">
        <v>0</v>
      </c>
      <c r="O3820" s="90">
        <v>255</v>
      </c>
    </row>
    <row r="3821" spans="1:15" s="90" customFormat="1" ht="12.75" customHeight="1" x14ac:dyDescent="0.2">
      <c r="A3821" s="247" t="s">
        <v>1740</v>
      </c>
      <c r="B3821" s="316">
        <v>3037</v>
      </c>
      <c r="C3821" s="247" t="s">
        <v>996</v>
      </c>
      <c r="D3821" s="317">
        <v>42676</v>
      </c>
      <c r="E3821" s="318">
        <v>0.50238425925925922</v>
      </c>
      <c r="F3821" s="247" t="s">
        <v>980</v>
      </c>
      <c r="G3821" s="247" t="s">
        <v>1035</v>
      </c>
      <c r="H3821" s="248" t="s">
        <v>234</v>
      </c>
      <c r="I3821" s="248" t="s">
        <v>263</v>
      </c>
      <c r="J3821" s="247" t="s">
        <v>809</v>
      </c>
      <c r="K3821" s="249">
        <v>0</v>
      </c>
      <c r="M3821" s="90">
        <v>0</v>
      </c>
      <c r="N3821" s="90">
        <v>0</v>
      </c>
      <c r="O3821" s="90">
        <v>255</v>
      </c>
    </row>
    <row r="3822" spans="1:15" s="90" customFormat="1" ht="12.75" customHeight="1" x14ac:dyDescent="0.2">
      <c r="A3822" s="247" t="s">
        <v>1741</v>
      </c>
      <c r="B3822" s="316">
        <v>3037</v>
      </c>
      <c r="C3822" s="247" t="s">
        <v>996</v>
      </c>
      <c r="D3822" s="317">
        <v>42676</v>
      </c>
      <c r="E3822" s="318">
        <v>0.50238425925925922</v>
      </c>
      <c r="F3822" s="247" t="s">
        <v>980</v>
      </c>
      <c r="G3822" s="247" t="s">
        <v>1035</v>
      </c>
      <c r="H3822" s="248" t="s">
        <v>234</v>
      </c>
      <c r="I3822" s="248" t="s">
        <v>263</v>
      </c>
      <c r="J3822" s="247" t="s">
        <v>809</v>
      </c>
      <c r="K3822" s="249">
        <v>0</v>
      </c>
      <c r="M3822" s="90">
        <v>0</v>
      </c>
      <c r="N3822" s="90">
        <v>0</v>
      </c>
      <c r="O3822" s="90">
        <v>255</v>
      </c>
    </row>
    <row r="3823" spans="1:15" s="90" customFormat="1" ht="12.75" customHeight="1" x14ac:dyDescent="0.2">
      <c r="A3823" s="247" t="s">
        <v>1742</v>
      </c>
      <c r="B3823" s="316">
        <v>3037</v>
      </c>
      <c r="C3823" s="247" t="s">
        <v>996</v>
      </c>
      <c r="D3823" s="317">
        <v>42676</v>
      </c>
      <c r="E3823" s="318">
        <v>0.50238425925925922</v>
      </c>
      <c r="F3823" s="247" t="s">
        <v>980</v>
      </c>
      <c r="G3823" s="247" t="s">
        <v>1035</v>
      </c>
      <c r="H3823" s="248" t="s">
        <v>234</v>
      </c>
      <c r="I3823" s="248" t="s">
        <v>263</v>
      </c>
      <c r="J3823" s="247" t="s">
        <v>809</v>
      </c>
      <c r="K3823" s="249">
        <v>0</v>
      </c>
      <c r="M3823" s="90">
        <v>0</v>
      </c>
      <c r="N3823" s="90">
        <v>0</v>
      </c>
      <c r="O3823" s="90">
        <v>255</v>
      </c>
    </row>
    <row r="3824" spans="1:15" s="90" customFormat="1" ht="12.75" customHeight="1" x14ac:dyDescent="0.2">
      <c r="A3824" s="247" t="s">
        <v>1743</v>
      </c>
      <c r="B3824" s="316">
        <v>3037</v>
      </c>
      <c r="C3824" s="247" t="s">
        <v>996</v>
      </c>
      <c r="D3824" s="317">
        <v>42676</v>
      </c>
      <c r="E3824" s="318">
        <v>0.50238425925925922</v>
      </c>
      <c r="F3824" s="247" t="s">
        <v>980</v>
      </c>
      <c r="G3824" s="247" t="s">
        <v>1035</v>
      </c>
      <c r="H3824" s="248" t="s">
        <v>234</v>
      </c>
      <c r="I3824" s="248" t="s">
        <v>263</v>
      </c>
      <c r="J3824" s="247" t="s">
        <v>809</v>
      </c>
      <c r="K3824" s="249">
        <v>0</v>
      </c>
      <c r="M3824" s="90">
        <v>0</v>
      </c>
      <c r="N3824" s="90">
        <v>0</v>
      </c>
      <c r="O3824" s="90">
        <v>255</v>
      </c>
    </row>
    <row r="3825" spans="1:15" s="90" customFormat="1" ht="12.75" customHeight="1" x14ac:dyDescent="0.2">
      <c r="A3825" s="247" t="s">
        <v>1744</v>
      </c>
      <c r="B3825" s="316">
        <v>3037</v>
      </c>
      <c r="C3825" s="247" t="s">
        <v>996</v>
      </c>
      <c r="D3825" s="317">
        <v>42676</v>
      </c>
      <c r="E3825" s="318">
        <v>0.50239583333333326</v>
      </c>
      <c r="F3825" s="247" t="s">
        <v>980</v>
      </c>
      <c r="G3825" s="247" t="s">
        <v>1035</v>
      </c>
      <c r="H3825" s="248" t="s">
        <v>234</v>
      </c>
      <c r="I3825" s="248" t="s">
        <v>263</v>
      </c>
      <c r="J3825" s="247" t="s">
        <v>809</v>
      </c>
      <c r="K3825" s="249">
        <v>0</v>
      </c>
      <c r="M3825" s="90">
        <v>0</v>
      </c>
      <c r="N3825" s="90">
        <v>0</v>
      </c>
      <c r="O3825" s="90">
        <v>255</v>
      </c>
    </row>
    <row r="3826" spans="1:15" s="90" customFormat="1" ht="12.75" customHeight="1" x14ac:dyDescent="0.2">
      <c r="A3826" s="247" t="s">
        <v>1745</v>
      </c>
      <c r="B3826" s="316">
        <v>3037</v>
      </c>
      <c r="C3826" s="247" t="s">
        <v>996</v>
      </c>
      <c r="D3826" s="317">
        <v>42676</v>
      </c>
      <c r="E3826" s="318">
        <v>0.50239583333333326</v>
      </c>
      <c r="F3826" s="247" t="s">
        <v>980</v>
      </c>
      <c r="G3826" s="247" t="s">
        <v>1035</v>
      </c>
      <c r="H3826" s="248" t="s">
        <v>234</v>
      </c>
      <c r="I3826" s="248" t="s">
        <v>263</v>
      </c>
      <c r="J3826" s="247" t="s">
        <v>809</v>
      </c>
      <c r="K3826" s="249">
        <v>0</v>
      </c>
      <c r="M3826" s="90">
        <v>0</v>
      </c>
      <c r="N3826" s="90">
        <v>0</v>
      </c>
      <c r="O3826" s="90">
        <v>255</v>
      </c>
    </row>
    <row r="3827" spans="1:15" s="90" customFormat="1" ht="12.75" customHeight="1" x14ac:dyDescent="0.2">
      <c r="A3827" s="247" t="s">
        <v>1746</v>
      </c>
      <c r="B3827" s="316">
        <v>3037</v>
      </c>
      <c r="C3827" s="247" t="s">
        <v>996</v>
      </c>
      <c r="D3827" s="317">
        <v>42676</v>
      </c>
      <c r="E3827" s="318">
        <v>0.50239583333333326</v>
      </c>
      <c r="F3827" s="247" t="s">
        <v>980</v>
      </c>
      <c r="G3827" s="247" t="s">
        <v>1035</v>
      </c>
      <c r="H3827" s="248" t="s">
        <v>234</v>
      </c>
      <c r="I3827" s="248" t="s">
        <v>263</v>
      </c>
      <c r="J3827" s="247" t="s">
        <v>809</v>
      </c>
      <c r="K3827" s="249">
        <v>0</v>
      </c>
      <c r="M3827" s="90">
        <v>0</v>
      </c>
      <c r="N3827" s="90">
        <v>0</v>
      </c>
      <c r="O3827" s="90">
        <v>255</v>
      </c>
    </row>
    <row r="3828" spans="1:15" s="90" customFormat="1" ht="12.75" customHeight="1" x14ac:dyDescent="0.2">
      <c r="A3828" s="247" t="s">
        <v>1747</v>
      </c>
      <c r="B3828" s="316">
        <v>3037</v>
      </c>
      <c r="C3828" s="247" t="s">
        <v>996</v>
      </c>
      <c r="D3828" s="317">
        <v>42676</v>
      </c>
      <c r="E3828" s="318">
        <v>0.50239583333333326</v>
      </c>
      <c r="F3828" s="247" t="s">
        <v>980</v>
      </c>
      <c r="G3828" s="247" t="s">
        <v>1035</v>
      </c>
      <c r="H3828" s="248" t="s">
        <v>234</v>
      </c>
      <c r="I3828" s="248" t="s">
        <v>263</v>
      </c>
      <c r="J3828" s="247" t="s">
        <v>809</v>
      </c>
      <c r="K3828" s="249">
        <v>0</v>
      </c>
      <c r="M3828" s="90">
        <v>0</v>
      </c>
      <c r="N3828" s="90">
        <v>0</v>
      </c>
      <c r="O3828" s="90">
        <v>255</v>
      </c>
    </row>
    <row r="3829" spans="1:15" s="90" customFormat="1" ht="12.75" customHeight="1" x14ac:dyDescent="0.2">
      <c r="A3829" s="247" t="s">
        <v>1748</v>
      </c>
      <c r="B3829" s="316">
        <v>3037</v>
      </c>
      <c r="C3829" s="247" t="s">
        <v>996</v>
      </c>
      <c r="D3829" s="317">
        <v>42676</v>
      </c>
      <c r="E3829" s="318">
        <v>0.50239583333333326</v>
      </c>
      <c r="F3829" s="247" t="s">
        <v>980</v>
      </c>
      <c r="G3829" s="247" t="s">
        <v>1035</v>
      </c>
      <c r="H3829" s="248" t="s">
        <v>234</v>
      </c>
      <c r="I3829" s="248" t="s">
        <v>263</v>
      </c>
      <c r="J3829" s="247" t="s">
        <v>809</v>
      </c>
      <c r="K3829" s="249">
        <v>0</v>
      </c>
      <c r="M3829" s="90">
        <v>0</v>
      </c>
      <c r="N3829" s="90">
        <v>0</v>
      </c>
      <c r="O3829" s="90">
        <v>255</v>
      </c>
    </row>
    <row r="3830" spans="1:15" s="90" customFormat="1" ht="12.75" customHeight="1" x14ac:dyDescent="0.2">
      <c r="A3830" s="247" t="s">
        <v>1749</v>
      </c>
      <c r="B3830" s="316">
        <v>3037</v>
      </c>
      <c r="C3830" s="247" t="s">
        <v>996</v>
      </c>
      <c r="D3830" s="317">
        <v>42676</v>
      </c>
      <c r="E3830" s="318">
        <v>0.50239583333333326</v>
      </c>
      <c r="F3830" s="247" t="s">
        <v>980</v>
      </c>
      <c r="G3830" s="247" t="s">
        <v>1035</v>
      </c>
      <c r="H3830" s="248" t="s">
        <v>234</v>
      </c>
      <c r="I3830" s="248" t="s">
        <v>263</v>
      </c>
      <c r="J3830" s="247" t="s">
        <v>809</v>
      </c>
      <c r="K3830" s="249">
        <v>0</v>
      </c>
      <c r="M3830" s="90">
        <v>0</v>
      </c>
      <c r="N3830" s="90">
        <v>0</v>
      </c>
      <c r="O3830" s="90">
        <v>255</v>
      </c>
    </row>
    <row r="3831" spans="1:15" s="90" customFormat="1" ht="12.75" customHeight="1" x14ac:dyDescent="0.2">
      <c r="A3831" s="247" t="s">
        <v>1750</v>
      </c>
      <c r="B3831" s="316">
        <v>3037</v>
      </c>
      <c r="C3831" s="247" t="s">
        <v>996</v>
      </c>
      <c r="D3831" s="317">
        <v>42676</v>
      </c>
      <c r="E3831" s="318">
        <v>0.50239583333333326</v>
      </c>
      <c r="F3831" s="247" t="s">
        <v>980</v>
      </c>
      <c r="G3831" s="247" t="s">
        <v>1035</v>
      </c>
      <c r="H3831" s="248" t="s">
        <v>234</v>
      </c>
      <c r="I3831" s="248" t="s">
        <v>263</v>
      </c>
      <c r="J3831" s="247" t="s">
        <v>809</v>
      </c>
      <c r="K3831" s="249">
        <v>0</v>
      </c>
      <c r="M3831" s="90">
        <v>0</v>
      </c>
      <c r="N3831" s="90">
        <v>0</v>
      </c>
      <c r="O3831" s="90">
        <v>255</v>
      </c>
    </row>
    <row r="3832" spans="1:15" s="90" customFormat="1" ht="12.75" customHeight="1" x14ac:dyDescent="0.2">
      <c r="A3832" s="247" t="s">
        <v>1751</v>
      </c>
      <c r="B3832" s="316">
        <v>3037</v>
      </c>
      <c r="C3832" s="247" t="s">
        <v>996</v>
      </c>
      <c r="D3832" s="317">
        <v>42676</v>
      </c>
      <c r="E3832" s="318">
        <v>0.50239583333333326</v>
      </c>
      <c r="F3832" s="247" t="s">
        <v>980</v>
      </c>
      <c r="G3832" s="247" t="s">
        <v>1035</v>
      </c>
      <c r="H3832" s="248" t="s">
        <v>234</v>
      </c>
      <c r="I3832" s="248" t="s">
        <v>263</v>
      </c>
      <c r="J3832" s="247" t="s">
        <v>809</v>
      </c>
      <c r="K3832" s="249">
        <v>0</v>
      </c>
      <c r="M3832" s="90">
        <v>0</v>
      </c>
      <c r="N3832" s="90">
        <v>0</v>
      </c>
      <c r="O3832" s="90">
        <v>255</v>
      </c>
    </row>
    <row r="3833" spans="1:15" s="90" customFormat="1" ht="12.75" customHeight="1" x14ac:dyDescent="0.2">
      <c r="A3833" s="247" t="s">
        <v>1752</v>
      </c>
      <c r="B3833" s="316">
        <v>3037</v>
      </c>
      <c r="C3833" s="247" t="s">
        <v>996</v>
      </c>
      <c r="D3833" s="317">
        <v>42676</v>
      </c>
      <c r="E3833" s="318">
        <v>0.50239583333333326</v>
      </c>
      <c r="F3833" s="247" t="s">
        <v>980</v>
      </c>
      <c r="G3833" s="247" t="s">
        <v>1035</v>
      </c>
      <c r="H3833" s="248" t="s">
        <v>234</v>
      </c>
      <c r="I3833" s="248" t="s">
        <v>263</v>
      </c>
      <c r="J3833" s="247" t="s">
        <v>809</v>
      </c>
      <c r="K3833" s="249">
        <v>0</v>
      </c>
      <c r="M3833" s="90">
        <v>0</v>
      </c>
      <c r="N3833" s="90">
        <v>0</v>
      </c>
      <c r="O3833" s="90">
        <v>255</v>
      </c>
    </row>
    <row r="3834" spans="1:15" s="90" customFormat="1" ht="12.75" customHeight="1" x14ac:dyDescent="0.2">
      <c r="A3834" s="247" t="s">
        <v>1753</v>
      </c>
      <c r="B3834" s="316">
        <v>3037</v>
      </c>
      <c r="C3834" s="247" t="s">
        <v>996</v>
      </c>
      <c r="D3834" s="317">
        <v>42676</v>
      </c>
      <c r="E3834" s="318">
        <v>0.50239583333333326</v>
      </c>
      <c r="F3834" s="247" t="s">
        <v>980</v>
      </c>
      <c r="G3834" s="247" t="s">
        <v>1035</v>
      </c>
      <c r="H3834" s="248" t="s">
        <v>234</v>
      </c>
      <c r="I3834" s="248" t="s">
        <v>263</v>
      </c>
      <c r="J3834" s="247" t="s">
        <v>809</v>
      </c>
      <c r="K3834" s="249">
        <v>0</v>
      </c>
      <c r="M3834" s="90">
        <v>0</v>
      </c>
      <c r="N3834" s="90">
        <v>0</v>
      </c>
      <c r="O3834" s="90">
        <v>255</v>
      </c>
    </row>
    <row r="3835" spans="1:15" s="90" customFormat="1" ht="12.75" customHeight="1" x14ac:dyDescent="0.2">
      <c r="A3835" s="247" t="s">
        <v>1754</v>
      </c>
      <c r="B3835" s="316">
        <v>3037</v>
      </c>
      <c r="C3835" s="247" t="s">
        <v>996</v>
      </c>
      <c r="D3835" s="317">
        <v>42676</v>
      </c>
      <c r="E3835" s="318">
        <v>0.50239583333333326</v>
      </c>
      <c r="F3835" s="247" t="s">
        <v>980</v>
      </c>
      <c r="G3835" s="247" t="s">
        <v>1035</v>
      </c>
      <c r="H3835" s="248" t="s">
        <v>234</v>
      </c>
      <c r="I3835" s="248" t="s">
        <v>263</v>
      </c>
      <c r="J3835" s="247" t="s">
        <v>809</v>
      </c>
      <c r="K3835" s="249">
        <v>0</v>
      </c>
      <c r="M3835" s="90">
        <v>0</v>
      </c>
      <c r="N3835" s="90">
        <v>0</v>
      </c>
      <c r="O3835" s="90">
        <v>255</v>
      </c>
    </row>
    <row r="3836" spans="1:15" s="90" customFormat="1" ht="12.75" customHeight="1" x14ac:dyDescent="0.2">
      <c r="A3836" s="247" t="s">
        <v>1755</v>
      </c>
      <c r="B3836" s="316">
        <v>3037</v>
      </c>
      <c r="C3836" s="247" t="s">
        <v>996</v>
      </c>
      <c r="D3836" s="317">
        <v>42676</v>
      </c>
      <c r="E3836" s="318">
        <v>0.50239583333333326</v>
      </c>
      <c r="F3836" s="247" t="s">
        <v>980</v>
      </c>
      <c r="G3836" s="247" t="s">
        <v>1035</v>
      </c>
      <c r="H3836" s="248" t="s">
        <v>234</v>
      </c>
      <c r="I3836" s="248" t="s">
        <v>263</v>
      </c>
      <c r="J3836" s="247" t="s">
        <v>809</v>
      </c>
      <c r="K3836" s="249">
        <v>0</v>
      </c>
      <c r="M3836" s="90">
        <v>0</v>
      </c>
      <c r="N3836" s="90">
        <v>0</v>
      </c>
      <c r="O3836" s="90">
        <v>255</v>
      </c>
    </row>
    <row r="3837" spans="1:15" s="90" customFormat="1" ht="12.75" customHeight="1" x14ac:dyDescent="0.2">
      <c r="A3837" s="247" t="s">
        <v>1756</v>
      </c>
      <c r="B3837" s="316">
        <v>3037</v>
      </c>
      <c r="C3837" s="247" t="s">
        <v>996</v>
      </c>
      <c r="D3837" s="317">
        <v>42676</v>
      </c>
      <c r="E3837" s="318">
        <v>0.50239583333333326</v>
      </c>
      <c r="F3837" s="247" t="s">
        <v>980</v>
      </c>
      <c r="G3837" s="247" t="s">
        <v>1035</v>
      </c>
      <c r="H3837" s="248" t="s">
        <v>234</v>
      </c>
      <c r="I3837" s="248" t="s">
        <v>263</v>
      </c>
      <c r="J3837" s="247" t="s">
        <v>809</v>
      </c>
      <c r="K3837" s="249">
        <v>0</v>
      </c>
      <c r="M3837" s="90">
        <v>0</v>
      </c>
      <c r="N3837" s="90">
        <v>0</v>
      </c>
      <c r="O3837" s="90">
        <v>255</v>
      </c>
    </row>
    <row r="3838" spans="1:15" s="90" customFormat="1" ht="12.75" customHeight="1" x14ac:dyDescent="0.2">
      <c r="A3838" s="247" t="s">
        <v>1757</v>
      </c>
      <c r="B3838" s="316">
        <v>3037</v>
      </c>
      <c r="C3838" s="247" t="s">
        <v>996</v>
      </c>
      <c r="D3838" s="317">
        <v>42676</v>
      </c>
      <c r="E3838" s="318">
        <v>0.50240740740740741</v>
      </c>
      <c r="F3838" s="247" t="s">
        <v>980</v>
      </c>
      <c r="G3838" s="247" t="s">
        <v>1035</v>
      </c>
      <c r="H3838" s="248" t="s">
        <v>234</v>
      </c>
      <c r="I3838" s="248" t="s">
        <v>263</v>
      </c>
      <c r="J3838" s="247" t="s">
        <v>809</v>
      </c>
      <c r="K3838" s="249">
        <v>0</v>
      </c>
      <c r="M3838" s="90">
        <v>0</v>
      </c>
      <c r="N3838" s="90">
        <v>0</v>
      </c>
      <c r="O3838" s="90">
        <v>255</v>
      </c>
    </row>
    <row r="3839" spans="1:15" s="90" customFormat="1" ht="12.75" customHeight="1" x14ac:dyDescent="0.2">
      <c r="A3839" s="247" t="s">
        <v>1758</v>
      </c>
      <c r="B3839" s="316">
        <v>3037</v>
      </c>
      <c r="C3839" s="247" t="s">
        <v>996</v>
      </c>
      <c r="D3839" s="317">
        <v>42676</v>
      </c>
      <c r="E3839" s="318">
        <v>0.50240740740740741</v>
      </c>
      <c r="F3839" s="247" t="s">
        <v>980</v>
      </c>
      <c r="G3839" s="247" t="s">
        <v>1035</v>
      </c>
      <c r="H3839" s="248" t="s">
        <v>234</v>
      </c>
      <c r="I3839" s="248" t="s">
        <v>263</v>
      </c>
      <c r="J3839" s="247" t="s">
        <v>809</v>
      </c>
      <c r="K3839" s="249">
        <v>0</v>
      </c>
      <c r="M3839" s="90">
        <v>0</v>
      </c>
      <c r="N3839" s="90">
        <v>0</v>
      </c>
      <c r="O3839" s="90">
        <v>255</v>
      </c>
    </row>
    <row r="3840" spans="1:15" s="90" customFormat="1" ht="12.75" customHeight="1" x14ac:dyDescent="0.2">
      <c r="A3840" s="247" t="s">
        <v>1759</v>
      </c>
      <c r="B3840" s="316">
        <v>3037</v>
      </c>
      <c r="C3840" s="247" t="s">
        <v>996</v>
      </c>
      <c r="D3840" s="317">
        <v>42676</v>
      </c>
      <c r="E3840" s="318">
        <v>0.50240740740740741</v>
      </c>
      <c r="F3840" s="247" t="s">
        <v>980</v>
      </c>
      <c r="G3840" s="247" t="s">
        <v>1035</v>
      </c>
      <c r="H3840" s="248" t="s">
        <v>234</v>
      </c>
      <c r="I3840" s="248" t="s">
        <v>263</v>
      </c>
      <c r="J3840" s="247" t="s">
        <v>809</v>
      </c>
      <c r="K3840" s="249">
        <v>0</v>
      </c>
      <c r="M3840" s="90">
        <v>0</v>
      </c>
      <c r="N3840" s="90">
        <v>0</v>
      </c>
      <c r="O3840" s="90">
        <v>255</v>
      </c>
    </row>
    <row r="3841" spans="1:15" s="90" customFormat="1" ht="12.75" customHeight="1" x14ac:dyDescent="0.2">
      <c r="A3841" s="247" t="s">
        <v>1760</v>
      </c>
      <c r="B3841" s="316">
        <v>3037</v>
      </c>
      <c r="C3841" s="247" t="s">
        <v>996</v>
      </c>
      <c r="D3841" s="317">
        <v>42676</v>
      </c>
      <c r="E3841" s="318">
        <v>0.50240740740740741</v>
      </c>
      <c r="F3841" s="247" t="s">
        <v>980</v>
      </c>
      <c r="G3841" s="247" t="s">
        <v>1035</v>
      </c>
      <c r="H3841" s="248" t="s">
        <v>234</v>
      </c>
      <c r="I3841" s="248" t="s">
        <v>263</v>
      </c>
      <c r="J3841" s="247" t="s">
        <v>809</v>
      </c>
      <c r="K3841" s="249">
        <v>0</v>
      </c>
      <c r="M3841" s="90">
        <v>0</v>
      </c>
      <c r="N3841" s="90">
        <v>0</v>
      </c>
      <c r="O3841" s="90">
        <v>255</v>
      </c>
    </row>
    <row r="3842" spans="1:15" s="90" customFormat="1" ht="12.75" customHeight="1" x14ac:dyDescent="0.2">
      <c r="A3842" s="247" t="s">
        <v>1761</v>
      </c>
      <c r="B3842" s="316">
        <v>3037</v>
      </c>
      <c r="C3842" s="247" t="s">
        <v>996</v>
      </c>
      <c r="D3842" s="317">
        <v>42676</v>
      </c>
      <c r="E3842" s="318">
        <v>0.50240740740740741</v>
      </c>
      <c r="F3842" s="247" t="s">
        <v>980</v>
      </c>
      <c r="G3842" s="247" t="s">
        <v>1035</v>
      </c>
      <c r="H3842" s="248" t="s">
        <v>234</v>
      </c>
      <c r="I3842" s="248" t="s">
        <v>263</v>
      </c>
      <c r="J3842" s="247" t="s">
        <v>809</v>
      </c>
      <c r="K3842" s="249">
        <v>0</v>
      </c>
      <c r="M3842" s="90">
        <v>0</v>
      </c>
      <c r="N3842" s="90">
        <v>0</v>
      </c>
      <c r="O3842" s="90">
        <v>255</v>
      </c>
    </row>
    <row r="3843" spans="1:15" s="90" customFormat="1" ht="12.75" customHeight="1" x14ac:dyDescent="0.2">
      <c r="A3843" s="247" t="s">
        <v>1762</v>
      </c>
      <c r="B3843" s="316">
        <v>3037</v>
      </c>
      <c r="C3843" s="247" t="s">
        <v>996</v>
      </c>
      <c r="D3843" s="317">
        <v>42676</v>
      </c>
      <c r="E3843" s="318">
        <v>0.50240740740740741</v>
      </c>
      <c r="F3843" s="247" t="s">
        <v>980</v>
      </c>
      <c r="G3843" s="247" t="s">
        <v>1035</v>
      </c>
      <c r="H3843" s="248" t="s">
        <v>234</v>
      </c>
      <c r="I3843" s="248" t="s">
        <v>263</v>
      </c>
      <c r="J3843" s="247" t="s">
        <v>809</v>
      </c>
      <c r="K3843" s="249">
        <v>0</v>
      </c>
      <c r="M3843" s="90">
        <v>0</v>
      </c>
      <c r="N3843" s="90">
        <v>0</v>
      </c>
      <c r="O3843" s="90">
        <v>255</v>
      </c>
    </row>
    <row r="3844" spans="1:15" s="90" customFormat="1" ht="12.75" customHeight="1" x14ac:dyDescent="0.2">
      <c r="A3844" s="247" t="s">
        <v>1763</v>
      </c>
      <c r="B3844" s="316">
        <v>3037</v>
      </c>
      <c r="C3844" s="247" t="s">
        <v>996</v>
      </c>
      <c r="D3844" s="317">
        <v>42676</v>
      </c>
      <c r="E3844" s="318">
        <v>0.50240740740740741</v>
      </c>
      <c r="F3844" s="247" t="s">
        <v>980</v>
      </c>
      <c r="G3844" s="247" t="s">
        <v>1035</v>
      </c>
      <c r="H3844" s="248" t="s">
        <v>234</v>
      </c>
      <c r="I3844" s="248" t="s">
        <v>263</v>
      </c>
      <c r="J3844" s="247" t="s">
        <v>809</v>
      </c>
      <c r="K3844" s="249">
        <v>0</v>
      </c>
      <c r="M3844" s="90">
        <v>0</v>
      </c>
      <c r="N3844" s="90">
        <v>0</v>
      </c>
      <c r="O3844" s="90">
        <v>255</v>
      </c>
    </row>
    <row r="3845" spans="1:15" s="90" customFormat="1" ht="12.75" customHeight="1" x14ac:dyDescent="0.2">
      <c r="A3845" s="247" t="s">
        <v>1764</v>
      </c>
      <c r="B3845" s="316">
        <v>3037</v>
      </c>
      <c r="C3845" s="247" t="s">
        <v>996</v>
      </c>
      <c r="D3845" s="317">
        <v>42676</v>
      </c>
      <c r="E3845" s="318">
        <v>0.50240740740740741</v>
      </c>
      <c r="F3845" s="247" t="s">
        <v>980</v>
      </c>
      <c r="G3845" s="247" t="s">
        <v>1035</v>
      </c>
      <c r="H3845" s="248" t="s">
        <v>234</v>
      </c>
      <c r="I3845" s="248" t="s">
        <v>263</v>
      </c>
      <c r="J3845" s="247" t="s">
        <v>809</v>
      </c>
      <c r="K3845" s="249">
        <v>0</v>
      </c>
      <c r="M3845" s="90">
        <v>0</v>
      </c>
      <c r="N3845" s="90">
        <v>0</v>
      </c>
      <c r="O3845" s="90">
        <v>255</v>
      </c>
    </row>
    <row r="3846" spans="1:15" s="90" customFormat="1" ht="12.75" customHeight="1" x14ac:dyDescent="0.2">
      <c r="A3846" s="247" t="s">
        <v>1765</v>
      </c>
      <c r="B3846" s="316">
        <v>3037</v>
      </c>
      <c r="C3846" s="247" t="s">
        <v>996</v>
      </c>
      <c r="D3846" s="317">
        <v>42676</v>
      </c>
      <c r="E3846" s="318">
        <v>0.50240740740740741</v>
      </c>
      <c r="F3846" s="247" t="s">
        <v>980</v>
      </c>
      <c r="G3846" s="247" t="s">
        <v>1035</v>
      </c>
      <c r="H3846" s="248" t="s">
        <v>234</v>
      </c>
      <c r="I3846" s="248" t="s">
        <v>263</v>
      </c>
      <c r="J3846" s="247" t="s">
        <v>809</v>
      </c>
      <c r="K3846" s="249">
        <v>0</v>
      </c>
      <c r="M3846" s="90">
        <v>0</v>
      </c>
      <c r="N3846" s="90">
        <v>0</v>
      </c>
      <c r="O3846" s="90">
        <v>255</v>
      </c>
    </row>
    <row r="3847" spans="1:15" s="90" customFormat="1" ht="12.75" customHeight="1" x14ac:dyDescent="0.2">
      <c r="A3847" s="247" t="s">
        <v>1766</v>
      </c>
      <c r="B3847" s="316">
        <v>3037</v>
      </c>
      <c r="C3847" s="247" t="s">
        <v>996</v>
      </c>
      <c r="D3847" s="317">
        <v>42676</v>
      </c>
      <c r="E3847" s="318">
        <v>0.50240740740740741</v>
      </c>
      <c r="F3847" s="247" t="s">
        <v>980</v>
      </c>
      <c r="G3847" s="247" t="s">
        <v>1035</v>
      </c>
      <c r="H3847" s="248" t="s">
        <v>234</v>
      </c>
      <c r="I3847" s="248" t="s">
        <v>263</v>
      </c>
      <c r="J3847" s="247" t="s">
        <v>809</v>
      </c>
      <c r="K3847" s="249">
        <v>0</v>
      </c>
      <c r="M3847" s="90">
        <v>0</v>
      </c>
      <c r="N3847" s="90">
        <v>0</v>
      </c>
      <c r="O3847" s="90">
        <v>255</v>
      </c>
    </row>
    <row r="3848" spans="1:15" s="90" customFormat="1" ht="12.75" customHeight="1" x14ac:dyDescent="0.2">
      <c r="A3848" s="247" t="s">
        <v>1767</v>
      </c>
      <c r="B3848" s="316">
        <v>3037</v>
      </c>
      <c r="C3848" s="247" t="s">
        <v>996</v>
      </c>
      <c r="D3848" s="317">
        <v>42676</v>
      </c>
      <c r="E3848" s="318">
        <v>0.50240740740740741</v>
      </c>
      <c r="F3848" s="247" t="s">
        <v>980</v>
      </c>
      <c r="G3848" s="247" t="s">
        <v>1035</v>
      </c>
      <c r="H3848" s="248" t="s">
        <v>234</v>
      </c>
      <c r="I3848" s="248" t="s">
        <v>263</v>
      </c>
      <c r="J3848" s="247" t="s">
        <v>809</v>
      </c>
      <c r="K3848" s="249">
        <v>0</v>
      </c>
      <c r="M3848" s="90">
        <v>0</v>
      </c>
      <c r="N3848" s="90">
        <v>0</v>
      </c>
      <c r="O3848" s="90">
        <v>255</v>
      </c>
    </row>
    <row r="3849" spans="1:15" s="90" customFormat="1" ht="12.75" customHeight="1" x14ac:dyDescent="0.2">
      <c r="A3849" s="247" t="s">
        <v>1768</v>
      </c>
      <c r="B3849" s="316">
        <v>3037</v>
      </c>
      <c r="C3849" s="247" t="s">
        <v>996</v>
      </c>
      <c r="D3849" s="317">
        <v>42676</v>
      </c>
      <c r="E3849" s="318">
        <v>0.50240740740740741</v>
      </c>
      <c r="F3849" s="247" t="s">
        <v>980</v>
      </c>
      <c r="G3849" s="247" t="s">
        <v>1035</v>
      </c>
      <c r="H3849" s="248" t="s">
        <v>234</v>
      </c>
      <c r="I3849" s="248" t="s">
        <v>263</v>
      </c>
      <c r="J3849" s="247" t="s">
        <v>809</v>
      </c>
      <c r="K3849" s="249">
        <v>0</v>
      </c>
      <c r="M3849" s="90">
        <v>0</v>
      </c>
      <c r="N3849" s="90">
        <v>0</v>
      </c>
      <c r="O3849" s="90">
        <v>255</v>
      </c>
    </row>
    <row r="3850" spans="1:15" s="90" customFormat="1" ht="12.75" customHeight="1" x14ac:dyDescent="0.2">
      <c r="A3850" s="247" t="s">
        <v>1769</v>
      </c>
      <c r="B3850" s="316">
        <v>3037</v>
      </c>
      <c r="C3850" s="247" t="s">
        <v>996</v>
      </c>
      <c r="D3850" s="317">
        <v>42676</v>
      </c>
      <c r="E3850" s="318">
        <v>0.50240740740740741</v>
      </c>
      <c r="F3850" s="247" t="s">
        <v>980</v>
      </c>
      <c r="G3850" s="247" t="s">
        <v>1035</v>
      </c>
      <c r="H3850" s="248" t="s">
        <v>234</v>
      </c>
      <c r="I3850" s="248" t="s">
        <v>263</v>
      </c>
      <c r="J3850" s="247" t="s">
        <v>809</v>
      </c>
      <c r="K3850" s="249">
        <v>0</v>
      </c>
      <c r="M3850" s="90">
        <v>0</v>
      </c>
      <c r="N3850" s="90">
        <v>0</v>
      </c>
      <c r="O3850" s="90">
        <v>255</v>
      </c>
    </row>
    <row r="3851" spans="1:15" s="90" customFormat="1" ht="12.75" customHeight="1" x14ac:dyDescent="0.2">
      <c r="A3851" s="247" t="s">
        <v>1546</v>
      </c>
      <c r="B3851" s="316">
        <v>3037</v>
      </c>
      <c r="C3851" s="247" t="s">
        <v>996</v>
      </c>
      <c r="D3851" s="317">
        <v>42676</v>
      </c>
      <c r="E3851" s="318">
        <v>0.50269675925925927</v>
      </c>
      <c r="F3851" s="247" t="s">
        <v>980</v>
      </c>
      <c r="G3851" s="247" t="s">
        <v>1035</v>
      </c>
      <c r="H3851" s="248" t="s">
        <v>234</v>
      </c>
      <c r="I3851" s="248" t="s">
        <v>263</v>
      </c>
      <c r="J3851" s="247" t="s">
        <v>809</v>
      </c>
      <c r="K3851" s="249">
        <v>0</v>
      </c>
      <c r="M3851" s="90">
        <v>0</v>
      </c>
      <c r="N3851" s="90">
        <v>0</v>
      </c>
      <c r="O3851" s="90">
        <v>255</v>
      </c>
    </row>
    <row r="3852" spans="1:15" s="90" customFormat="1" ht="12.75" customHeight="1" x14ac:dyDescent="0.2">
      <c r="A3852" s="247" t="s">
        <v>1495</v>
      </c>
      <c r="B3852" s="316">
        <v>3037</v>
      </c>
      <c r="C3852" s="247" t="s">
        <v>996</v>
      </c>
      <c r="D3852" s="317">
        <v>42676</v>
      </c>
      <c r="E3852" s="318">
        <v>0.50269675925925927</v>
      </c>
      <c r="F3852" s="247" t="s">
        <v>980</v>
      </c>
      <c r="G3852" s="247" t="s">
        <v>1035</v>
      </c>
      <c r="H3852" s="248" t="s">
        <v>234</v>
      </c>
      <c r="I3852" s="248" t="s">
        <v>263</v>
      </c>
      <c r="J3852" s="247" t="s">
        <v>809</v>
      </c>
      <c r="K3852" s="249">
        <v>0</v>
      </c>
      <c r="M3852" s="90">
        <v>0</v>
      </c>
      <c r="N3852" s="90">
        <v>0</v>
      </c>
      <c r="O3852" s="90">
        <v>255</v>
      </c>
    </row>
    <row r="3853" spans="1:15" s="90" customFormat="1" ht="12.75" customHeight="1" x14ac:dyDescent="0.2">
      <c r="A3853" s="247" t="s">
        <v>1496</v>
      </c>
      <c r="B3853" s="316">
        <v>3037</v>
      </c>
      <c r="C3853" s="247" t="s">
        <v>996</v>
      </c>
      <c r="D3853" s="317">
        <v>42676</v>
      </c>
      <c r="E3853" s="318">
        <v>0.50269675925925927</v>
      </c>
      <c r="F3853" s="247" t="s">
        <v>980</v>
      </c>
      <c r="G3853" s="247" t="s">
        <v>1035</v>
      </c>
      <c r="H3853" s="248" t="s">
        <v>234</v>
      </c>
      <c r="I3853" s="248" t="s">
        <v>263</v>
      </c>
      <c r="J3853" s="247" t="s">
        <v>809</v>
      </c>
      <c r="K3853" s="249">
        <v>0</v>
      </c>
      <c r="M3853" s="90">
        <v>0</v>
      </c>
      <c r="N3853" s="90">
        <v>0</v>
      </c>
      <c r="O3853" s="90">
        <v>255</v>
      </c>
    </row>
    <row r="3854" spans="1:15" s="90" customFormat="1" ht="12.75" customHeight="1" x14ac:dyDescent="0.2">
      <c r="A3854" s="247" t="s">
        <v>1497</v>
      </c>
      <c r="B3854" s="316">
        <v>3037</v>
      </c>
      <c r="C3854" s="247" t="s">
        <v>996</v>
      </c>
      <c r="D3854" s="317">
        <v>42676</v>
      </c>
      <c r="E3854" s="318">
        <v>0.50269675925925927</v>
      </c>
      <c r="F3854" s="247" t="s">
        <v>980</v>
      </c>
      <c r="G3854" s="247" t="s">
        <v>1035</v>
      </c>
      <c r="H3854" s="248" t="s">
        <v>234</v>
      </c>
      <c r="I3854" s="248" t="s">
        <v>263</v>
      </c>
      <c r="J3854" s="247" t="s">
        <v>809</v>
      </c>
      <c r="K3854" s="249">
        <v>0</v>
      </c>
      <c r="M3854" s="90">
        <v>0</v>
      </c>
      <c r="N3854" s="90">
        <v>0</v>
      </c>
      <c r="O3854" s="90">
        <v>255</v>
      </c>
    </row>
    <row r="3855" spans="1:15" s="90" customFormat="1" ht="12.75" customHeight="1" x14ac:dyDescent="0.2">
      <c r="A3855" s="247" t="s">
        <v>1498</v>
      </c>
      <c r="B3855" s="316">
        <v>3037</v>
      </c>
      <c r="C3855" s="247" t="s">
        <v>996</v>
      </c>
      <c r="D3855" s="317">
        <v>42676</v>
      </c>
      <c r="E3855" s="318">
        <v>0.50270833333333331</v>
      </c>
      <c r="F3855" s="247" t="s">
        <v>980</v>
      </c>
      <c r="G3855" s="247" t="s">
        <v>1035</v>
      </c>
      <c r="H3855" s="248" t="s">
        <v>234</v>
      </c>
      <c r="I3855" s="248" t="s">
        <v>263</v>
      </c>
      <c r="J3855" s="247" t="s">
        <v>809</v>
      </c>
      <c r="K3855" s="249">
        <v>0</v>
      </c>
      <c r="M3855" s="90">
        <v>0</v>
      </c>
      <c r="N3855" s="90">
        <v>0</v>
      </c>
      <c r="O3855" s="90">
        <v>255</v>
      </c>
    </row>
    <row r="3856" spans="1:15" s="90" customFormat="1" ht="12.75" customHeight="1" x14ac:dyDescent="0.2">
      <c r="A3856" s="247" t="s">
        <v>1499</v>
      </c>
      <c r="B3856" s="316">
        <v>3037</v>
      </c>
      <c r="C3856" s="247" t="s">
        <v>996</v>
      </c>
      <c r="D3856" s="317">
        <v>42676</v>
      </c>
      <c r="E3856" s="318">
        <v>0.50270833333333331</v>
      </c>
      <c r="F3856" s="247" t="s">
        <v>980</v>
      </c>
      <c r="G3856" s="247" t="s">
        <v>1035</v>
      </c>
      <c r="H3856" s="248" t="s">
        <v>234</v>
      </c>
      <c r="I3856" s="248" t="s">
        <v>263</v>
      </c>
      <c r="J3856" s="247" t="s">
        <v>809</v>
      </c>
      <c r="K3856" s="249">
        <v>0</v>
      </c>
      <c r="M3856" s="90">
        <v>0</v>
      </c>
      <c r="N3856" s="90">
        <v>0</v>
      </c>
      <c r="O3856" s="90">
        <v>255</v>
      </c>
    </row>
    <row r="3857" spans="1:15" s="90" customFormat="1" ht="12.75" customHeight="1" x14ac:dyDescent="0.2">
      <c r="A3857" s="247" t="s">
        <v>1502</v>
      </c>
      <c r="B3857" s="316">
        <v>3037</v>
      </c>
      <c r="C3857" s="247" t="s">
        <v>996</v>
      </c>
      <c r="D3857" s="317">
        <v>42676</v>
      </c>
      <c r="E3857" s="318">
        <v>0.50270833333333331</v>
      </c>
      <c r="F3857" s="247" t="s">
        <v>980</v>
      </c>
      <c r="G3857" s="247" t="s">
        <v>1035</v>
      </c>
      <c r="H3857" s="248" t="s">
        <v>234</v>
      </c>
      <c r="I3857" s="248" t="s">
        <v>263</v>
      </c>
      <c r="J3857" s="247" t="s">
        <v>809</v>
      </c>
      <c r="K3857" s="249">
        <v>0</v>
      </c>
      <c r="M3857" s="90">
        <v>0</v>
      </c>
      <c r="N3857" s="90">
        <v>0</v>
      </c>
      <c r="O3857" s="90">
        <v>255</v>
      </c>
    </row>
    <row r="3858" spans="1:15" s="90" customFormat="1" ht="12.75" customHeight="1" x14ac:dyDescent="0.2">
      <c r="A3858" s="247" t="s">
        <v>1547</v>
      </c>
      <c r="B3858" s="316">
        <v>3037</v>
      </c>
      <c r="C3858" s="247" t="s">
        <v>996</v>
      </c>
      <c r="D3858" s="317">
        <v>42676</v>
      </c>
      <c r="E3858" s="318">
        <v>0.50270833333333331</v>
      </c>
      <c r="F3858" s="247" t="s">
        <v>980</v>
      </c>
      <c r="G3858" s="247" t="s">
        <v>1035</v>
      </c>
      <c r="H3858" s="248" t="s">
        <v>234</v>
      </c>
      <c r="I3858" s="248" t="s">
        <v>263</v>
      </c>
      <c r="J3858" s="247" t="s">
        <v>809</v>
      </c>
      <c r="K3858" s="249">
        <v>0</v>
      </c>
      <c r="M3858" s="90">
        <v>0</v>
      </c>
      <c r="N3858" s="90">
        <v>0</v>
      </c>
      <c r="O3858" s="90">
        <v>255</v>
      </c>
    </row>
    <row r="3859" spans="1:15" s="90" customFormat="1" ht="12.75" customHeight="1" x14ac:dyDescent="0.2">
      <c r="A3859" s="247" t="s">
        <v>1548</v>
      </c>
      <c r="B3859" s="316">
        <v>3037</v>
      </c>
      <c r="C3859" s="247" t="s">
        <v>996</v>
      </c>
      <c r="D3859" s="317">
        <v>42676</v>
      </c>
      <c r="E3859" s="318">
        <v>0.50270833333333331</v>
      </c>
      <c r="F3859" s="247" t="s">
        <v>980</v>
      </c>
      <c r="G3859" s="247" t="s">
        <v>1035</v>
      </c>
      <c r="H3859" s="248" t="s">
        <v>234</v>
      </c>
      <c r="I3859" s="248" t="s">
        <v>263</v>
      </c>
      <c r="J3859" s="247" t="s">
        <v>809</v>
      </c>
      <c r="K3859" s="249">
        <v>0</v>
      </c>
      <c r="M3859" s="90">
        <v>0</v>
      </c>
      <c r="N3859" s="90">
        <v>0</v>
      </c>
      <c r="O3859" s="90">
        <v>255</v>
      </c>
    </row>
    <row r="3860" spans="1:15" s="90" customFormat="1" ht="12.75" customHeight="1" x14ac:dyDescent="0.2">
      <c r="A3860" s="247" t="s">
        <v>1549</v>
      </c>
      <c r="B3860" s="316">
        <v>3037</v>
      </c>
      <c r="C3860" s="247" t="s">
        <v>996</v>
      </c>
      <c r="D3860" s="317">
        <v>42676</v>
      </c>
      <c r="E3860" s="318">
        <v>0.50271990740740746</v>
      </c>
      <c r="F3860" s="247" t="s">
        <v>980</v>
      </c>
      <c r="G3860" s="247" t="s">
        <v>1035</v>
      </c>
      <c r="H3860" s="248" t="s">
        <v>234</v>
      </c>
      <c r="I3860" s="248" t="s">
        <v>263</v>
      </c>
      <c r="J3860" s="247" t="s">
        <v>809</v>
      </c>
      <c r="K3860" s="249">
        <v>0</v>
      </c>
      <c r="M3860" s="90">
        <v>0</v>
      </c>
      <c r="N3860" s="90">
        <v>0</v>
      </c>
      <c r="O3860" s="90">
        <v>255</v>
      </c>
    </row>
    <row r="3861" spans="1:15" s="90" customFormat="1" ht="12.75" customHeight="1" x14ac:dyDescent="0.2">
      <c r="A3861" s="247" t="s">
        <v>1550</v>
      </c>
      <c r="B3861" s="316">
        <v>3037</v>
      </c>
      <c r="C3861" s="247" t="s">
        <v>996</v>
      </c>
      <c r="D3861" s="317">
        <v>42676</v>
      </c>
      <c r="E3861" s="318">
        <v>0.50271990740740746</v>
      </c>
      <c r="F3861" s="247" t="s">
        <v>980</v>
      </c>
      <c r="G3861" s="247" t="s">
        <v>1035</v>
      </c>
      <c r="H3861" s="248" t="s">
        <v>234</v>
      </c>
      <c r="I3861" s="248" t="s">
        <v>263</v>
      </c>
      <c r="J3861" s="247" t="s">
        <v>809</v>
      </c>
      <c r="K3861" s="249">
        <v>0</v>
      </c>
      <c r="M3861" s="90">
        <v>0</v>
      </c>
      <c r="N3861" s="90">
        <v>0</v>
      </c>
      <c r="O3861" s="90">
        <v>255</v>
      </c>
    </row>
    <row r="3862" spans="1:15" s="90" customFormat="1" ht="12.75" customHeight="1" x14ac:dyDescent="0.2">
      <c r="A3862" s="247" t="s">
        <v>1551</v>
      </c>
      <c r="B3862" s="316">
        <v>3037</v>
      </c>
      <c r="C3862" s="247" t="s">
        <v>996</v>
      </c>
      <c r="D3862" s="317">
        <v>42676</v>
      </c>
      <c r="E3862" s="318">
        <v>0.50271990740740746</v>
      </c>
      <c r="F3862" s="247" t="s">
        <v>980</v>
      </c>
      <c r="G3862" s="247" t="s">
        <v>1035</v>
      </c>
      <c r="H3862" s="248" t="s">
        <v>234</v>
      </c>
      <c r="I3862" s="248" t="s">
        <v>263</v>
      </c>
      <c r="J3862" s="247" t="s">
        <v>809</v>
      </c>
      <c r="K3862" s="249">
        <v>0</v>
      </c>
      <c r="M3862" s="90">
        <v>0</v>
      </c>
      <c r="N3862" s="90">
        <v>0</v>
      </c>
      <c r="O3862" s="90">
        <v>255</v>
      </c>
    </row>
    <row r="3863" spans="1:15" s="90" customFormat="1" ht="12.75" customHeight="1" x14ac:dyDescent="0.2">
      <c r="A3863" s="247" t="s">
        <v>1552</v>
      </c>
      <c r="B3863" s="316">
        <v>3037</v>
      </c>
      <c r="C3863" s="247" t="s">
        <v>996</v>
      </c>
      <c r="D3863" s="317">
        <v>42676</v>
      </c>
      <c r="E3863" s="318">
        <v>0.50271990740740746</v>
      </c>
      <c r="F3863" s="247" t="s">
        <v>980</v>
      </c>
      <c r="G3863" s="247" t="s">
        <v>1035</v>
      </c>
      <c r="H3863" s="248" t="s">
        <v>234</v>
      </c>
      <c r="I3863" s="248" t="s">
        <v>263</v>
      </c>
      <c r="J3863" s="247" t="s">
        <v>809</v>
      </c>
      <c r="K3863" s="249">
        <v>0</v>
      </c>
      <c r="M3863" s="90">
        <v>0</v>
      </c>
      <c r="N3863" s="90">
        <v>0</v>
      </c>
      <c r="O3863" s="90">
        <v>255</v>
      </c>
    </row>
    <row r="3864" spans="1:15" s="90" customFormat="1" ht="12.75" customHeight="1" x14ac:dyDescent="0.2">
      <c r="A3864" s="247" t="s">
        <v>1553</v>
      </c>
      <c r="B3864" s="316">
        <v>3037</v>
      </c>
      <c r="C3864" s="247" t="s">
        <v>996</v>
      </c>
      <c r="D3864" s="317">
        <v>42676</v>
      </c>
      <c r="E3864" s="318">
        <v>0.5027314814814815</v>
      </c>
      <c r="F3864" s="247" t="s">
        <v>980</v>
      </c>
      <c r="G3864" s="247" t="s">
        <v>1035</v>
      </c>
      <c r="H3864" s="248" t="s">
        <v>234</v>
      </c>
      <c r="I3864" s="248" t="s">
        <v>263</v>
      </c>
      <c r="J3864" s="247" t="s">
        <v>809</v>
      </c>
      <c r="K3864" s="249">
        <v>0</v>
      </c>
      <c r="M3864" s="90">
        <v>0</v>
      </c>
      <c r="N3864" s="90">
        <v>0</v>
      </c>
      <c r="O3864" s="90">
        <v>255</v>
      </c>
    </row>
    <row r="3865" spans="1:15" s="90" customFormat="1" ht="12.75" customHeight="1" x14ac:dyDescent="0.2">
      <c r="A3865" s="247" t="s">
        <v>1554</v>
      </c>
      <c r="B3865" s="316">
        <v>3037</v>
      </c>
      <c r="C3865" s="247" t="s">
        <v>996</v>
      </c>
      <c r="D3865" s="317">
        <v>42676</v>
      </c>
      <c r="E3865" s="318">
        <v>0.5027314814814815</v>
      </c>
      <c r="F3865" s="247" t="s">
        <v>980</v>
      </c>
      <c r="G3865" s="247" t="s">
        <v>1035</v>
      </c>
      <c r="H3865" s="248" t="s">
        <v>234</v>
      </c>
      <c r="I3865" s="248" t="s">
        <v>263</v>
      </c>
      <c r="J3865" s="247" t="s">
        <v>809</v>
      </c>
      <c r="K3865" s="249">
        <v>0</v>
      </c>
      <c r="M3865" s="90">
        <v>0</v>
      </c>
      <c r="N3865" s="90">
        <v>0</v>
      </c>
      <c r="O3865" s="90">
        <v>255</v>
      </c>
    </row>
    <row r="3866" spans="1:15" s="90" customFormat="1" ht="12.75" customHeight="1" x14ac:dyDescent="0.2">
      <c r="A3866" s="247" t="s">
        <v>1555</v>
      </c>
      <c r="B3866" s="316">
        <v>3037</v>
      </c>
      <c r="C3866" s="247" t="s">
        <v>996</v>
      </c>
      <c r="D3866" s="317">
        <v>42676</v>
      </c>
      <c r="E3866" s="318">
        <v>0.5027314814814815</v>
      </c>
      <c r="F3866" s="247" t="s">
        <v>980</v>
      </c>
      <c r="G3866" s="247" t="s">
        <v>1035</v>
      </c>
      <c r="H3866" s="248" t="s">
        <v>234</v>
      </c>
      <c r="I3866" s="248" t="s">
        <v>263</v>
      </c>
      <c r="J3866" s="247" t="s">
        <v>809</v>
      </c>
      <c r="K3866" s="249">
        <v>0</v>
      </c>
      <c r="M3866" s="90">
        <v>0</v>
      </c>
      <c r="N3866" s="90">
        <v>0</v>
      </c>
      <c r="O3866" s="90">
        <v>255</v>
      </c>
    </row>
    <row r="3867" spans="1:15" s="90" customFormat="1" ht="12.75" customHeight="1" x14ac:dyDescent="0.2">
      <c r="A3867" s="247" t="s">
        <v>1556</v>
      </c>
      <c r="B3867" s="316">
        <v>3037</v>
      </c>
      <c r="C3867" s="247" t="s">
        <v>996</v>
      </c>
      <c r="D3867" s="317">
        <v>42676</v>
      </c>
      <c r="E3867" s="318">
        <v>0.5027314814814815</v>
      </c>
      <c r="F3867" s="247" t="s">
        <v>980</v>
      </c>
      <c r="G3867" s="247" t="s">
        <v>1035</v>
      </c>
      <c r="H3867" s="248" t="s">
        <v>234</v>
      </c>
      <c r="I3867" s="248" t="s">
        <v>263</v>
      </c>
      <c r="J3867" s="247" t="s">
        <v>809</v>
      </c>
      <c r="K3867" s="249">
        <v>0</v>
      </c>
      <c r="M3867" s="90">
        <v>0</v>
      </c>
      <c r="N3867" s="90">
        <v>0</v>
      </c>
      <c r="O3867" s="90">
        <v>255</v>
      </c>
    </row>
    <row r="3868" spans="1:15" s="90" customFormat="1" ht="12.75" customHeight="1" x14ac:dyDescent="0.2">
      <c r="A3868" s="247" t="s">
        <v>1557</v>
      </c>
      <c r="B3868" s="316">
        <v>3037</v>
      </c>
      <c r="C3868" s="247" t="s">
        <v>996</v>
      </c>
      <c r="D3868" s="317">
        <v>42676</v>
      </c>
      <c r="E3868" s="318">
        <v>0.5027314814814815</v>
      </c>
      <c r="F3868" s="247" t="s">
        <v>980</v>
      </c>
      <c r="G3868" s="247" t="s">
        <v>1035</v>
      </c>
      <c r="H3868" s="248" t="s">
        <v>234</v>
      </c>
      <c r="I3868" s="248" t="s">
        <v>263</v>
      </c>
      <c r="J3868" s="247" t="s">
        <v>809</v>
      </c>
      <c r="K3868" s="249">
        <v>0</v>
      </c>
      <c r="M3868" s="90">
        <v>0</v>
      </c>
      <c r="N3868" s="90">
        <v>0</v>
      </c>
      <c r="O3868" s="90">
        <v>255</v>
      </c>
    </row>
    <row r="3869" spans="1:15" s="90" customFormat="1" ht="12.75" customHeight="1" x14ac:dyDescent="0.2">
      <c r="A3869" s="247" t="s">
        <v>1558</v>
      </c>
      <c r="B3869" s="316">
        <v>3037</v>
      </c>
      <c r="C3869" s="247" t="s">
        <v>996</v>
      </c>
      <c r="D3869" s="317">
        <v>42676</v>
      </c>
      <c r="E3869" s="318">
        <v>0.5027314814814815</v>
      </c>
      <c r="F3869" s="247" t="s">
        <v>980</v>
      </c>
      <c r="G3869" s="247" t="s">
        <v>1035</v>
      </c>
      <c r="H3869" s="248" t="s">
        <v>234</v>
      </c>
      <c r="I3869" s="248" t="s">
        <v>263</v>
      </c>
      <c r="J3869" s="247" t="s">
        <v>809</v>
      </c>
      <c r="K3869" s="249">
        <v>0</v>
      </c>
      <c r="M3869" s="90">
        <v>0</v>
      </c>
      <c r="N3869" s="90">
        <v>0</v>
      </c>
      <c r="O3869" s="90">
        <v>255</v>
      </c>
    </row>
    <row r="3870" spans="1:15" s="90" customFormat="1" ht="12.75" customHeight="1" x14ac:dyDescent="0.2">
      <c r="A3870" s="247" t="s">
        <v>1559</v>
      </c>
      <c r="B3870" s="316">
        <v>3037</v>
      </c>
      <c r="C3870" s="247" t="s">
        <v>996</v>
      </c>
      <c r="D3870" s="317">
        <v>42676</v>
      </c>
      <c r="E3870" s="318">
        <v>0.5027314814814815</v>
      </c>
      <c r="F3870" s="247" t="s">
        <v>980</v>
      </c>
      <c r="G3870" s="247" t="s">
        <v>1035</v>
      </c>
      <c r="H3870" s="248" t="s">
        <v>234</v>
      </c>
      <c r="I3870" s="248" t="s">
        <v>263</v>
      </c>
      <c r="J3870" s="247" t="s">
        <v>809</v>
      </c>
      <c r="K3870" s="249">
        <v>0</v>
      </c>
      <c r="M3870" s="90">
        <v>0</v>
      </c>
      <c r="N3870" s="90">
        <v>0</v>
      </c>
      <c r="O3870" s="90">
        <v>255</v>
      </c>
    </row>
    <row r="3871" spans="1:15" s="90" customFormat="1" ht="12.75" customHeight="1" x14ac:dyDescent="0.2">
      <c r="A3871" s="247" t="s">
        <v>1560</v>
      </c>
      <c r="B3871" s="316">
        <v>3037</v>
      </c>
      <c r="C3871" s="247" t="s">
        <v>996</v>
      </c>
      <c r="D3871" s="317">
        <v>42676</v>
      </c>
      <c r="E3871" s="318">
        <v>0.50274305555555554</v>
      </c>
      <c r="F3871" s="247" t="s">
        <v>980</v>
      </c>
      <c r="G3871" s="247" t="s">
        <v>1035</v>
      </c>
      <c r="H3871" s="248" t="s">
        <v>234</v>
      </c>
      <c r="I3871" s="248" t="s">
        <v>263</v>
      </c>
      <c r="J3871" s="247" t="s">
        <v>809</v>
      </c>
      <c r="K3871" s="249">
        <v>0</v>
      </c>
      <c r="M3871" s="90">
        <v>0</v>
      </c>
      <c r="N3871" s="90">
        <v>0</v>
      </c>
      <c r="O3871" s="90">
        <v>255</v>
      </c>
    </row>
    <row r="3872" spans="1:15" s="90" customFormat="1" ht="12.75" customHeight="1" x14ac:dyDescent="0.2">
      <c r="A3872" s="247" t="s">
        <v>1561</v>
      </c>
      <c r="B3872" s="316">
        <v>3037</v>
      </c>
      <c r="C3872" s="247" t="s">
        <v>996</v>
      </c>
      <c r="D3872" s="317">
        <v>42676</v>
      </c>
      <c r="E3872" s="318">
        <v>0.50274305555555554</v>
      </c>
      <c r="F3872" s="247" t="s">
        <v>980</v>
      </c>
      <c r="G3872" s="247" t="s">
        <v>1035</v>
      </c>
      <c r="H3872" s="248" t="s">
        <v>234</v>
      </c>
      <c r="I3872" s="248" t="s">
        <v>263</v>
      </c>
      <c r="J3872" s="247" t="s">
        <v>809</v>
      </c>
      <c r="K3872" s="249">
        <v>0</v>
      </c>
      <c r="M3872" s="90">
        <v>0</v>
      </c>
      <c r="N3872" s="90">
        <v>0</v>
      </c>
      <c r="O3872" s="90">
        <v>255</v>
      </c>
    </row>
    <row r="3873" spans="1:15" s="90" customFormat="1" ht="12.75" customHeight="1" x14ac:dyDescent="0.2">
      <c r="A3873" s="247" t="s">
        <v>1562</v>
      </c>
      <c r="B3873" s="316">
        <v>3037</v>
      </c>
      <c r="C3873" s="247" t="s">
        <v>996</v>
      </c>
      <c r="D3873" s="317">
        <v>42676</v>
      </c>
      <c r="E3873" s="318">
        <v>0.50274305555555554</v>
      </c>
      <c r="F3873" s="247" t="s">
        <v>980</v>
      </c>
      <c r="G3873" s="247" t="s">
        <v>1035</v>
      </c>
      <c r="H3873" s="248" t="s">
        <v>234</v>
      </c>
      <c r="I3873" s="248" t="s">
        <v>263</v>
      </c>
      <c r="J3873" s="247" t="s">
        <v>809</v>
      </c>
      <c r="K3873" s="249">
        <v>0</v>
      </c>
      <c r="M3873" s="90">
        <v>0</v>
      </c>
      <c r="N3873" s="90">
        <v>0</v>
      </c>
      <c r="O3873" s="90">
        <v>255</v>
      </c>
    </row>
    <row r="3874" spans="1:15" s="90" customFormat="1" ht="12.75" customHeight="1" x14ac:dyDescent="0.2">
      <c r="A3874" s="247" t="s">
        <v>1563</v>
      </c>
      <c r="B3874" s="316">
        <v>3037</v>
      </c>
      <c r="C3874" s="247" t="s">
        <v>996</v>
      </c>
      <c r="D3874" s="317">
        <v>42676</v>
      </c>
      <c r="E3874" s="318">
        <v>0.50274305555555554</v>
      </c>
      <c r="F3874" s="247" t="s">
        <v>980</v>
      </c>
      <c r="G3874" s="247" t="s">
        <v>1035</v>
      </c>
      <c r="H3874" s="248" t="s">
        <v>234</v>
      </c>
      <c r="I3874" s="248" t="s">
        <v>263</v>
      </c>
      <c r="J3874" s="247" t="s">
        <v>809</v>
      </c>
      <c r="K3874" s="249">
        <v>0</v>
      </c>
      <c r="M3874" s="90">
        <v>0</v>
      </c>
      <c r="N3874" s="90">
        <v>0</v>
      </c>
      <c r="O3874" s="90">
        <v>255</v>
      </c>
    </row>
    <row r="3875" spans="1:15" s="90" customFormat="1" ht="12.75" customHeight="1" x14ac:dyDescent="0.2">
      <c r="A3875" s="247" t="s">
        <v>1564</v>
      </c>
      <c r="B3875" s="316">
        <v>3037</v>
      </c>
      <c r="C3875" s="247" t="s">
        <v>996</v>
      </c>
      <c r="D3875" s="317">
        <v>42676</v>
      </c>
      <c r="E3875" s="318">
        <v>0.50275462962962958</v>
      </c>
      <c r="F3875" s="247" t="s">
        <v>980</v>
      </c>
      <c r="G3875" s="247" t="s">
        <v>1035</v>
      </c>
      <c r="H3875" s="248" t="s">
        <v>234</v>
      </c>
      <c r="I3875" s="248" t="s">
        <v>263</v>
      </c>
      <c r="J3875" s="247" t="s">
        <v>809</v>
      </c>
      <c r="K3875" s="249">
        <v>0</v>
      </c>
      <c r="M3875" s="90">
        <v>0</v>
      </c>
      <c r="N3875" s="90">
        <v>0</v>
      </c>
      <c r="O3875" s="90">
        <v>255</v>
      </c>
    </row>
    <row r="3876" spans="1:15" s="90" customFormat="1" ht="12.75" customHeight="1" x14ac:dyDescent="0.2">
      <c r="A3876" s="247" t="s">
        <v>1565</v>
      </c>
      <c r="B3876" s="316">
        <v>3037</v>
      </c>
      <c r="C3876" s="247" t="s">
        <v>996</v>
      </c>
      <c r="D3876" s="317">
        <v>42676</v>
      </c>
      <c r="E3876" s="318">
        <v>0.50275462962962958</v>
      </c>
      <c r="F3876" s="247" t="s">
        <v>980</v>
      </c>
      <c r="G3876" s="247" t="s">
        <v>1035</v>
      </c>
      <c r="H3876" s="248" t="s">
        <v>234</v>
      </c>
      <c r="I3876" s="248" t="s">
        <v>263</v>
      </c>
      <c r="J3876" s="247" t="s">
        <v>809</v>
      </c>
      <c r="K3876" s="249">
        <v>0</v>
      </c>
      <c r="M3876" s="90">
        <v>0</v>
      </c>
      <c r="N3876" s="90">
        <v>0</v>
      </c>
      <c r="O3876" s="90">
        <v>255</v>
      </c>
    </row>
    <row r="3877" spans="1:15" s="90" customFormat="1" ht="12.75" customHeight="1" x14ac:dyDescent="0.2">
      <c r="A3877" s="247" t="s">
        <v>1566</v>
      </c>
      <c r="B3877" s="316">
        <v>3037</v>
      </c>
      <c r="C3877" s="247" t="s">
        <v>996</v>
      </c>
      <c r="D3877" s="317">
        <v>42676</v>
      </c>
      <c r="E3877" s="318">
        <v>0.50275462962962958</v>
      </c>
      <c r="F3877" s="247" t="s">
        <v>980</v>
      </c>
      <c r="G3877" s="247" t="s">
        <v>1035</v>
      </c>
      <c r="H3877" s="248" t="s">
        <v>234</v>
      </c>
      <c r="I3877" s="248" t="s">
        <v>263</v>
      </c>
      <c r="J3877" s="247" t="s">
        <v>809</v>
      </c>
      <c r="K3877" s="249">
        <v>0</v>
      </c>
      <c r="M3877" s="90">
        <v>0</v>
      </c>
      <c r="N3877" s="90">
        <v>0</v>
      </c>
      <c r="O3877" s="90">
        <v>255</v>
      </c>
    </row>
    <row r="3878" spans="1:15" s="90" customFormat="1" ht="12.75" customHeight="1" x14ac:dyDescent="0.2">
      <c r="A3878" s="247" t="s">
        <v>1567</v>
      </c>
      <c r="B3878" s="316">
        <v>3037</v>
      </c>
      <c r="C3878" s="247" t="s">
        <v>996</v>
      </c>
      <c r="D3878" s="317">
        <v>42676</v>
      </c>
      <c r="E3878" s="318">
        <v>0.50275462962962958</v>
      </c>
      <c r="F3878" s="247" t="s">
        <v>980</v>
      </c>
      <c r="G3878" s="247" t="s">
        <v>1035</v>
      </c>
      <c r="H3878" s="248" t="s">
        <v>234</v>
      </c>
      <c r="I3878" s="248" t="s">
        <v>263</v>
      </c>
      <c r="J3878" s="247" t="s">
        <v>809</v>
      </c>
      <c r="K3878" s="249">
        <v>0</v>
      </c>
      <c r="M3878" s="90">
        <v>0</v>
      </c>
      <c r="N3878" s="90">
        <v>0</v>
      </c>
      <c r="O3878" s="90">
        <v>255</v>
      </c>
    </row>
    <row r="3879" spans="1:15" s="90" customFormat="1" ht="12.75" customHeight="1" x14ac:dyDescent="0.2">
      <c r="A3879" s="247" t="s">
        <v>1568</v>
      </c>
      <c r="B3879" s="316">
        <v>3037</v>
      </c>
      <c r="C3879" s="247" t="s">
        <v>996</v>
      </c>
      <c r="D3879" s="317">
        <v>42676</v>
      </c>
      <c r="E3879" s="318">
        <v>0.50275462962962958</v>
      </c>
      <c r="F3879" s="247" t="s">
        <v>980</v>
      </c>
      <c r="G3879" s="247" t="s">
        <v>1035</v>
      </c>
      <c r="H3879" s="248" t="s">
        <v>234</v>
      </c>
      <c r="I3879" s="248" t="s">
        <v>263</v>
      </c>
      <c r="J3879" s="247" t="s">
        <v>809</v>
      </c>
      <c r="K3879" s="249">
        <v>0</v>
      </c>
      <c r="M3879" s="90">
        <v>0</v>
      </c>
      <c r="N3879" s="90">
        <v>0</v>
      </c>
      <c r="O3879" s="90">
        <v>255</v>
      </c>
    </row>
    <row r="3880" spans="1:15" s="90" customFormat="1" ht="12.75" customHeight="1" x14ac:dyDescent="0.2">
      <c r="A3880" s="247" t="s">
        <v>1569</v>
      </c>
      <c r="B3880" s="316">
        <v>3037</v>
      </c>
      <c r="C3880" s="247" t="s">
        <v>996</v>
      </c>
      <c r="D3880" s="317">
        <v>42676</v>
      </c>
      <c r="E3880" s="318">
        <v>0.50276620370370373</v>
      </c>
      <c r="F3880" s="247" t="s">
        <v>980</v>
      </c>
      <c r="G3880" s="247" t="s">
        <v>1035</v>
      </c>
      <c r="H3880" s="248" t="s">
        <v>234</v>
      </c>
      <c r="I3880" s="248" t="s">
        <v>263</v>
      </c>
      <c r="J3880" s="247" t="s">
        <v>809</v>
      </c>
      <c r="K3880" s="249">
        <v>0</v>
      </c>
      <c r="M3880" s="90">
        <v>0</v>
      </c>
      <c r="N3880" s="90">
        <v>0</v>
      </c>
      <c r="O3880" s="90">
        <v>255</v>
      </c>
    </row>
    <row r="3881" spans="1:15" s="90" customFormat="1" ht="12.75" customHeight="1" x14ac:dyDescent="0.2">
      <c r="A3881" s="247" t="s">
        <v>1570</v>
      </c>
      <c r="B3881" s="316">
        <v>3037</v>
      </c>
      <c r="C3881" s="247" t="s">
        <v>996</v>
      </c>
      <c r="D3881" s="317">
        <v>42676</v>
      </c>
      <c r="E3881" s="318">
        <v>0.50276620370370373</v>
      </c>
      <c r="F3881" s="247" t="s">
        <v>980</v>
      </c>
      <c r="G3881" s="247" t="s">
        <v>1035</v>
      </c>
      <c r="H3881" s="248" t="s">
        <v>234</v>
      </c>
      <c r="I3881" s="248" t="s">
        <v>263</v>
      </c>
      <c r="J3881" s="247" t="s">
        <v>809</v>
      </c>
      <c r="K3881" s="249">
        <v>0</v>
      </c>
      <c r="M3881" s="90">
        <v>0</v>
      </c>
      <c r="N3881" s="90">
        <v>0</v>
      </c>
      <c r="O3881" s="90">
        <v>255</v>
      </c>
    </row>
    <row r="3882" spans="1:15" s="90" customFormat="1" ht="12.75" customHeight="1" x14ac:dyDescent="0.2">
      <c r="A3882" s="247" t="s">
        <v>1571</v>
      </c>
      <c r="B3882" s="316">
        <v>3037</v>
      </c>
      <c r="C3882" s="247" t="s">
        <v>996</v>
      </c>
      <c r="D3882" s="317">
        <v>42676</v>
      </c>
      <c r="E3882" s="318">
        <v>0.50276620370370373</v>
      </c>
      <c r="F3882" s="247" t="s">
        <v>980</v>
      </c>
      <c r="G3882" s="247" t="s">
        <v>1035</v>
      </c>
      <c r="H3882" s="248" t="s">
        <v>234</v>
      </c>
      <c r="I3882" s="248" t="s">
        <v>263</v>
      </c>
      <c r="J3882" s="247" t="s">
        <v>809</v>
      </c>
      <c r="K3882" s="249">
        <v>0</v>
      </c>
      <c r="M3882" s="90">
        <v>0</v>
      </c>
      <c r="N3882" s="90">
        <v>0</v>
      </c>
      <c r="O3882" s="90">
        <v>255</v>
      </c>
    </row>
    <row r="3883" spans="1:15" s="90" customFormat="1" ht="12.75" customHeight="1" x14ac:dyDescent="0.2">
      <c r="A3883" s="247" t="s">
        <v>1572</v>
      </c>
      <c r="B3883" s="316">
        <v>3037</v>
      </c>
      <c r="C3883" s="247" t="s">
        <v>996</v>
      </c>
      <c r="D3883" s="317">
        <v>42676</v>
      </c>
      <c r="E3883" s="318">
        <v>0.50276620370370373</v>
      </c>
      <c r="F3883" s="247" t="s">
        <v>980</v>
      </c>
      <c r="G3883" s="247" t="s">
        <v>1035</v>
      </c>
      <c r="H3883" s="248" t="s">
        <v>234</v>
      </c>
      <c r="I3883" s="248" t="s">
        <v>263</v>
      </c>
      <c r="J3883" s="247" t="s">
        <v>809</v>
      </c>
      <c r="K3883" s="249">
        <v>0</v>
      </c>
      <c r="M3883" s="90">
        <v>0</v>
      </c>
      <c r="N3883" s="90">
        <v>0</v>
      </c>
      <c r="O3883" s="90">
        <v>255</v>
      </c>
    </row>
    <row r="3884" spans="1:15" s="90" customFormat="1" ht="12.75" customHeight="1" x14ac:dyDescent="0.2">
      <c r="A3884" s="247" t="s">
        <v>1573</v>
      </c>
      <c r="B3884" s="316">
        <v>3037</v>
      </c>
      <c r="C3884" s="247" t="s">
        <v>996</v>
      </c>
      <c r="D3884" s="317">
        <v>42676</v>
      </c>
      <c r="E3884" s="318">
        <v>0.50276620370370373</v>
      </c>
      <c r="F3884" s="247" t="s">
        <v>980</v>
      </c>
      <c r="G3884" s="247" t="s">
        <v>1035</v>
      </c>
      <c r="H3884" s="248" t="s">
        <v>234</v>
      </c>
      <c r="I3884" s="248" t="s">
        <v>263</v>
      </c>
      <c r="J3884" s="247" t="s">
        <v>809</v>
      </c>
      <c r="K3884" s="249">
        <v>0</v>
      </c>
      <c r="M3884" s="90">
        <v>0</v>
      </c>
      <c r="N3884" s="90">
        <v>0</v>
      </c>
      <c r="O3884" s="90">
        <v>255</v>
      </c>
    </row>
    <row r="3885" spans="1:15" s="90" customFormat="1" ht="12.75" customHeight="1" x14ac:dyDescent="0.2">
      <c r="A3885" s="247" t="s">
        <v>1574</v>
      </c>
      <c r="B3885" s="316">
        <v>3037</v>
      </c>
      <c r="C3885" s="247" t="s">
        <v>996</v>
      </c>
      <c r="D3885" s="317">
        <v>42676</v>
      </c>
      <c r="E3885" s="318">
        <v>0.50276620370370373</v>
      </c>
      <c r="F3885" s="247" t="s">
        <v>980</v>
      </c>
      <c r="G3885" s="247" t="s">
        <v>1035</v>
      </c>
      <c r="H3885" s="248" t="s">
        <v>234</v>
      </c>
      <c r="I3885" s="248" t="s">
        <v>263</v>
      </c>
      <c r="J3885" s="247" t="s">
        <v>809</v>
      </c>
      <c r="K3885" s="249">
        <v>0</v>
      </c>
      <c r="M3885" s="90">
        <v>0</v>
      </c>
      <c r="N3885" s="90">
        <v>0</v>
      </c>
      <c r="O3885" s="90">
        <v>255</v>
      </c>
    </row>
    <row r="3886" spans="1:15" s="90" customFormat="1" ht="12.75" customHeight="1" x14ac:dyDescent="0.2">
      <c r="A3886" s="247" t="s">
        <v>1575</v>
      </c>
      <c r="B3886" s="316">
        <v>3037</v>
      </c>
      <c r="C3886" s="247" t="s">
        <v>996</v>
      </c>
      <c r="D3886" s="317">
        <v>42676</v>
      </c>
      <c r="E3886" s="318">
        <v>0.50277777777777777</v>
      </c>
      <c r="F3886" s="247" t="s">
        <v>980</v>
      </c>
      <c r="G3886" s="247" t="s">
        <v>1035</v>
      </c>
      <c r="H3886" s="248" t="s">
        <v>234</v>
      </c>
      <c r="I3886" s="248" t="s">
        <v>263</v>
      </c>
      <c r="J3886" s="247" t="s">
        <v>809</v>
      </c>
      <c r="K3886" s="249">
        <v>0</v>
      </c>
      <c r="M3886" s="90">
        <v>0</v>
      </c>
      <c r="N3886" s="90">
        <v>0</v>
      </c>
      <c r="O3886" s="90">
        <v>255</v>
      </c>
    </row>
    <row r="3887" spans="1:15" s="90" customFormat="1" ht="12.75" customHeight="1" x14ac:dyDescent="0.2">
      <c r="A3887" s="247" t="s">
        <v>1576</v>
      </c>
      <c r="B3887" s="316">
        <v>3037</v>
      </c>
      <c r="C3887" s="247" t="s">
        <v>996</v>
      </c>
      <c r="D3887" s="317">
        <v>42676</v>
      </c>
      <c r="E3887" s="318">
        <v>0.50277777777777777</v>
      </c>
      <c r="F3887" s="247" t="s">
        <v>980</v>
      </c>
      <c r="G3887" s="247" t="s">
        <v>1035</v>
      </c>
      <c r="H3887" s="248" t="s">
        <v>234</v>
      </c>
      <c r="I3887" s="248" t="s">
        <v>263</v>
      </c>
      <c r="J3887" s="247" t="s">
        <v>809</v>
      </c>
      <c r="K3887" s="249">
        <v>0</v>
      </c>
      <c r="M3887" s="90">
        <v>0</v>
      </c>
      <c r="N3887" s="90">
        <v>0</v>
      </c>
      <c r="O3887" s="90">
        <v>255</v>
      </c>
    </row>
    <row r="3888" spans="1:15" s="90" customFormat="1" ht="12.75" customHeight="1" x14ac:dyDescent="0.2">
      <c r="A3888" s="247" t="s">
        <v>1577</v>
      </c>
      <c r="B3888" s="316">
        <v>3037</v>
      </c>
      <c r="C3888" s="247" t="s">
        <v>996</v>
      </c>
      <c r="D3888" s="317">
        <v>42676</v>
      </c>
      <c r="E3888" s="318">
        <v>0.50277777777777777</v>
      </c>
      <c r="F3888" s="247" t="s">
        <v>980</v>
      </c>
      <c r="G3888" s="247" t="s">
        <v>1035</v>
      </c>
      <c r="H3888" s="248" t="s">
        <v>234</v>
      </c>
      <c r="I3888" s="248" t="s">
        <v>263</v>
      </c>
      <c r="J3888" s="247" t="s">
        <v>809</v>
      </c>
      <c r="K3888" s="249">
        <v>0</v>
      </c>
      <c r="M3888" s="90">
        <v>0</v>
      </c>
      <c r="N3888" s="90">
        <v>0</v>
      </c>
      <c r="O3888" s="90">
        <v>255</v>
      </c>
    </row>
    <row r="3889" spans="1:15" s="90" customFormat="1" ht="12.75" customHeight="1" x14ac:dyDescent="0.2">
      <c r="A3889" s="247" t="s">
        <v>1578</v>
      </c>
      <c r="B3889" s="316">
        <v>3037</v>
      </c>
      <c r="C3889" s="247" t="s">
        <v>996</v>
      </c>
      <c r="D3889" s="317">
        <v>42676</v>
      </c>
      <c r="E3889" s="318">
        <v>0.50277777777777777</v>
      </c>
      <c r="F3889" s="247" t="s">
        <v>980</v>
      </c>
      <c r="G3889" s="247" t="s">
        <v>1035</v>
      </c>
      <c r="H3889" s="248" t="s">
        <v>234</v>
      </c>
      <c r="I3889" s="248" t="s">
        <v>263</v>
      </c>
      <c r="J3889" s="247" t="s">
        <v>809</v>
      </c>
      <c r="K3889" s="249">
        <v>0</v>
      </c>
      <c r="M3889" s="90">
        <v>0</v>
      </c>
      <c r="N3889" s="90">
        <v>0</v>
      </c>
      <c r="O3889" s="90">
        <v>255</v>
      </c>
    </row>
    <row r="3890" spans="1:15" s="90" customFormat="1" ht="12.75" customHeight="1" x14ac:dyDescent="0.2">
      <c r="A3890" s="247" t="s">
        <v>1579</v>
      </c>
      <c r="B3890" s="316">
        <v>3037</v>
      </c>
      <c r="C3890" s="247" t="s">
        <v>996</v>
      </c>
      <c r="D3890" s="317">
        <v>42676</v>
      </c>
      <c r="E3890" s="318">
        <v>0.50278935185185192</v>
      </c>
      <c r="F3890" s="247" t="s">
        <v>980</v>
      </c>
      <c r="G3890" s="247" t="s">
        <v>1035</v>
      </c>
      <c r="H3890" s="248" t="s">
        <v>234</v>
      </c>
      <c r="I3890" s="248" t="s">
        <v>263</v>
      </c>
      <c r="J3890" s="247" t="s">
        <v>809</v>
      </c>
      <c r="K3890" s="249">
        <v>0</v>
      </c>
      <c r="M3890" s="90">
        <v>0</v>
      </c>
      <c r="N3890" s="90">
        <v>0</v>
      </c>
      <c r="O3890" s="90">
        <v>255</v>
      </c>
    </row>
    <row r="3891" spans="1:15" s="90" customFormat="1" ht="12.75" customHeight="1" x14ac:dyDescent="0.2">
      <c r="A3891" s="247" t="s">
        <v>1580</v>
      </c>
      <c r="B3891" s="316">
        <v>3037</v>
      </c>
      <c r="C3891" s="247" t="s">
        <v>996</v>
      </c>
      <c r="D3891" s="317">
        <v>42676</v>
      </c>
      <c r="E3891" s="318">
        <v>0.50278935185185192</v>
      </c>
      <c r="F3891" s="247" t="s">
        <v>980</v>
      </c>
      <c r="G3891" s="247" t="s">
        <v>1035</v>
      </c>
      <c r="H3891" s="248" t="s">
        <v>234</v>
      </c>
      <c r="I3891" s="248" t="s">
        <v>263</v>
      </c>
      <c r="J3891" s="247" t="s">
        <v>809</v>
      </c>
      <c r="K3891" s="249">
        <v>0</v>
      </c>
      <c r="M3891" s="90">
        <v>0</v>
      </c>
      <c r="N3891" s="90">
        <v>0</v>
      </c>
      <c r="O3891" s="90">
        <v>255</v>
      </c>
    </row>
    <row r="3892" spans="1:15" s="90" customFormat="1" ht="12.75" customHeight="1" x14ac:dyDescent="0.2">
      <c r="A3892" s="247" t="s">
        <v>1581</v>
      </c>
      <c r="B3892" s="316">
        <v>3037</v>
      </c>
      <c r="C3892" s="247" t="s">
        <v>996</v>
      </c>
      <c r="D3892" s="317">
        <v>42676</v>
      </c>
      <c r="E3892" s="318">
        <v>0.50278935185185192</v>
      </c>
      <c r="F3892" s="247" t="s">
        <v>980</v>
      </c>
      <c r="G3892" s="247" t="s">
        <v>1035</v>
      </c>
      <c r="H3892" s="248" t="s">
        <v>234</v>
      </c>
      <c r="I3892" s="248" t="s">
        <v>263</v>
      </c>
      <c r="J3892" s="247" t="s">
        <v>809</v>
      </c>
      <c r="K3892" s="249">
        <v>0</v>
      </c>
      <c r="M3892" s="90">
        <v>0</v>
      </c>
      <c r="N3892" s="90">
        <v>0</v>
      </c>
      <c r="O3892" s="90">
        <v>255</v>
      </c>
    </row>
    <row r="3893" spans="1:15" s="90" customFormat="1" ht="12.75" customHeight="1" x14ac:dyDescent="0.2">
      <c r="A3893" s="247" t="s">
        <v>1582</v>
      </c>
      <c r="B3893" s="316">
        <v>3037</v>
      </c>
      <c r="C3893" s="247" t="s">
        <v>996</v>
      </c>
      <c r="D3893" s="317">
        <v>42676</v>
      </c>
      <c r="E3893" s="318">
        <v>0.50278935185185192</v>
      </c>
      <c r="F3893" s="247" t="s">
        <v>980</v>
      </c>
      <c r="G3893" s="247" t="s">
        <v>1035</v>
      </c>
      <c r="H3893" s="248" t="s">
        <v>234</v>
      </c>
      <c r="I3893" s="248" t="s">
        <v>263</v>
      </c>
      <c r="J3893" s="247" t="s">
        <v>809</v>
      </c>
      <c r="K3893" s="249">
        <v>0</v>
      </c>
      <c r="M3893" s="90">
        <v>0</v>
      </c>
      <c r="N3893" s="90">
        <v>0</v>
      </c>
      <c r="O3893" s="90">
        <v>255</v>
      </c>
    </row>
    <row r="3894" spans="1:15" s="90" customFormat="1" ht="12.75" customHeight="1" x14ac:dyDescent="0.2">
      <c r="A3894" s="247" t="s">
        <v>1583</v>
      </c>
      <c r="B3894" s="316">
        <v>3037</v>
      </c>
      <c r="C3894" s="247" t="s">
        <v>996</v>
      </c>
      <c r="D3894" s="317">
        <v>42676</v>
      </c>
      <c r="E3894" s="318">
        <v>0.50280092592592596</v>
      </c>
      <c r="F3894" s="247" t="s">
        <v>980</v>
      </c>
      <c r="G3894" s="247" t="s">
        <v>1035</v>
      </c>
      <c r="H3894" s="248" t="s">
        <v>234</v>
      </c>
      <c r="I3894" s="248" t="s">
        <v>263</v>
      </c>
      <c r="J3894" s="247" t="s">
        <v>809</v>
      </c>
      <c r="K3894" s="249">
        <v>0</v>
      </c>
      <c r="M3894" s="90">
        <v>0</v>
      </c>
      <c r="N3894" s="90">
        <v>0</v>
      </c>
      <c r="O3894" s="90">
        <v>255</v>
      </c>
    </row>
    <row r="3895" spans="1:15" s="90" customFormat="1" ht="12.75" customHeight="1" x14ac:dyDescent="0.2">
      <c r="A3895" s="247" t="s">
        <v>1584</v>
      </c>
      <c r="B3895" s="316">
        <v>3037</v>
      </c>
      <c r="C3895" s="247" t="s">
        <v>996</v>
      </c>
      <c r="D3895" s="317">
        <v>42676</v>
      </c>
      <c r="E3895" s="318">
        <v>0.50280092592592596</v>
      </c>
      <c r="F3895" s="247" t="s">
        <v>980</v>
      </c>
      <c r="G3895" s="247" t="s">
        <v>1035</v>
      </c>
      <c r="H3895" s="248" t="s">
        <v>234</v>
      </c>
      <c r="I3895" s="248" t="s">
        <v>263</v>
      </c>
      <c r="J3895" s="247" t="s">
        <v>809</v>
      </c>
      <c r="K3895" s="249">
        <v>0</v>
      </c>
      <c r="M3895" s="90">
        <v>0</v>
      </c>
      <c r="N3895" s="90">
        <v>0</v>
      </c>
      <c r="O3895" s="90">
        <v>255</v>
      </c>
    </row>
    <row r="3896" spans="1:15" s="90" customFormat="1" ht="12.75" customHeight="1" x14ac:dyDescent="0.2">
      <c r="A3896" s="247" t="s">
        <v>1585</v>
      </c>
      <c r="B3896" s="316">
        <v>3037</v>
      </c>
      <c r="C3896" s="247" t="s">
        <v>996</v>
      </c>
      <c r="D3896" s="317">
        <v>42676</v>
      </c>
      <c r="E3896" s="318">
        <v>0.50280092592592596</v>
      </c>
      <c r="F3896" s="247" t="s">
        <v>980</v>
      </c>
      <c r="G3896" s="247" t="s">
        <v>1035</v>
      </c>
      <c r="H3896" s="248" t="s">
        <v>234</v>
      </c>
      <c r="I3896" s="248" t="s">
        <v>263</v>
      </c>
      <c r="J3896" s="247" t="s">
        <v>809</v>
      </c>
      <c r="K3896" s="249">
        <v>0</v>
      </c>
      <c r="M3896" s="90">
        <v>0</v>
      </c>
      <c r="N3896" s="90">
        <v>0</v>
      </c>
      <c r="O3896" s="90">
        <v>255</v>
      </c>
    </row>
    <row r="3897" spans="1:15" s="90" customFormat="1" ht="12.75" customHeight="1" x14ac:dyDescent="0.2">
      <c r="A3897" s="247" t="s">
        <v>1586</v>
      </c>
      <c r="B3897" s="316">
        <v>3037</v>
      </c>
      <c r="C3897" s="247" t="s">
        <v>996</v>
      </c>
      <c r="D3897" s="317">
        <v>42676</v>
      </c>
      <c r="E3897" s="318">
        <v>0.50280092592592596</v>
      </c>
      <c r="F3897" s="247" t="s">
        <v>980</v>
      </c>
      <c r="G3897" s="247" t="s">
        <v>1035</v>
      </c>
      <c r="H3897" s="248" t="s">
        <v>234</v>
      </c>
      <c r="I3897" s="248" t="s">
        <v>263</v>
      </c>
      <c r="J3897" s="247" t="s">
        <v>809</v>
      </c>
      <c r="K3897" s="249">
        <v>0</v>
      </c>
      <c r="M3897" s="90">
        <v>0</v>
      </c>
      <c r="N3897" s="90">
        <v>0</v>
      </c>
      <c r="O3897" s="90">
        <v>255</v>
      </c>
    </row>
    <row r="3898" spans="1:15" s="90" customFormat="1" ht="12.75" customHeight="1" x14ac:dyDescent="0.2">
      <c r="A3898" s="247" t="s">
        <v>1587</v>
      </c>
      <c r="B3898" s="316">
        <v>3037</v>
      </c>
      <c r="C3898" s="247" t="s">
        <v>996</v>
      </c>
      <c r="D3898" s="317">
        <v>42676</v>
      </c>
      <c r="E3898" s="318">
        <v>0.50280092592592596</v>
      </c>
      <c r="F3898" s="247" t="s">
        <v>980</v>
      </c>
      <c r="G3898" s="247" t="s">
        <v>1035</v>
      </c>
      <c r="H3898" s="248" t="s">
        <v>234</v>
      </c>
      <c r="I3898" s="248" t="s">
        <v>263</v>
      </c>
      <c r="J3898" s="247" t="s">
        <v>809</v>
      </c>
      <c r="K3898" s="249">
        <v>0</v>
      </c>
      <c r="M3898" s="90">
        <v>0</v>
      </c>
      <c r="N3898" s="90">
        <v>0</v>
      </c>
      <c r="O3898" s="90">
        <v>255</v>
      </c>
    </row>
    <row r="3899" spans="1:15" s="90" customFormat="1" ht="12.75" customHeight="1" x14ac:dyDescent="0.2">
      <c r="A3899" s="247" t="s">
        <v>1588</v>
      </c>
      <c r="B3899" s="316">
        <v>3037</v>
      </c>
      <c r="C3899" s="247" t="s">
        <v>996</v>
      </c>
      <c r="D3899" s="317">
        <v>42676</v>
      </c>
      <c r="E3899" s="318">
        <v>0.5028125</v>
      </c>
      <c r="F3899" s="247" t="s">
        <v>980</v>
      </c>
      <c r="G3899" s="247" t="s">
        <v>1035</v>
      </c>
      <c r="H3899" s="248" t="s">
        <v>234</v>
      </c>
      <c r="I3899" s="248" t="s">
        <v>263</v>
      </c>
      <c r="J3899" s="247" t="s">
        <v>809</v>
      </c>
      <c r="K3899" s="249">
        <v>0</v>
      </c>
      <c r="M3899" s="90">
        <v>0</v>
      </c>
      <c r="N3899" s="90">
        <v>0</v>
      </c>
      <c r="O3899" s="90">
        <v>255</v>
      </c>
    </row>
    <row r="3900" spans="1:15" s="90" customFormat="1" ht="12.75" customHeight="1" x14ac:dyDescent="0.2">
      <c r="A3900" s="247" t="s">
        <v>1589</v>
      </c>
      <c r="B3900" s="316">
        <v>3037</v>
      </c>
      <c r="C3900" s="247" t="s">
        <v>996</v>
      </c>
      <c r="D3900" s="317">
        <v>42676</v>
      </c>
      <c r="E3900" s="318">
        <v>0.5028125</v>
      </c>
      <c r="F3900" s="247" t="s">
        <v>980</v>
      </c>
      <c r="G3900" s="247" t="s">
        <v>1035</v>
      </c>
      <c r="H3900" s="248" t="s">
        <v>234</v>
      </c>
      <c r="I3900" s="248" t="s">
        <v>263</v>
      </c>
      <c r="J3900" s="247" t="s">
        <v>809</v>
      </c>
      <c r="K3900" s="249">
        <v>0</v>
      </c>
      <c r="M3900" s="90">
        <v>0</v>
      </c>
      <c r="N3900" s="90">
        <v>0</v>
      </c>
      <c r="O3900" s="90">
        <v>255</v>
      </c>
    </row>
    <row r="3901" spans="1:15" s="90" customFormat="1" ht="12.75" customHeight="1" x14ac:dyDescent="0.2">
      <c r="A3901" s="247" t="s">
        <v>1590</v>
      </c>
      <c r="B3901" s="316">
        <v>3037</v>
      </c>
      <c r="C3901" s="247" t="s">
        <v>996</v>
      </c>
      <c r="D3901" s="317">
        <v>42676</v>
      </c>
      <c r="E3901" s="318">
        <v>0.5028125</v>
      </c>
      <c r="F3901" s="247" t="s">
        <v>980</v>
      </c>
      <c r="G3901" s="247" t="s">
        <v>1035</v>
      </c>
      <c r="H3901" s="248" t="s">
        <v>234</v>
      </c>
      <c r="I3901" s="248" t="s">
        <v>263</v>
      </c>
      <c r="J3901" s="247" t="s">
        <v>809</v>
      </c>
      <c r="K3901" s="249">
        <v>0</v>
      </c>
      <c r="M3901" s="90">
        <v>0</v>
      </c>
      <c r="N3901" s="90">
        <v>0</v>
      </c>
      <c r="O3901" s="90">
        <v>255</v>
      </c>
    </row>
    <row r="3902" spans="1:15" s="90" customFormat="1" ht="12.75" customHeight="1" x14ac:dyDescent="0.2">
      <c r="A3902" s="247" t="s">
        <v>1591</v>
      </c>
      <c r="B3902" s="316">
        <v>3037</v>
      </c>
      <c r="C3902" s="247" t="s">
        <v>996</v>
      </c>
      <c r="D3902" s="317">
        <v>42676</v>
      </c>
      <c r="E3902" s="318">
        <v>0.5028125</v>
      </c>
      <c r="F3902" s="247" t="s">
        <v>980</v>
      </c>
      <c r="G3902" s="247" t="s">
        <v>1035</v>
      </c>
      <c r="H3902" s="248" t="s">
        <v>234</v>
      </c>
      <c r="I3902" s="248" t="s">
        <v>263</v>
      </c>
      <c r="J3902" s="247" t="s">
        <v>809</v>
      </c>
      <c r="K3902" s="249">
        <v>0</v>
      </c>
      <c r="M3902" s="90">
        <v>0</v>
      </c>
      <c r="N3902" s="90">
        <v>0</v>
      </c>
      <c r="O3902" s="90">
        <v>255</v>
      </c>
    </row>
    <row r="3903" spans="1:15" s="90" customFormat="1" ht="12.75" customHeight="1" x14ac:dyDescent="0.2">
      <c r="A3903" s="247" t="s">
        <v>1592</v>
      </c>
      <c r="B3903" s="316">
        <v>3037</v>
      </c>
      <c r="C3903" s="247" t="s">
        <v>996</v>
      </c>
      <c r="D3903" s="317">
        <v>42676</v>
      </c>
      <c r="E3903" s="318">
        <v>0.5028125</v>
      </c>
      <c r="F3903" s="247" t="s">
        <v>980</v>
      </c>
      <c r="G3903" s="247" t="s">
        <v>1035</v>
      </c>
      <c r="H3903" s="248" t="s">
        <v>234</v>
      </c>
      <c r="I3903" s="248" t="s">
        <v>263</v>
      </c>
      <c r="J3903" s="247" t="s">
        <v>809</v>
      </c>
      <c r="K3903" s="249">
        <v>0</v>
      </c>
      <c r="M3903" s="90">
        <v>0</v>
      </c>
      <c r="N3903" s="90">
        <v>0</v>
      </c>
      <c r="O3903" s="90">
        <v>255</v>
      </c>
    </row>
    <row r="3904" spans="1:15" s="90" customFormat="1" ht="12.75" customHeight="1" x14ac:dyDescent="0.2">
      <c r="A3904" s="247" t="s">
        <v>1593</v>
      </c>
      <c r="B3904" s="316">
        <v>3037</v>
      </c>
      <c r="C3904" s="247" t="s">
        <v>996</v>
      </c>
      <c r="D3904" s="317">
        <v>42676</v>
      </c>
      <c r="E3904" s="318">
        <v>0.5028125</v>
      </c>
      <c r="F3904" s="247" t="s">
        <v>980</v>
      </c>
      <c r="G3904" s="247" t="s">
        <v>1035</v>
      </c>
      <c r="H3904" s="248" t="s">
        <v>234</v>
      </c>
      <c r="I3904" s="248" t="s">
        <v>263</v>
      </c>
      <c r="J3904" s="247" t="s">
        <v>809</v>
      </c>
      <c r="K3904" s="249">
        <v>0</v>
      </c>
      <c r="M3904" s="90">
        <v>0</v>
      </c>
      <c r="N3904" s="90">
        <v>0</v>
      </c>
      <c r="O3904" s="90">
        <v>255</v>
      </c>
    </row>
    <row r="3905" spans="1:15" s="90" customFormat="1" ht="12.75" customHeight="1" x14ac:dyDescent="0.2">
      <c r="A3905" s="247" t="s">
        <v>1594</v>
      </c>
      <c r="B3905" s="316">
        <v>3037</v>
      </c>
      <c r="C3905" s="247" t="s">
        <v>996</v>
      </c>
      <c r="D3905" s="317">
        <v>42676</v>
      </c>
      <c r="E3905" s="318">
        <v>0.50282407407407403</v>
      </c>
      <c r="F3905" s="247" t="s">
        <v>980</v>
      </c>
      <c r="G3905" s="247" t="s">
        <v>1035</v>
      </c>
      <c r="H3905" s="248" t="s">
        <v>234</v>
      </c>
      <c r="I3905" s="248" t="s">
        <v>263</v>
      </c>
      <c r="J3905" s="247" t="s">
        <v>809</v>
      </c>
      <c r="K3905" s="249">
        <v>0</v>
      </c>
      <c r="M3905" s="90">
        <v>0</v>
      </c>
      <c r="N3905" s="90">
        <v>0</v>
      </c>
      <c r="O3905" s="90">
        <v>255</v>
      </c>
    </row>
    <row r="3906" spans="1:15" s="90" customFormat="1" ht="12.75" customHeight="1" x14ac:dyDescent="0.2">
      <c r="A3906" s="247" t="s">
        <v>1595</v>
      </c>
      <c r="B3906" s="316">
        <v>3037</v>
      </c>
      <c r="C3906" s="247" t="s">
        <v>996</v>
      </c>
      <c r="D3906" s="317">
        <v>42676</v>
      </c>
      <c r="E3906" s="318">
        <v>0.50283564814814818</v>
      </c>
      <c r="F3906" s="247" t="s">
        <v>980</v>
      </c>
      <c r="G3906" s="247" t="s">
        <v>1035</v>
      </c>
      <c r="H3906" s="248" t="s">
        <v>234</v>
      </c>
      <c r="I3906" s="248" t="s">
        <v>263</v>
      </c>
      <c r="J3906" s="247" t="s">
        <v>809</v>
      </c>
      <c r="K3906" s="249">
        <v>0</v>
      </c>
      <c r="M3906" s="90">
        <v>0</v>
      </c>
      <c r="N3906" s="90">
        <v>0</v>
      </c>
      <c r="O3906" s="90">
        <v>255</v>
      </c>
    </row>
    <row r="3907" spans="1:15" s="90" customFormat="1" ht="12.75" customHeight="1" x14ac:dyDescent="0.2">
      <c r="A3907" s="247" t="s">
        <v>1596</v>
      </c>
      <c r="B3907" s="316">
        <v>3037</v>
      </c>
      <c r="C3907" s="247" t="s">
        <v>996</v>
      </c>
      <c r="D3907" s="317">
        <v>42676</v>
      </c>
      <c r="E3907" s="318">
        <v>0.50284722222222222</v>
      </c>
      <c r="F3907" s="247" t="s">
        <v>980</v>
      </c>
      <c r="G3907" s="247" t="s">
        <v>1035</v>
      </c>
      <c r="H3907" s="248" t="s">
        <v>234</v>
      </c>
      <c r="I3907" s="248" t="s">
        <v>263</v>
      </c>
      <c r="J3907" s="247" t="s">
        <v>809</v>
      </c>
      <c r="K3907" s="249">
        <v>0</v>
      </c>
      <c r="M3907" s="90">
        <v>0</v>
      </c>
      <c r="N3907" s="90">
        <v>0</v>
      </c>
      <c r="O3907" s="90">
        <v>255</v>
      </c>
    </row>
    <row r="3908" spans="1:15" s="90" customFormat="1" ht="12.75" customHeight="1" x14ac:dyDescent="0.2">
      <c r="A3908" s="247" t="s">
        <v>1597</v>
      </c>
      <c r="B3908" s="316">
        <v>3037</v>
      </c>
      <c r="C3908" s="247" t="s">
        <v>996</v>
      </c>
      <c r="D3908" s="317">
        <v>42676</v>
      </c>
      <c r="E3908" s="318">
        <v>0.50284722222222222</v>
      </c>
      <c r="F3908" s="247" t="s">
        <v>980</v>
      </c>
      <c r="G3908" s="247" t="s">
        <v>1035</v>
      </c>
      <c r="H3908" s="248" t="s">
        <v>234</v>
      </c>
      <c r="I3908" s="248" t="s">
        <v>263</v>
      </c>
      <c r="J3908" s="247" t="s">
        <v>809</v>
      </c>
      <c r="K3908" s="249">
        <v>0</v>
      </c>
      <c r="M3908" s="90">
        <v>0</v>
      </c>
      <c r="N3908" s="90">
        <v>0</v>
      </c>
      <c r="O3908" s="90">
        <v>255</v>
      </c>
    </row>
    <row r="3909" spans="1:15" s="90" customFormat="1" ht="12.75" customHeight="1" x14ac:dyDescent="0.2">
      <c r="A3909" s="247" t="s">
        <v>1598</v>
      </c>
      <c r="B3909" s="316">
        <v>3037</v>
      </c>
      <c r="C3909" s="247" t="s">
        <v>996</v>
      </c>
      <c r="D3909" s="317">
        <v>42676</v>
      </c>
      <c r="E3909" s="318">
        <v>0.50284722222222222</v>
      </c>
      <c r="F3909" s="247" t="s">
        <v>980</v>
      </c>
      <c r="G3909" s="247" t="s">
        <v>1035</v>
      </c>
      <c r="H3909" s="248" t="s">
        <v>234</v>
      </c>
      <c r="I3909" s="248" t="s">
        <v>263</v>
      </c>
      <c r="J3909" s="247" t="s">
        <v>809</v>
      </c>
      <c r="K3909" s="249">
        <v>0</v>
      </c>
      <c r="M3909" s="90">
        <v>0</v>
      </c>
      <c r="N3909" s="90">
        <v>0</v>
      </c>
      <c r="O3909" s="90">
        <v>255</v>
      </c>
    </row>
    <row r="3910" spans="1:15" s="90" customFormat="1" ht="12.75" customHeight="1" x14ac:dyDescent="0.2">
      <c r="A3910" s="247" t="s">
        <v>1599</v>
      </c>
      <c r="B3910" s="316">
        <v>3037</v>
      </c>
      <c r="C3910" s="247" t="s">
        <v>996</v>
      </c>
      <c r="D3910" s="317">
        <v>42676</v>
      </c>
      <c r="E3910" s="318">
        <v>0.50285879629629626</v>
      </c>
      <c r="F3910" s="247" t="s">
        <v>980</v>
      </c>
      <c r="G3910" s="247" t="s">
        <v>1035</v>
      </c>
      <c r="H3910" s="248" t="s">
        <v>234</v>
      </c>
      <c r="I3910" s="248" t="s">
        <v>263</v>
      </c>
      <c r="J3910" s="247" t="s">
        <v>809</v>
      </c>
      <c r="K3910" s="249">
        <v>0</v>
      </c>
      <c r="M3910" s="90">
        <v>0</v>
      </c>
      <c r="N3910" s="90">
        <v>0</v>
      </c>
      <c r="O3910" s="90">
        <v>255</v>
      </c>
    </row>
    <row r="3911" spans="1:15" s="90" customFormat="1" ht="12.75" customHeight="1" x14ac:dyDescent="0.2">
      <c r="A3911" s="247" t="s">
        <v>1600</v>
      </c>
      <c r="B3911" s="316">
        <v>3037</v>
      </c>
      <c r="C3911" s="247" t="s">
        <v>996</v>
      </c>
      <c r="D3911" s="317">
        <v>42676</v>
      </c>
      <c r="E3911" s="318">
        <v>0.50285879629629626</v>
      </c>
      <c r="F3911" s="247" t="s">
        <v>980</v>
      </c>
      <c r="G3911" s="247" t="s">
        <v>1035</v>
      </c>
      <c r="H3911" s="248" t="s">
        <v>234</v>
      </c>
      <c r="I3911" s="248" t="s">
        <v>263</v>
      </c>
      <c r="J3911" s="247" t="s">
        <v>809</v>
      </c>
      <c r="K3911" s="249">
        <v>0</v>
      </c>
      <c r="M3911" s="90">
        <v>0</v>
      </c>
      <c r="N3911" s="90">
        <v>0</v>
      </c>
      <c r="O3911" s="90">
        <v>255</v>
      </c>
    </row>
    <row r="3912" spans="1:15" s="90" customFormat="1" ht="12.75" customHeight="1" x14ac:dyDescent="0.2">
      <c r="A3912" s="247" t="s">
        <v>1601</v>
      </c>
      <c r="B3912" s="316">
        <v>3037</v>
      </c>
      <c r="C3912" s="247" t="s">
        <v>996</v>
      </c>
      <c r="D3912" s="317">
        <v>42676</v>
      </c>
      <c r="E3912" s="318">
        <v>0.50285879629629626</v>
      </c>
      <c r="F3912" s="247" t="s">
        <v>980</v>
      </c>
      <c r="G3912" s="247" t="s">
        <v>1035</v>
      </c>
      <c r="H3912" s="248" t="s">
        <v>234</v>
      </c>
      <c r="I3912" s="248" t="s">
        <v>263</v>
      </c>
      <c r="J3912" s="247" t="s">
        <v>809</v>
      </c>
      <c r="K3912" s="249">
        <v>0</v>
      </c>
      <c r="M3912" s="90">
        <v>0</v>
      </c>
      <c r="N3912" s="90">
        <v>0</v>
      </c>
      <c r="O3912" s="90">
        <v>255</v>
      </c>
    </row>
    <row r="3913" spans="1:15" s="90" customFormat="1" ht="12.75" customHeight="1" x14ac:dyDescent="0.2">
      <c r="A3913" s="247" t="s">
        <v>1602</v>
      </c>
      <c r="B3913" s="316">
        <v>3037</v>
      </c>
      <c r="C3913" s="247" t="s">
        <v>996</v>
      </c>
      <c r="D3913" s="317">
        <v>42676</v>
      </c>
      <c r="E3913" s="318">
        <v>0.50285879629629626</v>
      </c>
      <c r="F3913" s="247" t="s">
        <v>980</v>
      </c>
      <c r="G3913" s="247" t="s">
        <v>1035</v>
      </c>
      <c r="H3913" s="248" t="s">
        <v>234</v>
      </c>
      <c r="I3913" s="248" t="s">
        <v>263</v>
      </c>
      <c r="J3913" s="247" t="s">
        <v>809</v>
      </c>
      <c r="K3913" s="249">
        <v>0</v>
      </c>
      <c r="M3913" s="90">
        <v>0</v>
      </c>
      <c r="N3913" s="90">
        <v>0</v>
      </c>
      <c r="O3913" s="90">
        <v>255</v>
      </c>
    </row>
    <row r="3914" spans="1:15" s="90" customFormat="1" ht="12.75" customHeight="1" x14ac:dyDescent="0.2">
      <c r="A3914" s="247" t="s">
        <v>1603</v>
      </c>
      <c r="B3914" s="316">
        <v>3037</v>
      </c>
      <c r="C3914" s="247" t="s">
        <v>996</v>
      </c>
      <c r="D3914" s="317">
        <v>42676</v>
      </c>
      <c r="E3914" s="318">
        <v>0.50285879629629626</v>
      </c>
      <c r="F3914" s="247" t="s">
        <v>980</v>
      </c>
      <c r="G3914" s="247" t="s">
        <v>1035</v>
      </c>
      <c r="H3914" s="248" t="s">
        <v>234</v>
      </c>
      <c r="I3914" s="248" t="s">
        <v>263</v>
      </c>
      <c r="J3914" s="247" t="s">
        <v>809</v>
      </c>
      <c r="K3914" s="249">
        <v>0</v>
      </c>
      <c r="M3914" s="90">
        <v>0</v>
      </c>
      <c r="N3914" s="90">
        <v>0</v>
      </c>
      <c r="O3914" s="90">
        <v>255</v>
      </c>
    </row>
    <row r="3915" spans="1:15" s="90" customFormat="1" ht="12.75" customHeight="1" x14ac:dyDescent="0.2">
      <c r="A3915" s="247" t="s">
        <v>1604</v>
      </c>
      <c r="B3915" s="316">
        <v>3037</v>
      </c>
      <c r="C3915" s="247" t="s">
        <v>996</v>
      </c>
      <c r="D3915" s="317">
        <v>42676</v>
      </c>
      <c r="E3915" s="318">
        <v>0.50285879629629626</v>
      </c>
      <c r="F3915" s="247" t="s">
        <v>980</v>
      </c>
      <c r="G3915" s="247" t="s">
        <v>1035</v>
      </c>
      <c r="H3915" s="248" t="s">
        <v>234</v>
      </c>
      <c r="I3915" s="248" t="s">
        <v>263</v>
      </c>
      <c r="J3915" s="247" t="s">
        <v>809</v>
      </c>
      <c r="K3915" s="249">
        <v>0</v>
      </c>
      <c r="M3915" s="90">
        <v>0</v>
      </c>
      <c r="N3915" s="90">
        <v>0</v>
      </c>
      <c r="O3915" s="90">
        <v>255</v>
      </c>
    </row>
    <row r="3916" spans="1:15" s="90" customFormat="1" ht="12.75" customHeight="1" x14ac:dyDescent="0.2">
      <c r="A3916" s="247" t="s">
        <v>1605</v>
      </c>
      <c r="B3916" s="316">
        <v>3037</v>
      </c>
      <c r="C3916" s="247" t="s">
        <v>996</v>
      </c>
      <c r="D3916" s="317">
        <v>42676</v>
      </c>
      <c r="E3916" s="318">
        <v>0.50287037037037041</v>
      </c>
      <c r="F3916" s="247" t="s">
        <v>980</v>
      </c>
      <c r="G3916" s="247" t="s">
        <v>1035</v>
      </c>
      <c r="H3916" s="248" t="s">
        <v>234</v>
      </c>
      <c r="I3916" s="248" t="s">
        <v>263</v>
      </c>
      <c r="J3916" s="247" t="s">
        <v>809</v>
      </c>
      <c r="K3916" s="249">
        <v>0</v>
      </c>
      <c r="M3916" s="90">
        <v>0</v>
      </c>
      <c r="N3916" s="90">
        <v>0</v>
      </c>
      <c r="O3916" s="90">
        <v>255</v>
      </c>
    </row>
    <row r="3917" spans="1:15" s="90" customFormat="1" ht="12.75" customHeight="1" x14ac:dyDescent="0.2">
      <c r="A3917" s="247" t="s">
        <v>1606</v>
      </c>
      <c r="B3917" s="316">
        <v>3037</v>
      </c>
      <c r="C3917" s="247" t="s">
        <v>996</v>
      </c>
      <c r="D3917" s="317">
        <v>42676</v>
      </c>
      <c r="E3917" s="318">
        <v>0.50287037037037041</v>
      </c>
      <c r="F3917" s="247" t="s">
        <v>980</v>
      </c>
      <c r="G3917" s="247" t="s">
        <v>1035</v>
      </c>
      <c r="H3917" s="248" t="s">
        <v>234</v>
      </c>
      <c r="I3917" s="248" t="s">
        <v>263</v>
      </c>
      <c r="J3917" s="247" t="s">
        <v>809</v>
      </c>
      <c r="K3917" s="249">
        <v>0</v>
      </c>
      <c r="M3917" s="90">
        <v>0</v>
      </c>
      <c r="N3917" s="90">
        <v>0</v>
      </c>
      <c r="O3917" s="90">
        <v>255</v>
      </c>
    </row>
    <row r="3918" spans="1:15" s="90" customFormat="1" ht="12.75" customHeight="1" x14ac:dyDescent="0.2">
      <c r="A3918" s="247" t="s">
        <v>1607</v>
      </c>
      <c r="B3918" s="316">
        <v>3037</v>
      </c>
      <c r="C3918" s="247" t="s">
        <v>996</v>
      </c>
      <c r="D3918" s="317">
        <v>42676</v>
      </c>
      <c r="E3918" s="318">
        <v>0.50287037037037041</v>
      </c>
      <c r="F3918" s="247" t="s">
        <v>980</v>
      </c>
      <c r="G3918" s="247" t="s">
        <v>1035</v>
      </c>
      <c r="H3918" s="248" t="s">
        <v>234</v>
      </c>
      <c r="I3918" s="248" t="s">
        <v>263</v>
      </c>
      <c r="J3918" s="247" t="s">
        <v>809</v>
      </c>
      <c r="K3918" s="249">
        <v>0</v>
      </c>
      <c r="M3918" s="90">
        <v>0</v>
      </c>
      <c r="N3918" s="90">
        <v>0</v>
      </c>
      <c r="O3918" s="90">
        <v>255</v>
      </c>
    </row>
    <row r="3919" spans="1:15" s="90" customFormat="1" ht="12.75" customHeight="1" x14ac:dyDescent="0.2">
      <c r="A3919" s="247" t="s">
        <v>1608</v>
      </c>
      <c r="B3919" s="316">
        <v>3037</v>
      </c>
      <c r="C3919" s="247" t="s">
        <v>996</v>
      </c>
      <c r="D3919" s="317">
        <v>42676</v>
      </c>
      <c r="E3919" s="318">
        <v>0.50287037037037041</v>
      </c>
      <c r="F3919" s="247" t="s">
        <v>980</v>
      </c>
      <c r="G3919" s="247" t="s">
        <v>1035</v>
      </c>
      <c r="H3919" s="248" t="s">
        <v>234</v>
      </c>
      <c r="I3919" s="248" t="s">
        <v>263</v>
      </c>
      <c r="J3919" s="247" t="s">
        <v>809</v>
      </c>
      <c r="K3919" s="249">
        <v>0</v>
      </c>
      <c r="M3919" s="90">
        <v>0</v>
      </c>
      <c r="N3919" s="90">
        <v>0</v>
      </c>
      <c r="O3919" s="90">
        <v>255</v>
      </c>
    </row>
    <row r="3920" spans="1:15" s="90" customFormat="1" ht="12.75" customHeight="1" x14ac:dyDescent="0.2">
      <c r="A3920" s="247" t="s">
        <v>1609</v>
      </c>
      <c r="B3920" s="316">
        <v>3037</v>
      </c>
      <c r="C3920" s="247" t="s">
        <v>996</v>
      </c>
      <c r="D3920" s="317">
        <v>42676</v>
      </c>
      <c r="E3920" s="318">
        <v>0.50287037037037041</v>
      </c>
      <c r="F3920" s="247" t="s">
        <v>980</v>
      </c>
      <c r="G3920" s="247" t="s">
        <v>1035</v>
      </c>
      <c r="H3920" s="248" t="s">
        <v>234</v>
      </c>
      <c r="I3920" s="248" t="s">
        <v>263</v>
      </c>
      <c r="J3920" s="247" t="s">
        <v>809</v>
      </c>
      <c r="K3920" s="249">
        <v>0</v>
      </c>
      <c r="M3920" s="90">
        <v>0</v>
      </c>
      <c r="N3920" s="90">
        <v>0</v>
      </c>
      <c r="O3920" s="90">
        <v>255</v>
      </c>
    </row>
    <row r="3921" spans="1:15" s="90" customFormat="1" ht="12.75" customHeight="1" x14ac:dyDescent="0.2">
      <c r="A3921" s="247" t="s">
        <v>1610</v>
      </c>
      <c r="B3921" s="316">
        <v>3037</v>
      </c>
      <c r="C3921" s="247" t="s">
        <v>996</v>
      </c>
      <c r="D3921" s="317">
        <v>42676</v>
      </c>
      <c r="E3921" s="318">
        <v>0.50287037037037041</v>
      </c>
      <c r="F3921" s="247" t="s">
        <v>980</v>
      </c>
      <c r="G3921" s="247" t="s">
        <v>1035</v>
      </c>
      <c r="H3921" s="248" t="s">
        <v>234</v>
      </c>
      <c r="I3921" s="248" t="s">
        <v>263</v>
      </c>
      <c r="J3921" s="247" t="s">
        <v>809</v>
      </c>
      <c r="K3921" s="249">
        <v>0</v>
      </c>
      <c r="M3921" s="90">
        <v>0</v>
      </c>
      <c r="N3921" s="90">
        <v>0</v>
      </c>
      <c r="O3921" s="90">
        <v>255</v>
      </c>
    </row>
    <row r="3922" spans="1:15" s="90" customFormat="1" ht="12.75" customHeight="1" x14ac:dyDescent="0.2">
      <c r="A3922" s="247" t="s">
        <v>1611</v>
      </c>
      <c r="B3922" s="316">
        <v>3037</v>
      </c>
      <c r="C3922" s="247" t="s">
        <v>996</v>
      </c>
      <c r="D3922" s="317">
        <v>42676</v>
      </c>
      <c r="E3922" s="318">
        <v>0.50288194444444445</v>
      </c>
      <c r="F3922" s="247" t="s">
        <v>980</v>
      </c>
      <c r="G3922" s="247" t="s">
        <v>1035</v>
      </c>
      <c r="H3922" s="248" t="s">
        <v>234</v>
      </c>
      <c r="I3922" s="248" t="s">
        <v>263</v>
      </c>
      <c r="J3922" s="247" t="s">
        <v>809</v>
      </c>
      <c r="K3922" s="249">
        <v>0</v>
      </c>
      <c r="M3922" s="90">
        <v>0</v>
      </c>
      <c r="N3922" s="90">
        <v>0</v>
      </c>
      <c r="O3922" s="90">
        <v>255</v>
      </c>
    </row>
    <row r="3923" spans="1:15" s="90" customFormat="1" ht="12.75" customHeight="1" x14ac:dyDescent="0.2">
      <c r="A3923" s="247" t="s">
        <v>1612</v>
      </c>
      <c r="B3923" s="316">
        <v>3037</v>
      </c>
      <c r="C3923" s="247" t="s">
        <v>996</v>
      </c>
      <c r="D3923" s="317">
        <v>42676</v>
      </c>
      <c r="E3923" s="318">
        <v>0.50288194444444445</v>
      </c>
      <c r="F3923" s="247" t="s">
        <v>980</v>
      </c>
      <c r="G3923" s="247" t="s">
        <v>1035</v>
      </c>
      <c r="H3923" s="248" t="s">
        <v>234</v>
      </c>
      <c r="I3923" s="248" t="s">
        <v>263</v>
      </c>
      <c r="J3923" s="247" t="s">
        <v>809</v>
      </c>
      <c r="K3923" s="249">
        <v>0</v>
      </c>
      <c r="M3923" s="90">
        <v>0</v>
      </c>
      <c r="N3923" s="90">
        <v>0</v>
      </c>
      <c r="O3923" s="90">
        <v>255</v>
      </c>
    </row>
    <row r="3924" spans="1:15" s="90" customFormat="1" ht="12.75" customHeight="1" x14ac:dyDescent="0.2">
      <c r="A3924" s="247" t="s">
        <v>1613</v>
      </c>
      <c r="B3924" s="316">
        <v>3037</v>
      </c>
      <c r="C3924" s="247" t="s">
        <v>996</v>
      </c>
      <c r="D3924" s="317">
        <v>42676</v>
      </c>
      <c r="E3924" s="318">
        <v>0.50288194444444445</v>
      </c>
      <c r="F3924" s="247" t="s">
        <v>980</v>
      </c>
      <c r="G3924" s="247" t="s">
        <v>1035</v>
      </c>
      <c r="H3924" s="248" t="s">
        <v>234</v>
      </c>
      <c r="I3924" s="248" t="s">
        <v>263</v>
      </c>
      <c r="J3924" s="247" t="s">
        <v>809</v>
      </c>
      <c r="K3924" s="249">
        <v>0</v>
      </c>
      <c r="M3924" s="90">
        <v>0</v>
      </c>
      <c r="N3924" s="90">
        <v>0</v>
      </c>
      <c r="O3924" s="90">
        <v>255</v>
      </c>
    </row>
    <row r="3925" spans="1:15" s="90" customFormat="1" ht="12.75" customHeight="1" x14ac:dyDescent="0.2">
      <c r="A3925" s="247" t="s">
        <v>1614</v>
      </c>
      <c r="B3925" s="316">
        <v>3037</v>
      </c>
      <c r="C3925" s="247" t="s">
        <v>996</v>
      </c>
      <c r="D3925" s="317">
        <v>42676</v>
      </c>
      <c r="E3925" s="318">
        <v>0.50288194444444445</v>
      </c>
      <c r="F3925" s="247" t="s">
        <v>980</v>
      </c>
      <c r="G3925" s="247" t="s">
        <v>1035</v>
      </c>
      <c r="H3925" s="248" t="s">
        <v>234</v>
      </c>
      <c r="I3925" s="248" t="s">
        <v>263</v>
      </c>
      <c r="J3925" s="247" t="s">
        <v>809</v>
      </c>
      <c r="K3925" s="249">
        <v>0</v>
      </c>
      <c r="M3925" s="90">
        <v>0</v>
      </c>
      <c r="N3925" s="90">
        <v>0</v>
      </c>
      <c r="O3925" s="90">
        <v>255</v>
      </c>
    </row>
    <row r="3926" spans="1:15" s="90" customFormat="1" ht="12.75" customHeight="1" x14ac:dyDescent="0.2">
      <c r="A3926" s="247" t="s">
        <v>1615</v>
      </c>
      <c r="B3926" s="316">
        <v>3037</v>
      </c>
      <c r="C3926" s="247" t="s">
        <v>996</v>
      </c>
      <c r="D3926" s="317">
        <v>42676</v>
      </c>
      <c r="E3926" s="318">
        <v>0.50288194444444445</v>
      </c>
      <c r="F3926" s="247" t="s">
        <v>980</v>
      </c>
      <c r="G3926" s="247" t="s">
        <v>1035</v>
      </c>
      <c r="H3926" s="248" t="s">
        <v>234</v>
      </c>
      <c r="I3926" s="248" t="s">
        <v>263</v>
      </c>
      <c r="J3926" s="247" t="s">
        <v>809</v>
      </c>
      <c r="K3926" s="249">
        <v>0</v>
      </c>
      <c r="M3926" s="90">
        <v>0</v>
      </c>
      <c r="N3926" s="90">
        <v>0</v>
      </c>
      <c r="O3926" s="90">
        <v>255</v>
      </c>
    </row>
    <row r="3927" spans="1:15" s="90" customFormat="1" ht="12.75" customHeight="1" x14ac:dyDescent="0.2">
      <c r="A3927" s="247" t="s">
        <v>1616</v>
      </c>
      <c r="B3927" s="316">
        <v>3037</v>
      </c>
      <c r="C3927" s="247" t="s">
        <v>996</v>
      </c>
      <c r="D3927" s="317">
        <v>42676</v>
      </c>
      <c r="E3927" s="318">
        <v>0.50289351851851849</v>
      </c>
      <c r="F3927" s="247" t="s">
        <v>980</v>
      </c>
      <c r="G3927" s="247" t="s">
        <v>1035</v>
      </c>
      <c r="H3927" s="248" t="s">
        <v>234</v>
      </c>
      <c r="I3927" s="248" t="s">
        <v>263</v>
      </c>
      <c r="J3927" s="247" t="s">
        <v>809</v>
      </c>
      <c r="K3927" s="249">
        <v>0</v>
      </c>
      <c r="M3927" s="90">
        <v>0</v>
      </c>
      <c r="N3927" s="90">
        <v>0</v>
      </c>
      <c r="O3927" s="90">
        <v>255</v>
      </c>
    </row>
    <row r="3928" spans="1:15" s="90" customFormat="1" ht="12.75" customHeight="1" x14ac:dyDescent="0.2">
      <c r="A3928" s="247" t="s">
        <v>1617</v>
      </c>
      <c r="B3928" s="316">
        <v>3037</v>
      </c>
      <c r="C3928" s="247" t="s">
        <v>996</v>
      </c>
      <c r="D3928" s="317">
        <v>42676</v>
      </c>
      <c r="E3928" s="318">
        <v>0.50289351851851849</v>
      </c>
      <c r="F3928" s="247" t="s">
        <v>980</v>
      </c>
      <c r="G3928" s="247" t="s">
        <v>1035</v>
      </c>
      <c r="H3928" s="248" t="s">
        <v>234</v>
      </c>
      <c r="I3928" s="248" t="s">
        <v>263</v>
      </c>
      <c r="J3928" s="247" t="s">
        <v>809</v>
      </c>
      <c r="K3928" s="249">
        <v>0</v>
      </c>
      <c r="M3928" s="90">
        <v>0</v>
      </c>
      <c r="N3928" s="90">
        <v>0</v>
      </c>
      <c r="O3928" s="90">
        <v>255</v>
      </c>
    </row>
    <row r="3929" spans="1:15" s="90" customFormat="1" ht="12.75" customHeight="1" x14ac:dyDescent="0.2">
      <c r="A3929" s="247" t="s">
        <v>1618</v>
      </c>
      <c r="B3929" s="316">
        <v>3037</v>
      </c>
      <c r="C3929" s="247" t="s">
        <v>996</v>
      </c>
      <c r="D3929" s="317">
        <v>42676</v>
      </c>
      <c r="E3929" s="318">
        <v>0.50289351851851849</v>
      </c>
      <c r="F3929" s="247" t="s">
        <v>980</v>
      </c>
      <c r="G3929" s="247" t="s">
        <v>1035</v>
      </c>
      <c r="H3929" s="248" t="s">
        <v>234</v>
      </c>
      <c r="I3929" s="248" t="s">
        <v>263</v>
      </c>
      <c r="J3929" s="247" t="s">
        <v>809</v>
      </c>
      <c r="K3929" s="249">
        <v>0</v>
      </c>
      <c r="M3929" s="90">
        <v>0</v>
      </c>
      <c r="N3929" s="90">
        <v>0</v>
      </c>
      <c r="O3929" s="90">
        <v>255</v>
      </c>
    </row>
    <row r="3930" spans="1:15" s="90" customFormat="1" ht="12.75" customHeight="1" x14ac:dyDescent="0.2">
      <c r="A3930" s="247" t="s">
        <v>1619</v>
      </c>
      <c r="B3930" s="316">
        <v>3037</v>
      </c>
      <c r="C3930" s="247" t="s">
        <v>996</v>
      </c>
      <c r="D3930" s="317">
        <v>42676</v>
      </c>
      <c r="E3930" s="318">
        <v>0.50289351851851849</v>
      </c>
      <c r="F3930" s="247" t="s">
        <v>980</v>
      </c>
      <c r="G3930" s="247" t="s">
        <v>1035</v>
      </c>
      <c r="H3930" s="248" t="s">
        <v>234</v>
      </c>
      <c r="I3930" s="248" t="s">
        <v>263</v>
      </c>
      <c r="J3930" s="247" t="s">
        <v>809</v>
      </c>
      <c r="K3930" s="249">
        <v>0</v>
      </c>
      <c r="M3930" s="90">
        <v>0</v>
      </c>
      <c r="N3930" s="90">
        <v>0</v>
      </c>
      <c r="O3930" s="90">
        <v>255</v>
      </c>
    </row>
    <row r="3931" spans="1:15" s="90" customFormat="1" ht="12.75" customHeight="1" x14ac:dyDescent="0.2">
      <c r="A3931" s="247" t="s">
        <v>1620</v>
      </c>
      <c r="B3931" s="316">
        <v>3037</v>
      </c>
      <c r="C3931" s="247" t="s">
        <v>996</v>
      </c>
      <c r="D3931" s="317">
        <v>42676</v>
      </c>
      <c r="E3931" s="318">
        <v>0.50290509259259253</v>
      </c>
      <c r="F3931" s="247" t="s">
        <v>980</v>
      </c>
      <c r="G3931" s="247" t="s">
        <v>1035</v>
      </c>
      <c r="H3931" s="248" t="s">
        <v>234</v>
      </c>
      <c r="I3931" s="248" t="s">
        <v>263</v>
      </c>
      <c r="J3931" s="247" t="s">
        <v>809</v>
      </c>
      <c r="K3931" s="249">
        <v>0</v>
      </c>
      <c r="M3931" s="90">
        <v>0</v>
      </c>
      <c r="N3931" s="90">
        <v>0</v>
      </c>
      <c r="O3931" s="90">
        <v>255</v>
      </c>
    </row>
    <row r="3932" spans="1:15" s="90" customFormat="1" ht="12.75" customHeight="1" x14ac:dyDescent="0.2">
      <c r="A3932" s="247" t="s">
        <v>1621</v>
      </c>
      <c r="B3932" s="316">
        <v>3037</v>
      </c>
      <c r="C3932" s="247" t="s">
        <v>996</v>
      </c>
      <c r="D3932" s="317">
        <v>42676</v>
      </c>
      <c r="E3932" s="318">
        <v>0.50290509259259253</v>
      </c>
      <c r="F3932" s="247" t="s">
        <v>980</v>
      </c>
      <c r="G3932" s="247" t="s">
        <v>1035</v>
      </c>
      <c r="H3932" s="248" t="s">
        <v>234</v>
      </c>
      <c r="I3932" s="248" t="s">
        <v>263</v>
      </c>
      <c r="J3932" s="247" t="s">
        <v>809</v>
      </c>
      <c r="K3932" s="249">
        <v>0</v>
      </c>
      <c r="M3932" s="90">
        <v>0</v>
      </c>
      <c r="N3932" s="90">
        <v>0</v>
      </c>
      <c r="O3932" s="90">
        <v>255</v>
      </c>
    </row>
    <row r="3933" spans="1:15" s="90" customFormat="1" ht="12.75" customHeight="1" x14ac:dyDescent="0.2">
      <c r="A3933" s="247" t="s">
        <v>1622</v>
      </c>
      <c r="B3933" s="316">
        <v>3037</v>
      </c>
      <c r="C3933" s="247" t="s">
        <v>996</v>
      </c>
      <c r="D3933" s="317">
        <v>42676</v>
      </c>
      <c r="E3933" s="318">
        <v>0.50291666666666668</v>
      </c>
      <c r="F3933" s="247" t="s">
        <v>980</v>
      </c>
      <c r="G3933" s="247" t="s">
        <v>1035</v>
      </c>
      <c r="H3933" s="248" t="s">
        <v>234</v>
      </c>
      <c r="I3933" s="248" t="s">
        <v>263</v>
      </c>
      <c r="J3933" s="247" t="s">
        <v>809</v>
      </c>
      <c r="K3933" s="249">
        <v>0</v>
      </c>
      <c r="M3933" s="90">
        <v>0</v>
      </c>
      <c r="N3933" s="90">
        <v>0</v>
      </c>
      <c r="O3933" s="90">
        <v>255</v>
      </c>
    </row>
    <row r="3934" spans="1:15" s="90" customFormat="1" ht="12.75" customHeight="1" x14ac:dyDescent="0.2">
      <c r="A3934" s="247" t="s">
        <v>1623</v>
      </c>
      <c r="B3934" s="316">
        <v>3037</v>
      </c>
      <c r="C3934" s="247" t="s">
        <v>996</v>
      </c>
      <c r="D3934" s="317">
        <v>42676</v>
      </c>
      <c r="E3934" s="318">
        <v>0.50291666666666668</v>
      </c>
      <c r="F3934" s="247" t="s">
        <v>980</v>
      </c>
      <c r="G3934" s="247" t="s">
        <v>1035</v>
      </c>
      <c r="H3934" s="248" t="s">
        <v>234</v>
      </c>
      <c r="I3934" s="248" t="s">
        <v>263</v>
      </c>
      <c r="J3934" s="247" t="s">
        <v>809</v>
      </c>
      <c r="K3934" s="249">
        <v>0</v>
      </c>
      <c r="M3934" s="90">
        <v>0</v>
      </c>
      <c r="N3934" s="90">
        <v>0</v>
      </c>
      <c r="O3934" s="90">
        <v>255</v>
      </c>
    </row>
    <row r="3935" spans="1:15" s="90" customFormat="1" ht="12.75" customHeight="1" x14ac:dyDescent="0.2">
      <c r="A3935" s="247" t="s">
        <v>1624</v>
      </c>
      <c r="B3935" s="316">
        <v>3037</v>
      </c>
      <c r="C3935" s="247" t="s">
        <v>996</v>
      </c>
      <c r="D3935" s="317">
        <v>42676</v>
      </c>
      <c r="E3935" s="318">
        <v>0.50291666666666668</v>
      </c>
      <c r="F3935" s="247" t="s">
        <v>980</v>
      </c>
      <c r="G3935" s="247" t="s">
        <v>1035</v>
      </c>
      <c r="H3935" s="248" t="s">
        <v>234</v>
      </c>
      <c r="I3935" s="248" t="s">
        <v>263</v>
      </c>
      <c r="J3935" s="247" t="s">
        <v>809</v>
      </c>
      <c r="K3935" s="249">
        <v>0</v>
      </c>
      <c r="M3935" s="90">
        <v>0</v>
      </c>
      <c r="N3935" s="90">
        <v>0</v>
      </c>
      <c r="O3935" s="90">
        <v>255</v>
      </c>
    </row>
    <row r="3936" spans="1:15" s="90" customFormat="1" ht="12.75" customHeight="1" x14ac:dyDescent="0.2">
      <c r="A3936" s="247" t="s">
        <v>1625</v>
      </c>
      <c r="B3936" s="316">
        <v>3037</v>
      </c>
      <c r="C3936" s="247" t="s">
        <v>996</v>
      </c>
      <c r="D3936" s="317">
        <v>42676</v>
      </c>
      <c r="E3936" s="318">
        <v>0.50292824074074072</v>
      </c>
      <c r="F3936" s="247" t="s">
        <v>980</v>
      </c>
      <c r="G3936" s="247" t="s">
        <v>1035</v>
      </c>
      <c r="H3936" s="248" t="s">
        <v>234</v>
      </c>
      <c r="I3936" s="248" t="s">
        <v>263</v>
      </c>
      <c r="J3936" s="247" t="s">
        <v>809</v>
      </c>
      <c r="K3936" s="249">
        <v>0</v>
      </c>
      <c r="M3936" s="90">
        <v>0</v>
      </c>
      <c r="N3936" s="90">
        <v>0</v>
      </c>
      <c r="O3936" s="90">
        <v>255</v>
      </c>
    </row>
    <row r="3937" spans="1:15" s="90" customFormat="1" ht="12.75" customHeight="1" x14ac:dyDescent="0.2">
      <c r="A3937" s="247" t="s">
        <v>1626</v>
      </c>
      <c r="B3937" s="316">
        <v>3037</v>
      </c>
      <c r="C3937" s="247" t="s">
        <v>996</v>
      </c>
      <c r="D3937" s="317">
        <v>42676</v>
      </c>
      <c r="E3937" s="318">
        <v>0.50292824074074072</v>
      </c>
      <c r="F3937" s="247" t="s">
        <v>980</v>
      </c>
      <c r="G3937" s="247" t="s">
        <v>1035</v>
      </c>
      <c r="H3937" s="248" t="s">
        <v>234</v>
      </c>
      <c r="I3937" s="248" t="s">
        <v>263</v>
      </c>
      <c r="J3937" s="247" t="s">
        <v>809</v>
      </c>
      <c r="K3937" s="249">
        <v>0</v>
      </c>
      <c r="M3937" s="90">
        <v>0</v>
      </c>
      <c r="N3937" s="90">
        <v>0</v>
      </c>
      <c r="O3937" s="90">
        <v>255</v>
      </c>
    </row>
    <row r="3938" spans="1:15" s="90" customFormat="1" ht="12.75" customHeight="1" x14ac:dyDescent="0.2">
      <c r="A3938" s="247" t="s">
        <v>1627</v>
      </c>
      <c r="B3938" s="316">
        <v>3037</v>
      </c>
      <c r="C3938" s="247" t="s">
        <v>996</v>
      </c>
      <c r="D3938" s="317">
        <v>42676</v>
      </c>
      <c r="E3938" s="318">
        <v>0.50292824074074072</v>
      </c>
      <c r="F3938" s="247" t="s">
        <v>980</v>
      </c>
      <c r="G3938" s="247" t="s">
        <v>1035</v>
      </c>
      <c r="H3938" s="248" t="s">
        <v>234</v>
      </c>
      <c r="I3938" s="248" t="s">
        <v>263</v>
      </c>
      <c r="J3938" s="247" t="s">
        <v>809</v>
      </c>
      <c r="K3938" s="249">
        <v>0</v>
      </c>
      <c r="M3938" s="90">
        <v>0</v>
      </c>
      <c r="N3938" s="90">
        <v>0</v>
      </c>
      <c r="O3938" s="90">
        <v>255</v>
      </c>
    </row>
    <row r="3939" spans="1:15" s="90" customFormat="1" ht="12.75" customHeight="1" x14ac:dyDescent="0.2">
      <c r="A3939" s="247" t="s">
        <v>1628</v>
      </c>
      <c r="B3939" s="316">
        <v>3037</v>
      </c>
      <c r="C3939" s="247" t="s">
        <v>996</v>
      </c>
      <c r="D3939" s="317">
        <v>42676</v>
      </c>
      <c r="E3939" s="318">
        <v>0.50292824074074072</v>
      </c>
      <c r="F3939" s="247" t="s">
        <v>980</v>
      </c>
      <c r="G3939" s="247" t="s">
        <v>1035</v>
      </c>
      <c r="H3939" s="248" t="s">
        <v>234</v>
      </c>
      <c r="I3939" s="248" t="s">
        <v>263</v>
      </c>
      <c r="J3939" s="247" t="s">
        <v>809</v>
      </c>
      <c r="K3939" s="249">
        <v>0</v>
      </c>
      <c r="M3939" s="90">
        <v>0</v>
      </c>
      <c r="N3939" s="90">
        <v>0</v>
      </c>
      <c r="O3939" s="90">
        <v>255</v>
      </c>
    </row>
    <row r="3940" spans="1:15" s="90" customFormat="1" ht="12.75" customHeight="1" x14ac:dyDescent="0.2">
      <c r="A3940" s="247" t="s">
        <v>1629</v>
      </c>
      <c r="B3940" s="316">
        <v>3037</v>
      </c>
      <c r="C3940" s="247" t="s">
        <v>996</v>
      </c>
      <c r="D3940" s="317">
        <v>42676</v>
      </c>
      <c r="E3940" s="318">
        <v>0.50292824074074072</v>
      </c>
      <c r="F3940" s="247" t="s">
        <v>980</v>
      </c>
      <c r="G3940" s="247" t="s">
        <v>1035</v>
      </c>
      <c r="H3940" s="248" t="s">
        <v>234</v>
      </c>
      <c r="I3940" s="248" t="s">
        <v>263</v>
      </c>
      <c r="J3940" s="247" t="s">
        <v>809</v>
      </c>
      <c r="K3940" s="249">
        <v>0</v>
      </c>
      <c r="M3940" s="90">
        <v>0</v>
      </c>
      <c r="N3940" s="90">
        <v>0</v>
      </c>
      <c r="O3940" s="90">
        <v>255</v>
      </c>
    </row>
    <row r="3941" spans="1:15" s="90" customFormat="1" ht="12.75" customHeight="1" x14ac:dyDescent="0.2">
      <c r="A3941" s="247" t="s">
        <v>1630</v>
      </c>
      <c r="B3941" s="316">
        <v>3037</v>
      </c>
      <c r="C3941" s="247" t="s">
        <v>996</v>
      </c>
      <c r="D3941" s="317">
        <v>42676</v>
      </c>
      <c r="E3941" s="318">
        <v>0.50292824074074072</v>
      </c>
      <c r="F3941" s="247" t="s">
        <v>980</v>
      </c>
      <c r="G3941" s="247" t="s">
        <v>1035</v>
      </c>
      <c r="H3941" s="248" t="s">
        <v>234</v>
      </c>
      <c r="I3941" s="248" t="s">
        <v>263</v>
      </c>
      <c r="J3941" s="247" t="s">
        <v>809</v>
      </c>
      <c r="K3941" s="249">
        <v>0</v>
      </c>
      <c r="M3941" s="90">
        <v>0</v>
      </c>
      <c r="N3941" s="90">
        <v>0</v>
      </c>
      <c r="O3941" s="90">
        <v>255</v>
      </c>
    </row>
    <row r="3942" spans="1:15" s="90" customFormat="1" ht="12.75" customHeight="1" x14ac:dyDescent="0.2">
      <c r="A3942" s="247" t="s">
        <v>1631</v>
      </c>
      <c r="B3942" s="316">
        <v>3037</v>
      </c>
      <c r="C3942" s="247" t="s">
        <v>996</v>
      </c>
      <c r="D3942" s="317">
        <v>42676</v>
      </c>
      <c r="E3942" s="318">
        <v>0.50293981481481487</v>
      </c>
      <c r="F3942" s="247" t="s">
        <v>980</v>
      </c>
      <c r="G3942" s="247" t="s">
        <v>1035</v>
      </c>
      <c r="H3942" s="248" t="s">
        <v>234</v>
      </c>
      <c r="I3942" s="248" t="s">
        <v>263</v>
      </c>
      <c r="J3942" s="247" t="s">
        <v>809</v>
      </c>
      <c r="K3942" s="249">
        <v>0</v>
      </c>
      <c r="M3942" s="90">
        <v>0</v>
      </c>
      <c r="N3942" s="90">
        <v>0</v>
      </c>
      <c r="O3942" s="90">
        <v>255</v>
      </c>
    </row>
    <row r="3943" spans="1:15" s="90" customFormat="1" ht="12.75" customHeight="1" x14ac:dyDescent="0.2">
      <c r="A3943" s="247" t="s">
        <v>1632</v>
      </c>
      <c r="B3943" s="316">
        <v>3037</v>
      </c>
      <c r="C3943" s="247" t="s">
        <v>996</v>
      </c>
      <c r="D3943" s="317">
        <v>42676</v>
      </c>
      <c r="E3943" s="318">
        <v>0.50293981481481487</v>
      </c>
      <c r="F3943" s="247" t="s">
        <v>980</v>
      </c>
      <c r="G3943" s="247" t="s">
        <v>1035</v>
      </c>
      <c r="H3943" s="248" t="s">
        <v>234</v>
      </c>
      <c r="I3943" s="248" t="s">
        <v>263</v>
      </c>
      <c r="J3943" s="247" t="s">
        <v>809</v>
      </c>
      <c r="K3943" s="249">
        <v>0</v>
      </c>
      <c r="M3943" s="90">
        <v>0</v>
      </c>
      <c r="N3943" s="90">
        <v>0</v>
      </c>
      <c r="O3943" s="90">
        <v>255</v>
      </c>
    </row>
    <row r="3944" spans="1:15" s="90" customFormat="1" ht="12.75" customHeight="1" x14ac:dyDescent="0.2">
      <c r="A3944" s="247" t="s">
        <v>1633</v>
      </c>
      <c r="B3944" s="316">
        <v>3037</v>
      </c>
      <c r="C3944" s="247" t="s">
        <v>996</v>
      </c>
      <c r="D3944" s="317">
        <v>42676</v>
      </c>
      <c r="E3944" s="318">
        <v>0.50293981481481487</v>
      </c>
      <c r="F3944" s="247" t="s">
        <v>980</v>
      </c>
      <c r="G3944" s="247" t="s">
        <v>1035</v>
      </c>
      <c r="H3944" s="248" t="s">
        <v>234</v>
      </c>
      <c r="I3944" s="248" t="s">
        <v>263</v>
      </c>
      <c r="J3944" s="247" t="s">
        <v>809</v>
      </c>
      <c r="K3944" s="249">
        <v>0</v>
      </c>
      <c r="M3944" s="90">
        <v>0</v>
      </c>
      <c r="N3944" s="90">
        <v>0</v>
      </c>
      <c r="O3944" s="90">
        <v>255</v>
      </c>
    </row>
    <row r="3945" spans="1:15" s="90" customFormat="1" ht="12.75" customHeight="1" x14ac:dyDescent="0.2">
      <c r="A3945" s="247" t="s">
        <v>1634</v>
      </c>
      <c r="B3945" s="316">
        <v>3037</v>
      </c>
      <c r="C3945" s="247" t="s">
        <v>996</v>
      </c>
      <c r="D3945" s="317">
        <v>42676</v>
      </c>
      <c r="E3945" s="318">
        <v>0.50293981481481487</v>
      </c>
      <c r="F3945" s="247" t="s">
        <v>980</v>
      </c>
      <c r="G3945" s="247" t="s">
        <v>1035</v>
      </c>
      <c r="H3945" s="248" t="s">
        <v>234</v>
      </c>
      <c r="I3945" s="248" t="s">
        <v>263</v>
      </c>
      <c r="J3945" s="247" t="s">
        <v>809</v>
      </c>
      <c r="K3945" s="249">
        <v>0</v>
      </c>
      <c r="M3945" s="90">
        <v>0</v>
      </c>
      <c r="N3945" s="90">
        <v>0</v>
      </c>
      <c r="O3945" s="90">
        <v>255</v>
      </c>
    </row>
    <row r="3946" spans="1:15" s="90" customFormat="1" ht="12.75" customHeight="1" x14ac:dyDescent="0.2">
      <c r="A3946" s="247" t="s">
        <v>1635</v>
      </c>
      <c r="B3946" s="316">
        <v>3037</v>
      </c>
      <c r="C3946" s="247" t="s">
        <v>996</v>
      </c>
      <c r="D3946" s="317">
        <v>42676</v>
      </c>
      <c r="E3946" s="318">
        <v>0.50293981481481487</v>
      </c>
      <c r="F3946" s="247" t="s">
        <v>980</v>
      </c>
      <c r="G3946" s="247" t="s">
        <v>1035</v>
      </c>
      <c r="H3946" s="248" t="s">
        <v>234</v>
      </c>
      <c r="I3946" s="248" t="s">
        <v>263</v>
      </c>
      <c r="J3946" s="247" t="s">
        <v>809</v>
      </c>
      <c r="K3946" s="249">
        <v>0</v>
      </c>
      <c r="M3946" s="90">
        <v>0</v>
      </c>
      <c r="N3946" s="90">
        <v>0</v>
      </c>
      <c r="O3946" s="90">
        <v>255</v>
      </c>
    </row>
    <row r="3947" spans="1:15" s="90" customFormat="1" ht="12.75" customHeight="1" x14ac:dyDescent="0.2">
      <c r="A3947" s="247" t="s">
        <v>1636</v>
      </c>
      <c r="B3947" s="316">
        <v>3037</v>
      </c>
      <c r="C3947" s="247" t="s">
        <v>996</v>
      </c>
      <c r="D3947" s="317">
        <v>42676</v>
      </c>
      <c r="E3947" s="318">
        <v>0.50293981481481487</v>
      </c>
      <c r="F3947" s="247" t="s">
        <v>980</v>
      </c>
      <c r="G3947" s="247" t="s">
        <v>1035</v>
      </c>
      <c r="H3947" s="248" t="s">
        <v>234</v>
      </c>
      <c r="I3947" s="248" t="s">
        <v>263</v>
      </c>
      <c r="J3947" s="247" t="s">
        <v>809</v>
      </c>
      <c r="K3947" s="249">
        <v>0</v>
      </c>
      <c r="M3947" s="90">
        <v>0</v>
      </c>
      <c r="N3947" s="90">
        <v>0</v>
      </c>
      <c r="O3947" s="90">
        <v>255</v>
      </c>
    </row>
    <row r="3948" spans="1:15" s="90" customFormat="1" ht="12.75" customHeight="1" x14ac:dyDescent="0.2">
      <c r="A3948" s="247" t="s">
        <v>1637</v>
      </c>
      <c r="B3948" s="316">
        <v>3037</v>
      </c>
      <c r="C3948" s="247" t="s">
        <v>996</v>
      </c>
      <c r="D3948" s="317">
        <v>42676</v>
      </c>
      <c r="E3948" s="318">
        <v>0.50295138888888891</v>
      </c>
      <c r="F3948" s="247" t="s">
        <v>980</v>
      </c>
      <c r="G3948" s="247" t="s">
        <v>1035</v>
      </c>
      <c r="H3948" s="248" t="s">
        <v>234</v>
      </c>
      <c r="I3948" s="248" t="s">
        <v>263</v>
      </c>
      <c r="J3948" s="247" t="s">
        <v>809</v>
      </c>
      <c r="K3948" s="249">
        <v>0</v>
      </c>
      <c r="M3948" s="90">
        <v>0</v>
      </c>
      <c r="N3948" s="90">
        <v>0</v>
      </c>
      <c r="O3948" s="90">
        <v>255</v>
      </c>
    </row>
    <row r="3949" spans="1:15" s="90" customFormat="1" ht="12.75" customHeight="1" x14ac:dyDescent="0.2">
      <c r="A3949" s="247" t="s">
        <v>1638</v>
      </c>
      <c r="B3949" s="316">
        <v>3037</v>
      </c>
      <c r="C3949" s="247" t="s">
        <v>996</v>
      </c>
      <c r="D3949" s="317">
        <v>42676</v>
      </c>
      <c r="E3949" s="318">
        <v>0.50295138888888891</v>
      </c>
      <c r="F3949" s="247" t="s">
        <v>980</v>
      </c>
      <c r="G3949" s="247" t="s">
        <v>1035</v>
      </c>
      <c r="H3949" s="248" t="s">
        <v>234</v>
      </c>
      <c r="I3949" s="248" t="s">
        <v>263</v>
      </c>
      <c r="J3949" s="247" t="s">
        <v>809</v>
      </c>
      <c r="K3949" s="249">
        <v>0</v>
      </c>
      <c r="M3949" s="90">
        <v>0</v>
      </c>
      <c r="N3949" s="90">
        <v>0</v>
      </c>
      <c r="O3949" s="90">
        <v>255</v>
      </c>
    </row>
    <row r="3950" spans="1:15" s="90" customFormat="1" ht="12.75" customHeight="1" x14ac:dyDescent="0.2">
      <c r="A3950" s="247" t="s">
        <v>1639</v>
      </c>
      <c r="B3950" s="316">
        <v>3037</v>
      </c>
      <c r="C3950" s="247" t="s">
        <v>996</v>
      </c>
      <c r="D3950" s="317">
        <v>42676</v>
      </c>
      <c r="E3950" s="318">
        <v>0.50296296296296295</v>
      </c>
      <c r="F3950" s="247" t="s">
        <v>980</v>
      </c>
      <c r="G3950" s="247" t="s">
        <v>1035</v>
      </c>
      <c r="H3950" s="248" t="s">
        <v>234</v>
      </c>
      <c r="I3950" s="248" t="s">
        <v>263</v>
      </c>
      <c r="J3950" s="247" t="s">
        <v>809</v>
      </c>
      <c r="K3950" s="249">
        <v>0</v>
      </c>
      <c r="M3950" s="90">
        <v>0</v>
      </c>
      <c r="N3950" s="90">
        <v>0</v>
      </c>
      <c r="O3950" s="90">
        <v>255</v>
      </c>
    </row>
    <row r="3951" spans="1:15" s="90" customFormat="1" ht="12.75" customHeight="1" x14ac:dyDescent="0.2">
      <c r="A3951" s="247" t="s">
        <v>1640</v>
      </c>
      <c r="B3951" s="316">
        <v>3037</v>
      </c>
      <c r="C3951" s="247" t="s">
        <v>996</v>
      </c>
      <c r="D3951" s="317">
        <v>42676</v>
      </c>
      <c r="E3951" s="318">
        <v>0.50296296296296295</v>
      </c>
      <c r="F3951" s="247" t="s">
        <v>980</v>
      </c>
      <c r="G3951" s="247" t="s">
        <v>1035</v>
      </c>
      <c r="H3951" s="248" t="s">
        <v>234</v>
      </c>
      <c r="I3951" s="248" t="s">
        <v>263</v>
      </c>
      <c r="J3951" s="247" t="s">
        <v>809</v>
      </c>
      <c r="K3951" s="249">
        <v>0</v>
      </c>
      <c r="M3951" s="90">
        <v>0</v>
      </c>
      <c r="N3951" s="90">
        <v>0</v>
      </c>
      <c r="O3951" s="90">
        <v>255</v>
      </c>
    </row>
    <row r="3952" spans="1:15" s="90" customFormat="1" ht="12.75" customHeight="1" x14ac:dyDescent="0.2">
      <c r="A3952" s="247" t="s">
        <v>1641</v>
      </c>
      <c r="B3952" s="316">
        <v>3037</v>
      </c>
      <c r="C3952" s="247" t="s">
        <v>996</v>
      </c>
      <c r="D3952" s="317">
        <v>42676</v>
      </c>
      <c r="E3952" s="318">
        <v>0.50296296296296295</v>
      </c>
      <c r="F3952" s="247" t="s">
        <v>980</v>
      </c>
      <c r="G3952" s="247" t="s">
        <v>1035</v>
      </c>
      <c r="H3952" s="248" t="s">
        <v>234</v>
      </c>
      <c r="I3952" s="248" t="s">
        <v>263</v>
      </c>
      <c r="J3952" s="247" t="s">
        <v>809</v>
      </c>
      <c r="K3952" s="249">
        <v>0</v>
      </c>
      <c r="M3952" s="90">
        <v>0</v>
      </c>
      <c r="N3952" s="90">
        <v>0</v>
      </c>
      <c r="O3952" s="90">
        <v>255</v>
      </c>
    </row>
    <row r="3953" spans="1:15" s="90" customFormat="1" ht="12.75" customHeight="1" x14ac:dyDescent="0.2">
      <c r="A3953" s="247" t="s">
        <v>1642</v>
      </c>
      <c r="B3953" s="316">
        <v>3037</v>
      </c>
      <c r="C3953" s="247" t="s">
        <v>996</v>
      </c>
      <c r="D3953" s="317">
        <v>42676</v>
      </c>
      <c r="E3953" s="318">
        <v>0.50296296296296295</v>
      </c>
      <c r="F3953" s="247" t="s">
        <v>980</v>
      </c>
      <c r="G3953" s="247" t="s">
        <v>1035</v>
      </c>
      <c r="H3953" s="248" t="s">
        <v>234</v>
      </c>
      <c r="I3953" s="248" t="s">
        <v>263</v>
      </c>
      <c r="J3953" s="247" t="s">
        <v>809</v>
      </c>
      <c r="K3953" s="249">
        <v>0</v>
      </c>
      <c r="M3953" s="90">
        <v>0</v>
      </c>
      <c r="N3953" s="90">
        <v>0</v>
      </c>
      <c r="O3953" s="90">
        <v>255</v>
      </c>
    </row>
    <row r="3954" spans="1:15" s="90" customFormat="1" ht="12.75" customHeight="1" x14ac:dyDescent="0.2">
      <c r="A3954" s="247" t="s">
        <v>1643</v>
      </c>
      <c r="B3954" s="316">
        <v>3037</v>
      </c>
      <c r="C3954" s="247" t="s">
        <v>996</v>
      </c>
      <c r="D3954" s="317">
        <v>42676</v>
      </c>
      <c r="E3954" s="318">
        <v>0.50297453703703698</v>
      </c>
      <c r="F3954" s="247" t="s">
        <v>980</v>
      </c>
      <c r="G3954" s="247" t="s">
        <v>1035</v>
      </c>
      <c r="H3954" s="248" t="s">
        <v>234</v>
      </c>
      <c r="I3954" s="248" t="s">
        <v>263</v>
      </c>
      <c r="J3954" s="247" t="s">
        <v>809</v>
      </c>
      <c r="K3954" s="249">
        <v>0</v>
      </c>
      <c r="M3954" s="90">
        <v>0</v>
      </c>
      <c r="N3954" s="90">
        <v>0</v>
      </c>
      <c r="O3954" s="90">
        <v>255</v>
      </c>
    </row>
    <row r="3955" spans="1:15" s="90" customFormat="1" ht="12.75" customHeight="1" x14ac:dyDescent="0.2">
      <c r="A3955" s="247" t="s">
        <v>1644</v>
      </c>
      <c r="B3955" s="316">
        <v>3037</v>
      </c>
      <c r="C3955" s="247" t="s">
        <v>996</v>
      </c>
      <c r="D3955" s="317">
        <v>42676</v>
      </c>
      <c r="E3955" s="318">
        <v>0.50297453703703698</v>
      </c>
      <c r="F3955" s="247" t="s">
        <v>980</v>
      </c>
      <c r="G3955" s="247" t="s">
        <v>1035</v>
      </c>
      <c r="H3955" s="248" t="s">
        <v>234</v>
      </c>
      <c r="I3955" s="248" t="s">
        <v>263</v>
      </c>
      <c r="J3955" s="247" t="s">
        <v>809</v>
      </c>
      <c r="K3955" s="249">
        <v>0</v>
      </c>
      <c r="M3955" s="90">
        <v>0</v>
      </c>
      <c r="N3955" s="90">
        <v>0</v>
      </c>
      <c r="O3955" s="90">
        <v>255</v>
      </c>
    </row>
    <row r="3956" spans="1:15" s="90" customFormat="1" ht="12.75" customHeight="1" x14ac:dyDescent="0.2">
      <c r="A3956" s="247" t="s">
        <v>1645</v>
      </c>
      <c r="B3956" s="316">
        <v>3037</v>
      </c>
      <c r="C3956" s="247" t="s">
        <v>996</v>
      </c>
      <c r="D3956" s="317">
        <v>42676</v>
      </c>
      <c r="E3956" s="318">
        <v>0.50297453703703698</v>
      </c>
      <c r="F3956" s="247" t="s">
        <v>980</v>
      </c>
      <c r="G3956" s="247" t="s">
        <v>1035</v>
      </c>
      <c r="H3956" s="248" t="s">
        <v>234</v>
      </c>
      <c r="I3956" s="248" t="s">
        <v>263</v>
      </c>
      <c r="J3956" s="247" t="s">
        <v>809</v>
      </c>
      <c r="K3956" s="249">
        <v>0</v>
      </c>
      <c r="M3956" s="90">
        <v>0</v>
      </c>
      <c r="N3956" s="90">
        <v>0</v>
      </c>
      <c r="O3956" s="90">
        <v>255</v>
      </c>
    </row>
    <row r="3957" spans="1:15" s="90" customFormat="1" ht="12.75" customHeight="1" x14ac:dyDescent="0.2">
      <c r="A3957" s="247" t="s">
        <v>1646</v>
      </c>
      <c r="B3957" s="316">
        <v>3037</v>
      </c>
      <c r="C3957" s="247" t="s">
        <v>996</v>
      </c>
      <c r="D3957" s="317">
        <v>42676</v>
      </c>
      <c r="E3957" s="318">
        <v>0.50298611111111113</v>
      </c>
      <c r="F3957" s="247" t="s">
        <v>980</v>
      </c>
      <c r="G3957" s="247" t="s">
        <v>1035</v>
      </c>
      <c r="H3957" s="248" t="s">
        <v>234</v>
      </c>
      <c r="I3957" s="248" t="s">
        <v>263</v>
      </c>
      <c r="J3957" s="247" t="s">
        <v>809</v>
      </c>
      <c r="K3957" s="249">
        <v>0</v>
      </c>
      <c r="M3957" s="90">
        <v>0</v>
      </c>
      <c r="N3957" s="90">
        <v>0</v>
      </c>
      <c r="O3957" s="90">
        <v>255</v>
      </c>
    </row>
    <row r="3958" spans="1:15" s="90" customFormat="1" ht="12.75" customHeight="1" x14ac:dyDescent="0.2">
      <c r="A3958" s="247" t="s">
        <v>1647</v>
      </c>
      <c r="B3958" s="316">
        <v>3037</v>
      </c>
      <c r="C3958" s="247" t="s">
        <v>996</v>
      </c>
      <c r="D3958" s="317">
        <v>42676</v>
      </c>
      <c r="E3958" s="318">
        <v>0.50298611111111113</v>
      </c>
      <c r="F3958" s="247" t="s">
        <v>980</v>
      </c>
      <c r="G3958" s="247" t="s">
        <v>1035</v>
      </c>
      <c r="H3958" s="248" t="s">
        <v>234</v>
      </c>
      <c r="I3958" s="248" t="s">
        <v>263</v>
      </c>
      <c r="J3958" s="247" t="s">
        <v>809</v>
      </c>
      <c r="K3958" s="249">
        <v>0</v>
      </c>
      <c r="M3958" s="90">
        <v>0</v>
      </c>
      <c r="N3958" s="90">
        <v>0</v>
      </c>
      <c r="O3958" s="90">
        <v>255</v>
      </c>
    </row>
    <row r="3959" spans="1:15" s="90" customFormat="1" ht="12.75" customHeight="1" x14ac:dyDescent="0.2">
      <c r="A3959" s="247" t="s">
        <v>1648</v>
      </c>
      <c r="B3959" s="316">
        <v>3037</v>
      </c>
      <c r="C3959" s="247" t="s">
        <v>996</v>
      </c>
      <c r="D3959" s="317">
        <v>42676</v>
      </c>
      <c r="E3959" s="318">
        <v>0.50299768518518517</v>
      </c>
      <c r="F3959" s="247" t="s">
        <v>980</v>
      </c>
      <c r="G3959" s="247" t="s">
        <v>1035</v>
      </c>
      <c r="H3959" s="248" t="s">
        <v>234</v>
      </c>
      <c r="I3959" s="248" t="s">
        <v>263</v>
      </c>
      <c r="J3959" s="247" t="s">
        <v>809</v>
      </c>
      <c r="K3959" s="249">
        <v>0</v>
      </c>
      <c r="M3959" s="90">
        <v>0</v>
      </c>
      <c r="N3959" s="90">
        <v>0</v>
      </c>
      <c r="O3959" s="90">
        <v>255</v>
      </c>
    </row>
    <row r="3960" spans="1:15" s="90" customFormat="1" ht="12.75" customHeight="1" x14ac:dyDescent="0.2">
      <c r="A3960" s="247" t="s">
        <v>1649</v>
      </c>
      <c r="B3960" s="316">
        <v>3037</v>
      </c>
      <c r="C3960" s="247" t="s">
        <v>996</v>
      </c>
      <c r="D3960" s="317">
        <v>42676</v>
      </c>
      <c r="E3960" s="318">
        <v>0.50299768518518517</v>
      </c>
      <c r="F3960" s="247" t="s">
        <v>980</v>
      </c>
      <c r="G3960" s="247" t="s">
        <v>1035</v>
      </c>
      <c r="H3960" s="248" t="s">
        <v>234</v>
      </c>
      <c r="I3960" s="248" t="s">
        <v>263</v>
      </c>
      <c r="J3960" s="247" t="s">
        <v>809</v>
      </c>
      <c r="K3960" s="249">
        <v>0</v>
      </c>
      <c r="M3960" s="90">
        <v>0</v>
      </c>
      <c r="N3960" s="90">
        <v>0</v>
      </c>
      <c r="O3960" s="90">
        <v>255</v>
      </c>
    </row>
    <row r="3961" spans="1:15" s="90" customFormat="1" ht="12.75" customHeight="1" x14ac:dyDescent="0.2">
      <c r="A3961" s="247" t="s">
        <v>1650</v>
      </c>
      <c r="B3961" s="316">
        <v>3037</v>
      </c>
      <c r="C3961" s="247" t="s">
        <v>996</v>
      </c>
      <c r="D3961" s="317">
        <v>42676</v>
      </c>
      <c r="E3961" s="318">
        <v>0.50299768518518517</v>
      </c>
      <c r="F3961" s="247" t="s">
        <v>980</v>
      </c>
      <c r="G3961" s="247" t="s">
        <v>1035</v>
      </c>
      <c r="H3961" s="248" t="s">
        <v>234</v>
      </c>
      <c r="I3961" s="248" t="s">
        <v>263</v>
      </c>
      <c r="J3961" s="247" t="s">
        <v>809</v>
      </c>
      <c r="K3961" s="249">
        <v>0</v>
      </c>
      <c r="M3961" s="90">
        <v>0</v>
      </c>
      <c r="N3961" s="90">
        <v>0</v>
      </c>
      <c r="O3961" s="90">
        <v>255</v>
      </c>
    </row>
    <row r="3962" spans="1:15" s="90" customFormat="1" ht="12.75" customHeight="1" x14ac:dyDescent="0.2">
      <c r="A3962" s="247" t="s">
        <v>1651</v>
      </c>
      <c r="B3962" s="316">
        <v>3037</v>
      </c>
      <c r="C3962" s="247" t="s">
        <v>996</v>
      </c>
      <c r="D3962" s="317">
        <v>42676</v>
      </c>
      <c r="E3962" s="318">
        <v>0.50299768518518517</v>
      </c>
      <c r="F3962" s="247" t="s">
        <v>980</v>
      </c>
      <c r="G3962" s="247" t="s">
        <v>1035</v>
      </c>
      <c r="H3962" s="248" t="s">
        <v>234</v>
      </c>
      <c r="I3962" s="248" t="s">
        <v>263</v>
      </c>
      <c r="J3962" s="247" t="s">
        <v>809</v>
      </c>
      <c r="K3962" s="249">
        <v>0</v>
      </c>
      <c r="M3962" s="90">
        <v>0</v>
      </c>
      <c r="N3962" s="90">
        <v>0</v>
      </c>
      <c r="O3962" s="90">
        <v>255</v>
      </c>
    </row>
    <row r="3963" spans="1:15" s="90" customFormat="1" ht="12.75" customHeight="1" x14ac:dyDescent="0.2">
      <c r="A3963" s="247" t="s">
        <v>1652</v>
      </c>
      <c r="B3963" s="316">
        <v>3037</v>
      </c>
      <c r="C3963" s="247" t="s">
        <v>996</v>
      </c>
      <c r="D3963" s="317">
        <v>42676</v>
      </c>
      <c r="E3963" s="318">
        <v>0.50300925925925932</v>
      </c>
      <c r="F3963" s="247" t="s">
        <v>980</v>
      </c>
      <c r="G3963" s="247" t="s">
        <v>1035</v>
      </c>
      <c r="H3963" s="248" t="s">
        <v>234</v>
      </c>
      <c r="I3963" s="248" t="s">
        <v>263</v>
      </c>
      <c r="J3963" s="247" t="s">
        <v>809</v>
      </c>
      <c r="K3963" s="249">
        <v>0</v>
      </c>
      <c r="M3963" s="90">
        <v>0</v>
      </c>
      <c r="N3963" s="90">
        <v>0</v>
      </c>
      <c r="O3963" s="90">
        <v>255</v>
      </c>
    </row>
    <row r="3964" spans="1:15" s="90" customFormat="1" ht="12.75" customHeight="1" x14ac:dyDescent="0.2">
      <c r="A3964" s="247" t="s">
        <v>1653</v>
      </c>
      <c r="B3964" s="316">
        <v>3037</v>
      </c>
      <c r="C3964" s="247" t="s">
        <v>996</v>
      </c>
      <c r="D3964" s="317">
        <v>42676</v>
      </c>
      <c r="E3964" s="318">
        <v>0.50300925925925932</v>
      </c>
      <c r="F3964" s="247" t="s">
        <v>980</v>
      </c>
      <c r="G3964" s="247" t="s">
        <v>1035</v>
      </c>
      <c r="H3964" s="248" t="s">
        <v>234</v>
      </c>
      <c r="I3964" s="248" t="s">
        <v>263</v>
      </c>
      <c r="J3964" s="247" t="s">
        <v>809</v>
      </c>
      <c r="K3964" s="249">
        <v>0</v>
      </c>
      <c r="M3964" s="90">
        <v>0</v>
      </c>
      <c r="N3964" s="90">
        <v>0</v>
      </c>
      <c r="O3964" s="90">
        <v>255</v>
      </c>
    </row>
    <row r="3965" spans="1:15" s="90" customFormat="1" ht="12.75" customHeight="1" x14ac:dyDescent="0.2">
      <c r="A3965" s="247" t="s">
        <v>1654</v>
      </c>
      <c r="B3965" s="316">
        <v>3037</v>
      </c>
      <c r="C3965" s="247" t="s">
        <v>996</v>
      </c>
      <c r="D3965" s="317">
        <v>42676</v>
      </c>
      <c r="E3965" s="318">
        <v>0.50302083333333336</v>
      </c>
      <c r="F3965" s="247" t="s">
        <v>980</v>
      </c>
      <c r="G3965" s="247" t="s">
        <v>1035</v>
      </c>
      <c r="H3965" s="248" t="s">
        <v>234</v>
      </c>
      <c r="I3965" s="248" t="s">
        <v>263</v>
      </c>
      <c r="J3965" s="247" t="s">
        <v>809</v>
      </c>
      <c r="K3965" s="249">
        <v>0</v>
      </c>
      <c r="M3965" s="90">
        <v>0</v>
      </c>
      <c r="N3965" s="90">
        <v>0</v>
      </c>
      <c r="O3965" s="90">
        <v>255</v>
      </c>
    </row>
    <row r="3966" spans="1:15" s="90" customFormat="1" ht="12.75" customHeight="1" x14ac:dyDescent="0.2">
      <c r="A3966" s="247" t="s">
        <v>1655</v>
      </c>
      <c r="B3966" s="316">
        <v>3037</v>
      </c>
      <c r="C3966" s="247" t="s">
        <v>996</v>
      </c>
      <c r="D3966" s="317">
        <v>42676</v>
      </c>
      <c r="E3966" s="318">
        <v>0.50302083333333336</v>
      </c>
      <c r="F3966" s="247" t="s">
        <v>980</v>
      </c>
      <c r="G3966" s="247" t="s">
        <v>1035</v>
      </c>
      <c r="H3966" s="248" t="s">
        <v>234</v>
      </c>
      <c r="I3966" s="248" t="s">
        <v>263</v>
      </c>
      <c r="J3966" s="247" t="s">
        <v>809</v>
      </c>
      <c r="K3966" s="249">
        <v>0</v>
      </c>
      <c r="M3966" s="90">
        <v>0</v>
      </c>
      <c r="N3966" s="90">
        <v>0</v>
      </c>
      <c r="O3966" s="90">
        <v>255</v>
      </c>
    </row>
    <row r="3967" spans="1:15" s="90" customFormat="1" ht="12.75" customHeight="1" x14ac:dyDescent="0.2">
      <c r="A3967" s="247" t="s">
        <v>1656</v>
      </c>
      <c r="B3967" s="316">
        <v>3037</v>
      </c>
      <c r="C3967" s="247" t="s">
        <v>996</v>
      </c>
      <c r="D3967" s="317">
        <v>42676</v>
      </c>
      <c r="E3967" s="318">
        <v>0.50302083333333336</v>
      </c>
      <c r="F3967" s="247" t="s">
        <v>980</v>
      </c>
      <c r="G3967" s="247" t="s">
        <v>1035</v>
      </c>
      <c r="H3967" s="248" t="s">
        <v>234</v>
      </c>
      <c r="I3967" s="248" t="s">
        <v>263</v>
      </c>
      <c r="J3967" s="247" t="s">
        <v>809</v>
      </c>
      <c r="K3967" s="249">
        <v>0</v>
      </c>
      <c r="M3967" s="90">
        <v>0</v>
      </c>
      <c r="N3967" s="90">
        <v>0</v>
      </c>
      <c r="O3967" s="90">
        <v>255</v>
      </c>
    </row>
    <row r="3968" spans="1:15" s="90" customFormat="1" ht="12.75" customHeight="1" x14ac:dyDescent="0.2">
      <c r="A3968" s="247" t="s">
        <v>1657</v>
      </c>
      <c r="B3968" s="316">
        <v>3037</v>
      </c>
      <c r="C3968" s="247" t="s">
        <v>996</v>
      </c>
      <c r="D3968" s="317">
        <v>42676</v>
      </c>
      <c r="E3968" s="318">
        <v>0.5030324074074074</v>
      </c>
      <c r="F3968" s="247" t="s">
        <v>980</v>
      </c>
      <c r="G3968" s="247" t="s">
        <v>1035</v>
      </c>
      <c r="H3968" s="248" t="s">
        <v>234</v>
      </c>
      <c r="I3968" s="248" t="s">
        <v>263</v>
      </c>
      <c r="J3968" s="247" t="s">
        <v>809</v>
      </c>
      <c r="K3968" s="249">
        <v>0</v>
      </c>
      <c r="M3968" s="90">
        <v>0</v>
      </c>
      <c r="N3968" s="90">
        <v>0</v>
      </c>
      <c r="O3968" s="90">
        <v>255</v>
      </c>
    </row>
    <row r="3969" spans="1:15" s="90" customFormat="1" ht="12.75" customHeight="1" x14ac:dyDescent="0.2">
      <c r="A3969" s="247" t="s">
        <v>1658</v>
      </c>
      <c r="B3969" s="316">
        <v>3037</v>
      </c>
      <c r="C3969" s="247" t="s">
        <v>996</v>
      </c>
      <c r="D3969" s="317">
        <v>42676</v>
      </c>
      <c r="E3969" s="318">
        <v>0.5030324074074074</v>
      </c>
      <c r="F3969" s="247" t="s">
        <v>980</v>
      </c>
      <c r="G3969" s="247" t="s">
        <v>1035</v>
      </c>
      <c r="H3969" s="248" t="s">
        <v>234</v>
      </c>
      <c r="I3969" s="248" t="s">
        <v>263</v>
      </c>
      <c r="J3969" s="247" t="s">
        <v>809</v>
      </c>
      <c r="K3969" s="249">
        <v>0</v>
      </c>
      <c r="M3969" s="90">
        <v>0</v>
      </c>
      <c r="N3969" s="90">
        <v>0</v>
      </c>
      <c r="O3969" s="90">
        <v>255</v>
      </c>
    </row>
    <row r="3970" spans="1:15" s="90" customFormat="1" ht="12.75" customHeight="1" x14ac:dyDescent="0.2">
      <c r="A3970" s="247" t="s">
        <v>1659</v>
      </c>
      <c r="B3970" s="316">
        <v>3037</v>
      </c>
      <c r="C3970" s="247" t="s">
        <v>996</v>
      </c>
      <c r="D3970" s="317">
        <v>42676</v>
      </c>
      <c r="E3970" s="318">
        <v>0.5030324074074074</v>
      </c>
      <c r="F3970" s="247" t="s">
        <v>980</v>
      </c>
      <c r="G3970" s="247" t="s">
        <v>1035</v>
      </c>
      <c r="H3970" s="248" t="s">
        <v>234</v>
      </c>
      <c r="I3970" s="248" t="s">
        <v>263</v>
      </c>
      <c r="J3970" s="247" t="s">
        <v>809</v>
      </c>
      <c r="K3970" s="249">
        <v>0</v>
      </c>
      <c r="M3970" s="90">
        <v>0</v>
      </c>
      <c r="N3970" s="90">
        <v>0</v>
      </c>
      <c r="O3970" s="90">
        <v>255</v>
      </c>
    </row>
    <row r="3971" spans="1:15" s="90" customFormat="1" ht="12.75" customHeight="1" x14ac:dyDescent="0.2">
      <c r="A3971" s="247" t="s">
        <v>1660</v>
      </c>
      <c r="B3971" s="316">
        <v>3037</v>
      </c>
      <c r="C3971" s="247" t="s">
        <v>996</v>
      </c>
      <c r="D3971" s="317">
        <v>42676</v>
      </c>
      <c r="E3971" s="318">
        <v>0.50304398148148144</v>
      </c>
      <c r="F3971" s="247" t="s">
        <v>980</v>
      </c>
      <c r="G3971" s="247" t="s">
        <v>1035</v>
      </c>
      <c r="H3971" s="248" t="s">
        <v>234</v>
      </c>
      <c r="I3971" s="248" t="s">
        <v>263</v>
      </c>
      <c r="J3971" s="247" t="s">
        <v>809</v>
      </c>
      <c r="K3971" s="249">
        <v>0</v>
      </c>
      <c r="M3971" s="90">
        <v>0</v>
      </c>
      <c r="N3971" s="90">
        <v>0</v>
      </c>
      <c r="O3971" s="90">
        <v>255</v>
      </c>
    </row>
    <row r="3972" spans="1:15" s="90" customFormat="1" ht="12.75" customHeight="1" x14ac:dyDescent="0.2">
      <c r="A3972" s="247" t="s">
        <v>1661</v>
      </c>
      <c r="B3972" s="316">
        <v>3037</v>
      </c>
      <c r="C3972" s="247" t="s">
        <v>996</v>
      </c>
      <c r="D3972" s="317">
        <v>42676</v>
      </c>
      <c r="E3972" s="318">
        <v>0.50304398148148144</v>
      </c>
      <c r="F3972" s="247" t="s">
        <v>980</v>
      </c>
      <c r="G3972" s="247" t="s">
        <v>1035</v>
      </c>
      <c r="H3972" s="248" t="s">
        <v>234</v>
      </c>
      <c r="I3972" s="248" t="s">
        <v>263</v>
      </c>
      <c r="J3972" s="247" t="s">
        <v>809</v>
      </c>
      <c r="K3972" s="249">
        <v>0</v>
      </c>
      <c r="M3972" s="90">
        <v>0</v>
      </c>
      <c r="N3972" s="90">
        <v>0</v>
      </c>
      <c r="O3972" s="90">
        <v>255</v>
      </c>
    </row>
    <row r="3973" spans="1:15" s="90" customFormat="1" ht="12.75" customHeight="1" x14ac:dyDescent="0.2">
      <c r="A3973" s="247" t="s">
        <v>1662</v>
      </c>
      <c r="B3973" s="316">
        <v>3037</v>
      </c>
      <c r="C3973" s="247" t="s">
        <v>996</v>
      </c>
      <c r="D3973" s="317">
        <v>42676</v>
      </c>
      <c r="E3973" s="318">
        <v>0.50304398148148144</v>
      </c>
      <c r="F3973" s="247" t="s">
        <v>980</v>
      </c>
      <c r="G3973" s="247" t="s">
        <v>1035</v>
      </c>
      <c r="H3973" s="248" t="s">
        <v>234</v>
      </c>
      <c r="I3973" s="248" t="s">
        <v>263</v>
      </c>
      <c r="J3973" s="247" t="s">
        <v>809</v>
      </c>
      <c r="K3973" s="249">
        <v>0</v>
      </c>
      <c r="M3973" s="90">
        <v>0</v>
      </c>
      <c r="N3973" s="90">
        <v>0</v>
      </c>
      <c r="O3973" s="90">
        <v>255</v>
      </c>
    </row>
    <row r="3974" spans="1:15" s="90" customFormat="1" ht="12.75" customHeight="1" x14ac:dyDescent="0.2">
      <c r="A3974" s="247" t="s">
        <v>1663</v>
      </c>
      <c r="B3974" s="316">
        <v>3037</v>
      </c>
      <c r="C3974" s="247" t="s">
        <v>996</v>
      </c>
      <c r="D3974" s="317">
        <v>42676</v>
      </c>
      <c r="E3974" s="318">
        <v>0.50304398148148144</v>
      </c>
      <c r="F3974" s="247" t="s">
        <v>980</v>
      </c>
      <c r="G3974" s="247" t="s">
        <v>1035</v>
      </c>
      <c r="H3974" s="248" t="s">
        <v>234</v>
      </c>
      <c r="I3974" s="248" t="s">
        <v>263</v>
      </c>
      <c r="J3974" s="247" t="s">
        <v>809</v>
      </c>
      <c r="K3974" s="249">
        <v>0</v>
      </c>
      <c r="M3974" s="90">
        <v>0</v>
      </c>
      <c r="N3974" s="90">
        <v>0</v>
      </c>
      <c r="O3974" s="90">
        <v>255</v>
      </c>
    </row>
    <row r="3975" spans="1:15" s="90" customFormat="1" ht="12.75" customHeight="1" x14ac:dyDescent="0.2">
      <c r="A3975" s="247" t="s">
        <v>1664</v>
      </c>
      <c r="B3975" s="316">
        <v>3037</v>
      </c>
      <c r="C3975" s="247" t="s">
        <v>996</v>
      </c>
      <c r="D3975" s="317">
        <v>42676</v>
      </c>
      <c r="E3975" s="318">
        <v>0.50305555555555559</v>
      </c>
      <c r="F3975" s="247" t="s">
        <v>980</v>
      </c>
      <c r="G3975" s="247" t="s">
        <v>1035</v>
      </c>
      <c r="H3975" s="248" t="s">
        <v>234</v>
      </c>
      <c r="I3975" s="248" t="s">
        <v>263</v>
      </c>
      <c r="J3975" s="247" t="s">
        <v>809</v>
      </c>
      <c r="K3975" s="249">
        <v>0</v>
      </c>
      <c r="M3975" s="90">
        <v>0</v>
      </c>
      <c r="N3975" s="90">
        <v>0</v>
      </c>
      <c r="O3975" s="90">
        <v>255</v>
      </c>
    </row>
    <row r="3976" spans="1:15" s="90" customFormat="1" ht="12.75" customHeight="1" x14ac:dyDescent="0.2">
      <c r="A3976" s="247" t="s">
        <v>1665</v>
      </c>
      <c r="B3976" s="316">
        <v>3037</v>
      </c>
      <c r="C3976" s="247" t="s">
        <v>996</v>
      </c>
      <c r="D3976" s="317">
        <v>42676</v>
      </c>
      <c r="E3976" s="318">
        <v>0.50305555555555559</v>
      </c>
      <c r="F3976" s="247" t="s">
        <v>980</v>
      </c>
      <c r="G3976" s="247" t="s">
        <v>1035</v>
      </c>
      <c r="H3976" s="248" t="s">
        <v>234</v>
      </c>
      <c r="I3976" s="248" t="s">
        <v>263</v>
      </c>
      <c r="J3976" s="247" t="s">
        <v>809</v>
      </c>
      <c r="K3976" s="249">
        <v>0</v>
      </c>
      <c r="M3976" s="90">
        <v>0</v>
      </c>
      <c r="N3976" s="90">
        <v>0</v>
      </c>
      <c r="O3976" s="90">
        <v>255</v>
      </c>
    </row>
    <row r="3977" spans="1:15" s="90" customFormat="1" ht="12.75" customHeight="1" x14ac:dyDescent="0.2">
      <c r="A3977" s="247" t="s">
        <v>1666</v>
      </c>
      <c r="B3977" s="316">
        <v>3037</v>
      </c>
      <c r="C3977" s="247" t="s">
        <v>996</v>
      </c>
      <c r="D3977" s="317">
        <v>42676</v>
      </c>
      <c r="E3977" s="318">
        <v>0.50305555555555559</v>
      </c>
      <c r="F3977" s="247" t="s">
        <v>980</v>
      </c>
      <c r="G3977" s="247" t="s">
        <v>1035</v>
      </c>
      <c r="H3977" s="248" t="s">
        <v>234</v>
      </c>
      <c r="I3977" s="248" t="s">
        <v>263</v>
      </c>
      <c r="J3977" s="247" t="s">
        <v>809</v>
      </c>
      <c r="K3977" s="249">
        <v>0</v>
      </c>
      <c r="M3977" s="90">
        <v>0</v>
      </c>
      <c r="N3977" s="90">
        <v>0</v>
      </c>
      <c r="O3977" s="90">
        <v>255</v>
      </c>
    </row>
    <row r="3978" spans="1:15" s="90" customFormat="1" ht="12.75" customHeight="1" x14ac:dyDescent="0.2">
      <c r="A3978" s="247" t="s">
        <v>1667</v>
      </c>
      <c r="B3978" s="316">
        <v>3037</v>
      </c>
      <c r="C3978" s="247" t="s">
        <v>996</v>
      </c>
      <c r="D3978" s="317">
        <v>42676</v>
      </c>
      <c r="E3978" s="318">
        <v>0.50305555555555559</v>
      </c>
      <c r="F3978" s="247" t="s">
        <v>980</v>
      </c>
      <c r="G3978" s="247" t="s">
        <v>1035</v>
      </c>
      <c r="H3978" s="248" t="s">
        <v>234</v>
      </c>
      <c r="I3978" s="248" t="s">
        <v>263</v>
      </c>
      <c r="J3978" s="247" t="s">
        <v>809</v>
      </c>
      <c r="K3978" s="249">
        <v>0</v>
      </c>
      <c r="M3978" s="90">
        <v>0</v>
      </c>
      <c r="N3978" s="90">
        <v>0</v>
      </c>
      <c r="O3978" s="90">
        <v>255</v>
      </c>
    </row>
    <row r="3979" spans="1:15" s="90" customFormat="1" ht="12.75" customHeight="1" x14ac:dyDescent="0.2">
      <c r="A3979" s="247" t="s">
        <v>1668</v>
      </c>
      <c r="B3979" s="316">
        <v>3037</v>
      </c>
      <c r="C3979" s="247" t="s">
        <v>996</v>
      </c>
      <c r="D3979" s="317">
        <v>42676</v>
      </c>
      <c r="E3979" s="318">
        <v>0.50306712962962963</v>
      </c>
      <c r="F3979" s="247" t="s">
        <v>980</v>
      </c>
      <c r="G3979" s="247" t="s">
        <v>1035</v>
      </c>
      <c r="H3979" s="248" t="s">
        <v>234</v>
      </c>
      <c r="I3979" s="248" t="s">
        <v>263</v>
      </c>
      <c r="J3979" s="247" t="s">
        <v>809</v>
      </c>
      <c r="K3979" s="249">
        <v>0</v>
      </c>
      <c r="M3979" s="90">
        <v>0</v>
      </c>
      <c r="N3979" s="90">
        <v>0</v>
      </c>
      <c r="O3979" s="90">
        <v>255</v>
      </c>
    </row>
    <row r="3980" spans="1:15" s="90" customFormat="1" ht="12.75" customHeight="1" x14ac:dyDescent="0.2">
      <c r="A3980" s="247" t="s">
        <v>1669</v>
      </c>
      <c r="B3980" s="316">
        <v>3037</v>
      </c>
      <c r="C3980" s="247" t="s">
        <v>996</v>
      </c>
      <c r="D3980" s="317">
        <v>42676</v>
      </c>
      <c r="E3980" s="318">
        <v>0.50306712962962963</v>
      </c>
      <c r="F3980" s="247" t="s">
        <v>980</v>
      </c>
      <c r="G3980" s="247" t="s">
        <v>1035</v>
      </c>
      <c r="H3980" s="248" t="s">
        <v>234</v>
      </c>
      <c r="I3980" s="248" t="s">
        <v>263</v>
      </c>
      <c r="J3980" s="247" t="s">
        <v>809</v>
      </c>
      <c r="K3980" s="249">
        <v>0</v>
      </c>
      <c r="M3980" s="90">
        <v>0</v>
      </c>
      <c r="N3980" s="90">
        <v>0</v>
      </c>
      <c r="O3980" s="90">
        <v>255</v>
      </c>
    </row>
    <row r="3981" spans="1:15" s="90" customFormat="1" ht="12.75" customHeight="1" x14ac:dyDescent="0.2">
      <c r="A3981" s="247" t="s">
        <v>1670</v>
      </c>
      <c r="B3981" s="316">
        <v>3037</v>
      </c>
      <c r="C3981" s="247" t="s">
        <v>996</v>
      </c>
      <c r="D3981" s="317">
        <v>42676</v>
      </c>
      <c r="E3981" s="318">
        <v>0.50306712962962963</v>
      </c>
      <c r="F3981" s="247" t="s">
        <v>980</v>
      </c>
      <c r="G3981" s="247" t="s">
        <v>1035</v>
      </c>
      <c r="H3981" s="248" t="s">
        <v>234</v>
      </c>
      <c r="I3981" s="248" t="s">
        <v>263</v>
      </c>
      <c r="J3981" s="247" t="s">
        <v>809</v>
      </c>
      <c r="K3981" s="249">
        <v>0</v>
      </c>
      <c r="M3981" s="90">
        <v>0</v>
      </c>
      <c r="N3981" s="90">
        <v>0</v>
      </c>
      <c r="O3981" s="90">
        <v>255</v>
      </c>
    </row>
    <row r="3982" spans="1:15" s="90" customFormat="1" ht="12.75" customHeight="1" x14ac:dyDescent="0.2">
      <c r="A3982" s="247" t="s">
        <v>1671</v>
      </c>
      <c r="B3982" s="316">
        <v>3037</v>
      </c>
      <c r="C3982" s="247" t="s">
        <v>996</v>
      </c>
      <c r="D3982" s="317">
        <v>42676</v>
      </c>
      <c r="E3982" s="318">
        <v>0.50307870370370367</v>
      </c>
      <c r="F3982" s="247" t="s">
        <v>980</v>
      </c>
      <c r="G3982" s="247" t="s">
        <v>1035</v>
      </c>
      <c r="H3982" s="248" t="s">
        <v>234</v>
      </c>
      <c r="I3982" s="248" t="s">
        <v>263</v>
      </c>
      <c r="J3982" s="247" t="s">
        <v>809</v>
      </c>
      <c r="K3982" s="249">
        <v>0</v>
      </c>
      <c r="M3982" s="90">
        <v>0</v>
      </c>
      <c r="N3982" s="90">
        <v>0</v>
      </c>
      <c r="O3982" s="90">
        <v>255</v>
      </c>
    </row>
    <row r="3983" spans="1:15" s="90" customFormat="1" ht="12.75" customHeight="1" x14ac:dyDescent="0.2">
      <c r="A3983" s="247" t="s">
        <v>1672</v>
      </c>
      <c r="B3983" s="316">
        <v>3037</v>
      </c>
      <c r="C3983" s="247" t="s">
        <v>996</v>
      </c>
      <c r="D3983" s="317">
        <v>42676</v>
      </c>
      <c r="E3983" s="318">
        <v>0.50307870370370367</v>
      </c>
      <c r="F3983" s="247" t="s">
        <v>980</v>
      </c>
      <c r="G3983" s="247" t="s">
        <v>1035</v>
      </c>
      <c r="H3983" s="248" t="s">
        <v>234</v>
      </c>
      <c r="I3983" s="248" t="s">
        <v>263</v>
      </c>
      <c r="J3983" s="247" t="s">
        <v>809</v>
      </c>
      <c r="K3983" s="249">
        <v>0</v>
      </c>
      <c r="M3983" s="90">
        <v>0</v>
      </c>
      <c r="N3983" s="90">
        <v>0</v>
      </c>
      <c r="O3983" s="90">
        <v>255</v>
      </c>
    </row>
    <row r="3984" spans="1:15" s="90" customFormat="1" ht="12.75" customHeight="1" x14ac:dyDescent="0.2">
      <c r="A3984" s="247" t="s">
        <v>1673</v>
      </c>
      <c r="B3984" s="316">
        <v>3037</v>
      </c>
      <c r="C3984" s="247" t="s">
        <v>996</v>
      </c>
      <c r="D3984" s="317">
        <v>42676</v>
      </c>
      <c r="E3984" s="318">
        <v>0.50307870370370367</v>
      </c>
      <c r="F3984" s="247" t="s">
        <v>980</v>
      </c>
      <c r="G3984" s="247" t="s">
        <v>1035</v>
      </c>
      <c r="H3984" s="248" t="s">
        <v>234</v>
      </c>
      <c r="I3984" s="248" t="s">
        <v>263</v>
      </c>
      <c r="J3984" s="247" t="s">
        <v>809</v>
      </c>
      <c r="K3984" s="249">
        <v>0</v>
      </c>
      <c r="M3984" s="90">
        <v>0</v>
      </c>
      <c r="N3984" s="90">
        <v>0</v>
      </c>
      <c r="O3984" s="90">
        <v>255</v>
      </c>
    </row>
    <row r="3985" spans="1:15" s="90" customFormat="1" ht="12.75" customHeight="1" x14ac:dyDescent="0.2">
      <c r="A3985" s="247" t="s">
        <v>1674</v>
      </c>
      <c r="B3985" s="316">
        <v>3037</v>
      </c>
      <c r="C3985" s="247" t="s">
        <v>996</v>
      </c>
      <c r="D3985" s="317">
        <v>42676</v>
      </c>
      <c r="E3985" s="318">
        <v>0.50307870370370367</v>
      </c>
      <c r="F3985" s="247" t="s">
        <v>980</v>
      </c>
      <c r="G3985" s="247" t="s">
        <v>1035</v>
      </c>
      <c r="H3985" s="248" t="s">
        <v>234</v>
      </c>
      <c r="I3985" s="248" t="s">
        <v>263</v>
      </c>
      <c r="J3985" s="247" t="s">
        <v>809</v>
      </c>
      <c r="K3985" s="249">
        <v>0</v>
      </c>
      <c r="M3985" s="90">
        <v>0</v>
      </c>
      <c r="N3985" s="90">
        <v>0</v>
      </c>
      <c r="O3985" s="90">
        <v>255</v>
      </c>
    </row>
    <row r="3986" spans="1:15" s="90" customFormat="1" ht="12.75" customHeight="1" x14ac:dyDescent="0.2">
      <c r="A3986" s="247" t="s">
        <v>1675</v>
      </c>
      <c r="B3986" s="316">
        <v>3037</v>
      </c>
      <c r="C3986" s="247" t="s">
        <v>996</v>
      </c>
      <c r="D3986" s="317">
        <v>42676</v>
      </c>
      <c r="E3986" s="318">
        <v>0.50307870370370367</v>
      </c>
      <c r="F3986" s="247" t="s">
        <v>980</v>
      </c>
      <c r="G3986" s="247" t="s">
        <v>1035</v>
      </c>
      <c r="H3986" s="248" t="s">
        <v>234</v>
      </c>
      <c r="I3986" s="248" t="s">
        <v>263</v>
      </c>
      <c r="J3986" s="247" t="s">
        <v>809</v>
      </c>
      <c r="K3986" s="249">
        <v>0</v>
      </c>
      <c r="M3986" s="90">
        <v>0</v>
      </c>
      <c r="N3986" s="90">
        <v>0</v>
      </c>
      <c r="O3986" s="90">
        <v>255</v>
      </c>
    </row>
    <row r="3987" spans="1:15" s="90" customFormat="1" ht="12.75" customHeight="1" x14ac:dyDescent="0.2">
      <c r="A3987" s="247" t="s">
        <v>1676</v>
      </c>
      <c r="B3987" s="316">
        <v>3037</v>
      </c>
      <c r="C3987" s="247" t="s">
        <v>996</v>
      </c>
      <c r="D3987" s="317">
        <v>42676</v>
      </c>
      <c r="E3987" s="318">
        <v>0.50309027777777782</v>
      </c>
      <c r="F3987" s="247" t="s">
        <v>980</v>
      </c>
      <c r="G3987" s="247" t="s">
        <v>1035</v>
      </c>
      <c r="H3987" s="248" t="s">
        <v>234</v>
      </c>
      <c r="I3987" s="248" t="s">
        <v>263</v>
      </c>
      <c r="J3987" s="247" t="s">
        <v>809</v>
      </c>
      <c r="K3987" s="249">
        <v>0</v>
      </c>
      <c r="M3987" s="90">
        <v>0</v>
      </c>
      <c r="N3987" s="90">
        <v>0</v>
      </c>
      <c r="O3987" s="90">
        <v>255</v>
      </c>
    </row>
    <row r="3988" spans="1:15" s="90" customFormat="1" ht="12.75" customHeight="1" x14ac:dyDescent="0.2">
      <c r="A3988" s="247" t="s">
        <v>1677</v>
      </c>
      <c r="B3988" s="316">
        <v>3037</v>
      </c>
      <c r="C3988" s="247" t="s">
        <v>996</v>
      </c>
      <c r="D3988" s="317">
        <v>42676</v>
      </c>
      <c r="E3988" s="318">
        <v>0.50309027777777782</v>
      </c>
      <c r="F3988" s="247" t="s">
        <v>980</v>
      </c>
      <c r="G3988" s="247" t="s">
        <v>1035</v>
      </c>
      <c r="H3988" s="248" t="s">
        <v>234</v>
      </c>
      <c r="I3988" s="248" t="s">
        <v>263</v>
      </c>
      <c r="J3988" s="247" t="s">
        <v>809</v>
      </c>
      <c r="K3988" s="249">
        <v>0</v>
      </c>
      <c r="M3988" s="90">
        <v>0</v>
      </c>
      <c r="N3988" s="90">
        <v>0</v>
      </c>
      <c r="O3988" s="90">
        <v>255</v>
      </c>
    </row>
    <row r="3989" spans="1:15" s="90" customFormat="1" ht="12.75" customHeight="1" x14ac:dyDescent="0.2">
      <c r="A3989" s="247" t="s">
        <v>1678</v>
      </c>
      <c r="B3989" s="316">
        <v>3037</v>
      </c>
      <c r="C3989" s="247" t="s">
        <v>996</v>
      </c>
      <c r="D3989" s="317">
        <v>42676</v>
      </c>
      <c r="E3989" s="318">
        <v>0.50309027777777782</v>
      </c>
      <c r="F3989" s="247" t="s">
        <v>980</v>
      </c>
      <c r="G3989" s="247" t="s">
        <v>1035</v>
      </c>
      <c r="H3989" s="248" t="s">
        <v>234</v>
      </c>
      <c r="I3989" s="248" t="s">
        <v>263</v>
      </c>
      <c r="J3989" s="247" t="s">
        <v>809</v>
      </c>
      <c r="K3989" s="249">
        <v>0</v>
      </c>
      <c r="M3989" s="90">
        <v>0</v>
      </c>
      <c r="N3989" s="90">
        <v>0</v>
      </c>
      <c r="O3989" s="90">
        <v>255</v>
      </c>
    </row>
    <row r="3990" spans="1:15" s="90" customFormat="1" ht="12.75" customHeight="1" x14ac:dyDescent="0.2">
      <c r="A3990" s="247" t="s">
        <v>1679</v>
      </c>
      <c r="B3990" s="316">
        <v>3037</v>
      </c>
      <c r="C3990" s="247" t="s">
        <v>996</v>
      </c>
      <c r="D3990" s="317">
        <v>42676</v>
      </c>
      <c r="E3990" s="318">
        <v>0.50309027777777782</v>
      </c>
      <c r="F3990" s="247" t="s">
        <v>980</v>
      </c>
      <c r="G3990" s="247" t="s">
        <v>1035</v>
      </c>
      <c r="H3990" s="248" t="s">
        <v>234</v>
      </c>
      <c r="I3990" s="248" t="s">
        <v>263</v>
      </c>
      <c r="J3990" s="247" t="s">
        <v>809</v>
      </c>
      <c r="K3990" s="249">
        <v>0</v>
      </c>
      <c r="M3990" s="90">
        <v>0</v>
      </c>
      <c r="N3990" s="90">
        <v>0</v>
      </c>
      <c r="O3990" s="90">
        <v>255</v>
      </c>
    </row>
    <row r="3991" spans="1:15" s="90" customFormat="1" ht="12.75" customHeight="1" x14ac:dyDescent="0.2">
      <c r="A3991" s="247" t="s">
        <v>1680</v>
      </c>
      <c r="B3991" s="316">
        <v>3037</v>
      </c>
      <c r="C3991" s="247" t="s">
        <v>996</v>
      </c>
      <c r="D3991" s="317">
        <v>42676</v>
      </c>
      <c r="E3991" s="318">
        <v>0.50309027777777782</v>
      </c>
      <c r="F3991" s="247" t="s">
        <v>980</v>
      </c>
      <c r="G3991" s="247" t="s">
        <v>1035</v>
      </c>
      <c r="H3991" s="248" t="s">
        <v>234</v>
      </c>
      <c r="I3991" s="248" t="s">
        <v>263</v>
      </c>
      <c r="J3991" s="247" t="s">
        <v>809</v>
      </c>
      <c r="K3991" s="249">
        <v>0</v>
      </c>
      <c r="M3991" s="90">
        <v>0</v>
      </c>
      <c r="N3991" s="90">
        <v>0</v>
      </c>
      <c r="O3991" s="90">
        <v>255</v>
      </c>
    </row>
    <row r="3992" spans="1:15" s="90" customFormat="1" ht="12.75" customHeight="1" x14ac:dyDescent="0.2">
      <c r="A3992" s="247" t="s">
        <v>1681</v>
      </c>
      <c r="B3992" s="316">
        <v>3037</v>
      </c>
      <c r="C3992" s="247" t="s">
        <v>996</v>
      </c>
      <c r="D3992" s="317">
        <v>42676</v>
      </c>
      <c r="E3992" s="318">
        <v>0.50309027777777782</v>
      </c>
      <c r="F3992" s="247" t="s">
        <v>980</v>
      </c>
      <c r="G3992" s="247" t="s">
        <v>1035</v>
      </c>
      <c r="H3992" s="248" t="s">
        <v>234</v>
      </c>
      <c r="I3992" s="248" t="s">
        <v>263</v>
      </c>
      <c r="J3992" s="247" t="s">
        <v>809</v>
      </c>
      <c r="K3992" s="249">
        <v>0</v>
      </c>
      <c r="M3992" s="90">
        <v>0</v>
      </c>
      <c r="N3992" s="90">
        <v>0</v>
      </c>
      <c r="O3992" s="90">
        <v>255</v>
      </c>
    </row>
    <row r="3993" spans="1:15" s="90" customFormat="1" ht="12.75" customHeight="1" x14ac:dyDescent="0.2">
      <c r="A3993" s="247" t="s">
        <v>1532</v>
      </c>
      <c r="B3993" s="316">
        <v>3037</v>
      </c>
      <c r="C3993" s="247" t="s">
        <v>996</v>
      </c>
      <c r="D3993" s="317">
        <v>42676</v>
      </c>
      <c r="E3993" s="318">
        <v>0.50310185185185186</v>
      </c>
      <c r="F3993" s="247" t="s">
        <v>980</v>
      </c>
      <c r="G3993" s="247" t="s">
        <v>1035</v>
      </c>
      <c r="H3993" s="248" t="s">
        <v>234</v>
      </c>
      <c r="I3993" s="248" t="s">
        <v>263</v>
      </c>
      <c r="J3993" s="247" t="s">
        <v>809</v>
      </c>
      <c r="K3993" s="249">
        <v>0</v>
      </c>
      <c r="M3993" s="90">
        <v>0</v>
      </c>
      <c r="N3993" s="90">
        <v>0</v>
      </c>
      <c r="O3993" s="90">
        <v>255</v>
      </c>
    </row>
    <row r="3994" spans="1:15" s="90" customFormat="1" ht="12.75" customHeight="1" x14ac:dyDescent="0.2">
      <c r="A3994" s="247" t="s">
        <v>1533</v>
      </c>
      <c r="B3994" s="316">
        <v>3037</v>
      </c>
      <c r="C3994" s="247" t="s">
        <v>996</v>
      </c>
      <c r="D3994" s="317">
        <v>42676</v>
      </c>
      <c r="E3994" s="318">
        <v>0.50310185185185186</v>
      </c>
      <c r="F3994" s="247" t="s">
        <v>980</v>
      </c>
      <c r="G3994" s="247" t="s">
        <v>1035</v>
      </c>
      <c r="H3994" s="248" t="s">
        <v>234</v>
      </c>
      <c r="I3994" s="248" t="s">
        <v>263</v>
      </c>
      <c r="J3994" s="247" t="s">
        <v>809</v>
      </c>
      <c r="K3994" s="249">
        <v>0</v>
      </c>
      <c r="M3994" s="90">
        <v>0</v>
      </c>
      <c r="N3994" s="90">
        <v>0</v>
      </c>
      <c r="O3994" s="90">
        <v>255</v>
      </c>
    </row>
    <row r="3995" spans="1:15" s="90" customFormat="1" ht="12.75" customHeight="1" x14ac:dyDescent="0.2">
      <c r="A3995" s="247" t="s">
        <v>1682</v>
      </c>
      <c r="B3995" s="316">
        <v>3037</v>
      </c>
      <c r="C3995" s="247" t="s">
        <v>996</v>
      </c>
      <c r="D3995" s="317">
        <v>42676</v>
      </c>
      <c r="E3995" s="318">
        <v>0.50310185185185186</v>
      </c>
      <c r="F3995" s="247" t="s">
        <v>980</v>
      </c>
      <c r="G3995" s="247" t="s">
        <v>1035</v>
      </c>
      <c r="H3995" s="248" t="s">
        <v>234</v>
      </c>
      <c r="I3995" s="248" t="s">
        <v>263</v>
      </c>
      <c r="J3995" s="247" t="s">
        <v>809</v>
      </c>
      <c r="K3995" s="249">
        <v>0</v>
      </c>
      <c r="M3995" s="90">
        <v>0</v>
      </c>
      <c r="N3995" s="90">
        <v>0</v>
      </c>
      <c r="O3995" s="90">
        <v>255</v>
      </c>
    </row>
    <row r="3996" spans="1:15" s="90" customFormat="1" ht="12.75" customHeight="1" x14ac:dyDescent="0.2">
      <c r="A3996" s="247" t="s">
        <v>1683</v>
      </c>
      <c r="B3996" s="316">
        <v>3037</v>
      </c>
      <c r="C3996" s="247" t="s">
        <v>996</v>
      </c>
      <c r="D3996" s="317">
        <v>42676</v>
      </c>
      <c r="E3996" s="318">
        <v>0.50311342592592589</v>
      </c>
      <c r="F3996" s="247" t="s">
        <v>980</v>
      </c>
      <c r="G3996" s="247" t="s">
        <v>1035</v>
      </c>
      <c r="H3996" s="248" t="s">
        <v>234</v>
      </c>
      <c r="I3996" s="248" t="s">
        <v>263</v>
      </c>
      <c r="J3996" s="247" t="s">
        <v>809</v>
      </c>
      <c r="K3996" s="249">
        <v>0</v>
      </c>
      <c r="M3996" s="90">
        <v>0</v>
      </c>
      <c r="N3996" s="90">
        <v>0</v>
      </c>
      <c r="O3996" s="90">
        <v>255</v>
      </c>
    </row>
    <row r="3997" spans="1:15" s="90" customFormat="1" ht="12.75" customHeight="1" x14ac:dyDescent="0.2">
      <c r="A3997" s="247" t="s">
        <v>1684</v>
      </c>
      <c r="B3997" s="316">
        <v>3037</v>
      </c>
      <c r="C3997" s="247" t="s">
        <v>996</v>
      </c>
      <c r="D3997" s="317">
        <v>42676</v>
      </c>
      <c r="E3997" s="318">
        <v>0.50311342592592589</v>
      </c>
      <c r="F3997" s="247" t="s">
        <v>980</v>
      </c>
      <c r="G3997" s="247" t="s">
        <v>1035</v>
      </c>
      <c r="H3997" s="248" t="s">
        <v>234</v>
      </c>
      <c r="I3997" s="248" t="s">
        <v>263</v>
      </c>
      <c r="J3997" s="247" t="s">
        <v>809</v>
      </c>
      <c r="K3997" s="249">
        <v>0</v>
      </c>
      <c r="M3997" s="90">
        <v>0</v>
      </c>
      <c r="N3997" s="90">
        <v>0</v>
      </c>
      <c r="O3997" s="90">
        <v>255</v>
      </c>
    </row>
    <row r="3998" spans="1:15" s="90" customFormat="1" ht="12.75" customHeight="1" x14ac:dyDescent="0.2">
      <c r="A3998" s="247" t="s">
        <v>1531</v>
      </c>
      <c r="B3998" s="316">
        <v>3037</v>
      </c>
      <c r="C3998" s="247" t="s">
        <v>996</v>
      </c>
      <c r="D3998" s="317">
        <v>42676</v>
      </c>
      <c r="E3998" s="318">
        <v>0.50312499999999993</v>
      </c>
      <c r="F3998" s="247" t="s">
        <v>980</v>
      </c>
      <c r="G3998" s="247" t="s">
        <v>1035</v>
      </c>
      <c r="H3998" s="248" t="s">
        <v>234</v>
      </c>
      <c r="I3998" s="248" t="s">
        <v>263</v>
      </c>
      <c r="J3998" s="247" t="s">
        <v>809</v>
      </c>
      <c r="K3998" s="249">
        <v>0</v>
      </c>
      <c r="M3998" s="90">
        <v>0</v>
      </c>
      <c r="N3998" s="90">
        <v>0</v>
      </c>
      <c r="O3998" s="90">
        <v>255</v>
      </c>
    </row>
    <row r="3999" spans="1:15" s="90" customFormat="1" ht="12.75" customHeight="1" x14ac:dyDescent="0.2">
      <c r="A3999" s="247" t="s">
        <v>1685</v>
      </c>
      <c r="B3999" s="316">
        <v>3037</v>
      </c>
      <c r="C3999" s="247" t="s">
        <v>996</v>
      </c>
      <c r="D3999" s="317">
        <v>42676</v>
      </c>
      <c r="E3999" s="318">
        <v>0.50312499999999993</v>
      </c>
      <c r="F3999" s="247" t="s">
        <v>980</v>
      </c>
      <c r="G3999" s="247" t="s">
        <v>1035</v>
      </c>
      <c r="H3999" s="248" t="s">
        <v>234</v>
      </c>
      <c r="I3999" s="248" t="s">
        <v>263</v>
      </c>
      <c r="J3999" s="247" t="s">
        <v>809</v>
      </c>
      <c r="K3999" s="249">
        <v>0</v>
      </c>
      <c r="M3999" s="90">
        <v>0</v>
      </c>
      <c r="N3999" s="90">
        <v>0</v>
      </c>
      <c r="O3999" s="90">
        <v>255</v>
      </c>
    </row>
    <row r="4000" spans="1:15" s="90" customFormat="1" ht="12.75" customHeight="1" x14ac:dyDescent="0.2">
      <c r="A4000" s="247" t="s">
        <v>1686</v>
      </c>
      <c r="B4000" s="316">
        <v>3037</v>
      </c>
      <c r="C4000" s="247" t="s">
        <v>996</v>
      </c>
      <c r="D4000" s="317">
        <v>42676</v>
      </c>
      <c r="E4000" s="318">
        <v>0.50313657407407408</v>
      </c>
      <c r="F4000" s="247" t="s">
        <v>980</v>
      </c>
      <c r="G4000" s="247" t="s">
        <v>1035</v>
      </c>
      <c r="H4000" s="248" t="s">
        <v>234</v>
      </c>
      <c r="I4000" s="248" t="s">
        <v>263</v>
      </c>
      <c r="J4000" s="247" t="s">
        <v>809</v>
      </c>
      <c r="K4000" s="249">
        <v>0</v>
      </c>
      <c r="M4000" s="90">
        <v>0</v>
      </c>
      <c r="N4000" s="90">
        <v>0</v>
      </c>
      <c r="O4000" s="90">
        <v>255</v>
      </c>
    </row>
    <row r="4001" spans="1:15" s="90" customFormat="1" ht="12.75" customHeight="1" x14ac:dyDescent="0.2">
      <c r="A4001" s="247" t="s">
        <v>1687</v>
      </c>
      <c r="B4001" s="316">
        <v>3037</v>
      </c>
      <c r="C4001" s="247" t="s">
        <v>996</v>
      </c>
      <c r="D4001" s="317">
        <v>42676</v>
      </c>
      <c r="E4001" s="318">
        <v>0.50313657407407408</v>
      </c>
      <c r="F4001" s="247" t="s">
        <v>980</v>
      </c>
      <c r="G4001" s="247" t="s">
        <v>1035</v>
      </c>
      <c r="H4001" s="248" t="s">
        <v>234</v>
      </c>
      <c r="I4001" s="248" t="s">
        <v>263</v>
      </c>
      <c r="J4001" s="247" t="s">
        <v>809</v>
      </c>
      <c r="K4001" s="249">
        <v>0</v>
      </c>
      <c r="M4001" s="90">
        <v>0</v>
      </c>
      <c r="N4001" s="90">
        <v>0</v>
      </c>
      <c r="O4001" s="90">
        <v>255</v>
      </c>
    </row>
    <row r="4002" spans="1:15" s="90" customFormat="1" ht="12.75" customHeight="1" x14ac:dyDescent="0.2">
      <c r="A4002" s="247" t="s">
        <v>1688</v>
      </c>
      <c r="B4002" s="316">
        <v>3037</v>
      </c>
      <c r="C4002" s="247" t="s">
        <v>996</v>
      </c>
      <c r="D4002" s="317">
        <v>42676</v>
      </c>
      <c r="E4002" s="318">
        <v>0.50314814814814812</v>
      </c>
      <c r="F4002" s="247" t="s">
        <v>980</v>
      </c>
      <c r="G4002" s="247" t="s">
        <v>1035</v>
      </c>
      <c r="H4002" s="248" t="s">
        <v>234</v>
      </c>
      <c r="I4002" s="248" t="s">
        <v>263</v>
      </c>
      <c r="J4002" s="247" t="s">
        <v>809</v>
      </c>
      <c r="K4002" s="249">
        <v>0</v>
      </c>
      <c r="M4002" s="90">
        <v>0</v>
      </c>
      <c r="N4002" s="90">
        <v>0</v>
      </c>
      <c r="O4002" s="90">
        <v>255</v>
      </c>
    </row>
    <row r="4003" spans="1:15" s="90" customFormat="1" ht="12.75" customHeight="1" x14ac:dyDescent="0.2">
      <c r="A4003" s="247" t="s">
        <v>1689</v>
      </c>
      <c r="B4003" s="316">
        <v>3037</v>
      </c>
      <c r="C4003" s="247" t="s">
        <v>996</v>
      </c>
      <c r="D4003" s="317">
        <v>42676</v>
      </c>
      <c r="E4003" s="318">
        <v>0.50314814814814812</v>
      </c>
      <c r="F4003" s="247" t="s">
        <v>980</v>
      </c>
      <c r="G4003" s="247" t="s">
        <v>1035</v>
      </c>
      <c r="H4003" s="248" t="s">
        <v>234</v>
      </c>
      <c r="I4003" s="248" t="s">
        <v>263</v>
      </c>
      <c r="J4003" s="247" t="s">
        <v>809</v>
      </c>
      <c r="K4003" s="249">
        <v>0</v>
      </c>
      <c r="M4003" s="90">
        <v>0</v>
      </c>
      <c r="N4003" s="90">
        <v>0</v>
      </c>
      <c r="O4003" s="90">
        <v>255</v>
      </c>
    </row>
    <row r="4004" spans="1:15" s="90" customFormat="1" ht="12.75" customHeight="1" x14ac:dyDescent="0.2">
      <c r="A4004" s="247" t="s">
        <v>1690</v>
      </c>
      <c r="B4004" s="316">
        <v>3037</v>
      </c>
      <c r="C4004" s="247" t="s">
        <v>996</v>
      </c>
      <c r="D4004" s="317">
        <v>42676</v>
      </c>
      <c r="E4004" s="318">
        <v>0.50314814814814812</v>
      </c>
      <c r="F4004" s="247" t="s">
        <v>980</v>
      </c>
      <c r="G4004" s="247" t="s">
        <v>1035</v>
      </c>
      <c r="H4004" s="248" t="s">
        <v>234</v>
      </c>
      <c r="I4004" s="248" t="s">
        <v>263</v>
      </c>
      <c r="J4004" s="247" t="s">
        <v>809</v>
      </c>
      <c r="K4004" s="249">
        <v>0</v>
      </c>
      <c r="M4004" s="90">
        <v>0</v>
      </c>
      <c r="N4004" s="90">
        <v>0</v>
      </c>
      <c r="O4004" s="90">
        <v>255</v>
      </c>
    </row>
    <row r="4005" spans="1:15" s="90" customFormat="1" ht="12.75" customHeight="1" x14ac:dyDescent="0.2">
      <c r="A4005" s="247" t="s">
        <v>1691</v>
      </c>
      <c r="B4005" s="316">
        <v>3037</v>
      </c>
      <c r="C4005" s="247" t="s">
        <v>996</v>
      </c>
      <c r="D4005" s="317">
        <v>42676</v>
      </c>
      <c r="E4005" s="318">
        <v>0.50314814814814812</v>
      </c>
      <c r="F4005" s="247" t="s">
        <v>980</v>
      </c>
      <c r="G4005" s="247" t="s">
        <v>1035</v>
      </c>
      <c r="H4005" s="248" t="s">
        <v>234</v>
      </c>
      <c r="I4005" s="248" t="s">
        <v>263</v>
      </c>
      <c r="J4005" s="247" t="s">
        <v>809</v>
      </c>
      <c r="K4005" s="249">
        <v>0</v>
      </c>
      <c r="M4005" s="90">
        <v>0</v>
      </c>
      <c r="N4005" s="90">
        <v>0</v>
      </c>
      <c r="O4005" s="90">
        <v>255</v>
      </c>
    </row>
    <row r="4006" spans="1:15" s="90" customFormat="1" ht="12.75" customHeight="1" x14ac:dyDescent="0.2">
      <c r="A4006" s="247" t="s">
        <v>1692</v>
      </c>
      <c r="B4006" s="316">
        <v>3037</v>
      </c>
      <c r="C4006" s="247" t="s">
        <v>996</v>
      </c>
      <c r="D4006" s="317">
        <v>42676</v>
      </c>
      <c r="E4006" s="318">
        <v>0.50314814814814812</v>
      </c>
      <c r="F4006" s="247" t="s">
        <v>980</v>
      </c>
      <c r="G4006" s="247" t="s">
        <v>1035</v>
      </c>
      <c r="H4006" s="248" t="s">
        <v>234</v>
      </c>
      <c r="I4006" s="248" t="s">
        <v>263</v>
      </c>
      <c r="J4006" s="247" t="s">
        <v>809</v>
      </c>
      <c r="K4006" s="249">
        <v>0</v>
      </c>
      <c r="M4006" s="90">
        <v>0</v>
      </c>
      <c r="N4006" s="90">
        <v>0</v>
      </c>
      <c r="O4006" s="90">
        <v>255</v>
      </c>
    </row>
    <row r="4007" spans="1:15" s="90" customFormat="1" ht="12.75" customHeight="1" x14ac:dyDescent="0.2">
      <c r="A4007" s="247" t="s">
        <v>1534</v>
      </c>
      <c r="B4007" s="316">
        <v>3037</v>
      </c>
      <c r="C4007" s="247" t="s">
        <v>996</v>
      </c>
      <c r="D4007" s="317">
        <v>42676</v>
      </c>
      <c r="E4007" s="318">
        <v>0.50314814814814812</v>
      </c>
      <c r="F4007" s="247" t="s">
        <v>980</v>
      </c>
      <c r="G4007" s="247" t="s">
        <v>1035</v>
      </c>
      <c r="H4007" s="248" t="s">
        <v>234</v>
      </c>
      <c r="I4007" s="248" t="s">
        <v>263</v>
      </c>
      <c r="J4007" s="247" t="s">
        <v>809</v>
      </c>
      <c r="K4007" s="249">
        <v>0</v>
      </c>
      <c r="M4007" s="90">
        <v>0</v>
      </c>
      <c r="N4007" s="90">
        <v>0</v>
      </c>
      <c r="O4007" s="90">
        <v>255</v>
      </c>
    </row>
    <row r="4008" spans="1:15" s="90" customFormat="1" ht="12.75" customHeight="1" x14ac:dyDescent="0.2">
      <c r="A4008" s="247" t="s">
        <v>1693</v>
      </c>
      <c r="B4008" s="316">
        <v>3037</v>
      </c>
      <c r="C4008" s="247" t="s">
        <v>996</v>
      </c>
      <c r="D4008" s="317">
        <v>42676</v>
      </c>
      <c r="E4008" s="318">
        <v>0.50314814814814812</v>
      </c>
      <c r="F4008" s="247" t="s">
        <v>980</v>
      </c>
      <c r="G4008" s="247" t="s">
        <v>1035</v>
      </c>
      <c r="H4008" s="248" t="s">
        <v>234</v>
      </c>
      <c r="I4008" s="248" t="s">
        <v>263</v>
      </c>
      <c r="J4008" s="247" t="s">
        <v>809</v>
      </c>
      <c r="K4008" s="249">
        <v>0</v>
      </c>
      <c r="M4008" s="90">
        <v>0</v>
      </c>
      <c r="N4008" s="90">
        <v>0</v>
      </c>
      <c r="O4008" s="90">
        <v>255</v>
      </c>
    </row>
    <row r="4009" spans="1:15" s="90" customFormat="1" ht="12.75" customHeight="1" x14ac:dyDescent="0.2">
      <c r="A4009" s="247" t="s">
        <v>1694</v>
      </c>
      <c r="B4009" s="316">
        <v>3037</v>
      </c>
      <c r="C4009" s="247" t="s">
        <v>996</v>
      </c>
      <c r="D4009" s="317">
        <v>42676</v>
      </c>
      <c r="E4009" s="318">
        <v>0.50315972222222227</v>
      </c>
      <c r="F4009" s="247" t="s">
        <v>980</v>
      </c>
      <c r="G4009" s="247" t="s">
        <v>1035</v>
      </c>
      <c r="H4009" s="248" t="s">
        <v>234</v>
      </c>
      <c r="I4009" s="248" t="s">
        <v>263</v>
      </c>
      <c r="J4009" s="247" t="s">
        <v>809</v>
      </c>
      <c r="K4009" s="249">
        <v>0</v>
      </c>
      <c r="M4009" s="90">
        <v>0</v>
      </c>
      <c r="N4009" s="90">
        <v>0</v>
      </c>
      <c r="O4009" s="90">
        <v>255</v>
      </c>
    </row>
    <row r="4010" spans="1:15" s="90" customFormat="1" ht="12.75" customHeight="1" x14ac:dyDescent="0.2">
      <c r="A4010" s="247" t="s">
        <v>1695</v>
      </c>
      <c r="B4010" s="316">
        <v>3037</v>
      </c>
      <c r="C4010" s="247" t="s">
        <v>996</v>
      </c>
      <c r="D4010" s="317">
        <v>42676</v>
      </c>
      <c r="E4010" s="318">
        <v>0.50315972222222227</v>
      </c>
      <c r="F4010" s="247" t="s">
        <v>980</v>
      </c>
      <c r="G4010" s="247" t="s">
        <v>1035</v>
      </c>
      <c r="H4010" s="248" t="s">
        <v>234</v>
      </c>
      <c r="I4010" s="248" t="s">
        <v>263</v>
      </c>
      <c r="J4010" s="247" t="s">
        <v>809</v>
      </c>
      <c r="K4010" s="249">
        <v>0</v>
      </c>
      <c r="M4010" s="90">
        <v>0</v>
      </c>
      <c r="N4010" s="90">
        <v>0</v>
      </c>
      <c r="O4010" s="90">
        <v>255</v>
      </c>
    </row>
    <row r="4011" spans="1:15" s="90" customFormat="1" ht="12.75" customHeight="1" x14ac:dyDescent="0.2">
      <c r="A4011" s="247" t="s">
        <v>1696</v>
      </c>
      <c r="B4011" s="316">
        <v>3037</v>
      </c>
      <c r="C4011" s="247" t="s">
        <v>996</v>
      </c>
      <c r="D4011" s="317">
        <v>42676</v>
      </c>
      <c r="E4011" s="318">
        <v>0.50315972222222227</v>
      </c>
      <c r="F4011" s="247" t="s">
        <v>980</v>
      </c>
      <c r="G4011" s="247" t="s">
        <v>1035</v>
      </c>
      <c r="H4011" s="248" t="s">
        <v>234</v>
      </c>
      <c r="I4011" s="248" t="s">
        <v>263</v>
      </c>
      <c r="J4011" s="247" t="s">
        <v>809</v>
      </c>
      <c r="K4011" s="249">
        <v>0</v>
      </c>
      <c r="M4011" s="90">
        <v>0</v>
      </c>
      <c r="N4011" s="90">
        <v>0</v>
      </c>
      <c r="O4011" s="90">
        <v>255</v>
      </c>
    </row>
    <row r="4012" spans="1:15" s="90" customFormat="1" ht="12.75" customHeight="1" x14ac:dyDescent="0.2">
      <c r="A4012" s="247" t="s">
        <v>1697</v>
      </c>
      <c r="B4012" s="316">
        <v>3037</v>
      </c>
      <c r="C4012" s="247" t="s">
        <v>996</v>
      </c>
      <c r="D4012" s="317">
        <v>42676</v>
      </c>
      <c r="E4012" s="318">
        <v>0.50317129629629631</v>
      </c>
      <c r="F4012" s="247" t="s">
        <v>980</v>
      </c>
      <c r="G4012" s="247" t="s">
        <v>1035</v>
      </c>
      <c r="H4012" s="248" t="s">
        <v>234</v>
      </c>
      <c r="I4012" s="248" t="s">
        <v>263</v>
      </c>
      <c r="J4012" s="247" t="s">
        <v>809</v>
      </c>
      <c r="K4012" s="249">
        <v>0</v>
      </c>
      <c r="M4012" s="90">
        <v>0</v>
      </c>
      <c r="N4012" s="90">
        <v>0</v>
      </c>
      <c r="O4012" s="90">
        <v>255</v>
      </c>
    </row>
    <row r="4013" spans="1:15" s="90" customFormat="1" ht="12.75" customHeight="1" x14ac:dyDescent="0.2">
      <c r="A4013" s="247" t="s">
        <v>1698</v>
      </c>
      <c r="B4013" s="316">
        <v>3037</v>
      </c>
      <c r="C4013" s="247" t="s">
        <v>996</v>
      </c>
      <c r="D4013" s="317">
        <v>42676</v>
      </c>
      <c r="E4013" s="318">
        <v>0.50317129629629631</v>
      </c>
      <c r="F4013" s="247" t="s">
        <v>980</v>
      </c>
      <c r="G4013" s="247" t="s">
        <v>1035</v>
      </c>
      <c r="H4013" s="248" t="s">
        <v>234</v>
      </c>
      <c r="I4013" s="248" t="s">
        <v>263</v>
      </c>
      <c r="J4013" s="247" t="s">
        <v>809</v>
      </c>
      <c r="K4013" s="249">
        <v>0</v>
      </c>
      <c r="M4013" s="90">
        <v>0</v>
      </c>
      <c r="N4013" s="90">
        <v>0</v>
      </c>
      <c r="O4013" s="90">
        <v>255</v>
      </c>
    </row>
    <row r="4014" spans="1:15" s="90" customFormat="1" ht="12.75" customHeight="1" x14ac:dyDescent="0.2">
      <c r="A4014" s="247" t="s">
        <v>1699</v>
      </c>
      <c r="B4014" s="316">
        <v>3037</v>
      </c>
      <c r="C4014" s="247" t="s">
        <v>996</v>
      </c>
      <c r="D4014" s="317">
        <v>42676</v>
      </c>
      <c r="E4014" s="318">
        <v>0.50317129629629631</v>
      </c>
      <c r="F4014" s="247" t="s">
        <v>980</v>
      </c>
      <c r="G4014" s="247" t="s">
        <v>1035</v>
      </c>
      <c r="H4014" s="248" t="s">
        <v>234</v>
      </c>
      <c r="I4014" s="248" t="s">
        <v>263</v>
      </c>
      <c r="J4014" s="247" t="s">
        <v>809</v>
      </c>
      <c r="K4014" s="249">
        <v>0</v>
      </c>
      <c r="M4014" s="90">
        <v>0</v>
      </c>
      <c r="N4014" s="90">
        <v>0</v>
      </c>
      <c r="O4014" s="90">
        <v>255</v>
      </c>
    </row>
    <row r="4015" spans="1:15" s="90" customFormat="1" ht="12.75" customHeight="1" x14ac:dyDescent="0.2">
      <c r="A4015" s="247" t="s">
        <v>1700</v>
      </c>
      <c r="B4015" s="316">
        <v>3037</v>
      </c>
      <c r="C4015" s="247" t="s">
        <v>996</v>
      </c>
      <c r="D4015" s="317">
        <v>42676</v>
      </c>
      <c r="E4015" s="318">
        <v>0.50317129629629631</v>
      </c>
      <c r="F4015" s="247" t="s">
        <v>980</v>
      </c>
      <c r="G4015" s="247" t="s">
        <v>1035</v>
      </c>
      <c r="H4015" s="248" t="s">
        <v>234</v>
      </c>
      <c r="I4015" s="248" t="s">
        <v>263</v>
      </c>
      <c r="J4015" s="247" t="s">
        <v>809</v>
      </c>
      <c r="K4015" s="249">
        <v>0</v>
      </c>
      <c r="M4015" s="90">
        <v>0</v>
      </c>
      <c r="N4015" s="90">
        <v>0</v>
      </c>
      <c r="O4015" s="90">
        <v>255</v>
      </c>
    </row>
    <row r="4016" spans="1:15" s="90" customFormat="1" ht="12.75" customHeight="1" x14ac:dyDescent="0.2">
      <c r="A4016" s="247" t="s">
        <v>1701</v>
      </c>
      <c r="B4016" s="316">
        <v>3037</v>
      </c>
      <c r="C4016" s="247" t="s">
        <v>996</v>
      </c>
      <c r="D4016" s="317">
        <v>42676</v>
      </c>
      <c r="E4016" s="318">
        <v>0.50317129629629631</v>
      </c>
      <c r="F4016" s="247" t="s">
        <v>980</v>
      </c>
      <c r="G4016" s="247" t="s">
        <v>1035</v>
      </c>
      <c r="H4016" s="248" t="s">
        <v>234</v>
      </c>
      <c r="I4016" s="248" t="s">
        <v>263</v>
      </c>
      <c r="J4016" s="247" t="s">
        <v>809</v>
      </c>
      <c r="K4016" s="249">
        <v>0</v>
      </c>
      <c r="M4016" s="90">
        <v>0</v>
      </c>
      <c r="N4016" s="90">
        <v>0</v>
      </c>
      <c r="O4016" s="90">
        <v>255</v>
      </c>
    </row>
    <row r="4017" spans="1:15" s="90" customFormat="1" ht="12.75" customHeight="1" x14ac:dyDescent="0.2">
      <c r="A4017" s="247" t="s">
        <v>1702</v>
      </c>
      <c r="B4017" s="316">
        <v>3037</v>
      </c>
      <c r="C4017" s="247" t="s">
        <v>996</v>
      </c>
      <c r="D4017" s="317">
        <v>42676</v>
      </c>
      <c r="E4017" s="318">
        <v>0.50318287037037035</v>
      </c>
      <c r="F4017" s="247" t="s">
        <v>980</v>
      </c>
      <c r="G4017" s="247" t="s">
        <v>1035</v>
      </c>
      <c r="H4017" s="248" t="s">
        <v>234</v>
      </c>
      <c r="I4017" s="248" t="s">
        <v>263</v>
      </c>
      <c r="J4017" s="247" t="s">
        <v>809</v>
      </c>
      <c r="K4017" s="249">
        <v>0</v>
      </c>
      <c r="M4017" s="90">
        <v>0</v>
      </c>
      <c r="N4017" s="90">
        <v>0</v>
      </c>
      <c r="O4017" s="90">
        <v>255</v>
      </c>
    </row>
    <row r="4018" spans="1:15" s="90" customFormat="1" ht="12.75" customHeight="1" x14ac:dyDescent="0.2">
      <c r="A4018" s="247" t="s">
        <v>1703</v>
      </c>
      <c r="B4018" s="316">
        <v>3037</v>
      </c>
      <c r="C4018" s="247" t="s">
        <v>996</v>
      </c>
      <c r="D4018" s="317">
        <v>42676</v>
      </c>
      <c r="E4018" s="318">
        <v>0.50318287037037035</v>
      </c>
      <c r="F4018" s="247" t="s">
        <v>980</v>
      </c>
      <c r="G4018" s="247" t="s">
        <v>1035</v>
      </c>
      <c r="H4018" s="248" t="s">
        <v>234</v>
      </c>
      <c r="I4018" s="248" t="s">
        <v>263</v>
      </c>
      <c r="J4018" s="247" t="s">
        <v>809</v>
      </c>
      <c r="K4018" s="249">
        <v>0</v>
      </c>
      <c r="M4018" s="90">
        <v>0</v>
      </c>
      <c r="N4018" s="90">
        <v>0</v>
      </c>
      <c r="O4018" s="90">
        <v>255</v>
      </c>
    </row>
    <row r="4019" spans="1:15" s="90" customFormat="1" ht="12.75" customHeight="1" x14ac:dyDescent="0.2">
      <c r="A4019" s="247" t="s">
        <v>1523</v>
      </c>
      <c r="B4019" s="316">
        <v>3037</v>
      </c>
      <c r="C4019" s="247" t="s">
        <v>996</v>
      </c>
      <c r="D4019" s="317">
        <v>42676</v>
      </c>
      <c r="E4019" s="318">
        <v>0.50318287037037035</v>
      </c>
      <c r="F4019" s="247" t="s">
        <v>980</v>
      </c>
      <c r="G4019" s="247" t="s">
        <v>1035</v>
      </c>
      <c r="H4019" s="248" t="s">
        <v>234</v>
      </c>
      <c r="I4019" s="248" t="s">
        <v>263</v>
      </c>
      <c r="J4019" s="247" t="s">
        <v>809</v>
      </c>
      <c r="K4019" s="249">
        <v>0</v>
      </c>
      <c r="M4019" s="90">
        <v>0</v>
      </c>
      <c r="N4019" s="90">
        <v>0</v>
      </c>
      <c r="O4019" s="90">
        <v>255</v>
      </c>
    </row>
    <row r="4020" spans="1:15" s="90" customFormat="1" ht="12.75" customHeight="1" x14ac:dyDescent="0.2">
      <c r="A4020" s="247" t="s">
        <v>1524</v>
      </c>
      <c r="B4020" s="316">
        <v>3037</v>
      </c>
      <c r="C4020" s="247" t="s">
        <v>996</v>
      </c>
      <c r="D4020" s="317">
        <v>42676</v>
      </c>
      <c r="E4020" s="318">
        <v>0.50318287037037035</v>
      </c>
      <c r="F4020" s="247" t="s">
        <v>980</v>
      </c>
      <c r="G4020" s="247" t="s">
        <v>1035</v>
      </c>
      <c r="H4020" s="248" t="s">
        <v>234</v>
      </c>
      <c r="I4020" s="248" t="s">
        <v>263</v>
      </c>
      <c r="J4020" s="247" t="s">
        <v>809</v>
      </c>
      <c r="K4020" s="249">
        <v>0</v>
      </c>
      <c r="M4020" s="90">
        <v>0</v>
      </c>
      <c r="N4020" s="90">
        <v>0</v>
      </c>
      <c r="O4020" s="90">
        <v>255</v>
      </c>
    </row>
    <row r="4021" spans="1:15" s="90" customFormat="1" ht="12.75" customHeight="1" x14ac:dyDescent="0.2">
      <c r="A4021" s="247" t="s">
        <v>1704</v>
      </c>
      <c r="B4021" s="316">
        <v>3037</v>
      </c>
      <c r="C4021" s="247" t="s">
        <v>996</v>
      </c>
      <c r="D4021" s="317">
        <v>42676</v>
      </c>
      <c r="E4021" s="318">
        <v>0.50318287037037035</v>
      </c>
      <c r="F4021" s="247" t="s">
        <v>980</v>
      </c>
      <c r="G4021" s="247" t="s">
        <v>1035</v>
      </c>
      <c r="H4021" s="248" t="s">
        <v>234</v>
      </c>
      <c r="I4021" s="248" t="s">
        <v>263</v>
      </c>
      <c r="J4021" s="247" t="s">
        <v>809</v>
      </c>
      <c r="K4021" s="249">
        <v>0</v>
      </c>
      <c r="M4021" s="90">
        <v>0</v>
      </c>
      <c r="N4021" s="90">
        <v>0</v>
      </c>
      <c r="O4021" s="90">
        <v>255</v>
      </c>
    </row>
    <row r="4022" spans="1:15" s="90" customFormat="1" ht="12.75" customHeight="1" x14ac:dyDescent="0.2">
      <c r="A4022" s="247" t="s">
        <v>1705</v>
      </c>
      <c r="B4022" s="316">
        <v>3037</v>
      </c>
      <c r="C4022" s="247" t="s">
        <v>996</v>
      </c>
      <c r="D4022" s="317">
        <v>42676</v>
      </c>
      <c r="E4022" s="318">
        <v>0.50319444444444439</v>
      </c>
      <c r="F4022" s="247" t="s">
        <v>980</v>
      </c>
      <c r="G4022" s="247" t="s">
        <v>1035</v>
      </c>
      <c r="H4022" s="248" t="s">
        <v>234</v>
      </c>
      <c r="I4022" s="248" t="s">
        <v>263</v>
      </c>
      <c r="J4022" s="247" t="s">
        <v>809</v>
      </c>
      <c r="K4022" s="249">
        <v>0</v>
      </c>
      <c r="M4022" s="90">
        <v>0</v>
      </c>
      <c r="N4022" s="90">
        <v>0</v>
      </c>
      <c r="O4022" s="90">
        <v>255</v>
      </c>
    </row>
    <row r="4023" spans="1:15" s="90" customFormat="1" ht="12.75" customHeight="1" x14ac:dyDescent="0.2">
      <c r="A4023" s="247" t="s">
        <v>1535</v>
      </c>
      <c r="B4023" s="316">
        <v>3037</v>
      </c>
      <c r="C4023" s="247" t="s">
        <v>996</v>
      </c>
      <c r="D4023" s="317">
        <v>42676</v>
      </c>
      <c r="E4023" s="318">
        <v>0.50319444444444439</v>
      </c>
      <c r="F4023" s="247" t="s">
        <v>980</v>
      </c>
      <c r="G4023" s="247" t="s">
        <v>1035</v>
      </c>
      <c r="H4023" s="248" t="s">
        <v>234</v>
      </c>
      <c r="I4023" s="248" t="s">
        <v>263</v>
      </c>
      <c r="J4023" s="247" t="s">
        <v>809</v>
      </c>
      <c r="K4023" s="249">
        <v>0</v>
      </c>
      <c r="M4023" s="90">
        <v>0</v>
      </c>
      <c r="N4023" s="90">
        <v>0</v>
      </c>
      <c r="O4023" s="90">
        <v>255</v>
      </c>
    </row>
    <row r="4024" spans="1:15" s="90" customFormat="1" ht="12.75" customHeight="1" x14ac:dyDescent="0.2">
      <c r="A4024" s="247" t="s">
        <v>1706</v>
      </c>
      <c r="B4024" s="316">
        <v>3037</v>
      </c>
      <c r="C4024" s="247" t="s">
        <v>996</v>
      </c>
      <c r="D4024" s="317">
        <v>42676</v>
      </c>
      <c r="E4024" s="318">
        <v>0.50319444444444439</v>
      </c>
      <c r="F4024" s="247" t="s">
        <v>980</v>
      </c>
      <c r="G4024" s="247" t="s">
        <v>1035</v>
      </c>
      <c r="H4024" s="248" t="s">
        <v>234</v>
      </c>
      <c r="I4024" s="248" t="s">
        <v>263</v>
      </c>
      <c r="J4024" s="247" t="s">
        <v>809</v>
      </c>
      <c r="K4024" s="249">
        <v>0</v>
      </c>
      <c r="M4024" s="90">
        <v>0</v>
      </c>
      <c r="N4024" s="90">
        <v>0</v>
      </c>
      <c r="O4024" s="90">
        <v>255</v>
      </c>
    </row>
    <row r="4025" spans="1:15" s="90" customFormat="1" ht="12.75" customHeight="1" x14ac:dyDescent="0.2">
      <c r="A4025" s="247" t="s">
        <v>1707</v>
      </c>
      <c r="B4025" s="316">
        <v>3037</v>
      </c>
      <c r="C4025" s="247" t="s">
        <v>996</v>
      </c>
      <c r="D4025" s="317">
        <v>42676</v>
      </c>
      <c r="E4025" s="318">
        <v>0.50319444444444439</v>
      </c>
      <c r="F4025" s="247" t="s">
        <v>980</v>
      </c>
      <c r="G4025" s="247" t="s">
        <v>1035</v>
      </c>
      <c r="H4025" s="248" t="s">
        <v>234</v>
      </c>
      <c r="I4025" s="248" t="s">
        <v>263</v>
      </c>
      <c r="J4025" s="247" t="s">
        <v>809</v>
      </c>
      <c r="K4025" s="249">
        <v>0</v>
      </c>
      <c r="M4025" s="90">
        <v>0</v>
      </c>
      <c r="N4025" s="90">
        <v>0</v>
      </c>
      <c r="O4025" s="90">
        <v>255</v>
      </c>
    </row>
    <row r="4026" spans="1:15" s="90" customFormat="1" ht="12.75" customHeight="1" x14ac:dyDescent="0.2">
      <c r="A4026" s="247" t="s">
        <v>1536</v>
      </c>
      <c r="B4026" s="316">
        <v>3037</v>
      </c>
      <c r="C4026" s="247" t="s">
        <v>996</v>
      </c>
      <c r="D4026" s="317">
        <v>42676</v>
      </c>
      <c r="E4026" s="318">
        <v>0.50319444444444439</v>
      </c>
      <c r="F4026" s="247" t="s">
        <v>980</v>
      </c>
      <c r="G4026" s="247" t="s">
        <v>1035</v>
      </c>
      <c r="H4026" s="248" t="s">
        <v>234</v>
      </c>
      <c r="I4026" s="248" t="s">
        <v>263</v>
      </c>
      <c r="J4026" s="247" t="s">
        <v>809</v>
      </c>
      <c r="K4026" s="249">
        <v>0</v>
      </c>
      <c r="M4026" s="90">
        <v>0</v>
      </c>
      <c r="N4026" s="90">
        <v>0</v>
      </c>
      <c r="O4026" s="90">
        <v>255</v>
      </c>
    </row>
    <row r="4027" spans="1:15" s="90" customFormat="1" ht="12.75" customHeight="1" x14ac:dyDescent="0.2">
      <c r="A4027" s="247" t="s">
        <v>1537</v>
      </c>
      <c r="B4027" s="316">
        <v>3037</v>
      </c>
      <c r="C4027" s="247" t="s">
        <v>996</v>
      </c>
      <c r="D4027" s="317">
        <v>42676</v>
      </c>
      <c r="E4027" s="318">
        <v>0.50319444444444439</v>
      </c>
      <c r="F4027" s="247" t="s">
        <v>980</v>
      </c>
      <c r="G4027" s="247" t="s">
        <v>1035</v>
      </c>
      <c r="H4027" s="248" t="s">
        <v>234</v>
      </c>
      <c r="I4027" s="248" t="s">
        <v>263</v>
      </c>
      <c r="J4027" s="247" t="s">
        <v>809</v>
      </c>
      <c r="K4027" s="249">
        <v>0</v>
      </c>
      <c r="M4027" s="90">
        <v>0</v>
      </c>
      <c r="N4027" s="90">
        <v>0</v>
      </c>
      <c r="O4027" s="90">
        <v>255</v>
      </c>
    </row>
    <row r="4028" spans="1:15" s="90" customFormat="1" ht="12.75" customHeight="1" x14ac:dyDescent="0.2">
      <c r="A4028" s="247" t="s">
        <v>1708</v>
      </c>
      <c r="B4028" s="316">
        <v>3037</v>
      </c>
      <c r="C4028" s="247" t="s">
        <v>996</v>
      </c>
      <c r="D4028" s="317">
        <v>42676</v>
      </c>
      <c r="E4028" s="318">
        <v>0.50320601851851854</v>
      </c>
      <c r="F4028" s="247" t="s">
        <v>980</v>
      </c>
      <c r="G4028" s="247" t="s">
        <v>1035</v>
      </c>
      <c r="H4028" s="248" t="s">
        <v>234</v>
      </c>
      <c r="I4028" s="248" t="s">
        <v>263</v>
      </c>
      <c r="J4028" s="247" t="s">
        <v>809</v>
      </c>
      <c r="K4028" s="249">
        <v>0</v>
      </c>
      <c r="M4028" s="90">
        <v>0</v>
      </c>
      <c r="N4028" s="90">
        <v>0</v>
      </c>
      <c r="O4028" s="90">
        <v>255</v>
      </c>
    </row>
    <row r="4029" spans="1:15" s="90" customFormat="1" ht="12.75" customHeight="1" x14ac:dyDescent="0.2">
      <c r="A4029" s="247" t="s">
        <v>1709</v>
      </c>
      <c r="B4029" s="316">
        <v>3037</v>
      </c>
      <c r="C4029" s="247" t="s">
        <v>996</v>
      </c>
      <c r="D4029" s="317">
        <v>42676</v>
      </c>
      <c r="E4029" s="318">
        <v>0.50320601851851854</v>
      </c>
      <c r="F4029" s="247" t="s">
        <v>980</v>
      </c>
      <c r="G4029" s="247" t="s">
        <v>1035</v>
      </c>
      <c r="H4029" s="248" t="s">
        <v>234</v>
      </c>
      <c r="I4029" s="248" t="s">
        <v>263</v>
      </c>
      <c r="J4029" s="247" t="s">
        <v>809</v>
      </c>
      <c r="K4029" s="249">
        <v>0</v>
      </c>
      <c r="M4029" s="90">
        <v>0</v>
      </c>
      <c r="N4029" s="90">
        <v>0</v>
      </c>
      <c r="O4029" s="90">
        <v>255</v>
      </c>
    </row>
    <row r="4030" spans="1:15" s="90" customFormat="1" ht="12.75" customHeight="1" x14ac:dyDescent="0.2">
      <c r="A4030" s="247" t="s">
        <v>1710</v>
      </c>
      <c r="B4030" s="316">
        <v>3037</v>
      </c>
      <c r="C4030" s="247" t="s">
        <v>996</v>
      </c>
      <c r="D4030" s="317">
        <v>42676</v>
      </c>
      <c r="E4030" s="318">
        <v>0.50320601851851854</v>
      </c>
      <c r="F4030" s="247" t="s">
        <v>980</v>
      </c>
      <c r="G4030" s="247" t="s">
        <v>1035</v>
      </c>
      <c r="H4030" s="248" t="s">
        <v>234</v>
      </c>
      <c r="I4030" s="248" t="s">
        <v>263</v>
      </c>
      <c r="J4030" s="247" t="s">
        <v>809</v>
      </c>
      <c r="K4030" s="249">
        <v>0</v>
      </c>
      <c r="M4030" s="90">
        <v>0</v>
      </c>
      <c r="N4030" s="90">
        <v>0</v>
      </c>
      <c r="O4030" s="90">
        <v>255</v>
      </c>
    </row>
    <row r="4031" spans="1:15" s="90" customFormat="1" ht="12.75" customHeight="1" x14ac:dyDescent="0.2">
      <c r="A4031" s="247" t="s">
        <v>1711</v>
      </c>
      <c r="B4031" s="316">
        <v>3037</v>
      </c>
      <c r="C4031" s="247" t="s">
        <v>996</v>
      </c>
      <c r="D4031" s="317">
        <v>42676</v>
      </c>
      <c r="E4031" s="318">
        <v>0.50320601851851854</v>
      </c>
      <c r="F4031" s="247" t="s">
        <v>980</v>
      </c>
      <c r="G4031" s="247" t="s">
        <v>1035</v>
      </c>
      <c r="H4031" s="248" t="s">
        <v>234</v>
      </c>
      <c r="I4031" s="248" t="s">
        <v>263</v>
      </c>
      <c r="J4031" s="247" t="s">
        <v>809</v>
      </c>
      <c r="K4031" s="249">
        <v>0</v>
      </c>
      <c r="M4031" s="90">
        <v>0</v>
      </c>
      <c r="N4031" s="90">
        <v>0</v>
      </c>
      <c r="O4031" s="90">
        <v>255</v>
      </c>
    </row>
    <row r="4032" spans="1:15" s="90" customFormat="1" ht="12.75" customHeight="1" x14ac:dyDescent="0.2">
      <c r="A4032" s="247" t="s">
        <v>1712</v>
      </c>
      <c r="B4032" s="316">
        <v>3037</v>
      </c>
      <c r="C4032" s="247" t="s">
        <v>996</v>
      </c>
      <c r="D4032" s="317">
        <v>42676</v>
      </c>
      <c r="E4032" s="318">
        <v>0.50320601851851854</v>
      </c>
      <c r="F4032" s="247" t="s">
        <v>980</v>
      </c>
      <c r="G4032" s="247" t="s">
        <v>1035</v>
      </c>
      <c r="H4032" s="248" t="s">
        <v>234</v>
      </c>
      <c r="I4032" s="248" t="s">
        <v>263</v>
      </c>
      <c r="J4032" s="247" t="s">
        <v>809</v>
      </c>
      <c r="K4032" s="249">
        <v>0</v>
      </c>
      <c r="M4032" s="90">
        <v>0</v>
      </c>
      <c r="N4032" s="90">
        <v>0</v>
      </c>
      <c r="O4032" s="90">
        <v>255</v>
      </c>
    </row>
    <row r="4033" spans="1:15" s="90" customFormat="1" ht="12.75" customHeight="1" x14ac:dyDescent="0.2">
      <c r="A4033" s="247" t="s">
        <v>1713</v>
      </c>
      <c r="B4033" s="316">
        <v>3037</v>
      </c>
      <c r="C4033" s="247" t="s">
        <v>996</v>
      </c>
      <c r="D4033" s="317">
        <v>42676</v>
      </c>
      <c r="E4033" s="318">
        <v>0.50320601851851854</v>
      </c>
      <c r="F4033" s="247" t="s">
        <v>980</v>
      </c>
      <c r="G4033" s="247" t="s">
        <v>1035</v>
      </c>
      <c r="H4033" s="248" t="s">
        <v>234</v>
      </c>
      <c r="I4033" s="248" t="s">
        <v>263</v>
      </c>
      <c r="J4033" s="247" t="s">
        <v>809</v>
      </c>
      <c r="K4033" s="249">
        <v>0</v>
      </c>
      <c r="M4033" s="90">
        <v>0</v>
      </c>
      <c r="N4033" s="90">
        <v>0</v>
      </c>
      <c r="O4033" s="90">
        <v>255</v>
      </c>
    </row>
    <row r="4034" spans="1:15" s="90" customFormat="1" ht="12.75" customHeight="1" x14ac:dyDescent="0.2">
      <c r="A4034" s="247" t="s">
        <v>1714</v>
      </c>
      <c r="B4034" s="316">
        <v>3037</v>
      </c>
      <c r="C4034" s="247" t="s">
        <v>996</v>
      </c>
      <c r="D4034" s="317">
        <v>42676</v>
      </c>
      <c r="E4034" s="318">
        <v>0.50320601851851854</v>
      </c>
      <c r="F4034" s="247" t="s">
        <v>980</v>
      </c>
      <c r="G4034" s="247" t="s">
        <v>1035</v>
      </c>
      <c r="H4034" s="248" t="s">
        <v>234</v>
      </c>
      <c r="I4034" s="248" t="s">
        <v>263</v>
      </c>
      <c r="J4034" s="247" t="s">
        <v>809</v>
      </c>
      <c r="K4034" s="249">
        <v>0</v>
      </c>
      <c r="M4034" s="90">
        <v>0</v>
      </c>
      <c r="N4034" s="90">
        <v>0</v>
      </c>
      <c r="O4034" s="90">
        <v>255</v>
      </c>
    </row>
    <row r="4035" spans="1:15" s="90" customFormat="1" ht="12.75" customHeight="1" x14ac:dyDescent="0.2">
      <c r="A4035" s="247" t="s">
        <v>1715</v>
      </c>
      <c r="B4035" s="316">
        <v>3037</v>
      </c>
      <c r="C4035" s="247" t="s">
        <v>996</v>
      </c>
      <c r="D4035" s="317">
        <v>42676</v>
      </c>
      <c r="E4035" s="318">
        <v>0.50321759259259258</v>
      </c>
      <c r="F4035" s="247" t="s">
        <v>980</v>
      </c>
      <c r="G4035" s="247" t="s">
        <v>1035</v>
      </c>
      <c r="H4035" s="248" t="s">
        <v>234</v>
      </c>
      <c r="I4035" s="248" t="s">
        <v>263</v>
      </c>
      <c r="J4035" s="247" t="s">
        <v>809</v>
      </c>
      <c r="K4035" s="249">
        <v>0</v>
      </c>
      <c r="M4035" s="90">
        <v>0</v>
      </c>
      <c r="N4035" s="90">
        <v>0</v>
      </c>
      <c r="O4035" s="90">
        <v>255</v>
      </c>
    </row>
    <row r="4036" spans="1:15" s="90" customFormat="1" ht="12.75" customHeight="1" x14ac:dyDescent="0.2">
      <c r="A4036" s="247" t="s">
        <v>1716</v>
      </c>
      <c r="B4036" s="316">
        <v>3037</v>
      </c>
      <c r="C4036" s="247" t="s">
        <v>996</v>
      </c>
      <c r="D4036" s="317">
        <v>42676</v>
      </c>
      <c r="E4036" s="318">
        <v>0.50321759259259258</v>
      </c>
      <c r="F4036" s="247" t="s">
        <v>980</v>
      </c>
      <c r="G4036" s="247" t="s">
        <v>1035</v>
      </c>
      <c r="H4036" s="248" t="s">
        <v>234</v>
      </c>
      <c r="I4036" s="248" t="s">
        <v>263</v>
      </c>
      <c r="J4036" s="247" t="s">
        <v>809</v>
      </c>
      <c r="K4036" s="249">
        <v>0</v>
      </c>
      <c r="M4036" s="90">
        <v>0</v>
      </c>
      <c r="N4036" s="90">
        <v>0</v>
      </c>
      <c r="O4036" s="90">
        <v>255</v>
      </c>
    </row>
    <row r="4037" spans="1:15" s="90" customFormat="1" ht="12.75" customHeight="1" x14ac:dyDescent="0.2">
      <c r="A4037" s="247" t="s">
        <v>1717</v>
      </c>
      <c r="B4037" s="316">
        <v>3037</v>
      </c>
      <c r="C4037" s="247" t="s">
        <v>996</v>
      </c>
      <c r="D4037" s="317">
        <v>42676</v>
      </c>
      <c r="E4037" s="318">
        <v>0.50321759259259258</v>
      </c>
      <c r="F4037" s="247" t="s">
        <v>980</v>
      </c>
      <c r="G4037" s="247" t="s">
        <v>1035</v>
      </c>
      <c r="H4037" s="248" t="s">
        <v>234</v>
      </c>
      <c r="I4037" s="248" t="s">
        <v>263</v>
      </c>
      <c r="J4037" s="247" t="s">
        <v>809</v>
      </c>
      <c r="K4037" s="249">
        <v>0</v>
      </c>
      <c r="M4037" s="90">
        <v>0</v>
      </c>
      <c r="N4037" s="90">
        <v>0</v>
      </c>
      <c r="O4037" s="90">
        <v>255</v>
      </c>
    </row>
    <row r="4038" spans="1:15" s="90" customFormat="1" ht="12.75" customHeight="1" x14ac:dyDescent="0.2">
      <c r="A4038" s="247" t="s">
        <v>1718</v>
      </c>
      <c r="B4038" s="316">
        <v>3037</v>
      </c>
      <c r="C4038" s="247" t="s">
        <v>996</v>
      </c>
      <c r="D4038" s="317">
        <v>42676</v>
      </c>
      <c r="E4038" s="318">
        <v>0.50321759259259258</v>
      </c>
      <c r="F4038" s="247" t="s">
        <v>980</v>
      </c>
      <c r="G4038" s="247" t="s">
        <v>1035</v>
      </c>
      <c r="H4038" s="248" t="s">
        <v>234</v>
      </c>
      <c r="I4038" s="248" t="s">
        <v>263</v>
      </c>
      <c r="J4038" s="247" t="s">
        <v>809</v>
      </c>
      <c r="K4038" s="249">
        <v>0</v>
      </c>
      <c r="M4038" s="90">
        <v>0</v>
      </c>
      <c r="N4038" s="90">
        <v>0</v>
      </c>
      <c r="O4038" s="90">
        <v>255</v>
      </c>
    </row>
    <row r="4039" spans="1:15" s="90" customFormat="1" ht="12.75" customHeight="1" x14ac:dyDescent="0.2">
      <c r="A4039" s="247" t="s">
        <v>1719</v>
      </c>
      <c r="B4039" s="316">
        <v>3037</v>
      </c>
      <c r="C4039" s="247" t="s">
        <v>996</v>
      </c>
      <c r="D4039" s="317">
        <v>42676</v>
      </c>
      <c r="E4039" s="318">
        <v>0.50321759259259258</v>
      </c>
      <c r="F4039" s="247" t="s">
        <v>980</v>
      </c>
      <c r="G4039" s="247" t="s">
        <v>1035</v>
      </c>
      <c r="H4039" s="248" t="s">
        <v>234</v>
      </c>
      <c r="I4039" s="248" t="s">
        <v>263</v>
      </c>
      <c r="J4039" s="247" t="s">
        <v>809</v>
      </c>
      <c r="K4039" s="249">
        <v>0</v>
      </c>
      <c r="M4039" s="90">
        <v>0</v>
      </c>
      <c r="N4039" s="90">
        <v>0</v>
      </c>
      <c r="O4039" s="90">
        <v>255</v>
      </c>
    </row>
    <row r="4040" spans="1:15" s="90" customFormat="1" ht="12.75" customHeight="1" x14ac:dyDescent="0.2">
      <c r="A4040" s="247" t="s">
        <v>1720</v>
      </c>
      <c r="B4040" s="316">
        <v>3037</v>
      </c>
      <c r="C4040" s="247" t="s">
        <v>996</v>
      </c>
      <c r="D4040" s="317">
        <v>42676</v>
      </c>
      <c r="E4040" s="318">
        <v>0.50321759259259258</v>
      </c>
      <c r="F4040" s="247" t="s">
        <v>980</v>
      </c>
      <c r="G4040" s="247" t="s">
        <v>1035</v>
      </c>
      <c r="H4040" s="248" t="s">
        <v>234</v>
      </c>
      <c r="I4040" s="248" t="s">
        <v>263</v>
      </c>
      <c r="J4040" s="247" t="s">
        <v>809</v>
      </c>
      <c r="K4040" s="249">
        <v>0</v>
      </c>
      <c r="M4040" s="90">
        <v>0</v>
      </c>
      <c r="N4040" s="90">
        <v>0</v>
      </c>
      <c r="O4040" s="90">
        <v>255</v>
      </c>
    </row>
    <row r="4041" spans="1:15" s="90" customFormat="1" ht="12.75" customHeight="1" x14ac:dyDescent="0.2">
      <c r="A4041" s="247" t="s">
        <v>1350</v>
      </c>
      <c r="B4041" s="316">
        <v>3001</v>
      </c>
      <c r="C4041" s="247" t="s">
        <v>996</v>
      </c>
      <c r="D4041" s="317">
        <v>42676</v>
      </c>
      <c r="E4041" s="318">
        <v>0.50322916666666673</v>
      </c>
      <c r="F4041" s="247" t="s">
        <v>702</v>
      </c>
      <c r="G4041" s="247" t="s">
        <v>1035</v>
      </c>
      <c r="H4041" s="248" t="s">
        <v>121</v>
      </c>
      <c r="I4041" s="248" t="s">
        <v>122</v>
      </c>
      <c r="J4041" s="247" t="s">
        <v>809</v>
      </c>
      <c r="K4041" s="249">
        <v>0</v>
      </c>
      <c r="M4041" s="90">
        <v>0</v>
      </c>
      <c r="N4041" s="90">
        <v>0</v>
      </c>
      <c r="O4041" s="90">
        <v>255</v>
      </c>
    </row>
    <row r="4042" spans="1:15" s="90" customFormat="1" ht="12.75" customHeight="1" x14ac:dyDescent="0.2">
      <c r="A4042" s="247" t="s">
        <v>1721</v>
      </c>
      <c r="B4042" s="316">
        <v>3037</v>
      </c>
      <c r="C4042" s="247" t="s">
        <v>996</v>
      </c>
      <c r="D4042" s="317">
        <v>42676</v>
      </c>
      <c r="E4042" s="318">
        <v>0.50322916666666673</v>
      </c>
      <c r="F4042" s="247" t="s">
        <v>980</v>
      </c>
      <c r="G4042" s="247" t="s">
        <v>1035</v>
      </c>
      <c r="H4042" s="248" t="s">
        <v>234</v>
      </c>
      <c r="I4042" s="248" t="s">
        <v>263</v>
      </c>
      <c r="J4042" s="247" t="s">
        <v>809</v>
      </c>
      <c r="K4042" s="249">
        <v>0</v>
      </c>
      <c r="M4042" s="90">
        <v>0</v>
      </c>
      <c r="N4042" s="90">
        <v>0</v>
      </c>
      <c r="O4042" s="90">
        <v>255</v>
      </c>
    </row>
    <row r="4043" spans="1:15" s="90" customFormat="1" ht="12.75" customHeight="1" x14ac:dyDescent="0.2">
      <c r="A4043" s="247" t="s">
        <v>1722</v>
      </c>
      <c r="B4043" s="316">
        <v>3037</v>
      </c>
      <c r="C4043" s="247" t="s">
        <v>996</v>
      </c>
      <c r="D4043" s="317">
        <v>42676</v>
      </c>
      <c r="E4043" s="318">
        <v>0.50322916666666673</v>
      </c>
      <c r="F4043" s="247" t="s">
        <v>980</v>
      </c>
      <c r="G4043" s="247" t="s">
        <v>1035</v>
      </c>
      <c r="H4043" s="248" t="s">
        <v>234</v>
      </c>
      <c r="I4043" s="248" t="s">
        <v>263</v>
      </c>
      <c r="J4043" s="247" t="s">
        <v>809</v>
      </c>
      <c r="K4043" s="249">
        <v>0</v>
      </c>
      <c r="M4043" s="90">
        <v>0</v>
      </c>
      <c r="N4043" s="90">
        <v>0</v>
      </c>
      <c r="O4043" s="90">
        <v>255</v>
      </c>
    </row>
    <row r="4044" spans="1:15" s="90" customFormat="1" ht="12.75" customHeight="1" x14ac:dyDescent="0.2">
      <c r="A4044" s="247" t="s">
        <v>1723</v>
      </c>
      <c r="B4044" s="316">
        <v>3037</v>
      </c>
      <c r="C4044" s="247" t="s">
        <v>996</v>
      </c>
      <c r="D4044" s="317">
        <v>42676</v>
      </c>
      <c r="E4044" s="318">
        <v>0.50322916666666673</v>
      </c>
      <c r="F4044" s="247" t="s">
        <v>980</v>
      </c>
      <c r="G4044" s="247" t="s">
        <v>1035</v>
      </c>
      <c r="H4044" s="248" t="s">
        <v>234</v>
      </c>
      <c r="I4044" s="248" t="s">
        <v>263</v>
      </c>
      <c r="J4044" s="247" t="s">
        <v>809</v>
      </c>
      <c r="K4044" s="249">
        <v>0</v>
      </c>
      <c r="M4044" s="90">
        <v>0</v>
      </c>
      <c r="N4044" s="90">
        <v>0</v>
      </c>
      <c r="O4044" s="90">
        <v>255</v>
      </c>
    </row>
    <row r="4045" spans="1:15" s="90" customFormat="1" ht="12.75" customHeight="1" x14ac:dyDescent="0.2">
      <c r="A4045" s="247" t="s">
        <v>1724</v>
      </c>
      <c r="B4045" s="316">
        <v>3037</v>
      </c>
      <c r="C4045" s="247" t="s">
        <v>996</v>
      </c>
      <c r="D4045" s="317">
        <v>42676</v>
      </c>
      <c r="E4045" s="318">
        <v>0.50322916666666673</v>
      </c>
      <c r="F4045" s="247" t="s">
        <v>980</v>
      </c>
      <c r="G4045" s="247" t="s">
        <v>1035</v>
      </c>
      <c r="H4045" s="248" t="s">
        <v>234</v>
      </c>
      <c r="I4045" s="248" t="s">
        <v>263</v>
      </c>
      <c r="J4045" s="247" t="s">
        <v>809</v>
      </c>
      <c r="K4045" s="249">
        <v>0</v>
      </c>
      <c r="M4045" s="90">
        <v>0</v>
      </c>
      <c r="N4045" s="90">
        <v>0</v>
      </c>
      <c r="O4045" s="90">
        <v>255</v>
      </c>
    </row>
    <row r="4046" spans="1:15" s="90" customFormat="1" ht="12.75" customHeight="1" x14ac:dyDescent="0.2">
      <c r="A4046" s="247" t="s">
        <v>1725</v>
      </c>
      <c r="B4046" s="316">
        <v>3037</v>
      </c>
      <c r="C4046" s="247" t="s">
        <v>996</v>
      </c>
      <c r="D4046" s="317">
        <v>42676</v>
      </c>
      <c r="E4046" s="318">
        <v>0.50322916666666673</v>
      </c>
      <c r="F4046" s="247" t="s">
        <v>980</v>
      </c>
      <c r="G4046" s="247" t="s">
        <v>1035</v>
      </c>
      <c r="H4046" s="248" t="s">
        <v>234</v>
      </c>
      <c r="I4046" s="248" t="s">
        <v>263</v>
      </c>
      <c r="J4046" s="247" t="s">
        <v>809</v>
      </c>
      <c r="K4046" s="249">
        <v>0</v>
      </c>
      <c r="M4046" s="90">
        <v>0</v>
      </c>
      <c r="N4046" s="90">
        <v>0</v>
      </c>
      <c r="O4046" s="90">
        <v>255</v>
      </c>
    </row>
    <row r="4047" spans="1:15" s="90" customFormat="1" ht="12.75" customHeight="1" x14ac:dyDescent="0.2">
      <c r="A4047" s="247" t="s">
        <v>1726</v>
      </c>
      <c r="B4047" s="316">
        <v>3037</v>
      </c>
      <c r="C4047" s="247" t="s">
        <v>996</v>
      </c>
      <c r="D4047" s="317">
        <v>42676</v>
      </c>
      <c r="E4047" s="318">
        <v>0.50322916666666673</v>
      </c>
      <c r="F4047" s="247" t="s">
        <v>980</v>
      </c>
      <c r="G4047" s="247" t="s">
        <v>1035</v>
      </c>
      <c r="H4047" s="248" t="s">
        <v>234</v>
      </c>
      <c r="I4047" s="248" t="s">
        <v>263</v>
      </c>
      <c r="J4047" s="247" t="s">
        <v>809</v>
      </c>
      <c r="K4047" s="249">
        <v>0</v>
      </c>
      <c r="M4047" s="90">
        <v>0</v>
      </c>
      <c r="N4047" s="90">
        <v>0</v>
      </c>
      <c r="O4047" s="90">
        <v>255</v>
      </c>
    </row>
    <row r="4048" spans="1:15" s="90" customFormat="1" ht="12.75" customHeight="1" x14ac:dyDescent="0.2">
      <c r="A4048" s="247" t="s">
        <v>1727</v>
      </c>
      <c r="B4048" s="316">
        <v>3037</v>
      </c>
      <c r="C4048" s="247" t="s">
        <v>996</v>
      </c>
      <c r="D4048" s="317">
        <v>42676</v>
      </c>
      <c r="E4048" s="318">
        <v>0.50324074074074077</v>
      </c>
      <c r="F4048" s="247" t="s">
        <v>980</v>
      </c>
      <c r="G4048" s="247" t="s">
        <v>1035</v>
      </c>
      <c r="H4048" s="248" t="s">
        <v>234</v>
      </c>
      <c r="I4048" s="248" t="s">
        <v>263</v>
      </c>
      <c r="J4048" s="247" t="s">
        <v>809</v>
      </c>
      <c r="K4048" s="249">
        <v>0</v>
      </c>
      <c r="M4048" s="90">
        <v>0</v>
      </c>
      <c r="N4048" s="90">
        <v>0</v>
      </c>
      <c r="O4048" s="90">
        <v>255</v>
      </c>
    </row>
    <row r="4049" spans="1:15" s="90" customFormat="1" ht="12.75" customHeight="1" x14ac:dyDescent="0.2">
      <c r="A4049" s="247" t="s">
        <v>1728</v>
      </c>
      <c r="B4049" s="316">
        <v>3037</v>
      </c>
      <c r="C4049" s="247" t="s">
        <v>996</v>
      </c>
      <c r="D4049" s="317">
        <v>42676</v>
      </c>
      <c r="E4049" s="318">
        <v>0.50325231481481481</v>
      </c>
      <c r="F4049" s="247" t="s">
        <v>980</v>
      </c>
      <c r="G4049" s="247" t="s">
        <v>1035</v>
      </c>
      <c r="H4049" s="248" t="s">
        <v>234</v>
      </c>
      <c r="I4049" s="248" t="s">
        <v>263</v>
      </c>
      <c r="J4049" s="247" t="s">
        <v>809</v>
      </c>
      <c r="K4049" s="249">
        <v>0</v>
      </c>
      <c r="M4049" s="90">
        <v>0</v>
      </c>
      <c r="N4049" s="90">
        <v>0</v>
      </c>
      <c r="O4049" s="90">
        <v>255</v>
      </c>
    </row>
    <row r="4050" spans="1:15" s="90" customFormat="1" ht="12.75" customHeight="1" x14ac:dyDescent="0.2">
      <c r="A4050" s="247" t="s">
        <v>1729</v>
      </c>
      <c r="B4050" s="316">
        <v>3037</v>
      </c>
      <c r="C4050" s="247" t="s">
        <v>996</v>
      </c>
      <c r="D4050" s="317">
        <v>42676</v>
      </c>
      <c r="E4050" s="318">
        <v>0.50325231481481481</v>
      </c>
      <c r="F4050" s="247" t="s">
        <v>980</v>
      </c>
      <c r="G4050" s="247" t="s">
        <v>1035</v>
      </c>
      <c r="H4050" s="248" t="s">
        <v>234</v>
      </c>
      <c r="I4050" s="248" t="s">
        <v>263</v>
      </c>
      <c r="J4050" s="247" t="s">
        <v>809</v>
      </c>
      <c r="K4050" s="249">
        <v>0</v>
      </c>
      <c r="M4050" s="90">
        <v>0</v>
      </c>
      <c r="N4050" s="90">
        <v>0</v>
      </c>
      <c r="O4050" s="90">
        <v>255</v>
      </c>
    </row>
    <row r="4051" spans="1:15" s="90" customFormat="1" ht="12.75" customHeight="1" x14ac:dyDescent="0.2">
      <c r="A4051" s="247" t="s">
        <v>1730</v>
      </c>
      <c r="B4051" s="316">
        <v>3037</v>
      </c>
      <c r="C4051" s="247" t="s">
        <v>996</v>
      </c>
      <c r="D4051" s="317">
        <v>42676</v>
      </c>
      <c r="E4051" s="318">
        <v>0.50325231481481481</v>
      </c>
      <c r="F4051" s="247" t="s">
        <v>980</v>
      </c>
      <c r="G4051" s="247" t="s">
        <v>1035</v>
      </c>
      <c r="H4051" s="248" t="s">
        <v>234</v>
      </c>
      <c r="I4051" s="248" t="s">
        <v>263</v>
      </c>
      <c r="J4051" s="247" t="s">
        <v>809</v>
      </c>
      <c r="K4051" s="249">
        <v>0</v>
      </c>
      <c r="M4051" s="90">
        <v>0</v>
      </c>
      <c r="N4051" s="90">
        <v>0</v>
      </c>
      <c r="O4051" s="90">
        <v>255</v>
      </c>
    </row>
    <row r="4052" spans="1:15" s="90" customFormat="1" ht="12.75" customHeight="1" x14ac:dyDescent="0.2">
      <c r="A4052" s="247" t="s">
        <v>1731</v>
      </c>
      <c r="B4052" s="316">
        <v>3037</v>
      </c>
      <c r="C4052" s="247" t="s">
        <v>996</v>
      </c>
      <c r="D4052" s="317">
        <v>42676</v>
      </c>
      <c r="E4052" s="318">
        <v>0.50326388888888884</v>
      </c>
      <c r="F4052" s="247" t="s">
        <v>980</v>
      </c>
      <c r="G4052" s="247" t="s">
        <v>1035</v>
      </c>
      <c r="H4052" s="248" t="s">
        <v>234</v>
      </c>
      <c r="I4052" s="248" t="s">
        <v>263</v>
      </c>
      <c r="J4052" s="247" t="s">
        <v>809</v>
      </c>
      <c r="K4052" s="249">
        <v>0</v>
      </c>
      <c r="M4052" s="90">
        <v>0</v>
      </c>
      <c r="N4052" s="90">
        <v>0</v>
      </c>
      <c r="O4052" s="90">
        <v>255</v>
      </c>
    </row>
    <row r="4053" spans="1:15" s="90" customFormat="1" ht="12.75" customHeight="1" x14ac:dyDescent="0.2">
      <c r="A4053" s="247" t="s">
        <v>1732</v>
      </c>
      <c r="B4053" s="316">
        <v>3037</v>
      </c>
      <c r="C4053" s="247" t="s">
        <v>996</v>
      </c>
      <c r="D4053" s="317">
        <v>42676</v>
      </c>
      <c r="E4053" s="318">
        <v>0.50326388888888884</v>
      </c>
      <c r="F4053" s="247" t="s">
        <v>980</v>
      </c>
      <c r="G4053" s="247" t="s">
        <v>1035</v>
      </c>
      <c r="H4053" s="248" t="s">
        <v>234</v>
      </c>
      <c r="I4053" s="248" t="s">
        <v>263</v>
      </c>
      <c r="J4053" s="247" t="s">
        <v>809</v>
      </c>
      <c r="K4053" s="249">
        <v>0</v>
      </c>
      <c r="M4053" s="90">
        <v>0</v>
      </c>
      <c r="N4053" s="90">
        <v>0</v>
      </c>
      <c r="O4053" s="90">
        <v>255</v>
      </c>
    </row>
    <row r="4054" spans="1:15" s="90" customFormat="1" ht="12.75" customHeight="1" x14ac:dyDescent="0.2">
      <c r="A4054" s="247" t="s">
        <v>1733</v>
      </c>
      <c r="B4054" s="316">
        <v>3037</v>
      </c>
      <c r="C4054" s="247" t="s">
        <v>996</v>
      </c>
      <c r="D4054" s="317">
        <v>42676</v>
      </c>
      <c r="E4054" s="318">
        <v>0.50326388888888884</v>
      </c>
      <c r="F4054" s="247" t="s">
        <v>980</v>
      </c>
      <c r="G4054" s="247" t="s">
        <v>1035</v>
      </c>
      <c r="H4054" s="248" t="s">
        <v>234</v>
      </c>
      <c r="I4054" s="248" t="s">
        <v>263</v>
      </c>
      <c r="J4054" s="247" t="s">
        <v>809</v>
      </c>
      <c r="K4054" s="249">
        <v>0</v>
      </c>
      <c r="M4054" s="90">
        <v>0</v>
      </c>
      <c r="N4054" s="90">
        <v>0</v>
      </c>
      <c r="O4054" s="90">
        <v>255</v>
      </c>
    </row>
    <row r="4055" spans="1:15" s="90" customFormat="1" ht="12.75" customHeight="1" x14ac:dyDescent="0.2">
      <c r="A4055" s="247" t="s">
        <v>1734</v>
      </c>
      <c r="B4055" s="316">
        <v>3037</v>
      </c>
      <c r="C4055" s="247" t="s">
        <v>996</v>
      </c>
      <c r="D4055" s="317">
        <v>42676</v>
      </c>
      <c r="E4055" s="318">
        <v>0.50326388888888884</v>
      </c>
      <c r="F4055" s="247" t="s">
        <v>980</v>
      </c>
      <c r="G4055" s="247" t="s">
        <v>1035</v>
      </c>
      <c r="H4055" s="248" t="s">
        <v>234</v>
      </c>
      <c r="I4055" s="248" t="s">
        <v>263</v>
      </c>
      <c r="J4055" s="247" t="s">
        <v>809</v>
      </c>
      <c r="K4055" s="249">
        <v>0</v>
      </c>
      <c r="M4055" s="90">
        <v>0</v>
      </c>
      <c r="N4055" s="90">
        <v>0</v>
      </c>
      <c r="O4055" s="90">
        <v>255</v>
      </c>
    </row>
    <row r="4056" spans="1:15" s="90" customFormat="1" ht="12.75" customHeight="1" x14ac:dyDescent="0.2">
      <c r="A4056" s="247" t="s">
        <v>1735</v>
      </c>
      <c r="B4056" s="316">
        <v>3037</v>
      </c>
      <c r="C4056" s="247" t="s">
        <v>996</v>
      </c>
      <c r="D4056" s="317">
        <v>42676</v>
      </c>
      <c r="E4056" s="318">
        <v>0.50327546296296299</v>
      </c>
      <c r="F4056" s="247" t="s">
        <v>980</v>
      </c>
      <c r="G4056" s="247" t="s">
        <v>1035</v>
      </c>
      <c r="H4056" s="248" t="s">
        <v>234</v>
      </c>
      <c r="I4056" s="248" t="s">
        <v>263</v>
      </c>
      <c r="J4056" s="247" t="s">
        <v>809</v>
      </c>
      <c r="K4056" s="249">
        <v>0</v>
      </c>
      <c r="M4056" s="90">
        <v>0</v>
      </c>
      <c r="N4056" s="90">
        <v>0</v>
      </c>
      <c r="O4056" s="90">
        <v>255</v>
      </c>
    </row>
    <row r="4057" spans="1:15" s="90" customFormat="1" ht="12.75" customHeight="1" x14ac:dyDescent="0.2">
      <c r="A4057" s="247" t="s">
        <v>1736</v>
      </c>
      <c r="B4057" s="316">
        <v>3037</v>
      </c>
      <c r="C4057" s="247" t="s">
        <v>996</v>
      </c>
      <c r="D4057" s="317">
        <v>42676</v>
      </c>
      <c r="E4057" s="318">
        <v>0.50327546296296299</v>
      </c>
      <c r="F4057" s="247" t="s">
        <v>980</v>
      </c>
      <c r="G4057" s="247" t="s">
        <v>1035</v>
      </c>
      <c r="H4057" s="248" t="s">
        <v>234</v>
      </c>
      <c r="I4057" s="248" t="s">
        <v>263</v>
      </c>
      <c r="J4057" s="247" t="s">
        <v>809</v>
      </c>
      <c r="K4057" s="249">
        <v>0</v>
      </c>
      <c r="M4057" s="90">
        <v>0</v>
      </c>
      <c r="N4057" s="90">
        <v>0</v>
      </c>
      <c r="O4057" s="90">
        <v>255</v>
      </c>
    </row>
    <row r="4058" spans="1:15" s="90" customFormat="1" ht="12.75" customHeight="1" x14ac:dyDescent="0.2">
      <c r="A4058" s="247" t="s">
        <v>1737</v>
      </c>
      <c r="B4058" s="316">
        <v>3037</v>
      </c>
      <c r="C4058" s="247" t="s">
        <v>996</v>
      </c>
      <c r="D4058" s="317">
        <v>42676</v>
      </c>
      <c r="E4058" s="318">
        <v>0.50327546296296299</v>
      </c>
      <c r="F4058" s="247" t="s">
        <v>980</v>
      </c>
      <c r="G4058" s="247" t="s">
        <v>1035</v>
      </c>
      <c r="H4058" s="248" t="s">
        <v>234</v>
      </c>
      <c r="I4058" s="248" t="s">
        <v>263</v>
      </c>
      <c r="J4058" s="247" t="s">
        <v>809</v>
      </c>
      <c r="K4058" s="249">
        <v>0</v>
      </c>
      <c r="M4058" s="90">
        <v>0</v>
      </c>
      <c r="N4058" s="90">
        <v>0</v>
      </c>
      <c r="O4058" s="90">
        <v>255</v>
      </c>
    </row>
    <row r="4059" spans="1:15" s="90" customFormat="1" ht="12.75" customHeight="1" x14ac:dyDescent="0.2">
      <c r="A4059" s="247" t="s">
        <v>1738</v>
      </c>
      <c r="B4059" s="316">
        <v>3037</v>
      </c>
      <c r="C4059" s="247" t="s">
        <v>996</v>
      </c>
      <c r="D4059" s="317">
        <v>42676</v>
      </c>
      <c r="E4059" s="318">
        <v>0.50327546296296299</v>
      </c>
      <c r="F4059" s="247" t="s">
        <v>980</v>
      </c>
      <c r="G4059" s="247" t="s">
        <v>1035</v>
      </c>
      <c r="H4059" s="248" t="s">
        <v>234</v>
      </c>
      <c r="I4059" s="248" t="s">
        <v>263</v>
      </c>
      <c r="J4059" s="247" t="s">
        <v>809</v>
      </c>
      <c r="K4059" s="249">
        <v>0</v>
      </c>
      <c r="M4059" s="90">
        <v>0</v>
      </c>
      <c r="N4059" s="90">
        <v>0</v>
      </c>
      <c r="O4059" s="90">
        <v>255</v>
      </c>
    </row>
    <row r="4060" spans="1:15" s="90" customFormat="1" ht="12.75" customHeight="1" x14ac:dyDescent="0.2">
      <c r="A4060" s="247" t="s">
        <v>1739</v>
      </c>
      <c r="B4060" s="316">
        <v>3037</v>
      </c>
      <c r="C4060" s="247" t="s">
        <v>996</v>
      </c>
      <c r="D4060" s="317">
        <v>42676</v>
      </c>
      <c r="E4060" s="318">
        <v>0.50327546296296299</v>
      </c>
      <c r="F4060" s="247" t="s">
        <v>980</v>
      </c>
      <c r="G4060" s="247" t="s">
        <v>1035</v>
      </c>
      <c r="H4060" s="248" t="s">
        <v>234</v>
      </c>
      <c r="I4060" s="248" t="s">
        <v>263</v>
      </c>
      <c r="J4060" s="247" t="s">
        <v>809</v>
      </c>
      <c r="K4060" s="249">
        <v>0</v>
      </c>
      <c r="M4060" s="90">
        <v>0</v>
      </c>
      <c r="N4060" s="90">
        <v>0</v>
      </c>
      <c r="O4060" s="90">
        <v>255</v>
      </c>
    </row>
    <row r="4061" spans="1:15" s="90" customFormat="1" ht="12.75" customHeight="1" x14ac:dyDescent="0.2">
      <c r="A4061" s="247" t="s">
        <v>1740</v>
      </c>
      <c r="B4061" s="316">
        <v>3037</v>
      </c>
      <c r="C4061" s="247" t="s">
        <v>996</v>
      </c>
      <c r="D4061" s="317">
        <v>42676</v>
      </c>
      <c r="E4061" s="318">
        <v>0.50327546296296299</v>
      </c>
      <c r="F4061" s="247" t="s">
        <v>980</v>
      </c>
      <c r="G4061" s="247" t="s">
        <v>1035</v>
      </c>
      <c r="H4061" s="248" t="s">
        <v>234</v>
      </c>
      <c r="I4061" s="248" t="s">
        <v>263</v>
      </c>
      <c r="J4061" s="247" t="s">
        <v>809</v>
      </c>
      <c r="K4061" s="249">
        <v>0</v>
      </c>
      <c r="M4061" s="90">
        <v>0</v>
      </c>
      <c r="N4061" s="90">
        <v>0</v>
      </c>
      <c r="O4061" s="90">
        <v>255</v>
      </c>
    </row>
    <row r="4062" spans="1:15" s="90" customFormat="1" ht="12.75" customHeight="1" x14ac:dyDescent="0.2">
      <c r="A4062" s="247" t="s">
        <v>1741</v>
      </c>
      <c r="B4062" s="316">
        <v>3037</v>
      </c>
      <c r="C4062" s="247" t="s">
        <v>996</v>
      </c>
      <c r="D4062" s="317">
        <v>42676</v>
      </c>
      <c r="E4062" s="318">
        <v>0.50327546296296299</v>
      </c>
      <c r="F4062" s="247" t="s">
        <v>980</v>
      </c>
      <c r="G4062" s="247" t="s">
        <v>1035</v>
      </c>
      <c r="H4062" s="248" t="s">
        <v>234</v>
      </c>
      <c r="I4062" s="248" t="s">
        <v>263</v>
      </c>
      <c r="J4062" s="247" t="s">
        <v>809</v>
      </c>
      <c r="K4062" s="249">
        <v>0</v>
      </c>
      <c r="M4062" s="90">
        <v>0</v>
      </c>
      <c r="N4062" s="90">
        <v>0</v>
      </c>
      <c r="O4062" s="90">
        <v>255</v>
      </c>
    </row>
    <row r="4063" spans="1:15" s="90" customFormat="1" ht="12.75" customHeight="1" x14ac:dyDescent="0.2">
      <c r="A4063" s="247" t="s">
        <v>1742</v>
      </c>
      <c r="B4063" s="316">
        <v>3037</v>
      </c>
      <c r="C4063" s="247" t="s">
        <v>996</v>
      </c>
      <c r="D4063" s="317">
        <v>42676</v>
      </c>
      <c r="E4063" s="318">
        <v>0.50327546296296299</v>
      </c>
      <c r="F4063" s="247" t="s">
        <v>980</v>
      </c>
      <c r="G4063" s="247" t="s">
        <v>1035</v>
      </c>
      <c r="H4063" s="248" t="s">
        <v>234</v>
      </c>
      <c r="I4063" s="248" t="s">
        <v>263</v>
      </c>
      <c r="J4063" s="247" t="s">
        <v>809</v>
      </c>
      <c r="K4063" s="249">
        <v>0</v>
      </c>
      <c r="M4063" s="90">
        <v>0</v>
      </c>
      <c r="N4063" s="90">
        <v>0</v>
      </c>
      <c r="O4063" s="90">
        <v>255</v>
      </c>
    </row>
    <row r="4064" spans="1:15" s="90" customFormat="1" ht="12.75" customHeight="1" x14ac:dyDescent="0.2">
      <c r="A4064" s="247" t="s">
        <v>1743</v>
      </c>
      <c r="B4064" s="316">
        <v>3037</v>
      </c>
      <c r="C4064" s="247" t="s">
        <v>996</v>
      </c>
      <c r="D4064" s="317">
        <v>42676</v>
      </c>
      <c r="E4064" s="318">
        <v>0.50327546296296299</v>
      </c>
      <c r="F4064" s="247" t="s">
        <v>980</v>
      </c>
      <c r="G4064" s="247" t="s">
        <v>1035</v>
      </c>
      <c r="H4064" s="248" t="s">
        <v>234</v>
      </c>
      <c r="I4064" s="248" t="s">
        <v>263</v>
      </c>
      <c r="J4064" s="247" t="s">
        <v>809</v>
      </c>
      <c r="K4064" s="249">
        <v>0</v>
      </c>
      <c r="M4064" s="90">
        <v>0</v>
      </c>
      <c r="N4064" s="90">
        <v>0</v>
      </c>
      <c r="O4064" s="90">
        <v>255</v>
      </c>
    </row>
    <row r="4065" spans="1:15" s="90" customFormat="1" ht="12.75" customHeight="1" x14ac:dyDescent="0.2">
      <c r="A4065" s="247" t="s">
        <v>1744</v>
      </c>
      <c r="B4065" s="316">
        <v>3037</v>
      </c>
      <c r="C4065" s="247" t="s">
        <v>996</v>
      </c>
      <c r="D4065" s="317">
        <v>42676</v>
      </c>
      <c r="E4065" s="318">
        <v>0.50328703703703703</v>
      </c>
      <c r="F4065" s="247" t="s">
        <v>980</v>
      </c>
      <c r="G4065" s="247" t="s">
        <v>1035</v>
      </c>
      <c r="H4065" s="248" t="s">
        <v>234</v>
      </c>
      <c r="I4065" s="248" t="s">
        <v>263</v>
      </c>
      <c r="J4065" s="247" t="s">
        <v>809</v>
      </c>
      <c r="K4065" s="249">
        <v>0</v>
      </c>
      <c r="M4065" s="90">
        <v>0</v>
      </c>
      <c r="N4065" s="90">
        <v>0</v>
      </c>
      <c r="O4065" s="90">
        <v>255</v>
      </c>
    </row>
    <row r="4066" spans="1:15" s="90" customFormat="1" ht="12.75" customHeight="1" x14ac:dyDescent="0.2">
      <c r="A4066" s="247" t="s">
        <v>1745</v>
      </c>
      <c r="B4066" s="316">
        <v>3037</v>
      </c>
      <c r="C4066" s="247" t="s">
        <v>996</v>
      </c>
      <c r="D4066" s="317">
        <v>42676</v>
      </c>
      <c r="E4066" s="318">
        <v>0.50328703703703703</v>
      </c>
      <c r="F4066" s="247" t="s">
        <v>980</v>
      </c>
      <c r="G4066" s="247" t="s">
        <v>1035</v>
      </c>
      <c r="H4066" s="248" t="s">
        <v>234</v>
      </c>
      <c r="I4066" s="248" t="s">
        <v>263</v>
      </c>
      <c r="J4066" s="247" t="s">
        <v>809</v>
      </c>
      <c r="K4066" s="249">
        <v>0</v>
      </c>
      <c r="M4066" s="90">
        <v>0</v>
      </c>
      <c r="N4066" s="90">
        <v>0</v>
      </c>
      <c r="O4066" s="90">
        <v>255</v>
      </c>
    </row>
    <row r="4067" spans="1:15" s="90" customFormat="1" ht="12.75" customHeight="1" x14ac:dyDescent="0.2">
      <c r="A4067" s="247" t="s">
        <v>1746</v>
      </c>
      <c r="B4067" s="316">
        <v>3037</v>
      </c>
      <c r="C4067" s="247" t="s">
        <v>996</v>
      </c>
      <c r="D4067" s="317">
        <v>42676</v>
      </c>
      <c r="E4067" s="318">
        <v>0.50328703703703703</v>
      </c>
      <c r="F4067" s="247" t="s">
        <v>980</v>
      </c>
      <c r="G4067" s="247" t="s">
        <v>1035</v>
      </c>
      <c r="H4067" s="248" t="s">
        <v>234</v>
      </c>
      <c r="I4067" s="248" t="s">
        <v>263</v>
      </c>
      <c r="J4067" s="247" t="s">
        <v>809</v>
      </c>
      <c r="K4067" s="249">
        <v>0</v>
      </c>
      <c r="M4067" s="90">
        <v>0</v>
      </c>
      <c r="N4067" s="90">
        <v>0</v>
      </c>
      <c r="O4067" s="90">
        <v>255</v>
      </c>
    </row>
    <row r="4068" spans="1:15" s="90" customFormat="1" ht="12.75" customHeight="1" x14ac:dyDescent="0.2">
      <c r="A4068" s="247" t="s">
        <v>1747</v>
      </c>
      <c r="B4068" s="316">
        <v>3037</v>
      </c>
      <c r="C4068" s="247" t="s">
        <v>996</v>
      </c>
      <c r="D4068" s="317">
        <v>42676</v>
      </c>
      <c r="E4068" s="318">
        <v>0.50328703703703703</v>
      </c>
      <c r="F4068" s="247" t="s">
        <v>980</v>
      </c>
      <c r="G4068" s="247" t="s">
        <v>1035</v>
      </c>
      <c r="H4068" s="248" t="s">
        <v>234</v>
      </c>
      <c r="I4068" s="248" t="s">
        <v>263</v>
      </c>
      <c r="J4068" s="247" t="s">
        <v>809</v>
      </c>
      <c r="K4068" s="249">
        <v>0</v>
      </c>
      <c r="M4068" s="90">
        <v>0</v>
      </c>
      <c r="N4068" s="90">
        <v>0</v>
      </c>
      <c r="O4068" s="90">
        <v>255</v>
      </c>
    </row>
    <row r="4069" spans="1:15" s="90" customFormat="1" ht="12.75" customHeight="1" x14ac:dyDescent="0.2">
      <c r="A4069" s="247" t="s">
        <v>1748</v>
      </c>
      <c r="B4069" s="316">
        <v>3037</v>
      </c>
      <c r="C4069" s="247" t="s">
        <v>996</v>
      </c>
      <c r="D4069" s="317">
        <v>42676</v>
      </c>
      <c r="E4069" s="318">
        <v>0.50328703703703703</v>
      </c>
      <c r="F4069" s="247" t="s">
        <v>980</v>
      </c>
      <c r="G4069" s="247" t="s">
        <v>1035</v>
      </c>
      <c r="H4069" s="248" t="s">
        <v>234</v>
      </c>
      <c r="I4069" s="248" t="s">
        <v>263</v>
      </c>
      <c r="J4069" s="247" t="s">
        <v>809</v>
      </c>
      <c r="K4069" s="249">
        <v>0</v>
      </c>
      <c r="M4069" s="90">
        <v>0</v>
      </c>
      <c r="N4069" s="90">
        <v>0</v>
      </c>
      <c r="O4069" s="90">
        <v>255</v>
      </c>
    </row>
    <row r="4070" spans="1:15" s="90" customFormat="1" ht="12.75" customHeight="1" x14ac:dyDescent="0.2">
      <c r="A4070" s="247" t="s">
        <v>1749</v>
      </c>
      <c r="B4070" s="316">
        <v>3037</v>
      </c>
      <c r="C4070" s="247" t="s">
        <v>996</v>
      </c>
      <c r="D4070" s="317">
        <v>42676</v>
      </c>
      <c r="E4070" s="318">
        <v>0.50328703703703703</v>
      </c>
      <c r="F4070" s="247" t="s">
        <v>980</v>
      </c>
      <c r="G4070" s="247" t="s">
        <v>1035</v>
      </c>
      <c r="H4070" s="248" t="s">
        <v>234</v>
      </c>
      <c r="I4070" s="248" t="s">
        <v>263</v>
      </c>
      <c r="J4070" s="247" t="s">
        <v>809</v>
      </c>
      <c r="K4070" s="249">
        <v>0</v>
      </c>
      <c r="M4070" s="90">
        <v>0</v>
      </c>
      <c r="N4070" s="90">
        <v>0</v>
      </c>
      <c r="O4070" s="90">
        <v>255</v>
      </c>
    </row>
    <row r="4071" spans="1:15" s="90" customFormat="1" ht="12.75" customHeight="1" x14ac:dyDescent="0.2">
      <c r="A4071" s="247" t="s">
        <v>1750</v>
      </c>
      <c r="B4071" s="316">
        <v>3037</v>
      </c>
      <c r="C4071" s="247" t="s">
        <v>996</v>
      </c>
      <c r="D4071" s="317">
        <v>42676</v>
      </c>
      <c r="E4071" s="318">
        <v>0.50328703703703703</v>
      </c>
      <c r="F4071" s="247" t="s">
        <v>980</v>
      </c>
      <c r="G4071" s="247" t="s">
        <v>1035</v>
      </c>
      <c r="H4071" s="248" t="s">
        <v>234</v>
      </c>
      <c r="I4071" s="248" t="s">
        <v>263</v>
      </c>
      <c r="J4071" s="247" t="s">
        <v>809</v>
      </c>
      <c r="K4071" s="249">
        <v>0</v>
      </c>
      <c r="M4071" s="90">
        <v>0</v>
      </c>
      <c r="N4071" s="90">
        <v>0</v>
      </c>
      <c r="O4071" s="90">
        <v>255</v>
      </c>
    </row>
    <row r="4072" spans="1:15" s="90" customFormat="1" ht="12.75" customHeight="1" x14ac:dyDescent="0.2">
      <c r="A4072" s="247" t="s">
        <v>1751</v>
      </c>
      <c r="B4072" s="316">
        <v>3037</v>
      </c>
      <c r="C4072" s="247" t="s">
        <v>996</v>
      </c>
      <c r="D4072" s="317">
        <v>42676</v>
      </c>
      <c r="E4072" s="318">
        <v>0.50328703703703703</v>
      </c>
      <c r="F4072" s="247" t="s">
        <v>980</v>
      </c>
      <c r="G4072" s="247" t="s">
        <v>1035</v>
      </c>
      <c r="H4072" s="248" t="s">
        <v>234</v>
      </c>
      <c r="I4072" s="248" t="s">
        <v>263</v>
      </c>
      <c r="J4072" s="247" t="s">
        <v>809</v>
      </c>
      <c r="K4072" s="249">
        <v>0</v>
      </c>
      <c r="M4072" s="90">
        <v>0</v>
      </c>
      <c r="N4072" s="90">
        <v>0</v>
      </c>
      <c r="O4072" s="90">
        <v>255</v>
      </c>
    </row>
    <row r="4073" spans="1:15" s="90" customFormat="1" ht="12.75" customHeight="1" x14ac:dyDescent="0.2">
      <c r="A4073" s="247" t="s">
        <v>1752</v>
      </c>
      <c r="B4073" s="316">
        <v>3037</v>
      </c>
      <c r="C4073" s="247" t="s">
        <v>996</v>
      </c>
      <c r="D4073" s="317">
        <v>42676</v>
      </c>
      <c r="E4073" s="318">
        <v>0.50328703703703703</v>
      </c>
      <c r="F4073" s="247" t="s">
        <v>980</v>
      </c>
      <c r="G4073" s="247" t="s">
        <v>1035</v>
      </c>
      <c r="H4073" s="248" t="s">
        <v>234</v>
      </c>
      <c r="I4073" s="248" t="s">
        <v>263</v>
      </c>
      <c r="J4073" s="247" t="s">
        <v>809</v>
      </c>
      <c r="K4073" s="249">
        <v>0</v>
      </c>
      <c r="M4073" s="90">
        <v>0</v>
      </c>
      <c r="N4073" s="90">
        <v>0</v>
      </c>
      <c r="O4073" s="90">
        <v>255</v>
      </c>
    </row>
    <row r="4074" spans="1:15" s="90" customFormat="1" ht="12.75" customHeight="1" x14ac:dyDescent="0.2">
      <c r="A4074" s="247" t="s">
        <v>1753</v>
      </c>
      <c r="B4074" s="316">
        <v>3037</v>
      </c>
      <c r="C4074" s="247" t="s">
        <v>996</v>
      </c>
      <c r="D4074" s="317">
        <v>42676</v>
      </c>
      <c r="E4074" s="318">
        <v>0.50328703703703703</v>
      </c>
      <c r="F4074" s="247" t="s">
        <v>980</v>
      </c>
      <c r="G4074" s="247" t="s">
        <v>1035</v>
      </c>
      <c r="H4074" s="248" t="s">
        <v>234</v>
      </c>
      <c r="I4074" s="248" t="s">
        <v>263</v>
      </c>
      <c r="J4074" s="247" t="s">
        <v>809</v>
      </c>
      <c r="K4074" s="249">
        <v>0</v>
      </c>
      <c r="M4074" s="90">
        <v>0</v>
      </c>
      <c r="N4074" s="90">
        <v>0</v>
      </c>
      <c r="O4074" s="90">
        <v>255</v>
      </c>
    </row>
    <row r="4075" spans="1:15" s="90" customFormat="1" ht="12.75" customHeight="1" x14ac:dyDescent="0.2">
      <c r="A4075" s="247" t="s">
        <v>1754</v>
      </c>
      <c r="B4075" s="316">
        <v>3037</v>
      </c>
      <c r="C4075" s="247" t="s">
        <v>996</v>
      </c>
      <c r="D4075" s="317">
        <v>42676</v>
      </c>
      <c r="E4075" s="318">
        <v>0.50328703703703703</v>
      </c>
      <c r="F4075" s="247" t="s">
        <v>980</v>
      </c>
      <c r="G4075" s="247" t="s">
        <v>1035</v>
      </c>
      <c r="H4075" s="248" t="s">
        <v>234</v>
      </c>
      <c r="I4075" s="248" t="s">
        <v>263</v>
      </c>
      <c r="J4075" s="247" t="s">
        <v>809</v>
      </c>
      <c r="K4075" s="249">
        <v>0</v>
      </c>
      <c r="M4075" s="90">
        <v>0</v>
      </c>
      <c r="N4075" s="90">
        <v>0</v>
      </c>
      <c r="O4075" s="90">
        <v>255</v>
      </c>
    </row>
    <row r="4076" spans="1:15" s="90" customFormat="1" ht="12.75" customHeight="1" x14ac:dyDescent="0.2">
      <c r="A4076" s="247" t="s">
        <v>1755</v>
      </c>
      <c r="B4076" s="316">
        <v>3037</v>
      </c>
      <c r="C4076" s="247" t="s">
        <v>996</v>
      </c>
      <c r="D4076" s="317">
        <v>42676</v>
      </c>
      <c r="E4076" s="318">
        <v>0.50328703703703703</v>
      </c>
      <c r="F4076" s="247" t="s">
        <v>980</v>
      </c>
      <c r="G4076" s="247" t="s">
        <v>1035</v>
      </c>
      <c r="H4076" s="248" t="s">
        <v>234</v>
      </c>
      <c r="I4076" s="248" t="s">
        <v>263</v>
      </c>
      <c r="J4076" s="247" t="s">
        <v>809</v>
      </c>
      <c r="K4076" s="249">
        <v>0</v>
      </c>
      <c r="M4076" s="90">
        <v>0</v>
      </c>
      <c r="N4076" s="90">
        <v>0</v>
      </c>
      <c r="O4076" s="90">
        <v>255</v>
      </c>
    </row>
    <row r="4077" spans="1:15" s="90" customFormat="1" ht="12.75" customHeight="1" x14ac:dyDescent="0.2">
      <c r="A4077" s="247" t="s">
        <v>1756</v>
      </c>
      <c r="B4077" s="316">
        <v>3037</v>
      </c>
      <c r="C4077" s="247" t="s">
        <v>996</v>
      </c>
      <c r="D4077" s="317">
        <v>42676</v>
      </c>
      <c r="E4077" s="318">
        <v>0.50328703703703703</v>
      </c>
      <c r="F4077" s="247" t="s">
        <v>980</v>
      </c>
      <c r="G4077" s="247" t="s">
        <v>1035</v>
      </c>
      <c r="H4077" s="248" t="s">
        <v>234</v>
      </c>
      <c r="I4077" s="248" t="s">
        <v>263</v>
      </c>
      <c r="J4077" s="247" t="s">
        <v>809</v>
      </c>
      <c r="K4077" s="249">
        <v>0</v>
      </c>
      <c r="M4077" s="90">
        <v>0</v>
      </c>
      <c r="N4077" s="90">
        <v>0</v>
      </c>
      <c r="O4077" s="90">
        <v>255</v>
      </c>
    </row>
    <row r="4078" spans="1:15" s="90" customFormat="1" ht="12.75" customHeight="1" x14ac:dyDescent="0.2">
      <c r="A4078" s="247" t="s">
        <v>1757</v>
      </c>
      <c r="B4078" s="316">
        <v>3037</v>
      </c>
      <c r="C4078" s="247" t="s">
        <v>996</v>
      </c>
      <c r="D4078" s="317">
        <v>42676</v>
      </c>
      <c r="E4078" s="318">
        <v>0.50328703703703703</v>
      </c>
      <c r="F4078" s="247" t="s">
        <v>980</v>
      </c>
      <c r="G4078" s="247" t="s">
        <v>1035</v>
      </c>
      <c r="H4078" s="248" t="s">
        <v>234</v>
      </c>
      <c r="I4078" s="248" t="s">
        <v>263</v>
      </c>
      <c r="J4078" s="247" t="s">
        <v>809</v>
      </c>
      <c r="K4078" s="249">
        <v>0</v>
      </c>
      <c r="M4078" s="90">
        <v>0</v>
      </c>
      <c r="N4078" s="90">
        <v>0</v>
      </c>
      <c r="O4078" s="90">
        <v>255</v>
      </c>
    </row>
    <row r="4079" spans="1:15" s="90" customFormat="1" ht="12.75" customHeight="1" x14ac:dyDescent="0.2">
      <c r="A4079" s="247" t="s">
        <v>1758</v>
      </c>
      <c r="B4079" s="316">
        <v>3037</v>
      </c>
      <c r="C4079" s="247" t="s">
        <v>996</v>
      </c>
      <c r="D4079" s="317">
        <v>42676</v>
      </c>
      <c r="E4079" s="318">
        <v>0.50328703703703703</v>
      </c>
      <c r="F4079" s="247" t="s">
        <v>980</v>
      </c>
      <c r="G4079" s="247" t="s">
        <v>1035</v>
      </c>
      <c r="H4079" s="248" t="s">
        <v>234</v>
      </c>
      <c r="I4079" s="248" t="s">
        <v>263</v>
      </c>
      <c r="J4079" s="247" t="s">
        <v>809</v>
      </c>
      <c r="K4079" s="249">
        <v>0</v>
      </c>
      <c r="M4079" s="90">
        <v>0</v>
      </c>
      <c r="N4079" s="90">
        <v>0</v>
      </c>
      <c r="O4079" s="90">
        <v>255</v>
      </c>
    </row>
    <row r="4080" spans="1:15" s="90" customFormat="1" ht="12.75" customHeight="1" x14ac:dyDescent="0.2">
      <c r="A4080" s="247" t="s">
        <v>1759</v>
      </c>
      <c r="B4080" s="316">
        <v>3037</v>
      </c>
      <c r="C4080" s="247" t="s">
        <v>996</v>
      </c>
      <c r="D4080" s="317">
        <v>42676</v>
      </c>
      <c r="E4080" s="318">
        <v>0.50329861111111118</v>
      </c>
      <c r="F4080" s="247" t="s">
        <v>980</v>
      </c>
      <c r="G4080" s="247" t="s">
        <v>1035</v>
      </c>
      <c r="H4080" s="248" t="s">
        <v>234</v>
      </c>
      <c r="I4080" s="248" t="s">
        <v>263</v>
      </c>
      <c r="J4080" s="247" t="s">
        <v>809</v>
      </c>
      <c r="K4080" s="249">
        <v>0</v>
      </c>
      <c r="M4080" s="90">
        <v>0</v>
      </c>
      <c r="N4080" s="90">
        <v>0</v>
      </c>
      <c r="O4080" s="90">
        <v>255</v>
      </c>
    </row>
    <row r="4081" spans="1:15" s="90" customFormat="1" ht="12.75" customHeight="1" x14ac:dyDescent="0.2">
      <c r="A4081" s="247" t="s">
        <v>1760</v>
      </c>
      <c r="B4081" s="316">
        <v>3037</v>
      </c>
      <c r="C4081" s="247" t="s">
        <v>996</v>
      </c>
      <c r="D4081" s="317">
        <v>42676</v>
      </c>
      <c r="E4081" s="318">
        <v>0.50329861111111118</v>
      </c>
      <c r="F4081" s="247" t="s">
        <v>980</v>
      </c>
      <c r="G4081" s="247" t="s">
        <v>1035</v>
      </c>
      <c r="H4081" s="248" t="s">
        <v>234</v>
      </c>
      <c r="I4081" s="248" t="s">
        <v>263</v>
      </c>
      <c r="J4081" s="247" t="s">
        <v>809</v>
      </c>
      <c r="K4081" s="249">
        <v>0</v>
      </c>
      <c r="M4081" s="90">
        <v>0</v>
      </c>
      <c r="N4081" s="90">
        <v>0</v>
      </c>
      <c r="O4081" s="90">
        <v>255</v>
      </c>
    </row>
    <row r="4082" spans="1:15" s="90" customFormat="1" ht="12.75" customHeight="1" x14ac:dyDescent="0.2">
      <c r="A4082" s="247" t="s">
        <v>1761</v>
      </c>
      <c r="B4082" s="316">
        <v>3037</v>
      </c>
      <c r="C4082" s="247" t="s">
        <v>996</v>
      </c>
      <c r="D4082" s="317">
        <v>42676</v>
      </c>
      <c r="E4082" s="318">
        <v>0.50329861111111118</v>
      </c>
      <c r="F4082" s="247" t="s">
        <v>980</v>
      </c>
      <c r="G4082" s="247" t="s">
        <v>1035</v>
      </c>
      <c r="H4082" s="248" t="s">
        <v>234</v>
      </c>
      <c r="I4082" s="248" t="s">
        <v>263</v>
      </c>
      <c r="J4082" s="247" t="s">
        <v>809</v>
      </c>
      <c r="K4082" s="249">
        <v>0</v>
      </c>
      <c r="M4082" s="90">
        <v>0</v>
      </c>
      <c r="N4082" s="90">
        <v>0</v>
      </c>
      <c r="O4082" s="90">
        <v>255</v>
      </c>
    </row>
    <row r="4083" spans="1:15" s="90" customFormat="1" ht="12.75" customHeight="1" x14ac:dyDescent="0.2">
      <c r="A4083" s="247" t="s">
        <v>1545</v>
      </c>
      <c r="B4083" s="316">
        <v>3037</v>
      </c>
      <c r="C4083" s="247" t="s">
        <v>996</v>
      </c>
      <c r="D4083" s="317">
        <v>42676</v>
      </c>
      <c r="E4083" s="318">
        <v>0.50329861111111118</v>
      </c>
      <c r="F4083" s="247" t="s">
        <v>980</v>
      </c>
      <c r="G4083" s="247" t="s">
        <v>1035</v>
      </c>
      <c r="H4083" s="248" t="s">
        <v>234</v>
      </c>
      <c r="I4083" s="248" t="s">
        <v>263</v>
      </c>
      <c r="J4083" s="247" t="s">
        <v>809</v>
      </c>
      <c r="K4083" s="249">
        <v>0</v>
      </c>
      <c r="M4083" s="90">
        <v>0</v>
      </c>
      <c r="N4083" s="90">
        <v>0</v>
      </c>
      <c r="O4083" s="90">
        <v>255</v>
      </c>
    </row>
    <row r="4084" spans="1:15" s="90" customFormat="1" ht="12.75" customHeight="1" x14ac:dyDescent="0.2">
      <c r="A4084" s="247" t="s">
        <v>1762</v>
      </c>
      <c r="B4084" s="316">
        <v>3037</v>
      </c>
      <c r="C4084" s="247" t="s">
        <v>996</v>
      </c>
      <c r="D4084" s="317">
        <v>42676</v>
      </c>
      <c r="E4084" s="318">
        <v>0.50329861111111118</v>
      </c>
      <c r="F4084" s="247" t="s">
        <v>980</v>
      </c>
      <c r="G4084" s="247" t="s">
        <v>1035</v>
      </c>
      <c r="H4084" s="248" t="s">
        <v>234</v>
      </c>
      <c r="I4084" s="248" t="s">
        <v>263</v>
      </c>
      <c r="J4084" s="247" t="s">
        <v>809</v>
      </c>
      <c r="K4084" s="249">
        <v>0</v>
      </c>
      <c r="M4084" s="90">
        <v>0</v>
      </c>
      <c r="N4084" s="90">
        <v>0</v>
      </c>
      <c r="O4084" s="90">
        <v>255</v>
      </c>
    </row>
    <row r="4085" spans="1:15" s="90" customFormat="1" ht="12.75" customHeight="1" x14ac:dyDescent="0.2">
      <c r="A4085" s="247" t="s">
        <v>1763</v>
      </c>
      <c r="B4085" s="316">
        <v>3037</v>
      </c>
      <c r="C4085" s="247" t="s">
        <v>996</v>
      </c>
      <c r="D4085" s="317">
        <v>42676</v>
      </c>
      <c r="E4085" s="318">
        <v>0.50329861111111118</v>
      </c>
      <c r="F4085" s="247" t="s">
        <v>980</v>
      </c>
      <c r="G4085" s="247" t="s">
        <v>1035</v>
      </c>
      <c r="H4085" s="248" t="s">
        <v>234</v>
      </c>
      <c r="I4085" s="248" t="s">
        <v>263</v>
      </c>
      <c r="J4085" s="247" t="s">
        <v>809</v>
      </c>
      <c r="K4085" s="249">
        <v>0</v>
      </c>
      <c r="M4085" s="90">
        <v>0</v>
      </c>
      <c r="N4085" s="90">
        <v>0</v>
      </c>
      <c r="O4085" s="90">
        <v>255</v>
      </c>
    </row>
    <row r="4086" spans="1:15" s="90" customFormat="1" ht="12.75" customHeight="1" x14ac:dyDescent="0.2">
      <c r="A4086" s="247" t="s">
        <v>1764</v>
      </c>
      <c r="B4086" s="316">
        <v>3037</v>
      </c>
      <c r="C4086" s="247" t="s">
        <v>996</v>
      </c>
      <c r="D4086" s="317">
        <v>42676</v>
      </c>
      <c r="E4086" s="318">
        <v>0.50329861111111118</v>
      </c>
      <c r="F4086" s="247" t="s">
        <v>980</v>
      </c>
      <c r="G4086" s="247" t="s">
        <v>1035</v>
      </c>
      <c r="H4086" s="248" t="s">
        <v>234</v>
      </c>
      <c r="I4086" s="248" t="s">
        <v>263</v>
      </c>
      <c r="J4086" s="247" t="s">
        <v>809</v>
      </c>
      <c r="K4086" s="249">
        <v>0</v>
      </c>
      <c r="M4086" s="90">
        <v>0</v>
      </c>
      <c r="N4086" s="90">
        <v>0</v>
      </c>
      <c r="O4086" s="90">
        <v>255</v>
      </c>
    </row>
    <row r="4087" spans="1:15" s="90" customFormat="1" ht="12.75" customHeight="1" x14ac:dyDescent="0.2">
      <c r="A4087" s="247" t="s">
        <v>1765</v>
      </c>
      <c r="B4087" s="316">
        <v>3037</v>
      </c>
      <c r="C4087" s="247" t="s">
        <v>996</v>
      </c>
      <c r="D4087" s="317">
        <v>42676</v>
      </c>
      <c r="E4087" s="318">
        <v>0.50329861111111118</v>
      </c>
      <c r="F4087" s="247" t="s">
        <v>980</v>
      </c>
      <c r="G4087" s="247" t="s">
        <v>1035</v>
      </c>
      <c r="H4087" s="248" t="s">
        <v>234</v>
      </c>
      <c r="I4087" s="248" t="s">
        <v>263</v>
      </c>
      <c r="J4087" s="247" t="s">
        <v>809</v>
      </c>
      <c r="K4087" s="249">
        <v>0</v>
      </c>
      <c r="M4087" s="90">
        <v>0</v>
      </c>
      <c r="N4087" s="90">
        <v>0</v>
      </c>
      <c r="O4087" s="90">
        <v>255</v>
      </c>
    </row>
    <row r="4088" spans="1:15" s="90" customFormat="1" ht="12.75" customHeight="1" x14ac:dyDescent="0.2">
      <c r="A4088" s="247" t="s">
        <v>1766</v>
      </c>
      <c r="B4088" s="316">
        <v>3037</v>
      </c>
      <c r="C4088" s="247" t="s">
        <v>996</v>
      </c>
      <c r="D4088" s="317">
        <v>42676</v>
      </c>
      <c r="E4088" s="318">
        <v>0.50329861111111118</v>
      </c>
      <c r="F4088" s="247" t="s">
        <v>980</v>
      </c>
      <c r="G4088" s="247" t="s">
        <v>1035</v>
      </c>
      <c r="H4088" s="248" t="s">
        <v>234</v>
      </c>
      <c r="I4088" s="248" t="s">
        <v>263</v>
      </c>
      <c r="J4088" s="247" t="s">
        <v>809</v>
      </c>
      <c r="K4088" s="249">
        <v>0</v>
      </c>
      <c r="M4088" s="90">
        <v>0</v>
      </c>
      <c r="N4088" s="90">
        <v>0</v>
      </c>
      <c r="O4088" s="90">
        <v>255</v>
      </c>
    </row>
    <row r="4089" spans="1:15" s="90" customFormat="1" ht="12.75" customHeight="1" x14ac:dyDescent="0.2">
      <c r="A4089" s="247" t="s">
        <v>1767</v>
      </c>
      <c r="B4089" s="316">
        <v>3037</v>
      </c>
      <c r="C4089" s="247" t="s">
        <v>996</v>
      </c>
      <c r="D4089" s="317">
        <v>42676</v>
      </c>
      <c r="E4089" s="318">
        <v>0.50329861111111118</v>
      </c>
      <c r="F4089" s="247" t="s">
        <v>980</v>
      </c>
      <c r="G4089" s="247" t="s">
        <v>1035</v>
      </c>
      <c r="H4089" s="248" t="s">
        <v>234</v>
      </c>
      <c r="I4089" s="248" t="s">
        <v>263</v>
      </c>
      <c r="J4089" s="247" t="s">
        <v>809</v>
      </c>
      <c r="K4089" s="249">
        <v>0</v>
      </c>
      <c r="M4089" s="90">
        <v>0</v>
      </c>
      <c r="N4089" s="90">
        <v>0</v>
      </c>
      <c r="O4089" s="90">
        <v>255</v>
      </c>
    </row>
    <row r="4090" spans="1:15" s="90" customFormat="1" ht="12.75" customHeight="1" x14ac:dyDescent="0.2">
      <c r="A4090" s="247" t="s">
        <v>1768</v>
      </c>
      <c r="B4090" s="316">
        <v>3037</v>
      </c>
      <c r="C4090" s="247" t="s">
        <v>996</v>
      </c>
      <c r="D4090" s="317">
        <v>42676</v>
      </c>
      <c r="E4090" s="318">
        <v>0.50329861111111118</v>
      </c>
      <c r="F4090" s="247" t="s">
        <v>980</v>
      </c>
      <c r="G4090" s="247" t="s">
        <v>1035</v>
      </c>
      <c r="H4090" s="248" t="s">
        <v>234</v>
      </c>
      <c r="I4090" s="248" t="s">
        <v>263</v>
      </c>
      <c r="J4090" s="247" t="s">
        <v>809</v>
      </c>
      <c r="K4090" s="249">
        <v>0</v>
      </c>
      <c r="M4090" s="90">
        <v>0</v>
      </c>
      <c r="N4090" s="90">
        <v>0</v>
      </c>
      <c r="O4090" s="90">
        <v>255</v>
      </c>
    </row>
    <row r="4091" spans="1:15" s="90" customFormat="1" ht="12.75" customHeight="1" x14ac:dyDescent="0.2">
      <c r="A4091" s="247" t="s">
        <v>1769</v>
      </c>
      <c r="B4091" s="316">
        <v>3037</v>
      </c>
      <c r="C4091" s="247" t="s">
        <v>996</v>
      </c>
      <c r="D4091" s="317">
        <v>42676</v>
      </c>
      <c r="E4091" s="318">
        <v>0.50329861111111118</v>
      </c>
      <c r="F4091" s="247" t="s">
        <v>980</v>
      </c>
      <c r="G4091" s="247" t="s">
        <v>1035</v>
      </c>
      <c r="H4091" s="248" t="s">
        <v>234</v>
      </c>
      <c r="I4091" s="248" t="s">
        <v>263</v>
      </c>
      <c r="J4091" s="247" t="s">
        <v>809</v>
      </c>
      <c r="K4091" s="249">
        <v>0</v>
      </c>
      <c r="M4091" s="90">
        <v>0</v>
      </c>
      <c r="N4091" s="90">
        <v>0</v>
      </c>
      <c r="O4091" s="90">
        <v>255</v>
      </c>
    </row>
    <row r="4092" spans="1:15" s="90" customFormat="1" ht="12.75" customHeight="1" x14ac:dyDescent="0.2">
      <c r="A4092" s="247" t="s">
        <v>1546</v>
      </c>
      <c r="B4092" s="316">
        <v>3037</v>
      </c>
      <c r="C4092" s="247" t="s">
        <v>996</v>
      </c>
      <c r="D4092" s="317">
        <v>42676</v>
      </c>
      <c r="E4092" s="318">
        <v>0.50358796296296293</v>
      </c>
      <c r="F4092" s="247" t="s">
        <v>980</v>
      </c>
      <c r="G4092" s="247" t="s">
        <v>1035</v>
      </c>
      <c r="H4092" s="248" t="s">
        <v>234</v>
      </c>
      <c r="I4092" s="248" t="s">
        <v>263</v>
      </c>
      <c r="J4092" s="247" t="s">
        <v>809</v>
      </c>
      <c r="K4092" s="249">
        <v>0</v>
      </c>
      <c r="M4092" s="90">
        <v>0</v>
      </c>
      <c r="N4092" s="90">
        <v>0</v>
      </c>
      <c r="O4092" s="90">
        <v>255</v>
      </c>
    </row>
    <row r="4093" spans="1:15" s="90" customFormat="1" ht="12.75" customHeight="1" x14ac:dyDescent="0.2">
      <c r="A4093" s="247" t="s">
        <v>1495</v>
      </c>
      <c r="B4093" s="316">
        <v>3037</v>
      </c>
      <c r="C4093" s="247" t="s">
        <v>996</v>
      </c>
      <c r="D4093" s="317">
        <v>42676</v>
      </c>
      <c r="E4093" s="318">
        <v>0.50358796296296293</v>
      </c>
      <c r="F4093" s="247" t="s">
        <v>980</v>
      </c>
      <c r="G4093" s="247" t="s">
        <v>1035</v>
      </c>
      <c r="H4093" s="248" t="s">
        <v>234</v>
      </c>
      <c r="I4093" s="248" t="s">
        <v>263</v>
      </c>
      <c r="J4093" s="247" t="s">
        <v>809</v>
      </c>
      <c r="K4093" s="249">
        <v>0</v>
      </c>
      <c r="M4093" s="90">
        <v>0</v>
      </c>
      <c r="N4093" s="90">
        <v>0</v>
      </c>
      <c r="O4093" s="90">
        <v>255</v>
      </c>
    </row>
    <row r="4094" spans="1:15" s="90" customFormat="1" ht="12.75" customHeight="1" x14ac:dyDescent="0.2">
      <c r="A4094" s="247" t="s">
        <v>1496</v>
      </c>
      <c r="B4094" s="316">
        <v>3037</v>
      </c>
      <c r="C4094" s="247" t="s">
        <v>996</v>
      </c>
      <c r="D4094" s="317">
        <v>42676</v>
      </c>
      <c r="E4094" s="318">
        <v>0.50358796296296293</v>
      </c>
      <c r="F4094" s="247" t="s">
        <v>980</v>
      </c>
      <c r="G4094" s="247" t="s">
        <v>1035</v>
      </c>
      <c r="H4094" s="248" t="s">
        <v>234</v>
      </c>
      <c r="I4094" s="248" t="s">
        <v>263</v>
      </c>
      <c r="J4094" s="247" t="s">
        <v>809</v>
      </c>
      <c r="K4094" s="249">
        <v>0</v>
      </c>
      <c r="M4094" s="90">
        <v>0</v>
      </c>
      <c r="N4094" s="90">
        <v>0</v>
      </c>
      <c r="O4094" s="90">
        <v>255</v>
      </c>
    </row>
    <row r="4095" spans="1:15" s="90" customFormat="1" ht="12.75" customHeight="1" x14ac:dyDescent="0.2">
      <c r="A4095" s="247" t="s">
        <v>1497</v>
      </c>
      <c r="B4095" s="316">
        <v>3037</v>
      </c>
      <c r="C4095" s="247" t="s">
        <v>996</v>
      </c>
      <c r="D4095" s="317">
        <v>42676</v>
      </c>
      <c r="E4095" s="318">
        <v>0.50358796296296293</v>
      </c>
      <c r="F4095" s="247" t="s">
        <v>980</v>
      </c>
      <c r="G4095" s="247" t="s">
        <v>1035</v>
      </c>
      <c r="H4095" s="248" t="s">
        <v>234</v>
      </c>
      <c r="I4095" s="248" t="s">
        <v>263</v>
      </c>
      <c r="J4095" s="247" t="s">
        <v>809</v>
      </c>
      <c r="K4095" s="249">
        <v>0</v>
      </c>
      <c r="M4095" s="90">
        <v>0</v>
      </c>
      <c r="N4095" s="90">
        <v>0</v>
      </c>
      <c r="O4095" s="90">
        <v>255</v>
      </c>
    </row>
    <row r="4096" spans="1:15" s="90" customFormat="1" ht="12.75" customHeight="1" x14ac:dyDescent="0.2">
      <c r="A4096" s="247" t="s">
        <v>1498</v>
      </c>
      <c r="B4096" s="316">
        <v>3037</v>
      </c>
      <c r="C4096" s="247" t="s">
        <v>996</v>
      </c>
      <c r="D4096" s="317">
        <v>42676</v>
      </c>
      <c r="E4096" s="318">
        <v>0.50359953703703708</v>
      </c>
      <c r="F4096" s="247" t="s">
        <v>980</v>
      </c>
      <c r="G4096" s="247" t="s">
        <v>1035</v>
      </c>
      <c r="H4096" s="248" t="s">
        <v>234</v>
      </c>
      <c r="I4096" s="248" t="s">
        <v>263</v>
      </c>
      <c r="J4096" s="247" t="s">
        <v>809</v>
      </c>
      <c r="K4096" s="249">
        <v>0</v>
      </c>
      <c r="M4096" s="90">
        <v>0</v>
      </c>
      <c r="N4096" s="90">
        <v>0</v>
      </c>
      <c r="O4096" s="90">
        <v>255</v>
      </c>
    </row>
    <row r="4097" spans="1:15" s="90" customFormat="1" ht="12.75" customHeight="1" x14ac:dyDescent="0.2">
      <c r="A4097" s="247" t="s">
        <v>1499</v>
      </c>
      <c r="B4097" s="316">
        <v>3037</v>
      </c>
      <c r="C4097" s="247" t="s">
        <v>996</v>
      </c>
      <c r="D4097" s="317">
        <v>42676</v>
      </c>
      <c r="E4097" s="318">
        <v>0.50359953703703708</v>
      </c>
      <c r="F4097" s="247" t="s">
        <v>980</v>
      </c>
      <c r="G4097" s="247" t="s">
        <v>1035</v>
      </c>
      <c r="H4097" s="248" t="s">
        <v>234</v>
      </c>
      <c r="I4097" s="248" t="s">
        <v>263</v>
      </c>
      <c r="J4097" s="247" t="s">
        <v>809</v>
      </c>
      <c r="K4097" s="249">
        <v>0</v>
      </c>
      <c r="M4097" s="90">
        <v>0</v>
      </c>
      <c r="N4097" s="90">
        <v>0</v>
      </c>
      <c r="O4097" s="90">
        <v>255</v>
      </c>
    </row>
    <row r="4098" spans="1:15" s="90" customFormat="1" ht="12.75" customHeight="1" x14ac:dyDescent="0.2">
      <c r="A4098" s="247" t="s">
        <v>1502</v>
      </c>
      <c r="B4098" s="316">
        <v>3037</v>
      </c>
      <c r="C4098" s="247" t="s">
        <v>996</v>
      </c>
      <c r="D4098" s="317">
        <v>42676</v>
      </c>
      <c r="E4098" s="318">
        <v>0.50359953703703708</v>
      </c>
      <c r="F4098" s="247" t="s">
        <v>980</v>
      </c>
      <c r="G4098" s="247" t="s">
        <v>1035</v>
      </c>
      <c r="H4098" s="248" t="s">
        <v>234</v>
      </c>
      <c r="I4098" s="248" t="s">
        <v>263</v>
      </c>
      <c r="J4098" s="247" t="s">
        <v>809</v>
      </c>
      <c r="K4098" s="249">
        <v>0</v>
      </c>
      <c r="M4098" s="90">
        <v>0</v>
      </c>
      <c r="N4098" s="90">
        <v>0</v>
      </c>
      <c r="O4098" s="90">
        <v>255</v>
      </c>
    </row>
    <row r="4099" spans="1:15" s="90" customFormat="1" ht="12.75" customHeight="1" x14ac:dyDescent="0.2">
      <c r="A4099" s="247" t="s">
        <v>1547</v>
      </c>
      <c r="B4099" s="316">
        <v>3037</v>
      </c>
      <c r="C4099" s="247" t="s">
        <v>996</v>
      </c>
      <c r="D4099" s="317">
        <v>42676</v>
      </c>
      <c r="E4099" s="318">
        <v>0.50359953703703708</v>
      </c>
      <c r="F4099" s="247" t="s">
        <v>980</v>
      </c>
      <c r="G4099" s="247" t="s">
        <v>1035</v>
      </c>
      <c r="H4099" s="248" t="s">
        <v>234</v>
      </c>
      <c r="I4099" s="248" t="s">
        <v>263</v>
      </c>
      <c r="J4099" s="247" t="s">
        <v>809</v>
      </c>
      <c r="K4099" s="249">
        <v>0</v>
      </c>
      <c r="M4099" s="90">
        <v>0</v>
      </c>
      <c r="N4099" s="90">
        <v>0</v>
      </c>
      <c r="O4099" s="90">
        <v>255</v>
      </c>
    </row>
    <row r="4100" spans="1:15" s="90" customFormat="1" ht="12.75" customHeight="1" x14ac:dyDescent="0.2">
      <c r="A4100" s="247" t="s">
        <v>1548</v>
      </c>
      <c r="B4100" s="316">
        <v>3037</v>
      </c>
      <c r="C4100" s="247" t="s">
        <v>996</v>
      </c>
      <c r="D4100" s="317">
        <v>42676</v>
      </c>
      <c r="E4100" s="318">
        <v>0.50359953703703708</v>
      </c>
      <c r="F4100" s="247" t="s">
        <v>980</v>
      </c>
      <c r="G4100" s="247" t="s">
        <v>1035</v>
      </c>
      <c r="H4100" s="248" t="s">
        <v>234</v>
      </c>
      <c r="I4100" s="248" t="s">
        <v>263</v>
      </c>
      <c r="J4100" s="247" t="s">
        <v>809</v>
      </c>
      <c r="K4100" s="249">
        <v>0</v>
      </c>
      <c r="M4100" s="90">
        <v>0</v>
      </c>
      <c r="N4100" s="90">
        <v>0</v>
      </c>
      <c r="O4100" s="90">
        <v>255</v>
      </c>
    </row>
    <row r="4101" spans="1:15" s="90" customFormat="1" ht="12.75" customHeight="1" x14ac:dyDescent="0.2">
      <c r="A4101" s="247" t="s">
        <v>1549</v>
      </c>
      <c r="B4101" s="316">
        <v>3037</v>
      </c>
      <c r="C4101" s="247" t="s">
        <v>996</v>
      </c>
      <c r="D4101" s="317">
        <v>42676</v>
      </c>
      <c r="E4101" s="318">
        <v>0.50361111111111112</v>
      </c>
      <c r="F4101" s="247" t="s">
        <v>980</v>
      </c>
      <c r="G4101" s="247" t="s">
        <v>1035</v>
      </c>
      <c r="H4101" s="248" t="s">
        <v>234</v>
      </c>
      <c r="I4101" s="248" t="s">
        <v>263</v>
      </c>
      <c r="J4101" s="247" t="s">
        <v>809</v>
      </c>
      <c r="K4101" s="249">
        <v>0</v>
      </c>
      <c r="M4101" s="90">
        <v>0</v>
      </c>
      <c r="N4101" s="90">
        <v>0</v>
      </c>
      <c r="O4101" s="90">
        <v>255</v>
      </c>
    </row>
    <row r="4102" spans="1:15" s="90" customFormat="1" ht="12.75" customHeight="1" x14ac:dyDescent="0.2">
      <c r="A4102" s="247" t="s">
        <v>1550</v>
      </c>
      <c r="B4102" s="316">
        <v>3037</v>
      </c>
      <c r="C4102" s="247" t="s">
        <v>996</v>
      </c>
      <c r="D4102" s="317">
        <v>42676</v>
      </c>
      <c r="E4102" s="318">
        <v>0.50361111111111112</v>
      </c>
      <c r="F4102" s="247" t="s">
        <v>980</v>
      </c>
      <c r="G4102" s="247" t="s">
        <v>1035</v>
      </c>
      <c r="H4102" s="248" t="s">
        <v>234</v>
      </c>
      <c r="I4102" s="248" t="s">
        <v>263</v>
      </c>
      <c r="J4102" s="247" t="s">
        <v>809</v>
      </c>
      <c r="K4102" s="249">
        <v>0</v>
      </c>
      <c r="M4102" s="90">
        <v>0</v>
      </c>
      <c r="N4102" s="90">
        <v>0</v>
      </c>
      <c r="O4102" s="90">
        <v>255</v>
      </c>
    </row>
    <row r="4103" spans="1:15" s="90" customFormat="1" ht="12.75" customHeight="1" x14ac:dyDescent="0.2">
      <c r="A4103" s="247" t="s">
        <v>1551</v>
      </c>
      <c r="B4103" s="316">
        <v>3037</v>
      </c>
      <c r="C4103" s="247" t="s">
        <v>996</v>
      </c>
      <c r="D4103" s="317">
        <v>42676</v>
      </c>
      <c r="E4103" s="318">
        <v>0.50361111111111112</v>
      </c>
      <c r="F4103" s="247" t="s">
        <v>980</v>
      </c>
      <c r="G4103" s="247" t="s">
        <v>1035</v>
      </c>
      <c r="H4103" s="248" t="s">
        <v>234</v>
      </c>
      <c r="I4103" s="248" t="s">
        <v>263</v>
      </c>
      <c r="J4103" s="247" t="s">
        <v>809</v>
      </c>
      <c r="K4103" s="249">
        <v>0</v>
      </c>
      <c r="M4103" s="90">
        <v>0</v>
      </c>
      <c r="N4103" s="90">
        <v>0</v>
      </c>
      <c r="O4103" s="90">
        <v>255</v>
      </c>
    </row>
    <row r="4104" spans="1:15" s="90" customFormat="1" ht="12.75" customHeight="1" x14ac:dyDescent="0.2">
      <c r="A4104" s="247" t="s">
        <v>1552</v>
      </c>
      <c r="B4104" s="316">
        <v>3037</v>
      </c>
      <c r="C4104" s="247" t="s">
        <v>996</v>
      </c>
      <c r="D4104" s="317">
        <v>42676</v>
      </c>
      <c r="E4104" s="318">
        <v>0.50361111111111112</v>
      </c>
      <c r="F4104" s="247" t="s">
        <v>980</v>
      </c>
      <c r="G4104" s="247" t="s">
        <v>1035</v>
      </c>
      <c r="H4104" s="248" t="s">
        <v>234</v>
      </c>
      <c r="I4104" s="248" t="s">
        <v>263</v>
      </c>
      <c r="J4104" s="247" t="s">
        <v>809</v>
      </c>
      <c r="K4104" s="249">
        <v>0</v>
      </c>
      <c r="M4104" s="90">
        <v>0</v>
      </c>
      <c r="N4104" s="90">
        <v>0</v>
      </c>
      <c r="O4104" s="90">
        <v>255</v>
      </c>
    </row>
    <row r="4105" spans="1:15" s="90" customFormat="1" ht="12.75" customHeight="1" x14ac:dyDescent="0.2">
      <c r="A4105" s="247" t="s">
        <v>1553</v>
      </c>
      <c r="B4105" s="316">
        <v>3037</v>
      </c>
      <c r="C4105" s="247" t="s">
        <v>996</v>
      </c>
      <c r="D4105" s="317">
        <v>42676</v>
      </c>
      <c r="E4105" s="318">
        <v>0.50362268518518516</v>
      </c>
      <c r="F4105" s="247" t="s">
        <v>980</v>
      </c>
      <c r="G4105" s="247" t="s">
        <v>1035</v>
      </c>
      <c r="H4105" s="248" t="s">
        <v>234</v>
      </c>
      <c r="I4105" s="248" t="s">
        <v>263</v>
      </c>
      <c r="J4105" s="247" t="s">
        <v>809</v>
      </c>
      <c r="K4105" s="249">
        <v>0</v>
      </c>
      <c r="M4105" s="90">
        <v>0</v>
      </c>
      <c r="N4105" s="90">
        <v>0</v>
      </c>
      <c r="O4105" s="90">
        <v>255</v>
      </c>
    </row>
    <row r="4106" spans="1:15" s="90" customFormat="1" ht="12.75" customHeight="1" x14ac:dyDescent="0.2">
      <c r="A4106" s="247" t="s">
        <v>1554</v>
      </c>
      <c r="B4106" s="316">
        <v>3037</v>
      </c>
      <c r="C4106" s="247" t="s">
        <v>996</v>
      </c>
      <c r="D4106" s="317">
        <v>42676</v>
      </c>
      <c r="E4106" s="318">
        <v>0.50362268518518516</v>
      </c>
      <c r="F4106" s="247" t="s">
        <v>980</v>
      </c>
      <c r="G4106" s="247" t="s">
        <v>1035</v>
      </c>
      <c r="H4106" s="248" t="s">
        <v>234</v>
      </c>
      <c r="I4106" s="248" t="s">
        <v>263</v>
      </c>
      <c r="J4106" s="247" t="s">
        <v>809</v>
      </c>
      <c r="K4106" s="249">
        <v>0</v>
      </c>
      <c r="M4106" s="90">
        <v>0</v>
      </c>
      <c r="N4106" s="90">
        <v>0</v>
      </c>
      <c r="O4106" s="90">
        <v>255</v>
      </c>
    </row>
    <row r="4107" spans="1:15" s="90" customFormat="1" ht="12.75" customHeight="1" x14ac:dyDescent="0.2">
      <c r="A4107" s="247" t="s">
        <v>1555</v>
      </c>
      <c r="B4107" s="316">
        <v>3037</v>
      </c>
      <c r="C4107" s="247" t="s">
        <v>996</v>
      </c>
      <c r="D4107" s="317">
        <v>42676</v>
      </c>
      <c r="E4107" s="318">
        <v>0.50362268518518516</v>
      </c>
      <c r="F4107" s="247" t="s">
        <v>980</v>
      </c>
      <c r="G4107" s="247" t="s">
        <v>1035</v>
      </c>
      <c r="H4107" s="248" t="s">
        <v>234</v>
      </c>
      <c r="I4107" s="248" t="s">
        <v>263</v>
      </c>
      <c r="J4107" s="247" t="s">
        <v>809</v>
      </c>
      <c r="K4107" s="249">
        <v>0</v>
      </c>
      <c r="M4107" s="90">
        <v>0</v>
      </c>
      <c r="N4107" s="90">
        <v>0</v>
      </c>
      <c r="O4107" s="90">
        <v>255</v>
      </c>
    </row>
    <row r="4108" spans="1:15" s="90" customFormat="1" ht="12.75" customHeight="1" x14ac:dyDescent="0.2">
      <c r="A4108" s="247" t="s">
        <v>1556</v>
      </c>
      <c r="B4108" s="316">
        <v>3037</v>
      </c>
      <c r="C4108" s="247" t="s">
        <v>996</v>
      </c>
      <c r="D4108" s="317">
        <v>42676</v>
      </c>
      <c r="E4108" s="318">
        <v>0.50362268518518516</v>
      </c>
      <c r="F4108" s="247" t="s">
        <v>980</v>
      </c>
      <c r="G4108" s="247" t="s">
        <v>1035</v>
      </c>
      <c r="H4108" s="248" t="s">
        <v>234</v>
      </c>
      <c r="I4108" s="248" t="s">
        <v>263</v>
      </c>
      <c r="J4108" s="247" t="s">
        <v>809</v>
      </c>
      <c r="K4108" s="249">
        <v>0</v>
      </c>
      <c r="M4108" s="90">
        <v>0</v>
      </c>
      <c r="N4108" s="90">
        <v>0</v>
      </c>
      <c r="O4108" s="90">
        <v>255</v>
      </c>
    </row>
    <row r="4109" spans="1:15" s="90" customFormat="1" ht="12.75" customHeight="1" x14ac:dyDescent="0.2">
      <c r="A4109" s="247" t="s">
        <v>1557</v>
      </c>
      <c r="B4109" s="316">
        <v>3037</v>
      </c>
      <c r="C4109" s="247" t="s">
        <v>996</v>
      </c>
      <c r="D4109" s="317">
        <v>42676</v>
      </c>
      <c r="E4109" s="318">
        <v>0.50362268518518516</v>
      </c>
      <c r="F4109" s="247" t="s">
        <v>980</v>
      </c>
      <c r="G4109" s="247" t="s">
        <v>1035</v>
      </c>
      <c r="H4109" s="248" t="s">
        <v>234</v>
      </c>
      <c r="I4109" s="248" t="s">
        <v>263</v>
      </c>
      <c r="J4109" s="247" t="s">
        <v>809</v>
      </c>
      <c r="K4109" s="249">
        <v>0</v>
      </c>
      <c r="M4109" s="90">
        <v>0</v>
      </c>
      <c r="N4109" s="90">
        <v>0</v>
      </c>
      <c r="O4109" s="90">
        <v>255</v>
      </c>
    </row>
    <row r="4110" spans="1:15" s="90" customFormat="1" ht="12.75" customHeight="1" x14ac:dyDescent="0.2">
      <c r="A4110" s="247" t="s">
        <v>1558</v>
      </c>
      <c r="B4110" s="316">
        <v>3037</v>
      </c>
      <c r="C4110" s="247" t="s">
        <v>996</v>
      </c>
      <c r="D4110" s="317">
        <v>42676</v>
      </c>
      <c r="E4110" s="318">
        <v>0.50362268518518516</v>
      </c>
      <c r="F4110" s="247" t="s">
        <v>980</v>
      </c>
      <c r="G4110" s="247" t="s">
        <v>1035</v>
      </c>
      <c r="H4110" s="248" t="s">
        <v>234</v>
      </c>
      <c r="I4110" s="248" t="s">
        <v>263</v>
      </c>
      <c r="J4110" s="247" t="s">
        <v>809</v>
      </c>
      <c r="K4110" s="249">
        <v>0</v>
      </c>
      <c r="M4110" s="90">
        <v>0</v>
      </c>
      <c r="N4110" s="90">
        <v>0</v>
      </c>
      <c r="O4110" s="90">
        <v>255</v>
      </c>
    </row>
    <row r="4111" spans="1:15" s="90" customFormat="1" ht="12.75" customHeight="1" x14ac:dyDescent="0.2">
      <c r="A4111" s="247" t="s">
        <v>1559</v>
      </c>
      <c r="B4111" s="316">
        <v>3037</v>
      </c>
      <c r="C4111" s="247" t="s">
        <v>996</v>
      </c>
      <c r="D4111" s="317">
        <v>42676</v>
      </c>
      <c r="E4111" s="318">
        <v>0.5036342592592592</v>
      </c>
      <c r="F4111" s="247" t="s">
        <v>980</v>
      </c>
      <c r="G4111" s="247" t="s">
        <v>1035</v>
      </c>
      <c r="H4111" s="248" t="s">
        <v>234</v>
      </c>
      <c r="I4111" s="248" t="s">
        <v>263</v>
      </c>
      <c r="J4111" s="247" t="s">
        <v>809</v>
      </c>
      <c r="K4111" s="249">
        <v>0</v>
      </c>
      <c r="M4111" s="90">
        <v>0</v>
      </c>
      <c r="N4111" s="90">
        <v>0</v>
      </c>
      <c r="O4111" s="90">
        <v>255</v>
      </c>
    </row>
    <row r="4112" spans="1:15" s="90" customFormat="1" ht="12.75" customHeight="1" x14ac:dyDescent="0.2">
      <c r="A4112" s="247" t="s">
        <v>1560</v>
      </c>
      <c r="B4112" s="316">
        <v>3037</v>
      </c>
      <c r="C4112" s="247" t="s">
        <v>996</v>
      </c>
      <c r="D4112" s="317">
        <v>42676</v>
      </c>
      <c r="E4112" s="318">
        <v>0.5036342592592592</v>
      </c>
      <c r="F4112" s="247" t="s">
        <v>980</v>
      </c>
      <c r="G4112" s="247" t="s">
        <v>1035</v>
      </c>
      <c r="H4112" s="248" t="s">
        <v>234</v>
      </c>
      <c r="I4112" s="248" t="s">
        <v>263</v>
      </c>
      <c r="J4112" s="247" t="s">
        <v>809</v>
      </c>
      <c r="K4112" s="249">
        <v>0</v>
      </c>
      <c r="M4112" s="90">
        <v>0</v>
      </c>
      <c r="N4112" s="90">
        <v>0</v>
      </c>
      <c r="O4112" s="90">
        <v>255</v>
      </c>
    </row>
    <row r="4113" spans="1:15" s="90" customFormat="1" ht="12.75" customHeight="1" x14ac:dyDescent="0.2">
      <c r="A4113" s="247" t="s">
        <v>1561</v>
      </c>
      <c r="B4113" s="316">
        <v>3037</v>
      </c>
      <c r="C4113" s="247" t="s">
        <v>996</v>
      </c>
      <c r="D4113" s="317">
        <v>42676</v>
      </c>
      <c r="E4113" s="318">
        <v>0.5036342592592592</v>
      </c>
      <c r="F4113" s="247" t="s">
        <v>980</v>
      </c>
      <c r="G4113" s="247" t="s">
        <v>1035</v>
      </c>
      <c r="H4113" s="248" t="s">
        <v>234</v>
      </c>
      <c r="I4113" s="248" t="s">
        <v>263</v>
      </c>
      <c r="J4113" s="247" t="s">
        <v>809</v>
      </c>
      <c r="K4113" s="249">
        <v>0</v>
      </c>
      <c r="M4113" s="90">
        <v>0</v>
      </c>
      <c r="N4113" s="90">
        <v>0</v>
      </c>
      <c r="O4113" s="90">
        <v>255</v>
      </c>
    </row>
    <row r="4114" spans="1:15" s="90" customFormat="1" ht="12.75" customHeight="1" x14ac:dyDescent="0.2">
      <c r="A4114" s="247" t="s">
        <v>1562</v>
      </c>
      <c r="B4114" s="316">
        <v>3037</v>
      </c>
      <c r="C4114" s="247" t="s">
        <v>996</v>
      </c>
      <c r="D4114" s="317">
        <v>42676</v>
      </c>
      <c r="E4114" s="318">
        <v>0.5036342592592592</v>
      </c>
      <c r="F4114" s="247" t="s">
        <v>980</v>
      </c>
      <c r="G4114" s="247" t="s">
        <v>1035</v>
      </c>
      <c r="H4114" s="248" t="s">
        <v>234</v>
      </c>
      <c r="I4114" s="248" t="s">
        <v>263</v>
      </c>
      <c r="J4114" s="247" t="s">
        <v>809</v>
      </c>
      <c r="K4114" s="249">
        <v>0</v>
      </c>
      <c r="M4114" s="90">
        <v>0</v>
      </c>
      <c r="N4114" s="90">
        <v>0</v>
      </c>
      <c r="O4114" s="90">
        <v>255</v>
      </c>
    </row>
    <row r="4115" spans="1:15" s="90" customFormat="1" ht="12.75" customHeight="1" x14ac:dyDescent="0.2">
      <c r="A4115" s="247" t="s">
        <v>1563</v>
      </c>
      <c r="B4115" s="316">
        <v>3037</v>
      </c>
      <c r="C4115" s="247" t="s">
        <v>996</v>
      </c>
      <c r="D4115" s="317">
        <v>42676</v>
      </c>
      <c r="E4115" s="318">
        <v>0.5036342592592592</v>
      </c>
      <c r="F4115" s="247" t="s">
        <v>980</v>
      </c>
      <c r="G4115" s="247" t="s">
        <v>1035</v>
      </c>
      <c r="H4115" s="248" t="s">
        <v>234</v>
      </c>
      <c r="I4115" s="248" t="s">
        <v>263</v>
      </c>
      <c r="J4115" s="247" t="s">
        <v>809</v>
      </c>
      <c r="K4115" s="249">
        <v>0</v>
      </c>
      <c r="M4115" s="90">
        <v>0</v>
      </c>
      <c r="N4115" s="90">
        <v>0</v>
      </c>
      <c r="O4115" s="90">
        <v>255</v>
      </c>
    </row>
    <row r="4116" spans="1:15" s="90" customFormat="1" ht="12.75" customHeight="1" x14ac:dyDescent="0.2">
      <c r="A4116" s="247" t="s">
        <v>1564</v>
      </c>
      <c r="B4116" s="316">
        <v>3037</v>
      </c>
      <c r="C4116" s="247" t="s">
        <v>996</v>
      </c>
      <c r="D4116" s="317">
        <v>42676</v>
      </c>
      <c r="E4116" s="318">
        <v>0.50364583333333335</v>
      </c>
      <c r="F4116" s="247" t="s">
        <v>980</v>
      </c>
      <c r="G4116" s="247" t="s">
        <v>1035</v>
      </c>
      <c r="H4116" s="248" t="s">
        <v>234</v>
      </c>
      <c r="I4116" s="248" t="s">
        <v>263</v>
      </c>
      <c r="J4116" s="247" t="s">
        <v>809</v>
      </c>
      <c r="K4116" s="249">
        <v>0</v>
      </c>
      <c r="M4116" s="90">
        <v>0</v>
      </c>
      <c r="N4116" s="90">
        <v>0</v>
      </c>
      <c r="O4116" s="90">
        <v>255</v>
      </c>
    </row>
    <row r="4117" spans="1:15" s="90" customFormat="1" ht="12.75" customHeight="1" x14ac:dyDescent="0.2">
      <c r="A4117" s="247" t="s">
        <v>1565</v>
      </c>
      <c r="B4117" s="316">
        <v>3037</v>
      </c>
      <c r="C4117" s="247" t="s">
        <v>996</v>
      </c>
      <c r="D4117" s="317">
        <v>42676</v>
      </c>
      <c r="E4117" s="318">
        <v>0.50364583333333335</v>
      </c>
      <c r="F4117" s="247" t="s">
        <v>980</v>
      </c>
      <c r="G4117" s="247" t="s">
        <v>1035</v>
      </c>
      <c r="H4117" s="248" t="s">
        <v>234</v>
      </c>
      <c r="I4117" s="248" t="s">
        <v>263</v>
      </c>
      <c r="J4117" s="247" t="s">
        <v>809</v>
      </c>
      <c r="K4117" s="249">
        <v>0</v>
      </c>
      <c r="M4117" s="90">
        <v>0</v>
      </c>
      <c r="N4117" s="90">
        <v>0</v>
      </c>
      <c r="O4117" s="90">
        <v>255</v>
      </c>
    </row>
    <row r="4118" spans="1:15" s="90" customFormat="1" ht="12.75" customHeight="1" x14ac:dyDescent="0.2">
      <c r="A4118" s="247" t="s">
        <v>1566</v>
      </c>
      <c r="B4118" s="316">
        <v>3037</v>
      </c>
      <c r="C4118" s="247" t="s">
        <v>996</v>
      </c>
      <c r="D4118" s="317">
        <v>42676</v>
      </c>
      <c r="E4118" s="318">
        <v>0.50364583333333335</v>
      </c>
      <c r="F4118" s="247" t="s">
        <v>980</v>
      </c>
      <c r="G4118" s="247" t="s">
        <v>1035</v>
      </c>
      <c r="H4118" s="248" t="s">
        <v>234</v>
      </c>
      <c r="I4118" s="248" t="s">
        <v>263</v>
      </c>
      <c r="J4118" s="247" t="s">
        <v>809</v>
      </c>
      <c r="K4118" s="249">
        <v>0</v>
      </c>
      <c r="M4118" s="90">
        <v>0</v>
      </c>
      <c r="N4118" s="90">
        <v>0</v>
      </c>
      <c r="O4118" s="90">
        <v>255</v>
      </c>
    </row>
    <row r="4119" spans="1:15" s="90" customFormat="1" ht="12.75" customHeight="1" x14ac:dyDescent="0.2">
      <c r="A4119" s="247" t="s">
        <v>1567</v>
      </c>
      <c r="B4119" s="316">
        <v>3037</v>
      </c>
      <c r="C4119" s="247" t="s">
        <v>996</v>
      </c>
      <c r="D4119" s="317">
        <v>42676</v>
      </c>
      <c r="E4119" s="318">
        <v>0.50364583333333335</v>
      </c>
      <c r="F4119" s="247" t="s">
        <v>980</v>
      </c>
      <c r="G4119" s="247" t="s">
        <v>1035</v>
      </c>
      <c r="H4119" s="248" t="s">
        <v>234</v>
      </c>
      <c r="I4119" s="248" t="s">
        <v>263</v>
      </c>
      <c r="J4119" s="247" t="s">
        <v>809</v>
      </c>
      <c r="K4119" s="249">
        <v>0</v>
      </c>
      <c r="M4119" s="90">
        <v>0</v>
      </c>
      <c r="N4119" s="90">
        <v>0</v>
      </c>
      <c r="O4119" s="90">
        <v>255</v>
      </c>
    </row>
    <row r="4120" spans="1:15" s="90" customFormat="1" ht="12.75" customHeight="1" x14ac:dyDescent="0.2">
      <c r="A4120" s="247" t="s">
        <v>1568</v>
      </c>
      <c r="B4120" s="316">
        <v>3037</v>
      </c>
      <c r="C4120" s="247" t="s">
        <v>996</v>
      </c>
      <c r="D4120" s="317">
        <v>42676</v>
      </c>
      <c r="E4120" s="318">
        <v>0.50364583333333335</v>
      </c>
      <c r="F4120" s="247" t="s">
        <v>980</v>
      </c>
      <c r="G4120" s="247" t="s">
        <v>1035</v>
      </c>
      <c r="H4120" s="248" t="s">
        <v>234</v>
      </c>
      <c r="I4120" s="248" t="s">
        <v>263</v>
      </c>
      <c r="J4120" s="247" t="s">
        <v>809</v>
      </c>
      <c r="K4120" s="249">
        <v>0</v>
      </c>
      <c r="M4120" s="90">
        <v>0</v>
      </c>
      <c r="N4120" s="90">
        <v>0</v>
      </c>
      <c r="O4120" s="90">
        <v>255</v>
      </c>
    </row>
    <row r="4121" spans="1:15" s="90" customFormat="1" ht="12.75" customHeight="1" x14ac:dyDescent="0.2">
      <c r="A4121" s="247" t="s">
        <v>1569</v>
      </c>
      <c r="B4121" s="316">
        <v>3037</v>
      </c>
      <c r="C4121" s="247" t="s">
        <v>996</v>
      </c>
      <c r="D4121" s="317">
        <v>42676</v>
      </c>
      <c r="E4121" s="318">
        <v>0.50364583333333335</v>
      </c>
      <c r="F4121" s="247" t="s">
        <v>980</v>
      </c>
      <c r="G4121" s="247" t="s">
        <v>1035</v>
      </c>
      <c r="H4121" s="248" t="s">
        <v>234</v>
      </c>
      <c r="I4121" s="248" t="s">
        <v>263</v>
      </c>
      <c r="J4121" s="247" t="s">
        <v>809</v>
      </c>
      <c r="K4121" s="249">
        <v>0</v>
      </c>
      <c r="M4121" s="90">
        <v>0</v>
      </c>
      <c r="N4121" s="90">
        <v>0</v>
      </c>
      <c r="O4121" s="90">
        <v>255</v>
      </c>
    </row>
    <row r="4122" spans="1:15" s="90" customFormat="1" ht="12.75" customHeight="1" x14ac:dyDescent="0.2">
      <c r="A4122" s="247" t="s">
        <v>1570</v>
      </c>
      <c r="B4122" s="316">
        <v>3037</v>
      </c>
      <c r="C4122" s="247" t="s">
        <v>996</v>
      </c>
      <c r="D4122" s="317">
        <v>42676</v>
      </c>
      <c r="E4122" s="318">
        <v>0.50365740740740739</v>
      </c>
      <c r="F4122" s="247" t="s">
        <v>980</v>
      </c>
      <c r="G4122" s="247" t="s">
        <v>1035</v>
      </c>
      <c r="H4122" s="248" t="s">
        <v>234</v>
      </c>
      <c r="I4122" s="248" t="s">
        <v>263</v>
      </c>
      <c r="J4122" s="247" t="s">
        <v>809</v>
      </c>
      <c r="K4122" s="249">
        <v>0</v>
      </c>
      <c r="M4122" s="90">
        <v>0</v>
      </c>
      <c r="N4122" s="90">
        <v>0</v>
      </c>
      <c r="O4122" s="90">
        <v>255</v>
      </c>
    </row>
    <row r="4123" spans="1:15" s="90" customFormat="1" ht="12.75" customHeight="1" x14ac:dyDescent="0.2">
      <c r="A4123" s="247" t="s">
        <v>1571</v>
      </c>
      <c r="B4123" s="316">
        <v>3037</v>
      </c>
      <c r="C4123" s="247" t="s">
        <v>996</v>
      </c>
      <c r="D4123" s="317">
        <v>42676</v>
      </c>
      <c r="E4123" s="318">
        <v>0.50365740740740739</v>
      </c>
      <c r="F4123" s="247" t="s">
        <v>980</v>
      </c>
      <c r="G4123" s="247" t="s">
        <v>1035</v>
      </c>
      <c r="H4123" s="248" t="s">
        <v>234</v>
      </c>
      <c r="I4123" s="248" t="s">
        <v>263</v>
      </c>
      <c r="J4123" s="247" t="s">
        <v>809</v>
      </c>
      <c r="K4123" s="249">
        <v>0</v>
      </c>
      <c r="M4123" s="90">
        <v>0</v>
      </c>
      <c r="N4123" s="90">
        <v>0</v>
      </c>
      <c r="O4123" s="90">
        <v>255</v>
      </c>
    </row>
    <row r="4124" spans="1:15" s="90" customFormat="1" ht="12.75" customHeight="1" x14ac:dyDescent="0.2">
      <c r="A4124" s="247" t="s">
        <v>1572</v>
      </c>
      <c r="B4124" s="316">
        <v>3037</v>
      </c>
      <c r="C4124" s="247" t="s">
        <v>996</v>
      </c>
      <c r="D4124" s="317">
        <v>42676</v>
      </c>
      <c r="E4124" s="318">
        <v>0.50365740740740739</v>
      </c>
      <c r="F4124" s="247" t="s">
        <v>980</v>
      </c>
      <c r="G4124" s="247" t="s">
        <v>1035</v>
      </c>
      <c r="H4124" s="248" t="s">
        <v>234</v>
      </c>
      <c r="I4124" s="248" t="s">
        <v>263</v>
      </c>
      <c r="J4124" s="247" t="s">
        <v>809</v>
      </c>
      <c r="K4124" s="249">
        <v>0</v>
      </c>
      <c r="M4124" s="90">
        <v>0</v>
      </c>
      <c r="N4124" s="90">
        <v>0</v>
      </c>
      <c r="O4124" s="90">
        <v>255</v>
      </c>
    </row>
    <row r="4125" spans="1:15" s="90" customFormat="1" ht="12.75" customHeight="1" x14ac:dyDescent="0.2">
      <c r="A4125" s="247" t="s">
        <v>1573</v>
      </c>
      <c r="B4125" s="316">
        <v>3037</v>
      </c>
      <c r="C4125" s="247" t="s">
        <v>996</v>
      </c>
      <c r="D4125" s="317">
        <v>42676</v>
      </c>
      <c r="E4125" s="318">
        <v>0.50365740740740739</v>
      </c>
      <c r="F4125" s="247" t="s">
        <v>980</v>
      </c>
      <c r="G4125" s="247" t="s">
        <v>1035</v>
      </c>
      <c r="H4125" s="248" t="s">
        <v>234</v>
      </c>
      <c r="I4125" s="248" t="s">
        <v>263</v>
      </c>
      <c r="J4125" s="247" t="s">
        <v>809</v>
      </c>
      <c r="K4125" s="249">
        <v>0</v>
      </c>
      <c r="M4125" s="90">
        <v>0</v>
      </c>
      <c r="N4125" s="90">
        <v>0</v>
      </c>
      <c r="O4125" s="90">
        <v>255</v>
      </c>
    </row>
    <row r="4126" spans="1:15" s="90" customFormat="1" ht="12.75" customHeight="1" x14ac:dyDescent="0.2">
      <c r="A4126" s="247" t="s">
        <v>1574</v>
      </c>
      <c r="B4126" s="316">
        <v>3037</v>
      </c>
      <c r="C4126" s="247" t="s">
        <v>996</v>
      </c>
      <c r="D4126" s="317">
        <v>42676</v>
      </c>
      <c r="E4126" s="318">
        <v>0.50365740740740739</v>
      </c>
      <c r="F4126" s="247" t="s">
        <v>980</v>
      </c>
      <c r="G4126" s="247" t="s">
        <v>1035</v>
      </c>
      <c r="H4126" s="248" t="s">
        <v>234</v>
      </c>
      <c r="I4126" s="248" t="s">
        <v>263</v>
      </c>
      <c r="J4126" s="247" t="s">
        <v>809</v>
      </c>
      <c r="K4126" s="249">
        <v>0</v>
      </c>
      <c r="M4126" s="90">
        <v>0</v>
      </c>
      <c r="N4126" s="90">
        <v>0</v>
      </c>
      <c r="O4126" s="90">
        <v>255</v>
      </c>
    </row>
    <row r="4127" spans="1:15" s="90" customFormat="1" ht="12.75" customHeight="1" x14ac:dyDescent="0.2">
      <c r="A4127" s="247" t="s">
        <v>1575</v>
      </c>
      <c r="B4127" s="316">
        <v>3037</v>
      </c>
      <c r="C4127" s="247" t="s">
        <v>996</v>
      </c>
      <c r="D4127" s="317">
        <v>42676</v>
      </c>
      <c r="E4127" s="318">
        <v>0.50366898148148154</v>
      </c>
      <c r="F4127" s="247" t="s">
        <v>980</v>
      </c>
      <c r="G4127" s="247" t="s">
        <v>1035</v>
      </c>
      <c r="H4127" s="248" t="s">
        <v>234</v>
      </c>
      <c r="I4127" s="248" t="s">
        <v>263</v>
      </c>
      <c r="J4127" s="247" t="s">
        <v>809</v>
      </c>
      <c r="K4127" s="249">
        <v>0</v>
      </c>
      <c r="M4127" s="90">
        <v>0</v>
      </c>
      <c r="N4127" s="90">
        <v>0</v>
      </c>
      <c r="O4127" s="90">
        <v>255</v>
      </c>
    </row>
    <row r="4128" spans="1:15" s="90" customFormat="1" ht="12.75" customHeight="1" x14ac:dyDescent="0.2">
      <c r="A4128" s="247" t="s">
        <v>1576</v>
      </c>
      <c r="B4128" s="316">
        <v>3037</v>
      </c>
      <c r="C4128" s="247" t="s">
        <v>996</v>
      </c>
      <c r="D4128" s="317">
        <v>42676</v>
      </c>
      <c r="E4128" s="318">
        <v>0.50366898148148154</v>
      </c>
      <c r="F4128" s="247" t="s">
        <v>980</v>
      </c>
      <c r="G4128" s="247" t="s">
        <v>1035</v>
      </c>
      <c r="H4128" s="248" t="s">
        <v>234</v>
      </c>
      <c r="I4128" s="248" t="s">
        <v>263</v>
      </c>
      <c r="J4128" s="247" t="s">
        <v>809</v>
      </c>
      <c r="K4128" s="249">
        <v>0</v>
      </c>
      <c r="M4128" s="90">
        <v>0</v>
      </c>
      <c r="N4128" s="90">
        <v>0</v>
      </c>
      <c r="O4128" s="90">
        <v>255</v>
      </c>
    </row>
    <row r="4129" spans="1:15" s="90" customFormat="1" ht="12.75" customHeight="1" x14ac:dyDescent="0.2">
      <c r="A4129" s="247" t="s">
        <v>1577</v>
      </c>
      <c r="B4129" s="316">
        <v>3037</v>
      </c>
      <c r="C4129" s="247" t="s">
        <v>996</v>
      </c>
      <c r="D4129" s="317">
        <v>42676</v>
      </c>
      <c r="E4129" s="318">
        <v>0.50366898148148154</v>
      </c>
      <c r="F4129" s="247" t="s">
        <v>980</v>
      </c>
      <c r="G4129" s="247" t="s">
        <v>1035</v>
      </c>
      <c r="H4129" s="248" t="s">
        <v>234</v>
      </c>
      <c r="I4129" s="248" t="s">
        <v>263</v>
      </c>
      <c r="J4129" s="247" t="s">
        <v>809</v>
      </c>
      <c r="K4129" s="249">
        <v>0</v>
      </c>
      <c r="M4129" s="90">
        <v>0</v>
      </c>
      <c r="N4129" s="90">
        <v>0</v>
      </c>
      <c r="O4129" s="90">
        <v>255</v>
      </c>
    </row>
    <row r="4130" spans="1:15" s="90" customFormat="1" ht="12.75" customHeight="1" x14ac:dyDescent="0.2">
      <c r="A4130" s="247" t="s">
        <v>1578</v>
      </c>
      <c r="B4130" s="316">
        <v>3037</v>
      </c>
      <c r="C4130" s="247" t="s">
        <v>996</v>
      </c>
      <c r="D4130" s="317">
        <v>42676</v>
      </c>
      <c r="E4130" s="318">
        <v>0.50366898148148154</v>
      </c>
      <c r="F4130" s="247" t="s">
        <v>980</v>
      </c>
      <c r="G4130" s="247" t="s">
        <v>1035</v>
      </c>
      <c r="H4130" s="248" t="s">
        <v>234</v>
      </c>
      <c r="I4130" s="248" t="s">
        <v>263</v>
      </c>
      <c r="J4130" s="247" t="s">
        <v>809</v>
      </c>
      <c r="K4130" s="249">
        <v>0</v>
      </c>
      <c r="M4130" s="90">
        <v>0</v>
      </c>
      <c r="N4130" s="90">
        <v>0</v>
      </c>
      <c r="O4130" s="90">
        <v>255</v>
      </c>
    </row>
    <row r="4131" spans="1:15" s="90" customFormat="1" ht="12.75" customHeight="1" x14ac:dyDescent="0.2">
      <c r="A4131" s="247" t="s">
        <v>1579</v>
      </c>
      <c r="B4131" s="316">
        <v>3037</v>
      </c>
      <c r="C4131" s="247" t="s">
        <v>996</v>
      </c>
      <c r="D4131" s="317">
        <v>42676</v>
      </c>
      <c r="E4131" s="318">
        <v>0.50366898148148154</v>
      </c>
      <c r="F4131" s="247" t="s">
        <v>980</v>
      </c>
      <c r="G4131" s="247" t="s">
        <v>1035</v>
      </c>
      <c r="H4131" s="248" t="s">
        <v>234</v>
      </c>
      <c r="I4131" s="248" t="s">
        <v>263</v>
      </c>
      <c r="J4131" s="247" t="s">
        <v>809</v>
      </c>
      <c r="K4131" s="249">
        <v>0</v>
      </c>
      <c r="M4131" s="90">
        <v>0</v>
      </c>
      <c r="N4131" s="90">
        <v>0</v>
      </c>
      <c r="O4131" s="90">
        <v>255</v>
      </c>
    </row>
    <row r="4132" spans="1:15" s="90" customFormat="1" ht="12.75" customHeight="1" x14ac:dyDescent="0.2">
      <c r="A4132" s="247" t="s">
        <v>1580</v>
      </c>
      <c r="B4132" s="316">
        <v>3037</v>
      </c>
      <c r="C4132" s="247" t="s">
        <v>996</v>
      </c>
      <c r="D4132" s="317">
        <v>42676</v>
      </c>
      <c r="E4132" s="318">
        <v>0.50368055555555558</v>
      </c>
      <c r="F4132" s="247" t="s">
        <v>980</v>
      </c>
      <c r="G4132" s="247" t="s">
        <v>1035</v>
      </c>
      <c r="H4132" s="248" t="s">
        <v>234</v>
      </c>
      <c r="I4132" s="248" t="s">
        <v>263</v>
      </c>
      <c r="J4132" s="247" t="s">
        <v>809</v>
      </c>
      <c r="K4132" s="249">
        <v>0</v>
      </c>
      <c r="M4132" s="90">
        <v>0</v>
      </c>
      <c r="N4132" s="90">
        <v>0</v>
      </c>
      <c r="O4132" s="90">
        <v>255</v>
      </c>
    </row>
    <row r="4133" spans="1:15" s="90" customFormat="1" ht="12.75" customHeight="1" x14ac:dyDescent="0.2">
      <c r="A4133" s="247" t="s">
        <v>1581</v>
      </c>
      <c r="B4133" s="316">
        <v>3037</v>
      </c>
      <c r="C4133" s="247" t="s">
        <v>996</v>
      </c>
      <c r="D4133" s="317">
        <v>42676</v>
      </c>
      <c r="E4133" s="318">
        <v>0.50368055555555558</v>
      </c>
      <c r="F4133" s="247" t="s">
        <v>980</v>
      </c>
      <c r="G4133" s="247" t="s">
        <v>1035</v>
      </c>
      <c r="H4133" s="248" t="s">
        <v>234</v>
      </c>
      <c r="I4133" s="248" t="s">
        <v>263</v>
      </c>
      <c r="J4133" s="247" t="s">
        <v>809</v>
      </c>
      <c r="K4133" s="249">
        <v>0</v>
      </c>
      <c r="M4133" s="90">
        <v>0</v>
      </c>
      <c r="N4133" s="90">
        <v>0</v>
      </c>
      <c r="O4133" s="90">
        <v>255</v>
      </c>
    </row>
    <row r="4134" spans="1:15" s="90" customFormat="1" ht="12.75" customHeight="1" x14ac:dyDescent="0.2">
      <c r="A4134" s="247" t="s">
        <v>1582</v>
      </c>
      <c r="B4134" s="316">
        <v>3037</v>
      </c>
      <c r="C4134" s="247" t="s">
        <v>996</v>
      </c>
      <c r="D4134" s="317">
        <v>42676</v>
      </c>
      <c r="E4134" s="318">
        <v>0.50368055555555558</v>
      </c>
      <c r="F4134" s="247" t="s">
        <v>980</v>
      </c>
      <c r="G4134" s="247" t="s">
        <v>1035</v>
      </c>
      <c r="H4134" s="248" t="s">
        <v>234</v>
      </c>
      <c r="I4134" s="248" t="s">
        <v>263</v>
      </c>
      <c r="J4134" s="247" t="s">
        <v>809</v>
      </c>
      <c r="K4134" s="249">
        <v>0</v>
      </c>
      <c r="M4134" s="90">
        <v>0</v>
      </c>
      <c r="N4134" s="90">
        <v>0</v>
      </c>
      <c r="O4134" s="90">
        <v>255</v>
      </c>
    </row>
    <row r="4135" spans="1:15" s="90" customFormat="1" ht="12.75" customHeight="1" x14ac:dyDescent="0.2">
      <c r="A4135" s="247" t="s">
        <v>1583</v>
      </c>
      <c r="B4135" s="316">
        <v>3037</v>
      </c>
      <c r="C4135" s="247" t="s">
        <v>996</v>
      </c>
      <c r="D4135" s="317">
        <v>42676</v>
      </c>
      <c r="E4135" s="318">
        <v>0.50368055555555558</v>
      </c>
      <c r="F4135" s="247" t="s">
        <v>980</v>
      </c>
      <c r="G4135" s="247" t="s">
        <v>1035</v>
      </c>
      <c r="H4135" s="248" t="s">
        <v>234</v>
      </c>
      <c r="I4135" s="248" t="s">
        <v>263</v>
      </c>
      <c r="J4135" s="247" t="s">
        <v>809</v>
      </c>
      <c r="K4135" s="249">
        <v>0</v>
      </c>
      <c r="M4135" s="90">
        <v>0</v>
      </c>
      <c r="N4135" s="90">
        <v>0</v>
      </c>
      <c r="O4135" s="90">
        <v>255</v>
      </c>
    </row>
    <row r="4136" spans="1:15" s="90" customFormat="1" ht="12.75" customHeight="1" x14ac:dyDescent="0.2">
      <c r="A4136" s="247" t="s">
        <v>1584</v>
      </c>
      <c r="B4136" s="316">
        <v>3037</v>
      </c>
      <c r="C4136" s="247" t="s">
        <v>996</v>
      </c>
      <c r="D4136" s="317">
        <v>42676</v>
      </c>
      <c r="E4136" s="318">
        <v>0.50369212962962961</v>
      </c>
      <c r="F4136" s="247" t="s">
        <v>980</v>
      </c>
      <c r="G4136" s="247" t="s">
        <v>1035</v>
      </c>
      <c r="H4136" s="248" t="s">
        <v>234</v>
      </c>
      <c r="I4136" s="248" t="s">
        <v>263</v>
      </c>
      <c r="J4136" s="247" t="s">
        <v>809</v>
      </c>
      <c r="K4136" s="249">
        <v>0</v>
      </c>
      <c r="M4136" s="90">
        <v>0</v>
      </c>
      <c r="N4136" s="90">
        <v>0</v>
      </c>
      <c r="O4136" s="90">
        <v>255</v>
      </c>
    </row>
    <row r="4137" spans="1:15" s="90" customFormat="1" ht="12.75" customHeight="1" x14ac:dyDescent="0.2">
      <c r="A4137" s="247" t="s">
        <v>1585</v>
      </c>
      <c r="B4137" s="316">
        <v>3037</v>
      </c>
      <c r="C4137" s="247" t="s">
        <v>996</v>
      </c>
      <c r="D4137" s="317">
        <v>42676</v>
      </c>
      <c r="E4137" s="318">
        <v>0.50369212962962961</v>
      </c>
      <c r="F4137" s="247" t="s">
        <v>980</v>
      </c>
      <c r="G4137" s="247" t="s">
        <v>1035</v>
      </c>
      <c r="H4137" s="248" t="s">
        <v>234</v>
      </c>
      <c r="I4137" s="248" t="s">
        <v>263</v>
      </c>
      <c r="J4137" s="247" t="s">
        <v>809</v>
      </c>
      <c r="K4137" s="249">
        <v>0</v>
      </c>
      <c r="M4137" s="90">
        <v>0</v>
      </c>
      <c r="N4137" s="90">
        <v>0</v>
      </c>
      <c r="O4137" s="90">
        <v>255</v>
      </c>
    </row>
    <row r="4138" spans="1:15" s="90" customFormat="1" ht="12.75" customHeight="1" x14ac:dyDescent="0.2">
      <c r="A4138" s="247" t="s">
        <v>1586</v>
      </c>
      <c r="B4138" s="316">
        <v>3037</v>
      </c>
      <c r="C4138" s="247" t="s">
        <v>996</v>
      </c>
      <c r="D4138" s="317">
        <v>42676</v>
      </c>
      <c r="E4138" s="318">
        <v>0.50369212962962961</v>
      </c>
      <c r="F4138" s="247" t="s">
        <v>980</v>
      </c>
      <c r="G4138" s="247" t="s">
        <v>1035</v>
      </c>
      <c r="H4138" s="248" t="s">
        <v>234</v>
      </c>
      <c r="I4138" s="248" t="s">
        <v>263</v>
      </c>
      <c r="J4138" s="247" t="s">
        <v>809</v>
      </c>
      <c r="K4138" s="249">
        <v>0</v>
      </c>
      <c r="M4138" s="90">
        <v>0</v>
      </c>
      <c r="N4138" s="90">
        <v>0</v>
      </c>
      <c r="O4138" s="90">
        <v>255</v>
      </c>
    </row>
    <row r="4139" spans="1:15" s="90" customFormat="1" ht="12.75" customHeight="1" x14ac:dyDescent="0.2">
      <c r="A4139" s="247" t="s">
        <v>1587</v>
      </c>
      <c r="B4139" s="316">
        <v>3037</v>
      </c>
      <c r="C4139" s="247" t="s">
        <v>996</v>
      </c>
      <c r="D4139" s="317">
        <v>42676</v>
      </c>
      <c r="E4139" s="318">
        <v>0.50369212962962961</v>
      </c>
      <c r="F4139" s="247" t="s">
        <v>980</v>
      </c>
      <c r="G4139" s="247" t="s">
        <v>1035</v>
      </c>
      <c r="H4139" s="248" t="s">
        <v>234</v>
      </c>
      <c r="I4139" s="248" t="s">
        <v>263</v>
      </c>
      <c r="J4139" s="247" t="s">
        <v>809</v>
      </c>
      <c r="K4139" s="249">
        <v>0</v>
      </c>
      <c r="M4139" s="90">
        <v>0</v>
      </c>
      <c r="N4139" s="90">
        <v>0</v>
      </c>
      <c r="O4139" s="90">
        <v>255</v>
      </c>
    </row>
    <row r="4140" spans="1:15" s="90" customFormat="1" ht="12.75" customHeight="1" x14ac:dyDescent="0.2">
      <c r="A4140" s="247" t="s">
        <v>1588</v>
      </c>
      <c r="B4140" s="316">
        <v>3037</v>
      </c>
      <c r="C4140" s="247" t="s">
        <v>996</v>
      </c>
      <c r="D4140" s="317">
        <v>42676</v>
      </c>
      <c r="E4140" s="318">
        <v>0.50369212962962961</v>
      </c>
      <c r="F4140" s="247" t="s">
        <v>980</v>
      </c>
      <c r="G4140" s="247" t="s">
        <v>1035</v>
      </c>
      <c r="H4140" s="248" t="s">
        <v>234</v>
      </c>
      <c r="I4140" s="248" t="s">
        <v>263</v>
      </c>
      <c r="J4140" s="247" t="s">
        <v>809</v>
      </c>
      <c r="K4140" s="249">
        <v>0</v>
      </c>
      <c r="M4140" s="90">
        <v>0</v>
      </c>
      <c r="N4140" s="90">
        <v>0</v>
      </c>
      <c r="O4140" s="90">
        <v>255</v>
      </c>
    </row>
    <row r="4141" spans="1:15" s="90" customFormat="1" ht="12.75" customHeight="1" x14ac:dyDescent="0.2">
      <c r="A4141" s="247" t="s">
        <v>1589</v>
      </c>
      <c r="B4141" s="316">
        <v>3037</v>
      </c>
      <c r="C4141" s="247" t="s">
        <v>996</v>
      </c>
      <c r="D4141" s="317">
        <v>42676</v>
      </c>
      <c r="E4141" s="318">
        <v>0.50370370370370365</v>
      </c>
      <c r="F4141" s="247" t="s">
        <v>980</v>
      </c>
      <c r="G4141" s="247" t="s">
        <v>1035</v>
      </c>
      <c r="H4141" s="248" t="s">
        <v>234</v>
      </c>
      <c r="I4141" s="248" t="s">
        <v>263</v>
      </c>
      <c r="J4141" s="247" t="s">
        <v>809</v>
      </c>
      <c r="K4141" s="249">
        <v>0</v>
      </c>
      <c r="M4141" s="90">
        <v>0</v>
      </c>
      <c r="N4141" s="90">
        <v>0</v>
      </c>
      <c r="O4141" s="90">
        <v>255</v>
      </c>
    </row>
    <row r="4142" spans="1:15" s="90" customFormat="1" ht="12.75" customHeight="1" x14ac:dyDescent="0.2">
      <c r="A4142" s="247" t="s">
        <v>1590</v>
      </c>
      <c r="B4142" s="316">
        <v>3037</v>
      </c>
      <c r="C4142" s="247" t="s">
        <v>996</v>
      </c>
      <c r="D4142" s="317">
        <v>42676</v>
      </c>
      <c r="E4142" s="318">
        <v>0.50370370370370365</v>
      </c>
      <c r="F4142" s="247" t="s">
        <v>980</v>
      </c>
      <c r="G4142" s="247" t="s">
        <v>1035</v>
      </c>
      <c r="H4142" s="248" t="s">
        <v>234</v>
      </c>
      <c r="I4142" s="248" t="s">
        <v>263</v>
      </c>
      <c r="J4142" s="247" t="s">
        <v>809</v>
      </c>
      <c r="K4142" s="249">
        <v>0</v>
      </c>
      <c r="M4142" s="90">
        <v>0</v>
      </c>
      <c r="N4142" s="90">
        <v>0</v>
      </c>
      <c r="O4142" s="90">
        <v>255</v>
      </c>
    </row>
    <row r="4143" spans="1:15" s="90" customFormat="1" ht="12.75" customHeight="1" x14ac:dyDescent="0.2">
      <c r="A4143" s="247" t="s">
        <v>1591</v>
      </c>
      <c r="B4143" s="316">
        <v>3037</v>
      </c>
      <c r="C4143" s="247" t="s">
        <v>996</v>
      </c>
      <c r="D4143" s="317">
        <v>42676</v>
      </c>
      <c r="E4143" s="318">
        <v>0.50370370370370365</v>
      </c>
      <c r="F4143" s="247" t="s">
        <v>980</v>
      </c>
      <c r="G4143" s="247" t="s">
        <v>1035</v>
      </c>
      <c r="H4143" s="248" t="s">
        <v>234</v>
      </c>
      <c r="I4143" s="248" t="s">
        <v>263</v>
      </c>
      <c r="J4143" s="247" t="s">
        <v>809</v>
      </c>
      <c r="K4143" s="249">
        <v>0</v>
      </c>
      <c r="M4143" s="90">
        <v>0</v>
      </c>
      <c r="N4143" s="90">
        <v>0</v>
      </c>
      <c r="O4143" s="90">
        <v>255</v>
      </c>
    </row>
    <row r="4144" spans="1:15" s="90" customFormat="1" ht="12.75" customHeight="1" x14ac:dyDescent="0.2">
      <c r="A4144" s="247" t="s">
        <v>1592</v>
      </c>
      <c r="B4144" s="316">
        <v>3037</v>
      </c>
      <c r="C4144" s="247" t="s">
        <v>996</v>
      </c>
      <c r="D4144" s="317">
        <v>42676</v>
      </c>
      <c r="E4144" s="318">
        <v>0.50370370370370365</v>
      </c>
      <c r="F4144" s="247" t="s">
        <v>980</v>
      </c>
      <c r="G4144" s="247" t="s">
        <v>1035</v>
      </c>
      <c r="H4144" s="248" t="s">
        <v>234</v>
      </c>
      <c r="I4144" s="248" t="s">
        <v>263</v>
      </c>
      <c r="J4144" s="247" t="s">
        <v>809</v>
      </c>
      <c r="K4144" s="249">
        <v>0</v>
      </c>
      <c r="M4144" s="90">
        <v>0</v>
      </c>
      <c r="N4144" s="90">
        <v>0</v>
      </c>
      <c r="O4144" s="90">
        <v>255</v>
      </c>
    </row>
    <row r="4145" spans="1:15" s="90" customFormat="1" ht="12.75" customHeight="1" x14ac:dyDescent="0.2">
      <c r="A4145" s="247" t="s">
        <v>1593</v>
      </c>
      <c r="B4145" s="316">
        <v>3037</v>
      </c>
      <c r="C4145" s="247" t="s">
        <v>996</v>
      </c>
      <c r="D4145" s="317">
        <v>42676</v>
      </c>
      <c r="E4145" s="318">
        <v>0.50370370370370365</v>
      </c>
      <c r="F4145" s="247" t="s">
        <v>980</v>
      </c>
      <c r="G4145" s="247" t="s">
        <v>1035</v>
      </c>
      <c r="H4145" s="248" t="s">
        <v>234</v>
      </c>
      <c r="I4145" s="248" t="s">
        <v>263</v>
      </c>
      <c r="J4145" s="247" t="s">
        <v>809</v>
      </c>
      <c r="K4145" s="249">
        <v>0</v>
      </c>
      <c r="M4145" s="90">
        <v>0</v>
      </c>
      <c r="N4145" s="90">
        <v>0</v>
      </c>
      <c r="O4145" s="90">
        <v>255</v>
      </c>
    </row>
    <row r="4146" spans="1:15" s="90" customFormat="1" ht="12.75" customHeight="1" x14ac:dyDescent="0.2">
      <c r="A4146" s="247" t="s">
        <v>1594</v>
      </c>
      <c r="B4146" s="316">
        <v>3037</v>
      </c>
      <c r="C4146" s="247" t="s">
        <v>996</v>
      </c>
      <c r="D4146" s="317">
        <v>42676</v>
      </c>
      <c r="E4146" s="318">
        <v>0.5037152777777778</v>
      </c>
      <c r="F4146" s="247" t="s">
        <v>980</v>
      </c>
      <c r="G4146" s="247" t="s">
        <v>1035</v>
      </c>
      <c r="H4146" s="248" t="s">
        <v>234</v>
      </c>
      <c r="I4146" s="248" t="s">
        <v>263</v>
      </c>
      <c r="J4146" s="247" t="s">
        <v>809</v>
      </c>
      <c r="K4146" s="249">
        <v>0</v>
      </c>
      <c r="M4146" s="90">
        <v>0</v>
      </c>
      <c r="N4146" s="90">
        <v>0</v>
      </c>
      <c r="O4146" s="90">
        <v>255</v>
      </c>
    </row>
    <row r="4147" spans="1:15" s="90" customFormat="1" ht="12.75" customHeight="1" x14ac:dyDescent="0.2">
      <c r="A4147" s="247" t="s">
        <v>1595</v>
      </c>
      <c r="B4147" s="316">
        <v>3037</v>
      </c>
      <c r="C4147" s="247" t="s">
        <v>996</v>
      </c>
      <c r="D4147" s="317">
        <v>42676</v>
      </c>
      <c r="E4147" s="318">
        <v>0.5037152777777778</v>
      </c>
      <c r="F4147" s="247" t="s">
        <v>980</v>
      </c>
      <c r="G4147" s="247" t="s">
        <v>1035</v>
      </c>
      <c r="H4147" s="248" t="s">
        <v>234</v>
      </c>
      <c r="I4147" s="248" t="s">
        <v>263</v>
      </c>
      <c r="J4147" s="247" t="s">
        <v>809</v>
      </c>
      <c r="K4147" s="249">
        <v>0</v>
      </c>
      <c r="M4147" s="90">
        <v>0</v>
      </c>
      <c r="N4147" s="90">
        <v>0</v>
      </c>
      <c r="O4147" s="90">
        <v>255</v>
      </c>
    </row>
    <row r="4148" spans="1:15" s="90" customFormat="1" ht="12.75" customHeight="1" x14ac:dyDescent="0.2">
      <c r="A4148" s="247" t="s">
        <v>1596</v>
      </c>
      <c r="B4148" s="316">
        <v>3037</v>
      </c>
      <c r="C4148" s="247" t="s">
        <v>996</v>
      </c>
      <c r="D4148" s="317">
        <v>42676</v>
      </c>
      <c r="E4148" s="318">
        <v>0.5037152777777778</v>
      </c>
      <c r="F4148" s="247" t="s">
        <v>980</v>
      </c>
      <c r="G4148" s="247" t="s">
        <v>1035</v>
      </c>
      <c r="H4148" s="248" t="s">
        <v>234</v>
      </c>
      <c r="I4148" s="248" t="s">
        <v>263</v>
      </c>
      <c r="J4148" s="247" t="s">
        <v>809</v>
      </c>
      <c r="K4148" s="249">
        <v>0</v>
      </c>
      <c r="M4148" s="90">
        <v>0</v>
      </c>
      <c r="N4148" s="90">
        <v>0</v>
      </c>
      <c r="O4148" s="90">
        <v>255</v>
      </c>
    </row>
    <row r="4149" spans="1:15" s="90" customFormat="1" ht="12.75" customHeight="1" x14ac:dyDescent="0.2">
      <c r="A4149" s="247" t="s">
        <v>1597</v>
      </c>
      <c r="B4149" s="316">
        <v>3037</v>
      </c>
      <c r="C4149" s="247" t="s">
        <v>996</v>
      </c>
      <c r="D4149" s="317">
        <v>42676</v>
      </c>
      <c r="E4149" s="318">
        <v>0.5037152777777778</v>
      </c>
      <c r="F4149" s="247" t="s">
        <v>980</v>
      </c>
      <c r="G4149" s="247" t="s">
        <v>1035</v>
      </c>
      <c r="H4149" s="248" t="s">
        <v>234</v>
      </c>
      <c r="I4149" s="248" t="s">
        <v>263</v>
      </c>
      <c r="J4149" s="247" t="s">
        <v>809</v>
      </c>
      <c r="K4149" s="249">
        <v>0</v>
      </c>
      <c r="M4149" s="90">
        <v>0</v>
      </c>
      <c r="N4149" s="90">
        <v>0</v>
      </c>
      <c r="O4149" s="90">
        <v>255</v>
      </c>
    </row>
    <row r="4150" spans="1:15" s="90" customFormat="1" ht="12.75" customHeight="1" x14ac:dyDescent="0.2">
      <c r="A4150" s="247" t="s">
        <v>1598</v>
      </c>
      <c r="B4150" s="316">
        <v>3037</v>
      </c>
      <c r="C4150" s="247" t="s">
        <v>996</v>
      </c>
      <c r="D4150" s="317">
        <v>42676</v>
      </c>
      <c r="E4150" s="318">
        <v>0.5037152777777778</v>
      </c>
      <c r="F4150" s="247" t="s">
        <v>980</v>
      </c>
      <c r="G4150" s="247" t="s">
        <v>1035</v>
      </c>
      <c r="H4150" s="248" t="s">
        <v>234</v>
      </c>
      <c r="I4150" s="248" t="s">
        <v>263</v>
      </c>
      <c r="J4150" s="247" t="s">
        <v>809</v>
      </c>
      <c r="K4150" s="249">
        <v>0</v>
      </c>
      <c r="M4150" s="90">
        <v>0</v>
      </c>
      <c r="N4150" s="90">
        <v>0</v>
      </c>
      <c r="O4150" s="90">
        <v>255</v>
      </c>
    </row>
    <row r="4151" spans="1:15" s="90" customFormat="1" ht="12.75" customHeight="1" x14ac:dyDescent="0.2">
      <c r="A4151" s="247" t="s">
        <v>1599</v>
      </c>
      <c r="B4151" s="316">
        <v>3037</v>
      </c>
      <c r="C4151" s="247" t="s">
        <v>996</v>
      </c>
      <c r="D4151" s="317">
        <v>42676</v>
      </c>
      <c r="E4151" s="318">
        <v>0.50372685185185184</v>
      </c>
      <c r="F4151" s="247" t="s">
        <v>980</v>
      </c>
      <c r="G4151" s="247" t="s">
        <v>1035</v>
      </c>
      <c r="H4151" s="248" t="s">
        <v>234</v>
      </c>
      <c r="I4151" s="248" t="s">
        <v>263</v>
      </c>
      <c r="J4151" s="247" t="s">
        <v>809</v>
      </c>
      <c r="K4151" s="249">
        <v>0</v>
      </c>
      <c r="M4151" s="90">
        <v>0</v>
      </c>
      <c r="N4151" s="90">
        <v>0</v>
      </c>
      <c r="O4151" s="90">
        <v>255</v>
      </c>
    </row>
    <row r="4152" spans="1:15" s="90" customFormat="1" ht="12.75" customHeight="1" x14ac:dyDescent="0.2">
      <c r="A4152" s="247" t="s">
        <v>1600</v>
      </c>
      <c r="B4152" s="316">
        <v>3037</v>
      </c>
      <c r="C4152" s="247" t="s">
        <v>996</v>
      </c>
      <c r="D4152" s="317">
        <v>42676</v>
      </c>
      <c r="E4152" s="318">
        <v>0.50372685185185184</v>
      </c>
      <c r="F4152" s="247" t="s">
        <v>980</v>
      </c>
      <c r="G4152" s="247" t="s">
        <v>1035</v>
      </c>
      <c r="H4152" s="248" t="s">
        <v>234</v>
      </c>
      <c r="I4152" s="248" t="s">
        <v>263</v>
      </c>
      <c r="J4152" s="247" t="s">
        <v>809</v>
      </c>
      <c r="K4152" s="249">
        <v>0</v>
      </c>
      <c r="M4152" s="90">
        <v>0</v>
      </c>
      <c r="N4152" s="90">
        <v>0</v>
      </c>
      <c r="O4152" s="90">
        <v>255</v>
      </c>
    </row>
    <row r="4153" spans="1:15" s="90" customFormat="1" ht="12.75" customHeight="1" x14ac:dyDescent="0.2">
      <c r="A4153" s="247" t="s">
        <v>1601</v>
      </c>
      <c r="B4153" s="316">
        <v>3037</v>
      </c>
      <c r="C4153" s="247" t="s">
        <v>996</v>
      </c>
      <c r="D4153" s="317">
        <v>42676</v>
      </c>
      <c r="E4153" s="318">
        <v>0.50372685185185184</v>
      </c>
      <c r="F4153" s="247" t="s">
        <v>980</v>
      </c>
      <c r="G4153" s="247" t="s">
        <v>1035</v>
      </c>
      <c r="H4153" s="248" t="s">
        <v>234</v>
      </c>
      <c r="I4153" s="248" t="s">
        <v>263</v>
      </c>
      <c r="J4153" s="247" t="s">
        <v>809</v>
      </c>
      <c r="K4153" s="249">
        <v>0</v>
      </c>
      <c r="M4153" s="90">
        <v>0</v>
      </c>
      <c r="N4153" s="90">
        <v>0</v>
      </c>
      <c r="O4153" s="90">
        <v>255</v>
      </c>
    </row>
    <row r="4154" spans="1:15" s="90" customFormat="1" ht="12.75" customHeight="1" x14ac:dyDescent="0.2">
      <c r="A4154" s="247" t="s">
        <v>1602</v>
      </c>
      <c r="B4154" s="316">
        <v>3037</v>
      </c>
      <c r="C4154" s="247" t="s">
        <v>996</v>
      </c>
      <c r="D4154" s="317">
        <v>42676</v>
      </c>
      <c r="E4154" s="318">
        <v>0.50372685185185184</v>
      </c>
      <c r="F4154" s="247" t="s">
        <v>980</v>
      </c>
      <c r="G4154" s="247" t="s">
        <v>1035</v>
      </c>
      <c r="H4154" s="248" t="s">
        <v>234</v>
      </c>
      <c r="I4154" s="248" t="s">
        <v>263</v>
      </c>
      <c r="J4154" s="247" t="s">
        <v>809</v>
      </c>
      <c r="K4154" s="249">
        <v>0</v>
      </c>
      <c r="M4154" s="90">
        <v>0</v>
      </c>
      <c r="N4154" s="90">
        <v>0</v>
      </c>
      <c r="O4154" s="90">
        <v>255</v>
      </c>
    </row>
    <row r="4155" spans="1:15" s="90" customFormat="1" ht="12.75" customHeight="1" x14ac:dyDescent="0.2">
      <c r="A4155" s="247" t="s">
        <v>1603</v>
      </c>
      <c r="B4155" s="316">
        <v>3037</v>
      </c>
      <c r="C4155" s="247" t="s">
        <v>996</v>
      </c>
      <c r="D4155" s="317">
        <v>42676</v>
      </c>
      <c r="E4155" s="318">
        <v>0.50372685185185184</v>
      </c>
      <c r="F4155" s="247" t="s">
        <v>980</v>
      </c>
      <c r="G4155" s="247" t="s">
        <v>1035</v>
      </c>
      <c r="H4155" s="248" t="s">
        <v>234</v>
      </c>
      <c r="I4155" s="248" t="s">
        <v>263</v>
      </c>
      <c r="J4155" s="247" t="s">
        <v>809</v>
      </c>
      <c r="K4155" s="249">
        <v>0</v>
      </c>
      <c r="M4155" s="90">
        <v>0</v>
      </c>
      <c r="N4155" s="90">
        <v>0</v>
      </c>
      <c r="O4155" s="90">
        <v>255</v>
      </c>
    </row>
    <row r="4156" spans="1:15" s="90" customFormat="1" ht="12.75" customHeight="1" x14ac:dyDescent="0.2">
      <c r="A4156" s="247" t="s">
        <v>1604</v>
      </c>
      <c r="B4156" s="316">
        <v>3037</v>
      </c>
      <c r="C4156" s="247" t="s">
        <v>996</v>
      </c>
      <c r="D4156" s="317">
        <v>42676</v>
      </c>
      <c r="E4156" s="318">
        <v>0.50372685185185184</v>
      </c>
      <c r="F4156" s="247" t="s">
        <v>980</v>
      </c>
      <c r="G4156" s="247" t="s">
        <v>1035</v>
      </c>
      <c r="H4156" s="248" t="s">
        <v>234</v>
      </c>
      <c r="I4156" s="248" t="s">
        <v>263</v>
      </c>
      <c r="J4156" s="247" t="s">
        <v>809</v>
      </c>
      <c r="K4156" s="249">
        <v>0</v>
      </c>
      <c r="M4156" s="90">
        <v>0</v>
      </c>
      <c r="N4156" s="90">
        <v>0</v>
      </c>
      <c r="O4156" s="90">
        <v>255</v>
      </c>
    </row>
    <row r="4157" spans="1:15" s="90" customFormat="1" ht="12.75" customHeight="1" x14ac:dyDescent="0.2">
      <c r="A4157" s="247" t="s">
        <v>1605</v>
      </c>
      <c r="B4157" s="316">
        <v>3037</v>
      </c>
      <c r="C4157" s="247" t="s">
        <v>996</v>
      </c>
      <c r="D4157" s="317">
        <v>42676</v>
      </c>
      <c r="E4157" s="318">
        <v>0.50372685185185184</v>
      </c>
      <c r="F4157" s="247" t="s">
        <v>980</v>
      </c>
      <c r="G4157" s="247" t="s">
        <v>1035</v>
      </c>
      <c r="H4157" s="248" t="s">
        <v>234</v>
      </c>
      <c r="I4157" s="248" t="s">
        <v>263</v>
      </c>
      <c r="J4157" s="247" t="s">
        <v>809</v>
      </c>
      <c r="K4157" s="249">
        <v>0</v>
      </c>
      <c r="M4157" s="90">
        <v>0</v>
      </c>
      <c r="N4157" s="90">
        <v>0</v>
      </c>
      <c r="O4157" s="90">
        <v>255</v>
      </c>
    </row>
    <row r="4158" spans="1:15" s="90" customFormat="1" ht="12.75" customHeight="1" x14ac:dyDescent="0.2">
      <c r="A4158" s="247" t="s">
        <v>1606</v>
      </c>
      <c r="B4158" s="316">
        <v>3037</v>
      </c>
      <c r="C4158" s="247" t="s">
        <v>996</v>
      </c>
      <c r="D4158" s="317">
        <v>42676</v>
      </c>
      <c r="E4158" s="318">
        <v>0.50373842592592599</v>
      </c>
      <c r="F4158" s="247" t="s">
        <v>980</v>
      </c>
      <c r="G4158" s="247" t="s">
        <v>1035</v>
      </c>
      <c r="H4158" s="248" t="s">
        <v>234</v>
      </c>
      <c r="I4158" s="248" t="s">
        <v>263</v>
      </c>
      <c r="J4158" s="247" t="s">
        <v>809</v>
      </c>
      <c r="K4158" s="249">
        <v>0</v>
      </c>
      <c r="M4158" s="90">
        <v>0</v>
      </c>
      <c r="N4158" s="90">
        <v>0</v>
      </c>
      <c r="O4158" s="90">
        <v>255</v>
      </c>
    </row>
    <row r="4159" spans="1:15" s="90" customFormat="1" ht="12.75" customHeight="1" x14ac:dyDescent="0.2">
      <c r="A4159" s="247" t="s">
        <v>1607</v>
      </c>
      <c r="B4159" s="316">
        <v>3037</v>
      </c>
      <c r="C4159" s="247" t="s">
        <v>996</v>
      </c>
      <c r="D4159" s="317">
        <v>42676</v>
      </c>
      <c r="E4159" s="318">
        <v>0.50373842592592599</v>
      </c>
      <c r="F4159" s="247" t="s">
        <v>980</v>
      </c>
      <c r="G4159" s="247" t="s">
        <v>1035</v>
      </c>
      <c r="H4159" s="248" t="s">
        <v>234</v>
      </c>
      <c r="I4159" s="248" t="s">
        <v>263</v>
      </c>
      <c r="J4159" s="247" t="s">
        <v>809</v>
      </c>
      <c r="K4159" s="249">
        <v>0</v>
      </c>
      <c r="M4159" s="90">
        <v>0</v>
      </c>
      <c r="N4159" s="90">
        <v>0</v>
      </c>
      <c r="O4159" s="90">
        <v>255</v>
      </c>
    </row>
    <row r="4160" spans="1:15" s="90" customFormat="1" ht="12.75" customHeight="1" x14ac:dyDescent="0.2">
      <c r="A4160" s="247" t="s">
        <v>1608</v>
      </c>
      <c r="B4160" s="316">
        <v>3037</v>
      </c>
      <c r="C4160" s="247" t="s">
        <v>996</v>
      </c>
      <c r="D4160" s="317">
        <v>42676</v>
      </c>
      <c r="E4160" s="318">
        <v>0.50373842592592599</v>
      </c>
      <c r="F4160" s="247" t="s">
        <v>980</v>
      </c>
      <c r="G4160" s="247" t="s">
        <v>1035</v>
      </c>
      <c r="H4160" s="248" t="s">
        <v>234</v>
      </c>
      <c r="I4160" s="248" t="s">
        <v>263</v>
      </c>
      <c r="J4160" s="247" t="s">
        <v>809</v>
      </c>
      <c r="K4160" s="249">
        <v>0</v>
      </c>
      <c r="M4160" s="90">
        <v>0</v>
      </c>
      <c r="N4160" s="90">
        <v>0</v>
      </c>
      <c r="O4160" s="90">
        <v>255</v>
      </c>
    </row>
    <row r="4161" spans="1:15" s="90" customFormat="1" ht="12.75" customHeight="1" x14ac:dyDescent="0.2">
      <c r="A4161" s="247" t="s">
        <v>1609</v>
      </c>
      <c r="B4161" s="316">
        <v>3037</v>
      </c>
      <c r="C4161" s="247" t="s">
        <v>996</v>
      </c>
      <c r="D4161" s="317">
        <v>42676</v>
      </c>
      <c r="E4161" s="318">
        <v>0.50373842592592599</v>
      </c>
      <c r="F4161" s="247" t="s">
        <v>980</v>
      </c>
      <c r="G4161" s="247" t="s">
        <v>1035</v>
      </c>
      <c r="H4161" s="248" t="s">
        <v>234</v>
      </c>
      <c r="I4161" s="248" t="s">
        <v>263</v>
      </c>
      <c r="J4161" s="247" t="s">
        <v>809</v>
      </c>
      <c r="K4161" s="249">
        <v>0</v>
      </c>
      <c r="M4161" s="90">
        <v>0</v>
      </c>
      <c r="N4161" s="90">
        <v>0</v>
      </c>
      <c r="O4161" s="90">
        <v>255</v>
      </c>
    </row>
    <row r="4162" spans="1:15" s="90" customFormat="1" ht="12.75" customHeight="1" x14ac:dyDescent="0.2">
      <c r="A4162" s="247" t="s">
        <v>1610</v>
      </c>
      <c r="B4162" s="316">
        <v>3037</v>
      </c>
      <c r="C4162" s="247" t="s">
        <v>996</v>
      </c>
      <c r="D4162" s="317">
        <v>42676</v>
      </c>
      <c r="E4162" s="318">
        <v>0.50375000000000003</v>
      </c>
      <c r="F4162" s="247" t="s">
        <v>980</v>
      </c>
      <c r="G4162" s="247" t="s">
        <v>1035</v>
      </c>
      <c r="H4162" s="248" t="s">
        <v>234</v>
      </c>
      <c r="I4162" s="248" t="s">
        <v>263</v>
      </c>
      <c r="J4162" s="247" t="s">
        <v>809</v>
      </c>
      <c r="K4162" s="249">
        <v>0</v>
      </c>
      <c r="M4162" s="90">
        <v>0</v>
      </c>
      <c r="N4162" s="90">
        <v>0</v>
      </c>
      <c r="O4162" s="90">
        <v>255</v>
      </c>
    </row>
    <row r="4163" spans="1:15" s="90" customFormat="1" ht="12.75" customHeight="1" x14ac:dyDescent="0.2">
      <c r="A4163" s="247" t="s">
        <v>1611</v>
      </c>
      <c r="B4163" s="316">
        <v>3037</v>
      </c>
      <c r="C4163" s="247" t="s">
        <v>996</v>
      </c>
      <c r="D4163" s="317">
        <v>42676</v>
      </c>
      <c r="E4163" s="318">
        <v>0.50375000000000003</v>
      </c>
      <c r="F4163" s="247" t="s">
        <v>980</v>
      </c>
      <c r="G4163" s="247" t="s">
        <v>1035</v>
      </c>
      <c r="H4163" s="248" t="s">
        <v>234</v>
      </c>
      <c r="I4163" s="248" t="s">
        <v>263</v>
      </c>
      <c r="J4163" s="247" t="s">
        <v>809</v>
      </c>
      <c r="K4163" s="249">
        <v>0</v>
      </c>
      <c r="M4163" s="90">
        <v>0</v>
      </c>
      <c r="N4163" s="90">
        <v>0</v>
      </c>
      <c r="O4163" s="90">
        <v>255</v>
      </c>
    </row>
    <row r="4164" spans="1:15" s="90" customFormat="1" ht="12.75" customHeight="1" x14ac:dyDescent="0.2">
      <c r="A4164" s="247" t="s">
        <v>1612</v>
      </c>
      <c r="B4164" s="316">
        <v>3037</v>
      </c>
      <c r="C4164" s="247" t="s">
        <v>996</v>
      </c>
      <c r="D4164" s="317">
        <v>42676</v>
      </c>
      <c r="E4164" s="318">
        <v>0.50375000000000003</v>
      </c>
      <c r="F4164" s="247" t="s">
        <v>980</v>
      </c>
      <c r="G4164" s="247" t="s">
        <v>1035</v>
      </c>
      <c r="H4164" s="248" t="s">
        <v>234</v>
      </c>
      <c r="I4164" s="248" t="s">
        <v>263</v>
      </c>
      <c r="J4164" s="247" t="s">
        <v>809</v>
      </c>
      <c r="K4164" s="249">
        <v>0</v>
      </c>
      <c r="M4164" s="90">
        <v>0</v>
      </c>
      <c r="N4164" s="90">
        <v>0</v>
      </c>
      <c r="O4164" s="90">
        <v>255</v>
      </c>
    </row>
    <row r="4165" spans="1:15" s="90" customFormat="1" ht="12.75" customHeight="1" x14ac:dyDescent="0.2">
      <c r="A4165" s="247" t="s">
        <v>1613</v>
      </c>
      <c r="B4165" s="316">
        <v>3037</v>
      </c>
      <c r="C4165" s="247" t="s">
        <v>996</v>
      </c>
      <c r="D4165" s="317">
        <v>42676</v>
      </c>
      <c r="E4165" s="318">
        <v>0.50375000000000003</v>
      </c>
      <c r="F4165" s="247" t="s">
        <v>980</v>
      </c>
      <c r="G4165" s="247" t="s">
        <v>1035</v>
      </c>
      <c r="H4165" s="248" t="s">
        <v>234</v>
      </c>
      <c r="I4165" s="248" t="s">
        <v>263</v>
      </c>
      <c r="J4165" s="247" t="s">
        <v>809</v>
      </c>
      <c r="K4165" s="249">
        <v>0</v>
      </c>
      <c r="M4165" s="90">
        <v>0</v>
      </c>
      <c r="N4165" s="90">
        <v>0</v>
      </c>
      <c r="O4165" s="90">
        <v>255</v>
      </c>
    </row>
    <row r="4166" spans="1:15" s="90" customFormat="1" ht="12.75" customHeight="1" x14ac:dyDescent="0.2">
      <c r="A4166" s="247" t="s">
        <v>1614</v>
      </c>
      <c r="B4166" s="316">
        <v>3037</v>
      </c>
      <c r="C4166" s="247" t="s">
        <v>996</v>
      </c>
      <c r="D4166" s="317">
        <v>42676</v>
      </c>
      <c r="E4166" s="318">
        <v>0.50375000000000003</v>
      </c>
      <c r="F4166" s="247" t="s">
        <v>980</v>
      </c>
      <c r="G4166" s="247" t="s">
        <v>1035</v>
      </c>
      <c r="H4166" s="248" t="s">
        <v>234</v>
      </c>
      <c r="I4166" s="248" t="s">
        <v>263</v>
      </c>
      <c r="J4166" s="247" t="s">
        <v>809</v>
      </c>
      <c r="K4166" s="249">
        <v>0</v>
      </c>
      <c r="M4166" s="90">
        <v>0</v>
      </c>
      <c r="N4166" s="90">
        <v>0</v>
      </c>
      <c r="O4166" s="90">
        <v>255</v>
      </c>
    </row>
    <row r="4167" spans="1:15" s="90" customFormat="1" ht="12.75" customHeight="1" x14ac:dyDescent="0.2">
      <c r="A4167" s="247" t="s">
        <v>1615</v>
      </c>
      <c r="B4167" s="316">
        <v>3037</v>
      </c>
      <c r="C4167" s="247" t="s">
        <v>996</v>
      </c>
      <c r="D4167" s="317">
        <v>42676</v>
      </c>
      <c r="E4167" s="318">
        <v>0.50376157407407407</v>
      </c>
      <c r="F4167" s="247" t="s">
        <v>980</v>
      </c>
      <c r="G4167" s="247" t="s">
        <v>1035</v>
      </c>
      <c r="H4167" s="248" t="s">
        <v>234</v>
      </c>
      <c r="I4167" s="248" t="s">
        <v>263</v>
      </c>
      <c r="J4167" s="247" t="s">
        <v>809</v>
      </c>
      <c r="K4167" s="249">
        <v>0</v>
      </c>
      <c r="M4167" s="90">
        <v>0</v>
      </c>
      <c r="N4167" s="90">
        <v>0</v>
      </c>
      <c r="O4167" s="90">
        <v>255</v>
      </c>
    </row>
    <row r="4168" spans="1:15" s="90" customFormat="1" ht="12.75" customHeight="1" x14ac:dyDescent="0.2">
      <c r="A4168" s="247" t="s">
        <v>1616</v>
      </c>
      <c r="B4168" s="316">
        <v>3037</v>
      </c>
      <c r="C4168" s="247" t="s">
        <v>996</v>
      </c>
      <c r="D4168" s="317">
        <v>42676</v>
      </c>
      <c r="E4168" s="318">
        <v>0.50376157407407407</v>
      </c>
      <c r="F4168" s="247" t="s">
        <v>980</v>
      </c>
      <c r="G4168" s="247" t="s">
        <v>1035</v>
      </c>
      <c r="H4168" s="248" t="s">
        <v>234</v>
      </c>
      <c r="I4168" s="248" t="s">
        <v>263</v>
      </c>
      <c r="J4168" s="247" t="s">
        <v>809</v>
      </c>
      <c r="K4168" s="249">
        <v>0</v>
      </c>
      <c r="M4168" s="90">
        <v>0</v>
      </c>
      <c r="N4168" s="90">
        <v>0</v>
      </c>
      <c r="O4168" s="90">
        <v>255</v>
      </c>
    </row>
    <row r="4169" spans="1:15" s="90" customFormat="1" ht="12.75" customHeight="1" x14ac:dyDescent="0.2">
      <c r="A4169" s="247" t="s">
        <v>1617</v>
      </c>
      <c r="B4169" s="316">
        <v>3037</v>
      </c>
      <c r="C4169" s="247" t="s">
        <v>996</v>
      </c>
      <c r="D4169" s="317">
        <v>42676</v>
      </c>
      <c r="E4169" s="318">
        <v>0.50376157407407407</v>
      </c>
      <c r="F4169" s="247" t="s">
        <v>980</v>
      </c>
      <c r="G4169" s="247" t="s">
        <v>1035</v>
      </c>
      <c r="H4169" s="248" t="s">
        <v>234</v>
      </c>
      <c r="I4169" s="248" t="s">
        <v>263</v>
      </c>
      <c r="J4169" s="247" t="s">
        <v>809</v>
      </c>
      <c r="K4169" s="249">
        <v>0</v>
      </c>
      <c r="M4169" s="90">
        <v>0</v>
      </c>
      <c r="N4169" s="90">
        <v>0</v>
      </c>
      <c r="O4169" s="90">
        <v>255</v>
      </c>
    </row>
    <row r="4170" spans="1:15" s="90" customFormat="1" ht="12.75" customHeight="1" x14ac:dyDescent="0.2">
      <c r="A4170" s="247" t="s">
        <v>1618</v>
      </c>
      <c r="B4170" s="316">
        <v>3037</v>
      </c>
      <c r="C4170" s="247" t="s">
        <v>996</v>
      </c>
      <c r="D4170" s="317">
        <v>42676</v>
      </c>
      <c r="E4170" s="318">
        <v>0.50376157407407407</v>
      </c>
      <c r="F4170" s="247" t="s">
        <v>980</v>
      </c>
      <c r="G4170" s="247" t="s">
        <v>1035</v>
      </c>
      <c r="H4170" s="248" t="s">
        <v>234</v>
      </c>
      <c r="I4170" s="248" t="s">
        <v>263</v>
      </c>
      <c r="J4170" s="247" t="s">
        <v>809</v>
      </c>
      <c r="K4170" s="249">
        <v>0</v>
      </c>
      <c r="M4170" s="90">
        <v>0</v>
      </c>
      <c r="N4170" s="90">
        <v>0</v>
      </c>
      <c r="O4170" s="90">
        <v>255</v>
      </c>
    </row>
    <row r="4171" spans="1:15" s="90" customFormat="1" ht="12.75" customHeight="1" x14ac:dyDescent="0.2">
      <c r="A4171" s="247" t="s">
        <v>1619</v>
      </c>
      <c r="B4171" s="316">
        <v>3037</v>
      </c>
      <c r="C4171" s="247" t="s">
        <v>996</v>
      </c>
      <c r="D4171" s="317">
        <v>42676</v>
      </c>
      <c r="E4171" s="318">
        <v>0.50376157407407407</v>
      </c>
      <c r="F4171" s="247" t="s">
        <v>980</v>
      </c>
      <c r="G4171" s="247" t="s">
        <v>1035</v>
      </c>
      <c r="H4171" s="248" t="s">
        <v>234</v>
      </c>
      <c r="I4171" s="248" t="s">
        <v>263</v>
      </c>
      <c r="J4171" s="247" t="s">
        <v>809</v>
      </c>
      <c r="K4171" s="249">
        <v>0</v>
      </c>
      <c r="M4171" s="90">
        <v>0</v>
      </c>
      <c r="N4171" s="90">
        <v>0</v>
      </c>
      <c r="O4171" s="90">
        <v>255</v>
      </c>
    </row>
    <row r="4172" spans="1:15" s="90" customFormat="1" ht="12.75" customHeight="1" x14ac:dyDescent="0.2">
      <c r="A4172" s="247" t="s">
        <v>1620</v>
      </c>
      <c r="B4172" s="316">
        <v>3037</v>
      </c>
      <c r="C4172" s="247" t="s">
        <v>996</v>
      </c>
      <c r="D4172" s="317">
        <v>42676</v>
      </c>
      <c r="E4172" s="318">
        <v>0.50377314814814811</v>
      </c>
      <c r="F4172" s="247" t="s">
        <v>980</v>
      </c>
      <c r="G4172" s="247" t="s">
        <v>1035</v>
      </c>
      <c r="H4172" s="248" t="s">
        <v>234</v>
      </c>
      <c r="I4172" s="248" t="s">
        <v>263</v>
      </c>
      <c r="J4172" s="247" t="s">
        <v>809</v>
      </c>
      <c r="K4172" s="249">
        <v>0</v>
      </c>
      <c r="M4172" s="90">
        <v>0</v>
      </c>
      <c r="N4172" s="90">
        <v>0</v>
      </c>
      <c r="O4172" s="90">
        <v>255</v>
      </c>
    </row>
    <row r="4173" spans="1:15" s="90" customFormat="1" ht="12.75" customHeight="1" x14ac:dyDescent="0.2">
      <c r="A4173" s="247" t="s">
        <v>1621</v>
      </c>
      <c r="B4173" s="316">
        <v>3037</v>
      </c>
      <c r="C4173" s="247" t="s">
        <v>996</v>
      </c>
      <c r="D4173" s="317">
        <v>42676</v>
      </c>
      <c r="E4173" s="318">
        <v>0.50377314814814811</v>
      </c>
      <c r="F4173" s="247" t="s">
        <v>980</v>
      </c>
      <c r="G4173" s="247" t="s">
        <v>1035</v>
      </c>
      <c r="H4173" s="248" t="s">
        <v>234</v>
      </c>
      <c r="I4173" s="248" t="s">
        <v>263</v>
      </c>
      <c r="J4173" s="247" t="s">
        <v>809</v>
      </c>
      <c r="K4173" s="249">
        <v>0</v>
      </c>
      <c r="M4173" s="90">
        <v>0</v>
      </c>
      <c r="N4173" s="90">
        <v>0</v>
      </c>
      <c r="O4173" s="90">
        <v>255</v>
      </c>
    </row>
    <row r="4174" spans="1:15" s="90" customFormat="1" ht="12.75" customHeight="1" x14ac:dyDescent="0.2">
      <c r="A4174" s="247" t="s">
        <v>1622</v>
      </c>
      <c r="B4174" s="316">
        <v>3037</v>
      </c>
      <c r="C4174" s="247" t="s">
        <v>996</v>
      </c>
      <c r="D4174" s="317">
        <v>42676</v>
      </c>
      <c r="E4174" s="318">
        <v>0.50378472222222226</v>
      </c>
      <c r="F4174" s="247" t="s">
        <v>980</v>
      </c>
      <c r="G4174" s="247" t="s">
        <v>1035</v>
      </c>
      <c r="H4174" s="248" t="s">
        <v>234</v>
      </c>
      <c r="I4174" s="248" t="s">
        <v>263</v>
      </c>
      <c r="J4174" s="247" t="s">
        <v>809</v>
      </c>
      <c r="K4174" s="249">
        <v>0</v>
      </c>
      <c r="M4174" s="90">
        <v>0</v>
      </c>
      <c r="N4174" s="90">
        <v>0</v>
      </c>
      <c r="O4174" s="90">
        <v>255</v>
      </c>
    </row>
    <row r="4175" spans="1:15" s="90" customFormat="1" ht="12.75" customHeight="1" x14ac:dyDescent="0.2">
      <c r="A4175" s="247" t="s">
        <v>1623</v>
      </c>
      <c r="B4175" s="316">
        <v>3037</v>
      </c>
      <c r="C4175" s="247" t="s">
        <v>996</v>
      </c>
      <c r="D4175" s="317">
        <v>42676</v>
      </c>
      <c r="E4175" s="318">
        <v>0.50378472222222226</v>
      </c>
      <c r="F4175" s="247" t="s">
        <v>980</v>
      </c>
      <c r="G4175" s="247" t="s">
        <v>1035</v>
      </c>
      <c r="H4175" s="248" t="s">
        <v>234</v>
      </c>
      <c r="I4175" s="248" t="s">
        <v>263</v>
      </c>
      <c r="J4175" s="247" t="s">
        <v>809</v>
      </c>
      <c r="K4175" s="249">
        <v>0</v>
      </c>
      <c r="M4175" s="90">
        <v>0</v>
      </c>
      <c r="N4175" s="90">
        <v>0</v>
      </c>
      <c r="O4175" s="90">
        <v>255</v>
      </c>
    </row>
    <row r="4176" spans="1:15" s="90" customFormat="1" ht="12.75" customHeight="1" x14ac:dyDescent="0.2">
      <c r="A4176" s="247" t="s">
        <v>1624</v>
      </c>
      <c r="B4176" s="316">
        <v>3037</v>
      </c>
      <c r="C4176" s="247" t="s">
        <v>996</v>
      </c>
      <c r="D4176" s="317">
        <v>42676</v>
      </c>
      <c r="E4176" s="318">
        <v>0.50378472222222226</v>
      </c>
      <c r="F4176" s="247" t="s">
        <v>980</v>
      </c>
      <c r="G4176" s="247" t="s">
        <v>1035</v>
      </c>
      <c r="H4176" s="248" t="s">
        <v>234</v>
      </c>
      <c r="I4176" s="248" t="s">
        <v>263</v>
      </c>
      <c r="J4176" s="247" t="s">
        <v>809</v>
      </c>
      <c r="K4176" s="249">
        <v>0</v>
      </c>
      <c r="M4176" s="90">
        <v>0</v>
      </c>
      <c r="N4176" s="90">
        <v>0</v>
      </c>
      <c r="O4176" s="90">
        <v>255</v>
      </c>
    </row>
    <row r="4177" spans="1:15" s="90" customFormat="1" ht="12.75" customHeight="1" x14ac:dyDescent="0.2">
      <c r="A4177" s="247" t="s">
        <v>1625</v>
      </c>
      <c r="B4177" s="316">
        <v>3037</v>
      </c>
      <c r="C4177" s="247" t="s">
        <v>996</v>
      </c>
      <c r="D4177" s="317">
        <v>42676</v>
      </c>
      <c r="E4177" s="318">
        <v>0.5037962962962963</v>
      </c>
      <c r="F4177" s="247" t="s">
        <v>980</v>
      </c>
      <c r="G4177" s="247" t="s">
        <v>1035</v>
      </c>
      <c r="H4177" s="248" t="s">
        <v>234</v>
      </c>
      <c r="I4177" s="248" t="s">
        <v>263</v>
      </c>
      <c r="J4177" s="247" t="s">
        <v>809</v>
      </c>
      <c r="K4177" s="249">
        <v>0</v>
      </c>
      <c r="M4177" s="90">
        <v>0</v>
      </c>
      <c r="N4177" s="90">
        <v>0</v>
      </c>
      <c r="O4177" s="90">
        <v>255</v>
      </c>
    </row>
    <row r="4178" spans="1:15" s="90" customFormat="1" ht="12.75" customHeight="1" x14ac:dyDescent="0.2">
      <c r="A4178" s="247" t="s">
        <v>1626</v>
      </c>
      <c r="B4178" s="316">
        <v>3037</v>
      </c>
      <c r="C4178" s="247" t="s">
        <v>996</v>
      </c>
      <c r="D4178" s="317">
        <v>42676</v>
      </c>
      <c r="E4178" s="318">
        <v>0.5037962962962963</v>
      </c>
      <c r="F4178" s="247" t="s">
        <v>980</v>
      </c>
      <c r="G4178" s="247" t="s">
        <v>1035</v>
      </c>
      <c r="H4178" s="248" t="s">
        <v>234</v>
      </c>
      <c r="I4178" s="248" t="s">
        <v>263</v>
      </c>
      <c r="J4178" s="247" t="s">
        <v>809</v>
      </c>
      <c r="K4178" s="249">
        <v>0</v>
      </c>
      <c r="M4178" s="90">
        <v>0</v>
      </c>
      <c r="N4178" s="90">
        <v>0</v>
      </c>
      <c r="O4178" s="90">
        <v>255</v>
      </c>
    </row>
    <row r="4179" spans="1:15" s="90" customFormat="1" ht="12.75" customHeight="1" x14ac:dyDescent="0.2">
      <c r="A4179" s="247" t="s">
        <v>1627</v>
      </c>
      <c r="B4179" s="316">
        <v>3037</v>
      </c>
      <c r="C4179" s="247" t="s">
        <v>996</v>
      </c>
      <c r="D4179" s="317">
        <v>42676</v>
      </c>
      <c r="E4179" s="318">
        <v>0.5037962962962963</v>
      </c>
      <c r="F4179" s="247" t="s">
        <v>980</v>
      </c>
      <c r="G4179" s="247" t="s">
        <v>1035</v>
      </c>
      <c r="H4179" s="248" t="s">
        <v>234</v>
      </c>
      <c r="I4179" s="248" t="s">
        <v>263</v>
      </c>
      <c r="J4179" s="247" t="s">
        <v>809</v>
      </c>
      <c r="K4179" s="249">
        <v>0</v>
      </c>
      <c r="M4179" s="90">
        <v>0</v>
      </c>
      <c r="N4179" s="90">
        <v>0</v>
      </c>
      <c r="O4179" s="90">
        <v>255</v>
      </c>
    </row>
    <row r="4180" spans="1:15" s="90" customFormat="1" ht="12.75" customHeight="1" x14ac:dyDescent="0.2">
      <c r="A4180" s="247" t="s">
        <v>1628</v>
      </c>
      <c r="B4180" s="316">
        <v>3037</v>
      </c>
      <c r="C4180" s="247" t="s">
        <v>996</v>
      </c>
      <c r="D4180" s="317">
        <v>42676</v>
      </c>
      <c r="E4180" s="318">
        <v>0.5037962962962963</v>
      </c>
      <c r="F4180" s="247" t="s">
        <v>980</v>
      </c>
      <c r="G4180" s="247" t="s">
        <v>1035</v>
      </c>
      <c r="H4180" s="248" t="s">
        <v>234</v>
      </c>
      <c r="I4180" s="248" t="s">
        <v>263</v>
      </c>
      <c r="J4180" s="247" t="s">
        <v>809</v>
      </c>
      <c r="K4180" s="249">
        <v>0</v>
      </c>
      <c r="M4180" s="90">
        <v>0</v>
      </c>
      <c r="N4180" s="90">
        <v>0</v>
      </c>
      <c r="O4180" s="90">
        <v>255</v>
      </c>
    </row>
    <row r="4181" spans="1:15" s="90" customFormat="1" ht="12.75" customHeight="1" x14ac:dyDescent="0.2">
      <c r="A4181" s="247" t="s">
        <v>1629</v>
      </c>
      <c r="B4181" s="316">
        <v>3037</v>
      </c>
      <c r="C4181" s="247" t="s">
        <v>996</v>
      </c>
      <c r="D4181" s="317">
        <v>42676</v>
      </c>
      <c r="E4181" s="318">
        <v>0.5037962962962963</v>
      </c>
      <c r="F4181" s="247" t="s">
        <v>980</v>
      </c>
      <c r="G4181" s="247" t="s">
        <v>1035</v>
      </c>
      <c r="H4181" s="248" t="s">
        <v>234</v>
      </c>
      <c r="I4181" s="248" t="s">
        <v>263</v>
      </c>
      <c r="J4181" s="247" t="s">
        <v>809</v>
      </c>
      <c r="K4181" s="249">
        <v>0</v>
      </c>
      <c r="M4181" s="90">
        <v>0</v>
      </c>
      <c r="N4181" s="90">
        <v>0</v>
      </c>
      <c r="O4181" s="90">
        <v>255</v>
      </c>
    </row>
    <row r="4182" spans="1:15" s="90" customFormat="1" ht="12.75" customHeight="1" x14ac:dyDescent="0.2">
      <c r="A4182" s="247" t="s">
        <v>1630</v>
      </c>
      <c r="B4182" s="316">
        <v>3037</v>
      </c>
      <c r="C4182" s="247" t="s">
        <v>996</v>
      </c>
      <c r="D4182" s="317">
        <v>42676</v>
      </c>
      <c r="E4182" s="318">
        <v>0.5037962962962963</v>
      </c>
      <c r="F4182" s="247" t="s">
        <v>980</v>
      </c>
      <c r="G4182" s="247" t="s">
        <v>1035</v>
      </c>
      <c r="H4182" s="248" t="s">
        <v>234</v>
      </c>
      <c r="I4182" s="248" t="s">
        <v>263</v>
      </c>
      <c r="J4182" s="247" t="s">
        <v>809</v>
      </c>
      <c r="K4182" s="249">
        <v>0</v>
      </c>
      <c r="M4182" s="90">
        <v>0</v>
      </c>
      <c r="N4182" s="90">
        <v>0</v>
      </c>
      <c r="O4182" s="90">
        <v>255</v>
      </c>
    </row>
    <row r="4183" spans="1:15" s="90" customFormat="1" ht="12.75" customHeight="1" x14ac:dyDescent="0.2">
      <c r="A4183" s="247" t="s">
        <v>1631</v>
      </c>
      <c r="B4183" s="316">
        <v>3037</v>
      </c>
      <c r="C4183" s="247" t="s">
        <v>996</v>
      </c>
      <c r="D4183" s="317">
        <v>42676</v>
      </c>
      <c r="E4183" s="318">
        <v>0.5037962962962963</v>
      </c>
      <c r="F4183" s="247" t="s">
        <v>980</v>
      </c>
      <c r="G4183" s="247" t="s">
        <v>1035</v>
      </c>
      <c r="H4183" s="248" t="s">
        <v>234</v>
      </c>
      <c r="I4183" s="248" t="s">
        <v>263</v>
      </c>
      <c r="J4183" s="247" t="s">
        <v>809</v>
      </c>
      <c r="K4183" s="249">
        <v>0</v>
      </c>
      <c r="M4183" s="90">
        <v>0</v>
      </c>
      <c r="N4183" s="90">
        <v>0</v>
      </c>
      <c r="O4183" s="90">
        <v>255</v>
      </c>
    </row>
    <row r="4184" spans="1:15" s="90" customFormat="1" ht="12.75" customHeight="1" x14ac:dyDescent="0.2">
      <c r="A4184" s="247" t="s">
        <v>1632</v>
      </c>
      <c r="B4184" s="316">
        <v>3037</v>
      </c>
      <c r="C4184" s="247" t="s">
        <v>996</v>
      </c>
      <c r="D4184" s="317">
        <v>42676</v>
      </c>
      <c r="E4184" s="318">
        <v>0.5037962962962963</v>
      </c>
      <c r="F4184" s="247" t="s">
        <v>980</v>
      </c>
      <c r="G4184" s="247" t="s">
        <v>1035</v>
      </c>
      <c r="H4184" s="248" t="s">
        <v>234</v>
      </c>
      <c r="I4184" s="248" t="s">
        <v>263</v>
      </c>
      <c r="J4184" s="247" t="s">
        <v>809</v>
      </c>
      <c r="K4184" s="249">
        <v>0</v>
      </c>
      <c r="M4184" s="90">
        <v>0</v>
      </c>
      <c r="N4184" s="90">
        <v>0</v>
      </c>
      <c r="O4184" s="90">
        <v>255</v>
      </c>
    </row>
    <row r="4185" spans="1:15" s="90" customFormat="1" ht="12.75" customHeight="1" x14ac:dyDescent="0.2">
      <c r="A4185" s="247" t="s">
        <v>1633</v>
      </c>
      <c r="B4185" s="316">
        <v>3037</v>
      </c>
      <c r="C4185" s="247" t="s">
        <v>996</v>
      </c>
      <c r="D4185" s="317">
        <v>42676</v>
      </c>
      <c r="E4185" s="318">
        <v>0.50380787037037034</v>
      </c>
      <c r="F4185" s="247" t="s">
        <v>980</v>
      </c>
      <c r="G4185" s="247" t="s">
        <v>1035</v>
      </c>
      <c r="H4185" s="248" t="s">
        <v>234</v>
      </c>
      <c r="I4185" s="248" t="s">
        <v>263</v>
      </c>
      <c r="J4185" s="247" t="s">
        <v>809</v>
      </c>
      <c r="K4185" s="249">
        <v>0</v>
      </c>
      <c r="M4185" s="90">
        <v>0</v>
      </c>
      <c r="N4185" s="90">
        <v>0</v>
      </c>
      <c r="O4185" s="90">
        <v>255</v>
      </c>
    </row>
    <row r="4186" spans="1:15" s="90" customFormat="1" ht="12.75" customHeight="1" x14ac:dyDescent="0.2">
      <c r="A4186" s="247" t="s">
        <v>1634</v>
      </c>
      <c r="B4186" s="316">
        <v>3037</v>
      </c>
      <c r="C4186" s="247" t="s">
        <v>996</v>
      </c>
      <c r="D4186" s="317">
        <v>42676</v>
      </c>
      <c r="E4186" s="318">
        <v>0.50380787037037034</v>
      </c>
      <c r="F4186" s="247" t="s">
        <v>980</v>
      </c>
      <c r="G4186" s="247" t="s">
        <v>1035</v>
      </c>
      <c r="H4186" s="248" t="s">
        <v>234</v>
      </c>
      <c r="I4186" s="248" t="s">
        <v>263</v>
      </c>
      <c r="J4186" s="247" t="s">
        <v>809</v>
      </c>
      <c r="K4186" s="249">
        <v>0</v>
      </c>
      <c r="M4186" s="90">
        <v>0</v>
      </c>
      <c r="N4186" s="90">
        <v>0</v>
      </c>
      <c r="O4186" s="90">
        <v>255</v>
      </c>
    </row>
    <row r="4187" spans="1:15" s="90" customFormat="1" ht="12.75" customHeight="1" x14ac:dyDescent="0.2">
      <c r="A4187" s="247" t="s">
        <v>1635</v>
      </c>
      <c r="B4187" s="316">
        <v>3037</v>
      </c>
      <c r="C4187" s="247" t="s">
        <v>996</v>
      </c>
      <c r="D4187" s="317">
        <v>42676</v>
      </c>
      <c r="E4187" s="318">
        <v>0.50380787037037034</v>
      </c>
      <c r="F4187" s="247" t="s">
        <v>980</v>
      </c>
      <c r="G4187" s="247" t="s">
        <v>1035</v>
      </c>
      <c r="H4187" s="248" t="s">
        <v>234</v>
      </c>
      <c r="I4187" s="248" t="s">
        <v>263</v>
      </c>
      <c r="J4187" s="247" t="s">
        <v>809</v>
      </c>
      <c r="K4187" s="249">
        <v>0</v>
      </c>
      <c r="M4187" s="90">
        <v>0</v>
      </c>
      <c r="N4187" s="90">
        <v>0</v>
      </c>
      <c r="O4187" s="90">
        <v>255</v>
      </c>
    </row>
    <row r="4188" spans="1:15" s="90" customFormat="1" ht="12.75" customHeight="1" x14ac:dyDescent="0.2">
      <c r="A4188" s="247" t="s">
        <v>1636</v>
      </c>
      <c r="B4188" s="316">
        <v>3037</v>
      </c>
      <c r="C4188" s="247" t="s">
        <v>996</v>
      </c>
      <c r="D4188" s="317">
        <v>42676</v>
      </c>
      <c r="E4188" s="318">
        <v>0.50380787037037034</v>
      </c>
      <c r="F4188" s="247" t="s">
        <v>980</v>
      </c>
      <c r="G4188" s="247" t="s">
        <v>1035</v>
      </c>
      <c r="H4188" s="248" t="s">
        <v>234</v>
      </c>
      <c r="I4188" s="248" t="s">
        <v>263</v>
      </c>
      <c r="J4188" s="247" t="s">
        <v>809</v>
      </c>
      <c r="K4188" s="249">
        <v>0</v>
      </c>
      <c r="M4188" s="90">
        <v>0</v>
      </c>
      <c r="N4188" s="90">
        <v>0</v>
      </c>
      <c r="O4188" s="90">
        <v>255</v>
      </c>
    </row>
    <row r="4189" spans="1:15" s="90" customFormat="1" ht="12.75" customHeight="1" x14ac:dyDescent="0.2">
      <c r="A4189" s="247" t="s">
        <v>1637</v>
      </c>
      <c r="B4189" s="316">
        <v>3037</v>
      </c>
      <c r="C4189" s="247" t="s">
        <v>996</v>
      </c>
      <c r="D4189" s="317">
        <v>42676</v>
      </c>
      <c r="E4189" s="318">
        <v>0.50380787037037034</v>
      </c>
      <c r="F4189" s="247" t="s">
        <v>980</v>
      </c>
      <c r="G4189" s="247" t="s">
        <v>1035</v>
      </c>
      <c r="H4189" s="248" t="s">
        <v>234</v>
      </c>
      <c r="I4189" s="248" t="s">
        <v>263</v>
      </c>
      <c r="J4189" s="247" t="s">
        <v>809</v>
      </c>
      <c r="K4189" s="249">
        <v>0</v>
      </c>
      <c r="M4189" s="90">
        <v>0</v>
      </c>
      <c r="N4189" s="90">
        <v>0</v>
      </c>
      <c r="O4189" s="90">
        <v>255</v>
      </c>
    </row>
    <row r="4190" spans="1:15" s="90" customFormat="1" ht="12.75" customHeight="1" x14ac:dyDescent="0.2">
      <c r="A4190" s="247" t="s">
        <v>1638</v>
      </c>
      <c r="B4190" s="316">
        <v>3037</v>
      </c>
      <c r="C4190" s="247" t="s">
        <v>996</v>
      </c>
      <c r="D4190" s="317">
        <v>42676</v>
      </c>
      <c r="E4190" s="318">
        <v>0.50381944444444449</v>
      </c>
      <c r="F4190" s="247" t="s">
        <v>980</v>
      </c>
      <c r="G4190" s="247" t="s">
        <v>1035</v>
      </c>
      <c r="H4190" s="248" t="s">
        <v>234</v>
      </c>
      <c r="I4190" s="248" t="s">
        <v>263</v>
      </c>
      <c r="J4190" s="247" t="s">
        <v>809</v>
      </c>
      <c r="K4190" s="249">
        <v>0</v>
      </c>
      <c r="M4190" s="90">
        <v>0</v>
      </c>
      <c r="N4190" s="90">
        <v>0</v>
      </c>
      <c r="O4190" s="90">
        <v>255</v>
      </c>
    </row>
    <row r="4191" spans="1:15" s="90" customFormat="1" ht="12.75" customHeight="1" x14ac:dyDescent="0.2">
      <c r="A4191" s="247" t="s">
        <v>1639</v>
      </c>
      <c r="B4191" s="316">
        <v>3037</v>
      </c>
      <c r="C4191" s="247" t="s">
        <v>996</v>
      </c>
      <c r="D4191" s="317">
        <v>42676</v>
      </c>
      <c r="E4191" s="318">
        <v>0.50383101851851853</v>
      </c>
      <c r="F4191" s="247" t="s">
        <v>980</v>
      </c>
      <c r="G4191" s="247" t="s">
        <v>1035</v>
      </c>
      <c r="H4191" s="248" t="s">
        <v>234</v>
      </c>
      <c r="I4191" s="248" t="s">
        <v>263</v>
      </c>
      <c r="J4191" s="247" t="s">
        <v>809</v>
      </c>
      <c r="K4191" s="249">
        <v>0</v>
      </c>
      <c r="M4191" s="90">
        <v>0</v>
      </c>
      <c r="N4191" s="90">
        <v>0</v>
      </c>
      <c r="O4191" s="90">
        <v>255</v>
      </c>
    </row>
    <row r="4192" spans="1:15" s="90" customFormat="1" ht="12.75" customHeight="1" x14ac:dyDescent="0.2">
      <c r="A4192" s="247" t="s">
        <v>1640</v>
      </c>
      <c r="B4192" s="316">
        <v>3037</v>
      </c>
      <c r="C4192" s="247" t="s">
        <v>996</v>
      </c>
      <c r="D4192" s="317">
        <v>42676</v>
      </c>
      <c r="E4192" s="318">
        <v>0.50383101851851853</v>
      </c>
      <c r="F4192" s="247" t="s">
        <v>980</v>
      </c>
      <c r="G4192" s="247" t="s">
        <v>1035</v>
      </c>
      <c r="H4192" s="248" t="s">
        <v>234</v>
      </c>
      <c r="I4192" s="248" t="s">
        <v>263</v>
      </c>
      <c r="J4192" s="247" t="s">
        <v>809</v>
      </c>
      <c r="K4192" s="249">
        <v>0</v>
      </c>
      <c r="M4192" s="90">
        <v>0</v>
      </c>
      <c r="N4192" s="90">
        <v>0</v>
      </c>
      <c r="O4192" s="90">
        <v>255</v>
      </c>
    </row>
    <row r="4193" spans="1:15" s="90" customFormat="1" ht="12.75" customHeight="1" x14ac:dyDescent="0.2">
      <c r="A4193" s="247" t="s">
        <v>1641</v>
      </c>
      <c r="B4193" s="316">
        <v>3037</v>
      </c>
      <c r="C4193" s="247" t="s">
        <v>996</v>
      </c>
      <c r="D4193" s="317">
        <v>42676</v>
      </c>
      <c r="E4193" s="318">
        <v>0.50383101851851853</v>
      </c>
      <c r="F4193" s="247" t="s">
        <v>980</v>
      </c>
      <c r="G4193" s="247" t="s">
        <v>1035</v>
      </c>
      <c r="H4193" s="248" t="s">
        <v>234</v>
      </c>
      <c r="I4193" s="248" t="s">
        <v>263</v>
      </c>
      <c r="J4193" s="247" t="s">
        <v>809</v>
      </c>
      <c r="K4193" s="249">
        <v>0</v>
      </c>
      <c r="M4193" s="90">
        <v>0</v>
      </c>
      <c r="N4193" s="90">
        <v>0</v>
      </c>
      <c r="O4193" s="90">
        <v>255</v>
      </c>
    </row>
    <row r="4194" spans="1:15" s="90" customFormat="1" ht="12.75" customHeight="1" x14ac:dyDescent="0.2">
      <c r="A4194" s="247" t="s">
        <v>1642</v>
      </c>
      <c r="B4194" s="316">
        <v>3037</v>
      </c>
      <c r="C4194" s="247" t="s">
        <v>996</v>
      </c>
      <c r="D4194" s="317">
        <v>42676</v>
      </c>
      <c r="E4194" s="318">
        <v>0.50383101851851853</v>
      </c>
      <c r="F4194" s="247" t="s">
        <v>980</v>
      </c>
      <c r="G4194" s="247" t="s">
        <v>1035</v>
      </c>
      <c r="H4194" s="248" t="s">
        <v>234</v>
      </c>
      <c r="I4194" s="248" t="s">
        <v>263</v>
      </c>
      <c r="J4194" s="247" t="s">
        <v>809</v>
      </c>
      <c r="K4194" s="249">
        <v>0</v>
      </c>
      <c r="M4194" s="90">
        <v>0</v>
      </c>
      <c r="N4194" s="90">
        <v>0</v>
      </c>
      <c r="O4194" s="90">
        <v>255</v>
      </c>
    </row>
    <row r="4195" spans="1:15" s="90" customFormat="1" ht="12.75" customHeight="1" x14ac:dyDescent="0.2">
      <c r="A4195" s="247" t="s">
        <v>1643</v>
      </c>
      <c r="B4195" s="316">
        <v>3037</v>
      </c>
      <c r="C4195" s="247" t="s">
        <v>996</v>
      </c>
      <c r="D4195" s="317">
        <v>42676</v>
      </c>
      <c r="E4195" s="318">
        <v>0.50384259259259256</v>
      </c>
      <c r="F4195" s="247" t="s">
        <v>980</v>
      </c>
      <c r="G4195" s="247" t="s">
        <v>1035</v>
      </c>
      <c r="H4195" s="248" t="s">
        <v>234</v>
      </c>
      <c r="I4195" s="248" t="s">
        <v>263</v>
      </c>
      <c r="J4195" s="247" t="s">
        <v>809</v>
      </c>
      <c r="K4195" s="249">
        <v>0</v>
      </c>
      <c r="M4195" s="90">
        <v>0</v>
      </c>
      <c r="N4195" s="90">
        <v>0</v>
      </c>
      <c r="O4195" s="90">
        <v>255</v>
      </c>
    </row>
    <row r="4196" spans="1:15" s="90" customFormat="1" ht="12.75" customHeight="1" x14ac:dyDescent="0.2">
      <c r="A4196" s="247" t="s">
        <v>1644</v>
      </c>
      <c r="B4196" s="316">
        <v>3037</v>
      </c>
      <c r="C4196" s="247" t="s">
        <v>996</v>
      </c>
      <c r="D4196" s="317">
        <v>42676</v>
      </c>
      <c r="E4196" s="318">
        <v>0.50384259259259256</v>
      </c>
      <c r="F4196" s="247" t="s">
        <v>980</v>
      </c>
      <c r="G4196" s="247" t="s">
        <v>1035</v>
      </c>
      <c r="H4196" s="248" t="s">
        <v>234</v>
      </c>
      <c r="I4196" s="248" t="s">
        <v>263</v>
      </c>
      <c r="J4196" s="247" t="s">
        <v>809</v>
      </c>
      <c r="K4196" s="249">
        <v>0</v>
      </c>
      <c r="M4196" s="90">
        <v>0</v>
      </c>
      <c r="N4196" s="90">
        <v>0</v>
      </c>
      <c r="O4196" s="90">
        <v>255</v>
      </c>
    </row>
    <row r="4197" spans="1:15" s="90" customFormat="1" ht="12.75" customHeight="1" x14ac:dyDescent="0.2">
      <c r="A4197" s="247" t="s">
        <v>1645</v>
      </c>
      <c r="B4197" s="316">
        <v>3037</v>
      </c>
      <c r="C4197" s="247" t="s">
        <v>996</v>
      </c>
      <c r="D4197" s="317">
        <v>42676</v>
      </c>
      <c r="E4197" s="318">
        <v>0.50384259259259256</v>
      </c>
      <c r="F4197" s="247" t="s">
        <v>980</v>
      </c>
      <c r="G4197" s="247" t="s">
        <v>1035</v>
      </c>
      <c r="H4197" s="248" t="s">
        <v>234</v>
      </c>
      <c r="I4197" s="248" t="s">
        <v>263</v>
      </c>
      <c r="J4197" s="247" t="s">
        <v>809</v>
      </c>
      <c r="K4197" s="249">
        <v>0</v>
      </c>
      <c r="M4197" s="90">
        <v>0</v>
      </c>
      <c r="N4197" s="90">
        <v>0</v>
      </c>
      <c r="O4197" s="90">
        <v>255</v>
      </c>
    </row>
    <row r="4198" spans="1:15" s="90" customFormat="1" ht="12.75" customHeight="1" x14ac:dyDescent="0.2">
      <c r="A4198" s="247" t="s">
        <v>1646</v>
      </c>
      <c r="B4198" s="316">
        <v>3037</v>
      </c>
      <c r="C4198" s="247" t="s">
        <v>996</v>
      </c>
      <c r="D4198" s="317">
        <v>42676</v>
      </c>
      <c r="E4198" s="318">
        <v>0.5038541666666666</v>
      </c>
      <c r="F4198" s="247" t="s">
        <v>980</v>
      </c>
      <c r="G4198" s="247" t="s">
        <v>1035</v>
      </c>
      <c r="H4198" s="248" t="s">
        <v>234</v>
      </c>
      <c r="I4198" s="248" t="s">
        <v>263</v>
      </c>
      <c r="J4198" s="247" t="s">
        <v>809</v>
      </c>
      <c r="K4198" s="249">
        <v>0</v>
      </c>
      <c r="M4198" s="90">
        <v>0</v>
      </c>
      <c r="N4198" s="90">
        <v>0</v>
      </c>
      <c r="O4198" s="90">
        <v>255</v>
      </c>
    </row>
    <row r="4199" spans="1:15" s="90" customFormat="1" ht="12.75" customHeight="1" x14ac:dyDescent="0.2">
      <c r="A4199" s="247" t="s">
        <v>1647</v>
      </c>
      <c r="B4199" s="316">
        <v>3037</v>
      </c>
      <c r="C4199" s="247" t="s">
        <v>996</v>
      </c>
      <c r="D4199" s="317">
        <v>42676</v>
      </c>
      <c r="E4199" s="318">
        <v>0.50386574074074075</v>
      </c>
      <c r="F4199" s="247" t="s">
        <v>980</v>
      </c>
      <c r="G4199" s="247" t="s">
        <v>1035</v>
      </c>
      <c r="H4199" s="248" t="s">
        <v>234</v>
      </c>
      <c r="I4199" s="248" t="s">
        <v>263</v>
      </c>
      <c r="J4199" s="247" t="s">
        <v>809</v>
      </c>
      <c r="K4199" s="249">
        <v>0</v>
      </c>
      <c r="M4199" s="90">
        <v>0</v>
      </c>
      <c r="N4199" s="90">
        <v>0</v>
      </c>
      <c r="O4199" s="90">
        <v>255</v>
      </c>
    </row>
    <row r="4200" spans="1:15" s="90" customFormat="1" ht="12.75" customHeight="1" x14ac:dyDescent="0.2">
      <c r="A4200" s="247" t="s">
        <v>1648</v>
      </c>
      <c r="B4200" s="316">
        <v>3037</v>
      </c>
      <c r="C4200" s="247" t="s">
        <v>996</v>
      </c>
      <c r="D4200" s="317">
        <v>42676</v>
      </c>
      <c r="E4200" s="318">
        <v>0.50386574074074075</v>
      </c>
      <c r="F4200" s="247" t="s">
        <v>980</v>
      </c>
      <c r="G4200" s="247" t="s">
        <v>1035</v>
      </c>
      <c r="H4200" s="248" t="s">
        <v>234</v>
      </c>
      <c r="I4200" s="248" t="s">
        <v>263</v>
      </c>
      <c r="J4200" s="247" t="s">
        <v>809</v>
      </c>
      <c r="K4200" s="249">
        <v>0</v>
      </c>
      <c r="M4200" s="90">
        <v>0</v>
      </c>
      <c r="N4200" s="90">
        <v>0</v>
      </c>
      <c r="O4200" s="90">
        <v>255</v>
      </c>
    </row>
    <row r="4201" spans="1:15" s="90" customFormat="1" ht="12.75" customHeight="1" x14ac:dyDescent="0.2">
      <c r="A4201" s="247" t="s">
        <v>1649</v>
      </c>
      <c r="B4201" s="316">
        <v>3037</v>
      </c>
      <c r="C4201" s="247" t="s">
        <v>996</v>
      </c>
      <c r="D4201" s="317">
        <v>42676</v>
      </c>
      <c r="E4201" s="318">
        <v>0.50386574074074075</v>
      </c>
      <c r="F4201" s="247" t="s">
        <v>980</v>
      </c>
      <c r="G4201" s="247" t="s">
        <v>1035</v>
      </c>
      <c r="H4201" s="248" t="s">
        <v>234</v>
      </c>
      <c r="I4201" s="248" t="s">
        <v>263</v>
      </c>
      <c r="J4201" s="247" t="s">
        <v>809</v>
      </c>
      <c r="K4201" s="249">
        <v>0</v>
      </c>
      <c r="M4201" s="90">
        <v>0</v>
      </c>
      <c r="N4201" s="90">
        <v>0</v>
      </c>
      <c r="O4201" s="90">
        <v>255</v>
      </c>
    </row>
    <row r="4202" spans="1:15" s="90" customFormat="1" ht="12.75" customHeight="1" x14ac:dyDescent="0.2">
      <c r="A4202" s="247" t="s">
        <v>1650</v>
      </c>
      <c r="B4202" s="316">
        <v>3037</v>
      </c>
      <c r="C4202" s="247" t="s">
        <v>996</v>
      </c>
      <c r="D4202" s="317">
        <v>42676</v>
      </c>
      <c r="E4202" s="318">
        <v>0.50387731481481479</v>
      </c>
      <c r="F4202" s="247" t="s">
        <v>980</v>
      </c>
      <c r="G4202" s="247" t="s">
        <v>1035</v>
      </c>
      <c r="H4202" s="248" t="s">
        <v>234</v>
      </c>
      <c r="I4202" s="248" t="s">
        <v>263</v>
      </c>
      <c r="J4202" s="247" t="s">
        <v>809</v>
      </c>
      <c r="K4202" s="249">
        <v>0</v>
      </c>
      <c r="M4202" s="90">
        <v>0</v>
      </c>
      <c r="N4202" s="90">
        <v>0</v>
      </c>
      <c r="O4202" s="90">
        <v>255</v>
      </c>
    </row>
    <row r="4203" spans="1:15" s="90" customFormat="1" ht="12.75" customHeight="1" x14ac:dyDescent="0.2">
      <c r="A4203" s="247" t="s">
        <v>1651</v>
      </c>
      <c r="B4203" s="316">
        <v>3037</v>
      </c>
      <c r="C4203" s="247" t="s">
        <v>996</v>
      </c>
      <c r="D4203" s="317">
        <v>42676</v>
      </c>
      <c r="E4203" s="318">
        <v>0.50387731481481479</v>
      </c>
      <c r="F4203" s="247" t="s">
        <v>980</v>
      </c>
      <c r="G4203" s="247" t="s">
        <v>1035</v>
      </c>
      <c r="H4203" s="248" t="s">
        <v>234</v>
      </c>
      <c r="I4203" s="248" t="s">
        <v>263</v>
      </c>
      <c r="J4203" s="247" t="s">
        <v>809</v>
      </c>
      <c r="K4203" s="249">
        <v>0</v>
      </c>
      <c r="M4203" s="90">
        <v>0</v>
      </c>
      <c r="N4203" s="90">
        <v>0</v>
      </c>
      <c r="O4203" s="90">
        <v>255</v>
      </c>
    </row>
    <row r="4204" spans="1:15" s="90" customFormat="1" ht="12.75" customHeight="1" x14ac:dyDescent="0.2">
      <c r="A4204" s="247" t="s">
        <v>1652</v>
      </c>
      <c r="B4204" s="316">
        <v>3037</v>
      </c>
      <c r="C4204" s="247" t="s">
        <v>996</v>
      </c>
      <c r="D4204" s="317">
        <v>42676</v>
      </c>
      <c r="E4204" s="318">
        <v>0.50387731481481479</v>
      </c>
      <c r="F4204" s="247" t="s">
        <v>980</v>
      </c>
      <c r="G4204" s="247" t="s">
        <v>1035</v>
      </c>
      <c r="H4204" s="248" t="s">
        <v>234</v>
      </c>
      <c r="I4204" s="248" t="s">
        <v>263</v>
      </c>
      <c r="J4204" s="247" t="s">
        <v>809</v>
      </c>
      <c r="K4204" s="249">
        <v>0</v>
      </c>
      <c r="M4204" s="90">
        <v>0</v>
      </c>
      <c r="N4204" s="90">
        <v>0</v>
      </c>
      <c r="O4204" s="90">
        <v>255</v>
      </c>
    </row>
    <row r="4205" spans="1:15" s="90" customFormat="1" ht="12.75" customHeight="1" x14ac:dyDescent="0.2">
      <c r="A4205" s="247" t="s">
        <v>1653</v>
      </c>
      <c r="B4205" s="316">
        <v>3037</v>
      </c>
      <c r="C4205" s="247" t="s">
        <v>996</v>
      </c>
      <c r="D4205" s="317">
        <v>42676</v>
      </c>
      <c r="E4205" s="318">
        <v>0.50388888888888894</v>
      </c>
      <c r="F4205" s="247" t="s">
        <v>980</v>
      </c>
      <c r="G4205" s="247" t="s">
        <v>1035</v>
      </c>
      <c r="H4205" s="248" t="s">
        <v>234</v>
      </c>
      <c r="I4205" s="248" t="s">
        <v>263</v>
      </c>
      <c r="J4205" s="247" t="s">
        <v>809</v>
      </c>
      <c r="K4205" s="249">
        <v>0</v>
      </c>
      <c r="M4205" s="90">
        <v>0</v>
      </c>
      <c r="N4205" s="90">
        <v>0</v>
      </c>
      <c r="O4205" s="90">
        <v>255</v>
      </c>
    </row>
    <row r="4206" spans="1:15" s="90" customFormat="1" ht="12.75" customHeight="1" x14ac:dyDescent="0.2">
      <c r="A4206" s="247" t="s">
        <v>1654</v>
      </c>
      <c r="B4206" s="316">
        <v>3037</v>
      </c>
      <c r="C4206" s="247" t="s">
        <v>996</v>
      </c>
      <c r="D4206" s="317">
        <v>42676</v>
      </c>
      <c r="E4206" s="318">
        <v>0.50388888888888894</v>
      </c>
      <c r="F4206" s="247" t="s">
        <v>980</v>
      </c>
      <c r="G4206" s="247" t="s">
        <v>1035</v>
      </c>
      <c r="H4206" s="248" t="s">
        <v>234</v>
      </c>
      <c r="I4206" s="248" t="s">
        <v>263</v>
      </c>
      <c r="J4206" s="247" t="s">
        <v>809</v>
      </c>
      <c r="K4206" s="249">
        <v>0</v>
      </c>
      <c r="M4206" s="90">
        <v>0</v>
      </c>
      <c r="N4206" s="90">
        <v>0</v>
      </c>
      <c r="O4206" s="90">
        <v>255</v>
      </c>
    </row>
    <row r="4207" spans="1:15" s="90" customFormat="1" ht="12.75" customHeight="1" x14ac:dyDescent="0.2">
      <c r="A4207" s="247" t="s">
        <v>1655</v>
      </c>
      <c r="B4207" s="316">
        <v>3037</v>
      </c>
      <c r="C4207" s="247" t="s">
        <v>996</v>
      </c>
      <c r="D4207" s="317">
        <v>42676</v>
      </c>
      <c r="E4207" s="318">
        <v>0.50390046296296298</v>
      </c>
      <c r="F4207" s="247" t="s">
        <v>980</v>
      </c>
      <c r="G4207" s="247" t="s">
        <v>1035</v>
      </c>
      <c r="H4207" s="248" t="s">
        <v>234</v>
      </c>
      <c r="I4207" s="248" t="s">
        <v>263</v>
      </c>
      <c r="J4207" s="247" t="s">
        <v>809</v>
      </c>
      <c r="K4207" s="249">
        <v>0</v>
      </c>
      <c r="M4207" s="90">
        <v>0</v>
      </c>
      <c r="N4207" s="90">
        <v>0</v>
      </c>
      <c r="O4207" s="90">
        <v>255</v>
      </c>
    </row>
    <row r="4208" spans="1:15" s="90" customFormat="1" ht="12.75" customHeight="1" x14ac:dyDescent="0.2">
      <c r="A4208" s="247" t="s">
        <v>1656</v>
      </c>
      <c r="B4208" s="316">
        <v>3037</v>
      </c>
      <c r="C4208" s="247" t="s">
        <v>996</v>
      </c>
      <c r="D4208" s="317">
        <v>42676</v>
      </c>
      <c r="E4208" s="318">
        <v>0.50390046296296298</v>
      </c>
      <c r="F4208" s="247" t="s">
        <v>980</v>
      </c>
      <c r="G4208" s="247" t="s">
        <v>1035</v>
      </c>
      <c r="H4208" s="248" t="s">
        <v>234</v>
      </c>
      <c r="I4208" s="248" t="s">
        <v>263</v>
      </c>
      <c r="J4208" s="247" t="s">
        <v>809</v>
      </c>
      <c r="K4208" s="249">
        <v>0</v>
      </c>
      <c r="M4208" s="90">
        <v>0</v>
      </c>
      <c r="N4208" s="90">
        <v>0</v>
      </c>
      <c r="O4208" s="90">
        <v>255</v>
      </c>
    </row>
    <row r="4209" spans="1:15" s="90" customFormat="1" ht="12.75" customHeight="1" x14ac:dyDescent="0.2">
      <c r="A4209" s="247" t="s">
        <v>1657</v>
      </c>
      <c r="B4209" s="316">
        <v>3037</v>
      </c>
      <c r="C4209" s="247" t="s">
        <v>996</v>
      </c>
      <c r="D4209" s="317">
        <v>42676</v>
      </c>
      <c r="E4209" s="318">
        <v>0.50390046296296298</v>
      </c>
      <c r="F4209" s="247" t="s">
        <v>980</v>
      </c>
      <c r="G4209" s="247" t="s">
        <v>1035</v>
      </c>
      <c r="H4209" s="248" t="s">
        <v>234</v>
      </c>
      <c r="I4209" s="248" t="s">
        <v>263</v>
      </c>
      <c r="J4209" s="247" t="s">
        <v>809</v>
      </c>
      <c r="K4209" s="249">
        <v>0</v>
      </c>
      <c r="M4209" s="90">
        <v>0</v>
      </c>
      <c r="N4209" s="90">
        <v>0</v>
      </c>
      <c r="O4209" s="90">
        <v>255</v>
      </c>
    </row>
    <row r="4210" spans="1:15" s="90" customFormat="1" ht="12.75" customHeight="1" x14ac:dyDescent="0.2">
      <c r="A4210" s="247" t="s">
        <v>1658</v>
      </c>
      <c r="B4210" s="316">
        <v>3037</v>
      </c>
      <c r="C4210" s="247" t="s">
        <v>996</v>
      </c>
      <c r="D4210" s="317">
        <v>42676</v>
      </c>
      <c r="E4210" s="318">
        <v>0.50391203703703702</v>
      </c>
      <c r="F4210" s="247" t="s">
        <v>980</v>
      </c>
      <c r="G4210" s="247" t="s">
        <v>1035</v>
      </c>
      <c r="H4210" s="248" t="s">
        <v>234</v>
      </c>
      <c r="I4210" s="248" t="s">
        <v>263</v>
      </c>
      <c r="J4210" s="247" t="s">
        <v>809</v>
      </c>
      <c r="K4210" s="249">
        <v>0</v>
      </c>
      <c r="M4210" s="90">
        <v>0</v>
      </c>
      <c r="N4210" s="90">
        <v>0</v>
      </c>
      <c r="O4210" s="90">
        <v>255</v>
      </c>
    </row>
    <row r="4211" spans="1:15" s="90" customFormat="1" ht="12.75" customHeight="1" x14ac:dyDescent="0.2">
      <c r="A4211" s="247" t="s">
        <v>1659</v>
      </c>
      <c r="B4211" s="316">
        <v>3037</v>
      </c>
      <c r="C4211" s="247" t="s">
        <v>996</v>
      </c>
      <c r="D4211" s="317">
        <v>42676</v>
      </c>
      <c r="E4211" s="318">
        <v>0.50391203703703702</v>
      </c>
      <c r="F4211" s="247" t="s">
        <v>980</v>
      </c>
      <c r="G4211" s="247" t="s">
        <v>1035</v>
      </c>
      <c r="H4211" s="248" t="s">
        <v>234</v>
      </c>
      <c r="I4211" s="248" t="s">
        <v>263</v>
      </c>
      <c r="J4211" s="247" t="s">
        <v>809</v>
      </c>
      <c r="K4211" s="249">
        <v>0</v>
      </c>
      <c r="M4211" s="90">
        <v>0</v>
      </c>
      <c r="N4211" s="90">
        <v>0</v>
      </c>
      <c r="O4211" s="90">
        <v>255</v>
      </c>
    </row>
    <row r="4212" spans="1:15" s="90" customFormat="1" ht="12.75" customHeight="1" x14ac:dyDescent="0.2">
      <c r="A4212" s="247" t="s">
        <v>1660</v>
      </c>
      <c r="B4212" s="316">
        <v>3037</v>
      </c>
      <c r="C4212" s="247" t="s">
        <v>996</v>
      </c>
      <c r="D4212" s="317">
        <v>42676</v>
      </c>
      <c r="E4212" s="318">
        <v>0.50391203703703702</v>
      </c>
      <c r="F4212" s="247" t="s">
        <v>980</v>
      </c>
      <c r="G4212" s="247" t="s">
        <v>1035</v>
      </c>
      <c r="H4212" s="248" t="s">
        <v>234</v>
      </c>
      <c r="I4212" s="248" t="s">
        <v>263</v>
      </c>
      <c r="J4212" s="247" t="s">
        <v>809</v>
      </c>
      <c r="K4212" s="249">
        <v>0</v>
      </c>
      <c r="M4212" s="90">
        <v>0</v>
      </c>
      <c r="N4212" s="90">
        <v>0</v>
      </c>
      <c r="O4212" s="90">
        <v>255</v>
      </c>
    </row>
    <row r="4213" spans="1:15" s="90" customFormat="1" ht="12.75" customHeight="1" x14ac:dyDescent="0.2">
      <c r="A4213" s="247" t="s">
        <v>1661</v>
      </c>
      <c r="B4213" s="316">
        <v>3037</v>
      </c>
      <c r="C4213" s="247" t="s">
        <v>996</v>
      </c>
      <c r="D4213" s="317">
        <v>42676</v>
      </c>
      <c r="E4213" s="318">
        <v>0.50391203703703702</v>
      </c>
      <c r="F4213" s="247" t="s">
        <v>980</v>
      </c>
      <c r="G4213" s="247" t="s">
        <v>1035</v>
      </c>
      <c r="H4213" s="248" t="s">
        <v>234</v>
      </c>
      <c r="I4213" s="248" t="s">
        <v>263</v>
      </c>
      <c r="J4213" s="247" t="s">
        <v>809</v>
      </c>
      <c r="K4213" s="249">
        <v>0</v>
      </c>
      <c r="M4213" s="90">
        <v>0</v>
      </c>
      <c r="N4213" s="90">
        <v>0</v>
      </c>
      <c r="O4213" s="90">
        <v>255</v>
      </c>
    </row>
    <row r="4214" spans="1:15" s="90" customFormat="1" ht="12.75" customHeight="1" x14ac:dyDescent="0.2">
      <c r="A4214" s="247" t="s">
        <v>1662</v>
      </c>
      <c r="B4214" s="316">
        <v>3037</v>
      </c>
      <c r="C4214" s="247" t="s">
        <v>996</v>
      </c>
      <c r="D4214" s="317">
        <v>42676</v>
      </c>
      <c r="E4214" s="318">
        <v>0.50391203703703702</v>
      </c>
      <c r="F4214" s="247" t="s">
        <v>980</v>
      </c>
      <c r="G4214" s="247" t="s">
        <v>1035</v>
      </c>
      <c r="H4214" s="248" t="s">
        <v>234</v>
      </c>
      <c r="I4214" s="248" t="s">
        <v>263</v>
      </c>
      <c r="J4214" s="247" t="s">
        <v>809</v>
      </c>
      <c r="K4214" s="249">
        <v>0</v>
      </c>
      <c r="M4214" s="90">
        <v>0</v>
      </c>
      <c r="N4214" s="90">
        <v>0</v>
      </c>
      <c r="O4214" s="90">
        <v>255</v>
      </c>
    </row>
    <row r="4215" spans="1:15" s="90" customFormat="1" ht="12.75" customHeight="1" x14ac:dyDescent="0.2">
      <c r="A4215" s="247" t="s">
        <v>1663</v>
      </c>
      <c r="B4215" s="316">
        <v>3037</v>
      </c>
      <c r="C4215" s="247" t="s">
        <v>996</v>
      </c>
      <c r="D4215" s="317">
        <v>42676</v>
      </c>
      <c r="E4215" s="318">
        <v>0.50392361111111106</v>
      </c>
      <c r="F4215" s="247" t="s">
        <v>980</v>
      </c>
      <c r="G4215" s="247" t="s">
        <v>1035</v>
      </c>
      <c r="H4215" s="248" t="s">
        <v>234</v>
      </c>
      <c r="I4215" s="248" t="s">
        <v>263</v>
      </c>
      <c r="J4215" s="247" t="s">
        <v>809</v>
      </c>
      <c r="K4215" s="249">
        <v>0</v>
      </c>
      <c r="M4215" s="90">
        <v>0</v>
      </c>
      <c r="N4215" s="90">
        <v>0</v>
      </c>
      <c r="O4215" s="90">
        <v>255</v>
      </c>
    </row>
    <row r="4216" spans="1:15" s="90" customFormat="1" ht="12.75" customHeight="1" x14ac:dyDescent="0.2">
      <c r="A4216" s="247" t="s">
        <v>1664</v>
      </c>
      <c r="B4216" s="316">
        <v>3037</v>
      </c>
      <c r="C4216" s="247" t="s">
        <v>996</v>
      </c>
      <c r="D4216" s="317">
        <v>42676</v>
      </c>
      <c r="E4216" s="318">
        <v>0.50392361111111106</v>
      </c>
      <c r="F4216" s="247" t="s">
        <v>980</v>
      </c>
      <c r="G4216" s="247" t="s">
        <v>1035</v>
      </c>
      <c r="H4216" s="248" t="s">
        <v>234</v>
      </c>
      <c r="I4216" s="248" t="s">
        <v>263</v>
      </c>
      <c r="J4216" s="247" t="s">
        <v>809</v>
      </c>
      <c r="K4216" s="249">
        <v>0</v>
      </c>
      <c r="M4216" s="90">
        <v>0</v>
      </c>
      <c r="N4216" s="90">
        <v>0</v>
      </c>
      <c r="O4216" s="90">
        <v>255</v>
      </c>
    </row>
    <row r="4217" spans="1:15" s="90" customFormat="1" ht="12.75" customHeight="1" x14ac:dyDescent="0.2">
      <c r="A4217" s="247" t="s">
        <v>1665</v>
      </c>
      <c r="B4217" s="316">
        <v>3037</v>
      </c>
      <c r="C4217" s="247" t="s">
        <v>996</v>
      </c>
      <c r="D4217" s="317">
        <v>42676</v>
      </c>
      <c r="E4217" s="318">
        <v>0.50392361111111106</v>
      </c>
      <c r="F4217" s="247" t="s">
        <v>980</v>
      </c>
      <c r="G4217" s="247" t="s">
        <v>1035</v>
      </c>
      <c r="H4217" s="248" t="s">
        <v>234</v>
      </c>
      <c r="I4217" s="248" t="s">
        <v>263</v>
      </c>
      <c r="J4217" s="247" t="s">
        <v>809</v>
      </c>
      <c r="K4217" s="249">
        <v>0</v>
      </c>
      <c r="M4217" s="90">
        <v>0</v>
      </c>
      <c r="N4217" s="90">
        <v>0</v>
      </c>
      <c r="O4217" s="90">
        <v>255</v>
      </c>
    </row>
    <row r="4218" spans="1:15" s="90" customFormat="1" ht="12.75" customHeight="1" x14ac:dyDescent="0.2">
      <c r="A4218" s="247" t="s">
        <v>1666</v>
      </c>
      <c r="B4218" s="316">
        <v>3037</v>
      </c>
      <c r="C4218" s="247" t="s">
        <v>996</v>
      </c>
      <c r="D4218" s="317">
        <v>42676</v>
      </c>
      <c r="E4218" s="318">
        <v>0.50392361111111106</v>
      </c>
      <c r="F4218" s="247" t="s">
        <v>980</v>
      </c>
      <c r="G4218" s="247" t="s">
        <v>1035</v>
      </c>
      <c r="H4218" s="248" t="s">
        <v>234</v>
      </c>
      <c r="I4218" s="248" t="s">
        <v>263</v>
      </c>
      <c r="J4218" s="247" t="s">
        <v>809</v>
      </c>
      <c r="K4218" s="249">
        <v>0</v>
      </c>
      <c r="M4218" s="90">
        <v>0</v>
      </c>
      <c r="N4218" s="90">
        <v>0</v>
      </c>
      <c r="O4218" s="90">
        <v>255</v>
      </c>
    </row>
    <row r="4219" spans="1:15" s="90" customFormat="1" ht="12.75" customHeight="1" x14ac:dyDescent="0.2">
      <c r="A4219" s="247" t="s">
        <v>1667</v>
      </c>
      <c r="B4219" s="316">
        <v>3037</v>
      </c>
      <c r="C4219" s="247" t="s">
        <v>996</v>
      </c>
      <c r="D4219" s="317">
        <v>42676</v>
      </c>
      <c r="E4219" s="318">
        <v>0.50393518518518521</v>
      </c>
      <c r="F4219" s="247" t="s">
        <v>980</v>
      </c>
      <c r="G4219" s="247" t="s">
        <v>1035</v>
      </c>
      <c r="H4219" s="248" t="s">
        <v>234</v>
      </c>
      <c r="I4219" s="248" t="s">
        <v>263</v>
      </c>
      <c r="J4219" s="247" t="s">
        <v>809</v>
      </c>
      <c r="K4219" s="249">
        <v>0</v>
      </c>
      <c r="M4219" s="90">
        <v>0</v>
      </c>
      <c r="N4219" s="90">
        <v>0</v>
      </c>
      <c r="O4219" s="90">
        <v>255</v>
      </c>
    </row>
    <row r="4220" spans="1:15" s="90" customFormat="1" ht="12.75" customHeight="1" x14ac:dyDescent="0.2">
      <c r="A4220" s="247" t="s">
        <v>1668</v>
      </c>
      <c r="B4220" s="316">
        <v>3037</v>
      </c>
      <c r="C4220" s="247" t="s">
        <v>996</v>
      </c>
      <c r="D4220" s="317">
        <v>42676</v>
      </c>
      <c r="E4220" s="318">
        <v>0.50393518518518521</v>
      </c>
      <c r="F4220" s="247" t="s">
        <v>980</v>
      </c>
      <c r="G4220" s="247" t="s">
        <v>1035</v>
      </c>
      <c r="H4220" s="248" t="s">
        <v>234</v>
      </c>
      <c r="I4220" s="248" t="s">
        <v>263</v>
      </c>
      <c r="J4220" s="247" t="s">
        <v>809</v>
      </c>
      <c r="K4220" s="249">
        <v>0</v>
      </c>
      <c r="M4220" s="90">
        <v>0</v>
      </c>
      <c r="N4220" s="90">
        <v>0</v>
      </c>
      <c r="O4220" s="90">
        <v>255</v>
      </c>
    </row>
    <row r="4221" spans="1:15" s="90" customFormat="1" ht="12.75" customHeight="1" x14ac:dyDescent="0.2">
      <c r="A4221" s="247" t="s">
        <v>1669</v>
      </c>
      <c r="B4221" s="316">
        <v>3037</v>
      </c>
      <c r="C4221" s="247" t="s">
        <v>996</v>
      </c>
      <c r="D4221" s="317">
        <v>42676</v>
      </c>
      <c r="E4221" s="318">
        <v>0.50394675925925925</v>
      </c>
      <c r="F4221" s="247" t="s">
        <v>980</v>
      </c>
      <c r="G4221" s="247" t="s">
        <v>1035</v>
      </c>
      <c r="H4221" s="248" t="s">
        <v>234</v>
      </c>
      <c r="I4221" s="248" t="s">
        <v>263</v>
      </c>
      <c r="J4221" s="247" t="s">
        <v>809</v>
      </c>
      <c r="K4221" s="249">
        <v>0</v>
      </c>
      <c r="M4221" s="90">
        <v>0</v>
      </c>
      <c r="N4221" s="90">
        <v>0</v>
      </c>
      <c r="O4221" s="90">
        <v>255</v>
      </c>
    </row>
    <row r="4222" spans="1:15" s="90" customFormat="1" ht="12.75" customHeight="1" x14ac:dyDescent="0.2">
      <c r="A4222" s="247" t="s">
        <v>1670</v>
      </c>
      <c r="B4222" s="316">
        <v>3037</v>
      </c>
      <c r="C4222" s="247" t="s">
        <v>996</v>
      </c>
      <c r="D4222" s="317">
        <v>42676</v>
      </c>
      <c r="E4222" s="318">
        <v>0.50394675925925925</v>
      </c>
      <c r="F4222" s="247" t="s">
        <v>980</v>
      </c>
      <c r="G4222" s="247" t="s">
        <v>1035</v>
      </c>
      <c r="H4222" s="248" t="s">
        <v>234</v>
      </c>
      <c r="I4222" s="248" t="s">
        <v>263</v>
      </c>
      <c r="J4222" s="247" t="s">
        <v>809</v>
      </c>
      <c r="K4222" s="249">
        <v>0</v>
      </c>
      <c r="M4222" s="90">
        <v>0</v>
      </c>
      <c r="N4222" s="90">
        <v>0</v>
      </c>
      <c r="O4222" s="90">
        <v>255</v>
      </c>
    </row>
    <row r="4223" spans="1:15" s="90" customFormat="1" ht="12.75" customHeight="1" x14ac:dyDescent="0.2">
      <c r="A4223" s="247" t="s">
        <v>1671</v>
      </c>
      <c r="B4223" s="316">
        <v>3037</v>
      </c>
      <c r="C4223" s="247" t="s">
        <v>996</v>
      </c>
      <c r="D4223" s="317">
        <v>42676</v>
      </c>
      <c r="E4223" s="318">
        <v>0.50394675925925925</v>
      </c>
      <c r="F4223" s="247" t="s">
        <v>980</v>
      </c>
      <c r="G4223" s="247" t="s">
        <v>1035</v>
      </c>
      <c r="H4223" s="248" t="s">
        <v>234</v>
      </c>
      <c r="I4223" s="248" t="s">
        <v>263</v>
      </c>
      <c r="J4223" s="247" t="s">
        <v>809</v>
      </c>
      <c r="K4223" s="249">
        <v>0</v>
      </c>
      <c r="M4223" s="90">
        <v>0</v>
      </c>
      <c r="N4223" s="90">
        <v>0</v>
      </c>
      <c r="O4223" s="90">
        <v>255</v>
      </c>
    </row>
    <row r="4224" spans="1:15" s="90" customFormat="1" ht="12.75" customHeight="1" x14ac:dyDescent="0.2">
      <c r="A4224" s="247" t="s">
        <v>1672</v>
      </c>
      <c r="B4224" s="316">
        <v>3037</v>
      </c>
      <c r="C4224" s="247" t="s">
        <v>996</v>
      </c>
      <c r="D4224" s="317">
        <v>42676</v>
      </c>
      <c r="E4224" s="318">
        <v>0.50394675925925925</v>
      </c>
      <c r="F4224" s="247" t="s">
        <v>980</v>
      </c>
      <c r="G4224" s="247" t="s">
        <v>1035</v>
      </c>
      <c r="H4224" s="248" t="s">
        <v>234</v>
      </c>
      <c r="I4224" s="248" t="s">
        <v>263</v>
      </c>
      <c r="J4224" s="247" t="s">
        <v>809</v>
      </c>
      <c r="K4224" s="249">
        <v>0</v>
      </c>
      <c r="M4224" s="90">
        <v>0</v>
      </c>
      <c r="N4224" s="90">
        <v>0</v>
      </c>
      <c r="O4224" s="90">
        <v>255</v>
      </c>
    </row>
    <row r="4225" spans="1:15" s="90" customFormat="1" ht="12.75" customHeight="1" x14ac:dyDescent="0.2">
      <c r="A4225" s="247" t="s">
        <v>1673</v>
      </c>
      <c r="B4225" s="316">
        <v>3037</v>
      </c>
      <c r="C4225" s="247" t="s">
        <v>996</v>
      </c>
      <c r="D4225" s="317">
        <v>42676</v>
      </c>
      <c r="E4225" s="318">
        <v>0.5039583333333334</v>
      </c>
      <c r="F4225" s="247" t="s">
        <v>980</v>
      </c>
      <c r="G4225" s="247" t="s">
        <v>1035</v>
      </c>
      <c r="H4225" s="248" t="s">
        <v>234</v>
      </c>
      <c r="I4225" s="248" t="s">
        <v>263</v>
      </c>
      <c r="J4225" s="247" t="s">
        <v>809</v>
      </c>
      <c r="K4225" s="249">
        <v>0</v>
      </c>
      <c r="M4225" s="90">
        <v>0</v>
      </c>
      <c r="N4225" s="90">
        <v>0</v>
      </c>
      <c r="O4225" s="90">
        <v>255</v>
      </c>
    </row>
    <row r="4226" spans="1:15" s="90" customFormat="1" ht="12.75" customHeight="1" x14ac:dyDescent="0.2">
      <c r="A4226" s="247" t="s">
        <v>1674</v>
      </c>
      <c r="B4226" s="316">
        <v>3037</v>
      </c>
      <c r="C4226" s="247" t="s">
        <v>996</v>
      </c>
      <c r="D4226" s="317">
        <v>42676</v>
      </c>
      <c r="E4226" s="318">
        <v>0.5039583333333334</v>
      </c>
      <c r="F4226" s="247" t="s">
        <v>980</v>
      </c>
      <c r="G4226" s="247" t="s">
        <v>1035</v>
      </c>
      <c r="H4226" s="248" t="s">
        <v>234</v>
      </c>
      <c r="I4226" s="248" t="s">
        <v>263</v>
      </c>
      <c r="J4226" s="247" t="s">
        <v>809</v>
      </c>
      <c r="K4226" s="249">
        <v>0</v>
      </c>
      <c r="M4226" s="90">
        <v>0</v>
      </c>
      <c r="N4226" s="90">
        <v>0</v>
      </c>
      <c r="O4226" s="90">
        <v>255</v>
      </c>
    </row>
    <row r="4227" spans="1:15" s="90" customFormat="1" ht="12.75" customHeight="1" x14ac:dyDescent="0.2">
      <c r="A4227" s="247" t="s">
        <v>1675</v>
      </c>
      <c r="B4227" s="316">
        <v>3037</v>
      </c>
      <c r="C4227" s="247" t="s">
        <v>996</v>
      </c>
      <c r="D4227" s="317">
        <v>42676</v>
      </c>
      <c r="E4227" s="318">
        <v>0.5039583333333334</v>
      </c>
      <c r="F4227" s="247" t="s">
        <v>980</v>
      </c>
      <c r="G4227" s="247" t="s">
        <v>1035</v>
      </c>
      <c r="H4227" s="248" t="s">
        <v>234</v>
      </c>
      <c r="I4227" s="248" t="s">
        <v>263</v>
      </c>
      <c r="J4227" s="247" t="s">
        <v>809</v>
      </c>
      <c r="K4227" s="249">
        <v>0</v>
      </c>
      <c r="M4227" s="90">
        <v>0</v>
      </c>
      <c r="N4227" s="90">
        <v>0</v>
      </c>
      <c r="O4227" s="90">
        <v>255</v>
      </c>
    </row>
    <row r="4228" spans="1:15" s="90" customFormat="1" ht="12.75" customHeight="1" x14ac:dyDescent="0.2">
      <c r="A4228" s="247" t="s">
        <v>1676</v>
      </c>
      <c r="B4228" s="316">
        <v>3037</v>
      </c>
      <c r="C4228" s="247" t="s">
        <v>996</v>
      </c>
      <c r="D4228" s="317">
        <v>42676</v>
      </c>
      <c r="E4228" s="318">
        <v>0.5039583333333334</v>
      </c>
      <c r="F4228" s="247" t="s">
        <v>980</v>
      </c>
      <c r="G4228" s="247" t="s">
        <v>1035</v>
      </c>
      <c r="H4228" s="248" t="s">
        <v>234</v>
      </c>
      <c r="I4228" s="248" t="s">
        <v>263</v>
      </c>
      <c r="J4228" s="247" t="s">
        <v>809</v>
      </c>
      <c r="K4228" s="249">
        <v>0</v>
      </c>
      <c r="M4228" s="90">
        <v>0</v>
      </c>
      <c r="N4228" s="90">
        <v>0</v>
      </c>
      <c r="O4228" s="90">
        <v>255</v>
      </c>
    </row>
    <row r="4229" spans="1:15" s="90" customFormat="1" ht="12.75" customHeight="1" x14ac:dyDescent="0.2">
      <c r="A4229" s="247" t="s">
        <v>1677</v>
      </c>
      <c r="B4229" s="316">
        <v>3037</v>
      </c>
      <c r="C4229" s="247" t="s">
        <v>996</v>
      </c>
      <c r="D4229" s="317">
        <v>42676</v>
      </c>
      <c r="E4229" s="318">
        <v>0.5039583333333334</v>
      </c>
      <c r="F4229" s="247" t="s">
        <v>980</v>
      </c>
      <c r="G4229" s="247" t="s">
        <v>1035</v>
      </c>
      <c r="H4229" s="248" t="s">
        <v>234</v>
      </c>
      <c r="I4229" s="248" t="s">
        <v>263</v>
      </c>
      <c r="J4229" s="247" t="s">
        <v>809</v>
      </c>
      <c r="K4229" s="249">
        <v>0</v>
      </c>
      <c r="M4229" s="90">
        <v>0</v>
      </c>
      <c r="N4229" s="90">
        <v>0</v>
      </c>
      <c r="O4229" s="90">
        <v>255</v>
      </c>
    </row>
    <row r="4230" spans="1:15" s="90" customFormat="1" ht="12.75" customHeight="1" x14ac:dyDescent="0.2">
      <c r="A4230" s="247" t="s">
        <v>1678</v>
      </c>
      <c r="B4230" s="316">
        <v>3037</v>
      </c>
      <c r="C4230" s="247" t="s">
        <v>996</v>
      </c>
      <c r="D4230" s="317">
        <v>42676</v>
      </c>
      <c r="E4230" s="318">
        <v>0.5039583333333334</v>
      </c>
      <c r="F4230" s="247" t="s">
        <v>980</v>
      </c>
      <c r="G4230" s="247" t="s">
        <v>1035</v>
      </c>
      <c r="H4230" s="248" t="s">
        <v>234</v>
      </c>
      <c r="I4230" s="248" t="s">
        <v>263</v>
      </c>
      <c r="J4230" s="247" t="s">
        <v>809</v>
      </c>
      <c r="K4230" s="249">
        <v>0</v>
      </c>
      <c r="M4230" s="90">
        <v>0</v>
      </c>
      <c r="N4230" s="90">
        <v>0</v>
      </c>
      <c r="O4230" s="90">
        <v>255</v>
      </c>
    </row>
    <row r="4231" spans="1:15" s="90" customFormat="1" ht="12.75" customHeight="1" x14ac:dyDescent="0.2">
      <c r="A4231" s="247" t="s">
        <v>1679</v>
      </c>
      <c r="B4231" s="316">
        <v>3037</v>
      </c>
      <c r="C4231" s="247" t="s">
        <v>996</v>
      </c>
      <c r="D4231" s="317">
        <v>42676</v>
      </c>
      <c r="E4231" s="318">
        <v>0.50396990740740744</v>
      </c>
      <c r="F4231" s="247" t="s">
        <v>980</v>
      </c>
      <c r="G4231" s="247" t="s">
        <v>1035</v>
      </c>
      <c r="H4231" s="248" t="s">
        <v>234</v>
      </c>
      <c r="I4231" s="248" t="s">
        <v>263</v>
      </c>
      <c r="J4231" s="247" t="s">
        <v>809</v>
      </c>
      <c r="K4231" s="249">
        <v>0</v>
      </c>
      <c r="M4231" s="90">
        <v>0</v>
      </c>
      <c r="N4231" s="90">
        <v>0</v>
      </c>
      <c r="O4231" s="90">
        <v>255</v>
      </c>
    </row>
    <row r="4232" spans="1:15" s="90" customFormat="1" ht="12.75" customHeight="1" x14ac:dyDescent="0.2">
      <c r="A4232" s="247" t="s">
        <v>1680</v>
      </c>
      <c r="B4232" s="316">
        <v>3037</v>
      </c>
      <c r="C4232" s="247" t="s">
        <v>996</v>
      </c>
      <c r="D4232" s="317">
        <v>42676</v>
      </c>
      <c r="E4232" s="318">
        <v>0.50396990740740744</v>
      </c>
      <c r="F4232" s="247" t="s">
        <v>980</v>
      </c>
      <c r="G4232" s="247" t="s">
        <v>1035</v>
      </c>
      <c r="H4232" s="248" t="s">
        <v>234</v>
      </c>
      <c r="I4232" s="248" t="s">
        <v>263</v>
      </c>
      <c r="J4232" s="247" t="s">
        <v>809</v>
      </c>
      <c r="K4232" s="249">
        <v>0</v>
      </c>
      <c r="M4232" s="90">
        <v>0</v>
      </c>
      <c r="N4232" s="90">
        <v>0</v>
      </c>
      <c r="O4232" s="90">
        <v>255</v>
      </c>
    </row>
    <row r="4233" spans="1:15" s="90" customFormat="1" ht="12.75" customHeight="1" x14ac:dyDescent="0.2">
      <c r="A4233" s="247" t="s">
        <v>1681</v>
      </c>
      <c r="B4233" s="316">
        <v>3037</v>
      </c>
      <c r="C4233" s="247" t="s">
        <v>996</v>
      </c>
      <c r="D4233" s="317">
        <v>42676</v>
      </c>
      <c r="E4233" s="318">
        <v>0.50396990740740744</v>
      </c>
      <c r="F4233" s="247" t="s">
        <v>980</v>
      </c>
      <c r="G4233" s="247" t="s">
        <v>1035</v>
      </c>
      <c r="H4233" s="248" t="s">
        <v>234</v>
      </c>
      <c r="I4233" s="248" t="s">
        <v>263</v>
      </c>
      <c r="J4233" s="247" t="s">
        <v>809</v>
      </c>
      <c r="K4233" s="249">
        <v>0</v>
      </c>
      <c r="M4233" s="90">
        <v>0</v>
      </c>
      <c r="N4233" s="90">
        <v>0</v>
      </c>
      <c r="O4233" s="90">
        <v>255</v>
      </c>
    </row>
    <row r="4234" spans="1:15" s="90" customFormat="1" ht="12.75" customHeight="1" x14ac:dyDescent="0.2">
      <c r="A4234" s="247" t="s">
        <v>1532</v>
      </c>
      <c r="B4234" s="316">
        <v>3037</v>
      </c>
      <c r="C4234" s="247" t="s">
        <v>996</v>
      </c>
      <c r="D4234" s="317">
        <v>42676</v>
      </c>
      <c r="E4234" s="318">
        <v>0.50396990740740744</v>
      </c>
      <c r="F4234" s="247" t="s">
        <v>980</v>
      </c>
      <c r="G4234" s="247" t="s">
        <v>1035</v>
      </c>
      <c r="H4234" s="248" t="s">
        <v>234</v>
      </c>
      <c r="I4234" s="248" t="s">
        <v>263</v>
      </c>
      <c r="J4234" s="247" t="s">
        <v>809</v>
      </c>
      <c r="K4234" s="249">
        <v>0</v>
      </c>
      <c r="M4234" s="90">
        <v>0</v>
      </c>
      <c r="N4234" s="90">
        <v>0</v>
      </c>
      <c r="O4234" s="90">
        <v>255</v>
      </c>
    </row>
    <row r="4235" spans="1:15" s="90" customFormat="1" ht="12.75" customHeight="1" x14ac:dyDescent="0.2">
      <c r="A4235" s="247" t="s">
        <v>1533</v>
      </c>
      <c r="B4235" s="316">
        <v>3037</v>
      </c>
      <c r="C4235" s="247" t="s">
        <v>996</v>
      </c>
      <c r="D4235" s="317">
        <v>42676</v>
      </c>
      <c r="E4235" s="318">
        <v>0.50396990740740744</v>
      </c>
      <c r="F4235" s="247" t="s">
        <v>980</v>
      </c>
      <c r="G4235" s="247" t="s">
        <v>1035</v>
      </c>
      <c r="H4235" s="248" t="s">
        <v>234</v>
      </c>
      <c r="I4235" s="248" t="s">
        <v>263</v>
      </c>
      <c r="J4235" s="247" t="s">
        <v>809</v>
      </c>
      <c r="K4235" s="249">
        <v>0</v>
      </c>
      <c r="M4235" s="90">
        <v>0</v>
      </c>
      <c r="N4235" s="90">
        <v>0</v>
      </c>
      <c r="O4235" s="90">
        <v>255</v>
      </c>
    </row>
    <row r="4236" spans="1:15" s="90" customFormat="1" ht="12.75" customHeight="1" x14ac:dyDescent="0.2">
      <c r="A4236" s="247" t="s">
        <v>1682</v>
      </c>
      <c r="B4236" s="316">
        <v>3037</v>
      </c>
      <c r="C4236" s="247" t="s">
        <v>996</v>
      </c>
      <c r="D4236" s="317">
        <v>42676</v>
      </c>
      <c r="E4236" s="318">
        <v>0.50396990740740744</v>
      </c>
      <c r="F4236" s="247" t="s">
        <v>980</v>
      </c>
      <c r="G4236" s="247" t="s">
        <v>1035</v>
      </c>
      <c r="H4236" s="248" t="s">
        <v>234</v>
      </c>
      <c r="I4236" s="248" t="s">
        <v>263</v>
      </c>
      <c r="J4236" s="247" t="s">
        <v>809</v>
      </c>
      <c r="K4236" s="249">
        <v>0</v>
      </c>
      <c r="M4236" s="90">
        <v>0</v>
      </c>
      <c r="N4236" s="90">
        <v>0</v>
      </c>
      <c r="O4236" s="90">
        <v>255</v>
      </c>
    </row>
    <row r="4237" spans="1:15" s="90" customFormat="1" ht="12.75" customHeight="1" x14ac:dyDescent="0.2">
      <c r="A4237" s="247" t="s">
        <v>1683</v>
      </c>
      <c r="B4237" s="316">
        <v>3037</v>
      </c>
      <c r="C4237" s="247" t="s">
        <v>996</v>
      </c>
      <c r="D4237" s="317">
        <v>42676</v>
      </c>
      <c r="E4237" s="318">
        <v>0.50396990740740744</v>
      </c>
      <c r="F4237" s="247" t="s">
        <v>980</v>
      </c>
      <c r="G4237" s="247" t="s">
        <v>1035</v>
      </c>
      <c r="H4237" s="248" t="s">
        <v>234</v>
      </c>
      <c r="I4237" s="248" t="s">
        <v>263</v>
      </c>
      <c r="J4237" s="247" t="s">
        <v>809</v>
      </c>
      <c r="K4237" s="249">
        <v>0</v>
      </c>
      <c r="M4237" s="90">
        <v>0</v>
      </c>
      <c r="N4237" s="90">
        <v>0</v>
      </c>
      <c r="O4237" s="90">
        <v>255</v>
      </c>
    </row>
    <row r="4238" spans="1:15" s="90" customFormat="1" ht="12.75" customHeight="1" x14ac:dyDescent="0.2">
      <c r="A4238" s="247" t="s">
        <v>1684</v>
      </c>
      <c r="B4238" s="316">
        <v>3037</v>
      </c>
      <c r="C4238" s="247" t="s">
        <v>996</v>
      </c>
      <c r="D4238" s="317">
        <v>42676</v>
      </c>
      <c r="E4238" s="318">
        <v>0.50398148148148147</v>
      </c>
      <c r="F4238" s="247" t="s">
        <v>980</v>
      </c>
      <c r="G4238" s="247" t="s">
        <v>1035</v>
      </c>
      <c r="H4238" s="248" t="s">
        <v>234</v>
      </c>
      <c r="I4238" s="248" t="s">
        <v>263</v>
      </c>
      <c r="J4238" s="247" t="s">
        <v>809</v>
      </c>
      <c r="K4238" s="249">
        <v>0</v>
      </c>
      <c r="M4238" s="90">
        <v>0</v>
      </c>
      <c r="N4238" s="90">
        <v>0</v>
      </c>
      <c r="O4238" s="90">
        <v>255</v>
      </c>
    </row>
    <row r="4239" spans="1:15" s="90" customFormat="1" ht="12.75" customHeight="1" x14ac:dyDescent="0.2">
      <c r="A4239" s="247" t="s">
        <v>1531</v>
      </c>
      <c r="B4239" s="316">
        <v>3037</v>
      </c>
      <c r="C4239" s="247" t="s">
        <v>996</v>
      </c>
      <c r="D4239" s="317">
        <v>42676</v>
      </c>
      <c r="E4239" s="318">
        <v>0.50398148148148147</v>
      </c>
      <c r="F4239" s="247" t="s">
        <v>980</v>
      </c>
      <c r="G4239" s="247" t="s">
        <v>1035</v>
      </c>
      <c r="H4239" s="248" t="s">
        <v>234</v>
      </c>
      <c r="I4239" s="248" t="s">
        <v>263</v>
      </c>
      <c r="J4239" s="247" t="s">
        <v>809</v>
      </c>
      <c r="K4239" s="249">
        <v>0</v>
      </c>
      <c r="M4239" s="90">
        <v>0</v>
      </c>
      <c r="N4239" s="90">
        <v>0</v>
      </c>
      <c r="O4239" s="90">
        <v>255</v>
      </c>
    </row>
    <row r="4240" spans="1:15" s="90" customFormat="1" ht="12.75" customHeight="1" x14ac:dyDescent="0.2">
      <c r="A4240" s="247" t="s">
        <v>1685</v>
      </c>
      <c r="B4240" s="316">
        <v>3037</v>
      </c>
      <c r="C4240" s="247" t="s">
        <v>996</v>
      </c>
      <c r="D4240" s="317">
        <v>42676</v>
      </c>
      <c r="E4240" s="318">
        <v>0.50398148148148147</v>
      </c>
      <c r="F4240" s="247" t="s">
        <v>980</v>
      </c>
      <c r="G4240" s="247" t="s">
        <v>1035</v>
      </c>
      <c r="H4240" s="248" t="s">
        <v>234</v>
      </c>
      <c r="I4240" s="248" t="s">
        <v>263</v>
      </c>
      <c r="J4240" s="247" t="s">
        <v>809</v>
      </c>
      <c r="K4240" s="249">
        <v>0</v>
      </c>
      <c r="M4240" s="90">
        <v>0</v>
      </c>
      <c r="N4240" s="90">
        <v>0</v>
      </c>
      <c r="O4240" s="90">
        <v>255</v>
      </c>
    </row>
    <row r="4241" spans="1:15" s="90" customFormat="1" ht="12.75" customHeight="1" x14ac:dyDescent="0.2">
      <c r="A4241" s="247" t="s">
        <v>1686</v>
      </c>
      <c r="B4241" s="316">
        <v>3037</v>
      </c>
      <c r="C4241" s="247" t="s">
        <v>996</v>
      </c>
      <c r="D4241" s="317">
        <v>42676</v>
      </c>
      <c r="E4241" s="318">
        <v>0.50398148148148147</v>
      </c>
      <c r="F4241" s="247" t="s">
        <v>980</v>
      </c>
      <c r="G4241" s="247" t="s">
        <v>1035</v>
      </c>
      <c r="H4241" s="248" t="s">
        <v>234</v>
      </c>
      <c r="I4241" s="248" t="s">
        <v>263</v>
      </c>
      <c r="J4241" s="247" t="s">
        <v>809</v>
      </c>
      <c r="K4241" s="249">
        <v>0</v>
      </c>
      <c r="M4241" s="90">
        <v>0</v>
      </c>
      <c r="N4241" s="90">
        <v>0</v>
      </c>
      <c r="O4241" s="90">
        <v>255</v>
      </c>
    </row>
    <row r="4242" spans="1:15" s="90" customFormat="1" ht="12.75" customHeight="1" x14ac:dyDescent="0.2">
      <c r="A4242" s="247" t="s">
        <v>1687</v>
      </c>
      <c r="B4242" s="316">
        <v>3037</v>
      </c>
      <c r="C4242" s="247" t="s">
        <v>996</v>
      </c>
      <c r="D4242" s="317">
        <v>42676</v>
      </c>
      <c r="E4242" s="318">
        <v>0.50398148148148147</v>
      </c>
      <c r="F4242" s="247" t="s">
        <v>980</v>
      </c>
      <c r="G4242" s="247" t="s">
        <v>1035</v>
      </c>
      <c r="H4242" s="248" t="s">
        <v>234</v>
      </c>
      <c r="I4242" s="248" t="s">
        <v>263</v>
      </c>
      <c r="J4242" s="247" t="s">
        <v>809</v>
      </c>
      <c r="K4242" s="249">
        <v>0</v>
      </c>
      <c r="M4242" s="90">
        <v>0</v>
      </c>
      <c r="N4242" s="90">
        <v>0</v>
      </c>
      <c r="O4242" s="90">
        <v>255</v>
      </c>
    </row>
    <row r="4243" spans="1:15" s="90" customFormat="1" ht="12.75" customHeight="1" x14ac:dyDescent="0.2">
      <c r="A4243" s="247" t="s">
        <v>1688</v>
      </c>
      <c r="B4243" s="316">
        <v>3037</v>
      </c>
      <c r="C4243" s="247" t="s">
        <v>996</v>
      </c>
      <c r="D4243" s="317">
        <v>42676</v>
      </c>
      <c r="E4243" s="318">
        <v>0.50399305555555551</v>
      </c>
      <c r="F4243" s="247" t="s">
        <v>980</v>
      </c>
      <c r="G4243" s="247" t="s">
        <v>1035</v>
      </c>
      <c r="H4243" s="248" t="s">
        <v>234</v>
      </c>
      <c r="I4243" s="248" t="s">
        <v>263</v>
      </c>
      <c r="J4243" s="247" t="s">
        <v>809</v>
      </c>
      <c r="K4243" s="249">
        <v>0</v>
      </c>
      <c r="M4243" s="90">
        <v>0</v>
      </c>
      <c r="N4243" s="90">
        <v>0</v>
      </c>
      <c r="O4243" s="90">
        <v>255</v>
      </c>
    </row>
    <row r="4244" spans="1:15" s="90" customFormat="1" ht="12.75" customHeight="1" x14ac:dyDescent="0.2">
      <c r="A4244" s="247" t="s">
        <v>1689</v>
      </c>
      <c r="B4244" s="316">
        <v>3037</v>
      </c>
      <c r="C4244" s="247" t="s">
        <v>996</v>
      </c>
      <c r="D4244" s="317">
        <v>42676</v>
      </c>
      <c r="E4244" s="318">
        <v>0.50399305555555551</v>
      </c>
      <c r="F4244" s="247" t="s">
        <v>980</v>
      </c>
      <c r="G4244" s="247" t="s">
        <v>1035</v>
      </c>
      <c r="H4244" s="248" t="s">
        <v>234</v>
      </c>
      <c r="I4244" s="248" t="s">
        <v>263</v>
      </c>
      <c r="J4244" s="247" t="s">
        <v>809</v>
      </c>
      <c r="K4244" s="249">
        <v>0</v>
      </c>
      <c r="M4244" s="90">
        <v>0</v>
      </c>
      <c r="N4244" s="90">
        <v>0</v>
      </c>
      <c r="O4244" s="90">
        <v>255</v>
      </c>
    </row>
    <row r="4245" spans="1:15" s="90" customFormat="1" ht="12.75" customHeight="1" x14ac:dyDescent="0.2">
      <c r="A4245" s="247" t="s">
        <v>1690</v>
      </c>
      <c r="B4245" s="316">
        <v>3037</v>
      </c>
      <c r="C4245" s="247" t="s">
        <v>996</v>
      </c>
      <c r="D4245" s="317">
        <v>42676</v>
      </c>
      <c r="E4245" s="318">
        <v>0.50399305555555551</v>
      </c>
      <c r="F4245" s="247" t="s">
        <v>980</v>
      </c>
      <c r="G4245" s="247" t="s">
        <v>1035</v>
      </c>
      <c r="H4245" s="248" t="s">
        <v>234</v>
      </c>
      <c r="I4245" s="248" t="s">
        <v>263</v>
      </c>
      <c r="J4245" s="247" t="s">
        <v>809</v>
      </c>
      <c r="K4245" s="249">
        <v>0</v>
      </c>
      <c r="M4245" s="90">
        <v>0</v>
      </c>
      <c r="N4245" s="90">
        <v>0</v>
      </c>
      <c r="O4245" s="90">
        <v>255</v>
      </c>
    </row>
    <row r="4246" spans="1:15" s="90" customFormat="1" ht="12.75" customHeight="1" x14ac:dyDescent="0.2">
      <c r="A4246" s="247" t="s">
        <v>1691</v>
      </c>
      <c r="B4246" s="316">
        <v>3037</v>
      </c>
      <c r="C4246" s="247" t="s">
        <v>996</v>
      </c>
      <c r="D4246" s="317">
        <v>42676</v>
      </c>
      <c r="E4246" s="318">
        <v>0.50399305555555551</v>
      </c>
      <c r="F4246" s="247" t="s">
        <v>980</v>
      </c>
      <c r="G4246" s="247" t="s">
        <v>1035</v>
      </c>
      <c r="H4246" s="248" t="s">
        <v>234</v>
      </c>
      <c r="I4246" s="248" t="s">
        <v>263</v>
      </c>
      <c r="J4246" s="247" t="s">
        <v>809</v>
      </c>
      <c r="K4246" s="249">
        <v>0</v>
      </c>
      <c r="M4246" s="90">
        <v>0</v>
      </c>
      <c r="N4246" s="90">
        <v>0</v>
      </c>
      <c r="O4246" s="90">
        <v>255</v>
      </c>
    </row>
    <row r="4247" spans="1:15" s="90" customFormat="1" ht="12.75" customHeight="1" x14ac:dyDescent="0.2">
      <c r="A4247" s="247" t="s">
        <v>1692</v>
      </c>
      <c r="B4247" s="316">
        <v>3037</v>
      </c>
      <c r="C4247" s="247" t="s">
        <v>996</v>
      </c>
      <c r="D4247" s="317">
        <v>42676</v>
      </c>
      <c r="E4247" s="318">
        <v>0.50399305555555551</v>
      </c>
      <c r="F4247" s="247" t="s">
        <v>980</v>
      </c>
      <c r="G4247" s="247" t="s">
        <v>1035</v>
      </c>
      <c r="H4247" s="248" t="s">
        <v>234</v>
      </c>
      <c r="I4247" s="248" t="s">
        <v>263</v>
      </c>
      <c r="J4247" s="247" t="s">
        <v>809</v>
      </c>
      <c r="K4247" s="249">
        <v>0</v>
      </c>
      <c r="M4247" s="90">
        <v>0</v>
      </c>
      <c r="N4247" s="90">
        <v>0</v>
      </c>
      <c r="O4247" s="90">
        <v>255</v>
      </c>
    </row>
    <row r="4248" spans="1:15" s="90" customFormat="1" ht="12.75" customHeight="1" x14ac:dyDescent="0.2">
      <c r="A4248" s="247" t="s">
        <v>1534</v>
      </c>
      <c r="B4248" s="316">
        <v>3037</v>
      </c>
      <c r="C4248" s="247" t="s">
        <v>996</v>
      </c>
      <c r="D4248" s="317">
        <v>42676</v>
      </c>
      <c r="E4248" s="318">
        <v>0.50399305555555551</v>
      </c>
      <c r="F4248" s="247" t="s">
        <v>980</v>
      </c>
      <c r="G4248" s="247" t="s">
        <v>1035</v>
      </c>
      <c r="H4248" s="248" t="s">
        <v>234</v>
      </c>
      <c r="I4248" s="248" t="s">
        <v>263</v>
      </c>
      <c r="J4248" s="247" t="s">
        <v>809</v>
      </c>
      <c r="K4248" s="249">
        <v>0</v>
      </c>
      <c r="M4248" s="90">
        <v>0</v>
      </c>
      <c r="N4248" s="90">
        <v>0</v>
      </c>
      <c r="O4248" s="90">
        <v>255</v>
      </c>
    </row>
    <row r="4249" spans="1:15" s="90" customFormat="1" ht="12.75" customHeight="1" x14ac:dyDescent="0.2">
      <c r="A4249" s="247" t="s">
        <v>1693</v>
      </c>
      <c r="B4249" s="316">
        <v>3037</v>
      </c>
      <c r="C4249" s="247" t="s">
        <v>996</v>
      </c>
      <c r="D4249" s="317">
        <v>42676</v>
      </c>
      <c r="E4249" s="318">
        <v>0.50400462962962966</v>
      </c>
      <c r="F4249" s="247" t="s">
        <v>980</v>
      </c>
      <c r="G4249" s="247" t="s">
        <v>1035</v>
      </c>
      <c r="H4249" s="248" t="s">
        <v>234</v>
      </c>
      <c r="I4249" s="248" t="s">
        <v>263</v>
      </c>
      <c r="J4249" s="247" t="s">
        <v>809</v>
      </c>
      <c r="K4249" s="249">
        <v>0</v>
      </c>
      <c r="M4249" s="90">
        <v>0</v>
      </c>
      <c r="N4249" s="90">
        <v>0</v>
      </c>
      <c r="O4249" s="90">
        <v>255</v>
      </c>
    </row>
    <row r="4250" spans="1:15" s="90" customFormat="1" ht="12.75" customHeight="1" x14ac:dyDescent="0.2">
      <c r="A4250" s="247" t="s">
        <v>1694</v>
      </c>
      <c r="B4250" s="316">
        <v>3037</v>
      </c>
      <c r="C4250" s="247" t="s">
        <v>996</v>
      </c>
      <c r="D4250" s="317">
        <v>42676</v>
      </c>
      <c r="E4250" s="318">
        <v>0.50400462962962966</v>
      </c>
      <c r="F4250" s="247" t="s">
        <v>980</v>
      </c>
      <c r="G4250" s="247" t="s">
        <v>1035</v>
      </c>
      <c r="H4250" s="248" t="s">
        <v>234</v>
      </c>
      <c r="I4250" s="248" t="s">
        <v>263</v>
      </c>
      <c r="J4250" s="247" t="s">
        <v>809</v>
      </c>
      <c r="K4250" s="249">
        <v>0</v>
      </c>
      <c r="M4250" s="90">
        <v>0</v>
      </c>
      <c r="N4250" s="90">
        <v>0</v>
      </c>
      <c r="O4250" s="90">
        <v>255</v>
      </c>
    </row>
    <row r="4251" spans="1:15" s="90" customFormat="1" ht="12.75" customHeight="1" x14ac:dyDescent="0.2">
      <c r="A4251" s="247" t="s">
        <v>1695</v>
      </c>
      <c r="B4251" s="316">
        <v>3037</v>
      </c>
      <c r="C4251" s="247" t="s">
        <v>996</v>
      </c>
      <c r="D4251" s="317">
        <v>42676</v>
      </c>
      <c r="E4251" s="318">
        <v>0.50400462962962966</v>
      </c>
      <c r="F4251" s="247" t="s">
        <v>980</v>
      </c>
      <c r="G4251" s="247" t="s">
        <v>1035</v>
      </c>
      <c r="H4251" s="248" t="s">
        <v>234</v>
      </c>
      <c r="I4251" s="248" t="s">
        <v>263</v>
      </c>
      <c r="J4251" s="247" t="s">
        <v>809</v>
      </c>
      <c r="K4251" s="249">
        <v>0</v>
      </c>
      <c r="M4251" s="90">
        <v>0</v>
      </c>
      <c r="N4251" s="90">
        <v>0</v>
      </c>
      <c r="O4251" s="90">
        <v>255</v>
      </c>
    </row>
    <row r="4252" spans="1:15" s="90" customFormat="1" ht="12.75" customHeight="1" x14ac:dyDescent="0.2">
      <c r="A4252" s="247" t="s">
        <v>1696</v>
      </c>
      <c r="B4252" s="316">
        <v>3037</v>
      </c>
      <c r="C4252" s="247" t="s">
        <v>996</v>
      </c>
      <c r="D4252" s="317">
        <v>42676</v>
      </c>
      <c r="E4252" s="318">
        <v>0.50400462962962966</v>
      </c>
      <c r="F4252" s="247" t="s">
        <v>980</v>
      </c>
      <c r="G4252" s="247" t="s">
        <v>1035</v>
      </c>
      <c r="H4252" s="248" t="s">
        <v>234</v>
      </c>
      <c r="I4252" s="248" t="s">
        <v>263</v>
      </c>
      <c r="J4252" s="247" t="s">
        <v>809</v>
      </c>
      <c r="K4252" s="249">
        <v>0</v>
      </c>
      <c r="M4252" s="90">
        <v>0</v>
      </c>
      <c r="N4252" s="90">
        <v>0</v>
      </c>
      <c r="O4252" s="90">
        <v>255</v>
      </c>
    </row>
    <row r="4253" spans="1:15" s="90" customFormat="1" ht="12.75" customHeight="1" x14ac:dyDescent="0.2">
      <c r="A4253" s="247" t="s">
        <v>1697</v>
      </c>
      <c r="B4253" s="316">
        <v>3037</v>
      </c>
      <c r="C4253" s="247" t="s">
        <v>996</v>
      </c>
      <c r="D4253" s="317">
        <v>42676</v>
      </c>
      <c r="E4253" s="318">
        <v>0.5040162037037037</v>
      </c>
      <c r="F4253" s="247" t="s">
        <v>980</v>
      </c>
      <c r="G4253" s="247" t="s">
        <v>1035</v>
      </c>
      <c r="H4253" s="248" t="s">
        <v>234</v>
      </c>
      <c r="I4253" s="248" t="s">
        <v>263</v>
      </c>
      <c r="J4253" s="247" t="s">
        <v>809</v>
      </c>
      <c r="K4253" s="249">
        <v>0</v>
      </c>
      <c r="M4253" s="90">
        <v>0</v>
      </c>
      <c r="N4253" s="90">
        <v>0</v>
      </c>
      <c r="O4253" s="90">
        <v>255</v>
      </c>
    </row>
    <row r="4254" spans="1:15" s="90" customFormat="1" ht="12.75" customHeight="1" x14ac:dyDescent="0.2">
      <c r="A4254" s="247" t="s">
        <v>1698</v>
      </c>
      <c r="B4254" s="316">
        <v>3037</v>
      </c>
      <c r="C4254" s="247" t="s">
        <v>996</v>
      </c>
      <c r="D4254" s="317">
        <v>42676</v>
      </c>
      <c r="E4254" s="318">
        <v>0.5040162037037037</v>
      </c>
      <c r="F4254" s="247" t="s">
        <v>980</v>
      </c>
      <c r="G4254" s="247" t="s">
        <v>1035</v>
      </c>
      <c r="H4254" s="248" t="s">
        <v>234</v>
      </c>
      <c r="I4254" s="248" t="s">
        <v>263</v>
      </c>
      <c r="J4254" s="247" t="s">
        <v>809</v>
      </c>
      <c r="K4254" s="249">
        <v>0</v>
      </c>
      <c r="M4254" s="90">
        <v>0</v>
      </c>
      <c r="N4254" s="90">
        <v>0</v>
      </c>
      <c r="O4254" s="90">
        <v>255</v>
      </c>
    </row>
    <row r="4255" spans="1:15" s="90" customFormat="1" ht="12.75" customHeight="1" x14ac:dyDescent="0.2">
      <c r="A4255" s="247" t="s">
        <v>1699</v>
      </c>
      <c r="B4255" s="316">
        <v>3037</v>
      </c>
      <c r="C4255" s="247" t="s">
        <v>996</v>
      </c>
      <c r="D4255" s="317">
        <v>42676</v>
      </c>
      <c r="E4255" s="318">
        <v>0.5040162037037037</v>
      </c>
      <c r="F4255" s="247" t="s">
        <v>980</v>
      </c>
      <c r="G4255" s="247" t="s">
        <v>1035</v>
      </c>
      <c r="H4255" s="248" t="s">
        <v>234</v>
      </c>
      <c r="I4255" s="248" t="s">
        <v>263</v>
      </c>
      <c r="J4255" s="247" t="s">
        <v>809</v>
      </c>
      <c r="K4255" s="249">
        <v>0</v>
      </c>
      <c r="M4255" s="90">
        <v>0</v>
      </c>
      <c r="N4255" s="90">
        <v>0</v>
      </c>
      <c r="O4255" s="90">
        <v>255</v>
      </c>
    </row>
    <row r="4256" spans="1:15" s="90" customFormat="1" ht="12.75" customHeight="1" x14ac:dyDescent="0.2">
      <c r="A4256" s="247" t="s">
        <v>1700</v>
      </c>
      <c r="B4256" s="316">
        <v>3037</v>
      </c>
      <c r="C4256" s="247" t="s">
        <v>996</v>
      </c>
      <c r="D4256" s="317">
        <v>42676</v>
      </c>
      <c r="E4256" s="318">
        <v>0.5040162037037037</v>
      </c>
      <c r="F4256" s="247" t="s">
        <v>980</v>
      </c>
      <c r="G4256" s="247" t="s">
        <v>1035</v>
      </c>
      <c r="H4256" s="248" t="s">
        <v>234</v>
      </c>
      <c r="I4256" s="248" t="s">
        <v>263</v>
      </c>
      <c r="J4256" s="247" t="s">
        <v>809</v>
      </c>
      <c r="K4256" s="249">
        <v>0</v>
      </c>
      <c r="M4256" s="90">
        <v>0</v>
      </c>
      <c r="N4256" s="90">
        <v>0</v>
      </c>
      <c r="O4256" s="90">
        <v>255</v>
      </c>
    </row>
    <row r="4257" spans="1:15" s="90" customFormat="1" ht="12.75" customHeight="1" x14ac:dyDescent="0.2">
      <c r="A4257" s="247" t="s">
        <v>1701</v>
      </c>
      <c r="B4257" s="316">
        <v>3037</v>
      </c>
      <c r="C4257" s="247" t="s">
        <v>996</v>
      </c>
      <c r="D4257" s="317">
        <v>42676</v>
      </c>
      <c r="E4257" s="318">
        <v>0.5040162037037037</v>
      </c>
      <c r="F4257" s="247" t="s">
        <v>980</v>
      </c>
      <c r="G4257" s="247" t="s">
        <v>1035</v>
      </c>
      <c r="H4257" s="248" t="s">
        <v>234</v>
      </c>
      <c r="I4257" s="248" t="s">
        <v>263</v>
      </c>
      <c r="J4257" s="247" t="s">
        <v>809</v>
      </c>
      <c r="K4257" s="249">
        <v>0</v>
      </c>
      <c r="M4257" s="90">
        <v>0</v>
      </c>
      <c r="N4257" s="90">
        <v>0</v>
      </c>
      <c r="O4257" s="90">
        <v>255</v>
      </c>
    </row>
    <row r="4258" spans="1:15" s="90" customFormat="1" ht="12.75" customHeight="1" x14ac:dyDescent="0.2">
      <c r="A4258" s="247" t="s">
        <v>1702</v>
      </c>
      <c r="B4258" s="316">
        <v>3037</v>
      </c>
      <c r="C4258" s="247" t="s">
        <v>996</v>
      </c>
      <c r="D4258" s="317">
        <v>42676</v>
      </c>
      <c r="E4258" s="318">
        <v>0.50402777777777774</v>
      </c>
      <c r="F4258" s="247" t="s">
        <v>980</v>
      </c>
      <c r="G4258" s="247" t="s">
        <v>1035</v>
      </c>
      <c r="H4258" s="248" t="s">
        <v>234</v>
      </c>
      <c r="I4258" s="248" t="s">
        <v>263</v>
      </c>
      <c r="J4258" s="247" t="s">
        <v>809</v>
      </c>
      <c r="K4258" s="249">
        <v>0</v>
      </c>
      <c r="M4258" s="90">
        <v>0</v>
      </c>
      <c r="N4258" s="90">
        <v>0</v>
      </c>
      <c r="O4258" s="90">
        <v>255</v>
      </c>
    </row>
    <row r="4259" spans="1:15" s="90" customFormat="1" ht="12.75" customHeight="1" x14ac:dyDescent="0.2">
      <c r="A4259" s="247" t="s">
        <v>1703</v>
      </c>
      <c r="B4259" s="316">
        <v>3037</v>
      </c>
      <c r="C4259" s="247" t="s">
        <v>996</v>
      </c>
      <c r="D4259" s="317">
        <v>42676</v>
      </c>
      <c r="E4259" s="318">
        <v>0.50402777777777774</v>
      </c>
      <c r="F4259" s="247" t="s">
        <v>980</v>
      </c>
      <c r="G4259" s="247" t="s">
        <v>1035</v>
      </c>
      <c r="H4259" s="248" t="s">
        <v>234</v>
      </c>
      <c r="I4259" s="248" t="s">
        <v>263</v>
      </c>
      <c r="J4259" s="247" t="s">
        <v>809</v>
      </c>
      <c r="K4259" s="249">
        <v>0</v>
      </c>
      <c r="M4259" s="90">
        <v>0</v>
      </c>
      <c r="N4259" s="90">
        <v>0</v>
      </c>
      <c r="O4259" s="90">
        <v>255</v>
      </c>
    </row>
    <row r="4260" spans="1:15" s="90" customFormat="1" ht="12.75" customHeight="1" x14ac:dyDescent="0.2">
      <c r="A4260" s="247" t="s">
        <v>1523</v>
      </c>
      <c r="B4260" s="316">
        <v>3037</v>
      </c>
      <c r="C4260" s="247" t="s">
        <v>996</v>
      </c>
      <c r="D4260" s="317">
        <v>42676</v>
      </c>
      <c r="E4260" s="318">
        <v>0.50402777777777774</v>
      </c>
      <c r="F4260" s="247" t="s">
        <v>980</v>
      </c>
      <c r="G4260" s="247" t="s">
        <v>1035</v>
      </c>
      <c r="H4260" s="248" t="s">
        <v>234</v>
      </c>
      <c r="I4260" s="248" t="s">
        <v>263</v>
      </c>
      <c r="J4260" s="247" t="s">
        <v>809</v>
      </c>
      <c r="K4260" s="249">
        <v>0</v>
      </c>
      <c r="M4260" s="90">
        <v>0</v>
      </c>
      <c r="N4260" s="90">
        <v>0</v>
      </c>
      <c r="O4260" s="90">
        <v>255</v>
      </c>
    </row>
    <row r="4261" spans="1:15" s="90" customFormat="1" ht="12.75" customHeight="1" x14ac:dyDescent="0.2">
      <c r="A4261" s="247" t="s">
        <v>1524</v>
      </c>
      <c r="B4261" s="316">
        <v>3037</v>
      </c>
      <c r="C4261" s="247" t="s">
        <v>996</v>
      </c>
      <c r="D4261" s="317">
        <v>42676</v>
      </c>
      <c r="E4261" s="318">
        <v>0.50402777777777774</v>
      </c>
      <c r="F4261" s="247" t="s">
        <v>980</v>
      </c>
      <c r="G4261" s="247" t="s">
        <v>1035</v>
      </c>
      <c r="H4261" s="248" t="s">
        <v>234</v>
      </c>
      <c r="I4261" s="248" t="s">
        <v>263</v>
      </c>
      <c r="J4261" s="247" t="s">
        <v>809</v>
      </c>
      <c r="K4261" s="249">
        <v>0</v>
      </c>
      <c r="M4261" s="90">
        <v>0</v>
      </c>
      <c r="N4261" s="90">
        <v>0</v>
      </c>
      <c r="O4261" s="90">
        <v>255</v>
      </c>
    </row>
    <row r="4262" spans="1:15" s="90" customFormat="1" ht="12.75" customHeight="1" x14ac:dyDescent="0.2">
      <c r="A4262" s="247" t="s">
        <v>1704</v>
      </c>
      <c r="B4262" s="316">
        <v>3037</v>
      </c>
      <c r="C4262" s="247" t="s">
        <v>996</v>
      </c>
      <c r="D4262" s="317">
        <v>42676</v>
      </c>
      <c r="E4262" s="318">
        <v>0.50403935185185189</v>
      </c>
      <c r="F4262" s="247" t="s">
        <v>980</v>
      </c>
      <c r="G4262" s="247" t="s">
        <v>1035</v>
      </c>
      <c r="H4262" s="248" t="s">
        <v>234</v>
      </c>
      <c r="I4262" s="248" t="s">
        <v>263</v>
      </c>
      <c r="J4262" s="247" t="s">
        <v>809</v>
      </c>
      <c r="K4262" s="249">
        <v>0</v>
      </c>
      <c r="M4262" s="90">
        <v>0</v>
      </c>
      <c r="N4262" s="90">
        <v>0</v>
      </c>
      <c r="O4262" s="90">
        <v>255</v>
      </c>
    </row>
    <row r="4263" spans="1:15" s="90" customFormat="1" ht="12.75" customHeight="1" x14ac:dyDescent="0.2">
      <c r="A4263" s="247" t="s">
        <v>1705</v>
      </c>
      <c r="B4263" s="316">
        <v>3037</v>
      </c>
      <c r="C4263" s="247" t="s">
        <v>996</v>
      </c>
      <c r="D4263" s="317">
        <v>42676</v>
      </c>
      <c r="E4263" s="318">
        <v>0.50403935185185189</v>
      </c>
      <c r="F4263" s="247" t="s">
        <v>980</v>
      </c>
      <c r="G4263" s="247" t="s">
        <v>1035</v>
      </c>
      <c r="H4263" s="248" t="s">
        <v>234</v>
      </c>
      <c r="I4263" s="248" t="s">
        <v>263</v>
      </c>
      <c r="J4263" s="247" t="s">
        <v>809</v>
      </c>
      <c r="K4263" s="249">
        <v>0</v>
      </c>
      <c r="M4263" s="90">
        <v>0</v>
      </c>
      <c r="N4263" s="90">
        <v>0</v>
      </c>
      <c r="O4263" s="90">
        <v>255</v>
      </c>
    </row>
    <row r="4264" spans="1:15" s="90" customFormat="1" ht="12.75" customHeight="1" x14ac:dyDescent="0.2">
      <c r="A4264" s="247" t="s">
        <v>1535</v>
      </c>
      <c r="B4264" s="316">
        <v>3037</v>
      </c>
      <c r="C4264" s="247" t="s">
        <v>996</v>
      </c>
      <c r="D4264" s="317">
        <v>42676</v>
      </c>
      <c r="E4264" s="318">
        <v>0.50403935185185189</v>
      </c>
      <c r="F4264" s="247" t="s">
        <v>980</v>
      </c>
      <c r="G4264" s="247" t="s">
        <v>1035</v>
      </c>
      <c r="H4264" s="248" t="s">
        <v>234</v>
      </c>
      <c r="I4264" s="248" t="s">
        <v>263</v>
      </c>
      <c r="J4264" s="247" t="s">
        <v>809</v>
      </c>
      <c r="K4264" s="249">
        <v>0</v>
      </c>
      <c r="M4264" s="90">
        <v>0</v>
      </c>
      <c r="N4264" s="90">
        <v>0</v>
      </c>
      <c r="O4264" s="90">
        <v>255</v>
      </c>
    </row>
    <row r="4265" spans="1:15" s="90" customFormat="1" ht="12.75" customHeight="1" x14ac:dyDescent="0.2">
      <c r="A4265" s="247" t="s">
        <v>1706</v>
      </c>
      <c r="B4265" s="316">
        <v>3037</v>
      </c>
      <c r="C4265" s="247" t="s">
        <v>996</v>
      </c>
      <c r="D4265" s="317">
        <v>42676</v>
      </c>
      <c r="E4265" s="318">
        <v>0.50403935185185189</v>
      </c>
      <c r="F4265" s="247" t="s">
        <v>980</v>
      </c>
      <c r="G4265" s="247" t="s">
        <v>1035</v>
      </c>
      <c r="H4265" s="248" t="s">
        <v>234</v>
      </c>
      <c r="I4265" s="248" t="s">
        <v>263</v>
      </c>
      <c r="J4265" s="247" t="s">
        <v>809</v>
      </c>
      <c r="K4265" s="249">
        <v>0</v>
      </c>
      <c r="M4265" s="90">
        <v>0</v>
      </c>
      <c r="N4265" s="90">
        <v>0</v>
      </c>
      <c r="O4265" s="90">
        <v>255</v>
      </c>
    </row>
    <row r="4266" spans="1:15" s="90" customFormat="1" ht="12.75" customHeight="1" x14ac:dyDescent="0.2">
      <c r="A4266" s="247" t="s">
        <v>1707</v>
      </c>
      <c r="B4266" s="316">
        <v>3037</v>
      </c>
      <c r="C4266" s="247" t="s">
        <v>996</v>
      </c>
      <c r="D4266" s="317">
        <v>42676</v>
      </c>
      <c r="E4266" s="318">
        <v>0.50403935185185189</v>
      </c>
      <c r="F4266" s="247" t="s">
        <v>980</v>
      </c>
      <c r="G4266" s="247" t="s">
        <v>1035</v>
      </c>
      <c r="H4266" s="248" t="s">
        <v>234</v>
      </c>
      <c r="I4266" s="248" t="s">
        <v>263</v>
      </c>
      <c r="J4266" s="247" t="s">
        <v>809</v>
      </c>
      <c r="K4266" s="249">
        <v>0</v>
      </c>
      <c r="M4266" s="90">
        <v>0</v>
      </c>
      <c r="N4266" s="90">
        <v>0</v>
      </c>
      <c r="O4266" s="90">
        <v>255</v>
      </c>
    </row>
    <row r="4267" spans="1:15" s="90" customFormat="1" ht="12.75" customHeight="1" x14ac:dyDescent="0.2">
      <c r="A4267" s="247" t="s">
        <v>1536</v>
      </c>
      <c r="B4267" s="316">
        <v>3037</v>
      </c>
      <c r="C4267" s="247" t="s">
        <v>996</v>
      </c>
      <c r="D4267" s="317">
        <v>42676</v>
      </c>
      <c r="E4267" s="318">
        <v>0.50403935185185189</v>
      </c>
      <c r="F4267" s="247" t="s">
        <v>980</v>
      </c>
      <c r="G4267" s="247" t="s">
        <v>1035</v>
      </c>
      <c r="H4267" s="248" t="s">
        <v>234</v>
      </c>
      <c r="I4267" s="248" t="s">
        <v>263</v>
      </c>
      <c r="J4267" s="247" t="s">
        <v>809</v>
      </c>
      <c r="K4267" s="249">
        <v>0</v>
      </c>
      <c r="M4267" s="90">
        <v>0</v>
      </c>
      <c r="N4267" s="90">
        <v>0</v>
      </c>
      <c r="O4267" s="90">
        <v>255</v>
      </c>
    </row>
    <row r="4268" spans="1:15" s="90" customFormat="1" ht="12.75" customHeight="1" x14ac:dyDescent="0.2">
      <c r="A4268" s="247" t="s">
        <v>1537</v>
      </c>
      <c r="B4268" s="316">
        <v>3037</v>
      </c>
      <c r="C4268" s="247" t="s">
        <v>996</v>
      </c>
      <c r="D4268" s="317">
        <v>42676</v>
      </c>
      <c r="E4268" s="318">
        <v>0.50405092592592593</v>
      </c>
      <c r="F4268" s="247" t="s">
        <v>980</v>
      </c>
      <c r="G4268" s="247" t="s">
        <v>1035</v>
      </c>
      <c r="H4268" s="248" t="s">
        <v>234</v>
      </c>
      <c r="I4268" s="248" t="s">
        <v>263</v>
      </c>
      <c r="J4268" s="247" t="s">
        <v>809</v>
      </c>
      <c r="K4268" s="249">
        <v>0</v>
      </c>
      <c r="M4268" s="90">
        <v>0</v>
      </c>
      <c r="N4268" s="90">
        <v>0</v>
      </c>
      <c r="O4268" s="90">
        <v>255</v>
      </c>
    </row>
    <row r="4269" spans="1:15" s="90" customFormat="1" ht="12.75" customHeight="1" x14ac:dyDescent="0.2">
      <c r="A4269" s="247" t="s">
        <v>1708</v>
      </c>
      <c r="B4269" s="316">
        <v>3037</v>
      </c>
      <c r="C4269" s="247" t="s">
        <v>996</v>
      </c>
      <c r="D4269" s="317">
        <v>42676</v>
      </c>
      <c r="E4269" s="318">
        <v>0.50405092592592593</v>
      </c>
      <c r="F4269" s="247" t="s">
        <v>980</v>
      </c>
      <c r="G4269" s="247" t="s">
        <v>1035</v>
      </c>
      <c r="H4269" s="248" t="s">
        <v>234</v>
      </c>
      <c r="I4269" s="248" t="s">
        <v>263</v>
      </c>
      <c r="J4269" s="247" t="s">
        <v>809</v>
      </c>
      <c r="K4269" s="249">
        <v>0</v>
      </c>
      <c r="M4269" s="90">
        <v>0</v>
      </c>
      <c r="N4269" s="90">
        <v>0</v>
      </c>
      <c r="O4269" s="90">
        <v>255</v>
      </c>
    </row>
    <row r="4270" spans="1:15" s="90" customFormat="1" ht="12.75" customHeight="1" x14ac:dyDescent="0.2">
      <c r="A4270" s="247" t="s">
        <v>1709</v>
      </c>
      <c r="B4270" s="316">
        <v>3037</v>
      </c>
      <c r="C4270" s="247" t="s">
        <v>996</v>
      </c>
      <c r="D4270" s="317">
        <v>42676</v>
      </c>
      <c r="E4270" s="318">
        <v>0.50405092592592593</v>
      </c>
      <c r="F4270" s="247" t="s">
        <v>980</v>
      </c>
      <c r="G4270" s="247" t="s">
        <v>1035</v>
      </c>
      <c r="H4270" s="248" t="s">
        <v>234</v>
      </c>
      <c r="I4270" s="248" t="s">
        <v>263</v>
      </c>
      <c r="J4270" s="247" t="s">
        <v>809</v>
      </c>
      <c r="K4270" s="249">
        <v>0</v>
      </c>
      <c r="M4270" s="90">
        <v>0</v>
      </c>
      <c r="N4270" s="90">
        <v>0</v>
      </c>
      <c r="O4270" s="90">
        <v>255</v>
      </c>
    </row>
    <row r="4271" spans="1:15" s="90" customFormat="1" ht="12.75" customHeight="1" x14ac:dyDescent="0.2">
      <c r="A4271" s="247" t="s">
        <v>1710</v>
      </c>
      <c r="B4271" s="316">
        <v>3037</v>
      </c>
      <c r="C4271" s="247" t="s">
        <v>996</v>
      </c>
      <c r="D4271" s="317">
        <v>42676</v>
      </c>
      <c r="E4271" s="318">
        <v>0.50405092592592593</v>
      </c>
      <c r="F4271" s="247" t="s">
        <v>980</v>
      </c>
      <c r="G4271" s="247" t="s">
        <v>1035</v>
      </c>
      <c r="H4271" s="248" t="s">
        <v>234</v>
      </c>
      <c r="I4271" s="248" t="s">
        <v>263</v>
      </c>
      <c r="J4271" s="247" t="s">
        <v>809</v>
      </c>
      <c r="K4271" s="249">
        <v>0</v>
      </c>
      <c r="M4271" s="90">
        <v>0</v>
      </c>
      <c r="N4271" s="90">
        <v>0</v>
      </c>
      <c r="O4271" s="90">
        <v>255</v>
      </c>
    </row>
    <row r="4272" spans="1:15" s="90" customFormat="1" ht="12.75" customHeight="1" x14ac:dyDescent="0.2">
      <c r="A4272" s="247" t="s">
        <v>1711</v>
      </c>
      <c r="B4272" s="316">
        <v>3037</v>
      </c>
      <c r="C4272" s="247" t="s">
        <v>996</v>
      </c>
      <c r="D4272" s="317">
        <v>42676</v>
      </c>
      <c r="E4272" s="318">
        <v>0.50405092592592593</v>
      </c>
      <c r="F4272" s="247" t="s">
        <v>980</v>
      </c>
      <c r="G4272" s="247" t="s">
        <v>1035</v>
      </c>
      <c r="H4272" s="248" t="s">
        <v>234</v>
      </c>
      <c r="I4272" s="248" t="s">
        <v>263</v>
      </c>
      <c r="J4272" s="247" t="s">
        <v>809</v>
      </c>
      <c r="K4272" s="249">
        <v>0</v>
      </c>
      <c r="M4272" s="90">
        <v>0</v>
      </c>
      <c r="N4272" s="90">
        <v>0</v>
      </c>
      <c r="O4272" s="90">
        <v>255</v>
      </c>
    </row>
    <row r="4273" spans="1:15" s="90" customFormat="1" ht="12.75" customHeight="1" x14ac:dyDescent="0.2">
      <c r="A4273" s="247" t="s">
        <v>1712</v>
      </c>
      <c r="B4273" s="316">
        <v>3037</v>
      </c>
      <c r="C4273" s="247" t="s">
        <v>996</v>
      </c>
      <c r="D4273" s="317">
        <v>42676</v>
      </c>
      <c r="E4273" s="318">
        <v>0.50405092592592593</v>
      </c>
      <c r="F4273" s="247" t="s">
        <v>980</v>
      </c>
      <c r="G4273" s="247" t="s">
        <v>1035</v>
      </c>
      <c r="H4273" s="248" t="s">
        <v>234</v>
      </c>
      <c r="I4273" s="248" t="s">
        <v>263</v>
      </c>
      <c r="J4273" s="247" t="s">
        <v>809</v>
      </c>
      <c r="K4273" s="249">
        <v>0</v>
      </c>
      <c r="M4273" s="90">
        <v>0</v>
      </c>
      <c r="N4273" s="90">
        <v>0</v>
      </c>
      <c r="O4273" s="90">
        <v>255</v>
      </c>
    </row>
    <row r="4274" spans="1:15" s="90" customFormat="1" ht="12.75" customHeight="1" x14ac:dyDescent="0.2">
      <c r="A4274" s="247" t="s">
        <v>1713</v>
      </c>
      <c r="B4274" s="316">
        <v>3037</v>
      </c>
      <c r="C4274" s="247" t="s">
        <v>996</v>
      </c>
      <c r="D4274" s="317">
        <v>42676</v>
      </c>
      <c r="E4274" s="318">
        <v>0.50405092592592593</v>
      </c>
      <c r="F4274" s="247" t="s">
        <v>980</v>
      </c>
      <c r="G4274" s="247" t="s">
        <v>1035</v>
      </c>
      <c r="H4274" s="248" t="s">
        <v>234</v>
      </c>
      <c r="I4274" s="248" t="s">
        <v>263</v>
      </c>
      <c r="J4274" s="247" t="s">
        <v>809</v>
      </c>
      <c r="K4274" s="249">
        <v>0</v>
      </c>
      <c r="M4274" s="90">
        <v>0</v>
      </c>
      <c r="N4274" s="90">
        <v>0</v>
      </c>
      <c r="O4274" s="90">
        <v>255</v>
      </c>
    </row>
    <row r="4275" spans="1:15" s="90" customFormat="1" ht="12.75" customHeight="1" x14ac:dyDescent="0.2">
      <c r="A4275" s="247" t="s">
        <v>1714</v>
      </c>
      <c r="B4275" s="316">
        <v>3037</v>
      </c>
      <c r="C4275" s="247" t="s">
        <v>996</v>
      </c>
      <c r="D4275" s="317">
        <v>42676</v>
      </c>
      <c r="E4275" s="318">
        <v>0.50406249999999997</v>
      </c>
      <c r="F4275" s="247" t="s">
        <v>980</v>
      </c>
      <c r="G4275" s="247" t="s">
        <v>1035</v>
      </c>
      <c r="H4275" s="248" t="s">
        <v>234</v>
      </c>
      <c r="I4275" s="248" t="s">
        <v>263</v>
      </c>
      <c r="J4275" s="247" t="s">
        <v>809</v>
      </c>
      <c r="K4275" s="249">
        <v>0</v>
      </c>
      <c r="M4275" s="90">
        <v>0</v>
      </c>
      <c r="N4275" s="90">
        <v>0</v>
      </c>
      <c r="O4275" s="90">
        <v>255</v>
      </c>
    </row>
    <row r="4276" spans="1:15" s="90" customFormat="1" ht="12.75" customHeight="1" x14ac:dyDescent="0.2">
      <c r="A4276" s="247" t="s">
        <v>1715</v>
      </c>
      <c r="B4276" s="316">
        <v>3037</v>
      </c>
      <c r="C4276" s="247" t="s">
        <v>996</v>
      </c>
      <c r="D4276" s="317">
        <v>42676</v>
      </c>
      <c r="E4276" s="318">
        <v>0.50406249999999997</v>
      </c>
      <c r="F4276" s="247" t="s">
        <v>980</v>
      </c>
      <c r="G4276" s="247" t="s">
        <v>1035</v>
      </c>
      <c r="H4276" s="248" t="s">
        <v>234</v>
      </c>
      <c r="I4276" s="248" t="s">
        <v>263</v>
      </c>
      <c r="J4276" s="247" t="s">
        <v>809</v>
      </c>
      <c r="K4276" s="249">
        <v>0</v>
      </c>
      <c r="M4276" s="90">
        <v>0</v>
      </c>
      <c r="N4276" s="90">
        <v>0</v>
      </c>
      <c r="O4276" s="90">
        <v>255</v>
      </c>
    </row>
    <row r="4277" spans="1:15" s="90" customFormat="1" ht="12.75" customHeight="1" x14ac:dyDescent="0.2">
      <c r="A4277" s="247" t="s">
        <v>1716</v>
      </c>
      <c r="B4277" s="316">
        <v>3037</v>
      </c>
      <c r="C4277" s="247" t="s">
        <v>996</v>
      </c>
      <c r="D4277" s="317">
        <v>42676</v>
      </c>
      <c r="E4277" s="318">
        <v>0.50406249999999997</v>
      </c>
      <c r="F4277" s="247" t="s">
        <v>980</v>
      </c>
      <c r="G4277" s="247" t="s">
        <v>1035</v>
      </c>
      <c r="H4277" s="248" t="s">
        <v>234</v>
      </c>
      <c r="I4277" s="248" t="s">
        <v>263</v>
      </c>
      <c r="J4277" s="247" t="s">
        <v>809</v>
      </c>
      <c r="K4277" s="249">
        <v>0</v>
      </c>
      <c r="M4277" s="90">
        <v>0</v>
      </c>
      <c r="N4277" s="90">
        <v>0</v>
      </c>
      <c r="O4277" s="90">
        <v>255</v>
      </c>
    </row>
    <row r="4278" spans="1:15" s="90" customFormat="1" ht="12.75" customHeight="1" x14ac:dyDescent="0.2">
      <c r="A4278" s="247" t="s">
        <v>1717</v>
      </c>
      <c r="B4278" s="316">
        <v>3037</v>
      </c>
      <c r="C4278" s="247" t="s">
        <v>996</v>
      </c>
      <c r="D4278" s="317">
        <v>42676</v>
      </c>
      <c r="E4278" s="318">
        <v>0.50406249999999997</v>
      </c>
      <c r="F4278" s="247" t="s">
        <v>980</v>
      </c>
      <c r="G4278" s="247" t="s">
        <v>1035</v>
      </c>
      <c r="H4278" s="248" t="s">
        <v>234</v>
      </c>
      <c r="I4278" s="248" t="s">
        <v>263</v>
      </c>
      <c r="J4278" s="247" t="s">
        <v>809</v>
      </c>
      <c r="K4278" s="249">
        <v>0</v>
      </c>
      <c r="M4278" s="90">
        <v>0</v>
      </c>
      <c r="N4278" s="90">
        <v>0</v>
      </c>
      <c r="O4278" s="90">
        <v>255</v>
      </c>
    </row>
    <row r="4279" spans="1:15" s="90" customFormat="1" ht="12.75" customHeight="1" x14ac:dyDescent="0.2">
      <c r="A4279" s="247" t="s">
        <v>1718</v>
      </c>
      <c r="B4279" s="316">
        <v>3037</v>
      </c>
      <c r="C4279" s="247" t="s">
        <v>996</v>
      </c>
      <c r="D4279" s="317">
        <v>42676</v>
      </c>
      <c r="E4279" s="318">
        <v>0.50406249999999997</v>
      </c>
      <c r="F4279" s="247" t="s">
        <v>980</v>
      </c>
      <c r="G4279" s="247" t="s">
        <v>1035</v>
      </c>
      <c r="H4279" s="248" t="s">
        <v>234</v>
      </c>
      <c r="I4279" s="248" t="s">
        <v>263</v>
      </c>
      <c r="J4279" s="247" t="s">
        <v>809</v>
      </c>
      <c r="K4279" s="249">
        <v>0</v>
      </c>
      <c r="M4279" s="90">
        <v>0</v>
      </c>
      <c r="N4279" s="90">
        <v>0</v>
      </c>
      <c r="O4279" s="90">
        <v>255</v>
      </c>
    </row>
    <row r="4280" spans="1:15" s="90" customFormat="1" ht="12.75" customHeight="1" x14ac:dyDescent="0.2">
      <c r="A4280" s="247" t="s">
        <v>1719</v>
      </c>
      <c r="B4280" s="316">
        <v>3037</v>
      </c>
      <c r="C4280" s="247" t="s">
        <v>996</v>
      </c>
      <c r="D4280" s="317">
        <v>42676</v>
      </c>
      <c r="E4280" s="318">
        <v>0.50406249999999997</v>
      </c>
      <c r="F4280" s="247" t="s">
        <v>980</v>
      </c>
      <c r="G4280" s="247" t="s">
        <v>1035</v>
      </c>
      <c r="H4280" s="248" t="s">
        <v>234</v>
      </c>
      <c r="I4280" s="248" t="s">
        <v>263</v>
      </c>
      <c r="J4280" s="247" t="s">
        <v>809</v>
      </c>
      <c r="K4280" s="249">
        <v>0</v>
      </c>
      <c r="M4280" s="90">
        <v>0</v>
      </c>
      <c r="N4280" s="90">
        <v>0</v>
      </c>
      <c r="O4280" s="90">
        <v>255</v>
      </c>
    </row>
    <row r="4281" spans="1:15" s="90" customFormat="1" ht="12.75" customHeight="1" x14ac:dyDescent="0.2">
      <c r="A4281" s="247" t="s">
        <v>1720</v>
      </c>
      <c r="B4281" s="316">
        <v>3037</v>
      </c>
      <c r="C4281" s="247" t="s">
        <v>996</v>
      </c>
      <c r="D4281" s="317">
        <v>42676</v>
      </c>
      <c r="E4281" s="318">
        <v>0.50407407407407401</v>
      </c>
      <c r="F4281" s="247" t="s">
        <v>980</v>
      </c>
      <c r="G4281" s="247" t="s">
        <v>1035</v>
      </c>
      <c r="H4281" s="248" t="s">
        <v>234</v>
      </c>
      <c r="I4281" s="248" t="s">
        <v>263</v>
      </c>
      <c r="J4281" s="247" t="s">
        <v>809</v>
      </c>
      <c r="K4281" s="249">
        <v>0</v>
      </c>
      <c r="M4281" s="90">
        <v>0</v>
      </c>
      <c r="N4281" s="90">
        <v>0</v>
      </c>
      <c r="O4281" s="90">
        <v>255</v>
      </c>
    </row>
    <row r="4282" spans="1:15" s="90" customFormat="1" ht="12.75" customHeight="1" x14ac:dyDescent="0.2">
      <c r="A4282" s="247" t="s">
        <v>1721</v>
      </c>
      <c r="B4282" s="316">
        <v>3037</v>
      </c>
      <c r="C4282" s="247" t="s">
        <v>996</v>
      </c>
      <c r="D4282" s="317">
        <v>42676</v>
      </c>
      <c r="E4282" s="318">
        <v>0.50407407407407401</v>
      </c>
      <c r="F4282" s="247" t="s">
        <v>980</v>
      </c>
      <c r="G4282" s="247" t="s">
        <v>1035</v>
      </c>
      <c r="H4282" s="248" t="s">
        <v>234</v>
      </c>
      <c r="I4282" s="248" t="s">
        <v>263</v>
      </c>
      <c r="J4282" s="247" t="s">
        <v>809</v>
      </c>
      <c r="K4282" s="249">
        <v>0</v>
      </c>
      <c r="M4282" s="90">
        <v>0</v>
      </c>
      <c r="N4282" s="90">
        <v>0</v>
      </c>
      <c r="O4282" s="90">
        <v>255</v>
      </c>
    </row>
    <row r="4283" spans="1:15" s="90" customFormat="1" ht="12.75" customHeight="1" x14ac:dyDescent="0.2">
      <c r="A4283" s="247" t="s">
        <v>1722</v>
      </c>
      <c r="B4283" s="316">
        <v>3037</v>
      </c>
      <c r="C4283" s="247" t="s">
        <v>996</v>
      </c>
      <c r="D4283" s="317">
        <v>42676</v>
      </c>
      <c r="E4283" s="318">
        <v>0.50407407407407401</v>
      </c>
      <c r="F4283" s="247" t="s">
        <v>980</v>
      </c>
      <c r="G4283" s="247" t="s">
        <v>1035</v>
      </c>
      <c r="H4283" s="248" t="s">
        <v>234</v>
      </c>
      <c r="I4283" s="248" t="s">
        <v>263</v>
      </c>
      <c r="J4283" s="247" t="s">
        <v>809</v>
      </c>
      <c r="K4283" s="249">
        <v>0</v>
      </c>
      <c r="M4283" s="90">
        <v>0</v>
      </c>
      <c r="N4283" s="90">
        <v>0</v>
      </c>
      <c r="O4283" s="90">
        <v>255</v>
      </c>
    </row>
    <row r="4284" spans="1:15" s="90" customFormat="1" ht="12.75" customHeight="1" x14ac:dyDescent="0.2">
      <c r="A4284" s="247" t="s">
        <v>1723</v>
      </c>
      <c r="B4284" s="316">
        <v>3037</v>
      </c>
      <c r="C4284" s="247" t="s">
        <v>996</v>
      </c>
      <c r="D4284" s="317">
        <v>42676</v>
      </c>
      <c r="E4284" s="318">
        <v>0.50407407407407401</v>
      </c>
      <c r="F4284" s="247" t="s">
        <v>980</v>
      </c>
      <c r="G4284" s="247" t="s">
        <v>1035</v>
      </c>
      <c r="H4284" s="248" t="s">
        <v>234</v>
      </c>
      <c r="I4284" s="248" t="s">
        <v>263</v>
      </c>
      <c r="J4284" s="247" t="s">
        <v>809</v>
      </c>
      <c r="K4284" s="249">
        <v>0</v>
      </c>
      <c r="M4284" s="90">
        <v>0</v>
      </c>
      <c r="N4284" s="90">
        <v>0</v>
      </c>
      <c r="O4284" s="90">
        <v>255</v>
      </c>
    </row>
    <row r="4285" spans="1:15" s="90" customFormat="1" ht="12.75" customHeight="1" x14ac:dyDescent="0.2">
      <c r="A4285" s="247" t="s">
        <v>1724</v>
      </c>
      <c r="B4285" s="316">
        <v>3037</v>
      </c>
      <c r="C4285" s="247" t="s">
        <v>996</v>
      </c>
      <c r="D4285" s="317">
        <v>42676</v>
      </c>
      <c r="E4285" s="318">
        <v>0.50407407407407401</v>
      </c>
      <c r="F4285" s="247" t="s">
        <v>980</v>
      </c>
      <c r="G4285" s="247" t="s">
        <v>1035</v>
      </c>
      <c r="H4285" s="248" t="s">
        <v>234</v>
      </c>
      <c r="I4285" s="248" t="s">
        <v>263</v>
      </c>
      <c r="J4285" s="247" t="s">
        <v>809</v>
      </c>
      <c r="K4285" s="249">
        <v>0</v>
      </c>
      <c r="M4285" s="90">
        <v>0</v>
      </c>
      <c r="N4285" s="90">
        <v>0</v>
      </c>
      <c r="O4285" s="90">
        <v>255</v>
      </c>
    </row>
    <row r="4286" spans="1:15" s="90" customFormat="1" ht="12.75" customHeight="1" x14ac:dyDescent="0.2">
      <c r="A4286" s="247" t="s">
        <v>1725</v>
      </c>
      <c r="B4286" s="316">
        <v>3037</v>
      </c>
      <c r="C4286" s="247" t="s">
        <v>996</v>
      </c>
      <c r="D4286" s="317">
        <v>42676</v>
      </c>
      <c r="E4286" s="318">
        <v>0.50407407407407401</v>
      </c>
      <c r="F4286" s="247" t="s">
        <v>980</v>
      </c>
      <c r="G4286" s="247" t="s">
        <v>1035</v>
      </c>
      <c r="H4286" s="248" t="s">
        <v>234</v>
      </c>
      <c r="I4286" s="248" t="s">
        <v>263</v>
      </c>
      <c r="J4286" s="247" t="s">
        <v>809</v>
      </c>
      <c r="K4286" s="249">
        <v>0</v>
      </c>
      <c r="M4286" s="90">
        <v>0</v>
      </c>
      <c r="N4286" s="90">
        <v>0</v>
      </c>
      <c r="O4286" s="90">
        <v>255</v>
      </c>
    </row>
    <row r="4287" spans="1:15" s="90" customFormat="1" ht="12.75" customHeight="1" x14ac:dyDescent="0.2">
      <c r="A4287" s="247" t="s">
        <v>1726</v>
      </c>
      <c r="B4287" s="316">
        <v>3037</v>
      </c>
      <c r="C4287" s="247" t="s">
        <v>996</v>
      </c>
      <c r="D4287" s="317">
        <v>42676</v>
      </c>
      <c r="E4287" s="318">
        <v>0.50407407407407401</v>
      </c>
      <c r="F4287" s="247" t="s">
        <v>980</v>
      </c>
      <c r="G4287" s="247" t="s">
        <v>1035</v>
      </c>
      <c r="H4287" s="248" t="s">
        <v>234</v>
      </c>
      <c r="I4287" s="248" t="s">
        <v>263</v>
      </c>
      <c r="J4287" s="247" t="s">
        <v>809</v>
      </c>
      <c r="K4287" s="249">
        <v>0</v>
      </c>
      <c r="M4287" s="90">
        <v>0</v>
      </c>
      <c r="N4287" s="90">
        <v>0</v>
      </c>
      <c r="O4287" s="90">
        <v>255</v>
      </c>
    </row>
    <row r="4288" spans="1:15" s="90" customFormat="1" ht="12.75" customHeight="1" x14ac:dyDescent="0.2">
      <c r="A4288" s="247" t="s">
        <v>1727</v>
      </c>
      <c r="B4288" s="316">
        <v>3037</v>
      </c>
      <c r="C4288" s="247" t="s">
        <v>996</v>
      </c>
      <c r="D4288" s="317">
        <v>42676</v>
      </c>
      <c r="E4288" s="318">
        <v>0.50408564814814816</v>
      </c>
      <c r="F4288" s="247" t="s">
        <v>980</v>
      </c>
      <c r="G4288" s="247" t="s">
        <v>1035</v>
      </c>
      <c r="H4288" s="248" t="s">
        <v>234</v>
      </c>
      <c r="I4288" s="248" t="s">
        <v>263</v>
      </c>
      <c r="J4288" s="247" t="s">
        <v>809</v>
      </c>
      <c r="K4288" s="249">
        <v>0</v>
      </c>
      <c r="M4288" s="90">
        <v>0</v>
      </c>
      <c r="N4288" s="90">
        <v>0</v>
      </c>
      <c r="O4288" s="90">
        <v>255</v>
      </c>
    </row>
    <row r="4289" spans="1:15" s="90" customFormat="1" ht="12.75" customHeight="1" x14ac:dyDescent="0.2">
      <c r="A4289" s="247" t="s">
        <v>1728</v>
      </c>
      <c r="B4289" s="316">
        <v>3037</v>
      </c>
      <c r="C4289" s="247" t="s">
        <v>996</v>
      </c>
      <c r="D4289" s="317">
        <v>42676</v>
      </c>
      <c r="E4289" s="318">
        <v>0.50408564814814816</v>
      </c>
      <c r="F4289" s="247" t="s">
        <v>980</v>
      </c>
      <c r="G4289" s="247" t="s">
        <v>1035</v>
      </c>
      <c r="H4289" s="248" t="s">
        <v>234</v>
      </c>
      <c r="I4289" s="248" t="s">
        <v>263</v>
      </c>
      <c r="J4289" s="247" t="s">
        <v>809</v>
      </c>
      <c r="K4289" s="249">
        <v>0</v>
      </c>
      <c r="M4289" s="90">
        <v>0</v>
      </c>
      <c r="N4289" s="90">
        <v>0</v>
      </c>
      <c r="O4289" s="90">
        <v>255</v>
      </c>
    </row>
    <row r="4290" spans="1:15" s="90" customFormat="1" ht="12.75" customHeight="1" x14ac:dyDescent="0.2">
      <c r="A4290" s="247" t="s">
        <v>1729</v>
      </c>
      <c r="B4290" s="316">
        <v>3037</v>
      </c>
      <c r="C4290" s="247" t="s">
        <v>996</v>
      </c>
      <c r="D4290" s="317">
        <v>42676</v>
      </c>
      <c r="E4290" s="318">
        <v>0.50408564814814816</v>
      </c>
      <c r="F4290" s="247" t="s">
        <v>980</v>
      </c>
      <c r="G4290" s="247" t="s">
        <v>1035</v>
      </c>
      <c r="H4290" s="248" t="s">
        <v>234</v>
      </c>
      <c r="I4290" s="248" t="s">
        <v>263</v>
      </c>
      <c r="J4290" s="247" t="s">
        <v>809</v>
      </c>
      <c r="K4290" s="249">
        <v>0</v>
      </c>
      <c r="M4290" s="90">
        <v>0</v>
      </c>
      <c r="N4290" s="90">
        <v>0</v>
      </c>
      <c r="O4290" s="90">
        <v>255</v>
      </c>
    </row>
    <row r="4291" spans="1:15" s="90" customFormat="1" ht="12.75" customHeight="1" x14ac:dyDescent="0.2">
      <c r="A4291" s="247" t="s">
        <v>1730</v>
      </c>
      <c r="B4291" s="316">
        <v>3037</v>
      </c>
      <c r="C4291" s="247" t="s">
        <v>996</v>
      </c>
      <c r="D4291" s="317">
        <v>42676</v>
      </c>
      <c r="E4291" s="318">
        <v>0.50408564814814816</v>
      </c>
      <c r="F4291" s="247" t="s">
        <v>980</v>
      </c>
      <c r="G4291" s="247" t="s">
        <v>1035</v>
      </c>
      <c r="H4291" s="248" t="s">
        <v>234</v>
      </c>
      <c r="I4291" s="248" t="s">
        <v>263</v>
      </c>
      <c r="J4291" s="247" t="s">
        <v>809</v>
      </c>
      <c r="K4291" s="249">
        <v>0</v>
      </c>
      <c r="M4291" s="90">
        <v>0</v>
      </c>
      <c r="N4291" s="90">
        <v>0</v>
      </c>
      <c r="O4291" s="90">
        <v>255</v>
      </c>
    </row>
    <row r="4292" spans="1:15" s="90" customFormat="1" ht="12.75" customHeight="1" x14ac:dyDescent="0.2">
      <c r="A4292" s="247" t="s">
        <v>1731</v>
      </c>
      <c r="B4292" s="316">
        <v>3037</v>
      </c>
      <c r="C4292" s="247" t="s">
        <v>996</v>
      </c>
      <c r="D4292" s="317">
        <v>42676</v>
      </c>
      <c r="E4292" s="318">
        <v>0.50408564814814816</v>
      </c>
      <c r="F4292" s="247" t="s">
        <v>980</v>
      </c>
      <c r="G4292" s="247" t="s">
        <v>1035</v>
      </c>
      <c r="H4292" s="248" t="s">
        <v>234</v>
      </c>
      <c r="I4292" s="248" t="s">
        <v>263</v>
      </c>
      <c r="J4292" s="247" t="s">
        <v>809</v>
      </c>
      <c r="K4292" s="249">
        <v>0</v>
      </c>
      <c r="M4292" s="90">
        <v>0</v>
      </c>
      <c r="N4292" s="90">
        <v>0</v>
      </c>
      <c r="O4292" s="90">
        <v>255</v>
      </c>
    </row>
    <row r="4293" spans="1:15" s="90" customFormat="1" ht="12.75" customHeight="1" x14ac:dyDescent="0.2">
      <c r="A4293" s="247" t="s">
        <v>1732</v>
      </c>
      <c r="B4293" s="316">
        <v>3037</v>
      </c>
      <c r="C4293" s="247" t="s">
        <v>996</v>
      </c>
      <c r="D4293" s="317">
        <v>42676</v>
      </c>
      <c r="E4293" s="318">
        <v>0.5040972222222222</v>
      </c>
      <c r="F4293" s="247" t="s">
        <v>980</v>
      </c>
      <c r="G4293" s="247" t="s">
        <v>1035</v>
      </c>
      <c r="H4293" s="248" t="s">
        <v>234</v>
      </c>
      <c r="I4293" s="248" t="s">
        <v>263</v>
      </c>
      <c r="J4293" s="247" t="s">
        <v>809</v>
      </c>
      <c r="K4293" s="249">
        <v>0</v>
      </c>
      <c r="M4293" s="90">
        <v>0</v>
      </c>
      <c r="N4293" s="90">
        <v>0</v>
      </c>
      <c r="O4293" s="90">
        <v>255</v>
      </c>
    </row>
    <row r="4294" spans="1:15" s="90" customFormat="1" ht="12.75" customHeight="1" x14ac:dyDescent="0.2">
      <c r="A4294" s="247" t="s">
        <v>1733</v>
      </c>
      <c r="B4294" s="316">
        <v>3037</v>
      </c>
      <c r="C4294" s="247" t="s">
        <v>996</v>
      </c>
      <c r="D4294" s="317">
        <v>42676</v>
      </c>
      <c r="E4294" s="318">
        <v>0.5040972222222222</v>
      </c>
      <c r="F4294" s="247" t="s">
        <v>980</v>
      </c>
      <c r="G4294" s="247" t="s">
        <v>1035</v>
      </c>
      <c r="H4294" s="248" t="s">
        <v>234</v>
      </c>
      <c r="I4294" s="248" t="s">
        <v>263</v>
      </c>
      <c r="J4294" s="247" t="s">
        <v>809</v>
      </c>
      <c r="K4294" s="249">
        <v>0</v>
      </c>
      <c r="M4294" s="90">
        <v>0</v>
      </c>
      <c r="N4294" s="90">
        <v>0</v>
      </c>
      <c r="O4294" s="90">
        <v>255</v>
      </c>
    </row>
    <row r="4295" spans="1:15" s="90" customFormat="1" ht="12.75" customHeight="1" x14ac:dyDescent="0.2">
      <c r="A4295" s="247" t="s">
        <v>1734</v>
      </c>
      <c r="B4295" s="316">
        <v>3037</v>
      </c>
      <c r="C4295" s="247" t="s">
        <v>996</v>
      </c>
      <c r="D4295" s="317">
        <v>42676</v>
      </c>
      <c r="E4295" s="318">
        <v>0.5040972222222222</v>
      </c>
      <c r="F4295" s="247" t="s">
        <v>980</v>
      </c>
      <c r="G4295" s="247" t="s">
        <v>1035</v>
      </c>
      <c r="H4295" s="248" t="s">
        <v>234</v>
      </c>
      <c r="I4295" s="248" t="s">
        <v>263</v>
      </c>
      <c r="J4295" s="247" t="s">
        <v>809</v>
      </c>
      <c r="K4295" s="249">
        <v>0</v>
      </c>
      <c r="M4295" s="90">
        <v>0</v>
      </c>
      <c r="N4295" s="90">
        <v>0</v>
      </c>
      <c r="O4295" s="90">
        <v>255</v>
      </c>
    </row>
    <row r="4296" spans="1:15" s="90" customFormat="1" ht="12.75" customHeight="1" x14ac:dyDescent="0.2">
      <c r="A4296" s="247" t="s">
        <v>1735</v>
      </c>
      <c r="B4296" s="316">
        <v>3037</v>
      </c>
      <c r="C4296" s="247" t="s">
        <v>996</v>
      </c>
      <c r="D4296" s="317">
        <v>42676</v>
      </c>
      <c r="E4296" s="318">
        <v>0.5040972222222222</v>
      </c>
      <c r="F4296" s="247" t="s">
        <v>980</v>
      </c>
      <c r="G4296" s="247" t="s">
        <v>1035</v>
      </c>
      <c r="H4296" s="248" t="s">
        <v>234</v>
      </c>
      <c r="I4296" s="248" t="s">
        <v>263</v>
      </c>
      <c r="J4296" s="247" t="s">
        <v>809</v>
      </c>
      <c r="K4296" s="249">
        <v>0</v>
      </c>
      <c r="M4296" s="90">
        <v>0</v>
      </c>
      <c r="N4296" s="90">
        <v>0</v>
      </c>
      <c r="O4296" s="90">
        <v>255</v>
      </c>
    </row>
    <row r="4297" spans="1:15" s="90" customFormat="1" ht="12.75" customHeight="1" x14ac:dyDescent="0.2">
      <c r="A4297" s="247" t="s">
        <v>1736</v>
      </c>
      <c r="B4297" s="316">
        <v>3037</v>
      </c>
      <c r="C4297" s="247" t="s">
        <v>996</v>
      </c>
      <c r="D4297" s="317">
        <v>42676</v>
      </c>
      <c r="E4297" s="318">
        <v>0.50410879629629635</v>
      </c>
      <c r="F4297" s="247" t="s">
        <v>980</v>
      </c>
      <c r="G4297" s="247" t="s">
        <v>1035</v>
      </c>
      <c r="H4297" s="248" t="s">
        <v>234</v>
      </c>
      <c r="I4297" s="248" t="s">
        <v>263</v>
      </c>
      <c r="J4297" s="247" t="s">
        <v>809</v>
      </c>
      <c r="K4297" s="249">
        <v>0</v>
      </c>
      <c r="M4297" s="90">
        <v>0</v>
      </c>
      <c r="N4297" s="90">
        <v>0</v>
      </c>
      <c r="O4297" s="90">
        <v>255</v>
      </c>
    </row>
    <row r="4298" spans="1:15" s="90" customFormat="1" ht="12.75" customHeight="1" x14ac:dyDescent="0.2">
      <c r="A4298" s="247" t="s">
        <v>1737</v>
      </c>
      <c r="B4298" s="316">
        <v>3037</v>
      </c>
      <c r="C4298" s="247" t="s">
        <v>996</v>
      </c>
      <c r="D4298" s="317">
        <v>42676</v>
      </c>
      <c r="E4298" s="318">
        <v>0.50410879629629635</v>
      </c>
      <c r="F4298" s="247" t="s">
        <v>980</v>
      </c>
      <c r="G4298" s="247" t="s">
        <v>1035</v>
      </c>
      <c r="H4298" s="248" t="s">
        <v>234</v>
      </c>
      <c r="I4298" s="248" t="s">
        <v>263</v>
      </c>
      <c r="J4298" s="247" t="s">
        <v>809</v>
      </c>
      <c r="K4298" s="249">
        <v>0</v>
      </c>
      <c r="M4298" s="90">
        <v>0</v>
      </c>
      <c r="N4298" s="90">
        <v>0</v>
      </c>
      <c r="O4298" s="90">
        <v>255</v>
      </c>
    </row>
    <row r="4299" spans="1:15" s="90" customFormat="1" ht="12.75" customHeight="1" x14ac:dyDescent="0.2">
      <c r="A4299" s="247" t="s">
        <v>1738</v>
      </c>
      <c r="B4299" s="316">
        <v>3037</v>
      </c>
      <c r="C4299" s="247" t="s">
        <v>996</v>
      </c>
      <c r="D4299" s="317">
        <v>42676</v>
      </c>
      <c r="E4299" s="318">
        <v>0.50410879629629635</v>
      </c>
      <c r="F4299" s="247" t="s">
        <v>980</v>
      </c>
      <c r="G4299" s="247" t="s">
        <v>1035</v>
      </c>
      <c r="H4299" s="248" t="s">
        <v>234</v>
      </c>
      <c r="I4299" s="248" t="s">
        <v>263</v>
      </c>
      <c r="J4299" s="247" t="s">
        <v>809</v>
      </c>
      <c r="K4299" s="249">
        <v>0</v>
      </c>
      <c r="M4299" s="90">
        <v>0</v>
      </c>
      <c r="N4299" s="90">
        <v>0</v>
      </c>
      <c r="O4299" s="90">
        <v>255</v>
      </c>
    </row>
    <row r="4300" spans="1:15" s="90" customFormat="1" ht="12.75" customHeight="1" x14ac:dyDescent="0.2">
      <c r="A4300" s="247" t="s">
        <v>1739</v>
      </c>
      <c r="B4300" s="316">
        <v>3037</v>
      </c>
      <c r="C4300" s="247" t="s">
        <v>996</v>
      </c>
      <c r="D4300" s="317">
        <v>42676</v>
      </c>
      <c r="E4300" s="318">
        <v>0.50410879629629635</v>
      </c>
      <c r="F4300" s="247" t="s">
        <v>980</v>
      </c>
      <c r="G4300" s="247" t="s">
        <v>1035</v>
      </c>
      <c r="H4300" s="248" t="s">
        <v>234</v>
      </c>
      <c r="I4300" s="248" t="s">
        <v>263</v>
      </c>
      <c r="J4300" s="247" t="s">
        <v>809</v>
      </c>
      <c r="K4300" s="249">
        <v>0</v>
      </c>
      <c r="M4300" s="90">
        <v>0</v>
      </c>
      <c r="N4300" s="90">
        <v>0</v>
      </c>
      <c r="O4300" s="90">
        <v>255</v>
      </c>
    </row>
    <row r="4301" spans="1:15" s="90" customFormat="1" ht="12.75" customHeight="1" x14ac:dyDescent="0.2">
      <c r="A4301" s="247" t="s">
        <v>1740</v>
      </c>
      <c r="B4301" s="316">
        <v>3037</v>
      </c>
      <c r="C4301" s="247" t="s">
        <v>996</v>
      </c>
      <c r="D4301" s="317">
        <v>42676</v>
      </c>
      <c r="E4301" s="318">
        <v>0.50410879629629635</v>
      </c>
      <c r="F4301" s="247" t="s">
        <v>980</v>
      </c>
      <c r="G4301" s="247" t="s">
        <v>1035</v>
      </c>
      <c r="H4301" s="248" t="s">
        <v>234</v>
      </c>
      <c r="I4301" s="248" t="s">
        <v>263</v>
      </c>
      <c r="J4301" s="247" t="s">
        <v>809</v>
      </c>
      <c r="K4301" s="249">
        <v>0</v>
      </c>
      <c r="M4301" s="90">
        <v>0</v>
      </c>
      <c r="N4301" s="90">
        <v>0</v>
      </c>
      <c r="O4301" s="90">
        <v>255</v>
      </c>
    </row>
    <row r="4302" spans="1:15" s="90" customFormat="1" ht="12.75" customHeight="1" x14ac:dyDescent="0.2">
      <c r="A4302" s="247" t="s">
        <v>1741</v>
      </c>
      <c r="B4302" s="316">
        <v>3037</v>
      </c>
      <c r="C4302" s="247" t="s">
        <v>996</v>
      </c>
      <c r="D4302" s="317">
        <v>42676</v>
      </c>
      <c r="E4302" s="318">
        <v>0.50410879629629635</v>
      </c>
      <c r="F4302" s="247" t="s">
        <v>980</v>
      </c>
      <c r="G4302" s="247" t="s">
        <v>1035</v>
      </c>
      <c r="H4302" s="248" t="s">
        <v>234</v>
      </c>
      <c r="I4302" s="248" t="s">
        <v>263</v>
      </c>
      <c r="J4302" s="247" t="s">
        <v>809</v>
      </c>
      <c r="K4302" s="249">
        <v>0</v>
      </c>
      <c r="M4302" s="90">
        <v>0</v>
      </c>
      <c r="N4302" s="90">
        <v>0</v>
      </c>
      <c r="O4302" s="90">
        <v>255</v>
      </c>
    </row>
    <row r="4303" spans="1:15" s="90" customFormat="1" ht="12.75" customHeight="1" x14ac:dyDescent="0.2">
      <c r="A4303" s="247" t="s">
        <v>1742</v>
      </c>
      <c r="B4303" s="316">
        <v>3037</v>
      </c>
      <c r="C4303" s="247" t="s">
        <v>996</v>
      </c>
      <c r="D4303" s="317">
        <v>42676</v>
      </c>
      <c r="E4303" s="318">
        <v>0.50410879629629635</v>
      </c>
      <c r="F4303" s="247" t="s">
        <v>980</v>
      </c>
      <c r="G4303" s="247" t="s">
        <v>1035</v>
      </c>
      <c r="H4303" s="248" t="s">
        <v>234</v>
      </c>
      <c r="I4303" s="248" t="s">
        <v>263</v>
      </c>
      <c r="J4303" s="247" t="s">
        <v>809</v>
      </c>
      <c r="K4303" s="249">
        <v>0</v>
      </c>
      <c r="M4303" s="90">
        <v>0</v>
      </c>
      <c r="N4303" s="90">
        <v>0</v>
      </c>
      <c r="O4303" s="90">
        <v>255</v>
      </c>
    </row>
    <row r="4304" spans="1:15" s="90" customFormat="1" ht="12.75" customHeight="1" x14ac:dyDescent="0.2">
      <c r="A4304" s="247" t="s">
        <v>1743</v>
      </c>
      <c r="B4304" s="316">
        <v>3037</v>
      </c>
      <c r="C4304" s="247" t="s">
        <v>996</v>
      </c>
      <c r="D4304" s="317">
        <v>42676</v>
      </c>
      <c r="E4304" s="318">
        <v>0.50410879629629635</v>
      </c>
      <c r="F4304" s="247" t="s">
        <v>980</v>
      </c>
      <c r="G4304" s="247" t="s">
        <v>1035</v>
      </c>
      <c r="H4304" s="248" t="s">
        <v>234</v>
      </c>
      <c r="I4304" s="248" t="s">
        <v>263</v>
      </c>
      <c r="J4304" s="247" t="s">
        <v>809</v>
      </c>
      <c r="K4304" s="249">
        <v>0</v>
      </c>
      <c r="M4304" s="90">
        <v>0</v>
      </c>
      <c r="N4304" s="90">
        <v>0</v>
      </c>
      <c r="O4304" s="90">
        <v>255</v>
      </c>
    </row>
    <row r="4305" spans="1:15" s="90" customFormat="1" ht="12.75" customHeight="1" x14ac:dyDescent="0.2">
      <c r="A4305" s="247" t="s">
        <v>1744</v>
      </c>
      <c r="B4305" s="316">
        <v>3037</v>
      </c>
      <c r="C4305" s="247" t="s">
        <v>996</v>
      </c>
      <c r="D4305" s="317">
        <v>42676</v>
      </c>
      <c r="E4305" s="318">
        <v>0.50410879629629635</v>
      </c>
      <c r="F4305" s="247" t="s">
        <v>980</v>
      </c>
      <c r="G4305" s="247" t="s">
        <v>1035</v>
      </c>
      <c r="H4305" s="248" t="s">
        <v>234</v>
      </c>
      <c r="I4305" s="248" t="s">
        <v>263</v>
      </c>
      <c r="J4305" s="247" t="s">
        <v>809</v>
      </c>
      <c r="K4305" s="249">
        <v>0</v>
      </c>
      <c r="M4305" s="90">
        <v>0</v>
      </c>
      <c r="N4305" s="90">
        <v>0</v>
      </c>
      <c r="O4305" s="90">
        <v>255</v>
      </c>
    </row>
    <row r="4306" spans="1:15" s="90" customFormat="1" ht="12.75" customHeight="1" x14ac:dyDescent="0.2">
      <c r="A4306" s="247" t="s">
        <v>1745</v>
      </c>
      <c r="B4306" s="316">
        <v>3037</v>
      </c>
      <c r="C4306" s="247" t="s">
        <v>996</v>
      </c>
      <c r="D4306" s="317">
        <v>42676</v>
      </c>
      <c r="E4306" s="318">
        <v>0.50410879629629635</v>
      </c>
      <c r="F4306" s="247" t="s">
        <v>980</v>
      </c>
      <c r="G4306" s="247" t="s">
        <v>1035</v>
      </c>
      <c r="H4306" s="248" t="s">
        <v>234</v>
      </c>
      <c r="I4306" s="248" t="s">
        <v>263</v>
      </c>
      <c r="J4306" s="247" t="s">
        <v>809</v>
      </c>
      <c r="K4306" s="249">
        <v>0</v>
      </c>
      <c r="M4306" s="90">
        <v>0</v>
      </c>
      <c r="N4306" s="90">
        <v>0</v>
      </c>
      <c r="O4306" s="90">
        <v>255</v>
      </c>
    </row>
    <row r="4307" spans="1:15" s="90" customFormat="1" ht="12.75" customHeight="1" x14ac:dyDescent="0.2">
      <c r="A4307" s="247" t="s">
        <v>1746</v>
      </c>
      <c r="B4307" s="316">
        <v>3037</v>
      </c>
      <c r="C4307" s="247" t="s">
        <v>996</v>
      </c>
      <c r="D4307" s="317">
        <v>42676</v>
      </c>
      <c r="E4307" s="318">
        <v>0.50410879629629635</v>
      </c>
      <c r="F4307" s="247" t="s">
        <v>980</v>
      </c>
      <c r="G4307" s="247" t="s">
        <v>1035</v>
      </c>
      <c r="H4307" s="248" t="s">
        <v>234</v>
      </c>
      <c r="I4307" s="248" t="s">
        <v>263</v>
      </c>
      <c r="J4307" s="247" t="s">
        <v>809</v>
      </c>
      <c r="K4307" s="249">
        <v>0</v>
      </c>
      <c r="M4307" s="90">
        <v>0</v>
      </c>
      <c r="N4307" s="90">
        <v>0</v>
      </c>
      <c r="O4307" s="90">
        <v>255</v>
      </c>
    </row>
    <row r="4308" spans="1:15" s="90" customFormat="1" ht="12.75" customHeight="1" x14ac:dyDescent="0.2">
      <c r="A4308" s="247" t="s">
        <v>1747</v>
      </c>
      <c r="B4308" s="316">
        <v>3037</v>
      </c>
      <c r="C4308" s="247" t="s">
        <v>996</v>
      </c>
      <c r="D4308" s="317">
        <v>42676</v>
      </c>
      <c r="E4308" s="318">
        <v>0.50410879629629635</v>
      </c>
      <c r="F4308" s="247" t="s">
        <v>980</v>
      </c>
      <c r="G4308" s="247" t="s">
        <v>1035</v>
      </c>
      <c r="H4308" s="248" t="s">
        <v>234</v>
      </c>
      <c r="I4308" s="248" t="s">
        <v>263</v>
      </c>
      <c r="J4308" s="247" t="s">
        <v>809</v>
      </c>
      <c r="K4308" s="249">
        <v>0</v>
      </c>
      <c r="M4308" s="90">
        <v>0</v>
      </c>
      <c r="N4308" s="90">
        <v>0</v>
      </c>
      <c r="O4308" s="90">
        <v>255</v>
      </c>
    </row>
    <row r="4309" spans="1:15" s="90" customFormat="1" ht="12.75" customHeight="1" x14ac:dyDescent="0.2">
      <c r="A4309" s="247" t="s">
        <v>1748</v>
      </c>
      <c r="B4309" s="316">
        <v>3037</v>
      </c>
      <c r="C4309" s="247" t="s">
        <v>996</v>
      </c>
      <c r="D4309" s="317">
        <v>42676</v>
      </c>
      <c r="E4309" s="318">
        <v>0.50410879629629635</v>
      </c>
      <c r="F4309" s="247" t="s">
        <v>980</v>
      </c>
      <c r="G4309" s="247" t="s">
        <v>1035</v>
      </c>
      <c r="H4309" s="248" t="s">
        <v>234</v>
      </c>
      <c r="I4309" s="248" t="s">
        <v>263</v>
      </c>
      <c r="J4309" s="247" t="s">
        <v>809</v>
      </c>
      <c r="K4309" s="249">
        <v>0</v>
      </c>
      <c r="M4309" s="90">
        <v>0</v>
      </c>
      <c r="N4309" s="90">
        <v>0</v>
      </c>
      <c r="O4309" s="90">
        <v>255</v>
      </c>
    </row>
    <row r="4310" spans="1:15" s="90" customFormat="1" ht="12.75" customHeight="1" x14ac:dyDescent="0.2">
      <c r="A4310" s="247" t="s">
        <v>1749</v>
      </c>
      <c r="B4310" s="316">
        <v>3037</v>
      </c>
      <c r="C4310" s="247" t="s">
        <v>996</v>
      </c>
      <c r="D4310" s="317">
        <v>42676</v>
      </c>
      <c r="E4310" s="318">
        <v>0.50410879629629635</v>
      </c>
      <c r="F4310" s="247" t="s">
        <v>980</v>
      </c>
      <c r="G4310" s="247" t="s">
        <v>1035</v>
      </c>
      <c r="H4310" s="248" t="s">
        <v>234</v>
      </c>
      <c r="I4310" s="248" t="s">
        <v>263</v>
      </c>
      <c r="J4310" s="247" t="s">
        <v>809</v>
      </c>
      <c r="K4310" s="249">
        <v>0</v>
      </c>
      <c r="M4310" s="90">
        <v>0</v>
      </c>
      <c r="N4310" s="90">
        <v>0</v>
      </c>
      <c r="O4310" s="90">
        <v>255</v>
      </c>
    </row>
    <row r="4311" spans="1:15" s="90" customFormat="1" ht="12.75" customHeight="1" x14ac:dyDescent="0.2">
      <c r="A4311" s="247" t="s">
        <v>1751</v>
      </c>
      <c r="B4311" s="316">
        <v>3037</v>
      </c>
      <c r="C4311" s="247" t="s">
        <v>996</v>
      </c>
      <c r="D4311" s="317">
        <v>42676</v>
      </c>
      <c r="E4311" s="318">
        <v>0.50412037037037039</v>
      </c>
      <c r="F4311" s="247" t="s">
        <v>980</v>
      </c>
      <c r="G4311" s="247" t="s">
        <v>1035</v>
      </c>
      <c r="H4311" s="248" t="s">
        <v>234</v>
      </c>
      <c r="I4311" s="248" t="s">
        <v>263</v>
      </c>
      <c r="J4311" s="247" t="s">
        <v>809</v>
      </c>
      <c r="K4311" s="249">
        <v>0</v>
      </c>
      <c r="M4311" s="90">
        <v>0</v>
      </c>
      <c r="N4311" s="90">
        <v>0</v>
      </c>
      <c r="O4311" s="90">
        <v>255</v>
      </c>
    </row>
    <row r="4312" spans="1:15" s="90" customFormat="1" ht="12.75" customHeight="1" x14ac:dyDescent="0.2">
      <c r="A4312" s="247" t="s">
        <v>1752</v>
      </c>
      <c r="B4312" s="316">
        <v>3037</v>
      </c>
      <c r="C4312" s="247" t="s">
        <v>996</v>
      </c>
      <c r="D4312" s="317">
        <v>42676</v>
      </c>
      <c r="E4312" s="318">
        <v>0.50412037037037039</v>
      </c>
      <c r="F4312" s="247" t="s">
        <v>980</v>
      </c>
      <c r="G4312" s="247" t="s">
        <v>1035</v>
      </c>
      <c r="H4312" s="248" t="s">
        <v>234</v>
      </c>
      <c r="I4312" s="248" t="s">
        <v>263</v>
      </c>
      <c r="J4312" s="247" t="s">
        <v>809</v>
      </c>
      <c r="K4312" s="249">
        <v>0</v>
      </c>
      <c r="M4312" s="90">
        <v>0</v>
      </c>
      <c r="N4312" s="90">
        <v>0</v>
      </c>
      <c r="O4312" s="90">
        <v>255</v>
      </c>
    </row>
    <row r="4313" spans="1:15" s="90" customFormat="1" ht="12.75" customHeight="1" x14ac:dyDescent="0.2">
      <c r="A4313" s="247" t="s">
        <v>1753</v>
      </c>
      <c r="B4313" s="316">
        <v>3037</v>
      </c>
      <c r="C4313" s="247" t="s">
        <v>996</v>
      </c>
      <c r="D4313" s="317">
        <v>42676</v>
      </c>
      <c r="E4313" s="318">
        <v>0.50412037037037039</v>
      </c>
      <c r="F4313" s="247" t="s">
        <v>980</v>
      </c>
      <c r="G4313" s="247" t="s">
        <v>1035</v>
      </c>
      <c r="H4313" s="248" t="s">
        <v>234</v>
      </c>
      <c r="I4313" s="248" t="s">
        <v>263</v>
      </c>
      <c r="J4313" s="247" t="s">
        <v>809</v>
      </c>
      <c r="K4313" s="249">
        <v>0</v>
      </c>
      <c r="M4313" s="90">
        <v>0</v>
      </c>
      <c r="N4313" s="90">
        <v>0</v>
      </c>
      <c r="O4313" s="90">
        <v>255</v>
      </c>
    </row>
    <row r="4314" spans="1:15" s="90" customFormat="1" ht="12.75" customHeight="1" x14ac:dyDescent="0.2">
      <c r="A4314" s="247" t="s">
        <v>1754</v>
      </c>
      <c r="B4314" s="316">
        <v>3037</v>
      </c>
      <c r="C4314" s="247" t="s">
        <v>996</v>
      </c>
      <c r="D4314" s="317">
        <v>42676</v>
      </c>
      <c r="E4314" s="318">
        <v>0.50412037037037039</v>
      </c>
      <c r="F4314" s="247" t="s">
        <v>980</v>
      </c>
      <c r="G4314" s="247" t="s">
        <v>1035</v>
      </c>
      <c r="H4314" s="248" t="s">
        <v>234</v>
      </c>
      <c r="I4314" s="248" t="s">
        <v>263</v>
      </c>
      <c r="J4314" s="247" t="s">
        <v>809</v>
      </c>
      <c r="K4314" s="249">
        <v>0</v>
      </c>
      <c r="M4314" s="90">
        <v>0</v>
      </c>
      <c r="N4314" s="90">
        <v>0</v>
      </c>
      <c r="O4314" s="90">
        <v>255</v>
      </c>
    </row>
    <row r="4315" spans="1:15" s="90" customFormat="1" ht="12.75" customHeight="1" x14ac:dyDescent="0.2">
      <c r="A4315" s="247" t="s">
        <v>1755</v>
      </c>
      <c r="B4315" s="316">
        <v>3037</v>
      </c>
      <c r="C4315" s="247" t="s">
        <v>996</v>
      </c>
      <c r="D4315" s="317">
        <v>42676</v>
      </c>
      <c r="E4315" s="318">
        <v>0.50412037037037039</v>
      </c>
      <c r="F4315" s="247" t="s">
        <v>980</v>
      </c>
      <c r="G4315" s="247" t="s">
        <v>1035</v>
      </c>
      <c r="H4315" s="248" t="s">
        <v>234</v>
      </c>
      <c r="I4315" s="248" t="s">
        <v>263</v>
      </c>
      <c r="J4315" s="247" t="s">
        <v>809</v>
      </c>
      <c r="K4315" s="249">
        <v>0</v>
      </c>
      <c r="M4315" s="90">
        <v>0</v>
      </c>
      <c r="N4315" s="90">
        <v>0</v>
      </c>
      <c r="O4315" s="90">
        <v>255</v>
      </c>
    </row>
    <row r="4316" spans="1:15" s="90" customFormat="1" ht="12.75" customHeight="1" x14ac:dyDescent="0.2">
      <c r="A4316" s="247" t="s">
        <v>1756</v>
      </c>
      <c r="B4316" s="316">
        <v>3037</v>
      </c>
      <c r="C4316" s="247" t="s">
        <v>996</v>
      </c>
      <c r="D4316" s="317">
        <v>42676</v>
      </c>
      <c r="E4316" s="318">
        <v>0.50412037037037039</v>
      </c>
      <c r="F4316" s="247" t="s">
        <v>980</v>
      </c>
      <c r="G4316" s="247" t="s">
        <v>1035</v>
      </c>
      <c r="H4316" s="248" t="s">
        <v>234</v>
      </c>
      <c r="I4316" s="248" t="s">
        <v>263</v>
      </c>
      <c r="J4316" s="247" t="s">
        <v>809</v>
      </c>
      <c r="K4316" s="249">
        <v>0</v>
      </c>
      <c r="M4316" s="90">
        <v>0</v>
      </c>
      <c r="N4316" s="90">
        <v>0</v>
      </c>
      <c r="O4316" s="90">
        <v>255</v>
      </c>
    </row>
    <row r="4317" spans="1:15" s="90" customFormat="1" ht="12.75" customHeight="1" x14ac:dyDescent="0.2">
      <c r="A4317" s="247" t="s">
        <v>1757</v>
      </c>
      <c r="B4317" s="316">
        <v>3037</v>
      </c>
      <c r="C4317" s="247" t="s">
        <v>996</v>
      </c>
      <c r="D4317" s="317">
        <v>42676</v>
      </c>
      <c r="E4317" s="318">
        <v>0.50412037037037039</v>
      </c>
      <c r="F4317" s="247" t="s">
        <v>980</v>
      </c>
      <c r="G4317" s="247" t="s">
        <v>1035</v>
      </c>
      <c r="H4317" s="248" t="s">
        <v>234</v>
      </c>
      <c r="I4317" s="248" t="s">
        <v>263</v>
      </c>
      <c r="J4317" s="247" t="s">
        <v>809</v>
      </c>
      <c r="K4317" s="249">
        <v>0</v>
      </c>
      <c r="M4317" s="90">
        <v>0</v>
      </c>
      <c r="N4317" s="90">
        <v>0</v>
      </c>
      <c r="O4317" s="90">
        <v>255</v>
      </c>
    </row>
    <row r="4318" spans="1:15" s="90" customFormat="1" ht="12.75" customHeight="1" x14ac:dyDescent="0.2">
      <c r="A4318" s="247" t="s">
        <v>1758</v>
      </c>
      <c r="B4318" s="316">
        <v>3037</v>
      </c>
      <c r="C4318" s="247" t="s">
        <v>996</v>
      </c>
      <c r="D4318" s="317">
        <v>42676</v>
      </c>
      <c r="E4318" s="318">
        <v>0.50412037037037039</v>
      </c>
      <c r="F4318" s="247" t="s">
        <v>980</v>
      </c>
      <c r="G4318" s="247" t="s">
        <v>1035</v>
      </c>
      <c r="H4318" s="248" t="s">
        <v>234</v>
      </c>
      <c r="I4318" s="248" t="s">
        <v>263</v>
      </c>
      <c r="J4318" s="247" t="s">
        <v>809</v>
      </c>
      <c r="K4318" s="249">
        <v>0</v>
      </c>
      <c r="M4318" s="90">
        <v>0</v>
      </c>
      <c r="N4318" s="90">
        <v>0</v>
      </c>
      <c r="O4318" s="90">
        <v>255</v>
      </c>
    </row>
    <row r="4319" spans="1:15" s="90" customFormat="1" ht="12.75" customHeight="1" x14ac:dyDescent="0.2">
      <c r="A4319" s="247" t="s">
        <v>1759</v>
      </c>
      <c r="B4319" s="316">
        <v>3037</v>
      </c>
      <c r="C4319" s="247" t="s">
        <v>996</v>
      </c>
      <c r="D4319" s="317">
        <v>42676</v>
      </c>
      <c r="E4319" s="318">
        <v>0.50412037037037039</v>
      </c>
      <c r="F4319" s="247" t="s">
        <v>980</v>
      </c>
      <c r="G4319" s="247" t="s">
        <v>1035</v>
      </c>
      <c r="H4319" s="248" t="s">
        <v>234</v>
      </c>
      <c r="I4319" s="248" t="s">
        <v>263</v>
      </c>
      <c r="J4319" s="247" t="s">
        <v>809</v>
      </c>
      <c r="K4319" s="249">
        <v>0</v>
      </c>
      <c r="M4319" s="90">
        <v>0</v>
      </c>
      <c r="N4319" s="90">
        <v>0</v>
      </c>
      <c r="O4319" s="90">
        <v>255</v>
      </c>
    </row>
    <row r="4320" spans="1:15" s="90" customFormat="1" ht="12.75" customHeight="1" x14ac:dyDescent="0.2">
      <c r="A4320" s="247" t="s">
        <v>1760</v>
      </c>
      <c r="B4320" s="316">
        <v>3037</v>
      </c>
      <c r="C4320" s="247" t="s">
        <v>996</v>
      </c>
      <c r="D4320" s="317">
        <v>42676</v>
      </c>
      <c r="E4320" s="318">
        <v>0.50412037037037039</v>
      </c>
      <c r="F4320" s="247" t="s">
        <v>980</v>
      </c>
      <c r="G4320" s="247" t="s">
        <v>1035</v>
      </c>
      <c r="H4320" s="248" t="s">
        <v>234</v>
      </c>
      <c r="I4320" s="248" t="s">
        <v>263</v>
      </c>
      <c r="J4320" s="247" t="s">
        <v>809</v>
      </c>
      <c r="K4320" s="249">
        <v>0</v>
      </c>
      <c r="M4320" s="90">
        <v>0</v>
      </c>
      <c r="N4320" s="90">
        <v>0</v>
      </c>
      <c r="O4320" s="90">
        <v>255</v>
      </c>
    </row>
    <row r="4321" spans="1:15" s="90" customFormat="1" ht="12.75" customHeight="1" x14ac:dyDescent="0.2">
      <c r="A4321" s="247" t="s">
        <v>1761</v>
      </c>
      <c r="B4321" s="316">
        <v>3037</v>
      </c>
      <c r="C4321" s="247" t="s">
        <v>996</v>
      </c>
      <c r="D4321" s="317">
        <v>42676</v>
      </c>
      <c r="E4321" s="318">
        <v>0.50412037037037039</v>
      </c>
      <c r="F4321" s="247" t="s">
        <v>980</v>
      </c>
      <c r="G4321" s="247" t="s">
        <v>1035</v>
      </c>
      <c r="H4321" s="248" t="s">
        <v>234</v>
      </c>
      <c r="I4321" s="248" t="s">
        <v>263</v>
      </c>
      <c r="J4321" s="247" t="s">
        <v>809</v>
      </c>
      <c r="K4321" s="249">
        <v>0</v>
      </c>
      <c r="M4321" s="90">
        <v>0</v>
      </c>
      <c r="N4321" s="90">
        <v>0</v>
      </c>
      <c r="O4321" s="90">
        <v>255</v>
      </c>
    </row>
    <row r="4322" spans="1:15" s="90" customFormat="1" ht="12.75" customHeight="1" x14ac:dyDescent="0.2">
      <c r="A4322" s="247" t="s">
        <v>1545</v>
      </c>
      <c r="B4322" s="316">
        <v>3037</v>
      </c>
      <c r="C4322" s="247" t="s">
        <v>996</v>
      </c>
      <c r="D4322" s="317">
        <v>42676</v>
      </c>
      <c r="E4322" s="318">
        <v>0.50412037037037039</v>
      </c>
      <c r="F4322" s="247" t="s">
        <v>980</v>
      </c>
      <c r="G4322" s="247" t="s">
        <v>1035</v>
      </c>
      <c r="H4322" s="248" t="s">
        <v>234</v>
      </c>
      <c r="I4322" s="248" t="s">
        <v>263</v>
      </c>
      <c r="J4322" s="247" t="s">
        <v>809</v>
      </c>
      <c r="K4322" s="249">
        <v>0</v>
      </c>
      <c r="M4322" s="90">
        <v>0</v>
      </c>
      <c r="N4322" s="90">
        <v>0</v>
      </c>
      <c r="O4322" s="90">
        <v>255</v>
      </c>
    </row>
    <row r="4323" spans="1:15" s="90" customFormat="1" ht="12.75" customHeight="1" x14ac:dyDescent="0.2">
      <c r="A4323" s="247" t="s">
        <v>1762</v>
      </c>
      <c r="B4323" s="316">
        <v>3037</v>
      </c>
      <c r="C4323" s="247" t="s">
        <v>996</v>
      </c>
      <c r="D4323" s="317">
        <v>42676</v>
      </c>
      <c r="E4323" s="318">
        <v>0.50412037037037039</v>
      </c>
      <c r="F4323" s="247" t="s">
        <v>980</v>
      </c>
      <c r="G4323" s="247" t="s">
        <v>1035</v>
      </c>
      <c r="H4323" s="248" t="s">
        <v>234</v>
      </c>
      <c r="I4323" s="248" t="s">
        <v>263</v>
      </c>
      <c r="J4323" s="247" t="s">
        <v>809</v>
      </c>
      <c r="K4323" s="249">
        <v>0</v>
      </c>
      <c r="M4323" s="90">
        <v>0</v>
      </c>
      <c r="N4323" s="90">
        <v>0</v>
      </c>
      <c r="O4323" s="90">
        <v>255</v>
      </c>
    </row>
    <row r="4324" spans="1:15" s="90" customFormat="1" ht="12.75" customHeight="1" x14ac:dyDescent="0.2">
      <c r="A4324" s="247" t="s">
        <v>1763</v>
      </c>
      <c r="B4324" s="316">
        <v>3037</v>
      </c>
      <c r="C4324" s="247" t="s">
        <v>996</v>
      </c>
      <c r="D4324" s="317">
        <v>42676</v>
      </c>
      <c r="E4324" s="318">
        <v>0.50412037037037039</v>
      </c>
      <c r="F4324" s="247" t="s">
        <v>980</v>
      </c>
      <c r="G4324" s="247" t="s">
        <v>1035</v>
      </c>
      <c r="H4324" s="248" t="s">
        <v>234</v>
      </c>
      <c r="I4324" s="248" t="s">
        <v>263</v>
      </c>
      <c r="J4324" s="247" t="s">
        <v>809</v>
      </c>
      <c r="K4324" s="249">
        <v>0</v>
      </c>
      <c r="M4324" s="90">
        <v>0</v>
      </c>
      <c r="N4324" s="90">
        <v>0</v>
      </c>
      <c r="O4324" s="90">
        <v>255</v>
      </c>
    </row>
    <row r="4325" spans="1:15" s="90" customFormat="1" ht="12.75" customHeight="1" x14ac:dyDescent="0.2">
      <c r="A4325" s="247" t="s">
        <v>1764</v>
      </c>
      <c r="B4325" s="316">
        <v>3037</v>
      </c>
      <c r="C4325" s="247" t="s">
        <v>996</v>
      </c>
      <c r="D4325" s="317">
        <v>42676</v>
      </c>
      <c r="E4325" s="318">
        <v>0.50413194444444442</v>
      </c>
      <c r="F4325" s="247" t="s">
        <v>980</v>
      </c>
      <c r="G4325" s="247" t="s">
        <v>1035</v>
      </c>
      <c r="H4325" s="248" t="s">
        <v>234</v>
      </c>
      <c r="I4325" s="248" t="s">
        <v>263</v>
      </c>
      <c r="J4325" s="247" t="s">
        <v>809</v>
      </c>
      <c r="K4325" s="249">
        <v>0</v>
      </c>
      <c r="M4325" s="90">
        <v>0</v>
      </c>
      <c r="N4325" s="90">
        <v>0</v>
      </c>
      <c r="O4325" s="90">
        <v>255</v>
      </c>
    </row>
    <row r="4326" spans="1:15" s="90" customFormat="1" ht="12.75" customHeight="1" x14ac:dyDescent="0.2">
      <c r="A4326" s="247" t="s">
        <v>1766</v>
      </c>
      <c r="B4326" s="316">
        <v>3037</v>
      </c>
      <c r="C4326" s="247" t="s">
        <v>996</v>
      </c>
      <c r="D4326" s="317">
        <v>42676</v>
      </c>
      <c r="E4326" s="318">
        <v>0.50413194444444442</v>
      </c>
      <c r="F4326" s="247" t="s">
        <v>980</v>
      </c>
      <c r="G4326" s="247" t="s">
        <v>1035</v>
      </c>
      <c r="H4326" s="248" t="s">
        <v>234</v>
      </c>
      <c r="I4326" s="248" t="s">
        <v>263</v>
      </c>
      <c r="J4326" s="247" t="s">
        <v>809</v>
      </c>
      <c r="K4326" s="249">
        <v>0</v>
      </c>
      <c r="M4326" s="90">
        <v>0</v>
      </c>
      <c r="N4326" s="90">
        <v>0</v>
      </c>
      <c r="O4326" s="90">
        <v>255</v>
      </c>
    </row>
    <row r="4327" spans="1:15" s="90" customFormat="1" ht="12.75" customHeight="1" x14ac:dyDescent="0.2">
      <c r="A4327" s="247" t="s">
        <v>1767</v>
      </c>
      <c r="B4327" s="316">
        <v>3037</v>
      </c>
      <c r="C4327" s="247" t="s">
        <v>996</v>
      </c>
      <c r="D4327" s="317">
        <v>42676</v>
      </c>
      <c r="E4327" s="318">
        <v>0.50413194444444442</v>
      </c>
      <c r="F4327" s="247" t="s">
        <v>980</v>
      </c>
      <c r="G4327" s="247" t="s">
        <v>1035</v>
      </c>
      <c r="H4327" s="248" t="s">
        <v>234</v>
      </c>
      <c r="I4327" s="248" t="s">
        <v>263</v>
      </c>
      <c r="J4327" s="247" t="s">
        <v>809</v>
      </c>
      <c r="K4327" s="249">
        <v>0</v>
      </c>
      <c r="M4327" s="90">
        <v>0</v>
      </c>
      <c r="N4327" s="90">
        <v>0</v>
      </c>
      <c r="O4327" s="90">
        <v>255</v>
      </c>
    </row>
    <row r="4328" spans="1:15" s="90" customFormat="1" ht="12.75" customHeight="1" x14ac:dyDescent="0.2">
      <c r="A4328" s="247" t="s">
        <v>1768</v>
      </c>
      <c r="B4328" s="316">
        <v>3037</v>
      </c>
      <c r="C4328" s="247" t="s">
        <v>996</v>
      </c>
      <c r="D4328" s="317">
        <v>42676</v>
      </c>
      <c r="E4328" s="318">
        <v>0.50413194444444442</v>
      </c>
      <c r="F4328" s="247" t="s">
        <v>980</v>
      </c>
      <c r="G4328" s="247" t="s">
        <v>1035</v>
      </c>
      <c r="H4328" s="248" t="s">
        <v>234</v>
      </c>
      <c r="I4328" s="248" t="s">
        <v>263</v>
      </c>
      <c r="J4328" s="247" t="s">
        <v>809</v>
      </c>
      <c r="K4328" s="249">
        <v>0</v>
      </c>
      <c r="M4328" s="90">
        <v>0</v>
      </c>
      <c r="N4328" s="90">
        <v>0</v>
      </c>
      <c r="O4328" s="90">
        <v>255</v>
      </c>
    </row>
    <row r="4329" spans="1:15" s="90" customFormat="1" ht="12.75" customHeight="1" x14ac:dyDescent="0.2">
      <c r="A4329" s="247" t="s">
        <v>1769</v>
      </c>
      <c r="B4329" s="316">
        <v>3037</v>
      </c>
      <c r="C4329" s="247" t="s">
        <v>996</v>
      </c>
      <c r="D4329" s="317">
        <v>42676</v>
      </c>
      <c r="E4329" s="318">
        <v>0.50413194444444442</v>
      </c>
      <c r="F4329" s="247" t="s">
        <v>980</v>
      </c>
      <c r="G4329" s="247" t="s">
        <v>1035</v>
      </c>
      <c r="H4329" s="248" t="s">
        <v>234</v>
      </c>
      <c r="I4329" s="248" t="s">
        <v>263</v>
      </c>
      <c r="J4329" s="247" t="s">
        <v>809</v>
      </c>
      <c r="K4329" s="249">
        <v>0</v>
      </c>
      <c r="M4329" s="90">
        <v>0</v>
      </c>
      <c r="N4329" s="90">
        <v>0</v>
      </c>
      <c r="O4329" s="90">
        <v>255</v>
      </c>
    </row>
    <row r="4330" spans="1:15" s="90" customFormat="1" ht="12.75" customHeight="1" x14ac:dyDescent="0.2">
      <c r="A4330" s="247" t="s">
        <v>1546</v>
      </c>
      <c r="B4330" s="316">
        <v>3037</v>
      </c>
      <c r="C4330" s="247" t="s">
        <v>996</v>
      </c>
      <c r="D4330" s="317">
        <v>42676</v>
      </c>
      <c r="E4330" s="318">
        <v>0.50413194444444442</v>
      </c>
      <c r="F4330" s="247" t="s">
        <v>980</v>
      </c>
      <c r="G4330" s="247" t="s">
        <v>1035</v>
      </c>
      <c r="H4330" s="248" t="s">
        <v>234</v>
      </c>
      <c r="I4330" s="248" t="s">
        <v>263</v>
      </c>
      <c r="J4330" s="247" t="s">
        <v>809</v>
      </c>
      <c r="K4330" s="249">
        <v>0</v>
      </c>
      <c r="M4330" s="90">
        <v>0</v>
      </c>
      <c r="N4330" s="90">
        <v>0</v>
      </c>
      <c r="O4330" s="90">
        <v>255</v>
      </c>
    </row>
    <row r="4331" spans="1:15" s="90" customFormat="1" ht="12.75" customHeight="1" x14ac:dyDescent="0.2">
      <c r="A4331" s="247" t="s">
        <v>1495</v>
      </c>
      <c r="B4331" s="316">
        <v>3037</v>
      </c>
      <c r="C4331" s="247" t="s">
        <v>996</v>
      </c>
      <c r="D4331" s="317">
        <v>42676</v>
      </c>
      <c r="E4331" s="318">
        <v>0.50413194444444442</v>
      </c>
      <c r="F4331" s="247" t="s">
        <v>980</v>
      </c>
      <c r="G4331" s="247" t="s">
        <v>1035</v>
      </c>
      <c r="H4331" s="248" t="s">
        <v>234</v>
      </c>
      <c r="I4331" s="248" t="s">
        <v>263</v>
      </c>
      <c r="J4331" s="247" t="s">
        <v>809</v>
      </c>
      <c r="K4331" s="249">
        <v>0</v>
      </c>
      <c r="M4331" s="90">
        <v>0</v>
      </c>
      <c r="N4331" s="90">
        <v>0</v>
      </c>
      <c r="O4331" s="90">
        <v>255</v>
      </c>
    </row>
    <row r="4332" spans="1:15" s="90" customFormat="1" ht="12.75" customHeight="1" x14ac:dyDescent="0.2">
      <c r="A4332" s="247" t="s">
        <v>1496</v>
      </c>
      <c r="B4332" s="316">
        <v>3037</v>
      </c>
      <c r="C4332" s="247" t="s">
        <v>996</v>
      </c>
      <c r="D4332" s="317">
        <v>42676</v>
      </c>
      <c r="E4332" s="318">
        <v>0.50414351851851846</v>
      </c>
      <c r="F4332" s="247" t="s">
        <v>980</v>
      </c>
      <c r="G4332" s="247" t="s">
        <v>1035</v>
      </c>
      <c r="H4332" s="248" t="s">
        <v>234</v>
      </c>
      <c r="I4332" s="248" t="s">
        <v>263</v>
      </c>
      <c r="J4332" s="247" t="s">
        <v>809</v>
      </c>
      <c r="K4332" s="249">
        <v>0</v>
      </c>
      <c r="M4332" s="90">
        <v>0</v>
      </c>
      <c r="N4332" s="90">
        <v>0</v>
      </c>
      <c r="O4332" s="90">
        <v>255</v>
      </c>
    </row>
    <row r="4333" spans="1:15" s="90" customFormat="1" ht="12.75" customHeight="1" x14ac:dyDescent="0.2">
      <c r="A4333" s="247" t="s">
        <v>1497</v>
      </c>
      <c r="B4333" s="316">
        <v>3037</v>
      </c>
      <c r="C4333" s="247" t="s">
        <v>996</v>
      </c>
      <c r="D4333" s="317">
        <v>42676</v>
      </c>
      <c r="E4333" s="318">
        <v>0.50414351851851846</v>
      </c>
      <c r="F4333" s="247" t="s">
        <v>980</v>
      </c>
      <c r="G4333" s="247" t="s">
        <v>1035</v>
      </c>
      <c r="H4333" s="248" t="s">
        <v>234</v>
      </c>
      <c r="I4333" s="248" t="s">
        <v>263</v>
      </c>
      <c r="J4333" s="247" t="s">
        <v>809</v>
      </c>
      <c r="K4333" s="249">
        <v>0</v>
      </c>
      <c r="M4333" s="90">
        <v>0</v>
      </c>
      <c r="N4333" s="90">
        <v>0</v>
      </c>
      <c r="O4333" s="90">
        <v>255</v>
      </c>
    </row>
    <row r="4334" spans="1:15" s="90" customFormat="1" ht="12.75" customHeight="1" x14ac:dyDescent="0.2">
      <c r="A4334" s="247" t="s">
        <v>1498</v>
      </c>
      <c r="B4334" s="316">
        <v>3037</v>
      </c>
      <c r="C4334" s="247" t="s">
        <v>996</v>
      </c>
      <c r="D4334" s="317">
        <v>42676</v>
      </c>
      <c r="E4334" s="318">
        <v>0.50414351851851846</v>
      </c>
      <c r="F4334" s="247" t="s">
        <v>980</v>
      </c>
      <c r="G4334" s="247" t="s">
        <v>1035</v>
      </c>
      <c r="H4334" s="248" t="s">
        <v>234</v>
      </c>
      <c r="I4334" s="248" t="s">
        <v>263</v>
      </c>
      <c r="J4334" s="247" t="s">
        <v>809</v>
      </c>
      <c r="K4334" s="249">
        <v>0</v>
      </c>
      <c r="M4334" s="90">
        <v>0</v>
      </c>
      <c r="N4334" s="90">
        <v>0</v>
      </c>
      <c r="O4334" s="90">
        <v>255</v>
      </c>
    </row>
    <row r="4335" spans="1:15" s="90" customFormat="1" ht="12.75" customHeight="1" x14ac:dyDescent="0.2">
      <c r="A4335" s="247" t="s">
        <v>1499</v>
      </c>
      <c r="B4335" s="316">
        <v>3037</v>
      </c>
      <c r="C4335" s="247" t="s">
        <v>996</v>
      </c>
      <c r="D4335" s="317">
        <v>42676</v>
      </c>
      <c r="E4335" s="318">
        <v>0.50414351851851846</v>
      </c>
      <c r="F4335" s="247" t="s">
        <v>980</v>
      </c>
      <c r="G4335" s="247" t="s">
        <v>1035</v>
      </c>
      <c r="H4335" s="248" t="s">
        <v>234</v>
      </c>
      <c r="I4335" s="248" t="s">
        <v>263</v>
      </c>
      <c r="J4335" s="247" t="s">
        <v>809</v>
      </c>
      <c r="K4335" s="249">
        <v>0</v>
      </c>
      <c r="M4335" s="90">
        <v>0</v>
      </c>
      <c r="N4335" s="90">
        <v>0</v>
      </c>
      <c r="O4335" s="90">
        <v>255</v>
      </c>
    </row>
    <row r="4336" spans="1:15" s="90" customFormat="1" ht="12.75" customHeight="1" x14ac:dyDescent="0.2">
      <c r="A4336" s="247" t="s">
        <v>1502</v>
      </c>
      <c r="B4336" s="316">
        <v>3037</v>
      </c>
      <c r="C4336" s="247" t="s">
        <v>996</v>
      </c>
      <c r="D4336" s="317">
        <v>42676</v>
      </c>
      <c r="E4336" s="318">
        <v>0.50415509259259261</v>
      </c>
      <c r="F4336" s="247" t="s">
        <v>980</v>
      </c>
      <c r="G4336" s="247" t="s">
        <v>1035</v>
      </c>
      <c r="H4336" s="248" t="s">
        <v>234</v>
      </c>
      <c r="I4336" s="248" t="s">
        <v>263</v>
      </c>
      <c r="J4336" s="247" t="s">
        <v>809</v>
      </c>
      <c r="K4336" s="249">
        <v>0</v>
      </c>
      <c r="M4336" s="90">
        <v>0</v>
      </c>
      <c r="N4336" s="90">
        <v>0</v>
      </c>
      <c r="O4336" s="90">
        <v>255</v>
      </c>
    </row>
    <row r="4337" spans="1:15" s="90" customFormat="1" ht="12.75" customHeight="1" x14ac:dyDescent="0.2">
      <c r="A4337" s="247" t="s">
        <v>1547</v>
      </c>
      <c r="B4337" s="316">
        <v>3037</v>
      </c>
      <c r="C4337" s="247" t="s">
        <v>996</v>
      </c>
      <c r="D4337" s="317">
        <v>42676</v>
      </c>
      <c r="E4337" s="318">
        <v>0.50415509259259261</v>
      </c>
      <c r="F4337" s="247" t="s">
        <v>980</v>
      </c>
      <c r="G4337" s="247" t="s">
        <v>1035</v>
      </c>
      <c r="H4337" s="248" t="s">
        <v>234</v>
      </c>
      <c r="I4337" s="248" t="s">
        <v>263</v>
      </c>
      <c r="J4337" s="247" t="s">
        <v>809</v>
      </c>
      <c r="K4337" s="249">
        <v>0</v>
      </c>
      <c r="M4337" s="90">
        <v>0</v>
      </c>
      <c r="N4337" s="90">
        <v>0</v>
      </c>
      <c r="O4337" s="90">
        <v>255</v>
      </c>
    </row>
    <row r="4338" spans="1:15" s="90" customFormat="1" ht="12.75" customHeight="1" x14ac:dyDescent="0.2">
      <c r="A4338" s="247" t="s">
        <v>1548</v>
      </c>
      <c r="B4338" s="316">
        <v>3037</v>
      </c>
      <c r="C4338" s="247" t="s">
        <v>996</v>
      </c>
      <c r="D4338" s="317">
        <v>42676</v>
      </c>
      <c r="E4338" s="318">
        <v>0.50415509259259261</v>
      </c>
      <c r="F4338" s="247" t="s">
        <v>980</v>
      </c>
      <c r="G4338" s="247" t="s">
        <v>1035</v>
      </c>
      <c r="H4338" s="248" t="s">
        <v>234</v>
      </c>
      <c r="I4338" s="248" t="s">
        <v>263</v>
      </c>
      <c r="J4338" s="247" t="s">
        <v>809</v>
      </c>
      <c r="K4338" s="249">
        <v>0</v>
      </c>
      <c r="M4338" s="90">
        <v>0</v>
      </c>
      <c r="N4338" s="90">
        <v>0</v>
      </c>
      <c r="O4338" s="90">
        <v>255</v>
      </c>
    </row>
    <row r="4339" spans="1:15" s="90" customFormat="1" ht="12.75" customHeight="1" x14ac:dyDescent="0.2">
      <c r="A4339" s="247" t="s">
        <v>1549</v>
      </c>
      <c r="B4339" s="316">
        <v>3037</v>
      </c>
      <c r="C4339" s="247" t="s">
        <v>996</v>
      </c>
      <c r="D4339" s="317">
        <v>42676</v>
      </c>
      <c r="E4339" s="318">
        <v>0.50415509259259261</v>
      </c>
      <c r="F4339" s="247" t="s">
        <v>980</v>
      </c>
      <c r="G4339" s="247" t="s">
        <v>1035</v>
      </c>
      <c r="H4339" s="248" t="s">
        <v>234</v>
      </c>
      <c r="I4339" s="248" t="s">
        <v>263</v>
      </c>
      <c r="J4339" s="247" t="s">
        <v>809</v>
      </c>
      <c r="K4339" s="249">
        <v>0</v>
      </c>
      <c r="M4339" s="90">
        <v>0</v>
      </c>
      <c r="N4339" s="90">
        <v>0</v>
      </c>
      <c r="O4339" s="90">
        <v>255</v>
      </c>
    </row>
    <row r="4340" spans="1:15" s="90" customFormat="1" ht="12.75" customHeight="1" x14ac:dyDescent="0.2">
      <c r="A4340" s="247" t="s">
        <v>1550</v>
      </c>
      <c r="B4340" s="316">
        <v>3037</v>
      </c>
      <c r="C4340" s="247" t="s">
        <v>996</v>
      </c>
      <c r="D4340" s="317">
        <v>42676</v>
      </c>
      <c r="E4340" s="318">
        <v>0.50416666666666665</v>
      </c>
      <c r="F4340" s="247" t="s">
        <v>980</v>
      </c>
      <c r="G4340" s="247" t="s">
        <v>1035</v>
      </c>
      <c r="H4340" s="248" t="s">
        <v>234</v>
      </c>
      <c r="I4340" s="248" t="s">
        <v>263</v>
      </c>
      <c r="J4340" s="247" t="s">
        <v>809</v>
      </c>
      <c r="K4340" s="249">
        <v>0</v>
      </c>
      <c r="M4340" s="90">
        <v>0</v>
      </c>
      <c r="N4340" s="90">
        <v>0</v>
      </c>
      <c r="O4340" s="90">
        <v>255</v>
      </c>
    </row>
    <row r="4341" spans="1:15" s="90" customFormat="1" ht="12.75" customHeight="1" x14ac:dyDescent="0.2">
      <c r="A4341" s="247" t="s">
        <v>1551</v>
      </c>
      <c r="B4341" s="316">
        <v>3037</v>
      </c>
      <c r="C4341" s="247" t="s">
        <v>996</v>
      </c>
      <c r="D4341" s="317">
        <v>42676</v>
      </c>
      <c r="E4341" s="318">
        <v>0.50416666666666665</v>
      </c>
      <c r="F4341" s="247" t="s">
        <v>980</v>
      </c>
      <c r="G4341" s="247" t="s">
        <v>1035</v>
      </c>
      <c r="H4341" s="248" t="s">
        <v>234</v>
      </c>
      <c r="I4341" s="248" t="s">
        <v>263</v>
      </c>
      <c r="J4341" s="247" t="s">
        <v>809</v>
      </c>
      <c r="K4341" s="249">
        <v>0</v>
      </c>
      <c r="M4341" s="90">
        <v>0</v>
      </c>
      <c r="N4341" s="90">
        <v>0</v>
      </c>
      <c r="O4341" s="90">
        <v>255</v>
      </c>
    </row>
    <row r="4342" spans="1:15" s="90" customFormat="1" ht="12.75" customHeight="1" x14ac:dyDescent="0.2">
      <c r="A4342" s="247" t="s">
        <v>1552</v>
      </c>
      <c r="B4342" s="316">
        <v>3037</v>
      </c>
      <c r="C4342" s="247" t="s">
        <v>996</v>
      </c>
      <c r="D4342" s="317">
        <v>42676</v>
      </c>
      <c r="E4342" s="318">
        <v>0.50416666666666665</v>
      </c>
      <c r="F4342" s="247" t="s">
        <v>980</v>
      </c>
      <c r="G4342" s="247" t="s">
        <v>1035</v>
      </c>
      <c r="H4342" s="248" t="s">
        <v>234</v>
      </c>
      <c r="I4342" s="248" t="s">
        <v>263</v>
      </c>
      <c r="J4342" s="247" t="s">
        <v>809</v>
      </c>
      <c r="K4342" s="249">
        <v>0</v>
      </c>
      <c r="M4342" s="90">
        <v>0</v>
      </c>
      <c r="N4342" s="90">
        <v>0</v>
      </c>
      <c r="O4342" s="90">
        <v>255</v>
      </c>
    </row>
    <row r="4343" spans="1:15" s="90" customFormat="1" ht="12.75" customHeight="1" x14ac:dyDescent="0.2">
      <c r="A4343" s="247" t="s">
        <v>1553</v>
      </c>
      <c r="B4343" s="316">
        <v>3037</v>
      </c>
      <c r="C4343" s="247" t="s">
        <v>996</v>
      </c>
      <c r="D4343" s="317">
        <v>42676</v>
      </c>
      <c r="E4343" s="318">
        <v>0.50416666666666665</v>
      </c>
      <c r="F4343" s="247" t="s">
        <v>980</v>
      </c>
      <c r="G4343" s="247" t="s">
        <v>1035</v>
      </c>
      <c r="H4343" s="248" t="s">
        <v>234</v>
      </c>
      <c r="I4343" s="248" t="s">
        <v>263</v>
      </c>
      <c r="J4343" s="247" t="s">
        <v>809</v>
      </c>
      <c r="K4343" s="249">
        <v>0</v>
      </c>
      <c r="M4343" s="90">
        <v>0</v>
      </c>
      <c r="N4343" s="90">
        <v>0</v>
      </c>
      <c r="O4343" s="90">
        <v>255</v>
      </c>
    </row>
    <row r="4344" spans="1:15" s="90" customFormat="1" ht="12.75" customHeight="1" x14ac:dyDescent="0.2">
      <c r="A4344" s="247" t="s">
        <v>1554</v>
      </c>
      <c r="B4344" s="316">
        <v>3037</v>
      </c>
      <c r="C4344" s="247" t="s">
        <v>996</v>
      </c>
      <c r="D4344" s="317">
        <v>42676</v>
      </c>
      <c r="E4344" s="318">
        <v>0.50416666666666665</v>
      </c>
      <c r="F4344" s="247" t="s">
        <v>980</v>
      </c>
      <c r="G4344" s="247" t="s">
        <v>1035</v>
      </c>
      <c r="H4344" s="248" t="s">
        <v>234</v>
      </c>
      <c r="I4344" s="248" t="s">
        <v>263</v>
      </c>
      <c r="J4344" s="247" t="s">
        <v>809</v>
      </c>
      <c r="K4344" s="249">
        <v>0</v>
      </c>
      <c r="M4344" s="90">
        <v>0</v>
      </c>
      <c r="N4344" s="90">
        <v>0</v>
      </c>
      <c r="O4344" s="90">
        <v>255</v>
      </c>
    </row>
    <row r="4345" spans="1:15" s="90" customFormat="1" ht="12.75" customHeight="1" x14ac:dyDescent="0.2">
      <c r="A4345" s="247" t="s">
        <v>1555</v>
      </c>
      <c r="B4345" s="316">
        <v>3037</v>
      </c>
      <c r="C4345" s="247" t="s">
        <v>996</v>
      </c>
      <c r="D4345" s="317">
        <v>42676</v>
      </c>
      <c r="E4345" s="318">
        <v>0.50416666666666665</v>
      </c>
      <c r="F4345" s="247" t="s">
        <v>980</v>
      </c>
      <c r="G4345" s="247" t="s">
        <v>1035</v>
      </c>
      <c r="H4345" s="248" t="s">
        <v>234</v>
      </c>
      <c r="I4345" s="248" t="s">
        <v>263</v>
      </c>
      <c r="J4345" s="247" t="s">
        <v>809</v>
      </c>
      <c r="K4345" s="249">
        <v>0</v>
      </c>
      <c r="M4345" s="90">
        <v>0</v>
      </c>
      <c r="N4345" s="90">
        <v>0</v>
      </c>
      <c r="O4345" s="90">
        <v>255</v>
      </c>
    </row>
    <row r="4346" spans="1:15" s="90" customFormat="1" ht="12.75" customHeight="1" x14ac:dyDescent="0.2">
      <c r="A4346" s="247" t="s">
        <v>1556</v>
      </c>
      <c r="B4346" s="316">
        <v>3037</v>
      </c>
      <c r="C4346" s="247" t="s">
        <v>996</v>
      </c>
      <c r="D4346" s="317">
        <v>42676</v>
      </c>
      <c r="E4346" s="318">
        <v>0.5041782407407408</v>
      </c>
      <c r="F4346" s="247" t="s">
        <v>980</v>
      </c>
      <c r="G4346" s="247" t="s">
        <v>1035</v>
      </c>
      <c r="H4346" s="248" t="s">
        <v>234</v>
      </c>
      <c r="I4346" s="248" t="s">
        <v>263</v>
      </c>
      <c r="J4346" s="247" t="s">
        <v>809</v>
      </c>
      <c r="K4346" s="249">
        <v>0</v>
      </c>
      <c r="M4346" s="90">
        <v>0</v>
      </c>
      <c r="N4346" s="90">
        <v>0</v>
      </c>
      <c r="O4346" s="90">
        <v>255</v>
      </c>
    </row>
    <row r="4347" spans="1:15" s="90" customFormat="1" ht="12.75" customHeight="1" x14ac:dyDescent="0.2">
      <c r="A4347" s="247" t="s">
        <v>1557</v>
      </c>
      <c r="B4347" s="316">
        <v>3037</v>
      </c>
      <c r="C4347" s="247" t="s">
        <v>996</v>
      </c>
      <c r="D4347" s="317">
        <v>42676</v>
      </c>
      <c r="E4347" s="318">
        <v>0.5041782407407408</v>
      </c>
      <c r="F4347" s="247" t="s">
        <v>980</v>
      </c>
      <c r="G4347" s="247" t="s">
        <v>1035</v>
      </c>
      <c r="H4347" s="248" t="s">
        <v>234</v>
      </c>
      <c r="I4347" s="248" t="s">
        <v>263</v>
      </c>
      <c r="J4347" s="247" t="s">
        <v>809</v>
      </c>
      <c r="K4347" s="249">
        <v>0</v>
      </c>
      <c r="M4347" s="90">
        <v>0</v>
      </c>
      <c r="N4347" s="90">
        <v>0</v>
      </c>
      <c r="O4347" s="90">
        <v>255</v>
      </c>
    </row>
    <row r="4348" spans="1:15" s="90" customFormat="1" ht="12.75" customHeight="1" x14ac:dyDescent="0.2">
      <c r="A4348" s="247" t="s">
        <v>1558</v>
      </c>
      <c r="B4348" s="316">
        <v>3037</v>
      </c>
      <c r="C4348" s="247" t="s">
        <v>996</v>
      </c>
      <c r="D4348" s="317">
        <v>42676</v>
      </c>
      <c r="E4348" s="318">
        <v>0.5041782407407408</v>
      </c>
      <c r="F4348" s="247" t="s">
        <v>980</v>
      </c>
      <c r="G4348" s="247" t="s">
        <v>1035</v>
      </c>
      <c r="H4348" s="248" t="s">
        <v>234</v>
      </c>
      <c r="I4348" s="248" t="s">
        <v>263</v>
      </c>
      <c r="J4348" s="247" t="s">
        <v>809</v>
      </c>
      <c r="K4348" s="249">
        <v>0</v>
      </c>
      <c r="M4348" s="90">
        <v>0</v>
      </c>
      <c r="N4348" s="90">
        <v>0</v>
      </c>
      <c r="O4348" s="90">
        <v>255</v>
      </c>
    </row>
    <row r="4349" spans="1:15" s="90" customFormat="1" ht="12.75" customHeight="1" x14ac:dyDescent="0.2">
      <c r="A4349" s="247" t="s">
        <v>1559</v>
      </c>
      <c r="B4349" s="316">
        <v>3037</v>
      </c>
      <c r="C4349" s="247" t="s">
        <v>996</v>
      </c>
      <c r="D4349" s="317">
        <v>42676</v>
      </c>
      <c r="E4349" s="318">
        <v>0.5041782407407408</v>
      </c>
      <c r="F4349" s="247" t="s">
        <v>980</v>
      </c>
      <c r="G4349" s="247" t="s">
        <v>1035</v>
      </c>
      <c r="H4349" s="248" t="s">
        <v>234</v>
      </c>
      <c r="I4349" s="248" t="s">
        <v>263</v>
      </c>
      <c r="J4349" s="247" t="s">
        <v>809</v>
      </c>
      <c r="K4349" s="249">
        <v>0</v>
      </c>
      <c r="M4349" s="90">
        <v>0</v>
      </c>
      <c r="N4349" s="90">
        <v>0</v>
      </c>
      <c r="O4349" s="90">
        <v>255</v>
      </c>
    </row>
    <row r="4350" spans="1:15" s="90" customFormat="1" ht="12.75" customHeight="1" x14ac:dyDescent="0.2">
      <c r="A4350" s="247" t="s">
        <v>1560</v>
      </c>
      <c r="B4350" s="316">
        <v>3037</v>
      </c>
      <c r="C4350" s="247" t="s">
        <v>996</v>
      </c>
      <c r="D4350" s="317">
        <v>42676</v>
      </c>
      <c r="E4350" s="318">
        <v>0.5041782407407408</v>
      </c>
      <c r="F4350" s="247" t="s">
        <v>980</v>
      </c>
      <c r="G4350" s="247" t="s">
        <v>1035</v>
      </c>
      <c r="H4350" s="248" t="s">
        <v>234</v>
      </c>
      <c r="I4350" s="248" t="s">
        <v>263</v>
      </c>
      <c r="J4350" s="247" t="s">
        <v>809</v>
      </c>
      <c r="K4350" s="249">
        <v>0</v>
      </c>
      <c r="M4350" s="90">
        <v>0</v>
      </c>
      <c r="N4350" s="90">
        <v>0</v>
      </c>
      <c r="O4350" s="90">
        <v>255</v>
      </c>
    </row>
    <row r="4351" spans="1:15" s="90" customFormat="1" ht="12.75" customHeight="1" x14ac:dyDescent="0.2">
      <c r="A4351" s="247" t="s">
        <v>1561</v>
      </c>
      <c r="B4351" s="316">
        <v>3037</v>
      </c>
      <c r="C4351" s="247" t="s">
        <v>996</v>
      </c>
      <c r="D4351" s="317">
        <v>42676</v>
      </c>
      <c r="E4351" s="318">
        <v>0.5041782407407408</v>
      </c>
      <c r="F4351" s="247" t="s">
        <v>980</v>
      </c>
      <c r="G4351" s="247" t="s">
        <v>1035</v>
      </c>
      <c r="H4351" s="248" t="s">
        <v>234</v>
      </c>
      <c r="I4351" s="248" t="s">
        <v>263</v>
      </c>
      <c r="J4351" s="247" t="s">
        <v>809</v>
      </c>
      <c r="K4351" s="249">
        <v>0</v>
      </c>
      <c r="M4351" s="90">
        <v>0</v>
      </c>
      <c r="N4351" s="90">
        <v>0</v>
      </c>
      <c r="O4351" s="90">
        <v>255</v>
      </c>
    </row>
    <row r="4352" spans="1:15" s="90" customFormat="1" ht="12.75" customHeight="1" x14ac:dyDescent="0.2">
      <c r="A4352" s="247" t="s">
        <v>1562</v>
      </c>
      <c r="B4352" s="316">
        <v>3037</v>
      </c>
      <c r="C4352" s="247" t="s">
        <v>996</v>
      </c>
      <c r="D4352" s="317">
        <v>42676</v>
      </c>
      <c r="E4352" s="318">
        <v>0.5041782407407408</v>
      </c>
      <c r="F4352" s="247" t="s">
        <v>980</v>
      </c>
      <c r="G4352" s="247" t="s">
        <v>1035</v>
      </c>
      <c r="H4352" s="248" t="s">
        <v>234</v>
      </c>
      <c r="I4352" s="248" t="s">
        <v>263</v>
      </c>
      <c r="J4352" s="247" t="s">
        <v>809</v>
      </c>
      <c r="K4352" s="249">
        <v>0</v>
      </c>
      <c r="M4352" s="90">
        <v>0</v>
      </c>
      <c r="N4352" s="90">
        <v>0</v>
      </c>
      <c r="O4352" s="90">
        <v>255</v>
      </c>
    </row>
    <row r="4353" spans="1:15" s="90" customFormat="1" ht="12.75" customHeight="1" x14ac:dyDescent="0.2">
      <c r="A4353" s="247" t="s">
        <v>1563</v>
      </c>
      <c r="B4353" s="316">
        <v>3037</v>
      </c>
      <c r="C4353" s="247" t="s">
        <v>996</v>
      </c>
      <c r="D4353" s="317">
        <v>42676</v>
      </c>
      <c r="E4353" s="318">
        <v>0.50418981481481484</v>
      </c>
      <c r="F4353" s="247" t="s">
        <v>980</v>
      </c>
      <c r="G4353" s="247" t="s">
        <v>1035</v>
      </c>
      <c r="H4353" s="248" t="s">
        <v>234</v>
      </c>
      <c r="I4353" s="248" t="s">
        <v>263</v>
      </c>
      <c r="J4353" s="247" t="s">
        <v>809</v>
      </c>
      <c r="K4353" s="249">
        <v>0</v>
      </c>
      <c r="M4353" s="90">
        <v>0</v>
      </c>
      <c r="N4353" s="90">
        <v>0</v>
      </c>
      <c r="O4353" s="90">
        <v>255</v>
      </c>
    </row>
    <row r="4354" spans="1:15" s="90" customFormat="1" ht="12.75" customHeight="1" x14ac:dyDescent="0.2">
      <c r="A4354" s="247" t="s">
        <v>1564</v>
      </c>
      <c r="B4354" s="316">
        <v>3037</v>
      </c>
      <c r="C4354" s="247" t="s">
        <v>996</v>
      </c>
      <c r="D4354" s="317">
        <v>42676</v>
      </c>
      <c r="E4354" s="318">
        <v>0.50418981481481484</v>
      </c>
      <c r="F4354" s="247" t="s">
        <v>980</v>
      </c>
      <c r="G4354" s="247" t="s">
        <v>1035</v>
      </c>
      <c r="H4354" s="248" t="s">
        <v>234</v>
      </c>
      <c r="I4354" s="248" t="s">
        <v>263</v>
      </c>
      <c r="J4354" s="247" t="s">
        <v>809</v>
      </c>
      <c r="K4354" s="249">
        <v>0</v>
      </c>
      <c r="M4354" s="90">
        <v>0</v>
      </c>
      <c r="N4354" s="90">
        <v>0</v>
      </c>
      <c r="O4354" s="90">
        <v>255</v>
      </c>
    </row>
    <row r="4355" spans="1:15" s="90" customFormat="1" ht="12.75" customHeight="1" x14ac:dyDescent="0.2">
      <c r="A4355" s="247" t="s">
        <v>1565</v>
      </c>
      <c r="B4355" s="316">
        <v>3037</v>
      </c>
      <c r="C4355" s="247" t="s">
        <v>996</v>
      </c>
      <c r="D4355" s="317">
        <v>42676</v>
      </c>
      <c r="E4355" s="318">
        <v>0.50418981481481484</v>
      </c>
      <c r="F4355" s="247" t="s">
        <v>980</v>
      </c>
      <c r="G4355" s="247" t="s">
        <v>1035</v>
      </c>
      <c r="H4355" s="248" t="s">
        <v>234</v>
      </c>
      <c r="I4355" s="248" t="s">
        <v>263</v>
      </c>
      <c r="J4355" s="247" t="s">
        <v>809</v>
      </c>
      <c r="K4355" s="249">
        <v>0</v>
      </c>
      <c r="M4355" s="90">
        <v>0</v>
      </c>
      <c r="N4355" s="90">
        <v>0</v>
      </c>
      <c r="O4355" s="90">
        <v>255</v>
      </c>
    </row>
    <row r="4356" spans="1:15" s="90" customFormat="1" ht="12.75" customHeight="1" x14ac:dyDescent="0.2">
      <c r="A4356" s="247" t="s">
        <v>1566</v>
      </c>
      <c r="B4356" s="316">
        <v>3037</v>
      </c>
      <c r="C4356" s="247" t="s">
        <v>996</v>
      </c>
      <c r="D4356" s="317">
        <v>42676</v>
      </c>
      <c r="E4356" s="318">
        <v>0.50420138888888888</v>
      </c>
      <c r="F4356" s="247" t="s">
        <v>980</v>
      </c>
      <c r="G4356" s="247" t="s">
        <v>1035</v>
      </c>
      <c r="H4356" s="248" t="s">
        <v>234</v>
      </c>
      <c r="I4356" s="248" t="s">
        <v>263</v>
      </c>
      <c r="J4356" s="247" t="s">
        <v>809</v>
      </c>
      <c r="K4356" s="249">
        <v>0</v>
      </c>
      <c r="M4356" s="90">
        <v>0</v>
      </c>
      <c r="N4356" s="90">
        <v>0</v>
      </c>
      <c r="O4356" s="90">
        <v>255</v>
      </c>
    </row>
    <row r="4357" spans="1:15" s="90" customFormat="1" ht="12.75" customHeight="1" x14ac:dyDescent="0.2">
      <c r="A4357" s="247" t="s">
        <v>1567</v>
      </c>
      <c r="B4357" s="316">
        <v>3037</v>
      </c>
      <c r="C4357" s="247" t="s">
        <v>996</v>
      </c>
      <c r="D4357" s="317">
        <v>42676</v>
      </c>
      <c r="E4357" s="318">
        <v>0.50420138888888888</v>
      </c>
      <c r="F4357" s="247" t="s">
        <v>980</v>
      </c>
      <c r="G4357" s="247" t="s">
        <v>1035</v>
      </c>
      <c r="H4357" s="248" t="s">
        <v>234</v>
      </c>
      <c r="I4357" s="248" t="s">
        <v>263</v>
      </c>
      <c r="J4357" s="247" t="s">
        <v>809</v>
      </c>
      <c r="K4357" s="249">
        <v>0</v>
      </c>
      <c r="M4357" s="90">
        <v>0</v>
      </c>
      <c r="N4357" s="90">
        <v>0</v>
      </c>
      <c r="O4357" s="90">
        <v>255</v>
      </c>
    </row>
    <row r="4358" spans="1:15" s="90" customFormat="1" ht="12.75" customHeight="1" x14ac:dyDescent="0.2">
      <c r="A4358" s="247" t="s">
        <v>1568</v>
      </c>
      <c r="B4358" s="316">
        <v>3037</v>
      </c>
      <c r="C4358" s="247" t="s">
        <v>996</v>
      </c>
      <c r="D4358" s="317">
        <v>42676</v>
      </c>
      <c r="E4358" s="318">
        <v>0.50420138888888888</v>
      </c>
      <c r="F4358" s="247" t="s">
        <v>980</v>
      </c>
      <c r="G4358" s="247" t="s">
        <v>1035</v>
      </c>
      <c r="H4358" s="248" t="s">
        <v>234</v>
      </c>
      <c r="I4358" s="248" t="s">
        <v>263</v>
      </c>
      <c r="J4358" s="247" t="s">
        <v>809</v>
      </c>
      <c r="K4358" s="249">
        <v>0</v>
      </c>
      <c r="M4358" s="90">
        <v>0</v>
      </c>
      <c r="N4358" s="90">
        <v>0</v>
      </c>
      <c r="O4358" s="90">
        <v>255</v>
      </c>
    </row>
    <row r="4359" spans="1:15" s="90" customFormat="1" ht="12.75" customHeight="1" x14ac:dyDescent="0.2">
      <c r="A4359" s="247" t="s">
        <v>1569</v>
      </c>
      <c r="B4359" s="316">
        <v>3037</v>
      </c>
      <c r="C4359" s="247" t="s">
        <v>996</v>
      </c>
      <c r="D4359" s="317">
        <v>42676</v>
      </c>
      <c r="E4359" s="318">
        <v>0.50420138888888888</v>
      </c>
      <c r="F4359" s="247" t="s">
        <v>980</v>
      </c>
      <c r="G4359" s="247" t="s">
        <v>1035</v>
      </c>
      <c r="H4359" s="248" t="s">
        <v>234</v>
      </c>
      <c r="I4359" s="248" t="s">
        <v>263</v>
      </c>
      <c r="J4359" s="247" t="s">
        <v>809</v>
      </c>
      <c r="K4359" s="249">
        <v>0</v>
      </c>
      <c r="M4359" s="90">
        <v>0</v>
      </c>
      <c r="N4359" s="90">
        <v>0</v>
      </c>
      <c r="O4359" s="90">
        <v>255</v>
      </c>
    </row>
    <row r="4360" spans="1:15" s="90" customFormat="1" ht="12.75" customHeight="1" x14ac:dyDescent="0.2">
      <c r="A4360" s="247" t="s">
        <v>1570</v>
      </c>
      <c r="B4360" s="316">
        <v>3037</v>
      </c>
      <c r="C4360" s="247" t="s">
        <v>996</v>
      </c>
      <c r="D4360" s="317">
        <v>42676</v>
      </c>
      <c r="E4360" s="318">
        <v>0.50420138888888888</v>
      </c>
      <c r="F4360" s="247" t="s">
        <v>980</v>
      </c>
      <c r="G4360" s="247" t="s">
        <v>1035</v>
      </c>
      <c r="H4360" s="248" t="s">
        <v>234</v>
      </c>
      <c r="I4360" s="248" t="s">
        <v>263</v>
      </c>
      <c r="J4360" s="247" t="s">
        <v>809</v>
      </c>
      <c r="K4360" s="249">
        <v>0</v>
      </c>
      <c r="M4360" s="90">
        <v>0</v>
      </c>
      <c r="N4360" s="90">
        <v>0</v>
      </c>
      <c r="O4360" s="90">
        <v>255</v>
      </c>
    </row>
    <row r="4361" spans="1:15" s="90" customFormat="1" ht="12.75" customHeight="1" x14ac:dyDescent="0.2">
      <c r="A4361" s="247" t="s">
        <v>1571</v>
      </c>
      <c r="B4361" s="316">
        <v>3037</v>
      </c>
      <c r="C4361" s="247" t="s">
        <v>996</v>
      </c>
      <c r="D4361" s="317">
        <v>42676</v>
      </c>
      <c r="E4361" s="318">
        <v>0.50420138888888888</v>
      </c>
      <c r="F4361" s="247" t="s">
        <v>980</v>
      </c>
      <c r="G4361" s="247" t="s">
        <v>1035</v>
      </c>
      <c r="H4361" s="248" t="s">
        <v>234</v>
      </c>
      <c r="I4361" s="248" t="s">
        <v>263</v>
      </c>
      <c r="J4361" s="247" t="s">
        <v>809</v>
      </c>
      <c r="K4361" s="249">
        <v>0</v>
      </c>
      <c r="M4361" s="90">
        <v>0</v>
      </c>
      <c r="N4361" s="90">
        <v>0</v>
      </c>
      <c r="O4361" s="90">
        <v>255</v>
      </c>
    </row>
    <row r="4362" spans="1:15" s="90" customFormat="1" ht="12.75" customHeight="1" x14ac:dyDescent="0.2">
      <c r="A4362" s="247" t="s">
        <v>1572</v>
      </c>
      <c r="B4362" s="316">
        <v>3037</v>
      </c>
      <c r="C4362" s="247" t="s">
        <v>996</v>
      </c>
      <c r="D4362" s="317">
        <v>42676</v>
      </c>
      <c r="E4362" s="318">
        <v>0.50420138888888888</v>
      </c>
      <c r="F4362" s="247" t="s">
        <v>980</v>
      </c>
      <c r="G4362" s="247" t="s">
        <v>1035</v>
      </c>
      <c r="H4362" s="248" t="s">
        <v>234</v>
      </c>
      <c r="I4362" s="248" t="s">
        <v>263</v>
      </c>
      <c r="J4362" s="247" t="s">
        <v>809</v>
      </c>
      <c r="K4362" s="249">
        <v>0</v>
      </c>
      <c r="M4362" s="90">
        <v>0</v>
      </c>
      <c r="N4362" s="90">
        <v>0</v>
      </c>
      <c r="O4362" s="90">
        <v>255</v>
      </c>
    </row>
    <row r="4363" spans="1:15" s="90" customFormat="1" ht="12.75" customHeight="1" x14ac:dyDescent="0.2">
      <c r="A4363" s="247" t="s">
        <v>1573</v>
      </c>
      <c r="B4363" s="316">
        <v>3037</v>
      </c>
      <c r="C4363" s="247" t="s">
        <v>996</v>
      </c>
      <c r="D4363" s="317">
        <v>42676</v>
      </c>
      <c r="E4363" s="318">
        <v>0.50421296296296292</v>
      </c>
      <c r="F4363" s="247" t="s">
        <v>980</v>
      </c>
      <c r="G4363" s="247" t="s">
        <v>1035</v>
      </c>
      <c r="H4363" s="248" t="s">
        <v>234</v>
      </c>
      <c r="I4363" s="248" t="s">
        <v>263</v>
      </c>
      <c r="J4363" s="247" t="s">
        <v>809</v>
      </c>
      <c r="K4363" s="249">
        <v>0</v>
      </c>
      <c r="M4363" s="90">
        <v>0</v>
      </c>
      <c r="N4363" s="90">
        <v>0</v>
      </c>
      <c r="O4363" s="90">
        <v>255</v>
      </c>
    </row>
    <row r="4364" spans="1:15" s="90" customFormat="1" ht="12.75" customHeight="1" x14ac:dyDescent="0.2">
      <c r="A4364" s="247" t="s">
        <v>1574</v>
      </c>
      <c r="B4364" s="316">
        <v>3037</v>
      </c>
      <c r="C4364" s="247" t="s">
        <v>996</v>
      </c>
      <c r="D4364" s="317">
        <v>42676</v>
      </c>
      <c r="E4364" s="318">
        <v>0.50421296296296292</v>
      </c>
      <c r="F4364" s="247" t="s">
        <v>980</v>
      </c>
      <c r="G4364" s="247" t="s">
        <v>1035</v>
      </c>
      <c r="H4364" s="248" t="s">
        <v>234</v>
      </c>
      <c r="I4364" s="248" t="s">
        <v>263</v>
      </c>
      <c r="J4364" s="247" t="s">
        <v>809</v>
      </c>
      <c r="K4364" s="249">
        <v>0</v>
      </c>
      <c r="M4364" s="90">
        <v>0</v>
      </c>
      <c r="N4364" s="90">
        <v>0</v>
      </c>
      <c r="O4364" s="90">
        <v>255</v>
      </c>
    </row>
    <row r="4365" spans="1:15" s="90" customFormat="1" ht="12.75" customHeight="1" x14ac:dyDescent="0.2">
      <c r="A4365" s="247" t="s">
        <v>1575</v>
      </c>
      <c r="B4365" s="316">
        <v>3037</v>
      </c>
      <c r="C4365" s="247" t="s">
        <v>996</v>
      </c>
      <c r="D4365" s="317">
        <v>42676</v>
      </c>
      <c r="E4365" s="318">
        <v>0.50421296296296292</v>
      </c>
      <c r="F4365" s="247" t="s">
        <v>980</v>
      </c>
      <c r="G4365" s="247" t="s">
        <v>1035</v>
      </c>
      <c r="H4365" s="248" t="s">
        <v>234</v>
      </c>
      <c r="I4365" s="248" t="s">
        <v>263</v>
      </c>
      <c r="J4365" s="247" t="s">
        <v>809</v>
      </c>
      <c r="K4365" s="249">
        <v>0</v>
      </c>
      <c r="M4365" s="90">
        <v>0</v>
      </c>
      <c r="N4365" s="90">
        <v>0</v>
      </c>
      <c r="O4365" s="90">
        <v>255</v>
      </c>
    </row>
    <row r="4366" spans="1:15" s="90" customFormat="1" ht="12.75" customHeight="1" x14ac:dyDescent="0.2">
      <c r="A4366" s="247" t="s">
        <v>1576</v>
      </c>
      <c r="B4366" s="316">
        <v>3037</v>
      </c>
      <c r="C4366" s="247" t="s">
        <v>996</v>
      </c>
      <c r="D4366" s="317">
        <v>42676</v>
      </c>
      <c r="E4366" s="318">
        <v>0.50421296296296292</v>
      </c>
      <c r="F4366" s="247" t="s">
        <v>980</v>
      </c>
      <c r="G4366" s="247" t="s">
        <v>1035</v>
      </c>
      <c r="H4366" s="248" t="s">
        <v>234</v>
      </c>
      <c r="I4366" s="248" t="s">
        <v>263</v>
      </c>
      <c r="J4366" s="247" t="s">
        <v>809</v>
      </c>
      <c r="K4366" s="249">
        <v>0</v>
      </c>
      <c r="M4366" s="90">
        <v>0</v>
      </c>
      <c r="N4366" s="90">
        <v>0</v>
      </c>
      <c r="O4366" s="90">
        <v>255</v>
      </c>
    </row>
    <row r="4367" spans="1:15" s="90" customFormat="1" ht="12.75" customHeight="1" x14ac:dyDescent="0.2">
      <c r="A4367" s="247" t="s">
        <v>1577</v>
      </c>
      <c r="B4367" s="316">
        <v>3037</v>
      </c>
      <c r="C4367" s="247" t="s">
        <v>996</v>
      </c>
      <c r="D4367" s="317">
        <v>42676</v>
      </c>
      <c r="E4367" s="318">
        <v>0.50422453703703707</v>
      </c>
      <c r="F4367" s="247" t="s">
        <v>980</v>
      </c>
      <c r="G4367" s="247" t="s">
        <v>1035</v>
      </c>
      <c r="H4367" s="248" t="s">
        <v>234</v>
      </c>
      <c r="I4367" s="248" t="s">
        <v>263</v>
      </c>
      <c r="J4367" s="247" t="s">
        <v>809</v>
      </c>
      <c r="K4367" s="249">
        <v>0</v>
      </c>
      <c r="M4367" s="90">
        <v>0</v>
      </c>
      <c r="N4367" s="90">
        <v>0</v>
      </c>
      <c r="O4367" s="90">
        <v>255</v>
      </c>
    </row>
    <row r="4368" spans="1:15" s="90" customFormat="1" ht="12.75" customHeight="1" x14ac:dyDescent="0.2">
      <c r="A4368" s="247" t="s">
        <v>1578</v>
      </c>
      <c r="B4368" s="316">
        <v>3037</v>
      </c>
      <c r="C4368" s="247" t="s">
        <v>996</v>
      </c>
      <c r="D4368" s="317">
        <v>42676</v>
      </c>
      <c r="E4368" s="318">
        <v>0.50422453703703707</v>
      </c>
      <c r="F4368" s="247" t="s">
        <v>980</v>
      </c>
      <c r="G4368" s="247" t="s">
        <v>1035</v>
      </c>
      <c r="H4368" s="248" t="s">
        <v>234</v>
      </c>
      <c r="I4368" s="248" t="s">
        <v>263</v>
      </c>
      <c r="J4368" s="247" t="s">
        <v>809</v>
      </c>
      <c r="K4368" s="249">
        <v>0</v>
      </c>
      <c r="M4368" s="90">
        <v>0</v>
      </c>
      <c r="N4368" s="90">
        <v>0</v>
      </c>
      <c r="O4368" s="90">
        <v>255</v>
      </c>
    </row>
    <row r="4369" spans="1:15" s="90" customFormat="1" ht="12.75" customHeight="1" x14ac:dyDescent="0.2">
      <c r="A4369" s="247" t="s">
        <v>1579</v>
      </c>
      <c r="B4369" s="316">
        <v>3037</v>
      </c>
      <c r="C4369" s="247" t="s">
        <v>996</v>
      </c>
      <c r="D4369" s="317">
        <v>42676</v>
      </c>
      <c r="E4369" s="318">
        <v>0.50422453703703707</v>
      </c>
      <c r="F4369" s="247" t="s">
        <v>980</v>
      </c>
      <c r="G4369" s="247" t="s">
        <v>1035</v>
      </c>
      <c r="H4369" s="248" t="s">
        <v>234</v>
      </c>
      <c r="I4369" s="248" t="s">
        <v>263</v>
      </c>
      <c r="J4369" s="247" t="s">
        <v>809</v>
      </c>
      <c r="K4369" s="249">
        <v>0</v>
      </c>
      <c r="M4369" s="90">
        <v>0</v>
      </c>
      <c r="N4369" s="90">
        <v>0</v>
      </c>
      <c r="O4369" s="90">
        <v>255</v>
      </c>
    </row>
    <row r="4370" spans="1:15" s="90" customFormat="1" ht="12.75" customHeight="1" x14ac:dyDescent="0.2">
      <c r="A4370" s="247" t="s">
        <v>1580</v>
      </c>
      <c r="B4370" s="316">
        <v>3037</v>
      </c>
      <c r="C4370" s="247" t="s">
        <v>996</v>
      </c>
      <c r="D4370" s="317">
        <v>42676</v>
      </c>
      <c r="E4370" s="318">
        <v>0.50422453703703707</v>
      </c>
      <c r="F4370" s="247" t="s">
        <v>980</v>
      </c>
      <c r="G4370" s="247" t="s">
        <v>1035</v>
      </c>
      <c r="H4370" s="248" t="s">
        <v>234</v>
      </c>
      <c r="I4370" s="248" t="s">
        <v>263</v>
      </c>
      <c r="J4370" s="247" t="s">
        <v>809</v>
      </c>
      <c r="K4370" s="249">
        <v>0</v>
      </c>
      <c r="M4370" s="90">
        <v>0</v>
      </c>
      <c r="N4370" s="90">
        <v>0</v>
      </c>
      <c r="O4370" s="90">
        <v>255</v>
      </c>
    </row>
    <row r="4371" spans="1:15" s="90" customFormat="1" ht="12.75" customHeight="1" x14ac:dyDescent="0.2">
      <c r="A4371" s="247" t="s">
        <v>1581</v>
      </c>
      <c r="B4371" s="316">
        <v>3037</v>
      </c>
      <c r="C4371" s="247" t="s">
        <v>996</v>
      </c>
      <c r="D4371" s="317">
        <v>42676</v>
      </c>
      <c r="E4371" s="318">
        <v>0.50422453703703707</v>
      </c>
      <c r="F4371" s="247" t="s">
        <v>980</v>
      </c>
      <c r="G4371" s="247" t="s">
        <v>1035</v>
      </c>
      <c r="H4371" s="248" t="s">
        <v>234</v>
      </c>
      <c r="I4371" s="248" t="s">
        <v>263</v>
      </c>
      <c r="J4371" s="247" t="s">
        <v>809</v>
      </c>
      <c r="K4371" s="249">
        <v>0</v>
      </c>
      <c r="M4371" s="90">
        <v>0</v>
      </c>
      <c r="N4371" s="90">
        <v>0</v>
      </c>
      <c r="O4371" s="90">
        <v>255</v>
      </c>
    </row>
    <row r="4372" spans="1:15" s="90" customFormat="1" ht="12.75" customHeight="1" x14ac:dyDescent="0.2">
      <c r="A4372" s="247" t="s">
        <v>1582</v>
      </c>
      <c r="B4372" s="316">
        <v>3037</v>
      </c>
      <c r="C4372" s="247" t="s">
        <v>996</v>
      </c>
      <c r="D4372" s="317">
        <v>42676</v>
      </c>
      <c r="E4372" s="318">
        <v>0.50423611111111111</v>
      </c>
      <c r="F4372" s="247" t="s">
        <v>980</v>
      </c>
      <c r="G4372" s="247" t="s">
        <v>1035</v>
      </c>
      <c r="H4372" s="248" t="s">
        <v>234</v>
      </c>
      <c r="I4372" s="248" t="s">
        <v>263</v>
      </c>
      <c r="J4372" s="247" t="s">
        <v>809</v>
      </c>
      <c r="K4372" s="249">
        <v>0</v>
      </c>
      <c r="M4372" s="90">
        <v>0</v>
      </c>
      <c r="N4372" s="90">
        <v>0</v>
      </c>
      <c r="O4372" s="90">
        <v>255</v>
      </c>
    </row>
    <row r="4373" spans="1:15" s="90" customFormat="1" ht="12.75" customHeight="1" x14ac:dyDescent="0.2">
      <c r="A4373" s="247" t="s">
        <v>1583</v>
      </c>
      <c r="B4373" s="316">
        <v>3037</v>
      </c>
      <c r="C4373" s="247" t="s">
        <v>996</v>
      </c>
      <c r="D4373" s="317">
        <v>42676</v>
      </c>
      <c r="E4373" s="318">
        <v>0.50423611111111111</v>
      </c>
      <c r="F4373" s="247" t="s">
        <v>980</v>
      </c>
      <c r="G4373" s="247" t="s">
        <v>1035</v>
      </c>
      <c r="H4373" s="248" t="s">
        <v>234</v>
      </c>
      <c r="I4373" s="248" t="s">
        <v>263</v>
      </c>
      <c r="J4373" s="247" t="s">
        <v>809</v>
      </c>
      <c r="K4373" s="249">
        <v>0</v>
      </c>
      <c r="M4373" s="90">
        <v>0</v>
      </c>
      <c r="N4373" s="90">
        <v>0</v>
      </c>
      <c r="O4373" s="90">
        <v>255</v>
      </c>
    </row>
    <row r="4374" spans="1:15" s="90" customFormat="1" ht="12.75" customHeight="1" x14ac:dyDescent="0.2">
      <c r="A4374" s="247" t="s">
        <v>1584</v>
      </c>
      <c r="B4374" s="316">
        <v>3037</v>
      </c>
      <c r="C4374" s="247" t="s">
        <v>996</v>
      </c>
      <c r="D4374" s="317">
        <v>42676</v>
      </c>
      <c r="E4374" s="318">
        <v>0.50423611111111111</v>
      </c>
      <c r="F4374" s="247" t="s">
        <v>980</v>
      </c>
      <c r="G4374" s="247" t="s">
        <v>1035</v>
      </c>
      <c r="H4374" s="248" t="s">
        <v>234</v>
      </c>
      <c r="I4374" s="248" t="s">
        <v>263</v>
      </c>
      <c r="J4374" s="247" t="s">
        <v>809</v>
      </c>
      <c r="K4374" s="249">
        <v>0</v>
      </c>
      <c r="M4374" s="90">
        <v>0</v>
      </c>
      <c r="N4374" s="90">
        <v>0</v>
      </c>
      <c r="O4374" s="90">
        <v>255</v>
      </c>
    </row>
    <row r="4375" spans="1:15" s="90" customFormat="1" ht="12.75" customHeight="1" x14ac:dyDescent="0.2">
      <c r="A4375" s="247" t="s">
        <v>1585</v>
      </c>
      <c r="B4375" s="316">
        <v>3037</v>
      </c>
      <c r="C4375" s="247" t="s">
        <v>996</v>
      </c>
      <c r="D4375" s="317">
        <v>42676</v>
      </c>
      <c r="E4375" s="318">
        <v>0.50423611111111111</v>
      </c>
      <c r="F4375" s="247" t="s">
        <v>980</v>
      </c>
      <c r="G4375" s="247" t="s">
        <v>1035</v>
      </c>
      <c r="H4375" s="248" t="s">
        <v>234</v>
      </c>
      <c r="I4375" s="248" t="s">
        <v>263</v>
      </c>
      <c r="J4375" s="247" t="s">
        <v>809</v>
      </c>
      <c r="K4375" s="249">
        <v>0</v>
      </c>
      <c r="M4375" s="90">
        <v>0</v>
      </c>
      <c r="N4375" s="90">
        <v>0</v>
      </c>
      <c r="O4375" s="90">
        <v>255</v>
      </c>
    </row>
    <row r="4376" spans="1:15" s="90" customFormat="1" ht="12.75" customHeight="1" x14ac:dyDescent="0.2">
      <c r="A4376" s="247" t="s">
        <v>1586</v>
      </c>
      <c r="B4376" s="316">
        <v>3037</v>
      </c>
      <c r="C4376" s="247" t="s">
        <v>996</v>
      </c>
      <c r="D4376" s="317">
        <v>42676</v>
      </c>
      <c r="E4376" s="318">
        <v>0.50424768518518526</v>
      </c>
      <c r="F4376" s="247" t="s">
        <v>980</v>
      </c>
      <c r="G4376" s="247" t="s">
        <v>1035</v>
      </c>
      <c r="H4376" s="248" t="s">
        <v>234</v>
      </c>
      <c r="I4376" s="248" t="s">
        <v>263</v>
      </c>
      <c r="J4376" s="247" t="s">
        <v>809</v>
      </c>
      <c r="K4376" s="249">
        <v>0</v>
      </c>
      <c r="M4376" s="90">
        <v>0</v>
      </c>
      <c r="N4376" s="90">
        <v>0</v>
      </c>
      <c r="O4376" s="90">
        <v>255</v>
      </c>
    </row>
    <row r="4377" spans="1:15" s="90" customFormat="1" ht="12.75" customHeight="1" x14ac:dyDescent="0.2">
      <c r="A4377" s="247" t="s">
        <v>1587</v>
      </c>
      <c r="B4377" s="316">
        <v>3037</v>
      </c>
      <c r="C4377" s="247" t="s">
        <v>996</v>
      </c>
      <c r="D4377" s="317">
        <v>42676</v>
      </c>
      <c r="E4377" s="318">
        <v>0.50424768518518526</v>
      </c>
      <c r="F4377" s="247" t="s">
        <v>980</v>
      </c>
      <c r="G4377" s="247" t="s">
        <v>1035</v>
      </c>
      <c r="H4377" s="248" t="s">
        <v>234</v>
      </c>
      <c r="I4377" s="248" t="s">
        <v>263</v>
      </c>
      <c r="J4377" s="247" t="s">
        <v>809</v>
      </c>
      <c r="K4377" s="249">
        <v>0</v>
      </c>
      <c r="M4377" s="90">
        <v>0</v>
      </c>
      <c r="N4377" s="90">
        <v>0</v>
      </c>
      <c r="O4377" s="90">
        <v>255</v>
      </c>
    </row>
    <row r="4378" spans="1:15" s="90" customFormat="1" ht="12.75" customHeight="1" x14ac:dyDescent="0.2">
      <c r="A4378" s="247" t="s">
        <v>1588</v>
      </c>
      <c r="B4378" s="316">
        <v>3037</v>
      </c>
      <c r="C4378" s="247" t="s">
        <v>996</v>
      </c>
      <c r="D4378" s="317">
        <v>42676</v>
      </c>
      <c r="E4378" s="318">
        <v>0.50424768518518526</v>
      </c>
      <c r="F4378" s="247" t="s">
        <v>980</v>
      </c>
      <c r="G4378" s="247" t="s">
        <v>1035</v>
      </c>
      <c r="H4378" s="248" t="s">
        <v>234</v>
      </c>
      <c r="I4378" s="248" t="s">
        <v>263</v>
      </c>
      <c r="J4378" s="247" t="s">
        <v>809</v>
      </c>
      <c r="K4378" s="249">
        <v>0</v>
      </c>
      <c r="M4378" s="90">
        <v>0</v>
      </c>
      <c r="N4378" s="90">
        <v>0</v>
      </c>
      <c r="O4378" s="90">
        <v>255</v>
      </c>
    </row>
    <row r="4379" spans="1:15" s="90" customFormat="1" ht="12.75" customHeight="1" x14ac:dyDescent="0.2">
      <c r="A4379" s="247" t="s">
        <v>1589</v>
      </c>
      <c r="B4379" s="316">
        <v>3037</v>
      </c>
      <c r="C4379" s="247" t="s">
        <v>996</v>
      </c>
      <c r="D4379" s="317">
        <v>42676</v>
      </c>
      <c r="E4379" s="318">
        <v>0.50424768518518526</v>
      </c>
      <c r="F4379" s="247" t="s">
        <v>980</v>
      </c>
      <c r="G4379" s="247" t="s">
        <v>1035</v>
      </c>
      <c r="H4379" s="248" t="s">
        <v>234</v>
      </c>
      <c r="I4379" s="248" t="s">
        <v>263</v>
      </c>
      <c r="J4379" s="247" t="s">
        <v>809</v>
      </c>
      <c r="K4379" s="249">
        <v>0</v>
      </c>
      <c r="M4379" s="90">
        <v>0</v>
      </c>
      <c r="N4379" s="90">
        <v>0</v>
      </c>
      <c r="O4379" s="90">
        <v>255</v>
      </c>
    </row>
    <row r="4380" spans="1:15" s="90" customFormat="1" ht="12.75" customHeight="1" x14ac:dyDescent="0.2">
      <c r="A4380" s="247" t="s">
        <v>1590</v>
      </c>
      <c r="B4380" s="316">
        <v>3037</v>
      </c>
      <c r="C4380" s="247" t="s">
        <v>996</v>
      </c>
      <c r="D4380" s="317">
        <v>42676</v>
      </c>
      <c r="E4380" s="318">
        <v>0.50424768518518526</v>
      </c>
      <c r="F4380" s="247" t="s">
        <v>980</v>
      </c>
      <c r="G4380" s="247" t="s">
        <v>1035</v>
      </c>
      <c r="H4380" s="248" t="s">
        <v>234</v>
      </c>
      <c r="I4380" s="248" t="s">
        <v>263</v>
      </c>
      <c r="J4380" s="247" t="s">
        <v>809</v>
      </c>
      <c r="K4380" s="249">
        <v>0</v>
      </c>
      <c r="M4380" s="90">
        <v>0</v>
      </c>
      <c r="N4380" s="90">
        <v>0</v>
      </c>
      <c r="O4380" s="90">
        <v>255</v>
      </c>
    </row>
    <row r="4381" spans="1:15" s="90" customFormat="1" ht="12.75" customHeight="1" x14ac:dyDescent="0.2">
      <c r="A4381" s="247" t="s">
        <v>1591</v>
      </c>
      <c r="B4381" s="316">
        <v>3037</v>
      </c>
      <c r="C4381" s="247" t="s">
        <v>996</v>
      </c>
      <c r="D4381" s="317">
        <v>42676</v>
      </c>
      <c r="E4381" s="318">
        <v>0.50424768518518526</v>
      </c>
      <c r="F4381" s="247" t="s">
        <v>980</v>
      </c>
      <c r="G4381" s="247" t="s">
        <v>1035</v>
      </c>
      <c r="H4381" s="248" t="s">
        <v>234</v>
      </c>
      <c r="I4381" s="248" t="s">
        <v>263</v>
      </c>
      <c r="J4381" s="247" t="s">
        <v>809</v>
      </c>
      <c r="K4381" s="249">
        <v>0</v>
      </c>
      <c r="M4381" s="90">
        <v>0</v>
      </c>
      <c r="N4381" s="90">
        <v>0</v>
      </c>
      <c r="O4381" s="90">
        <v>255</v>
      </c>
    </row>
    <row r="4382" spans="1:15" s="90" customFormat="1" ht="12.75" customHeight="1" x14ac:dyDescent="0.2">
      <c r="A4382" s="247" t="s">
        <v>1592</v>
      </c>
      <c r="B4382" s="316">
        <v>3037</v>
      </c>
      <c r="C4382" s="247" t="s">
        <v>996</v>
      </c>
      <c r="D4382" s="317">
        <v>42676</v>
      </c>
      <c r="E4382" s="318">
        <v>0.50424768518518526</v>
      </c>
      <c r="F4382" s="247" t="s">
        <v>980</v>
      </c>
      <c r="G4382" s="247" t="s">
        <v>1035</v>
      </c>
      <c r="H4382" s="248" t="s">
        <v>234</v>
      </c>
      <c r="I4382" s="248" t="s">
        <v>263</v>
      </c>
      <c r="J4382" s="247" t="s">
        <v>809</v>
      </c>
      <c r="K4382" s="249">
        <v>0</v>
      </c>
      <c r="M4382" s="90">
        <v>0</v>
      </c>
      <c r="N4382" s="90">
        <v>0</v>
      </c>
      <c r="O4382" s="90">
        <v>255</v>
      </c>
    </row>
    <row r="4383" spans="1:15" s="90" customFormat="1" ht="12.75" customHeight="1" x14ac:dyDescent="0.2">
      <c r="A4383" s="247" t="s">
        <v>1593</v>
      </c>
      <c r="B4383" s="316">
        <v>3037</v>
      </c>
      <c r="C4383" s="247" t="s">
        <v>996</v>
      </c>
      <c r="D4383" s="317">
        <v>42676</v>
      </c>
      <c r="E4383" s="318">
        <v>0.5042592592592593</v>
      </c>
      <c r="F4383" s="247" t="s">
        <v>980</v>
      </c>
      <c r="G4383" s="247" t="s">
        <v>1035</v>
      </c>
      <c r="H4383" s="248" t="s">
        <v>234</v>
      </c>
      <c r="I4383" s="248" t="s">
        <v>263</v>
      </c>
      <c r="J4383" s="247" t="s">
        <v>809</v>
      </c>
      <c r="K4383" s="249">
        <v>0</v>
      </c>
      <c r="M4383" s="90">
        <v>0</v>
      </c>
      <c r="N4383" s="90">
        <v>0</v>
      </c>
      <c r="O4383" s="90">
        <v>255</v>
      </c>
    </row>
    <row r="4384" spans="1:15" s="90" customFormat="1" ht="12.75" customHeight="1" x14ac:dyDescent="0.2">
      <c r="A4384" s="247" t="s">
        <v>1594</v>
      </c>
      <c r="B4384" s="316">
        <v>3037</v>
      </c>
      <c r="C4384" s="247" t="s">
        <v>996</v>
      </c>
      <c r="D4384" s="317">
        <v>42676</v>
      </c>
      <c r="E4384" s="318">
        <v>0.5042592592592593</v>
      </c>
      <c r="F4384" s="247" t="s">
        <v>980</v>
      </c>
      <c r="G4384" s="247" t="s">
        <v>1035</v>
      </c>
      <c r="H4384" s="248" t="s">
        <v>234</v>
      </c>
      <c r="I4384" s="248" t="s">
        <v>263</v>
      </c>
      <c r="J4384" s="247" t="s">
        <v>809</v>
      </c>
      <c r="K4384" s="249">
        <v>0</v>
      </c>
      <c r="M4384" s="90">
        <v>0</v>
      </c>
      <c r="N4384" s="90">
        <v>0</v>
      </c>
      <c r="O4384" s="90">
        <v>255</v>
      </c>
    </row>
    <row r="4385" spans="1:15" s="90" customFormat="1" ht="12.75" customHeight="1" x14ac:dyDescent="0.2">
      <c r="A4385" s="247" t="s">
        <v>1595</v>
      </c>
      <c r="B4385" s="316">
        <v>3037</v>
      </c>
      <c r="C4385" s="247" t="s">
        <v>996</v>
      </c>
      <c r="D4385" s="317">
        <v>42676</v>
      </c>
      <c r="E4385" s="318">
        <v>0.5042592592592593</v>
      </c>
      <c r="F4385" s="247" t="s">
        <v>980</v>
      </c>
      <c r="G4385" s="247" t="s">
        <v>1035</v>
      </c>
      <c r="H4385" s="248" t="s">
        <v>234</v>
      </c>
      <c r="I4385" s="248" t="s">
        <v>263</v>
      </c>
      <c r="J4385" s="247" t="s">
        <v>809</v>
      </c>
      <c r="K4385" s="249">
        <v>0</v>
      </c>
      <c r="M4385" s="90">
        <v>0</v>
      </c>
      <c r="N4385" s="90">
        <v>0</v>
      </c>
      <c r="O4385" s="90">
        <v>255</v>
      </c>
    </row>
    <row r="4386" spans="1:15" s="90" customFormat="1" ht="12.75" customHeight="1" x14ac:dyDescent="0.2">
      <c r="A4386" s="247" t="s">
        <v>1596</v>
      </c>
      <c r="B4386" s="316">
        <v>3037</v>
      </c>
      <c r="C4386" s="247" t="s">
        <v>996</v>
      </c>
      <c r="D4386" s="317">
        <v>42676</v>
      </c>
      <c r="E4386" s="318">
        <v>0.5042592592592593</v>
      </c>
      <c r="F4386" s="247" t="s">
        <v>980</v>
      </c>
      <c r="G4386" s="247" t="s">
        <v>1035</v>
      </c>
      <c r="H4386" s="248" t="s">
        <v>234</v>
      </c>
      <c r="I4386" s="248" t="s">
        <v>263</v>
      </c>
      <c r="J4386" s="247" t="s">
        <v>809</v>
      </c>
      <c r="K4386" s="249">
        <v>0</v>
      </c>
      <c r="M4386" s="90">
        <v>0</v>
      </c>
      <c r="N4386" s="90">
        <v>0</v>
      </c>
      <c r="O4386" s="90">
        <v>255</v>
      </c>
    </row>
    <row r="4387" spans="1:15" s="90" customFormat="1" ht="12.75" customHeight="1" x14ac:dyDescent="0.2">
      <c r="A4387" s="247" t="s">
        <v>1597</v>
      </c>
      <c r="B4387" s="316">
        <v>3037</v>
      </c>
      <c r="C4387" s="247" t="s">
        <v>996</v>
      </c>
      <c r="D4387" s="317">
        <v>42676</v>
      </c>
      <c r="E4387" s="318">
        <v>0.50427083333333333</v>
      </c>
      <c r="F4387" s="247" t="s">
        <v>980</v>
      </c>
      <c r="G4387" s="247" t="s">
        <v>1035</v>
      </c>
      <c r="H4387" s="248" t="s">
        <v>234</v>
      </c>
      <c r="I4387" s="248" t="s">
        <v>263</v>
      </c>
      <c r="J4387" s="247" t="s">
        <v>809</v>
      </c>
      <c r="K4387" s="249">
        <v>0</v>
      </c>
      <c r="M4387" s="90">
        <v>0</v>
      </c>
      <c r="N4387" s="90">
        <v>0</v>
      </c>
      <c r="O4387" s="90">
        <v>255</v>
      </c>
    </row>
    <row r="4388" spans="1:15" s="90" customFormat="1" ht="12.75" customHeight="1" x14ac:dyDescent="0.2">
      <c r="A4388" s="247" t="s">
        <v>1598</v>
      </c>
      <c r="B4388" s="316">
        <v>3037</v>
      </c>
      <c r="C4388" s="247" t="s">
        <v>996</v>
      </c>
      <c r="D4388" s="317">
        <v>42676</v>
      </c>
      <c r="E4388" s="318">
        <v>0.50427083333333333</v>
      </c>
      <c r="F4388" s="247" t="s">
        <v>980</v>
      </c>
      <c r="G4388" s="247" t="s">
        <v>1035</v>
      </c>
      <c r="H4388" s="248" t="s">
        <v>234</v>
      </c>
      <c r="I4388" s="248" t="s">
        <v>263</v>
      </c>
      <c r="J4388" s="247" t="s">
        <v>809</v>
      </c>
      <c r="K4388" s="249">
        <v>0</v>
      </c>
      <c r="M4388" s="90">
        <v>0</v>
      </c>
      <c r="N4388" s="90">
        <v>0</v>
      </c>
      <c r="O4388" s="90">
        <v>255</v>
      </c>
    </row>
    <row r="4389" spans="1:15" s="90" customFormat="1" ht="12.75" customHeight="1" x14ac:dyDescent="0.2">
      <c r="A4389" s="247" t="s">
        <v>1599</v>
      </c>
      <c r="B4389" s="316">
        <v>3037</v>
      </c>
      <c r="C4389" s="247" t="s">
        <v>996</v>
      </c>
      <c r="D4389" s="317">
        <v>42676</v>
      </c>
      <c r="E4389" s="318">
        <v>0.50427083333333333</v>
      </c>
      <c r="F4389" s="247" t="s">
        <v>980</v>
      </c>
      <c r="G4389" s="247" t="s">
        <v>1035</v>
      </c>
      <c r="H4389" s="248" t="s">
        <v>234</v>
      </c>
      <c r="I4389" s="248" t="s">
        <v>263</v>
      </c>
      <c r="J4389" s="247" t="s">
        <v>809</v>
      </c>
      <c r="K4389" s="249">
        <v>0</v>
      </c>
      <c r="M4389" s="90">
        <v>0</v>
      </c>
      <c r="N4389" s="90">
        <v>0</v>
      </c>
      <c r="O4389" s="90">
        <v>255</v>
      </c>
    </row>
    <row r="4390" spans="1:15" s="90" customFormat="1" ht="12.75" customHeight="1" x14ac:dyDescent="0.2">
      <c r="A4390" s="247" t="s">
        <v>1600</v>
      </c>
      <c r="B4390" s="316">
        <v>3037</v>
      </c>
      <c r="C4390" s="247" t="s">
        <v>996</v>
      </c>
      <c r="D4390" s="317">
        <v>42676</v>
      </c>
      <c r="E4390" s="318">
        <v>0.50427083333333333</v>
      </c>
      <c r="F4390" s="247" t="s">
        <v>980</v>
      </c>
      <c r="G4390" s="247" t="s">
        <v>1035</v>
      </c>
      <c r="H4390" s="248" t="s">
        <v>234</v>
      </c>
      <c r="I4390" s="248" t="s">
        <v>263</v>
      </c>
      <c r="J4390" s="247" t="s">
        <v>809</v>
      </c>
      <c r="K4390" s="249">
        <v>0</v>
      </c>
      <c r="M4390" s="90">
        <v>0</v>
      </c>
      <c r="N4390" s="90">
        <v>0</v>
      </c>
      <c r="O4390" s="90">
        <v>255</v>
      </c>
    </row>
    <row r="4391" spans="1:15" s="90" customFormat="1" ht="12.75" customHeight="1" x14ac:dyDescent="0.2">
      <c r="A4391" s="247" t="s">
        <v>1601</v>
      </c>
      <c r="B4391" s="316">
        <v>3037</v>
      </c>
      <c r="C4391" s="247" t="s">
        <v>996</v>
      </c>
      <c r="D4391" s="317">
        <v>42676</v>
      </c>
      <c r="E4391" s="318">
        <v>0.50427083333333333</v>
      </c>
      <c r="F4391" s="247" t="s">
        <v>980</v>
      </c>
      <c r="G4391" s="247" t="s">
        <v>1035</v>
      </c>
      <c r="H4391" s="248" t="s">
        <v>234</v>
      </c>
      <c r="I4391" s="248" t="s">
        <v>263</v>
      </c>
      <c r="J4391" s="247" t="s">
        <v>809</v>
      </c>
      <c r="K4391" s="249">
        <v>0</v>
      </c>
      <c r="M4391" s="90">
        <v>0</v>
      </c>
      <c r="N4391" s="90">
        <v>0</v>
      </c>
      <c r="O4391" s="90">
        <v>255</v>
      </c>
    </row>
    <row r="4392" spans="1:15" s="90" customFormat="1" ht="12.75" customHeight="1" x14ac:dyDescent="0.2">
      <c r="A4392" s="247" t="s">
        <v>1602</v>
      </c>
      <c r="B4392" s="316">
        <v>3037</v>
      </c>
      <c r="C4392" s="247" t="s">
        <v>996</v>
      </c>
      <c r="D4392" s="317">
        <v>42676</v>
      </c>
      <c r="E4392" s="318">
        <v>0.50428240740740737</v>
      </c>
      <c r="F4392" s="247" t="s">
        <v>980</v>
      </c>
      <c r="G4392" s="247" t="s">
        <v>1035</v>
      </c>
      <c r="H4392" s="248" t="s">
        <v>234</v>
      </c>
      <c r="I4392" s="248" t="s">
        <v>263</v>
      </c>
      <c r="J4392" s="247" t="s">
        <v>809</v>
      </c>
      <c r="K4392" s="249">
        <v>0</v>
      </c>
      <c r="M4392" s="90">
        <v>0</v>
      </c>
      <c r="N4392" s="90">
        <v>0</v>
      </c>
      <c r="O4392" s="90">
        <v>255</v>
      </c>
    </row>
    <row r="4393" spans="1:15" s="90" customFormat="1" ht="12.75" customHeight="1" x14ac:dyDescent="0.2">
      <c r="A4393" s="247" t="s">
        <v>1603</v>
      </c>
      <c r="B4393" s="316">
        <v>3037</v>
      </c>
      <c r="C4393" s="247" t="s">
        <v>996</v>
      </c>
      <c r="D4393" s="317">
        <v>42676</v>
      </c>
      <c r="E4393" s="318">
        <v>0.50428240740740737</v>
      </c>
      <c r="F4393" s="247" t="s">
        <v>980</v>
      </c>
      <c r="G4393" s="247" t="s">
        <v>1035</v>
      </c>
      <c r="H4393" s="248" t="s">
        <v>234</v>
      </c>
      <c r="I4393" s="248" t="s">
        <v>263</v>
      </c>
      <c r="J4393" s="247" t="s">
        <v>809</v>
      </c>
      <c r="K4393" s="249">
        <v>0</v>
      </c>
      <c r="M4393" s="90">
        <v>0</v>
      </c>
      <c r="N4393" s="90">
        <v>0</v>
      </c>
      <c r="O4393" s="90">
        <v>255</v>
      </c>
    </row>
    <row r="4394" spans="1:15" s="90" customFormat="1" ht="12.75" customHeight="1" x14ac:dyDescent="0.2">
      <c r="A4394" s="247" t="s">
        <v>1604</v>
      </c>
      <c r="B4394" s="316">
        <v>3037</v>
      </c>
      <c r="C4394" s="247" t="s">
        <v>996</v>
      </c>
      <c r="D4394" s="317">
        <v>42676</v>
      </c>
      <c r="E4394" s="318">
        <v>0.50428240740740737</v>
      </c>
      <c r="F4394" s="247" t="s">
        <v>980</v>
      </c>
      <c r="G4394" s="247" t="s">
        <v>1035</v>
      </c>
      <c r="H4394" s="248" t="s">
        <v>234</v>
      </c>
      <c r="I4394" s="248" t="s">
        <v>263</v>
      </c>
      <c r="J4394" s="247" t="s">
        <v>809</v>
      </c>
      <c r="K4394" s="249">
        <v>0</v>
      </c>
      <c r="M4394" s="90">
        <v>0</v>
      </c>
      <c r="N4394" s="90">
        <v>0</v>
      </c>
      <c r="O4394" s="90">
        <v>255</v>
      </c>
    </row>
    <row r="4395" spans="1:15" s="90" customFormat="1" ht="12.75" customHeight="1" x14ac:dyDescent="0.2">
      <c r="A4395" s="247" t="s">
        <v>1605</v>
      </c>
      <c r="B4395" s="316">
        <v>3037</v>
      </c>
      <c r="C4395" s="247" t="s">
        <v>996</v>
      </c>
      <c r="D4395" s="317">
        <v>42676</v>
      </c>
      <c r="E4395" s="318">
        <v>0.50428240740740737</v>
      </c>
      <c r="F4395" s="247" t="s">
        <v>980</v>
      </c>
      <c r="G4395" s="247" t="s">
        <v>1035</v>
      </c>
      <c r="H4395" s="248" t="s">
        <v>234</v>
      </c>
      <c r="I4395" s="248" t="s">
        <v>263</v>
      </c>
      <c r="J4395" s="247" t="s">
        <v>809</v>
      </c>
      <c r="K4395" s="249">
        <v>0</v>
      </c>
      <c r="M4395" s="90">
        <v>0</v>
      </c>
      <c r="N4395" s="90">
        <v>0</v>
      </c>
      <c r="O4395" s="90">
        <v>255</v>
      </c>
    </row>
    <row r="4396" spans="1:15" s="90" customFormat="1" ht="12.75" customHeight="1" x14ac:dyDescent="0.2">
      <c r="A4396" s="247" t="s">
        <v>1606</v>
      </c>
      <c r="B4396" s="316">
        <v>3037</v>
      </c>
      <c r="C4396" s="247" t="s">
        <v>996</v>
      </c>
      <c r="D4396" s="317">
        <v>42676</v>
      </c>
      <c r="E4396" s="318">
        <v>0.50428240740740737</v>
      </c>
      <c r="F4396" s="247" t="s">
        <v>980</v>
      </c>
      <c r="G4396" s="247" t="s">
        <v>1035</v>
      </c>
      <c r="H4396" s="248" t="s">
        <v>234</v>
      </c>
      <c r="I4396" s="248" t="s">
        <v>263</v>
      </c>
      <c r="J4396" s="247" t="s">
        <v>809</v>
      </c>
      <c r="K4396" s="249">
        <v>0</v>
      </c>
      <c r="M4396" s="90">
        <v>0</v>
      </c>
      <c r="N4396" s="90">
        <v>0</v>
      </c>
      <c r="O4396" s="90">
        <v>255</v>
      </c>
    </row>
    <row r="4397" spans="1:15" s="90" customFormat="1" ht="12.75" customHeight="1" x14ac:dyDescent="0.2">
      <c r="A4397" s="247" t="s">
        <v>1607</v>
      </c>
      <c r="B4397" s="316">
        <v>3037</v>
      </c>
      <c r="C4397" s="247" t="s">
        <v>996</v>
      </c>
      <c r="D4397" s="317">
        <v>42676</v>
      </c>
      <c r="E4397" s="318">
        <v>0.50428240740740737</v>
      </c>
      <c r="F4397" s="247" t="s">
        <v>980</v>
      </c>
      <c r="G4397" s="247" t="s">
        <v>1035</v>
      </c>
      <c r="H4397" s="248" t="s">
        <v>234</v>
      </c>
      <c r="I4397" s="248" t="s">
        <v>263</v>
      </c>
      <c r="J4397" s="247" t="s">
        <v>809</v>
      </c>
      <c r="K4397" s="249">
        <v>0</v>
      </c>
      <c r="M4397" s="90">
        <v>0</v>
      </c>
      <c r="N4397" s="90">
        <v>0</v>
      </c>
      <c r="O4397" s="90">
        <v>255</v>
      </c>
    </row>
    <row r="4398" spans="1:15" s="90" customFormat="1" ht="12.75" customHeight="1" x14ac:dyDescent="0.2">
      <c r="A4398" s="247" t="s">
        <v>1608</v>
      </c>
      <c r="B4398" s="316">
        <v>3037</v>
      </c>
      <c r="C4398" s="247" t="s">
        <v>996</v>
      </c>
      <c r="D4398" s="317">
        <v>42676</v>
      </c>
      <c r="E4398" s="318">
        <v>0.50429398148148141</v>
      </c>
      <c r="F4398" s="247" t="s">
        <v>980</v>
      </c>
      <c r="G4398" s="247" t="s">
        <v>1035</v>
      </c>
      <c r="H4398" s="248" t="s">
        <v>234</v>
      </c>
      <c r="I4398" s="248" t="s">
        <v>263</v>
      </c>
      <c r="J4398" s="247" t="s">
        <v>809</v>
      </c>
      <c r="K4398" s="249">
        <v>0</v>
      </c>
      <c r="M4398" s="90">
        <v>0</v>
      </c>
      <c r="N4398" s="90">
        <v>0</v>
      </c>
      <c r="O4398" s="90">
        <v>255</v>
      </c>
    </row>
    <row r="4399" spans="1:15" s="90" customFormat="1" ht="12.75" customHeight="1" x14ac:dyDescent="0.2">
      <c r="A4399" s="247" t="s">
        <v>1609</v>
      </c>
      <c r="B4399" s="316">
        <v>3037</v>
      </c>
      <c r="C4399" s="247" t="s">
        <v>996</v>
      </c>
      <c r="D4399" s="317">
        <v>42676</v>
      </c>
      <c r="E4399" s="318">
        <v>0.50429398148148141</v>
      </c>
      <c r="F4399" s="247" t="s">
        <v>980</v>
      </c>
      <c r="G4399" s="247" t="s">
        <v>1035</v>
      </c>
      <c r="H4399" s="248" t="s">
        <v>234</v>
      </c>
      <c r="I4399" s="248" t="s">
        <v>263</v>
      </c>
      <c r="J4399" s="247" t="s">
        <v>809</v>
      </c>
      <c r="K4399" s="249">
        <v>0</v>
      </c>
      <c r="M4399" s="90">
        <v>0</v>
      </c>
      <c r="N4399" s="90">
        <v>0</v>
      </c>
      <c r="O4399" s="90">
        <v>255</v>
      </c>
    </row>
    <row r="4400" spans="1:15" s="90" customFormat="1" ht="12.75" customHeight="1" x14ac:dyDescent="0.2">
      <c r="A4400" s="247" t="s">
        <v>1610</v>
      </c>
      <c r="B4400" s="316">
        <v>3037</v>
      </c>
      <c r="C4400" s="247" t="s">
        <v>996</v>
      </c>
      <c r="D4400" s="317">
        <v>42676</v>
      </c>
      <c r="E4400" s="318">
        <v>0.50429398148148141</v>
      </c>
      <c r="F4400" s="247" t="s">
        <v>980</v>
      </c>
      <c r="G4400" s="247" t="s">
        <v>1035</v>
      </c>
      <c r="H4400" s="248" t="s">
        <v>234</v>
      </c>
      <c r="I4400" s="248" t="s">
        <v>263</v>
      </c>
      <c r="J4400" s="247" t="s">
        <v>809</v>
      </c>
      <c r="K4400" s="249">
        <v>0</v>
      </c>
      <c r="M4400" s="90">
        <v>0</v>
      </c>
      <c r="N4400" s="90">
        <v>0</v>
      </c>
      <c r="O4400" s="90">
        <v>255</v>
      </c>
    </row>
    <row r="4401" spans="1:15" s="90" customFormat="1" ht="12.75" customHeight="1" x14ac:dyDescent="0.2">
      <c r="A4401" s="247" t="s">
        <v>1611</v>
      </c>
      <c r="B4401" s="316">
        <v>3037</v>
      </c>
      <c r="C4401" s="247" t="s">
        <v>996</v>
      </c>
      <c r="D4401" s="317">
        <v>42676</v>
      </c>
      <c r="E4401" s="318">
        <v>0.50429398148148141</v>
      </c>
      <c r="F4401" s="247" t="s">
        <v>980</v>
      </c>
      <c r="G4401" s="247" t="s">
        <v>1035</v>
      </c>
      <c r="H4401" s="248" t="s">
        <v>234</v>
      </c>
      <c r="I4401" s="248" t="s">
        <v>263</v>
      </c>
      <c r="J4401" s="247" t="s">
        <v>809</v>
      </c>
      <c r="K4401" s="249">
        <v>0</v>
      </c>
      <c r="M4401" s="90">
        <v>0</v>
      </c>
      <c r="N4401" s="90">
        <v>0</v>
      </c>
      <c r="O4401" s="90">
        <v>255</v>
      </c>
    </row>
    <row r="4402" spans="1:15" s="90" customFormat="1" ht="12.75" customHeight="1" x14ac:dyDescent="0.2">
      <c r="A4402" s="247" t="s">
        <v>1612</v>
      </c>
      <c r="B4402" s="316">
        <v>3037</v>
      </c>
      <c r="C4402" s="247" t="s">
        <v>996</v>
      </c>
      <c r="D4402" s="317">
        <v>42676</v>
      </c>
      <c r="E4402" s="318">
        <v>0.50429398148148141</v>
      </c>
      <c r="F4402" s="247" t="s">
        <v>980</v>
      </c>
      <c r="G4402" s="247" t="s">
        <v>1035</v>
      </c>
      <c r="H4402" s="248" t="s">
        <v>234</v>
      </c>
      <c r="I4402" s="248" t="s">
        <v>263</v>
      </c>
      <c r="J4402" s="247" t="s">
        <v>809</v>
      </c>
      <c r="K4402" s="249">
        <v>0</v>
      </c>
      <c r="M4402" s="90">
        <v>0</v>
      </c>
      <c r="N4402" s="90">
        <v>0</v>
      </c>
      <c r="O4402" s="90">
        <v>255</v>
      </c>
    </row>
    <row r="4403" spans="1:15" s="90" customFormat="1" ht="12.75" customHeight="1" x14ac:dyDescent="0.2">
      <c r="A4403" s="247" t="s">
        <v>1613</v>
      </c>
      <c r="B4403" s="316">
        <v>3037</v>
      </c>
      <c r="C4403" s="247" t="s">
        <v>996</v>
      </c>
      <c r="D4403" s="317">
        <v>42676</v>
      </c>
      <c r="E4403" s="318">
        <v>0.50429398148148141</v>
      </c>
      <c r="F4403" s="247" t="s">
        <v>980</v>
      </c>
      <c r="G4403" s="247" t="s">
        <v>1035</v>
      </c>
      <c r="H4403" s="248" t="s">
        <v>234</v>
      </c>
      <c r="I4403" s="248" t="s">
        <v>263</v>
      </c>
      <c r="J4403" s="247" t="s">
        <v>809</v>
      </c>
      <c r="K4403" s="249">
        <v>0</v>
      </c>
      <c r="M4403" s="90">
        <v>0</v>
      </c>
      <c r="N4403" s="90">
        <v>0</v>
      </c>
      <c r="O4403" s="90">
        <v>255</v>
      </c>
    </row>
    <row r="4404" spans="1:15" s="90" customFormat="1" ht="12.75" customHeight="1" x14ac:dyDescent="0.2">
      <c r="A4404" s="247" t="s">
        <v>1614</v>
      </c>
      <c r="B4404" s="316">
        <v>3037</v>
      </c>
      <c r="C4404" s="247" t="s">
        <v>996</v>
      </c>
      <c r="D4404" s="317">
        <v>42676</v>
      </c>
      <c r="E4404" s="318">
        <v>0.50430555555555556</v>
      </c>
      <c r="F4404" s="247" t="s">
        <v>980</v>
      </c>
      <c r="G4404" s="247" t="s">
        <v>1035</v>
      </c>
      <c r="H4404" s="248" t="s">
        <v>234</v>
      </c>
      <c r="I4404" s="248" t="s">
        <v>263</v>
      </c>
      <c r="J4404" s="247" t="s">
        <v>809</v>
      </c>
      <c r="K4404" s="249">
        <v>0</v>
      </c>
      <c r="M4404" s="90">
        <v>0</v>
      </c>
      <c r="N4404" s="90">
        <v>0</v>
      </c>
      <c r="O4404" s="90">
        <v>255</v>
      </c>
    </row>
    <row r="4405" spans="1:15" s="90" customFormat="1" ht="12.75" customHeight="1" x14ac:dyDescent="0.2">
      <c r="A4405" s="247" t="s">
        <v>1615</v>
      </c>
      <c r="B4405" s="316">
        <v>3037</v>
      </c>
      <c r="C4405" s="247" t="s">
        <v>996</v>
      </c>
      <c r="D4405" s="317">
        <v>42676</v>
      </c>
      <c r="E4405" s="318">
        <v>0.50430555555555556</v>
      </c>
      <c r="F4405" s="247" t="s">
        <v>980</v>
      </c>
      <c r="G4405" s="247" t="s">
        <v>1035</v>
      </c>
      <c r="H4405" s="248" t="s">
        <v>234</v>
      </c>
      <c r="I4405" s="248" t="s">
        <v>263</v>
      </c>
      <c r="J4405" s="247" t="s">
        <v>809</v>
      </c>
      <c r="K4405" s="249">
        <v>0</v>
      </c>
      <c r="M4405" s="90">
        <v>0</v>
      </c>
      <c r="N4405" s="90">
        <v>0</v>
      </c>
      <c r="O4405" s="90">
        <v>255</v>
      </c>
    </row>
    <row r="4406" spans="1:15" s="90" customFormat="1" ht="12.75" customHeight="1" x14ac:dyDescent="0.2">
      <c r="A4406" s="247" t="s">
        <v>1616</v>
      </c>
      <c r="B4406" s="316">
        <v>3037</v>
      </c>
      <c r="C4406" s="247" t="s">
        <v>996</v>
      </c>
      <c r="D4406" s="317">
        <v>42676</v>
      </c>
      <c r="E4406" s="318">
        <v>0.50430555555555556</v>
      </c>
      <c r="F4406" s="247" t="s">
        <v>980</v>
      </c>
      <c r="G4406" s="247" t="s">
        <v>1035</v>
      </c>
      <c r="H4406" s="248" t="s">
        <v>234</v>
      </c>
      <c r="I4406" s="248" t="s">
        <v>263</v>
      </c>
      <c r="J4406" s="247" t="s">
        <v>809</v>
      </c>
      <c r="K4406" s="249">
        <v>0</v>
      </c>
      <c r="M4406" s="90">
        <v>0</v>
      </c>
      <c r="N4406" s="90">
        <v>0</v>
      </c>
      <c r="O4406" s="90">
        <v>255</v>
      </c>
    </row>
    <row r="4407" spans="1:15" s="90" customFormat="1" ht="12.75" customHeight="1" x14ac:dyDescent="0.2">
      <c r="A4407" s="247" t="s">
        <v>1617</v>
      </c>
      <c r="B4407" s="316">
        <v>3037</v>
      </c>
      <c r="C4407" s="247" t="s">
        <v>996</v>
      </c>
      <c r="D4407" s="317">
        <v>42676</v>
      </c>
      <c r="E4407" s="318">
        <v>0.50430555555555556</v>
      </c>
      <c r="F4407" s="247" t="s">
        <v>980</v>
      </c>
      <c r="G4407" s="247" t="s">
        <v>1035</v>
      </c>
      <c r="H4407" s="248" t="s">
        <v>234</v>
      </c>
      <c r="I4407" s="248" t="s">
        <v>263</v>
      </c>
      <c r="J4407" s="247" t="s">
        <v>809</v>
      </c>
      <c r="K4407" s="249">
        <v>0</v>
      </c>
      <c r="M4407" s="90">
        <v>0</v>
      </c>
      <c r="N4407" s="90">
        <v>0</v>
      </c>
      <c r="O4407" s="90">
        <v>255</v>
      </c>
    </row>
    <row r="4408" spans="1:15" s="90" customFormat="1" ht="12.75" customHeight="1" x14ac:dyDescent="0.2">
      <c r="A4408" s="247" t="s">
        <v>1618</v>
      </c>
      <c r="B4408" s="316">
        <v>3037</v>
      </c>
      <c r="C4408" s="247" t="s">
        <v>996</v>
      </c>
      <c r="D4408" s="317">
        <v>42676</v>
      </c>
      <c r="E4408" s="318">
        <v>0.50430555555555556</v>
      </c>
      <c r="F4408" s="247" t="s">
        <v>980</v>
      </c>
      <c r="G4408" s="247" t="s">
        <v>1035</v>
      </c>
      <c r="H4408" s="248" t="s">
        <v>234</v>
      </c>
      <c r="I4408" s="248" t="s">
        <v>263</v>
      </c>
      <c r="J4408" s="247" t="s">
        <v>809</v>
      </c>
      <c r="K4408" s="249">
        <v>0</v>
      </c>
      <c r="M4408" s="90">
        <v>0</v>
      </c>
      <c r="N4408" s="90">
        <v>0</v>
      </c>
      <c r="O4408" s="90">
        <v>255</v>
      </c>
    </row>
    <row r="4409" spans="1:15" s="90" customFormat="1" ht="12.75" customHeight="1" x14ac:dyDescent="0.2">
      <c r="A4409" s="247" t="s">
        <v>1619</v>
      </c>
      <c r="B4409" s="316">
        <v>3037</v>
      </c>
      <c r="C4409" s="247" t="s">
        <v>996</v>
      </c>
      <c r="D4409" s="317">
        <v>42676</v>
      </c>
      <c r="E4409" s="318">
        <v>0.5043171296296296</v>
      </c>
      <c r="F4409" s="247" t="s">
        <v>980</v>
      </c>
      <c r="G4409" s="247" t="s">
        <v>1035</v>
      </c>
      <c r="H4409" s="248" t="s">
        <v>234</v>
      </c>
      <c r="I4409" s="248" t="s">
        <v>263</v>
      </c>
      <c r="J4409" s="247" t="s">
        <v>809</v>
      </c>
      <c r="K4409" s="249">
        <v>0</v>
      </c>
      <c r="M4409" s="90">
        <v>0</v>
      </c>
      <c r="N4409" s="90">
        <v>0</v>
      </c>
      <c r="O4409" s="90">
        <v>255</v>
      </c>
    </row>
    <row r="4410" spans="1:15" s="90" customFormat="1" ht="12.75" customHeight="1" x14ac:dyDescent="0.2">
      <c r="A4410" s="247" t="s">
        <v>1620</v>
      </c>
      <c r="B4410" s="316">
        <v>3037</v>
      </c>
      <c r="C4410" s="247" t="s">
        <v>996</v>
      </c>
      <c r="D4410" s="317">
        <v>42676</v>
      </c>
      <c r="E4410" s="318">
        <v>0.5043171296296296</v>
      </c>
      <c r="F4410" s="247" t="s">
        <v>980</v>
      </c>
      <c r="G4410" s="247" t="s">
        <v>1035</v>
      </c>
      <c r="H4410" s="248" t="s">
        <v>234</v>
      </c>
      <c r="I4410" s="248" t="s">
        <v>263</v>
      </c>
      <c r="J4410" s="247" t="s">
        <v>809</v>
      </c>
      <c r="K4410" s="249">
        <v>0</v>
      </c>
      <c r="M4410" s="90">
        <v>0</v>
      </c>
      <c r="N4410" s="90">
        <v>0</v>
      </c>
      <c r="O4410" s="90">
        <v>255</v>
      </c>
    </row>
    <row r="4411" spans="1:15" s="90" customFormat="1" ht="12.75" customHeight="1" x14ac:dyDescent="0.2">
      <c r="A4411" s="247" t="s">
        <v>1621</v>
      </c>
      <c r="B4411" s="316">
        <v>3037</v>
      </c>
      <c r="C4411" s="247" t="s">
        <v>996</v>
      </c>
      <c r="D4411" s="317">
        <v>42676</v>
      </c>
      <c r="E4411" s="318">
        <v>0.50432870370370375</v>
      </c>
      <c r="F4411" s="247" t="s">
        <v>980</v>
      </c>
      <c r="G4411" s="247" t="s">
        <v>1035</v>
      </c>
      <c r="H4411" s="248" t="s">
        <v>234</v>
      </c>
      <c r="I4411" s="248" t="s">
        <v>263</v>
      </c>
      <c r="J4411" s="247" t="s">
        <v>809</v>
      </c>
      <c r="K4411" s="249">
        <v>0</v>
      </c>
      <c r="M4411" s="90">
        <v>0</v>
      </c>
      <c r="N4411" s="90">
        <v>0</v>
      </c>
      <c r="O4411" s="90">
        <v>255</v>
      </c>
    </row>
    <row r="4412" spans="1:15" s="90" customFormat="1" ht="12.75" customHeight="1" x14ac:dyDescent="0.2">
      <c r="A4412" s="247" t="s">
        <v>1622</v>
      </c>
      <c r="B4412" s="316">
        <v>3037</v>
      </c>
      <c r="C4412" s="247" t="s">
        <v>996</v>
      </c>
      <c r="D4412" s="317">
        <v>42676</v>
      </c>
      <c r="E4412" s="318">
        <v>0.50432870370370375</v>
      </c>
      <c r="F4412" s="247" t="s">
        <v>980</v>
      </c>
      <c r="G4412" s="247" t="s">
        <v>1035</v>
      </c>
      <c r="H4412" s="248" t="s">
        <v>234</v>
      </c>
      <c r="I4412" s="248" t="s">
        <v>263</v>
      </c>
      <c r="J4412" s="247" t="s">
        <v>809</v>
      </c>
      <c r="K4412" s="249">
        <v>0</v>
      </c>
      <c r="M4412" s="90">
        <v>0</v>
      </c>
      <c r="N4412" s="90">
        <v>0</v>
      </c>
      <c r="O4412" s="90">
        <v>255</v>
      </c>
    </row>
    <row r="4413" spans="1:15" s="90" customFormat="1" ht="12.75" customHeight="1" x14ac:dyDescent="0.2">
      <c r="A4413" s="247" t="s">
        <v>1623</v>
      </c>
      <c r="B4413" s="316">
        <v>3037</v>
      </c>
      <c r="C4413" s="247" t="s">
        <v>996</v>
      </c>
      <c r="D4413" s="317">
        <v>42676</v>
      </c>
      <c r="E4413" s="318">
        <v>0.50432870370370375</v>
      </c>
      <c r="F4413" s="247" t="s">
        <v>980</v>
      </c>
      <c r="G4413" s="247" t="s">
        <v>1035</v>
      </c>
      <c r="H4413" s="248" t="s">
        <v>234</v>
      </c>
      <c r="I4413" s="248" t="s">
        <v>263</v>
      </c>
      <c r="J4413" s="247" t="s">
        <v>809</v>
      </c>
      <c r="K4413" s="249">
        <v>0</v>
      </c>
      <c r="M4413" s="90">
        <v>0</v>
      </c>
      <c r="N4413" s="90">
        <v>0</v>
      </c>
      <c r="O4413" s="90">
        <v>255</v>
      </c>
    </row>
    <row r="4414" spans="1:15" s="90" customFormat="1" ht="12.75" customHeight="1" x14ac:dyDescent="0.2">
      <c r="A4414" s="247" t="s">
        <v>1624</v>
      </c>
      <c r="B4414" s="316">
        <v>3037</v>
      </c>
      <c r="C4414" s="247" t="s">
        <v>996</v>
      </c>
      <c r="D4414" s="317">
        <v>42676</v>
      </c>
      <c r="E4414" s="318">
        <v>0.50434027777777779</v>
      </c>
      <c r="F4414" s="247" t="s">
        <v>980</v>
      </c>
      <c r="G4414" s="247" t="s">
        <v>1035</v>
      </c>
      <c r="H4414" s="248" t="s">
        <v>234</v>
      </c>
      <c r="I4414" s="248" t="s">
        <v>263</v>
      </c>
      <c r="J4414" s="247" t="s">
        <v>809</v>
      </c>
      <c r="K4414" s="249">
        <v>0</v>
      </c>
      <c r="M4414" s="90">
        <v>0</v>
      </c>
      <c r="N4414" s="90">
        <v>0</v>
      </c>
      <c r="O4414" s="90">
        <v>255</v>
      </c>
    </row>
    <row r="4415" spans="1:15" s="90" customFormat="1" ht="12.75" customHeight="1" x14ac:dyDescent="0.2">
      <c r="A4415" s="247" t="s">
        <v>1625</v>
      </c>
      <c r="B4415" s="316">
        <v>3037</v>
      </c>
      <c r="C4415" s="247" t="s">
        <v>996</v>
      </c>
      <c r="D4415" s="317">
        <v>42676</v>
      </c>
      <c r="E4415" s="318">
        <v>0.50434027777777779</v>
      </c>
      <c r="F4415" s="247" t="s">
        <v>980</v>
      </c>
      <c r="G4415" s="247" t="s">
        <v>1035</v>
      </c>
      <c r="H4415" s="248" t="s">
        <v>234</v>
      </c>
      <c r="I4415" s="248" t="s">
        <v>263</v>
      </c>
      <c r="J4415" s="247" t="s">
        <v>809</v>
      </c>
      <c r="K4415" s="249">
        <v>0</v>
      </c>
      <c r="M4415" s="90">
        <v>0</v>
      </c>
      <c r="N4415" s="90">
        <v>0</v>
      </c>
      <c r="O4415" s="90">
        <v>255</v>
      </c>
    </row>
    <row r="4416" spans="1:15" s="90" customFormat="1" ht="12.75" customHeight="1" x14ac:dyDescent="0.2">
      <c r="A4416" s="247" t="s">
        <v>1626</v>
      </c>
      <c r="B4416" s="316">
        <v>3037</v>
      </c>
      <c r="C4416" s="247" t="s">
        <v>996</v>
      </c>
      <c r="D4416" s="317">
        <v>42676</v>
      </c>
      <c r="E4416" s="318">
        <v>0.50434027777777779</v>
      </c>
      <c r="F4416" s="247" t="s">
        <v>980</v>
      </c>
      <c r="G4416" s="247" t="s">
        <v>1035</v>
      </c>
      <c r="H4416" s="248" t="s">
        <v>234</v>
      </c>
      <c r="I4416" s="248" t="s">
        <v>263</v>
      </c>
      <c r="J4416" s="247" t="s">
        <v>809</v>
      </c>
      <c r="K4416" s="249">
        <v>0</v>
      </c>
      <c r="M4416" s="90">
        <v>0</v>
      </c>
      <c r="N4416" s="90">
        <v>0</v>
      </c>
      <c r="O4416" s="90">
        <v>255</v>
      </c>
    </row>
    <row r="4417" spans="1:15" s="90" customFormat="1" ht="12.75" customHeight="1" x14ac:dyDescent="0.2">
      <c r="A4417" s="247" t="s">
        <v>1627</v>
      </c>
      <c r="B4417" s="316">
        <v>3037</v>
      </c>
      <c r="C4417" s="247" t="s">
        <v>996</v>
      </c>
      <c r="D4417" s="317">
        <v>42676</v>
      </c>
      <c r="E4417" s="318">
        <v>0.50434027777777779</v>
      </c>
      <c r="F4417" s="247" t="s">
        <v>980</v>
      </c>
      <c r="G4417" s="247" t="s">
        <v>1035</v>
      </c>
      <c r="H4417" s="248" t="s">
        <v>234</v>
      </c>
      <c r="I4417" s="248" t="s">
        <v>263</v>
      </c>
      <c r="J4417" s="247" t="s">
        <v>809</v>
      </c>
      <c r="K4417" s="249">
        <v>0</v>
      </c>
      <c r="M4417" s="90">
        <v>0</v>
      </c>
      <c r="N4417" s="90">
        <v>0</v>
      </c>
      <c r="O4417" s="90">
        <v>255</v>
      </c>
    </row>
    <row r="4418" spans="1:15" s="90" customFormat="1" ht="12.75" customHeight="1" x14ac:dyDescent="0.2">
      <c r="A4418" s="247" t="s">
        <v>1628</v>
      </c>
      <c r="B4418" s="316">
        <v>3037</v>
      </c>
      <c r="C4418" s="247" t="s">
        <v>996</v>
      </c>
      <c r="D4418" s="317">
        <v>42676</v>
      </c>
      <c r="E4418" s="318">
        <v>0.50434027777777779</v>
      </c>
      <c r="F4418" s="247" t="s">
        <v>980</v>
      </c>
      <c r="G4418" s="247" t="s">
        <v>1035</v>
      </c>
      <c r="H4418" s="248" t="s">
        <v>234</v>
      </c>
      <c r="I4418" s="248" t="s">
        <v>263</v>
      </c>
      <c r="J4418" s="247" t="s">
        <v>809</v>
      </c>
      <c r="K4418" s="249">
        <v>0</v>
      </c>
      <c r="M4418" s="90">
        <v>0</v>
      </c>
      <c r="N4418" s="90">
        <v>0</v>
      </c>
      <c r="O4418" s="90">
        <v>255</v>
      </c>
    </row>
    <row r="4419" spans="1:15" s="90" customFormat="1" ht="12.75" customHeight="1" x14ac:dyDescent="0.2">
      <c r="A4419" s="247" t="s">
        <v>1629</v>
      </c>
      <c r="B4419" s="316">
        <v>3037</v>
      </c>
      <c r="C4419" s="247" t="s">
        <v>996</v>
      </c>
      <c r="D4419" s="317">
        <v>42676</v>
      </c>
      <c r="E4419" s="318">
        <v>0.50434027777777779</v>
      </c>
      <c r="F4419" s="247" t="s">
        <v>980</v>
      </c>
      <c r="G4419" s="247" t="s">
        <v>1035</v>
      </c>
      <c r="H4419" s="248" t="s">
        <v>234</v>
      </c>
      <c r="I4419" s="248" t="s">
        <v>263</v>
      </c>
      <c r="J4419" s="247" t="s">
        <v>809</v>
      </c>
      <c r="K4419" s="249">
        <v>0</v>
      </c>
      <c r="M4419" s="90">
        <v>0</v>
      </c>
      <c r="N4419" s="90">
        <v>0</v>
      </c>
      <c r="O4419" s="90">
        <v>255</v>
      </c>
    </row>
    <row r="4420" spans="1:15" s="90" customFormat="1" ht="12.75" customHeight="1" x14ac:dyDescent="0.2">
      <c r="A4420" s="247" t="s">
        <v>1630</v>
      </c>
      <c r="B4420" s="316">
        <v>3037</v>
      </c>
      <c r="C4420" s="247" t="s">
        <v>996</v>
      </c>
      <c r="D4420" s="317">
        <v>42676</v>
      </c>
      <c r="E4420" s="318">
        <v>0.50435185185185183</v>
      </c>
      <c r="F4420" s="247" t="s">
        <v>980</v>
      </c>
      <c r="G4420" s="247" t="s">
        <v>1035</v>
      </c>
      <c r="H4420" s="248" t="s">
        <v>234</v>
      </c>
      <c r="I4420" s="248" t="s">
        <v>263</v>
      </c>
      <c r="J4420" s="247" t="s">
        <v>809</v>
      </c>
      <c r="K4420" s="249">
        <v>0</v>
      </c>
      <c r="M4420" s="90">
        <v>0</v>
      </c>
      <c r="N4420" s="90">
        <v>0</v>
      </c>
      <c r="O4420" s="90">
        <v>255</v>
      </c>
    </row>
    <row r="4421" spans="1:15" s="90" customFormat="1" ht="12.75" customHeight="1" x14ac:dyDescent="0.2">
      <c r="A4421" s="247" t="s">
        <v>1631</v>
      </c>
      <c r="B4421" s="316">
        <v>3037</v>
      </c>
      <c r="C4421" s="247" t="s">
        <v>996</v>
      </c>
      <c r="D4421" s="317">
        <v>42676</v>
      </c>
      <c r="E4421" s="318">
        <v>0.50435185185185183</v>
      </c>
      <c r="F4421" s="247" t="s">
        <v>980</v>
      </c>
      <c r="G4421" s="247" t="s">
        <v>1035</v>
      </c>
      <c r="H4421" s="248" t="s">
        <v>234</v>
      </c>
      <c r="I4421" s="248" t="s">
        <v>263</v>
      </c>
      <c r="J4421" s="247" t="s">
        <v>809</v>
      </c>
      <c r="K4421" s="249">
        <v>0</v>
      </c>
      <c r="M4421" s="90">
        <v>0</v>
      </c>
      <c r="N4421" s="90">
        <v>0</v>
      </c>
      <c r="O4421" s="90">
        <v>255</v>
      </c>
    </row>
    <row r="4422" spans="1:15" s="90" customFormat="1" ht="12.75" customHeight="1" x14ac:dyDescent="0.2">
      <c r="A4422" s="247" t="s">
        <v>1632</v>
      </c>
      <c r="B4422" s="316">
        <v>3037</v>
      </c>
      <c r="C4422" s="247" t="s">
        <v>996</v>
      </c>
      <c r="D4422" s="317">
        <v>42676</v>
      </c>
      <c r="E4422" s="318">
        <v>0.50435185185185183</v>
      </c>
      <c r="F4422" s="247" t="s">
        <v>980</v>
      </c>
      <c r="G4422" s="247" t="s">
        <v>1035</v>
      </c>
      <c r="H4422" s="248" t="s">
        <v>234</v>
      </c>
      <c r="I4422" s="248" t="s">
        <v>263</v>
      </c>
      <c r="J4422" s="247" t="s">
        <v>809</v>
      </c>
      <c r="K4422" s="249">
        <v>0</v>
      </c>
      <c r="M4422" s="90">
        <v>0</v>
      </c>
      <c r="N4422" s="90">
        <v>0</v>
      </c>
      <c r="O4422" s="90">
        <v>255</v>
      </c>
    </row>
    <row r="4423" spans="1:15" s="90" customFormat="1" ht="12.75" customHeight="1" x14ac:dyDescent="0.2">
      <c r="A4423" s="247" t="s">
        <v>1633</v>
      </c>
      <c r="B4423" s="316">
        <v>3037</v>
      </c>
      <c r="C4423" s="247" t="s">
        <v>996</v>
      </c>
      <c r="D4423" s="317">
        <v>42676</v>
      </c>
      <c r="E4423" s="318">
        <v>0.50435185185185183</v>
      </c>
      <c r="F4423" s="247" t="s">
        <v>980</v>
      </c>
      <c r="G4423" s="247" t="s">
        <v>1035</v>
      </c>
      <c r="H4423" s="248" t="s">
        <v>234</v>
      </c>
      <c r="I4423" s="248" t="s">
        <v>263</v>
      </c>
      <c r="J4423" s="247" t="s">
        <v>809</v>
      </c>
      <c r="K4423" s="249">
        <v>0</v>
      </c>
      <c r="M4423" s="90">
        <v>0</v>
      </c>
      <c r="N4423" s="90">
        <v>0</v>
      </c>
      <c r="O4423" s="90">
        <v>255</v>
      </c>
    </row>
    <row r="4424" spans="1:15" s="90" customFormat="1" ht="12.75" customHeight="1" x14ac:dyDescent="0.2">
      <c r="A4424" s="247" t="s">
        <v>1634</v>
      </c>
      <c r="B4424" s="316">
        <v>3037</v>
      </c>
      <c r="C4424" s="247" t="s">
        <v>996</v>
      </c>
      <c r="D4424" s="317">
        <v>42676</v>
      </c>
      <c r="E4424" s="318">
        <v>0.50435185185185183</v>
      </c>
      <c r="F4424" s="247" t="s">
        <v>980</v>
      </c>
      <c r="G4424" s="247" t="s">
        <v>1035</v>
      </c>
      <c r="H4424" s="248" t="s">
        <v>234</v>
      </c>
      <c r="I4424" s="248" t="s">
        <v>263</v>
      </c>
      <c r="J4424" s="247" t="s">
        <v>809</v>
      </c>
      <c r="K4424" s="249">
        <v>0</v>
      </c>
      <c r="M4424" s="90">
        <v>0</v>
      </c>
      <c r="N4424" s="90">
        <v>0</v>
      </c>
      <c r="O4424" s="90">
        <v>255</v>
      </c>
    </row>
    <row r="4425" spans="1:15" s="90" customFormat="1" ht="12.75" customHeight="1" x14ac:dyDescent="0.2">
      <c r="A4425" s="247" t="s">
        <v>1635</v>
      </c>
      <c r="B4425" s="316">
        <v>3037</v>
      </c>
      <c r="C4425" s="247" t="s">
        <v>996</v>
      </c>
      <c r="D4425" s="317">
        <v>42676</v>
      </c>
      <c r="E4425" s="318">
        <v>0.50435185185185183</v>
      </c>
      <c r="F4425" s="247" t="s">
        <v>980</v>
      </c>
      <c r="G4425" s="247" t="s">
        <v>1035</v>
      </c>
      <c r="H4425" s="248" t="s">
        <v>234</v>
      </c>
      <c r="I4425" s="248" t="s">
        <v>263</v>
      </c>
      <c r="J4425" s="247" t="s">
        <v>809</v>
      </c>
      <c r="K4425" s="249">
        <v>0</v>
      </c>
      <c r="M4425" s="90">
        <v>0</v>
      </c>
      <c r="N4425" s="90">
        <v>0</v>
      </c>
      <c r="O4425" s="90">
        <v>255</v>
      </c>
    </row>
    <row r="4426" spans="1:15" s="90" customFormat="1" ht="12.75" customHeight="1" x14ac:dyDescent="0.2">
      <c r="A4426" s="247" t="s">
        <v>1636</v>
      </c>
      <c r="B4426" s="316">
        <v>3037</v>
      </c>
      <c r="C4426" s="247" t="s">
        <v>996</v>
      </c>
      <c r="D4426" s="317">
        <v>42676</v>
      </c>
      <c r="E4426" s="318">
        <v>0.50435185185185183</v>
      </c>
      <c r="F4426" s="247" t="s">
        <v>980</v>
      </c>
      <c r="G4426" s="247" t="s">
        <v>1035</v>
      </c>
      <c r="H4426" s="248" t="s">
        <v>234</v>
      </c>
      <c r="I4426" s="248" t="s">
        <v>263</v>
      </c>
      <c r="J4426" s="247" t="s">
        <v>809</v>
      </c>
      <c r="K4426" s="249">
        <v>0</v>
      </c>
      <c r="M4426" s="90">
        <v>0</v>
      </c>
      <c r="N4426" s="90">
        <v>0</v>
      </c>
      <c r="O4426" s="90">
        <v>255</v>
      </c>
    </row>
    <row r="4427" spans="1:15" s="90" customFormat="1" ht="12.75" customHeight="1" x14ac:dyDescent="0.2">
      <c r="A4427" s="247" t="s">
        <v>1637</v>
      </c>
      <c r="B4427" s="316">
        <v>3037</v>
      </c>
      <c r="C4427" s="247" t="s">
        <v>996</v>
      </c>
      <c r="D4427" s="317">
        <v>42676</v>
      </c>
      <c r="E4427" s="318">
        <v>0.50436342592592587</v>
      </c>
      <c r="F4427" s="247" t="s">
        <v>980</v>
      </c>
      <c r="G4427" s="247" t="s">
        <v>1035</v>
      </c>
      <c r="H4427" s="248" t="s">
        <v>234</v>
      </c>
      <c r="I4427" s="248" t="s">
        <v>263</v>
      </c>
      <c r="J4427" s="247" t="s">
        <v>809</v>
      </c>
      <c r="K4427" s="249">
        <v>0</v>
      </c>
      <c r="M4427" s="90">
        <v>0</v>
      </c>
      <c r="N4427" s="90">
        <v>0</v>
      </c>
      <c r="O4427" s="90">
        <v>255</v>
      </c>
    </row>
    <row r="4428" spans="1:15" s="90" customFormat="1" ht="12.75" customHeight="1" x14ac:dyDescent="0.2">
      <c r="A4428" s="247" t="s">
        <v>1638</v>
      </c>
      <c r="B4428" s="316">
        <v>3037</v>
      </c>
      <c r="C4428" s="247" t="s">
        <v>996</v>
      </c>
      <c r="D4428" s="317">
        <v>42676</v>
      </c>
      <c r="E4428" s="318">
        <v>0.50436342592592587</v>
      </c>
      <c r="F4428" s="247" t="s">
        <v>980</v>
      </c>
      <c r="G4428" s="247" t="s">
        <v>1035</v>
      </c>
      <c r="H4428" s="248" t="s">
        <v>234</v>
      </c>
      <c r="I4428" s="248" t="s">
        <v>263</v>
      </c>
      <c r="J4428" s="247" t="s">
        <v>809</v>
      </c>
      <c r="K4428" s="249">
        <v>0</v>
      </c>
      <c r="M4428" s="90">
        <v>0</v>
      </c>
      <c r="N4428" s="90">
        <v>0</v>
      </c>
      <c r="O4428" s="90">
        <v>255</v>
      </c>
    </row>
    <row r="4429" spans="1:15" s="90" customFormat="1" ht="12.75" customHeight="1" x14ac:dyDescent="0.2">
      <c r="A4429" s="247" t="s">
        <v>1639</v>
      </c>
      <c r="B4429" s="316">
        <v>3037</v>
      </c>
      <c r="C4429" s="247" t="s">
        <v>996</v>
      </c>
      <c r="D4429" s="317">
        <v>42676</v>
      </c>
      <c r="E4429" s="318">
        <v>0.50437500000000002</v>
      </c>
      <c r="F4429" s="247" t="s">
        <v>980</v>
      </c>
      <c r="G4429" s="247" t="s">
        <v>1035</v>
      </c>
      <c r="H4429" s="248" t="s">
        <v>234</v>
      </c>
      <c r="I4429" s="248" t="s">
        <v>263</v>
      </c>
      <c r="J4429" s="247" t="s">
        <v>809</v>
      </c>
      <c r="K4429" s="249">
        <v>0</v>
      </c>
      <c r="M4429" s="90">
        <v>0</v>
      </c>
      <c r="N4429" s="90">
        <v>0</v>
      </c>
      <c r="O4429" s="90">
        <v>255</v>
      </c>
    </row>
    <row r="4430" spans="1:15" s="90" customFormat="1" ht="12.75" customHeight="1" x14ac:dyDescent="0.2">
      <c r="A4430" s="247" t="s">
        <v>1640</v>
      </c>
      <c r="B4430" s="316">
        <v>3037</v>
      </c>
      <c r="C4430" s="247" t="s">
        <v>996</v>
      </c>
      <c r="D4430" s="317">
        <v>42676</v>
      </c>
      <c r="E4430" s="318">
        <v>0.50437500000000002</v>
      </c>
      <c r="F4430" s="247" t="s">
        <v>980</v>
      </c>
      <c r="G4430" s="247" t="s">
        <v>1035</v>
      </c>
      <c r="H4430" s="248" t="s">
        <v>234</v>
      </c>
      <c r="I4430" s="248" t="s">
        <v>263</v>
      </c>
      <c r="J4430" s="247" t="s">
        <v>809</v>
      </c>
      <c r="K4430" s="249">
        <v>0</v>
      </c>
      <c r="M4430" s="90">
        <v>0</v>
      </c>
      <c r="N4430" s="90">
        <v>0</v>
      </c>
      <c r="O4430" s="90">
        <v>255</v>
      </c>
    </row>
    <row r="4431" spans="1:15" s="90" customFormat="1" ht="12.75" customHeight="1" x14ac:dyDescent="0.2">
      <c r="A4431" s="247" t="s">
        <v>1641</v>
      </c>
      <c r="B4431" s="316">
        <v>3037</v>
      </c>
      <c r="C4431" s="247" t="s">
        <v>996</v>
      </c>
      <c r="D4431" s="317">
        <v>42676</v>
      </c>
      <c r="E4431" s="318">
        <v>0.50437500000000002</v>
      </c>
      <c r="F4431" s="247" t="s">
        <v>980</v>
      </c>
      <c r="G4431" s="247" t="s">
        <v>1035</v>
      </c>
      <c r="H4431" s="248" t="s">
        <v>234</v>
      </c>
      <c r="I4431" s="248" t="s">
        <v>263</v>
      </c>
      <c r="J4431" s="247" t="s">
        <v>809</v>
      </c>
      <c r="K4431" s="249">
        <v>0</v>
      </c>
      <c r="M4431" s="90">
        <v>0</v>
      </c>
      <c r="N4431" s="90">
        <v>0</v>
      </c>
      <c r="O4431" s="90">
        <v>255</v>
      </c>
    </row>
    <row r="4432" spans="1:15" s="90" customFormat="1" ht="12.75" customHeight="1" x14ac:dyDescent="0.2">
      <c r="A4432" s="247" t="s">
        <v>1642</v>
      </c>
      <c r="B4432" s="316">
        <v>3037</v>
      </c>
      <c r="C4432" s="247" t="s">
        <v>996</v>
      </c>
      <c r="D4432" s="317">
        <v>42676</v>
      </c>
      <c r="E4432" s="318">
        <v>0.50437500000000002</v>
      </c>
      <c r="F4432" s="247" t="s">
        <v>980</v>
      </c>
      <c r="G4432" s="247" t="s">
        <v>1035</v>
      </c>
      <c r="H4432" s="248" t="s">
        <v>234</v>
      </c>
      <c r="I4432" s="248" t="s">
        <v>263</v>
      </c>
      <c r="J4432" s="247" t="s">
        <v>809</v>
      </c>
      <c r="K4432" s="249">
        <v>0</v>
      </c>
      <c r="M4432" s="90">
        <v>0</v>
      </c>
      <c r="N4432" s="90">
        <v>0</v>
      </c>
      <c r="O4432" s="90">
        <v>255</v>
      </c>
    </row>
    <row r="4433" spans="1:15" s="90" customFormat="1" ht="12.75" customHeight="1" x14ac:dyDescent="0.2">
      <c r="A4433" s="247" t="s">
        <v>1643</v>
      </c>
      <c r="B4433" s="316">
        <v>3037</v>
      </c>
      <c r="C4433" s="247" t="s">
        <v>996</v>
      </c>
      <c r="D4433" s="317">
        <v>42676</v>
      </c>
      <c r="E4433" s="318">
        <v>0.50438657407407406</v>
      </c>
      <c r="F4433" s="247" t="s">
        <v>980</v>
      </c>
      <c r="G4433" s="247" t="s">
        <v>1035</v>
      </c>
      <c r="H4433" s="248" t="s">
        <v>234</v>
      </c>
      <c r="I4433" s="248" t="s">
        <v>263</v>
      </c>
      <c r="J4433" s="247" t="s">
        <v>809</v>
      </c>
      <c r="K4433" s="249">
        <v>0</v>
      </c>
      <c r="M4433" s="90">
        <v>0</v>
      </c>
      <c r="N4433" s="90">
        <v>0</v>
      </c>
      <c r="O4433" s="90">
        <v>255</v>
      </c>
    </row>
    <row r="4434" spans="1:15" s="90" customFormat="1" ht="12.75" customHeight="1" x14ac:dyDescent="0.2">
      <c r="A4434" s="247" t="s">
        <v>1644</v>
      </c>
      <c r="B4434" s="316">
        <v>3037</v>
      </c>
      <c r="C4434" s="247" t="s">
        <v>996</v>
      </c>
      <c r="D4434" s="317">
        <v>42676</v>
      </c>
      <c r="E4434" s="318">
        <v>0.50438657407407406</v>
      </c>
      <c r="F4434" s="247" t="s">
        <v>980</v>
      </c>
      <c r="G4434" s="247" t="s">
        <v>1035</v>
      </c>
      <c r="H4434" s="248" t="s">
        <v>234</v>
      </c>
      <c r="I4434" s="248" t="s">
        <v>263</v>
      </c>
      <c r="J4434" s="247" t="s">
        <v>809</v>
      </c>
      <c r="K4434" s="249">
        <v>0</v>
      </c>
      <c r="M4434" s="90">
        <v>0</v>
      </c>
      <c r="N4434" s="90">
        <v>0</v>
      </c>
      <c r="O4434" s="90">
        <v>255</v>
      </c>
    </row>
    <row r="4435" spans="1:15" s="90" customFormat="1" ht="12.75" customHeight="1" x14ac:dyDescent="0.2">
      <c r="A4435" s="247" t="s">
        <v>1645</v>
      </c>
      <c r="B4435" s="316">
        <v>3037</v>
      </c>
      <c r="C4435" s="247" t="s">
        <v>996</v>
      </c>
      <c r="D4435" s="317">
        <v>42676</v>
      </c>
      <c r="E4435" s="318">
        <v>0.50438657407407406</v>
      </c>
      <c r="F4435" s="247" t="s">
        <v>980</v>
      </c>
      <c r="G4435" s="247" t="s">
        <v>1035</v>
      </c>
      <c r="H4435" s="248" t="s">
        <v>234</v>
      </c>
      <c r="I4435" s="248" t="s">
        <v>263</v>
      </c>
      <c r="J4435" s="247" t="s">
        <v>809</v>
      </c>
      <c r="K4435" s="249">
        <v>0</v>
      </c>
      <c r="M4435" s="90">
        <v>0</v>
      </c>
      <c r="N4435" s="90">
        <v>0</v>
      </c>
      <c r="O4435" s="90">
        <v>255</v>
      </c>
    </row>
    <row r="4436" spans="1:15" s="90" customFormat="1" ht="12.75" customHeight="1" x14ac:dyDescent="0.2">
      <c r="A4436" s="247" t="s">
        <v>1646</v>
      </c>
      <c r="B4436" s="316">
        <v>3037</v>
      </c>
      <c r="C4436" s="247" t="s">
        <v>996</v>
      </c>
      <c r="D4436" s="317">
        <v>42676</v>
      </c>
      <c r="E4436" s="318">
        <v>0.50438657407407406</v>
      </c>
      <c r="F4436" s="247" t="s">
        <v>980</v>
      </c>
      <c r="G4436" s="247" t="s">
        <v>1035</v>
      </c>
      <c r="H4436" s="248" t="s">
        <v>234</v>
      </c>
      <c r="I4436" s="248" t="s">
        <v>263</v>
      </c>
      <c r="J4436" s="247" t="s">
        <v>809</v>
      </c>
      <c r="K4436" s="249">
        <v>0</v>
      </c>
      <c r="M4436" s="90">
        <v>0</v>
      </c>
      <c r="N4436" s="90">
        <v>0</v>
      </c>
      <c r="O4436" s="90">
        <v>255</v>
      </c>
    </row>
    <row r="4437" spans="1:15" s="90" customFormat="1" ht="12.75" customHeight="1" x14ac:dyDescent="0.2">
      <c r="A4437" s="247" t="s">
        <v>1647</v>
      </c>
      <c r="B4437" s="316">
        <v>3037</v>
      </c>
      <c r="C4437" s="247" t="s">
        <v>996</v>
      </c>
      <c r="D4437" s="317">
        <v>42676</v>
      </c>
      <c r="E4437" s="318">
        <v>0.50438657407407406</v>
      </c>
      <c r="F4437" s="247" t="s">
        <v>980</v>
      </c>
      <c r="G4437" s="247" t="s">
        <v>1035</v>
      </c>
      <c r="H4437" s="248" t="s">
        <v>234</v>
      </c>
      <c r="I4437" s="248" t="s">
        <v>263</v>
      </c>
      <c r="J4437" s="247" t="s">
        <v>809</v>
      </c>
      <c r="K4437" s="249">
        <v>0</v>
      </c>
      <c r="M4437" s="90">
        <v>0</v>
      </c>
      <c r="N4437" s="90">
        <v>0</v>
      </c>
      <c r="O4437" s="90">
        <v>255</v>
      </c>
    </row>
    <row r="4438" spans="1:15" s="90" customFormat="1" ht="12.75" customHeight="1" x14ac:dyDescent="0.2">
      <c r="A4438" s="247" t="s">
        <v>1648</v>
      </c>
      <c r="B4438" s="316">
        <v>3037</v>
      </c>
      <c r="C4438" s="247" t="s">
        <v>996</v>
      </c>
      <c r="D4438" s="317">
        <v>42676</v>
      </c>
      <c r="E4438" s="318">
        <v>0.50439814814814821</v>
      </c>
      <c r="F4438" s="247" t="s">
        <v>980</v>
      </c>
      <c r="G4438" s="247" t="s">
        <v>1035</v>
      </c>
      <c r="H4438" s="248" t="s">
        <v>234</v>
      </c>
      <c r="I4438" s="248" t="s">
        <v>263</v>
      </c>
      <c r="J4438" s="247" t="s">
        <v>809</v>
      </c>
      <c r="K4438" s="249">
        <v>0</v>
      </c>
      <c r="M4438" s="90">
        <v>0</v>
      </c>
      <c r="N4438" s="90">
        <v>0</v>
      </c>
      <c r="O4438" s="90">
        <v>255</v>
      </c>
    </row>
    <row r="4439" spans="1:15" s="90" customFormat="1" ht="12.75" customHeight="1" x14ac:dyDescent="0.2">
      <c r="A4439" s="247" t="s">
        <v>1649</v>
      </c>
      <c r="B4439" s="316">
        <v>3037</v>
      </c>
      <c r="C4439" s="247" t="s">
        <v>996</v>
      </c>
      <c r="D4439" s="317">
        <v>42676</v>
      </c>
      <c r="E4439" s="318">
        <v>0.50439814814814821</v>
      </c>
      <c r="F4439" s="247" t="s">
        <v>980</v>
      </c>
      <c r="G4439" s="247" t="s">
        <v>1035</v>
      </c>
      <c r="H4439" s="248" t="s">
        <v>234</v>
      </c>
      <c r="I4439" s="248" t="s">
        <v>263</v>
      </c>
      <c r="J4439" s="247" t="s">
        <v>809</v>
      </c>
      <c r="K4439" s="249">
        <v>0</v>
      </c>
      <c r="M4439" s="90">
        <v>0</v>
      </c>
      <c r="N4439" s="90">
        <v>0</v>
      </c>
      <c r="O4439" s="90">
        <v>255</v>
      </c>
    </row>
    <row r="4440" spans="1:15" s="90" customFormat="1" ht="12.75" customHeight="1" x14ac:dyDescent="0.2">
      <c r="A4440" s="247" t="s">
        <v>1650</v>
      </c>
      <c r="B4440" s="316">
        <v>3037</v>
      </c>
      <c r="C4440" s="247" t="s">
        <v>996</v>
      </c>
      <c r="D4440" s="317">
        <v>42676</v>
      </c>
      <c r="E4440" s="318">
        <v>0.50439814814814821</v>
      </c>
      <c r="F4440" s="247" t="s">
        <v>980</v>
      </c>
      <c r="G4440" s="247" t="s">
        <v>1035</v>
      </c>
      <c r="H4440" s="248" t="s">
        <v>234</v>
      </c>
      <c r="I4440" s="248" t="s">
        <v>263</v>
      </c>
      <c r="J4440" s="247" t="s">
        <v>809</v>
      </c>
      <c r="K4440" s="249">
        <v>0</v>
      </c>
      <c r="M4440" s="90">
        <v>0</v>
      </c>
      <c r="N4440" s="90">
        <v>0</v>
      </c>
      <c r="O4440" s="90">
        <v>255</v>
      </c>
    </row>
    <row r="4441" spans="1:15" s="90" customFormat="1" ht="12.75" customHeight="1" x14ac:dyDescent="0.2">
      <c r="A4441" s="247" t="s">
        <v>1651</v>
      </c>
      <c r="B4441" s="316">
        <v>3037</v>
      </c>
      <c r="C4441" s="247" t="s">
        <v>996</v>
      </c>
      <c r="D4441" s="317">
        <v>42676</v>
      </c>
      <c r="E4441" s="318">
        <v>0.50439814814814821</v>
      </c>
      <c r="F4441" s="247" t="s">
        <v>980</v>
      </c>
      <c r="G4441" s="247" t="s">
        <v>1035</v>
      </c>
      <c r="H4441" s="248" t="s">
        <v>234</v>
      </c>
      <c r="I4441" s="248" t="s">
        <v>263</v>
      </c>
      <c r="J4441" s="247" t="s">
        <v>809</v>
      </c>
      <c r="K4441" s="249">
        <v>0</v>
      </c>
      <c r="M4441" s="90">
        <v>0</v>
      </c>
      <c r="N4441" s="90">
        <v>0</v>
      </c>
      <c r="O4441" s="90">
        <v>255</v>
      </c>
    </row>
    <row r="4442" spans="1:15" s="90" customFormat="1" ht="12.75" customHeight="1" x14ac:dyDescent="0.2">
      <c r="A4442" s="247" t="s">
        <v>1652</v>
      </c>
      <c r="B4442" s="316">
        <v>3037</v>
      </c>
      <c r="C4442" s="247" t="s">
        <v>996</v>
      </c>
      <c r="D4442" s="317">
        <v>42676</v>
      </c>
      <c r="E4442" s="318">
        <v>0.50439814814814821</v>
      </c>
      <c r="F4442" s="247" t="s">
        <v>980</v>
      </c>
      <c r="G4442" s="247" t="s">
        <v>1035</v>
      </c>
      <c r="H4442" s="248" t="s">
        <v>234</v>
      </c>
      <c r="I4442" s="248" t="s">
        <v>263</v>
      </c>
      <c r="J4442" s="247" t="s">
        <v>809</v>
      </c>
      <c r="K4442" s="249">
        <v>0</v>
      </c>
      <c r="M4442" s="90">
        <v>0</v>
      </c>
      <c r="N4442" s="90">
        <v>0</v>
      </c>
      <c r="O4442" s="90">
        <v>255</v>
      </c>
    </row>
    <row r="4443" spans="1:15" s="90" customFormat="1" ht="12.75" customHeight="1" x14ac:dyDescent="0.2">
      <c r="A4443" s="247" t="s">
        <v>1653</v>
      </c>
      <c r="B4443" s="316">
        <v>3037</v>
      </c>
      <c r="C4443" s="247" t="s">
        <v>996</v>
      </c>
      <c r="D4443" s="317">
        <v>42676</v>
      </c>
      <c r="E4443" s="318">
        <v>0.50440972222222225</v>
      </c>
      <c r="F4443" s="247" t="s">
        <v>980</v>
      </c>
      <c r="G4443" s="247" t="s">
        <v>1035</v>
      </c>
      <c r="H4443" s="248" t="s">
        <v>234</v>
      </c>
      <c r="I4443" s="248" t="s">
        <v>263</v>
      </c>
      <c r="J4443" s="247" t="s">
        <v>809</v>
      </c>
      <c r="K4443" s="249">
        <v>0</v>
      </c>
      <c r="M4443" s="90">
        <v>0</v>
      </c>
      <c r="N4443" s="90">
        <v>0</v>
      </c>
      <c r="O4443" s="90">
        <v>255</v>
      </c>
    </row>
    <row r="4444" spans="1:15" s="90" customFormat="1" ht="12.75" customHeight="1" x14ac:dyDescent="0.2">
      <c r="A4444" s="247" t="s">
        <v>1654</v>
      </c>
      <c r="B4444" s="316">
        <v>3037</v>
      </c>
      <c r="C4444" s="247" t="s">
        <v>996</v>
      </c>
      <c r="D4444" s="317">
        <v>42676</v>
      </c>
      <c r="E4444" s="318">
        <v>0.50440972222222225</v>
      </c>
      <c r="F4444" s="247" t="s">
        <v>980</v>
      </c>
      <c r="G4444" s="247" t="s">
        <v>1035</v>
      </c>
      <c r="H4444" s="248" t="s">
        <v>234</v>
      </c>
      <c r="I4444" s="248" t="s">
        <v>263</v>
      </c>
      <c r="J4444" s="247" t="s">
        <v>809</v>
      </c>
      <c r="K4444" s="249">
        <v>0</v>
      </c>
      <c r="M4444" s="90">
        <v>0</v>
      </c>
      <c r="N4444" s="90">
        <v>0</v>
      </c>
      <c r="O4444" s="90">
        <v>255</v>
      </c>
    </row>
    <row r="4445" spans="1:15" s="90" customFormat="1" ht="12.75" customHeight="1" x14ac:dyDescent="0.2">
      <c r="A4445" s="247" t="s">
        <v>1655</v>
      </c>
      <c r="B4445" s="316">
        <v>3037</v>
      </c>
      <c r="C4445" s="247" t="s">
        <v>996</v>
      </c>
      <c r="D4445" s="317">
        <v>42676</v>
      </c>
      <c r="E4445" s="318">
        <v>0.50442129629629628</v>
      </c>
      <c r="F4445" s="247" t="s">
        <v>980</v>
      </c>
      <c r="G4445" s="247" t="s">
        <v>1035</v>
      </c>
      <c r="H4445" s="248" t="s">
        <v>234</v>
      </c>
      <c r="I4445" s="248" t="s">
        <v>263</v>
      </c>
      <c r="J4445" s="247" t="s">
        <v>809</v>
      </c>
      <c r="K4445" s="249">
        <v>0</v>
      </c>
      <c r="M4445" s="90">
        <v>0</v>
      </c>
      <c r="N4445" s="90">
        <v>0</v>
      </c>
      <c r="O4445" s="90">
        <v>255</v>
      </c>
    </row>
    <row r="4446" spans="1:15" s="90" customFormat="1" ht="12.75" customHeight="1" x14ac:dyDescent="0.2">
      <c r="A4446" s="247" t="s">
        <v>1656</v>
      </c>
      <c r="B4446" s="316">
        <v>3037</v>
      </c>
      <c r="C4446" s="247" t="s">
        <v>996</v>
      </c>
      <c r="D4446" s="317">
        <v>42676</v>
      </c>
      <c r="E4446" s="318">
        <v>0.50442129629629628</v>
      </c>
      <c r="F4446" s="247" t="s">
        <v>980</v>
      </c>
      <c r="G4446" s="247" t="s">
        <v>1035</v>
      </c>
      <c r="H4446" s="248" t="s">
        <v>234</v>
      </c>
      <c r="I4446" s="248" t="s">
        <v>263</v>
      </c>
      <c r="J4446" s="247" t="s">
        <v>809</v>
      </c>
      <c r="K4446" s="249">
        <v>0</v>
      </c>
      <c r="M4446" s="90">
        <v>0</v>
      </c>
      <c r="N4446" s="90">
        <v>0</v>
      </c>
      <c r="O4446" s="90">
        <v>255</v>
      </c>
    </row>
    <row r="4447" spans="1:15" s="90" customFormat="1" ht="12.75" customHeight="1" x14ac:dyDescent="0.2">
      <c r="A4447" s="247" t="s">
        <v>1657</v>
      </c>
      <c r="B4447" s="316">
        <v>3037</v>
      </c>
      <c r="C4447" s="247" t="s">
        <v>996</v>
      </c>
      <c r="D4447" s="317">
        <v>42676</v>
      </c>
      <c r="E4447" s="318">
        <v>0.50442129629629628</v>
      </c>
      <c r="F4447" s="247" t="s">
        <v>980</v>
      </c>
      <c r="G4447" s="247" t="s">
        <v>1035</v>
      </c>
      <c r="H4447" s="248" t="s">
        <v>234</v>
      </c>
      <c r="I4447" s="248" t="s">
        <v>263</v>
      </c>
      <c r="J4447" s="247" t="s">
        <v>809</v>
      </c>
      <c r="K4447" s="249">
        <v>0</v>
      </c>
      <c r="M4447" s="90">
        <v>0</v>
      </c>
      <c r="N4447" s="90">
        <v>0</v>
      </c>
      <c r="O4447" s="90">
        <v>255</v>
      </c>
    </row>
    <row r="4448" spans="1:15" s="90" customFormat="1" ht="12.75" customHeight="1" x14ac:dyDescent="0.2">
      <c r="A4448" s="247" t="s">
        <v>1658</v>
      </c>
      <c r="B4448" s="316">
        <v>3037</v>
      </c>
      <c r="C4448" s="247" t="s">
        <v>996</v>
      </c>
      <c r="D4448" s="317">
        <v>42676</v>
      </c>
      <c r="E4448" s="318">
        <v>0.50442129629629628</v>
      </c>
      <c r="F4448" s="247" t="s">
        <v>980</v>
      </c>
      <c r="G4448" s="247" t="s">
        <v>1035</v>
      </c>
      <c r="H4448" s="248" t="s">
        <v>234</v>
      </c>
      <c r="I4448" s="248" t="s">
        <v>263</v>
      </c>
      <c r="J4448" s="247" t="s">
        <v>809</v>
      </c>
      <c r="K4448" s="249">
        <v>0</v>
      </c>
      <c r="M4448" s="90">
        <v>0</v>
      </c>
      <c r="N4448" s="90">
        <v>0</v>
      </c>
      <c r="O4448" s="90">
        <v>255</v>
      </c>
    </row>
    <row r="4449" spans="1:15" s="90" customFormat="1" ht="12.75" customHeight="1" x14ac:dyDescent="0.2">
      <c r="A4449" s="247" t="s">
        <v>1659</v>
      </c>
      <c r="B4449" s="316">
        <v>3037</v>
      </c>
      <c r="C4449" s="247" t="s">
        <v>996</v>
      </c>
      <c r="D4449" s="317">
        <v>42676</v>
      </c>
      <c r="E4449" s="318">
        <v>0.50443287037037032</v>
      </c>
      <c r="F4449" s="247" t="s">
        <v>980</v>
      </c>
      <c r="G4449" s="247" t="s">
        <v>1035</v>
      </c>
      <c r="H4449" s="248" t="s">
        <v>234</v>
      </c>
      <c r="I4449" s="248" t="s">
        <v>263</v>
      </c>
      <c r="J4449" s="247" t="s">
        <v>809</v>
      </c>
      <c r="K4449" s="249">
        <v>0</v>
      </c>
      <c r="M4449" s="90">
        <v>0</v>
      </c>
      <c r="N4449" s="90">
        <v>0</v>
      </c>
      <c r="O4449" s="90">
        <v>255</v>
      </c>
    </row>
    <row r="4450" spans="1:15" s="90" customFormat="1" ht="12.75" customHeight="1" x14ac:dyDescent="0.2">
      <c r="A4450" s="247" t="s">
        <v>1660</v>
      </c>
      <c r="B4450" s="316">
        <v>3037</v>
      </c>
      <c r="C4450" s="247" t="s">
        <v>996</v>
      </c>
      <c r="D4450" s="317">
        <v>42676</v>
      </c>
      <c r="E4450" s="318">
        <v>0.50443287037037032</v>
      </c>
      <c r="F4450" s="247" t="s">
        <v>980</v>
      </c>
      <c r="G4450" s="247" t="s">
        <v>1035</v>
      </c>
      <c r="H4450" s="248" t="s">
        <v>234</v>
      </c>
      <c r="I4450" s="248" t="s">
        <v>263</v>
      </c>
      <c r="J4450" s="247" t="s">
        <v>809</v>
      </c>
      <c r="K4450" s="249">
        <v>0</v>
      </c>
      <c r="M4450" s="90">
        <v>0</v>
      </c>
      <c r="N4450" s="90">
        <v>0</v>
      </c>
      <c r="O4450" s="90">
        <v>255</v>
      </c>
    </row>
    <row r="4451" spans="1:15" s="90" customFormat="1" ht="12.75" customHeight="1" x14ac:dyDescent="0.2">
      <c r="A4451" s="247" t="s">
        <v>1661</v>
      </c>
      <c r="B4451" s="316">
        <v>3037</v>
      </c>
      <c r="C4451" s="247" t="s">
        <v>996</v>
      </c>
      <c r="D4451" s="317">
        <v>42676</v>
      </c>
      <c r="E4451" s="318">
        <v>0.50443287037037032</v>
      </c>
      <c r="F4451" s="247" t="s">
        <v>980</v>
      </c>
      <c r="G4451" s="247" t="s">
        <v>1035</v>
      </c>
      <c r="H4451" s="248" t="s">
        <v>234</v>
      </c>
      <c r="I4451" s="248" t="s">
        <v>263</v>
      </c>
      <c r="J4451" s="247" t="s">
        <v>809</v>
      </c>
      <c r="K4451" s="249">
        <v>0</v>
      </c>
      <c r="M4451" s="90">
        <v>0</v>
      </c>
      <c r="N4451" s="90">
        <v>0</v>
      </c>
      <c r="O4451" s="90">
        <v>255</v>
      </c>
    </row>
    <row r="4452" spans="1:15" s="90" customFormat="1" ht="12.75" customHeight="1" x14ac:dyDescent="0.2">
      <c r="A4452" s="247" t="s">
        <v>1662</v>
      </c>
      <c r="B4452" s="316">
        <v>3037</v>
      </c>
      <c r="C4452" s="247" t="s">
        <v>996</v>
      </c>
      <c r="D4452" s="317">
        <v>42676</v>
      </c>
      <c r="E4452" s="318">
        <v>0.50443287037037032</v>
      </c>
      <c r="F4452" s="247" t="s">
        <v>980</v>
      </c>
      <c r="G4452" s="247" t="s">
        <v>1035</v>
      </c>
      <c r="H4452" s="248" t="s">
        <v>234</v>
      </c>
      <c r="I4452" s="248" t="s">
        <v>263</v>
      </c>
      <c r="J4452" s="247" t="s">
        <v>809</v>
      </c>
      <c r="K4452" s="249">
        <v>0</v>
      </c>
      <c r="M4452" s="90">
        <v>0</v>
      </c>
      <c r="N4452" s="90">
        <v>0</v>
      </c>
      <c r="O4452" s="90">
        <v>255</v>
      </c>
    </row>
    <row r="4453" spans="1:15" s="90" customFormat="1" ht="12.75" customHeight="1" x14ac:dyDescent="0.2">
      <c r="A4453" s="247" t="s">
        <v>1663</v>
      </c>
      <c r="B4453" s="316">
        <v>3037</v>
      </c>
      <c r="C4453" s="247" t="s">
        <v>996</v>
      </c>
      <c r="D4453" s="317">
        <v>42676</v>
      </c>
      <c r="E4453" s="318">
        <v>0.50444444444444447</v>
      </c>
      <c r="F4453" s="247" t="s">
        <v>980</v>
      </c>
      <c r="G4453" s="247" t="s">
        <v>1035</v>
      </c>
      <c r="H4453" s="248" t="s">
        <v>234</v>
      </c>
      <c r="I4453" s="248" t="s">
        <v>263</v>
      </c>
      <c r="J4453" s="247" t="s">
        <v>809</v>
      </c>
      <c r="K4453" s="249">
        <v>0</v>
      </c>
      <c r="M4453" s="90">
        <v>0</v>
      </c>
      <c r="N4453" s="90">
        <v>0</v>
      </c>
      <c r="O4453" s="90">
        <v>255</v>
      </c>
    </row>
    <row r="4454" spans="1:15" s="90" customFormat="1" ht="12.75" customHeight="1" x14ac:dyDescent="0.2">
      <c r="A4454" s="247" t="s">
        <v>1664</v>
      </c>
      <c r="B4454" s="316">
        <v>3037</v>
      </c>
      <c r="C4454" s="247" t="s">
        <v>996</v>
      </c>
      <c r="D4454" s="317">
        <v>42676</v>
      </c>
      <c r="E4454" s="318">
        <v>0.50444444444444447</v>
      </c>
      <c r="F4454" s="247" t="s">
        <v>980</v>
      </c>
      <c r="G4454" s="247" t="s">
        <v>1035</v>
      </c>
      <c r="H4454" s="248" t="s">
        <v>234</v>
      </c>
      <c r="I4454" s="248" t="s">
        <v>263</v>
      </c>
      <c r="J4454" s="247" t="s">
        <v>809</v>
      </c>
      <c r="K4454" s="249">
        <v>0</v>
      </c>
      <c r="M4454" s="90">
        <v>0</v>
      </c>
      <c r="N4454" s="90">
        <v>0</v>
      </c>
      <c r="O4454" s="90">
        <v>255</v>
      </c>
    </row>
    <row r="4455" spans="1:15" s="90" customFormat="1" ht="12.75" customHeight="1" x14ac:dyDescent="0.2">
      <c r="A4455" s="247" t="s">
        <v>1665</v>
      </c>
      <c r="B4455" s="316">
        <v>3037</v>
      </c>
      <c r="C4455" s="247" t="s">
        <v>996</v>
      </c>
      <c r="D4455" s="317">
        <v>42676</v>
      </c>
      <c r="E4455" s="318">
        <v>0.50444444444444447</v>
      </c>
      <c r="F4455" s="247" t="s">
        <v>980</v>
      </c>
      <c r="G4455" s="247" t="s">
        <v>1035</v>
      </c>
      <c r="H4455" s="248" t="s">
        <v>234</v>
      </c>
      <c r="I4455" s="248" t="s">
        <v>263</v>
      </c>
      <c r="J4455" s="247" t="s">
        <v>809</v>
      </c>
      <c r="K4455" s="249">
        <v>0</v>
      </c>
      <c r="M4455" s="90">
        <v>0</v>
      </c>
      <c r="N4455" s="90">
        <v>0</v>
      </c>
      <c r="O4455" s="90">
        <v>255</v>
      </c>
    </row>
    <row r="4456" spans="1:15" s="90" customFormat="1" ht="12.75" customHeight="1" x14ac:dyDescent="0.2">
      <c r="A4456" s="247" t="s">
        <v>1666</v>
      </c>
      <c r="B4456" s="316">
        <v>3037</v>
      </c>
      <c r="C4456" s="247" t="s">
        <v>996</v>
      </c>
      <c r="D4456" s="317">
        <v>42676</v>
      </c>
      <c r="E4456" s="318">
        <v>0.50444444444444447</v>
      </c>
      <c r="F4456" s="247" t="s">
        <v>980</v>
      </c>
      <c r="G4456" s="247" t="s">
        <v>1035</v>
      </c>
      <c r="H4456" s="248" t="s">
        <v>234</v>
      </c>
      <c r="I4456" s="248" t="s">
        <v>263</v>
      </c>
      <c r="J4456" s="247" t="s">
        <v>809</v>
      </c>
      <c r="K4456" s="249">
        <v>0</v>
      </c>
      <c r="M4456" s="90">
        <v>0</v>
      </c>
      <c r="N4456" s="90">
        <v>0</v>
      </c>
      <c r="O4456" s="90">
        <v>255</v>
      </c>
    </row>
    <row r="4457" spans="1:15" s="90" customFormat="1" ht="12.75" customHeight="1" x14ac:dyDescent="0.2">
      <c r="A4457" s="247" t="s">
        <v>1667</v>
      </c>
      <c r="B4457" s="316">
        <v>3037</v>
      </c>
      <c r="C4457" s="247" t="s">
        <v>996</v>
      </c>
      <c r="D4457" s="317">
        <v>42676</v>
      </c>
      <c r="E4457" s="318">
        <v>0.50445601851851851</v>
      </c>
      <c r="F4457" s="247" t="s">
        <v>980</v>
      </c>
      <c r="G4457" s="247" t="s">
        <v>1035</v>
      </c>
      <c r="H4457" s="248" t="s">
        <v>234</v>
      </c>
      <c r="I4457" s="248" t="s">
        <v>263</v>
      </c>
      <c r="J4457" s="247" t="s">
        <v>809</v>
      </c>
      <c r="K4457" s="249">
        <v>0</v>
      </c>
      <c r="M4457" s="90">
        <v>0</v>
      </c>
      <c r="N4457" s="90">
        <v>0</v>
      </c>
      <c r="O4457" s="90">
        <v>255</v>
      </c>
    </row>
    <row r="4458" spans="1:15" s="90" customFormat="1" ht="12.75" customHeight="1" x14ac:dyDescent="0.2">
      <c r="A4458" s="247" t="s">
        <v>1668</v>
      </c>
      <c r="B4458" s="316">
        <v>3037</v>
      </c>
      <c r="C4458" s="247" t="s">
        <v>996</v>
      </c>
      <c r="D4458" s="317">
        <v>42676</v>
      </c>
      <c r="E4458" s="318">
        <v>0.50445601851851851</v>
      </c>
      <c r="F4458" s="247" t="s">
        <v>980</v>
      </c>
      <c r="G4458" s="247" t="s">
        <v>1035</v>
      </c>
      <c r="H4458" s="248" t="s">
        <v>234</v>
      </c>
      <c r="I4458" s="248" t="s">
        <v>263</v>
      </c>
      <c r="J4458" s="247" t="s">
        <v>809</v>
      </c>
      <c r="K4458" s="249">
        <v>0</v>
      </c>
      <c r="M4458" s="90">
        <v>0</v>
      </c>
      <c r="N4458" s="90">
        <v>0</v>
      </c>
      <c r="O4458" s="90">
        <v>255</v>
      </c>
    </row>
    <row r="4459" spans="1:15" s="90" customFormat="1" ht="12.75" customHeight="1" x14ac:dyDescent="0.2">
      <c r="A4459" s="247" t="s">
        <v>1669</v>
      </c>
      <c r="B4459" s="316">
        <v>3037</v>
      </c>
      <c r="C4459" s="247" t="s">
        <v>996</v>
      </c>
      <c r="D4459" s="317">
        <v>42676</v>
      </c>
      <c r="E4459" s="318">
        <v>0.50445601851851851</v>
      </c>
      <c r="F4459" s="247" t="s">
        <v>980</v>
      </c>
      <c r="G4459" s="247" t="s">
        <v>1035</v>
      </c>
      <c r="H4459" s="248" t="s">
        <v>234</v>
      </c>
      <c r="I4459" s="248" t="s">
        <v>263</v>
      </c>
      <c r="J4459" s="247" t="s">
        <v>809</v>
      </c>
      <c r="K4459" s="249">
        <v>0</v>
      </c>
      <c r="M4459" s="90">
        <v>0</v>
      </c>
      <c r="N4459" s="90">
        <v>0</v>
      </c>
      <c r="O4459" s="90">
        <v>255</v>
      </c>
    </row>
    <row r="4460" spans="1:15" s="90" customFormat="1" ht="12.75" customHeight="1" x14ac:dyDescent="0.2">
      <c r="A4460" s="247" t="s">
        <v>1670</v>
      </c>
      <c r="B4460" s="316">
        <v>3037</v>
      </c>
      <c r="C4460" s="247" t="s">
        <v>996</v>
      </c>
      <c r="D4460" s="317">
        <v>42676</v>
      </c>
      <c r="E4460" s="318">
        <v>0.50446759259259266</v>
      </c>
      <c r="F4460" s="247" t="s">
        <v>980</v>
      </c>
      <c r="G4460" s="247" t="s">
        <v>1035</v>
      </c>
      <c r="H4460" s="248" t="s">
        <v>234</v>
      </c>
      <c r="I4460" s="248" t="s">
        <v>263</v>
      </c>
      <c r="J4460" s="247" t="s">
        <v>809</v>
      </c>
      <c r="K4460" s="249">
        <v>0</v>
      </c>
      <c r="M4460" s="90">
        <v>0</v>
      </c>
      <c r="N4460" s="90">
        <v>0</v>
      </c>
      <c r="O4460" s="90">
        <v>255</v>
      </c>
    </row>
    <row r="4461" spans="1:15" s="90" customFormat="1" ht="12.75" customHeight="1" x14ac:dyDescent="0.2">
      <c r="A4461" s="247" t="s">
        <v>1671</v>
      </c>
      <c r="B4461" s="316">
        <v>3037</v>
      </c>
      <c r="C4461" s="247" t="s">
        <v>996</v>
      </c>
      <c r="D4461" s="317">
        <v>42676</v>
      </c>
      <c r="E4461" s="318">
        <v>0.50446759259259266</v>
      </c>
      <c r="F4461" s="247" t="s">
        <v>980</v>
      </c>
      <c r="G4461" s="247" t="s">
        <v>1035</v>
      </c>
      <c r="H4461" s="248" t="s">
        <v>234</v>
      </c>
      <c r="I4461" s="248" t="s">
        <v>263</v>
      </c>
      <c r="J4461" s="247" t="s">
        <v>809</v>
      </c>
      <c r="K4461" s="249">
        <v>0</v>
      </c>
      <c r="M4461" s="90">
        <v>0</v>
      </c>
      <c r="N4461" s="90">
        <v>0</v>
      </c>
      <c r="O4461" s="90">
        <v>255</v>
      </c>
    </row>
    <row r="4462" spans="1:15" s="90" customFormat="1" ht="12.75" customHeight="1" x14ac:dyDescent="0.2">
      <c r="A4462" s="247" t="s">
        <v>1672</v>
      </c>
      <c r="B4462" s="316">
        <v>3037</v>
      </c>
      <c r="C4462" s="247" t="s">
        <v>996</v>
      </c>
      <c r="D4462" s="317">
        <v>42676</v>
      </c>
      <c r="E4462" s="318">
        <v>0.50446759259259266</v>
      </c>
      <c r="F4462" s="247" t="s">
        <v>980</v>
      </c>
      <c r="G4462" s="247" t="s">
        <v>1035</v>
      </c>
      <c r="H4462" s="248" t="s">
        <v>234</v>
      </c>
      <c r="I4462" s="248" t="s">
        <v>263</v>
      </c>
      <c r="J4462" s="247" t="s">
        <v>809</v>
      </c>
      <c r="K4462" s="249">
        <v>0</v>
      </c>
      <c r="M4462" s="90">
        <v>0</v>
      </c>
      <c r="N4462" s="90">
        <v>0</v>
      </c>
      <c r="O4462" s="90">
        <v>255</v>
      </c>
    </row>
    <row r="4463" spans="1:15" s="90" customFormat="1" ht="12.75" customHeight="1" x14ac:dyDescent="0.2">
      <c r="A4463" s="247" t="s">
        <v>1673</v>
      </c>
      <c r="B4463" s="316">
        <v>3037</v>
      </c>
      <c r="C4463" s="247" t="s">
        <v>996</v>
      </c>
      <c r="D4463" s="317">
        <v>42676</v>
      </c>
      <c r="E4463" s="318">
        <v>0.50446759259259266</v>
      </c>
      <c r="F4463" s="247" t="s">
        <v>980</v>
      </c>
      <c r="G4463" s="247" t="s">
        <v>1035</v>
      </c>
      <c r="H4463" s="248" t="s">
        <v>234</v>
      </c>
      <c r="I4463" s="248" t="s">
        <v>263</v>
      </c>
      <c r="J4463" s="247" t="s">
        <v>809</v>
      </c>
      <c r="K4463" s="249">
        <v>0</v>
      </c>
      <c r="M4463" s="90">
        <v>0</v>
      </c>
      <c r="N4463" s="90">
        <v>0</v>
      </c>
      <c r="O4463" s="90">
        <v>255</v>
      </c>
    </row>
    <row r="4464" spans="1:15" s="90" customFormat="1" ht="12.75" customHeight="1" x14ac:dyDescent="0.2">
      <c r="A4464" s="247" t="s">
        <v>1674</v>
      </c>
      <c r="B4464" s="316">
        <v>3037</v>
      </c>
      <c r="C4464" s="247" t="s">
        <v>996</v>
      </c>
      <c r="D4464" s="317">
        <v>42676</v>
      </c>
      <c r="E4464" s="318">
        <v>0.50446759259259266</v>
      </c>
      <c r="F4464" s="247" t="s">
        <v>980</v>
      </c>
      <c r="G4464" s="247" t="s">
        <v>1035</v>
      </c>
      <c r="H4464" s="248" t="s">
        <v>234</v>
      </c>
      <c r="I4464" s="248" t="s">
        <v>263</v>
      </c>
      <c r="J4464" s="247" t="s">
        <v>809</v>
      </c>
      <c r="K4464" s="249">
        <v>0</v>
      </c>
      <c r="M4464" s="90">
        <v>0</v>
      </c>
      <c r="N4464" s="90">
        <v>0</v>
      </c>
      <c r="O4464" s="90">
        <v>255</v>
      </c>
    </row>
    <row r="4465" spans="1:15" s="90" customFormat="1" ht="12.75" customHeight="1" x14ac:dyDescent="0.2">
      <c r="A4465" s="247" t="s">
        <v>1675</v>
      </c>
      <c r="B4465" s="316">
        <v>3037</v>
      </c>
      <c r="C4465" s="247" t="s">
        <v>996</v>
      </c>
      <c r="D4465" s="317">
        <v>42676</v>
      </c>
      <c r="E4465" s="318">
        <v>0.5044791666666667</v>
      </c>
      <c r="F4465" s="247" t="s">
        <v>980</v>
      </c>
      <c r="G4465" s="247" t="s">
        <v>1035</v>
      </c>
      <c r="H4465" s="248" t="s">
        <v>234</v>
      </c>
      <c r="I4465" s="248" t="s">
        <v>263</v>
      </c>
      <c r="J4465" s="247" t="s">
        <v>809</v>
      </c>
      <c r="K4465" s="249">
        <v>0</v>
      </c>
      <c r="M4465" s="90">
        <v>0</v>
      </c>
      <c r="N4465" s="90">
        <v>0</v>
      </c>
      <c r="O4465" s="90">
        <v>255</v>
      </c>
    </row>
    <row r="4466" spans="1:15" s="90" customFormat="1" ht="12.75" customHeight="1" x14ac:dyDescent="0.2">
      <c r="A4466" s="247" t="s">
        <v>1676</v>
      </c>
      <c r="B4466" s="316">
        <v>3037</v>
      </c>
      <c r="C4466" s="247" t="s">
        <v>996</v>
      </c>
      <c r="D4466" s="317">
        <v>42676</v>
      </c>
      <c r="E4466" s="318">
        <v>0.5044791666666667</v>
      </c>
      <c r="F4466" s="247" t="s">
        <v>980</v>
      </c>
      <c r="G4466" s="247" t="s">
        <v>1035</v>
      </c>
      <c r="H4466" s="248" t="s">
        <v>234</v>
      </c>
      <c r="I4466" s="248" t="s">
        <v>263</v>
      </c>
      <c r="J4466" s="247" t="s">
        <v>809</v>
      </c>
      <c r="K4466" s="249">
        <v>0</v>
      </c>
      <c r="M4466" s="90">
        <v>0</v>
      </c>
      <c r="N4466" s="90">
        <v>0</v>
      </c>
      <c r="O4466" s="90">
        <v>255</v>
      </c>
    </row>
    <row r="4467" spans="1:15" s="90" customFormat="1" ht="12.75" customHeight="1" x14ac:dyDescent="0.2">
      <c r="A4467" s="247" t="s">
        <v>1677</v>
      </c>
      <c r="B4467" s="316">
        <v>3037</v>
      </c>
      <c r="C4467" s="247" t="s">
        <v>996</v>
      </c>
      <c r="D4467" s="317">
        <v>42676</v>
      </c>
      <c r="E4467" s="318">
        <v>0.5044791666666667</v>
      </c>
      <c r="F4467" s="247" t="s">
        <v>980</v>
      </c>
      <c r="G4467" s="247" t="s">
        <v>1035</v>
      </c>
      <c r="H4467" s="248" t="s">
        <v>234</v>
      </c>
      <c r="I4467" s="248" t="s">
        <v>263</v>
      </c>
      <c r="J4467" s="247" t="s">
        <v>809</v>
      </c>
      <c r="K4467" s="249">
        <v>0</v>
      </c>
      <c r="M4467" s="90">
        <v>0</v>
      </c>
      <c r="N4467" s="90">
        <v>0</v>
      </c>
      <c r="O4467" s="90">
        <v>255</v>
      </c>
    </row>
    <row r="4468" spans="1:15" s="90" customFormat="1" ht="12.75" customHeight="1" x14ac:dyDescent="0.2">
      <c r="A4468" s="247" t="s">
        <v>1678</v>
      </c>
      <c r="B4468" s="316">
        <v>3037</v>
      </c>
      <c r="C4468" s="247" t="s">
        <v>996</v>
      </c>
      <c r="D4468" s="317">
        <v>42676</v>
      </c>
      <c r="E4468" s="318">
        <v>0.5044791666666667</v>
      </c>
      <c r="F4468" s="247" t="s">
        <v>980</v>
      </c>
      <c r="G4468" s="247" t="s">
        <v>1035</v>
      </c>
      <c r="H4468" s="248" t="s">
        <v>234</v>
      </c>
      <c r="I4468" s="248" t="s">
        <v>263</v>
      </c>
      <c r="J4468" s="247" t="s">
        <v>809</v>
      </c>
      <c r="K4468" s="249">
        <v>0</v>
      </c>
      <c r="M4468" s="90">
        <v>0</v>
      </c>
      <c r="N4468" s="90">
        <v>0</v>
      </c>
      <c r="O4468" s="90">
        <v>255</v>
      </c>
    </row>
    <row r="4469" spans="1:15" s="90" customFormat="1" ht="12.75" customHeight="1" x14ac:dyDescent="0.2">
      <c r="A4469" s="247" t="s">
        <v>1679</v>
      </c>
      <c r="B4469" s="316">
        <v>3037</v>
      </c>
      <c r="C4469" s="247" t="s">
        <v>996</v>
      </c>
      <c r="D4469" s="317">
        <v>42676</v>
      </c>
      <c r="E4469" s="318">
        <v>0.5044791666666667</v>
      </c>
      <c r="F4469" s="247" t="s">
        <v>980</v>
      </c>
      <c r="G4469" s="247" t="s">
        <v>1035</v>
      </c>
      <c r="H4469" s="248" t="s">
        <v>234</v>
      </c>
      <c r="I4469" s="248" t="s">
        <v>263</v>
      </c>
      <c r="J4469" s="247" t="s">
        <v>809</v>
      </c>
      <c r="K4469" s="249">
        <v>0</v>
      </c>
      <c r="M4469" s="90">
        <v>0</v>
      </c>
      <c r="N4469" s="90">
        <v>0</v>
      </c>
      <c r="O4469" s="90">
        <v>255</v>
      </c>
    </row>
    <row r="4470" spans="1:15" s="90" customFormat="1" ht="12.75" customHeight="1" x14ac:dyDescent="0.2">
      <c r="A4470" s="247" t="s">
        <v>1680</v>
      </c>
      <c r="B4470" s="316">
        <v>3037</v>
      </c>
      <c r="C4470" s="247" t="s">
        <v>996</v>
      </c>
      <c r="D4470" s="317">
        <v>42676</v>
      </c>
      <c r="E4470" s="318">
        <v>0.5044791666666667</v>
      </c>
      <c r="F4470" s="247" t="s">
        <v>980</v>
      </c>
      <c r="G4470" s="247" t="s">
        <v>1035</v>
      </c>
      <c r="H4470" s="248" t="s">
        <v>234</v>
      </c>
      <c r="I4470" s="248" t="s">
        <v>263</v>
      </c>
      <c r="J4470" s="247" t="s">
        <v>809</v>
      </c>
      <c r="K4470" s="249">
        <v>0</v>
      </c>
      <c r="M4470" s="90">
        <v>0</v>
      </c>
      <c r="N4470" s="90">
        <v>0</v>
      </c>
      <c r="O4470" s="90">
        <v>255</v>
      </c>
    </row>
    <row r="4471" spans="1:15" s="90" customFormat="1" ht="12.75" customHeight="1" x14ac:dyDescent="0.2">
      <c r="A4471" s="247" t="s">
        <v>1681</v>
      </c>
      <c r="B4471" s="316">
        <v>3037</v>
      </c>
      <c r="C4471" s="247" t="s">
        <v>996</v>
      </c>
      <c r="D4471" s="317">
        <v>42676</v>
      </c>
      <c r="E4471" s="318">
        <v>0.50449074074074074</v>
      </c>
      <c r="F4471" s="247" t="s">
        <v>980</v>
      </c>
      <c r="G4471" s="247" t="s">
        <v>1035</v>
      </c>
      <c r="H4471" s="248" t="s">
        <v>234</v>
      </c>
      <c r="I4471" s="248" t="s">
        <v>263</v>
      </c>
      <c r="J4471" s="247" t="s">
        <v>809</v>
      </c>
      <c r="K4471" s="249">
        <v>0</v>
      </c>
      <c r="M4471" s="90">
        <v>0</v>
      </c>
      <c r="N4471" s="90">
        <v>0</v>
      </c>
      <c r="O4471" s="90">
        <v>255</v>
      </c>
    </row>
    <row r="4472" spans="1:15" s="90" customFormat="1" ht="12.75" customHeight="1" x14ac:dyDescent="0.2">
      <c r="A4472" s="247" t="s">
        <v>1532</v>
      </c>
      <c r="B4472" s="316">
        <v>3037</v>
      </c>
      <c r="C4472" s="247" t="s">
        <v>996</v>
      </c>
      <c r="D4472" s="317">
        <v>42676</v>
      </c>
      <c r="E4472" s="318">
        <v>0.50449074074074074</v>
      </c>
      <c r="F4472" s="247" t="s">
        <v>980</v>
      </c>
      <c r="G4472" s="247" t="s">
        <v>1035</v>
      </c>
      <c r="H4472" s="248" t="s">
        <v>234</v>
      </c>
      <c r="I4472" s="248" t="s">
        <v>263</v>
      </c>
      <c r="J4472" s="247" t="s">
        <v>809</v>
      </c>
      <c r="K4472" s="249">
        <v>0</v>
      </c>
      <c r="M4472" s="90">
        <v>0</v>
      </c>
      <c r="N4472" s="90">
        <v>0</v>
      </c>
      <c r="O4472" s="90">
        <v>255</v>
      </c>
    </row>
    <row r="4473" spans="1:15" s="90" customFormat="1" ht="12.75" customHeight="1" x14ac:dyDescent="0.2">
      <c r="A4473" s="247" t="s">
        <v>1533</v>
      </c>
      <c r="B4473" s="316">
        <v>3037</v>
      </c>
      <c r="C4473" s="247" t="s">
        <v>996</v>
      </c>
      <c r="D4473" s="317">
        <v>42676</v>
      </c>
      <c r="E4473" s="318">
        <v>0.50449074074074074</v>
      </c>
      <c r="F4473" s="247" t="s">
        <v>980</v>
      </c>
      <c r="G4473" s="247" t="s">
        <v>1035</v>
      </c>
      <c r="H4473" s="248" t="s">
        <v>234</v>
      </c>
      <c r="I4473" s="248" t="s">
        <v>263</v>
      </c>
      <c r="J4473" s="247" t="s">
        <v>809</v>
      </c>
      <c r="K4473" s="249">
        <v>0</v>
      </c>
      <c r="M4473" s="90">
        <v>0</v>
      </c>
      <c r="N4473" s="90">
        <v>0</v>
      </c>
      <c r="O4473" s="90">
        <v>255</v>
      </c>
    </row>
    <row r="4474" spans="1:15" s="90" customFormat="1" ht="12.75" customHeight="1" x14ac:dyDescent="0.2">
      <c r="A4474" s="247" t="s">
        <v>1682</v>
      </c>
      <c r="B4474" s="316">
        <v>3037</v>
      </c>
      <c r="C4474" s="247" t="s">
        <v>996</v>
      </c>
      <c r="D4474" s="317">
        <v>42676</v>
      </c>
      <c r="E4474" s="318">
        <v>0.50449074074074074</v>
      </c>
      <c r="F4474" s="247" t="s">
        <v>980</v>
      </c>
      <c r="G4474" s="247" t="s">
        <v>1035</v>
      </c>
      <c r="H4474" s="248" t="s">
        <v>234</v>
      </c>
      <c r="I4474" s="248" t="s">
        <v>263</v>
      </c>
      <c r="J4474" s="247" t="s">
        <v>809</v>
      </c>
      <c r="K4474" s="249">
        <v>0</v>
      </c>
      <c r="M4474" s="90">
        <v>0</v>
      </c>
      <c r="N4474" s="90">
        <v>0</v>
      </c>
      <c r="O4474" s="90">
        <v>255</v>
      </c>
    </row>
    <row r="4475" spans="1:15" s="90" customFormat="1" ht="12.75" customHeight="1" x14ac:dyDescent="0.2">
      <c r="A4475" s="247" t="s">
        <v>1683</v>
      </c>
      <c r="B4475" s="316">
        <v>3037</v>
      </c>
      <c r="C4475" s="247" t="s">
        <v>996</v>
      </c>
      <c r="D4475" s="317">
        <v>42676</v>
      </c>
      <c r="E4475" s="318">
        <v>0.50449074074074074</v>
      </c>
      <c r="F4475" s="247" t="s">
        <v>980</v>
      </c>
      <c r="G4475" s="247" t="s">
        <v>1035</v>
      </c>
      <c r="H4475" s="248" t="s">
        <v>234</v>
      </c>
      <c r="I4475" s="248" t="s">
        <v>263</v>
      </c>
      <c r="J4475" s="247" t="s">
        <v>809</v>
      </c>
      <c r="K4475" s="249">
        <v>0</v>
      </c>
      <c r="M4475" s="90">
        <v>0</v>
      </c>
      <c r="N4475" s="90">
        <v>0</v>
      </c>
      <c r="O4475" s="90">
        <v>255</v>
      </c>
    </row>
    <row r="4476" spans="1:15" s="90" customFormat="1" ht="12.75" customHeight="1" x14ac:dyDescent="0.2">
      <c r="A4476" s="247" t="s">
        <v>1684</v>
      </c>
      <c r="B4476" s="316">
        <v>3037</v>
      </c>
      <c r="C4476" s="247" t="s">
        <v>996</v>
      </c>
      <c r="D4476" s="317">
        <v>42676</v>
      </c>
      <c r="E4476" s="318">
        <v>0.50449074074074074</v>
      </c>
      <c r="F4476" s="247" t="s">
        <v>980</v>
      </c>
      <c r="G4476" s="247" t="s">
        <v>1035</v>
      </c>
      <c r="H4476" s="248" t="s">
        <v>234</v>
      </c>
      <c r="I4476" s="248" t="s">
        <v>263</v>
      </c>
      <c r="J4476" s="247" t="s">
        <v>809</v>
      </c>
      <c r="K4476" s="249">
        <v>0</v>
      </c>
      <c r="M4476" s="90">
        <v>0</v>
      </c>
      <c r="N4476" s="90">
        <v>0</v>
      </c>
      <c r="O4476" s="90">
        <v>255</v>
      </c>
    </row>
    <row r="4477" spans="1:15" s="90" customFormat="1" ht="12.75" customHeight="1" x14ac:dyDescent="0.2">
      <c r="A4477" s="247" t="s">
        <v>1531</v>
      </c>
      <c r="B4477" s="316">
        <v>3037</v>
      </c>
      <c r="C4477" s="247" t="s">
        <v>996</v>
      </c>
      <c r="D4477" s="317">
        <v>42676</v>
      </c>
      <c r="E4477" s="318">
        <v>0.50449074074074074</v>
      </c>
      <c r="F4477" s="247" t="s">
        <v>980</v>
      </c>
      <c r="G4477" s="247" t="s">
        <v>1035</v>
      </c>
      <c r="H4477" s="248" t="s">
        <v>234</v>
      </c>
      <c r="I4477" s="248" t="s">
        <v>263</v>
      </c>
      <c r="J4477" s="247" t="s">
        <v>809</v>
      </c>
      <c r="K4477" s="249">
        <v>0</v>
      </c>
      <c r="M4477" s="90">
        <v>0</v>
      </c>
      <c r="N4477" s="90">
        <v>0</v>
      </c>
      <c r="O4477" s="90">
        <v>255</v>
      </c>
    </row>
    <row r="4478" spans="1:15" s="90" customFormat="1" ht="12.75" customHeight="1" x14ac:dyDescent="0.2">
      <c r="A4478" s="247" t="s">
        <v>1686</v>
      </c>
      <c r="B4478" s="316">
        <v>3037</v>
      </c>
      <c r="C4478" s="247" t="s">
        <v>996</v>
      </c>
      <c r="D4478" s="317">
        <v>42676</v>
      </c>
      <c r="E4478" s="318">
        <v>0.50450231481481478</v>
      </c>
      <c r="F4478" s="247" t="s">
        <v>980</v>
      </c>
      <c r="G4478" s="247" t="s">
        <v>1035</v>
      </c>
      <c r="H4478" s="248" t="s">
        <v>234</v>
      </c>
      <c r="I4478" s="248" t="s">
        <v>263</v>
      </c>
      <c r="J4478" s="247" t="s">
        <v>809</v>
      </c>
      <c r="K4478" s="249">
        <v>0</v>
      </c>
      <c r="M4478" s="90">
        <v>0</v>
      </c>
      <c r="N4478" s="90">
        <v>0</v>
      </c>
      <c r="O4478" s="90">
        <v>255</v>
      </c>
    </row>
    <row r="4479" spans="1:15" s="90" customFormat="1" ht="12.75" customHeight="1" x14ac:dyDescent="0.2">
      <c r="A4479" s="247" t="s">
        <v>1687</v>
      </c>
      <c r="B4479" s="316">
        <v>3037</v>
      </c>
      <c r="C4479" s="247" t="s">
        <v>996</v>
      </c>
      <c r="D4479" s="317">
        <v>42676</v>
      </c>
      <c r="E4479" s="318">
        <v>0.50450231481481478</v>
      </c>
      <c r="F4479" s="247" t="s">
        <v>980</v>
      </c>
      <c r="G4479" s="247" t="s">
        <v>1035</v>
      </c>
      <c r="H4479" s="248" t="s">
        <v>234</v>
      </c>
      <c r="I4479" s="248" t="s">
        <v>263</v>
      </c>
      <c r="J4479" s="247" t="s">
        <v>809</v>
      </c>
      <c r="K4479" s="249">
        <v>0</v>
      </c>
      <c r="M4479" s="90">
        <v>0</v>
      </c>
      <c r="N4479" s="90">
        <v>0</v>
      </c>
      <c r="O4479" s="90">
        <v>255</v>
      </c>
    </row>
    <row r="4480" spans="1:15" s="90" customFormat="1" ht="12.75" customHeight="1" x14ac:dyDescent="0.2">
      <c r="A4480" s="247" t="s">
        <v>1688</v>
      </c>
      <c r="B4480" s="316">
        <v>3037</v>
      </c>
      <c r="C4480" s="247" t="s">
        <v>996</v>
      </c>
      <c r="D4480" s="317">
        <v>42676</v>
      </c>
      <c r="E4480" s="318">
        <v>0.50450231481481478</v>
      </c>
      <c r="F4480" s="247" t="s">
        <v>980</v>
      </c>
      <c r="G4480" s="247" t="s">
        <v>1035</v>
      </c>
      <c r="H4480" s="248" t="s">
        <v>234</v>
      </c>
      <c r="I4480" s="248" t="s">
        <v>263</v>
      </c>
      <c r="J4480" s="247" t="s">
        <v>809</v>
      </c>
      <c r="K4480" s="249">
        <v>0</v>
      </c>
      <c r="M4480" s="90">
        <v>0</v>
      </c>
      <c r="N4480" s="90">
        <v>0</v>
      </c>
      <c r="O4480" s="90">
        <v>255</v>
      </c>
    </row>
    <row r="4481" spans="1:15" s="90" customFormat="1" ht="12.75" customHeight="1" x14ac:dyDescent="0.2">
      <c r="A4481" s="247" t="s">
        <v>1689</v>
      </c>
      <c r="B4481" s="316">
        <v>3037</v>
      </c>
      <c r="C4481" s="247" t="s">
        <v>996</v>
      </c>
      <c r="D4481" s="317">
        <v>42676</v>
      </c>
      <c r="E4481" s="318">
        <v>0.50450231481481478</v>
      </c>
      <c r="F4481" s="247" t="s">
        <v>980</v>
      </c>
      <c r="G4481" s="247" t="s">
        <v>1035</v>
      </c>
      <c r="H4481" s="248" t="s">
        <v>234</v>
      </c>
      <c r="I4481" s="248" t="s">
        <v>263</v>
      </c>
      <c r="J4481" s="247" t="s">
        <v>809</v>
      </c>
      <c r="K4481" s="249">
        <v>0</v>
      </c>
      <c r="M4481" s="90">
        <v>0</v>
      </c>
      <c r="N4481" s="90">
        <v>0</v>
      </c>
      <c r="O4481" s="90">
        <v>255</v>
      </c>
    </row>
    <row r="4482" spans="1:15" s="90" customFormat="1" ht="12.75" customHeight="1" x14ac:dyDescent="0.2">
      <c r="A4482" s="247" t="s">
        <v>1690</v>
      </c>
      <c r="B4482" s="316">
        <v>3037</v>
      </c>
      <c r="C4482" s="247" t="s">
        <v>996</v>
      </c>
      <c r="D4482" s="317">
        <v>42676</v>
      </c>
      <c r="E4482" s="318">
        <v>0.50451388888888882</v>
      </c>
      <c r="F4482" s="247" t="s">
        <v>980</v>
      </c>
      <c r="G4482" s="247" t="s">
        <v>1035</v>
      </c>
      <c r="H4482" s="248" t="s">
        <v>234</v>
      </c>
      <c r="I4482" s="248" t="s">
        <v>263</v>
      </c>
      <c r="J4482" s="247" t="s">
        <v>809</v>
      </c>
      <c r="K4482" s="249">
        <v>0</v>
      </c>
      <c r="M4482" s="90">
        <v>0</v>
      </c>
      <c r="N4482" s="90">
        <v>0</v>
      </c>
      <c r="O4482" s="90">
        <v>255</v>
      </c>
    </row>
    <row r="4483" spans="1:15" s="90" customFormat="1" ht="12.75" customHeight="1" x14ac:dyDescent="0.2">
      <c r="A4483" s="247" t="s">
        <v>1691</v>
      </c>
      <c r="B4483" s="316">
        <v>3037</v>
      </c>
      <c r="C4483" s="247" t="s">
        <v>996</v>
      </c>
      <c r="D4483" s="317">
        <v>42676</v>
      </c>
      <c r="E4483" s="318">
        <v>0.50451388888888882</v>
      </c>
      <c r="F4483" s="247" t="s">
        <v>980</v>
      </c>
      <c r="G4483" s="247" t="s">
        <v>1035</v>
      </c>
      <c r="H4483" s="248" t="s">
        <v>234</v>
      </c>
      <c r="I4483" s="248" t="s">
        <v>263</v>
      </c>
      <c r="J4483" s="247" t="s">
        <v>809</v>
      </c>
      <c r="K4483" s="249">
        <v>0</v>
      </c>
      <c r="M4483" s="90">
        <v>0</v>
      </c>
      <c r="N4483" s="90">
        <v>0</v>
      </c>
      <c r="O4483" s="90">
        <v>255</v>
      </c>
    </row>
    <row r="4484" spans="1:15" s="90" customFormat="1" ht="12.75" customHeight="1" x14ac:dyDescent="0.2">
      <c r="A4484" s="247" t="s">
        <v>1692</v>
      </c>
      <c r="B4484" s="316">
        <v>3037</v>
      </c>
      <c r="C4484" s="247" t="s">
        <v>996</v>
      </c>
      <c r="D4484" s="317">
        <v>42676</v>
      </c>
      <c r="E4484" s="318">
        <v>0.50451388888888882</v>
      </c>
      <c r="F4484" s="247" t="s">
        <v>980</v>
      </c>
      <c r="G4484" s="247" t="s">
        <v>1035</v>
      </c>
      <c r="H4484" s="248" t="s">
        <v>234</v>
      </c>
      <c r="I4484" s="248" t="s">
        <v>263</v>
      </c>
      <c r="J4484" s="247" t="s">
        <v>809</v>
      </c>
      <c r="K4484" s="249">
        <v>0</v>
      </c>
      <c r="M4484" s="90">
        <v>0</v>
      </c>
      <c r="N4484" s="90">
        <v>0</v>
      </c>
      <c r="O4484" s="90">
        <v>255</v>
      </c>
    </row>
    <row r="4485" spans="1:15" s="90" customFormat="1" ht="12.75" customHeight="1" x14ac:dyDescent="0.2">
      <c r="A4485" s="247" t="s">
        <v>1534</v>
      </c>
      <c r="B4485" s="316">
        <v>3037</v>
      </c>
      <c r="C4485" s="247" t="s">
        <v>996</v>
      </c>
      <c r="D4485" s="317">
        <v>42676</v>
      </c>
      <c r="E4485" s="318">
        <v>0.50451388888888882</v>
      </c>
      <c r="F4485" s="247" t="s">
        <v>980</v>
      </c>
      <c r="G4485" s="247" t="s">
        <v>1035</v>
      </c>
      <c r="H4485" s="248" t="s">
        <v>234</v>
      </c>
      <c r="I4485" s="248" t="s">
        <v>263</v>
      </c>
      <c r="J4485" s="247" t="s">
        <v>809</v>
      </c>
      <c r="K4485" s="249">
        <v>0</v>
      </c>
      <c r="M4485" s="90">
        <v>0</v>
      </c>
      <c r="N4485" s="90">
        <v>0</v>
      </c>
      <c r="O4485" s="90">
        <v>255</v>
      </c>
    </row>
    <row r="4486" spans="1:15" s="90" customFormat="1" ht="12.75" customHeight="1" x14ac:dyDescent="0.2">
      <c r="A4486" s="247" t="s">
        <v>1693</v>
      </c>
      <c r="B4486" s="316">
        <v>3037</v>
      </c>
      <c r="C4486" s="247" t="s">
        <v>996</v>
      </c>
      <c r="D4486" s="317">
        <v>42676</v>
      </c>
      <c r="E4486" s="318">
        <v>0.50451388888888882</v>
      </c>
      <c r="F4486" s="247" t="s">
        <v>980</v>
      </c>
      <c r="G4486" s="247" t="s">
        <v>1035</v>
      </c>
      <c r="H4486" s="248" t="s">
        <v>234</v>
      </c>
      <c r="I4486" s="248" t="s">
        <v>263</v>
      </c>
      <c r="J4486" s="247" t="s">
        <v>809</v>
      </c>
      <c r="K4486" s="249">
        <v>0</v>
      </c>
      <c r="M4486" s="90">
        <v>0</v>
      </c>
      <c r="N4486" s="90">
        <v>0</v>
      </c>
      <c r="O4486" s="90">
        <v>255</v>
      </c>
    </row>
    <row r="4487" spans="1:15" s="90" customFormat="1" ht="12.75" customHeight="1" x14ac:dyDescent="0.2">
      <c r="A4487" s="247" t="s">
        <v>1694</v>
      </c>
      <c r="B4487" s="316">
        <v>3037</v>
      </c>
      <c r="C4487" s="247" t="s">
        <v>996</v>
      </c>
      <c r="D4487" s="317">
        <v>42676</v>
      </c>
      <c r="E4487" s="318">
        <v>0.50451388888888882</v>
      </c>
      <c r="F4487" s="247" t="s">
        <v>980</v>
      </c>
      <c r="G4487" s="247" t="s">
        <v>1035</v>
      </c>
      <c r="H4487" s="248" t="s">
        <v>234</v>
      </c>
      <c r="I4487" s="248" t="s">
        <v>263</v>
      </c>
      <c r="J4487" s="247" t="s">
        <v>809</v>
      </c>
      <c r="K4487" s="249">
        <v>0</v>
      </c>
      <c r="M4487" s="90">
        <v>0</v>
      </c>
      <c r="N4487" s="90">
        <v>0</v>
      </c>
      <c r="O4487" s="90">
        <v>255</v>
      </c>
    </row>
    <row r="4488" spans="1:15" s="90" customFormat="1" ht="12.75" customHeight="1" x14ac:dyDescent="0.2">
      <c r="A4488" s="247" t="s">
        <v>1695</v>
      </c>
      <c r="B4488" s="316">
        <v>3037</v>
      </c>
      <c r="C4488" s="247" t="s">
        <v>996</v>
      </c>
      <c r="D4488" s="317">
        <v>42676</v>
      </c>
      <c r="E4488" s="318">
        <v>0.50452546296296297</v>
      </c>
      <c r="F4488" s="247" t="s">
        <v>980</v>
      </c>
      <c r="G4488" s="247" t="s">
        <v>1035</v>
      </c>
      <c r="H4488" s="248" t="s">
        <v>234</v>
      </c>
      <c r="I4488" s="248" t="s">
        <v>263</v>
      </c>
      <c r="J4488" s="247" t="s">
        <v>809</v>
      </c>
      <c r="K4488" s="249">
        <v>0</v>
      </c>
      <c r="M4488" s="90">
        <v>0</v>
      </c>
      <c r="N4488" s="90">
        <v>0</v>
      </c>
      <c r="O4488" s="90">
        <v>255</v>
      </c>
    </row>
    <row r="4489" spans="1:15" s="90" customFormat="1" ht="12.75" customHeight="1" x14ac:dyDescent="0.2">
      <c r="A4489" s="247" t="s">
        <v>1696</v>
      </c>
      <c r="B4489" s="316">
        <v>3037</v>
      </c>
      <c r="C4489" s="247" t="s">
        <v>996</v>
      </c>
      <c r="D4489" s="317">
        <v>42676</v>
      </c>
      <c r="E4489" s="318">
        <v>0.50452546296296297</v>
      </c>
      <c r="F4489" s="247" t="s">
        <v>980</v>
      </c>
      <c r="G4489" s="247" t="s">
        <v>1035</v>
      </c>
      <c r="H4489" s="248" t="s">
        <v>234</v>
      </c>
      <c r="I4489" s="248" t="s">
        <v>263</v>
      </c>
      <c r="J4489" s="247" t="s">
        <v>809</v>
      </c>
      <c r="K4489" s="249">
        <v>0</v>
      </c>
      <c r="M4489" s="90">
        <v>0</v>
      </c>
      <c r="N4489" s="90">
        <v>0</v>
      </c>
      <c r="O4489" s="90">
        <v>255</v>
      </c>
    </row>
    <row r="4490" spans="1:15" s="90" customFormat="1" ht="12.75" customHeight="1" x14ac:dyDescent="0.2">
      <c r="A4490" s="247" t="s">
        <v>1697</v>
      </c>
      <c r="B4490" s="316">
        <v>3037</v>
      </c>
      <c r="C4490" s="247" t="s">
        <v>996</v>
      </c>
      <c r="D4490" s="317">
        <v>42676</v>
      </c>
      <c r="E4490" s="318">
        <v>0.50452546296296297</v>
      </c>
      <c r="F4490" s="247" t="s">
        <v>980</v>
      </c>
      <c r="G4490" s="247" t="s">
        <v>1035</v>
      </c>
      <c r="H4490" s="248" t="s">
        <v>234</v>
      </c>
      <c r="I4490" s="248" t="s">
        <v>263</v>
      </c>
      <c r="J4490" s="247" t="s">
        <v>809</v>
      </c>
      <c r="K4490" s="249">
        <v>0</v>
      </c>
      <c r="M4490" s="90">
        <v>0</v>
      </c>
      <c r="N4490" s="90">
        <v>0</v>
      </c>
      <c r="O4490" s="90">
        <v>255</v>
      </c>
    </row>
    <row r="4491" spans="1:15" s="90" customFormat="1" ht="12.75" customHeight="1" x14ac:dyDescent="0.2">
      <c r="A4491" s="247" t="s">
        <v>1698</v>
      </c>
      <c r="B4491" s="316">
        <v>3037</v>
      </c>
      <c r="C4491" s="247" t="s">
        <v>996</v>
      </c>
      <c r="D4491" s="317">
        <v>42676</v>
      </c>
      <c r="E4491" s="318">
        <v>0.50453703703703701</v>
      </c>
      <c r="F4491" s="247" t="s">
        <v>980</v>
      </c>
      <c r="G4491" s="247" t="s">
        <v>1035</v>
      </c>
      <c r="H4491" s="248" t="s">
        <v>234</v>
      </c>
      <c r="I4491" s="248" t="s">
        <v>263</v>
      </c>
      <c r="J4491" s="247" t="s">
        <v>809</v>
      </c>
      <c r="K4491" s="249">
        <v>0</v>
      </c>
      <c r="M4491" s="90">
        <v>0</v>
      </c>
      <c r="N4491" s="90">
        <v>0</v>
      </c>
      <c r="O4491" s="90">
        <v>255</v>
      </c>
    </row>
    <row r="4492" spans="1:15" s="90" customFormat="1" ht="12.75" customHeight="1" x14ac:dyDescent="0.2">
      <c r="A4492" s="247" t="s">
        <v>1699</v>
      </c>
      <c r="B4492" s="316">
        <v>3037</v>
      </c>
      <c r="C4492" s="247" t="s">
        <v>996</v>
      </c>
      <c r="D4492" s="317">
        <v>42676</v>
      </c>
      <c r="E4492" s="318">
        <v>0.50453703703703701</v>
      </c>
      <c r="F4492" s="247" t="s">
        <v>980</v>
      </c>
      <c r="G4492" s="247" t="s">
        <v>1035</v>
      </c>
      <c r="H4492" s="248" t="s">
        <v>234</v>
      </c>
      <c r="I4492" s="248" t="s">
        <v>263</v>
      </c>
      <c r="J4492" s="247" t="s">
        <v>809</v>
      </c>
      <c r="K4492" s="249">
        <v>0</v>
      </c>
      <c r="M4492" s="90">
        <v>0</v>
      </c>
      <c r="N4492" s="90">
        <v>0</v>
      </c>
      <c r="O4492" s="90">
        <v>255</v>
      </c>
    </row>
    <row r="4493" spans="1:15" s="90" customFormat="1" ht="12.75" customHeight="1" x14ac:dyDescent="0.2">
      <c r="A4493" s="247" t="s">
        <v>1700</v>
      </c>
      <c r="B4493" s="316">
        <v>3037</v>
      </c>
      <c r="C4493" s="247" t="s">
        <v>996</v>
      </c>
      <c r="D4493" s="317">
        <v>42676</v>
      </c>
      <c r="E4493" s="318">
        <v>0.50453703703703701</v>
      </c>
      <c r="F4493" s="247" t="s">
        <v>980</v>
      </c>
      <c r="G4493" s="247" t="s">
        <v>1035</v>
      </c>
      <c r="H4493" s="248" t="s">
        <v>234</v>
      </c>
      <c r="I4493" s="248" t="s">
        <v>263</v>
      </c>
      <c r="J4493" s="247" t="s">
        <v>809</v>
      </c>
      <c r="K4493" s="249">
        <v>0</v>
      </c>
      <c r="M4493" s="90">
        <v>0</v>
      </c>
      <c r="N4493" s="90">
        <v>0</v>
      </c>
      <c r="O4493" s="90">
        <v>255</v>
      </c>
    </row>
    <row r="4494" spans="1:15" s="90" customFormat="1" ht="12.75" customHeight="1" x14ac:dyDescent="0.2">
      <c r="A4494" s="247" t="s">
        <v>1701</v>
      </c>
      <c r="B4494" s="316">
        <v>3037</v>
      </c>
      <c r="C4494" s="247" t="s">
        <v>996</v>
      </c>
      <c r="D4494" s="317">
        <v>42676</v>
      </c>
      <c r="E4494" s="318">
        <v>0.50453703703703701</v>
      </c>
      <c r="F4494" s="247" t="s">
        <v>980</v>
      </c>
      <c r="G4494" s="247" t="s">
        <v>1035</v>
      </c>
      <c r="H4494" s="248" t="s">
        <v>234</v>
      </c>
      <c r="I4494" s="248" t="s">
        <v>263</v>
      </c>
      <c r="J4494" s="247" t="s">
        <v>809</v>
      </c>
      <c r="K4494" s="249">
        <v>0</v>
      </c>
      <c r="M4494" s="90">
        <v>0</v>
      </c>
      <c r="N4494" s="90">
        <v>0</v>
      </c>
      <c r="O4494" s="90">
        <v>255</v>
      </c>
    </row>
    <row r="4495" spans="1:15" s="90" customFormat="1" ht="12.75" customHeight="1" x14ac:dyDescent="0.2">
      <c r="A4495" s="247" t="s">
        <v>1702</v>
      </c>
      <c r="B4495" s="316">
        <v>3037</v>
      </c>
      <c r="C4495" s="247" t="s">
        <v>996</v>
      </c>
      <c r="D4495" s="317">
        <v>42676</v>
      </c>
      <c r="E4495" s="318">
        <v>0.50453703703703701</v>
      </c>
      <c r="F4495" s="247" t="s">
        <v>980</v>
      </c>
      <c r="G4495" s="247" t="s">
        <v>1035</v>
      </c>
      <c r="H4495" s="248" t="s">
        <v>234</v>
      </c>
      <c r="I4495" s="248" t="s">
        <v>263</v>
      </c>
      <c r="J4495" s="247" t="s">
        <v>809</v>
      </c>
      <c r="K4495" s="249">
        <v>0</v>
      </c>
      <c r="M4495" s="90">
        <v>0</v>
      </c>
      <c r="N4495" s="90">
        <v>0</v>
      </c>
      <c r="O4495" s="90">
        <v>255</v>
      </c>
    </row>
    <row r="4496" spans="1:15" s="90" customFormat="1" ht="12.75" customHeight="1" x14ac:dyDescent="0.2">
      <c r="A4496" s="247" t="s">
        <v>1703</v>
      </c>
      <c r="B4496" s="316">
        <v>3037</v>
      </c>
      <c r="C4496" s="247" t="s">
        <v>996</v>
      </c>
      <c r="D4496" s="317">
        <v>42676</v>
      </c>
      <c r="E4496" s="318">
        <v>0.50453703703703701</v>
      </c>
      <c r="F4496" s="247" t="s">
        <v>980</v>
      </c>
      <c r="G4496" s="247" t="s">
        <v>1035</v>
      </c>
      <c r="H4496" s="248" t="s">
        <v>234</v>
      </c>
      <c r="I4496" s="248" t="s">
        <v>263</v>
      </c>
      <c r="J4496" s="247" t="s">
        <v>809</v>
      </c>
      <c r="K4496" s="249">
        <v>0</v>
      </c>
      <c r="M4496" s="90">
        <v>0</v>
      </c>
      <c r="N4496" s="90">
        <v>0</v>
      </c>
      <c r="O4496" s="90">
        <v>255</v>
      </c>
    </row>
    <row r="4497" spans="1:15" s="90" customFormat="1" ht="12.75" customHeight="1" x14ac:dyDescent="0.2">
      <c r="A4497" s="247" t="s">
        <v>1523</v>
      </c>
      <c r="B4497" s="316">
        <v>3037</v>
      </c>
      <c r="C4497" s="247" t="s">
        <v>996</v>
      </c>
      <c r="D4497" s="317">
        <v>42676</v>
      </c>
      <c r="E4497" s="318">
        <v>0.50454861111111116</v>
      </c>
      <c r="F4497" s="247" t="s">
        <v>980</v>
      </c>
      <c r="G4497" s="247" t="s">
        <v>1035</v>
      </c>
      <c r="H4497" s="248" t="s">
        <v>234</v>
      </c>
      <c r="I4497" s="248" t="s">
        <v>263</v>
      </c>
      <c r="J4497" s="247" t="s">
        <v>809</v>
      </c>
      <c r="K4497" s="249">
        <v>0</v>
      </c>
      <c r="M4497" s="90">
        <v>0</v>
      </c>
      <c r="N4497" s="90">
        <v>0</v>
      </c>
      <c r="O4497" s="90">
        <v>255</v>
      </c>
    </row>
    <row r="4498" spans="1:15" s="90" customFormat="1" ht="12.75" customHeight="1" x14ac:dyDescent="0.2">
      <c r="A4498" s="247" t="s">
        <v>1524</v>
      </c>
      <c r="B4498" s="316">
        <v>3037</v>
      </c>
      <c r="C4498" s="247" t="s">
        <v>996</v>
      </c>
      <c r="D4498" s="317">
        <v>42676</v>
      </c>
      <c r="E4498" s="318">
        <v>0.50454861111111116</v>
      </c>
      <c r="F4498" s="247" t="s">
        <v>980</v>
      </c>
      <c r="G4498" s="247" t="s">
        <v>1035</v>
      </c>
      <c r="H4498" s="248" t="s">
        <v>234</v>
      </c>
      <c r="I4498" s="248" t="s">
        <v>263</v>
      </c>
      <c r="J4498" s="247" t="s">
        <v>809</v>
      </c>
      <c r="K4498" s="249">
        <v>0</v>
      </c>
      <c r="M4498" s="90">
        <v>0</v>
      </c>
      <c r="N4498" s="90">
        <v>0</v>
      </c>
      <c r="O4498" s="90">
        <v>255</v>
      </c>
    </row>
    <row r="4499" spans="1:15" s="90" customFormat="1" ht="12.75" customHeight="1" x14ac:dyDescent="0.2">
      <c r="A4499" s="247" t="s">
        <v>1704</v>
      </c>
      <c r="B4499" s="316">
        <v>3037</v>
      </c>
      <c r="C4499" s="247" t="s">
        <v>996</v>
      </c>
      <c r="D4499" s="317">
        <v>42676</v>
      </c>
      <c r="E4499" s="318">
        <v>0.50454861111111116</v>
      </c>
      <c r="F4499" s="247" t="s">
        <v>980</v>
      </c>
      <c r="G4499" s="247" t="s">
        <v>1035</v>
      </c>
      <c r="H4499" s="248" t="s">
        <v>234</v>
      </c>
      <c r="I4499" s="248" t="s">
        <v>263</v>
      </c>
      <c r="J4499" s="247" t="s">
        <v>809</v>
      </c>
      <c r="K4499" s="249">
        <v>0</v>
      </c>
      <c r="M4499" s="90">
        <v>0</v>
      </c>
      <c r="N4499" s="90">
        <v>0</v>
      </c>
      <c r="O4499" s="90">
        <v>255</v>
      </c>
    </row>
    <row r="4500" spans="1:15" s="90" customFormat="1" ht="12.75" customHeight="1" x14ac:dyDescent="0.2">
      <c r="A4500" s="247" t="s">
        <v>1705</v>
      </c>
      <c r="B4500" s="316">
        <v>3037</v>
      </c>
      <c r="C4500" s="247" t="s">
        <v>996</v>
      </c>
      <c r="D4500" s="317">
        <v>42676</v>
      </c>
      <c r="E4500" s="318">
        <v>0.50454861111111116</v>
      </c>
      <c r="F4500" s="247" t="s">
        <v>980</v>
      </c>
      <c r="G4500" s="247" t="s">
        <v>1035</v>
      </c>
      <c r="H4500" s="248" t="s">
        <v>234</v>
      </c>
      <c r="I4500" s="248" t="s">
        <v>263</v>
      </c>
      <c r="J4500" s="247" t="s">
        <v>809</v>
      </c>
      <c r="K4500" s="249">
        <v>0</v>
      </c>
      <c r="M4500" s="90">
        <v>0</v>
      </c>
      <c r="N4500" s="90">
        <v>0</v>
      </c>
      <c r="O4500" s="90">
        <v>255</v>
      </c>
    </row>
    <row r="4501" spans="1:15" s="90" customFormat="1" ht="12.75" customHeight="1" x14ac:dyDescent="0.2">
      <c r="A4501" s="247" t="s">
        <v>1535</v>
      </c>
      <c r="B4501" s="316">
        <v>3037</v>
      </c>
      <c r="C4501" s="247" t="s">
        <v>996</v>
      </c>
      <c r="D4501" s="317">
        <v>42676</v>
      </c>
      <c r="E4501" s="318">
        <v>0.50456018518518519</v>
      </c>
      <c r="F4501" s="247" t="s">
        <v>980</v>
      </c>
      <c r="G4501" s="247" t="s">
        <v>1035</v>
      </c>
      <c r="H4501" s="248" t="s">
        <v>234</v>
      </c>
      <c r="I4501" s="248" t="s">
        <v>263</v>
      </c>
      <c r="J4501" s="247" t="s">
        <v>809</v>
      </c>
      <c r="K4501" s="249">
        <v>0</v>
      </c>
      <c r="M4501" s="90">
        <v>0</v>
      </c>
      <c r="N4501" s="90">
        <v>0</v>
      </c>
      <c r="O4501" s="90">
        <v>255</v>
      </c>
    </row>
    <row r="4502" spans="1:15" s="90" customFormat="1" ht="12.75" customHeight="1" x14ac:dyDescent="0.2">
      <c r="A4502" s="247" t="s">
        <v>1706</v>
      </c>
      <c r="B4502" s="316">
        <v>3037</v>
      </c>
      <c r="C4502" s="247" t="s">
        <v>996</v>
      </c>
      <c r="D4502" s="317">
        <v>42676</v>
      </c>
      <c r="E4502" s="318">
        <v>0.50456018518518519</v>
      </c>
      <c r="F4502" s="247" t="s">
        <v>980</v>
      </c>
      <c r="G4502" s="247" t="s">
        <v>1035</v>
      </c>
      <c r="H4502" s="248" t="s">
        <v>234</v>
      </c>
      <c r="I4502" s="248" t="s">
        <v>263</v>
      </c>
      <c r="J4502" s="247" t="s">
        <v>809</v>
      </c>
      <c r="K4502" s="249">
        <v>0</v>
      </c>
      <c r="M4502" s="90">
        <v>0</v>
      </c>
      <c r="N4502" s="90">
        <v>0</v>
      </c>
      <c r="O4502" s="90">
        <v>255</v>
      </c>
    </row>
    <row r="4503" spans="1:15" s="90" customFormat="1" ht="12.75" customHeight="1" x14ac:dyDescent="0.2">
      <c r="A4503" s="247" t="s">
        <v>1707</v>
      </c>
      <c r="B4503" s="316">
        <v>3037</v>
      </c>
      <c r="C4503" s="247" t="s">
        <v>996</v>
      </c>
      <c r="D4503" s="317">
        <v>42676</v>
      </c>
      <c r="E4503" s="318">
        <v>0.50456018518518519</v>
      </c>
      <c r="F4503" s="247" t="s">
        <v>980</v>
      </c>
      <c r="G4503" s="247" t="s">
        <v>1035</v>
      </c>
      <c r="H4503" s="248" t="s">
        <v>234</v>
      </c>
      <c r="I4503" s="248" t="s">
        <v>263</v>
      </c>
      <c r="J4503" s="247" t="s">
        <v>809</v>
      </c>
      <c r="K4503" s="249">
        <v>0</v>
      </c>
      <c r="M4503" s="90">
        <v>0</v>
      </c>
      <c r="N4503" s="90">
        <v>0</v>
      </c>
      <c r="O4503" s="90">
        <v>255</v>
      </c>
    </row>
    <row r="4504" spans="1:15" s="90" customFormat="1" ht="12.75" customHeight="1" x14ac:dyDescent="0.2">
      <c r="A4504" s="247" t="s">
        <v>1536</v>
      </c>
      <c r="B4504" s="316">
        <v>3037</v>
      </c>
      <c r="C4504" s="247" t="s">
        <v>996</v>
      </c>
      <c r="D4504" s="317">
        <v>42676</v>
      </c>
      <c r="E4504" s="318">
        <v>0.50456018518518519</v>
      </c>
      <c r="F4504" s="247" t="s">
        <v>980</v>
      </c>
      <c r="G4504" s="247" t="s">
        <v>1035</v>
      </c>
      <c r="H4504" s="248" t="s">
        <v>234</v>
      </c>
      <c r="I4504" s="248" t="s">
        <v>263</v>
      </c>
      <c r="J4504" s="247" t="s">
        <v>809</v>
      </c>
      <c r="K4504" s="249">
        <v>0</v>
      </c>
      <c r="M4504" s="90">
        <v>0</v>
      </c>
      <c r="N4504" s="90">
        <v>0</v>
      </c>
      <c r="O4504" s="90">
        <v>255</v>
      </c>
    </row>
    <row r="4505" spans="1:15" s="90" customFormat="1" ht="12.75" customHeight="1" x14ac:dyDescent="0.2">
      <c r="A4505" s="247" t="s">
        <v>1537</v>
      </c>
      <c r="B4505" s="316">
        <v>3037</v>
      </c>
      <c r="C4505" s="247" t="s">
        <v>996</v>
      </c>
      <c r="D4505" s="317">
        <v>42676</v>
      </c>
      <c r="E4505" s="318">
        <v>0.50456018518518519</v>
      </c>
      <c r="F4505" s="247" t="s">
        <v>980</v>
      </c>
      <c r="G4505" s="247" t="s">
        <v>1035</v>
      </c>
      <c r="H4505" s="248" t="s">
        <v>234</v>
      </c>
      <c r="I4505" s="248" t="s">
        <v>263</v>
      </c>
      <c r="J4505" s="247" t="s">
        <v>809</v>
      </c>
      <c r="K4505" s="249">
        <v>0</v>
      </c>
      <c r="M4505" s="90">
        <v>0</v>
      </c>
      <c r="N4505" s="90">
        <v>0</v>
      </c>
      <c r="O4505" s="90">
        <v>255</v>
      </c>
    </row>
    <row r="4506" spans="1:15" s="90" customFormat="1" ht="12.75" customHeight="1" x14ac:dyDescent="0.2">
      <c r="A4506" s="247" t="s">
        <v>1708</v>
      </c>
      <c r="B4506" s="316">
        <v>3037</v>
      </c>
      <c r="C4506" s="247" t="s">
        <v>996</v>
      </c>
      <c r="D4506" s="317">
        <v>42676</v>
      </c>
      <c r="E4506" s="318">
        <v>0.50456018518518519</v>
      </c>
      <c r="F4506" s="247" t="s">
        <v>980</v>
      </c>
      <c r="G4506" s="247" t="s">
        <v>1035</v>
      </c>
      <c r="H4506" s="248" t="s">
        <v>234</v>
      </c>
      <c r="I4506" s="248" t="s">
        <v>263</v>
      </c>
      <c r="J4506" s="247" t="s">
        <v>809</v>
      </c>
      <c r="K4506" s="249">
        <v>0</v>
      </c>
      <c r="M4506" s="90">
        <v>0</v>
      </c>
      <c r="N4506" s="90">
        <v>0</v>
      </c>
      <c r="O4506" s="90">
        <v>255</v>
      </c>
    </row>
    <row r="4507" spans="1:15" s="90" customFormat="1" ht="12.75" customHeight="1" x14ac:dyDescent="0.2">
      <c r="A4507" s="247" t="s">
        <v>1709</v>
      </c>
      <c r="B4507" s="316">
        <v>3037</v>
      </c>
      <c r="C4507" s="247" t="s">
        <v>996</v>
      </c>
      <c r="D4507" s="317">
        <v>42676</v>
      </c>
      <c r="E4507" s="318">
        <v>0.50456018518518519</v>
      </c>
      <c r="F4507" s="247" t="s">
        <v>980</v>
      </c>
      <c r="G4507" s="247" t="s">
        <v>1035</v>
      </c>
      <c r="H4507" s="248" t="s">
        <v>234</v>
      </c>
      <c r="I4507" s="248" t="s">
        <v>263</v>
      </c>
      <c r="J4507" s="247" t="s">
        <v>809</v>
      </c>
      <c r="K4507" s="249">
        <v>0</v>
      </c>
      <c r="M4507" s="90">
        <v>0</v>
      </c>
      <c r="N4507" s="90">
        <v>0</v>
      </c>
      <c r="O4507" s="90">
        <v>255</v>
      </c>
    </row>
    <row r="4508" spans="1:15" s="90" customFormat="1" ht="12.75" customHeight="1" x14ac:dyDescent="0.2">
      <c r="A4508" s="247" t="s">
        <v>1710</v>
      </c>
      <c r="B4508" s="316">
        <v>3037</v>
      </c>
      <c r="C4508" s="247" t="s">
        <v>996</v>
      </c>
      <c r="D4508" s="317">
        <v>42676</v>
      </c>
      <c r="E4508" s="318">
        <v>0.50457175925925923</v>
      </c>
      <c r="F4508" s="247" t="s">
        <v>980</v>
      </c>
      <c r="G4508" s="247" t="s">
        <v>1035</v>
      </c>
      <c r="H4508" s="248" t="s">
        <v>234</v>
      </c>
      <c r="I4508" s="248" t="s">
        <v>263</v>
      </c>
      <c r="J4508" s="247" t="s">
        <v>809</v>
      </c>
      <c r="K4508" s="249">
        <v>0</v>
      </c>
      <c r="M4508" s="90">
        <v>0</v>
      </c>
      <c r="N4508" s="90">
        <v>0</v>
      </c>
      <c r="O4508" s="90">
        <v>255</v>
      </c>
    </row>
    <row r="4509" spans="1:15" s="90" customFormat="1" ht="12.75" customHeight="1" x14ac:dyDescent="0.2">
      <c r="A4509" s="247" t="s">
        <v>1711</v>
      </c>
      <c r="B4509" s="316">
        <v>3037</v>
      </c>
      <c r="C4509" s="247" t="s">
        <v>996</v>
      </c>
      <c r="D4509" s="317">
        <v>42676</v>
      </c>
      <c r="E4509" s="318">
        <v>0.50457175925925923</v>
      </c>
      <c r="F4509" s="247" t="s">
        <v>980</v>
      </c>
      <c r="G4509" s="247" t="s">
        <v>1035</v>
      </c>
      <c r="H4509" s="248" t="s">
        <v>234</v>
      </c>
      <c r="I4509" s="248" t="s">
        <v>263</v>
      </c>
      <c r="J4509" s="247" t="s">
        <v>809</v>
      </c>
      <c r="K4509" s="249">
        <v>0</v>
      </c>
      <c r="M4509" s="90">
        <v>0</v>
      </c>
      <c r="N4509" s="90">
        <v>0</v>
      </c>
      <c r="O4509" s="90">
        <v>255</v>
      </c>
    </row>
    <row r="4510" spans="1:15" s="90" customFormat="1" ht="12.75" customHeight="1" x14ac:dyDescent="0.2">
      <c r="A4510" s="247" t="s">
        <v>1712</v>
      </c>
      <c r="B4510" s="316">
        <v>3037</v>
      </c>
      <c r="C4510" s="247" t="s">
        <v>996</v>
      </c>
      <c r="D4510" s="317">
        <v>42676</v>
      </c>
      <c r="E4510" s="318">
        <v>0.50457175925925923</v>
      </c>
      <c r="F4510" s="247" t="s">
        <v>980</v>
      </c>
      <c r="G4510" s="247" t="s">
        <v>1035</v>
      </c>
      <c r="H4510" s="248" t="s">
        <v>234</v>
      </c>
      <c r="I4510" s="248" t="s">
        <v>263</v>
      </c>
      <c r="J4510" s="247" t="s">
        <v>809</v>
      </c>
      <c r="K4510" s="249">
        <v>0</v>
      </c>
      <c r="M4510" s="90">
        <v>0</v>
      </c>
      <c r="N4510" s="90">
        <v>0</v>
      </c>
      <c r="O4510" s="90">
        <v>255</v>
      </c>
    </row>
    <row r="4511" spans="1:15" s="90" customFormat="1" ht="12.75" customHeight="1" x14ac:dyDescent="0.2">
      <c r="A4511" s="247" t="s">
        <v>1713</v>
      </c>
      <c r="B4511" s="316">
        <v>3037</v>
      </c>
      <c r="C4511" s="247" t="s">
        <v>996</v>
      </c>
      <c r="D4511" s="317">
        <v>42676</v>
      </c>
      <c r="E4511" s="318">
        <v>0.50457175925925923</v>
      </c>
      <c r="F4511" s="247" t="s">
        <v>980</v>
      </c>
      <c r="G4511" s="247" t="s">
        <v>1035</v>
      </c>
      <c r="H4511" s="248" t="s">
        <v>234</v>
      </c>
      <c r="I4511" s="248" t="s">
        <v>263</v>
      </c>
      <c r="J4511" s="247" t="s">
        <v>809</v>
      </c>
      <c r="K4511" s="249">
        <v>0</v>
      </c>
      <c r="M4511" s="90">
        <v>0</v>
      </c>
      <c r="N4511" s="90">
        <v>0</v>
      </c>
      <c r="O4511" s="90">
        <v>255</v>
      </c>
    </row>
    <row r="4512" spans="1:15" s="90" customFormat="1" ht="12.75" customHeight="1" x14ac:dyDescent="0.2">
      <c r="A4512" s="247" t="s">
        <v>1714</v>
      </c>
      <c r="B4512" s="316">
        <v>3037</v>
      </c>
      <c r="C4512" s="247" t="s">
        <v>996</v>
      </c>
      <c r="D4512" s="317">
        <v>42676</v>
      </c>
      <c r="E4512" s="318">
        <v>0.50457175925925923</v>
      </c>
      <c r="F4512" s="247" t="s">
        <v>980</v>
      </c>
      <c r="G4512" s="247" t="s">
        <v>1035</v>
      </c>
      <c r="H4512" s="248" t="s">
        <v>234</v>
      </c>
      <c r="I4512" s="248" t="s">
        <v>263</v>
      </c>
      <c r="J4512" s="247" t="s">
        <v>809</v>
      </c>
      <c r="K4512" s="249">
        <v>0</v>
      </c>
      <c r="M4512" s="90">
        <v>0</v>
      </c>
      <c r="N4512" s="90">
        <v>0</v>
      </c>
      <c r="O4512" s="90">
        <v>255</v>
      </c>
    </row>
    <row r="4513" spans="1:15" s="90" customFormat="1" ht="12.75" customHeight="1" x14ac:dyDescent="0.2">
      <c r="A4513" s="247" t="s">
        <v>1715</v>
      </c>
      <c r="B4513" s="316">
        <v>3037</v>
      </c>
      <c r="C4513" s="247" t="s">
        <v>996</v>
      </c>
      <c r="D4513" s="317">
        <v>42676</v>
      </c>
      <c r="E4513" s="318">
        <v>0.50457175925925923</v>
      </c>
      <c r="F4513" s="247" t="s">
        <v>980</v>
      </c>
      <c r="G4513" s="247" t="s">
        <v>1035</v>
      </c>
      <c r="H4513" s="248" t="s">
        <v>234</v>
      </c>
      <c r="I4513" s="248" t="s">
        <v>263</v>
      </c>
      <c r="J4513" s="247" t="s">
        <v>809</v>
      </c>
      <c r="K4513" s="249">
        <v>0</v>
      </c>
      <c r="M4513" s="90">
        <v>0</v>
      </c>
      <c r="N4513" s="90">
        <v>0</v>
      </c>
      <c r="O4513" s="90">
        <v>255</v>
      </c>
    </row>
    <row r="4514" spans="1:15" s="90" customFormat="1" ht="12.75" customHeight="1" x14ac:dyDescent="0.2">
      <c r="A4514" s="247" t="s">
        <v>1716</v>
      </c>
      <c r="B4514" s="316">
        <v>3037</v>
      </c>
      <c r="C4514" s="247" t="s">
        <v>996</v>
      </c>
      <c r="D4514" s="317">
        <v>42676</v>
      </c>
      <c r="E4514" s="318">
        <v>0.50458333333333327</v>
      </c>
      <c r="F4514" s="247" t="s">
        <v>980</v>
      </c>
      <c r="G4514" s="247" t="s">
        <v>1035</v>
      </c>
      <c r="H4514" s="248" t="s">
        <v>234</v>
      </c>
      <c r="I4514" s="248" t="s">
        <v>263</v>
      </c>
      <c r="J4514" s="247" t="s">
        <v>809</v>
      </c>
      <c r="K4514" s="249">
        <v>0</v>
      </c>
      <c r="M4514" s="90">
        <v>0</v>
      </c>
      <c r="N4514" s="90">
        <v>0</v>
      </c>
      <c r="O4514" s="90">
        <v>255</v>
      </c>
    </row>
    <row r="4515" spans="1:15" s="90" customFormat="1" ht="12.75" customHeight="1" x14ac:dyDescent="0.2">
      <c r="A4515" s="247" t="s">
        <v>1717</v>
      </c>
      <c r="B4515" s="316">
        <v>3037</v>
      </c>
      <c r="C4515" s="247" t="s">
        <v>996</v>
      </c>
      <c r="D4515" s="317">
        <v>42676</v>
      </c>
      <c r="E4515" s="318">
        <v>0.50458333333333327</v>
      </c>
      <c r="F4515" s="247" t="s">
        <v>980</v>
      </c>
      <c r="G4515" s="247" t="s">
        <v>1035</v>
      </c>
      <c r="H4515" s="248" t="s">
        <v>234</v>
      </c>
      <c r="I4515" s="248" t="s">
        <v>263</v>
      </c>
      <c r="J4515" s="247" t="s">
        <v>809</v>
      </c>
      <c r="K4515" s="249">
        <v>0</v>
      </c>
      <c r="M4515" s="90">
        <v>0</v>
      </c>
      <c r="N4515" s="90">
        <v>0</v>
      </c>
      <c r="O4515" s="90">
        <v>255</v>
      </c>
    </row>
    <row r="4516" spans="1:15" s="90" customFormat="1" ht="12.75" customHeight="1" x14ac:dyDescent="0.2">
      <c r="A4516" s="247" t="s">
        <v>1718</v>
      </c>
      <c r="B4516" s="316">
        <v>3037</v>
      </c>
      <c r="C4516" s="247" t="s">
        <v>996</v>
      </c>
      <c r="D4516" s="317">
        <v>42676</v>
      </c>
      <c r="E4516" s="318">
        <v>0.50458333333333327</v>
      </c>
      <c r="F4516" s="247" t="s">
        <v>980</v>
      </c>
      <c r="G4516" s="247" t="s">
        <v>1035</v>
      </c>
      <c r="H4516" s="248" t="s">
        <v>234</v>
      </c>
      <c r="I4516" s="248" t="s">
        <v>263</v>
      </c>
      <c r="J4516" s="247" t="s">
        <v>809</v>
      </c>
      <c r="K4516" s="249">
        <v>0</v>
      </c>
      <c r="M4516" s="90">
        <v>0</v>
      </c>
      <c r="N4516" s="90">
        <v>0</v>
      </c>
      <c r="O4516" s="90">
        <v>255</v>
      </c>
    </row>
    <row r="4517" spans="1:15" s="90" customFormat="1" ht="12.75" customHeight="1" x14ac:dyDescent="0.2">
      <c r="A4517" s="247" t="s">
        <v>1719</v>
      </c>
      <c r="B4517" s="316">
        <v>3037</v>
      </c>
      <c r="C4517" s="247" t="s">
        <v>996</v>
      </c>
      <c r="D4517" s="317">
        <v>42676</v>
      </c>
      <c r="E4517" s="318">
        <v>0.50458333333333327</v>
      </c>
      <c r="F4517" s="247" t="s">
        <v>980</v>
      </c>
      <c r="G4517" s="247" t="s">
        <v>1035</v>
      </c>
      <c r="H4517" s="248" t="s">
        <v>234</v>
      </c>
      <c r="I4517" s="248" t="s">
        <v>263</v>
      </c>
      <c r="J4517" s="247" t="s">
        <v>809</v>
      </c>
      <c r="K4517" s="249">
        <v>0</v>
      </c>
      <c r="M4517" s="90">
        <v>0</v>
      </c>
      <c r="N4517" s="90">
        <v>0</v>
      </c>
      <c r="O4517" s="90">
        <v>255</v>
      </c>
    </row>
    <row r="4518" spans="1:15" s="90" customFormat="1" ht="12.75" customHeight="1" x14ac:dyDescent="0.2">
      <c r="A4518" s="247" t="s">
        <v>1720</v>
      </c>
      <c r="B4518" s="316">
        <v>3037</v>
      </c>
      <c r="C4518" s="247" t="s">
        <v>996</v>
      </c>
      <c r="D4518" s="317">
        <v>42676</v>
      </c>
      <c r="E4518" s="318">
        <v>0.50458333333333327</v>
      </c>
      <c r="F4518" s="247" t="s">
        <v>980</v>
      </c>
      <c r="G4518" s="247" t="s">
        <v>1035</v>
      </c>
      <c r="H4518" s="248" t="s">
        <v>234</v>
      </c>
      <c r="I4518" s="248" t="s">
        <v>263</v>
      </c>
      <c r="J4518" s="247" t="s">
        <v>809</v>
      </c>
      <c r="K4518" s="249">
        <v>0</v>
      </c>
      <c r="M4518" s="90">
        <v>0</v>
      </c>
      <c r="N4518" s="90">
        <v>0</v>
      </c>
      <c r="O4518" s="90">
        <v>255</v>
      </c>
    </row>
    <row r="4519" spans="1:15" s="90" customFormat="1" ht="12.75" customHeight="1" x14ac:dyDescent="0.2">
      <c r="A4519" s="247" t="s">
        <v>1721</v>
      </c>
      <c r="B4519" s="316">
        <v>3037</v>
      </c>
      <c r="C4519" s="247" t="s">
        <v>996</v>
      </c>
      <c r="D4519" s="317">
        <v>42676</v>
      </c>
      <c r="E4519" s="318">
        <v>0.50458333333333327</v>
      </c>
      <c r="F4519" s="247" t="s">
        <v>980</v>
      </c>
      <c r="G4519" s="247" t="s">
        <v>1035</v>
      </c>
      <c r="H4519" s="248" t="s">
        <v>234</v>
      </c>
      <c r="I4519" s="248" t="s">
        <v>263</v>
      </c>
      <c r="J4519" s="247" t="s">
        <v>809</v>
      </c>
      <c r="K4519" s="249">
        <v>0</v>
      </c>
      <c r="M4519" s="90">
        <v>0</v>
      </c>
      <c r="N4519" s="90">
        <v>0</v>
      </c>
      <c r="O4519" s="90">
        <v>255</v>
      </c>
    </row>
    <row r="4520" spans="1:15" s="90" customFormat="1" ht="12.75" customHeight="1" x14ac:dyDescent="0.2">
      <c r="A4520" s="247" t="s">
        <v>1722</v>
      </c>
      <c r="B4520" s="316">
        <v>3037</v>
      </c>
      <c r="C4520" s="247" t="s">
        <v>996</v>
      </c>
      <c r="D4520" s="317">
        <v>42676</v>
      </c>
      <c r="E4520" s="318">
        <v>0.50459490740740742</v>
      </c>
      <c r="F4520" s="247" t="s">
        <v>980</v>
      </c>
      <c r="G4520" s="247" t="s">
        <v>1035</v>
      </c>
      <c r="H4520" s="248" t="s">
        <v>234</v>
      </c>
      <c r="I4520" s="248" t="s">
        <v>263</v>
      </c>
      <c r="J4520" s="247" t="s">
        <v>809</v>
      </c>
      <c r="K4520" s="249">
        <v>0</v>
      </c>
      <c r="M4520" s="90">
        <v>0</v>
      </c>
      <c r="N4520" s="90">
        <v>0</v>
      </c>
      <c r="O4520" s="90">
        <v>255</v>
      </c>
    </row>
    <row r="4521" spans="1:15" s="90" customFormat="1" ht="12.75" customHeight="1" x14ac:dyDescent="0.2">
      <c r="A4521" s="247" t="s">
        <v>1723</v>
      </c>
      <c r="B4521" s="316">
        <v>3037</v>
      </c>
      <c r="C4521" s="247" t="s">
        <v>996</v>
      </c>
      <c r="D4521" s="317">
        <v>42676</v>
      </c>
      <c r="E4521" s="318">
        <v>0.50459490740740742</v>
      </c>
      <c r="F4521" s="247" t="s">
        <v>980</v>
      </c>
      <c r="G4521" s="247" t="s">
        <v>1035</v>
      </c>
      <c r="H4521" s="248" t="s">
        <v>234</v>
      </c>
      <c r="I4521" s="248" t="s">
        <v>263</v>
      </c>
      <c r="J4521" s="247" t="s">
        <v>809</v>
      </c>
      <c r="K4521" s="249">
        <v>0</v>
      </c>
      <c r="M4521" s="90">
        <v>0</v>
      </c>
      <c r="N4521" s="90">
        <v>0</v>
      </c>
      <c r="O4521" s="90">
        <v>255</v>
      </c>
    </row>
    <row r="4522" spans="1:15" s="90" customFormat="1" ht="12.75" customHeight="1" x14ac:dyDescent="0.2">
      <c r="A4522" s="247" t="s">
        <v>1724</v>
      </c>
      <c r="B4522" s="316">
        <v>3037</v>
      </c>
      <c r="C4522" s="247" t="s">
        <v>996</v>
      </c>
      <c r="D4522" s="317">
        <v>42676</v>
      </c>
      <c r="E4522" s="318">
        <v>0.50459490740740742</v>
      </c>
      <c r="F4522" s="247" t="s">
        <v>980</v>
      </c>
      <c r="G4522" s="247" t="s">
        <v>1035</v>
      </c>
      <c r="H4522" s="248" t="s">
        <v>234</v>
      </c>
      <c r="I4522" s="248" t="s">
        <v>263</v>
      </c>
      <c r="J4522" s="247" t="s">
        <v>809</v>
      </c>
      <c r="K4522" s="249">
        <v>0</v>
      </c>
      <c r="M4522" s="90">
        <v>0</v>
      </c>
      <c r="N4522" s="90">
        <v>0</v>
      </c>
      <c r="O4522" s="90">
        <v>255</v>
      </c>
    </row>
    <row r="4523" spans="1:15" s="90" customFormat="1" ht="12.75" customHeight="1" x14ac:dyDescent="0.2">
      <c r="A4523" s="247" t="s">
        <v>1725</v>
      </c>
      <c r="B4523" s="316">
        <v>3037</v>
      </c>
      <c r="C4523" s="247" t="s">
        <v>996</v>
      </c>
      <c r="D4523" s="317">
        <v>42676</v>
      </c>
      <c r="E4523" s="318">
        <v>0.50459490740740742</v>
      </c>
      <c r="F4523" s="247" t="s">
        <v>980</v>
      </c>
      <c r="G4523" s="247" t="s">
        <v>1035</v>
      </c>
      <c r="H4523" s="248" t="s">
        <v>234</v>
      </c>
      <c r="I4523" s="248" t="s">
        <v>263</v>
      </c>
      <c r="J4523" s="247" t="s">
        <v>809</v>
      </c>
      <c r="K4523" s="249">
        <v>0</v>
      </c>
      <c r="M4523" s="90">
        <v>0</v>
      </c>
      <c r="N4523" s="90">
        <v>0</v>
      </c>
      <c r="O4523" s="90">
        <v>255</v>
      </c>
    </row>
    <row r="4524" spans="1:15" s="90" customFormat="1" ht="12.75" customHeight="1" x14ac:dyDescent="0.2">
      <c r="A4524" s="247" t="s">
        <v>1726</v>
      </c>
      <c r="B4524" s="316">
        <v>3037</v>
      </c>
      <c r="C4524" s="247" t="s">
        <v>996</v>
      </c>
      <c r="D4524" s="317">
        <v>42676</v>
      </c>
      <c r="E4524" s="318">
        <v>0.50459490740740742</v>
      </c>
      <c r="F4524" s="247" t="s">
        <v>980</v>
      </c>
      <c r="G4524" s="247" t="s">
        <v>1035</v>
      </c>
      <c r="H4524" s="248" t="s">
        <v>234</v>
      </c>
      <c r="I4524" s="248" t="s">
        <v>263</v>
      </c>
      <c r="J4524" s="247" t="s">
        <v>809</v>
      </c>
      <c r="K4524" s="249">
        <v>0</v>
      </c>
      <c r="M4524" s="90">
        <v>0</v>
      </c>
      <c r="N4524" s="90">
        <v>0</v>
      </c>
      <c r="O4524" s="90">
        <v>255</v>
      </c>
    </row>
    <row r="4525" spans="1:15" s="90" customFormat="1" ht="12.75" customHeight="1" x14ac:dyDescent="0.2">
      <c r="A4525" s="247" t="s">
        <v>1727</v>
      </c>
      <c r="B4525" s="316">
        <v>3037</v>
      </c>
      <c r="C4525" s="247" t="s">
        <v>996</v>
      </c>
      <c r="D4525" s="317">
        <v>42676</v>
      </c>
      <c r="E4525" s="318">
        <v>0.50459490740740742</v>
      </c>
      <c r="F4525" s="247" t="s">
        <v>980</v>
      </c>
      <c r="G4525" s="247" t="s">
        <v>1035</v>
      </c>
      <c r="H4525" s="248" t="s">
        <v>234</v>
      </c>
      <c r="I4525" s="248" t="s">
        <v>263</v>
      </c>
      <c r="J4525" s="247" t="s">
        <v>809</v>
      </c>
      <c r="K4525" s="249">
        <v>0</v>
      </c>
      <c r="M4525" s="90">
        <v>0</v>
      </c>
      <c r="N4525" s="90">
        <v>0</v>
      </c>
      <c r="O4525" s="90">
        <v>255</v>
      </c>
    </row>
    <row r="4526" spans="1:15" s="90" customFormat="1" ht="12.75" customHeight="1" x14ac:dyDescent="0.2">
      <c r="A4526" s="247" t="s">
        <v>1728</v>
      </c>
      <c r="B4526" s="316">
        <v>3037</v>
      </c>
      <c r="C4526" s="247" t="s">
        <v>996</v>
      </c>
      <c r="D4526" s="317">
        <v>42676</v>
      </c>
      <c r="E4526" s="318">
        <v>0.50459490740740742</v>
      </c>
      <c r="F4526" s="247" t="s">
        <v>980</v>
      </c>
      <c r="G4526" s="247" t="s">
        <v>1035</v>
      </c>
      <c r="H4526" s="248" t="s">
        <v>234</v>
      </c>
      <c r="I4526" s="248" t="s">
        <v>263</v>
      </c>
      <c r="J4526" s="247" t="s">
        <v>809</v>
      </c>
      <c r="K4526" s="249">
        <v>0</v>
      </c>
      <c r="M4526" s="90">
        <v>0</v>
      </c>
      <c r="N4526" s="90">
        <v>0</v>
      </c>
      <c r="O4526" s="90">
        <v>255</v>
      </c>
    </row>
    <row r="4527" spans="1:15" s="90" customFormat="1" ht="12.75" customHeight="1" x14ac:dyDescent="0.2">
      <c r="A4527" s="247" t="s">
        <v>1729</v>
      </c>
      <c r="B4527" s="316">
        <v>3037</v>
      </c>
      <c r="C4527" s="247" t="s">
        <v>996</v>
      </c>
      <c r="D4527" s="317">
        <v>42676</v>
      </c>
      <c r="E4527" s="318">
        <v>0.50459490740740742</v>
      </c>
      <c r="F4527" s="247" t="s">
        <v>980</v>
      </c>
      <c r="G4527" s="247" t="s">
        <v>1035</v>
      </c>
      <c r="H4527" s="248" t="s">
        <v>234</v>
      </c>
      <c r="I4527" s="248" t="s">
        <v>263</v>
      </c>
      <c r="J4527" s="247" t="s">
        <v>809</v>
      </c>
      <c r="K4527" s="249">
        <v>0</v>
      </c>
      <c r="M4527" s="90">
        <v>0</v>
      </c>
      <c r="N4527" s="90">
        <v>0</v>
      </c>
      <c r="O4527" s="90">
        <v>255</v>
      </c>
    </row>
    <row r="4528" spans="1:15" s="90" customFormat="1" ht="12.75" customHeight="1" x14ac:dyDescent="0.2">
      <c r="A4528" s="247" t="s">
        <v>1730</v>
      </c>
      <c r="B4528" s="316">
        <v>3037</v>
      </c>
      <c r="C4528" s="247" t="s">
        <v>996</v>
      </c>
      <c r="D4528" s="317">
        <v>42676</v>
      </c>
      <c r="E4528" s="318">
        <v>0.50460648148148146</v>
      </c>
      <c r="F4528" s="247" t="s">
        <v>980</v>
      </c>
      <c r="G4528" s="247" t="s">
        <v>1035</v>
      </c>
      <c r="H4528" s="248" t="s">
        <v>234</v>
      </c>
      <c r="I4528" s="248" t="s">
        <v>263</v>
      </c>
      <c r="J4528" s="247" t="s">
        <v>809</v>
      </c>
      <c r="K4528" s="249">
        <v>0</v>
      </c>
      <c r="M4528" s="90">
        <v>0</v>
      </c>
      <c r="N4528" s="90">
        <v>0</v>
      </c>
      <c r="O4528" s="90">
        <v>255</v>
      </c>
    </row>
    <row r="4529" spans="1:15" s="90" customFormat="1" ht="12.75" customHeight="1" x14ac:dyDescent="0.2">
      <c r="A4529" s="247" t="s">
        <v>1731</v>
      </c>
      <c r="B4529" s="316">
        <v>3037</v>
      </c>
      <c r="C4529" s="247" t="s">
        <v>996</v>
      </c>
      <c r="D4529" s="317">
        <v>42676</v>
      </c>
      <c r="E4529" s="318">
        <v>0.50460648148148146</v>
      </c>
      <c r="F4529" s="247" t="s">
        <v>980</v>
      </c>
      <c r="G4529" s="247" t="s">
        <v>1035</v>
      </c>
      <c r="H4529" s="248" t="s">
        <v>234</v>
      </c>
      <c r="I4529" s="248" t="s">
        <v>263</v>
      </c>
      <c r="J4529" s="247" t="s">
        <v>809</v>
      </c>
      <c r="K4529" s="249">
        <v>0</v>
      </c>
      <c r="M4529" s="90">
        <v>0</v>
      </c>
      <c r="N4529" s="90">
        <v>0</v>
      </c>
      <c r="O4529" s="90">
        <v>255</v>
      </c>
    </row>
    <row r="4530" spans="1:15" s="90" customFormat="1" ht="12.75" customHeight="1" x14ac:dyDescent="0.2">
      <c r="A4530" s="247" t="s">
        <v>1732</v>
      </c>
      <c r="B4530" s="316">
        <v>3037</v>
      </c>
      <c r="C4530" s="247" t="s">
        <v>996</v>
      </c>
      <c r="D4530" s="317">
        <v>42676</v>
      </c>
      <c r="E4530" s="318">
        <v>0.50460648148148146</v>
      </c>
      <c r="F4530" s="247" t="s">
        <v>980</v>
      </c>
      <c r="G4530" s="247" t="s">
        <v>1035</v>
      </c>
      <c r="H4530" s="248" t="s">
        <v>234</v>
      </c>
      <c r="I4530" s="248" t="s">
        <v>263</v>
      </c>
      <c r="J4530" s="247" t="s">
        <v>809</v>
      </c>
      <c r="K4530" s="249">
        <v>0</v>
      </c>
      <c r="M4530" s="90">
        <v>0</v>
      </c>
      <c r="N4530" s="90">
        <v>0</v>
      </c>
      <c r="O4530" s="90">
        <v>255</v>
      </c>
    </row>
    <row r="4531" spans="1:15" s="90" customFormat="1" ht="12.75" customHeight="1" x14ac:dyDescent="0.2">
      <c r="A4531" s="247" t="s">
        <v>1733</v>
      </c>
      <c r="B4531" s="316">
        <v>3037</v>
      </c>
      <c r="C4531" s="247" t="s">
        <v>996</v>
      </c>
      <c r="D4531" s="317">
        <v>42676</v>
      </c>
      <c r="E4531" s="318">
        <v>0.50460648148148146</v>
      </c>
      <c r="F4531" s="247" t="s">
        <v>980</v>
      </c>
      <c r="G4531" s="247" t="s">
        <v>1035</v>
      </c>
      <c r="H4531" s="248" t="s">
        <v>234</v>
      </c>
      <c r="I4531" s="248" t="s">
        <v>263</v>
      </c>
      <c r="J4531" s="247" t="s">
        <v>809</v>
      </c>
      <c r="K4531" s="249">
        <v>0</v>
      </c>
      <c r="M4531" s="90">
        <v>0</v>
      </c>
      <c r="N4531" s="90">
        <v>0</v>
      </c>
      <c r="O4531" s="90">
        <v>255</v>
      </c>
    </row>
    <row r="4532" spans="1:15" s="90" customFormat="1" ht="12.75" customHeight="1" x14ac:dyDescent="0.2">
      <c r="A4532" s="247" t="s">
        <v>1734</v>
      </c>
      <c r="B4532" s="316">
        <v>3037</v>
      </c>
      <c r="C4532" s="247" t="s">
        <v>996</v>
      </c>
      <c r="D4532" s="317">
        <v>42676</v>
      </c>
      <c r="E4532" s="318">
        <v>0.50461805555555561</v>
      </c>
      <c r="F4532" s="247" t="s">
        <v>980</v>
      </c>
      <c r="G4532" s="247" t="s">
        <v>1035</v>
      </c>
      <c r="H4532" s="248" t="s">
        <v>234</v>
      </c>
      <c r="I4532" s="248" t="s">
        <v>263</v>
      </c>
      <c r="J4532" s="247" t="s">
        <v>809</v>
      </c>
      <c r="K4532" s="249">
        <v>0</v>
      </c>
      <c r="M4532" s="90">
        <v>0</v>
      </c>
      <c r="N4532" s="90">
        <v>0</v>
      </c>
      <c r="O4532" s="90">
        <v>255</v>
      </c>
    </row>
    <row r="4533" spans="1:15" s="90" customFormat="1" ht="12.75" customHeight="1" x14ac:dyDescent="0.2">
      <c r="A4533" s="247" t="s">
        <v>1735</v>
      </c>
      <c r="B4533" s="316">
        <v>3037</v>
      </c>
      <c r="C4533" s="247" t="s">
        <v>996</v>
      </c>
      <c r="D4533" s="317">
        <v>42676</v>
      </c>
      <c r="E4533" s="318">
        <v>0.50461805555555561</v>
      </c>
      <c r="F4533" s="247" t="s">
        <v>980</v>
      </c>
      <c r="G4533" s="247" t="s">
        <v>1035</v>
      </c>
      <c r="H4533" s="248" t="s">
        <v>234</v>
      </c>
      <c r="I4533" s="248" t="s">
        <v>263</v>
      </c>
      <c r="J4533" s="247" t="s">
        <v>809</v>
      </c>
      <c r="K4533" s="249">
        <v>0</v>
      </c>
      <c r="M4533" s="90">
        <v>0</v>
      </c>
      <c r="N4533" s="90">
        <v>0</v>
      </c>
      <c r="O4533" s="90">
        <v>255</v>
      </c>
    </row>
    <row r="4534" spans="1:15" s="90" customFormat="1" ht="12.75" customHeight="1" x14ac:dyDescent="0.2">
      <c r="A4534" s="247" t="s">
        <v>1736</v>
      </c>
      <c r="B4534" s="316">
        <v>3037</v>
      </c>
      <c r="C4534" s="247" t="s">
        <v>996</v>
      </c>
      <c r="D4534" s="317">
        <v>42676</v>
      </c>
      <c r="E4534" s="318">
        <v>0.50461805555555561</v>
      </c>
      <c r="F4534" s="247" t="s">
        <v>980</v>
      </c>
      <c r="G4534" s="247" t="s">
        <v>1035</v>
      </c>
      <c r="H4534" s="248" t="s">
        <v>234</v>
      </c>
      <c r="I4534" s="248" t="s">
        <v>263</v>
      </c>
      <c r="J4534" s="247" t="s">
        <v>809</v>
      </c>
      <c r="K4534" s="249">
        <v>0</v>
      </c>
      <c r="M4534" s="90">
        <v>0</v>
      </c>
      <c r="N4534" s="90">
        <v>0</v>
      </c>
      <c r="O4534" s="90">
        <v>255</v>
      </c>
    </row>
    <row r="4535" spans="1:15" s="90" customFormat="1" ht="12.75" customHeight="1" x14ac:dyDescent="0.2">
      <c r="A4535" s="247" t="s">
        <v>1737</v>
      </c>
      <c r="B4535" s="316">
        <v>3037</v>
      </c>
      <c r="C4535" s="247" t="s">
        <v>996</v>
      </c>
      <c r="D4535" s="317">
        <v>42676</v>
      </c>
      <c r="E4535" s="318">
        <v>0.50461805555555561</v>
      </c>
      <c r="F4535" s="247" t="s">
        <v>980</v>
      </c>
      <c r="G4535" s="247" t="s">
        <v>1035</v>
      </c>
      <c r="H4535" s="248" t="s">
        <v>234</v>
      </c>
      <c r="I4535" s="248" t="s">
        <v>263</v>
      </c>
      <c r="J4535" s="247" t="s">
        <v>809</v>
      </c>
      <c r="K4535" s="249">
        <v>0</v>
      </c>
      <c r="M4535" s="90">
        <v>0</v>
      </c>
      <c r="N4535" s="90">
        <v>0</v>
      </c>
      <c r="O4535" s="90">
        <v>255</v>
      </c>
    </row>
    <row r="4536" spans="1:15" s="90" customFormat="1" ht="12.75" customHeight="1" x14ac:dyDescent="0.2">
      <c r="A4536" s="247" t="s">
        <v>1738</v>
      </c>
      <c r="B4536" s="316">
        <v>3037</v>
      </c>
      <c r="C4536" s="247" t="s">
        <v>996</v>
      </c>
      <c r="D4536" s="317">
        <v>42676</v>
      </c>
      <c r="E4536" s="318">
        <v>0.50461805555555561</v>
      </c>
      <c r="F4536" s="247" t="s">
        <v>980</v>
      </c>
      <c r="G4536" s="247" t="s">
        <v>1035</v>
      </c>
      <c r="H4536" s="248" t="s">
        <v>234</v>
      </c>
      <c r="I4536" s="248" t="s">
        <v>263</v>
      </c>
      <c r="J4536" s="247" t="s">
        <v>809</v>
      </c>
      <c r="K4536" s="249">
        <v>0</v>
      </c>
      <c r="M4536" s="90">
        <v>0</v>
      </c>
      <c r="N4536" s="90">
        <v>0</v>
      </c>
      <c r="O4536" s="90">
        <v>255</v>
      </c>
    </row>
    <row r="4537" spans="1:15" s="90" customFormat="1" ht="12.75" customHeight="1" x14ac:dyDescent="0.2">
      <c r="A4537" s="247" t="s">
        <v>1739</v>
      </c>
      <c r="B4537" s="316">
        <v>3037</v>
      </c>
      <c r="C4537" s="247" t="s">
        <v>996</v>
      </c>
      <c r="D4537" s="317">
        <v>42676</v>
      </c>
      <c r="E4537" s="318">
        <v>0.50461805555555561</v>
      </c>
      <c r="F4537" s="247" t="s">
        <v>980</v>
      </c>
      <c r="G4537" s="247" t="s">
        <v>1035</v>
      </c>
      <c r="H4537" s="248" t="s">
        <v>234</v>
      </c>
      <c r="I4537" s="248" t="s">
        <v>263</v>
      </c>
      <c r="J4537" s="247" t="s">
        <v>809</v>
      </c>
      <c r="K4537" s="249">
        <v>0</v>
      </c>
      <c r="M4537" s="90">
        <v>0</v>
      </c>
      <c r="N4537" s="90">
        <v>0</v>
      </c>
      <c r="O4537" s="90">
        <v>255</v>
      </c>
    </row>
    <row r="4538" spans="1:15" s="90" customFormat="1" ht="12.75" customHeight="1" x14ac:dyDescent="0.2">
      <c r="A4538" s="247" t="s">
        <v>1740</v>
      </c>
      <c r="B4538" s="316">
        <v>3037</v>
      </c>
      <c r="C4538" s="247" t="s">
        <v>996</v>
      </c>
      <c r="D4538" s="317">
        <v>42676</v>
      </c>
      <c r="E4538" s="318">
        <v>0.50461805555555561</v>
      </c>
      <c r="F4538" s="247" t="s">
        <v>980</v>
      </c>
      <c r="G4538" s="247" t="s">
        <v>1035</v>
      </c>
      <c r="H4538" s="248" t="s">
        <v>234</v>
      </c>
      <c r="I4538" s="248" t="s">
        <v>263</v>
      </c>
      <c r="J4538" s="247" t="s">
        <v>809</v>
      </c>
      <c r="K4538" s="249">
        <v>0</v>
      </c>
      <c r="M4538" s="90">
        <v>0</v>
      </c>
      <c r="N4538" s="90">
        <v>0</v>
      </c>
      <c r="O4538" s="90">
        <v>255</v>
      </c>
    </row>
    <row r="4539" spans="1:15" s="90" customFormat="1" ht="12.75" customHeight="1" x14ac:dyDescent="0.2">
      <c r="A4539" s="247" t="s">
        <v>1741</v>
      </c>
      <c r="B4539" s="316">
        <v>3037</v>
      </c>
      <c r="C4539" s="247" t="s">
        <v>996</v>
      </c>
      <c r="D4539" s="317">
        <v>42676</v>
      </c>
      <c r="E4539" s="318">
        <v>0.50462962962962965</v>
      </c>
      <c r="F4539" s="247" t="s">
        <v>980</v>
      </c>
      <c r="G4539" s="247" t="s">
        <v>1035</v>
      </c>
      <c r="H4539" s="248" t="s">
        <v>234</v>
      </c>
      <c r="I4539" s="248" t="s">
        <v>263</v>
      </c>
      <c r="J4539" s="247" t="s">
        <v>809</v>
      </c>
      <c r="K4539" s="249">
        <v>0</v>
      </c>
      <c r="M4539" s="90">
        <v>0</v>
      </c>
      <c r="N4539" s="90">
        <v>0</v>
      </c>
      <c r="O4539" s="90">
        <v>255</v>
      </c>
    </row>
    <row r="4540" spans="1:15" s="90" customFormat="1" ht="12.75" customHeight="1" x14ac:dyDescent="0.2">
      <c r="A4540" s="247" t="s">
        <v>1742</v>
      </c>
      <c r="B4540" s="316">
        <v>3037</v>
      </c>
      <c r="C4540" s="247" t="s">
        <v>996</v>
      </c>
      <c r="D4540" s="317">
        <v>42676</v>
      </c>
      <c r="E4540" s="318">
        <v>0.50462962962962965</v>
      </c>
      <c r="F4540" s="247" t="s">
        <v>980</v>
      </c>
      <c r="G4540" s="247" t="s">
        <v>1035</v>
      </c>
      <c r="H4540" s="248" t="s">
        <v>234</v>
      </c>
      <c r="I4540" s="248" t="s">
        <v>263</v>
      </c>
      <c r="J4540" s="247" t="s">
        <v>809</v>
      </c>
      <c r="K4540" s="249">
        <v>0</v>
      </c>
      <c r="M4540" s="90">
        <v>0</v>
      </c>
      <c r="N4540" s="90">
        <v>0</v>
      </c>
      <c r="O4540" s="90">
        <v>255</v>
      </c>
    </row>
    <row r="4541" spans="1:15" s="90" customFormat="1" ht="12.75" customHeight="1" x14ac:dyDescent="0.2">
      <c r="A4541" s="247" t="s">
        <v>1743</v>
      </c>
      <c r="B4541" s="316">
        <v>3037</v>
      </c>
      <c r="C4541" s="247" t="s">
        <v>996</v>
      </c>
      <c r="D4541" s="317">
        <v>42676</v>
      </c>
      <c r="E4541" s="318">
        <v>0.50462962962962965</v>
      </c>
      <c r="F4541" s="247" t="s">
        <v>980</v>
      </c>
      <c r="G4541" s="247" t="s">
        <v>1035</v>
      </c>
      <c r="H4541" s="248" t="s">
        <v>234</v>
      </c>
      <c r="I4541" s="248" t="s">
        <v>263</v>
      </c>
      <c r="J4541" s="247" t="s">
        <v>809</v>
      </c>
      <c r="K4541" s="249">
        <v>0</v>
      </c>
      <c r="M4541" s="90">
        <v>0</v>
      </c>
      <c r="N4541" s="90">
        <v>0</v>
      </c>
      <c r="O4541" s="90">
        <v>255</v>
      </c>
    </row>
    <row r="4542" spans="1:15" s="90" customFormat="1" ht="12.75" customHeight="1" x14ac:dyDescent="0.2">
      <c r="A4542" s="247" t="s">
        <v>1744</v>
      </c>
      <c r="B4542" s="316">
        <v>3037</v>
      </c>
      <c r="C4542" s="247" t="s">
        <v>996</v>
      </c>
      <c r="D4542" s="317">
        <v>42676</v>
      </c>
      <c r="E4542" s="318">
        <v>0.50462962962962965</v>
      </c>
      <c r="F4542" s="247" t="s">
        <v>980</v>
      </c>
      <c r="G4542" s="247" t="s">
        <v>1035</v>
      </c>
      <c r="H4542" s="248" t="s">
        <v>234</v>
      </c>
      <c r="I4542" s="248" t="s">
        <v>263</v>
      </c>
      <c r="J4542" s="247" t="s">
        <v>809</v>
      </c>
      <c r="K4542" s="249">
        <v>0</v>
      </c>
      <c r="M4542" s="90">
        <v>0</v>
      </c>
      <c r="N4542" s="90">
        <v>0</v>
      </c>
      <c r="O4542" s="90">
        <v>255</v>
      </c>
    </row>
    <row r="4543" spans="1:15" s="90" customFormat="1" ht="12.75" customHeight="1" x14ac:dyDescent="0.2">
      <c r="A4543" s="247" t="s">
        <v>1745</v>
      </c>
      <c r="B4543" s="316">
        <v>3037</v>
      </c>
      <c r="C4543" s="247" t="s">
        <v>996</v>
      </c>
      <c r="D4543" s="317">
        <v>42676</v>
      </c>
      <c r="E4543" s="318">
        <v>0.50462962962962965</v>
      </c>
      <c r="F4543" s="247" t="s">
        <v>980</v>
      </c>
      <c r="G4543" s="247" t="s">
        <v>1035</v>
      </c>
      <c r="H4543" s="248" t="s">
        <v>234</v>
      </c>
      <c r="I4543" s="248" t="s">
        <v>263</v>
      </c>
      <c r="J4543" s="247" t="s">
        <v>809</v>
      </c>
      <c r="K4543" s="249">
        <v>0</v>
      </c>
      <c r="M4543" s="90">
        <v>0</v>
      </c>
      <c r="N4543" s="90">
        <v>0</v>
      </c>
      <c r="O4543" s="90">
        <v>255</v>
      </c>
    </row>
    <row r="4544" spans="1:15" s="90" customFormat="1" ht="12.75" customHeight="1" x14ac:dyDescent="0.2">
      <c r="A4544" s="247" t="s">
        <v>1746</v>
      </c>
      <c r="B4544" s="316">
        <v>3037</v>
      </c>
      <c r="C4544" s="247" t="s">
        <v>996</v>
      </c>
      <c r="D4544" s="317">
        <v>42676</v>
      </c>
      <c r="E4544" s="318">
        <v>0.50462962962962965</v>
      </c>
      <c r="F4544" s="247" t="s">
        <v>980</v>
      </c>
      <c r="G4544" s="247" t="s">
        <v>1035</v>
      </c>
      <c r="H4544" s="248" t="s">
        <v>234</v>
      </c>
      <c r="I4544" s="248" t="s">
        <v>263</v>
      </c>
      <c r="J4544" s="247" t="s">
        <v>809</v>
      </c>
      <c r="K4544" s="249">
        <v>0</v>
      </c>
      <c r="M4544" s="90">
        <v>0</v>
      </c>
      <c r="N4544" s="90">
        <v>0</v>
      </c>
      <c r="O4544" s="90">
        <v>255</v>
      </c>
    </row>
    <row r="4545" spans="1:15" s="90" customFormat="1" ht="12.75" customHeight="1" x14ac:dyDescent="0.2">
      <c r="A4545" s="247" t="s">
        <v>1747</v>
      </c>
      <c r="B4545" s="316">
        <v>3037</v>
      </c>
      <c r="C4545" s="247" t="s">
        <v>996</v>
      </c>
      <c r="D4545" s="317">
        <v>42676</v>
      </c>
      <c r="E4545" s="318">
        <v>0.50462962962962965</v>
      </c>
      <c r="F4545" s="247" t="s">
        <v>980</v>
      </c>
      <c r="G4545" s="247" t="s">
        <v>1035</v>
      </c>
      <c r="H4545" s="248" t="s">
        <v>234</v>
      </c>
      <c r="I4545" s="248" t="s">
        <v>263</v>
      </c>
      <c r="J4545" s="247" t="s">
        <v>809</v>
      </c>
      <c r="K4545" s="249">
        <v>0</v>
      </c>
      <c r="M4545" s="90">
        <v>0</v>
      </c>
      <c r="N4545" s="90">
        <v>0</v>
      </c>
      <c r="O4545" s="90">
        <v>255</v>
      </c>
    </row>
    <row r="4546" spans="1:15" s="90" customFormat="1" ht="12.75" customHeight="1" x14ac:dyDescent="0.2">
      <c r="A4546" s="247" t="s">
        <v>1748</v>
      </c>
      <c r="B4546" s="316">
        <v>3037</v>
      </c>
      <c r="C4546" s="247" t="s">
        <v>996</v>
      </c>
      <c r="D4546" s="317">
        <v>42676</v>
      </c>
      <c r="E4546" s="318">
        <v>0.50462962962962965</v>
      </c>
      <c r="F4546" s="247" t="s">
        <v>980</v>
      </c>
      <c r="G4546" s="247" t="s">
        <v>1035</v>
      </c>
      <c r="H4546" s="248" t="s">
        <v>234</v>
      </c>
      <c r="I4546" s="248" t="s">
        <v>263</v>
      </c>
      <c r="J4546" s="247" t="s">
        <v>809</v>
      </c>
      <c r="K4546" s="249">
        <v>0</v>
      </c>
      <c r="M4546" s="90">
        <v>0</v>
      </c>
      <c r="N4546" s="90">
        <v>0</v>
      </c>
      <c r="O4546" s="90">
        <v>255</v>
      </c>
    </row>
    <row r="4547" spans="1:15" s="90" customFormat="1" ht="12.75" customHeight="1" x14ac:dyDescent="0.2">
      <c r="A4547" s="247" t="s">
        <v>1749</v>
      </c>
      <c r="B4547" s="316">
        <v>3037</v>
      </c>
      <c r="C4547" s="247" t="s">
        <v>996</v>
      </c>
      <c r="D4547" s="317">
        <v>42676</v>
      </c>
      <c r="E4547" s="318">
        <v>0.50462962962962965</v>
      </c>
      <c r="F4547" s="247" t="s">
        <v>980</v>
      </c>
      <c r="G4547" s="247" t="s">
        <v>1035</v>
      </c>
      <c r="H4547" s="248" t="s">
        <v>234</v>
      </c>
      <c r="I4547" s="248" t="s">
        <v>263</v>
      </c>
      <c r="J4547" s="247" t="s">
        <v>809</v>
      </c>
      <c r="K4547" s="249">
        <v>0</v>
      </c>
      <c r="M4547" s="90">
        <v>0</v>
      </c>
      <c r="N4547" s="90">
        <v>0</v>
      </c>
      <c r="O4547" s="90">
        <v>255</v>
      </c>
    </row>
    <row r="4548" spans="1:15" s="90" customFormat="1" ht="12.75" customHeight="1" x14ac:dyDescent="0.2">
      <c r="A4548" s="247" t="s">
        <v>1750</v>
      </c>
      <c r="B4548" s="316">
        <v>3037</v>
      </c>
      <c r="C4548" s="247" t="s">
        <v>996</v>
      </c>
      <c r="D4548" s="317">
        <v>42676</v>
      </c>
      <c r="E4548" s="318">
        <v>0.50462962962962965</v>
      </c>
      <c r="F4548" s="247" t="s">
        <v>980</v>
      </c>
      <c r="G4548" s="247" t="s">
        <v>1035</v>
      </c>
      <c r="H4548" s="248" t="s">
        <v>234</v>
      </c>
      <c r="I4548" s="248" t="s">
        <v>263</v>
      </c>
      <c r="J4548" s="247" t="s">
        <v>809</v>
      </c>
      <c r="K4548" s="249">
        <v>0</v>
      </c>
      <c r="M4548" s="90">
        <v>0</v>
      </c>
      <c r="N4548" s="90">
        <v>0</v>
      </c>
      <c r="O4548" s="90">
        <v>255</v>
      </c>
    </row>
    <row r="4549" spans="1:15" s="90" customFormat="1" ht="12.75" customHeight="1" x14ac:dyDescent="0.2">
      <c r="A4549" s="247" t="s">
        <v>1751</v>
      </c>
      <c r="B4549" s="316">
        <v>3037</v>
      </c>
      <c r="C4549" s="247" t="s">
        <v>996</v>
      </c>
      <c r="D4549" s="317">
        <v>42676</v>
      </c>
      <c r="E4549" s="318">
        <v>0.50462962962962965</v>
      </c>
      <c r="F4549" s="247" t="s">
        <v>980</v>
      </c>
      <c r="G4549" s="247" t="s">
        <v>1035</v>
      </c>
      <c r="H4549" s="248" t="s">
        <v>234</v>
      </c>
      <c r="I4549" s="248" t="s">
        <v>263</v>
      </c>
      <c r="J4549" s="247" t="s">
        <v>809</v>
      </c>
      <c r="K4549" s="249">
        <v>0</v>
      </c>
      <c r="M4549" s="90">
        <v>0</v>
      </c>
      <c r="N4549" s="90">
        <v>0</v>
      </c>
      <c r="O4549" s="90">
        <v>255</v>
      </c>
    </row>
    <row r="4550" spans="1:15" s="90" customFormat="1" ht="12.75" customHeight="1" x14ac:dyDescent="0.2">
      <c r="A4550" s="247" t="s">
        <v>1752</v>
      </c>
      <c r="B4550" s="316">
        <v>3037</v>
      </c>
      <c r="C4550" s="247" t="s">
        <v>996</v>
      </c>
      <c r="D4550" s="317">
        <v>42676</v>
      </c>
      <c r="E4550" s="318">
        <v>0.50462962962962965</v>
      </c>
      <c r="F4550" s="247" t="s">
        <v>980</v>
      </c>
      <c r="G4550" s="247" t="s">
        <v>1035</v>
      </c>
      <c r="H4550" s="248" t="s">
        <v>234</v>
      </c>
      <c r="I4550" s="248" t="s">
        <v>263</v>
      </c>
      <c r="J4550" s="247" t="s">
        <v>809</v>
      </c>
      <c r="K4550" s="249">
        <v>0</v>
      </c>
      <c r="M4550" s="90">
        <v>0</v>
      </c>
      <c r="N4550" s="90">
        <v>0</v>
      </c>
      <c r="O4550" s="90">
        <v>255</v>
      </c>
    </row>
    <row r="4551" spans="1:15" s="90" customFormat="1" ht="12.75" customHeight="1" x14ac:dyDescent="0.2">
      <c r="A4551" s="247" t="s">
        <v>1753</v>
      </c>
      <c r="B4551" s="316">
        <v>3037</v>
      </c>
      <c r="C4551" s="247" t="s">
        <v>996</v>
      </c>
      <c r="D4551" s="317">
        <v>42676</v>
      </c>
      <c r="E4551" s="318">
        <v>0.50462962962962965</v>
      </c>
      <c r="F4551" s="247" t="s">
        <v>980</v>
      </c>
      <c r="G4551" s="247" t="s">
        <v>1035</v>
      </c>
      <c r="H4551" s="248" t="s">
        <v>234</v>
      </c>
      <c r="I4551" s="248" t="s">
        <v>263</v>
      </c>
      <c r="J4551" s="247" t="s">
        <v>809</v>
      </c>
      <c r="K4551" s="249">
        <v>0</v>
      </c>
      <c r="M4551" s="90">
        <v>0</v>
      </c>
      <c r="N4551" s="90">
        <v>0</v>
      </c>
      <c r="O4551" s="90">
        <v>255</v>
      </c>
    </row>
    <row r="4552" spans="1:15" s="90" customFormat="1" ht="12.75" customHeight="1" x14ac:dyDescent="0.2">
      <c r="A4552" s="247" t="s">
        <v>1754</v>
      </c>
      <c r="B4552" s="316">
        <v>3037</v>
      </c>
      <c r="C4552" s="247" t="s">
        <v>996</v>
      </c>
      <c r="D4552" s="317">
        <v>42676</v>
      </c>
      <c r="E4552" s="318">
        <v>0.50462962962962965</v>
      </c>
      <c r="F4552" s="247" t="s">
        <v>980</v>
      </c>
      <c r="G4552" s="247" t="s">
        <v>1035</v>
      </c>
      <c r="H4552" s="248" t="s">
        <v>234</v>
      </c>
      <c r="I4552" s="248" t="s">
        <v>263</v>
      </c>
      <c r="J4552" s="247" t="s">
        <v>809</v>
      </c>
      <c r="K4552" s="249">
        <v>0</v>
      </c>
      <c r="M4552" s="90">
        <v>0</v>
      </c>
      <c r="N4552" s="90">
        <v>0</v>
      </c>
      <c r="O4552" s="90">
        <v>255</v>
      </c>
    </row>
    <row r="4553" spans="1:15" s="90" customFormat="1" ht="12.75" customHeight="1" x14ac:dyDescent="0.2">
      <c r="A4553" s="247" t="s">
        <v>1755</v>
      </c>
      <c r="B4553" s="316">
        <v>3037</v>
      </c>
      <c r="C4553" s="247" t="s">
        <v>996</v>
      </c>
      <c r="D4553" s="317">
        <v>42676</v>
      </c>
      <c r="E4553" s="318">
        <v>0.50462962962962965</v>
      </c>
      <c r="F4553" s="247" t="s">
        <v>980</v>
      </c>
      <c r="G4553" s="247" t="s">
        <v>1035</v>
      </c>
      <c r="H4553" s="248" t="s">
        <v>234</v>
      </c>
      <c r="I4553" s="248" t="s">
        <v>263</v>
      </c>
      <c r="J4553" s="247" t="s">
        <v>809</v>
      </c>
      <c r="K4553" s="249">
        <v>0</v>
      </c>
      <c r="M4553" s="90">
        <v>0</v>
      </c>
      <c r="N4553" s="90">
        <v>0</v>
      </c>
      <c r="O4553" s="90">
        <v>255</v>
      </c>
    </row>
    <row r="4554" spans="1:15" s="90" customFormat="1" ht="12.75" customHeight="1" x14ac:dyDescent="0.2">
      <c r="A4554" s="247" t="s">
        <v>1756</v>
      </c>
      <c r="B4554" s="316">
        <v>3037</v>
      </c>
      <c r="C4554" s="247" t="s">
        <v>996</v>
      </c>
      <c r="D4554" s="317">
        <v>42676</v>
      </c>
      <c r="E4554" s="318">
        <v>0.50464120370370369</v>
      </c>
      <c r="F4554" s="247" t="s">
        <v>980</v>
      </c>
      <c r="G4554" s="247" t="s">
        <v>1035</v>
      </c>
      <c r="H4554" s="248" t="s">
        <v>234</v>
      </c>
      <c r="I4554" s="248" t="s">
        <v>263</v>
      </c>
      <c r="J4554" s="247" t="s">
        <v>809</v>
      </c>
      <c r="K4554" s="249">
        <v>0</v>
      </c>
      <c r="M4554" s="90">
        <v>0</v>
      </c>
      <c r="N4554" s="90">
        <v>0</v>
      </c>
      <c r="O4554" s="90">
        <v>255</v>
      </c>
    </row>
    <row r="4555" spans="1:15" s="90" customFormat="1" ht="12.75" customHeight="1" x14ac:dyDescent="0.2">
      <c r="A4555" s="247" t="s">
        <v>1757</v>
      </c>
      <c r="B4555" s="316">
        <v>3037</v>
      </c>
      <c r="C4555" s="247" t="s">
        <v>996</v>
      </c>
      <c r="D4555" s="317">
        <v>42676</v>
      </c>
      <c r="E4555" s="318">
        <v>0.50464120370370369</v>
      </c>
      <c r="F4555" s="247" t="s">
        <v>980</v>
      </c>
      <c r="G4555" s="247" t="s">
        <v>1035</v>
      </c>
      <c r="H4555" s="248" t="s">
        <v>234</v>
      </c>
      <c r="I4555" s="248" t="s">
        <v>263</v>
      </c>
      <c r="J4555" s="247" t="s">
        <v>809</v>
      </c>
      <c r="K4555" s="249">
        <v>0</v>
      </c>
      <c r="M4555" s="90">
        <v>0</v>
      </c>
      <c r="N4555" s="90">
        <v>0</v>
      </c>
      <c r="O4555" s="90">
        <v>255</v>
      </c>
    </row>
    <row r="4556" spans="1:15" s="90" customFormat="1" ht="12.75" customHeight="1" x14ac:dyDescent="0.2">
      <c r="A4556" s="247" t="s">
        <v>1758</v>
      </c>
      <c r="B4556" s="316">
        <v>3037</v>
      </c>
      <c r="C4556" s="247" t="s">
        <v>996</v>
      </c>
      <c r="D4556" s="317">
        <v>42676</v>
      </c>
      <c r="E4556" s="318">
        <v>0.50464120370370369</v>
      </c>
      <c r="F4556" s="247" t="s">
        <v>980</v>
      </c>
      <c r="G4556" s="247" t="s">
        <v>1035</v>
      </c>
      <c r="H4556" s="248" t="s">
        <v>234</v>
      </c>
      <c r="I4556" s="248" t="s">
        <v>263</v>
      </c>
      <c r="J4556" s="247" t="s">
        <v>809</v>
      </c>
      <c r="K4556" s="249">
        <v>0</v>
      </c>
      <c r="M4556" s="90">
        <v>0</v>
      </c>
      <c r="N4556" s="90">
        <v>0</v>
      </c>
      <c r="O4556" s="90">
        <v>255</v>
      </c>
    </row>
    <row r="4557" spans="1:15" s="90" customFormat="1" ht="12.75" customHeight="1" x14ac:dyDescent="0.2">
      <c r="A4557" s="247" t="s">
        <v>1759</v>
      </c>
      <c r="B4557" s="316">
        <v>3037</v>
      </c>
      <c r="C4557" s="247" t="s">
        <v>996</v>
      </c>
      <c r="D4557" s="317">
        <v>42676</v>
      </c>
      <c r="E4557" s="318">
        <v>0.50464120370370369</v>
      </c>
      <c r="F4557" s="247" t="s">
        <v>980</v>
      </c>
      <c r="G4557" s="247" t="s">
        <v>1035</v>
      </c>
      <c r="H4557" s="248" t="s">
        <v>234</v>
      </c>
      <c r="I4557" s="248" t="s">
        <v>263</v>
      </c>
      <c r="J4557" s="247" t="s">
        <v>809</v>
      </c>
      <c r="K4557" s="249">
        <v>0</v>
      </c>
      <c r="M4557" s="90">
        <v>0</v>
      </c>
      <c r="N4557" s="90">
        <v>0</v>
      </c>
      <c r="O4557" s="90">
        <v>255</v>
      </c>
    </row>
    <row r="4558" spans="1:15" s="90" customFormat="1" ht="12.75" customHeight="1" x14ac:dyDescent="0.2">
      <c r="A4558" s="247" t="s">
        <v>1760</v>
      </c>
      <c r="B4558" s="316">
        <v>3037</v>
      </c>
      <c r="C4558" s="247" t="s">
        <v>996</v>
      </c>
      <c r="D4558" s="317">
        <v>42676</v>
      </c>
      <c r="E4558" s="318">
        <v>0.50464120370370369</v>
      </c>
      <c r="F4558" s="247" t="s">
        <v>980</v>
      </c>
      <c r="G4558" s="247" t="s">
        <v>1035</v>
      </c>
      <c r="H4558" s="248" t="s">
        <v>234</v>
      </c>
      <c r="I4558" s="248" t="s">
        <v>263</v>
      </c>
      <c r="J4558" s="247" t="s">
        <v>809</v>
      </c>
      <c r="K4558" s="249">
        <v>0</v>
      </c>
      <c r="M4558" s="90">
        <v>0</v>
      </c>
      <c r="N4558" s="90">
        <v>0</v>
      </c>
      <c r="O4558" s="90">
        <v>255</v>
      </c>
    </row>
    <row r="4559" spans="1:15" s="90" customFormat="1" ht="12.75" customHeight="1" x14ac:dyDescent="0.2">
      <c r="A4559" s="247" t="s">
        <v>1761</v>
      </c>
      <c r="B4559" s="316">
        <v>3037</v>
      </c>
      <c r="C4559" s="247" t="s">
        <v>996</v>
      </c>
      <c r="D4559" s="317">
        <v>42676</v>
      </c>
      <c r="E4559" s="318">
        <v>0.50464120370370369</v>
      </c>
      <c r="F4559" s="247" t="s">
        <v>980</v>
      </c>
      <c r="G4559" s="247" t="s">
        <v>1035</v>
      </c>
      <c r="H4559" s="248" t="s">
        <v>234</v>
      </c>
      <c r="I4559" s="248" t="s">
        <v>263</v>
      </c>
      <c r="J4559" s="247" t="s">
        <v>809</v>
      </c>
      <c r="K4559" s="249">
        <v>0</v>
      </c>
      <c r="M4559" s="90">
        <v>0</v>
      </c>
      <c r="N4559" s="90">
        <v>0</v>
      </c>
      <c r="O4559" s="90">
        <v>255</v>
      </c>
    </row>
    <row r="4560" spans="1:15" s="90" customFormat="1" ht="12.75" customHeight="1" x14ac:dyDescent="0.2">
      <c r="A4560" s="247" t="s">
        <v>1545</v>
      </c>
      <c r="B4560" s="316">
        <v>3037</v>
      </c>
      <c r="C4560" s="247" t="s">
        <v>996</v>
      </c>
      <c r="D4560" s="317">
        <v>42676</v>
      </c>
      <c r="E4560" s="318">
        <v>0.50464120370370369</v>
      </c>
      <c r="F4560" s="247" t="s">
        <v>980</v>
      </c>
      <c r="G4560" s="247" t="s">
        <v>1035</v>
      </c>
      <c r="H4560" s="248" t="s">
        <v>234</v>
      </c>
      <c r="I4560" s="248" t="s">
        <v>263</v>
      </c>
      <c r="J4560" s="247" t="s">
        <v>809</v>
      </c>
      <c r="K4560" s="249">
        <v>0</v>
      </c>
      <c r="M4560" s="90">
        <v>0</v>
      </c>
      <c r="N4560" s="90">
        <v>0</v>
      </c>
      <c r="O4560" s="90">
        <v>255</v>
      </c>
    </row>
    <row r="4561" spans="1:15" s="90" customFormat="1" ht="12.75" customHeight="1" x14ac:dyDescent="0.2">
      <c r="A4561" s="247" t="s">
        <v>1762</v>
      </c>
      <c r="B4561" s="316">
        <v>3037</v>
      </c>
      <c r="C4561" s="247" t="s">
        <v>996</v>
      </c>
      <c r="D4561" s="317">
        <v>42676</v>
      </c>
      <c r="E4561" s="318">
        <v>0.50464120370370369</v>
      </c>
      <c r="F4561" s="247" t="s">
        <v>980</v>
      </c>
      <c r="G4561" s="247" t="s">
        <v>1035</v>
      </c>
      <c r="H4561" s="248" t="s">
        <v>234</v>
      </c>
      <c r="I4561" s="248" t="s">
        <v>263</v>
      </c>
      <c r="J4561" s="247" t="s">
        <v>809</v>
      </c>
      <c r="K4561" s="249">
        <v>0</v>
      </c>
      <c r="M4561" s="90">
        <v>0</v>
      </c>
      <c r="N4561" s="90">
        <v>0</v>
      </c>
      <c r="O4561" s="90">
        <v>255</v>
      </c>
    </row>
    <row r="4562" spans="1:15" s="90" customFormat="1" ht="12.75" customHeight="1" x14ac:dyDescent="0.2">
      <c r="A4562" s="247" t="s">
        <v>1763</v>
      </c>
      <c r="B4562" s="316">
        <v>3037</v>
      </c>
      <c r="C4562" s="247" t="s">
        <v>996</v>
      </c>
      <c r="D4562" s="317">
        <v>42676</v>
      </c>
      <c r="E4562" s="318">
        <v>0.50464120370370369</v>
      </c>
      <c r="F4562" s="247" t="s">
        <v>980</v>
      </c>
      <c r="G4562" s="247" t="s">
        <v>1035</v>
      </c>
      <c r="H4562" s="248" t="s">
        <v>234</v>
      </c>
      <c r="I4562" s="248" t="s">
        <v>263</v>
      </c>
      <c r="J4562" s="247" t="s">
        <v>809</v>
      </c>
      <c r="K4562" s="249">
        <v>0</v>
      </c>
      <c r="M4562" s="90">
        <v>0</v>
      </c>
      <c r="N4562" s="90">
        <v>0</v>
      </c>
      <c r="O4562" s="90">
        <v>255</v>
      </c>
    </row>
    <row r="4563" spans="1:15" s="90" customFormat="1" ht="12.75" customHeight="1" x14ac:dyDescent="0.2">
      <c r="A4563" s="247" t="s">
        <v>1764</v>
      </c>
      <c r="B4563" s="316">
        <v>3037</v>
      </c>
      <c r="C4563" s="247" t="s">
        <v>996</v>
      </c>
      <c r="D4563" s="317">
        <v>42676</v>
      </c>
      <c r="E4563" s="318">
        <v>0.50464120370370369</v>
      </c>
      <c r="F4563" s="247" t="s">
        <v>980</v>
      </c>
      <c r="G4563" s="247" t="s">
        <v>1035</v>
      </c>
      <c r="H4563" s="248" t="s">
        <v>234</v>
      </c>
      <c r="I4563" s="248" t="s">
        <v>263</v>
      </c>
      <c r="J4563" s="247" t="s">
        <v>809</v>
      </c>
      <c r="K4563" s="249">
        <v>0</v>
      </c>
      <c r="M4563" s="90">
        <v>0</v>
      </c>
      <c r="N4563" s="90">
        <v>0</v>
      </c>
      <c r="O4563" s="90">
        <v>255</v>
      </c>
    </row>
    <row r="4564" spans="1:15" s="90" customFormat="1" ht="12.75" customHeight="1" x14ac:dyDescent="0.2">
      <c r="A4564" s="247" t="s">
        <v>1765</v>
      </c>
      <c r="B4564" s="316">
        <v>3037</v>
      </c>
      <c r="C4564" s="247" t="s">
        <v>996</v>
      </c>
      <c r="D4564" s="317">
        <v>42676</v>
      </c>
      <c r="E4564" s="318">
        <v>0.50464120370370369</v>
      </c>
      <c r="F4564" s="247" t="s">
        <v>980</v>
      </c>
      <c r="G4564" s="247" t="s">
        <v>1035</v>
      </c>
      <c r="H4564" s="248" t="s">
        <v>234</v>
      </c>
      <c r="I4564" s="248" t="s">
        <v>263</v>
      </c>
      <c r="J4564" s="247" t="s">
        <v>809</v>
      </c>
      <c r="K4564" s="249">
        <v>0</v>
      </c>
      <c r="M4564" s="90">
        <v>0</v>
      </c>
      <c r="N4564" s="90">
        <v>0</v>
      </c>
      <c r="O4564" s="90">
        <v>255</v>
      </c>
    </row>
    <row r="4565" spans="1:15" s="90" customFormat="1" ht="12.75" customHeight="1" x14ac:dyDescent="0.2">
      <c r="A4565" s="247" t="s">
        <v>1766</v>
      </c>
      <c r="B4565" s="316">
        <v>3037</v>
      </c>
      <c r="C4565" s="247" t="s">
        <v>996</v>
      </c>
      <c r="D4565" s="317">
        <v>42676</v>
      </c>
      <c r="E4565" s="318">
        <v>0.50464120370370369</v>
      </c>
      <c r="F4565" s="247" t="s">
        <v>980</v>
      </c>
      <c r="G4565" s="247" t="s">
        <v>1035</v>
      </c>
      <c r="H4565" s="248" t="s">
        <v>234</v>
      </c>
      <c r="I4565" s="248" t="s">
        <v>263</v>
      </c>
      <c r="J4565" s="247" t="s">
        <v>809</v>
      </c>
      <c r="K4565" s="249">
        <v>0</v>
      </c>
      <c r="M4565" s="90">
        <v>0</v>
      </c>
      <c r="N4565" s="90">
        <v>0</v>
      </c>
      <c r="O4565" s="90">
        <v>255</v>
      </c>
    </row>
    <row r="4566" spans="1:15" s="90" customFormat="1" ht="12.75" customHeight="1" x14ac:dyDescent="0.2">
      <c r="A4566" s="247" t="s">
        <v>1767</v>
      </c>
      <c r="B4566" s="316">
        <v>3037</v>
      </c>
      <c r="C4566" s="247" t="s">
        <v>996</v>
      </c>
      <c r="D4566" s="317">
        <v>42676</v>
      </c>
      <c r="E4566" s="318">
        <v>0.50464120370370369</v>
      </c>
      <c r="F4566" s="247" t="s">
        <v>980</v>
      </c>
      <c r="G4566" s="247" t="s">
        <v>1035</v>
      </c>
      <c r="H4566" s="248" t="s">
        <v>234</v>
      </c>
      <c r="I4566" s="248" t="s">
        <v>263</v>
      </c>
      <c r="J4566" s="247" t="s">
        <v>809</v>
      </c>
      <c r="K4566" s="249">
        <v>0</v>
      </c>
      <c r="M4566" s="90">
        <v>0</v>
      </c>
      <c r="N4566" s="90">
        <v>0</v>
      </c>
      <c r="O4566" s="90">
        <v>255</v>
      </c>
    </row>
    <row r="4567" spans="1:15" s="90" customFormat="1" ht="12.75" customHeight="1" x14ac:dyDescent="0.2">
      <c r="A4567" s="247" t="s">
        <v>1768</v>
      </c>
      <c r="B4567" s="316">
        <v>3037</v>
      </c>
      <c r="C4567" s="247" t="s">
        <v>996</v>
      </c>
      <c r="D4567" s="317">
        <v>42676</v>
      </c>
      <c r="E4567" s="318">
        <v>0.50464120370370369</v>
      </c>
      <c r="F4567" s="247" t="s">
        <v>980</v>
      </c>
      <c r="G4567" s="247" t="s">
        <v>1035</v>
      </c>
      <c r="H4567" s="248" t="s">
        <v>234</v>
      </c>
      <c r="I4567" s="248" t="s">
        <v>263</v>
      </c>
      <c r="J4567" s="247" t="s">
        <v>809</v>
      </c>
      <c r="K4567" s="249">
        <v>0</v>
      </c>
      <c r="M4567" s="90">
        <v>0</v>
      </c>
      <c r="N4567" s="90">
        <v>0</v>
      </c>
      <c r="O4567" s="90">
        <v>255</v>
      </c>
    </row>
    <row r="4568" spans="1:15" s="90" customFormat="1" ht="12.75" customHeight="1" x14ac:dyDescent="0.2">
      <c r="A4568" s="247" t="s">
        <v>1769</v>
      </c>
      <c r="B4568" s="316">
        <v>3037</v>
      </c>
      <c r="C4568" s="247" t="s">
        <v>996</v>
      </c>
      <c r="D4568" s="317">
        <v>42676</v>
      </c>
      <c r="E4568" s="318">
        <v>0.50464120370370369</v>
      </c>
      <c r="F4568" s="247" t="s">
        <v>980</v>
      </c>
      <c r="G4568" s="247" t="s">
        <v>1035</v>
      </c>
      <c r="H4568" s="248" t="s">
        <v>234</v>
      </c>
      <c r="I4568" s="248" t="s">
        <v>263</v>
      </c>
      <c r="J4568" s="247" t="s">
        <v>809</v>
      </c>
      <c r="K4568" s="249">
        <v>0</v>
      </c>
      <c r="M4568" s="90">
        <v>0</v>
      </c>
      <c r="N4568" s="90">
        <v>0</v>
      </c>
      <c r="O4568" s="90">
        <v>255</v>
      </c>
    </row>
    <row r="4569" spans="1:15" s="90" customFormat="1" ht="12.75" customHeight="1" x14ac:dyDescent="0.2">
      <c r="A4569" s="247" t="s">
        <v>1770</v>
      </c>
      <c r="B4569" s="316">
        <v>3037</v>
      </c>
      <c r="C4569" s="247" t="s">
        <v>996</v>
      </c>
      <c r="D4569" s="317">
        <v>42676</v>
      </c>
      <c r="E4569" s="318">
        <v>0.50465277777777773</v>
      </c>
      <c r="F4569" s="247" t="s">
        <v>980</v>
      </c>
      <c r="G4569" s="247" t="s">
        <v>1035</v>
      </c>
      <c r="H4569" s="248" t="s">
        <v>234</v>
      </c>
      <c r="I4569" s="248" t="s">
        <v>263</v>
      </c>
      <c r="J4569" s="247" t="s">
        <v>809</v>
      </c>
      <c r="K4569" s="249">
        <v>0</v>
      </c>
      <c r="M4569" s="90">
        <v>0</v>
      </c>
      <c r="N4569" s="90">
        <v>0</v>
      </c>
      <c r="O4569" s="90">
        <v>255</v>
      </c>
    </row>
    <row r="4570" spans="1:15" s="90" customFormat="1" ht="12.75" customHeight="1" x14ac:dyDescent="0.2">
      <c r="A4570" s="247" t="s">
        <v>1546</v>
      </c>
      <c r="B4570" s="316">
        <v>3037</v>
      </c>
      <c r="C4570" s="247" t="s">
        <v>996</v>
      </c>
      <c r="D4570" s="317">
        <v>42676</v>
      </c>
      <c r="E4570" s="318">
        <v>0.50493055555555555</v>
      </c>
      <c r="F4570" s="247" t="s">
        <v>980</v>
      </c>
      <c r="G4570" s="247" t="s">
        <v>1035</v>
      </c>
      <c r="H4570" s="248" t="s">
        <v>234</v>
      </c>
      <c r="I4570" s="248" t="s">
        <v>263</v>
      </c>
      <c r="J4570" s="247" t="s">
        <v>809</v>
      </c>
      <c r="K4570" s="249">
        <v>0</v>
      </c>
      <c r="M4570" s="90">
        <v>0</v>
      </c>
      <c r="N4570" s="90">
        <v>0</v>
      </c>
      <c r="O4570" s="90">
        <v>255</v>
      </c>
    </row>
    <row r="4571" spans="1:15" s="90" customFormat="1" ht="12.75" customHeight="1" x14ac:dyDescent="0.2">
      <c r="A4571" s="247" t="s">
        <v>1495</v>
      </c>
      <c r="B4571" s="316">
        <v>3037</v>
      </c>
      <c r="C4571" s="247" t="s">
        <v>996</v>
      </c>
      <c r="D4571" s="317">
        <v>42676</v>
      </c>
      <c r="E4571" s="318">
        <v>0.50493055555555555</v>
      </c>
      <c r="F4571" s="247" t="s">
        <v>980</v>
      </c>
      <c r="G4571" s="247" t="s">
        <v>1035</v>
      </c>
      <c r="H4571" s="248" t="s">
        <v>234</v>
      </c>
      <c r="I4571" s="248" t="s">
        <v>263</v>
      </c>
      <c r="J4571" s="247" t="s">
        <v>809</v>
      </c>
      <c r="K4571" s="249">
        <v>0</v>
      </c>
      <c r="M4571" s="90">
        <v>0</v>
      </c>
      <c r="N4571" s="90">
        <v>0</v>
      </c>
      <c r="O4571" s="90">
        <v>255</v>
      </c>
    </row>
    <row r="4572" spans="1:15" s="90" customFormat="1" ht="12.75" customHeight="1" x14ac:dyDescent="0.2">
      <c r="A4572" s="247" t="s">
        <v>1496</v>
      </c>
      <c r="B4572" s="316">
        <v>3037</v>
      </c>
      <c r="C4572" s="247" t="s">
        <v>996</v>
      </c>
      <c r="D4572" s="317">
        <v>42676</v>
      </c>
      <c r="E4572" s="318">
        <v>0.50493055555555555</v>
      </c>
      <c r="F4572" s="247" t="s">
        <v>980</v>
      </c>
      <c r="G4572" s="247" t="s">
        <v>1035</v>
      </c>
      <c r="H4572" s="248" t="s">
        <v>234</v>
      </c>
      <c r="I4572" s="248" t="s">
        <v>263</v>
      </c>
      <c r="J4572" s="247" t="s">
        <v>809</v>
      </c>
      <c r="K4572" s="249">
        <v>0</v>
      </c>
      <c r="M4572" s="90">
        <v>0</v>
      </c>
      <c r="N4572" s="90">
        <v>0</v>
      </c>
      <c r="O4572" s="90">
        <v>255</v>
      </c>
    </row>
    <row r="4573" spans="1:15" s="90" customFormat="1" ht="12.75" customHeight="1" x14ac:dyDescent="0.2">
      <c r="A4573" s="247" t="s">
        <v>1497</v>
      </c>
      <c r="B4573" s="316">
        <v>3037</v>
      </c>
      <c r="C4573" s="247" t="s">
        <v>996</v>
      </c>
      <c r="D4573" s="317">
        <v>42676</v>
      </c>
      <c r="E4573" s="318">
        <v>0.50494212962962959</v>
      </c>
      <c r="F4573" s="247" t="s">
        <v>980</v>
      </c>
      <c r="G4573" s="247" t="s">
        <v>1035</v>
      </c>
      <c r="H4573" s="248" t="s">
        <v>234</v>
      </c>
      <c r="I4573" s="248" t="s">
        <v>263</v>
      </c>
      <c r="J4573" s="247" t="s">
        <v>809</v>
      </c>
      <c r="K4573" s="249">
        <v>0</v>
      </c>
      <c r="M4573" s="90">
        <v>0</v>
      </c>
      <c r="N4573" s="90">
        <v>0</v>
      </c>
      <c r="O4573" s="90">
        <v>255</v>
      </c>
    </row>
    <row r="4574" spans="1:15" s="90" customFormat="1" ht="12.75" customHeight="1" x14ac:dyDescent="0.2">
      <c r="A4574" s="247" t="s">
        <v>1498</v>
      </c>
      <c r="B4574" s="316">
        <v>3037</v>
      </c>
      <c r="C4574" s="247" t="s">
        <v>996</v>
      </c>
      <c r="D4574" s="317">
        <v>42676</v>
      </c>
      <c r="E4574" s="318">
        <v>0.50494212962962959</v>
      </c>
      <c r="F4574" s="247" t="s">
        <v>980</v>
      </c>
      <c r="G4574" s="247" t="s">
        <v>1035</v>
      </c>
      <c r="H4574" s="248" t="s">
        <v>234</v>
      </c>
      <c r="I4574" s="248" t="s">
        <v>263</v>
      </c>
      <c r="J4574" s="247" t="s">
        <v>809</v>
      </c>
      <c r="K4574" s="249">
        <v>0</v>
      </c>
      <c r="M4574" s="90">
        <v>0</v>
      </c>
      <c r="N4574" s="90">
        <v>0</v>
      </c>
      <c r="O4574" s="90">
        <v>255</v>
      </c>
    </row>
    <row r="4575" spans="1:15" s="90" customFormat="1" ht="12.75" customHeight="1" x14ac:dyDescent="0.2">
      <c r="A4575" s="247" t="s">
        <v>1499</v>
      </c>
      <c r="B4575" s="316">
        <v>3037</v>
      </c>
      <c r="C4575" s="247" t="s">
        <v>996</v>
      </c>
      <c r="D4575" s="317">
        <v>42676</v>
      </c>
      <c r="E4575" s="318">
        <v>0.50494212962962959</v>
      </c>
      <c r="F4575" s="247" t="s">
        <v>980</v>
      </c>
      <c r="G4575" s="247" t="s">
        <v>1035</v>
      </c>
      <c r="H4575" s="248" t="s">
        <v>234</v>
      </c>
      <c r="I4575" s="248" t="s">
        <v>263</v>
      </c>
      <c r="J4575" s="247" t="s">
        <v>809</v>
      </c>
      <c r="K4575" s="249">
        <v>0</v>
      </c>
      <c r="M4575" s="90">
        <v>0</v>
      </c>
      <c r="N4575" s="90">
        <v>0</v>
      </c>
      <c r="O4575" s="90">
        <v>255</v>
      </c>
    </row>
    <row r="4576" spans="1:15" s="90" customFormat="1" ht="12.75" customHeight="1" x14ac:dyDescent="0.2">
      <c r="A4576" s="247" t="s">
        <v>1502</v>
      </c>
      <c r="B4576" s="316">
        <v>3037</v>
      </c>
      <c r="C4576" s="247" t="s">
        <v>996</v>
      </c>
      <c r="D4576" s="317">
        <v>42676</v>
      </c>
      <c r="E4576" s="318">
        <v>0.50494212962962959</v>
      </c>
      <c r="F4576" s="247" t="s">
        <v>980</v>
      </c>
      <c r="G4576" s="247" t="s">
        <v>1035</v>
      </c>
      <c r="H4576" s="248" t="s">
        <v>234</v>
      </c>
      <c r="I4576" s="248" t="s">
        <v>263</v>
      </c>
      <c r="J4576" s="247" t="s">
        <v>809</v>
      </c>
      <c r="K4576" s="249">
        <v>0</v>
      </c>
      <c r="M4576" s="90">
        <v>0</v>
      </c>
      <c r="N4576" s="90">
        <v>0</v>
      </c>
      <c r="O4576" s="90">
        <v>255</v>
      </c>
    </row>
    <row r="4577" spans="1:15" s="90" customFormat="1" ht="12.75" customHeight="1" x14ac:dyDescent="0.2">
      <c r="A4577" s="247" t="s">
        <v>1547</v>
      </c>
      <c r="B4577" s="316">
        <v>3037</v>
      </c>
      <c r="C4577" s="247" t="s">
        <v>996</v>
      </c>
      <c r="D4577" s="317">
        <v>42676</v>
      </c>
      <c r="E4577" s="318">
        <v>0.50494212962962959</v>
      </c>
      <c r="F4577" s="247" t="s">
        <v>980</v>
      </c>
      <c r="G4577" s="247" t="s">
        <v>1035</v>
      </c>
      <c r="H4577" s="248" t="s">
        <v>234</v>
      </c>
      <c r="I4577" s="248" t="s">
        <v>263</v>
      </c>
      <c r="J4577" s="247" t="s">
        <v>809</v>
      </c>
      <c r="K4577" s="249">
        <v>0</v>
      </c>
      <c r="M4577" s="90">
        <v>0</v>
      </c>
      <c r="N4577" s="90">
        <v>0</v>
      </c>
      <c r="O4577" s="90">
        <v>255</v>
      </c>
    </row>
    <row r="4578" spans="1:15" s="90" customFormat="1" ht="12.75" customHeight="1" x14ac:dyDescent="0.2">
      <c r="A4578" s="247" t="s">
        <v>1548</v>
      </c>
      <c r="B4578" s="316">
        <v>3037</v>
      </c>
      <c r="C4578" s="247" t="s">
        <v>996</v>
      </c>
      <c r="D4578" s="317">
        <v>42676</v>
      </c>
      <c r="E4578" s="318">
        <v>0.50495370370370374</v>
      </c>
      <c r="F4578" s="247" t="s">
        <v>980</v>
      </c>
      <c r="G4578" s="247" t="s">
        <v>1035</v>
      </c>
      <c r="H4578" s="248" t="s">
        <v>234</v>
      </c>
      <c r="I4578" s="248" t="s">
        <v>263</v>
      </c>
      <c r="J4578" s="247" t="s">
        <v>809</v>
      </c>
      <c r="K4578" s="249">
        <v>0</v>
      </c>
      <c r="M4578" s="90">
        <v>0</v>
      </c>
      <c r="N4578" s="90">
        <v>0</v>
      </c>
      <c r="O4578" s="90">
        <v>255</v>
      </c>
    </row>
    <row r="4579" spans="1:15" s="90" customFormat="1" ht="12.75" customHeight="1" x14ac:dyDescent="0.2">
      <c r="A4579" s="247" t="s">
        <v>1549</v>
      </c>
      <c r="B4579" s="316">
        <v>3037</v>
      </c>
      <c r="C4579" s="247" t="s">
        <v>996</v>
      </c>
      <c r="D4579" s="317">
        <v>42676</v>
      </c>
      <c r="E4579" s="318">
        <v>0.50495370370370374</v>
      </c>
      <c r="F4579" s="247" t="s">
        <v>980</v>
      </c>
      <c r="G4579" s="247" t="s">
        <v>1035</v>
      </c>
      <c r="H4579" s="248" t="s">
        <v>234</v>
      </c>
      <c r="I4579" s="248" t="s">
        <v>263</v>
      </c>
      <c r="J4579" s="247" t="s">
        <v>809</v>
      </c>
      <c r="K4579" s="249">
        <v>0</v>
      </c>
      <c r="M4579" s="90">
        <v>0</v>
      </c>
      <c r="N4579" s="90">
        <v>0</v>
      </c>
      <c r="O4579" s="90">
        <v>255</v>
      </c>
    </row>
    <row r="4580" spans="1:15" s="90" customFormat="1" ht="12.75" customHeight="1" x14ac:dyDescent="0.2">
      <c r="A4580" s="247" t="s">
        <v>1550</v>
      </c>
      <c r="B4580" s="316">
        <v>3037</v>
      </c>
      <c r="C4580" s="247" t="s">
        <v>996</v>
      </c>
      <c r="D4580" s="317">
        <v>42676</v>
      </c>
      <c r="E4580" s="318">
        <v>0.50495370370370374</v>
      </c>
      <c r="F4580" s="247" t="s">
        <v>980</v>
      </c>
      <c r="G4580" s="247" t="s">
        <v>1035</v>
      </c>
      <c r="H4580" s="248" t="s">
        <v>234</v>
      </c>
      <c r="I4580" s="248" t="s">
        <v>263</v>
      </c>
      <c r="J4580" s="247" t="s">
        <v>809</v>
      </c>
      <c r="K4580" s="249">
        <v>0</v>
      </c>
      <c r="M4580" s="90">
        <v>0</v>
      </c>
      <c r="N4580" s="90">
        <v>0</v>
      </c>
      <c r="O4580" s="90">
        <v>255</v>
      </c>
    </row>
    <row r="4581" spans="1:15" s="90" customFormat="1" ht="12.75" customHeight="1" x14ac:dyDescent="0.2">
      <c r="A4581" s="247" t="s">
        <v>1551</v>
      </c>
      <c r="B4581" s="316">
        <v>3037</v>
      </c>
      <c r="C4581" s="247" t="s">
        <v>996</v>
      </c>
      <c r="D4581" s="317">
        <v>42676</v>
      </c>
      <c r="E4581" s="318">
        <v>0.50495370370370374</v>
      </c>
      <c r="F4581" s="247" t="s">
        <v>980</v>
      </c>
      <c r="G4581" s="247" t="s">
        <v>1035</v>
      </c>
      <c r="H4581" s="248" t="s">
        <v>234</v>
      </c>
      <c r="I4581" s="248" t="s">
        <v>263</v>
      </c>
      <c r="J4581" s="247" t="s">
        <v>809</v>
      </c>
      <c r="K4581" s="249">
        <v>0</v>
      </c>
      <c r="M4581" s="90">
        <v>0</v>
      </c>
      <c r="N4581" s="90">
        <v>0</v>
      </c>
      <c r="O4581" s="90">
        <v>255</v>
      </c>
    </row>
    <row r="4582" spans="1:15" s="90" customFormat="1" ht="12.75" customHeight="1" x14ac:dyDescent="0.2">
      <c r="A4582" s="247" t="s">
        <v>1552</v>
      </c>
      <c r="B4582" s="316">
        <v>3037</v>
      </c>
      <c r="C4582" s="247" t="s">
        <v>996</v>
      </c>
      <c r="D4582" s="317">
        <v>42676</v>
      </c>
      <c r="E4582" s="318">
        <v>0.50495370370370374</v>
      </c>
      <c r="F4582" s="247" t="s">
        <v>980</v>
      </c>
      <c r="G4582" s="247" t="s">
        <v>1035</v>
      </c>
      <c r="H4582" s="248" t="s">
        <v>234</v>
      </c>
      <c r="I4582" s="248" t="s">
        <v>263</v>
      </c>
      <c r="J4582" s="247" t="s">
        <v>809</v>
      </c>
      <c r="K4582" s="249">
        <v>0</v>
      </c>
      <c r="M4582" s="90">
        <v>0</v>
      </c>
      <c r="N4582" s="90">
        <v>0</v>
      </c>
      <c r="O4582" s="90">
        <v>255</v>
      </c>
    </row>
    <row r="4583" spans="1:15" s="90" customFormat="1" ht="12.75" customHeight="1" x14ac:dyDescent="0.2">
      <c r="A4583" s="247" t="s">
        <v>1553</v>
      </c>
      <c r="B4583" s="316">
        <v>3037</v>
      </c>
      <c r="C4583" s="247" t="s">
        <v>996</v>
      </c>
      <c r="D4583" s="317">
        <v>42676</v>
      </c>
      <c r="E4583" s="318">
        <v>0.50496527777777778</v>
      </c>
      <c r="F4583" s="247" t="s">
        <v>980</v>
      </c>
      <c r="G4583" s="247" t="s">
        <v>1035</v>
      </c>
      <c r="H4583" s="248" t="s">
        <v>234</v>
      </c>
      <c r="I4583" s="248" t="s">
        <v>263</v>
      </c>
      <c r="J4583" s="247" t="s">
        <v>809</v>
      </c>
      <c r="K4583" s="249">
        <v>0</v>
      </c>
      <c r="M4583" s="90">
        <v>0</v>
      </c>
      <c r="N4583" s="90">
        <v>0</v>
      </c>
      <c r="O4583" s="90">
        <v>255</v>
      </c>
    </row>
    <row r="4584" spans="1:15" s="90" customFormat="1" ht="12.75" customHeight="1" x14ac:dyDescent="0.2">
      <c r="A4584" s="247" t="s">
        <v>1554</v>
      </c>
      <c r="B4584" s="316">
        <v>3037</v>
      </c>
      <c r="C4584" s="247" t="s">
        <v>996</v>
      </c>
      <c r="D4584" s="317">
        <v>42676</v>
      </c>
      <c r="E4584" s="318">
        <v>0.50496527777777778</v>
      </c>
      <c r="F4584" s="247" t="s">
        <v>980</v>
      </c>
      <c r="G4584" s="247" t="s">
        <v>1035</v>
      </c>
      <c r="H4584" s="248" t="s">
        <v>234</v>
      </c>
      <c r="I4584" s="248" t="s">
        <v>263</v>
      </c>
      <c r="J4584" s="247" t="s">
        <v>809</v>
      </c>
      <c r="K4584" s="249">
        <v>0</v>
      </c>
      <c r="M4584" s="90">
        <v>0</v>
      </c>
      <c r="N4584" s="90">
        <v>0</v>
      </c>
      <c r="O4584" s="90">
        <v>255</v>
      </c>
    </row>
    <row r="4585" spans="1:15" s="90" customFormat="1" ht="12.75" customHeight="1" x14ac:dyDescent="0.2">
      <c r="A4585" s="247" t="s">
        <v>1555</v>
      </c>
      <c r="B4585" s="316">
        <v>3037</v>
      </c>
      <c r="C4585" s="247" t="s">
        <v>996</v>
      </c>
      <c r="D4585" s="317">
        <v>42676</v>
      </c>
      <c r="E4585" s="318">
        <v>0.50496527777777778</v>
      </c>
      <c r="F4585" s="247" t="s">
        <v>980</v>
      </c>
      <c r="G4585" s="247" t="s">
        <v>1035</v>
      </c>
      <c r="H4585" s="248" t="s">
        <v>234</v>
      </c>
      <c r="I4585" s="248" t="s">
        <v>263</v>
      </c>
      <c r="J4585" s="247" t="s">
        <v>809</v>
      </c>
      <c r="K4585" s="249">
        <v>0</v>
      </c>
      <c r="M4585" s="90">
        <v>0</v>
      </c>
      <c r="N4585" s="90">
        <v>0</v>
      </c>
      <c r="O4585" s="90">
        <v>255</v>
      </c>
    </row>
    <row r="4586" spans="1:15" s="90" customFormat="1" ht="12.75" customHeight="1" x14ac:dyDescent="0.2">
      <c r="A4586" s="247" t="s">
        <v>1556</v>
      </c>
      <c r="B4586" s="316">
        <v>3037</v>
      </c>
      <c r="C4586" s="247" t="s">
        <v>996</v>
      </c>
      <c r="D4586" s="317">
        <v>42676</v>
      </c>
      <c r="E4586" s="318">
        <v>0.50496527777777778</v>
      </c>
      <c r="F4586" s="247" t="s">
        <v>980</v>
      </c>
      <c r="G4586" s="247" t="s">
        <v>1035</v>
      </c>
      <c r="H4586" s="248" t="s">
        <v>234</v>
      </c>
      <c r="I4586" s="248" t="s">
        <v>263</v>
      </c>
      <c r="J4586" s="247" t="s">
        <v>809</v>
      </c>
      <c r="K4586" s="249">
        <v>0</v>
      </c>
      <c r="M4586" s="90">
        <v>0</v>
      </c>
      <c r="N4586" s="90">
        <v>0</v>
      </c>
      <c r="O4586" s="90">
        <v>255</v>
      </c>
    </row>
    <row r="4587" spans="1:15" s="90" customFormat="1" ht="12.75" customHeight="1" x14ac:dyDescent="0.2">
      <c r="A4587" s="247" t="s">
        <v>1557</v>
      </c>
      <c r="B4587" s="316">
        <v>3037</v>
      </c>
      <c r="C4587" s="247" t="s">
        <v>996</v>
      </c>
      <c r="D4587" s="317">
        <v>42676</v>
      </c>
      <c r="E4587" s="318">
        <v>0.50496527777777778</v>
      </c>
      <c r="F4587" s="247" t="s">
        <v>980</v>
      </c>
      <c r="G4587" s="247" t="s">
        <v>1035</v>
      </c>
      <c r="H4587" s="248" t="s">
        <v>234</v>
      </c>
      <c r="I4587" s="248" t="s">
        <v>263</v>
      </c>
      <c r="J4587" s="247" t="s">
        <v>809</v>
      </c>
      <c r="K4587" s="249">
        <v>0</v>
      </c>
      <c r="M4587" s="90">
        <v>0</v>
      </c>
      <c r="N4587" s="90">
        <v>0</v>
      </c>
      <c r="O4587" s="90">
        <v>255</v>
      </c>
    </row>
    <row r="4588" spans="1:15" s="90" customFormat="1" ht="12.75" customHeight="1" x14ac:dyDescent="0.2">
      <c r="A4588" s="247" t="s">
        <v>1558</v>
      </c>
      <c r="B4588" s="316">
        <v>3037</v>
      </c>
      <c r="C4588" s="247" t="s">
        <v>996</v>
      </c>
      <c r="D4588" s="317">
        <v>42676</v>
      </c>
      <c r="E4588" s="318">
        <v>0.50496527777777778</v>
      </c>
      <c r="F4588" s="247" t="s">
        <v>980</v>
      </c>
      <c r="G4588" s="247" t="s">
        <v>1035</v>
      </c>
      <c r="H4588" s="248" t="s">
        <v>234</v>
      </c>
      <c r="I4588" s="248" t="s">
        <v>263</v>
      </c>
      <c r="J4588" s="247" t="s">
        <v>809</v>
      </c>
      <c r="K4588" s="249">
        <v>0</v>
      </c>
      <c r="M4588" s="90">
        <v>0</v>
      </c>
      <c r="N4588" s="90">
        <v>0</v>
      </c>
      <c r="O4588" s="90">
        <v>255</v>
      </c>
    </row>
    <row r="4589" spans="1:15" s="90" customFormat="1" ht="12.75" customHeight="1" x14ac:dyDescent="0.2">
      <c r="A4589" s="247" t="s">
        <v>1559</v>
      </c>
      <c r="B4589" s="316">
        <v>3037</v>
      </c>
      <c r="C4589" s="247" t="s">
        <v>996</v>
      </c>
      <c r="D4589" s="317">
        <v>42676</v>
      </c>
      <c r="E4589" s="318">
        <v>0.50497685185185182</v>
      </c>
      <c r="F4589" s="247" t="s">
        <v>980</v>
      </c>
      <c r="G4589" s="247" t="s">
        <v>1035</v>
      </c>
      <c r="H4589" s="248" t="s">
        <v>234</v>
      </c>
      <c r="I4589" s="248" t="s">
        <v>263</v>
      </c>
      <c r="J4589" s="247" t="s">
        <v>809</v>
      </c>
      <c r="K4589" s="249">
        <v>0</v>
      </c>
      <c r="M4589" s="90">
        <v>0</v>
      </c>
      <c r="N4589" s="90">
        <v>0</v>
      </c>
      <c r="O4589" s="90">
        <v>255</v>
      </c>
    </row>
    <row r="4590" spans="1:15" s="90" customFormat="1" ht="12.75" customHeight="1" x14ac:dyDescent="0.2">
      <c r="A4590" s="247" t="s">
        <v>1560</v>
      </c>
      <c r="B4590" s="316">
        <v>3037</v>
      </c>
      <c r="C4590" s="247" t="s">
        <v>996</v>
      </c>
      <c r="D4590" s="317">
        <v>42676</v>
      </c>
      <c r="E4590" s="318">
        <v>0.50497685185185182</v>
      </c>
      <c r="F4590" s="247" t="s">
        <v>980</v>
      </c>
      <c r="G4590" s="247" t="s">
        <v>1035</v>
      </c>
      <c r="H4590" s="248" t="s">
        <v>234</v>
      </c>
      <c r="I4590" s="248" t="s">
        <v>263</v>
      </c>
      <c r="J4590" s="247" t="s">
        <v>809</v>
      </c>
      <c r="K4590" s="249">
        <v>0</v>
      </c>
      <c r="M4590" s="90">
        <v>0</v>
      </c>
      <c r="N4590" s="90">
        <v>0</v>
      </c>
      <c r="O4590" s="90">
        <v>255</v>
      </c>
    </row>
    <row r="4591" spans="1:15" s="90" customFormat="1" ht="12.75" customHeight="1" x14ac:dyDescent="0.2">
      <c r="A4591" s="247" t="s">
        <v>1561</v>
      </c>
      <c r="B4591" s="316">
        <v>3037</v>
      </c>
      <c r="C4591" s="247" t="s">
        <v>996</v>
      </c>
      <c r="D4591" s="317">
        <v>42676</v>
      </c>
      <c r="E4591" s="318">
        <v>0.50497685185185182</v>
      </c>
      <c r="F4591" s="247" t="s">
        <v>980</v>
      </c>
      <c r="G4591" s="247" t="s">
        <v>1035</v>
      </c>
      <c r="H4591" s="248" t="s">
        <v>234</v>
      </c>
      <c r="I4591" s="248" t="s">
        <v>263</v>
      </c>
      <c r="J4591" s="247" t="s">
        <v>809</v>
      </c>
      <c r="K4591" s="249">
        <v>0</v>
      </c>
      <c r="M4591" s="90">
        <v>0</v>
      </c>
      <c r="N4591" s="90">
        <v>0</v>
      </c>
      <c r="O4591" s="90">
        <v>255</v>
      </c>
    </row>
    <row r="4592" spans="1:15" s="90" customFormat="1" ht="12.75" customHeight="1" x14ac:dyDescent="0.2">
      <c r="A4592" s="247" t="s">
        <v>1562</v>
      </c>
      <c r="B4592" s="316">
        <v>3037</v>
      </c>
      <c r="C4592" s="247" t="s">
        <v>996</v>
      </c>
      <c r="D4592" s="317">
        <v>42676</v>
      </c>
      <c r="E4592" s="318">
        <v>0.50497685185185182</v>
      </c>
      <c r="F4592" s="247" t="s">
        <v>980</v>
      </c>
      <c r="G4592" s="247" t="s">
        <v>1035</v>
      </c>
      <c r="H4592" s="248" t="s">
        <v>234</v>
      </c>
      <c r="I4592" s="248" t="s">
        <v>263</v>
      </c>
      <c r="J4592" s="247" t="s">
        <v>809</v>
      </c>
      <c r="K4592" s="249">
        <v>0</v>
      </c>
      <c r="M4592" s="90">
        <v>0</v>
      </c>
      <c r="N4592" s="90">
        <v>0</v>
      </c>
      <c r="O4592" s="90">
        <v>255</v>
      </c>
    </row>
    <row r="4593" spans="1:15" s="90" customFormat="1" ht="12.75" customHeight="1" x14ac:dyDescent="0.2">
      <c r="A4593" s="247" t="s">
        <v>1563</v>
      </c>
      <c r="B4593" s="316">
        <v>3037</v>
      </c>
      <c r="C4593" s="247" t="s">
        <v>996</v>
      </c>
      <c r="D4593" s="317">
        <v>42676</v>
      </c>
      <c r="E4593" s="318">
        <v>0.50497685185185182</v>
      </c>
      <c r="F4593" s="247" t="s">
        <v>980</v>
      </c>
      <c r="G4593" s="247" t="s">
        <v>1035</v>
      </c>
      <c r="H4593" s="248" t="s">
        <v>234</v>
      </c>
      <c r="I4593" s="248" t="s">
        <v>263</v>
      </c>
      <c r="J4593" s="247" t="s">
        <v>809</v>
      </c>
      <c r="K4593" s="249">
        <v>0</v>
      </c>
      <c r="M4593" s="90">
        <v>0</v>
      </c>
      <c r="N4593" s="90">
        <v>0</v>
      </c>
      <c r="O4593" s="90">
        <v>255</v>
      </c>
    </row>
    <row r="4594" spans="1:15" s="90" customFormat="1" ht="12.75" customHeight="1" x14ac:dyDescent="0.2">
      <c r="A4594" s="247" t="s">
        <v>1564</v>
      </c>
      <c r="B4594" s="316">
        <v>3037</v>
      </c>
      <c r="C4594" s="247" t="s">
        <v>996</v>
      </c>
      <c r="D4594" s="317">
        <v>42676</v>
      </c>
      <c r="E4594" s="318">
        <v>0.50498842592592597</v>
      </c>
      <c r="F4594" s="247" t="s">
        <v>980</v>
      </c>
      <c r="G4594" s="247" t="s">
        <v>1035</v>
      </c>
      <c r="H4594" s="248" t="s">
        <v>234</v>
      </c>
      <c r="I4594" s="248" t="s">
        <v>263</v>
      </c>
      <c r="J4594" s="247" t="s">
        <v>809</v>
      </c>
      <c r="K4594" s="249">
        <v>0</v>
      </c>
      <c r="M4594" s="90">
        <v>0</v>
      </c>
      <c r="N4594" s="90">
        <v>0</v>
      </c>
      <c r="O4594" s="90">
        <v>255</v>
      </c>
    </row>
    <row r="4595" spans="1:15" s="90" customFormat="1" ht="12.75" customHeight="1" x14ac:dyDescent="0.2">
      <c r="A4595" s="247" t="s">
        <v>1565</v>
      </c>
      <c r="B4595" s="316">
        <v>3037</v>
      </c>
      <c r="C4595" s="247" t="s">
        <v>996</v>
      </c>
      <c r="D4595" s="317">
        <v>42676</v>
      </c>
      <c r="E4595" s="318">
        <v>0.50498842592592597</v>
      </c>
      <c r="F4595" s="247" t="s">
        <v>980</v>
      </c>
      <c r="G4595" s="247" t="s">
        <v>1035</v>
      </c>
      <c r="H4595" s="248" t="s">
        <v>234</v>
      </c>
      <c r="I4595" s="248" t="s">
        <v>263</v>
      </c>
      <c r="J4595" s="247" t="s">
        <v>809</v>
      </c>
      <c r="K4595" s="249">
        <v>0</v>
      </c>
      <c r="M4595" s="90">
        <v>0</v>
      </c>
      <c r="N4595" s="90">
        <v>0</v>
      </c>
      <c r="O4595" s="90">
        <v>255</v>
      </c>
    </row>
    <row r="4596" spans="1:15" s="90" customFormat="1" ht="12.75" customHeight="1" x14ac:dyDescent="0.2">
      <c r="A4596" s="247" t="s">
        <v>1566</v>
      </c>
      <c r="B4596" s="316">
        <v>3037</v>
      </c>
      <c r="C4596" s="247" t="s">
        <v>996</v>
      </c>
      <c r="D4596" s="317">
        <v>42676</v>
      </c>
      <c r="E4596" s="318">
        <v>0.50498842592592597</v>
      </c>
      <c r="F4596" s="247" t="s">
        <v>980</v>
      </c>
      <c r="G4596" s="247" t="s">
        <v>1035</v>
      </c>
      <c r="H4596" s="248" t="s">
        <v>234</v>
      </c>
      <c r="I4596" s="248" t="s">
        <v>263</v>
      </c>
      <c r="J4596" s="247" t="s">
        <v>809</v>
      </c>
      <c r="K4596" s="249">
        <v>0</v>
      </c>
      <c r="M4596" s="90">
        <v>0</v>
      </c>
      <c r="N4596" s="90">
        <v>0</v>
      </c>
      <c r="O4596" s="90">
        <v>255</v>
      </c>
    </row>
    <row r="4597" spans="1:15" s="90" customFormat="1" ht="12.75" customHeight="1" x14ac:dyDescent="0.2">
      <c r="A4597" s="247" t="s">
        <v>1567</v>
      </c>
      <c r="B4597" s="316">
        <v>3037</v>
      </c>
      <c r="C4597" s="247" t="s">
        <v>996</v>
      </c>
      <c r="D4597" s="317">
        <v>42676</v>
      </c>
      <c r="E4597" s="318">
        <v>0.50498842592592597</v>
      </c>
      <c r="F4597" s="247" t="s">
        <v>980</v>
      </c>
      <c r="G4597" s="247" t="s">
        <v>1035</v>
      </c>
      <c r="H4597" s="248" t="s">
        <v>234</v>
      </c>
      <c r="I4597" s="248" t="s">
        <v>263</v>
      </c>
      <c r="J4597" s="247" t="s">
        <v>809</v>
      </c>
      <c r="K4597" s="249">
        <v>0</v>
      </c>
      <c r="M4597" s="90">
        <v>0</v>
      </c>
      <c r="N4597" s="90">
        <v>0</v>
      </c>
      <c r="O4597" s="90">
        <v>255</v>
      </c>
    </row>
    <row r="4598" spans="1:15" s="90" customFormat="1" ht="12.75" customHeight="1" x14ac:dyDescent="0.2">
      <c r="A4598" s="247" t="s">
        <v>1568</v>
      </c>
      <c r="B4598" s="316">
        <v>3037</v>
      </c>
      <c r="C4598" s="247" t="s">
        <v>996</v>
      </c>
      <c r="D4598" s="317">
        <v>42676</v>
      </c>
      <c r="E4598" s="318">
        <v>0.50498842592592597</v>
      </c>
      <c r="F4598" s="247" t="s">
        <v>980</v>
      </c>
      <c r="G4598" s="247" t="s">
        <v>1035</v>
      </c>
      <c r="H4598" s="248" t="s">
        <v>234</v>
      </c>
      <c r="I4598" s="248" t="s">
        <v>263</v>
      </c>
      <c r="J4598" s="247" t="s">
        <v>809</v>
      </c>
      <c r="K4598" s="249">
        <v>0</v>
      </c>
      <c r="M4598" s="90">
        <v>0</v>
      </c>
      <c r="N4598" s="90">
        <v>0</v>
      </c>
      <c r="O4598" s="90">
        <v>255</v>
      </c>
    </row>
    <row r="4599" spans="1:15" s="90" customFormat="1" ht="12.75" customHeight="1" x14ac:dyDescent="0.2">
      <c r="A4599" s="247" t="s">
        <v>1569</v>
      </c>
      <c r="B4599" s="316">
        <v>3037</v>
      </c>
      <c r="C4599" s="247" t="s">
        <v>996</v>
      </c>
      <c r="D4599" s="317">
        <v>42676</v>
      </c>
      <c r="E4599" s="318">
        <v>0.50498842592592597</v>
      </c>
      <c r="F4599" s="247" t="s">
        <v>980</v>
      </c>
      <c r="G4599" s="247" t="s">
        <v>1035</v>
      </c>
      <c r="H4599" s="248" t="s">
        <v>234</v>
      </c>
      <c r="I4599" s="248" t="s">
        <v>263</v>
      </c>
      <c r="J4599" s="247" t="s">
        <v>809</v>
      </c>
      <c r="K4599" s="249">
        <v>0</v>
      </c>
      <c r="M4599" s="90">
        <v>0</v>
      </c>
      <c r="N4599" s="90">
        <v>0</v>
      </c>
      <c r="O4599" s="90">
        <v>255</v>
      </c>
    </row>
    <row r="4600" spans="1:15" s="90" customFormat="1" ht="12.75" customHeight="1" x14ac:dyDescent="0.2">
      <c r="A4600" s="247" t="s">
        <v>1570</v>
      </c>
      <c r="B4600" s="316">
        <v>3037</v>
      </c>
      <c r="C4600" s="247" t="s">
        <v>996</v>
      </c>
      <c r="D4600" s="317">
        <v>42676</v>
      </c>
      <c r="E4600" s="318">
        <v>0.505</v>
      </c>
      <c r="F4600" s="247" t="s">
        <v>980</v>
      </c>
      <c r="G4600" s="247" t="s">
        <v>1035</v>
      </c>
      <c r="H4600" s="248" t="s">
        <v>234</v>
      </c>
      <c r="I4600" s="248" t="s">
        <v>263</v>
      </c>
      <c r="J4600" s="247" t="s">
        <v>809</v>
      </c>
      <c r="K4600" s="249">
        <v>0</v>
      </c>
      <c r="M4600" s="90">
        <v>0</v>
      </c>
      <c r="N4600" s="90">
        <v>0</v>
      </c>
      <c r="O4600" s="90">
        <v>255</v>
      </c>
    </row>
    <row r="4601" spans="1:15" s="90" customFormat="1" ht="12.75" customHeight="1" x14ac:dyDescent="0.2">
      <c r="A4601" s="247" t="s">
        <v>1571</v>
      </c>
      <c r="B4601" s="316">
        <v>3037</v>
      </c>
      <c r="C4601" s="247" t="s">
        <v>996</v>
      </c>
      <c r="D4601" s="317">
        <v>42676</v>
      </c>
      <c r="E4601" s="318">
        <v>0.505</v>
      </c>
      <c r="F4601" s="247" t="s">
        <v>980</v>
      </c>
      <c r="G4601" s="247" t="s">
        <v>1035</v>
      </c>
      <c r="H4601" s="248" t="s">
        <v>234</v>
      </c>
      <c r="I4601" s="248" t="s">
        <v>263</v>
      </c>
      <c r="J4601" s="247" t="s">
        <v>809</v>
      </c>
      <c r="K4601" s="249">
        <v>0</v>
      </c>
      <c r="M4601" s="90">
        <v>0</v>
      </c>
      <c r="N4601" s="90">
        <v>0</v>
      </c>
      <c r="O4601" s="90">
        <v>255</v>
      </c>
    </row>
    <row r="4602" spans="1:15" s="90" customFormat="1" ht="12.75" customHeight="1" x14ac:dyDescent="0.2">
      <c r="A4602" s="247" t="s">
        <v>1572</v>
      </c>
      <c r="B4602" s="316">
        <v>3037</v>
      </c>
      <c r="C4602" s="247" t="s">
        <v>996</v>
      </c>
      <c r="D4602" s="317">
        <v>42676</v>
      </c>
      <c r="E4602" s="318">
        <v>0.505</v>
      </c>
      <c r="F4602" s="247" t="s">
        <v>980</v>
      </c>
      <c r="G4602" s="247" t="s">
        <v>1035</v>
      </c>
      <c r="H4602" s="248" t="s">
        <v>234</v>
      </c>
      <c r="I4602" s="248" t="s">
        <v>263</v>
      </c>
      <c r="J4602" s="247" t="s">
        <v>809</v>
      </c>
      <c r="K4602" s="249">
        <v>0</v>
      </c>
      <c r="M4602" s="90">
        <v>0</v>
      </c>
      <c r="N4602" s="90">
        <v>0</v>
      </c>
      <c r="O4602" s="90">
        <v>255</v>
      </c>
    </row>
    <row r="4603" spans="1:15" s="90" customFormat="1" ht="12.75" customHeight="1" x14ac:dyDescent="0.2">
      <c r="A4603" s="247" t="s">
        <v>1573</v>
      </c>
      <c r="B4603" s="316">
        <v>3037</v>
      </c>
      <c r="C4603" s="247" t="s">
        <v>996</v>
      </c>
      <c r="D4603" s="317">
        <v>42676</v>
      </c>
      <c r="E4603" s="318">
        <v>0.505</v>
      </c>
      <c r="F4603" s="247" t="s">
        <v>980</v>
      </c>
      <c r="G4603" s="247" t="s">
        <v>1035</v>
      </c>
      <c r="H4603" s="248" t="s">
        <v>234</v>
      </c>
      <c r="I4603" s="248" t="s">
        <v>263</v>
      </c>
      <c r="J4603" s="247" t="s">
        <v>809</v>
      </c>
      <c r="K4603" s="249">
        <v>0</v>
      </c>
      <c r="M4603" s="90">
        <v>0</v>
      </c>
      <c r="N4603" s="90">
        <v>0</v>
      </c>
      <c r="O4603" s="90">
        <v>255</v>
      </c>
    </row>
    <row r="4604" spans="1:15" s="90" customFormat="1" ht="12.75" customHeight="1" x14ac:dyDescent="0.2">
      <c r="A4604" s="247" t="s">
        <v>1574</v>
      </c>
      <c r="B4604" s="316">
        <v>3037</v>
      </c>
      <c r="C4604" s="247" t="s">
        <v>996</v>
      </c>
      <c r="D4604" s="317">
        <v>42676</v>
      </c>
      <c r="E4604" s="318">
        <v>0.505</v>
      </c>
      <c r="F4604" s="247" t="s">
        <v>980</v>
      </c>
      <c r="G4604" s="247" t="s">
        <v>1035</v>
      </c>
      <c r="H4604" s="248" t="s">
        <v>234</v>
      </c>
      <c r="I4604" s="248" t="s">
        <v>263</v>
      </c>
      <c r="J4604" s="247" t="s">
        <v>809</v>
      </c>
      <c r="K4604" s="249">
        <v>0</v>
      </c>
      <c r="M4604" s="90">
        <v>0</v>
      </c>
      <c r="N4604" s="90">
        <v>0</v>
      </c>
      <c r="O4604" s="90">
        <v>255</v>
      </c>
    </row>
    <row r="4605" spans="1:15" s="90" customFormat="1" ht="12.75" customHeight="1" x14ac:dyDescent="0.2">
      <c r="A4605" s="247" t="s">
        <v>1575</v>
      </c>
      <c r="B4605" s="316">
        <v>3037</v>
      </c>
      <c r="C4605" s="247" t="s">
        <v>996</v>
      </c>
      <c r="D4605" s="317">
        <v>42676</v>
      </c>
      <c r="E4605" s="318">
        <v>0.50501157407407404</v>
      </c>
      <c r="F4605" s="247" t="s">
        <v>980</v>
      </c>
      <c r="G4605" s="247" t="s">
        <v>1035</v>
      </c>
      <c r="H4605" s="248" t="s">
        <v>234</v>
      </c>
      <c r="I4605" s="248" t="s">
        <v>263</v>
      </c>
      <c r="J4605" s="247" t="s">
        <v>809</v>
      </c>
      <c r="K4605" s="249">
        <v>0</v>
      </c>
      <c r="M4605" s="90">
        <v>0</v>
      </c>
      <c r="N4605" s="90">
        <v>0</v>
      </c>
      <c r="O4605" s="90">
        <v>255</v>
      </c>
    </row>
    <row r="4606" spans="1:15" s="90" customFormat="1" ht="12.75" customHeight="1" x14ac:dyDescent="0.2">
      <c r="A4606" s="247" t="s">
        <v>1576</v>
      </c>
      <c r="B4606" s="316">
        <v>3037</v>
      </c>
      <c r="C4606" s="247" t="s">
        <v>996</v>
      </c>
      <c r="D4606" s="317">
        <v>42676</v>
      </c>
      <c r="E4606" s="318">
        <v>0.50501157407407404</v>
      </c>
      <c r="F4606" s="247" t="s">
        <v>980</v>
      </c>
      <c r="G4606" s="247" t="s">
        <v>1035</v>
      </c>
      <c r="H4606" s="248" t="s">
        <v>234</v>
      </c>
      <c r="I4606" s="248" t="s">
        <v>263</v>
      </c>
      <c r="J4606" s="247" t="s">
        <v>809</v>
      </c>
      <c r="K4606" s="249">
        <v>0</v>
      </c>
      <c r="M4606" s="90">
        <v>0</v>
      </c>
      <c r="N4606" s="90">
        <v>0</v>
      </c>
      <c r="O4606" s="90">
        <v>255</v>
      </c>
    </row>
    <row r="4607" spans="1:15" s="90" customFormat="1" ht="12.75" customHeight="1" x14ac:dyDescent="0.2">
      <c r="A4607" s="247" t="s">
        <v>1577</v>
      </c>
      <c r="B4607" s="316">
        <v>3037</v>
      </c>
      <c r="C4607" s="247" t="s">
        <v>996</v>
      </c>
      <c r="D4607" s="317">
        <v>42676</v>
      </c>
      <c r="E4607" s="318">
        <v>0.50501157407407404</v>
      </c>
      <c r="F4607" s="247" t="s">
        <v>980</v>
      </c>
      <c r="G4607" s="247" t="s">
        <v>1035</v>
      </c>
      <c r="H4607" s="248" t="s">
        <v>234</v>
      </c>
      <c r="I4607" s="248" t="s">
        <v>263</v>
      </c>
      <c r="J4607" s="247" t="s">
        <v>809</v>
      </c>
      <c r="K4607" s="249">
        <v>0</v>
      </c>
      <c r="M4607" s="90">
        <v>0</v>
      </c>
      <c r="N4607" s="90">
        <v>0</v>
      </c>
      <c r="O4607" s="90">
        <v>255</v>
      </c>
    </row>
    <row r="4608" spans="1:15" s="90" customFormat="1" ht="12.75" customHeight="1" x14ac:dyDescent="0.2">
      <c r="A4608" s="247" t="s">
        <v>1578</v>
      </c>
      <c r="B4608" s="316">
        <v>3037</v>
      </c>
      <c r="C4608" s="247" t="s">
        <v>996</v>
      </c>
      <c r="D4608" s="317">
        <v>42676</v>
      </c>
      <c r="E4608" s="318">
        <v>0.50501157407407404</v>
      </c>
      <c r="F4608" s="247" t="s">
        <v>980</v>
      </c>
      <c r="G4608" s="247" t="s">
        <v>1035</v>
      </c>
      <c r="H4608" s="248" t="s">
        <v>234</v>
      </c>
      <c r="I4608" s="248" t="s">
        <v>263</v>
      </c>
      <c r="J4608" s="247" t="s">
        <v>809</v>
      </c>
      <c r="K4608" s="249">
        <v>0</v>
      </c>
      <c r="M4608" s="90">
        <v>0</v>
      </c>
      <c r="N4608" s="90">
        <v>0</v>
      </c>
      <c r="O4608" s="90">
        <v>255</v>
      </c>
    </row>
    <row r="4609" spans="1:15" s="90" customFormat="1" ht="12.75" customHeight="1" x14ac:dyDescent="0.2">
      <c r="A4609" s="247" t="s">
        <v>1579</v>
      </c>
      <c r="B4609" s="316">
        <v>3037</v>
      </c>
      <c r="C4609" s="247" t="s">
        <v>996</v>
      </c>
      <c r="D4609" s="317">
        <v>42676</v>
      </c>
      <c r="E4609" s="318">
        <v>0.50501157407407404</v>
      </c>
      <c r="F4609" s="247" t="s">
        <v>980</v>
      </c>
      <c r="G4609" s="247" t="s">
        <v>1035</v>
      </c>
      <c r="H4609" s="248" t="s">
        <v>234</v>
      </c>
      <c r="I4609" s="248" t="s">
        <v>263</v>
      </c>
      <c r="J4609" s="247" t="s">
        <v>809</v>
      </c>
      <c r="K4609" s="249">
        <v>0</v>
      </c>
      <c r="M4609" s="90">
        <v>0</v>
      </c>
      <c r="N4609" s="90">
        <v>0</v>
      </c>
      <c r="O4609" s="90">
        <v>255</v>
      </c>
    </row>
    <row r="4610" spans="1:15" s="90" customFormat="1" ht="12.75" customHeight="1" x14ac:dyDescent="0.2">
      <c r="A4610" s="247" t="s">
        <v>1580</v>
      </c>
      <c r="B4610" s="316">
        <v>3037</v>
      </c>
      <c r="C4610" s="247" t="s">
        <v>996</v>
      </c>
      <c r="D4610" s="317">
        <v>42676</v>
      </c>
      <c r="E4610" s="318">
        <v>0.50502314814814808</v>
      </c>
      <c r="F4610" s="247" t="s">
        <v>980</v>
      </c>
      <c r="G4610" s="247" t="s">
        <v>1035</v>
      </c>
      <c r="H4610" s="248" t="s">
        <v>234</v>
      </c>
      <c r="I4610" s="248" t="s">
        <v>263</v>
      </c>
      <c r="J4610" s="247" t="s">
        <v>809</v>
      </c>
      <c r="K4610" s="249">
        <v>0</v>
      </c>
      <c r="M4610" s="90">
        <v>0</v>
      </c>
      <c r="N4610" s="90">
        <v>0</v>
      </c>
      <c r="O4610" s="90">
        <v>255</v>
      </c>
    </row>
    <row r="4611" spans="1:15" s="90" customFormat="1" ht="12.75" customHeight="1" x14ac:dyDescent="0.2">
      <c r="A4611" s="247" t="s">
        <v>1581</v>
      </c>
      <c r="B4611" s="316">
        <v>3037</v>
      </c>
      <c r="C4611" s="247" t="s">
        <v>996</v>
      </c>
      <c r="D4611" s="317">
        <v>42676</v>
      </c>
      <c r="E4611" s="318">
        <v>0.50502314814814808</v>
      </c>
      <c r="F4611" s="247" t="s">
        <v>980</v>
      </c>
      <c r="G4611" s="247" t="s">
        <v>1035</v>
      </c>
      <c r="H4611" s="248" t="s">
        <v>234</v>
      </c>
      <c r="I4611" s="248" t="s">
        <v>263</v>
      </c>
      <c r="J4611" s="247" t="s">
        <v>809</v>
      </c>
      <c r="K4611" s="249">
        <v>0</v>
      </c>
      <c r="M4611" s="90">
        <v>0</v>
      </c>
      <c r="N4611" s="90">
        <v>0</v>
      </c>
      <c r="O4611" s="90">
        <v>255</v>
      </c>
    </row>
    <row r="4612" spans="1:15" s="90" customFormat="1" ht="12.75" customHeight="1" x14ac:dyDescent="0.2">
      <c r="A4612" s="247" t="s">
        <v>1582</v>
      </c>
      <c r="B4612" s="316">
        <v>3037</v>
      </c>
      <c r="C4612" s="247" t="s">
        <v>996</v>
      </c>
      <c r="D4612" s="317">
        <v>42676</v>
      </c>
      <c r="E4612" s="318">
        <v>0.50502314814814808</v>
      </c>
      <c r="F4612" s="247" t="s">
        <v>980</v>
      </c>
      <c r="G4612" s="247" t="s">
        <v>1035</v>
      </c>
      <c r="H4612" s="248" t="s">
        <v>234</v>
      </c>
      <c r="I4612" s="248" t="s">
        <v>263</v>
      </c>
      <c r="J4612" s="247" t="s">
        <v>809</v>
      </c>
      <c r="K4612" s="249">
        <v>0</v>
      </c>
      <c r="M4612" s="90">
        <v>0</v>
      </c>
      <c r="N4612" s="90">
        <v>0</v>
      </c>
      <c r="O4612" s="90">
        <v>255</v>
      </c>
    </row>
    <row r="4613" spans="1:15" s="90" customFormat="1" ht="12.75" customHeight="1" x14ac:dyDescent="0.2">
      <c r="A4613" s="247" t="s">
        <v>1583</v>
      </c>
      <c r="B4613" s="316">
        <v>3037</v>
      </c>
      <c r="C4613" s="247" t="s">
        <v>996</v>
      </c>
      <c r="D4613" s="317">
        <v>42676</v>
      </c>
      <c r="E4613" s="318">
        <v>0.50502314814814808</v>
      </c>
      <c r="F4613" s="247" t="s">
        <v>980</v>
      </c>
      <c r="G4613" s="247" t="s">
        <v>1035</v>
      </c>
      <c r="H4613" s="248" t="s">
        <v>234</v>
      </c>
      <c r="I4613" s="248" t="s">
        <v>263</v>
      </c>
      <c r="J4613" s="247" t="s">
        <v>809</v>
      </c>
      <c r="K4613" s="249">
        <v>0</v>
      </c>
      <c r="M4613" s="90">
        <v>0</v>
      </c>
      <c r="N4613" s="90">
        <v>0</v>
      </c>
      <c r="O4613" s="90">
        <v>255</v>
      </c>
    </row>
    <row r="4614" spans="1:15" s="90" customFormat="1" ht="12.75" customHeight="1" x14ac:dyDescent="0.2">
      <c r="A4614" s="247" t="s">
        <v>1584</v>
      </c>
      <c r="B4614" s="316">
        <v>3037</v>
      </c>
      <c r="C4614" s="247" t="s">
        <v>996</v>
      </c>
      <c r="D4614" s="317">
        <v>42676</v>
      </c>
      <c r="E4614" s="318">
        <v>0.50503472222222223</v>
      </c>
      <c r="F4614" s="247" t="s">
        <v>980</v>
      </c>
      <c r="G4614" s="247" t="s">
        <v>1035</v>
      </c>
      <c r="H4614" s="248" t="s">
        <v>234</v>
      </c>
      <c r="I4614" s="248" t="s">
        <v>263</v>
      </c>
      <c r="J4614" s="247" t="s">
        <v>809</v>
      </c>
      <c r="K4614" s="249">
        <v>0</v>
      </c>
      <c r="M4614" s="90">
        <v>0</v>
      </c>
      <c r="N4614" s="90">
        <v>0</v>
      </c>
      <c r="O4614" s="90">
        <v>255</v>
      </c>
    </row>
    <row r="4615" spans="1:15" s="90" customFormat="1" ht="12.75" customHeight="1" x14ac:dyDescent="0.2">
      <c r="A4615" s="247" t="s">
        <v>1585</v>
      </c>
      <c r="B4615" s="316">
        <v>3037</v>
      </c>
      <c r="C4615" s="247" t="s">
        <v>996</v>
      </c>
      <c r="D4615" s="317">
        <v>42676</v>
      </c>
      <c r="E4615" s="318">
        <v>0.50503472222222223</v>
      </c>
      <c r="F4615" s="247" t="s">
        <v>980</v>
      </c>
      <c r="G4615" s="247" t="s">
        <v>1035</v>
      </c>
      <c r="H4615" s="248" t="s">
        <v>234</v>
      </c>
      <c r="I4615" s="248" t="s">
        <v>263</v>
      </c>
      <c r="J4615" s="247" t="s">
        <v>809</v>
      </c>
      <c r="K4615" s="249">
        <v>0</v>
      </c>
      <c r="M4615" s="90">
        <v>0</v>
      </c>
      <c r="N4615" s="90">
        <v>0</v>
      </c>
      <c r="O4615" s="90">
        <v>255</v>
      </c>
    </row>
    <row r="4616" spans="1:15" s="90" customFormat="1" ht="12.75" customHeight="1" x14ac:dyDescent="0.2">
      <c r="A4616" s="247" t="s">
        <v>1586</v>
      </c>
      <c r="B4616" s="316">
        <v>3037</v>
      </c>
      <c r="C4616" s="247" t="s">
        <v>996</v>
      </c>
      <c r="D4616" s="317">
        <v>42676</v>
      </c>
      <c r="E4616" s="318">
        <v>0.50503472222222223</v>
      </c>
      <c r="F4616" s="247" t="s">
        <v>980</v>
      </c>
      <c r="G4616" s="247" t="s">
        <v>1035</v>
      </c>
      <c r="H4616" s="248" t="s">
        <v>234</v>
      </c>
      <c r="I4616" s="248" t="s">
        <v>263</v>
      </c>
      <c r="J4616" s="247" t="s">
        <v>809</v>
      </c>
      <c r="K4616" s="249">
        <v>0</v>
      </c>
      <c r="M4616" s="90">
        <v>0</v>
      </c>
      <c r="N4616" s="90">
        <v>0</v>
      </c>
      <c r="O4616" s="90">
        <v>255</v>
      </c>
    </row>
    <row r="4617" spans="1:15" s="90" customFormat="1" ht="12.75" customHeight="1" x14ac:dyDescent="0.2">
      <c r="A4617" s="247" t="s">
        <v>1587</v>
      </c>
      <c r="B4617" s="316">
        <v>3037</v>
      </c>
      <c r="C4617" s="247" t="s">
        <v>996</v>
      </c>
      <c r="D4617" s="317">
        <v>42676</v>
      </c>
      <c r="E4617" s="318">
        <v>0.50503472222222223</v>
      </c>
      <c r="F4617" s="247" t="s">
        <v>980</v>
      </c>
      <c r="G4617" s="247" t="s">
        <v>1035</v>
      </c>
      <c r="H4617" s="248" t="s">
        <v>234</v>
      </c>
      <c r="I4617" s="248" t="s">
        <v>263</v>
      </c>
      <c r="J4617" s="247" t="s">
        <v>809</v>
      </c>
      <c r="K4617" s="249">
        <v>0</v>
      </c>
      <c r="M4617" s="90">
        <v>0</v>
      </c>
      <c r="N4617" s="90">
        <v>0</v>
      </c>
      <c r="O4617" s="90">
        <v>255</v>
      </c>
    </row>
    <row r="4618" spans="1:15" s="90" customFormat="1" ht="12.75" customHeight="1" x14ac:dyDescent="0.2">
      <c r="A4618" s="247" t="s">
        <v>1588</v>
      </c>
      <c r="B4618" s="316">
        <v>3037</v>
      </c>
      <c r="C4618" s="247" t="s">
        <v>996</v>
      </c>
      <c r="D4618" s="317">
        <v>42676</v>
      </c>
      <c r="E4618" s="318">
        <v>0.50503472222222223</v>
      </c>
      <c r="F4618" s="247" t="s">
        <v>980</v>
      </c>
      <c r="G4618" s="247" t="s">
        <v>1035</v>
      </c>
      <c r="H4618" s="248" t="s">
        <v>234</v>
      </c>
      <c r="I4618" s="248" t="s">
        <v>263</v>
      </c>
      <c r="J4618" s="247" t="s">
        <v>809</v>
      </c>
      <c r="K4618" s="249">
        <v>0</v>
      </c>
      <c r="M4618" s="90">
        <v>0</v>
      </c>
      <c r="N4618" s="90">
        <v>0</v>
      </c>
      <c r="O4618" s="90">
        <v>255</v>
      </c>
    </row>
    <row r="4619" spans="1:15" s="90" customFormat="1" ht="12.75" customHeight="1" x14ac:dyDescent="0.2">
      <c r="A4619" s="247" t="s">
        <v>1589</v>
      </c>
      <c r="B4619" s="316">
        <v>3037</v>
      </c>
      <c r="C4619" s="247" t="s">
        <v>996</v>
      </c>
      <c r="D4619" s="317">
        <v>42676</v>
      </c>
      <c r="E4619" s="318">
        <v>0.50504629629629627</v>
      </c>
      <c r="F4619" s="247" t="s">
        <v>980</v>
      </c>
      <c r="G4619" s="247" t="s">
        <v>1035</v>
      </c>
      <c r="H4619" s="248" t="s">
        <v>234</v>
      </c>
      <c r="I4619" s="248" t="s">
        <v>263</v>
      </c>
      <c r="J4619" s="247" t="s">
        <v>809</v>
      </c>
      <c r="K4619" s="249">
        <v>0</v>
      </c>
      <c r="M4619" s="90">
        <v>0</v>
      </c>
      <c r="N4619" s="90">
        <v>0</v>
      </c>
      <c r="O4619" s="90">
        <v>255</v>
      </c>
    </row>
    <row r="4620" spans="1:15" s="90" customFormat="1" ht="12.75" customHeight="1" x14ac:dyDescent="0.2">
      <c r="A4620" s="247" t="s">
        <v>1590</v>
      </c>
      <c r="B4620" s="316">
        <v>3037</v>
      </c>
      <c r="C4620" s="247" t="s">
        <v>996</v>
      </c>
      <c r="D4620" s="317">
        <v>42676</v>
      </c>
      <c r="E4620" s="318">
        <v>0.50504629629629627</v>
      </c>
      <c r="F4620" s="247" t="s">
        <v>980</v>
      </c>
      <c r="G4620" s="247" t="s">
        <v>1035</v>
      </c>
      <c r="H4620" s="248" t="s">
        <v>234</v>
      </c>
      <c r="I4620" s="248" t="s">
        <v>263</v>
      </c>
      <c r="J4620" s="247" t="s">
        <v>809</v>
      </c>
      <c r="K4620" s="249">
        <v>0</v>
      </c>
      <c r="M4620" s="90">
        <v>0</v>
      </c>
      <c r="N4620" s="90">
        <v>0</v>
      </c>
      <c r="O4620" s="90">
        <v>255</v>
      </c>
    </row>
    <row r="4621" spans="1:15" s="90" customFormat="1" ht="12.75" customHeight="1" x14ac:dyDescent="0.2">
      <c r="A4621" s="247" t="s">
        <v>1591</v>
      </c>
      <c r="B4621" s="316">
        <v>3037</v>
      </c>
      <c r="C4621" s="247" t="s">
        <v>996</v>
      </c>
      <c r="D4621" s="317">
        <v>42676</v>
      </c>
      <c r="E4621" s="318">
        <v>0.50504629629629627</v>
      </c>
      <c r="F4621" s="247" t="s">
        <v>980</v>
      </c>
      <c r="G4621" s="247" t="s">
        <v>1035</v>
      </c>
      <c r="H4621" s="248" t="s">
        <v>234</v>
      </c>
      <c r="I4621" s="248" t="s">
        <v>263</v>
      </c>
      <c r="J4621" s="247" t="s">
        <v>809</v>
      </c>
      <c r="K4621" s="249">
        <v>0</v>
      </c>
      <c r="M4621" s="90">
        <v>0</v>
      </c>
      <c r="N4621" s="90">
        <v>0</v>
      </c>
      <c r="O4621" s="90">
        <v>255</v>
      </c>
    </row>
    <row r="4622" spans="1:15" s="90" customFormat="1" ht="12.75" customHeight="1" x14ac:dyDescent="0.2">
      <c r="A4622" s="247" t="s">
        <v>1592</v>
      </c>
      <c r="B4622" s="316">
        <v>3037</v>
      </c>
      <c r="C4622" s="247" t="s">
        <v>996</v>
      </c>
      <c r="D4622" s="317">
        <v>42676</v>
      </c>
      <c r="E4622" s="318">
        <v>0.50504629629629627</v>
      </c>
      <c r="F4622" s="247" t="s">
        <v>980</v>
      </c>
      <c r="G4622" s="247" t="s">
        <v>1035</v>
      </c>
      <c r="H4622" s="248" t="s">
        <v>234</v>
      </c>
      <c r="I4622" s="248" t="s">
        <v>263</v>
      </c>
      <c r="J4622" s="247" t="s">
        <v>809</v>
      </c>
      <c r="K4622" s="249">
        <v>0</v>
      </c>
      <c r="M4622" s="90">
        <v>0</v>
      </c>
      <c r="N4622" s="90">
        <v>0</v>
      </c>
      <c r="O4622" s="90">
        <v>255</v>
      </c>
    </row>
    <row r="4623" spans="1:15" s="90" customFormat="1" ht="12.75" customHeight="1" x14ac:dyDescent="0.2">
      <c r="A4623" s="247" t="s">
        <v>1593</v>
      </c>
      <c r="B4623" s="316">
        <v>3037</v>
      </c>
      <c r="C4623" s="247" t="s">
        <v>996</v>
      </c>
      <c r="D4623" s="317">
        <v>42676</v>
      </c>
      <c r="E4623" s="318">
        <v>0.50504629629629627</v>
      </c>
      <c r="F4623" s="247" t="s">
        <v>980</v>
      </c>
      <c r="G4623" s="247" t="s">
        <v>1035</v>
      </c>
      <c r="H4623" s="248" t="s">
        <v>234</v>
      </c>
      <c r="I4623" s="248" t="s">
        <v>263</v>
      </c>
      <c r="J4623" s="247" t="s">
        <v>809</v>
      </c>
      <c r="K4623" s="249">
        <v>0</v>
      </c>
      <c r="M4623" s="90">
        <v>0</v>
      </c>
      <c r="N4623" s="90">
        <v>0</v>
      </c>
      <c r="O4623" s="90">
        <v>255</v>
      </c>
    </row>
    <row r="4624" spans="1:15" s="90" customFormat="1" ht="12.75" customHeight="1" x14ac:dyDescent="0.2">
      <c r="A4624" s="247" t="s">
        <v>1594</v>
      </c>
      <c r="B4624" s="316">
        <v>3037</v>
      </c>
      <c r="C4624" s="247" t="s">
        <v>996</v>
      </c>
      <c r="D4624" s="317">
        <v>42676</v>
      </c>
      <c r="E4624" s="318">
        <v>0.50505787037037042</v>
      </c>
      <c r="F4624" s="247" t="s">
        <v>980</v>
      </c>
      <c r="G4624" s="247" t="s">
        <v>1035</v>
      </c>
      <c r="H4624" s="248" t="s">
        <v>234</v>
      </c>
      <c r="I4624" s="248" t="s">
        <v>263</v>
      </c>
      <c r="J4624" s="247" t="s">
        <v>809</v>
      </c>
      <c r="K4624" s="249">
        <v>0</v>
      </c>
      <c r="M4624" s="90">
        <v>0</v>
      </c>
      <c r="N4624" s="90">
        <v>0</v>
      </c>
      <c r="O4624" s="90">
        <v>255</v>
      </c>
    </row>
    <row r="4625" spans="1:15" s="90" customFormat="1" ht="12.75" customHeight="1" x14ac:dyDescent="0.2">
      <c r="A4625" s="247" t="s">
        <v>1595</v>
      </c>
      <c r="B4625" s="316">
        <v>3037</v>
      </c>
      <c r="C4625" s="247" t="s">
        <v>996</v>
      </c>
      <c r="D4625" s="317">
        <v>42676</v>
      </c>
      <c r="E4625" s="318">
        <v>0.50505787037037042</v>
      </c>
      <c r="F4625" s="247" t="s">
        <v>980</v>
      </c>
      <c r="G4625" s="247" t="s">
        <v>1035</v>
      </c>
      <c r="H4625" s="248" t="s">
        <v>234</v>
      </c>
      <c r="I4625" s="248" t="s">
        <v>263</v>
      </c>
      <c r="J4625" s="247" t="s">
        <v>809</v>
      </c>
      <c r="K4625" s="249">
        <v>0</v>
      </c>
      <c r="M4625" s="90">
        <v>0</v>
      </c>
      <c r="N4625" s="90">
        <v>0</v>
      </c>
      <c r="O4625" s="90">
        <v>255</v>
      </c>
    </row>
    <row r="4626" spans="1:15" s="90" customFormat="1" ht="12.75" customHeight="1" x14ac:dyDescent="0.2">
      <c r="A4626" s="247" t="s">
        <v>1596</v>
      </c>
      <c r="B4626" s="316">
        <v>3037</v>
      </c>
      <c r="C4626" s="247" t="s">
        <v>996</v>
      </c>
      <c r="D4626" s="317">
        <v>42676</v>
      </c>
      <c r="E4626" s="318">
        <v>0.50505787037037042</v>
      </c>
      <c r="F4626" s="247" t="s">
        <v>980</v>
      </c>
      <c r="G4626" s="247" t="s">
        <v>1035</v>
      </c>
      <c r="H4626" s="248" t="s">
        <v>234</v>
      </c>
      <c r="I4626" s="248" t="s">
        <v>263</v>
      </c>
      <c r="J4626" s="247" t="s">
        <v>809</v>
      </c>
      <c r="K4626" s="249">
        <v>0</v>
      </c>
      <c r="M4626" s="90">
        <v>0</v>
      </c>
      <c r="N4626" s="90">
        <v>0</v>
      </c>
      <c r="O4626" s="90">
        <v>255</v>
      </c>
    </row>
    <row r="4627" spans="1:15" s="90" customFormat="1" ht="12.75" customHeight="1" x14ac:dyDescent="0.2">
      <c r="A4627" s="247" t="s">
        <v>1597</v>
      </c>
      <c r="B4627" s="316">
        <v>3037</v>
      </c>
      <c r="C4627" s="247" t="s">
        <v>996</v>
      </c>
      <c r="D4627" s="317">
        <v>42676</v>
      </c>
      <c r="E4627" s="318">
        <v>0.50505787037037042</v>
      </c>
      <c r="F4627" s="247" t="s">
        <v>980</v>
      </c>
      <c r="G4627" s="247" t="s">
        <v>1035</v>
      </c>
      <c r="H4627" s="248" t="s">
        <v>234</v>
      </c>
      <c r="I4627" s="248" t="s">
        <v>263</v>
      </c>
      <c r="J4627" s="247" t="s">
        <v>809</v>
      </c>
      <c r="K4627" s="249">
        <v>0</v>
      </c>
      <c r="M4627" s="90">
        <v>0</v>
      </c>
      <c r="N4627" s="90">
        <v>0</v>
      </c>
      <c r="O4627" s="90">
        <v>255</v>
      </c>
    </row>
    <row r="4628" spans="1:15" s="90" customFormat="1" ht="12.75" customHeight="1" x14ac:dyDescent="0.2">
      <c r="A4628" s="247" t="s">
        <v>1598</v>
      </c>
      <c r="B4628" s="316">
        <v>3037</v>
      </c>
      <c r="C4628" s="247" t="s">
        <v>996</v>
      </c>
      <c r="D4628" s="317">
        <v>42676</v>
      </c>
      <c r="E4628" s="318">
        <v>0.50505787037037042</v>
      </c>
      <c r="F4628" s="247" t="s">
        <v>980</v>
      </c>
      <c r="G4628" s="247" t="s">
        <v>1035</v>
      </c>
      <c r="H4628" s="248" t="s">
        <v>234</v>
      </c>
      <c r="I4628" s="248" t="s">
        <v>263</v>
      </c>
      <c r="J4628" s="247" t="s">
        <v>809</v>
      </c>
      <c r="K4628" s="249">
        <v>0</v>
      </c>
      <c r="M4628" s="90">
        <v>0</v>
      </c>
      <c r="N4628" s="90">
        <v>0</v>
      </c>
      <c r="O4628" s="90">
        <v>255</v>
      </c>
    </row>
    <row r="4629" spans="1:15" s="90" customFormat="1" ht="12.75" customHeight="1" x14ac:dyDescent="0.2">
      <c r="A4629" s="247" t="s">
        <v>1599</v>
      </c>
      <c r="B4629" s="316">
        <v>3037</v>
      </c>
      <c r="C4629" s="247" t="s">
        <v>996</v>
      </c>
      <c r="D4629" s="317">
        <v>42676</v>
      </c>
      <c r="E4629" s="318">
        <v>0.50506944444444446</v>
      </c>
      <c r="F4629" s="247" t="s">
        <v>980</v>
      </c>
      <c r="G4629" s="247" t="s">
        <v>1035</v>
      </c>
      <c r="H4629" s="248" t="s">
        <v>234</v>
      </c>
      <c r="I4629" s="248" t="s">
        <v>263</v>
      </c>
      <c r="J4629" s="247" t="s">
        <v>809</v>
      </c>
      <c r="K4629" s="249">
        <v>0</v>
      </c>
      <c r="M4629" s="90">
        <v>0</v>
      </c>
      <c r="N4629" s="90">
        <v>0</v>
      </c>
      <c r="O4629" s="90">
        <v>255</v>
      </c>
    </row>
    <row r="4630" spans="1:15" s="90" customFormat="1" ht="12.75" customHeight="1" x14ac:dyDescent="0.2">
      <c r="A4630" s="247" t="s">
        <v>1600</v>
      </c>
      <c r="B4630" s="316">
        <v>3037</v>
      </c>
      <c r="C4630" s="247" t="s">
        <v>996</v>
      </c>
      <c r="D4630" s="317">
        <v>42676</v>
      </c>
      <c r="E4630" s="318">
        <v>0.50506944444444446</v>
      </c>
      <c r="F4630" s="247" t="s">
        <v>980</v>
      </c>
      <c r="G4630" s="247" t="s">
        <v>1035</v>
      </c>
      <c r="H4630" s="248" t="s">
        <v>234</v>
      </c>
      <c r="I4630" s="248" t="s">
        <v>263</v>
      </c>
      <c r="J4630" s="247" t="s">
        <v>809</v>
      </c>
      <c r="K4630" s="249">
        <v>0</v>
      </c>
      <c r="M4630" s="90">
        <v>0</v>
      </c>
      <c r="N4630" s="90">
        <v>0</v>
      </c>
      <c r="O4630" s="90">
        <v>255</v>
      </c>
    </row>
    <row r="4631" spans="1:15" s="90" customFormat="1" ht="12.75" customHeight="1" x14ac:dyDescent="0.2">
      <c r="A4631" s="247" t="s">
        <v>1601</v>
      </c>
      <c r="B4631" s="316">
        <v>3037</v>
      </c>
      <c r="C4631" s="247" t="s">
        <v>996</v>
      </c>
      <c r="D4631" s="317">
        <v>42676</v>
      </c>
      <c r="E4631" s="318">
        <v>0.50506944444444446</v>
      </c>
      <c r="F4631" s="247" t="s">
        <v>980</v>
      </c>
      <c r="G4631" s="247" t="s">
        <v>1035</v>
      </c>
      <c r="H4631" s="248" t="s">
        <v>234</v>
      </c>
      <c r="I4631" s="248" t="s">
        <v>263</v>
      </c>
      <c r="J4631" s="247" t="s">
        <v>809</v>
      </c>
      <c r="K4631" s="249">
        <v>0</v>
      </c>
      <c r="M4631" s="90">
        <v>0</v>
      </c>
      <c r="N4631" s="90">
        <v>0</v>
      </c>
      <c r="O4631" s="90">
        <v>255</v>
      </c>
    </row>
    <row r="4632" spans="1:15" s="90" customFormat="1" ht="12.75" customHeight="1" x14ac:dyDescent="0.2">
      <c r="A4632" s="247" t="s">
        <v>1602</v>
      </c>
      <c r="B4632" s="316">
        <v>3037</v>
      </c>
      <c r="C4632" s="247" t="s">
        <v>996</v>
      </c>
      <c r="D4632" s="317">
        <v>42676</v>
      </c>
      <c r="E4632" s="318">
        <v>0.50506944444444446</v>
      </c>
      <c r="F4632" s="247" t="s">
        <v>980</v>
      </c>
      <c r="G4632" s="247" t="s">
        <v>1035</v>
      </c>
      <c r="H4632" s="248" t="s">
        <v>234</v>
      </c>
      <c r="I4632" s="248" t="s">
        <v>263</v>
      </c>
      <c r="J4632" s="247" t="s">
        <v>809</v>
      </c>
      <c r="K4632" s="249">
        <v>0</v>
      </c>
      <c r="M4632" s="90">
        <v>0</v>
      </c>
      <c r="N4632" s="90">
        <v>0</v>
      </c>
      <c r="O4632" s="90">
        <v>255</v>
      </c>
    </row>
    <row r="4633" spans="1:15" s="90" customFormat="1" ht="12.75" customHeight="1" x14ac:dyDescent="0.2">
      <c r="A4633" s="247" t="s">
        <v>1603</v>
      </c>
      <c r="B4633" s="316">
        <v>3037</v>
      </c>
      <c r="C4633" s="247" t="s">
        <v>996</v>
      </c>
      <c r="D4633" s="317">
        <v>42676</v>
      </c>
      <c r="E4633" s="318">
        <v>0.50506944444444446</v>
      </c>
      <c r="F4633" s="247" t="s">
        <v>980</v>
      </c>
      <c r="G4633" s="247" t="s">
        <v>1035</v>
      </c>
      <c r="H4633" s="248" t="s">
        <v>234</v>
      </c>
      <c r="I4633" s="248" t="s">
        <v>263</v>
      </c>
      <c r="J4633" s="247" t="s">
        <v>809</v>
      </c>
      <c r="K4633" s="249">
        <v>0</v>
      </c>
      <c r="M4633" s="90">
        <v>0</v>
      </c>
      <c r="N4633" s="90">
        <v>0</v>
      </c>
      <c r="O4633" s="90">
        <v>255</v>
      </c>
    </row>
    <row r="4634" spans="1:15" s="90" customFormat="1" ht="12.75" customHeight="1" x14ac:dyDescent="0.2">
      <c r="A4634" s="247" t="s">
        <v>1604</v>
      </c>
      <c r="B4634" s="316">
        <v>3037</v>
      </c>
      <c r="C4634" s="247" t="s">
        <v>996</v>
      </c>
      <c r="D4634" s="317">
        <v>42676</v>
      </c>
      <c r="E4634" s="318">
        <v>0.50506944444444446</v>
      </c>
      <c r="F4634" s="247" t="s">
        <v>980</v>
      </c>
      <c r="G4634" s="247" t="s">
        <v>1035</v>
      </c>
      <c r="H4634" s="248" t="s">
        <v>234</v>
      </c>
      <c r="I4634" s="248" t="s">
        <v>263</v>
      </c>
      <c r="J4634" s="247" t="s">
        <v>809</v>
      </c>
      <c r="K4634" s="249">
        <v>0</v>
      </c>
      <c r="M4634" s="90">
        <v>0</v>
      </c>
      <c r="N4634" s="90">
        <v>0</v>
      </c>
      <c r="O4634" s="90">
        <v>255</v>
      </c>
    </row>
    <row r="4635" spans="1:15" s="90" customFormat="1" ht="12.75" customHeight="1" x14ac:dyDescent="0.2">
      <c r="A4635" s="247" t="s">
        <v>1605</v>
      </c>
      <c r="B4635" s="316">
        <v>3037</v>
      </c>
      <c r="C4635" s="247" t="s">
        <v>996</v>
      </c>
      <c r="D4635" s="317">
        <v>42676</v>
      </c>
      <c r="E4635" s="318">
        <v>0.50506944444444446</v>
      </c>
      <c r="F4635" s="247" t="s">
        <v>980</v>
      </c>
      <c r="G4635" s="247" t="s">
        <v>1035</v>
      </c>
      <c r="H4635" s="248" t="s">
        <v>234</v>
      </c>
      <c r="I4635" s="248" t="s">
        <v>263</v>
      </c>
      <c r="J4635" s="247" t="s">
        <v>809</v>
      </c>
      <c r="K4635" s="249">
        <v>0</v>
      </c>
      <c r="M4635" s="90">
        <v>0</v>
      </c>
      <c r="N4635" s="90">
        <v>0</v>
      </c>
      <c r="O4635" s="90">
        <v>255</v>
      </c>
    </row>
    <row r="4636" spans="1:15" s="90" customFormat="1" ht="12.75" customHeight="1" x14ac:dyDescent="0.2">
      <c r="A4636" s="247" t="s">
        <v>1606</v>
      </c>
      <c r="B4636" s="316">
        <v>3037</v>
      </c>
      <c r="C4636" s="247" t="s">
        <v>996</v>
      </c>
      <c r="D4636" s="317">
        <v>42676</v>
      </c>
      <c r="E4636" s="318">
        <v>0.5050810185185185</v>
      </c>
      <c r="F4636" s="247" t="s">
        <v>980</v>
      </c>
      <c r="G4636" s="247" t="s">
        <v>1035</v>
      </c>
      <c r="H4636" s="248" t="s">
        <v>234</v>
      </c>
      <c r="I4636" s="248" t="s">
        <v>263</v>
      </c>
      <c r="J4636" s="247" t="s">
        <v>809</v>
      </c>
      <c r="K4636" s="249">
        <v>0</v>
      </c>
      <c r="M4636" s="90">
        <v>0</v>
      </c>
      <c r="N4636" s="90">
        <v>0</v>
      </c>
      <c r="O4636" s="90">
        <v>255</v>
      </c>
    </row>
    <row r="4637" spans="1:15" s="90" customFormat="1" ht="12.75" customHeight="1" x14ac:dyDescent="0.2">
      <c r="A4637" s="247" t="s">
        <v>1607</v>
      </c>
      <c r="B4637" s="316">
        <v>3037</v>
      </c>
      <c r="C4637" s="247" t="s">
        <v>996</v>
      </c>
      <c r="D4637" s="317">
        <v>42676</v>
      </c>
      <c r="E4637" s="318">
        <v>0.5050810185185185</v>
      </c>
      <c r="F4637" s="247" t="s">
        <v>980</v>
      </c>
      <c r="G4637" s="247" t="s">
        <v>1035</v>
      </c>
      <c r="H4637" s="248" t="s">
        <v>234</v>
      </c>
      <c r="I4637" s="248" t="s">
        <v>263</v>
      </c>
      <c r="J4637" s="247" t="s">
        <v>809</v>
      </c>
      <c r="K4637" s="249">
        <v>0</v>
      </c>
      <c r="M4637" s="90">
        <v>0</v>
      </c>
      <c r="N4637" s="90">
        <v>0</v>
      </c>
      <c r="O4637" s="90">
        <v>255</v>
      </c>
    </row>
    <row r="4638" spans="1:15" s="90" customFormat="1" ht="12.75" customHeight="1" x14ac:dyDescent="0.2">
      <c r="A4638" s="247" t="s">
        <v>1608</v>
      </c>
      <c r="B4638" s="316">
        <v>3037</v>
      </c>
      <c r="C4638" s="247" t="s">
        <v>996</v>
      </c>
      <c r="D4638" s="317">
        <v>42676</v>
      </c>
      <c r="E4638" s="318">
        <v>0.5050810185185185</v>
      </c>
      <c r="F4638" s="247" t="s">
        <v>980</v>
      </c>
      <c r="G4638" s="247" t="s">
        <v>1035</v>
      </c>
      <c r="H4638" s="248" t="s">
        <v>234</v>
      </c>
      <c r="I4638" s="248" t="s">
        <v>263</v>
      </c>
      <c r="J4638" s="247" t="s">
        <v>809</v>
      </c>
      <c r="K4638" s="249">
        <v>0</v>
      </c>
      <c r="M4638" s="90">
        <v>0</v>
      </c>
      <c r="N4638" s="90">
        <v>0</v>
      </c>
      <c r="O4638" s="90">
        <v>255</v>
      </c>
    </row>
    <row r="4639" spans="1:15" s="90" customFormat="1" ht="12.75" customHeight="1" x14ac:dyDescent="0.2">
      <c r="A4639" s="247" t="s">
        <v>1609</v>
      </c>
      <c r="B4639" s="316">
        <v>3037</v>
      </c>
      <c r="C4639" s="247" t="s">
        <v>996</v>
      </c>
      <c r="D4639" s="317">
        <v>42676</v>
      </c>
      <c r="E4639" s="318">
        <v>0.5050810185185185</v>
      </c>
      <c r="F4639" s="247" t="s">
        <v>980</v>
      </c>
      <c r="G4639" s="247" t="s">
        <v>1035</v>
      </c>
      <c r="H4639" s="248" t="s">
        <v>234</v>
      </c>
      <c r="I4639" s="248" t="s">
        <v>263</v>
      </c>
      <c r="J4639" s="247" t="s">
        <v>809</v>
      </c>
      <c r="K4639" s="249">
        <v>0</v>
      </c>
      <c r="M4639" s="90">
        <v>0</v>
      </c>
      <c r="N4639" s="90">
        <v>0</v>
      </c>
      <c r="O4639" s="90">
        <v>255</v>
      </c>
    </row>
    <row r="4640" spans="1:15" s="90" customFormat="1" ht="12.75" customHeight="1" x14ac:dyDescent="0.2">
      <c r="A4640" s="247" t="s">
        <v>1610</v>
      </c>
      <c r="B4640" s="316">
        <v>3037</v>
      </c>
      <c r="C4640" s="247" t="s">
        <v>996</v>
      </c>
      <c r="D4640" s="317">
        <v>42676</v>
      </c>
      <c r="E4640" s="318">
        <v>0.5050810185185185</v>
      </c>
      <c r="F4640" s="247" t="s">
        <v>980</v>
      </c>
      <c r="G4640" s="247" t="s">
        <v>1035</v>
      </c>
      <c r="H4640" s="248" t="s">
        <v>234</v>
      </c>
      <c r="I4640" s="248" t="s">
        <v>263</v>
      </c>
      <c r="J4640" s="247" t="s">
        <v>809</v>
      </c>
      <c r="K4640" s="249">
        <v>0</v>
      </c>
      <c r="M4640" s="90">
        <v>0</v>
      </c>
      <c r="N4640" s="90">
        <v>0</v>
      </c>
      <c r="O4640" s="90">
        <v>255</v>
      </c>
    </row>
    <row r="4641" spans="1:15" s="90" customFormat="1" ht="12.75" customHeight="1" x14ac:dyDescent="0.2">
      <c r="A4641" s="247" t="s">
        <v>1611</v>
      </c>
      <c r="B4641" s="316">
        <v>3037</v>
      </c>
      <c r="C4641" s="247" t="s">
        <v>996</v>
      </c>
      <c r="D4641" s="317">
        <v>42676</v>
      </c>
      <c r="E4641" s="318">
        <v>0.5050810185185185</v>
      </c>
      <c r="F4641" s="247" t="s">
        <v>980</v>
      </c>
      <c r="G4641" s="247" t="s">
        <v>1035</v>
      </c>
      <c r="H4641" s="248" t="s">
        <v>234</v>
      </c>
      <c r="I4641" s="248" t="s">
        <v>263</v>
      </c>
      <c r="J4641" s="247" t="s">
        <v>809</v>
      </c>
      <c r="K4641" s="249">
        <v>0</v>
      </c>
      <c r="M4641" s="90">
        <v>0</v>
      </c>
      <c r="N4641" s="90">
        <v>0</v>
      </c>
      <c r="O4641" s="90">
        <v>255</v>
      </c>
    </row>
    <row r="4642" spans="1:15" s="90" customFormat="1" ht="12.75" customHeight="1" x14ac:dyDescent="0.2">
      <c r="A4642" s="247" t="s">
        <v>1612</v>
      </c>
      <c r="B4642" s="316">
        <v>3037</v>
      </c>
      <c r="C4642" s="247" t="s">
        <v>996</v>
      </c>
      <c r="D4642" s="317">
        <v>42676</v>
      </c>
      <c r="E4642" s="318">
        <v>0.50509259259259254</v>
      </c>
      <c r="F4642" s="247" t="s">
        <v>980</v>
      </c>
      <c r="G4642" s="247" t="s">
        <v>1035</v>
      </c>
      <c r="H4642" s="248" t="s">
        <v>234</v>
      </c>
      <c r="I4642" s="248" t="s">
        <v>263</v>
      </c>
      <c r="J4642" s="247" t="s">
        <v>809</v>
      </c>
      <c r="K4642" s="249">
        <v>0</v>
      </c>
      <c r="M4642" s="90">
        <v>0</v>
      </c>
      <c r="N4642" s="90">
        <v>0</v>
      </c>
      <c r="O4642" s="90">
        <v>255</v>
      </c>
    </row>
    <row r="4643" spans="1:15" s="90" customFormat="1" ht="12.75" customHeight="1" x14ac:dyDescent="0.2">
      <c r="A4643" s="247" t="s">
        <v>1613</v>
      </c>
      <c r="B4643" s="316">
        <v>3037</v>
      </c>
      <c r="C4643" s="247" t="s">
        <v>996</v>
      </c>
      <c r="D4643" s="317">
        <v>42676</v>
      </c>
      <c r="E4643" s="318">
        <v>0.50509259259259254</v>
      </c>
      <c r="F4643" s="247" t="s">
        <v>980</v>
      </c>
      <c r="G4643" s="247" t="s">
        <v>1035</v>
      </c>
      <c r="H4643" s="248" t="s">
        <v>234</v>
      </c>
      <c r="I4643" s="248" t="s">
        <v>263</v>
      </c>
      <c r="J4643" s="247" t="s">
        <v>809</v>
      </c>
      <c r="K4643" s="249">
        <v>0</v>
      </c>
      <c r="M4643" s="90">
        <v>0</v>
      </c>
      <c r="N4643" s="90">
        <v>0</v>
      </c>
      <c r="O4643" s="90">
        <v>255</v>
      </c>
    </row>
    <row r="4644" spans="1:15" s="90" customFormat="1" ht="12.75" customHeight="1" x14ac:dyDescent="0.2">
      <c r="A4644" s="247" t="s">
        <v>1614</v>
      </c>
      <c r="B4644" s="316">
        <v>3037</v>
      </c>
      <c r="C4644" s="247" t="s">
        <v>996</v>
      </c>
      <c r="D4644" s="317">
        <v>42676</v>
      </c>
      <c r="E4644" s="318">
        <v>0.50509259259259254</v>
      </c>
      <c r="F4644" s="247" t="s">
        <v>980</v>
      </c>
      <c r="G4644" s="247" t="s">
        <v>1035</v>
      </c>
      <c r="H4644" s="248" t="s">
        <v>234</v>
      </c>
      <c r="I4644" s="248" t="s">
        <v>263</v>
      </c>
      <c r="J4644" s="247" t="s">
        <v>809</v>
      </c>
      <c r="K4644" s="249">
        <v>0</v>
      </c>
      <c r="M4644" s="90">
        <v>0</v>
      </c>
      <c r="N4644" s="90">
        <v>0</v>
      </c>
      <c r="O4644" s="90">
        <v>255</v>
      </c>
    </row>
    <row r="4645" spans="1:15" s="90" customFormat="1" ht="12.75" customHeight="1" x14ac:dyDescent="0.2">
      <c r="A4645" s="247" t="s">
        <v>1615</v>
      </c>
      <c r="B4645" s="316">
        <v>3037</v>
      </c>
      <c r="C4645" s="247" t="s">
        <v>996</v>
      </c>
      <c r="D4645" s="317">
        <v>42676</v>
      </c>
      <c r="E4645" s="318">
        <v>0.50509259259259254</v>
      </c>
      <c r="F4645" s="247" t="s">
        <v>980</v>
      </c>
      <c r="G4645" s="247" t="s">
        <v>1035</v>
      </c>
      <c r="H4645" s="248" t="s">
        <v>234</v>
      </c>
      <c r="I4645" s="248" t="s">
        <v>263</v>
      </c>
      <c r="J4645" s="247" t="s">
        <v>809</v>
      </c>
      <c r="K4645" s="249">
        <v>0</v>
      </c>
      <c r="M4645" s="90">
        <v>0</v>
      </c>
      <c r="N4645" s="90">
        <v>0</v>
      </c>
      <c r="O4645" s="90">
        <v>255</v>
      </c>
    </row>
    <row r="4646" spans="1:15" s="90" customFormat="1" ht="12.75" customHeight="1" x14ac:dyDescent="0.2">
      <c r="A4646" s="247" t="s">
        <v>1616</v>
      </c>
      <c r="B4646" s="316">
        <v>3037</v>
      </c>
      <c r="C4646" s="247" t="s">
        <v>996</v>
      </c>
      <c r="D4646" s="317">
        <v>42676</v>
      </c>
      <c r="E4646" s="318">
        <v>0.50509259259259254</v>
      </c>
      <c r="F4646" s="247" t="s">
        <v>980</v>
      </c>
      <c r="G4646" s="247" t="s">
        <v>1035</v>
      </c>
      <c r="H4646" s="248" t="s">
        <v>234</v>
      </c>
      <c r="I4646" s="248" t="s">
        <v>263</v>
      </c>
      <c r="J4646" s="247" t="s">
        <v>809</v>
      </c>
      <c r="K4646" s="249">
        <v>0</v>
      </c>
      <c r="M4646" s="90">
        <v>0</v>
      </c>
      <c r="N4646" s="90">
        <v>0</v>
      </c>
      <c r="O4646" s="90">
        <v>255</v>
      </c>
    </row>
    <row r="4647" spans="1:15" s="90" customFormat="1" ht="12.75" customHeight="1" x14ac:dyDescent="0.2">
      <c r="A4647" s="247" t="s">
        <v>1617</v>
      </c>
      <c r="B4647" s="316">
        <v>3037</v>
      </c>
      <c r="C4647" s="247" t="s">
        <v>996</v>
      </c>
      <c r="D4647" s="317">
        <v>42676</v>
      </c>
      <c r="E4647" s="318">
        <v>0.50510416666666669</v>
      </c>
      <c r="F4647" s="247" t="s">
        <v>980</v>
      </c>
      <c r="G4647" s="247" t="s">
        <v>1035</v>
      </c>
      <c r="H4647" s="248" t="s">
        <v>234</v>
      </c>
      <c r="I4647" s="248" t="s">
        <v>263</v>
      </c>
      <c r="J4647" s="247" t="s">
        <v>809</v>
      </c>
      <c r="K4647" s="249">
        <v>0</v>
      </c>
      <c r="M4647" s="90">
        <v>0</v>
      </c>
      <c r="N4647" s="90">
        <v>0</v>
      </c>
      <c r="O4647" s="90">
        <v>255</v>
      </c>
    </row>
    <row r="4648" spans="1:15" s="90" customFormat="1" ht="12.75" customHeight="1" x14ac:dyDescent="0.2">
      <c r="A4648" s="247" t="s">
        <v>1618</v>
      </c>
      <c r="B4648" s="316">
        <v>3037</v>
      </c>
      <c r="C4648" s="247" t="s">
        <v>996</v>
      </c>
      <c r="D4648" s="317">
        <v>42676</v>
      </c>
      <c r="E4648" s="318">
        <v>0.50510416666666669</v>
      </c>
      <c r="F4648" s="247" t="s">
        <v>980</v>
      </c>
      <c r="G4648" s="247" t="s">
        <v>1035</v>
      </c>
      <c r="H4648" s="248" t="s">
        <v>234</v>
      </c>
      <c r="I4648" s="248" t="s">
        <v>263</v>
      </c>
      <c r="J4648" s="247" t="s">
        <v>809</v>
      </c>
      <c r="K4648" s="249">
        <v>0</v>
      </c>
      <c r="M4648" s="90">
        <v>0</v>
      </c>
      <c r="N4648" s="90">
        <v>0</v>
      </c>
      <c r="O4648" s="90">
        <v>255</v>
      </c>
    </row>
    <row r="4649" spans="1:15" s="90" customFormat="1" ht="12.75" customHeight="1" x14ac:dyDescent="0.2">
      <c r="A4649" s="247" t="s">
        <v>1619</v>
      </c>
      <c r="B4649" s="316">
        <v>3037</v>
      </c>
      <c r="C4649" s="247" t="s">
        <v>996</v>
      </c>
      <c r="D4649" s="317">
        <v>42676</v>
      </c>
      <c r="E4649" s="318">
        <v>0.50510416666666669</v>
      </c>
      <c r="F4649" s="247" t="s">
        <v>980</v>
      </c>
      <c r="G4649" s="247" t="s">
        <v>1035</v>
      </c>
      <c r="H4649" s="248" t="s">
        <v>234</v>
      </c>
      <c r="I4649" s="248" t="s">
        <v>263</v>
      </c>
      <c r="J4649" s="247" t="s">
        <v>809</v>
      </c>
      <c r="K4649" s="249">
        <v>0</v>
      </c>
      <c r="M4649" s="90">
        <v>0</v>
      </c>
      <c r="N4649" s="90">
        <v>0</v>
      </c>
      <c r="O4649" s="90">
        <v>255</v>
      </c>
    </row>
    <row r="4650" spans="1:15" s="90" customFormat="1" ht="12.75" customHeight="1" x14ac:dyDescent="0.2">
      <c r="A4650" s="247" t="s">
        <v>1620</v>
      </c>
      <c r="B4650" s="316">
        <v>3037</v>
      </c>
      <c r="C4650" s="247" t="s">
        <v>996</v>
      </c>
      <c r="D4650" s="317">
        <v>42676</v>
      </c>
      <c r="E4650" s="318">
        <v>0.50510416666666669</v>
      </c>
      <c r="F4650" s="247" t="s">
        <v>980</v>
      </c>
      <c r="G4650" s="247" t="s">
        <v>1035</v>
      </c>
      <c r="H4650" s="248" t="s">
        <v>234</v>
      </c>
      <c r="I4650" s="248" t="s">
        <v>263</v>
      </c>
      <c r="J4650" s="247" t="s">
        <v>809</v>
      </c>
      <c r="K4650" s="249">
        <v>0</v>
      </c>
      <c r="M4650" s="90">
        <v>0</v>
      </c>
      <c r="N4650" s="90">
        <v>0</v>
      </c>
      <c r="O4650" s="90">
        <v>255</v>
      </c>
    </row>
    <row r="4651" spans="1:15" s="90" customFormat="1" ht="12.75" customHeight="1" x14ac:dyDescent="0.2">
      <c r="A4651" s="247" t="s">
        <v>1621</v>
      </c>
      <c r="B4651" s="316">
        <v>3037</v>
      </c>
      <c r="C4651" s="247" t="s">
        <v>996</v>
      </c>
      <c r="D4651" s="317">
        <v>42676</v>
      </c>
      <c r="E4651" s="318">
        <v>0.50511574074074073</v>
      </c>
      <c r="F4651" s="247" t="s">
        <v>980</v>
      </c>
      <c r="G4651" s="247" t="s">
        <v>1035</v>
      </c>
      <c r="H4651" s="248" t="s">
        <v>234</v>
      </c>
      <c r="I4651" s="248" t="s">
        <v>263</v>
      </c>
      <c r="J4651" s="247" t="s">
        <v>809</v>
      </c>
      <c r="K4651" s="249">
        <v>0</v>
      </c>
      <c r="M4651" s="90">
        <v>0</v>
      </c>
      <c r="N4651" s="90">
        <v>0</v>
      </c>
      <c r="O4651" s="90">
        <v>255</v>
      </c>
    </row>
    <row r="4652" spans="1:15" s="90" customFormat="1" ht="12.75" customHeight="1" x14ac:dyDescent="0.2">
      <c r="A4652" s="247" t="s">
        <v>1622</v>
      </c>
      <c r="B4652" s="316">
        <v>3037</v>
      </c>
      <c r="C4652" s="247" t="s">
        <v>996</v>
      </c>
      <c r="D4652" s="317">
        <v>42676</v>
      </c>
      <c r="E4652" s="318">
        <v>0.50511574074074073</v>
      </c>
      <c r="F4652" s="247" t="s">
        <v>980</v>
      </c>
      <c r="G4652" s="247" t="s">
        <v>1035</v>
      </c>
      <c r="H4652" s="248" t="s">
        <v>234</v>
      </c>
      <c r="I4652" s="248" t="s">
        <v>263</v>
      </c>
      <c r="J4652" s="247" t="s">
        <v>809</v>
      </c>
      <c r="K4652" s="249">
        <v>0</v>
      </c>
      <c r="M4652" s="90">
        <v>0</v>
      </c>
      <c r="N4652" s="90">
        <v>0</v>
      </c>
      <c r="O4652" s="90">
        <v>255</v>
      </c>
    </row>
    <row r="4653" spans="1:15" s="90" customFormat="1" ht="12.75" customHeight="1" x14ac:dyDescent="0.2">
      <c r="A4653" s="247" t="s">
        <v>1623</v>
      </c>
      <c r="B4653" s="316">
        <v>3037</v>
      </c>
      <c r="C4653" s="247" t="s">
        <v>996</v>
      </c>
      <c r="D4653" s="317">
        <v>42676</v>
      </c>
      <c r="E4653" s="318">
        <v>0.50512731481481488</v>
      </c>
      <c r="F4653" s="247" t="s">
        <v>980</v>
      </c>
      <c r="G4653" s="247" t="s">
        <v>1035</v>
      </c>
      <c r="H4653" s="248" t="s">
        <v>234</v>
      </c>
      <c r="I4653" s="248" t="s">
        <v>263</v>
      </c>
      <c r="J4653" s="247" t="s">
        <v>809</v>
      </c>
      <c r="K4653" s="249">
        <v>0</v>
      </c>
      <c r="M4653" s="90">
        <v>0</v>
      </c>
      <c r="N4653" s="90">
        <v>0</v>
      </c>
      <c r="O4653" s="90">
        <v>255</v>
      </c>
    </row>
    <row r="4654" spans="1:15" s="90" customFormat="1" ht="12.75" customHeight="1" x14ac:dyDescent="0.2">
      <c r="A4654" s="247" t="s">
        <v>1624</v>
      </c>
      <c r="B4654" s="316">
        <v>3037</v>
      </c>
      <c r="C4654" s="247" t="s">
        <v>996</v>
      </c>
      <c r="D4654" s="317">
        <v>42676</v>
      </c>
      <c r="E4654" s="318">
        <v>0.50512731481481488</v>
      </c>
      <c r="F4654" s="247" t="s">
        <v>980</v>
      </c>
      <c r="G4654" s="247" t="s">
        <v>1035</v>
      </c>
      <c r="H4654" s="248" t="s">
        <v>234</v>
      </c>
      <c r="I4654" s="248" t="s">
        <v>263</v>
      </c>
      <c r="J4654" s="247" t="s">
        <v>809</v>
      </c>
      <c r="K4654" s="249">
        <v>0</v>
      </c>
      <c r="M4654" s="90">
        <v>0</v>
      </c>
      <c r="N4654" s="90">
        <v>0</v>
      </c>
      <c r="O4654" s="90">
        <v>255</v>
      </c>
    </row>
    <row r="4655" spans="1:15" s="90" customFormat="1" ht="12.75" customHeight="1" x14ac:dyDescent="0.2">
      <c r="A4655" s="247" t="s">
        <v>1625</v>
      </c>
      <c r="B4655" s="316">
        <v>3037</v>
      </c>
      <c r="C4655" s="247" t="s">
        <v>996</v>
      </c>
      <c r="D4655" s="317">
        <v>42676</v>
      </c>
      <c r="E4655" s="318">
        <v>0.50512731481481488</v>
      </c>
      <c r="F4655" s="247" t="s">
        <v>980</v>
      </c>
      <c r="G4655" s="247" t="s">
        <v>1035</v>
      </c>
      <c r="H4655" s="248" t="s">
        <v>234</v>
      </c>
      <c r="I4655" s="248" t="s">
        <v>263</v>
      </c>
      <c r="J4655" s="247" t="s">
        <v>809</v>
      </c>
      <c r="K4655" s="249">
        <v>0</v>
      </c>
      <c r="M4655" s="90">
        <v>0</v>
      </c>
      <c r="N4655" s="90">
        <v>0</v>
      </c>
      <c r="O4655" s="90">
        <v>255</v>
      </c>
    </row>
    <row r="4656" spans="1:15" s="90" customFormat="1" ht="12.75" customHeight="1" x14ac:dyDescent="0.2">
      <c r="A4656" s="247" t="s">
        <v>1626</v>
      </c>
      <c r="B4656" s="316">
        <v>3037</v>
      </c>
      <c r="C4656" s="247" t="s">
        <v>996</v>
      </c>
      <c r="D4656" s="317">
        <v>42676</v>
      </c>
      <c r="E4656" s="318">
        <v>0.50512731481481488</v>
      </c>
      <c r="F4656" s="247" t="s">
        <v>980</v>
      </c>
      <c r="G4656" s="247" t="s">
        <v>1035</v>
      </c>
      <c r="H4656" s="248" t="s">
        <v>234</v>
      </c>
      <c r="I4656" s="248" t="s">
        <v>263</v>
      </c>
      <c r="J4656" s="247" t="s">
        <v>809</v>
      </c>
      <c r="K4656" s="249">
        <v>0</v>
      </c>
      <c r="M4656" s="90">
        <v>0</v>
      </c>
      <c r="N4656" s="90">
        <v>0</v>
      </c>
      <c r="O4656" s="90">
        <v>255</v>
      </c>
    </row>
    <row r="4657" spans="1:15" s="90" customFormat="1" ht="12.75" customHeight="1" x14ac:dyDescent="0.2">
      <c r="A4657" s="247" t="s">
        <v>1627</v>
      </c>
      <c r="B4657" s="316">
        <v>3037</v>
      </c>
      <c r="C4657" s="247" t="s">
        <v>996</v>
      </c>
      <c r="D4657" s="317">
        <v>42676</v>
      </c>
      <c r="E4657" s="318">
        <v>0.50513888888888892</v>
      </c>
      <c r="F4657" s="247" t="s">
        <v>980</v>
      </c>
      <c r="G4657" s="247" t="s">
        <v>1035</v>
      </c>
      <c r="H4657" s="248" t="s">
        <v>234</v>
      </c>
      <c r="I4657" s="248" t="s">
        <v>263</v>
      </c>
      <c r="J4657" s="247" t="s">
        <v>809</v>
      </c>
      <c r="K4657" s="249">
        <v>0</v>
      </c>
      <c r="M4657" s="90">
        <v>0</v>
      </c>
      <c r="N4657" s="90">
        <v>0</v>
      </c>
      <c r="O4657" s="90">
        <v>255</v>
      </c>
    </row>
    <row r="4658" spans="1:15" s="90" customFormat="1" ht="12.75" customHeight="1" x14ac:dyDescent="0.2">
      <c r="A4658" s="247" t="s">
        <v>1628</v>
      </c>
      <c r="B4658" s="316">
        <v>3037</v>
      </c>
      <c r="C4658" s="247" t="s">
        <v>996</v>
      </c>
      <c r="D4658" s="317">
        <v>42676</v>
      </c>
      <c r="E4658" s="318">
        <v>0.50513888888888892</v>
      </c>
      <c r="F4658" s="247" t="s">
        <v>980</v>
      </c>
      <c r="G4658" s="247" t="s">
        <v>1035</v>
      </c>
      <c r="H4658" s="248" t="s">
        <v>234</v>
      </c>
      <c r="I4658" s="248" t="s">
        <v>263</v>
      </c>
      <c r="J4658" s="247" t="s">
        <v>809</v>
      </c>
      <c r="K4658" s="249">
        <v>0</v>
      </c>
      <c r="M4658" s="90">
        <v>0</v>
      </c>
      <c r="N4658" s="90">
        <v>0</v>
      </c>
      <c r="O4658" s="90">
        <v>255</v>
      </c>
    </row>
    <row r="4659" spans="1:15" s="90" customFormat="1" ht="12.75" customHeight="1" x14ac:dyDescent="0.2">
      <c r="A4659" s="247" t="s">
        <v>1629</v>
      </c>
      <c r="B4659" s="316">
        <v>3037</v>
      </c>
      <c r="C4659" s="247" t="s">
        <v>996</v>
      </c>
      <c r="D4659" s="317">
        <v>42676</v>
      </c>
      <c r="E4659" s="318">
        <v>0.50513888888888892</v>
      </c>
      <c r="F4659" s="247" t="s">
        <v>980</v>
      </c>
      <c r="G4659" s="247" t="s">
        <v>1035</v>
      </c>
      <c r="H4659" s="248" t="s">
        <v>234</v>
      </c>
      <c r="I4659" s="248" t="s">
        <v>263</v>
      </c>
      <c r="J4659" s="247" t="s">
        <v>809</v>
      </c>
      <c r="K4659" s="249">
        <v>0</v>
      </c>
      <c r="M4659" s="90">
        <v>0</v>
      </c>
      <c r="N4659" s="90">
        <v>0</v>
      </c>
      <c r="O4659" s="90">
        <v>255</v>
      </c>
    </row>
    <row r="4660" spans="1:15" s="90" customFormat="1" ht="12.75" customHeight="1" x14ac:dyDescent="0.2">
      <c r="A4660" s="247" t="s">
        <v>1630</v>
      </c>
      <c r="B4660" s="316">
        <v>3037</v>
      </c>
      <c r="C4660" s="247" t="s">
        <v>996</v>
      </c>
      <c r="D4660" s="317">
        <v>42676</v>
      </c>
      <c r="E4660" s="318">
        <v>0.50513888888888892</v>
      </c>
      <c r="F4660" s="247" t="s">
        <v>980</v>
      </c>
      <c r="G4660" s="247" t="s">
        <v>1035</v>
      </c>
      <c r="H4660" s="248" t="s">
        <v>234</v>
      </c>
      <c r="I4660" s="248" t="s">
        <v>263</v>
      </c>
      <c r="J4660" s="247" t="s">
        <v>809</v>
      </c>
      <c r="K4660" s="249">
        <v>0</v>
      </c>
      <c r="M4660" s="90">
        <v>0</v>
      </c>
      <c r="N4660" s="90">
        <v>0</v>
      </c>
      <c r="O4660" s="90">
        <v>255</v>
      </c>
    </row>
    <row r="4661" spans="1:15" s="90" customFormat="1" ht="12.75" customHeight="1" x14ac:dyDescent="0.2">
      <c r="A4661" s="247" t="s">
        <v>1631</v>
      </c>
      <c r="B4661" s="316">
        <v>3037</v>
      </c>
      <c r="C4661" s="247" t="s">
        <v>996</v>
      </c>
      <c r="D4661" s="317">
        <v>42676</v>
      </c>
      <c r="E4661" s="318">
        <v>0.50513888888888892</v>
      </c>
      <c r="F4661" s="247" t="s">
        <v>980</v>
      </c>
      <c r="G4661" s="247" t="s">
        <v>1035</v>
      </c>
      <c r="H4661" s="248" t="s">
        <v>234</v>
      </c>
      <c r="I4661" s="248" t="s">
        <v>263</v>
      </c>
      <c r="J4661" s="247" t="s">
        <v>809</v>
      </c>
      <c r="K4661" s="249">
        <v>0</v>
      </c>
      <c r="M4661" s="90">
        <v>0</v>
      </c>
      <c r="N4661" s="90">
        <v>0</v>
      </c>
      <c r="O4661" s="90">
        <v>255</v>
      </c>
    </row>
    <row r="4662" spans="1:15" s="90" customFormat="1" ht="12.75" customHeight="1" x14ac:dyDescent="0.2">
      <c r="A4662" s="247" t="s">
        <v>1632</v>
      </c>
      <c r="B4662" s="316">
        <v>3037</v>
      </c>
      <c r="C4662" s="247" t="s">
        <v>996</v>
      </c>
      <c r="D4662" s="317">
        <v>42676</v>
      </c>
      <c r="E4662" s="318">
        <v>0.50513888888888892</v>
      </c>
      <c r="F4662" s="247" t="s">
        <v>980</v>
      </c>
      <c r="G4662" s="247" t="s">
        <v>1035</v>
      </c>
      <c r="H4662" s="248" t="s">
        <v>234</v>
      </c>
      <c r="I4662" s="248" t="s">
        <v>263</v>
      </c>
      <c r="J4662" s="247" t="s">
        <v>809</v>
      </c>
      <c r="K4662" s="249">
        <v>0</v>
      </c>
      <c r="M4662" s="90">
        <v>0</v>
      </c>
      <c r="N4662" s="90">
        <v>0</v>
      </c>
      <c r="O4662" s="90">
        <v>255</v>
      </c>
    </row>
    <row r="4663" spans="1:15" s="90" customFormat="1" ht="12.75" customHeight="1" x14ac:dyDescent="0.2">
      <c r="A4663" s="247" t="s">
        <v>1633</v>
      </c>
      <c r="B4663" s="316">
        <v>3037</v>
      </c>
      <c r="C4663" s="247" t="s">
        <v>996</v>
      </c>
      <c r="D4663" s="317">
        <v>42676</v>
      </c>
      <c r="E4663" s="318">
        <v>0.50513888888888892</v>
      </c>
      <c r="F4663" s="247" t="s">
        <v>980</v>
      </c>
      <c r="G4663" s="247" t="s">
        <v>1035</v>
      </c>
      <c r="H4663" s="248" t="s">
        <v>234</v>
      </c>
      <c r="I4663" s="248" t="s">
        <v>263</v>
      </c>
      <c r="J4663" s="247" t="s">
        <v>809</v>
      </c>
      <c r="K4663" s="249">
        <v>0</v>
      </c>
      <c r="M4663" s="90">
        <v>0</v>
      </c>
      <c r="N4663" s="90">
        <v>0</v>
      </c>
      <c r="O4663" s="90">
        <v>255</v>
      </c>
    </row>
    <row r="4664" spans="1:15" s="90" customFormat="1" ht="12.75" customHeight="1" x14ac:dyDescent="0.2">
      <c r="A4664" s="247" t="s">
        <v>1634</v>
      </c>
      <c r="B4664" s="316">
        <v>3037</v>
      </c>
      <c r="C4664" s="247" t="s">
        <v>996</v>
      </c>
      <c r="D4664" s="317">
        <v>42676</v>
      </c>
      <c r="E4664" s="318">
        <v>0.50513888888888892</v>
      </c>
      <c r="F4664" s="247" t="s">
        <v>980</v>
      </c>
      <c r="G4664" s="247" t="s">
        <v>1035</v>
      </c>
      <c r="H4664" s="248" t="s">
        <v>234</v>
      </c>
      <c r="I4664" s="248" t="s">
        <v>263</v>
      </c>
      <c r="J4664" s="247" t="s">
        <v>809</v>
      </c>
      <c r="K4664" s="249">
        <v>0</v>
      </c>
      <c r="M4664" s="90">
        <v>0</v>
      </c>
      <c r="N4664" s="90">
        <v>0</v>
      </c>
      <c r="O4664" s="90">
        <v>255</v>
      </c>
    </row>
    <row r="4665" spans="1:15" s="90" customFormat="1" ht="12.75" customHeight="1" x14ac:dyDescent="0.2">
      <c r="A4665" s="247" t="s">
        <v>1635</v>
      </c>
      <c r="B4665" s="316">
        <v>3037</v>
      </c>
      <c r="C4665" s="247" t="s">
        <v>996</v>
      </c>
      <c r="D4665" s="317">
        <v>42676</v>
      </c>
      <c r="E4665" s="318">
        <v>0.50513888888888892</v>
      </c>
      <c r="F4665" s="247" t="s">
        <v>980</v>
      </c>
      <c r="G4665" s="247" t="s">
        <v>1035</v>
      </c>
      <c r="H4665" s="248" t="s">
        <v>234</v>
      </c>
      <c r="I4665" s="248" t="s">
        <v>263</v>
      </c>
      <c r="J4665" s="247" t="s">
        <v>809</v>
      </c>
      <c r="K4665" s="249">
        <v>0</v>
      </c>
      <c r="M4665" s="90">
        <v>0</v>
      </c>
      <c r="N4665" s="90">
        <v>0</v>
      </c>
      <c r="O4665" s="90">
        <v>255</v>
      </c>
    </row>
    <row r="4666" spans="1:15" s="90" customFormat="1" ht="12.75" customHeight="1" x14ac:dyDescent="0.2">
      <c r="A4666" s="247" t="s">
        <v>1636</v>
      </c>
      <c r="B4666" s="316">
        <v>3037</v>
      </c>
      <c r="C4666" s="247" t="s">
        <v>996</v>
      </c>
      <c r="D4666" s="317">
        <v>42676</v>
      </c>
      <c r="E4666" s="318">
        <v>0.50515046296296295</v>
      </c>
      <c r="F4666" s="247" t="s">
        <v>980</v>
      </c>
      <c r="G4666" s="247" t="s">
        <v>1035</v>
      </c>
      <c r="H4666" s="248" t="s">
        <v>234</v>
      </c>
      <c r="I4666" s="248" t="s">
        <v>263</v>
      </c>
      <c r="J4666" s="247" t="s">
        <v>809</v>
      </c>
      <c r="K4666" s="249">
        <v>0</v>
      </c>
      <c r="M4666" s="90">
        <v>0</v>
      </c>
      <c r="N4666" s="90">
        <v>0</v>
      </c>
      <c r="O4666" s="90">
        <v>255</v>
      </c>
    </row>
    <row r="4667" spans="1:15" s="90" customFormat="1" ht="12.75" customHeight="1" x14ac:dyDescent="0.2">
      <c r="A4667" s="247" t="s">
        <v>1637</v>
      </c>
      <c r="B4667" s="316">
        <v>3037</v>
      </c>
      <c r="C4667" s="247" t="s">
        <v>996</v>
      </c>
      <c r="D4667" s="317">
        <v>42676</v>
      </c>
      <c r="E4667" s="318">
        <v>0.50515046296296295</v>
      </c>
      <c r="F4667" s="247" t="s">
        <v>980</v>
      </c>
      <c r="G4667" s="247" t="s">
        <v>1035</v>
      </c>
      <c r="H4667" s="248" t="s">
        <v>234</v>
      </c>
      <c r="I4667" s="248" t="s">
        <v>263</v>
      </c>
      <c r="J4667" s="247" t="s">
        <v>809</v>
      </c>
      <c r="K4667" s="249">
        <v>0</v>
      </c>
      <c r="M4667" s="90">
        <v>0</v>
      </c>
      <c r="N4667" s="90">
        <v>0</v>
      </c>
      <c r="O4667" s="90">
        <v>255</v>
      </c>
    </row>
    <row r="4668" spans="1:15" s="90" customFormat="1" ht="12.75" customHeight="1" x14ac:dyDescent="0.2">
      <c r="A4668" s="247" t="s">
        <v>1638</v>
      </c>
      <c r="B4668" s="316">
        <v>3037</v>
      </c>
      <c r="C4668" s="247" t="s">
        <v>996</v>
      </c>
      <c r="D4668" s="317">
        <v>42676</v>
      </c>
      <c r="E4668" s="318">
        <v>0.50516203703703699</v>
      </c>
      <c r="F4668" s="247" t="s">
        <v>980</v>
      </c>
      <c r="G4668" s="247" t="s">
        <v>1035</v>
      </c>
      <c r="H4668" s="248" t="s">
        <v>234</v>
      </c>
      <c r="I4668" s="248" t="s">
        <v>263</v>
      </c>
      <c r="J4668" s="247" t="s">
        <v>809</v>
      </c>
      <c r="K4668" s="249">
        <v>0</v>
      </c>
      <c r="M4668" s="90">
        <v>0</v>
      </c>
      <c r="N4668" s="90">
        <v>0</v>
      </c>
      <c r="O4668" s="90">
        <v>255</v>
      </c>
    </row>
    <row r="4669" spans="1:15" s="90" customFormat="1" ht="12.75" customHeight="1" x14ac:dyDescent="0.2">
      <c r="A4669" s="247" t="s">
        <v>1639</v>
      </c>
      <c r="B4669" s="316">
        <v>3037</v>
      </c>
      <c r="C4669" s="247" t="s">
        <v>996</v>
      </c>
      <c r="D4669" s="317">
        <v>42676</v>
      </c>
      <c r="E4669" s="318">
        <v>0.50516203703703699</v>
      </c>
      <c r="F4669" s="247" t="s">
        <v>980</v>
      </c>
      <c r="G4669" s="247" t="s">
        <v>1035</v>
      </c>
      <c r="H4669" s="248" t="s">
        <v>234</v>
      </c>
      <c r="I4669" s="248" t="s">
        <v>263</v>
      </c>
      <c r="J4669" s="247" t="s">
        <v>809</v>
      </c>
      <c r="K4669" s="249">
        <v>0</v>
      </c>
      <c r="M4669" s="90">
        <v>0</v>
      </c>
      <c r="N4669" s="90">
        <v>0</v>
      </c>
      <c r="O4669" s="90">
        <v>255</v>
      </c>
    </row>
    <row r="4670" spans="1:15" s="90" customFormat="1" ht="12.75" customHeight="1" x14ac:dyDescent="0.2">
      <c r="A4670" s="247" t="s">
        <v>1640</v>
      </c>
      <c r="B4670" s="316">
        <v>3037</v>
      </c>
      <c r="C4670" s="247" t="s">
        <v>996</v>
      </c>
      <c r="D4670" s="317">
        <v>42676</v>
      </c>
      <c r="E4670" s="318">
        <v>0.50516203703703699</v>
      </c>
      <c r="F4670" s="247" t="s">
        <v>980</v>
      </c>
      <c r="G4670" s="247" t="s">
        <v>1035</v>
      </c>
      <c r="H4670" s="248" t="s">
        <v>234</v>
      </c>
      <c r="I4670" s="248" t="s">
        <v>263</v>
      </c>
      <c r="J4670" s="247" t="s">
        <v>809</v>
      </c>
      <c r="K4670" s="249">
        <v>0</v>
      </c>
      <c r="M4670" s="90">
        <v>0</v>
      </c>
      <c r="N4670" s="90">
        <v>0</v>
      </c>
      <c r="O4670" s="90">
        <v>255</v>
      </c>
    </row>
    <row r="4671" spans="1:15" s="90" customFormat="1" ht="12.75" customHeight="1" x14ac:dyDescent="0.2">
      <c r="A4671" s="247" t="s">
        <v>1641</v>
      </c>
      <c r="B4671" s="316">
        <v>3037</v>
      </c>
      <c r="C4671" s="247" t="s">
        <v>996</v>
      </c>
      <c r="D4671" s="317">
        <v>42676</v>
      </c>
      <c r="E4671" s="318">
        <v>0.50516203703703699</v>
      </c>
      <c r="F4671" s="247" t="s">
        <v>980</v>
      </c>
      <c r="G4671" s="247" t="s">
        <v>1035</v>
      </c>
      <c r="H4671" s="248" t="s">
        <v>234</v>
      </c>
      <c r="I4671" s="248" t="s">
        <v>263</v>
      </c>
      <c r="J4671" s="247" t="s">
        <v>809</v>
      </c>
      <c r="K4671" s="249">
        <v>0</v>
      </c>
      <c r="M4671" s="90">
        <v>0</v>
      </c>
      <c r="N4671" s="90">
        <v>0</v>
      </c>
      <c r="O4671" s="90">
        <v>255</v>
      </c>
    </row>
    <row r="4672" spans="1:15" s="90" customFormat="1" ht="12.75" customHeight="1" x14ac:dyDescent="0.2">
      <c r="A4672" s="247" t="s">
        <v>1642</v>
      </c>
      <c r="B4672" s="316">
        <v>3037</v>
      </c>
      <c r="C4672" s="247" t="s">
        <v>996</v>
      </c>
      <c r="D4672" s="317">
        <v>42676</v>
      </c>
      <c r="E4672" s="318">
        <v>0.50517361111111114</v>
      </c>
      <c r="F4672" s="247" t="s">
        <v>980</v>
      </c>
      <c r="G4672" s="247" t="s">
        <v>1035</v>
      </c>
      <c r="H4672" s="248" t="s">
        <v>234</v>
      </c>
      <c r="I4672" s="248" t="s">
        <v>263</v>
      </c>
      <c r="J4672" s="247" t="s">
        <v>809</v>
      </c>
      <c r="K4672" s="249">
        <v>0</v>
      </c>
      <c r="M4672" s="90">
        <v>0</v>
      </c>
      <c r="N4672" s="90">
        <v>0</v>
      </c>
      <c r="O4672" s="90">
        <v>255</v>
      </c>
    </row>
    <row r="4673" spans="1:15" s="90" customFormat="1" ht="12.75" customHeight="1" x14ac:dyDescent="0.2">
      <c r="A4673" s="247" t="s">
        <v>1643</v>
      </c>
      <c r="B4673" s="316">
        <v>3037</v>
      </c>
      <c r="C4673" s="247" t="s">
        <v>996</v>
      </c>
      <c r="D4673" s="317">
        <v>42676</v>
      </c>
      <c r="E4673" s="318">
        <v>0.50517361111111114</v>
      </c>
      <c r="F4673" s="247" t="s">
        <v>980</v>
      </c>
      <c r="G4673" s="247" t="s">
        <v>1035</v>
      </c>
      <c r="H4673" s="248" t="s">
        <v>234</v>
      </c>
      <c r="I4673" s="248" t="s">
        <v>263</v>
      </c>
      <c r="J4673" s="247" t="s">
        <v>809</v>
      </c>
      <c r="K4673" s="249">
        <v>0</v>
      </c>
      <c r="M4673" s="90">
        <v>0</v>
      </c>
      <c r="N4673" s="90">
        <v>0</v>
      </c>
      <c r="O4673" s="90">
        <v>255</v>
      </c>
    </row>
    <row r="4674" spans="1:15" s="90" customFormat="1" ht="12.75" customHeight="1" x14ac:dyDescent="0.2">
      <c r="A4674" s="247" t="s">
        <v>1644</v>
      </c>
      <c r="B4674" s="316">
        <v>3037</v>
      </c>
      <c r="C4674" s="247" t="s">
        <v>996</v>
      </c>
      <c r="D4674" s="317">
        <v>42676</v>
      </c>
      <c r="E4674" s="318">
        <v>0.50517361111111114</v>
      </c>
      <c r="F4674" s="247" t="s">
        <v>980</v>
      </c>
      <c r="G4674" s="247" t="s">
        <v>1035</v>
      </c>
      <c r="H4674" s="248" t="s">
        <v>234</v>
      </c>
      <c r="I4674" s="248" t="s">
        <v>263</v>
      </c>
      <c r="J4674" s="247" t="s">
        <v>809</v>
      </c>
      <c r="K4674" s="249">
        <v>0</v>
      </c>
      <c r="M4674" s="90">
        <v>0</v>
      </c>
      <c r="N4674" s="90">
        <v>0</v>
      </c>
      <c r="O4674" s="90">
        <v>255</v>
      </c>
    </row>
    <row r="4675" spans="1:15" s="90" customFormat="1" ht="12.75" customHeight="1" x14ac:dyDescent="0.2">
      <c r="A4675" s="247"/>
      <c r="B4675" s="316"/>
      <c r="C4675" s="247"/>
      <c r="D4675" s="317"/>
      <c r="E4675" s="318"/>
      <c r="F4675" s="247"/>
      <c r="G4675" s="247"/>
      <c r="H4675" s="248"/>
      <c r="I4675" s="248"/>
      <c r="J4675" s="247"/>
      <c r="K4675" s="249"/>
    </row>
    <row r="4676" spans="1:15" s="90" customFormat="1" ht="12.75" customHeight="1" x14ac:dyDescent="0.2">
      <c r="A4676" s="247"/>
      <c r="B4676" s="316"/>
      <c r="C4676" s="247"/>
      <c r="D4676" s="317"/>
      <c r="E4676" s="318"/>
      <c r="F4676" s="247"/>
      <c r="G4676" s="247"/>
      <c r="H4676" s="248"/>
      <c r="I4676" s="248"/>
      <c r="J4676" s="247"/>
      <c r="K4676" s="249"/>
    </row>
    <row r="4677" spans="1:15" s="90" customFormat="1" ht="12.75" customHeight="1" x14ac:dyDescent="0.2">
      <c r="A4677" s="247"/>
      <c r="B4677" s="316"/>
      <c r="C4677" s="247"/>
      <c r="D4677" s="317"/>
      <c r="E4677" s="318"/>
      <c r="F4677" s="247"/>
      <c r="G4677" s="247"/>
      <c r="H4677" s="248"/>
      <c r="I4677" s="248"/>
      <c r="J4677" s="247"/>
      <c r="K4677" s="249"/>
    </row>
    <row r="4678" spans="1:15" s="90" customFormat="1" ht="12.75" customHeight="1" x14ac:dyDescent="0.2">
      <c r="A4678" s="247"/>
      <c r="B4678" s="316"/>
      <c r="C4678" s="247"/>
      <c r="D4678" s="317"/>
      <c r="E4678" s="318"/>
      <c r="F4678" s="247"/>
      <c r="G4678" s="247"/>
      <c r="H4678" s="248"/>
      <c r="I4678" s="248"/>
      <c r="J4678" s="247"/>
      <c r="K4678" s="249"/>
    </row>
    <row r="4679" spans="1:15" s="90" customFormat="1" ht="12.75" customHeight="1" x14ac:dyDescent="0.2">
      <c r="A4679" s="247"/>
      <c r="B4679" s="316"/>
      <c r="C4679" s="247"/>
      <c r="D4679" s="317"/>
      <c r="E4679" s="318"/>
      <c r="F4679" s="247"/>
      <c r="G4679" s="247"/>
      <c r="H4679" s="248"/>
      <c r="I4679" s="248"/>
      <c r="J4679" s="247"/>
      <c r="K4679" s="249"/>
    </row>
    <row r="4680" spans="1:15" s="90" customFormat="1" ht="12.75" customHeight="1" x14ac:dyDescent="0.2">
      <c r="A4680" s="247"/>
      <c r="B4680" s="316"/>
      <c r="C4680" s="247"/>
      <c r="D4680" s="317"/>
      <c r="E4680" s="318"/>
      <c r="F4680" s="247"/>
      <c r="G4680" s="247"/>
      <c r="H4680" s="248"/>
      <c r="I4680" s="248"/>
      <c r="J4680" s="247"/>
      <c r="K4680" s="249"/>
    </row>
    <row r="4681" spans="1:15" s="90" customFormat="1" ht="12.75" customHeight="1" x14ac:dyDescent="0.2">
      <c r="A4681" s="247"/>
      <c r="B4681" s="316"/>
      <c r="C4681" s="247"/>
      <c r="D4681" s="317"/>
      <c r="E4681" s="318"/>
      <c r="F4681" s="247"/>
      <c r="G4681" s="247"/>
      <c r="H4681" s="248"/>
      <c r="I4681" s="248"/>
      <c r="J4681" s="247"/>
      <c r="K4681" s="249"/>
    </row>
    <row r="4682" spans="1:15" s="90" customFormat="1" ht="12.75" customHeight="1" x14ac:dyDescent="0.2">
      <c r="A4682" s="247"/>
      <c r="B4682" s="316"/>
      <c r="C4682" s="247"/>
      <c r="D4682" s="317"/>
      <c r="E4682" s="318"/>
      <c r="F4682" s="247"/>
      <c r="G4682" s="247"/>
      <c r="H4682" s="248"/>
      <c r="I4682" s="248"/>
      <c r="J4682" s="247"/>
      <c r="K4682" s="249"/>
    </row>
    <row r="4683" spans="1:15" s="90" customFormat="1" ht="12.75" customHeight="1" x14ac:dyDescent="0.2">
      <c r="A4683" s="247"/>
      <c r="B4683" s="316"/>
      <c r="C4683" s="247"/>
      <c r="D4683" s="317"/>
      <c r="E4683" s="318"/>
      <c r="F4683" s="247"/>
      <c r="G4683" s="247"/>
      <c r="H4683" s="248"/>
      <c r="I4683" s="248"/>
      <c r="J4683" s="247"/>
      <c r="K4683" s="249"/>
    </row>
    <row r="4684" spans="1:15" s="90" customFormat="1" ht="12.75" customHeight="1" x14ac:dyDescent="0.2">
      <c r="A4684" s="247"/>
      <c r="B4684" s="316"/>
      <c r="C4684" s="247"/>
      <c r="D4684" s="317"/>
      <c r="E4684" s="318"/>
      <c r="F4684" s="247"/>
      <c r="G4684" s="247"/>
      <c r="H4684" s="248"/>
      <c r="I4684" s="248"/>
      <c r="J4684" s="247"/>
      <c r="K4684" s="249"/>
    </row>
    <row r="4685" spans="1:15" s="90" customFormat="1" ht="12.75" customHeight="1" x14ac:dyDescent="0.2">
      <c r="A4685" s="247"/>
      <c r="B4685" s="316"/>
      <c r="C4685" s="247"/>
      <c r="D4685" s="317"/>
      <c r="E4685" s="318"/>
      <c r="F4685" s="247"/>
      <c r="G4685" s="247"/>
      <c r="H4685" s="248"/>
      <c r="I4685" s="248"/>
      <c r="J4685" s="247"/>
      <c r="K4685" s="249"/>
    </row>
    <row r="4686" spans="1:15" s="90" customFormat="1" ht="12.75" customHeight="1" x14ac:dyDescent="0.2">
      <c r="A4686" s="247"/>
      <c r="B4686" s="316"/>
      <c r="C4686" s="247"/>
      <c r="D4686" s="317"/>
      <c r="E4686" s="318"/>
      <c r="F4686" s="247"/>
      <c r="G4686" s="247"/>
      <c r="H4686" s="248"/>
      <c r="I4686" s="248"/>
      <c r="J4686" s="247"/>
      <c r="K4686" s="249"/>
    </row>
    <row r="4687" spans="1:15" s="90" customFormat="1" ht="12.75" customHeight="1" x14ac:dyDescent="0.2">
      <c r="A4687" s="247"/>
      <c r="B4687" s="316"/>
      <c r="C4687" s="247"/>
      <c r="D4687" s="317"/>
      <c r="E4687" s="318"/>
      <c r="F4687" s="247"/>
      <c r="G4687" s="247"/>
      <c r="H4687" s="248"/>
      <c r="I4687" s="248"/>
      <c r="J4687" s="247"/>
      <c r="K4687" s="249"/>
    </row>
    <row r="4688" spans="1:15" s="90" customFormat="1" ht="12.75" customHeight="1" x14ac:dyDescent="0.2">
      <c r="A4688" s="247"/>
      <c r="B4688" s="316"/>
      <c r="C4688" s="247"/>
      <c r="D4688" s="317"/>
      <c r="E4688" s="318"/>
      <c r="F4688" s="247"/>
      <c r="G4688" s="247"/>
      <c r="H4688" s="248"/>
      <c r="I4688" s="248"/>
      <c r="J4688" s="247"/>
      <c r="K4688" s="249"/>
    </row>
    <row r="4689" spans="1:11" s="90" customFormat="1" ht="12.75" customHeight="1" x14ac:dyDescent="0.2">
      <c r="A4689" s="247"/>
      <c r="B4689" s="316"/>
      <c r="C4689" s="247"/>
      <c r="D4689" s="317"/>
      <c r="E4689" s="318"/>
      <c r="F4689" s="247"/>
      <c r="G4689" s="247"/>
      <c r="H4689" s="248"/>
      <c r="I4689" s="248"/>
      <c r="J4689" s="247"/>
      <c r="K4689" s="249"/>
    </row>
    <row r="4690" spans="1:11" s="90" customFormat="1" ht="12.75" customHeight="1" x14ac:dyDescent="0.2">
      <c r="A4690" s="247"/>
      <c r="B4690" s="316"/>
      <c r="C4690" s="247"/>
      <c r="D4690" s="317"/>
      <c r="E4690" s="318"/>
      <c r="F4690" s="247"/>
      <c r="G4690" s="247"/>
      <c r="H4690" s="248"/>
      <c r="I4690" s="248"/>
      <c r="J4690" s="247"/>
      <c r="K4690" s="249"/>
    </row>
    <row r="4691" spans="1:11" s="90" customFormat="1" ht="12.75" customHeight="1" x14ac:dyDescent="0.2">
      <c r="A4691" s="247"/>
      <c r="B4691" s="316"/>
      <c r="C4691" s="247"/>
      <c r="D4691" s="317"/>
      <c r="E4691" s="318"/>
      <c r="F4691" s="247"/>
      <c r="G4691" s="247"/>
      <c r="H4691" s="248"/>
      <c r="I4691" s="248"/>
      <c r="J4691" s="247"/>
      <c r="K4691" s="249"/>
    </row>
    <row r="4692" spans="1:11" s="90" customFormat="1" ht="12.75" customHeight="1" x14ac:dyDescent="0.2">
      <c r="A4692" s="247"/>
      <c r="B4692" s="316"/>
      <c r="C4692" s="247"/>
      <c r="D4692" s="317"/>
      <c r="E4692" s="318"/>
      <c r="F4692" s="247"/>
      <c r="G4692" s="247"/>
      <c r="H4692" s="248"/>
      <c r="I4692" s="248"/>
      <c r="J4692" s="247"/>
      <c r="K4692" s="249"/>
    </row>
    <row r="4693" spans="1:11" s="90" customFormat="1" ht="12.75" customHeight="1" x14ac:dyDescent="0.2">
      <c r="A4693" s="247"/>
      <c r="B4693" s="316"/>
      <c r="C4693" s="247"/>
      <c r="D4693" s="317"/>
      <c r="E4693" s="318"/>
      <c r="F4693" s="247"/>
      <c r="G4693" s="247"/>
      <c r="H4693" s="248"/>
      <c r="I4693" s="248"/>
      <c r="J4693" s="247"/>
      <c r="K4693" s="249"/>
    </row>
    <row r="4694" spans="1:11" s="90" customFormat="1" ht="12.75" customHeight="1" x14ac:dyDescent="0.2">
      <c r="A4694" s="247"/>
      <c r="B4694" s="316"/>
      <c r="C4694" s="247"/>
      <c r="D4694" s="317"/>
      <c r="E4694" s="318"/>
      <c r="F4694" s="247"/>
      <c r="G4694" s="247"/>
      <c r="H4694" s="248"/>
      <c r="I4694" s="248"/>
      <c r="J4694" s="247"/>
      <c r="K4694" s="249"/>
    </row>
    <row r="4695" spans="1:11" s="90" customFormat="1" ht="12.75" customHeight="1" x14ac:dyDescent="0.2">
      <c r="A4695" s="247"/>
      <c r="B4695" s="316"/>
      <c r="C4695" s="247"/>
      <c r="D4695" s="317"/>
      <c r="E4695" s="318"/>
      <c r="F4695" s="247"/>
      <c r="G4695" s="247"/>
      <c r="H4695" s="248"/>
      <c r="I4695" s="248"/>
      <c r="J4695" s="247"/>
      <c r="K4695" s="249"/>
    </row>
    <row r="4696" spans="1:11" s="90" customFormat="1" ht="12.75" customHeight="1" x14ac:dyDescent="0.2">
      <c r="A4696" s="247"/>
      <c r="B4696" s="316"/>
      <c r="C4696" s="247"/>
      <c r="D4696" s="317"/>
      <c r="E4696" s="318"/>
      <c r="F4696" s="247"/>
      <c r="G4696" s="247"/>
      <c r="H4696" s="248"/>
      <c r="I4696" s="248"/>
      <c r="J4696" s="247"/>
      <c r="K4696" s="249"/>
    </row>
    <row r="4697" spans="1:11" s="90" customFormat="1" ht="12.75" customHeight="1" x14ac:dyDescent="0.2">
      <c r="A4697" s="247"/>
      <c r="B4697" s="316"/>
      <c r="C4697" s="247"/>
      <c r="D4697" s="317"/>
      <c r="E4697" s="318"/>
      <c r="F4697" s="247"/>
      <c r="G4697" s="247"/>
      <c r="H4697" s="248"/>
      <c r="I4697" s="248"/>
      <c r="J4697" s="247"/>
      <c r="K4697" s="249"/>
    </row>
    <row r="4698" spans="1:11" s="90" customFormat="1" ht="12.75" customHeight="1" x14ac:dyDescent="0.2">
      <c r="A4698" s="247"/>
      <c r="B4698" s="316"/>
      <c r="C4698" s="247"/>
      <c r="D4698" s="317"/>
      <c r="E4698" s="318"/>
      <c r="F4698" s="247"/>
      <c r="G4698" s="247"/>
      <c r="H4698" s="248"/>
      <c r="I4698" s="248"/>
      <c r="J4698" s="247"/>
      <c r="K4698" s="249"/>
    </row>
    <row r="4699" spans="1:11" s="90" customFormat="1" ht="12.75" customHeight="1" x14ac:dyDescent="0.2">
      <c r="A4699" s="247"/>
      <c r="B4699" s="316"/>
      <c r="C4699" s="247"/>
      <c r="D4699" s="317"/>
      <c r="E4699" s="318"/>
      <c r="F4699" s="247"/>
      <c r="G4699" s="247"/>
      <c r="H4699" s="248"/>
      <c r="I4699" s="248"/>
      <c r="J4699" s="247"/>
      <c r="K4699" s="249"/>
    </row>
    <row r="4700" spans="1:11" s="90" customFormat="1" ht="12.75" customHeight="1" x14ac:dyDescent="0.2">
      <c r="A4700" s="247"/>
      <c r="B4700" s="316"/>
      <c r="C4700" s="247"/>
      <c r="D4700" s="317"/>
      <c r="E4700" s="318"/>
      <c r="F4700" s="247"/>
      <c r="G4700" s="247"/>
      <c r="H4700" s="248"/>
      <c r="I4700" s="248"/>
      <c r="J4700" s="247"/>
      <c r="K4700" s="249"/>
    </row>
    <row r="4701" spans="1:11" s="90" customFormat="1" ht="12.75" customHeight="1" x14ac:dyDescent="0.2">
      <c r="A4701" s="247"/>
      <c r="B4701" s="316"/>
      <c r="C4701" s="247"/>
      <c r="D4701" s="317"/>
      <c r="E4701" s="318"/>
      <c r="F4701" s="247"/>
      <c r="G4701" s="247"/>
      <c r="H4701" s="248"/>
      <c r="I4701" s="248"/>
      <c r="J4701" s="247"/>
      <c r="K4701" s="249"/>
    </row>
    <row r="4702" spans="1:11" s="90" customFormat="1" ht="12.75" customHeight="1" x14ac:dyDescent="0.2">
      <c r="A4702" s="247"/>
      <c r="B4702" s="316"/>
      <c r="C4702" s="247"/>
      <c r="D4702" s="317"/>
      <c r="E4702" s="318"/>
      <c r="F4702" s="247"/>
      <c r="G4702" s="247"/>
      <c r="H4702" s="248"/>
      <c r="I4702" s="248"/>
      <c r="J4702" s="247"/>
      <c r="K4702" s="249"/>
    </row>
    <row r="4703" spans="1:11" s="90" customFormat="1" ht="12.75" customHeight="1" x14ac:dyDescent="0.2">
      <c r="A4703" s="247"/>
      <c r="B4703" s="316"/>
      <c r="C4703" s="247"/>
      <c r="D4703" s="317"/>
      <c r="E4703" s="318"/>
      <c r="F4703" s="247"/>
      <c r="G4703" s="247"/>
      <c r="H4703" s="248"/>
      <c r="I4703" s="248"/>
      <c r="J4703" s="247"/>
      <c r="K4703" s="249"/>
    </row>
    <row r="4704" spans="1:11" s="90" customFormat="1" ht="12.75" customHeight="1" x14ac:dyDescent="0.2">
      <c r="A4704" s="247"/>
      <c r="B4704" s="316"/>
      <c r="C4704" s="247"/>
      <c r="D4704" s="317"/>
      <c r="E4704" s="318"/>
      <c r="F4704" s="247"/>
      <c r="G4704" s="247"/>
      <c r="H4704" s="248"/>
      <c r="I4704" s="248"/>
      <c r="J4704" s="247"/>
      <c r="K4704" s="249"/>
    </row>
    <row r="4705" spans="1:11" s="90" customFormat="1" ht="12.75" customHeight="1" x14ac:dyDescent="0.2">
      <c r="A4705" s="247"/>
      <c r="B4705" s="316"/>
      <c r="C4705" s="247"/>
      <c r="D4705" s="317"/>
      <c r="E4705" s="318"/>
      <c r="F4705" s="247"/>
      <c r="G4705" s="247"/>
      <c r="H4705" s="248"/>
      <c r="I4705" s="248"/>
      <c r="J4705" s="247"/>
      <c r="K4705" s="249"/>
    </row>
    <row r="4706" spans="1:11" s="90" customFormat="1" ht="12.75" customHeight="1" x14ac:dyDescent="0.2">
      <c r="A4706" s="247"/>
      <c r="B4706" s="316"/>
      <c r="C4706" s="247"/>
      <c r="D4706" s="317"/>
      <c r="E4706" s="318"/>
      <c r="F4706" s="247"/>
      <c r="G4706" s="247"/>
      <c r="H4706" s="248"/>
      <c r="I4706" s="248"/>
      <c r="J4706" s="247"/>
      <c r="K4706" s="249"/>
    </row>
    <row r="4707" spans="1:11" s="90" customFormat="1" ht="12.75" customHeight="1" x14ac:dyDescent="0.2">
      <c r="A4707" s="247"/>
      <c r="B4707" s="316"/>
      <c r="C4707" s="247"/>
      <c r="D4707" s="317"/>
      <c r="E4707" s="318"/>
      <c r="F4707" s="247"/>
      <c r="G4707" s="247"/>
      <c r="H4707" s="248"/>
      <c r="I4707" s="248"/>
      <c r="J4707" s="247"/>
      <c r="K4707" s="249"/>
    </row>
    <row r="4708" spans="1:11" s="90" customFormat="1" ht="12.75" customHeight="1" x14ac:dyDescent="0.2">
      <c r="A4708" s="247"/>
      <c r="B4708" s="316"/>
      <c r="C4708" s="247"/>
      <c r="D4708" s="317"/>
      <c r="E4708" s="318"/>
      <c r="F4708" s="247"/>
      <c r="G4708" s="247"/>
      <c r="H4708" s="248"/>
      <c r="I4708" s="248"/>
      <c r="J4708" s="247"/>
      <c r="K4708" s="249"/>
    </row>
    <row r="4709" spans="1:11" s="90" customFormat="1" ht="12.75" customHeight="1" x14ac:dyDescent="0.2">
      <c r="A4709" s="247"/>
      <c r="B4709" s="316"/>
      <c r="C4709" s="247"/>
      <c r="D4709" s="317"/>
      <c r="E4709" s="318"/>
      <c r="F4709" s="247"/>
      <c r="G4709" s="247"/>
      <c r="H4709" s="248"/>
      <c r="I4709" s="248"/>
      <c r="J4709" s="247"/>
      <c r="K4709" s="249"/>
    </row>
    <row r="4710" spans="1:11" s="90" customFormat="1" ht="12.75" customHeight="1" x14ac:dyDescent="0.2">
      <c r="A4710" s="247"/>
      <c r="B4710" s="316"/>
      <c r="C4710" s="247"/>
      <c r="D4710" s="317"/>
      <c r="E4710" s="318"/>
      <c r="F4710" s="247"/>
      <c r="G4710" s="247"/>
      <c r="H4710" s="248"/>
      <c r="I4710" s="248"/>
      <c r="J4710" s="247"/>
      <c r="K4710" s="249"/>
    </row>
    <row r="4711" spans="1:11" s="90" customFormat="1" ht="12.75" customHeight="1" x14ac:dyDescent="0.2">
      <c r="A4711" s="247"/>
      <c r="B4711" s="316"/>
      <c r="C4711" s="247"/>
      <c r="D4711" s="317"/>
      <c r="E4711" s="318"/>
      <c r="F4711" s="247"/>
      <c r="G4711" s="247"/>
      <c r="H4711" s="248"/>
      <c r="I4711" s="248"/>
      <c r="J4711" s="247"/>
      <c r="K4711" s="249"/>
    </row>
    <row r="4712" spans="1:11" s="90" customFormat="1" ht="12.75" customHeight="1" x14ac:dyDescent="0.2">
      <c r="A4712" s="247"/>
      <c r="B4712" s="316"/>
      <c r="C4712" s="247"/>
      <c r="D4712" s="317"/>
      <c r="E4712" s="318"/>
      <c r="F4712" s="247"/>
      <c r="G4712" s="247"/>
      <c r="H4712" s="248"/>
      <c r="I4712" s="248"/>
      <c r="J4712" s="247"/>
      <c r="K4712" s="249"/>
    </row>
    <row r="4713" spans="1:11" s="90" customFormat="1" ht="12.75" customHeight="1" x14ac:dyDescent="0.2">
      <c r="A4713" s="247"/>
      <c r="B4713" s="316"/>
      <c r="C4713" s="247"/>
      <c r="D4713" s="317"/>
      <c r="E4713" s="318"/>
      <c r="F4713" s="247"/>
      <c r="G4713" s="247"/>
      <c r="H4713" s="248"/>
      <c r="I4713" s="248"/>
      <c r="J4713" s="247"/>
      <c r="K4713" s="249"/>
    </row>
    <row r="4714" spans="1:11" s="90" customFormat="1" ht="12.75" customHeight="1" x14ac:dyDescent="0.2">
      <c r="A4714" s="247"/>
      <c r="B4714" s="316"/>
      <c r="C4714" s="247"/>
      <c r="D4714" s="317"/>
      <c r="E4714" s="318"/>
      <c r="F4714" s="247"/>
      <c r="G4714" s="247"/>
      <c r="H4714" s="248"/>
      <c r="I4714" s="248"/>
      <c r="J4714" s="247"/>
      <c r="K4714" s="249"/>
    </row>
    <row r="4715" spans="1:11" s="90" customFormat="1" ht="12.75" customHeight="1" x14ac:dyDescent="0.2">
      <c r="A4715" s="247"/>
      <c r="B4715" s="316"/>
      <c r="C4715" s="247"/>
      <c r="D4715" s="317"/>
      <c r="E4715" s="318"/>
      <c r="F4715" s="247"/>
      <c r="G4715" s="247"/>
      <c r="H4715" s="248"/>
      <c r="I4715" s="248"/>
      <c r="J4715" s="247"/>
      <c r="K4715" s="249"/>
    </row>
    <row r="4716" spans="1:11" s="90" customFormat="1" ht="12.75" customHeight="1" x14ac:dyDescent="0.2">
      <c r="A4716" s="247"/>
      <c r="B4716" s="316"/>
      <c r="C4716" s="247"/>
      <c r="D4716" s="317"/>
      <c r="E4716" s="318"/>
      <c r="F4716" s="247"/>
      <c r="G4716" s="247"/>
      <c r="H4716" s="248"/>
      <c r="I4716" s="248"/>
      <c r="J4716" s="247"/>
      <c r="K4716" s="249"/>
    </row>
    <row r="4717" spans="1:11" s="90" customFormat="1" ht="12.75" customHeight="1" x14ac:dyDescent="0.2">
      <c r="A4717" s="247"/>
      <c r="B4717" s="316"/>
      <c r="C4717" s="247"/>
      <c r="D4717" s="317"/>
      <c r="E4717" s="318"/>
      <c r="F4717" s="247"/>
      <c r="G4717" s="247"/>
      <c r="H4717" s="248"/>
      <c r="I4717" s="248"/>
      <c r="J4717" s="247"/>
      <c r="K4717" s="249"/>
    </row>
    <row r="4718" spans="1:11" s="90" customFormat="1" ht="12.75" customHeight="1" x14ac:dyDescent="0.2">
      <c r="A4718" s="247"/>
      <c r="B4718" s="316"/>
      <c r="C4718" s="247"/>
      <c r="D4718" s="317"/>
      <c r="E4718" s="318"/>
      <c r="F4718" s="247"/>
      <c r="G4718" s="247"/>
      <c r="H4718" s="248"/>
      <c r="I4718" s="248"/>
      <c r="J4718" s="247"/>
      <c r="K4718" s="249"/>
    </row>
    <row r="4719" spans="1:11" s="90" customFormat="1" ht="12.75" customHeight="1" x14ac:dyDescent="0.2">
      <c r="A4719" s="247"/>
      <c r="B4719" s="316"/>
      <c r="C4719" s="247"/>
      <c r="D4719" s="317"/>
      <c r="E4719" s="318"/>
      <c r="F4719" s="247"/>
      <c r="G4719" s="247"/>
      <c r="H4719" s="248"/>
      <c r="I4719" s="248"/>
      <c r="J4719" s="247"/>
      <c r="K4719" s="249"/>
    </row>
    <row r="4720" spans="1:11" s="90" customFormat="1" ht="12.75" customHeight="1" x14ac:dyDescent="0.2">
      <c r="A4720" s="247"/>
      <c r="B4720" s="316"/>
      <c r="C4720" s="247"/>
      <c r="D4720" s="317"/>
      <c r="E4720" s="318"/>
      <c r="F4720" s="247"/>
      <c r="G4720" s="247"/>
      <c r="H4720" s="248"/>
      <c r="I4720" s="248"/>
      <c r="J4720" s="247"/>
      <c r="K4720" s="249"/>
    </row>
    <row r="4721" spans="1:11" s="90" customFormat="1" ht="12.75" customHeight="1" x14ac:dyDescent="0.2">
      <c r="A4721" s="247"/>
      <c r="B4721" s="316"/>
      <c r="C4721" s="247"/>
      <c r="D4721" s="317"/>
      <c r="E4721" s="318"/>
      <c r="F4721" s="247"/>
      <c r="G4721" s="247"/>
      <c r="H4721" s="248"/>
      <c r="I4721" s="248"/>
      <c r="J4721" s="247"/>
      <c r="K4721" s="249"/>
    </row>
    <row r="4722" spans="1:11" s="90" customFormat="1" ht="12.75" customHeight="1" x14ac:dyDescent="0.2">
      <c r="A4722" s="247"/>
      <c r="B4722" s="316"/>
      <c r="C4722" s="247"/>
      <c r="D4722" s="317"/>
      <c r="E4722" s="318"/>
      <c r="F4722" s="247"/>
      <c r="G4722" s="247"/>
      <c r="H4722" s="248"/>
      <c r="I4722" s="248"/>
      <c r="J4722" s="247"/>
      <c r="K4722" s="249"/>
    </row>
    <row r="4723" spans="1:11" s="90" customFormat="1" ht="12.75" customHeight="1" x14ac:dyDescent="0.2">
      <c r="A4723" s="247"/>
      <c r="B4723" s="316"/>
      <c r="C4723" s="247"/>
      <c r="D4723" s="317"/>
      <c r="E4723" s="318"/>
      <c r="F4723" s="247"/>
      <c r="G4723" s="247"/>
      <c r="H4723" s="248"/>
      <c r="I4723" s="248"/>
      <c r="J4723" s="247"/>
      <c r="K4723" s="249"/>
    </row>
    <row r="4724" spans="1:11" s="90" customFormat="1" ht="12.75" customHeight="1" x14ac:dyDescent="0.2">
      <c r="A4724" s="247"/>
      <c r="B4724" s="316"/>
      <c r="C4724" s="247"/>
      <c r="D4724" s="317"/>
      <c r="E4724" s="318"/>
      <c r="F4724" s="247"/>
      <c r="G4724" s="247"/>
      <c r="H4724" s="248"/>
      <c r="I4724" s="248"/>
      <c r="J4724" s="247"/>
      <c r="K4724" s="249"/>
    </row>
    <row r="4725" spans="1:11" s="90" customFormat="1" ht="12.75" customHeight="1" x14ac:dyDescent="0.2">
      <c r="A4725" s="247"/>
      <c r="B4725" s="316"/>
      <c r="C4725" s="247"/>
      <c r="D4725" s="317"/>
      <c r="E4725" s="318"/>
      <c r="F4725" s="247"/>
      <c r="G4725" s="247"/>
      <c r="H4725" s="248"/>
      <c r="I4725" s="248"/>
      <c r="J4725" s="247"/>
      <c r="K4725" s="249"/>
    </row>
    <row r="4726" spans="1:11" s="90" customFormat="1" ht="12.75" customHeight="1" x14ac:dyDescent="0.2">
      <c r="A4726" s="247"/>
      <c r="B4726" s="316"/>
      <c r="C4726" s="247"/>
      <c r="D4726" s="317"/>
      <c r="E4726" s="318"/>
      <c r="F4726" s="247"/>
      <c r="G4726" s="247"/>
      <c r="H4726" s="248"/>
      <c r="I4726" s="248"/>
      <c r="J4726" s="247"/>
      <c r="K4726" s="249"/>
    </row>
    <row r="4727" spans="1:11" s="90" customFormat="1" ht="12.75" customHeight="1" x14ac:dyDescent="0.2">
      <c r="A4727" s="247"/>
      <c r="B4727" s="316"/>
      <c r="C4727" s="247"/>
      <c r="D4727" s="317"/>
      <c r="E4727" s="318"/>
      <c r="F4727" s="247"/>
      <c r="G4727" s="247"/>
      <c r="H4727" s="248"/>
      <c r="I4727" s="248"/>
      <c r="J4727" s="247"/>
      <c r="K4727" s="249"/>
    </row>
    <row r="4728" spans="1:11" s="90" customFormat="1" ht="12.75" customHeight="1" x14ac:dyDescent="0.2">
      <c r="A4728" s="247"/>
      <c r="B4728" s="316"/>
      <c r="C4728" s="247"/>
      <c r="D4728" s="317"/>
      <c r="E4728" s="318"/>
      <c r="F4728" s="247"/>
      <c r="G4728" s="247"/>
      <c r="H4728" s="248"/>
      <c r="I4728" s="248"/>
      <c r="J4728" s="247"/>
      <c r="K4728" s="249"/>
    </row>
    <row r="4729" spans="1:11" s="90" customFormat="1" ht="12.75" customHeight="1" x14ac:dyDescent="0.2">
      <c r="A4729" s="247"/>
      <c r="B4729" s="316"/>
      <c r="C4729" s="247"/>
      <c r="D4729" s="317"/>
      <c r="E4729" s="318"/>
      <c r="F4729" s="247"/>
      <c r="G4729" s="247"/>
      <c r="H4729" s="248"/>
      <c r="I4729" s="248"/>
      <c r="J4729" s="247"/>
      <c r="K4729" s="249"/>
    </row>
    <row r="4730" spans="1:11" s="90" customFormat="1" ht="12.75" customHeight="1" x14ac:dyDescent="0.2">
      <c r="A4730" s="247"/>
      <c r="B4730" s="316"/>
      <c r="C4730" s="247"/>
      <c r="D4730" s="317"/>
      <c r="E4730" s="318"/>
      <c r="F4730" s="247"/>
      <c r="G4730" s="247"/>
      <c r="H4730" s="248"/>
      <c r="I4730" s="248"/>
      <c r="J4730" s="247"/>
      <c r="K4730" s="249"/>
    </row>
    <row r="4731" spans="1:11" s="90" customFormat="1" ht="12.75" customHeight="1" x14ac:dyDescent="0.2">
      <c r="A4731" s="247"/>
      <c r="B4731" s="316"/>
      <c r="C4731" s="247"/>
      <c r="D4731" s="317"/>
      <c r="E4731" s="318"/>
      <c r="F4731" s="247"/>
      <c r="G4731" s="247"/>
      <c r="H4731" s="248"/>
      <c r="I4731" s="248"/>
      <c r="J4731" s="247"/>
      <c r="K4731" s="249"/>
    </row>
    <row r="4732" spans="1:11" s="90" customFormat="1" ht="12.75" customHeight="1" x14ac:dyDescent="0.2">
      <c r="A4732" s="247"/>
      <c r="B4732" s="316"/>
      <c r="C4732" s="247"/>
      <c r="D4732" s="317"/>
      <c r="E4732" s="318"/>
      <c r="F4732" s="247"/>
      <c r="G4732" s="247"/>
      <c r="H4732" s="248"/>
      <c r="I4732" s="248"/>
      <c r="J4732" s="247"/>
      <c r="K4732" s="249"/>
    </row>
    <row r="4733" spans="1:11" s="90" customFormat="1" ht="12.75" customHeight="1" x14ac:dyDescent="0.2">
      <c r="A4733" s="247"/>
      <c r="B4733" s="316"/>
      <c r="C4733" s="247"/>
      <c r="D4733" s="317"/>
      <c r="E4733" s="318"/>
      <c r="F4733" s="247"/>
      <c r="G4733" s="247"/>
      <c r="H4733" s="248"/>
      <c r="I4733" s="248"/>
      <c r="J4733" s="247"/>
      <c r="K4733" s="249"/>
    </row>
    <row r="4734" spans="1:11" s="90" customFormat="1" ht="12.75" customHeight="1" x14ac:dyDescent="0.2">
      <c r="A4734" s="247"/>
      <c r="B4734" s="316"/>
      <c r="C4734" s="247"/>
      <c r="D4734" s="317"/>
      <c r="E4734" s="318"/>
      <c r="F4734" s="247"/>
      <c r="G4734" s="247"/>
      <c r="H4734" s="248"/>
      <c r="I4734" s="248"/>
      <c r="J4734" s="247"/>
      <c r="K4734" s="249"/>
    </row>
    <row r="4735" spans="1:11" s="90" customFormat="1" ht="12.75" customHeight="1" x14ac:dyDescent="0.2">
      <c r="A4735" s="247"/>
      <c r="B4735" s="316"/>
      <c r="C4735" s="247"/>
      <c r="D4735" s="317"/>
      <c r="E4735" s="318"/>
      <c r="F4735" s="247"/>
      <c r="G4735" s="247"/>
      <c r="H4735" s="248"/>
      <c r="I4735" s="248"/>
      <c r="J4735" s="247"/>
      <c r="K4735" s="249"/>
    </row>
    <row r="4736" spans="1:11" s="90" customFormat="1" ht="12.75" customHeight="1" x14ac:dyDescent="0.2">
      <c r="A4736" s="247"/>
      <c r="B4736" s="316"/>
      <c r="C4736" s="247"/>
      <c r="D4736" s="317"/>
      <c r="E4736" s="318"/>
      <c r="F4736" s="247"/>
      <c r="G4736" s="247"/>
      <c r="H4736" s="248"/>
      <c r="I4736" s="248"/>
      <c r="J4736" s="247"/>
      <c r="K4736" s="249"/>
    </row>
    <row r="4737" spans="1:11" s="90" customFormat="1" ht="12.75" customHeight="1" x14ac:dyDescent="0.2">
      <c r="A4737" s="247"/>
      <c r="B4737" s="316"/>
      <c r="C4737" s="247"/>
      <c r="D4737" s="317"/>
      <c r="E4737" s="318"/>
      <c r="F4737" s="247"/>
      <c r="G4737" s="247"/>
      <c r="H4737" s="248"/>
      <c r="I4737" s="248"/>
      <c r="J4737" s="247"/>
      <c r="K4737" s="249"/>
    </row>
    <row r="4738" spans="1:11" s="90" customFormat="1" ht="12.75" customHeight="1" x14ac:dyDescent="0.2">
      <c r="A4738" s="247"/>
      <c r="B4738" s="316"/>
      <c r="C4738" s="247"/>
      <c r="D4738" s="317"/>
      <c r="E4738" s="318"/>
      <c r="F4738" s="247"/>
      <c r="G4738" s="247"/>
      <c r="H4738" s="248"/>
      <c r="I4738" s="248"/>
      <c r="J4738" s="247"/>
      <c r="K4738" s="249"/>
    </row>
    <row r="4739" spans="1:11" s="90" customFormat="1" ht="12.75" customHeight="1" x14ac:dyDescent="0.2">
      <c r="A4739" s="247"/>
      <c r="B4739" s="316"/>
      <c r="C4739" s="247"/>
      <c r="D4739" s="317"/>
      <c r="E4739" s="318"/>
      <c r="F4739" s="247"/>
      <c r="G4739" s="247"/>
      <c r="H4739" s="248"/>
      <c r="I4739" s="248"/>
      <c r="J4739" s="247"/>
      <c r="K4739" s="249"/>
    </row>
    <row r="4740" spans="1:11" s="90" customFormat="1" ht="12.75" customHeight="1" x14ac:dyDescent="0.2">
      <c r="A4740" s="247"/>
      <c r="B4740" s="316"/>
      <c r="C4740" s="247"/>
      <c r="D4740" s="317"/>
      <c r="E4740" s="318"/>
      <c r="F4740" s="247"/>
      <c r="G4740" s="247"/>
      <c r="H4740" s="248"/>
      <c r="I4740" s="248"/>
      <c r="J4740" s="247"/>
      <c r="K4740" s="249"/>
    </row>
    <row r="4741" spans="1:11" s="90" customFormat="1" ht="12.75" customHeight="1" x14ac:dyDescent="0.2">
      <c r="A4741" s="247"/>
      <c r="B4741" s="316"/>
      <c r="C4741" s="247"/>
      <c r="D4741" s="317"/>
      <c r="E4741" s="318"/>
      <c r="F4741" s="247"/>
      <c r="G4741" s="247"/>
      <c r="H4741" s="248"/>
      <c r="I4741" s="248"/>
      <c r="J4741" s="247"/>
      <c r="K4741" s="249"/>
    </row>
    <row r="4742" spans="1:11" s="90" customFormat="1" ht="12.75" customHeight="1" x14ac:dyDescent="0.2">
      <c r="A4742" s="247"/>
      <c r="B4742" s="316"/>
      <c r="C4742" s="247"/>
      <c r="D4742" s="317"/>
      <c r="E4742" s="318"/>
      <c r="F4742" s="247"/>
      <c r="G4742" s="247"/>
      <c r="H4742" s="248"/>
      <c r="I4742" s="248"/>
      <c r="J4742" s="247"/>
      <c r="K4742" s="249"/>
    </row>
    <row r="4743" spans="1:11" s="90" customFormat="1" ht="12.75" customHeight="1" x14ac:dyDescent="0.2">
      <c r="A4743" s="247"/>
      <c r="B4743" s="316"/>
      <c r="C4743" s="247"/>
      <c r="D4743" s="317"/>
      <c r="E4743" s="318"/>
      <c r="F4743" s="247"/>
      <c r="G4743" s="247"/>
      <c r="H4743" s="248"/>
      <c r="I4743" s="248"/>
      <c r="J4743" s="247"/>
      <c r="K4743" s="249"/>
    </row>
    <row r="4744" spans="1:11" s="90" customFormat="1" ht="12.75" customHeight="1" x14ac:dyDescent="0.2">
      <c r="A4744" s="247"/>
      <c r="B4744" s="316"/>
      <c r="C4744" s="247"/>
      <c r="D4744" s="317"/>
      <c r="E4744" s="318"/>
      <c r="F4744" s="247"/>
      <c r="G4744" s="247"/>
      <c r="H4744" s="248"/>
      <c r="I4744" s="248"/>
      <c r="J4744" s="247"/>
      <c r="K4744" s="249"/>
    </row>
    <row r="4745" spans="1:11" s="90" customFormat="1" ht="12.75" customHeight="1" x14ac:dyDescent="0.2">
      <c r="A4745" s="247"/>
      <c r="B4745" s="316"/>
      <c r="C4745" s="247"/>
      <c r="D4745" s="317"/>
      <c r="E4745" s="318"/>
      <c r="F4745" s="247"/>
      <c r="G4745" s="247"/>
      <c r="H4745" s="248"/>
      <c r="I4745" s="248"/>
      <c r="J4745" s="247"/>
      <c r="K4745" s="249"/>
    </row>
    <row r="4746" spans="1:11" s="90" customFormat="1" ht="12.75" customHeight="1" x14ac:dyDescent="0.2">
      <c r="A4746" s="247"/>
      <c r="B4746" s="316"/>
      <c r="C4746" s="247"/>
      <c r="D4746" s="317"/>
      <c r="E4746" s="318"/>
      <c r="F4746" s="247"/>
      <c r="G4746" s="247"/>
      <c r="H4746" s="248"/>
      <c r="I4746" s="248"/>
      <c r="J4746" s="247"/>
      <c r="K4746" s="249"/>
    </row>
    <row r="4747" spans="1:11" s="90" customFormat="1" ht="12.75" customHeight="1" x14ac:dyDescent="0.2">
      <c r="A4747" s="247"/>
      <c r="B4747" s="316"/>
      <c r="C4747" s="247"/>
      <c r="D4747" s="317"/>
      <c r="E4747" s="318"/>
      <c r="F4747" s="247"/>
      <c r="G4747" s="247"/>
      <c r="H4747" s="248"/>
      <c r="I4747" s="248"/>
      <c r="J4747" s="247"/>
      <c r="K4747" s="249"/>
    </row>
    <row r="4748" spans="1:11" s="90" customFormat="1" ht="12.75" customHeight="1" x14ac:dyDescent="0.2">
      <c r="A4748" s="247"/>
      <c r="B4748" s="316"/>
      <c r="C4748" s="247"/>
      <c r="D4748" s="317"/>
      <c r="E4748" s="318"/>
      <c r="F4748" s="247"/>
      <c r="G4748" s="247"/>
      <c r="H4748" s="248"/>
      <c r="I4748" s="248"/>
      <c r="J4748" s="247"/>
      <c r="K4748" s="249"/>
    </row>
    <row r="4749" spans="1:11" s="90" customFormat="1" ht="12.75" customHeight="1" x14ac:dyDescent="0.2">
      <c r="A4749" s="247"/>
      <c r="B4749" s="316"/>
      <c r="C4749" s="247"/>
      <c r="D4749" s="317"/>
      <c r="E4749" s="318"/>
      <c r="F4749" s="247"/>
      <c r="G4749" s="247"/>
      <c r="H4749" s="248"/>
      <c r="I4749" s="248"/>
      <c r="J4749" s="247"/>
      <c r="K4749" s="249"/>
    </row>
    <row r="4750" spans="1:11" s="90" customFormat="1" ht="12.75" customHeight="1" x14ac:dyDescent="0.2">
      <c r="A4750" s="247"/>
      <c r="B4750" s="316"/>
      <c r="C4750" s="247"/>
      <c r="D4750" s="317"/>
      <c r="E4750" s="318"/>
      <c r="F4750" s="247"/>
      <c r="G4750" s="247"/>
      <c r="H4750" s="248"/>
      <c r="I4750" s="248"/>
      <c r="J4750" s="247"/>
      <c r="K4750" s="249"/>
    </row>
    <row r="4751" spans="1:11" s="90" customFormat="1" ht="12.75" customHeight="1" x14ac:dyDescent="0.2">
      <c r="A4751" s="247"/>
      <c r="B4751" s="316"/>
      <c r="C4751" s="247"/>
      <c r="D4751" s="317"/>
      <c r="E4751" s="318"/>
      <c r="F4751" s="247"/>
      <c r="G4751" s="247"/>
      <c r="H4751" s="248"/>
      <c r="I4751" s="248"/>
      <c r="J4751" s="247"/>
      <c r="K4751" s="249"/>
    </row>
    <row r="4752" spans="1:11" s="90" customFormat="1" ht="12.75" customHeight="1" x14ac:dyDescent="0.2">
      <c r="A4752" s="247"/>
      <c r="B4752" s="316"/>
      <c r="C4752" s="247"/>
      <c r="D4752" s="317"/>
      <c r="E4752" s="318"/>
      <c r="F4752" s="247"/>
      <c r="G4752" s="247"/>
      <c r="H4752" s="248"/>
      <c r="I4752" s="248"/>
      <c r="J4752" s="247"/>
      <c r="K4752" s="249"/>
    </row>
    <row r="4753" spans="1:11" s="90" customFormat="1" ht="12.75" customHeight="1" x14ac:dyDescent="0.2">
      <c r="A4753" s="247"/>
      <c r="B4753" s="316"/>
      <c r="C4753" s="247"/>
      <c r="D4753" s="317"/>
      <c r="E4753" s="318"/>
      <c r="F4753" s="247"/>
      <c r="G4753" s="247"/>
      <c r="H4753" s="248"/>
      <c r="I4753" s="248"/>
      <c r="J4753" s="247"/>
      <c r="K4753" s="249"/>
    </row>
    <row r="4754" spans="1:11" s="90" customFormat="1" ht="12.75" customHeight="1" x14ac:dyDescent="0.2">
      <c r="A4754" s="247"/>
      <c r="B4754" s="316"/>
      <c r="C4754" s="247"/>
      <c r="D4754" s="317"/>
      <c r="E4754" s="318"/>
      <c r="F4754" s="247"/>
      <c r="G4754" s="247"/>
      <c r="H4754" s="248"/>
      <c r="I4754" s="248"/>
      <c r="J4754" s="247"/>
      <c r="K4754" s="249"/>
    </row>
    <row r="4755" spans="1:11" s="90" customFormat="1" ht="12.75" customHeight="1" x14ac:dyDescent="0.2">
      <c r="A4755" s="247"/>
      <c r="B4755" s="316"/>
      <c r="C4755" s="247"/>
      <c r="D4755" s="317"/>
      <c r="E4755" s="318"/>
      <c r="F4755" s="247"/>
      <c r="G4755" s="247"/>
      <c r="H4755" s="248"/>
      <c r="I4755" s="248"/>
      <c r="J4755" s="247"/>
      <c r="K4755" s="249"/>
    </row>
    <row r="4756" spans="1:11" s="90" customFormat="1" ht="12.75" customHeight="1" x14ac:dyDescent="0.2">
      <c r="A4756" s="247"/>
      <c r="B4756" s="316"/>
      <c r="C4756" s="247"/>
      <c r="D4756" s="317"/>
      <c r="E4756" s="318"/>
      <c r="F4756" s="247"/>
      <c r="G4756" s="247"/>
      <c r="H4756" s="248"/>
      <c r="I4756" s="248"/>
      <c r="J4756" s="247"/>
      <c r="K4756" s="249"/>
    </row>
    <row r="4757" spans="1:11" s="90" customFormat="1" ht="12.75" customHeight="1" x14ac:dyDescent="0.2">
      <c r="A4757" s="247"/>
      <c r="B4757" s="316"/>
      <c r="C4757" s="247"/>
      <c r="D4757" s="317"/>
      <c r="E4757" s="318"/>
      <c r="F4757" s="247"/>
      <c r="G4757" s="247"/>
      <c r="H4757" s="248"/>
      <c r="I4757" s="248"/>
      <c r="J4757" s="247"/>
      <c r="K4757" s="249"/>
    </row>
    <row r="4758" spans="1:11" s="90" customFormat="1" ht="12.75" customHeight="1" x14ac:dyDescent="0.2">
      <c r="A4758" s="247"/>
      <c r="B4758" s="316"/>
      <c r="C4758" s="247"/>
      <c r="D4758" s="317"/>
      <c r="E4758" s="318"/>
      <c r="F4758" s="247"/>
      <c r="G4758" s="247"/>
      <c r="H4758" s="248"/>
      <c r="I4758" s="248"/>
      <c r="J4758" s="247"/>
      <c r="K4758" s="249"/>
    </row>
    <row r="4759" spans="1:11" s="90" customFormat="1" ht="12.75" customHeight="1" x14ac:dyDescent="0.2">
      <c r="A4759" s="247"/>
      <c r="B4759" s="316"/>
      <c r="C4759" s="247"/>
      <c r="D4759" s="317"/>
      <c r="E4759" s="318"/>
      <c r="F4759" s="247"/>
      <c r="G4759" s="247"/>
      <c r="H4759" s="248"/>
      <c r="I4759" s="248"/>
      <c r="J4759" s="247"/>
      <c r="K4759" s="249"/>
    </row>
    <row r="4760" spans="1:11" s="90" customFormat="1" ht="12.75" customHeight="1" x14ac:dyDescent="0.2">
      <c r="A4760" s="247"/>
      <c r="B4760" s="316"/>
      <c r="C4760" s="247"/>
      <c r="D4760" s="317"/>
      <c r="E4760" s="318"/>
      <c r="F4760" s="247"/>
      <c r="G4760" s="247"/>
      <c r="H4760" s="248"/>
      <c r="I4760" s="248"/>
      <c r="J4760" s="247"/>
      <c r="K4760" s="249"/>
    </row>
    <row r="4761" spans="1:11" s="90" customFormat="1" ht="12.75" customHeight="1" x14ac:dyDescent="0.2">
      <c r="A4761" s="247"/>
      <c r="B4761" s="316"/>
      <c r="C4761" s="247"/>
      <c r="D4761" s="317"/>
      <c r="E4761" s="318"/>
      <c r="F4761" s="247"/>
      <c r="G4761" s="247"/>
      <c r="H4761" s="248"/>
      <c r="I4761" s="248"/>
      <c r="J4761" s="247"/>
      <c r="K4761" s="249"/>
    </row>
    <row r="4762" spans="1:11" s="90" customFormat="1" ht="12.75" customHeight="1" x14ac:dyDescent="0.2">
      <c r="A4762" s="247"/>
      <c r="B4762" s="316"/>
      <c r="C4762" s="247"/>
      <c r="D4762" s="317"/>
      <c r="E4762" s="318"/>
      <c r="F4762" s="247"/>
      <c r="G4762" s="247"/>
      <c r="H4762" s="248"/>
      <c r="I4762" s="248"/>
      <c r="J4762" s="247"/>
      <c r="K4762" s="249"/>
    </row>
    <row r="4763" spans="1:11" s="90" customFormat="1" ht="12.75" customHeight="1" x14ac:dyDescent="0.2">
      <c r="A4763" s="247"/>
      <c r="B4763" s="316"/>
      <c r="C4763" s="247"/>
      <c r="D4763" s="317"/>
      <c r="E4763" s="318"/>
      <c r="F4763" s="247"/>
      <c r="G4763" s="247"/>
      <c r="H4763" s="248"/>
      <c r="I4763" s="248"/>
      <c r="J4763" s="247"/>
      <c r="K4763" s="249"/>
    </row>
    <row r="4764" spans="1:11" s="90" customFormat="1" ht="12.75" customHeight="1" x14ac:dyDescent="0.2">
      <c r="A4764" s="247"/>
      <c r="B4764" s="316"/>
      <c r="C4764" s="247"/>
      <c r="D4764" s="317"/>
      <c r="E4764" s="318"/>
      <c r="F4764" s="247"/>
      <c r="G4764" s="247"/>
      <c r="H4764" s="248"/>
      <c r="I4764" s="248"/>
      <c r="J4764" s="247"/>
      <c r="K4764" s="249"/>
    </row>
    <row r="4765" spans="1:11" s="90" customFormat="1" ht="12.75" customHeight="1" x14ac:dyDescent="0.2">
      <c r="A4765" s="247"/>
      <c r="B4765" s="316"/>
      <c r="C4765" s="247"/>
      <c r="D4765" s="317"/>
      <c r="E4765" s="318"/>
      <c r="F4765" s="247"/>
      <c r="G4765" s="247"/>
      <c r="H4765" s="248"/>
      <c r="I4765" s="248"/>
      <c r="J4765" s="247"/>
      <c r="K4765" s="249"/>
    </row>
    <row r="4766" spans="1:11" s="90" customFormat="1" ht="12.75" customHeight="1" x14ac:dyDescent="0.2">
      <c r="A4766" s="247"/>
      <c r="B4766" s="316"/>
      <c r="C4766" s="247"/>
      <c r="D4766" s="317"/>
      <c r="E4766" s="318"/>
      <c r="F4766" s="247"/>
      <c r="G4766" s="247"/>
      <c r="H4766" s="248"/>
      <c r="I4766" s="248"/>
      <c r="J4766" s="247"/>
      <c r="K4766" s="249"/>
    </row>
    <row r="4767" spans="1:11" s="90" customFormat="1" ht="12.75" customHeight="1" x14ac:dyDescent="0.2">
      <c r="A4767" s="247"/>
      <c r="B4767" s="316"/>
      <c r="C4767" s="247"/>
      <c r="D4767" s="317"/>
      <c r="E4767" s="318"/>
      <c r="F4767" s="247"/>
      <c r="G4767" s="247"/>
      <c r="H4767" s="248"/>
      <c r="I4767" s="248"/>
      <c r="J4767" s="247"/>
      <c r="K4767" s="249"/>
    </row>
    <row r="4768" spans="1:11" s="90" customFormat="1" ht="12.75" customHeight="1" x14ac:dyDescent="0.2">
      <c r="A4768" s="247"/>
      <c r="B4768" s="316"/>
      <c r="C4768" s="247"/>
      <c r="D4768" s="317"/>
      <c r="E4768" s="318"/>
      <c r="F4768" s="247"/>
      <c r="G4768" s="247"/>
      <c r="H4768" s="248"/>
      <c r="I4768" s="248"/>
      <c r="J4768" s="247"/>
      <c r="K4768" s="249"/>
    </row>
    <row r="4769" spans="1:11" s="90" customFormat="1" ht="12.75" customHeight="1" x14ac:dyDescent="0.2">
      <c r="A4769" s="247"/>
      <c r="B4769" s="316"/>
      <c r="C4769" s="247"/>
      <c r="D4769" s="317"/>
      <c r="E4769" s="318"/>
      <c r="F4769" s="247"/>
      <c r="G4769" s="247"/>
      <c r="H4769" s="248"/>
      <c r="I4769" s="248"/>
      <c r="J4769" s="247"/>
      <c r="K4769" s="249"/>
    </row>
    <row r="4770" spans="1:11" s="90" customFormat="1" ht="12.75" customHeight="1" x14ac:dyDescent="0.2">
      <c r="A4770" s="247"/>
      <c r="B4770" s="316"/>
      <c r="C4770" s="247"/>
      <c r="D4770" s="317"/>
      <c r="E4770" s="318"/>
      <c r="F4770" s="247"/>
      <c r="G4770" s="247"/>
      <c r="H4770" s="248"/>
      <c r="I4770" s="248"/>
      <c r="J4770" s="247"/>
      <c r="K4770" s="249"/>
    </row>
    <row r="4771" spans="1:11" s="90" customFormat="1" ht="12.75" customHeight="1" x14ac:dyDescent="0.2">
      <c r="A4771" s="247"/>
      <c r="B4771" s="316"/>
      <c r="C4771" s="247"/>
      <c r="D4771" s="317"/>
      <c r="E4771" s="318"/>
      <c r="F4771" s="247"/>
      <c r="G4771" s="247"/>
      <c r="H4771" s="248"/>
      <c r="I4771" s="248"/>
      <c r="J4771" s="247"/>
      <c r="K4771" s="249"/>
    </row>
    <row r="4772" spans="1:11" s="90" customFormat="1" ht="12.75" customHeight="1" x14ac:dyDescent="0.2">
      <c r="A4772" s="247"/>
      <c r="B4772" s="316"/>
      <c r="C4772" s="247"/>
      <c r="D4772" s="317"/>
      <c r="E4772" s="318"/>
      <c r="F4772" s="247"/>
      <c r="G4772" s="247"/>
      <c r="H4772" s="248"/>
      <c r="I4772" s="248"/>
      <c r="J4772" s="247"/>
      <c r="K4772" s="249"/>
    </row>
    <row r="4773" spans="1:11" s="90" customFormat="1" ht="12.75" customHeight="1" x14ac:dyDescent="0.2">
      <c r="A4773" s="247"/>
      <c r="B4773" s="316"/>
      <c r="C4773" s="247"/>
      <c r="D4773" s="317"/>
      <c r="E4773" s="318"/>
      <c r="F4773" s="247"/>
      <c r="G4773" s="247"/>
      <c r="H4773" s="248"/>
      <c r="I4773" s="248"/>
      <c r="J4773" s="247"/>
      <c r="K4773" s="249"/>
    </row>
    <row r="4774" spans="1:11" s="90" customFormat="1" ht="12.75" customHeight="1" x14ac:dyDescent="0.2">
      <c r="A4774" s="247"/>
      <c r="B4774" s="316"/>
      <c r="C4774" s="247"/>
      <c r="D4774" s="317"/>
      <c r="E4774" s="318"/>
      <c r="F4774" s="247"/>
      <c r="G4774" s="247"/>
      <c r="H4774" s="248"/>
      <c r="I4774" s="248"/>
      <c r="J4774" s="247"/>
      <c r="K4774" s="249"/>
    </row>
    <row r="4775" spans="1:11" s="90" customFormat="1" ht="12.75" customHeight="1" x14ac:dyDescent="0.2">
      <c r="A4775" s="247"/>
      <c r="B4775" s="316"/>
      <c r="C4775" s="247"/>
      <c r="D4775" s="317"/>
      <c r="E4775" s="318"/>
      <c r="F4775" s="247"/>
      <c r="G4775" s="247"/>
      <c r="H4775" s="248"/>
      <c r="I4775" s="248"/>
      <c r="J4775" s="247"/>
      <c r="K4775" s="249"/>
    </row>
    <row r="4776" spans="1:11" s="90" customFormat="1" ht="12.75" customHeight="1" x14ac:dyDescent="0.2">
      <c r="A4776" s="247"/>
      <c r="B4776" s="316"/>
      <c r="C4776" s="247"/>
      <c r="D4776" s="317"/>
      <c r="E4776" s="318"/>
      <c r="F4776" s="247"/>
      <c r="G4776" s="247"/>
      <c r="H4776" s="248"/>
      <c r="I4776" s="248"/>
      <c r="J4776" s="247"/>
      <c r="K4776" s="249"/>
    </row>
    <row r="4777" spans="1:11" s="90" customFormat="1" ht="12.75" customHeight="1" x14ac:dyDescent="0.2">
      <c r="A4777" s="247"/>
      <c r="B4777" s="316"/>
      <c r="C4777" s="247"/>
      <c r="D4777" s="317"/>
      <c r="E4777" s="318"/>
      <c r="F4777" s="247"/>
      <c r="G4777" s="247"/>
      <c r="H4777" s="248"/>
      <c r="I4777" s="248"/>
      <c r="J4777" s="247"/>
      <c r="K4777" s="249"/>
    </row>
    <row r="4778" spans="1:11" s="90" customFormat="1" ht="12.75" customHeight="1" x14ac:dyDescent="0.2">
      <c r="A4778" s="247"/>
      <c r="B4778" s="316"/>
      <c r="C4778" s="247"/>
      <c r="D4778" s="317"/>
      <c r="E4778" s="318"/>
      <c r="F4778" s="247"/>
      <c r="G4778" s="247"/>
      <c r="H4778" s="248"/>
      <c r="I4778" s="248"/>
      <c r="J4778" s="247"/>
      <c r="K4778" s="249"/>
    </row>
    <row r="4779" spans="1:11" s="90" customFormat="1" ht="12.75" customHeight="1" x14ac:dyDescent="0.2">
      <c r="A4779" s="247"/>
      <c r="B4779" s="316"/>
      <c r="C4779" s="247"/>
      <c r="D4779" s="317"/>
      <c r="E4779" s="318"/>
      <c r="F4779" s="247"/>
      <c r="G4779" s="247"/>
      <c r="H4779" s="248"/>
      <c r="I4779" s="248"/>
      <c r="J4779" s="247"/>
      <c r="K4779" s="249"/>
    </row>
    <row r="4780" spans="1:11" s="90" customFormat="1" ht="12.75" customHeight="1" x14ac:dyDescent="0.2">
      <c r="A4780" s="247"/>
      <c r="B4780" s="316"/>
      <c r="C4780" s="247"/>
      <c r="D4780" s="317"/>
      <c r="E4780" s="318"/>
      <c r="F4780" s="247"/>
      <c r="G4780" s="247"/>
      <c r="H4780" s="248"/>
      <c r="I4780" s="248"/>
      <c r="J4780" s="247"/>
      <c r="K4780" s="249"/>
    </row>
    <row r="4781" spans="1:11" s="90" customFormat="1" ht="12.75" customHeight="1" x14ac:dyDescent="0.2">
      <c r="A4781" s="247"/>
      <c r="B4781" s="316"/>
      <c r="C4781" s="247"/>
      <c r="D4781" s="317"/>
      <c r="E4781" s="318"/>
      <c r="F4781" s="247"/>
      <c r="G4781" s="247"/>
      <c r="H4781" s="248"/>
      <c r="I4781" s="248"/>
      <c r="J4781" s="247"/>
      <c r="K4781" s="249"/>
    </row>
    <row r="4782" spans="1:11" s="90" customFormat="1" ht="12.75" customHeight="1" x14ac:dyDescent="0.2">
      <c r="A4782" s="247"/>
      <c r="B4782" s="316"/>
      <c r="C4782" s="247"/>
      <c r="D4782" s="317"/>
      <c r="E4782" s="318"/>
      <c r="F4782" s="247"/>
      <c r="G4782" s="247"/>
      <c r="H4782" s="248"/>
      <c r="I4782" s="248"/>
      <c r="J4782" s="247"/>
      <c r="K4782" s="249"/>
    </row>
    <row r="4783" spans="1:11" s="90" customFormat="1" ht="12.75" customHeight="1" x14ac:dyDescent="0.2">
      <c r="A4783" s="247"/>
      <c r="B4783" s="316"/>
      <c r="C4783" s="247"/>
      <c r="D4783" s="317"/>
      <c r="E4783" s="318"/>
      <c r="F4783" s="247"/>
      <c r="G4783" s="247"/>
      <c r="H4783" s="248"/>
      <c r="I4783" s="248"/>
      <c r="J4783" s="247"/>
      <c r="K4783" s="249"/>
    </row>
    <row r="4784" spans="1:11" s="90" customFormat="1" ht="12.75" customHeight="1" x14ac:dyDescent="0.2">
      <c r="A4784" s="247"/>
      <c r="B4784" s="316"/>
      <c r="C4784" s="247"/>
      <c r="D4784" s="317"/>
      <c r="E4784" s="318"/>
      <c r="F4784" s="247"/>
      <c r="G4784" s="247"/>
      <c r="H4784" s="248"/>
      <c r="I4784" s="248"/>
      <c r="J4784" s="247"/>
      <c r="K4784" s="249"/>
    </row>
    <row r="4785" spans="1:11" s="90" customFormat="1" ht="12.75" customHeight="1" x14ac:dyDescent="0.2">
      <c r="A4785" s="247"/>
      <c r="B4785" s="316"/>
      <c r="C4785" s="247"/>
      <c r="D4785" s="317"/>
      <c r="E4785" s="318"/>
      <c r="F4785" s="247"/>
      <c r="G4785" s="247"/>
      <c r="H4785" s="248"/>
      <c r="I4785" s="248"/>
      <c r="J4785" s="247"/>
      <c r="K4785" s="249"/>
    </row>
    <row r="4786" spans="1:11" s="90" customFormat="1" ht="12.75" customHeight="1" x14ac:dyDescent="0.2">
      <c r="A4786" s="247"/>
      <c r="B4786" s="316"/>
      <c r="C4786" s="247"/>
      <c r="D4786" s="317"/>
      <c r="E4786" s="318"/>
      <c r="F4786" s="247"/>
      <c r="G4786" s="247"/>
      <c r="H4786" s="248"/>
      <c r="I4786" s="248"/>
      <c r="J4786" s="247"/>
      <c r="K4786" s="249"/>
    </row>
    <row r="4787" spans="1:11" s="90" customFormat="1" ht="12.75" customHeight="1" x14ac:dyDescent="0.2">
      <c r="A4787" s="247"/>
      <c r="B4787" s="316"/>
      <c r="C4787" s="247"/>
      <c r="D4787" s="317"/>
      <c r="E4787" s="318"/>
      <c r="F4787" s="247"/>
      <c r="G4787" s="247"/>
      <c r="H4787" s="248"/>
      <c r="I4787" s="248"/>
      <c r="J4787" s="247"/>
      <c r="K4787" s="249"/>
    </row>
    <row r="4788" spans="1:11" s="90" customFormat="1" ht="12.75" customHeight="1" x14ac:dyDescent="0.2">
      <c r="A4788" s="247"/>
      <c r="B4788" s="316"/>
      <c r="C4788" s="247"/>
      <c r="D4788" s="317"/>
      <c r="E4788" s="318"/>
      <c r="F4788" s="247"/>
      <c r="G4788" s="247"/>
      <c r="H4788" s="248"/>
      <c r="I4788" s="248"/>
      <c r="J4788" s="247"/>
      <c r="K4788" s="249"/>
    </row>
    <row r="4789" spans="1:11" s="90" customFormat="1" ht="12.75" customHeight="1" x14ac:dyDescent="0.2">
      <c r="A4789" s="247"/>
      <c r="B4789" s="316"/>
      <c r="C4789" s="247"/>
      <c r="D4789" s="317"/>
      <c r="E4789" s="318"/>
      <c r="F4789" s="247"/>
      <c r="G4789" s="247"/>
      <c r="H4789" s="248"/>
      <c r="I4789" s="248"/>
      <c r="J4789" s="247"/>
      <c r="K4789" s="249"/>
    </row>
    <row r="4790" spans="1:11" s="90" customFormat="1" ht="12.75" customHeight="1" x14ac:dyDescent="0.2">
      <c r="A4790" s="247"/>
      <c r="B4790" s="316"/>
      <c r="C4790" s="247"/>
      <c r="D4790" s="317"/>
      <c r="E4790" s="318"/>
      <c r="F4790" s="247"/>
      <c r="G4790" s="247"/>
      <c r="H4790" s="248"/>
      <c r="I4790" s="248"/>
      <c r="J4790" s="247"/>
      <c r="K4790" s="249"/>
    </row>
    <row r="4791" spans="1:11" s="90" customFormat="1" ht="12.75" customHeight="1" x14ac:dyDescent="0.2">
      <c r="A4791" s="247"/>
      <c r="B4791" s="316"/>
      <c r="C4791" s="247"/>
      <c r="D4791" s="317"/>
      <c r="E4791" s="318"/>
      <c r="F4791" s="247"/>
      <c r="G4791" s="247"/>
      <c r="H4791" s="248"/>
      <c r="I4791" s="248"/>
      <c r="J4791" s="247"/>
      <c r="K4791" s="249"/>
    </row>
    <row r="4792" spans="1:11" s="90" customFormat="1" ht="12.75" customHeight="1" x14ac:dyDescent="0.2">
      <c r="A4792" s="247"/>
      <c r="B4792" s="316"/>
      <c r="C4792" s="247"/>
      <c r="D4792" s="317"/>
      <c r="E4792" s="318"/>
      <c r="F4792" s="247"/>
      <c r="G4792" s="247"/>
      <c r="H4792" s="248"/>
      <c r="I4792" s="248"/>
      <c r="J4792" s="247"/>
      <c r="K4792" s="249"/>
    </row>
    <row r="4793" spans="1:11" s="90" customFormat="1" ht="12.75" customHeight="1" x14ac:dyDescent="0.2">
      <c r="A4793" s="247"/>
      <c r="B4793" s="316"/>
      <c r="C4793" s="247"/>
      <c r="D4793" s="317"/>
      <c r="E4793" s="318"/>
      <c r="F4793" s="247"/>
      <c r="G4793" s="247"/>
      <c r="H4793" s="248"/>
      <c r="I4793" s="248"/>
      <c r="J4793" s="247"/>
      <c r="K4793" s="249"/>
    </row>
    <row r="4794" spans="1:11" s="90" customFormat="1" ht="12.75" customHeight="1" x14ac:dyDescent="0.2">
      <c r="A4794" s="247"/>
      <c r="B4794" s="316"/>
      <c r="C4794" s="247"/>
      <c r="D4794" s="317"/>
      <c r="E4794" s="318"/>
      <c r="F4794" s="247"/>
      <c r="G4794" s="247"/>
      <c r="H4794" s="248"/>
      <c r="I4794" s="248"/>
      <c r="J4794" s="247"/>
      <c r="K4794" s="249"/>
    </row>
    <row r="4795" spans="1:11" s="90" customFormat="1" ht="12.75" customHeight="1" x14ac:dyDescent="0.2">
      <c r="A4795" s="247"/>
      <c r="B4795" s="316"/>
      <c r="C4795" s="247"/>
      <c r="D4795" s="317"/>
      <c r="E4795" s="318"/>
      <c r="F4795" s="247"/>
      <c r="G4795" s="247"/>
      <c r="H4795" s="248"/>
      <c r="I4795" s="248"/>
      <c r="J4795" s="247"/>
      <c r="K4795" s="249"/>
    </row>
    <row r="4796" spans="1:11" s="90" customFormat="1" ht="12.75" customHeight="1" x14ac:dyDescent="0.2">
      <c r="A4796" s="247"/>
      <c r="B4796" s="316"/>
      <c r="C4796" s="247"/>
      <c r="D4796" s="317"/>
      <c r="E4796" s="318"/>
      <c r="F4796" s="247"/>
      <c r="G4796" s="247"/>
      <c r="H4796" s="248"/>
      <c r="I4796" s="248"/>
      <c r="J4796" s="247"/>
      <c r="K4796" s="249"/>
    </row>
    <row r="4797" spans="1:11" s="90" customFormat="1" ht="12.75" customHeight="1" x14ac:dyDescent="0.2">
      <c r="A4797" s="247"/>
      <c r="B4797" s="316"/>
      <c r="C4797" s="247"/>
      <c r="D4797" s="317"/>
      <c r="E4797" s="318"/>
      <c r="F4797" s="247"/>
      <c r="G4797" s="247"/>
      <c r="H4797" s="248"/>
      <c r="I4797" s="248"/>
      <c r="J4797" s="247"/>
      <c r="K4797" s="249"/>
    </row>
    <row r="4798" spans="1:11" s="90" customFormat="1" ht="12.75" customHeight="1" x14ac:dyDescent="0.2">
      <c r="A4798" s="247"/>
      <c r="B4798" s="316"/>
      <c r="C4798" s="247"/>
      <c r="D4798" s="317"/>
      <c r="E4798" s="318"/>
      <c r="F4798" s="247"/>
      <c r="G4798" s="247"/>
      <c r="H4798" s="248"/>
      <c r="I4798" s="248"/>
      <c r="J4798" s="247"/>
      <c r="K4798" s="249"/>
    </row>
    <row r="4799" spans="1:11" s="90" customFormat="1" ht="12.75" customHeight="1" x14ac:dyDescent="0.2">
      <c r="A4799" s="247"/>
      <c r="B4799" s="316"/>
      <c r="C4799" s="247"/>
      <c r="D4799" s="317"/>
      <c r="E4799" s="318"/>
      <c r="F4799" s="247"/>
      <c r="G4799" s="247"/>
      <c r="H4799" s="248"/>
      <c r="I4799" s="248"/>
      <c r="J4799" s="247"/>
      <c r="K4799" s="249"/>
    </row>
    <row r="4800" spans="1:11" s="90" customFormat="1" ht="12.75" customHeight="1" x14ac:dyDescent="0.2">
      <c r="A4800" s="247"/>
      <c r="B4800" s="316"/>
      <c r="C4800" s="247"/>
      <c r="D4800" s="317"/>
      <c r="E4800" s="318"/>
      <c r="F4800" s="247"/>
      <c r="G4800" s="247"/>
      <c r="H4800" s="248"/>
      <c r="I4800" s="248"/>
      <c r="J4800" s="247"/>
      <c r="K4800" s="249"/>
    </row>
    <row r="4801" spans="1:11" s="90" customFormat="1" ht="12.75" customHeight="1" x14ac:dyDescent="0.2">
      <c r="A4801" s="247"/>
      <c r="B4801" s="316"/>
      <c r="C4801" s="247"/>
      <c r="D4801" s="317"/>
      <c r="E4801" s="318"/>
      <c r="F4801" s="247"/>
      <c r="G4801" s="247"/>
      <c r="H4801" s="248"/>
      <c r="I4801" s="248"/>
      <c r="J4801" s="247"/>
      <c r="K4801" s="249"/>
    </row>
    <row r="4802" spans="1:11" s="90" customFormat="1" ht="12.75" customHeight="1" x14ac:dyDescent="0.2">
      <c r="A4802" s="247"/>
      <c r="B4802" s="316"/>
      <c r="C4802" s="247"/>
      <c r="D4802" s="317"/>
      <c r="E4802" s="318"/>
      <c r="F4802" s="247"/>
      <c r="G4802" s="247"/>
      <c r="H4802" s="248"/>
      <c r="I4802" s="248"/>
      <c r="J4802" s="247"/>
      <c r="K4802" s="249"/>
    </row>
    <row r="4803" spans="1:11" s="90" customFormat="1" ht="12.75" customHeight="1" x14ac:dyDescent="0.2">
      <c r="A4803" s="247"/>
      <c r="B4803" s="316"/>
      <c r="C4803" s="247"/>
      <c r="D4803" s="317"/>
      <c r="E4803" s="318"/>
      <c r="F4803" s="247"/>
      <c r="G4803" s="247"/>
      <c r="H4803" s="248"/>
      <c r="I4803" s="248"/>
      <c r="J4803" s="247"/>
      <c r="K4803" s="249"/>
    </row>
    <row r="4804" spans="1:11" s="90" customFormat="1" ht="12.75" customHeight="1" x14ac:dyDescent="0.2">
      <c r="A4804" s="247"/>
      <c r="B4804" s="316"/>
      <c r="C4804" s="247"/>
      <c r="D4804" s="317"/>
      <c r="E4804" s="318"/>
      <c r="F4804" s="247"/>
      <c r="G4804" s="247"/>
      <c r="H4804" s="248"/>
      <c r="I4804" s="248"/>
      <c r="J4804" s="247"/>
      <c r="K4804" s="249"/>
    </row>
    <row r="4805" spans="1:11" s="90" customFormat="1" ht="12.75" customHeight="1" x14ac:dyDescent="0.2">
      <c r="A4805" s="247"/>
      <c r="B4805" s="316"/>
      <c r="C4805" s="247"/>
      <c r="D4805" s="317"/>
      <c r="E4805" s="318"/>
      <c r="F4805" s="247"/>
      <c r="G4805" s="247"/>
      <c r="H4805" s="248"/>
      <c r="I4805" s="248"/>
      <c r="J4805" s="247"/>
      <c r="K4805" s="249"/>
    </row>
    <row r="4806" spans="1:11" s="90" customFormat="1" ht="12.75" customHeight="1" x14ac:dyDescent="0.2">
      <c r="A4806" s="247"/>
      <c r="B4806" s="316"/>
      <c r="C4806" s="247"/>
      <c r="D4806" s="317"/>
      <c r="E4806" s="318"/>
      <c r="F4806" s="247"/>
      <c r="G4806" s="247"/>
      <c r="H4806" s="248"/>
      <c r="I4806" s="248"/>
      <c r="J4806" s="247"/>
      <c r="K4806" s="249"/>
    </row>
    <row r="4807" spans="1:11" s="90" customFormat="1" ht="12.75" customHeight="1" x14ac:dyDescent="0.2">
      <c r="A4807" s="247"/>
      <c r="B4807" s="316"/>
      <c r="C4807" s="247"/>
      <c r="D4807" s="317"/>
      <c r="E4807" s="318"/>
      <c r="F4807" s="247"/>
      <c r="G4807" s="247"/>
      <c r="H4807" s="248"/>
      <c r="I4807" s="248"/>
      <c r="J4807" s="247"/>
      <c r="K4807" s="249"/>
    </row>
    <row r="4808" spans="1:11" s="90" customFormat="1" ht="12.75" customHeight="1" x14ac:dyDescent="0.2">
      <c r="A4808" s="247"/>
      <c r="B4808" s="316"/>
      <c r="C4808" s="247"/>
      <c r="D4808" s="317"/>
      <c r="E4808" s="318"/>
      <c r="F4808" s="247"/>
      <c r="G4808" s="247"/>
      <c r="H4808" s="248"/>
      <c r="I4808" s="248"/>
      <c r="J4808" s="247"/>
      <c r="K4808" s="249"/>
    </row>
    <row r="4809" spans="1:11" s="90" customFormat="1" ht="12.75" customHeight="1" x14ac:dyDescent="0.2">
      <c r="A4809" s="247"/>
      <c r="B4809" s="316"/>
      <c r="C4809" s="247"/>
      <c r="D4809" s="317"/>
      <c r="E4809" s="318"/>
      <c r="F4809" s="247"/>
      <c r="G4809" s="247"/>
      <c r="H4809" s="248"/>
      <c r="I4809" s="248"/>
      <c r="J4809" s="247"/>
      <c r="K4809" s="249"/>
    </row>
    <row r="4810" spans="1:11" s="90" customFormat="1" ht="12.75" customHeight="1" x14ac:dyDescent="0.2">
      <c r="A4810" s="247"/>
      <c r="B4810" s="316"/>
      <c r="C4810" s="247"/>
      <c r="D4810" s="317"/>
      <c r="E4810" s="318"/>
      <c r="F4810" s="247"/>
      <c r="G4810" s="247"/>
      <c r="H4810" s="248"/>
      <c r="I4810" s="248"/>
      <c r="J4810" s="247"/>
      <c r="K4810" s="249"/>
    </row>
    <row r="4811" spans="1:11" s="90" customFormat="1" ht="12.75" customHeight="1" x14ac:dyDescent="0.2">
      <c r="A4811" s="247"/>
      <c r="B4811" s="316"/>
      <c r="C4811" s="247"/>
      <c r="D4811" s="317"/>
      <c r="E4811" s="318"/>
      <c r="F4811" s="247"/>
      <c r="G4811" s="247"/>
      <c r="H4811" s="248"/>
      <c r="I4811" s="248"/>
      <c r="J4811" s="247"/>
      <c r="K4811" s="249"/>
    </row>
    <row r="4812" spans="1:11" s="90" customFormat="1" ht="12.75" customHeight="1" x14ac:dyDescent="0.2">
      <c r="A4812" s="247"/>
      <c r="B4812" s="316"/>
      <c r="C4812" s="247"/>
      <c r="D4812" s="317"/>
      <c r="E4812" s="318"/>
      <c r="F4812" s="247"/>
      <c r="G4812" s="247"/>
      <c r="H4812" s="248"/>
      <c r="I4812" s="248"/>
      <c r="J4812" s="247"/>
      <c r="K4812" s="249"/>
    </row>
    <row r="4813" spans="1:11" s="90" customFormat="1" ht="12.75" customHeight="1" x14ac:dyDescent="0.2">
      <c r="A4813" s="247"/>
      <c r="B4813" s="316"/>
      <c r="C4813" s="247"/>
      <c r="D4813" s="317"/>
      <c r="E4813" s="318"/>
      <c r="F4813" s="247"/>
      <c r="G4813" s="247"/>
      <c r="H4813" s="248"/>
      <c r="I4813" s="248"/>
      <c r="J4813" s="247"/>
      <c r="K4813" s="249"/>
    </row>
    <row r="4814" spans="1:11" s="90" customFormat="1" ht="12.75" customHeight="1" x14ac:dyDescent="0.2">
      <c r="A4814" s="247"/>
      <c r="B4814" s="316"/>
      <c r="C4814" s="247"/>
      <c r="D4814" s="317"/>
      <c r="E4814" s="318"/>
      <c r="F4814" s="247"/>
      <c r="G4814" s="247"/>
      <c r="H4814" s="248"/>
      <c r="I4814" s="248"/>
      <c r="J4814" s="247"/>
      <c r="K4814" s="249"/>
    </row>
    <row r="4815" spans="1:11" s="90" customFormat="1" ht="12.75" customHeight="1" x14ac:dyDescent="0.2">
      <c r="A4815" s="247"/>
      <c r="B4815" s="316"/>
      <c r="C4815" s="247"/>
      <c r="D4815" s="317"/>
      <c r="E4815" s="318"/>
      <c r="F4815" s="247"/>
      <c r="G4815" s="247"/>
      <c r="H4815" s="248"/>
      <c r="I4815" s="248"/>
      <c r="J4815" s="247"/>
      <c r="K4815" s="249"/>
    </row>
    <row r="4816" spans="1:11" s="90" customFormat="1" ht="12.75" customHeight="1" x14ac:dyDescent="0.2">
      <c r="A4816" s="247"/>
      <c r="B4816" s="316"/>
      <c r="C4816" s="247"/>
      <c r="D4816" s="317"/>
      <c r="E4816" s="318"/>
      <c r="F4816" s="247"/>
      <c r="G4816" s="247"/>
      <c r="H4816" s="248"/>
      <c r="I4816" s="248"/>
      <c r="J4816" s="247"/>
      <c r="K4816" s="249"/>
    </row>
    <row r="4817" spans="1:11" s="90" customFormat="1" ht="12.75" customHeight="1" x14ac:dyDescent="0.2">
      <c r="A4817" s="247"/>
      <c r="B4817" s="316"/>
      <c r="C4817" s="247"/>
      <c r="D4817" s="317"/>
      <c r="E4817" s="318"/>
      <c r="F4817" s="247"/>
      <c r="G4817" s="247"/>
      <c r="H4817" s="248"/>
      <c r="I4817" s="248"/>
      <c r="J4817" s="247"/>
      <c r="K4817" s="249"/>
    </row>
    <row r="4818" spans="1:11" s="90" customFormat="1" ht="12.75" customHeight="1" x14ac:dyDescent="0.2">
      <c r="A4818" s="247"/>
      <c r="B4818" s="316"/>
      <c r="C4818" s="247"/>
      <c r="D4818" s="317"/>
      <c r="E4818" s="318"/>
      <c r="F4818" s="247"/>
      <c r="G4818" s="247"/>
      <c r="H4818" s="248"/>
      <c r="I4818" s="248"/>
      <c r="J4818" s="247"/>
      <c r="K4818" s="249"/>
    </row>
    <row r="4819" spans="1:11" s="90" customFormat="1" ht="12.75" customHeight="1" x14ac:dyDescent="0.2">
      <c r="A4819" s="247"/>
      <c r="B4819" s="316"/>
      <c r="C4819" s="247"/>
      <c r="D4819" s="317"/>
      <c r="E4819" s="318"/>
      <c r="F4819" s="247"/>
      <c r="G4819" s="247"/>
      <c r="H4819" s="248"/>
      <c r="I4819" s="248"/>
      <c r="J4819" s="247"/>
      <c r="K4819" s="249"/>
    </row>
    <row r="4820" spans="1:11" s="90" customFormat="1" ht="12.75" customHeight="1" x14ac:dyDescent="0.2">
      <c r="A4820" s="247"/>
      <c r="B4820" s="316"/>
      <c r="C4820" s="247"/>
      <c r="D4820" s="317"/>
      <c r="E4820" s="318"/>
      <c r="F4820" s="247"/>
      <c r="G4820" s="247"/>
      <c r="H4820" s="248"/>
      <c r="I4820" s="248"/>
      <c r="J4820" s="247"/>
      <c r="K4820" s="249"/>
    </row>
    <row r="4821" spans="1:11" s="90" customFormat="1" ht="12.75" customHeight="1" x14ac:dyDescent="0.2">
      <c r="A4821" s="247"/>
      <c r="B4821" s="316"/>
      <c r="C4821" s="247"/>
      <c r="D4821" s="317"/>
      <c r="E4821" s="318"/>
      <c r="F4821" s="247"/>
      <c r="G4821" s="247"/>
      <c r="H4821" s="248"/>
      <c r="I4821" s="248"/>
      <c r="J4821" s="247"/>
      <c r="K4821" s="249"/>
    </row>
    <row r="4822" spans="1:11" s="90" customFormat="1" ht="12.75" customHeight="1" x14ac:dyDescent="0.2">
      <c r="A4822" s="247"/>
      <c r="B4822" s="316"/>
      <c r="C4822" s="247"/>
      <c r="D4822" s="317"/>
      <c r="E4822" s="318"/>
      <c r="F4822" s="247"/>
      <c r="G4822" s="247"/>
      <c r="H4822" s="248"/>
      <c r="I4822" s="248"/>
      <c r="J4822" s="247"/>
      <c r="K4822" s="249"/>
    </row>
    <row r="4823" spans="1:11" s="90" customFormat="1" ht="12.75" customHeight="1" x14ac:dyDescent="0.2">
      <c r="A4823" s="247"/>
      <c r="B4823" s="316"/>
      <c r="C4823" s="247"/>
      <c r="D4823" s="317"/>
      <c r="E4823" s="318"/>
      <c r="F4823" s="247"/>
      <c r="G4823" s="247"/>
      <c r="H4823" s="248"/>
      <c r="I4823" s="248"/>
      <c r="J4823" s="247"/>
      <c r="K4823" s="249"/>
    </row>
    <row r="4824" spans="1:11" s="90" customFormat="1" ht="12.75" customHeight="1" x14ac:dyDescent="0.2">
      <c r="A4824" s="247"/>
      <c r="B4824" s="316"/>
      <c r="C4824" s="247"/>
      <c r="D4824" s="317"/>
      <c r="E4824" s="318"/>
      <c r="F4824" s="247"/>
      <c r="G4824" s="247"/>
      <c r="H4824" s="248"/>
      <c r="I4824" s="248"/>
      <c r="J4824" s="247"/>
      <c r="K4824" s="249"/>
    </row>
    <row r="4825" spans="1:11" s="90" customFormat="1" ht="12.75" customHeight="1" x14ac:dyDescent="0.2">
      <c r="A4825" s="247"/>
      <c r="B4825" s="316"/>
      <c r="C4825" s="247"/>
      <c r="D4825" s="317"/>
      <c r="E4825" s="318"/>
      <c r="F4825" s="247"/>
      <c r="G4825" s="247"/>
      <c r="H4825" s="248"/>
      <c r="I4825" s="248"/>
      <c r="J4825" s="247"/>
      <c r="K4825" s="249"/>
    </row>
    <row r="4826" spans="1:11" s="90" customFormat="1" ht="12.75" customHeight="1" x14ac:dyDescent="0.2">
      <c r="A4826" s="247"/>
      <c r="B4826" s="316"/>
      <c r="C4826" s="247"/>
      <c r="D4826" s="317"/>
      <c r="E4826" s="318"/>
      <c r="F4826" s="247"/>
      <c r="G4826" s="247"/>
      <c r="H4826" s="248"/>
      <c r="I4826" s="248"/>
      <c r="J4826" s="247"/>
      <c r="K4826" s="249"/>
    </row>
    <row r="4827" spans="1:11" s="90" customFormat="1" ht="12.75" customHeight="1" x14ac:dyDescent="0.2">
      <c r="A4827" s="247"/>
      <c r="B4827" s="316"/>
      <c r="C4827" s="247"/>
      <c r="D4827" s="317"/>
      <c r="E4827" s="318"/>
      <c r="F4827" s="247"/>
      <c r="G4827" s="247"/>
      <c r="H4827" s="248"/>
      <c r="I4827" s="248"/>
      <c r="J4827" s="247"/>
      <c r="K4827" s="249"/>
    </row>
    <row r="4828" spans="1:11" s="90" customFormat="1" ht="12.75" customHeight="1" x14ac:dyDescent="0.2">
      <c r="A4828" s="247"/>
      <c r="B4828" s="316"/>
      <c r="C4828" s="247"/>
      <c r="D4828" s="317"/>
      <c r="E4828" s="318"/>
      <c r="F4828" s="247"/>
      <c r="G4828" s="247"/>
      <c r="H4828" s="248"/>
      <c r="I4828" s="248"/>
      <c r="J4828" s="247"/>
      <c r="K4828" s="249"/>
    </row>
    <row r="4829" spans="1:11" s="90" customFormat="1" ht="12.75" customHeight="1" x14ac:dyDescent="0.2">
      <c r="A4829" s="247"/>
      <c r="B4829" s="316"/>
      <c r="C4829" s="247"/>
      <c r="D4829" s="317"/>
      <c r="E4829" s="318"/>
      <c r="F4829" s="247"/>
      <c r="G4829" s="247"/>
      <c r="H4829" s="248"/>
      <c r="I4829" s="248"/>
      <c r="J4829" s="247"/>
      <c r="K4829" s="249"/>
    </row>
    <row r="4830" spans="1:11" s="90" customFormat="1" ht="12.75" customHeight="1" x14ac:dyDescent="0.2">
      <c r="A4830" s="247"/>
      <c r="B4830" s="316"/>
      <c r="C4830" s="247"/>
      <c r="D4830" s="317"/>
      <c r="E4830" s="318"/>
      <c r="F4830" s="247"/>
      <c r="G4830" s="247"/>
      <c r="H4830" s="248"/>
      <c r="I4830" s="248"/>
      <c r="J4830" s="247"/>
      <c r="K4830" s="249"/>
    </row>
    <row r="4831" spans="1:11" s="90" customFormat="1" ht="12.75" customHeight="1" x14ac:dyDescent="0.2">
      <c r="A4831" s="247"/>
      <c r="B4831" s="316"/>
      <c r="C4831" s="247"/>
      <c r="D4831" s="317"/>
      <c r="E4831" s="318"/>
      <c r="F4831" s="247"/>
      <c r="G4831" s="247"/>
      <c r="H4831" s="248"/>
      <c r="I4831" s="248"/>
      <c r="J4831" s="247"/>
      <c r="K4831" s="249"/>
    </row>
    <row r="4832" spans="1:11" s="90" customFormat="1" ht="12.75" customHeight="1" x14ac:dyDescent="0.2">
      <c r="A4832" s="247"/>
      <c r="B4832" s="316"/>
      <c r="C4832" s="247"/>
      <c r="D4832" s="317"/>
      <c r="E4832" s="318"/>
      <c r="F4832" s="247"/>
      <c r="G4832" s="247"/>
      <c r="H4832" s="248"/>
      <c r="I4832" s="248"/>
      <c r="J4832" s="247"/>
      <c r="K4832" s="249"/>
    </row>
    <row r="4833" spans="1:11" s="90" customFormat="1" ht="12.75" customHeight="1" x14ac:dyDescent="0.2">
      <c r="A4833" s="247"/>
      <c r="B4833" s="316"/>
      <c r="C4833" s="247"/>
      <c r="D4833" s="317"/>
      <c r="E4833" s="318"/>
      <c r="F4833" s="247"/>
      <c r="G4833" s="247"/>
      <c r="H4833" s="248"/>
      <c r="I4833" s="248"/>
      <c r="J4833" s="247"/>
      <c r="K4833" s="249"/>
    </row>
    <row r="4834" spans="1:11" s="90" customFormat="1" ht="12.75" customHeight="1" x14ac:dyDescent="0.2">
      <c r="A4834" s="247"/>
      <c r="B4834" s="316"/>
      <c r="C4834" s="247"/>
      <c r="D4834" s="317"/>
      <c r="E4834" s="318"/>
      <c r="F4834" s="247"/>
      <c r="G4834" s="247"/>
      <c r="H4834" s="248"/>
      <c r="I4834" s="248"/>
      <c r="J4834" s="247"/>
      <c r="K4834" s="249"/>
    </row>
    <row r="4835" spans="1:11" s="90" customFormat="1" ht="12.75" customHeight="1" x14ac:dyDescent="0.2">
      <c r="A4835" s="247"/>
      <c r="B4835" s="316"/>
      <c r="C4835" s="247"/>
      <c r="D4835" s="317"/>
      <c r="E4835" s="318"/>
      <c r="F4835" s="247"/>
      <c r="G4835" s="247"/>
      <c r="H4835" s="248"/>
      <c r="I4835" s="248"/>
      <c r="J4835" s="247"/>
      <c r="K4835" s="249"/>
    </row>
    <row r="4836" spans="1:11" s="90" customFormat="1" ht="12.75" customHeight="1" x14ac:dyDescent="0.2">
      <c r="A4836" s="247"/>
      <c r="B4836" s="316"/>
      <c r="C4836" s="247"/>
      <c r="D4836" s="317"/>
      <c r="E4836" s="318"/>
      <c r="F4836" s="247"/>
      <c r="G4836" s="247"/>
      <c r="H4836" s="248"/>
      <c r="I4836" s="248"/>
      <c r="J4836" s="247"/>
      <c r="K4836" s="249"/>
    </row>
    <row r="4837" spans="1:11" s="90" customFormat="1" ht="12.75" customHeight="1" x14ac:dyDescent="0.2">
      <c r="A4837" s="247"/>
      <c r="B4837" s="316"/>
      <c r="C4837" s="247"/>
      <c r="D4837" s="317"/>
      <c r="E4837" s="318"/>
      <c r="F4837" s="247"/>
      <c r="G4837" s="247"/>
      <c r="H4837" s="248"/>
      <c r="I4837" s="248"/>
      <c r="J4837" s="247"/>
      <c r="K4837" s="249"/>
    </row>
    <row r="4838" spans="1:11" s="90" customFormat="1" ht="12.75" customHeight="1" x14ac:dyDescent="0.2">
      <c r="A4838" s="247"/>
      <c r="B4838" s="316"/>
      <c r="C4838" s="247"/>
      <c r="D4838" s="317"/>
      <c r="E4838" s="318"/>
      <c r="F4838" s="247"/>
      <c r="G4838" s="247"/>
      <c r="H4838" s="248"/>
      <c r="I4838" s="248"/>
      <c r="J4838" s="247"/>
      <c r="K4838" s="249"/>
    </row>
    <row r="4839" spans="1:11" s="90" customFormat="1" ht="12.75" customHeight="1" x14ac:dyDescent="0.2">
      <c r="A4839" s="247"/>
      <c r="B4839" s="316"/>
      <c r="C4839" s="247"/>
      <c r="D4839" s="317"/>
      <c r="E4839" s="318"/>
      <c r="F4839" s="247"/>
      <c r="G4839" s="247"/>
      <c r="H4839" s="248"/>
      <c r="I4839" s="248"/>
      <c r="J4839" s="247"/>
      <c r="K4839" s="249"/>
    </row>
    <row r="4840" spans="1:11" s="90" customFormat="1" ht="12.75" customHeight="1" x14ac:dyDescent="0.2">
      <c r="A4840" s="247"/>
      <c r="B4840" s="316"/>
      <c r="C4840" s="247"/>
      <c r="D4840" s="317"/>
      <c r="E4840" s="318"/>
      <c r="F4840" s="247"/>
      <c r="G4840" s="247"/>
      <c r="H4840" s="248"/>
      <c r="I4840" s="248"/>
      <c r="J4840" s="247"/>
      <c r="K4840" s="249"/>
    </row>
    <row r="4841" spans="1:11" s="90" customFormat="1" ht="12.75" customHeight="1" x14ac:dyDescent="0.2">
      <c r="A4841" s="247"/>
      <c r="B4841" s="316"/>
      <c r="C4841" s="247"/>
      <c r="D4841" s="317"/>
      <c r="E4841" s="318"/>
      <c r="F4841" s="247"/>
      <c r="G4841" s="247"/>
      <c r="H4841" s="248"/>
      <c r="I4841" s="248"/>
      <c r="J4841" s="247"/>
      <c r="K4841" s="249"/>
    </row>
    <row r="4842" spans="1:11" s="90" customFormat="1" ht="12.75" customHeight="1" x14ac:dyDescent="0.2">
      <c r="A4842" s="247"/>
      <c r="B4842" s="316"/>
      <c r="C4842" s="247"/>
      <c r="D4842" s="317"/>
      <c r="E4842" s="318"/>
      <c r="F4842" s="247"/>
      <c r="G4842" s="247"/>
      <c r="H4842" s="248"/>
      <c r="I4842" s="248"/>
      <c r="J4842" s="247"/>
      <c r="K4842" s="249"/>
    </row>
    <row r="4843" spans="1:11" s="90" customFormat="1" ht="12.75" customHeight="1" x14ac:dyDescent="0.2">
      <c r="A4843" s="247"/>
      <c r="B4843" s="316"/>
      <c r="C4843" s="247"/>
      <c r="D4843" s="317"/>
      <c r="E4843" s="318"/>
      <c r="F4843" s="247"/>
      <c r="G4843" s="247"/>
      <c r="H4843" s="248"/>
      <c r="I4843" s="248"/>
      <c r="J4843" s="247"/>
      <c r="K4843" s="249"/>
    </row>
    <row r="4844" spans="1:11" s="90" customFormat="1" ht="12.75" customHeight="1" x14ac:dyDescent="0.2">
      <c r="A4844" s="247"/>
      <c r="B4844" s="316"/>
      <c r="C4844" s="247"/>
      <c r="D4844" s="317"/>
      <c r="E4844" s="318"/>
      <c r="F4844" s="247"/>
      <c r="G4844" s="247"/>
      <c r="H4844" s="248"/>
      <c r="I4844" s="248"/>
      <c r="J4844" s="247"/>
      <c r="K4844" s="249"/>
    </row>
    <row r="4845" spans="1:11" s="90" customFormat="1" ht="12.75" customHeight="1" x14ac:dyDescent="0.2">
      <c r="A4845" s="247"/>
      <c r="B4845" s="316"/>
      <c r="C4845" s="247"/>
      <c r="D4845" s="317"/>
      <c r="E4845" s="318"/>
      <c r="F4845" s="247"/>
      <c r="G4845" s="247"/>
      <c r="H4845" s="248"/>
      <c r="I4845" s="248"/>
      <c r="J4845" s="247"/>
      <c r="K4845" s="249"/>
    </row>
    <row r="4846" spans="1:11" s="90" customFormat="1" ht="12.75" customHeight="1" x14ac:dyDescent="0.2">
      <c r="A4846" s="247"/>
      <c r="B4846" s="316"/>
      <c r="C4846" s="247"/>
      <c r="D4846" s="317"/>
      <c r="E4846" s="318"/>
      <c r="F4846" s="247"/>
      <c r="G4846" s="247"/>
      <c r="H4846" s="248"/>
      <c r="I4846" s="248"/>
      <c r="J4846" s="247"/>
      <c r="K4846" s="249"/>
    </row>
    <row r="4847" spans="1:11" s="90" customFormat="1" ht="12.75" customHeight="1" x14ac:dyDescent="0.2">
      <c r="A4847" s="247"/>
      <c r="B4847" s="316"/>
      <c r="C4847" s="247"/>
      <c r="D4847" s="317"/>
      <c r="E4847" s="318"/>
      <c r="F4847" s="247"/>
      <c r="G4847" s="247"/>
      <c r="H4847" s="248"/>
      <c r="I4847" s="248"/>
      <c r="J4847" s="247"/>
      <c r="K4847" s="249"/>
    </row>
    <row r="4848" spans="1:11" s="90" customFormat="1" ht="12.75" customHeight="1" x14ac:dyDescent="0.2">
      <c r="A4848" s="247"/>
      <c r="B4848" s="316"/>
      <c r="C4848" s="247"/>
      <c r="D4848" s="317"/>
      <c r="E4848" s="318"/>
      <c r="F4848" s="247"/>
      <c r="G4848" s="247"/>
      <c r="H4848" s="248"/>
      <c r="I4848" s="248"/>
      <c r="J4848" s="247"/>
      <c r="K4848" s="249"/>
    </row>
    <row r="4849" spans="1:11" s="90" customFormat="1" ht="12.75" customHeight="1" x14ac:dyDescent="0.2">
      <c r="A4849" s="247"/>
      <c r="B4849" s="316"/>
      <c r="C4849" s="247"/>
      <c r="D4849" s="317"/>
      <c r="E4849" s="318"/>
      <c r="F4849" s="247"/>
      <c r="G4849" s="247"/>
      <c r="H4849" s="248"/>
      <c r="I4849" s="248"/>
      <c r="J4849" s="247"/>
      <c r="K4849" s="249"/>
    </row>
    <row r="4850" spans="1:11" s="90" customFormat="1" ht="12.75" customHeight="1" x14ac:dyDescent="0.2">
      <c r="A4850" s="247"/>
      <c r="B4850" s="316"/>
      <c r="C4850" s="247"/>
      <c r="D4850" s="317"/>
      <c r="E4850" s="318"/>
      <c r="F4850" s="247"/>
      <c r="G4850" s="247"/>
      <c r="H4850" s="248"/>
      <c r="I4850" s="248"/>
      <c r="J4850" s="247"/>
      <c r="K4850" s="249"/>
    </row>
    <row r="4851" spans="1:11" s="90" customFormat="1" ht="12.75" customHeight="1" x14ac:dyDescent="0.2">
      <c r="A4851" s="247"/>
      <c r="B4851" s="316"/>
      <c r="C4851" s="247"/>
      <c r="D4851" s="317"/>
      <c r="E4851" s="318"/>
      <c r="F4851" s="247"/>
      <c r="G4851" s="247"/>
      <c r="H4851" s="248"/>
      <c r="I4851" s="248"/>
      <c r="J4851" s="247"/>
      <c r="K4851" s="249"/>
    </row>
    <row r="4852" spans="1:11" s="90" customFormat="1" ht="12.75" customHeight="1" x14ac:dyDescent="0.2">
      <c r="A4852" s="247"/>
      <c r="B4852" s="316"/>
      <c r="C4852" s="247"/>
      <c r="D4852" s="317"/>
      <c r="E4852" s="318"/>
      <c r="F4852" s="247"/>
      <c r="G4852" s="247"/>
      <c r="H4852" s="248"/>
      <c r="I4852" s="248"/>
      <c r="J4852" s="247"/>
      <c r="K4852" s="249"/>
    </row>
    <row r="4853" spans="1:11" s="90" customFormat="1" ht="12.75" customHeight="1" x14ac:dyDescent="0.2">
      <c r="A4853" s="247"/>
      <c r="B4853" s="316"/>
      <c r="C4853" s="247"/>
      <c r="D4853" s="317"/>
      <c r="E4853" s="318"/>
      <c r="F4853" s="247"/>
      <c r="G4853" s="247"/>
      <c r="H4853" s="248"/>
      <c r="I4853" s="248"/>
      <c r="J4853" s="247"/>
      <c r="K4853" s="249"/>
    </row>
    <row r="4854" spans="1:11" s="90" customFormat="1" ht="12.75" customHeight="1" x14ac:dyDescent="0.2">
      <c r="A4854" s="247"/>
      <c r="B4854" s="316"/>
      <c r="C4854" s="247"/>
      <c r="D4854" s="317"/>
      <c r="E4854" s="318"/>
      <c r="F4854" s="247"/>
      <c r="G4854" s="247"/>
      <c r="H4854" s="248"/>
      <c r="I4854" s="248"/>
      <c r="J4854" s="247"/>
      <c r="K4854" s="249"/>
    </row>
    <row r="4855" spans="1:11" s="90" customFormat="1" ht="12.75" customHeight="1" x14ac:dyDescent="0.2">
      <c r="A4855" s="247"/>
      <c r="B4855" s="316"/>
      <c r="C4855" s="247"/>
      <c r="D4855" s="317"/>
      <c r="E4855" s="318"/>
      <c r="F4855" s="247"/>
      <c r="G4855" s="247"/>
      <c r="H4855" s="248"/>
      <c r="I4855" s="248"/>
      <c r="J4855" s="247"/>
      <c r="K4855" s="249"/>
    </row>
    <row r="4856" spans="1:11" s="90" customFormat="1" ht="12.75" customHeight="1" x14ac:dyDescent="0.2">
      <c r="A4856" s="247"/>
      <c r="B4856" s="316"/>
      <c r="C4856" s="247"/>
      <c r="D4856" s="317"/>
      <c r="E4856" s="318"/>
      <c r="F4856" s="247"/>
      <c r="G4856" s="247"/>
      <c r="H4856" s="248"/>
      <c r="I4856" s="248"/>
      <c r="J4856" s="247"/>
      <c r="K4856" s="249"/>
    </row>
    <row r="4857" spans="1:11" s="90" customFormat="1" ht="12.75" customHeight="1" x14ac:dyDescent="0.2">
      <c r="A4857" s="247"/>
      <c r="B4857" s="316"/>
      <c r="C4857" s="247"/>
      <c r="D4857" s="317"/>
      <c r="E4857" s="318"/>
      <c r="F4857" s="247"/>
      <c r="G4857" s="247"/>
      <c r="H4857" s="248"/>
      <c r="I4857" s="248"/>
      <c r="J4857" s="247"/>
      <c r="K4857" s="249"/>
    </row>
    <row r="4858" spans="1:11" s="90" customFormat="1" ht="12.75" customHeight="1" x14ac:dyDescent="0.2">
      <c r="A4858" s="247"/>
      <c r="B4858" s="316"/>
      <c r="C4858" s="247"/>
      <c r="D4858" s="317"/>
      <c r="E4858" s="318"/>
      <c r="F4858" s="247"/>
      <c r="G4858" s="247"/>
      <c r="H4858" s="248"/>
      <c r="I4858" s="248"/>
      <c r="J4858" s="247"/>
      <c r="K4858" s="249"/>
    </row>
    <row r="4859" spans="1:11" s="90" customFormat="1" ht="12.75" customHeight="1" x14ac:dyDescent="0.2">
      <c r="A4859" s="247"/>
      <c r="B4859" s="316"/>
      <c r="C4859" s="247"/>
      <c r="D4859" s="317"/>
      <c r="E4859" s="318"/>
      <c r="F4859" s="247"/>
      <c r="G4859" s="247"/>
      <c r="H4859" s="248"/>
      <c r="I4859" s="248"/>
      <c r="J4859" s="247"/>
      <c r="K4859" s="249"/>
    </row>
    <row r="4860" spans="1:11" s="90" customFormat="1" ht="12.75" customHeight="1" x14ac:dyDescent="0.2">
      <c r="A4860" s="247"/>
      <c r="B4860" s="316"/>
      <c r="C4860" s="247"/>
      <c r="D4860" s="317"/>
      <c r="E4860" s="318"/>
      <c r="F4860" s="247"/>
      <c r="G4860" s="247"/>
      <c r="H4860" s="248"/>
      <c r="I4860" s="248"/>
      <c r="J4860" s="247"/>
      <c r="K4860" s="249"/>
    </row>
    <row r="4861" spans="1:11" s="90" customFormat="1" ht="12.75" customHeight="1" x14ac:dyDescent="0.2">
      <c r="A4861" s="247"/>
      <c r="B4861" s="316"/>
      <c r="C4861" s="247"/>
      <c r="D4861" s="317"/>
      <c r="E4861" s="318"/>
      <c r="F4861" s="247"/>
      <c r="G4861" s="247"/>
      <c r="H4861" s="248"/>
      <c r="I4861" s="248"/>
      <c r="J4861" s="247"/>
      <c r="K4861" s="249"/>
    </row>
    <row r="4862" spans="1:11" s="90" customFormat="1" ht="12.75" customHeight="1" x14ac:dyDescent="0.2">
      <c r="A4862" s="247"/>
      <c r="B4862" s="316"/>
      <c r="C4862" s="247"/>
      <c r="D4862" s="317"/>
      <c r="E4862" s="318"/>
      <c r="F4862" s="247"/>
      <c r="G4862" s="247"/>
      <c r="H4862" s="248"/>
      <c r="I4862" s="248"/>
      <c r="J4862" s="247"/>
      <c r="K4862" s="249"/>
    </row>
    <row r="4863" spans="1:11" s="90" customFormat="1" ht="12.75" customHeight="1" x14ac:dyDescent="0.2">
      <c r="A4863" s="247"/>
      <c r="B4863" s="316"/>
      <c r="C4863" s="247"/>
      <c r="D4863" s="317"/>
      <c r="E4863" s="318"/>
      <c r="F4863" s="247"/>
      <c r="G4863" s="247"/>
      <c r="H4863" s="248"/>
      <c r="I4863" s="248"/>
      <c r="J4863" s="247"/>
      <c r="K4863" s="249"/>
    </row>
    <row r="4864" spans="1:11" s="90" customFormat="1" ht="12.75" customHeight="1" x14ac:dyDescent="0.2">
      <c r="A4864" s="247"/>
      <c r="B4864" s="316"/>
      <c r="C4864" s="247"/>
      <c r="D4864" s="317"/>
      <c r="E4864" s="318"/>
      <c r="F4864" s="247"/>
      <c r="G4864" s="247"/>
      <c r="H4864" s="248"/>
      <c r="I4864" s="248"/>
      <c r="J4864" s="247"/>
      <c r="K4864" s="249"/>
    </row>
    <row r="4865" spans="1:11" s="90" customFormat="1" ht="12.75" customHeight="1" x14ac:dyDescent="0.2">
      <c r="A4865" s="247"/>
      <c r="B4865" s="316"/>
      <c r="C4865" s="247"/>
      <c r="D4865" s="317"/>
      <c r="E4865" s="318"/>
      <c r="F4865" s="247"/>
      <c r="G4865" s="247"/>
      <c r="H4865" s="248"/>
      <c r="I4865" s="248"/>
      <c r="J4865" s="247"/>
      <c r="K4865" s="249"/>
    </row>
    <row r="4866" spans="1:11" s="90" customFormat="1" ht="12.75" customHeight="1" x14ac:dyDescent="0.2">
      <c r="A4866" s="247"/>
      <c r="B4866" s="316"/>
      <c r="C4866" s="247"/>
      <c r="D4866" s="317"/>
      <c r="E4866" s="318"/>
      <c r="F4866" s="247"/>
      <c r="G4866" s="247"/>
      <c r="H4866" s="248"/>
      <c r="I4866" s="248"/>
      <c r="J4866" s="247"/>
      <c r="K4866" s="249"/>
    </row>
    <row r="4867" spans="1:11" s="90" customFormat="1" ht="12.75" customHeight="1" x14ac:dyDescent="0.2">
      <c r="A4867" s="247"/>
      <c r="B4867" s="316"/>
      <c r="C4867" s="247"/>
      <c r="D4867" s="317"/>
      <c r="E4867" s="318"/>
      <c r="F4867" s="247"/>
      <c r="G4867" s="247"/>
      <c r="H4867" s="248"/>
      <c r="I4867" s="248"/>
      <c r="J4867" s="247"/>
      <c r="K4867" s="249"/>
    </row>
    <row r="4868" spans="1:11" s="90" customFormat="1" ht="12.75" customHeight="1" x14ac:dyDescent="0.2">
      <c r="A4868" s="247"/>
      <c r="B4868" s="316"/>
      <c r="C4868" s="247"/>
      <c r="D4868" s="317"/>
      <c r="E4868" s="318"/>
      <c r="F4868" s="247"/>
      <c r="G4868" s="247"/>
      <c r="H4868" s="248"/>
      <c r="I4868" s="248"/>
      <c r="J4868" s="247"/>
      <c r="K4868" s="249"/>
    </row>
    <row r="4869" spans="1:11" s="90" customFormat="1" ht="12.75" customHeight="1" x14ac:dyDescent="0.2">
      <c r="A4869" s="247"/>
      <c r="B4869" s="316"/>
      <c r="C4869" s="247"/>
      <c r="D4869" s="317"/>
      <c r="E4869" s="318"/>
      <c r="F4869" s="247"/>
      <c r="G4869" s="247"/>
      <c r="H4869" s="248"/>
      <c r="I4869" s="248"/>
      <c r="J4869" s="247"/>
      <c r="K4869" s="249"/>
    </row>
    <row r="4870" spans="1:11" s="90" customFormat="1" ht="12.75" customHeight="1" x14ac:dyDescent="0.2">
      <c r="A4870" s="247"/>
      <c r="B4870" s="316"/>
      <c r="C4870" s="247"/>
      <c r="D4870" s="317"/>
      <c r="E4870" s="318"/>
      <c r="F4870" s="247"/>
      <c r="G4870" s="247"/>
      <c r="H4870" s="248"/>
      <c r="I4870" s="248"/>
      <c r="J4870" s="247"/>
      <c r="K4870" s="249"/>
    </row>
    <row r="4871" spans="1:11" s="90" customFormat="1" ht="12.75" customHeight="1" x14ac:dyDescent="0.2">
      <c r="A4871" s="247"/>
      <c r="B4871" s="316"/>
      <c r="C4871" s="247"/>
      <c r="D4871" s="317"/>
      <c r="E4871" s="318"/>
      <c r="F4871" s="247"/>
      <c r="G4871" s="247"/>
      <c r="H4871" s="248"/>
      <c r="I4871" s="248"/>
      <c r="J4871" s="247"/>
      <c r="K4871" s="249"/>
    </row>
    <row r="4872" spans="1:11" s="90" customFormat="1" ht="12.75" customHeight="1" x14ac:dyDescent="0.2">
      <c r="A4872" s="247"/>
      <c r="B4872" s="316"/>
      <c r="C4872" s="247"/>
      <c r="D4872" s="317"/>
      <c r="E4872" s="318"/>
      <c r="F4872" s="247"/>
      <c r="G4872" s="247"/>
      <c r="H4872" s="248"/>
      <c r="I4872" s="248"/>
      <c r="J4872" s="247"/>
      <c r="K4872" s="249"/>
    </row>
    <row r="4873" spans="1:11" s="90" customFormat="1" ht="12.75" customHeight="1" x14ac:dyDescent="0.2">
      <c r="A4873" s="247"/>
      <c r="B4873" s="316"/>
      <c r="C4873" s="247"/>
      <c r="D4873" s="317"/>
      <c r="E4873" s="318"/>
      <c r="F4873" s="247"/>
      <c r="G4873" s="247"/>
      <c r="H4873" s="248"/>
      <c r="I4873" s="248"/>
      <c r="J4873" s="247"/>
      <c r="K4873" s="249"/>
    </row>
    <row r="4874" spans="1:11" s="90" customFormat="1" ht="12.75" customHeight="1" x14ac:dyDescent="0.2">
      <c r="A4874" s="247"/>
      <c r="B4874" s="316"/>
      <c r="C4874" s="247"/>
      <c r="D4874" s="317"/>
      <c r="E4874" s="318"/>
      <c r="F4874" s="247"/>
      <c r="G4874" s="247"/>
      <c r="H4874" s="248"/>
      <c r="I4874" s="248"/>
      <c r="J4874" s="247"/>
      <c r="K4874" s="249"/>
    </row>
    <row r="4875" spans="1:11" s="90" customFormat="1" ht="12.75" customHeight="1" x14ac:dyDescent="0.2">
      <c r="A4875" s="247"/>
      <c r="B4875" s="316"/>
      <c r="C4875" s="247"/>
      <c r="D4875" s="317"/>
      <c r="E4875" s="318"/>
      <c r="F4875" s="247"/>
      <c r="G4875" s="247"/>
      <c r="H4875" s="248"/>
      <c r="I4875" s="248"/>
      <c r="J4875" s="247"/>
      <c r="K4875" s="249"/>
    </row>
    <row r="4876" spans="1:11" s="90" customFormat="1" ht="12.75" customHeight="1" x14ac:dyDescent="0.2">
      <c r="A4876" s="247"/>
      <c r="B4876" s="316"/>
      <c r="C4876" s="247"/>
      <c r="D4876" s="317"/>
      <c r="E4876" s="318"/>
      <c r="F4876" s="247"/>
      <c r="G4876" s="247"/>
      <c r="H4876" s="248"/>
      <c r="I4876" s="248"/>
      <c r="J4876" s="247"/>
      <c r="K4876" s="249"/>
    </row>
    <row r="4877" spans="1:11" s="90" customFormat="1" ht="12.75" customHeight="1" x14ac:dyDescent="0.2">
      <c r="A4877" s="247"/>
      <c r="B4877" s="316"/>
      <c r="C4877" s="247"/>
      <c r="D4877" s="317"/>
      <c r="E4877" s="318"/>
      <c r="F4877" s="247"/>
      <c r="G4877" s="247"/>
      <c r="H4877" s="248"/>
      <c r="I4877" s="248"/>
      <c r="J4877" s="247"/>
      <c r="K4877" s="249"/>
    </row>
    <row r="4878" spans="1:11" s="90" customFormat="1" ht="12.75" customHeight="1" x14ac:dyDescent="0.2">
      <c r="A4878" s="247"/>
      <c r="B4878" s="316"/>
      <c r="C4878" s="247"/>
      <c r="D4878" s="317"/>
      <c r="E4878" s="318"/>
      <c r="F4878" s="247"/>
      <c r="G4878" s="247"/>
      <c r="H4878" s="248"/>
      <c r="I4878" s="248"/>
      <c r="J4878" s="247"/>
      <c r="K4878" s="249"/>
    </row>
    <row r="4879" spans="1:11" s="90" customFormat="1" ht="12.75" customHeight="1" x14ac:dyDescent="0.2">
      <c r="A4879" s="247"/>
      <c r="B4879" s="316"/>
      <c r="C4879" s="247"/>
      <c r="D4879" s="317"/>
      <c r="E4879" s="318"/>
      <c r="F4879" s="247"/>
      <c r="G4879" s="247"/>
      <c r="H4879" s="248"/>
      <c r="I4879" s="248"/>
      <c r="J4879" s="247"/>
      <c r="K4879" s="249"/>
    </row>
    <row r="4880" spans="1:11" s="90" customFormat="1" ht="12.75" customHeight="1" x14ac:dyDescent="0.2">
      <c r="A4880" s="247"/>
      <c r="B4880" s="316"/>
      <c r="C4880" s="247"/>
      <c r="D4880" s="317"/>
      <c r="E4880" s="318"/>
      <c r="F4880" s="247"/>
      <c r="G4880" s="247"/>
      <c r="H4880" s="248"/>
      <c r="I4880" s="248"/>
      <c r="J4880" s="247"/>
      <c r="K4880" s="249"/>
    </row>
    <row r="4881" spans="1:11" s="90" customFormat="1" ht="12.75" customHeight="1" x14ac:dyDescent="0.2">
      <c r="A4881" s="247"/>
      <c r="B4881" s="316"/>
      <c r="C4881" s="247"/>
      <c r="D4881" s="317"/>
      <c r="E4881" s="318"/>
      <c r="F4881" s="247"/>
      <c r="G4881" s="247"/>
      <c r="H4881" s="248"/>
      <c r="I4881" s="248"/>
      <c r="J4881" s="247"/>
      <c r="K4881" s="249"/>
    </row>
    <row r="4882" spans="1:11" s="90" customFormat="1" ht="12.75" customHeight="1" x14ac:dyDescent="0.2">
      <c r="A4882" s="247"/>
      <c r="B4882" s="316"/>
      <c r="C4882" s="247"/>
      <c r="D4882" s="317"/>
      <c r="E4882" s="318"/>
      <c r="F4882" s="247"/>
      <c r="G4882" s="247"/>
      <c r="H4882" s="248"/>
      <c r="I4882" s="248"/>
      <c r="J4882" s="247"/>
      <c r="K4882" s="249"/>
    </row>
    <row r="4883" spans="1:11" s="90" customFormat="1" ht="12.75" customHeight="1" x14ac:dyDescent="0.2">
      <c r="A4883" s="247"/>
      <c r="B4883" s="316"/>
      <c r="C4883" s="247"/>
      <c r="D4883" s="317"/>
      <c r="E4883" s="318"/>
      <c r="F4883" s="247"/>
      <c r="G4883" s="247"/>
      <c r="H4883" s="248"/>
      <c r="I4883" s="248"/>
      <c r="J4883" s="247"/>
      <c r="K4883" s="249"/>
    </row>
    <row r="4884" spans="1:11" s="90" customFormat="1" ht="12.75" customHeight="1" x14ac:dyDescent="0.2">
      <c r="A4884" s="247"/>
      <c r="B4884" s="316"/>
      <c r="C4884" s="247"/>
      <c r="D4884" s="317"/>
      <c r="E4884" s="318"/>
      <c r="F4884" s="247"/>
      <c r="G4884" s="247"/>
      <c r="H4884" s="248"/>
      <c r="I4884" s="248"/>
      <c r="J4884" s="247"/>
      <c r="K4884" s="249"/>
    </row>
    <row r="4885" spans="1:11" s="90" customFormat="1" ht="12.75" customHeight="1" x14ac:dyDescent="0.2">
      <c r="A4885" s="247"/>
      <c r="B4885" s="316"/>
      <c r="C4885" s="247"/>
      <c r="D4885" s="317"/>
      <c r="E4885" s="318"/>
      <c r="F4885" s="247"/>
      <c r="G4885" s="247"/>
      <c r="H4885" s="248"/>
      <c r="I4885" s="248"/>
      <c r="J4885" s="247"/>
      <c r="K4885" s="249"/>
    </row>
    <row r="4886" spans="1:11" s="90" customFormat="1" ht="12.75" customHeight="1" x14ac:dyDescent="0.2">
      <c r="A4886" s="247"/>
      <c r="B4886" s="316"/>
      <c r="C4886" s="247"/>
      <c r="D4886" s="317"/>
      <c r="E4886" s="318"/>
      <c r="F4886" s="247"/>
      <c r="G4886" s="247"/>
      <c r="H4886" s="248"/>
      <c r="I4886" s="248"/>
      <c r="J4886" s="247"/>
      <c r="K4886" s="249"/>
    </row>
    <row r="4887" spans="1:11" s="90" customFormat="1" ht="12.75" customHeight="1" x14ac:dyDescent="0.2">
      <c r="A4887" s="247"/>
      <c r="B4887" s="316"/>
      <c r="C4887" s="247"/>
      <c r="D4887" s="317"/>
      <c r="E4887" s="318"/>
      <c r="F4887" s="247"/>
      <c r="G4887" s="247"/>
      <c r="H4887" s="248"/>
      <c r="I4887" s="248"/>
      <c r="J4887" s="247"/>
      <c r="K4887" s="249"/>
    </row>
    <row r="4888" spans="1:11" s="90" customFormat="1" ht="12.75" customHeight="1" x14ac:dyDescent="0.2">
      <c r="A4888" s="247"/>
      <c r="B4888" s="316"/>
      <c r="C4888" s="247"/>
      <c r="D4888" s="317"/>
      <c r="E4888" s="318"/>
      <c r="F4888" s="247"/>
      <c r="G4888" s="247"/>
      <c r="H4888" s="248"/>
      <c r="I4888" s="248"/>
      <c r="J4888" s="247"/>
      <c r="K4888" s="249"/>
    </row>
    <row r="4889" spans="1:11" s="90" customFormat="1" ht="12.75" customHeight="1" x14ac:dyDescent="0.2">
      <c r="A4889" s="247"/>
      <c r="B4889" s="316"/>
      <c r="C4889" s="247"/>
      <c r="D4889" s="317"/>
      <c r="E4889" s="318"/>
      <c r="F4889" s="247"/>
      <c r="G4889" s="247"/>
      <c r="H4889" s="248"/>
      <c r="I4889" s="248"/>
      <c r="J4889" s="247"/>
      <c r="K4889" s="249"/>
    </row>
    <row r="4890" spans="1:11" s="90" customFormat="1" ht="12.75" customHeight="1" x14ac:dyDescent="0.2">
      <c r="A4890" s="247"/>
      <c r="B4890" s="316"/>
      <c r="C4890" s="247"/>
      <c r="D4890" s="317"/>
      <c r="E4890" s="318"/>
      <c r="F4890" s="247"/>
      <c r="G4890" s="247"/>
      <c r="H4890" s="248"/>
      <c r="I4890" s="248"/>
      <c r="J4890" s="247"/>
      <c r="K4890" s="249"/>
    </row>
    <row r="4891" spans="1:11" s="90" customFormat="1" ht="12.75" customHeight="1" x14ac:dyDescent="0.2">
      <c r="A4891" s="247"/>
      <c r="B4891" s="316"/>
      <c r="C4891" s="247"/>
      <c r="D4891" s="317"/>
      <c r="E4891" s="318"/>
      <c r="F4891" s="247"/>
      <c r="G4891" s="247"/>
      <c r="H4891" s="248"/>
      <c r="I4891" s="248"/>
      <c r="J4891" s="247"/>
      <c r="K4891" s="249"/>
    </row>
    <row r="4892" spans="1:11" s="90" customFormat="1" ht="12.75" customHeight="1" x14ac:dyDescent="0.2">
      <c r="A4892" s="247"/>
      <c r="B4892" s="316"/>
      <c r="C4892" s="247"/>
      <c r="D4892" s="317"/>
      <c r="E4892" s="318"/>
      <c r="F4892" s="247"/>
      <c r="G4892" s="247"/>
      <c r="H4892" s="248"/>
      <c r="I4892" s="248"/>
      <c r="J4892" s="247"/>
      <c r="K4892" s="249"/>
    </row>
    <row r="4893" spans="1:11" s="90" customFormat="1" ht="12.75" customHeight="1" x14ac:dyDescent="0.2">
      <c r="A4893" s="247"/>
      <c r="B4893" s="316"/>
      <c r="C4893" s="247"/>
      <c r="D4893" s="317"/>
      <c r="E4893" s="318"/>
      <c r="F4893" s="247"/>
      <c r="G4893" s="247"/>
      <c r="H4893" s="248"/>
      <c r="I4893" s="248"/>
      <c r="J4893" s="247"/>
      <c r="K4893" s="249"/>
    </row>
    <row r="4894" spans="1:11" s="90" customFormat="1" ht="12.75" customHeight="1" x14ac:dyDescent="0.2">
      <c r="A4894" s="247"/>
      <c r="B4894" s="316"/>
      <c r="C4894" s="247"/>
      <c r="D4894" s="317"/>
      <c r="E4894" s="318"/>
      <c r="F4894" s="247"/>
      <c r="G4894" s="247"/>
      <c r="H4894" s="248"/>
      <c r="I4894" s="248"/>
      <c r="J4894" s="247"/>
      <c r="K4894" s="249"/>
    </row>
    <row r="4895" spans="1:11" s="90" customFormat="1" ht="12.75" customHeight="1" x14ac:dyDescent="0.2">
      <c r="A4895" s="247"/>
      <c r="B4895" s="316"/>
      <c r="C4895" s="247"/>
      <c r="D4895" s="317"/>
      <c r="E4895" s="318"/>
      <c r="F4895" s="247"/>
      <c r="G4895" s="247"/>
      <c r="H4895" s="248"/>
      <c r="I4895" s="248"/>
      <c r="J4895" s="247"/>
      <c r="K4895" s="249"/>
    </row>
    <row r="4896" spans="1:11" s="90" customFormat="1" ht="12.75" customHeight="1" x14ac:dyDescent="0.2">
      <c r="A4896" s="247"/>
      <c r="B4896" s="316"/>
      <c r="C4896" s="247"/>
      <c r="D4896" s="317"/>
      <c r="E4896" s="318"/>
      <c r="F4896" s="247"/>
      <c r="G4896" s="247"/>
      <c r="H4896" s="248"/>
      <c r="I4896" s="248"/>
      <c r="J4896" s="247"/>
      <c r="K4896" s="249"/>
    </row>
    <row r="4897" spans="1:11" s="90" customFormat="1" ht="12.75" customHeight="1" x14ac:dyDescent="0.2">
      <c r="A4897" s="247"/>
      <c r="B4897" s="316"/>
      <c r="C4897" s="247"/>
      <c r="D4897" s="317"/>
      <c r="E4897" s="318"/>
      <c r="F4897" s="247"/>
      <c r="G4897" s="247"/>
      <c r="H4897" s="248"/>
      <c r="I4897" s="248"/>
      <c r="J4897" s="247"/>
      <c r="K4897" s="249"/>
    </row>
    <row r="4898" spans="1:11" s="90" customFormat="1" ht="12.75" customHeight="1" x14ac:dyDescent="0.2">
      <c r="A4898" s="247"/>
      <c r="B4898" s="316"/>
      <c r="C4898" s="247"/>
      <c r="D4898" s="317"/>
      <c r="E4898" s="318"/>
      <c r="F4898" s="247"/>
      <c r="G4898" s="247"/>
      <c r="H4898" s="248"/>
      <c r="I4898" s="248"/>
      <c r="J4898" s="247"/>
      <c r="K4898" s="249"/>
    </row>
    <row r="4899" spans="1:11" s="90" customFormat="1" ht="12.75" customHeight="1" x14ac:dyDescent="0.2">
      <c r="A4899" s="247"/>
      <c r="B4899" s="316"/>
      <c r="C4899" s="247"/>
      <c r="D4899" s="317"/>
      <c r="E4899" s="318"/>
      <c r="F4899" s="247"/>
      <c r="G4899" s="247"/>
      <c r="H4899" s="248"/>
      <c r="I4899" s="248"/>
      <c r="J4899" s="247"/>
      <c r="K4899" s="249"/>
    </row>
    <row r="4900" spans="1:11" s="90" customFormat="1" ht="12.75" customHeight="1" x14ac:dyDescent="0.2">
      <c r="A4900" s="247"/>
      <c r="B4900" s="316"/>
      <c r="C4900" s="247"/>
      <c r="D4900" s="317"/>
      <c r="E4900" s="318"/>
      <c r="F4900" s="247"/>
      <c r="G4900" s="247"/>
      <c r="H4900" s="248"/>
      <c r="I4900" s="248"/>
      <c r="J4900" s="247"/>
      <c r="K4900" s="249"/>
    </row>
    <row r="4901" spans="1:11" s="90" customFormat="1" ht="12.75" customHeight="1" x14ac:dyDescent="0.2">
      <c r="A4901" s="247"/>
      <c r="B4901" s="316"/>
      <c r="C4901" s="247"/>
      <c r="D4901" s="317"/>
      <c r="E4901" s="318"/>
      <c r="F4901" s="247"/>
      <c r="G4901" s="247"/>
      <c r="H4901" s="248"/>
      <c r="I4901" s="248"/>
      <c r="J4901" s="247"/>
      <c r="K4901" s="249"/>
    </row>
    <row r="4902" spans="1:11" s="90" customFormat="1" ht="12.75" customHeight="1" x14ac:dyDescent="0.2">
      <c r="A4902" s="247"/>
      <c r="B4902" s="316"/>
      <c r="C4902" s="247"/>
      <c r="D4902" s="317"/>
      <c r="E4902" s="318"/>
      <c r="F4902" s="247"/>
      <c r="G4902" s="247"/>
      <c r="H4902" s="248"/>
      <c r="I4902" s="248"/>
      <c r="J4902" s="247"/>
      <c r="K4902" s="249"/>
    </row>
    <row r="4903" spans="1:11" s="90" customFormat="1" ht="12.75" customHeight="1" x14ac:dyDescent="0.2">
      <c r="A4903" s="247"/>
      <c r="B4903" s="316"/>
      <c r="C4903" s="247"/>
      <c r="D4903" s="317"/>
      <c r="E4903" s="318"/>
      <c r="F4903" s="247"/>
      <c r="G4903" s="247"/>
      <c r="H4903" s="248"/>
      <c r="I4903" s="248"/>
      <c r="J4903" s="247"/>
      <c r="K4903" s="249"/>
    </row>
    <row r="4904" spans="1:11" s="90" customFormat="1" ht="12.75" customHeight="1" x14ac:dyDescent="0.2">
      <c r="A4904" s="247"/>
      <c r="B4904" s="316"/>
      <c r="C4904" s="247"/>
      <c r="D4904" s="317"/>
      <c r="E4904" s="318"/>
      <c r="F4904" s="247"/>
      <c r="G4904" s="247"/>
      <c r="H4904" s="248"/>
      <c r="I4904" s="248"/>
      <c r="J4904" s="247"/>
      <c r="K4904" s="249"/>
    </row>
    <row r="4905" spans="1:11" s="90" customFormat="1" ht="12.75" customHeight="1" x14ac:dyDescent="0.2">
      <c r="A4905" s="247"/>
      <c r="B4905" s="316"/>
      <c r="C4905" s="247"/>
      <c r="D4905" s="317"/>
      <c r="E4905" s="318"/>
      <c r="F4905" s="247"/>
      <c r="G4905" s="247"/>
      <c r="H4905" s="248"/>
      <c r="I4905" s="248"/>
      <c r="J4905" s="247"/>
      <c r="K4905" s="249"/>
    </row>
    <row r="4906" spans="1:11" s="90" customFormat="1" ht="12.75" customHeight="1" x14ac:dyDescent="0.2">
      <c r="A4906" s="247"/>
      <c r="B4906" s="316"/>
      <c r="C4906" s="247"/>
      <c r="D4906" s="317"/>
      <c r="E4906" s="318"/>
      <c r="F4906" s="247"/>
      <c r="G4906" s="247"/>
      <c r="H4906" s="248"/>
      <c r="I4906" s="248"/>
      <c r="J4906" s="247"/>
      <c r="K4906" s="249"/>
    </row>
    <row r="4907" spans="1:11" s="90" customFormat="1" ht="12.75" customHeight="1" x14ac:dyDescent="0.2">
      <c r="A4907" s="247"/>
      <c r="B4907" s="316"/>
      <c r="C4907" s="247"/>
      <c r="D4907" s="317"/>
      <c r="E4907" s="318"/>
      <c r="F4907" s="247"/>
      <c r="G4907" s="247"/>
      <c r="H4907" s="248"/>
      <c r="I4907" s="248"/>
      <c r="J4907" s="247"/>
      <c r="K4907" s="249"/>
    </row>
    <row r="4908" spans="1:11" s="90" customFormat="1" ht="12.75" customHeight="1" x14ac:dyDescent="0.2">
      <c r="A4908" s="247"/>
      <c r="B4908" s="316"/>
      <c r="C4908" s="247"/>
      <c r="D4908" s="317"/>
      <c r="E4908" s="318"/>
      <c r="F4908" s="247"/>
      <c r="G4908" s="247"/>
      <c r="H4908" s="248"/>
      <c r="I4908" s="248"/>
      <c r="J4908" s="247"/>
      <c r="K4908" s="249"/>
    </row>
    <row r="4909" spans="1:11" s="90" customFormat="1" ht="12.75" customHeight="1" x14ac:dyDescent="0.2">
      <c r="A4909" s="247"/>
      <c r="B4909" s="316"/>
      <c r="C4909" s="247"/>
      <c r="D4909" s="317"/>
      <c r="E4909" s="318"/>
      <c r="F4909" s="247"/>
      <c r="G4909" s="247"/>
      <c r="H4909" s="248"/>
      <c r="I4909" s="248"/>
      <c r="J4909" s="247"/>
      <c r="K4909" s="249"/>
    </row>
    <row r="4910" spans="1:11" s="90" customFormat="1" ht="12.75" customHeight="1" x14ac:dyDescent="0.2">
      <c r="A4910" s="247"/>
      <c r="B4910" s="316"/>
      <c r="C4910" s="247"/>
      <c r="D4910" s="317"/>
      <c r="E4910" s="318"/>
      <c r="F4910" s="247"/>
      <c r="G4910" s="247"/>
      <c r="H4910" s="248"/>
      <c r="I4910" s="248"/>
      <c r="J4910" s="247"/>
      <c r="K4910" s="249"/>
    </row>
    <row r="4911" spans="1:11" s="90" customFormat="1" ht="12.75" customHeight="1" x14ac:dyDescent="0.2">
      <c r="A4911" s="247"/>
      <c r="B4911" s="316"/>
      <c r="C4911" s="247"/>
      <c r="D4911" s="317"/>
      <c r="E4911" s="318"/>
      <c r="F4911" s="247"/>
      <c r="G4911" s="247"/>
      <c r="H4911" s="248"/>
      <c r="I4911" s="248"/>
      <c r="J4911" s="247"/>
      <c r="K4911" s="249"/>
    </row>
    <row r="4912" spans="1:11" s="90" customFormat="1" ht="12.75" customHeight="1" x14ac:dyDescent="0.2">
      <c r="A4912" s="247"/>
      <c r="B4912" s="316"/>
      <c r="C4912" s="247"/>
      <c r="D4912" s="317"/>
      <c r="E4912" s="318"/>
      <c r="F4912" s="247"/>
      <c r="G4912" s="247"/>
      <c r="H4912" s="248"/>
      <c r="I4912" s="248"/>
      <c r="J4912" s="247"/>
      <c r="K4912" s="249"/>
    </row>
    <row r="4913" spans="1:11" s="90" customFormat="1" ht="12.75" customHeight="1" x14ac:dyDescent="0.2">
      <c r="A4913" s="247"/>
      <c r="B4913" s="316"/>
      <c r="C4913" s="247"/>
      <c r="D4913" s="317"/>
      <c r="E4913" s="318"/>
      <c r="F4913" s="247"/>
      <c r="G4913" s="247"/>
      <c r="H4913" s="248"/>
      <c r="I4913" s="248"/>
      <c r="J4913" s="247"/>
      <c r="K4913" s="249"/>
    </row>
    <row r="4914" spans="1:11" s="90" customFormat="1" ht="12.75" customHeight="1" x14ac:dyDescent="0.2">
      <c r="A4914" s="247"/>
      <c r="B4914" s="316"/>
      <c r="C4914" s="247"/>
      <c r="D4914" s="317"/>
      <c r="E4914" s="318"/>
      <c r="F4914" s="247"/>
      <c r="G4914" s="247"/>
      <c r="H4914" s="248"/>
      <c r="I4914" s="248"/>
      <c r="J4914" s="247"/>
      <c r="K4914" s="249"/>
    </row>
    <row r="4915" spans="1:11" s="90" customFormat="1" ht="12.75" customHeight="1" x14ac:dyDescent="0.2">
      <c r="A4915" s="247"/>
      <c r="B4915" s="316"/>
      <c r="C4915" s="247"/>
      <c r="D4915" s="317"/>
      <c r="E4915" s="318"/>
      <c r="F4915" s="247"/>
      <c r="G4915" s="247"/>
      <c r="H4915" s="248"/>
      <c r="I4915" s="248"/>
      <c r="J4915" s="247"/>
      <c r="K4915" s="249"/>
    </row>
    <row r="4916" spans="1:11" s="90" customFormat="1" ht="12.75" customHeight="1" x14ac:dyDescent="0.2">
      <c r="A4916" s="247"/>
      <c r="B4916" s="316"/>
      <c r="C4916" s="247"/>
      <c r="D4916" s="317"/>
      <c r="E4916" s="318"/>
      <c r="F4916" s="247"/>
      <c r="G4916" s="247"/>
      <c r="H4916" s="248"/>
      <c r="I4916" s="248"/>
      <c r="J4916" s="247"/>
      <c r="K4916" s="249"/>
    </row>
    <row r="4917" spans="1:11" s="90" customFormat="1" ht="12.75" customHeight="1" x14ac:dyDescent="0.2">
      <c r="A4917" s="247"/>
      <c r="B4917" s="316"/>
      <c r="C4917" s="247"/>
      <c r="D4917" s="317"/>
      <c r="E4917" s="318"/>
      <c r="F4917" s="247"/>
      <c r="G4917" s="247"/>
      <c r="H4917" s="248"/>
      <c r="I4917" s="248"/>
      <c r="J4917" s="247"/>
      <c r="K4917" s="249"/>
    </row>
    <row r="4918" spans="1:11" s="90" customFormat="1" ht="12.75" customHeight="1" x14ac:dyDescent="0.2">
      <c r="A4918" s="247"/>
      <c r="B4918" s="316"/>
      <c r="C4918" s="247"/>
      <c r="D4918" s="317"/>
      <c r="E4918" s="318"/>
      <c r="F4918" s="247"/>
      <c r="G4918" s="247"/>
      <c r="H4918" s="248"/>
      <c r="I4918" s="248"/>
      <c r="J4918" s="247"/>
      <c r="K4918" s="249"/>
    </row>
    <row r="4919" spans="1:11" s="90" customFormat="1" ht="12.75" customHeight="1" x14ac:dyDescent="0.2">
      <c r="A4919" s="247"/>
      <c r="B4919" s="316"/>
      <c r="C4919" s="247"/>
      <c r="D4919" s="317"/>
      <c r="E4919" s="318"/>
      <c r="F4919" s="247"/>
      <c r="G4919" s="247"/>
      <c r="H4919" s="248"/>
      <c r="I4919" s="248"/>
      <c r="J4919" s="247"/>
      <c r="K4919" s="249"/>
    </row>
    <row r="4920" spans="1:11" s="90" customFormat="1" ht="12.75" customHeight="1" x14ac:dyDescent="0.2">
      <c r="A4920" s="247"/>
      <c r="B4920" s="316"/>
      <c r="C4920" s="247"/>
      <c r="D4920" s="317"/>
      <c r="E4920" s="318"/>
      <c r="F4920" s="247"/>
      <c r="G4920" s="247"/>
      <c r="H4920" s="248"/>
      <c r="I4920" s="248"/>
      <c r="J4920" s="247"/>
      <c r="K4920" s="249"/>
    </row>
    <row r="4921" spans="1:11" s="90" customFormat="1" ht="12.75" customHeight="1" x14ac:dyDescent="0.2">
      <c r="A4921" s="247"/>
      <c r="B4921" s="316"/>
      <c r="C4921" s="247"/>
      <c r="D4921" s="317"/>
      <c r="E4921" s="318"/>
      <c r="F4921" s="247"/>
      <c r="G4921" s="247"/>
      <c r="H4921" s="248"/>
      <c r="I4921" s="248"/>
      <c r="J4921" s="247"/>
      <c r="K4921" s="249"/>
    </row>
    <row r="4922" spans="1:11" s="90" customFormat="1" ht="12.75" customHeight="1" x14ac:dyDescent="0.2">
      <c r="A4922" s="247"/>
      <c r="B4922" s="316"/>
      <c r="C4922" s="247"/>
      <c r="D4922" s="317"/>
      <c r="E4922" s="318"/>
      <c r="F4922" s="247"/>
      <c r="G4922" s="247"/>
      <c r="H4922" s="248"/>
      <c r="I4922" s="248"/>
      <c r="J4922" s="247"/>
      <c r="K4922" s="249"/>
    </row>
    <row r="4923" spans="1:11" s="90" customFormat="1" ht="12.75" customHeight="1" x14ac:dyDescent="0.2">
      <c r="A4923" s="247"/>
      <c r="B4923" s="316"/>
      <c r="C4923" s="247"/>
      <c r="D4923" s="317"/>
      <c r="E4923" s="318"/>
      <c r="F4923" s="247"/>
      <c r="G4923" s="247"/>
      <c r="H4923" s="248"/>
      <c r="I4923" s="248"/>
      <c r="J4923" s="247"/>
      <c r="K4923" s="249"/>
    </row>
    <row r="4924" spans="1:11" s="90" customFormat="1" ht="12.75" customHeight="1" x14ac:dyDescent="0.2">
      <c r="A4924" s="247"/>
      <c r="B4924" s="316"/>
      <c r="C4924" s="247"/>
      <c r="D4924" s="317"/>
      <c r="E4924" s="318"/>
      <c r="F4924" s="247"/>
      <c r="G4924" s="247"/>
      <c r="H4924" s="248"/>
      <c r="I4924" s="248"/>
      <c r="J4924" s="247"/>
      <c r="K4924" s="249"/>
    </row>
    <row r="4925" spans="1:11" s="90" customFormat="1" ht="12.75" customHeight="1" x14ac:dyDescent="0.2">
      <c r="A4925" s="247"/>
      <c r="B4925" s="316"/>
      <c r="C4925" s="247"/>
      <c r="D4925" s="317"/>
      <c r="E4925" s="318"/>
      <c r="F4925" s="247"/>
      <c r="G4925" s="247"/>
      <c r="H4925" s="248"/>
      <c r="I4925" s="248"/>
      <c r="J4925" s="247"/>
      <c r="K4925" s="249"/>
    </row>
    <row r="4926" spans="1:11" s="90" customFormat="1" ht="12.75" customHeight="1" x14ac:dyDescent="0.2">
      <c r="A4926" s="247"/>
      <c r="B4926" s="316"/>
      <c r="C4926" s="247"/>
      <c r="D4926" s="317"/>
      <c r="E4926" s="318"/>
      <c r="F4926" s="247"/>
      <c r="G4926" s="247"/>
      <c r="H4926" s="248"/>
      <c r="I4926" s="248"/>
      <c r="J4926" s="247"/>
      <c r="K4926" s="249"/>
    </row>
    <row r="4927" spans="1:11" s="90" customFormat="1" ht="12.75" customHeight="1" x14ac:dyDescent="0.2">
      <c r="A4927" s="247"/>
      <c r="B4927" s="316"/>
      <c r="C4927" s="247"/>
      <c r="D4927" s="317"/>
      <c r="E4927" s="318"/>
      <c r="F4927" s="247"/>
      <c r="G4927" s="247"/>
      <c r="H4927" s="248"/>
      <c r="I4927" s="248"/>
      <c r="J4927" s="247"/>
      <c r="K4927" s="249"/>
    </row>
    <row r="4928" spans="1:11" s="90" customFormat="1" ht="12.75" customHeight="1" x14ac:dyDescent="0.2">
      <c r="A4928" s="247"/>
      <c r="B4928" s="316"/>
      <c r="C4928" s="247"/>
      <c r="D4928" s="317"/>
      <c r="E4928" s="318"/>
      <c r="F4928" s="247"/>
      <c r="G4928" s="247"/>
      <c r="H4928" s="248"/>
      <c r="I4928" s="248"/>
      <c r="J4928" s="247"/>
      <c r="K4928" s="249"/>
    </row>
    <row r="4929" spans="1:11" s="90" customFormat="1" ht="12.75" customHeight="1" x14ac:dyDescent="0.2">
      <c r="A4929" s="247"/>
      <c r="B4929" s="316"/>
      <c r="C4929" s="247"/>
      <c r="D4929" s="317"/>
      <c r="E4929" s="318"/>
      <c r="F4929" s="247"/>
      <c r="G4929" s="247"/>
      <c r="H4929" s="248"/>
      <c r="I4929" s="248"/>
      <c r="J4929" s="247"/>
      <c r="K4929" s="249"/>
    </row>
    <row r="4930" spans="1:11" s="90" customFormat="1" ht="12.75" customHeight="1" x14ac:dyDescent="0.2">
      <c r="A4930" s="247"/>
      <c r="B4930" s="316"/>
      <c r="C4930" s="247"/>
      <c r="D4930" s="317"/>
      <c r="E4930" s="318"/>
      <c r="F4930" s="247"/>
      <c r="G4930" s="247"/>
      <c r="H4930" s="248"/>
      <c r="I4930" s="248"/>
      <c r="J4930" s="247"/>
      <c r="K4930" s="249"/>
    </row>
    <row r="4931" spans="1:11" s="90" customFormat="1" ht="12.75" customHeight="1" x14ac:dyDescent="0.2">
      <c r="A4931" s="247"/>
      <c r="B4931" s="316"/>
      <c r="C4931" s="247"/>
      <c r="D4931" s="317"/>
      <c r="E4931" s="318"/>
      <c r="F4931" s="247"/>
      <c r="G4931" s="247"/>
      <c r="H4931" s="248"/>
      <c r="I4931" s="248"/>
      <c r="J4931" s="247"/>
      <c r="K4931" s="249"/>
    </row>
    <row r="4932" spans="1:11" s="90" customFormat="1" ht="12.75" customHeight="1" x14ac:dyDescent="0.2">
      <c r="A4932" s="247"/>
      <c r="B4932" s="316"/>
      <c r="C4932" s="247"/>
      <c r="D4932" s="317"/>
      <c r="E4932" s="318"/>
      <c r="F4932" s="247"/>
      <c r="G4932" s="247"/>
      <c r="H4932" s="248"/>
      <c r="I4932" s="248"/>
      <c r="J4932" s="247"/>
      <c r="K4932" s="249"/>
    </row>
    <row r="4933" spans="1:11" s="90" customFormat="1" ht="12.75" customHeight="1" x14ac:dyDescent="0.2">
      <c r="A4933" s="247"/>
      <c r="B4933" s="316"/>
      <c r="C4933" s="247"/>
      <c r="D4933" s="317"/>
      <c r="E4933" s="318"/>
      <c r="F4933" s="247"/>
      <c r="G4933" s="247"/>
      <c r="H4933" s="248"/>
      <c r="I4933" s="248"/>
      <c r="J4933" s="247"/>
      <c r="K4933" s="249"/>
    </row>
    <row r="4934" spans="1:11" s="90" customFormat="1" ht="12.75" customHeight="1" x14ac:dyDescent="0.2">
      <c r="A4934" s="247"/>
      <c r="B4934" s="316"/>
      <c r="C4934" s="247"/>
      <c r="D4934" s="317"/>
      <c r="E4934" s="318"/>
      <c r="F4934" s="247"/>
      <c r="G4934" s="247"/>
      <c r="H4934" s="248"/>
      <c r="I4934" s="248"/>
      <c r="J4934" s="247"/>
      <c r="K4934" s="249"/>
    </row>
    <row r="4935" spans="1:11" s="90" customFormat="1" ht="12.75" customHeight="1" x14ac:dyDescent="0.2">
      <c r="A4935" s="247"/>
      <c r="B4935" s="316"/>
      <c r="C4935" s="247"/>
      <c r="D4935" s="317"/>
      <c r="E4935" s="318"/>
      <c r="F4935" s="247"/>
      <c r="G4935" s="247"/>
      <c r="H4935" s="248"/>
      <c r="I4935" s="248"/>
      <c r="J4935" s="247"/>
      <c r="K4935" s="249"/>
    </row>
    <row r="4936" spans="1:11" s="90" customFormat="1" ht="12.75" customHeight="1" x14ac:dyDescent="0.2">
      <c r="A4936" s="247"/>
      <c r="B4936" s="316"/>
      <c r="C4936" s="247"/>
      <c r="D4936" s="317"/>
      <c r="E4936" s="318"/>
      <c r="F4936" s="247"/>
      <c r="G4936" s="247"/>
      <c r="H4936" s="248"/>
      <c r="I4936" s="248"/>
      <c r="J4936" s="247"/>
      <c r="K4936" s="249"/>
    </row>
    <row r="4937" spans="1:11" s="90" customFormat="1" ht="12.75" customHeight="1" x14ac:dyDescent="0.2">
      <c r="A4937" s="247"/>
      <c r="B4937" s="316"/>
      <c r="C4937" s="247"/>
      <c r="D4937" s="317"/>
      <c r="E4937" s="318"/>
      <c r="F4937" s="247"/>
      <c r="G4937" s="247"/>
      <c r="H4937" s="248"/>
      <c r="I4937" s="248"/>
      <c r="J4937" s="247"/>
      <c r="K4937" s="249"/>
    </row>
    <row r="4938" spans="1:11" s="90" customFormat="1" ht="12.75" customHeight="1" x14ac:dyDescent="0.2">
      <c r="A4938" s="247"/>
      <c r="B4938" s="316"/>
      <c r="C4938" s="247"/>
      <c r="D4938" s="317"/>
      <c r="E4938" s="318"/>
      <c r="F4938" s="247"/>
      <c r="G4938" s="247"/>
      <c r="H4938" s="248"/>
      <c r="I4938" s="248"/>
      <c r="J4938" s="247"/>
      <c r="K4938" s="249"/>
    </row>
    <row r="4939" spans="1:11" s="90" customFormat="1" ht="12.75" customHeight="1" x14ac:dyDescent="0.2">
      <c r="A4939" s="247"/>
      <c r="B4939" s="316"/>
      <c r="C4939" s="247"/>
      <c r="D4939" s="317"/>
      <c r="E4939" s="318"/>
      <c r="F4939" s="247"/>
      <c r="G4939" s="247"/>
      <c r="H4939" s="248"/>
      <c r="I4939" s="248"/>
      <c r="J4939" s="247"/>
      <c r="K4939" s="249"/>
    </row>
    <row r="4940" spans="1:11" s="90" customFormat="1" ht="12.75" customHeight="1" x14ac:dyDescent="0.2">
      <c r="A4940" s="247"/>
      <c r="B4940" s="316"/>
      <c r="C4940" s="247"/>
      <c r="D4940" s="317"/>
      <c r="E4940" s="318"/>
      <c r="F4940" s="247"/>
      <c r="G4940" s="247"/>
      <c r="H4940" s="248"/>
      <c r="I4940" s="248"/>
      <c r="J4940" s="247"/>
      <c r="K4940" s="249"/>
    </row>
    <row r="4941" spans="1:11" s="90" customFormat="1" ht="12.75" customHeight="1" x14ac:dyDescent="0.2">
      <c r="A4941" s="247"/>
      <c r="B4941" s="316"/>
      <c r="C4941" s="247"/>
      <c r="D4941" s="317"/>
      <c r="E4941" s="318"/>
      <c r="F4941" s="247"/>
      <c r="G4941" s="247"/>
      <c r="H4941" s="248"/>
      <c r="I4941" s="248"/>
      <c r="J4941" s="247"/>
      <c r="K4941" s="249"/>
    </row>
    <row r="4942" spans="1:11" s="90" customFormat="1" ht="12.75" customHeight="1" x14ac:dyDescent="0.2">
      <c r="A4942" s="247"/>
      <c r="B4942" s="316"/>
      <c r="C4942" s="247"/>
      <c r="D4942" s="317"/>
      <c r="E4942" s="318"/>
      <c r="F4942" s="247"/>
      <c r="G4942" s="247"/>
      <c r="H4942" s="248"/>
      <c r="I4942" s="248"/>
      <c r="J4942" s="247"/>
      <c r="K4942" s="249"/>
    </row>
    <row r="4943" spans="1:11" s="90" customFormat="1" ht="12.75" customHeight="1" x14ac:dyDescent="0.2">
      <c r="A4943" s="247"/>
      <c r="B4943" s="316"/>
      <c r="C4943" s="247"/>
      <c r="D4943" s="317"/>
      <c r="E4943" s="318"/>
      <c r="F4943" s="247"/>
      <c r="G4943" s="247"/>
      <c r="H4943" s="248"/>
      <c r="I4943" s="248"/>
      <c r="J4943" s="247"/>
      <c r="K4943" s="249"/>
    </row>
    <row r="4944" spans="1:11" s="90" customFormat="1" ht="12.75" customHeight="1" x14ac:dyDescent="0.2">
      <c r="A4944" s="247"/>
      <c r="B4944" s="316"/>
      <c r="C4944" s="247"/>
      <c r="D4944" s="317"/>
      <c r="E4944" s="318"/>
      <c r="F4944" s="247"/>
      <c r="G4944" s="247"/>
      <c r="H4944" s="248"/>
      <c r="I4944" s="248"/>
      <c r="J4944" s="247"/>
      <c r="K4944" s="249"/>
    </row>
    <row r="4945" spans="1:11" s="90" customFormat="1" ht="12.75" customHeight="1" x14ac:dyDescent="0.2">
      <c r="A4945" s="247"/>
      <c r="B4945" s="316"/>
      <c r="C4945" s="247"/>
      <c r="D4945" s="317"/>
      <c r="E4945" s="318"/>
      <c r="F4945" s="247"/>
      <c r="G4945" s="247"/>
      <c r="H4945" s="248"/>
      <c r="I4945" s="248"/>
      <c r="J4945" s="247"/>
      <c r="K4945" s="249"/>
    </row>
    <row r="4946" spans="1:11" s="90" customFormat="1" ht="12.75" customHeight="1" x14ac:dyDescent="0.2">
      <c r="A4946" s="247"/>
      <c r="B4946" s="316"/>
      <c r="C4946" s="247"/>
      <c r="D4946" s="317"/>
      <c r="E4946" s="318"/>
      <c r="F4946" s="247"/>
      <c r="G4946" s="247"/>
      <c r="H4946" s="248"/>
      <c r="I4946" s="248"/>
      <c r="J4946" s="247"/>
      <c r="K4946" s="249"/>
    </row>
    <row r="4947" spans="1:11" s="90" customFormat="1" ht="12.75" customHeight="1" x14ac:dyDescent="0.2">
      <c r="A4947" s="247"/>
      <c r="B4947" s="316"/>
      <c r="C4947" s="247"/>
      <c r="D4947" s="317"/>
      <c r="E4947" s="318"/>
      <c r="F4947" s="247"/>
      <c r="G4947" s="247"/>
      <c r="H4947" s="248"/>
      <c r="I4947" s="248"/>
      <c r="J4947" s="247"/>
      <c r="K4947" s="249"/>
    </row>
    <row r="4948" spans="1:11" s="90" customFormat="1" ht="12.75" customHeight="1" x14ac:dyDescent="0.2">
      <c r="A4948" s="247"/>
      <c r="B4948" s="316"/>
      <c r="C4948" s="247"/>
      <c r="D4948" s="317"/>
      <c r="E4948" s="318"/>
      <c r="F4948" s="247"/>
      <c r="G4948" s="247"/>
      <c r="H4948" s="248"/>
      <c r="I4948" s="248"/>
      <c r="J4948" s="247"/>
      <c r="K4948" s="249"/>
    </row>
    <row r="4949" spans="1:11" s="90" customFormat="1" ht="12.75" customHeight="1" x14ac:dyDescent="0.2">
      <c r="A4949" s="247"/>
      <c r="B4949" s="316"/>
      <c r="C4949" s="247"/>
      <c r="D4949" s="317"/>
      <c r="E4949" s="318"/>
      <c r="F4949" s="247"/>
      <c r="G4949" s="247"/>
      <c r="H4949" s="248"/>
      <c r="I4949" s="248"/>
      <c r="J4949" s="247"/>
      <c r="K4949" s="249"/>
    </row>
    <row r="4950" spans="1:11" s="90" customFormat="1" ht="12.75" customHeight="1" x14ac:dyDescent="0.2">
      <c r="A4950" s="247"/>
      <c r="B4950" s="316"/>
      <c r="C4950" s="247"/>
      <c r="D4950" s="317"/>
      <c r="E4950" s="318"/>
      <c r="F4950" s="247"/>
      <c r="G4950" s="247"/>
      <c r="H4950" s="248"/>
      <c r="I4950" s="248"/>
      <c r="J4950" s="247"/>
      <c r="K4950" s="249"/>
    </row>
    <row r="4951" spans="1:11" s="90" customFormat="1" ht="12.75" customHeight="1" x14ac:dyDescent="0.2">
      <c r="A4951" s="247"/>
      <c r="B4951" s="316"/>
      <c r="C4951" s="247"/>
      <c r="D4951" s="317"/>
      <c r="E4951" s="318"/>
      <c r="F4951" s="247"/>
      <c r="G4951" s="247"/>
      <c r="H4951" s="248"/>
      <c r="I4951" s="248"/>
      <c r="J4951" s="247"/>
      <c r="K4951" s="249"/>
    </row>
    <row r="4952" spans="1:11" s="90" customFormat="1" ht="12.75" customHeight="1" x14ac:dyDescent="0.2">
      <c r="A4952" s="247"/>
      <c r="B4952" s="316"/>
      <c r="C4952" s="247"/>
      <c r="D4952" s="317"/>
      <c r="E4952" s="318"/>
      <c r="F4952" s="247"/>
      <c r="G4952" s="247"/>
      <c r="H4952" s="248"/>
      <c r="I4952" s="248"/>
      <c r="J4952" s="247"/>
      <c r="K4952" s="249"/>
    </row>
    <row r="4953" spans="1:11" s="90" customFormat="1" ht="12.75" customHeight="1" x14ac:dyDescent="0.2">
      <c r="A4953" s="247"/>
      <c r="B4953" s="316"/>
      <c r="C4953" s="247"/>
      <c r="D4953" s="317"/>
      <c r="E4953" s="318"/>
      <c r="F4953" s="247"/>
      <c r="G4953" s="247"/>
      <c r="H4953" s="248"/>
      <c r="I4953" s="248"/>
      <c r="J4953" s="247"/>
      <c r="K4953" s="249"/>
    </row>
    <row r="4954" spans="1:11" s="90" customFormat="1" ht="12.75" customHeight="1" x14ac:dyDescent="0.2">
      <c r="A4954" s="247"/>
      <c r="B4954" s="316"/>
      <c r="C4954" s="247"/>
      <c r="D4954" s="317"/>
      <c r="E4954" s="318"/>
      <c r="F4954" s="247"/>
      <c r="G4954" s="247"/>
      <c r="H4954" s="248"/>
      <c r="I4954" s="248"/>
      <c r="J4954" s="247"/>
      <c r="K4954" s="249"/>
    </row>
    <row r="4955" spans="1:11" s="90" customFormat="1" ht="12.75" customHeight="1" x14ac:dyDescent="0.2">
      <c r="A4955" s="247"/>
      <c r="B4955" s="316"/>
      <c r="C4955" s="247"/>
      <c r="D4955" s="317"/>
      <c r="E4955" s="318"/>
      <c r="F4955" s="247"/>
      <c r="G4955" s="247"/>
      <c r="H4955" s="248"/>
      <c r="I4955" s="248"/>
      <c r="J4955" s="247"/>
      <c r="K4955" s="249"/>
    </row>
    <row r="4956" spans="1:11" s="90" customFormat="1" ht="12.75" customHeight="1" x14ac:dyDescent="0.2">
      <c r="A4956" s="247"/>
      <c r="B4956" s="316"/>
      <c r="C4956" s="247"/>
      <c r="D4956" s="317"/>
      <c r="E4956" s="318"/>
      <c r="F4956" s="247"/>
      <c r="G4956" s="247"/>
      <c r="H4956" s="248"/>
      <c r="I4956" s="248"/>
      <c r="J4956" s="247"/>
      <c r="K4956" s="249"/>
    </row>
    <row r="4957" spans="1:11" s="90" customFormat="1" ht="12.75" customHeight="1" x14ac:dyDescent="0.2">
      <c r="A4957" s="247"/>
      <c r="B4957" s="316"/>
      <c r="C4957" s="247"/>
      <c r="D4957" s="317"/>
      <c r="E4957" s="318"/>
      <c r="F4957" s="247"/>
      <c r="G4957" s="247"/>
      <c r="H4957" s="248"/>
      <c r="I4957" s="248"/>
      <c r="J4957" s="247"/>
      <c r="K4957" s="249"/>
    </row>
    <row r="4958" spans="1:11" s="90" customFormat="1" ht="12.75" customHeight="1" x14ac:dyDescent="0.2">
      <c r="A4958" s="247"/>
      <c r="B4958" s="316"/>
      <c r="C4958" s="247"/>
      <c r="D4958" s="317"/>
      <c r="E4958" s="318"/>
      <c r="F4958" s="247"/>
      <c r="G4958" s="247"/>
      <c r="H4958" s="248"/>
      <c r="I4958" s="248"/>
      <c r="J4958" s="247"/>
      <c r="K4958" s="249"/>
    </row>
    <row r="4959" spans="1:11" s="90" customFormat="1" ht="12.75" customHeight="1" x14ac:dyDescent="0.2">
      <c r="A4959" s="247"/>
      <c r="B4959" s="316"/>
      <c r="C4959" s="247"/>
      <c r="D4959" s="317"/>
      <c r="E4959" s="318"/>
      <c r="F4959" s="247"/>
      <c r="G4959" s="247"/>
      <c r="H4959" s="248"/>
      <c r="I4959" s="248"/>
      <c r="J4959" s="247"/>
      <c r="K4959" s="249"/>
    </row>
    <row r="4960" spans="1:11" s="90" customFormat="1" ht="12.75" customHeight="1" x14ac:dyDescent="0.2">
      <c r="A4960" s="247"/>
      <c r="B4960" s="316"/>
      <c r="C4960" s="247"/>
      <c r="D4960" s="317"/>
      <c r="E4960" s="318"/>
      <c r="F4960" s="247"/>
      <c r="G4960" s="247"/>
      <c r="H4960" s="248"/>
      <c r="I4960" s="248"/>
      <c r="J4960" s="247"/>
      <c r="K4960" s="249"/>
    </row>
    <row r="4961" spans="1:11" s="90" customFormat="1" ht="12.75" customHeight="1" x14ac:dyDescent="0.2">
      <c r="A4961" s="247"/>
      <c r="B4961" s="316"/>
      <c r="C4961" s="247"/>
      <c r="D4961" s="317"/>
      <c r="E4961" s="318"/>
      <c r="F4961" s="247"/>
      <c r="G4961" s="247"/>
      <c r="H4961" s="248"/>
      <c r="I4961" s="248"/>
      <c r="J4961" s="247"/>
      <c r="K4961" s="249"/>
    </row>
    <row r="4962" spans="1:11" s="90" customFormat="1" ht="12.75" customHeight="1" x14ac:dyDescent="0.2">
      <c r="A4962" s="247"/>
      <c r="B4962" s="316"/>
      <c r="C4962" s="247"/>
      <c r="D4962" s="317"/>
      <c r="E4962" s="318"/>
      <c r="F4962" s="247"/>
      <c r="G4962" s="247"/>
      <c r="H4962" s="248"/>
      <c r="I4962" s="248"/>
      <c r="J4962" s="247"/>
      <c r="K4962" s="249"/>
    </row>
    <row r="4963" spans="1:11" s="90" customFormat="1" ht="12.75" customHeight="1" x14ac:dyDescent="0.2">
      <c r="A4963" s="247"/>
      <c r="B4963" s="316"/>
      <c r="C4963" s="247"/>
      <c r="D4963" s="317"/>
      <c r="E4963" s="318"/>
      <c r="F4963" s="247"/>
      <c r="G4963" s="247"/>
      <c r="H4963" s="248"/>
      <c r="I4963" s="248"/>
      <c r="J4963" s="247"/>
      <c r="K4963" s="249"/>
    </row>
    <row r="4964" spans="1:11" s="90" customFormat="1" ht="12.75" customHeight="1" x14ac:dyDescent="0.2">
      <c r="A4964" s="247"/>
      <c r="B4964" s="316"/>
      <c r="C4964" s="247"/>
      <c r="D4964" s="317"/>
      <c r="E4964" s="318"/>
      <c r="F4964" s="247"/>
      <c r="G4964" s="247"/>
      <c r="H4964" s="248"/>
      <c r="I4964" s="248"/>
      <c r="J4964" s="247"/>
      <c r="K4964" s="249"/>
    </row>
    <row r="4965" spans="1:11" s="90" customFormat="1" ht="12.75" customHeight="1" x14ac:dyDescent="0.2">
      <c r="A4965" s="247"/>
      <c r="B4965" s="316"/>
      <c r="C4965" s="247"/>
      <c r="D4965" s="317"/>
      <c r="E4965" s="318"/>
      <c r="F4965" s="247"/>
      <c r="G4965" s="247"/>
      <c r="H4965" s="248"/>
      <c r="I4965" s="248"/>
      <c r="J4965" s="247"/>
      <c r="K4965" s="249"/>
    </row>
    <row r="4966" spans="1:11" s="90" customFormat="1" ht="12.75" customHeight="1" x14ac:dyDescent="0.2">
      <c r="A4966" s="247"/>
      <c r="B4966" s="316"/>
      <c r="C4966" s="247"/>
      <c r="D4966" s="317"/>
      <c r="E4966" s="318"/>
      <c r="F4966" s="247"/>
      <c r="G4966" s="247"/>
      <c r="H4966" s="248"/>
      <c r="I4966" s="248"/>
      <c r="J4966" s="247"/>
      <c r="K4966" s="249"/>
    </row>
    <row r="4967" spans="1:11" s="90" customFormat="1" ht="12.75" customHeight="1" x14ac:dyDescent="0.2">
      <c r="A4967" s="247"/>
      <c r="B4967" s="316"/>
      <c r="C4967" s="247"/>
      <c r="D4967" s="317"/>
      <c r="E4967" s="318"/>
      <c r="F4967" s="247"/>
      <c r="G4967" s="247"/>
      <c r="H4967" s="248"/>
      <c r="I4967" s="248"/>
      <c r="J4967" s="247"/>
      <c r="K4967" s="249"/>
    </row>
    <row r="4968" spans="1:11" s="90" customFormat="1" ht="12.75" customHeight="1" x14ac:dyDescent="0.2">
      <c r="A4968" s="247"/>
      <c r="B4968" s="316"/>
      <c r="C4968" s="247"/>
      <c r="D4968" s="317"/>
      <c r="E4968" s="318"/>
      <c r="F4968" s="247"/>
      <c r="G4968" s="247"/>
      <c r="H4968" s="248"/>
      <c r="I4968" s="248"/>
      <c r="J4968" s="247"/>
      <c r="K4968" s="249"/>
    </row>
    <row r="4969" spans="1:11" s="90" customFormat="1" ht="12.75" customHeight="1" x14ac:dyDescent="0.2">
      <c r="A4969" s="247"/>
      <c r="B4969" s="316"/>
      <c r="C4969" s="247"/>
      <c r="D4969" s="317"/>
      <c r="E4969" s="318"/>
      <c r="F4969" s="247"/>
      <c r="G4969" s="247"/>
      <c r="H4969" s="248"/>
      <c r="I4969" s="248"/>
      <c r="J4969" s="247"/>
      <c r="K4969" s="249"/>
    </row>
    <row r="4970" spans="1:11" s="90" customFormat="1" ht="12.75" customHeight="1" x14ac:dyDescent="0.2">
      <c r="A4970" s="247"/>
      <c r="B4970" s="316"/>
      <c r="C4970" s="247"/>
      <c r="D4970" s="317"/>
      <c r="E4970" s="318"/>
      <c r="F4970" s="247"/>
      <c r="G4970" s="247"/>
      <c r="H4970" s="248"/>
      <c r="I4970" s="248"/>
      <c r="J4970" s="247"/>
      <c r="K4970" s="249"/>
    </row>
    <row r="4971" spans="1:11" s="90" customFormat="1" ht="12.75" customHeight="1" x14ac:dyDescent="0.2">
      <c r="A4971" s="247"/>
      <c r="B4971" s="316"/>
      <c r="C4971" s="247"/>
      <c r="D4971" s="317"/>
      <c r="E4971" s="318"/>
      <c r="F4971" s="247"/>
      <c r="G4971" s="247"/>
      <c r="H4971" s="248"/>
      <c r="I4971" s="248"/>
      <c r="J4971" s="247"/>
      <c r="K4971" s="249"/>
    </row>
    <row r="4972" spans="1:11" s="90" customFormat="1" ht="12.75" customHeight="1" x14ac:dyDescent="0.2">
      <c r="A4972" s="247"/>
      <c r="B4972" s="316"/>
      <c r="C4972" s="247"/>
      <c r="D4972" s="317"/>
      <c r="E4972" s="318"/>
      <c r="F4972" s="247"/>
      <c r="G4972" s="247"/>
      <c r="H4972" s="248"/>
      <c r="I4972" s="248"/>
      <c r="J4972" s="247"/>
      <c r="K4972" s="249"/>
    </row>
    <row r="4973" spans="1:11" s="90" customFormat="1" ht="12.75" customHeight="1" x14ac:dyDescent="0.2">
      <c r="A4973" s="247"/>
      <c r="B4973" s="316"/>
      <c r="C4973" s="247"/>
      <c r="D4973" s="317"/>
      <c r="E4973" s="318"/>
      <c r="F4973" s="247"/>
      <c r="G4973" s="247"/>
      <c r="H4973" s="248"/>
      <c r="I4973" s="248"/>
      <c r="J4973" s="247"/>
      <c r="K4973" s="249"/>
    </row>
    <row r="4974" spans="1:11" s="90" customFormat="1" ht="12.75" customHeight="1" x14ac:dyDescent="0.2">
      <c r="A4974" s="247"/>
      <c r="B4974" s="316"/>
      <c r="C4974" s="247"/>
      <c r="D4974" s="317"/>
      <c r="E4974" s="318"/>
      <c r="F4974" s="247"/>
      <c r="G4974" s="247"/>
      <c r="H4974" s="248"/>
      <c r="I4974" s="248"/>
      <c r="J4974" s="247"/>
      <c r="K4974" s="249"/>
    </row>
    <row r="4975" spans="1:11" s="90" customFormat="1" ht="12.75" customHeight="1" x14ac:dyDescent="0.2">
      <c r="A4975" s="247"/>
      <c r="B4975" s="316"/>
      <c r="C4975" s="247"/>
      <c r="D4975" s="317"/>
      <c r="E4975" s="318"/>
      <c r="F4975" s="247"/>
      <c r="G4975" s="247"/>
      <c r="H4975" s="248"/>
      <c r="I4975" s="248"/>
      <c r="J4975" s="247"/>
      <c r="K4975" s="249"/>
    </row>
    <row r="4976" spans="1:11" s="90" customFormat="1" ht="12.75" customHeight="1" x14ac:dyDescent="0.2">
      <c r="A4976" s="247"/>
      <c r="B4976" s="316"/>
      <c r="C4976" s="247"/>
      <c r="D4976" s="317"/>
      <c r="E4976" s="318"/>
      <c r="F4976" s="247"/>
      <c r="G4976" s="247"/>
      <c r="H4976" s="248"/>
      <c r="I4976" s="248"/>
      <c r="J4976" s="247"/>
      <c r="K4976" s="249"/>
    </row>
    <row r="4977" spans="1:11" s="90" customFormat="1" ht="12.75" customHeight="1" x14ac:dyDescent="0.2">
      <c r="A4977" s="247"/>
      <c r="B4977" s="316"/>
      <c r="C4977" s="247"/>
      <c r="D4977" s="317"/>
      <c r="E4977" s="318"/>
      <c r="F4977" s="247"/>
      <c r="G4977" s="247"/>
      <c r="H4977" s="248"/>
      <c r="I4977" s="248"/>
      <c r="J4977" s="247"/>
      <c r="K4977" s="249"/>
    </row>
    <row r="4978" spans="1:11" s="90" customFormat="1" ht="12.75" customHeight="1" x14ac:dyDescent="0.2">
      <c r="A4978" s="247"/>
      <c r="B4978" s="316"/>
      <c r="C4978" s="247"/>
      <c r="D4978" s="317"/>
      <c r="E4978" s="318"/>
      <c r="F4978" s="247"/>
      <c r="G4978" s="247"/>
      <c r="H4978" s="248"/>
      <c r="I4978" s="248"/>
      <c r="J4978" s="247"/>
      <c r="K4978" s="249"/>
    </row>
    <row r="4979" spans="1:11" s="90" customFormat="1" ht="12.75" customHeight="1" x14ac:dyDescent="0.2">
      <c r="A4979" s="247"/>
      <c r="B4979" s="316"/>
      <c r="C4979" s="247"/>
      <c r="D4979" s="317"/>
      <c r="E4979" s="318"/>
      <c r="F4979" s="247"/>
      <c r="G4979" s="247"/>
      <c r="H4979" s="248"/>
      <c r="I4979" s="248"/>
      <c r="J4979" s="247"/>
      <c r="K4979" s="249"/>
    </row>
    <row r="4980" spans="1:11" s="90" customFormat="1" ht="12.75" customHeight="1" x14ac:dyDescent="0.2">
      <c r="A4980" s="247"/>
      <c r="B4980" s="316"/>
      <c r="C4980" s="247"/>
      <c r="D4980" s="317"/>
      <c r="E4980" s="318"/>
      <c r="F4980" s="247"/>
      <c r="G4980" s="247"/>
      <c r="H4980" s="248"/>
      <c r="I4980" s="248"/>
      <c r="J4980" s="247"/>
      <c r="K4980" s="249"/>
    </row>
    <row r="4981" spans="1:11" s="90" customFormat="1" ht="12.75" customHeight="1" x14ac:dyDescent="0.2">
      <c r="A4981" s="247"/>
      <c r="B4981" s="316"/>
      <c r="C4981" s="247"/>
      <c r="D4981" s="317"/>
      <c r="E4981" s="318"/>
      <c r="F4981" s="247"/>
      <c r="G4981" s="247"/>
      <c r="H4981" s="248"/>
      <c r="I4981" s="248"/>
      <c r="J4981" s="247"/>
      <c r="K4981" s="249"/>
    </row>
    <row r="4982" spans="1:11" s="90" customFormat="1" ht="12.75" customHeight="1" x14ac:dyDescent="0.2">
      <c r="A4982" s="247"/>
      <c r="B4982" s="316"/>
      <c r="C4982" s="247"/>
      <c r="D4982" s="317"/>
      <c r="E4982" s="318"/>
      <c r="F4982" s="247"/>
      <c r="G4982" s="247"/>
      <c r="H4982" s="248"/>
      <c r="I4982" s="248"/>
      <c r="J4982" s="247"/>
      <c r="K4982" s="249"/>
    </row>
    <row r="4983" spans="1:11" s="90" customFormat="1" ht="12.75" customHeight="1" x14ac:dyDescent="0.2">
      <c r="A4983" s="247"/>
      <c r="B4983" s="316"/>
      <c r="C4983" s="247"/>
      <c r="D4983" s="317"/>
      <c r="E4983" s="318"/>
      <c r="F4983" s="247"/>
      <c r="G4983" s="247"/>
      <c r="H4983" s="248"/>
      <c r="I4983" s="248"/>
      <c r="J4983" s="247"/>
      <c r="K4983" s="249"/>
    </row>
    <row r="4984" spans="1:11" s="90" customFormat="1" ht="12.75" customHeight="1" x14ac:dyDescent="0.2">
      <c r="A4984" s="247"/>
      <c r="B4984" s="316"/>
      <c r="C4984" s="247"/>
      <c r="D4984" s="317"/>
      <c r="E4984" s="318"/>
      <c r="F4984" s="247"/>
      <c r="G4984" s="247"/>
      <c r="H4984" s="248"/>
      <c r="I4984" s="248"/>
      <c r="J4984" s="247"/>
      <c r="K4984" s="249"/>
    </row>
    <row r="4985" spans="1:11" s="90" customFormat="1" ht="12.75" customHeight="1" x14ac:dyDescent="0.2">
      <c r="A4985" s="247"/>
      <c r="B4985" s="316"/>
      <c r="C4985" s="247"/>
      <c r="D4985" s="317"/>
      <c r="E4985" s="318"/>
      <c r="F4985" s="247"/>
      <c r="G4985" s="247"/>
      <c r="H4985" s="248"/>
      <c r="I4985" s="248"/>
      <c r="J4985" s="247"/>
      <c r="K4985" s="249"/>
    </row>
    <row r="4986" spans="1:11" s="90" customFormat="1" ht="12.75" customHeight="1" x14ac:dyDescent="0.2">
      <c r="A4986" s="247"/>
      <c r="B4986" s="316"/>
      <c r="C4986" s="247"/>
      <c r="D4986" s="317"/>
      <c r="E4986" s="318"/>
      <c r="F4986" s="247"/>
      <c r="G4986" s="247"/>
      <c r="H4986" s="248"/>
      <c r="I4986" s="248"/>
      <c r="J4986" s="247"/>
      <c r="K4986" s="249"/>
    </row>
    <row r="4987" spans="1:11" s="90" customFormat="1" ht="12.75" customHeight="1" x14ac:dyDescent="0.2">
      <c r="A4987" s="247"/>
      <c r="B4987" s="316"/>
      <c r="C4987" s="247"/>
      <c r="D4987" s="317"/>
      <c r="E4987" s="318"/>
      <c r="F4987" s="247"/>
      <c r="G4987" s="247"/>
      <c r="H4987" s="248"/>
      <c r="I4987" s="248"/>
      <c r="J4987" s="247"/>
      <c r="K4987" s="249"/>
    </row>
    <row r="4988" spans="1:11" s="90" customFormat="1" ht="12.75" customHeight="1" x14ac:dyDescent="0.2">
      <c r="A4988" s="247"/>
      <c r="B4988" s="316"/>
      <c r="C4988" s="247"/>
      <c r="D4988" s="317"/>
      <c r="E4988" s="318"/>
      <c r="F4988" s="247"/>
      <c r="G4988" s="247"/>
      <c r="H4988" s="248"/>
      <c r="I4988" s="248"/>
      <c r="J4988" s="247"/>
      <c r="K4988" s="249"/>
    </row>
    <row r="4989" spans="1:11" s="90" customFormat="1" ht="12.75" customHeight="1" x14ac:dyDescent="0.2">
      <c r="A4989" s="247"/>
      <c r="B4989" s="316"/>
      <c r="C4989" s="247"/>
      <c r="D4989" s="317"/>
      <c r="E4989" s="318"/>
      <c r="F4989" s="247"/>
      <c r="G4989" s="247"/>
      <c r="H4989" s="248"/>
      <c r="I4989" s="248"/>
      <c r="J4989" s="247"/>
      <c r="K4989" s="249"/>
    </row>
    <row r="4990" spans="1:11" s="90" customFormat="1" ht="12.75" customHeight="1" x14ac:dyDescent="0.2">
      <c r="A4990" s="247"/>
      <c r="B4990" s="316"/>
      <c r="C4990" s="247"/>
      <c r="D4990" s="317"/>
      <c r="E4990" s="318"/>
      <c r="F4990" s="247"/>
      <c r="G4990" s="247"/>
      <c r="H4990" s="248"/>
      <c r="I4990" s="248"/>
      <c r="J4990" s="247"/>
      <c r="K4990" s="249"/>
    </row>
    <row r="4991" spans="1:11" s="90" customFormat="1" ht="12.75" customHeight="1" x14ac:dyDescent="0.2">
      <c r="A4991" s="247"/>
      <c r="B4991" s="316"/>
      <c r="C4991" s="247"/>
      <c r="D4991" s="317"/>
      <c r="E4991" s="318"/>
      <c r="F4991" s="247"/>
      <c r="G4991" s="247"/>
      <c r="H4991" s="248"/>
      <c r="I4991" s="248"/>
      <c r="J4991" s="247"/>
      <c r="K4991" s="249"/>
    </row>
    <row r="4992" spans="1:11" s="90" customFormat="1" ht="12.75" customHeight="1" x14ac:dyDescent="0.2">
      <c r="A4992" s="247"/>
      <c r="B4992" s="316"/>
      <c r="C4992" s="247"/>
      <c r="D4992" s="317"/>
      <c r="E4992" s="318"/>
      <c r="F4992" s="247"/>
      <c r="G4992" s="247"/>
      <c r="H4992" s="248"/>
      <c r="I4992" s="248"/>
      <c r="J4992" s="247"/>
      <c r="K4992" s="249"/>
    </row>
    <row r="4993" spans="1:11" s="90" customFormat="1" ht="12.75" customHeight="1" x14ac:dyDescent="0.2">
      <c r="A4993" s="247"/>
      <c r="B4993" s="316"/>
      <c r="C4993" s="247"/>
      <c r="D4993" s="317"/>
      <c r="E4993" s="318"/>
      <c r="F4993" s="247"/>
      <c r="G4993" s="247"/>
      <c r="H4993" s="248"/>
      <c r="I4993" s="248"/>
      <c r="J4993" s="247"/>
      <c r="K4993" s="249"/>
    </row>
    <row r="4994" spans="1:11" s="90" customFormat="1" ht="12.75" customHeight="1" x14ac:dyDescent="0.2">
      <c r="A4994" s="247"/>
      <c r="B4994" s="316"/>
      <c r="C4994" s="247"/>
      <c r="D4994" s="317"/>
      <c r="E4994" s="318"/>
      <c r="F4994" s="247"/>
      <c r="G4994" s="247"/>
      <c r="H4994" s="248"/>
      <c r="I4994" s="248"/>
      <c r="J4994" s="247"/>
      <c r="K4994" s="249"/>
    </row>
    <row r="4995" spans="1:11" s="90" customFormat="1" ht="12.75" customHeight="1" x14ac:dyDescent="0.2">
      <c r="A4995" s="247"/>
      <c r="B4995" s="316"/>
      <c r="C4995" s="247"/>
      <c r="D4995" s="317"/>
      <c r="E4995" s="318"/>
      <c r="F4995" s="247"/>
      <c r="G4995" s="247"/>
      <c r="H4995" s="248"/>
      <c r="I4995" s="248"/>
      <c r="J4995" s="247"/>
      <c r="K4995" s="249"/>
    </row>
    <row r="4996" spans="1:11" s="90" customFormat="1" ht="12.75" customHeight="1" x14ac:dyDescent="0.2">
      <c r="A4996" s="247"/>
      <c r="B4996" s="316"/>
      <c r="C4996" s="247"/>
      <c r="D4996" s="317"/>
      <c r="E4996" s="318"/>
      <c r="F4996" s="247"/>
      <c r="G4996" s="247"/>
      <c r="H4996" s="248"/>
      <c r="I4996" s="248"/>
      <c r="J4996" s="247"/>
      <c r="K4996" s="249"/>
    </row>
    <row r="4997" spans="1:11" s="90" customFormat="1" ht="12.75" customHeight="1" x14ac:dyDescent="0.2">
      <c r="A4997" s="247"/>
      <c r="B4997" s="316"/>
      <c r="C4997" s="247"/>
      <c r="D4997" s="317"/>
      <c r="E4997" s="318"/>
      <c r="F4997" s="247"/>
      <c r="G4997" s="247"/>
      <c r="H4997" s="248"/>
      <c r="I4997" s="248"/>
      <c r="J4997" s="247"/>
      <c r="K4997" s="249"/>
    </row>
    <row r="4998" spans="1:11" s="90" customFormat="1" ht="12.75" customHeight="1" x14ac:dyDescent="0.2">
      <c r="A4998" s="247"/>
      <c r="B4998" s="316"/>
      <c r="C4998" s="247"/>
      <c r="D4998" s="317"/>
      <c r="E4998" s="318"/>
      <c r="F4998" s="247"/>
      <c r="G4998" s="247"/>
      <c r="H4998" s="248"/>
      <c r="I4998" s="248"/>
      <c r="J4998" s="247"/>
      <c r="K4998" s="249"/>
    </row>
    <row r="4999" spans="1:11" s="90" customFormat="1" ht="12.75" customHeight="1" x14ac:dyDescent="0.2">
      <c r="A4999" s="247"/>
      <c r="B4999" s="316"/>
      <c r="C4999" s="247"/>
      <c r="D4999" s="317"/>
      <c r="E4999" s="318"/>
      <c r="F4999" s="247"/>
      <c r="G4999" s="247"/>
      <c r="H4999" s="248"/>
      <c r="I4999" s="248"/>
      <c r="J4999" s="247"/>
      <c r="K4999" s="249"/>
    </row>
    <row r="5000" spans="1:11" s="90" customFormat="1" ht="12.75" customHeight="1" x14ac:dyDescent="0.2">
      <c r="A5000" s="247"/>
      <c r="B5000" s="316"/>
      <c r="C5000" s="247"/>
      <c r="D5000" s="317"/>
      <c r="E5000" s="318"/>
      <c r="F5000" s="247"/>
      <c r="G5000" s="247"/>
      <c r="H5000" s="248"/>
      <c r="I5000" s="248"/>
      <c r="J5000" s="247"/>
      <c r="K5000" s="249"/>
    </row>
    <row r="5001" spans="1:11" s="90" customFormat="1" ht="12.75" customHeight="1" x14ac:dyDescent="0.2">
      <c r="A5001" s="247"/>
      <c r="B5001" s="316"/>
      <c r="C5001" s="247"/>
      <c r="D5001" s="317"/>
      <c r="E5001" s="318"/>
      <c r="F5001" s="247"/>
      <c r="G5001" s="247"/>
      <c r="H5001" s="248"/>
      <c r="I5001" s="248"/>
      <c r="J5001" s="247"/>
      <c r="K5001" s="249"/>
    </row>
    <row r="5002" spans="1:11" s="90" customFormat="1" ht="12.75" customHeight="1" x14ac:dyDescent="0.2">
      <c r="A5002" s="247"/>
      <c r="B5002" s="316"/>
      <c r="C5002" s="247"/>
      <c r="D5002" s="317"/>
      <c r="E5002" s="318"/>
      <c r="F5002" s="247"/>
      <c r="G5002" s="247"/>
      <c r="H5002" s="248"/>
      <c r="I5002" s="248"/>
      <c r="J5002" s="247"/>
      <c r="K5002" s="249"/>
    </row>
    <row r="5003" spans="1:11" s="90" customFormat="1" ht="12.75" customHeight="1" x14ac:dyDescent="0.2">
      <c r="A5003" s="247"/>
      <c r="B5003" s="316"/>
      <c r="C5003" s="247"/>
      <c r="D5003" s="317"/>
      <c r="E5003" s="318"/>
      <c r="F5003" s="247"/>
      <c r="G5003" s="247"/>
      <c r="H5003" s="248"/>
      <c r="I5003" s="248"/>
      <c r="J5003" s="247"/>
      <c r="K5003" s="249"/>
    </row>
    <row r="5004" spans="1:11" s="90" customFormat="1" ht="12.75" customHeight="1" x14ac:dyDescent="0.2">
      <c r="A5004" s="247"/>
      <c r="B5004" s="316"/>
      <c r="C5004" s="247"/>
      <c r="D5004" s="317"/>
      <c r="E5004" s="318"/>
      <c r="F5004" s="247"/>
      <c r="G5004" s="247"/>
      <c r="H5004" s="248"/>
      <c r="I5004" s="248"/>
      <c r="J5004" s="247"/>
      <c r="K5004" s="249"/>
    </row>
    <row r="5005" spans="1:11" s="90" customFormat="1" ht="12.75" customHeight="1" x14ac:dyDescent="0.2">
      <c r="A5005" s="247"/>
      <c r="B5005" s="316"/>
      <c r="C5005" s="247"/>
      <c r="D5005" s="317"/>
      <c r="E5005" s="318"/>
      <c r="F5005" s="247"/>
      <c r="G5005" s="247"/>
      <c r="H5005" s="248"/>
      <c r="I5005" s="248"/>
      <c r="J5005" s="247"/>
      <c r="K5005" s="249"/>
    </row>
    <row r="5006" spans="1:11" s="90" customFormat="1" ht="12.75" customHeight="1" x14ac:dyDescent="0.2">
      <c r="A5006" s="247"/>
      <c r="B5006" s="316"/>
      <c r="C5006" s="247"/>
      <c r="D5006" s="317"/>
      <c r="E5006" s="318"/>
      <c r="F5006" s="247"/>
      <c r="G5006" s="247"/>
      <c r="H5006" s="248"/>
      <c r="I5006" s="248"/>
      <c r="J5006" s="247"/>
      <c r="K5006" s="249"/>
    </row>
    <row r="5007" spans="1:11" s="90" customFormat="1" ht="12.75" customHeight="1" x14ac:dyDescent="0.2">
      <c r="A5007" s="247"/>
      <c r="B5007" s="316"/>
      <c r="C5007" s="247"/>
      <c r="D5007" s="317"/>
      <c r="E5007" s="318"/>
      <c r="F5007" s="247"/>
      <c r="G5007" s="247"/>
      <c r="H5007" s="248"/>
      <c r="I5007" s="248"/>
      <c r="J5007" s="247"/>
      <c r="K5007" s="249"/>
    </row>
    <row r="5008" spans="1:11" s="90" customFormat="1" ht="12.75" customHeight="1" x14ac:dyDescent="0.2">
      <c r="A5008" s="247"/>
      <c r="B5008" s="316"/>
      <c r="C5008" s="247"/>
      <c r="D5008" s="317"/>
      <c r="E5008" s="318"/>
      <c r="F5008" s="247"/>
      <c r="G5008" s="247"/>
      <c r="H5008" s="248"/>
      <c r="I5008" s="248"/>
      <c r="J5008" s="247"/>
      <c r="K5008" s="249"/>
    </row>
    <row r="5009" spans="1:11" s="90" customFormat="1" ht="12.75" customHeight="1" x14ac:dyDescent="0.2">
      <c r="A5009" s="247"/>
      <c r="B5009" s="316"/>
      <c r="C5009" s="247"/>
      <c r="D5009" s="317"/>
      <c r="E5009" s="318"/>
      <c r="F5009" s="247"/>
      <c r="G5009" s="247"/>
      <c r="H5009" s="248"/>
      <c r="I5009" s="248"/>
      <c r="J5009" s="247"/>
      <c r="K5009" s="249"/>
    </row>
    <row r="5010" spans="1:11" s="90" customFormat="1" ht="12.75" customHeight="1" x14ac:dyDescent="0.2">
      <c r="A5010" s="247"/>
      <c r="B5010" s="316"/>
      <c r="C5010" s="247"/>
      <c r="D5010" s="317"/>
      <c r="E5010" s="318"/>
      <c r="F5010" s="247"/>
      <c r="G5010" s="247"/>
      <c r="H5010" s="248"/>
      <c r="I5010" s="248"/>
      <c r="J5010" s="247"/>
      <c r="K5010" s="249"/>
    </row>
    <row r="5011" spans="1:11" s="90" customFormat="1" ht="12.75" customHeight="1" x14ac:dyDescent="0.2">
      <c r="A5011" s="247"/>
      <c r="B5011" s="316"/>
      <c r="C5011" s="247"/>
      <c r="D5011" s="317"/>
      <c r="E5011" s="318"/>
      <c r="F5011" s="247"/>
      <c r="G5011" s="247"/>
      <c r="H5011" s="248"/>
      <c r="I5011" s="248"/>
      <c r="J5011" s="247"/>
      <c r="K5011" s="249"/>
    </row>
    <row r="5012" spans="1:11" s="90" customFormat="1" ht="12.75" customHeight="1" x14ac:dyDescent="0.2">
      <c r="A5012" s="247"/>
      <c r="B5012" s="316"/>
      <c r="C5012" s="247"/>
      <c r="D5012" s="317"/>
      <c r="E5012" s="318"/>
      <c r="F5012" s="247"/>
      <c r="G5012" s="247"/>
      <c r="H5012" s="248"/>
      <c r="I5012" s="248"/>
      <c r="J5012" s="247"/>
      <c r="K5012" s="249"/>
    </row>
    <row r="5013" spans="1:11" s="90" customFormat="1" ht="12.75" customHeight="1" x14ac:dyDescent="0.2">
      <c r="A5013" s="247"/>
      <c r="B5013" s="316"/>
      <c r="C5013" s="247"/>
      <c r="D5013" s="317"/>
      <c r="E5013" s="318"/>
      <c r="F5013" s="247"/>
      <c r="G5013" s="247"/>
      <c r="H5013" s="248"/>
      <c r="I5013" s="248"/>
      <c r="J5013" s="247"/>
      <c r="K5013" s="249"/>
    </row>
    <row r="5014" spans="1:11" s="90" customFormat="1" ht="12.75" customHeight="1" x14ac:dyDescent="0.2">
      <c r="A5014" s="247"/>
      <c r="B5014" s="316"/>
      <c r="C5014" s="247"/>
      <c r="D5014" s="317"/>
      <c r="E5014" s="318"/>
      <c r="F5014" s="247"/>
      <c r="G5014" s="247"/>
      <c r="H5014" s="248"/>
      <c r="I5014" s="248"/>
      <c r="J5014" s="247"/>
      <c r="K5014" s="249"/>
    </row>
    <row r="5015" spans="1:11" s="90" customFormat="1" ht="12.75" customHeight="1" x14ac:dyDescent="0.2">
      <c r="A5015" s="247"/>
      <c r="B5015" s="316"/>
      <c r="C5015" s="247"/>
      <c r="D5015" s="317"/>
      <c r="E5015" s="318"/>
      <c r="F5015" s="247"/>
      <c r="G5015" s="247"/>
      <c r="H5015" s="248"/>
      <c r="I5015" s="248"/>
      <c r="J5015" s="247"/>
      <c r="K5015" s="249"/>
    </row>
    <row r="5016" spans="1:11" s="90" customFormat="1" ht="12.75" customHeight="1" x14ac:dyDescent="0.2">
      <c r="A5016" s="247"/>
      <c r="B5016" s="316"/>
      <c r="C5016" s="247"/>
      <c r="D5016" s="317"/>
      <c r="E5016" s="318"/>
      <c r="F5016" s="247"/>
      <c r="G5016" s="247"/>
      <c r="H5016" s="248"/>
      <c r="I5016" s="248"/>
      <c r="J5016" s="247"/>
      <c r="K5016" s="249"/>
    </row>
    <row r="5017" spans="1:11" s="90" customFormat="1" ht="12.75" customHeight="1" x14ac:dyDescent="0.2">
      <c r="A5017" s="247"/>
      <c r="B5017" s="316"/>
      <c r="C5017" s="247"/>
      <c r="D5017" s="317"/>
      <c r="E5017" s="318"/>
      <c r="F5017" s="247"/>
      <c r="G5017" s="247"/>
      <c r="H5017" s="248"/>
      <c r="I5017" s="248"/>
      <c r="J5017" s="247"/>
      <c r="K5017" s="249"/>
    </row>
    <row r="5018" spans="1:11" s="90" customFormat="1" ht="12.75" customHeight="1" x14ac:dyDescent="0.2">
      <c r="A5018" s="247"/>
      <c r="B5018" s="316"/>
      <c r="C5018" s="247"/>
      <c r="D5018" s="317"/>
      <c r="E5018" s="318"/>
      <c r="F5018" s="247"/>
      <c r="G5018" s="247"/>
      <c r="H5018" s="248"/>
      <c r="I5018" s="248"/>
      <c r="J5018" s="247"/>
      <c r="K5018" s="249"/>
    </row>
    <row r="5019" spans="1:11" s="90" customFormat="1" ht="12.75" customHeight="1" x14ac:dyDescent="0.2">
      <c r="A5019" s="247"/>
      <c r="B5019" s="316"/>
      <c r="C5019" s="247"/>
      <c r="D5019" s="317"/>
      <c r="E5019" s="318"/>
      <c r="F5019" s="247"/>
      <c r="G5019" s="247"/>
      <c r="H5019" s="248"/>
      <c r="I5019" s="248"/>
      <c r="J5019" s="247"/>
      <c r="K5019" s="249"/>
    </row>
    <row r="5020" spans="1:11" s="90" customFormat="1" ht="12.75" customHeight="1" x14ac:dyDescent="0.2">
      <c r="A5020" s="247"/>
      <c r="B5020" s="316"/>
      <c r="C5020" s="247"/>
      <c r="D5020" s="317"/>
      <c r="E5020" s="318"/>
      <c r="F5020" s="247"/>
      <c r="G5020" s="247"/>
      <c r="H5020" s="248"/>
      <c r="I5020" s="248"/>
      <c r="J5020" s="247"/>
      <c r="K5020" s="249"/>
    </row>
    <row r="5021" spans="1:11" s="90" customFormat="1" ht="12.75" customHeight="1" x14ac:dyDescent="0.2">
      <c r="A5021" s="247"/>
      <c r="B5021" s="316"/>
      <c r="C5021" s="247"/>
      <c r="D5021" s="317"/>
      <c r="E5021" s="318"/>
      <c r="F5021" s="247"/>
      <c r="G5021" s="247"/>
      <c r="H5021" s="248"/>
      <c r="I5021" s="248"/>
      <c r="J5021" s="247"/>
      <c r="K5021" s="249"/>
    </row>
    <row r="5022" spans="1:11" s="90" customFormat="1" ht="12.75" customHeight="1" x14ac:dyDescent="0.2">
      <c r="A5022" s="247"/>
      <c r="B5022" s="316"/>
      <c r="C5022" s="247"/>
      <c r="D5022" s="317"/>
      <c r="E5022" s="318"/>
      <c r="F5022" s="247"/>
      <c r="G5022" s="247"/>
      <c r="H5022" s="248"/>
      <c r="I5022" s="248"/>
      <c r="J5022" s="247"/>
      <c r="K5022" s="249"/>
    </row>
    <row r="5023" spans="1:11" s="90" customFormat="1" ht="12.75" customHeight="1" x14ac:dyDescent="0.2">
      <c r="A5023" s="247"/>
      <c r="B5023" s="316"/>
      <c r="C5023" s="247"/>
      <c r="D5023" s="317"/>
      <c r="E5023" s="318"/>
      <c r="F5023" s="247"/>
      <c r="G5023" s="247"/>
      <c r="H5023" s="248"/>
      <c r="I5023" s="248"/>
      <c r="J5023" s="247"/>
      <c r="K5023" s="249"/>
    </row>
    <row r="5024" spans="1:11" s="90" customFormat="1" ht="12.75" customHeight="1" x14ac:dyDescent="0.2">
      <c r="A5024" s="247"/>
      <c r="B5024" s="316"/>
      <c r="C5024" s="247"/>
      <c r="D5024" s="317"/>
      <c r="E5024" s="318"/>
      <c r="F5024" s="247"/>
      <c r="G5024" s="247"/>
      <c r="H5024" s="248"/>
      <c r="I5024" s="248"/>
      <c r="J5024" s="247"/>
      <c r="K5024" s="249"/>
    </row>
    <row r="5025" spans="1:11" s="90" customFormat="1" ht="12.75" customHeight="1" x14ac:dyDescent="0.2">
      <c r="A5025" s="247"/>
      <c r="B5025" s="316"/>
      <c r="C5025" s="247"/>
      <c r="D5025" s="317"/>
      <c r="E5025" s="318"/>
      <c r="F5025" s="247"/>
      <c r="G5025" s="247"/>
      <c r="H5025" s="248"/>
      <c r="I5025" s="248"/>
      <c r="J5025" s="247"/>
      <c r="K5025" s="249"/>
    </row>
    <row r="5026" spans="1:11" s="90" customFormat="1" ht="12.75" customHeight="1" x14ac:dyDescent="0.2">
      <c r="A5026" s="247"/>
      <c r="B5026" s="316"/>
      <c r="C5026" s="247"/>
      <c r="D5026" s="317"/>
      <c r="E5026" s="318"/>
      <c r="F5026" s="247"/>
      <c r="G5026" s="247"/>
      <c r="H5026" s="248"/>
      <c r="I5026" s="248"/>
      <c r="J5026" s="247"/>
      <c r="K5026" s="249"/>
    </row>
    <row r="5027" spans="1:11" s="90" customFormat="1" ht="12.75" customHeight="1" x14ac:dyDescent="0.2">
      <c r="A5027" s="247"/>
      <c r="B5027" s="316"/>
      <c r="C5027" s="247"/>
      <c r="D5027" s="317"/>
      <c r="E5027" s="318"/>
      <c r="F5027" s="247"/>
      <c r="G5027" s="247"/>
      <c r="H5027" s="248"/>
      <c r="I5027" s="248"/>
      <c r="J5027" s="247"/>
      <c r="K5027" s="249"/>
    </row>
    <row r="5028" spans="1:11" s="90" customFormat="1" ht="12.75" customHeight="1" x14ac:dyDescent="0.2">
      <c r="A5028" s="247"/>
      <c r="B5028" s="316"/>
      <c r="C5028" s="247"/>
      <c r="D5028" s="317"/>
      <c r="E5028" s="318"/>
      <c r="F5028" s="247"/>
      <c r="G5028" s="247"/>
      <c r="H5028" s="248"/>
      <c r="I5028" s="248"/>
      <c r="J5028" s="247"/>
      <c r="K5028" s="249"/>
    </row>
    <row r="5029" spans="1:11" s="90" customFormat="1" ht="12.75" customHeight="1" x14ac:dyDescent="0.2">
      <c r="A5029" s="247"/>
      <c r="B5029" s="316"/>
      <c r="C5029" s="247"/>
      <c r="D5029" s="317"/>
      <c r="E5029" s="318"/>
      <c r="F5029" s="247"/>
      <c r="G5029" s="247"/>
      <c r="H5029" s="248"/>
      <c r="I5029" s="248"/>
      <c r="J5029" s="247"/>
      <c r="K5029" s="249"/>
    </row>
    <row r="5030" spans="1:11" s="90" customFormat="1" ht="12.75" customHeight="1" x14ac:dyDescent="0.2">
      <c r="A5030" s="247"/>
      <c r="B5030" s="316"/>
      <c r="C5030" s="247"/>
      <c r="D5030" s="317"/>
      <c r="E5030" s="318"/>
      <c r="F5030" s="247"/>
      <c r="G5030" s="247"/>
      <c r="H5030" s="248"/>
      <c r="I5030" s="248"/>
      <c r="J5030" s="247"/>
      <c r="K5030" s="249"/>
    </row>
    <row r="5031" spans="1:11" s="90" customFormat="1" ht="12.75" customHeight="1" x14ac:dyDescent="0.2">
      <c r="A5031" s="247"/>
      <c r="B5031" s="316"/>
      <c r="C5031" s="247"/>
      <c r="D5031" s="317"/>
      <c r="E5031" s="318"/>
      <c r="F5031" s="247"/>
      <c r="G5031" s="247"/>
      <c r="H5031" s="248"/>
      <c r="I5031" s="248"/>
      <c r="J5031" s="247"/>
      <c r="K5031" s="249"/>
    </row>
    <row r="5032" spans="1:11" s="90" customFormat="1" ht="12.75" customHeight="1" x14ac:dyDescent="0.2">
      <c r="A5032" s="247"/>
      <c r="B5032" s="316"/>
      <c r="C5032" s="247"/>
      <c r="D5032" s="317"/>
      <c r="E5032" s="318"/>
      <c r="F5032" s="247"/>
      <c r="G5032" s="247"/>
      <c r="H5032" s="248"/>
      <c r="I5032" s="248"/>
      <c r="J5032" s="247"/>
      <c r="K5032" s="249"/>
    </row>
    <row r="5033" spans="1:11" s="90" customFormat="1" ht="12.75" customHeight="1" x14ac:dyDescent="0.2">
      <c r="A5033" s="247"/>
      <c r="B5033" s="316"/>
      <c r="C5033" s="247"/>
      <c r="D5033" s="317"/>
      <c r="E5033" s="318"/>
      <c r="F5033" s="247"/>
      <c r="G5033" s="247"/>
      <c r="H5033" s="248"/>
      <c r="I5033" s="248"/>
      <c r="J5033" s="247"/>
      <c r="K5033" s="249"/>
    </row>
    <row r="5034" spans="1:11" s="90" customFormat="1" ht="12.75" customHeight="1" x14ac:dyDescent="0.2">
      <c r="A5034" s="247"/>
      <c r="B5034" s="316"/>
      <c r="C5034" s="247"/>
      <c r="D5034" s="317"/>
      <c r="E5034" s="318"/>
      <c r="F5034" s="247"/>
      <c r="G5034" s="247"/>
      <c r="H5034" s="248"/>
      <c r="I5034" s="248"/>
      <c r="J5034" s="247"/>
      <c r="K5034" s="249"/>
    </row>
    <row r="5035" spans="1:11" s="90" customFormat="1" ht="12.75" customHeight="1" x14ac:dyDescent="0.2">
      <c r="A5035" s="247"/>
      <c r="B5035" s="316"/>
      <c r="C5035" s="247"/>
      <c r="D5035" s="317"/>
      <c r="E5035" s="318"/>
      <c r="F5035" s="247"/>
      <c r="G5035" s="247"/>
      <c r="H5035" s="248"/>
      <c r="I5035" s="248"/>
      <c r="J5035" s="247"/>
      <c r="K5035" s="249"/>
    </row>
    <row r="5036" spans="1:11" s="90" customFormat="1" ht="12.75" customHeight="1" x14ac:dyDescent="0.2">
      <c r="A5036" s="247"/>
      <c r="B5036" s="316"/>
      <c r="C5036" s="247"/>
      <c r="D5036" s="317"/>
      <c r="E5036" s="318"/>
      <c r="F5036" s="247"/>
      <c r="G5036" s="247"/>
      <c r="H5036" s="248"/>
      <c r="I5036" s="248"/>
      <c r="J5036" s="247"/>
      <c r="K5036" s="249"/>
    </row>
    <row r="5037" spans="1:11" s="90" customFormat="1" ht="12.75" customHeight="1" x14ac:dyDescent="0.2">
      <c r="A5037" s="247"/>
      <c r="B5037" s="316"/>
      <c r="C5037" s="247"/>
      <c r="D5037" s="317"/>
      <c r="E5037" s="318"/>
      <c r="F5037" s="247"/>
      <c r="G5037" s="247"/>
      <c r="H5037" s="248"/>
      <c r="I5037" s="248"/>
      <c r="J5037" s="247"/>
      <c r="K5037" s="249"/>
    </row>
    <row r="5038" spans="1:11" s="90" customFormat="1" ht="12.75" customHeight="1" x14ac:dyDescent="0.2">
      <c r="A5038" s="247"/>
      <c r="B5038" s="316"/>
      <c r="C5038" s="247"/>
      <c r="D5038" s="317"/>
      <c r="E5038" s="318"/>
      <c r="F5038" s="247"/>
      <c r="G5038" s="247"/>
      <c r="H5038" s="248"/>
      <c r="I5038" s="248"/>
      <c r="J5038" s="247"/>
      <c r="K5038" s="249"/>
    </row>
    <row r="5039" spans="1:11" s="90" customFormat="1" ht="12.75" customHeight="1" x14ac:dyDescent="0.2">
      <c r="A5039" s="247"/>
      <c r="B5039" s="316"/>
      <c r="C5039" s="247"/>
      <c r="D5039" s="317"/>
      <c r="E5039" s="318"/>
      <c r="F5039" s="247"/>
      <c r="G5039" s="247"/>
      <c r="H5039" s="248"/>
      <c r="I5039" s="248"/>
      <c r="J5039" s="247"/>
      <c r="K5039" s="249"/>
    </row>
    <row r="5040" spans="1:11" s="90" customFormat="1" ht="12.75" customHeight="1" x14ac:dyDescent="0.2">
      <c r="A5040" s="247"/>
      <c r="B5040" s="316"/>
      <c r="C5040" s="247"/>
      <c r="D5040" s="317"/>
      <c r="E5040" s="318"/>
      <c r="F5040" s="247"/>
      <c r="G5040" s="247"/>
      <c r="H5040" s="248"/>
      <c r="I5040" s="248"/>
      <c r="J5040" s="247"/>
      <c r="K5040" s="249"/>
    </row>
    <row r="5041" spans="1:11" s="90" customFormat="1" ht="12.75" customHeight="1" x14ac:dyDescent="0.2">
      <c r="A5041" s="247"/>
      <c r="B5041" s="316"/>
      <c r="C5041" s="247"/>
      <c r="D5041" s="317"/>
      <c r="E5041" s="318"/>
      <c r="F5041" s="247"/>
      <c r="G5041" s="247"/>
      <c r="H5041" s="248"/>
      <c r="I5041" s="248"/>
      <c r="J5041" s="247"/>
      <c r="K5041" s="249"/>
    </row>
    <row r="5042" spans="1:11" s="90" customFormat="1" ht="12.75" customHeight="1" x14ac:dyDescent="0.2">
      <c r="A5042" s="247"/>
      <c r="B5042" s="316"/>
      <c r="C5042" s="247"/>
      <c r="D5042" s="317"/>
      <c r="E5042" s="318"/>
      <c r="F5042" s="247"/>
      <c r="G5042" s="247"/>
      <c r="H5042" s="248"/>
      <c r="I5042" s="248"/>
      <c r="J5042" s="247"/>
      <c r="K5042" s="249"/>
    </row>
    <row r="5043" spans="1:11" s="90" customFormat="1" ht="12.75" customHeight="1" x14ac:dyDescent="0.2">
      <c r="A5043" s="247"/>
      <c r="B5043" s="316"/>
      <c r="C5043" s="247"/>
      <c r="D5043" s="317"/>
      <c r="E5043" s="318"/>
      <c r="F5043" s="247"/>
      <c r="G5043" s="247"/>
      <c r="H5043" s="248"/>
      <c r="I5043" s="248"/>
      <c r="J5043" s="247"/>
      <c r="K5043" s="249"/>
    </row>
    <row r="5044" spans="1:11" s="90" customFormat="1" ht="12.75" customHeight="1" x14ac:dyDescent="0.2">
      <c r="A5044" s="247"/>
      <c r="B5044" s="316"/>
      <c r="C5044" s="247"/>
      <c r="D5044" s="317"/>
      <c r="E5044" s="318"/>
      <c r="F5044" s="247"/>
      <c r="G5044" s="247"/>
      <c r="H5044" s="248"/>
      <c r="I5044" s="248"/>
      <c r="J5044" s="247"/>
      <c r="K5044" s="249"/>
    </row>
    <row r="5045" spans="1:11" s="90" customFormat="1" ht="12.75" customHeight="1" x14ac:dyDescent="0.2">
      <c r="A5045" s="247"/>
      <c r="B5045" s="316"/>
      <c r="C5045" s="247"/>
      <c r="D5045" s="317"/>
      <c r="E5045" s="318"/>
      <c r="F5045" s="247"/>
      <c r="G5045" s="247"/>
      <c r="H5045" s="248"/>
      <c r="I5045" s="248"/>
      <c r="J5045" s="247"/>
      <c r="K5045" s="249"/>
    </row>
    <row r="5046" spans="1:11" s="90" customFormat="1" ht="12.75" customHeight="1" x14ac:dyDescent="0.2">
      <c r="A5046" s="247"/>
      <c r="B5046" s="316"/>
      <c r="C5046" s="247"/>
      <c r="D5046" s="317"/>
      <c r="E5046" s="318"/>
      <c r="F5046" s="247"/>
      <c r="G5046" s="247"/>
      <c r="H5046" s="248"/>
      <c r="I5046" s="248"/>
      <c r="J5046" s="247"/>
      <c r="K5046" s="249"/>
    </row>
    <row r="5047" spans="1:11" s="90" customFormat="1" ht="12.75" customHeight="1" x14ac:dyDescent="0.2">
      <c r="A5047" s="247"/>
      <c r="B5047" s="316"/>
      <c r="C5047" s="247"/>
      <c r="D5047" s="317"/>
      <c r="E5047" s="318"/>
      <c r="F5047" s="247"/>
      <c r="G5047" s="247"/>
      <c r="H5047" s="248"/>
      <c r="I5047" s="248"/>
      <c r="J5047" s="247"/>
      <c r="K5047" s="249"/>
    </row>
    <row r="5048" spans="1:11" s="90" customFormat="1" ht="12.75" customHeight="1" x14ac:dyDescent="0.2">
      <c r="A5048" s="247"/>
      <c r="B5048" s="316"/>
      <c r="C5048" s="247"/>
      <c r="D5048" s="317"/>
      <c r="E5048" s="318"/>
      <c r="F5048" s="247"/>
      <c r="G5048" s="247"/>
      <c r="H5048" s="248"/>
      <c r="I5048" s="248"/>
      <c r="J5048" s="247"/>
      <c r="K5048" s="249"/>
    </row>
    <row r="5049" spans="1:11" s="90" customFormat="1" ht="12.75" customHeight="1" x14ac:dyDescent="0.2">
      <c r="A5049" s="247"/>
      <c r="B5049" s="316"/>
      <c r="C5049" s="247"/>
      <c r="D5049" s="317"/>
      <c r="E5049" s="318"/>
      <c r="F5049" s="247"/>
      <c r="G5049" s="247"/>
      <c r="H5049" s="248"/>
      <c r="I5049" s="248"/>
      <c r="J5049" s="247"/>
      <c r="K5049" s="249"/>
    </row>
    <row r="5050" spans="1:11" s="90" customFormat="1" ht="12.75" customHeight="1" x14ac:dyDescent="0.2">
      <c r="A5050" s="247"/>
      <c r="B5050" s="316"/>
      <c r="C5050" s="247"/>
      <c r="D5050" s="317"/>
      <c r="E5050" s="318"/>
      <c r="F5050" s="247"/>
      <c r="G5050" s="247"/>
      <c r="H5050" s="248"/>
      <c r="I5050" s="248"/>
      <c r="J5050" s="247"/>
      <c r="K5050" s="249"/>
    </row>
    <row r="5051" spans="1:11" s="90" customFormat="1" ht="12.75" customHeight="1" x14ac:dyDescent="0.2">
      <c r="A5051" s="247"/>
      <c r="B5051" s="316"/>
      <c r="C5051" s="247"/>
      <c r="D5051" s="317"/>
      <c r="E5051" s="318"/>
      <c r="F5051" s="247"/>
      <c r="G5051" s="247"/>
      <c r="H5051" s="248"/>
      <c r="I5051" s="248"/>
      <c r="J5051" s="247"/>
      <c r="K5051" s="249"/>
    </row>
    <row r="5052" spans="1:11" s="90" customFormat="1" ht="12.75" customHeight="1" x14ac:dyDescent="0.2">
      <c r="A5052" s="247"/>
      <c r="B5052" s="316"/>
      <c r="C5052" s="247"/>
      <c r="D5052" s="317"/>
      <c r="E5052" s="318"/>
      <c r="F5052" s="247"/>
      <c r="G5052" s="247"/>
      <c r="H5052" s="248"/>
      <c r="I5052" s="248"/>
      <c r="J5052" s="247"/>
      <c r="K5052" s="249"/>
    </row>
    <row r="5053" spans="1:11" s="90" customFormat="1" ht="12.75" customHeight="1" x14ac:dyDescent="0.2">
      <c r="A5053" s="247"/>
      <c r="B5053" s="316"/>
      <c r="C5053" s="247"/>
      <c r="D5053" s="317"/>
      <c r="E5053" s="318"/>
      <c r="F5053" s="247"/>
      <c r="G5053" s="247"/>
      <c r="H5053" s="248"/>
      <c r="I5053" s="248"/>
      <c r="J5053" s="247"/>
      <c r="K5053" s="249"/>
    </row>
    <row r="5054" spans="1:11" s="90" customFormat="1" ht="12.75" customHeight="1" x14ac:dyDescent="0.2">
      <c r="A5054" s="247"/>
      <c r="B5054" s="316"/>
      <c r="C5054" s="247"/>
      <c r="D5054" s="317"/>
      <c r="E5054" s="318"/>
      <c r="F5054" s="247"/>
      <c r="G5054" s="247"/>
      <c r="H5054" s="248"/>
      <c r="I5054" s="248"/>
      <c r="J5054" s="247"/>
      <c r="K5054" s="249"/>
    </row>
    <row r="5055" spans="1:11" s="90" customFormat="1" ht="12.75" customHeight="1" x14ac:dyDescent="0.2">
      <c r="A5055" s="247"/>
      <c r="B5055" s="316"/>
      <c r="C5055" s="247"/>
      <c r="D5055" s="317"/>
      <c r="E5055" s="318"/>
      <c r="F5055" s="247"/>
      <c r="G5055" s="247"/>
      <c r="H5055" s="248"/>
      <c r="I5055" s="248"/>
      <c r="J5055" s="247"/>
      <c r="K5055" s="249"/>
    </row>
    <row r="5056" spans="1:11" s="90" customFormat="1" ht="12.75" customHeight="1" x14ac:dyDescent="0.2">
      <c r="A5056" s="247"/>
      <c r="B5056" s="316"/>
      <c r="C5056" s="247"/>
      <c r="D5056" s="317"/>
      <c r="E5056" s="318"/>
      <c r="F5056" s="247"/>
      <c r="G5056" s="247"/>
      <c r="H5056" s="248"/>
      <c r="I5056" s="248"/>
      <c r="J5056" s="247"/>
      <c r="K5056" s="249"/>
    </row>
    <row r="5057" spans="1:11" s="90" customFormat="1" ht="12.75" customHeight="1" x14ac:dyDescent="0.2">
      <c r="A5057" s="247"/>
      <c r="B5057" s="316"/>
      <c r="C5057" s="247"/>
      <c r="D5057" s="317"/>
      <c r="E5057" s="318"/>
      <c r="F5057" s="247"/>
      <c r="G5057" s="247"/>
      <c r="H5057" s="248"/>
      <c r="I5057" s="248"/>
      <c r="J5057" s="247"/>
      <c r="K5057" s="249"/>
    </row>
    <row r="5058" spans="1:11" s="90" customFormat="1" ht="12.75" customHeight="1" x14ac:dyDescent="0.2">
      <c r="A5058" s="247"/>
      <c r="B5058" s="316"/>
      <c r="C5058" s="247"/>
      <c r="D5058" s="317"/>
      <c r="E5058" s="318"/>
      <c r="F5058" s="247"/>
      <c r="G5058" s="247"/>
      <c r="H5058" s="248"/>
      <c r="I5058" s="248"/>
      <c r="J5058" s="247"/>
      <c r="K5058" s="249"/>
    </row>
    <row r="5059" spans="1:11" s="90" customFormat="1" ht="12.75" customHeight="1" x14ac:dyDescent="0.2">
      <c r="A5059" s="247"/>
      <c r="B5059" s="316"/>
      <c r="C5059" s="247"/>
      <c r="D5059" s="317"/>
      <c r="E5059" s="318"/>
      <c r="F5059" s="247"/>
      <c r="G5059" s="247"/>
      <c r="H5059" s="248"/>
      <c r="I5059" s="248"/>
      <c r="J5059" s="247"/>
      <c r="K5059" s="249"/>
    </row>
    <row r="5060" spans="1:11" s="90" customFormat="1" ht="12.75" customHeight="1" x14ac:dyDescent="0.2">
      <c r="A5060" s="247"/>
      <c r="B5060" s="316"/>
      <c r="C5060" s="247"/>
      <c r="D5060" s="317"/>
      <c r="E5060" s="318"/>
      <c r="F5060" s="247"/>
      <c r="G5060" s="247"/>
      <c r="H5060" s="248"/>
      <c r="I5060" s="248"/>
      <c r="J5060" s="247"/>
      <c r="K5060" s="249"/>
    </row>
    <row r="5061" spans="1:11" s="90" customFormat="1" ht="12.75" customHeight="1" x14ac:dyDescent="0.2">
      <c r="A5061" s="247"/>
      <c r="B5061" s="316"/>
      <c r="C5061" s="247"/>
      <c r="D5061" s="317"/>
      <c r="E5061" s="318"/>
      <c r="F5061" s="247"/>
      <c r="G5061" s="247"/>
      <c r="H5061" s="248"/>
      <c r="I5061" s="248"/>
      <c r="J5061" s="247"/>
      <c r="K5061" s="249"/>
    </row>
    <row r="5062" spans="1:11" s="90" customFormat="1" ht="12.75" customHeight="1" x14ac:dyDescent="0.2">
      <c r="A5062" s="247"/>
      <c r="B5062" s="316"/>
      <c r="C5062" s="247"/>
      <c r="D5062" s="317"/>
      <c r="E5062" s="318"/>
      <c r="F5062" s="247"/>
      <c r="G5062" s="247"/>
      <c r="H5062" s="248"/>
      <c r="I5062" s="248"/>
      <c r="J5062" s="247"/>
      <c r="K5062" s="249"/>
    </row>
    <row r="5063" spans="1:11" s="90" customFormat="1" ht="12.75" customHeight="1" x14ac:dyDescent="0.2">
      <c r="A5063" s="247"/>
      <c r="B5063" s="316"/>
      <c r="C5063" s="247"/>
      <c r="D5063" s="317"/>
      <c r="E5063" s="318"/>
      <c r="F5063" s="247"/>
      <c r="G5063" s="247"/>
      <c r="H5063" s="248"/>
      <c r="I5063" s="248"/>
      <c r="J5063" s="247"/>
      <c r="K5063" s="249"/>
    </row>
    <row r="5064" spans="1:11" s="90" customFormat="1" ht="12.75" customHeight="1" x14ac:dyDescent="0.2">
      <c r="A5064" s="247"/>
      <c r="B5064" s="316"/>
      <c r="C5064" s="247"/>
      <c r="D5064" s="317"/>
      <c r="E5064" s="318"/>
      <c r="F5064" s="247"/>
      <c r="G5064" s="247"/>
      <c r="H5064" s="248"/>
      <c r="I5064" s="248"/>
      <c r="J5064" s="247"/>
      <c r="K5064" s="249"/>
    </row>
    <row r="5065" spans="1:11" s="90" customFormat="1" ht="12.75" customHeight="1" x14ac:dyDescent="0.2">
      <c r="A5065" s="247"/>
      <c r="B5065" s="316"/>
      <c r="C5065" s="247"/>
      <c r="D5065" s="317"/>
      <c r="E5065" s="318"/>
      <c r="F5065" s="247"/>
      <c r="G5065" s="247"/>
      <c r="H5065" s="248"/>
      <c r="I5065" s="248"/>
      <c r="J5065" s="247"/>
      <c r="K5065" s="249"/>
    </row>
    <row r="5066" spans="1:11" s="90" customFormat="1" ht="12.75" customHeight="1" x14ac:dyDescent="0.2">
      <c r="A5066" s="247"/>
      <c r="B5066" s="316"/>
      <c r="C5066" s="247"/>
      <c r="D5066" s="317"/>
      <c r="E5066" s="318"/>
      <c r="F5066" s="247"/>
      <c r="G5066" s="247"/>
      <c r="H5066" s="248"/>
      <c r="I5066" s="248"/>
      <c r="J5066" s="247"/>
      <c r="K5066" s="249"/>
    </row>
    <row r="5067" spans="1:11" s="90" customFormat="1" ht="12.75" customHeight="1" x14ac:dyDescent="0.2">
      <c r="A5067" s="247"/>
      <c r="B5067" s="316"/>
      <c r="C5067" s="247"/>
      <c r="D5067" s="317"/>
      <c r="E5067" s="318"/>
      <c r="F5067" s="247"/>
      <c r="G5067" s="247"/>
      <c r="H5067" s="248"/>
      <c r="I5067" s="248"/>
      <c r="J5067" s="247"/>
      <c r="K5067" s="249"/>
    </row>
    <row r="5068" spans="1:11" s="90" customFormat="1" ht="12.75" customHeight="1" x14ac:dyDescent="0.2">
      <c r="A5068" s="247"/>
      <c r="B5068" s="316"/>
      <c r="C5068" s="247"/>
      <c r="D5068" s="317"/>
      <c r="E5068" s="318"/>
      <c r="F5068" s="247"/>
      <c r="G5068" s="247"/>
      <c r="H5068" s="248"/>
      <c r="I5068" s="248"/>
      <c r="J5068" s="247"/>
      <c r="K5068" s="249"/>
    </row>
    <row r="5069" spans="1:11" s="90" customFormat="1" ht="12.75" customHeight="1" x14ac:dyDescent="0.2">
      <c r="A5069" s="247"/>
      <c r="B5069" s="316"/>
      <c r="C5069" s="247"/>
      <c r="D5069" s="317"/>
      <c r="E5069" s="318"/>
      <c r="F5069" s="247"/>
      <c r="G5069" s="247"/>
      <c r="H5069" s="248"/>
      <c r="I5069" s="248"/>
      <c r="J5069" s="247"/>
      <c r="K5069" s="249"/>
    </row>
    <row r="5070" spans="1:11" s="90" customFormat="1" ht="12.75" customHeight="1" x14ac:dyDescent="0.2">
      <c r="A5070" s="247"/>
      <c r="B5070" s="316"/>
      <c r="C5070" s="247"/>
      <c r="D5070" s="317"/>
      <c r="E5070" s="318"/>
      <c r="F5070" s="247"/>
      <c r="G5070" s="247"/>
      <c r="H5070" s="248"/>
      <c r="I5070" s="248"/>
      <c r="J5070" s="247"/>
      <c r="K5070" s="249"/>
    </row>
    <row r="5071" spans="1:11" s="90" customFormat="1" ht="12.75" customHeight="1" x14ac:dyDescent="0.2">
      <c r="A5071" s="247"/>
      <c r="B5071" s="316"/>
      <c r="C5071" s="247"/>
      <c r="D5071" s="317"/>
      <c r="E5071" s="318"/>
      <c r="F5071" s="247"/>
      <c r="G5071" s="247"/>
      <c r="H5071" s="248"/>
      <c r="I5071" s="248"/>
      <c r="J5071" s="247"/>
      <c r="K5071" s="249"/>
    </row>
    <row r="5072" spans="1:11" s="90" customFormat="1" ht="12.75" customHeight="1" x14ac:dyDescent="0.2">
      <c r="A5072" s="247"/>
      <c r="B5072" s="316"/>
      <c r="C5072" s="247"/>
      <c r="D5072" s="317"/>
      <c r="E5072" s="318"/>
      <c r="F5072" s="247"/>
      <c r="G5072" s="247"/>
      <c r="H5072" s="248"/>
      <c r="I5072" s="248"/>
      <c r="J5072" s="247"/>
      <c r="K5072" s="249"/>
    </row>
    <row r="5073" spans="1:11" s="90" customFormat="1" ht="12.75" customHeight="1" x14ac:dyDescent="0.2">
      <c r="A5073" s="247"/>
      <c r="B5073" s="316"/>
      <c r="C5073" s="247"/>
      <c r="D5073" s="317"/>
      <c r="E5073" s="318"/>
      <c r="F5073" s="247"/>
      <c r="G5073" s="247"/>
      <c r="H5073" s="248"/>
      <c r="I5073" s="248"/>
      <c r="J5073" s="247"/>
      <c r="K5073" s="249"/>
    </row>
    <row r="5074" spans="1:11" s="90" customFormat="1" ht="12.75" customHeight="1" x14ac:dyDescent="0.2">
      <c r="A5074" s="247"/>
      <c r="B5074" s="316"/>
      <c r="C5074" s="247"/>
      <c r="D5074" s="317"/>
      <c r="E5074" s="318"/>
      <c r="F5074" s="247"/>
      <c r="G5074" s="247"/>
      <c r="H5074" s="248"/>
      <c r="I5074" s="248"/>
      <c r="J5074" s="247"/>
      <c r="K5074" s="249"/>
    </row>
    <row r="5075" spans="1:11" s="90" customFormat="1" ht="12.75" customHeight="1" x14ac:dyDescent="0.2">
      <c r="A5075" s="247"/>
      <c r="B5075" s="316"/>
      <c r="C5075" s="247"/>
      <c r="D5075" s="317"/>
      <c r="E5075" s="318"/>
      <c r="F5075" s="247"/>
      <c r="G5075" s="247"/>
      <c r="H5075" s="248"/>
      <c r="I5075" s="248"/>
      <c r="J5075" s="247"/>
      <c r="K5075" s="249"/>
    </row>
    <row r="5076" spans="1:11" s="90" customFormat="1" ht="12.75" customHeight="1" x14ac:dyDescent="0.2">
      <c r="A5076" s="247"/>
      <c r="B5076" s="316"/>
      <c r="C5076" s="247"/>
      <c r="D5076" s="317"/>
      <c r="E5076" s="318"/>
      <c r="F5076" s="247"/>
      <c r="G5076" s="247"/>
      <c r="H5076" s="248"/>
      <c r="I5076" s="248"/>
      <c r="J5076" s="247"/>
      <c r="K5076" s="249"/>
    </row>
    <row r="5077" spans="1:11" s="90" customFormat="1" ht="12.75" customHeight="1" x14ac:dyDescent="0.2">
      <c r="A5077" s="247"/>
      <c r="B5077" s="316"/>
      <c r="C5077" s="247"/>
      <c r="D5077" s="317"/>
      <c r="E5077" s="318"/>
      <c r="F5077" s="247"/>
      <c r="G5077" s="247"/>
      <c r="H5077" s="248"/>
      <c r="I5077" s="248"/>
      <c r="J5077" s="247"/>
      <c r="K5077" s="249"/>
    </row>
    <row r="5078" spans="1:11" s="90" customFormat="1" ht="12.75" customHeight="1" x14ac:dyDescent="0.2">
      <c r="A5078" s="247"/>
      <c r="B5078" s="316"/>
      <c r="C5078" s="247"/>
      <c r="D5078" s="317"/>
      <c r="E5078" s="318"/>
      <c r="F5078" s="247"/>
      <c r="G5078" s="247"/>
      <c r="H5078" s="248"/>
      <c r="I5078" s="248"/>
      <c r="J5078" s="247"/>
      <c r="K5078" s="249"/>
    </row>
    <row r="5079" spans="1:11" s="90" customFormat="1" ht="12.75" customHeight="1" x14ac:dyDescent="0.2">
      <c r="A5079" s="247"/>
      <c r="B5079" s="316"/>
      <c r="C5079" s="247"/>
      <c r="D5079" s="317"/>
      <c r="E5079" s="318"/>
      <c r="F5079" s="247"/>
      <c r="G5079" s="247"/>
      <c r="H5079" s="248"/>
      <c r="I5079" s="248"/>
      <c r="J5079" s="247"/>
      <c r="K5079" s="249"/>
    </row>
    <row r="5080" spans="1:11" s="90" customFormat="1" ht="12.75" customHeight="1" x14ac:dyDescent="0.2">
      <c r="A5080" s="247"/>
      <c r="B5080" s="316"/>
      <c r="C5080" s="247"/>
      <c r="D5080" s="317"/>
      <c r="E5080" s="318"/>
      <c r="F5080" s="247"/>
      <c r="G5080" s="247"/>
      <c r="H5080" s="248"/>
      <c r="I5080" s="248"/>
      <c r="J5080" s="247"/>
      <c r="K5080" s="249"/>
    </row>
    <row r="5081" spans="1:11" s="90" customFormat="1" ht="12.75" customHeight="1" x14ac:dyDescent="0.2">
      <c r="A5081" s="247"/>
      <c r="B5081" s="316"/>
      <c r="C5081" s="247"/>
      <c r="D5081" s="317"/>
      <c r="E5081" s="318"/>
      <c r="F5081" s="247"/>
      <c r="G5081" s="247"/>
      <c r="H5081" s="248"/>
      <c r="I5081" s="248"/>
      <c r="J5081" s="247"/>
      <c r="K5081" s="249"/>
    </row>
    <row r="5082" spans="1:11" s="90" customFormat="1" ht="12.75" customHeight="1" x14ac:dyDescent="0.2">
      <c r="A5082" s="247"/>
      <c r="B5082" s="316"/>
      <c r="C5082" s="247"/>
      <c r="D5082" s="317"/>
      <c r="E5082" s="318"/>
      <c r="F5082" s="247"/>
      <c r="G5082" s="247"/>
      <c r="H5082" s="248"/>
      <c r="I5082" s="248"/>
      <c r="J5082" s="247"/>
      <c r="K5082" s="249"/>
    </row>
    <row r="5083" spans="1:11" s="90" customFormat="1" ht="12.75" customHeight="1" x14ac:dyDescent="0.2">
      <c r="A5083" s="247"/>
      <c r="B5083" s="316"/>
      <c r="C5083" s="247"/>
      <c r="D5083" s="317"/>
      <c r="E5083" s="318"/>
      <c r="F5083" s="247"/>
      <c r="G5083" s="247"/>
      <c r="H5083" s="248"/>
      <c r="I5083" s="248"/>
      <c r="J5083" s="247"/>
      <c r="K5083" s="249"/>
    </row>
    <row r="5084" spans="1:11" s="90" customFormat="1" ht="12.75" customHeight="1" x14ac:dyDescent="0.2">
      <c r="A5084" s="247"/>
      <c r="B5084" s="316"/>
      <c r="C5084" s="247"/>
      <c r="D5084" s="317"/>
      <c r="E5084" s="318"/>
      <c r="F5084" s="247"/>
      <c r="G5084" s="247"/>
      <c r="H5084" s="248"/>
      <c r="I5084" s="248"/>
      <c r="J5084" s="247"/>
      <c r="K5084" s="249"/>
    </row>
    <row r="5085" spans="1:11" s="90" customFormat="1" ht="12.75" customHeight="1" x14ac:dyDescent="0.2">
      <c r="A5085" s="247"/>
      <c r="B5085" s="316"/>
      <c r="C5085" s="247"/>
      <c r="D5085" s="317"/>
      <c r="E5085" s="318"/>
      <c r="F5085" s="247"/>
      <c r="G5085" s="247"/>
      <c r="H5085" s="248"/>
      <c r="I5085" s="248"/>
      <c r="J5085" s="247"/>
      <c r="K5085" s="249"/>
    </row>
    <row r="5086" spans="1:11" s="90" customFormat="1" ht="12.75" customHeight="1" x14ac:dyDescent="0.2">
      <c r="A5086" s="247"/>
      <c r="B5086" s="316"/>
      <c r="C5086" s="247"/>
      <c r="D5086" s="317"/>
      <c r="E5086" s="318"/>
      <c r="F5086" s="247"/>
      <c r="G5086" s="247"/>
      <c r="H5086" s="248"/>
      <c r="I5086" s="248"/>
      <c r="J5086" s="247"/>
      <c r="K5086" s="249"/>
    </row>
    <row r="5087" spans="1:11" s="90" customFormat="1" ht="12.75" customHeight="1" x14ac:dyDescent="0.2">
      <c r="A5087" s="247"/>
      <c r="B5087" s="316"/>
      <c r="C5087" s="247"/>
      <c r="D5087" s="317"/>
      <c r="E5087" s="318"/>
      <c r="F5087" s="247"/>
      <c r="G5087" s="247"/>
      <c r="H5087" s="248"/>
      <c r="I5087" s="248"/>
      <c r="J5087" s="247"/>
      <c r="K5087" s="249"/>
    </row>
    <row r="5088" spans="1:11" s="90" customFormat="1" ht="12.75" customHeight="1" x14ac:dyDescent="0.2">
      <c r="A5088" s="247"/>
      <c r="B5088" s="316"/>
      <c r="C5088" s="247"/>
      <c r="D5088" s="317"/>
      <c r="E5088" s="318"/>
      <c r="F5088" s="247"/>
      <c r="G5088" s="247"/>
      <c r="H5088" s="248"/>
      <c r="I5088" s="248"/>
      <c r="J5088" s="247"/>
      <c r="K5088" s="249"/>
    </row>
    <row r="5089" spans="1:11" s="90" customFormat="1" ht="12.75" customHeight="1" x14ac:dyDescent="0.2">
      <c r="A5089" s="247"/>
      <c r="B5089" s="316"/>
      <c r="C5089" s="247"/>
      <c r="D5089" s="317"/>
      <c r="E5089" s="318"/>
      <c r="F5089" s="247"/>
      <c r="G5089" s="247"/>
      <c r="H5089" s="248"/>
      <c r="I5089" s="248"/>
      <c r="J5089" s="247"/>
      <c r="K5089" s="249"/>
    </row>
    <row r="5090" spans="1:11" s="90" customFormat="1" ht="12.75" customHeight="1" x14ac:dyDescent="0.2">
      <c r="A5090" s="247"/>
      <c r="B5090" s="316"/>
      <c r="C5090" s="247"/>
      <c r="D5090" s="317"/>
      <c r="E5090" s="318"/>
      <c r="F5090" s="247"/>
      <c r="G5090" s="247"/>
      <c r="H5090" s="248"/>
      <c r="I5090" s="248"/>
      <c r="J5090" s="247"/>
      <c r="K5090" s="249"/>
    </row>
    <row r="5091" spans="1:11" s="90" customFormat="1" ht="12.75" customHeight="1" x14ac:dyDescent="0.2">
      <c r="A5091" s="247"/>
      <c r="B5091" s="316"/>
      <c r="C5091" s="247"/>
      <c r="D5091" s="317"/>
      <c r="E5091" s="318"/>
      <c r="F5091" s="247"/>
      <c r="G5091" s="247"/>
      <c r="H5091" s="248"/>
      <c r="I5091" s="248"/>
      <c r="J5091" s="247"/>
      <c r="K5091" s="249"/>
    </row>
    <row r="5092" spans="1:11" s="90" customFormat="1" ht="12.75" customHeight="1" x14ac:dyDescent="0.2">
      <c r="A5092" s="247"/>
      <c r="B5092" s="316"/>
      <c r="C5092" s="247"/>
      <c r="D5092" s="317"/>
      <c r="E5092" s="318"/>
      <c r="F5092" s="247"/>
      <c r="G5092" s="247"/>
      <c r="H5092" s="248"/>
      <c r="I5092" s="248"/>
      <c r="J5092" s="247"/>
      <c r="K5092" s="249"/>
    </row>
    <row r="5093" spans="1:11" s="90" customFormat="1" ht="12.75" customHeight="1" x14ac:dyDescent="0.2">
      <c r="A5093" s="247"/>
      <c r="B5093" s="316"/>
      <c r="C5093" s="247"/>
      <c r="D5093" s="317"/>
      <c r="E5093" s="318"/>
      <c r="F5093" s="247"/>
      <c r="G5093" s="247"/>
      <c r="H5093" s="248"/>
      <c r="I5093" s="248"/>
      <c r="J5093" s="247"/>
      <c r="K5093" s="249"/>
    </row>
    <row r="5094" spans="1:11" s="90" customFormat="1" ht="12.75" customHeight="1" x14ac:dyDescent="0.2">
      <c r="A5094" s="247"/>
      <c r="B5094" s="316"/>
      <c r="C5094" s="247"/>
      <c r="D5094" s="317"/>
      <c r="E5094" s="318"/>
      <c r="F5094" s="247"/>
      <c r="G5094" s="247"/>
      <c r="H5094" s="248"/>
      <c r="I5094" s="248"/>
      <c r="J5094" s="247"/>
      <c r="K5094" s="249"/>
    </row>
    <row r="5095" spans="1:11" s="90" customFormat="1" ht="12.75" customHeight="1" x14ac:dyDescent="0.2">
      <c r="A5095" s="247"/>
      <c r="B5095" s="316"/>
      <c r="C5095" s="247"/>
      <c r="D5095" s="317"/>
      <c r="E5095" s="318"/>
      <c r="F5095" s="247"/>
      <c r="G5095" s="247"/>
      <c r="H5095" s="248"/>
      <c r="I5095" s="248"/>
      <c r="J5095" s="247"/>
      <c r="K5095" s="249"/>
    </row>
    <row r="5096" spans="1:11" s="90" customFormat="1" ht="12.75" customHeight="1" x14ac:dyDescent="0.2">
      <c r="A5096" s="247"/>
      <c r="B5096" s="316"/>
      <c r="C5096" s="247"/>
      <c r="D5096" s="317"/>
      <c r="E5096" s="318"/>
      <c r="F5096" s="247"/>
      <c r="G5096" s="247"/>
      <c r="H5096" s="248"/>
      <c r="I5096" s="248"/>
      <c r="J5096" s="247"/>
      <c r="K5096" s="249"/>
    </row>
    <row r="5097" spans="1:11" s="90" customFormat="1" ht="12.75" customHeight="1" x14ac:dyDescent="0.2">
      <c r="A5097" s="247"/>
      <c r="B5097" s="316"/>
      <c r="C5097" s="247"/>
      <c r="D5097" s="317"/>
      <c r="E5097" s="318"/>
      <c r="F5097" s="247"/>
      <c r="G5097" s="247"/>
      <c r="H5097" s="248"/>
      <c r="I5097" s="248"/>
      <c r="J5097" s="247"/>
      <c r="K5097" s="249"/>
    </row>
    <row r="5098" spans="1:11" s="90" customFormat="1" ht="12.75" customHeight="1" x14ac:dyDescent="0.2">
      <c r="A5098" s="247"/>
      <c r="B5098" s="316"/>
      <c r="C5098" s="247"/>
      <c r="D5098" s="317"/>
      <c r="E5098" s="318"/>
      <c r="F5098" s="247"/>
      <c r="G5098" s="247"/>
      <c r="H5098" s="248"/>
      <c r="I5098" s="248"/>
      <c r="J5098" s="247"/>
      <c r="K5098" s="249"/>
    </row>
    <row r="5099" spans="1:11" s="90" customFormat="1" ht="12.75" customHeight="1" x14ac:dyDescent="0.2">
      <c r="A5099" s="247"/>
      <c r="B5099" s="316"/>
      <c r="C5099" s="247"/>
      <c r="D5099" s="317"/>
      <c r="E5099" s="318"/>
      <c r="F5099" s="247"/>
      <c r="G5099" s="247"/>
      <c r="H5099" s="248"/>
      <c r="I5099" s="248"/>
      <c r="J5099" s="247"/>
      <c r="K5099" s="249"/>
    </row>
    <row r="5100" spans="1:11" s="90" customFormat="1" ht="12.75" customHeight="1" x14ac:dyDescent="0.2">
      <c r="A5100" s="247"/>
      <c r="B5100" s="316"/>
      <c r="C5100" s="247"/>
      <c r="D5100" s="317"/>
      <c r="E5100" s="318"/>
      <c r="F5100" s="247"/>
      <c r="G5100" s="247"/>
      <c r="H5100" s="248"/>
      <c r="I5100" s="248"/>
      <c r="J5100" s="247"/>
      <c r="K5100" s="249"/>
    </row>
    <row r="5101" spans="1:11" s="90" customFormat="1" ht="12.75" customHeight="1" x14ac:dyDescent="0.2">
      <c r="A5101" s="247"/>
      <c r="B5101" s="316"/>
      <c r="C5101" s="247"/>
      <c r="D5101" s="317"/>
      <c r="E5101" s="318"/>
      <c r="F5101" s="247"/>
      <c r="G5101" s="247"/>
      <c r="H5101" s="248"/>
      <c r="I5101" s="248"/>
      <c r="J5101" s="247"/>
      <c r="K5101" s="249"/>
    </row>
    <row r="5102" spans="1:11" s="90" customFormat="1" ht="12.75" customHeight="1" x14ac:dyDescent="0.2">
      <c r="A5102" s="247"/>
      <c r="B5102" s="316"/>
      <c r="C5102" s="247"/>
      <c r="D5102" s="317"/>
      <c r="E5102" s="318"/>
      <c r="F5102" s="247"/>
      <c r="G5102" s="247"/>
      <c r="H5102" s="248"/>
      <c r="I5102" s="248"/>
      <c r="J5102" s="247"/>
      <c r="K5102" s="249"/>
    </row>
    <row r="5103" spans="1:11" s="90" customFormat="1" ht="12.75" customHeight="1" x14ac:dyDescent="0.2">
      <c r="A5103" s="247"/>
      <c r="B5103" s="316"/>
      <c r="C5103" s="247"/>
      <c r="D5103" s="317"/>
      <c r="E5103" s="318"/>
      <c r="F5103" s="247"/>
      <c r="G5103" s="247"/>
      <c r="H5103" s="248"/>
      <c r="I5103" s="248"/>
      <c r="J5103" s="247"/>
      <c r="K5103" s="249"/>
    </row>
    <row r="5104" spans="1:11" s="90" customFormat="1" ht="12.75" customHeight="1" x14ac:dyDescent="0.2">
      <c r="A5104" s="247"/>
      <c r="B5104" s="316"/>
      <c r="C5104" s="247"/>
      <c r="D5104" s="317"/>
      <c r="E5104" s="318"/>
      <c r="F5104" s="247"/>
      <c r="G5104" s="247"/>
      <c r="H5104" s="248"/>
      <c r="I5104" s="248"/>
      <c r="J5104" s="247"/>
      <c r="K5104" s="249"/>
    </row>
    <row r="5105" spans="1:11" s="90" customFormat="1" ht="12.75" customHeight="1" x14ac:dyDescent="0.2">
      <c r="A5105" s="247"/>
      <c r="B5105" s="316"/>
      <c r="C5105" s="247"/>
      <c r="D5105" s="317"/>
      <c r="E5105" s="318"/>
      <c r="F5105" s="247"/>
      <c r="G5105" s="247"/>
      <c r="H5105" s="248"/>
      <c r="I5105" s="248"/>
      <c r="J5105" s="247"/>
      <c r="K5105" s="249"/>
    </row>
    <row r="5106" spans="1:11" s="90" customFormat="1" ht="12.75" customHeight="1" x14ac:dyDescent="0.2">
      <c r="A5106" s="247"/>
      <c r="B5106" s="316"/>
      <c r="C5106" s="247"/>
      <c r="D5106" s="317"/>
      <c r="E5106" s="318"/>
      <c r="F5106" s="247"/>
      <c r="G5106" s="247"/>
      <c r="H5106" s="248"/>
      <c r="I5106" s="248"/>
      <c r="J5106" s="247"/>
      <c r="K5106" s="249"/>
    </row>
    <row r="5107" spans="1:11" s="90" customFormat="1" ht="12.75" customHeight="1" x14ac:dyDescent="0.2">
      <c r="A5107" s="247"/>
      <c r="B5107" s="316"/>
      <c r="C5107" s="247"/>
      <c r="D5107" s="317"/>
      <c r="E5107" s="318"/>
      <c r="F5107" s="247"/>
      <c r="G5107" s="247"/>
      <c r="H5107" s="248"/>
      <c r="I5107" s="248"/>
      <c r="J5107" s="247"/>
      <c r="K5107" s="249"/>
    </row>
    <row r="5108" spans="1:11" s="90" customFormat="1" ht="12.75" customHeight="1" x14ac:dyDescent="0.2">
      <c r="A5108" s="247"/>
      <c r="B5108" s="316"/>
      <c r="C5108" s="247"/>
      <c r="D5108" s="317"/>
      <c r="E5108" s="318"/>
      <c r="F5108" s="247"/>
      <c r="G5108" s="247"/>
      <c r="H5108" s="248"/>
      <c r="I5108" s="248"/>
      <c r="J5108" s="247"/>
      <c r="K5108" s="249"/>
    </row>
    <row r="5109" spans="1:11" s="90" customFormat="1" ht="12.75" customHeight="1" x14ac:dyDescent="0.2">
      <c r="A5109" s="247"/>
      <c r="B5109" s="316"/>
      <c r="C5109" s="247"/>
      <c r="D5109" s="317"/>
      <c r="E5109" s="318"/>
      <c r="F5109" s="247"/>
      <c r="G5109" s="247"/>
      <c r="H5109" s="248"/>
      <c r="I5109" s="248"/>
      <c r="J5109" s="247"/>
      <c r="K5109" s="249"/>
    </row>
    <row r="5110" spans="1:11" s="90" customFormat="1" ht="12.75" customHeight="1" x14ac:dyDescent="0.2">
      <c r="A5110" s="247"/>
      <c r="B5110" s="316"/>
      <c r="C5110" s="247"/>
      <c r="D5110" s="317"/>
      <c r="E5110" s="318"/>
      <c r="F5110" s="247"/>
      <c r="G5110" s="247"/>
      <c r="H5110" s="248"/>
      <c r="I5110" s="248"/>
      <c r="J5110" s="247"/>
      <c r="K5110" s="249"/>
    </row>
    <row r="5111" spans="1:11" s="90" customFormat="1" ht="12.75" customHeight="1" x14ac:dyDescent="0.2">
      <c r="A5111" s="247"/>
      <c r="B5111" s="316"/>
      <c r="C5111" s="247"/>
      <c r="D5111" s="317"/>
      <c r="E5111" s="318"/>
      <c r="F5111" s="247"/>
      <c r="G5111" s="247"/>
      <c r="H5111" s="248"/>
      <c r="I5111" s="248"/>
      <c r="J5111" s="247"/>
      <c r="K5111" s="249"/>
    </row>
    <row r="5112" spans="1:11" s="90" customFormat="1" ht="12.75" customHeight="1" x14ac:dyDescent="0.2">
      <c r="A5112" s="247"/>
      <c r="B5112" s="316"/>
      <c r="C5112" s="247"/>
      <c r="D5112" s="317"/>
      <c r="E5112" s="318"/>
      <c r="F5112" s="247"/>
      <c r="G5112" s="247"/>
      <c r="H5112" s="248"/>
      <c r="I5112" s="248"/>
      <c r="J5112" s="247"/>
      <c r="K5112" s="249"/>
    </row>
    <row r="5113" spans="1:11" s="90" customFormat="1" ht="12.75" customHeight="1" x14ac:dyDescent="0.2">
      <c r="A5113" s="247"/>
      <c r="B5113" s="316"/>
      <c r="C5113" s="247"/>
      <c r="D5113" s="317"/>
      <c r="E5113" s="318"/>
      <c r="F5113" s="247"/>
      <c r="G5113" s="247"/>
      <c r="H5113" s="248"/>
      <c r="I5113" s="248"/>
      <c r="J5113" s="247"/>
      <c r="K5113" s="249"/>
    </row>
    <row r="5114" spans="1:11" s="90" customFormat="1" ht="12.75" customHeight="1" x14ac:dyDescent="0.2">
      <c r="A5114" s="247"/>
      <c r="B5114" s="316"/>
      <c r="C5114" s="247"/>
      <c r="D5114" s="317"/>
      <c r="E5114" s="318"/>
      <c r="F5114" s="247"/>
      <c r="G5114" s="247"/>
      <c r="H5114" s="248"/>
      <c r="I5114" s="248"/>
      <c r="J5114" s="247"/>
      <c r="K5114" s="249"/>
    </row>
    <row r="5115" spans="1:11" s="90" customFormat="1" ht="12.75" customHeight="1" x14ac:dyDescent="0.2">
      <c r="A5115" s="247"/>
      <c r="B5115" s="316"/>
      <c r="C5115" s="247"/>
      <c r="D5115" s="317"/>
      <c r="E5115" s="318"/>
      <c r="F5115" s="247"/>
      <c r="G5115" s="247"/>
      <c r="H5115" s="248"/>
      <c r="I5115" s="248"/>
      <c r="J5115" s="247"/>
      <c r="K5115" s="249"/>
    </row>
    <row r="5116" spans="1:11" s="90" customFormat="1" ht="12.75" customHeight="1" x14ac:dyDescent="0.2">
      <c r="A5116" s="247"/>
      <c r="B5116" s="316"/>
      <c r="C5116" s="247"/>
      <c r="D5116" s="317"/>
      <c r="E5116" s="318"/>
      <c r="F5116" s="247"/>
      <c r="G5116" s="247"/>
      <c r="H5116" s="248"/>
      <c r="I5116" s="248"/>
      <c r="J5116" s="247"/>
      <c r="K5116" s="249"/>
    </row>
    <row r="5117" spans="1:11" s="90" customFormat="1" ht="12.75" customHeight="1" x14ac:dyDescent="0.2">
      <c r="A5117" s="247"/>
      <c r="B5117" s="316"/>
      <c r="C5117" s="247"/>
      <c r="D5117" s="317"/>
      <c r="E5117" s="318"/>
      <c r="F5117" s="247"/>
      <c r="G5117" s="247"/>
      <c r="H5117" s="248"/>
      <c r="I5117" s="248"/>
      <c r="J5117" s="247"/>
      <c r="K5117" s="249"/>
    </row>
    <row r="5118" spans="1:11" s="90" customFormat="1" ht="12.75" customHeight="1" x14ac:dyDescent="0.2">
      <c r="A5118" s="247"/>
      <c r="B5118" s="316"/>
      <c r="C5118" s="247"/>
      <c r="D5118" s="317"/>
      <c r="E5118" s="318"/>
      <c r="F5118" s="247"/>
      <c r="G5118" s="247"/>
      <c r="H5118" s="248"/>
      <c r="I5118" s="248"/>
      <c r="J5118" s="247"/>
      <c r="K5118" s="249"/>
    </row>
    <row r="5119" spans="1:11" s="90" customFormat="1" ht="12.75" customHeight="1" x14ac:dyDescent="0.2">
      <c r="A5119" s="247"/>
      <c r="B5119" s="316"/>
      <c r="C5119" s="247"/>
      <c r="D5119" s="317"/>
      <c r="E5119" s="318"/>
      <c r="F5119" s="247"/>
      <c r="G5119" s="247"/>
      <c r="H5119" s="248"/>
      <c r="I5119" s="248"/>
      <c r="J5119" s="247"/>
      <c r="K5119" s="249"/>
    </row>
    <row r="5120" spans="1:11" s="90" customFormat="1" ht="12.75" customHeight="1" x14ac:dyDescent="0.2">
      <c r="A5120" s="247"/>
      <c r="B5120" s="316"/>
      <c r="C5120" s="247"/>
      <c r="D5120" s="317"/>
      <c r="E5120" s="318"/>
      <c r="F5120" s="247"/>
      <c r="G5120" s="247"/>
      <c r="H5120" s="248"/>
      <c r="I5120" s="248"/>
      <c r="J5120" s="247"/>
      <c r="K5120" s="249"/>
    </row>
    <row r="5121" spans="1:11" s="90" customFormat="1" ht="12.75" customHeight="1" x14ac:dyDescent="0.2">
      <c r="A5121" s="247"/>
      <c r="B5121" s="316"/>
      <c r="C5121" s="247"/>
      <c r="D5121" s="317"/>
      <c r="E5121" s="318"/>
      <c r="F5121" s="247"/>
      <c r="G5121" s="247"/>
      <c r="H5121" s="248"/>
      <c r="I5121" s="248"/>
      <c r="J5121" s="247"/>
      <c r="K5121" s="249"/>
    </row>
    <row r="5122" spans="1:11" s="90" customFormat="1" ht="12.75" customHeight="1" x14ac:dyDescent="0.2">
      <c r="A5122" s="247"/>
      <c r="B5122" s="316"/>
      <c r="C5122" s="247"/>
      <c r="D5122" s="317"/>
      <c r="E5122" s="318"/>
      <c r="F5122" s="247"/>
      <c r="G5122" s="247"/>
      <c r="H5122" s="248"/>
      <c r="I5122" s="248"/>
      <c r="J5122" s="247"/>
      <c r="K5122" s="249"/>
    </row>
    <row r="5123" spans="1:11" s="90" customFormat="1" ht="12.75" customHeight="1" x14ac:dyDescent="0.2">
      <c r="A5123" s="247"/>
      <c r="B5123" s="316"/>
      <c r="C5123" s="247"/>
      <c r="D5123" s="317"/>
      <c r="E5123" s="318"/>
      <c r="F5123" s="247"/>
      <c r="G5123" s="247"/>
      <c r="H5123" s="248"/>
      <c r="I5123" s="248"/>
      <c r="J5123" s="247"/>
      <c r="K5123" s="249"/>
    </row>
    <row r="5124" spans="1:11" s="90" customFormat="1" ht="12.75" customHeight="1" x14ac:dyDescent="0.2">
      <c r="A5124" s="247"/>
      <c r="B5124" s="316"/>
      <c r="C5124" s="247"/>
      <c r="D5124" s="317"/>
      <c r="E5124" s="318"/>
      <c r="F5124" s="247"/>
      <c r="G5124" s="247"/>
      <c r="H5124" s="248"/>
      <c r="I5124" s="248"/>
      <c r="J5124" s="247"/>
      <c r="K5124" s="249"/>
    </row>
    <row r="5125" spans="1:11" s="90" customFormat="1" ht="12.75" customHeight="1" x14ac:dyDescent="0.2">
      <c r="A5125" s="247"/>
      <c r="B5125" s="316"/>
      <c r="C5125" s="247"/>
      <c r="D5125" s="317"/>
      <c r="E5125" s="318"/>
      <c r="F5125" s="247"/>
      <c r="G5125" s="247"/>
      <c r="H5125" s="248"/>
      <c r="I5125" s="248"/>
      <c r="J5125" s="247"/>
      <c r="K5125" s="249"/>
    </row>
    <row r="5126" spans="1:11" s="90" customFormat="1" ht="12.75" customHeight="1" x14ac:dyDescent="0.2">
      <c r="A5126" s="247"/>
      <c r="B5126" s="316"/>
      <c r="C5126" s="247"/>
      <c r="D5126" s="317"/>
      <c r="E5126" s="318"/>
      <c r="F5126" s="247"/>
      <c r="G5126" s="247"/>
      <c r="H5126" s="248"/>
      <c r="I5126" s="248"/>
      <c r="J5126" s="247"/>
      <c r="K5126" s="249"/>
    </row>
    <row r="5127" spans="1:11" s="90" customFormat="1" ht="12.75" customHeight="1" x14ac:dyDescent="0.2">
      <c r="A5127" s="247"/>
      <c r="B5127" s="316"/>
      <c r="C5127" s="247"/>
      <c r="D5127" s="317"/>
      <c r="E5127" s="318"/>
      <c r="F5127" s="247"/>
      <c r="G5127" s="247"/>
      <c r="H5127" s="248"/>
      <c r="I5127" s="248"/>
      <c r="J5127" s="247"/>
      <c r="K5127" s="249"/>
    </row>
    <row r="5128" spans="1:11" s="90" customFormat="1" ht="12.75" customHeight="1" x14ac:dyDescent="0.2">
      <c r="A5128" s="247"/>
      <c r="B5128" s="316"/>
      <c r="C5128" s="247"/>
      <c r="D5128" s="317"/>
      <c r="E5128" s="318"/>
      <c r="F5128" s="247"/>
      <c r="G5128" s="247"/>
      <c r="H5128" s="248"/>
      <c r="I5128" s="248"/>
      <c r="J5128" s="247"/>
      <c r="K5128" s="249"/>
    </row>
    <row r="5129" spans="1:11" s="90" customFormat="1" ht="12.75" customHeight="1" x14ac:dyDescent="0.2">
      <c r="A5129" s="247"/>
      <c r="B5129" s="316"/>
      <c r="C5129" s="247"/>
      <c r="D5129" s="317"/>
      <c r="E5129" s="318"/>
      <c r="F5129" s="247"/>
      <c r="G5129" s="247"/>
      <c r="H5129" s="248"/>
      <c r="I5129" s="248"/>
      <c r="J5129" s="247"/>
      <c r="K5129" s="249"/>
    </row>
    <row r="5130" spans="1:11" s="90" customFormat="1" ht="12.75" customHeight="1" x14ac:dyDescent="0.2">
      <c r="A5130" s="247"/>
      <c r="B5130" s="316"/>
      <c r="C5130" s="247"/>
      <c r="D5130" s="317"/>
      <c r="E5130" s="318"/>
      <c r="F5130" s="247"/>
      <c r="G5130" s="247"/>
      <c r="H5130" s="248"/>
      <c r="I5130" s="248"/>
      <c r="J5130" s="247"/>
      <c r="K5130" s="249"/>
    </row>
    <row r="5131" spans="1:11" s="90" customFormat="1" ht="12.75" customHeight="1" x14ac:dyDescent="0.2">
      <c r="A5131" s="247"/>
      <c r="B5131" s="316"/>
      <c r="C5131" s="247"/>
      <c r="D5131" s="317"/>
      <c r="E5131" s="318"/>
      <c r="F5131" s="247"/>
      <c r="G5131" s="247"/>
      <c r="H5131" s="248"/>
      <c r="I5131" s="248"/>
      <c r="J5131" s="247"/>
      <c r="K5131" s="249"/>
    </row>
    <row r="5132" spans="1:11" s="90" customFormat="1" ht="12.75" customHeight="1" x14ac:dyDescent="0.2">
      <c r="A5132" s="247"/>
      <c r="B5132" s="316"/>
      <c r="C5132" s="247"/>
      <c r="D5132" s="317"/>
      <c r="E5132" s="318"/>
      <c r="F5132" s="247"/>
      <c r="G5132" s="247"/>
      <c r="H5132" s="248"/>
      <c r="I5132" s="248"/>
      <c r="J5132" s="247"/>
      <c r="K5132" s="249"/>
    </row>
    <row r="5133" spans="1:11" s="90" customFormat="1" ht="12.75" customHeight="1" x14ac:dyDescent="0.2">
      <c r="A5133" s="247"/>
      <c r="B5133" s="316"/>
      <c r="C5133" s="247"/>
      <c r="D5133" s="317"/>
      <c r="E5133" s="318"/>
      <c r="F5133" s="247"/>
      <c r="G5133" s="247"/>
      <c r="H5133" s="248"/>
      <c r="I5133" s="248"/>
      <c r="J5133" s="247"/>
      <c r="K5133" s="249"/>
    </row>
    <row r="5134" spans="1:11" s="90" customFormat="1" ht="12.75" customHeight="1" x14ac:dyDescent="0.2">
      <c r="A5134" s="247"/>
      <c r="B5134" s="316"/>
      <c r="C5134" s="247"/>
      <c r="D5134" s="317"/>
      <c r="E5134" s="318"/>
      <c r="F5134" s="247"/>
      <c r="G5134" s="247"/>
      <c r="H5134" s="248"/>
      <c r="I5134" s="248"/>
      <c r="J5134" s="247"/>
      <c r="K5134" s="249"/>
    </row>
    <row r="5135" spans="1:11" s="90" customFormat="1" ht="12.75" customHeight="1" x14ac:dyDescent="0.2">
      <c r="A5135" s="247"/>
      <c r="B5135" s="316"/>
      <c r="C5135" s="247"/>
      <c r="D5135" s="317"/>
      <c r="E5135" s="318"/>
      <c r="F5135" s="247"/>
      <c r="G5135" s="247"/>
      <c r="H5135" s="248"/>
      <c r="I5135" s="248"/>
      <c r="J5135" s="247"/>
      <c r="K5135" s="249"/>
    </row>
    <row r="5136" spans="1:11" s="90" customFormat="1" ht="12.75" customHeight="1" x14ac:dyDescent="0.2">
      <c r="A5136" s="247"/>
      <c r="B5136" s="316"/>
      <c r="C5136" s="247"/>
      <c r="D5136" s="317"/>
      <c r="E5136" s="318"/>
      <c r="F5136" s="247"/>
      <c r="G5136" s="247"/>
      <c r="H5136" s="248"/>
      <c r="I5136" s="248"/>
      <c r="J5136" s="247"/>
      <c r="K5136" s="249"/>
    </row>
    <row r="5137" spans="1:11" s="90" customFormat="1" ht="12.75" customHeight="1" x14ac:dyDescent="0.2">
      <c r="A5137" s="247"/>
      <c r="B5137" s="316"/>
      <c r="C5137" s="247"/>
      <c r="D5137" s="317"/>
      <c r="E5137" s="318"/>
      <c r="F5137" s="247"/>
      <c r="G5137" s="247"/>
      <c r="H5137" s="248"/>
      <c r="I5137" s="248"/>
      <c r="J5137" s="247"/>
      <c r="K5137" s="249"/>
    </row>
    <row r="5138" spans="1:11" s="90" customFormat="1" ht="12.75" customHeight="1" x14ac:dyDescent="0.2">
      <c r="A5138" s="247"/>
      <c r="B5138" s="316"/>
      <c r="C5138" s="247"/>
      <c r="D5138" s="317"/>
      <c r="E5138" s="318"/>
      <c r="F5138" s="247"/>
      <c r="G5138" s="247"/>
      <c r="H5138" s="248"/>
      <c r="I5138" s="248"/>
      <c r="J5138" s="247"/>
      <c r="K5138" s="249"/>
    </row>
    <row r="5139" spans="1:11" s="90" customFormat="1" ht="12.75" customHeight="1" x14ac:dyDescent="0.2">
      <c r="A5139" s="247"/>
      <c r="B5139" s="316"/>
      <c r="C5139" s="247"/>
      <c r="D5139" s="317"/>
      <c r="E5139" s="318"/>
      <c r="F5139" s="247"/>
      <c r="G5139" s="247"/>
      <c r="H5139" s="248"/>
      <c r="I5139" s="248"/>
      <c r="J5139" s="247"/>
      <c r="K5139" s="249"/>
    </row>
    <row r="5140" spans="1:11" s="90" customFormat="1" ht="12.75" customHeight="1" x14ac:dyDescent="0.2">
      <c r="A5140" s="247"/>
      <c r="B5140" s="316"/>
      <c r="C5140" s="247"/>
      <c r="D5140" s="317"/>
      <c r="E5140" s="318"/>
      <c r="F5140" s="247"/>
      <c r="G5140" s="247"/>
      <c r="H5140" s="248"/>
      <c r="I5140" s="248"/>
      <c r="J5140" s="247"/>
      <c r="K5140" s="249"/>
    </row>
    <row r="5141" spans="1:11" s="90" customFormat="1" ht="12.75" customHeight="1" x14ac:dyDescent="0.2">
      <c r="A5141" s="247"/>
      <c r="B5141" s="316"/>
      <c r="C5141" s="247"/>
      <c r="D5141" s="317"/>
      <c r="E5141" s="318"/>
      <c r="F5141" s="247"/>
      <c r="G5141" s="247"/>
      <c r="H5141" s="248"/>
      <c r="I5141" s="248"/>
      <c r="J5141" s="247"/>
      <c r="K5141" s="249"/>
    </row>
    <row r="5142" spans="1:11" s="90" customFormat="1" ht="12.75" customHeight="1" x14ac:dyDescent="0.2">
      <c r="A5142" s="247"/>
      <c r="B5142" s="316"/>
      <c r="C5142" s="247"/>
      <c r="D5142" s="317"/>
      <c r="E5142" s="318"/>
      <c r="F5142" s="247"/>
      <c r="G5142" s="247"/>
      <c r="H5142" s="248"/>
      <c r="I5142" s="248"/>
      <c r="J5142" s="247"/>
      <c r="K5142" s="249"/>
    </row>
    <row r="5143" spans="1:11" s="90" customFormat="1" ht="12.75" customHeight="1" x14ac:dyDescent="0.2">
      <c r="A5143" s="247"/>
      <c r="B5143" s="316"/>
      <c r="C5143" s="247"/>
      <c r="D5143" s="317"/>
      <c r="E5143" s="318"/>
      <c r="F5143" s="247"/>
      <c r="G5143" s="247"/>
      <c r="H5143" s="248"/>
      <c r="I5143" s="248"/>
      <c r="J5143" s="247"/>
      <c r="K5143" s="249"/>
    </row>
    <row r="5144" spans="1:11" s="90" customFormat="1" ht="12.75" customHeight="1" x14ac:dyDescent="0.2">
      <c r="A5144" s="247"/>
      <c r="B5144" s="316"/>
      <c r="C5144" s="247"/>
      <c r="D5144" s="317"/>
      <c r="E5144" s="318"/>
      <c r="F5144" s="247"/>
      <c r="G5144" s="247"/>
      <c r="H5144" s="248"/>
      <c r="I5144" s="248"/>
      <c r="J5144" s="247"/>
      <c r="K5144" s="249"/>
    </row>
    <row r="5145" spans="1:11" s="90" customFormat="1" ht="12.75" customHeight="1" x14ac:dyDescent="0.2">
      <c r="A5145" s="247"/>
      <c r="B5145" s="316"/>
      <c r="C5145" s="247"/>
      <c r="D5145" s="317"/>
      <c r="E5145" s="318"/>
      <c r="F5145" s="247"/>
      <c r="G5145" s="247"/>
      <c r="H5145" s="248"/>
      <c r="I5145" s="248"/>
      <c r="J5145" s="247"/>
      <c r="K5145" s="249"/>
    </row>
    <row r="5146" spans="1:11" s="90" customFormat="1" ht="12.75" customHeight="1" x14ac:dyDescent="0.2">
      <c r="A5146" s="247"/>
      <c r="B5146" s="316"/>
      <c r="C5146" s="247"/>
      <c r="D5146" s="317"/>
      <c r="E5146" s="318"/>
      <c r="F5146" s="247"/>
      <c r="G5146" s="247"/>
      <c r="H5146" s="248"/>
      <c r="I5146" s="248"/>
      <c r="J5146" s="247"/>
      <c r="K5146" s="249"/>
    </row>
    <row r="5147" spans="1:11" s="90" customFormat="1" ht="12.75" customHeight="1" x14ac:dyDescent="0.2">
      <c r="A5147" s="247"/>
      <c r="B5147" s="316"/>
      <c r="C5147" s="247"/>
      <c r="D5147" s="317"/>
      <c r="E5147" s="318"/>
      <c r="F5147" s="247"/>
      <c r="G5147" s="247"/>
      <c r="H5147" s="248"/>
      <c r="I5147" s="248"/>
      <c r="J5147" s="247"/>
      <c r="K5147" s="249"/>
    </row>
    <row r="5148" spans="1:11" s="90" customFormat="1" ht="12.75" customHeight="1" x14ac:dyDescent="0.2">
      <c r="A5148" s="247"/>
      <c r="B5148" s="316"/>
      <c r="C5148" s="247"/>
      <c r="D5148" s="317"/>
      <c r="E5148" s="318"/>
      <c r="F5148" s="247"/>
      <c r="G5148" s="247"/>
      <c r="H5148" s="248"/>
      <c r="I5148" s="248"/>
      <c r="J5148" s="247"/>
      <c r="K5148" s="249"/>
    </row>
    <row r="5149" spans="1:11" s="90" customFormat="1" ht="12.75" customHeight="1" x14ac:dyDescent="0.2">
      <c r="A5149" s="247"/>
      <c r="B5149" s="316"/>
      <c r="C5149" s="247"/>
      <c r="D5149" s="317"/>
      <c r="E5149" s="318"/>
      <c r="F5149" s="247"/>
      <c r="G5149" s="247"/>
      <c r="H5149" s="248"/>
      <c r="I5149" s="248"/>
      <c r="J5149" s="247"/>
      <c r="K5149" s="249"/>
    </row>
    <row r="5150" spans="1:11" s="90" customFormat="1" ht="12.75" customHeight="1" x14ac:dyDescent="0.2">
      <c r="A5150" s="247"/>
      <c r="B5150" s="316"/>
      <c r="C5150" s="247"/>
      <c r="D5150" s="317"/>
      <c r="E5150" s="318"/>
      <c r="F5150" s="247"/>
      <c r="G5150" s="247"/>
      <c r="H5150" s="248"/>
      <c r="I5150" s="248"/>
      <c r="J5150" s="247"/>
      <c r="K5150" s="249"/>
    </row>
    <row r="5151" spans="1:11" s="90" customFormat="1" ht="12.75" customHeight="1" x14ac:dyDescent="0.2">
      <c r="A5151" s="247"/>
      <c r="B5151" s="316"/>
      <c r="C5151" s="247"/>
      <c r="D5151" s="317"/>
      <c r="E5151" s="318"/>
      <c r="F5151" s="247"/>
      <c r="G5151" s="247"/>
      <c r="H5151" s="248"/>
      <c r="I5151" s="248"/>
      <c r="J5151" s="247"/>
      <c r="K5151" s="249"/>
    </row>
    <row r="5152" spans="1:11" s="90" customFormat="1" ht="12.75" customHeight="1" x14ac:dyDescent="0.2">
      <c r="A5152" s="247"/>
      <c r="B5152" s="316"/>
      <c r="C5152" s="247"/>
      <c r="D5152" s="317"/>
      <c r="E5152" s="318"/>
      <c r="F5152" s="247"/>
      <c r="G5152" s="247"/>
      <c r="H5152" s="248"/>
      <c r="I5152" s="248"/>
      <c r="J5152" s="247"/>
      <c r="K5152" s="249"/>
    </row>
    <row r="5153" spans="1:11" s="90" customFormat="1" ht="12.75" customHeight="1" x14ac:dyDescent="0.2">
      <c r="A5153" s="247"/>
      <c r="B5153" s="316"/>
      <c r="C5153" s="247"/>
      <c r="D5153" s="317"/>
      <c r="E5153" s="318"/>
      <c r="F5153" s="247"/>
      <c r="G5153" s="247"/>
      <c r="H5153" s="248"/>
      <c r="I5153" s="248"/>
      <c r="J5153" s="247"/>
      <c r="K5153" s="249"/>
    </row>
    <row r="5154" spans="1:11" s="90" customFormat="1" ht="12.75" customHeight="1" x14ac:dyDescent="0.2">
      <c r="A5154" s="247"/>
      <c r="B5154" s="316"/>
      <c r="C5154" s="247"/>
      <c r="D5154" s="317"/>
      <c r="E5154" s="318"/>
      <c r="F5154" s="247"/>
      <c r="G5154" s="247"/>
      <c r="H5154" s="248"/>
      <c r="I5154" s="248"/>
      <c r="J5154" s="247"/>
      <c r="K5154" s="249"/>
    </row>
    <row r="5155" spans="1:11" s="90" customFormat="1" ht="12.75" customHeight="1" x14ac:dyDescent="0.2">
      <c r="A5155" s="247"/>
      <c r="B5155" s="316"/>
      <c r="C5155" s="247"/>
      <c r="D5155" s="317"/>
      <c r="E5155" s="318"/>
      <c r="F5155" s="247"/>
      <c r="G5155" s="247"/>
      <c r="H5155" s="248"/>
      <c r="I5155" s="248"/>
      <c r="J5155" s="247"/>
      <c r="K5155" s="249"/>
    </row>
    <row r="5156" spans="1:11" s="90" customFormat="1" ht="12.75" customHeight="1" x14ac:dyDescent="0.2">
      <c r="A5156" s="247"/>
      <c r="B5156" s="316"/>
      <c r="C5156" s="247"/>
      <c r="D5156" s="317"/>
      <c r="E5156" s="318"/>
      <c r="F5156" s="247"/>
      <c r="G5156" s="247"/>
      <c r="H5156" s="248"/>
      <c r="I5156" s="248"/>
      <c r="J5156" s="247"/>
      <c r="K5156" s="249"/>
    </row>
    <row r="5157" spans="1:11" s="90" customFormat="1" ht="12.75" customHeight="1" x14ac:dyDescent="0.2">
      <c r="A5157" s="247"/>
      <c r="B5157" s="316"/>
      <c r="C5157" s="247"/>
      <c r="D5157" s="317"/>
      <c r="E5157" s="318"/>
      <c r="F5157" s="247"/>
      <c r="G5157" s="247"/>
      <c r="H5157" s="248"/>
      <c r="I5157" s="248"/>
      <c r="J5157" s="247"/>
      <c r="K5157" s="249"/>
    </row>
    <row r="5158" spans="1:11" s="90" customFormat="1" ht="12.75" customHeight="1" x14ac:dyDescent="0.2">
      <c r="A5158" s="247"/>
      <c r="B5158" s="316"/>
      <c r="C5158" s="247"/>
      <c r="D5158" s="317"/>
      <c r="E5158" s="318"/>
      <c r="F5158" s="247"/>
      <c r="G5158" s="247"/>
      <c r="H5158" s="248"/>
      <c r="I5158" s="248"/>
      <c r="J5158" s="247"/>
      <c r="K5158" s="249"/>
    </row>
    <row r="5159" spans="1:11" s="90" customFormat="1" ht="12.75" customHeight="1" x14ac:dyDescent="0.2">
      <c r="A5159" s="247"/>
      <c r="B5159" s="316"/>
      <c r="C5159" s="247"/>
      <c r="D5159" s="317"/>
      <c r="E5159" s="318"/>
      <c r="F5159" s="247"/>
      <c r="G5159" s="247"/>
      <c r="H5159" s="248"/>
      <c r="I5159" s="248"/>
      <c r="J5159" s="247"/>
      <c r="K5159" s="249"/>
    </row>
    <row r="5160" spans="1:11" s="90" customFormat="1" ht="12.75" customHeight="1" x14ac:dyDescent="0.2">
      <c r="A5160" s="247"/>
      <c r="B5160" s="316"/>
      <c r="C5160" s="247"/>
      <c r="D5160" s="317"/>
      <c r="E5160" s="318"/>
      <c r="F5160" s="247"/>
      <c r="G5160" s="247"/>
      <c r="H5160" s="248"/>
      <c r="I5160" s="248"/>
      <c r="J5160" s="247"/>
      <c r="K5160" s="249"/>
    </row>
    <row r="5161" spans="1:11" s="90" customFormat="1" ht="12.75" customHeight="1" x14ac:dyDescent="0.2">
      <c r="A5161" s="247"/>
      <c r="B5161" s="316"/>
      <c r="C5161" s="247"/>
      <c r="D5161" s="317"/>
      <c r="E5161" s="318"/>
      <c r="F5161" s="247"/>
      <c r="G5161" s="247"/>
      <c r="H5161" s="248"/>
      <c r="I5161" s="248"/>
      <c r="J5161" s="247"/>
      <c r="K5161" s="249"/>
    </row>
    <row r="5162" spans="1:11" s="90" customFormat="1" ht="12.75" customHeight="1" x14ac:dyDescent="0.2">
      <c r="A5162" s="247"/>
      <c r="B5162" s="316"/>
      <c r="C5162" s="247"/>
      <c r="D5162" s="317"/>
      <c r="E5162" s="318"/>
      <c r="F5162" s="247"/>
      <c r="G5162" s="247"/>
      <c r="H5162" s="248"/>
      <c r="I5162" s="248"/>
      <c r="J5162" s="247"/>
      <c r="K5162" s="249"/>
    </row>
    <row r="5163" spans="1:11" s="90" customFormat="1" ht="12.75" customHeight="1" x14ac:dyDescent="0.2">
      <c r="A5163" s="247"/>
      <c r="B5163" s="316"/>
      <c r="C5163" s="247"/>
      <c r="D5163" s="317"/>
      <c r="E5163" s="318"/>
      <c r="F5163" s="247"/>
      <c r="G5163" s="247"/>
      <c r="H5163" s="248"/>
      <c r="I5163" s="248"/>
      <c r="J5163" s="247"/>
      <c r="K5163" s="249"/>
    </row>
    <row r="5164" spans="1:11" s="90" customFormat="1" ht="12.75" customHeight="1" x14ac:dyDescent="0.2">
      <c r="A5164" s="247"/>
      <c r="B5164" s="316"/>
      <c r="C5164" s="247"/>
      <c r="D5164" s="317"/>
      <c r="E5164" s="318"/>
      <c r="F5164" s="247"/>
      <c r="G5164" s="247"/>
      <c r="H5164" s="248"/>
      <c r="I5164" s="248"/>
      <c r="J5164" s="247"/>
      <c r="K5164" s="249"/>
    </row>
    <row r="5165" spans="1:11" s="90" customFormat="1" ht="12.75" customHeight="1" x14ac:dyDescent="0.2">
      <c r="A5165" s="247"/>
      <c r="B5165" s="316"/>
      <c r="C5165" s="247"/>
      <c r="D5165" s="317"/>
      <c r="E5165" s="318"/>
      <c r="F5165" s="247"/>
      <c r="G5165" s="247"/>
      <c r="H5165" s="248"/>
      <c r="I5165" s="248"/>
      <c r="J5165" s="247"/>
      <c r="K5165" s="249"/>
    </row>
    <row r="5166" spans="1:11" s="90" customFormat="1" ht="12.75" customHeight="1" x14ac:dyDescent="0.2">
      <c r="A5166" s="247"/>
      <c r="B5166" s="316"/>
      <c r="C5166" s="247"/>
      <c r="D5166" s="317"/>
      <c r="E5166" s="318"/>
      <c r="F5166" s="247"/>
      <c r="G5166" s="247"/>
      <c r="H5166" s="248"/>
      <c r="I5166" s="248"/>
      <c r="J5166" s="247"/>
      <c r="K5166" s="249"/>
    </row>
    <row r="5167" spans="1:11" s="90" customFormat="1" ht="12.75" customHeight="1" x14ac:dyDescent="0.2">
      <c r="A5167" s="247"/>
      <c r="B5167" s="316"/>
      <c r="C5167" s="247"/>
      <c r="D5167" s="317"/>
      <c r="E5167" s="318"/>
      <c r="F5167" s="247"/>
      <c r="G5167" s="247"/>
      <c r="H5167" s="248"/>
      <c r="I5167" s="248"/>
      <c r="J5167" s="247"/>
      <c r="K5167" s="249"/>
    </row>
    <row r="5168" spans="1:11" s="90" customFormat="1" ht="12.75" customHeight="1" x14ac:dyDescent="0.2">
      <c r="A5168" s="247"/>
      <c r="B5168" s="316"/>
      <c r="C5168" s="247"/>
      <c r="D5168" s="317"/>
      <c r="E5168" s="318"/>
      <c r="F5168" s="247"/>
      <c r="G5168" s="247"/>
      <c r="H5168" s="248"/>
      <c r="I5168" s="248"/>
      <c r="J5168" s="247"/>
      <c r="K5168" s="249"/>
    </row>
    <row r="5169" spans="1:11" s="90" customFormat="1" ht="12.75" customHeight="1" x14ac:dyDescent="0.2">
      <c r="A5169" s="247"/>
      <c r="B5169" s="316"/>
      <c r="C5169" s="247"/>
      <c r="D5169" s="317"/>
      <c r="E5169" s="318"/>
      <c r="F5169" s="247"/>
      <c r="G5169" s="247"/>
      <c r="H5169" s="248"/>
      <c r="I5169" s="248"/>
      <c r="J5169" s="247"/>
      <c r="K5169" s="249"/>
    </row>
    <row r="5170" spans="1:11" s="90" customFormat="1" ht="12.75" customHeight="1" x14ac:dyDescent="0.2">
      <c r="A5170" s="247"/>
      <c r="B5170" s="316"/>
      <c r="C5170" s="247"/>
      <c r="D5170" s="317"/>
      <c r="E5170" s="318"/>
      <c r="F5170" s="247"/>
      <c r="G5170" s="247"/>
      <c r="H5170" s="248"/>
      <c r="I5170" s="248"/>
      <c r="J5170" s="247"/>
      <c r="K5170" s="249"/>
    </row>
    <row r="5171" spans="1:11" s="90" customFormat="1" ht="12.75" customHeight="1" x14ac:dyDescent="0.2">
      <c r="A5171" s="247"/>
      <c r="B5171" s="316"/>
      <c r="C5171" s="247"/>
      <c r="D5171" s="317"/>
      <c r="E5171" s="318"/>
      <c r="F5171" s="247"/>
      <c r="G5171" s="247"/>
      <c r="H5171" s="248"/>
      <c r="I5171" s="248"/>
      <c r="J5171" s="247"/>
      <c r="K5171" s="249"/>
    </row>
    <row r="5172" spans="1:11" s="90" customFormat="1" ht="12.75" customHeight="1" x14ac:dyDescent="0.2">
      <c r="A5172" s="247"/>
      <c r="B5172" s="316"/>
      <c r="C5172" s="247"/>
      <c r="D5172" s="317"/>
      <c r="E5172" s="318"/>
      <c r="F5172" s="247"/>
      <c r="G5172" s="247"/>
      <c r="H5172" s="248"/>
      <c r="I5172" s="248"/>
      <c r="J5172" s="247"/>
      <c r="K5172" s="249"/>
    </row>
    <row r="5173" spans="1:11" s="90" customFormat="1" ht="12.75" customHeight="1" x14ac:dyDescent="0.2">
      <c r="A5173" s="247"/>
      <c r="B5173" s="316"/>
      <c r="C5173" s="247"/>
      <c r="D5173" s="317"/>
      <c r="E5173" s="318"/>
      <c r="F5173" s="247"/>
      <c r="G5173" s="247"/>
      <c r="H5173" s="248"/>
      <c r="I5173" s="248"/>
      <c r="J5173" s="247"/>
      <c r="K5173" s="249"/>
    </row>
    <row r="5174" spans="1:11" s="90" customFormat="1" ht="12.75" customHeight="1" x14ac:dyDescent="0.2">
      <c r="A5174" s="247"/>
      <c r="B5174" s="316"/>
      <c r="C5174" s="247"/>
      <c r="D5174" s="317"/>
      <c r="E5174" s="318"/>
      <c r="F5174" s="247"/>
      <c r="G5174" s="247"/>
      <c r="H5174" s="248"/>
      <c r="I5174" s="248"/>
      <c r="J5174" s="247"/>
      <c r="K5174" s="249"/>
    </row>
    <row r="5175" spans="1:11" s="90" customFormat="1" ht="12.75" customHeight="1" x14ac:dyDescent="0.2">
      <c r="A5175" s="247"/>
      <c r="B5175" s="316"/>
      <c r="C5175" s="247"/>
      <c r="D5175" s="317"/>
      <c r="E5175" s="318"/>
      <c r="F5175" s="247"/>
      <c r="G5175" s="247"/>
      <c r="H5175" s="248"/>
      <c r="I5175" s="248"/>
      <c r="J5175" s="247"/>
      <c r="K5175" s="249"/>
    </row>
    <row r="5176" spans="1:11" s="90" customFormat="1" ht="12.75" customHeight="1" x14ac:dyDescent="0.2">
      <c r="A5176" s="247"/>
      <c r="B5176" s="316"/>
      <c r="C5176" s="247"/>
      <c r="D5176" s="317"/>
      <c r="E5176" s="318"/>
      <c r="F5176" s="247"/>
      <c r="G5176" s="247"/>
      <c r="H5176" s="248"/>
      <c r="I5176" s="248"/>
      <c r="J5176" s="247"/>
      <c r="K5176" s="249"/>
    </row>
    <row r="5177" spans="1:11" s="90" customFormat="1" ht="12.75" customHeight="1" x14ac:dyDescent="0.2">
      <c r="A5177" s="247"/>
      <c r="B5177" s="316"/>
      <c r="C5177" s="247"/>
      <c r="D5177" s="317"/>
      <c r="E5177" s="318"/>
      <c r="F5177" s="247"/>
      <c r="G5177" s="247"/>
      <c r="H5177" s="248"/>
      <c r="I5177" s="248"/>
      <c r="J5177" s="247"/>
      <c r="K5177" s="249"/>
    </row>
    <row r="5178" spans="1:11" s="90" customFormat="1" ht="12.75" customHeight="1" x14ac:dyDescent="0.2">
      <c r="A5178" s="247"/>
      <c r="B5178" s="316"/>
      <c r="C5178" s="247"/>
      <c r="D5178" s="317"/>
      <c r="E5178" s="318"/>
      <c r="F5178" s="247"/>
      <c r="G5178" s="247"/>
      <c r="H5178" s="248"/>
      <c r="I5178" s="248"/>
      <c r="J5178" s="247"/>
      <c r="K5178" s="249"/>
    </row>
    <row r="5179" spans="1:11" s="90" customFormat="1" ht="12.75" customHeight="1" x14ac:dyDescent="0.2">
      <c r="A5179" s="247"/>
      <c r="B5179" s="316"/>
      <c r="C5179" s="247"/>
      <c r="D5179" s="317"/>
      <c r="E5179" s="318"/>
      <c r="F5179" s="247"/>
      <c r="G5179" s="247"/>
      <c r="H5179" s="248"/>
      <c r="I5179" s="248"/>
      <c r="J5179" s="247"/>
      <c r="K5179" s="249"/>
    </row>
    <row r="5180" spans="1:11" s="90" customFormat="1" ht="12.75" customHeight="1" x14ac:dyDescent="0.2">
      <c r="A5180" s="247"/>
      <c r="B5180" s="316"/>
      <c r="C5180" s="247"/>
      <c r="D5180" s="317"/>
      <c r="E5180" s="318"/>
      <c r="F5180" s="247"/>
      <c r="G5180" s="247"/>
      <c r="H5180" s="248"/>
      <c r="I5180" s="248"/>
      <c r="J5180" s="247"/>
      <c r="K5180" s="249"/>
    </row>
    <row r="5181" spans="1:11" s="90" customFormat="1" ht="12.75" customHeight="1" x14ac:dyDescent="0.2">
      <c r="A5181" s="247"/>
      <c r="B5181" s="316"/>
      <c r="C5181" s="247"/>
      <c r="D5181" s="317"/>
      <c r="E5181" s="318"/>
      <c r="F5181" s="247"/>
      <c r="G5181" s="247"/>
      <c r="H5181" s="248"/>
      <c r="I5181" s="248"/>
      <c r="J5181" s="247"/>
      <c r="K5181" s="249"/>
    </row>
    <row r="5182" spans="1:11" s="90" customFormat="1" ht="12.75" customHeight="1" x14ac:dyDescent="0.2">
      <c r="A5182" s="247"/>
      <c r="B5182" s="316"/>
      <c r="C5182" s="247"/>
      <c r="D5182" s="317"/>
      <c r="E5182" s="318"/>
      <c r="F5182" s="247"/>
      <c r="G5182" s="247"/>
      <c r="H5182" s="248"/>
      <c r="I5182" s="248"/>
      <c r="J5182" s="247"/>
      <c r="K5182" s="249"/>
    </row>
    <row r="5183" spans="1:11" s="90" customFormat="1" ht="12.75" customHeight="1" x14ac:dyDescent="0.2">
      <c r="A5183" s="247"/>
      <c r="B5183" s="316"/>
      <c r="C5183" s="247"/>
      <c r="D5183" s="317"/>
      <c r="E5183" s="318"/>
      <c r="F5183" s="247"/>
      <c r="G5183" s="247"/>
      <c r="H5183" s="248"/>
      <c r="I5183" s="248"/>
      <c r="J5183" s="247"/>
      <c r="K5183" s="249"/>
    </row>
    <row r="5184" spans="1:11" s="90" customFormat="1" ht="12.75" customHeight="1" x14ac:dyDescent="0.2">
      <c r="A5184" s="247"/>
      <c r="B5184" s="316"/>
      <c r="C5184" s="247"/>
      <c r="D5184" s="317"/>
      <c r="E5184" s="318"/>
      <c r="F5184" s="247"/>
      <c r="G5184" s="247"/>
      <c r="H5184" s="248"/>
      <c r="I5184" s="248"/>
      <c r="J5184" s="247"/>
      <c r="K5184" s="249"/>
    </row>
    <row r="5185" spans="1:11" s="90" customFormat="1" ht="12.75" customHeight="1" x14ac:dyDescent="0.2">
      <c r="A5185" s="247"/>
      <c r="B5185" s="316"/>
      <c r="C5185" s="247"/>
      <c r="D5185" s="317"/>
      <c r="E5185" s="318"/>
      <c r="F5185" s="247"/>
      <c r="G5185" s="247"/>
      <c r="H5185" s="248"/>
      <c r="I5185" s="248"/>
      <c r="J5185" s="247"/>
      <c r="K5185" s="249"/>
    </row>
    <row r="5186" spans="1:11" s="90" customFormat="1" ht="12.75" customHeight="1" x14ac:dyDescent="0.2">
      <c r="A5186" s="247"/>
      <c r="B5186" s="316"/>
      <c r="C5186" s="247"/>
      <c r="D5186" s="317"/>
      <c r="E5186" s="318"/>
      <c r="F5186" s="247"/>
      <c r="G5186" s="247"/>
      <c r="H5186" s="248"/>
      <c r="I5186" s="248"/>
      <c r="J5186" s="247"/>
      <c r="K5186" s="249"/>
    </row>
    <row r="5187" spans="1:11" s="90" customFormat="1" ht="12.75" customHeight="1" x14ac:dyDescent="0.2">
      <c r="A5187" s="247"/>
      <c r="B5187" s="316"/>
      <c r="C5187" s="247"/>
      <c r="D5187" s="317"/>
      <c r="E5187" s="318"/>
      <c r="F5187" s="247"/>
      <c r="G5187" s="247"/>
      <c r="H5187" s="248"/>
      <c r="I5187" s="248"/>
      <c r="J5187" s="247"/>
      <c r="K5187" s="249"/>
    </row>
    <row r="5188" spans="1:11" s="90" customFormat="1" ht="12.75" customHeight="1" x14ac:dyDescent="0.2">
      <c r="A5188" s="247"/>
      <c r="B5188" s="316"/>
      <c r="C5188" s="247"/>
      <c r="D5188" s="317"/>
      <c r="E5188" s="318"/>
      <c r="F5188" s="247"/>
      <c r="G5188" s="247"/>
      <c r="H5188" s="248"/>
      <c r="I5188" s="248"/>
      <c r="J5188" s="247"/>
      <c r="K5188" s="249"/>
    </row>
    <row r="5189" spans="1:11" s="90" customFormat="1" ht="12.75" customHeight="1" x14ac:dyDescent="0.2">
      <c r="A5189" s="247"/>
      <c r="B5189" s="316"/>
      <c r="C5189" s="247"/>
      <c r="D5189" s="317"/>
      <c r="E5189" s="318"/>
      <c r="F5189" s="247"/>
      <c r="G5189" s="247"/>
      <c r="H5189" s="248"/>
      <c r="I5189" s="248"/>
      <c r="J5189" s="247"/>
      <c r="K5189" s="249"/>
    </row>
    <row r="5190" spans="1:11" s="90" customFormat="1" ht="12.75" customHeight="1" x14ac:dyDescent="0.2">
      <c r="A5190" s="247"/>
      <c r="B5190" s="316"/>
      <c r="C5190" s="247"/>
      <c r="D5190" s="317"/>
      <c r="E5190" s="318"/>
      <c r="F5190" s="247"/>
      <c r="G5190" s="247"/>
      <c r="H5190" s="248"/>
      <c r="I5190" s="248"/>
      <c r="J5190" s="247"/>
      <c r="K5190" s="249"/>
    </row>
    <row r="5191" spans="1:11" s="90" customFormat="1" ht="12.75" customHeight="1" x14ac:dyDescent="0.2">
      <c r="A5191" s="247"/>
      <c r="B5191" s="316"/>
      <c r="C5191" s="247"/>
      <c r="D5191" s="317"/>
      <c r="E5191" s="318"/>
      <c r="F5191" s="247"/>
      <c r="G5191" s="247"/>
      <c r="H5191" s="248"/>
      <c r="I5191" s="248"/>
      <c r="J5191" s="247"/>
      <c r="K5191" s="249"/>
    </row>
    <row r="5192" spans="1:11" s="90" customFormat="1" ht="12.75" customHeight="1" x14ac:dyDescent="0.2">
      <c r="A5192" s="247"/>
      <c r="B5192" s="316"/>
      <c r="C5192" s="247"/>
      <c r="D5192" s="317"/>
      <c r="E5192" s="318"/>
      <c r="F5192" s="247"/>
      <c r="G5192" s="247"/>
      <c r="H5192" s="248"/>
      <c r="I5192" s="248"/>
      <c r="J5192" s="247"/>
      <c r="K5192" s="249"/>
    </row>
    <row r="5193" spans="1:11" s="90" customFormat="1" ht="12.75" customHeight="1" x14ac:dyDescent="0.2">
      <c r="A5193" s="247"/>
      <c r="B5193" s="316"/>
      <c r="C5193" s="247"/>
      <c r="D5193" s="317"/>
      <c r="E5193" s="318"/>
      <c r="F5193" s="247"/>
      <c r="G5193" s="247"/>
      <c r="H5193" s="248"/>
      <c r="I5193" s="248"/>
      <c r="J5193" s="247"/>
      <c r="K5193" s="249"/>
    </row>
    <row r="5194" spans="1:11" s="90" customFormat="1" ht="12.75" customHeight="1" x14ac:dyDescent="0.2">
      <c r="A5194" s="247"/>
      <c r="B5194" s="316"/>
      <c r="C5194" s="247"/>
      <c r="D5194" s="317"/>
      <c r="E5194" s="318"/>
      <c r="F5194" s="247"/>
      <c r="G5194" s="247"/>
      <c r="H5194" s="248"/>
      <c r="I5194" s="248"/>
      <c r="J5194" s="247"/>
      <c r="K5194" s="249"/>
    </row>
    <row r="5195" spans="1:11" s="90" customFormat="1" ht="12.75" customHeight="1" x14ac:dyDescent="0.2">
      <c r="A5195" s="247"/>
      <c r="B5195" s="316"/>
      <c r="C5195" s="247"/>
      <c r="D5195" s="317"/>
      <c r="E5195" s="318"/>
      <c r="F5195" s="247"/>
      <c r="G5195" s="247"/>
      <c r="H5195" s="248"/>
      <c r="I5195" s="248"/>
      <c r="J5195" s="247"/>
      <c r="K5195" s="249"/>
    </row>
    <row r="5196" spans="1:11" s="90" customFormat="1" ht="12.75" customHeight="1" x14ac:dyDescent="0.2">
      <c r="A5196" s="247"/>
      <c r="B5196" s="316"/>
      <c r="C5196" s="247"/>
      <c r="D5196" s="317"/>
      <c r="E5196" s="318"/>
      <c r="F5196" s="247"/>
      <c r="G5196" s="247"/>
      <c r="H5196" s="248"/>
      <c r="I5196" s="248"/>
      <c r="J5196" s="247"/>
      <c r="K5196" s="249"/>
    </row>
    <row r="5197" spans="1:11" s="90" customFormat="1" ht="12.75" customHeight="1" x14ac:dyDescent="0.2">
      <c r="A5197" s="247"/>
      <c r="B5197" s="316"/>
      <c r="C5197" s="247"/>
      <c r="D5197" s="317"/>
      <c r="E5197" s="318"/>
      <c r="F5197" s="247"/>
      <c r="G5197" s="247"/>
      <c r="H5197" s="248"/>
      <c r="I5197" s="248"/>
      <c r="J5197" s="247"/>
      <c r="K5197" s="249"/>
    </row>
    <row r="5198" spans="1:11" s="90" customFormat="1" ht="12.75" customHeight="1" x14ac:dyDescent="0.2">
      <c r="A5198" s="247"/>
      <c r="B5198" s="316"/>
      <c r="C5198" s="247"/>
      <c r="D5198" s="317"/>
      <c r="E5198" s="318"/>
      <c r="F5198" s="247"/>
      <c r="G5198" s="247"/>
      <c r="H5198" s="248"/>
      <c r="I5198" s="248"/>
      <c r="J5198" s="247"/>
      <c r="K5198" s="249"/>
    </row>
    <row r="5199" spans="1:11" s="90" customFormat="1" ht="12.75" customHeight="1" x14ac:dyDescent="0.2">
      <c r="A5199" s="247"/>
      <c r="B5199" s="316"/>
      <c r="C5199" s="247"/>
      <c r="D5199" s="317"/>
      <c r="E5199" s="318"/>
      <c r="F5199" s="247"/>
      <c r="G5199" s="247"/>
      <c r="H5199" s="248"/>
      <c r="I5199" s="248"/>
      <c r="J5199" s="247"/>
      <c r="K5199" s="249"/>
    </row>
    <row r="5200" spans="1:11" s="90" customFormat="1" ht="12.75" customHeight="1" x14ac:dyDescent="0.2">
      <c r="A5200" s="247"/>
      <c r="B5200" s="316"/>
      <c r="C5200" s="247"/>
      <c r="D5200" s="317"/>
      <c r="E5200" s="318"/>
      <c r="F5200" s="247"/>
      <c r="G5200" s="247"/>
      <c r="H5200" s="248"/>
      <c r="I5200" s="248"/>
      <c r="J5200" s="247"/>
      <c r="K5200" s="249"/>
    </row>
    <row r="5201" spans="1:11" s="90" customFormat="1" ht="12.75" customHeight="1" x14ac:dyDescent="0.2">
      <c r="A5201" s="247"/>
      <c r="B5201" s="316"/>
      <c r="C5201" s="247"/>
      <c r="D5201" s="317"/>
      <c r="E5201" s="318"/>
      <c r="F5201" s="247"/>
      <c r="G5201" s="247"/>
      <c r="H5201" s="248"/>
      <c r="I5201" s="248"/>
      <c r="J5201" s="247"/>
      <c r="K5201" s="249"/>
    </row>
    <row r="5202" spans="1:11" s="90" customFormat="1" ht="12.75" customHeight="1" x14ac:dyDescent="0.2">
      <c r="A5202" s="247"/>
      <c r="B5202" s="316"/>
      <c r="C5202" s="247"/>
      <c r="D5202" s="317"/>
      <c r="E5202" s="318"/>
      <c r="F5202" s="247"/>
      <c r="G5202" s="247"/>
      <c r="H5202" s="248"/>
      <c r="I5202" s="248"/>
      <c r="J5202" s="247"/>
      <c r="K5202" s="249"/>
    </row>
    <row r="5203" spans="1:11" s="90" customFormat="1" ht="12.75" customHeight="1" x14ac:dyDescent="0.2">
      <c r="A5203" s="247"/>
      <c r="B5203" s="316"/>
      <c r="C5203" s="247"/>
      <c r="D5203" s="317"/>
      <c r="E5203" s="318"/>
      <c r="F5203" s="247"/>
      <c r="G5203" s="247"/>
      <c r="H5203" s="248"/>
      <c r="I5203" s="248"/>
      <c r="J5203" s="247"/>
      <c r="K5203" s="249"/>
    </row>
    <row r="5204" spans="1:11" s="90" customFormat="1" ht="12.75" customHeight="1" x14ac:dyDescent="0.2">
      <c r="A5204" s="247"/>
      <c r="B5204" s="316"/>
      <c r="C5204" s="247"/>
      <c r="D5204" s="317"/>
      <c r="E5204" s="318"/>
      <c r="F5204" s="247"/>
      <c r="G5204" s="247"/>
      <c r="H5204" s="248"/>
      <c r="I5204" s="248"/>
      <c r="J5204" s="247"/>
      <c r="K5204" s="249"/>
    </row>
    <row r="5205" spans="1:11" s="90" customFormat="1" ht="12.75" customHeight="1" x14ac:dyDescent="0.2">
      <c r="A5205" s="247"/>
      <c r="B5205" s="316"/>
      <c r="C5205" s="247"/>
      <c r="D5205" s="317"/>
      <c r="E5205" s="318"/>
      <c r="F5205" s="247"/>
      <c r="G5205" s="247"/>
      <c r="H5205" s="248"/>
      <c r="I5205" s="248"/>
      <c r="J5205" s="247"/>
      <c r="K5205" s="249"/>
    </row>
    <row r="5206" spans="1:11" s="90" customFormat="1" ht="12.75" customHeight="1" x14ac:dyDescent="0.2">
      <c r="A5206" s="247"/>
      <c r="B5206" s="316"/>
      <c r="C5206" s="247"/>
      <c r="D5206" s="317"/>
      <c r="E5206" s="318"/>
      <c r="F5206" s="247"/>
      <c r="G5206" s="247"/>
      <c r="H5206" s="248"/>
      <c r="I5206" s="248"/>
      <c r="J5206" s="247"/>
      <c r="K5206" s="249"/>
    </row>
    <row r="5207" spans="1:11" s="90" customFormat="1" ht="12.75" customHeight="1" x14ac:dyDescent="0.2">
      <c r="A5207" s="247"/>
      <c r="B5207" s="316"/>
      <c r="C5207" s="247"/>
      <c r="D5207" s="317"/>
      <c r="E5207" s="318"/>
      <c r="F5207" s="247"/>
      <c r="G5207" s="247"/>
      <c r="H5207" s="248"/>
      <c r="I5207" s="248"/>
      <c r="J5207" s="247"/>
      <c r="K5207" s="249"/>
    </row>
    <row r="5208" spans="1:11" s="90" customFormat="1" ht="12.75" customHeight="1" x14ac:dyDescent="0.2">
      <c r="A5208" s="247"/>
      <c r="B5208" s="316"/>
      <c r="C5208" s="247"/>
      <c r="D5208" s="317"/>
      <c r="E5208" s="318"/>
      <c r="F5208" s="247"/>
      <c r="G5208" s="247"/>
      <c r="H5208" s="248"/>
      <c r="I5208" s="248"/>
      <c r="J5208" s="247"/>
      <c r="K5208" s="249"/>
    </row>
    <row r="5209" spans="1:11" s="90" customFormat="1" ht="12.75" customHeight="1" x14ac:dyDescent="0.2">
      <c r="A5209" s="247"/>
      <c r="B5209" s="316"/>
      <c r="C5209" s="247"/>
      <c r="D5209" s="317"/>
      <c r="E5209" s="318"/>
      <c r="F5209" s="247"/>
      <c r="G5209" s="247"/>
      <c r="H5209" s="248"/>
      <c r="I5209" s="248"/>
      <c r="J5209" s="247"/>
      <c r="K5209" s="249"/>
    </row>
    <row r="5210" spans="1:11" s="90" customFormat="1" ht="12.75" customHeight="1" x14ac:dyDescent="0.2">
      <c r="A5210" s="247"/>
      <c r="B5210" s="316"/>
      <c r="C5210" s="247"/>
      <c r="D5210" s="317"/>
      <c r="E5210" s="318"/>
      <c r="F5210" s="247"/>
      <c r="G5210" s="247"/>
      <c r="H5210" s="248"/>
      <c r="I5210" s="248"/>
      <c r="J5210" s="247"/>
      <c r="K5210" s="249"/>
    </row>
    <row r="5211" spans="1:11" s="90" customFormat="1" ht="12.75" customHeight="1" x14ac:dyDescent="0.2">
      <c r="A5211" s="247"/>
      <c r="B5211" s="316"/>
      <c r="C5211" s="247"/>
      <c r="D5211" s="317"/>
      <c r="E5211" s="318"/>
      <c r="F5211" s="247"/>
      <c r="G5211" s="247"/>
      <c r="H5211" s="248"/>
      <c r="I5211" s="248"/>
      <c r="J5211" s="247"/>
      <c r="K5211" s="249"/>
    </row>
    <row r="5212" spans="1:11" s="90" customFormat="1" ht="12.75" customHeight="1" x14ac:dyDescent="0.2">
      <c r="A5212" s="247"/>
      <c r="B5212" s="316"/>
      <c r="C5212" s="247"/>
      <c r="D5212" s="317"/>
      <c r="E5212" s="318"/>
      <c r="F5212" s="247"/>
      <c r="G5212" s="247"/>
      <c r="H5212" s="248"/>
      <c r="I5212" s="248"/>
      <c r="J5212" s="247"/>
      <c r="K5212" s="249"/>
    </row>
    <row r="5213" spans="1:11" s="90" customFormat="1" ht="12.75" customHeight="1" x14ac:dyDescent="0.2">
      <c r="A5213" s="247"/>
      <c r="B5213" s="316"/>
      <c r="C5213" s="247"/>
      <c r="D5213" s="317"/>
      <c r="E5213" s="318"/>
      <c r="F5213" s="247"/>
      <c r="G5213" s="247"/>
      <c r="H5213" s="248"/>
      <c r="I5213" s="248"/>
      <c r="J5213" s="247"/>
      <c r="K5213" s="249"/>
    </row>
    <row r="5214" spans="1:11" s="90" customFormat="1" ht="12.75" customHeight="1" x14ac:dyDescent="0.2">
      <c r="A5214" s="247"/>
      <c r="B5214" s="316"/>
      <c r="C5214" s="247"/>
      <c r="D5214" s="317"/>
      <c r="E5214" s="318"/>
      <c r="F5214" s="247"/>
      <c r="G5214" s="247"/>
      <c r="H5214" s="248"/>
      <c r="I5214" s="248"/>
      <c r="J5214" s="247"/>
      <c r="K5214" s="249"/>
    </row>
    <row r="5215" spans="1:11" s="90" customFormat="1" ht="12.75" customHeight="1" x14ac:dyDescent="0.2">
      <c r="A5215" s="247"/>
      <c r="B5215" s="316"/>
      <c r="C5215" s="247"/>
      <c r="D5215" s="317"/>
      <c r="E5215" s="318"/>
      <c r="F5215" s="247"/>
      <c r="G5215" s="247"/>
      <c r="H5215" s="248"/>
      <c r="I5215" s="248"/>
      <c r="J5215" s="247"/>
      <c r="K5215" s="249"/>
    </row>
    <row r="5216" spans="1:11" s="90" customFormat="1" ht="12.75" customHeight="1" x14ac:dyDescent="0.2">
      <c r="A5216" s="247"/>
      <c r="B5216" s="316"/>
      <c r="C5216" s="247"/>
      <c r="D5216" s="317"/>
      <c r="E5216" s="318"/>
      <c r="F5216" s="247"/>
      <c r="G5216" s="247"/>
      <c r="H5216" s="248"/>
      <c r="I5216" s="248"/>
      <c r="J5216" s="247"/>
      <c r="K5216" s="249"/>
    </row>
    <row r="5217" spans="1:11" s="90" customFormat="1" ht="12.75" customHeight="1" x14ac:dyDescent="0.2">
      <c r="A5217" s="247"/>
      <c r="B5217" s="316"/>
      <c r="C5217" s="247"/>
      <c r="D5217" s="317"/>
      <c r="E5217" s="318"/>
      <c r="F5217" s="247"/>
      <c r="G5217" s="247"/>
      <c r="H5217" s="248"/>
      <c r="I5217" s="248"/>
      <c r="J5217" s="247"/>
      <c r="K5217" s="249"/>
    </row>
    <row r="5218" spans="1:11" s="90" customFormat="1" ht="12.75" customHeight="1" x14ac:dyDescent="0.2">
      <c r="A5218" s="247"/>
      <c r="B5218" s="316"/>
      <c r="C5218" s="247"/>
      <c r="D5218" s="317"/>
      <c r="E5218" s="318"/>
      <c r="F5218" s="247"/>
      <c r="G5218" s="247"/>
      <c r="H5218" s="248"/>
      <c r="I5218" s="248"/>
      <c r="J5218" s="247"/>
      <c r="K5218" s="249"/>
    </row>
    <row r="5219" spans="1:11" s="90" customFormat="1" ht="12.75" customHeight="1" x14ac:dyDescent="0.2">
      <c r="A5219" s="247"/>
      <c r="B5219" s="316"/>
      <c r="C5219" s="247"/>
      <c r="D5219" s="317"/>
      <c r="E5219" s="318"/>
      <c r="F5219" s="247"/>
      <c r="G5219" s="247"/>
      <c r="H5219" s="248"/>
      <c r="I5219" s="248"/>
      <c r="J5219" s="247"/>
      <c r="K5219" s="249"/>
    </row>
    <row r="5220" spans="1:11" s="90" customFormat="1" ht="12.75" customHeight="1" x14ac:dyDescent="0.2">
      <c r="A5220" s="247"/>
      <c r="B5220" s="316"/>
      <c r="C5220" s="247"/>
      <c r="D5220" s="317"/>
      <c r="E5220" s="318"/>
      <c r="F5220" s="247"/>
      <c r="G5220" s="247"/>
      <c r="H5220" s="248"/>
      <c r="I5220" s="248"/>
      <c r="J5220" s="247"/>
      <c r="K5220" s="249"/>
    </row>
    <row r="5221" spans="1:11" s="90" customFormat="1" ht="12.75" customHeight="1" x14ac:dyDescent="0.2">
      <c r="A5221" s="247"/>
      <c r="B5221" s="316"/>
      <c r="C5221" s="247"/>
      <c r="D5221" s="317"/>
      <c r="E5221" s="318"/>
      <c r="F5221" s="247"/>
      <c r="G5221" s="247"/>
      <c r="H5221" s="248"/>
      <c r="I5221" s="248"/>
      <c r="J5221" s="247"/>
      <c r="K5221" s="249"/>
    </row>
    <row r="5222" spans="1:11" s="90" customFormat="1" ht="12.75" customHeight="1" x14ac:dyDescent="0.2">
      <c r="A5222" s="247"/>
      <c r="B5222" s="316"/>
      <c r="C5222" s="247"/>
      <c r="D5222" s="317"/>
      <c r="E5222" s="318"/>
      <c r="F5222" s="247"/>
      <c r="G5222" s="247"/>
      <c r="H5222" s="248"/>
      <c r="I5222" s="248"/>
      <c r="J5222" s="247"/>
      <c r="K5222" s="249"/>
    </row>
    <row r="5223" spans="1:11" s="90" customFormat="1" ht="12.75" customHeight="1" x14ac:dyDescent="0.2">
      <c r="A5223" s="247"/>
      <c r="B5223" s="316"/>
      <c r="C5223" s="247"/>
      <c r="D5223" s="317"/>
      <c r="E5223" s="318"/>
      <c r="F5223" s="247"/>
      <c r="G5223" s="247"/>
      <c r="H5223" s="248"/>
      <c r="I5223" s="248"/>
      <c r="J5223" s="247"/>
      <c r="K5223" s="249"/>
    </row>
    <row r="5224" spans="1:11" s="90" customFormat="1" ht="12.75" customHeight="1" x14ac:dyDescent="0.2">
      <c r="A5224" s="247"/>
      <c r="B5224" s="316"/>
      <c r="C5224" s="247"/>
      <c r="D5224" s="317"/>
      <c r="E5224" s="318"/>
      <c r="F5224" s="247"/>
      <c r="G5224" s="247"/>
      <c r="H5224" s="248"/>
      <c r="I5224" s="248"/>
      <c r="J5224" s="247"/>
      <c r="K5224" s="249"/>
    </row>
    <row r="5225" spans="1:11" s="90" customFormat="1" ht="12.75" customHeight="1" x14ac:dyDescent="0.2">
      <c r="A5225" s="247"/>
      <c r="B5225" s="316"/>
      <c r="C5225" s="247"/>
      <c r="D5225" s="317"/>
      <c r="E5225" s="318"/>
      <c r="F5225" s="247"/>
      <c r="G5225" s="247"/>
      <c r="H5225" s="248"/>
      <c r="I5225" s="248"/>
      <c r="J5225" s="247"/>
      <c r="K5225" s="249"/>
    </row>
    <row r="5226" spans="1:11" s="90" customFormat="1" ht="12.75" customHeight="1" x14ac:dyDescent="0.2">
      <c r="A5226" s="247"/>
      <c r="B5226" s="316"/>
      <c r="C5226" s="247"/>
      <c r="D5226" s="317"/>
      <c r="E5226" s="318"/>
      <c r="F5226" s="247"/>
      <c r="G5226" s="247"/>
      <c r="H5226" s="248"/>
      <c r="I5226" s="248"/>
      <c r="J5226" s="247"/>
      <c r="K5226" s="249"/>
    </row>
    <row r="5227" spans="1:11" s="90" customFormat="1" ht="12.75" customHeight="1" x14ac:dyDescent="0.2">
      <c r="A5227" s="247"/>
      <c r="B5227" s="316"/>
      <c r="C5227" s="247"/>
      <c r="D5227" s="317"/>
      <c r="E5227" s="318"/>
      <c r="F5227" s="247"/>
      <c r="G5227" s="247"/>
      <c r="H5227" s="248"/>
      <c r="I5227" s="248"/>
      <c r="J5227" s="247"/>
      <c r="K5227" s="249"/>
    </row>
    <row r="5228" spans="1:11" s="90" customFormat="1" ht="12.75" customHeight="1" x14ac:dyDescent="0.2">
      <c r="A5228" s="247"/>
      <c r="B5228" s="316"/>
      <c r="C5228" s="247"/>
      <c r="D5228" s="317"/>
      <c r="E5228" s="318"/>
      <c r="F5228" s="247"/>
      <c r="G5228" s="247"/>
      <c r="H5228" s="248"/>
      <c r="I5228" s="248"/>
      <c r="J5228" s="247"/>
      <c r="K5228" s="249"/>
    </row>
    <row r="5229" spans="1:11" s="90" customFormat="1" ht="12.75" customHeight="1" x14ac:dyDescent="0.2">
      <c r="A5229" s="247"/>
      <c r="B5229" s="316"/>
      <c r="C5229" s="247"/>
      <c r="D5229" s="317"/>
      <c r="E5229" s="318"/>
      <c r="F5229" s="247"/>
      <c r="G5229" s="247"/>
      <c r="H5229" s="248"/>
      <c r="I5229" s="248"/>
      <c r="J5229" s="247"/>
      <c r="K5229" s="249"/>
    </row>
    <row r="5230" spans="1:11" s="90" customFormat="1" ht="12.75" customHeight="1" x14ac:dyDescent="0.2">
      <c r="A5230" s="247"/>
      <c r="B5230" s="316"/>
      <c r="C5230" s="247"/>
      <c r="D5230" s="317"/>
      <c r="E5230" s="318"/>
      <c r="F5230" s="247"/>
      <c r="G5230" s="247"/>
      <c r="H5230" s="248"/>
      <c r="I5230" s="248"/>
      <c r="J5230" s="247"/>
      <c r="K5230" s="249"/>
    </row>
    <row r="5231" spans="1:11" s="90" customFormat="1" ht="12.75" customHeight="1" x14ac:dyDescent="0.2">
      <c r="A5231" s="247"/>
      <c r="B5231" s="316"/>
      <c r="C5231" s="247"/>
      <c r="D5231" s="317"/>
      <c r="E5231" s="318"/>
      <c r="F5231" s="247"/>
      <c r="G5231" s="247"/>
      <c r="H5231" s="248"/>
      <c r="I5231" s="248"/>
      <c r="J5231" s="247"/>
      <c r="K5231" s="249"/>
    </row>
    <row r="5232" spans="1:11" s="90" customFormat="1" ht="12.75" customHeight="1" x14ac:dyDescent="0.2">
      <c r="A5232" s="247"/>
      <c r="B5232" s="316"/>
      <c r="C5232" s="247"/>
      <c r="D5232" s="317"/>
      <c r="E5232" s="318"/>
      <c r="F5232" s="247"/>
      <c r="G5232" s="247"/>
      <c r="H5232" s="248"/>
      <c r="I5232" s="248"/>
      <c r="J5232" s="247"/>
      <c r="K5232" s="249"/>
    </row>
    <row r="5233" spans="1:11" s="90" customFormat="1" ht="12.75" customHeight="1" x14ac:dyDescent="0.2">
      <c r="A5233" s="247"/>
      <c r="B5233" s="316"/>
      <c r="C5233" s="247"/>
      <c r="D5233" s="317"/>
      <c r="E5233" s="318"/>
      <c r="F5233" s="247"/>
      <c r="G5233" s="247"/>
      <c r="H5233" s="248"/>
      <c r="I5233" s="248"/>
      <c r="J5233" s="247"/>
      <c r="K5233" s="249"/>
    </row>
    <row r="5234" spans="1:11" s="90" customFormat="1" ht="12.75" customHeight="1" x14ac:dyDescent="0.2">
      <c r="A5234" s="247"/>
      <c r="B5234" s="316"/>
      <c r="C5234" s="247"/>
      <c r="D5234" s="317"/>
      <c r="E5234" s="318"/>
      <c r="F5234" s="247"/>
      <c r="G5234" s="247"/>
      <c r="H5234" s="248"/>
      <c r="I5234" s="248"/>
      <c r="J5234" s="247"/>
      <c r="K5234" s="249"/>
    </row>
    <row r="5235" spans="1:11" s="90" customFormat="1" ht="12.75" customHeight="1" x14ac:dyDescent="0.2">
      <c r="A5235" s="247"/>
      <c r="B5235" s="316"/>
      <c r="C5235" s="247"/>
      <c r="D5235" s="317"/>
      <c r="E5235" s="318"/>
      <c r="F5235" s="247"/>
      <c r="G5235" s="247"/>
      <c r="H5235" s="248"/>
      <c r="I5235" s="248"/>
      <c r="J5235" s="247"/>
      <c r="K5235" s="249"/>
    </row>
    <row r="5236" spans="1:11" s="90" customFormat="1" ht="12.75" customHeight="1" x14ac:dyDescent="0.2">
      <c r="A5236" s="247"/>
      <c r="B5236" s="316"/>
      <c r="C5236" s="247"/>
      <c r="D5236" s="317"/>
      <c r="E5236" s="318"/>
      <c r="F5236" s="247"/>
      <c r="G5236" s="247"/>
      <c r="H5236" s="248"/>
      <c r="I5236" s="248"/>
      <c r="J5236" s="247"/>
      <c r="K5236" s="249"/>
    </row>
    <row r="5237" spans="1:11" s="90" customFormat="1" ht="12.75" customHeight="1" x14ac:dyDescent="0.2">
      <c r="A5237" s="247"/>
      <c r="B5237" s="316"/>
      <c r="C5237" s="247"/>
      <c r="D5237" s="317"/>
      <c r="E5237" s="318"/>
      <c r="F5237" s="247"/>
      <c r="G5237" s="247"/>
      <c r="H5237" s="248"/>
      <c r="I5237" s="248"/>
      <c r="J5237" s="247"/>
      <c r="K5237" s="249"/>
    </row>
    <row r="5238" spans="1:11" s="90" customFormat="1" ht="12.75" customHeight="1" x14ac:dyDescent="0.2">
      <c r="A5238" s="247"/>
      <c r="B5238" s="316"/>
      <c r="C5238" s="247"/>
      <c r="D5238" s="317"/>
      <c r="E5238" s="318"/>
      <c r="F5238" s="247"/>
      <c r="G5238" s="247"/>
      <c r="H5238" s="248"/>
      <c r="I5238" s="248"/>
      <c r="J5238" s="247"/>
      <c r="K5238" s="249"/>
    </row>
    <row r="5239" spans="1:11" s="90" customFormat="1" ht="12.75" customHeight="1" x14ac:dyDescent="0.2">
      <c r="A5239" s="247"/>
      <c r="B5239" s="316"/>
      <c r="C5239" s="247"/>
      <c r="D5239" s="317"/>
      <c r="E5239" s="318"/>
      <c r="F5239" s="247"/>
      <c r="G5239" s="247"/>
      <c r="H5239" s="248"/>
      <c r="I5239" s="248"/>
      <c r="J5239" s="247"/>
      <c r="K5239" s="249"/>
    </row>
    <row r="5240" spans="1:11" s="90" customFormat="1" ht="12.75" customHeight="1" x14ac:dyDescent="0.2">
      <c r="A5240" s="247"/>
      <c r="B5240" s="316"/>
      <c r="C5240" s="247"/>
      <c r="D5240" s="317"/>
      <c r="E5240" s="318"/>
      <c r="F5240" s="247"/>
      <c r="G5240" s="247"/>
      <c r="H5240" s="248"/>
      <c r="I5240" s="248"/>
      <c r="J5240" s="247"/>
      <c r="K5240" s="249"/>
    </row>
    <row r="5241" spans="1:11" s="90" customFormat="1" ht="12.75" customHeight="1" x14ac:dyDescent="0.2">
      <c r="A5241" s="247"/>
      <c r="B5241" s="316"/>
      <c r="C5241" s="247"/>
      <c r="D5241" s="317"/>
      <c r="E5241" s="318"/>
      <c r="F5241" s="247"/>
      <c r="G5241" s="247"/>
      <c r="H5241" s="248"/>
      <c r="I5241" s="248"/>
      <c r="J5241" s="247"/>
      <c r="K5241" s="249"/>
    </row>
    <row r="5242" spans="1:11" s="90" customFormat="1" ht="12.75" customHeight="1" x14ac:dyDescent="0.2">
      <c r="A5242" s="247"/>
      <c r="B5242" s="316"/>
      <c r="C5242" s="247"/>
      <c r="D5242" s="317"/>
      <c r="E5242" s="318"/>
      <c r="F5242" s="247"/>
      <c r="G5242" s="247"/>
      <c r="H5242" s="248"/>
      <c r="I5242" s="248"/>
      <c r="J5242" s="247"/>
      <c r="K5242" s="249"/>
    </row>
    <row r="5243" spans="1:11" s="90" customFormat="1" ht="12.75" customHeight="1" x14ac:dyDescent="0.2">
      <c r="A5243" s="247"/>
      <c r="B5243" s="316"/>
      <c r="C5243" s="247"/>
      <c r="D5243" s="317"/>
      <c r="E5243" s="318"/>
      <c r="F5243" s="247"/>
      <c r="G5243" s="247"/>
      <c r="H5243" s="248"/>
      <c r="I5243" s="248"/>
      <c r="J5243" s="247"/>
      <c r="K5243" s="249"/>
    </row>
    <row r="5244" spans="1:11" s="90" customFormat="1" ht="12.75" customHeight="1" x14ac:dyDescent="0.2">
      <c r="A5244" s="247"/>
      <c r="B5244" s="316"/>
      <c r="C5244" s="247"/>
      <c r="D5244" s="317"/>
      <c r="E5244" s="318"/>
      <c r="F5244" s="247"/>
      <c r="G5244" s="247"/>
      <c r="H5244" s="248"/>
      <c r="I5244" s="248"/>
      <c r="J5244" s="247"/>
      <c r="K5244" s="249"/>
    </row>
    <row r="5245" spans="1:11" s="90" customFormat="1" ht="12.75" customHeight="1" x14ac:dyDescent="0.2">
      <c r="A5245" s="247"/>
      <c r="B5245" s="316"/>
      <c r="C5245" s="247"/>
      <c r="D5245" s="317"/>
      <c r="E5245" s="318"/>
      <c r="F5245" s="247"/>
      <c r="G5245" s="247"/>
      <c r="H5245" s="248"/>
      <c r="I5245" s="248"/>
      <c r="J5245" s="247"/>
      <c r="K5245" s="249"/>
    </row>
    <row r="5246" spans="1:11" s="90" customFormat="1" ht="12.75" customHeight="1" x14ac:dyDescent="0.2">
      <c r="A5246" s="247"/>
      <c r="B5246" s="316"/>
      <c r="C5246" s="247"/>
      <c r="D5246" s="317"/>
      <c r="E5246" s="318"/>
      <c r="F5246" s="247"/>
      <c r="G5246" s="247"/>
      <c r="H5246" s="248"/>
      <c r="I5246" s="248"/>
      <c r="J5246" s="247"/>
      <c r="K5246" s="249"/>
    </row>
    <row r="5247" spans="1:11" s="90" customFormat="1" ht="12.75" customHeight="1" x14ac:dyDescent="0.2">
      <c r="A5247" s="247"/>
      <c r="B5247" s="316"/>
      <c r="C5247" s="247"/>
      <c r="D5247" s="317"/>
      <c r="E5247" s="318"/>
      <c r="F5247" s="247"/>
      <c r="G5247" s="247"/>
      <c r="H5247" s="248"/>
      <c r="I5247" s="248"/>
      <c r="J5247" s="247"/>
      <c r="K5247" s="249"/>
    </row>
    <row r="5248" spans="1:11" s="90" customFormat="1" ht="12.75" customHeight="1" x14ac:dyDescent="0.2">
      <c r="A5248" s="247"/>
      <c r="B5248" s="316"/>
      <c r="C5248" s="247"/>
      <c r="D5248" s="317"/>
      <c r="E5248" s="318"/>
      <c r="F5248" s="247"/>
      <c r="G5248" s="247"/>
      <c r="H5248" s="248"/>
      <c r="I5248" s="248"/>
      <c r="J5248" s="247"/>
      <c r="K5248" s="249"/>
    </row>
    <row r="5249" spans="1:11" s="90" customFormat="1" ht="12.75" customHeight="1" x14ac:dyDescent="0.2">
      <c r="A5249" s="247"/>
      <c r="B5249" s="316"/>
      <c r="C5249" s="247"/>
      <c r="D5249" s="317"/>
      <c r="E5249" s="318"/>
      <c r="F5249" s="247"/>
      <c r="G5249" s="247"/>
      <c r="H5249" s="248"/>
      <c r="I5249" s="248"/>
      <c r="J5249" s="247"/>
      <c r="K5249" s="249"/>
    </row>
    <row r="5250" spans="1:11" s="90" customFormat="1" ht="12.75" customHeight="1" x14ac:dyDescent="0.2">
      <c r="A5250" s="247"/>
      <c r="B5250" s="316"/>
      <c r="C5250" s="247"/>
      <c r="D5250" s="317"/>
      <c r="E5250" s="318"/>
      <c r="F5250" s="247"/>
      <c r="G5250" s="247"/>
      <c r="H5250" s="248"/>
      <c r="I5250" s="248"/>
      <c r="J5250" s="247"/>
      <c r="K5250" s="249"/>
    </row>
    <row r="5251" spans="1:11" s="90" customFormat="1" ht="12.75" customHeight="1" x14ac:dyDescent="0.2">
      <c r="A5251" s="247"/>
      <c r="B5251" s="316"/>
      <c r="C5251" s="247"/>
      <c r="D5251" s="317"/>
      <c r="E5251" s="318"/>
      <c r="F5251" s="247"/>
      <c r="G5251" s="247"/>
      <c r="H5251" s="248"/>
      <c r="I5251" s="248"/>
      <c r="J5251" s="247"/>
      <c r="K5251" s="249"/>
    </row>
    <row r="5252" spans="1:11" s="90" customFormat="1" ht="12.75" customHeight="1" x14ac:dyDescent="0.2">
      <c r="A5252" s="247"/>
      <c r="B5252" s="316"/>
      <c r="C5252" s="247"/>
      <c r="D5252" s="317"/>
      <c r="E5252" s="318"/>
      <c r="F5252" s="247"/>
      <c r="G5252" s="247"/>
      <c r="H5252" s="248"/>
      <c r="I5252" s="248"/>
      <c r="J5252" s="247"/>
      <c r="K5252" s="249"/>
    </row>
    <row r="5253" spans="1:11" s="90" customFormat="1" ht="12.75" customHeight="1" x14ac:dyDescent="0.2">
      <c r="A5253" s="247"/>
      <c r="B5253" s="316"/>
      <c r="C5253" s="247"/>
      <c r="D5253" s="317"/>
      <c r="E5253" s="318"/>
      <c r="F5253" s="247"/>
      <c r="G5253" s="247"/>
      <c r="H5253" s="248"/>
      <c r="I5253" s="248"/>
      <c r="J5253" s="247"/>
      <c r="K5253" s="249"/>
    </row>
    <row r="5254" spans="1:11" s="90" customFormat="1" ht="12.75" customHeight="1" x14ac:dyDescent="0.2">
      <c r="A5254" s="247"/>
      <c r="B5254" s="316"/>
      <c r="C5254" s="247"/>
      <c r="D5254" s="317"/>
      <c r="E5254" s="318"/>
      <c r="F5254" s="247"/>
      <c r="G5254" s="247"/>
      <c r="H5254" s="248"/>
      <c r="I5254" s="248"/>
      <c r="J5254" s="247"/>
      <c r="K5254" s="249"/>
    </row>
    <row r="5255" spans="1:11" s="90" customFormat="1" ht="12.75" customHeight="1" x14ac:dyDescent="0.2">
      <c r="A5255" s="247"/>
      <c r="B5255" s="316"/>
      <c r="C5255" s="247"/>
      <c r="D5255" s="317"/>
      <c r="E5255" s="318"/>
      <c r="F5255" s="247"/>
      <c r="G5255" s="247"/>
      <c r="H5255" s="248"/>
      <c r="I5255" s="248"/>
      <c r="J5255" s="247"/>
      <c r="K5255" s="249"/>
    </row>
    <row r="5256" spans="1:11" s="90" customFormat="1" ht="12.75" customHeight="1" x14ac:dyDescent="0.2">
      <c r="A5256" s="247"/>
      <c r="B5256" s="316"/>
      <c r="C5256" s="247"/>
      <c r="D5256" s="317"/>
      <c r="E5256" s="318"/>
      <c r="F5256" s="247"/>
      <c r="G5256" s="247"/>
      <c r="H5256" s="248"/>
      <c r="I5256" s="248"/>
      <c r="J5256" s="247"/>
      <c r="K5256" s="249"/>
    </row>
    <row r="5257" spans="1:11" s="90" customFormat="1" ht="12.75" customHeight="1" x14ac:dyDescent="0.2">
      <c r="A5257" s="247"/>
      <c r="B5257" s="316"/>
      <c r="C5257" s="247"/>
      <c r="D5257" s="317"/>
      <c r="E5257" s="318"/>
      <c r="F5257" s="247"/>
      <c r="G5257" s="247"/>
      <c r="H5257" s="248"/>
      <c r="I5257" s="248"/>
      <c r="J5257" s="247"/>
      <c r="K5257" s="249"/>
    </row>
    <row r="5258" spans="1:11" s="90" customFormat="1" ht="12.75" customHeight="1" x14ac:dyDescent="0.2">
      <c r="A5258" s="247"/>
      <c r="B5258" s="316"/>
      <c r="C5258" s="247"/>
      <c r="D5258" s="317"/>
      <c r="E5258" s="318"/>
      <c r="F5258" s="247"/>
      <c r="G5258" s="247"/>
      <c r="H5258" s="248"/>
      <c r="I5258" s="248"/>
      <c r="J5258" s="247"/>
      <c r="K5258" s="249"/>
    </row>
    <row r="5259" spans="1:11" s="90" customFormat="1" ht="12.75" customHeight="1" x14ac:dyDescent="0.2">
      <c r="A5259" s="247"/>
      <c r="B5259" s="316"/>
      <c r="C5259" s="247"/>
      <c r="D5259" s="317"/>
      <c r="E5259" s="318"/>
      <c r="F5259" s="247"/>
      <c r="G5259" s="247"/>
      <c r="H5259" s="248"/>
      <c r="I5259" s="248"/>
      <c r="J5259" s="247"/>
      <c r="K5259" s="249"/>
    </row>
    <row r="5260" spans="1:11" s="90" customFormat="1" ht="12.75" customHeight="1" x14ac:dyDescent="0.2">
      <c r="A5260" s="247"/>
      <c r="B5260" s="316"/>
      <c r="C5260" s="247"/>
      <c r="D5260" s="317"/>
      <c r="E5260" s="318"/>
      <c r="F5260" s="247"/>
      <c r="G5260" s="247"/>
      <c r="H5260" s="248"/>
      <c r="I5260" s="248"/>
      <c r="J5260" s="247"/>
      <c r="K5260" s="249"/>
    </row>
    <row r="5261" spans="1:11" s="90" customFormat="1" ht="12.75" customHeight="1" x14ac:dyDescent="0.2">
      <c r="A5261" s="247"/>
      <c r="B5261" s="316"/>
      <c r="C5261" s="247"/>
      <c r="D5261" s="317"/>
      <c r="E5261" s="318"/>
      <c r="F5261" s="247"/>
      <c r="G5261" s="247"/>
      <c r="H5261" s="248"/>
      <c r="I5261" s="248"/>
      <c r="J5261" s="247"/>
      <c r="K5261" s="249"/>
    </row>
    <row r="5262" spans="1:11" s="90" customFormat="1" ht="12.75" customHeight="1" x14ac:dyDescent="0.2">
      <c r="A5262" s="247"/>
      <c r="B5262" s="316"/>
      <c r="C5262" s="247"/>
      <c r="D5262" s="317"/>
      <c r="E5262" s="318"/>
      <c r="F5262" s="247"/>
      <c r="G5262" s="247"/>
      <c r="H5262" s="248"/>
      <c r="I5262" s="248"/>
      <c r="J5262" s="247"/>
      <c r="K5262" s="249"/>
    </row>
    <row r="5263" spans="1:11" s="90" customFormat="1" ht="12.75" customHeight="1" x14ac:dyDescent="0.2">
      <c r="A5263" s="247"/>
      <c r="B5263" s="316"/>
      <c r="C5263" s="247"/>
      <c r="D5263" s="317"/>
      <c r="E5263" s="318"/>
      <c r="F5263" s="247"/>
      <c r="G5263" s="247"/>
      <c r="H5263" s="248"/>
      <c r="I5263" s="248"/>
      <c r="J5263" s="247"/>
      <c r="K5263" s="249"/>
    </row>
    <row r="5264" spans="1:11" s="90" customFormat="1" ht="12.75" customHeight="1" x14ac:dyDescent="0.2">
      <c r="A5264" s="247"/>
      <c r="B5264" s="316"/>
      <c r="C5264" s="247"/>
      <c r="D5264" s="317"/>
      <c r="E5264" s="318"/>
      <c r="F5264" s="247"/>
      <c r="G5264" s="247"/>
      <c r="H5264" s="248"/>
      <c r="I5264" s="248"/>
      <c r="J5264" s="247"/>
      <c r="K5264" s="249"/>
    </row>
    <row r="5265" spans="1:11" s="90" customFormat="1" ht="12.75" customHeight="1" x14ac:dyDescent="0.2">
      <c r="A5265" s="247"/>
      <c r="B5265" s="316"/>
      <c r="C5265" s="247"/>
      <c r="D5265" s="317"/>
      <c r="E5265" s="318"/>
      <c r="F5265" s="247"/>
      <c r="G5265" s="247"/>
      <c r="H5265" s="248"/>
      <c r="I5265" s="248"/>
      <c r="J5265" s="247"/>
      <c r="K5265" s="249"/>
    </row>
    <row r="5266" spans="1:11" s="90" customFormat="1" ht="12.75" customHeight="1" x14ac:dyDescent="0.2">
      <c r="A5266" s="247"/>
      <c r="B5266" s="316"/>
      <c r="C5266" s="247"/>
      <c r="D5266" s="317"/>
      <c r="E5266" s="318"/>
      <c r="F5266" s="247"/>
      <c r="G5266" s="247"/>
      <c r="H5266" s="248"/>
      <c r="I5266" s="248"/>
      <c r="J5266" s="247"/>
      <c r="K5266" s="249"/>
    </row>
    <row r="5267" spans="1:11" s="90" customFormat="1" ht="12.75" customHeight="1" x14ac:dyDescent="0.2">
      <c r="A5267" s="247"/>
      <c r="B5267" s="316"/>
      <c r="C5267" s="247"/>
      <c r="D5267" s="317"/>
      <c r="E5267" s="318"/>
      <c r="F5267" s="247"/>
      <c r="G5267" s="247"/>
      <c r="H5267" s="248"/>
      <c r="I5267" s="248"/>
      <c r="J5267" s="247"/>
      <c r="K5267" s="249"/>
    </row>
    <row r="5268" spans="1:11" s="90" customFormat="1" ht="12.75" customHeight="1" x14ac:dyDescent="0.2">
      <c r="A5268" s="247"/>
      <c r="B5268" s="316"/>
      <c r="C5268" s="247"/>
      <c r="D5268" s="317"/>
      <c r="E5268" s="318"/>
      <c r="F5268" s="247"/>
      <c r="G5268" s="247"/>
      <c r="H5268" s="248"/>
      <c r="I5268" s="248"/>
      <c r="J5268" s="247"/>
      <c r="K5268" s="249"/>
    </row>
    <row r="5269" spans="1:11" s="90" customFormat="1" ht="12.75" customHeight="1" x14ac:dyDescent="0.2">
      <c r="A5269" s="247"/>
      <c r="B5269" s="316"/>
      <c r="C5269" s="247"/>
      <c r="D5269" s="317"/>
      <c r="E5269" s="318"/>
      <c r="F5269" s="247"/>
      <c r="G5269" s="247"/>
      <c r="H5269" s="248"/>
      <c r="I5269" s="248"/>
      <c r="J5269" s="247"/>
      <c r="K5269" s="249"/>
    </row>
    <row r="5270" spans="1:11" s="90" customFormat="1" ht="12.75" customHeight="1" x14ac:dyDescent="0.2">
      <c r="A5270" s="247"/>
      <c r="B5270" s="316"/>
      <c r="C5270" s="247"/>
      <c r="D5270" s="317"/>
      <c r="E5270" s="318"/>
      <c r="F5270" s="247"/>
      <c r="G5270" s="247"/>
      <c r="H5270" s="248"/>
      <c r="I5270" s="248"/>
      <c r="J5270" s="247"/>
      <c r="K5270" s="249"/>
    </row>
    <row r="5271" spans="1:11" s="90" customFormat="1" ht="12.75" customHeight="1" x14ac:dyDescent="0.2">
      <c r="A5271" s="247"/>
      <c r="B5271" s="316"/>
      <c r="C5271" s="247"/>
      <c r="D5271" s="317"/>
      <c r="E5271" s="318"/>
      <c r="F5271" s="247"/>
      <c r="G5271" s="247"/>
      <c r="H5271" s="248"/>
      <c r="I5271" s="248"/>
      <c r="J5271" s="247"/>
      <c r="K5271" s="249"/>
    </row>
    <row r="5272" spans="1:11" s="90" customFormat="1" ht="12.75" customHeight="1" x14ac:dyDescent="0.2">
      <c r="A5272" s="247"/>
      <c r="B5272" s="316"/>
      <c r="C5272" s="247"/>
      <c r="D5272" s="317"/>
      <c r="E5272" s="318"/>
      <c r="F5272" s="247"/>
      <c r="G5272" s="247"/>
      <c r="H5272" s="248"/>
      <c r="I5272" s="248"/>
      <c r="J5272" s="247"/>
      <c r="K5272" s="249"/>
    </row>
    <row r="5273" spans="1:11" s="90" customFormat="1" ht="12.75" customHeight="1" x14ac:dyDescent="0.2">
      <c r="A5273" s="247"/>
      <c r="B5273" s="316"/>
      <c r="C5273" s="247"/>
      <c r="D5273" s="317"/>
      <c r="E5273" s="318"/>
      <c r="F5273" s="247"/>
      <c r="G5273" s="247"/>
      <c r="H5273" s="248"/>
      <c r="I5273" s="248"/>
      <c r="J5273" s="247"/>
      <c r="K5273" s="249"/>
    </row>
    <row r="5274" spans="1:11" s="90" customFormat="1" ht="12.75" customHeight="1" x14ac:dyDescent="0.2">
      <c r="A5274" s="247"/>
      <c r="B5274" s="316"/>
      <c r="C5274" s="247"/>
      <c r="D5274" s="317"/>
      <c r="E5274" s="318"/>
      <c r="F5274" s="247"/>
      <c r="G5274" s="247"/>
      <c r="H5274" s="248"/>
      <c r="I5274" s="248"/>
      <c r="J5274" s="247"/>
      <c r="K5274" s="249"/>
    </row>
    <row r="5275" spans="1:11" s="90" customFormat="1" ht="12.75" customHeight="1" x14ac:dyDescent="0.2">
      <c r="A5275" s="247"/>
      <c r="B5275" s="316"/>
      <c r="C5275" s="247"/>
      <c r="D5275" s="317"/>
      <c r="E5275" s="318"/>
      <c r="F5275" s="247"/>
      <c r="G5275" s="247"/>
      <c r="H5275" s="248"/>
      <c r="I5275" s="248"/>
      <c r="J5275" s="247"/>
      <c r="K5275" s="249"/>
    </row>
    <row r="5276" spans="1:11" s="90" customFormat="1" ht="12.75" customHeight="1" x14ac:dyDescent="0.2">
      <c r="A5276" s="247"/>
      <c r="B5276" s="316"/>
      <c r="C5276" s="247"/>
      <c r="D5276" s="317"/>
      <c r="E5276" s="318"/>
      <c r="F5276" s="247"/>
      <c r="G5276" s="247"/>
      <c r="H5276" s="248"/>
      <c r="I5276" s="248"/>
      <c r="J5276" s="247"/>
      <c r="K5276" s="249"/>
    </row>
    <row r="5277" spans="1:11" s="90" customFormat="1" ht="12.75" customHeight="1" x14ac:dyDescent="0.2">
      <c r="A5277" s="247"/>
      <c r="B5277" s="316"/>
      <c r="C5277" s="247"/>
      <c r="D5277" s="317"/>
      <c r="E5277" s="318"/>
      <c r="F5277" s="247"/>
      <c r="G5277" s="247"/>
      <c r="H5277" s="248"/>
      <c r="I5277" s="248"/>
      <c r="J5277" s="247"/>
      <c r="K5277" s="249"/>
    </row>
    <row r="5278" spans="1:11" s="90" customFormat="1" ht="12.75" customHeight="1" x14ac:dyDescent="0.2">
      <c r="A5278" s="247"/>
      <c r="B5278" s="316"/>
      <c r="C5278" s="247"/>
      <c r="D5278" s="317"/>
      <c r="E5278" s="318"/>
      <c r="F5278" s="247"/>
      <c r="G5278" s="247"/>
      <c r="H5278" s="248"/>
      <c r="I5278" s="248"/>
      <c r="J5278" s="247"/>
      <c r="K5278" s="249"/>
    </row>
    <row r="5279" spans="1:11" s="90" customFormat="1" ht="12.75" customHeight="1" x14ac:dyDescent="0.2">
      <c r="A5279" s="247"/>
      <c r="B5279" s="316"/>
      <c r="C5279" s="247"/>
      <c r="D5279" s="317"/>
      <c r="E5279" s="318"/>
      <c r="F5279" s="247"/>
      <c r="G5279" s="247"/>
      <c r="H5279" s="248"/>
      <c r="I5279" s="248"/>
      <c r="J5279" s="247"/>
      <c r="K5279" s="249"/>
    </row>
    <row r="5280" spans="1:11" s="90" customFormat="1" ht="12.75" customHeight="1" x14ac:dyDescent="0.2">
      <c r="A5280" s="247"/>
      <c r="B5280" s="316"/>
      <c r="C5280" s="247"/>
      <c r="D5280" s="317"/>
      <c r="E5280" s="318"/>
      <c r="F5280" s="247"/>
      <c r="G5280" s="247"/>
      <c r="H5280" s="248"/>
      <c r="I5280" s="248"/>
      <c r="J5280" s="247"/>
      <c r="K5280" s="249"/>
    </row>
    <row r="5281" spans="1:11" s="90" customFormat="1" ht="12.75" customHeight="1" x14ac:dyDescent="0.2">
      <c r="A5281" s="247"/>
      <c r="B5281" s="316"/>
      <c r="C5281" s="247"/>
      <c r="D5281" s="317"/>
      <c r="E5281" s="318"/>
      <c r="F5281" s="247"/>
      <c r="G5281" s="247"/>
      <c r="H5281" s="248"/>
      <c r="I5281" s="248"/>
      <c r="J5281" s="247"/>
      <c r="K5281" s="249"/>
    </row>
    <row r="5282" spans="1:11" s="90" customFormat="1" ht="12.75" customHeight="1" x14ac:dyDescent="0.2">
      <c r="A5282" s="247"/>
      <c r="B5282" s="316"/>
      <c r="C5282" s="247"/>
      <c r="D5282" s="317"/>
      <c r="E5282" s="318"/>
      <c r="F5282" s="247"/>
      <c r="G5282" s="247"/>
      <c r="H5282" s="248"/>
      <c r="I5282" s="248"/>
      <c r="J5282" s="247"/>
      <c r="K5282" s="249"/>
    </row>
    <row r="5283" spans="1:11" s="90" customFormat="1" ht="12.75" customHeight="1" x14ac:dyDescent="0.2">
      <c r="A5283" s="247"/>
      <c r="B5283" s="316"/>
      <c r="C5283" s="247"/>
      <c r="D5283" s="317"/>
      <c r="E5283" s="318"/>
      <c r="F5283" s="247"/>
      <c r="G5283" s="247"/>
      <c r="H5283" s="248"/>
      <c r="I5283" s="248"/>
      <c r="J5283" s="247"/>
      <c r="K5283" s="249"/>
    </row>
    <row r="5284" spans="1:11" s="90" customFormat="1" ht="12.75" customHeight="1" x14ac:dyDescent="0.2">
      <c r="A5284" s="247"/>
      <c r="B5284" s="316"/>
      <c r="C5284" s="247"/>
      <c r="D5284" s="317"/>
      <c r="E5284" s="318"/>
      <c r="F5284" s="247"/>
      <c r="G5284" s="247"/>
      <c r="H5284" s="248"/>
      <c r="I5284" s="248"/>
      <c r="J5284" s="247"/>
      <c r="K5284" s="249"/>
    </row>
    <row r="5285" spans="1:11" s="90" customFormat="1" ht="12.75" customHeight="1" x14ac:dyDescent="0.2">
      <c r="A5285" s="247"/>
      <c r="B5285" s="316"/>
      <c r="C5285" s="247"/>
      <c r="D5285" s="317"/>
      <c r="E5285" s="318"/>
      <c r="F5285" s="247"/>
      <c r="G5285" s="247"/>
      <c r="H5285" s="248"/>
      <c r="I5285" s="248"/>
      <c r="J5285" s="247"/>
      <c r="K5285" s="249"/>
    </row>
    <row r="5286" spans="1:11" s="90" customFormat="1" ht="12.75" customHeight="1" x14ac:dyDescent="0.2">
      <c r="A5286" s="247"/>
      <c r="B5286" s="316"/>
      <c r="C5286" s="247"/>
      <c r="D5286" s="317"/>
      <c r="E5286" s="318"/>
      <c r="F5286" s="247"/>
      <c r="G5286" s="247"/>
      <c r="H5286" s="248"/>
      <c r="I5286" s="248"/>
      <c r="J5286" s="247"/>
      <c r="K5286" s="249"/>
    </row>
    <row r="5287" spans="1:11" s="90" customFormat="1" ht="12.75" customHeight="1" x14ac:dyDescent="0.2">
      <c r="A5287" s="247"/>
      <c r="B5287" s="316"/>
      <c r="C5287" s="247"/>
      <c r="D5287" s="317"/>
      <c r="E5287" s="318"/>
      <c r="F5287" s="247"/>
      <c r="G5287" s="247"/>
      <c r="H5287" s="248"/>
      <c r="I5287" s="248"/>
      <c r="J5287" s="247"/>
      <c r="K5287" s="249"/>
    </row>
    <row r="5288" spans="1:11" s="90" customFormat="1" ht="12.75" customHeight="1" x14ac:dyDescent="0.2">
      <c r="A5288" s="247"/>
      <c r="B5288" s="316"/>
      <c r="C5288" s="247"/>
      <c r="D5288" s="317"/>
      <c r="E5288" s="318"/>
      <c r="F5288" s="247"/>
      <c r="G5288" s="247"/>
      <c r="H5288" s="248"/>
      <c r="I5288" s="248"/>
      <c r="J5288" s="247"/>
      <c r="K5288" s="249"/>
    </row>
    <row r="5289" spans="1:11" s="90" customFormat="1" ht="12.75" customHeight="1" x14ac:dyDescent="0.2">
      <c r="A5289" s="247"/>
      <c r="B5289" s="316"/>
      <c r="C5289" s="247"/>
      <c r="D5289" s="317"/>
      <c r="E5289" s="318"/>
      <c r="F5289" s="247"/>
      <c r="G5289" s="247"/>
      <c r="H5289" s="248"/>
      <c r="I5289" s="248"/>
      <c r="J5289" s="247"/>
      <c r="K5289" s="249"/>
    </row>
    <row r="5290" spans="1:11" s="90" customFormat="1" ht="12.75" customHeight="1" x14ac:dyDescent="0.2">
      <c r="A5290" s="247"/>
      <c r="B5290" s="316"/>
      <c r="C5290" s="247"/>
      <c r="D5290" s="317"/>
      <c r="E5290" s="318"/>
      <c r="F5290" s="247"/>
      <c r="G5290" s="247"/>
      <c r="H5290" s="248"/>
      <c r="I5290" s="248"/>
      <c r="J5290" s="247"/>
      <c r="K5290" s="249"/>
    </row>
    <row r="5291" spans="1:11" s="90" customFormat="1" ht="12.75" customHeight="1" x14ac:dyDescent="0.2">
      <c r="A5291" s="247"/>
      <c r="B5291" s="316"/>
      <c r="C5291" s="247"/>
      <c r="D5291" s="317"/>
      <c r="E5291" s="318"/>
      <c r="F5291" s="247"/>
      <c r="G5291" s="247"/>
      <c r="H5291" s="248"/>
      <c r="I5291" s="248"/>
      <c r="J5291" s="247"/>
      <c r="K5291" s="249"/>
    </row>
    <row r="5292" spans="1:11" s="90" customFormat="1" ht="12.75" customHeight="1" x14ac:dyDescent="0.2">
      <c r="A5292" s="247"/>
      <c r="B5292" s="316"/>
      <c r="C5292" s="247"/>
      <c r="D5292" s="317"/>
      <c r="E5292" s="318"/>
      <c r="F5292" s="247"/>
      <c r="G5292" s="247"/>
      <c r="H5292" s="248"/>
      <c r="I5292" s="248"/>
      <c r="J5292" s="247"/>
      <c r="K5292" s="249"/>
    </row>
    <row r="5293" spans="1:11" s="90" customFormat="1" ht="12.75" customHeight="1" x14ac:dyDescent="0.2">
      <c r="A5293" s="247"/>
      <c r="B5293" s="316"/>
      <c r="C5293" s="247"/>
      <c r="D5293" s="317"/>
      <c r="E5293" s="318"/>
      <c r="F5293" s="247"/>
      <c r="G5293" s="247"/>
      <c r="H5293" s="248"/>
      <c r="I5293" s="248"/>
      <c r="J5293" s="247"/>
      <c r="K5293" s="249"/>
    </row>
    <row r="5294" spans="1:11" s="90" customFormat="1" ht="12.75" customHeight="1" x14ac:dyDescent="0.2">
      <c r="A5294" s="247"/>
      <c r="B5294" s="316"/>
      <c r="C5294" s="247"/>
      <c r="D5294" s="317"/>
      <c r="E5294" s="318"/>
      <c r="F5294" s="247"/>
      <c r="G5294" s="247"/>
      <c r="H5294" s="248"/>
      <c r="I5294" s="248"/>
      <c r="J5294" s="247"/>
      <c r="K5294" s="249"/>
    </row>
    <row r="5295" spans="1:11" s="90" customFormat="1" ht="12.75" customHeight="1" x14ac:dyDescent="0.2">
      <c r="A5295" s="247"/>
      <c r="B5295" s="316"/>
      <c r="C5295" s="247"/>
      <c r="D5295" s="317"/>
      <c r="E5295" s="318"/>
      <c r="F5295" s="247"/>
      <c r="G5295" s="247"/>
      <c r="H5295" s="248"/>
      <c r="I5295" s="248"/>
      <c r="J5295" s="247"/>
      <c r="K5295" s="249"/>
    </row>
    <row r="5296" spans="1:11" s="90" customFormat="1" ht="12.75" customHeight="1" x14ac:dyDescent="0.2">
      <c r="A5296" s="247"/>
      <c r="B5296" s="316"/>
      <c r="C5296" s="247"/>
      <c r="D5296" s="317"/>
      <c r="E5296" s="318"/>
      <c r="F5296" s="247"/>
      <c r="G5296" s="247"/>
      <c r="H5296" s="248"/>
      <c r="I5296" s="248"/>
      <c r="J5296" s="247"/>
      <c r="K5296" s="249"/>
    </row>
    <row r="5297" spans="1:11" s="90" customFormat="1" ht="12.75" customHeight="1" x14ac:dyDescent="0.2">
      <c r="A5297" s="247"/>
      <c r="B5297" s="316"/>
      <c r="C5297" s="247"/>
      <c r="D5297" s="317"/>
      <c r="E5297" s="318"/>
      <c r="F5297" s="247"/>
      <c r="G5297" s="247"/>
      <c r="H5297" s="248"/>
      <c r="I5297" s="248"/>
      <c r="J5297" s="247"/>
      <c r="K5297" s="249"/>
    </row>
    <row r="5298" spans="1:11" s="90" customFormat="1" ht="12.75" customHeight="1" x14ac:dyDescent="0.2">
      <c r="A5298" s="247"/>
      <c r="B5298" s="316"/>
      <c r="C5298" s="247"/>
      <c r="D5298" s="317"/>
      <c r="E5298" s="318"/>
      <c r="F5298" s="247"/>
      <c r="G5298" s="247"/>
      <c r="H5298" s="248"/>
      <c r="I5298" s="248"/>
      <c r="J5298" s="247"/>
      <c r="K5298" s="249"/>
    </row>
    <row r="5299" spans="1:11" s="90" customFormat="1" ht="12.75" customHeight="1" x14ac:dyDescent="0.2">
      <c r="A5299" s="247"/>
      <c r="B5299" s="316"/>
      <c r="C5299" s="247"/>
      <c r="D5299" s="317"/>
      <c r="E5299" s="318"/>
      <c r="F5299" s="247"/>
      <c r="G5299" s="247"/>
      <c r="H5299" s="248"/>
      <c r="I5299" s="248"/>
      <c r="J5299" s="247"/>
      <c r="K5299" s="249"/>
    </row>
    <row r="5300" spans="1:11" s="90" customFormat="1" ht="12.75" customHeight="1" x14ac:dyDescent="0.2">
      <c r="A5300" s="247"/>
      <c r="B5300" s="316"/>
      <c r="C5300" s="247"/>
      <c r="D5300" s="317"/>
      <c r="E5300" s="318"/>
      <c r="F5300" s="247"/>
      <c r="G5300" s="247"/>
      <c r="H5300" s="248"/>
      <c r="I5300" s="248"/>
      <c r="J5300" s="247"/>
      <c r="K5300" s="249"/>
    </row>
    <row r="5301" spans="1:11" s="90" customFormat="1" ht="12.75" customHeight="1" x14ac:dyDescent="0.2">
      <c r="A5301" s="247"/>
      <c r="B5301" s="316"/>
      <c r="C5301" s="247"/>
      <c r="D5301" s="317"/>
      <c r="E5301" s="318"/>
      <c r="F5301" s="247"/>
      <c r="G5301" s="247"/>
      <c r="H5301" s="248"/>
      <c r="I5301" s="248"/>
      <c r="J5301" s="247"/>
      <c r="K5301" s="249"/>
    </row>
    <row r="5302" spans="1:11" s="90" customFormat="1" ht="12.75" customHeight="1" x14ac:dyDescent="0.2">
      <c r="A5302" s="247"/>
      <c r="B5302" s="316"/>
      <c r="C5302" s="247"/>
      <c r="D5302" s="317"/>
      <c r="E5302" s="318"/>
      <c r="F5302" s="247"/>
      <c r="G5302" s="247"/>
      <c r="H5302" s="248"/>
      <c r="I5302" s="248"/>
      <c r="J5302" s="247"/>
      <c r="K5302" s="249"/>
    </row>
    <row r="5303" spans="1:11" s="90" customFormat="1" ht="12.75" customHeight="1" x14ac:dyDescent="0.2">
      <c r="A5303" s="247"/>
      <c r="B5303" s="316"/>
      <c r="C5303" s="247"/>
      <c r="D5303" s="317"/>
      <c r="E5303" s="318"/>
      <c r="F5303" s="247"/>
      <c r="G5303" s="247"/>
      <c r="H5303" s="248"/>
      <c r="I5303" s="248"/>
      <c r="J5303" s="247"/>
      <c r="K5303" s="249"/>
    </row>
    <row r="5304" spans="1:11" s="90" customFormat="1" ht="12.75" customHeight="1" x14ac:dyDescent="0.2">
      <c r="A5304" s="247"/>
      <c r="B5304" s="316"/>
      <c r="C5304" s="247"/>
      <c r="D5304" s="317"/>
      <c r="E5304" s="318"/>
      <c r="F5304" s="247"/>
      <c r="G5304" s="247"/>
      <c r="H5304" s="248"/>
      <c r="I5304" s="248"/>
      <c r="J5304" s="247"/>
      <c r="K5304" s="249"/>
    </row>
    <row r="5305" spans="1:11" s="90" customFormat="1" ht="12.75" customHeight="1" x14ac:dyDescent="0.2">
      <c r="A5305" s="247"/>
      <c r="B5305" s="316"/>
      <c r="C5305" s="247"/>
      <c r="D5305" s="317"/>
      <c r="E5305" s="318"/>
      <c r="F5305" s="247"/>
      <c r="G5305" s="247"/>
      <c r="H5305" s="248"/>
      <c r="I5305" s="248"/>
      <c r="J5305" s="247"/>
      <c r="K5305" s="249"/>
    </row>
    <row r="5306" spans="1:11" s="90" customFormat="1" ht="12.75" customHeight="1" x14ac:dyDescent="0.2">
      <c r="A5306" s="247"/>
      <c r="B5306" s="316"/>
      <c r="C5306" s="247"/>
      <c r="D5306" s="317"/>
      <c r="E5306" s="318"/>
      <c r="F5306" s="247"/>
      <c r="G5306" s="247"/>
      <c r="H5306" s="248"/>
      <c r="I5306" s="248"/>
      <c r="J5306" s="247"/>
      <c r="K5306" s="249"/>
    </row>
    <row r="5307" spans="1:11" s="90" customFormat="1" ht="12.75" customHeight="1" x14ac:dyDescent="0.2">
      <c r="A5307" s="247"/>
      <c r="B5307" s="316"/>
      <c r="C5307" s="247"/>
      <c r="D5307" s="317"/>
      <c r="E5307" s="318"/>
      <c r="F5307" s="247"/>
      <c r="G5307" s="247"/>
      <c r="H5307" s="248"/>
      <c r="I5307" s="248"/>
      <c r="J5307" s="247"/>
      <c r="K5307" s="249"/>
    </row>
    <row r="5308" spans="1:11" s="90" customFormat="1" ht="12.75" customHeight="1" x14ac:dyDescent="0.2">
      <c r="A5308" s="247"/>
      <c r="B5308" s="316"/>
      <c r="C5308" s="247"/>
      <c r="D5308" s="317"/>
      <c r="E5308" s="318"/>
      <c r="F5308" s="247"/>
      <c r="G5308" s="247"/>
      <c r="H5308" s="248"/>
      <c r="I5308" s="248"/>
      <c r="J5308" s="247"/>
      <c r="K5308" s="249"/>
    </row>
    <row r="5309" spans="1:11" s="90" customFormat="1" ht="12.75" customHeight="1" x14ac:dyDescent="0.2">
      <c r="A5309" s="247"/>
      <c r="B5309" s="316"/>
      <c r="C5309" s="247"/>
      <c r="D5309" s="317"/>
      <c r="E5309" s="318"/>
      <c r="F5309" s="247"/>
      <c r="G5309" s="247"/>
      <c r="H5309" s="248"/>
      <c r="I5309" s="248"/>
      <c r="J5309" s="247"/>
      <c r="K5309" s="249"/>
    </row>
    <row r="5310" spans="1:11" s="90" customFormat="1" ht="12.75" customHeight="1" x14ac:dyDescent="0.2">
      <c r="A5310" s="247"/>
      <c r="B5310" s="316"/>
      <c r="C5310" s="247"/>
      <c r="D5310" s="317"/>
      <c r="E5310" s="318"/>
      <c r="F5310" s="247"/>
      <c r="G5310" s="247"/>
      <c r="H5310" s="248"/>
      <c r="I5310" s="248"/>
      <c r="J5310" s="247"/>
      <c r="K5310" s="249"/>
    </row>
    <row r="5311" spans="1:11" s="90" customFormat="1" ht="12.75" customHeight="1" x14ac:dyDescent="0.2">
      <c r="A5311" s="247"/>
      <c r="B5311" s="316"/>
      <c r="C5311" s="247"/>
      <c r="D5311" s="317"/>
      <c r="E5311" s="318"/>
      <c r="F5311" s="247"/>
      <c r="G5311" s="247"/>
      <c r="H5311" s="248"/>
      <c r="I5311" s="248"/>
      <c r="J5311" s="247"/>
      <c r="K5311" s="249"/>
    </row>
    <row r="5312" spans="1:11" s="90" customFormat="1" ht="12.75" customHeight="1" x14ac:dyDescent="0.2">
      <c r="A5312" s="247"/>
      <c r="B5312" s="316"/>
      <c r="C5312" s="247"/>
      <c r="D5312" s="317"/>
      <c r="E5312" s="318"/>
      <c r="F5312" s="247"/>
      <c r="G5312" s="247"/>
      <c r="H5312" s="248"/>
      <c r="I5312" s="248"/>
      <c r="J5312" s="247"/>
      <c r="K5312" s="249"/>
    </row>
    <row r="5313" spans="1:11" s="90" customFormat="1" ht="12.75" customHeight="1" x14ac:dyDescent="0.2">
      <c r="A5313" s="247"/>
      <c r="B5313" s="316"/>
      <c r="C5313" s="247"/>
      <c r="D5313" s="317"/>
      <c r="E5313" s="318"/>
      <c r="F5313" s="247"/>
      <c r="G5313" s="247"/>
      <c r="H5313" s="248"/>
      <c r="I5313" s="248"/>
      <c r="J5313" s="247"/>
      <c r="K5313" s="249"/>
    </row>
    <row r="5314" spans="1:11" s="90" customFormat="1" ht="12.75" customHeight="1" x14ac:dyDescent="0.2">
      <c r="A5314" s="247"/>
      <c r="B5314" s="316"/>
      <c r="C5314" s="247"/>
      <c r="D5314" s="317"/>
      <c r="E5314" s="318"/>
      <c r="F5314" s="247"/>
      <c r="G5314" s="247"/>
      <c r="H5314" s="248"/>
      <c r="I5314" s="248"/>
      <c r="J5314" s="247"/>
      <c r="K5314" s="249"/>
    </row>
    <row r="5315" spans="1:11" s="90" customFormat="1" ht="12.75" customHeight="1" x14ac:dyDescent="0.2">
      <c r="A5315" s="247"/>
      <c r="B5315" s="316"/>
      <c r="C5315" s="247"/>
      <c r="D5315" s="317"/>
      <c r="E5315" s="318"/>
      <c r="F5315" s="247"/>
      <c r="G5315" s="247"/>
      <c r="H5315" s="248"/>
      <c r="I5315" s="248"/>
      <c r="J5315" s="247"/>
      <c r="K5315" s="249"/>
    </row>
    <row r="5316" spans="1:11" s="90" customFormat="1" ht="12.75" customHeight="1" x14ac:dyDescent="0.2">
      <c r="A5316" s="247"/>
      <c r="B5316" s="316"/>
      <c r="C5316" s="247"/>
      <c r="D5316" s="317"/>
      <c r="E5316" s="318"/>
      <c r="F5316" s="247"/>
      <c r="G5316" s="247"/>
      <c r="H5316" s="248"/>
      <c r="I5316" s="248"/>
      <c r="J5316" s="247"/>
      <c r="K5316" s="249"/>
    </row>
    <row r="5317" spans="1:11" s="90" customFormat="1" ht="12.75" customHeight="1" x14ac:dyDescent="0.2">
      <c r="A5317" s="247"/>
      <c r="B5317" s="316"/>
      <c r="C5317" s="247"/>
      <c r="D5317" s="317"/>
      <c r="E5317" s="318"/>
      <c r="F5317" s="247"/>
      <c r="G5317" s="247"/>
      <c r="H5317" s="248"/>
      <c r="I5317" s="248"/>
      <c r="J5317" s="247"/>
      <c r="K5317" s="249"/>
    </row>
    <row r="5318" spans="1:11" s="90" customFormat="1" ht="12.75" customHeight="1" x14ac:dyDescent="0.2">
      <c r="A5318" s="247"/>
      <c r="B5318" s="316"/>
      <c r="C5318" s="247"/>
      <c r="D5318" s="317"/>
      <c r="E5318" s="318"/>
      <c r="F5318" s="247"/>
      <c r="G5318" s="247"/>
      <c r="H5318" s="248"/>
      <c r="I5318" s="248"/>
      <c r="J5318" s="247"/>
      <c r="K5318" s="249"/>
    </row>
    <row r="5319" spans="1:11" s="90" customFormat="1" ht="12.75" customHeight="1" x14ac:dyDescent="0.2">
      <c r="A5319" s="247"/>
      <c r="B5319" s="316"/>
      <c r="C5319" s="247"/>
      <c r="D5319" s="317"/>
      <c r="E5319" s="318"/>
      <c r="F5319" s="247"/>
      <c r="G5319" s="247"/>
      <c r="H5319" s="248"/>
      <c r="I5319" s="248"/>
      <c r="J5319" s="247"/>
      <c r="K5319" s="249"/>
    </row>
    <row r="5320" spans="1:11" s="90" customFormat="1" ht="12.75" customHeight="1" x14ac:dyDescent="0.2">
      <c r="A5320" s="247"/>
      <c r="B5320" s="316"/>
      <c r="C5320" s="247"/>
      <c r="D5320" s="317"/>
      <c r="E5320" s="318"/>
      <c r="F5320" s="247"/>
      <c r="G5320" s="247"/>
      <c r="H5320" s="248"/>
      <c r="I5320" s="248"/>
      <c r="J5320" s="247"/>
      <c r="K5320" s="249"/>
    </row>
    <row r="5321" spans="1:11" s="90" customFormat="1" ht="12.75" customHeight="1" x14ac:dyDescent="0.2">
      <c r="A5321" s="247"/>
      <c r="B5321" s="316"/>
      <c r="C5321" s="247"/>
      <c r="D5321" s="317"/>
      <c r="E5321" s="318"/>
      <c r="F5321" s="247"/>
      <c r="G5321" s="247"/>
      <c r="H5321" s="248"/>
      <c r="I5321" s="248"/>
      <c r="J5321" s="247"/>
      <c r="K5321" s="249"/>
    </row>
    <row r="5322" spans="1:11" s="90" customFormat="1" ht="12.75" customHeight="1" x14ac:dyDescent="0.2">
      <c r="A5322" s="247"/>
      <c r="B5322" s="316"/>
      <c r="C5322" s="247"/>
      <c r="D5322" s="317"/>
      <c r="E5322" s="318"/>
      <c r="F5322" s="247"/>
      <c r="G5322" s="247"/>
      <c r="H5322" s="248"/>
      <c r="I5322" s="248"/>
      <c r="J5322" s="247"/>
      <c r="K5322" s="249"/>
    </row>
    <row r="5323" spans="1:11" s="90" customFormat="1" ht="12.75" customHeight="1" x14ac:dyDescent="0.2">
      <c r="A5323" s="247"/>
      <c r="B5323" s="316"/>
      <c r="C5323" s="247"/>
      <c r="D5323" s="317"/>
      <c r="E5323" s="318"/>
      <c r="F5323" s="247"/>
      <c r="G5323" s="247"/>
      <c r="H5323" s="248"/>
      <c r="I5323" s="248"/>
      <c r="J5323" s="247"/>
      <c r="K5323" s="249"/>
    </row>
    <row r="5324" spans="1:11" s="90" customFormat="1" ht="12.75" customHeight="1" x14ac:dyDescent="0.2">
      <c r="A5324" s="247"/>
      <c r="B5324" s="316"/>
      <c r="C5324" s="247"/>
      <c r="D5324" s="317"/>
      <c r="E5324" s="318"/>
      <c r="F5324" s="247"/>
      <c r="G5324" s="247"/>
      <c r="H5324" s="248"/>
      <c r="I5324" s="248"/>
      <c r="J5324" s="247"/>
      <c r="K5324" s="249"/>
    </row>
    <row r="5325" spans="1:11" s="90" customFormat="1" ht="12.75" customHeight="1" x14ac:dyDescent="0.2">
      <c r="A5325" s="247"/>
      <c r="B5325" s="316"/>
      <c r="C5325" s="247"/>
      <c r="D5325" s="317"/>
      <c r="E5325" s="318"/>
      <c r="F5325" s="247"/>
      <c r="G5325" s="247"/>
      <c r="H5325" s="248"/>
      <c r="I5325" s="248"/>
      <c r="J5325" s="247"/>
      <c r="K5325" s="249"/>
    </row>
    <row r="5326" spans="1:11" s="90" customFormat="1" ht="12.75" customHeight="1" x14ac:dyDescent="0.2">
      <c r="A5326" s="247"/>
      <c r="B5326" s="316"/>
      <c r="C5326" s="247"/>
      <c r="D5326" s="317"/>
      <c r="E5326" s="318"/>
      <c r="F5326" s="247"/>
      <c r="G5326" s="247"/>
      <c r="H5326" s="248"/>
      <c r="I5326" s="248"/>
      <c r="J5326" s="247"/>
      <c r="K5326" s="249"/>
    </row>
    <row r="5327" spans="1:11" s="90" customFormat="1" ht="12.75" customHeight="1" x14ac:dyDescent="0.2">
      <c r="A5327" s="247"/>
      <c r="B5327" s="316"/>
      <c r="C5327" s="247"/>
      <c r="D5327" s="317"/>
      <c r="E5327" s="318"/>
      <c r="F5327" s="247"/>
      <c r="G5327" s="247"/>
      <c r="H5327" s="248"/>
      <c r="I5327" s="248"/>
      <c r="J5327" s="247"/>
      <c r="K5327" s="249"/>
    </row>
    <row r="5328" spans="1:11" s="90" customFormat="1" ht="12.75" customHeight="1" x14ac:dyDescent="0.2">
      <c r="A5328" s="247"/>
      <c r="B5328" s="316"/>
      <c r="C5328" s="247"/>
      <c r="D5328" s="317"/>
      <c r="E5328" s="318"/>
      <c r="F5328" s="247"/>
      <c r="G5328" s="247"/>
      <c r="H5328" s="248"/>
      <c r="I5328" s="248"/>
      <c r="J5328" s="247"/>
      <c r="K5328" s="249"/>
    </row>
    <row r="5329" spans="1:11" s="90" customFormat="1" ht="12.75" customHeight="1" x14ac:dyDescent="0.2">
      <c r="A5329" s="247"/>
      <c r="B5329" s="316"/>
      <c r="C5329" s="247"/>
      <c r="D5329" s="317"/>
      <c r="E5329" s="318"/>
      <c r="F5329" s="247"/>
      <c r="G5329" s="247"/>
      <c r="H5329" s="248"/>
      <c r="I5329" s="248"/>
      <c r="J5329" s="247"/>
      <c r="K5329" s="249"/>
    </row>
    <row r="5330" spans="1:11" s="90" customFormat="1" ht="12.75" customHeight="1" x14ac:dyDescent="0.2">
      <c r="A5330" s="247"/>
      <c r="B5330" s="316"/>
      <c r="C5330" s="247"/>
      <c r="D5330" s="317"/>
      <c r="E5330" s="318"/>
      <c r="F5330" s="247"/>
      <c r="G5330" s="247"/>
      <c r="H5330" s="248"/>
      <c r="I5330" s="248"/>
      <c r="J5330" s="247"/>
      <c r="K5330" s="249"/>
    </row>
    <row r="5331" spans="1:11" s="90" customFormat="1" ht="12.75" customHeight="1" x14ac:dyDescent="0.2">
      <c r="A5331" s="247"/>
      <c r="B5331" s="316"/>
      <c r="C5331" s="247"/>
      <c r="D5331" s="317"/>
      <c r="E5331" s="318"/>
      <c r="F5331" s="247"/>
      <c r="G5331" s="247"/>
      <c r="H5331" s="248"/>
      <c r="I5331" s="248"/>
      <c r="J5331" s="247"/>
      <c r="K5331" s="249"/>
    </row>
    <row r="5332" spans="1:11" s="90" customFormat="1" ht="12.75" customHeight="1" x14ac:dyDescent="0.2">
      <c r="A5332" s="247"/>
      <c r="B5332" s="316"/>
      <c r="C5332" s="247"/>
      <c r="D5332" s="317"/>
      <c r="E5332" s="318"/>
      <c r="F5332" s="247"/>
      <c r="G5332" s="247"/>
      <c r="H5332" s="248"/>
      <c r="I5332" s="248"/>
      <c r="J5332" s="247"/>
      <c r="K5332" s="249"/>
    </row>
    <row r="5333" spans="1:11" s="90" customFormat="1" ht="12.75" customHeight="1" x14ac:dyDescent="0.2">
      <c r="A5333" s="247"/>
      <c r="B5333" s="316"/>
      <c r="C5333" s="247"/>
      <c r="D5333" s="317"/>
      <c r="E5333" s="318"/>
      <c r="F5333" s="247"/>
      <c r="G5333" s="247"/>
      <c r="H5333" s="248"/>
      <c r="I5333" s="248"/>
      <c r="J5333" s="247"/>
      <c r="K5333" s="249"/>
    </row>
    <row r="5334" spans="1:11" s="90" customFormat="1" ht="12.75" customHeight="1" x14ac:dyDescent="0.2">
      <c r="A5334" s="247"/>
      <c r="B5334" s="316"/>
      <c r="C5334" s="247"/>
      <c r="D5334" s="317"/>
      <c r="E5334" s="318"/>
      <c r="F5334" s="247"/>
      <c r="G5334" s="247"/>
      <c r="H5334" s="248"/>
      <c r="I5334" s="248"/>
      <c r="J5334" s="247"/>
      <c r="K5334" s="249"/>
    </row>
    <row r="5335" spans="1:11" s="90" customFormat="1" ht="12.75" customHeight="1" x14ac:dyDescent="0.2">
      <c r="A5335" s="247"/>
      <c r="B5335" s="316"/>
      <c r="C5335" s="247"/>
      <c r="D5335" s="317"/>
      <c r="E5335" s="318"/>
      <c r="F5335" s="247"/>
      <c r="G5335" s="247"/>
      <c r="H5335" s="248"/>
      <c r="I5335" s="248"/>
      <c r="J5335" s="247"/>
      <c r="K5335" s="249"/>
    </row>
    <row r="5336" spans="1:11" s="90" customFormat="1" ht="12.75" customHeight="1" x14ac:dyDescent="0.2">
      <c r="A5336" s="247"/>
      <c r="B5336" s="316"/>
      <c r="C5336" s="247"/>
      <c r="D5336" s="317"/>
      <c r="E5336" s="318"/>
      <c r="F5336" s="247"/>
      <c r="G5336" s="247"/>
      <c r="H5336" s="248"/>
      <c r="I5336" s="248"/>
      <c r="J5336" s="247"/>
      <c r="K5336" s="249"/>
    </row>
    <row r="5337" spans="1:11" s="90" customFormat="1" ht="12.75" customHeight="1" x14ac:dyDescent="0.2">
      <c r="A5337" s="247"/>
      <c r="B5337" s="316"/>
      <c r="C5337" s="247"/>
      <c r="D5337" s="317"/>
      <c r="E5337" s="318"/>
      <c r="F5337" s="247"/>
      <c r="G5337" s="247"/>
      <c r="H5337" s="248"/>
      <c r="I5337" s="248"/>
      <c r="J5337" s="247"/>
      <c r="K5337" s="249"/>
    </row>
    <row r="5338" spans="1:11" s="90" customFormat="1" ht="12.75" customHeight="1" x14ac:dyDescent="0.2">
      <c r="A5338" s="247"/>
      <c r="B5338" s="316"/>
      <c r="C5338" s="247"/>
      <c r="D5338" s="317"/>
      <c r="E5338" s="318"/>
      <c r="F5338" s="247"/>
      <c r="G5338" s="247"/>
      <c r="H5338" s="248"/>
      <c r="I5338" s="248"/>
      <c r="J5338" s="247"/>
      <c r="K5338" s="249"/>
    </row>
    <row r="5339" spans="1:11" s="90" customFormat="1" ht="12.75" customHeight="1" x14ac:dyDescent="0.2">
      <c r="A5339" s="247"/>
      <c r="B5339" s="316"/>
      <c r="C5339" s="247"/>
      <c r="D5339" s="317"/>
      <c r="E5339" s="318"/>
      <c r="F5339" s="247"/>
      <c r="G5339" s="247"/>
      <c r="H5339" s="248"/>
      <c r="I5339" s="248"/>
      <c r="J5339" s="247"/>
      <c r="K5339" s="249"/>
    </row>
    <row r="5340" spans="1:11" s="90" customFormat="1" ht="12.75" customHeight="1" x14ac:dyDescent="0.2">
      <c r="A5340" s="247"/>
      <c r="B5340" s="316"/>
      <c r="C5340" s="247"/>
      <c r="D5340" s="317"/>
      <c r="E5340" s="318"/>
      <c r="F5340" s="247"/>
      <c r="G5340" s="247"/>
      <c r="H5340" s="248"/>
      <c r="I5340" s="248"/>
      <c r="J5340" s="247"/>
      <c r="K5340" s="249"/>
    </row>
    <row r="5341" spans="1:11" s="90" customFormat="1" ht="12.75" customHeight="1" x14ac:dyDescent="0.2">
      <c r="A5341" s="247"/>
      <c r="B5341" s="316"/>
      <c r="C5341" s="247"/>
      <c r="D5341" s="317"/>
      <c r="E5341" s="318"/>
      <c r="F5341" s="247"/>
      <c r="G5341" s="247"/>
      <c r="H5341" s="248"/>
      <c r="I5341" s="248"/>
      <c r="J5341" s="247"/>
      <c r="K5341" s="249"/>
    </row>
    <row r="5342" spans="1:11" s="90" customFormat="1" ht="12.75" customHeight="1" x14ac:dyDescent="0.2">
      <c r="A5342" s="247"/>
      <c r="B5342" s="316"/>
      <c r="C5342" s="247"/>
      <c r="D5342" s="317"/>
      <c r="E5342" s="318"/>
      <c r="F5342" s="247"/>
      <c r="G5342" s="247"/>
      <c r="H5342" s="248"/>
      <c r="I5342" s="248"/>
      <c r="J5342" s="247"/>
      <c r="K5342" s="249"/>
    </row>
    <row r="5343" spans="1:11" s="90" customFormat="1" ht="12.75" customHeight="1" x14ac:dyDescent="0.2">
      <c r="A5343" s="247"/>
      <c r="B5343" s="316"/>
      <c r="C5343" s="247"/>
      <c r="D5343" s="317"/>
      <c r="E5343" s="318"/>
      <c r="F5343" s="247"/>
      <c r="G5343" s="247"/>
      <c r="H5343" s="248"/>
      <c r="I5343" s="248"/>
      <c r="J5343" s="247"/>
      <c r="K5343" s="249"/>
    </row>
    <row r="5344" spans="1:11" s="90" customFormat="1" ht="12.75" customHeight="1" x14ac:dyDescent="0.2">
      <c r="A5344" s="247"/>
      <c r="B5344" s="316"/>
      <c r="C5344" s="247"/>
      <c r="D5344" s="317"/>
      <c r="E5344" s="318"/>
      <c r="F5344" s="247"/>
      <c r="G5344" s="247"/>
      <c r="H5344" s="248"/>
      <c r="I5344" s="248"/>
      <c r="J5344" s="247"/>
      <c r="K5344" s="249"/>
    </row>
    <row r="5345" spans="1:11" s="90" customFormat="1" ht="12.75" customHeight="1" x14ac:dyDescent="0.2">
      <c r="A5345" s="247"/>
      <c r="B5345" s="316"/>
      <c r="C5345" s="247"/>
      <c r="D5345" s="317"/>
      <c r="E5345" s="318"/>
      <c r="F5345" s="247"/>
      <c r="G5345" s="247"/>
      <c r="H5345" s="248"/>
      <c r="I5345" s="248"/>
      <c r="J5345" s="247"/>
      <c r="K5345" s="249"/>
    </row>
    <row r="5346" spans="1:11" s="90" customFormat="1" ht="12.75" customHeight="1" x14ac:dyDescent="0.2">
      <c r="A5346" s="247"/>
      <c r="B5346" s="316"/>
      <c r="C5346" s="247"/>
      <c r="D5346" s="317"/>
      <c r="E5346" s="318"/>
      <c r="F5346" s="247"/>
      <c r="G5346" s="247"/>
      <c r="H5346" s="248"/>
      <c r="I5346" s="248"/>
      <c r="J5346" s="247"/>
      <c r="K5346" s="249"/>
    </row>
    <row r="5347" spans="1:11" s="90" customFormat="1" ht="12.75" customHeight="1" x14ac:dyDescent="0.2">
      <c r="A5347" s="247"/>
      <c r="B5347" s="316"/>
      <c r="C5347" s="247"/>
      <c r="D5347" s="317"/>
      <c r="E5347" s="318"/>
      <c r="F5347" s="247"/>
      <c r="G5347" s="247"/>
      <c r="H5347" s="248"/>
      <c r="I5347" s="248"/>
      <c r="J5347" s="247"/>
      <c r="K5347" s="249"/>
    </row>
    <row r="5348" spans="1:11" s="90" customFormat="1" ht="12.75" customHeight="1" x14ac:dyDescent="0.2">
      <c r="A5348" s="247"/>
      <c r="B5348" s="316"/>
      <c r="C5348" s="247"/>
      <c r="D5348" s="317"/>
      <c r="E5348" s="318"/>
      <c r="F5348" s="247"/>
      <c r="G5348" s="247"/>
      <c r="H5348" s="248"/>
      <c r="I5348" s="248"/>
      <c r="J5348" s="247"/>
      <c r="K5348" s="249"/>
    </row>
    <row r="5349" spans="1:11" s="90" customFormat="1" ht="12.75" customHeight="1" x14ac:dyDescent="0.2">
      <c r="A5349" s="247"/>
      <c r="B5349" s="316"/>
      <c r="C5349" s="247"/>
      <c r="D5349" s="317"/>
      <c r="E5349" s="318"/>
      <c r="F5349" s="247"/>
      <c r="G5349" s="247"/>
      <c r="H5349" s="248"/>
      <c r="I5349" s="248"/>
      <c r="J5349" s="247"/>
      <c r="K5349" s="249"/>
    </row>
    <row r="5350" spans="1:11" s="90" customFormat="1" ht="12.75" customHeight="1" x14ac:dyDescent="0.2">
      <c r="A5350" s="247"/>
      <c r="B5350" s="316"/>
      <c r="C5350" s="247"/>
      <c r="D5350" s="317"/>
      <c r="E5350" s="318"/>
      <c r="F5350" s="247"/>
      <c r="G5350" s="247"/>
      <c r="H5350" s="248"/>
      <c r="I5350" s="248"/>
      <c r="J5350" s="247"/>
      <c r="K5350" s="249"/>
    </row>
    <row r="5351" spans="1:11" s="90" customFormat="1" ht="12.75" customHeight="1" x14ac:dyDescent="0.2">
      <c r="A5351" s="247"/>
      <c r="B5351" s="316"/>
      <c r="C5351" s="247"/>
      <c r="D5351" s="317"/>
      <c r="E5351" s="318"/>
      <c r="F5351" s="247"/>
      <c r="G5351" s="247"/>
      <c r="H5351" s="248"/>
      <c r="I5351" s="248"/>
      <c r="J5351" s="247"/>
      <c r="K5351" s="249"/>
    </row>
    <row r="5352" spans="1:11" s="90" customFormat="1" ht="12.75" customHeight="1" x14ac:dyDescent="0.2">
      <c r="A5352" s="247"/>
      <c r="B5352" s="316"/>
      <c r="C5352" s="247"/>
      <c r="D5352" s="317"/>
      <c r="E5352" s="318"/>
      <c r="F5352" s="247"/>
      <c r="G5352" s="247"/>
      <c r="H5352" s="248"/>
      <c r="I5352" s="248"/>
      <c r="J5352" s="247"/>
      <c r="K5352" s="249"/>
    </row>
    <row r="5353" spans="1:11" s="90" customFormat="1" ht="12.75" customHeight="1" x14ac:dyDescent="0.2">
      <c r="A5353" s="247"/>
      <c r="B5353" s="316"/>
      <c r="C5353" s="247"/>
      <c r="D5353" s="317"/>
      <c r="E5353" s="318"/>
      <c r="F5353" s="247"/>
      <c r="G5353" s="247"/>
      <c r="H5353" s="248"/>
      <c r="I5353" s="248"/>
      <c r="J5353" s="247"/>
      <c r="K5353" s="249"/>
    </row>
    <row r="5354" spans="1:11" s="90" customFormat="1" ht="12.75" customHeight="1" x14ac:dyDescent="0.2">
      <c r="A5354" s="247"/>
      <c r="B5354" s="316"/>
      <c r="C5354" s="247"/>
      <c r="D5354" s="317"/>
      <c r="E5354" s="318"/>
      <c r="F5354" s="247"/>
      <c r="G5354" s="247"/>
      <c r="H5354" s="248"/>
      <c r="I5354" s="248"/>
      <c r="J5354" s="247"/>
      <c r="K5354" s="249"/>
    </row>
    <row r="5355" spans="1:11" s="90" customFormat="1" ht="12.75" customHeight="1" x14ac:dyDescent="0.2">
      <c r="A5355" s="247"/>
      <c r="B5355" s="316"/>
      <c r="C5355" s="247"/>
      <c r="D5355" s="317"/>
      <c r="E5355" s="318"/>
      <c r="F5355" s="247"/>
      <c r="G5355" s="247"/>
      <c r="H5355" s="248"/>
      <c r="I5355" s="248"/>
      <c r="J5355" s="247"/>
      <c r="K5355" s="249"/>
    </row>
    <row r="5356" spans="1:11" s="90" customFormat="1" ht="12.75" customHeight="1" x14ac:dyDescent="0.2">
      <c r="A5356" s="247"/>
      <c r="B5356" s="316"/>
      <c r="C5356" s="247"/>
      <c r="D5356" s="317"/>
      <c r="E5356" s="318"/>
      <c r="F5356" s="247"/>
      <c r="G5356" s="247"/>
      <c r="H5356" s="248"/>
      <c r="I5356" s="248"/>
      <c r="J5356" s="247"/>
      <c r="K5356" s="249"/>
    </row>
    <row r="5357" spans="1:11" s="90" customFormat="1" ht="12.75" customHeight="1" x14ac:dyDescent="0.2">
      <c r="A5357" s="247"/>
      <c r="B5357" s="316"/>
      <c r="C5357" s="247"/>
      <c r="D5357" s="317"/>
      <c r="E5357" s="318"/>
      <c r="F5357" s="247"/>
      <c r="G5357" s="247"/>
      <c r="H5357" s="248"/>
      <c r="I5357" s="248"/>
      <c r="J5357" s="247"/>
      <c r="K5357" s="249"/>
    </row>
    <row r="5358" spans="1:11" s="90" customFormat="1" ht="12.75" customHeight="1" x14ac:dyDescent="0.2">
      <c r="A5358" s="247"/>
      <c r="B5358" s="316"/>
      <c r="C5358" s="247"/>
      <c r="D5358" s="317"/>
      <c r="E5358" s="318"/>
      <c r="F5358" s="247"/>
      <c r="G5358" s="247"/>
      <c r="H5358" s="248"/>
      <c r="I5358" s="248"/>
      <c r="J5358" s="247"/>
      <c r="K5358" s="249"/>
    </row>
    <row r="5359" spans="1:11" s="90" customFormat="1" ht="12.75" customHeight="1" x14ac:dyDescent="0.2">
      <c r="A5359" s="247"/>
      <c r="B5359" s="316"/>
      <c r="C5359" s="247"/>
      <c r="D5359" s="317"/>
      <c r="E5359" s="318"/>
      <c r="F5359" s="247"/>
      <c r="G5359" s="247"/>
      <c r="H5359" s="248"/>
      <c r="I5359" s="248"/>
      <c r="J5359" s="247"/>
      <c r="K5359" s="249"/>
    </row>
    <row r="5360" spans="1:11" s="90" customFormat="1" ht="12.75" customHeight="1" x14ac:dyDescent="0.2">
      <c r="A5360" s="247"/>
      <c r="B5360" s="316"/>
      <c r="C5360" s="247"/>
      <c r="D5360" s="317"/>
      <c r="E5360" s="318"/>
      <c r="F5360" s="247"/>
      <c r="G5360" s="247"/>
      <c r="H5360" s="248"/>
      <c r="I5360" s="248"/>
      <c r="J5360" s="247"/>
      <c r="K5360" s="249"/>
    </row>
    <row r="5361" spans="1:11" s="90" customFormat="1" ht="12.75" customHeight="1" x14ac:dyDescent="0.2">
      <c r="A5361" s="247"/>
      <c r="B5361" s="316"/>
      <c r="C5361" s="247"/>
      <c r="D5361" s="317"/>
      <c r="E5361" s="318"/>
      <c r="F5361" s="247"/>
      <c r="G5361" s="247"/>
      <c r="H5361" s="248"/>
      <c r="I5361" s="248"/>
      <c r="J5361" s="247"/>
      <c r="K5361" s="249"/>
    </row>
    <row r="5362" spans="1:11" s="90" customFormat="1" ht="12.75" customHeight="1" x14ac:dyDescent="0.2">
      <c r="A5362" s="247"/>
      <c r="B5362" s="316"/>
      <c r="C5362" s="247"/>
      <c r="D5362" s="317"/>
      <c r="E5362" s="318"/>
      <c r="F5362" s="247"/>
      <c r="G5362" s="247"/>
      <c r="H5362" s="248"/>
      <c r="I5362" s="248"/>
      <c r="J5362" s="247"/>
      <c r="K5362" s="249"/>
    </row>
    <row r="5363" spans="1:11" s="90" customFormat="1" ht="12.75" customHeight="1" x14ac:dyDescent="0.2">
      <c r="A5363" s="247"/>
      <c r="B5363" s="316"/>
      <c r="C5363" s="247"/>
      <c r="D5363" s="317"/>
      <c r="E5363" s="318"/>
      <c r="F5363" s="247"/>
      <c r="G5363" s="247"/>
      <c r="H5363" s="248"/>
      <c r="I5363" s="248"/>
      <c r="J5363" s="247"/>
      <c r="K5363" s="249"/>
    </row>
    <row r="5364" spans="1:11" s="90" customFormat="1" ht="12.75" customHeight="1" x14ac:dyDescent="0.2">
      <c r="A5364" s="247"/>
      <c r="B5364" s="316"/>
      <c r="C5364" s="247"/>
      <c r="D5364" s="317"/>
      <c r="E5364" s="318"/>
      <c r="F5364" s="247"/>
      <c r="G5364" s="247"/>
      <c r="H5364" s="248"/>
      <c r="I5364" s="248"/>
      <c r="J5364" s="247"/>
      <c r="K5364" s="249"/>
    </row>
    <row r="5365" spans="1:11" s="90" customFormat="1" ht="12.75" customHeight="1" x14ac:dyDescent="0.2">
      <c r="A5365" s="247"/>
      <c r="B5365" s="316"/>
      <c r="C5365" s="247"/>
      <c r="D5365" s="317"/>
      <c r="E5365" s="318"/>
      <c r="F5365" s="247"/>
      <c r="G5365" s="247"/>
      <c r="H5365" s="248"/>
      <c r="I5365" s="248"/>
      <c r="J5365" s="247"/>
      <c r="K5365" s="249"/>
    </row>
    <row r="5366" spans="1:11" s="90" customFormat="1" ht="12.75" customHeight="1" x14ac:dyDescent="0.2">
      <c r="A5366" s="247"/>
      <c r="B5366" s="316"/>
      <c r="C5366" s="247"/>
      <c r="D5366" s="317"/>
      <c r="E5366" s="318"/>
      <c r="F5366" s="247"/>
      <c r="G5366" s="247"/>
      <c r="H5366" s="248"/>
      <c r="I5366" s="248"/>
      <c r="J5366" s="247"/>
      <c r="K5366" s="249"/>
    </row>
    <row r="5367" spans="1:11" s="90" customFormat="1" ht="12.75" customHeight="1" x14ac:dyDescent="0.2">
      <c r="A5367" s="247"/>
      <c r="B5367" s="316"/>
      <c r="C5367" s="247"/>
      <c r="D5367" s="317"/>
      <c r="E5367" s="318"/>
      <c r="F5367" s="247"/>
      <c r="G5367" s="247"/>
      <c r="H5367" s="248"/>
      <c r="I5367" s="248"/>
      <c r="J5367" s="247"/>
      <c r="K5367" s="249"/>
    </row>
    <row r="5368" spans="1:11" s="90" customFormat="1" ht="12.75" customHeight="1" x14ac:dyDescent="0.2">
      <c r="A5368" s="247"/>
      <c r="B5368" s="316"/>
      <c r="C5368" s="247"/>
      <c r="D5368" s="317"/>
      <c r="E5368" s="318"/>
      <c r="F5368" s="247"/>
      <c r="G5368" s="247"/>
      <c r="H5368" s="248"/>
      <c r="I5368" s="248"/>
      <c r="J5368" s="247"/>
      <c r="K5368" s="249"/>
    </row>
    <row r="5369" spans="1:11" s="90" customFormat="1" ht="12.75" customHeight="1" x14ac:dyDescent="0.2">
      <c r="A5369" s="247"/>
      <c r="B5369" s="316"/>
      <c r="C5369" s="247"/>
      <c r="D5369" s="317"/>
      <c r="E5369" s="318"/>
      <c r="F5369" s="247"/>
      <c r="G5369" s="247"/>
      <c r="H5369" s="248"/>
      <c r="I5369" s="248"/>
      <c r="J5369" s="247"/>
      <c r="K5369" s="249"/>
    </row>
    <row r="5370" spans="1:11" s="90" customFormat="1" ht="12.75" customHeight="1" x14ac:dyDescent="0.2">
      <c r="A5370" s="247"/>
      <c r="B5370" s="316"/>
      <c r="C5370" s="247"/>
      <c r="D5370" s="317"/>
      <c r="E5370" s="318"/>
      <c r="F5370" s="247"/>
      <c r="G5370" s="247"/>
      <c r="H5370" s="248"/>
      <c r="I5370" s="248"/>
      <c r="J5370" s="247"/>
      <c r="K5370" s="249"/>
    </row>
    <row r="5371" spans="1:11" s="90" customFormat="1" ht="12.75" customHeight="1" x14ac:dyDescent="0.2">
      <c r="A5371" s="247"/>
      <c r="B5371" s="316"/>
      <c r="C5371" s="247"/>
      <c r="D5371" s="317"/>
      <c r="E5371" s="318"/>
      <c r="F5371" s="247"/>
      <c r="G5371" s="247"/>
      <c r="H5371" s="248"/>
      <c r="I5371" s="248"/>
      <c r="J5371" s="247"/>
      <c r="K5371" s="249"/>
    </row>
    <row r="5372" spans="1:11" s="90" customFormat="1" ht="12.75" customHeight="1" x14ac:dyDescent="0.2">
      <c r="A5372" s="247"/>
      <c r="B5372" s="316"/>
      <c r="C5372" s="247"/>
      <c r="D5372" s="317"/>
      <c r="E5372" s="318"/>
      <c r="F5372" s="247"/>
      <c r="G5372" s="247"/>
      <c r="H5372" s="248"/>
      <c r="I5372" s="248"/>
      <c r="J5372" s="247"/>
      <c r="K5372" s="249"/>
    </row>
    <row r="5373" spans="1:11" s="90" customFormat="1" ht="12.75" customHeight="1" x14ac:dyDescent="0.2">
      <c r="A5373" s="247"/>
      <c r="B5373" s="316"/>
      <c r="C5373" s="247"/>
      <c r="D5373" s="317"/>
      <c r="E5373" s="318"/>
      <c r="F5373" s="247"/>
      <c r="G5373" s="247"/>
      <c r="H5373" s="248"/>
      <c r="I5373" s="248"/>
      <c r="J5373" s="247"/>
      <c r="K5373" s="249"/>
    </row>
    <row r="5374" spans="1:11" s="90" customFormat="1" ht="12.75" customHeight="1" x14ac:dyDescent="0.2">
      <c r="A5374" s="247"/>
      <c r="B5374" s="316"/>
      <c r="C5374" s="247"/>
      <c r="D5374" s="317"/>
      <c r="E5374" s="318"/>
      <c r="F5374" s="247"/>
      <c r="G5374" s="247"/>
      <c r="H5374" s="248"/>
      <c r="I5374" s="248"/>
      <c r="J5374" s="247"/>
      <c r="K5374" s="249"/>
    </row>
    <row r="5375" spans="1:11" s="90" customFormat="1" ht="12.75" customHeight="1" x14ac:dyDescent="0.2">
      <c r="A5375" s="247"/>
      <c r="B5375" s="316"/>
      <c r="C5375" s="247"/>
      <c r="D5375" s="317"/>
      <c r="E5375" s="318"/>
      <c r="F5375" s="247"/>
      <c r="G5375" s="247"/>
      <c r="H5375" s="248"/>
      <c r="I5375" s="248"/>
      <c r="J5375" s="247"/>
      <c r="K5375" s="249"/>
    </row>
    <row r="5376" spans="1:11" s="90" customFormat="1" ht="12.75" customHeight="1" x14ac:dyDescent="0.2">
      <c r="A5376" s="247"/>
      <c r="B5376" s="316"/>
      <c r="C5376" s="247"/>
      <c r="D5376" s="317"/>
      <c r="E5376" s="318"/>
      <c r="F5376" s="247"/>
      <c r="G5376" s="247"/>
      <c r="H5376" s="248"/>
      <c r="I5376" s="248"/>
      <c r="J5376" s="247"/>
      <c r="K5376" s="249"/>
    </row>
    <row r="5377" spans="1:11" s="90" customFormat="1" ht="12.75" customHeight="1" x14ac:dyDescent="0.2">
      <c r="A5377" s="247"/>
      <c r="B5377" s="316"/>
      <c r="C5377" s="247"/>
      <c r="D5377" s="317"/>
      <c r="E5377" s="318"/>
      <c r="F5377" s="247"/>
      <c r="G5377" s="247"/>
      <c r="H5377" s="248"/>
      <c r="I5377" s="248"/>
      <c r="J5377" s="247"/>
      <c r="K5377" s="249"/>
    </row>
    <row r="5378" spans="1:11" s="90" customFormat="1" ht="12.75" customHeight="1" x14ac:dyDescent="0.2">
      <c r="A5378" s="247"/>
      <c r="B5378" s="316"/>
      <c r="C5378" s="247"/>
      <c r="D5378" s="317"/>
      <c r="E5378" s="318"/>
      <c r="F5378" s="247"/>
      <c r="G5378" s="247"/>
      <c r="H5378" s="248"/>
      <c r="I5378" s="248"/>
      <c r="J5378" s="247"/>
      <c r="K5378" s="249"/>
    </row>
    <row r="5379" spans="1:11" s="90" customFormat="1" ht="12.75" customHeight="1" x14ac:dyDescent="0.2">
      <c r="A5379" s="247"/>
      <c r="B5379" s="316"/>
      <c r="C5379" s="247"/>
      <c r="D5379" s="317"/>
      <c r="E5379" s="318"/>
      <c r="F5379" s="247"/>
      <c r="G5379" s="247"/>
      <c r="H5379" s="248"/>
      <c r="I5379" s="248"/>
      <c r="J5379" s="247"/>
      <c r="K5379" s="249"/>
    </row>
    <row r="5380" spans="1:11" s="90" customFormat="1" ht="12.75" customHeight="1" x14ac:dyDescent="0.2">
      <c r="A5380" s="247"/>
      <c r="B5380" s="316"/>
      <c r="C5380" s="247"/>
      <c r="D5380" s="317"/>
      <c r="E5380" s="318"/>
      <c r="F5380" s="247"/>
      <c r="G5380" s="247"/>
      <c r="H5380" s="248"/>
      <c r="I5380" s="248"/>
      <c r="J5380" s="247"/>
      <c r="K5380" s="249"/>
    </row>
    <row r="5381" spans="1:11" s="90" customFormat="1" ht="12.75" customHeight="1" x14ac:dyDescent="0.2">
      <c r="A5381" s="247"/>
      <c r="B5381" s="316"/>
      <c r="C5381" s="247"/>
      <c r="D5381" s="317"/>
      <c r="E5381" s="318"/>
      <c r="F5381" s="247"/>
      <c r="G5381" s="247"/>
      <c r="H5381" s="248"/>
      <c r="I5381" s="248"/>
      <c r="J5381" s="247"/>
      <c r="K5381" s="249"/>
    </row>
    <row r="5382" spans="1:11" s="90" customFormat="1" ht="12.75" customHeight="1" x14ac:dyDescent="0.2">
      <c r="A5382" s="247"/>
      <c r="B5382" s="316"/>
      <c r="C5382" s="247"/>
      <c r="D5382" s="317"/>
      <c r="E5382" s="318"/>
      <c r="F5382" s="247"/>
      <c r="G5382" s="247"/>
      <c r="H5382" s="248"/>
      <c r="I5382" s="248"/>
      <c r="J5382" s="247"/>
      <c r="K5382" s="249"/>
    </row>
    <row r="5383" spans="1:11" s="90" customFormat="1" ht="12.75" customHeight="1" x14ac:dyDescent="0.2">
      <c r="A5383" s="247"/>
      <c r="B5383" s="316"/>
      <c r="C5383" s="247"/>
      <c r="D5383" s="317"/>
      <c r="E5383" s="318"/>
      <c r="F5383" s="247"/>
      <c r="G5383" s="247"/>
      <c r="H5383" s="248"/>
      <c r="I5383" s="248"/>
      <c r="J5383" s="247"/>
      <c r="K5383" s="249"/>
    </row>
    <row r="5384" spans="1:11" s="90" customFormat="1" ht="12.75" customHeight="1" x14ac:dyDescent="0.2">
      <c r="A5384" s="247"/>
      <c r="B5384" s="316"/>
      <c r="C5384" s="247"/>
      <c r="D5384" s="317"/>
      <c r="E5384" s="318"/>
      <c r="F5384" s="247"/>
      <c r="G5384" s="247"/>
      <c r="H5384" s="248"/>
      <c r="I5384" s="248"/>
      <c r="J5384" s="247"/>
      <c r="K5384" s="249"/>
    </row>
    <row r="5385" spans="1:11" s="90" customFormat="1" ht="12.75" customHeight="1" x14ac:dyDescent="0.2">
      <c r="A5385" s="247"/>
      <c r="B5385" s="316"/>
      <c r="C5385" s="247"/>
      <c r="D5385" s="317"/>
      <c r="E5385" s="318"/>
      <c r="F5385" s="247"/>
      <c r="G5385" s="247"/>
      <c r="H5385" s="248"/>
      <c r="I5385" s="248"/>
      <c r="J5385" s="247"/>
      <c r="K5385" s="249"/>
    </row>
    <row r="5386" spans="1:11" s="90" customFormat="1" ht="12.75" customHeight="1" x14ac:dyDescent="0.2">
      <c r="A5386" s="247"/>
      <c r="B5386" s="316"/>
      <c r="C5386" s="247"/>
      <c r="D5386" s="317"/>
      <c r="E5386" s="318"/>
      <c r="F5386" s="247"/>
      <c r="G5386" s="247"/>
      <c r="H5386" s="248"/>
      <c r="I5386" s="248"/>
      <c r="J5386" s="247"/>
      <c r="K5386" s="249"/>
    </row>
    <row r="5387" spans="1:11" s="90" customFormat="1" ht="12.75" customHeight="1" x14ac:dyDescent="0.2">
      <c r="A5387" s="247"/>
      <c r="B5387" s="316"/>
      <c r="C5387" s="247"/>
      <c r="D5387" s="317"/>
      <c r="E5387" s="318"/>
      <c r="F5387" s="247"/>
      <c r="G5387" s="247"/>
      <c r="H5387" s="248"/>
      <c r="I5387" s="248"/>
      <c r="J5387" s="247"/>
      <c r="K5387" s="249"/>
    </row>
    <row r="5388" spans="1:11" s="90" customFormat="1" ht="12.75" customHeight="1" x14ac:dyDescent="0.2">
      <c r="A5388" s="247"/>
      <c r="B5388" s="316"/>
      <c r="C5388" s="247"/>
      <c r="D5388" s="317"/>
      <c r="E5388" s="318"/>
      <c r="F5388" s="247"/>
      <c r="G5388" s="247"/>
      <c r="H5388" s="248"/>
      <c r="I5388" s="248"/>
      <c r="J5388" s="247"/>
      <c r="K5388" s="249"/>
    </row>
    <row r="5389" spans="1:11" s="90" customFormat="1" ht="12.75" customHeight="1" x14ac:dyDescent="0.2">
      <c r="A5389" s="247"/>
      <c r="B5389" s="316"/>
      <c r="C5389" s="247"/>
      <c r="D5389" s="317"/>
      <c r="E5389" s="318"/>
      <c r="F5389" s="247"/>
      <c r="G5389" s="247"/>
      <c r="H5389" s="248"/>
      <c r="I5389" s="248"/>
      <c r="J5389" s="247"/>
      <c r="K5389" s="249"/>
    </row>
    <row r="5390" spans="1:11" s="90" customFormat="1" ht="12.75" customHeight="1" x14ac:dyDescent="0.2">
      <c r="A5390" s="247"/>
      <c r="B5390" s="316"/>
      <c r="C5390" s="247"/>
      <c r="D5390" s="317"/>
      <c r="E5390" s="318"/>
      <c r="F5390" s="247"/>
      <c r="G5390" s="247"/>
      <c r="H5390" s="248"/>
      <c r="I5390" s="248"/>
      <c r="J5390" s="247"/>
      <c r="K5390" s="249"/>
    </row>
    <row r="5391" spans="1:11" s="90" customFormat="1" ht="12.75" customHeight="1" x14ac:dyDescent="0.2">
      <c r="A5391" s="247"/>
      <c r="B5391" s="316"/>
      <c r="C5391" s="247"/>
      <c r="D5391" s="317"/>
      <c r="E5391" s="318"/>
      <c r="F5391" s="247"/>
      <c r="G5391" s="247"/>
      <c r="H5391" s="248"/>
      <c r="I5391" s="248"/>
      <c r="J5391" s="247"/>
      <c r="K5391" s="249"/>
    </row>
    <row r="5392" spans="1:11" s="90" customFormat="1" ht="12.75" customHeight="1" x14ac:dyDescent="0.2">
      <c r="A5392" s="247"/>
      <c r="B5392" s="316"/>
      <c r="C5392" s="247"/>
      <c r="D5392" s="317"/>
      <c r="E5392" s="318"/>
      <c r="F5392" s="247"/>
      <c r="G5392" s="247"/>
      <c r="H5392" s="248"/>
      <c r="I5392" s="248"/>
      <c r="J5392" s="247"/>
      <c r="K5392" s="249"/>
    </row>
    <row r="5393" spans="1:11" s="90" customFormat="1" ht="12.75" customHeight="1" x14ac:dyDescent="0.2">
      <c r="A5393" s="247"/>
      <c r="B5393" s="316"/>
      <c r="C5393" s="247"/>
      <c r="D5393" s="317"/>
      <c r="E5393" s="318"/>
      <c r="F5393" s="247"/>
      <c r="G5393" s="247"/>
      <c r="H5393" s="248"/>
      <c r="I5393" s="248"/>
      <c r="J5393" s="247"/>
      <c r="K5393" s="249"/>
    </row>
    <row r="5394" spans="1:11" s="90" customFormat="1" ht="12.75" customHeight="1" x14ac:dyDescent="0.2">
      <c r="A5394" s="247"/>
      <c r="B5394" s="316"/>
      <c r="C5394" s="247"/>
      <c r="D5394" s="317"/>
      <c r="E5394" s="318"/>
      <c r="F5394" s="247"/>
      <c r="G5394" s="247"/>
      <c r="H5394" s="248"/>
      <c r="I5394" s="248"/>
      <c r="J5394" s="247"/>
      <c r="K5394" s="249"/>
    </row>
    <row r="5395" spans="1:11" s="90" customFormat="1" ht="12.75" customHeight="1" x14ac:dyDescent="0.2">
      <c r="A5395" s="247"/>
      <c r="B5395" s="316"/>
      <c r="C5395" s="247"/>
      <c r="D5395" s="317"/>
      <c r="E5395" s="318"/>
      <c r="F5395" s="247"/>
      <c r="G5395" s="247"/>
      <c r="H5395" s="248"/>
      <c r="I5395" s="248"/>
      <c r="J5395" s="247"/>
      <c r="K5395" s="249"/>
    </row>
    <row r="5396" spans="1:11" s="90" customFormat="1" ht="12.75" customHeight="1" x14ac:dyDescent="0.2">
      <c r="A5396" s="247"/>
      <c r="B5396" s="316"/>
      <c r="C5396" s="247"/>
      <c r="D5396" s="317"/>
      <c r="E5396" s="318"/>
      <c r="F5396" s="247"/>
      <c r="G5396" s="247"/>
      <c r="H5396" s="248"/>
      <c r="I5396" s="248"/>
      <c r="J5396" s="247"/>
      <c r="K5396" s="249"/>
    </row>
    <row r="5397" spans="1:11" s="90" customFormat="1" ht="12.75" customHeight="1" x14ac:dyDescent="0.2">
      <c r="A5397" s="247"/>
      <c r="B5397" s="316"/>
      <c r="C5397" s="247"/>
      <c r="D5397" s="317"/>
      <c r="E5397" s="318"/>
      <c r="F5397" s="247"/>
      <c r="G5397" s="247"/>
      <c r="H5397" s="248"/>
      <c r="I5397" s="248"/>
      <c r="J5397" s="247"/>
      <c r="K5397" s="249"/>
    </row>
    <row r="5398" spans="1:11" s="90" customFormat="1" ht="12.75" customHeight="1" x14ac:dyDescent="0.2">
      <c r="A5398" s="247"/>
      <c r="B5398" s="316"/>
      <c r="C5398" s="247"/>
      <c r="D5398" s="317"/>
      <c r="E5398" s="318"/>
      <c r="F5398" s="247"/>
      <c r="G5398" s="247"/>
      <c r="H5398" s="248"/>
      <c r="I5398" s="248"/>
      <c r="J5398" s="247"/>
      <c r="K5398" s="249"/>
    </row>
    <row r="5399" spans="1:11" s="90" customFormat="1" ht="12.75" customHeight="1" x14ac:dyDescent="0.2">
      <c r="A5399" s="247"/>
      <c r="B5399" s="316"/>
      <c r="C5399" s="247"/>
      <c r="D5399" s="317"/>
      <c r="E5399" s="318"/>
      <c r="F5399" s="247"/>
      <c r="G5399" s="247"/>
      <c r="H5399" s="248"/>
      <c r="I5399" s="248"/>
      <c r="J5399" s="247"/>
      <c r="K5399" s="249"/>
    </row>
    <row r="5400" spans="1:11" s="90" customFormat="1" ht="12.75" customHeight="1" x14ac:dyDescent="0.2">
      <c r="A5400" s="247"/>
      <c r="B5400" s="316"/>
      <c r="C5400" s="247"/>
      <c r="D5400" s="317"/>
      <c r="E5400" s="318"/>
      <c r="F5400" s="247"/>
      <c r="G5400" s="247"/>
      <c r="H5400" s="248"/>
      <c r="I5400" s="248"/>
      <c r="J5400" s="247"/>
      <c r="K5400" s="249"/>
    </row>
    <row r="5401" spans="1:11" s="90" customFormat="1" ht="12.75" customHeight="1" x14ac:dyDescent="0.2">
      <c r="A5401" s="247"/>
      <c r="B5401" s="316"/>
      <c r="C5401" s="247"/>
      <c r="D5401" s="317"/>
      <c r="E5401" s="318"/>
      <c r="F5401" s="247"/>
      <c r="G5401" s="247"/>
      <c r="H5401" s="248"/>
      <c r="I5401" s="248"/>
      <c r="J5401" s="247"/>
      <c r="K5401" s="249"/>
    </row>
    <row r="5402" spans="1:11" s="90" customFormat="1" ht="12.75" customHeight="1" x14ac:dyDescent="0.2">
      <c r="A5402" s="247"/>
      <c r="B5402" s="316"/>
      <c r="C5402" s="247"/>
      <c r="D5402" s="317"/>
      <c r="E5402" s="318"/>
      <c r="F5402" s="247"/>
      <c r="G5402" s="247"/>
      <c r="H5402" s="248"/>
      <c r="I5402" s="248"/>
      <c r="J5402" s="247"/>
      <c r="K5402" s="249"/>
    </row>
    <row r="5403" spans="1:11" s="90" customFormat="1" ht="12.75" customHeight="1" x14ac:dyDescent="0.2">
      <c r="A5403" s="247"/>
      <c r="B5403" s="316"/>
      <c r="C5403" s="247"/>
      <c r="D5403" s="317"/>
      <c r="E5403" s="318"/>
      <c r="F5403" s="247"/>
      <c r="G5403" s="247"/>
      <c r="H5403" s="248"/>
      <c r="I5403" s="248"/>
      <c r="J5403" s="247"/>
      <c r="K5403" s="249"/>
    </row>
    <row r="5404" spans="1:11" s="90" customFormat="1" ht="12.75" customHeight="1" x14ac:dyDescent="0.2">
      <c r="A5404" s="247"/>
      <c r="B5404" s="316"/>
      <c r="C5404" s="247"/>
      <c r="D5404" s="317"/>
      <c r="E5404" s="318"/>
      <c r="F5404" s="247"/>
      <c r="G5404" s="247"/>
      <c r="H5404" s="248"/>
      <c r="I5404" s="248"/>
      <c r="J5404" s="247"/>
      <c r="K5404" s="249"/>
    </row>
    <row r="5405" spans="1:11" s="90" customFormat="1" ht="12.75" customHeight="1" x14ac:dyDescent="0.2">
      <c r="A5405" s="247"/>
      <c r="B5405" s="316"/>
      <c r="C5405" s="247"/>
      <c r="D5405" s="317"/>
      <c r="E5405" s="318"/>
      <c r="F5405" s="247"/>
      <c r="G5405" s="247"/>
      <c r="H5405" s="248"/>
      <c r="I5405" s="248"/>
      <c r="J5405" s="247"/>
      <c r="K5405" s="249"/>
    </row>
    <row r="5406" spans="1:11" s="90" customFormat="1" ht="12.75" customHeight="1" x14ac:dyDescent="0.2">
      <c r="A5406" s="247"/>
      <c r="B5406" s="316"/>
      <c r="C5406" s="247"/>
      <c r="D5406" s="317"/>
      <c r="E5406" s="318"/>
      <c r="F5406" s="247"/>
      <c r="G5406" s="247"/>
      <c r="H5406" s="248"/>
      <c r="I5406" s="248"/>
      <c r="J5406" s="247"/>
      <c r="K5406" s="249"/>
    </row>
    <row r="5407" spans="1:11" s="90" customFormat="1" ht="12.75" customHeight="1" x14ac:dyDescent="0.2">
      <c r="A5407" s="247"/>
      <c r="B5407" s="316"/>
      <c r="C5407" s="247"/>
      <c r="D5407" s="317"/>
      <c r="E5407" s="318"/>
      <c r="F5407" s="247"/>
      <c r="G5407" s="247"/>
      <c r="H5407" s="248"/>
      <c r="I5407" s="248"/>
      <c r="J5407" s="247"/>
      <c r="K5407" s="249"/>
    </row>
    <row r="5408" spans="1:11" s="90" customFormat="1" ht="12.75" customHeight="1" x14ac:dyDescent="0.2">
      <c r="A5408" s="247"/>
      <c r="B5408" s="316"/>
      <c r="C5408" s="247"/>
      <c r="D5408" s="317"/>
      <c r="E5408" s="318"/>
      <c r="F5408" s="247"/>
      <c r="G5408" s="247"/>
      <c r="H5408" s="248"/>
      <c r="I5408" s="248"/>
      <c r="J5408" s="247"/>
      <c r="K5408" s="249"/>
    </row>
    <row r="5409" spans="1:11" s="90" customFormat="1" ht="12.75" customHeight="1" x14ac:dyDescent="0.2">
      <c r="A5409" s="247"/>
      <c r="B5409" s="316"/>
      <c r="C5409" s="247"/>
      <c r="D5409" s="317"/>
      <c r="E5409" s="318"/>
      <c r="F5409" s="247"/>
      <c r="G5409" s="247"/>
      <c r="H5409" s="248"/>
      <c r="I5409" s="248"/>
      <c r="J5409" s="247"/>
      <c r="K5409" s="249"/>
    </row>
    <row r="5410" spans="1:11" s="90" customFormat="1" ht="12.75" customHeight="1" x14ac:dyDescent="0.2">
      <c r="A5410" s="247"/>
      <c r="B5410" s="316"/>
      <c r="C5410" s="247"/>
      <c r="D5410" s="317"/>
      <c r="E5410" s="318"/>
      <c r="F5410" s="247"/>
      <c r="G5410" s="247"/>
      <c r="H5410" s="248"/>
      <c r="I5410" s="248"/>
      <c r="J5410" s="247"/>
      <c r="K5410" s="249"/>
    </row>
    <row r="5411" spans="1:11" s="90" customFormat="1" ht="12.75" customHeight="1" x14ac:dyDescent="0.2">
      <c r="A5411" s="247"/>
      <c r="B5411" s="316"/>
      <c r="C5411" s="247"/>
      <c r="D5411" s="317"/>
      <c r="E5411" s="318"/>
      <c r="F5411" s="247"/>
      <c r="G5411" s="247"/>
      <c r="H5411" s="248"/>
      <c r="I5411" s="248"/>
      <c r="J5411" s="247"/>
      <c r="K5411" s="249"/>
    </row>
    <row r="5412" spans="1:11" s="90" customFormat="1" ht="12.75" customHeight="1" x14ac:dyDescent="0.2">
      <c r="A5412" s="247"/>
      <c r="B5412" s="316"/>
      <c r="C5412" s="247"/>
      <c r="D5412" s="317"/>
      <c r="E5412" s="318"/>
      <c r="F5412" s="247"/>
      <c r="G5412" s="247"/>
      <c r="H5412" s="248"/>
      <c r="I5412" s="248"/>
      <c r="J5412" s="247"/>
      <c r="K5412" s="249"/>
    </row>
    <row r="5413" spans="1:11" s="90" customFormat="1" ht="12.75" customHeight="1" x14ac:dyDescent="0.2">
      <c r="A5413" s="247"/>
      <c r="B5413" s="316"/>
      <c r="C5413" s="247"/>
      <c r="D5413" s="317"/>
      <c r="E5413" s="318"/>
      <c r="F5413" s="247"/>
      <c r="G5413" s="247"/>
      <c r="H5413" s="248"/>
      <c r="I5413" s="248"/>
      <c r="J5413" s="247"/>
      <c r="K5413" s="249"/>
    </row>
    <row r="5414" spans="1:11" s="90" customFormat="1" ht="12.75" customHeight="1" x14ac:dyDescent="0.2">
      <c r="A5414" s="247"/>
      <c r="B5414" s="316"/>
      <c r="C5414" s="247"/>
      <c r="D5414" s="317"/>
      <c r="E5414" s="318"/>
      <c r="F5414" s="247"/>
      <c r="G5414" s="247"/>
      <c r="H5414" s="248"/>
      <c r="I5414" s="248"/>
      <c r="J5414" s="247"/>
      <c r="K5414" s="249"/>
    </row>
    <row r="5415" spans="1:11" s="90" customFormat="1" ht="12.75" customHeight="1" x14ac:dyDescent="0.2">
      <c r="A5415" s="247"/>
      <c r="B5415" s="316"/>
      <c r="C5415" s="247"/>
      <c r="D5415" s="317"/>
      <c r="E5415" s="318"/>
      <c r="F5415" s="247"/>
      <c r="G5415" s="247"/>
      <c r="H5415" s="248"/>
      <c r="I5415" s="248"/>
      <c r="J5415" s="247"/>
      <c r="K5415" s="249"/>
    </row>
    <row r="5416" spans="1:11" s="90" customFormat="1" ht="12.75" customHeight="1" x14ac:dyDescent="0.2">
      <c r="A5416" s="247"/>
      <c r="B5416" s="316"/>
      <c r="C5416" s="247"/>
      <c r="D5416" s="317"/>
      <c r="E5416" s="318"/>
      <c r="F5416" s="247"/>
      <c r="G5416" s="247"/>
      <c r="H5416" s="248"/>
      <c r="I5416" s="248"/>
      <c r="J5416" s="247"/>
      <c r="K5416" s="249"/>
    </row>
    <row r="5417" spans="1:11" s="90" customFormat="1" ht="12.75" customHeight="1" x14ac:dyDescent="0.2">
      <c r="A5417" s="247"/>
      <c r="B5417" s="316"/>
      <c r="C5417" s="247"/>
      <c r="D5417" s="317"/>
      <c r="E5417" s="318"/>
      <c r="F5417" s="247"/>
      <c r="G5417" s="247"/>
      <c r="H5417" s="248"/>
      <c r="I5417" s="248"/>
      <c r="J5417" s="247"/>
      <c r="K5417" s="249"/>
    </row>
    <row r="5418" spans="1:11" s="90" customFormat="1" ht="12.75" customHeight="1" x14ac:dyDescent="0.2">
      <c r="A5418" s="247"/>
      <c r="B5418" s="316"/>
      <c r="C5418" s="247"/>
      <c r="D5418" s="317"/>
      <c r="E5418" s="318"/>
      <c r="F5418" s="247"/>
      <c r="G5418" s="247"/>
      <c r="H5418" s="248"/>
      <c r="I5418" s="248"/>
      <c r="J5418" s="247"/>
      <c r="K5418" s="249"/>
    </row>
    <row r="5419" spans="1:11" s="90" customFormat="1" ht="12.75" customHeight="1" x14ac:dyDescent="0.2">
      <c r="A5419" s="247"/>
      <c r="B5419" s="316"/>
      <c r="C5419" s="247"/>
      <c r="D5419" s="317"/>
      <c r="E5419" s="318"/>
      <c r="F5419" s="247"/>
      <c r="G5419" s="247"/>
      <c r="H5419" s="248"/>
      <c r="I5419" s="248"/>
      <c r="J5419" s="247"/>
      <c r="K5419" s="249"/>
    </row>
    <row r="5420" spans="1:11" s="90" customFormat="1" ht="12.75" customHeight="1" x14ac:dyDescent="0.2">
      <c r="A5420" s="247"/>
      <c r="B5420" s="316"/>
      <c r="C5420" s="247"/>
      <c r="D5420" s="317"/>
      <c r="E5420" s="318"/>
      <c r="F5420" s="247"/>
      <c r="G5420" s="247"/>
      <c r="H5420" s="248"/>
      <c r="I5420" s="248"/>
      <c r="J5420" s="247"/>
      <c r="K5420" s="249"/>
    </row>
    <row r="5421" spans="1:11" s="90" customFormat="1" ht="12.75" customHeight="1" x14ac:dyDescent="0.2">
      <c r="A5421" s="247"/>
      <c r="B5421" s="316"/>
      <c r="C5421" s="247"/>
      <c r="D5421" s="317"/>
      <c r="E5421" s="318"/>
      <c r="F5421" s="247"/>
      <c r="G5421" s="247"/>
      <c r="H5421" s="248"/>
      <c r="I5421" s="248"/>
      <c r="J5421" s="247"/>
      <c r="K5421" s="249"/>
    </row>
    <row r="5422" spans="1:11" s="90" customFormat="1" ht="12.75" customHeight="1" x14ac:dyDescent="0.2">
      <c r="A5422" s="247"/>
      <c r="B5422" s="316"/>
      <c r="C5422" s="247"/>
      <c r="D5422" s="317"/>
      <c r="E5422" s="318"/>
      <c r="F5422" s="247"/>
      <c r="G5422" s="247"/>
      <c r="H5422" s="248"/>
      <c r="I5422" s="248"/>
      <c r="J5422" s="247"/>
      <c r="K5422" s="249"/>
    </row>
    <row r="5423" spans="1:11" s="90" customFormat="1" ht="12.75" customHeight="1" x14ac:dyDescent="0.2">
      <c r="A5423" s="247"/>
      <c r="B5423" s="316"/>
      <c r="C5423" s="247"/>
      <c r="D5423" s="317"/>
      <c r="E5423" s="318"/>
      <c r="F5423" s="247"/>
      <c r="G5423" s="247"/>
      <c r="H5423" s="248"/>
      <c r="I5423" s="248"/>
      <c r="J5423" s="247"/>
      <c r="K5423" s="249"/>
    </row>
    <row r="5424" spans="1:11" s="90" customFormat="1" ht="12.75" customHeight="1" x14ac:dyDescent="0.2">
      <c r="A5424" s="247"/>
      <c r="B5424" s="316"/>
      <c r="C5424" s="247"/>
      <c r="D5424" s="317"/>
      <c r="E5424" s="318"/>
      <c r="F5424" s="247"/>
      <c r="G5424" s="247"/>
      <c r="H5424" s="248"/>
      <c r="I5424" s="248"/>
      <c r="J5424" s="247"/>
      <c r="K5424" s="249"/>
    </row>
    <row r="5425" spans="1:11" s="90" customFormat="1" ht="12.75" customHeight="1" x14ac:dyDescent="0.2">
      <c r="A5425" s="247"/>
      <c r="B5425" s="316"/>
      <c r="C5425" s="247"/>
      <c r="D5425" s="317"/>
      <c r="E5425" s="318"/>
      <c r="F5425" s="247"/>
      <c r="G5425" s="247"/>
      <c r="H5425" s="248"/>
      <c r="I5425" s="248"/>
      <c r="J5425" s="247"/>
      <c r="K5425" s="249"/>
    </row>
    <row r="5426" spans="1:11" s="90" customFormat="1" ht="12.75" customHeight="1" x14ac:dyDescent="0.2">
      <c r="A5426" s="247"/>
      <c r="B5426" s="316"/>
      <c r="C5426" s="247"/>
      <c r="D5426" s="317"/>
      <c r="E5426" s="318"/>
      <c r="F5426" s="247"/>
      <c r="G5426" s="247"/>
      <c r="H5426" s="248"/>
      <c r="I5426" s="248"/>
      <c r="J5426" s="247"/>
      <c r="K5426" s="249"/>
    </row>
    <row r="5427" spans="1:11" s="90" customFormat="1" ht="12.75" customHeight="1" x14ac:dyDescent="0.2">
      <c r="A5427" s="247"/>
      <c r="B5427" s="316"/>
      <c r="C5427" s="247"/>
      <c r="D5427" s="317"/>
      <c r="E5427" s="318"/>
      <c r="F5427" s="247"/>
      <c r="G5427" s="247"/>
      <c r="H5427" s="248"/>
      <c r="I5427" s="248"/>
      <c r="J5427" s="247"/>
      <c r="K5427" s="249"/>
    </row>
    <row r="5428" spans="1:11" s="90" customFormat="1" ht="12.75" customHeight="1" x14ac:dyDescent="0.2">
      <c r="A5428" s="247"/>
      <c r="B5428" s="316"/>
      <c r="C5428" s="247"/>
      <c r="D5428" s="317"/>
      <c r="E5428" s="318"/>
      <c r="F5428" s="247"/>
      <c r="G5428" s="247"/>
      <c r="H5428" s="248"/>
      <c r="I5428" s="248"/>
      <c r="J5428" s="247"/>
      <c r="K5428" s="249"/>
    </row>
    <row r="5429" spans="1:11" s="90" customFormat="1" ht="12.75" customHeight="1" x14ac:dyDescent="0.2">
      <c r="A5429" s="247"/>
      <c r="B5429" s="316"/>
      <c r="C5429" s="247"/>
      <c r="D5429" s="317"/>
      <c r="E5429" s="318"/>
      <c r="F5429" s="247"/>
      <c r="G5429" s="247"/>
      <c r="H5429" s="248"/>
      <c r="I5429" s="248"/>
      <c r="J5429" s="247"/>
      <c r="K5429" s="249"/>
    </row>
    <row r="5430" spans="1:11" s="90" customFormat="1" ht="12.75" customHeight="1" x14ac:dyDescent="0.2">
      <c r="A5430" s="247"/>
      <c r="B5430" s="316"/>
      <c r="C5430" s="247"/>
      <c r="D5430" s="317"/>
      <c r="E5430" s="318"/>
      <c r="F5430" s="247"/>
      <c r="G5430" s="247"/>
      <c r="H5430" s="248"/>
      <c r="I5430" s="248"/>
      <c r="J5430" s="247"/>
      <c r="K5430" s="249"/>
    </row>
    <row r="5431" spans="1:11" s="90" customFormat="1" ht="12.75" customHeight="1" x14ac:dyDescent="0.2">
      <c r="A5431" s="247"/>
      <c r="B5431" s="316"/>
      <c r="C5431" s="247"/>
      <c r="D5431" s="317"/>
      <c r="E5431" s="318"/>
      <c r="F5431" s="247"/>
      <c r="G5431" s="247"/>
      <c r="H5431" s="248"/>
      <c r="I5431" s="248"/>
      <c r="J5431" s="247"/>
      <c r="K5431" s="249"/>
    </row>
    <row r="5432" spans="1:11" s="90" customFormat="1" ht="12.75" customHeight="1" x14ac:dyDescent="0.2">
      <c r="A5432" s="247"/>
      <c r="B5432" s="316"/>
      <c r="C5432" s="247"/>
      <c r="D5432" s="317"/>
      <c r="E5432" s="318"/>
      <c r="F5432" s="247"/>
      <c r="G5432" s="247"/>
      <c r="H5432" s="248"/>
      <c r="I5432" s="248"/>
      <c r="J5432" s="247"/>
      <c r="K5432" s="249"/>
    </row>
    <row r="5433" spans="1:11" s="90" customFormat="1" ht="12.75" customHeight="1" x14ac:dyDescent="0.2">
      <c r="A5433" s="247"/>
      <c r="B5433" s="316"/>
      <c r="C5433" s="247"/>
      <c r="D5433" s="317"/>
      <c r="E5433" s="318"/>
      <c r="F5433" s="247"/>
      <c r="G5433" s="247"/>
      <c r="H5433" s="248"/>
      <c r="I5433" s="248"/>
      <c r="J5433" s="247"/>
      <c r="K5433" s="249"/>
    </row>
    <row r="5434" spans="1:11" s="90" customFormat="1" ht="12.75" customHeight="1" x14ac:dyDescent="0.2">
      <c r="A5434" s="247"/>
      <c r="B5434" s="316"/>
      <c r="C5434" s="247"/>
      <c r="D5434" s="317"/>
      <c r="E5434" s="318"/>
      <c r="F5434" s="247"/>
      <c r="G5434" s="247"/>
      <c r="H5434" s="248"/>
      <c r="I5434" s="248"/>
      <c r="J5434" s="247"/>
      <c r="K5434" s="249"/>
    </row>
    <row r="5435" spans="1:11" s="90" customFormat="1" ht="12.75" customHeight="1" x14ac:dyDescent="0.2">
      <c r="A5435" s="247"/>
      <c r="B5435" s="316"/>
      <c r="C5435" s="247"/>
      <c r="D5435" s="317"/>
      <c r="E5435" s="318"/>
      <c r="F5435" s="247"/>
      <c r="G5435" s="247"/>
      <c r="H5435" s="248"/>
      <c r="I5435" s="248"/>
      <c r="J5435" s="247"/>
      <c r="K5435" s="249"/>
    </row>
    <row r="5436" spans="1:11" s="90" customFormat="1" ht="12.75" customHeight="1" x14ac:dyDescent="0.2">
      <c r="A5436" s="247"/>
      <c r="B5436" s="316"/>
      <c r="C5436" s="247"/>
      <c r="D5436" s="317"/>
      <c r="E5436" s="318"/>
      <c r="F5436" s="247"/>
      <c r="G5436" s="247"/>
      <c r="H5436" s="248"/>
      <c r="I5436" s="248"/>
      <c r="J5436" s="247"/>
      <c r="K5436" s="249"/>
    </row>
    <row r="5437" spans="1:11" s="90" customFormat="1" ht="12.75" customHeight="1" x14ac:dyDescent="0.2">
      <c r="A5437" s="247"/>
      <c r="B5437" s="316"/>
      <c r="C5437" s="247"/>
      <c r="D5437" s="317"/>
      <c r="E5437" s="318"/>
      <c r="F5437" s="247"/>
      <c r="G5437" s="247"/>
      <c r="H5437" s="248"/>
      <c r="I5437" s="248"/>
      <c r="J5437" s="247"/>
      <c r="K5437" s="249"/>
    </row>
    <row r="5438" spans="1:11" s="90" customFormat="1" ht="12.75" customHeight="1" x14ac:dyDescent="0.2">
      <c r="A5438" s="247"/>
      <c r="B5438" s="316"/>
      <c r="C5438" s="247"/>
      <c r="D5438" s="317"/>
      <c r="E5438" s="318"/>
      <c r="F5438" s="247"/>
      <c r="G5438" s="247"/>
      <c r="H5438" s="248"/>
      <c r="I5438" s="248"/>
      <c r="J5438" s="247"/>
      <c r="K5438" s="249"/>
    </row>
    <row r="5439" spans="1:11" s="90" customFormat="1" ht="12.75" customHeight="1" x14ac:dyDescent="0.2">
      <c r="A5439" s="247"/>
      <c r="B5439" s="316"/>
      <c r="C5439" s="247"/>
      <c r="D5439" s="317"/>
      <c r="E5439" s="318"/>
      <c r="F5439" s="247"/>
      <c r="G5439" s="247"/>
      <c r="H5439" s="248"/>
      <c r="I5439" s="248"/>
      <c r="J5439" s="247"/>
      <c r="K5439" s="249"/>
    </row>
    <row r="5440" spans="1:11" s="90" customFormat="1" ht="12.75" customHeight="1" x14ac:dyDescent="0.2">
      <c r="A5440" s="247"/>
      <c r="B5440" s="316"/>
      <c r="C5440" s="247"/>
      <c r="D5440" s="317"/>
      <c r="E5440" s="318"/>
      <c r="F5440" s="247"/>
      <c r="G5440" s="247"/>
      <c r="H5440" s="248"/>
      <c r="I5440" s="248"/>
      <c r="J5440" s="247"/>
      <c r="K5440" s="249"/>
    </row>
    <row r="5441" spans="1:11" s="90" customFormat="1" ht="12.75" customHeight="1" x14ac:dyDescent="0.2">
      <c r="A5441" s="247"/>
      <c r="B5441" s="316"/>
      <c r="C5441" s="247"/>
      <c r="D5441" s="317"/>
      <c r="E5441" s="318"/>
      <c r="F5441" s="247"/>
      <c r="G5441" s="247"/>
      <c r="H5441" s="248"/>
      <c r="I5441" s="248"/>
      <c r="J5441" s="247"/>
      <c r="K5441" s="249"/>
    </row>
    <row r="5442" spans="1:11" s="90" customFormat="1" ht="12.75" customHeight="1" x14ac:dyDescent="0.2">
      <c r="A5442" s="247"/>
      <c r="B5442" s="316"/>
      <c r="C5442" s="247"/>
      <c r="D5442" s="317"/>
      <c r="E5442" s="318"/>
      <c r="F5442" s="247"/>
      <c r="G5442" s="247"/>
      <c r="H5442" s="248"/>
      <c r="I5442" s="248"/>
      <c r="J5442" s="247"/>
      <c r="K5442" s="249"/>
    </row>
    <row r="5443" spans="1:11" s="90" customFormat="1" ht="12.75" customHeight="1" x14ac:dyDescent="0.2">
      <c r="A5443" s="247"/>
      <c r="B5443" s="316"/>
      <c r="C5443" s="247"/>
      <c r="D5443" s="317"/>
      <c r="E5443" s="318"/>
      <c r="F5443" s="247"/>
      <c r="G5443" s="247"/>
      <c r="H5443" s="248"/>
      <c r="I5443" s="248"/>
      <c r="J5443" s="247"/>
      <c r="K5443" s="249"/>
    </row>
    <row r="5444" spans="1:11" s="90" customFormat="1" ht="12.75" customHeight="1" x14ac:dyDescent="0.2">
      <c r="A5444" s="247"/>
      <c r="B5444" s="316"/>
      <c r="C5444" s="247"/>
      <c r="D5444" s="317"/>
      <c r="E5444" s="318"/>
      <c r="F5444" s="247"/>
      <c r="G5444" s="247"/>
      <c r="H5444" s="248"/>
      <c r="I5444" s="248"/>
      <c r="J5444" s="247"/>
      <c r="K5444" s="249"/>
    </row>
    <row r="5445" spans="1:11" s="90" customFormat="1" ht="12.75" customHeight="1" x14ac:dyDescent="0.2">
      <c r="A5445" s="247"/>
      <c r="B5445" s="316"/>
      <c r="C5445" s="247"/>
      <c r="D5445" s="317"/>
      <c r="E5445" s="318"/>
      <c r="F5445" s="247"/>
      <c r="G5445" s="247"/>
      <c r="H5445" s="248"/>
      <c r="I5445" s="248"/>
      <c r="J5445" s="247"/>
      <c r="K5445" s="249"/>
    </row>
    <row r="5446" spans="1:11" s="90" customFormat="1" ht="12.75" customHeight="1" x14ac:dyDescent="0.2">
      <c r="A5446" s="247"/>
      <c r="B5446" s="316"/>
      <c r="C5446" s="247"/>
      <c r="D5446" s="317"/>
      <c r="E5446" s="318"/>
      <c r="F5446" s="247"/>
      <c r="G5446" s="247"/>
      <c r="H5446" s="248"/>
      <c r="I5446" s="248"/>
      <c r="J5446" s="247"/>
      <c r="K5446" s="249"/>
    </row>
    <row r="5447" spans="1:11" s="90" customFormat="1" ht="12.75" customHeight="1" x14ac:dyDescent="0.2">
      <c r="A5447" s="247"/>
      <c r="B5447" s="316"/>
      <c r="C5447" s="247"/>
      <c r="D5447" s="317"/>
      <c r="E5447" s="318"/>
      <c r="F5447" s="247"/>
      <c r="G5447" s="247"/>
      <c r="H5447" s="248"/>
      <c r="I5447" s="248"/>
      <c r="J5447" s="247"/>
      <c r="K5447" s="249"/>
    </row>
    <row r="5448" spans="1:11" s="90" customFormat="1" ht="12.75" customHeight="1" x14ac:dyDescent="0.2">
      <c r="A5448" s="247"/>
      <c r="B5448" s="316"/>
      <c r="C5448" s="247"/>
      <c r="D5448" s="317"/>
      <c r="E5448" s="318"/>
      <c r="F5448" s="247"/>
      <c r="G5448" s="247"/>
      <c r="H5448" s="248"/>
      <c r="I5448" s="248"/>
      <c r="J5448" s="247"/>
      <c r="K5448" s="249"/>
    </row>
    <row r="5449" spans="1:11" s="90" customFormat="1" ht="12.75" customHeight="1" x14ac:dyDescent="0.2">
      <c r="A5449" s="247"/>
      <c r="B5449" s="316"/>
      <c r="C5449" s="247"/>
      <c r="D5449" s="317"/>
      <c r="E5449" s="318"/>
      <c r="F5449" s="247"/>
      <c r="G5449" s="247"/>
      <c r="H5449" s="248"/>
      <c r="I5449" s="248"/>
      <c r="J5449" s="247"/>
      <c r="K5449" s="249"/>
    </row>
    <row r="5450" spans="1:11" s="90" customFormat="1" ht="12.75" customHeight="1" x14ac:dyDescent="0.2">
      <c r="A5450" s="247"/>
      <c r="B5450" s="316"/>
      <c r="C5450" s="247"/>
      <c r="D5450" s="317"/>
      <c r="E5450" s="318"/>
      <c r="F5450" s="247"/>
      <c r="G5450" s="247"/>
      <c r="H5450" s="248"/>
      <c r="I5450" s="248"/>
      <c r="J5450" s="247"/>
      <c r="K5450" s="249"/>
    </row>
    <row r="5451" spans="1:11" s="90" customFormat="1" ht="12.75" customHeight="1" x14ac:dyDescent="0.2">
      <c r="A5451" s="247"/>
      <c r="B5451" s="316"/>
      <c r="C5451" s="247"/>
      <c r="D5451" s="317"/>
      <c r="E5451" s="318"/>
      <c r="F5451" s="247"/>
      <c r="G5451" s="247"/>
      <c r="H5451" s="248"/>
      <c r="I5451" s="248"/>
      <c r="J5451" s="247"/>
      <c r="K5451" s="249"/>
    </row>
    <row r="5452" spans="1:11" s="90" customFormat="1" ht="12.75" customHeight="1" x14ac:dyDescent="0.2">
      <c r="A5452" s="247"/>
      <c r="B5452" s="316"/>
      <c r="C5452" s="247"/>
      <c r="D5452" s="317"/>
      <c r="E5452" s="318"/>
      <c r="F5452" s="247"/>
      <c r="G5452" s="247"/>
      <c r="H5452" s="248"/>
      <c r="I5452" s="248"/>
      <c r="J5452" s="247"/>
      <c r="K5452" s="249"/>
    </row>
    <row r="5453" spans="1:11" s="90" customFormat="1" ht="12.75" customHeight="1" x14ac:dyDescent="0.2">
      <c r="A5453" s="247"/>
      <c r="B5453" s="316"/>
      <c r="C5453" s="247"/>
      <c r="D5453" s="317"/>
      <c r="E5453" s="318"/>
      <c r="F5453" s="247"/>
      <c r="G5453" s="247"/>
      <c r="H5453" s="248"/>
      <c r="I5453" s="248"/>
      <c r="J5453" s="247"/>
      <c r="K5453" s="249"/>
    </row>
    <row r="5454" spans="1:11" s="90" customFormat="1" ht="12.75" customHeight="1" x14ac:dyDescent="0.2">
      <c r="A5454" s="247"/>
      <c r="B5454" s="316"/>
      <c r="C5454" s="247"/>
      <c r="D5454" s="317"/>
      <c r="E5454" s="318"/>
      <c r="F5454" s="247"/>
      <c r="G5454" s="247"/>
      <c r="H5454" s="248"/>
      <c r="I5454" s="248"/>
      <c r="J5454" s="247"/>
      <c r="K5454" s="249"/>
    </row>
    <row r="5455" spans="1:11" s="90" customFormat="1" ht="12.75" customHeight="1" x14ac:dyDescent="0.2">
      <c r="A5455" s="247"/>
      <c r="B5455" s="316"/>
      <c r="C5455" s="247"/>
      <c r="D5455" s="317"/>
      <c r="E5455" s="318"/>
      <c r="F5455" s="247"/>
      <c r="G5455" s="247"/>
      <c r="H5455" s="248"/>
      <c r="I5455" s="248"/>
      <c r="J5455" s="247"/>
      <c r="K5455" s="249"/>
    </row>
    <row r="5456" spans="1:11" s="90" customFormat="1" ht="12.75" customHeight="1" x14ac:dyDescent="0.2">
      <c r="A5456" s="247"/>
      <c r="B5456" s="316"/>
      <c r="C5456" s="247"/>
      <c r="D5456" s="317"/>
      <c r="E5456" s="318"/>
      <c r="F5456" s="247"/>
      <c r="G5456" s="247"/>
      <c r="H5456" s="248"/>
      <c r="I5456" s="248"/>
      <c r="J5456" s="247"/>
      <c r="K5456" s="249"/>
    </row>
    <row r="5457" spans="1:11" s="90" customFormat="1" ht="12.75" customHeight="1" x14ac:dyDescent="0.2">
      <c r="A5457" s="247"/>
      <c r="B5457" s="316"/>
      <c r="C5457" s="247"/>
      <c r="D5457" s="317"/>
      <c r="E5457" s="318"/>
      <c r="F5457" s="247"/>
      <c r="G5457" s="247"/>
      <c r="H5457" s="248"/>
      <c r="I5457" s="248"/>
      <c r="J5457" s="247"/>
      <c r="K5457" s="249"/>
    </row>
    <row r="5458" spans="1:11" s="90" customFormat="1" ht="12.75" customHeight="1" x14ac:dyDescent="0.2">
      <c r="A5458" s="247"/>
      <c r="B5458" s="316"/>
      <c r="C5458" s="247"/>
      <c r="D5458" s="317"/>
      <c r="E5458" s="318"/>
      <c r="F5458" s="247"/>
      <c r="G5458" s="247"/>
      <c r="H5458" s="248"/>
      <c r="I5458" s="248"/>
      <c r="J5458" s="247"/>
      <c r="K5458" s="249"/>
    </row>
    <row r="5459" spans="1:11" s="90" customFormat="1" ht="12.75" customHeight="1" x14ac:dyDescent="0.2">
      <c r="A5459" s="247"/>
      <c r="B5459" s="316"/>
      <c r="C5459" s="247"/>
      <c r="D5459" s="317"/>
      <c r="E5459" s="318"/>
      <c r="F5459" s="247"/>
      <c r="G5459" s="247"/>
      <c r="H5459" s="248"/>
      <c r="I5459" s="248"/>
      <c r="J5459" s="247"/>
      <c r="K5459" s="249"/>
    </row>
    <row r="5460" spans="1:11" s="90" customFormat="1" ht="12.75" customHeight="1" x14ac:dyDescent="0.2">
      <c r="A5460" s="247"/>
      <c r="B5460" s="316"/>
      <c r="C5460" s="247"/>
      <c r="D5460" s="317"/>
      <c r="E5460" s="318"/>
      <c r="F5460" s="247"/>
      <c r="G5460" s="247"/>
      <c r="H5460" s="248"/>
      <c r="I5460" s="248"/>
      <c r="J5460" s="247"/>
      <c r="K5460" s="249"/>
    </row>
    <row r="5461" spans="1:11" s="90" customFormat="1" ht="12.75" customHeight="1" x14ac:dyDescent="0.2">
      <c r="A5461" s="247"/>
      <c r="B5461" s="316"/>
      <c r="C5461" s="247"/>
      <c r="D5461" s="317"/>
      <c r="E5461" s="318"/>
      <c r="F5461" s="247"/>
      <c r="G5461" s="247"/>
      <c r="H5461" s="248"/>
      <c r="I5461" s="248"/>
      <c r="J5461" s="247"/>
      <c r="K5461" s="249"/>
    </row>
    <row r="5462" spans="1:11" s="90" customFormat="1" ht="12.75" customHeight="1" x14ac:dyDescent="0.2">
      <c r="A5462" s="247"/>
      <c r="B5462" s="316"/>
      <c r="C5462" s="247"/>
      <c r="D5462" s="317"/>
      <c r="E5462" s="318"/>
      <c r="F5462" s="247"/>
      <c r="G5462" s="247"/>
      <c r="H5462" s="248"/>
      <c r="I5462" s="248"/>
      <c r="J5462" s="247"/>
      <c r="K5462" s="249"/>
    </row>
    <row r="5463" spans="1:11" s="90" customFormat="1" ht="12.75" customHeight="1" x14ac:dyDescent="0.2">
      <c r="A5463" s="247"/>
      <c r="B5463" s="316"/>
      <c r="C5463" s="247"/>
      <c r="D5463" s="317"/>
      <c r="E5463" s="318"/>
      <c r="F5463" s="247"/>
      <c r="G5463" s="247"/>
      <c r="H5463" s="248"/>
      <c r="I5463" s="248"/>
      <c r="J5463" s="247"/>
      <c r="K5463" s="249"/>
    </row>
    <row r="5464" spans="1:11" s="90" customFormat="1" ht="12.75" customHeight="1" x14ac:dyDescent="0.2">
      <c r="A5464" s="247"/>
      <c r="B5464" s="316"/>
      <c r="C5464" s="247"/>
      <c r="D5464" s="317"/>
      <c r="E5464" s="318"/>
      <c r="F5464" s="247"/>
      <c r="G5464" s="247"/>
      <c r="H5464" s="248"/>
      <c r="I5464" s="248"/>
      <c r="J5464" s="247"/>
      <c r="K5464" s="249"/>
    </row>
    <row r="5465" spans="1:11" s="90" customFormat="1" ht="12.75" customHeight="1" x14ac:dyDescent="0.2">
      <c r="A5465" s="247"/>
      <c r="B5465" s="316"/>
      <c r="C5465" s="247"/>
      <c r="D5465" s="317"/>
      <c r="E5465" s="318"/>
      <c r="F5465" s="247"/>
      <c r="G5465" s="247"/>
      <c r="H5465" s="248"/>
      <c r="I5465" s="248"/>
      <c r="J5465" s="247"/>
      <c r="K5465" s="249"/>
    </row>
    <row r="5466" spans="1:11" s="90" customFormat="1" ht="12.75" customHeight="1" x14ac:dyDescent="0.2">
      <c r="A5466" s="247"/>
      <c r="B5466" s="316"/>
      <c r="C5466" s="247"/>
      <c r="D5466" s="317"/>
      <c r="E5466" s="318"/>
      <c r="F5466" s="247"/>
      <c r="G5466" s="247"/>
      <c r="H5466" s="248"/>
      <c r="I5466" s="248"/>
      <c r="J5466" s="247"/>
      <c r="K5466" s="249"/>
    </row>
    <row r="5467" spans="1:11" s="90" customFormat="1" ht="12.75" customHeight="1" x14ac:dyDescent="0.2">
      <c r="A5467" s="247"/>
      <c r="B5467" s="316"/>
      <c r="C5467" s="247"/>
      <c r="D5467" s="317"/>
      <c r="E5467" s="318"/>
      <c r="F5467" s="247"/>
      <c r="G5467" s="247"/>
      <c r="H5467" s="248"/>
      <c r="I5467" s="248"/>
      <c r="J5467" s="247"/>
      <c r="K5467" s="249"/>
    </row>
    <row r="5468" spans="1:11" s="90" customFormat="1" ht="12.75" customHeight="1" x14ac:dyDescent="0.2">
      <c r="A5468" s="247"/>
      <c r="B5468" s="316"/>
      <c r="C5468" s="247"/>
      <c r="D5468" s="317"/>
      <c r="E5468" s="318"/>
      <c r="F5468" s="247"/>
      <c r="G5468" s="247"/>
      <c r="H5468" s="248"/>
      <c r="I5468" s="248"/>
      <c r="J5468" s="247"/>
      <c r="K5468" s="249"/>
    </row>
    <row r="5469" spans="1:11" s="90" customFormat="1" ht="12.75" customHeight="1" x14ac:dyDescent="0.2">
      <c r="A5469" s="247"/>
      <c r="B5469" s="316"/>
      <c r="C5469" s="247"/>
      <c r="D5469" s="317"/>
      <c r="E5469" s="318"/>
      <c r="F5469" s="247"/>
      <c r="G5469" s="247"/>
      <c r="H5469" s="248"/>
      <c r="I5469" s="248"/>
      <c r="J5469" s="247"/>
      <c r="K5469" s="249"/>
    </row>
    <row r="5470" spans="1:11" s="90" customFormat="1" ht="12.75" customHeight="1" x14ac:dyDescent="0.2">
      <c r="A5470" s="247"/>
      <c r="B5470" s="316"/>
      <c r="C5470" s="247"/>
      <c r="D5470" s="317"/>
      <c r="E5470" s="318"/>
      <c r="F5470" s="247"/>
      <c r="G5470" s="247"/>
      <c r="H5470" s="248"/>
      <c r="I5470" s="248"/>
      <c r="J5470" s="247"/>
      <c r="K5470" s="249"/>
    </row>
    <row r="5471" spans="1:11" s="90" customFormat="1" ht="12.75" customHeight="1" x14ac:dyDescent="0.2">
      <c r="A5471" s="247"/>
      <c r="B5471" s="316"/>
      <c r="C5471" s="247"/>
      <c r="D5471" s="317"/>
      <c r="E5471" s="318"/>
      <c r="F5471" s="247"/>
      <c r="G5471" s="247"/>
      <c r="H5471" s="248"/>
      <c r="I5471" s="248"/>
      <c r="J5471" s="247"/>
      <c r="K5471" s="249"/>
    </row>
    <row r="5472" spans="1:11" s="90" customFormat="1" ht="12.75" customHeight="1" x14ac:dyDescent="0.2">
      <c r="A5472" s="247"/>
      <c r="B5472" s="316"/>
      <c r="C5472" s="247"/>
      <c r="D5472" s="317"/>
      <c r="E5472" s="318"/>
      <c r="F5472" s="247"/>
      <c r="G5472" s="247"/>
      <c r="H5472" s="248"/>
      <c r="I5472" s="248"/>
      <c r="J5472" s="247"/>
      <c r="K5472" s="249"/>
    </row>
    <row r="5473" spans="1:11" s="90" customFormat="1" ht="12.75" customHeight="1" x14ac:dyDescent="0.2">
      <c r="A5473" s="247"/>
      <c r="B5473" s="316"/>
      <c r="C5473" s="247"/>
      <c r="D5473" s="317"/>
      <c r="E5473" s="318"/>
      <c r="F5473" s="247"/>
      <c r="G5473" s="247"/>
      <c r="H5473" s="248"/>
      <c r="I5473" s="248"/>
      <c r="J5473" s="247"/>
      <c r="K5473" s="249"/>
    </row>
    <row r="5474" spans="1:11" s="90" customFormat="1" ht="12.75" customHeight="1" x14ac:dyDescent="0.2">
      <c r="A5474" s="247"/>
      <c r="B5474" s="316"/>
      <c r="C5474" s="247"/>
      <c r="D5474" s="317"/>
      <c r="E5474" s="318"/>
      <c r="F5474" s="247"/>
      <c r="G5474" s="247"/>
      <c r="H5474" s="248"/>
      <c r="I5474" s="248"/>
      <c r="J5474" s="247"/>
      <c r="K5474" s="249"/>
    </row>
    <row r="5475" spans="1:11" s="90" customFormat="1" ht="12.75" customHeight="1" x14ac:dyDescent="0.2">
      <c r="A5475" s="247"/>
      <c r="B5475" s="316"/>
      <c r="C5475" s="247"/>
      <c r="D5475" s="317"/>
      <c r="E5475" s="318"/>
      <c r="F5475" s="247"/>
      <c r="G5475" s="247"/>
      <c r="H5475" s="248"/>
      <c r="I5475" s="248"/>
      <c r="J5475" s="247"/>
      <c r="K5475" s="249"/>
    </row>
    <row r="5476" spans="1:11" s="90" customFormat="1" ht="12.75" customHeight="1" x14ac:dyDescent="0.2">
      <c r="A5476" s="247"/>
      <c r="B5476" s="316"/>
      <c r="C5476" s="247"/>
      <c r="D5476" s="317"/>
      <c r="E5476" s="318"/>
      <c r="F5476" s="247"/>
      <c r="G5476" s="247"/>
      <c r="H5476" s="248"/>
      <c r="I5476" s="248"/>
      <c r="J5476" s="247"/>
      <c r="K5476" s="249"/>
    </row>
    <row r="5477" spans="1:11" s="90" customFormat="1" ht="12.75" customHeight="1" x14ac:dyDescent="0.2">
      <c r="A5477" s="247"/>
      <c r="B5477" s="316"/>
      <c r="C5477" s="247"/>
      <c r="D5477" s="317"/>
      <c r="E5477" s="318"/>
      <c r="F5477" s="247"/>
      <c r="G5477" s="247"/>
      <c r="H5477" s="248"/>
      <c r="I5477" s="248"/>
      <c r="J5477" s="247"/>
      <c r="K5477" s="249"/>
    </row>
    <row r="5478" spans="1:11" s="90" customFormat="1" ht="12.75" customHeight="1" x14ac:dyDescent="0.2">
      <c r="A5478" s="247"/>
      <c r="B5478" s="316"/>
      <c r="C5478" s="247"/>
      <c r="D5478" s="317"/>
      <c r="E5478" s="318"/>
      <c r="F5478" s="247"/>
      <c r="G5478" s="247"/>
      <c r="H5478" s="248"/>
      <c r="I5478" s="248"/>
      <c r="J5478" s="247"/>
      <c r="K5478" s="249"/>
    </row>
    <row r="5479" spans="1:11" s="90" customFormat="1" ht="12.75" customHeight="1" x14ac:dyDescent="0.2">
      <c r="A5479" s="247"/>
      <c r="B5479" s="316"/>
      <c r="C5479" s="247"/>
      <c r="D5479" s="317"/>
      <c r="E5479" s="318"/>
      <c r="F5479" s="247"/>
      <c r="G5479" s="247"/>
      <c r="H5479" s="248"/>
      <c r="I5479" s="248"/>
      <c r="J5479" s="247"/>
      <c r="K5479" s="249"/>
    </row>
    <row r="5480" spans="1:11" s="90" customFormat="1" ht="12.75" customHeight="1" x14ac:dyDescent="0.2">
      <c r="A5480" s="247"/>
      <c r="B5480" s="316"/>
      <c r="C5480" s="247"/>
      <c r="D5480" s="317"/>
      <c r="E5480" s="318"/>
      <c r="F5480" s="247"/>
      <c r="G5480" s="247"/>
      <c r="H5480" s="248"/>
      <c r="I5480" s="248"/>
      <c r="J5480" s="247"/>
      <c r="K5480" s="249"/>
    </row>
    <row r="5481" spans="1:11" s="90" customFormat="1" ht="12.75" customHeight="1" x14ac:dyDescent="0.2">
      <c r="A5481" s="247"/>
      <c r="B5481" s="316"/>
      <c r="C5481" s="247"/>
      <c r="D5481" s="317"/>
      <c r="E5481" s="318"/>
      <c r="F5481" s="247"/>
      <c r="G5481" s="247"/>
      <c r="H5481" s="248"/>
      <c r="I5481" s="248"/>
      <c r="J5481" s="247"/>
      <c r="K5481" s="249"/>
    </row>
    <row r="5482" spans="1:11" s="90" customFormat="1" ht="12.75" customHeight="1" x14ac:dyDescent="0.2">
      <c r="A5482" s="247"/>
      <c r="B5482" s="316"/>
      <c r="C5482" s="247"/>
      <c r="D5482" s="317"/>
      <c r="E5482" s="318"/>
      <c r="F5482" s="247"/>
      <c r="G5482" s="247"/>
      <c r="H5482" s="248"/>
      <c r="I5482" s="248"/>
      <c r="J5482" s="247"/>
      <c r="K5482" s="249"/>
    </row>
    <row r="5483" spans="1:11" s="90" customFormat="1" ht="12.75" customHeight="1" x14ac:dyDescent="0.2">
      <c r="A5483" s="247"/>
      <c r="B5483" s="316"/>
      <c r="C5483" s="247"/>
      <c r="D5483" s="317"/>
      <c r="E5483" s="318"/>
      <c r="F5483" s="247"/>
      <c r="G5483" s="247"/>
      <c r="H5483" s="248"/>
      <c r="I5483" s="248"/>
      <c r="J5483" s="247"/>
      <c r="K5483" s="249"/>
    </row>
    <row r="5484" spans="1:11" s="90" customFormat="1" ht="12.75" customHeight="1" x14ac:dyDescent="0.2">
      <c r="A5484" s="247"/>
      <c r="B5484" s="316"/>
      <c r="C5484" s="247"/>
      <c r="D5484" s="317"/>
      <c r="E5484" s="318"/>
      <c r="F5484" s="247"/>
      <c r="G5484" s="247"/>
      <c r="H5484" s="248"/>
      <c r="I5484" s="248"/>
      <c r="J5484" s="247"/>
      <c r="K5484" s="249"/>
    </row>
    <row r="5485" spans="1:11" s="90" customFormat="1" ht="12.75" customHeight="1" x14ac:dyDescent="0.2">
      <c r="A5485" s="247"/>
      <c r="B5485" s="316"/>
      <c r="C5485" s="247"/>
      <c r="D5485" s="317"/>
      <c r="E5485" s="318"/>
      <c r="F5485" s="247"/>
      <c r="G5485" s="247"/>
      <c r="H5485" s="248"/>
      <c r="I5485" s="248"/>
      <c r="J5485" s="247"/>
      <c r="K5485" s="249"/>
    </row>
    <row r="5486" spans="1:11" s="90" customFormat="1" ht="12.75" customHeight="1" x14ac:dyDescent="0.2">
      <c r="A5486" s="247"/>
      <c r="B5486" s="316"/>
      <c r="C5486" s="247"/>
      <c r="D5486" s="317"/>
      <c r="E5486" s="318"/>
      <c r="F5486" s="247"/>
      <c r="G5486" s="247"/>
      <c r="H5486" s="248"/>
      <c r="I5486" s="248"/>
      <c r="J5486" s="247"/>
      <c r="K5486" s="249"/>
    </row>
    <row r="5487" spans="1:11" s="90" customFormat="1" ht="12.75" customHeight="1" x14ac:dyDescent="0.2">
      <c r="A5487" s="247"/>
      <c r="B5487" s="316"/>
      <c r="C5487" s="247"/>
      <c r="D5487" s="317"/>
      <c r="E5487" s="318"/>
      <c r="F5487" s="247"/>
      <c r="G5487" s="247"/>
      <c r="H5487" s="248"/>
      <c r="I5487" s="248"/>
      <c r="J5487" s="247"/>
      <c r="K5487" s="249"/>
    </row>
    <row r="5488" spans="1:11" s="90" customFormat="1" ht="12.75" customHeight="1" x14ac:dyDescent="0.2">
      <c r="A5488" s="247"/>
      <c r="B5488" s="316"/>
      <c r="C5488" s="247"/>
      <c r="D5488" s="317"/>
      <c r="E5488" s="318"/>
      <c r="F5488" s="247"/>
      <c r="G5488" s="247"/>
      <c r="H5488" s="248"/>
      <c r="I5488" s="248"/>
      <c r="J5488" s="247"/>
      <c r="K5488" s="249"/>
    </row>
    <row r="5489" spans="1:11" s="90" customFormat="1" ht="12.75" customHeight="1" x14ac:dyDescent="0.2">
      <c r="A5489" s="247"/>
      <c r="B5489" s="316"/>
      <c r="C5489" s="247"/>
      <c r="D5489" s="317"/>
      <c r="E5489" s="318"/>
      <c r="F5489" s="247"/>
      <c r="G5489" s="247"/>
      <c r="H5489" s="248"/>
      <c r="I5489" s="248"/>
      <c r="J5489" s="247"/>
      <c r="K5489" s="249"/>
    </row>
    <row r="5490" spans="1:11" s="90" customFormat="1" ht="12.75" customHeight="1" x14ac:dyDescent="0.2">
      <c r="A5490" s="247"/>
      <c r="B5490" s="316"/>
      <c r="C5490" s="247"/>
      <c r="D5490" s="317"/>
      <c r="E5490" s="318"/>
      <c r="F5490" s="247"/>
      <c r="G5490" s="247"/>
      <c r="H5490" s="248"/>
      <c r="I5490" s="248"/>
      <c r="J5490" s="247"/>
      <c r="K5490" s="249"/>
    </row>
    <row r="5491" spans="1:11" s="90" customFormat="1" ht="12.75" customHeight="1" x14ac:dyDescent="0.2">
      <c r="A5491" s="247"/>
      <c r="B5491" s="316"/>
      <c r="C5491" s="247"/>
      <c r="D5491" s="317"/>
      <c r="E5491" s="318"/>
      <c r="F5491" s="247"/>
      <c r="G5491" s="247"/>
      <c r="H5491" s="248"/>
      <c r="I5491" s="248"/>
      <c r="J5491" s="247"/>
      <c r="K5491" s="249"/>
    </row>
    <row r="5492" spans="1:11" s="90" customFormat="1" ht="12.75" customHeight="1" x14ac:dyDescent="0.2">
      <c r="A5492" s="247"/>
      <c r="B5492" s="316"/>
      <c r="C5492" s="247"/>
      <c r="D5492" s="317"/>
      <c r="E5492" s="318"/>
      <c r="F5492" s="247"/>
      <c r="G5492" s="247"/>
      <c r="H5492" s="248"/>
      <c r="I5492" s="248"/>
      <c r="J5492" s="247"/>
      <c r="K5492" s="249"/>
    </row>
    <row r="5493" spans="1:11" s="90" customFormat="1" ht="12.75" customHeight="1" x14ac:dyDescent="0.2">
      <c r="A5493" s="247"/>
      <c r="B5493" s="316"/>
      <c r="C5493" s="247"/>
      <c r="D5493" s="317"/>
      <c r="E5493" s="318"/>
      <c r="F5493" s="247"/>
      <c r="G5493" s="247"/>
      <c r="H5493" s="248"/>
      <c r="I5493" s="248"/>
      <c r="J5493" s="247"/>
      <c r="K5493" s="249"/>
    </row>
    <row r="5494" spans="1:11" s="90" customFormat="1" ht="12.75" customHeight="1" x14ac:dyDescent="0.2">
      <c r="A5494" s="247"/>
      <c r="B5494" s="316"/>
      <c r="C5494" s="247"/>
      <c r="D5494" s="317"/>
      <c r="E5494" s="318"/>
      <c r="F5494" s="247"/>
      <c r="G5494" s="247"/>
      <c r="H5494" s="248"/>
      <c r="I5494" s="248"/>
      <c r="J5494" s="247"/>
      <c r="K5494" s="249"/>
    </row>
    <row r="5495" spans="1:11" s="90" customFormat="1" ht="12.75" customHeight="1" x14ac:dyDescent="0.2">
      <c r="A5495" s="247"/>
      <c r="B5495" s="316"/>
      <c r="C5495" s="247"/>
      <c r="D5495" s="317"/>
      <c r="E5495" s="318"/>
      <c r="F5495" s="247"/>
      <c r="G5495" s="247"/>
      <c r="H5495" s="248"/>
      <c r="I5495" s="248"/>
      <c r="J5495" s="247"/>
      <c r="K5495" s="249"/>
    </row>
    <row r="5496" spans="1:11" s="90" customFormat="1" ht="12.75" customHeight="1" x14ac:dyDescent="0.2">
      <c r="A5496" s="247"/>
      <c r="B5496" s="316"/>
      <c r="C5496" s="247"/>
      <c r="D5496" s="317"/>
      <c r="E5496" s="318"/>
      <c r="F5496" s="247"/>
      <c r="G5496" s="247"/>
      <c r="H5496" s="248"/>
      <c r="I5496" s="248"/>
      <c r="J5496" s="247"/>
      <c r="K5496" s="249"/>
    </row>
    <row r="5497" spans="1:11" s="90" customFormat="1" ht="12.75" customHeight="1" x14ac:dyDescent="0.2">
      <c r="A5497" s="247"/>
      <c r="B5497" s="316"/>
      <c r="C5497" s="247"/>
      <c r="D5497" s="317"/>
      <c r="E5497" s="318"/>
      <c r="F5497" s="247"/>
      <c r="G5497" s="247"/>
      <c r="H5497" s="248"/>
      <c r="I5497" s="248"/>
      <c r="J5497" s="247"/>
      <c r="K5497" s="249"/>
    </row>
    <row r="5498" spans="1:11" s="90" customFormat="1" ht="12.75" customHeight="1" x14ac:dyDescent="0.2">
      <c r="A5498" s="247"/>
      <c r="B5498" s="316"/>
      <c r="C5498" s="247"/>
      <c r="D5498" s="317"/>
      <c r="E5498" s="318"/>
      <c r="F5498" s="247"/>
      <c r="G5498" s="247"/>
      <c r="H5498" s="248"/>
      <c r="I5498" s="248"/>
      <c r="J5498" s="247"/>
      <c r="K5498" s="249"/>
    </row>
    <row r="5499" spans="1:11" s="90" customFormat="1" ht="12.75" customHeight="1" x14ac:dyDescent="0.2">
      <c r="A5499" s="247"/>
      <c r="B5499" s="316"/>
      <c r="C5499" s="247"/>
      <c r="D5499" s="317"/>
      <c r="E5499" s="318"/>
      <c r="F5499" s="247"/>
      <c r="G5499" s="247"/>
      <c r="H5499" s="248"/>
      <c r="I5499" s="248"/>
      <c r="J5499" s="247"/>
      <c r="K5499" s="249"/>
    </row>
    <row r="5500" spans="1:11" s="90" customFormat="1" ht="12.75" customHeight="1" x14ac:dyDescent="0.2">
      <c r="A5500" s="247"/>
      <c r="B5500" s="316"/>
      <c r="C5500" s="247"/>
      <c r="D5500" s="317"/>
      <c r="E5500" s="318"/>
      <c r="F5500" s="247"/>
      <c r="G5500" s="247"/>
      <c r="H5500" s="248"/>
      <c r="I5500" s="248"/>
      <c r="J5500" s="247"/>
      <c r="K5500" s="249"/>
    </row>
    <row r="5501" spans="1:11" s="90" customFormat="1" ht="12.75" customHeight="1" x14ac:dyDescent="0.2">
      <c r="A5501" s="247"/>
      <c r="B5501" s="316"/>
      <c r="C5501" s="247"/>
      <c r="D5501" s="317"/>
      <c r="E5501" s="318"/>
      <c r="F5501" s="247"/>
      <c r="G5501" s="247"/>
      <c r="H5501" s="248"/>
      <c r="I5501" s="248"/>
      <c r="J5501" s="247"/>
      <c r="K5501" s="249"/>
    </row>
    <row r="5502" spans="1:11" s="90" customFormat="1" ht="12.75" customHeight="1" x14ac:dyDescent="0.2">
      <c r="A5502" s="247"/>
      <c r="B5502" s="316"/>
      <c r="C5502" s="247"/>
      <c r="D5502" s="317"/>
      <c r="E5502" s="318"/>
      <c r="F5502" s="247"/>
      <c r="G5502" s="247"/>
      <c r="H5502" s="248"/>
      <c r="I5502" s="248"/>
      <c r="J5502" s="247"/>
      <c r="K5502" s="249"/>
    </row>
    <row r="5503" spans="1:11" s="90" customFormat="1" ht="12.75" customHeight="1" x14ac:dyDescent="0.2">
      <c r="A5503" s="247"/>
      <c r="B5503" s="316"/>
      <c r="C5503" s="247"/>
      <c r="D5503" s="317"/>
      <c r="E5503" s="318"/>
      <c r="F5503" s="247"/>
      <c r="G5503" s="247"/>
      <c r="H5503" s="248"/>
      <c r="I5503" s="248"/>
      <c r="J5503" s="247"/>
      <c r="K5503" s="249"/>
    </row>
    <row r="5504" spans="1:11" s="90" customFormat="1" ht="12.75" customHeight="1" x14ac:dyDescent="0.2">
      <c r="A5504" s="247"/>
      <c r="B5504" s="316"/>
      <c r="C5504" s="247"/>
      <c r="D5504" s="317"/>
      <c r="E5504" s="318"/>
      <c r="F5504" s="247"/>
      <c r="G5504" s="247"/>
      <c r="H5504" s="248"/>
      <c r="I5504" s="248"/>
      <c r="J5504" s="247"/>
      <c r="K5504" s="249"/>
    </row>
    <row r="5505" spans="1:11" s="90" customFormat="1" ht="12.75" customHeight="1" x14ac:dyDescent="0.2">
      <c r="A5505" s="247"/>
      <c r="B5505" s="316"/>
      <c r="C5505" s="247"/>
      <c r="D5505" s="317"/>
      <c r="E5505" s="318"/>
      <c r="F5505" s="247"/>
      <c r="G5505" s="247"/>
      <c r="H5505" s="248"/>
      <c r="I5505" s="248"/>
      <c r="J5505" s="247"/>
      <c r="K5505" s="249"/>
    </row>
    <row r="5506" spans="1:11" s="90" customFormat="1" ht="12.75" customHeight="1" x14ac:dyDescent="0.2">
      <c r="A5506" s="247"/>
      <c r="B5506" s="316"/>
      <c r="C5506" s="247"/>
      <c r="D5506" s="317"/>
      <c r="E5506" s="318"/>
      <c r="F5506" s="247"/>
      <c r="G5506" s="247"/>
      <c r="H5506" s="248"/>
      <c r="I5506" s="248"/>
      <c r="J5506" s="247"/>
      <c r="K5506" s="249"/>
    </row>
    <row r="5507" spans="1:11" s="90" customFormat="1" ht="12.75" customHeight="1" x14ac:dyDescent="0.2">
      <c r="A5507" s="247"/>
      <c r="B5507" s="316"/>
      <c r="C5507" s="247"/>
      <c r="D5507" s="317"/>
      <c r="E5507" s="318"/>
      <c r="F5507" s="247"/>
      <c r="G5507" s="247"/>
      <c r="H5507" s="248"/>
      <c r="I5507" s="248"/>
      <c r="J5507" s="247"/>
      <c r="K5507" s="249"/>
    </row>
    <row r="5508" spans="1:11" s="90" customFormat="1" ht="12.75" customHeight="1" x14ac:dyDescent="0.2">
      <c r="A5508" s="247"/>
      <c r="B5508" s="316"/>
      <c r="C5508" s="247"/>
      <c r="D5508" s="317"/>
      <c r="E5508" s="318"/>
      <c r="F5508" s="247"/>
      <c r="G5508" s="247"/>
      <c r="H5508" s="248"/>
      <c r="I5508" s="248"/>
      <c r="J5508" s="247"/>
      <c r="K5508" s="249"/>
    </row>
    <row r="5509" spans="1:11" s="90" customFormat="1" ht="12.75" customHeight="1" x14ac:dyDescent="0.2">
      <c r="A5509" s="247"/>
      <c r="B5509" s="316"/>
      <c r="C5509" s="247"/>
      <c r="D5509" s="317"/>
      <c r="E5509" s="318"/>
      <c r="F5509" s="247"/>
      <c r="G5509" s="247"/>
      <c r="H5509" s="248"/>
      <c r="I5509" s="248"/>
      <c r="J5509" s="247"/>
      <c r="K5509" s="249"/>
    </row>
    <row r="5510" spans="1:11" s="90" customFormat="1" ht="12.75" customHeight="1" x14ac:dyDescent="0.2">
      <c r="A5510" s="247"/>
      <c r="B5510" s="316"/>
      <c r="C5510" s="247"/>
      <c r="D5510" s="317"/>
      <c r="E5510" s="318"/>
      <c r="F5510" s="247"/>
      <c r="G5510" s="247"/>
      <c r="H5510" s="248"/>
      <c r="I5510" s="248"/>
      <c r="J5510" s="247"/>
      <c r="K5510" s="249"/>
    </row>
    <row r="5511" spans="1:11" s="90" customFormat="1" ht="12.75" customHeight="1" x14ac:dyDescent="0.2">
      <c r="A5511" s="247"/>
      <c r="B5511" s="316"/>
      <c r="C5511" s="247"/>
      <c r="D5511" s="317"/>
      <c r="E5511" s="318"/>
      <c r="F5511" s="247"/>
      <c r="G5511" s="247"/>
      <c r="H5511" s="248"/>
      <c r="I5511" s="248"/>
      <c r="J5511" s="247"/>
      <c r="K5511" s="249"/>
    </row>
    <row r="5512" spans="1:11" s="90" customFormat="1" ht="12.75" customHeight="1" x14ac:dyDescent="0.2">
      <c r="A5512" s="247"/>
      <c r="B5512" s="316"/>
      <c r="C5512" s="247"/>
      <c r="D5512" s="317"/>
      <c r="E5512" s="318"/>
      <c r="F5512" s="247"/>
      <c r="G5512" s="247"/>
      <c r="H5512" s="248"/>
      <c r="I5512" s="248"/>
      <c r="J5512" s="247"/>
      <c r="K5512" s="249"/>
    </row>
    <row r="5513" spans="1:11" s="90" customFormat="1" ht="12.75" customHeight="1" x14ac:dyDescent="0.2">
      <c r="A5513" s="247"/>
      <c r="B5513" s="316"/>
      <c r="C5513" s="247"/>
      <c r="D5513" s="317"/>
      <c r="E5513" s="318"/>
      <c r="F5513" s="247"/>
      <c r="G5513" s="247"/>
      <c r="H5513" s="248"/>
      <c r="I5513" s="248"/>
      <c r="J5513" s="247"/>
      <c r="K5513" s="249"/>
    </row>
    <row r="5514" spans="1:11" s="90" customFormat="1" ht="12.75" customHeight="1" x14ac:dyDescent="0.2">
      <c r="A5514" s="247"/>
      <c r="B5514" s="316"/>
      <c r="C5514" s="247"/>
      <c r="D5514" s="317"/>
      <c r="E5514" s="318"/>
      <c r="F5514" s="247"/>
      <c r="G5514" s="247"/>
      <c r="H5514" s="248"/>
      <c r="I5514" s="248"/>
      <c r="J5514" s="247"/>
      <c r="K5514" s="249"/>
    </row>
    <row r="5515" spans="1:11" s="90" customFormat="1" ht="12.75" customHeight="1" x14ac:dyDescent="0.2">
      <c r="A5515" s="247"/>
      <c r="B5515" s="316"/>
      <c r="C5515" s="247"/>
      <c r="D5515" s="317"/>
      <c r="E5515" s="318"/>
      <c r="F5515" s="247"/>
      <c r="G5515" s="247"/>
      <c r="H5515" s="248"/>
      <c r="I5515" s="248"/>
      <c r="J5515" s="247"/>
      <c r="K5515" s="249"/>
    </row>
    <row r="5516" spans="1:11" s="90" customFormat="1" ht="12.75" customHeight="1" x14ac:dyDescent="0.2">
      <c r="A5516" s="247"/>
      <c r="B5516" s="316"/>
      <c r="C5516" s="247"/>
      <c r="D5516" s="317"/>
      <c r="E5516" s="318"/>
      <c r="F5516" s="247"/>
      <c r="G5516" s="247"/>
      <c r="H5516" s="248"/>
      <c r="I5516" s="248"/>
      <c r="J5516" s="247"/>
      <c r="K5516" s="249"/>
    </row>
    <row r="5517" spans="1:11" s="90" customFormat="1" ht="12.75" customHeight="1" x14ac:dyDescent="0.2">
      <c r="A5517" s="247"/>
      <c r="B5517" s="316"/>
      <c r="C5517" s="247"/>
      <c r="D5517" s="317"/>
      <c r="E5517" s="318"/>
      <c r="F5517" s="247"/>
      <c r="G5517" s="247"/>
      <c r="H5517" s="248"/>
      <c r="I5517" s="248"/>
      <c r="J5517" s="247"/>
      <c r="K5517" s="249"/>
    </row>
    <row r="5518" spans="1:11" s="90" customFormat="1" ht="12.75" customHeight="1" x14ac:dyDescent="0.2">
      <c r="A5518" s="247"/>
      <c r="B5518" s="316"/>
      <c r="C5518" s="247"/>
      <c r="D5518" s="317"/>
      <c r="E5518" s="318"/>
      <c r="F5518" s="247"/>
      <c r="G5518" s="247"/>
      <c r="H5518" s="248"/>
      <c r="I5518" s="248"/>
      <c r="J5518" s="247"/>
      <c r="K5518" s="249"/>
    </row>
    <row r="5519" spans="1:11" s="90" customFormat="1" ht="12.75" customHeight="1" x14ac:dyDescent="0.2">
      <c r="A5519" s="247"/>
      <c r="B5519" s="316"/>
      <c r="C5519" s="247"/>
      <c r="D5519" s="317"/>
      <c r="E5519" s="318"/>
      <c r="F5519" s="247"/>
      <c r="G5519" s="247"/>
      <c r="H5519" s="248"/>
      <c r="I5519" s="248"/>
      <c r="J5519" s="247"/>
      <c r="K5519" s="249"/>
    </row>
    <row r="5520" spans="1:11" s="90" customFormat="1" ht="12.75" customHeight="1" x14ac:dyDescent="0.2">
      <c r="A5520" s="247"/>
      <c r="B5520" s="316"/>
      <c r="C5520" s="247"/>
      <c r="D5520" s="317"/>
      <c r="E5520" s="318"/>
      <c r="F5520" s="247"/>
      <c r="G5520" s="247"/>
      <c r="H5520" s="248"/>
      <c r="I5520" s="248"/>
      <c r="J5520" s="247"/>
      <c r="K5520" s="249"/>
    </row>
    <row r="5521" spans="1:11" s="90" customFormat="1" ht="12.75" customHeight="1" x14ac:dyDescent="0.2">
      <c r="A5521" s="247"/>
      <c r="B5521" s="316"/>
      <c r="C5521" s="247"/>
      <c r="D5521" s="317"/>
      <c r="E5521" s="318"/>
      <c r="F5521" s="247"/>
      <c r="G5521" s="247"/>
      <c r="H5521" s="248"/>
      <c r="I5521" s="248"/>
      <c r="J5521" s="247"/>
      <c r="K5521" s="249"/>
    </row>
    <row r="5522" spans="1:11" s="90" customFormat="1" ht="12.75" customHeight="1" x14ac:dyDescent="0.2">
      <c r="A5522" s="247"/>
      <c r="B5522" s="316"/>
      <c r="C5522" s="247"/>
      <c r="D5522" s="317"/>
      <c r="E5522" s="318"/>
      <c r="F5522" s="247"/>
      <c r="G5522" s="247"/>
      <c r="H5522" s="248"/>
      <c r="I5522" s="248"/>
      <c r="J5522" s="247"/>
      <c r="K5522" s="249"/>
    </row>
    <row r="5523" spans="1:11" s="90" customFormat="1" ht="12.75" customHeight="1" x14ac:dyDescent="0.2">
      <c r="A5523" s="247"/>
      <c r="B5523" s="316"/>
      <c r="C5523" s="247"/>
      <c r="D5523" s="317"/>
      <c r="E5523" s="318"/>
      <c r="F5523" s="247"/>
      <c r="G5523" s="247"/>
      <c r="H5523" s="248"/>
      <c r="I5523" s="248"/>
      <c r="J5523" s="247"/>
      <c r="K5523" s="249"/>
    </row>
    <row r="5524" spans="1:11" s="90" customFormat="1" ht="12.75" customHeight="1" x14ac:dyDescent="0.2">
      <c r="A5524" s="247"/>
      <c r="B5524" s="316"/>
      <c r="C5524" s="247"/>
      <c r="D5524" s="317"/>
      <c r="E5524" s="318"/>
      <c r="F5524" s="247"/>
      <c r="G5524" s="247"/>
      <c r="H5524" s="248"/>
      <c r="I5524" s="248"/>
      <c r="J5524" s="247"/>
      <c r="K5524" s="249"/>
    </row>
    <row r="5525" spans="1:11" s="90" customFormat="1" ht="12.75" customHeight="1" x14ac:dyDescent="0.2">
      <c r="A5525" s="247"/>
      <c r="B5525" s="316"/>
      <c r="C5525" s="247"/>
      <c r="D5525" s="317"/>
      <c r="E5525" s="318"/>
      <c r="F5525" s="247"/>
      <c r="G5525" s="247"/>
      <c r="H5525" s="248"/>
      <c r="I5525" s="248"/>
      <c r="J5525" s="247"/>
      <c r="K5525" s="249"/>
    </row>
    <row r="5526" spans="1:11" s="90" customFormat="1" ht="12.75" customHeight="1" x14ac:dyDescent="0.2">
      <c r="A5526" s="247"/>
      <c r="B5526" s="316"/>
      <c r="C5526" s="247"/>
      <c r="D5526" s="317"/>
      <c r="E5526" s="318"/>
      <c r="F5526" s="247"/>
      <c r="G5526" s="247"/>
      <c r="H5526" s="248"/>
      <c r="I5526" s="248"/>
      <c r="J5526" s="247"/>
      <c r="K5526" s="249"/>
    </row>
    <row r="5527" spans="1:11" s="90" customFormat="1" ht="12.75" customHeight="1" x14ac:dyDescent="0.2">
      <c r="A5527" s="247"/>
      <c r="B5527" s="316"/>
      <c r="C5527" s="247"/>
      <c r="D5527" s="317"/>
      <c r="E5527" s="318"/>
      <c r="F5527" s="247"/>
      <c r="G5527" s="247"/>
      <c r="H5527" s="248"/>
      <c r="I5527" s="248"/>
      <c r="J5527" s="247"/>
      <c r="K5527" s="249"/>
    </row>
    <row r="5528" spans="1:11" s="90" customFormat="1" ht="12.75" customHeight="1" x14ac:dyDescent="0.2">
      <c r="A5528" s="247"/>
      <c r="B5528" s="316"/>
      <c r="C5528" s="247"/>
      <c r="D5528" s="317"/>
      <c r="E5528" s="318"/>
      <c r="F5528" s="247"/>
      <c r="G5528" s="247"/>
      <c r="H5528" s="248"/>
      <c r="I5528" s="248"/>
      <c r="J5528" s="247"/>
      <c r="K5528" s="249"/>
    </row>
    <row r="5529" spans="1:11" s="90" customFormat="1" ht="12.75" customHeight="1" x14ac:dyDescent="0.2">
      <c r="A5529" s="247"/>
      <c r="B5529" s="316"/>
      <c r="C5529" s="247"/>
      <c r="D5529" s="317"/>
      <c r="E5529" s="318"/>
      <c r="F5529" s="247"/>
      <c r="G5529" s="247"/>
      <c r="H5529" s="248"/>
      <c r="I5529" s="248"/>
      <c r="J5529" s="247"/>
      <c r="K5529" s="249"/>
    </row>
    <row r="5530" spans="1:11" s="90" customFormat="1" ht="12.75" customHeight="1" x14ac:dyDescent="0.2">
      <c r="A5530" s="247"/>
      <c r="B5530" s="316"/>
      <c r="C5530" s="247"/>
      <c r="D5530" s="317"/>
      <c r="E5530" s="318"/>
      <c r="F5530" s="247"/>
      <c r="G5530" s="247"/>
      <c r="H5530" s="248"/>
      <c r="I5530" s="248"/>
      <c r="J5530" s="247"/>
      <c r="K5530" s="249"/>
    </row>
    <row r="5531" spans="1:11" s="90" customFormat="1" ht="12.75" customHeight="1" x14ac:dyDescent="0.2">
      <c r="A5531" s="247"/>
      <c r="B5531" s="316"/>
      <c r="C5531" s="247"/>
      <c r="D5531" s="317"/>
      <c r="E5531" s="318"/>
      <c r="F5531" s="247"/>
      <c r="G5531" s="247"/>
      <c r="H5531" s="248"/>
      <c r="I5531" s="248"/>
      <c r="J5531" s="247"/>
      <c r="K5531" s="249"/>
    </row>
    <row r="5532" spans="1:11" s="90" customFormat="1" ht="12.75" customHeight="1" x14ac:dyDescent="0.2">
      <c r="A5532" s="247"/>
      <c r="B5532" s="316"/>
      <c r="C5532" s="247"/>
      <c r="D5532" s="317"/>
      <c r="E5532" s="318"/>
      <c r="F5532" s="247"/>
      <c r="G5532" s="247"/>
      <c r="H5532" s="248"/>
      <c r="I5532" s="248"/>
      <c r="J5532" s="247"/>
      <c r="K5532" s="249"/>
    </row>
    <row r="5533" spans="1:11" s="90" customFormat="1" ht="12.75" customHeight="1" x14ac:dyDescent="0.2">
      <c r="A5533" s="247"/>
      <c r="B5533" s="316"/>
      <c r="C5533" s="247"/>
      <c r="D5533" s="317"/>
      <c r="E5533" s="318"/>
      <c r="F5533" s="247"/>
      <c r="G5533" s="247"/>
      <c r="H5533" s="248"/>
      <c r="I5533" s="248"/>
      <c r="J5533" s="247"/>
      <c r="K5533" s="249"/>
    </row>
    <row r="5534" spans="1:11" s="90" customFormat="1" ht="12.75" customHeight="1" x14ac:dyDescent="0.2">
      <c r="A5534" s="247"/>
      <c r="B5534" s="316"/>
      <c r="C5534" s="247"/>
      <c r="D5534" s="317"/>
      <c r="E5534" s="318"/>
      <c r="F5534" s="247"/>
      <c r="G5534" s="247"/>
      <c r="H5534" s="248"/>
      <c r="I5534" s="248"/>
      <c r="J5534" s="247"/>
      <c r="K5534" s="249"/>
    </row>
    <row r="5535" spans="1:11" s="90" customFormat="1" ht="12.75" customHeight="1" x14ac:dyDescent="0.2">
      <c r="A5535" s="247"/>
      <c r="B5535" s="316"/>
      <c r="C5535" s="247"/>
      <c r="D5535" s="317"/>
      <c r="E5535" s="318"/>
      <c r="F5535" s="247"/>
      <c r="G5535" s="247"/>
      <c r="H5535" s="248"/>
      <c r="I5535" s="248"/>
      <c r="J5535" s="247"/>
      <c r="K5535" s="249"/>
    </row>
    <row r="5536" spans="1:11" s="90" customFormat="1" ht="12.75" customHeight="1" x14ac:dyDescent="0.2">
      <c r="A5536" s="247"/>
      <c r="B5536" s="316"/>
      <c r="C5536" s="247"/>
      <c r="D5536" s="317"/>
      <c r="E5536" s="318"/>
      <c r="F5536" s="247"/>
      <c r="G5536" s="247"/>
      <c r="H5536" s="248"/>
      <c r="I5536" s="248"/>
      <c r="J5536" s="247"/>
      <c r="K5536" s="249"/>
    </row>
    <row r="5537" spans="1:11" s="90" customFormat="1" ht="12.75" customHeight="1" x14ac:dyDescent="0.2">
      <c r="A5537" s="247"/>
      <c r="B5537" s="316"/>
      <c r="C5537" s="247"/>
      <c r="D5537" s="317"/>
      <c r="E5537" s="318"/>
      <c r="F5537" s="247"/>
      <c r="G5537" s="247"/>
      <c r="H5537" s="248"/>
      <c r="I5537" s="248"/>
      <c r="J5537" s="247"/>
      <c r="K5537" s="249"/>
    </row>
    <row r="5538" spans="1:11" s="90" customFormat="1" ht="12.75" customHeight="1" x14ac:dyDescent="0.2">
      <c r="A5538" s="247"/>
      <c r="B5538" s="316"/>
      <c r="C5538" s="247"/>
      <c r="D5538" s="317"/>
      <c r="E5538" s="318"/>
      <c r="F5538" s="247"/>
      <c r="G5538" s="247"/>
      <c r="H5538" s="248"/>
      <c r="I5538" s="248"/>
      <c r="J5538" s="247"/>
      <c r="K5538" s="249"/>
    </row>
    <row r="5539" spans="1:11" s="90" customFormat="1" ht="12.75" customHeight="1" x14ac:dyDescent="0.2">
      <c r="A5539" s="247"/>
      <c r="B5539" s="316"/>
      <c r="C5539" s="247"/>
      <c r="D5539" s="317"/>
      <c r="E5539" s="318"/>
      <c r="F5539" s="247"/>
      <c r="G5539" s="247"/>
      <c r="H5539" s="248"/>
      <c r="I5539" s="248"/>
      <c r="J5539" s="247"/>
      <c r="K5539" s="249"/>
    </row>
    <row r="5540" spans="1:11" s="90" customFormat="1" ht="12.75" customHeight="1" x14ac:dyDescent="0.2">
      <c r="A5540" s="247"/>
      <c r="B5540" s="316"/>
      <c r="C5540" s="247"/>
      <c r="D5540" s="317"/>
      <c r="E5540" s="318"/>
      <c r="F5540" s="247"/>
      <c r="G5540" s="247"/>
      <c r="H5540" s="248"/>
      <c r="I5540" s="248"/>
      <c r="J5540" s="247"/>
      <c r="K5540" s="249"/>
    </row>
    <row r="5541" spans="1:11" s="90" customFormat="1" ht="12.75" customHeight="1" x14ac:dyDescent="0.2">
      <c r="A5541" s="247"/>
      <c r="B5541" s="316"/>
      <c r="C5541" s="247"/>
      <c r="D5541" s="317"/>
      <c r="E5541" s="318"/>
      <c r="F5541" s="247"/>
      <c r="G5541" s="247"/>
      <c r="H5541" s="248"/>
      <c r="I5541" s="248"/>
      <c r="J5541" s="247"/>
      <c r="K5541" s="249"/>
    </row>
    <row r="5542" spans="1:11" s="90" customFormat="1" ht="12.75" customHeight="1" x14ac:dyDescent="0.2">
      <c r="A5542" s="247"/>
      <c r="B5542" s="316"/>
      <c r="C5542" s="247"/>
      <c r="D5542" s="317"/>
      <c r="E5542" s="318"/>
      <c r="F5542" s="247"/>
      <c r="G5542" s="247"/>
      <c r="H5542" s="248"/>
      <c r="I5542" s="248"/>
      <c r="J5542" s="247"/>
      <c r="K5542" s="249"/>
    </row>
    <row r="5543" spans="1:11" s="90" customFormat="1" ht="12.75" customHeight="1" x14ac:dyDescent="0.2">
      <c r="A5543" s="247"/>
      <c r="B5543" s="316"/>
      <c r="C5543" s="247"/>
      <c r="D5543" s="317"/>
      <c r="E5543" s="318"/>
      <c r="F5543" s="247"/>
      <c r="G5543" s="247"/>
      <c r="H5543" s="248"/>
      <c r="I5543" s="248"/>
      <c r="J5543" s="247"/>
      <c r="K5543" s="249"/>
    </row>
    <row r="5544" spans="1:11" s="90" customFormat="1" ht="12.75" customHeight="1" x14ac:dyDescent="0.2">
      <c r="A5544" s="247"/>
      <c r="B5544" s="316"/>
      <c r="C5544" s="247"/>
      <c r="D5544" s="317"/>
      <c r="E5544" s="318"/>
      <c r="F5544" s="247"/>
      <c r="G5544" s="247"/>
      <c r="H5544" s="248"/>
      <c r="I5544" s="248"/>
      <c r="J5544" s="247"/>
      <c r="K5544" s="249"/>
    </row>
    <row r="5545" spans="1:11" s="90" customFormat="1" ht="12.75" customHeight="1" x14ac:dyDescent="0.2">
      <c r="A5545" s="247"/>
      <c r="B5545" s="316"/>
      <c r="C5545" s="247"/>
      <c r="D5545" s="317"/>
      <c r="E5545" s="318"/>
      <c r="F5545" s="247"/>
      <c r="G5545" s="247"/>
      <c r="H5545" s="248"/>
      <c r="I5545" s="248"/>
      <c r="J5545" s="247"/>
      <c r="K5545" s="249"/>
    </row>
    <row r="5546" spans="1:11" s="90" customFormat="1" ht="12.75" customHeight="1" x14ac:dyDescent="0.2">
      <c r="A5546" s="247"/>
      <c r="B5546" s="316"/>
      <c r="C5546" s="247"/>
      <c r="D5546" s="317"/>
      <c r="E5546" s="318"/>
      <c r="F5546" s="247"/>
      <c r="G5546" s="247"/>
      <c r="H5546" s="248"/>
      <c r="I5546" s="248"/>
      <c r="J5546" s="247"/>
      <c r="K5546" s="249"/>
    </row>
    <row r="5547" spans="1:11" s="90" customFormat="1" ht="12.75" customHeight="1" x14ac:dyDescent="0.2">
      <c r="A5547" s="247"/>
      <c r="B5547" s="316"/>
      <c r="C5547" s="247"/>
      <c r="D5547" s="317"/>
      <c r="E5547" s="318"/>
      <c r="F5547" s="247"/>
      <c r="G5547" s="247"/>
      <c r="H5547" s="248"/>
      <c r="I5547" s="248"/>
      <c r="J5547" s="247"/>
      <c r="K5547" s="249"/>
    </row>
    <row r="5548" spans="1:11" s="90" customFormat="1" ht="12.75" customHeight="1" x14ac:dyDescent="0.2">
      <c r="A5548" s="247"/>
      <c r="B5548" s="316"/>
      <c r="C5548" s="247"/>
      <c r="D5548" s="317"/>
      <c r="E5548" s="318"/>
      <c r="F5548" s="247"/>
      <c r="G5548" s="247"/>
      <c r="H5548" s="248"/>
      <c r="I5548" s="248"/>
      <c r="J5548" s="247"/>
      <c r="K5548" s="249"/>
    </row>
    <row r="5549" spans="1:11" s="90" customFormat="1" ht="12.75" customHeight="1" x14ac:dyDescent="0.2">
      <c r="A5549" s="247"/>
      <c r="B5549" s="316"/>
      <c r="C5549" s="247"/>
      <c r="D5549" s="317"/>
      <c r="E5549" s="318"/>
      <c r="F5549" s="247"/>
      <c r="G5549" s="247"/>
      <c r="H5549" s="248"/>
      <c r="I5549" s="248"/>
      <c r="J5549" s="247"/>
      <c r="K5549" s="249"/>
    </row>
    <row r="5550" spans="1:11" s="90" customFormat="1" ht="12.75" customHeight="1" x14ac:dyDescent="0.2">
      <c r="A5550" s="247"/>
      <c r="B5550" s="316"/>
      <c r="C5550" s="247"/>
      <c r="D5550" s="317"/>
      <c r="E5550" s="318"/>
      <c r="F5550" s="247"/>
      <c r="G5550" s="247"/>
      <c r="H5550" s="248"/>
      <c r="I5550" s="248"/>
      <c r="J5550" s="247"/>
      <c r="K5550" s="249"/>
    </row>
    <row r="5551" spans="1:11" s="90" customFormat="1" ht="12.75" customHeight="1" x14ac:dyDescent="0.2">
      <c r="A5551" s="247"/>
      <c r="B5551" s="316"/>
      <c r="C5551" s="247"/>
      <c r="D5551" s="317"/>
      <c r="E5551" s="318"/>
      <c r="F5551" s="247"/>
      <c r="G5551" s="247"/>
      <c r="H5551" s="248"/>
      <c r="I5551" s="248"/>
      <c r="J5551" s="247"/>
      <c r="K5551" s="249"/>
    </row>
    <row r="5552" spans="1:11" s="90" customFormat="1" ht="12.75" customHeight="1" x14ac:dyDescent="0.2">
      <c r="A5552" s="247"/>
      <c r="B5552" s="316"/>
      <c r="C5552" s="247"/>
      <c r="D5552" s="317"/>
      <c r="E5552" s="318"/>
      <c r="F5552" s="247"/>
      <c r="G5552" s="247"/>
      <c r="H5552" s="248"/>
      <c r="I5552" s="248"/>
      <c r="J5552" s="247"/>
      <c r="K5552" s="249"/>
    </row>
    <row r="5553" spans="1:11" s="90" customFormat="1" ht="12.75" customHeight="1" x14ac:dyDescent="0.2">
      <c r="A5553" s="247"/>
      <c r="B5553" s="316"/>
      <c r="C5553" s="247"/>
      <c r="D5553" s="317"/>
      <c r="E5553" s="318"/>
      <c r="F5553" s="247"/>
      <c r="G5553" s="247"/>
      <c r="H5553" s="248"/>
      <c r="I5553" s="248"/>
      <c r="J5553" s="247"/>
      <c r="K5553" s="249"/>
    </row>
    <row r="5554" spans="1:11" s="90" customFormat="1" ht="12.75" customHeight="1" x14ac:dyDescent="0.2">
      <c r="A5554" s="247"/>
      <c r="B5554" s="316"/>
      <c r="C5554" s="247"/>
      <c r="D5554" s="317"/>
      <c r="E5554" s="318"/>
      <c r="F5554" s="247"/>
      <c r="G5554" s="247"/>
      <c r="H5554" s="248"/>
      <c r="I5554" s="248"/>
      <c r="J5554" s="247"/>
      <c r="K5554" s="249"/>
    </row>
    <row r="5555" spans="1:11" s="90" customFormat="1" ht="12.75" customHeight="1" x14ac:dyDescent="0.2">
      <c r="A5555" s="247"/>
      <c r="B5555" s="316"/>
      <c r="C5555" s="247"/>
      <c r="D5555" s="317"/>
      <c r="E5555" s="318"/>
      <c r="F5555" s="247"/>
      <c r="G5555" s="247"/>
      <c r="H5555" s="248"/>
      <c r="I5555" s="248"/>
      <c r="J5555" s="247"/>
      <c r="K5555" s="249"/>
    </row>
    <row r="5556" spans="1:11" s="90" customFormat="1" ht="12.75" customHeight="1" x14ac:dyDescent="0.2">
      <c r="A5556" s="247"/>
      <c r="B5556" s="316"/>
      <c r="C5556" s="247"/>
      <c r="D5556" s="317"/>
      <c r="E5556" s="318"/>
      <c r="F5556" s="247"/>
      <c r="G5556" s="247"/>
      <c r="H5556" s="248"/>
      <c r="I5556" s="248"/>
      <c r="J5556" s="247"/>
      <c r="K5556" s="249"/>
    </row>
    <row r="5557" spans="1:11" s="90" customFormat="1" ht="12.75" customHeight="1" x14ac:dyDescent="0.2">
      <c r="A5557" s="247"/>
      <c r="B5557" s="316"/>
      <c r="C5557" s="247"/>
      <c r="D5557" s="317"/>
      <c r="E5557" s="318"/>
      <c r="F5557" s="247"/>
      <c r="G5557" s="247"/>
      <c r="H5557" s="248"/>
      <c r="I5557" s="248"/>
      <c r="J5557" s="247"/>
      <c r="K5557" s="249"/>
    </row>
    <row r="5558" spans="1:11" s="90" customFormat="1" ht="12.75" customHeight="1" x14ac:dyDescent="0.2">
      <c r="A5558" s="247"/>
      <c r="B5558" s="316"/>
      <c r="C5558" s="247"/>
      <c r="D5558" s="317"/>
      <c r="E5558" s="318"/>
      <c r="F5558" s="247"/>
      <c r="G5558" s="247"/>
      <c r="H5558" s="248"/>
      <c r="I5558" s="248"/>
      <c r="J5558" s="247"/>
      <c r="K5558" s="249"/>
    </row>
    <row r="5559" spans="1:11" s="90" customFormat="1" ht="12.75" customHeight="1" x14ac:dyDescent="0.2">
      <c r="A5559" s="247"/>
      <c r="B5559" s="316"/>
      <c r="C5559" s="247"/>
      <c r="D5559" s="317"/>
      <c r="E5559" s="318"/>
      <c r="F5559" s="247"/>
      <c r="G5559" s="247"/>
      <c r="H5559" s="248"/>
      <c r="I5559" s="248"/>
      <c r="J5559" s="247"/>
      <c r="K5559" s="249"/>
    </row>
    <row r="5560" spans="1:11" s="90" customFormat="1" ht="12.75" customHeight="1" x14ac:dyDescent="0.2">
      <c r="A5560" s="247"/>
      <c r="B5560" s="316"/>
      <c r="C5560" s="247"/>
      <c r="D5560" s="317"/>
      <c r="E5560" s="318"/>
      <c r="F5560" s="247"/>
      <c r="G5560" s="247"/>
      <c r="H5560" s="248"/>
      <c r="I5560" s="248"/>
      <c r="J5560" s="247"/>
      <c r="K5560" s="249"/>
    </row>
    <row r="5561" spans="1:11" s="90" customFormat="1" ht="12.75" customHeight="1" x14ac:dyDescent="0.2">
      <c r="A5561" s="247"/>
      <c r="B5561" s="316"/>
      <c r="C5561" s="247"/>
      <c r="D5561" s="317"/>
      <c r="E5561" s="318"/>
      <c r="F5561" s="247"/>
      <c r="G5561" s="247"/>
      <c r="H5561" s="248"/>
      <c r="I5561" s="248"/>
      <c r="J5561" s="247"/>
      <c r="K5561" s="249"/>
    </row>
    <row r="5562" spans="1:11" s="90" customFormat="1" ht="12.75" customHeight="1" x14ac:dyDescent="0.2">
      <c r="A5562" s="247"/>
      <c r="B5562" s="316"/>
      <c r="C5562" s="247"/>
      <c r="D5562" s="317"/>
      <c r="E5562" s="318"/>
      <c r="F5562" s="247"/>
      <c r="G5562" s="247"/>
      <c r="H5562" s="248"/>
      <c r="I5562" s="248"/>
      <c r="J5562" s="247"/>
      <c r="K5562" s="249"/>
    </row>
    <row r="5563" spans="1:11" s="90" customFormat="1" ht="12.75" customHeight="1" x14ac:dyDescent="0.2">
      <c r="A5563" s="247"/>
      <c r="B5563" s="316"/>
      <c r="C5563" s="247"/>
      <c r="D5563" s="317"/>
      <c r="E5563" s="318"/>
      <c r="F5563" s="247"/>
      <c r="G5563" s="247"/>
      <c r="H5563" s="248"/>
      <c r="I5563" s="248"/>
      <c r="J5563" s="247"/>
      <c r="K5563" s="249"/>
    </row>
    <row r="5564" spans="1:11" s="90" customFormat="1" ht="12.75" customHeight="1" x14ac:dyDescent="0.2">
      <c r="A5564" s="247"/>
      <c r="B5564" s="316"/>
      <c r="C5564" s="247"/>
      <c r="D5564" s="317"/>
      <c r="E5564" s="318"/>
      <c r="F5564" s="247"/>
      <c r="G5564" s="247"/>
      <c r="H5564" s="248"/>
      <c r="I5564" s="248"/>
      <c r="J5564" s="247"/>
      <c r="K5564" s="249"/>
    </row>
    <row r="5565" spans="1:11" s="90" customFormat="1" ht="12.75" customHeight="1" x14ac:dyDescent="0.2">
      <c r="A5565" s="247"/>
      <c r="B5565" s="316"/>
      <c r="C5565" s="247"/>
      <c r="D5565" s="317"/>
      <c r="E5565" s="318"/>
      <c r="F5565" s="247"/>
      <c r="G5565" s="247"/>
      <c r="H5565" s="248"/>
      <c r="I5565" s="248"/>
      <c r="J5565" s="247"/>
      <c r="K5565" s="249"/>
    </row>
    <row r="5566" spans="1:11" s="90" customFormat="1" ht="12.75" customHeight="1" x14ac:dyDescent="0.2">
      <c r="A5566" s="247"/>
      <c r="B5566" s="316"/>
      <c r="C5566" s="247"/>
      <c r="D5566" s="317"/>
      <c r="E5566" s="318"/>
      <c r="F5566" s="247"/>
      <c r="G5566" s="247"/>
      <c r="H5566" s="248"/>
      <c r="I5566" s="248"/>
      <c r="J5566" s="247"/>
      <c r="K5566" s="249"/>
    </row>
    <row r="5567" spans="1:11" s="90" customFormat="1" ht="12.75" customHeight="1" x14ac:dyDescent="0.2">
      <c r="A5567" s="247"/>
      <c r="B5567" s="316"/>
      <c r="C5567" s="247"/>
      <c r="D5567" s="317"/>
      <c r="E5567" s="318"/>
      <c r="F5567" s="247"/>
      <c r="G5567" s="247"/>
      <c r="H5567" s="248"/>
      <c r="I5567" s="248"/>
      <c r="J5567" s="247"/>
      <c r="K5567" s="249"/>
    </row>
    <row r="5568" spans="1:11" s="90" customFormat="1" ht="12.75" customHeight="1" x14ac:dyDescent="0.2">
      <c r="A5568" s="247"/>
      <c r="B5568" s="316"/>
      <c r="C5568" s="247"/>
      <c r="D5568" s="317"/>
      <c r="E5568" s="318"/>
      <c r="F5568" s="247"/>
      <c r="G5568" s="247"/>
      <c r="H5568" s="248"/>
      <c r="I5568" s="248"/>
      <c r="J5568" s="247"/>
      <c r="K5568" s="249"/>
    </row>
    <row r="5569" spans="1:11" s="90" customFormat="1" ht="12.75" customHeight="1" x14ac:dyDescent="0.2">
      <c r="A5569" s="247"/>
      <c r="B5569" s="316"/>
      <c r="C5569" s="247"/>
      <c r="D5569" s="317"/>
      <c r="E5569" s="318"/>
      <c r="F5569" s="247"/>
      <c r="G5569" s="247"/>
      <c r="H5569" s="248"/>
      <c r="I5569" s="248"/>
      <c r="J5569" s="247"/>
      <c r="K5569" s="249"/>
    </row>
    <row r="5570" spans="1:11" s="90" customFormat="1" ht="12.75" customHeight="1" x14ac:dyDescent="0.2">
      <c r="A5570" s="247"/>
      <c r="B5570" s="316"/>
      <c r="C5570" s="247"/>
      <c r="D5570" s="317"/>
      <c r="E5570" s="318"/>
      <c r="F5570" s="247"/>
      <c r="G5570" s="247"/>
      <c r="H5570" s="248"/>
      <c r="I5570" s="248"/>
      <c r="J5570" s="247"/>
      <c r="K5570" s="249"/>
    </row>
    <row r="5571" spans="1:11" s="90" customFormat="1" ht="12.75" customHeight="1" x14ac:dyDescent="0.2">
      <c r="A5571" s="247"/>
      <c r="B5571" s="316"/>
      <c r="C5571" s="247"/>
      <c r="D5571" s="317"/>
      <c r="E5571" s="318"/>
      <c r="F5571" s="247"/>
      <c r="G5571" s="247"/>
      <c r="H5571" s="248"/>
      <c r="I5571" s="248"/>
      <c r="J5571" s="247"/>
      <c r="K5571" s="249"/>
    </row>
    <row r="5572" spans="1:11" s="90" customFormat="1" ht="12.75" customHeight="1" x14ac:dyDescent="0.2">
      <c r="A5572" s="247"/>
      <c r="B5572" s="316"/>
      <c r="C5572" s="247"/>
      <c r="D5572" s="317"/>
      <c r="E5572" s="318"/>
      <c r="F5572" s="247"/>
      <c r="G5572" s="247"/>
      <c r="H5572" s="248"/>
      <c r="I5572" s="248"/>
      <c r="J5572" s="247"/>
      <c r="K5572" s="249"/>
    </row>
    <row r="5573" spans="1:11" s="90" customFormat="1" ht="12.75" customHeight="1" x14ac:dyDescent="0.2">
      <c r="A5573" s="247"/>
      <c r="B5573" s="316"/>
      <c r="C5573" s="247"/>
      <c r="D5573" s="317"/>
      <c r="E5573" s="318"/>
      <c r="F5573" s="247"/>
      <c r="G5573" s="247"/>
      <c r="H5573" s="248"/>
      <c r="I5573" s="248"/>
      <c r="J5573" s="247"/>
      <c r="K5573" s="249"/>
    </row>
    <row r="5574" spans="1:11" s="90" customFormat="1" ht="12.75" customHeight="1" x14ac:dyDescent="0.2">
      <c r="A5574" s="247"/>
      <c r="B5574" s="316"/>
      <c r="C5574" s="247"/>
      <c r="D5574" s="317"/>
      <c r="E5574" s="318"/>
      <c r="F5574" s="247"/>
      <c r="G5574" s="247"/>
      <c r="H5574" s="248"/>
      <c r="I5574" s="248"/>
      <c r="J5574" s="247"/>
      <c r="K5574" s="249"/>
    </row>
    <row r="5575" spans="1:11" s="90" customFormat="1" ht="12.75" customHeight="1" x14ac:dyDescent="0.2">
      <c r="A5575" s="247"/>
      <c r="B5575" s="316"/>
      <c r="C5575" s="247"/>
      <c r="D5575" s="317"/>
      <c r="E5575" s="318"/>
      <c r="F5575" s="247"/>
      <c r="G5575" s="247"/>
      <c r="H5575" s="248"/>
      <c r="I5575" s="248"/>
      <c r="J5575" s="247"/>
      <c r="K5575" s="249"/>
    </row>
    <row r="5576" spans="1:11" s="90" customFormat="1" ht="12.75" customHeight="1" x14ac:dyDescent="0.2">
      <c r="A5576" s="247"/>
      <c r="B5576" s="316"/>
      <c r="C5576" s="247"/>
      <c r="D5576" s="317"/>
      <c r="E5576" s="318"/>
      <c r="F5576" s="247"/>
      <c r="G5576" s="247"/>
      <c r="H5576" s="248"/>
      <c r="I5576" s="248"/>
      <c r="J5576" s="247"/>
      <c r="K5576" s="249"/>
    </row>
    <row r="5577" spans="1:11" s="90" customFormat="1" ht="12.75" customHeight="1" x14ac:dyDescent="0.2">
      <c r="A5577" s="247"/>
      <c r="B5577" s="316"/>
      <c r="C5577" s="247"/>
      <c r="D5577" s="317"/>
      <c r="E5577" s="318"/>
      <c r="F5577" s="247"/>
      <c r="G5577" s="247"/>
      <c r="H5577" s="248"/>
      <c r="I5577" s="248"/>
      <c r="J5577" s="247"/>
      <c r="K5577" s="249"/>
    </row>
    <row r="5578" spans="1:11" s="90" customFormat="1" ht="12.75" customHeight="1" x14ac:dyDescent="0.2">
      <c r="A5578" s="247"/>
      <c r="B5578" s="316"/>
      <c r="C5578" s="247"/>
      <c r="D5578" s="317"/>
      <c r="E5578" s="318"/>
      <c r="F5578" s="247"/>
      <c r="G5578" s="247"/>
      <c r="H5578" s="248"/>
      <c r="I5578" s="248"/>
      <c r="J5578" s="247"/>
      <c r="K5578" s="249"/>
    </row>
    <row r="5579" spans="1:11" s="90" customFormat="1" ht="12.75" customHeight="1" x14ac:dyDescent="0.2">
      <c r="A5579" s="247"/>
      <c r="B5579" s="316"/>
      <c r="C5579" s="247"/>
      <c r="D5579" s="317"/>
      <c r="E5579" s="318"/>
      <c r="F5579" s="247"/>
      <c r="G5579" s="247"/>
      <c r="H5579" s="248"/>
      <c r="I5579" s="248"/>
      <c r="J5579" s="247"/>
      <c r="K5579" s="249"/>
    </row>
    <row r="5580" spans="1:11" s="90" customFormat="1" ht="12.75" customHeight="1" x14ac:dyDescent="0.2">
      <c r="A5580" s="247"/>
      <c r="B5580" s="316"/>
      <c r="C5580" s="247"/>
      <c r="D5580" s="317"/>
      <c r="E5580" s="318"/>
      <c r="F5580" s="247"/>
      <c r="G5580" s="247"/>
      <c r="H5580" s="248"/>
      <c r="I5580" s="248"/>
      <c r="J5580" s="247"/>
      <c r="K5580" s="249"/>
    </row>
    <row r="5581" spans="1:11" s="90" customFormat="1" ht="12.75" customHeight="1" x14ac:dyDescent="0.2">
      <c r="A5581" s="247"/>
      <c r="B5581" s="316"/>
      <c r="C5581" s="247"/>
      <c r="D5581" s="317"/>
      <c r="E5581" s="318"/>
      <c r="F5581" s="247"/>
      <c r="G5581" s="247"/>
      <c r="H5581" s="248"/>
      <c r="I5581" s="248"/>
      <c r="J5581" s="247"/>
      <c r="K5581" s="249"/>
    </row>
    <row r="5582" spans="1:11" s="90" customFormat="1" ht="12.75" customHeight="1" x14ac:dyDescent="0.2">
      <c r="A5582" s="247"/>
      <c r="B5582" s="316"/>
      <c r="C5582" s="247"/>
      <c r="D5582" s="317"/>
      <c r="E5582" s="318"/>
      <c r="F5582" s="247"/>
      <c r="G5582" s="247"/>
      <c r="H5582" s="248"/>
      <c r="I5582" s="248"/>
      <c r="J5582" s="247"/>
      <c r="K5582" s="249"/>
    </row>
    <row r="5583" spans="1:11" s="90" customFormat="1" ht="12.75" customHeight="1" x14ac:dyDescent="0.2">
      <c r="A5583" s="247"/>
      <c r="B5583" s="316"/>
      <c r="C5583" s="247"/>
      <c r="D5583" s="317"/>
      <c r="E5583" s="318"/>
      <c r="F5583" s="247"/>
      <c r="G5583" s="247"/>
      <c r="H5583" s="248"/>
      <c r="I5583" s="248"/>
      <c r="J5583" s="247"/>
      <c r="K5583" s="249"/>
    </row>
    <row r="5584" spans="1:11" s="90" customFormat="1" ht="12.75" customHeight="1" x14ac:dyDescent="0.2">
      <c r="A5584" s="247"/>
      <c r="B5584" s="316"/>
      <c r="C5584" s="247"/>
      <c r="D5584" s="317"/>
      <c r="E5584" s="318"/>
      <c r="F5584" s="247"/>
      <c r="G5584" s="247"/>
      <c r="H5584" s="248"/>
      <c r="I5584" s="248"/>
      <c r="J5584" s="247"/>
      <c r="K5584" s="249"/>
    </row>
    <row r="5585" spans="1:11" s="90" customFormat="1" ht="12.75" customHeight="1" x14ac:dyDescent="0.2">
      <c r="A5585" s="247"/>
      <c r="B5585" s="316"/>
      <c r="C5585" s="247"/>
      <c r="D5585" s="317"/>
      <c r="E5585" s="318"/>
      <c r="F5585" s="247"/>
      <c r="G5585" s="247"/>
      <c r="H5585" s="248"/>
      <c r="I5585" s="248"/>
      <c r="J5585" s="247"/>
      <c r="K5585" s="249"/>
    </row>
    <row r="5586" spans="1:11" s="90" customFormat="1" ht="12.75" customHeight="1" x14ac:dyDescent="0.2">
      <c r="A5586" s="247"/>
      <c r="B5586" s="316"/>
      <c r="C5586" s="247"/>
      <c r="D5586" s="317"/>
      <c r="E5586" s="318"/>
      <c r="F5586" s="247"/>
      <c r="G5586" s="247"/>
      <c r="H5586" s="248"/>
      <c r="I5586" s="248"/>
      <c r="J5586" s="247"/>
      <c r="K5586" s="249"/>
    </row>
    <row r="5587" spans="1:11" s="90" customFormat="1" ht="12.75" customHeight="1" x14ac:dyDescent="0.2">
      <c r="A5587" s="247"/>
      <c r="B5587" s="316"/>
      <c r="C5587" s="247"/>
      <c r="D5587" s="317"/>
      <c r="E5587" s="318"/>
      <c r="F5587" s="247"/>
      <c r="G5587" s="247"/>
      <c r="H5587" s="248"/>
      <c r="I5587" s="248"/>
      <c r="J5587" s="247"/>
      <c r="K5587" s="249"/>
    </row>
    <row r="5588" spans="1:11" s="90" customFormat="1" ht="12.75" customHeight="1" x14ac:dyDescent="0.2">
      <c r="A5588" s="247"/>
      <c r="B5588" s="316"/>
      <c r="C5588" s="247"/>
      <c r="D5588" s="317"/>
      <c r="E5588" s="318"/>
      <c r="F5588" s="247"/>
      <c r="G5588" s="247"/>
      <c r="H5588" s="248"/>
      <c r="I5588" s="248"/>
      <c r="J5588" s="247"/>
      <c r="K5588" s="249"/>
    </row>
    <row r="5589" spans="1:11" s="90" customFormat="1" ht="12.75" customHeight="1" x14ac:dyDescent="0.2">
      <c r="A5589" s="247"/>
      <c r="B5589" s="316"/>
      <c r="C5589" s="247"/>
      <c r="D5589" s="317"/>
      <c r="E5589" s="318"/>
      <c r="F5589" s="247"/>
      <c r="G5589" s="247"/>
      <c r="H5589" s="248"/>
      <c r="I5589" s="248"/>
      <c r="J5589" s="247"/>
      <c r="K5589" s="249"/>
    </row>
    <row r="5590" spans="1:11" s="90" customFormat="1" ht="12.75" customHeight="1" x14ac:dyDescent="0.2">
      <c r="A5590" s="247"/>
      <c r="B5590" s="316"/>
      <c r="C5590" s="247"/>
      <c r="D5590" s="317"/>
      <c r="E5590" s="318"/>
      <c r="F5590" s="247"/>
      <c r="G5590" s="247"/>
      <c r="H5590" s="248"/>
      <c r="I5590" s="248"/>
      <c r="J5590" s="247"/>
      <c r="K5590" s="249"/>
    </row>
    <row r="5591" spans="1:11" s="90" customFormat="1" ht="12.75" customHeight="1" x14ac:dyDescent="0.2">
      <c r="A5591" s="247"/>
      <c r="B5591" s="316"/>
      <c r="C5591" s="247"/>
      <c r="D5591" s="317"/>
      <c r="E5591" s="318"/>
      <c r="F5591" s="247"/>
      <c r="G5591" s="247"/>
      <c r="H5591" s="248"/>
      <c r="I5591" s="248"/>
      <c r="J5591" s="247"/>
      <c r="K5591" s="249"/>
    </row>
    <row r="5592" spans="1:11" s="90" customFormat="1" ht="12.75" customHeight="1" x14ac:dyDescent="0.2">
      <c r="A5592" s="247"/>
      <c r="B5592" s="316"/>
      <c r="C5592" s="247"/>
      <c r="D5592" s="317"/>
      <c r="E5592" s="318"/>
      <c r="F5592" s="247"/>
      <c r="G5592" s="247"/>
      <c r="H5592" s="248"/>
      <c r="I5592" s="248"/>
      <c r="J5592" s="247"/>
      <c r="K5592" s="249"/>
    </row>
    <row r="5593" spans="1:11" s="90" customFormat="1" ht="12.75" customHeight="1" x14ac:dyDescent="0.2">
      <c r="A5593" s="247"/>
      <c r="B5593" s="316"/>
      <c r="C5593" s="247"/>
      <c r="D5593" s="317"/>
      <c r="E5593" s="318"/>
      <c r="F5593" s="247"/>
      <c r="G5593" s="247"/>
      <c r="H5593" s="248"/>
      <c r="I5593" s="248"/>
      <c r="J5593" s="247"/>
      <c r="K5593" s="249"/>
    </row>
    <row r="5594" spans="1:11" s="90" customFormat="1" ht="12.75" customHeight="1" x14ac:dyDescent="0.2">
      <c r="A5594" s="247"/>
      <c r="B5594" s="316"/>
      <c r="C5594" s="247"/>
      <c r="D5594" s="317"/>
      <c r="E5594" s="318"/>
      <c r="F5594" s="247"/>
      <c r="G5594" s="247"/>
      <c r="H5594" s="248"/>
      <c r="I5594" s="248"/>
      <c r="J5594" s="247"/>
      <c r="K5594" s="249"/>
    </row>
    <row r="5595" spans="1:11" s="90" customFormat="1" ht="12.75" customHeight="1" x14ac:dyDescent="0.2">
      <c r="A5595" s="247"/>
      <c r="B5595" s="316"/>
      <c r="C5595" s="247"/>
      <c r="D5595" s="317"/>
      <c r="E5595" s="318"/>
      <c r="F5595" s="247"/>
      <c r="G5595" s="247"/>
      <c r="H5595" s="248"/>
      <c r="I5595" s="248"/>
      <c r="J5595" s="247"/>
      <c r="K5595" s="249"/>
    </row>
    <row r="5596" spans="1:11" s="90" customFormat="1" ht="12.75" customHeight="1" x14ac:dyDescent="0.2">
      <c r="A5596" s="247"/>
      <c r="B5596" s="316"/>
      <c r="C5596" s="247"/>
      <c r="D5596" s="317"/>
      <c r="E5596" s="318"/>
      <c r="F5596" s="247"/>
      <c r="G5596" s="247"/>
      <c r="H5596" s="248"/>
      <c r="I5596" s="248"/>
      <c r="J5596" s="247"/>
      <c r="K5596" s="249"/>
    </row>
    <row r="5597" spans="1:11" s="90" customFormat="1" ht="12.75" customHeight="1" x14ac:dyDescent="0.2">
      <c r="A5597" s="247"/>
      <c r="B5597" s="316"/>
      <c r="C5597" s="247"/>
      <c r="D5597" s="317"/>
      <c r="E5597" s="318"/>
      <c r="F5597" s="247"/>
      <c r="G5597" s="247"/>
      <c r="H5597" s="248"/>
      <c r="I5597" s="248"/>
      <c r="J5597" s="247"/>
      <c r="K5597" s="249"/>
    </row>
    <row r="5598" spans="1:11" s="90" customFormat="1" ht="12.75" customHeight="1" x14ac:dyDescent="0.2">
      <c r="A5598" s="247"/>
      <c r="B5598" s="316"/>
      <c r="C5598" s="247"/>
      <c r="D5598" s="317"/>
      <c r="E5598" s="318"/>
      <c r="F5598" s="247"/>
      <c r="G5598" s="247"/>
      <c r="H5598" s="248"/>
      <c r="I5598" s="248"/>
      <c r="J5598" s="247"/>
      <c r="K5598" s="249"/>
    </row>
    <row r="5599" spans="1:11" s="90" customFormat="1" ht="12.75" customHeight="1" x14ac:dyDescent="0.2">
      <c r="A5599" s="247"/>
      <c r="B5599" s="316"/>
      <c r="C5599" s="247"/>
      <c r="D5599" s="317"/>
      <c r="E5599" s="318"/>
      <c r="F5599" s="247"/>
      <c r="G5599" s="247"/>
      <c r="H5599" s="248"/>
      <c r="I5599" s="248"/>
      <c r="J5599" s="247"/>
      <c r="K5599" s="249"/>
    </row>
    <row r="5600" spans="1:11" s="90" customFormat="1" ht="12.75" customHeight="1" x14ac:dyDescent="0.2">
      <c r="A5600" s="247"/>
      <c r="B5600" s="316"/>
      <c r="C5600" s="247"/>
      <c r="D5600" s="317"/>
      <c r="E5600" s="318"/>
      <c r="F5600" s="247"/>
      <c r="G5600" s="247"/>
      <c r="H5600" s="248"/>
      <c r="I5600" s="248"/>
      <c r="J5600" s="247"/>
      <c r="K5600" s="249"/>
    </row>
    <row r="5601" spans="1:11" s="90" customFormat="1" ht="12.75" customHeight="1" x14ac:dyDescent="0.2">
      <c r="A5601" s="247"/>
      <c r="B5601" s="316"/>
      <c r="C5601" s="247"/>
      <c r="D5601" s="317"/>
      <c r="E5601" s="318"/>
      <c r="F5601" s="247"/>
      <c r="G5601" s="247"/>
      <c r="H5601" s="248"/>
      <c r="I5601" s="248"/>
      <c r="J5601" s="247"/>
      <c r="K5601" s="249"/>
    </row>
    <row r="5602" spans="1:11" s="90" customFormat="1" ht="12.75" customHeight="1" x14ac:dyDescent="0.2">
      <c r="A5602" s="247"/>
      <c r="B5602" s="316"/>
      <c r="C5602" s="247"/>
      <c r="D5602" s="317"/>
      <c r="E5602" s="318"/>
      <c r="F5602" s="247"/>
      <c r="G5602" s="247"/>
      <c r="H5602" s="248"/>
      <c r="I5602" s="248"/>
      <c r="J5602" s="247"/>
      <c r="K5602" s="249"/>
    </row>
    <row r="5603" spans="1:11" s="90" customFormat="1" ht="12.75" customHeight="1" x14ac:dyDescent="0.2">
      <c r="A5603" s="247"/>
      <c r="B5603" s="316"/>
      <c r="C5603" s="247"/>
      <c r="D5603" s="317"/>
      <c r="E5603" s="318"/>
      <c r="F5603" s="247"/>
      <c r="G5603" s="247"/>
      <c r="H5603" s="248"/>
      <c r="I5603" s="248"/>
      <c r="J5603" s="247"/>
      <c r="K5603" s="249"/>
    </row>
    <row r="5604" spans="1:11" s="90" customFormat="1" ht="12.75" customHeight="1" x14ac:dyDescent="0.2">
      <c r="A5604" s="247"/>
      <c r="B5604" s="316"/>
      <c r="C5604" s="247"/>
      <c r="D5604" s="317"/>
      <c r="E5604" s="318"/>
      <c r="F5604" s="247"/>
      <c r="G5604" s="247"/>
      <c r="H5604" s="248"/>
      <c r="I5604" s="248"/>
      <c r="J5604" s="247"/>
      <c r="K5604" s="249"/>
    </row>
    <row r="5605" spans="1:11" s="90" customFormat="1" ht="12.75" customHeight="1" x14ac:dyDescent="0.2">
      <c r="A5605" s="247"/>
      <c r="B5605" s="316"/>
      <c r="C5605" s="247"/>
      <c r="D5605" s="317"/>
      <c r="E5605" s="318"/>
      <c r="F5605" s="247"/>
      <c r="G5605" s="247"/>
      <c r="H5605" s="248"/>
      <c r="I5605" s="248"/>
      <c r="J5605" s="247"/>
      <c r="K5605" s="249"/>
    </row>
    <row r="5606" spans="1:11" s="90" customFormat="1" ht="12.75" customHeight="1" x14ac:dyDescent="0.2">
      <c r="A5606" s="247"/>
      <c r="B5606" s="316"/>
      <c r="C5606" s="247"/>
      <c r="D5606" s="317"/>
      <c r="E5606" s="318"/>
      <c r="F5606" s="247"/>
      <c r="G5606" s="247"/>
      <c r="H5606" s="248"/>
      <c r="I5606" s="248"/>
      <c r="J5606" s="247"/>
      <c r="K5606" s="249"/>
    </row>
    <row r="5607" spans="1:11" s="90" customFormat="1" ht="12.75" customHeight="1" x14ac:dyDescent="0.2">
      <c r="A5607" s="247"/>
      <c r="B5607" s="316"/>
      <c r="C5607" s="247"/>
      <c r="D5607" s="317"/>
      <c r="E5607" s="318"/>
      <c r="F5607" s="247"/>
      <c r="G5607" s="247"/>
      <c r="H5607" s="248"/>
      <c r="I5607" s="248"/>
      <c r="J5607" s="247"/>
      <c r="K5607" s="249"/>
    </row>
    <row r="5608" spans="1:11" s="90" customFormat="1" ht="12.75" customHeight="1" x14ac:dyDescent="0.2">
      <c r="A5608" s="247"/>
      <c r="B5608" s="316"/>
      <c r="C5608" s="247"/>
      <c r="D5608" s="317"/>
      <c r="E5608" s="318"/>
      <c r="F5608" s="247"/>
      <c r="G5608" s="247"/>
      <c r="H5608" s="248"/>
      <c r="I5608" s="248"/>
      <c r="J5608" s="247"/>
      <c r="K5608" s="249"/>
    </row>
    <row r="5609" spans="1:11" s="90" customFormat="1" ht="12.75" customHeight="1" x14ac:dyDescent="0.2">
      <c r="A5609" s="247"/>
      <c r="B5609" s="316"/>
      <c r="C5609" s="247"/>
      <c r="D5609" s="317"/>
      <c r="E5609" s="318"/>
      <c r="F5609" s="247"/>
      <c r="G5609" s="247"/>
      <c r="H5609" s="248"/>
      <c r="I5609" s="248"/>
      <c r="J5609" s="247"/>
      <c r="K5609" s="249"/>
    </row>
    <row r="5610" spans="1:11" s="90" customFormat="1" ht="12.75" customHeight="1" x14ac:dyDescent="0.2">
      <c r="A5610" s="247"/>
      <c r="B5610" s="316"/>
      <c r="C5610" s="247"/>
      <c r="D5610" s="317"/>
      <c r="E5610" s="318"/>
      <c r="F5610" s="247"/>
      <c r="G5610" s="247"/>
      <c r="H5610" s="248"/>
      <c r="I5610" s="248"/>
      <c r="J5610" s="247"/>
      <c r="K5610" s="249"/>
    </row>
    <row r="5611" spans="1:11" s="90" customFormat="1" ht="12.75" customHeight="1" x14ac:dyDescent="0.2">
      <c r="A5611" s="247"/>
      <c r="B5611" s="316"/>
      <c r="C5611" s="247"/>
      <c r="D5611" s="317"/>
      <c r="E5611" s="318"/>
      <c r="F5611" s="247"/>
      <c r="G5611" s="247"/>
      <c r="H5611" s="248"/>
      <c r="I5611" s="248"/>
      <c r="J5611" s="247"/>
      <c r="K5611" s="249"/>
    </row>
    <row r="5612" spans="1:11" s="90" customFormat="1" ht="12.75" customHeight="1" x14ac:dyDescent="0.2">
      <c r="A5612" s="247"/>
      <c r="B5612" s="316"/>
      <c r="C5612" s="247"/>
      <c r="D5612" s="317"/>
      <c r="E5612" s="318"/>
      <c r="F5612" s="247"/>
      <c r="G5612" s="247"/>
      <c r="H5612" s="248"/>
      <c r="I5612" s="248"/>
      <c r="J5612" s="247"/>
      <c r="K5612" s="249"/>
    </row>
    <row r="5613" spans="1:11" s="90" customFormat="1" ht="12.75" customHeight="1" x14ac:dyDescent="0.2">
      <c r="A5613" s="247"/>
      <c r="B5613" s="316"/>
      <c r="C5613" s="247"/>
      <c r="D5613" s="317"/>
      <c r="E5613" s="318"/>
      <c r="F5613" s="247"/>
      <c r="G5613" s="247"/>
      <c r="H5613" s="248"/>
      <c r="I5613" s="248"/>
      <c r="J5613" s="247"/>
      <c r="K5613" s="249"/>
    </row>
    <row r="5614" spans="1:11" s="90" customFormat="1" ht="12.75" customHeight="1" x14ac:dyDescent="0.2">
      <c r="A5614" s="247"/>
      <c r="B5614" s="316"/>
      <c r="C5614" s="247"/>
      <c r="D5614" s="317"/>
      <c r="E5614" s="318"/>
      <c r="F5614" s="247"/>
      <c r="G5614" s="247"/>
      <c r="H5614" s="248"/>
      <c r="I5614" s="248"/>
      <c r="J5614" s="247"/>
      <c r="K5614" s="249"/>
    </row>
    <row r="5615" spans="1:11" s="90" customFormat="1" ht="12.75" customHeight="1" x14ac:dyDescent="0.2">
      <c r="A5615" s="247"/>
      <c r="B5615" s="316"/>
      <c r="C5615" s="247"/>
      <c r="D5615" s="317"/>
      <c r="E5615" s="318"/>
      <c r="F5615" s="247"/>
      <c r="G5615" s="247"/>
      <c r="H5615" s="248"/>
      <c r="I5615" s="248"/>
      <c r="J5615" s="247"/>
      <c r="K5615" s="249"/>
    </row>
    <row r="5616" spans="1:11" s="90" customFormat="1" ht="12.75" customHeight="1" x14ac:dyDescent="0.2">
      <c r="A5616" s="247"/>
      <c r="B5616" s="316"/>
      <c r="C5616" s="247"/>
      <c r="D5616" s="317"/>
      <c r="E5616" s="318"/>
      <c r="F5616" s="247"/>
      <c r="G5616" s="247"/>
      <c r="H5616" s="248"/>
      <c r="I5616" s="248"/>
      <c r="J5616" s="247"/>
      <c r="K5616" s="249"/>
    </row>
    <row r="5617" spans="1:11" s="90" customFormat="1" ht="12.75" customHeight="1" x14ac:dyDescent="0.2">
      <c r="A5617" s="247"/>
      <c r="B5617" s="316"/>
      <c r="C5617" s="247"/>
      <c r="D5617" s="317"/>
      <c r="E5617" s="318"/>
      <c r="F5617" s="247"/>
      <c r="G5617" s="247"/>
      <c r="H5617" s="248"/>
      <c r="I5617" s="248"/>
      <c r="J5617" s="247"/>
      <c r="K5617" s="249"/>
    </row>
    <row r="5618" spans="1:11" s="90" customFormat="1" ht="12.75" customHeight="1" x14ac:dyDescent="0.2">
      <c r="A5618" s="247"/>
      <c r="B5618" s="316"/>
      <c r="C5618" s="247"/>
      <c r="D5618" s="317"/>
      <c r="E5618" s="318"/>
      <c r="F5618" s="247"/>
      <c r="G5618" s="247"/>
      <c r="H5618" s="248"/>
      <c r="I5618" s="248"/>
      <c r="J5618" s="247"/>
      <c r="K5618" s="249"/>
    </row>
    <row r="5619" spans="1:11" s="90" customFormat="1" ht="12.75" customHeight="1" x14ac:dyDescent="0.2">
      <c r="A5619" s="247"/>
      <c r="B5619" s="316"/>
      <c r="C5619" s="247"/>
      <c r="D5619" s="317"/>
      <c r="E5619" s="318"/>
      <c r="F5619" s="247"/>
      <c r="G5619" s="247"/>
      <c r="H5619" s="248"/>
      <c r="I5619" s="248"/>
      <c r="J5619" s="247"/>
      <c r="K5619" s="249"/>
    </row>
    <row r="5620" spans="1:11" s="90" customFormat="1" ht="12.75" customHeight="1" x14ac:dyDescent="0.2">
      <c r="A5620" s="247"/>
      <c r="B5620" s="316"/>
      <c r="C5620" s="247"/>
      <c r="D5620" s="317"/>
      <c r="E5620" s="318"/>
      <c r="F5620" s="247"/>
      <c r="G5620" s="247"/>
      <c r="H5620" s="248"/>
      <c r="I5620" s="248"/>
      <c r="J5620" s="247"/>
      <c r="K5620" s="249"/>
    </row>
    <row r="5621" spans="1:11" s="90" customFormat="1" ht="12.75" customHeight="1" x14ac:dyDescent="0.2">
      <c r="A5621" s="247"/>
      <c r="B5621" s="316"/>
      <c r="C5621" s="247"/>
      <c r="D5621" s="317"/>
      <c r="E5621" s="318"/>
      <c r="F5621" s="247"/>
      <c r="G5621" s="247"/>
      <c r="H5621" s="248"/>
      <c r="I5621" s="248"/>
      <c r="J5621" s="247"/>
      <c r="K5621" s="249"/>
    </row>
    <row r="5622" spans="1:11" s="90" customFormat="1" ht="12.75" customHeight="1" x14ac:dyDescent="0.2">
      <c r="A5622" s="247"/>
      <c r="B5622" s="316"/>
      <c r="C5622" s="247"/>
      <c r="D5622" s="317"/>
      <c r="E5622" s="318"/>
      <c r="F5622" s="247"/>
      <c r="G5622" s="247"/>
      <c r="H5622" s="248"/>
      <c r="I5622" s="248"/>
      <c r="J5622" s="247"/>
      <c r="K5622" s="249"/>
    </row>
    <row r="5623" spans="1:11" s="90" customFormat="1" ht="12.75" customHeight="1" x14ac:dyDescent="0.2">
      <c r="A5623" s="247"/>
      <c r="B5623" s="316"/>
      <c r="C5623" s="247"/>
      <c r="D5623" s="317"/>
      <c r="E5623" s="318"/>
      <c r="F5623" s="247"/>
      <c r="G5623" s="247"/>
      <c r="H5623" s="248"/>
      <c r="I5623" s="248"/>
      <c r="J5623" s="247"/>
      <c r="K5623" s="249"/>
    </row>
    <row r="5624" spans="1:11" s="90" customFormat="1" ht="12.75" customHeight="1" x14ac:dyDescent="0.2">
      <c r="A5624" s="247"/>
      <c r="B5624" s="316"/>
      <c r="C5624" s="247"/>
      <c r="D5624" s="317"/>
      <c r="E5624" s="318"/>
      <c r="F5624" s="247"/>
      <c r="G5624" s="247"/>
      <c r="H5624" s="248"/>
      <c r="I5624" s="248"/>
      <c r="J5624" s="247"/>
      <c r="K5624" s="249"/>
    </row>
    <row r="5625" spans="1:11" s="90" customFormat="1" ht="12.75" customHeight="1" x14ac:dyDescent="0.2">
      <c r="A5625" s="247"/>
      <c r="B5625" s="316"/>
      <c r="C5625" s="247"/>
      <c r="D5625" s="317"/>
      <c r="E5625" s="318"/>
      <c r="F5625" s="247"/>
      <c r="G5625" s="247"/>
      <c r="H5625" s="248"/>
      <c r="I5625" s="248"/>
      <c r="J5625" s="247"/>
      <c r="K5625" s="249"/>
    </row>
    <row r="5626" spans="1:11" s="90" customFormat="1" ht="12.75" customHeight="1" x14ac:dyDescent="0.2">
      <c r="A5626" s="247"/>
      <c r="B5626" s="316"/>
      <c r="C5626" s="247"/>
      <c r="D5626" s="317"/>
      <c r="E5626" s="318"/>
      <c r="F5626" s="247"/>
      <c r="G5626" s="247"/>
      <c r="H5626" s="248"/>
      <c r="I5626" s="248"/>
      <c r="J5626" s="247"/>
      <c r="K5626" s="249"/>
    </row>
    <row r="5627" spans="1:11" s="90" customFormat="1" ht="12.75" customHeight="1" x14ac:dyDescent="0.2">
      <c r="A5627" s="247"/>
      <c r="B5627" s="316"/>
      <c r="C5627" s="247"/>
      <c r="D5627" s="317"/>
      <c r="E5627" s="318"/>
      <c r="F5627" s="247"/>
      <c r="G5627" s="247"/>
      <c r="H5627" s="248"/>
      <c r="I5627" s="248"/>
      <c r="J5627" s="247"/>
      <c r="K5627" s="249"/>
    </row>
    <row r="5628" spans="1:11" s="90" customFormat="1" ht="12.75" customHeight="1" x14ac:dyDescent="0.2">
      <c r="A5628" s="247"/>
      <c r="B5628" s="316"/>
      <c r="C5628" s="247"/>
      <c r="D5628" s="317"/>
      <c r="E5628" s="318"/>
      <c r="F5628" s="247"/>
      <c r="G5628" s="247"/>
      <c r="H5628" s="248"/>
      <c r="I5628" s="248"/>
      <c r="J5628" s="247"/>
      <c r="K5628" s="249"/>
    </row>
    <row r="5629" spans="1:11" s="90" customFormat="1" ht="12.75" customHeight="1" x14ac:dyDescent="0.2">
      <c r="A5629" s="247"/>
      <c r="B5629" s="316"/>
      <c r="C5629" s="247"/>
      <c r="D5629" s="317"/>
      <c r="E5629" s="318"/>
      <c r="F5629" s="247"/>
      <c r="G5629" s="247"/>
      <c r="H5629" s="248"/>
      <c r="I5629" s="248"/>
      <c r="J5629" s="247"/>
      <c r="K5629" s="249"/>
    </row>
    <row r="5630" spans="1:11" s="90" customFormat="1" ht="12.75" customHeight="1" x14ac:dyDescent="0.2">
      <c r="A5630" s="247"/>
      <c r="B5630" s="316"/>
      <c r="C5630" s="247"/>
      <c r="D5630" s="317"/>
      <c r="E5630" s="318"/>
      <c r="F5630" s="247"/>
      <c r="G5630" s="247"/>
      <c r="H5630" s="248"/>
      <c r="I5630" s="248"/>
      <c r="J5630" s="247"/>
      <c r="K5630" s="249"/>
    </row>
    <row r="5631" spans="1:11" s="90" customFormat="1" ht="12.75" customHeight="1" x14ac:dyDescent="0.2">
      <c r="A5631" s="247"/>
      <c r="B5631" s="316"/>
      <c r="C5631" s="247"/>
      <c r="D5631" s="317"/>
      <c r="E5631" s="318"/>
      <c r="F5631" s="247"/>
      <c r="G5631" s="247"/>
      <c r="H5631" s="248"/>
      <c r="I5631" s="248"/>
      <c r="J5631" s="247"/>
      <c r="K5631" s="249"/>
    </row>
    <row r="5632" spans="1:11" s="90" customFormat="1" ht="12.75" customHeight="1" x14ac:dyDescent="0.2">
      <c r="A5632" s="247"/>
      <c r="B5632" s="316"/>
      <c r="C5632" s="247"/>
      <c r="D5632" s="317"/>
      <c r="E5632" s="318"/>
      <c r="F5632" s="247"/>
      <c r="G5632" s="247"/>
      <c r="H5632" s="248"/>
      <c r="I5632" s="248"/>
      <c r="J5632" s="247"/>
      <c r="K5632" s="249"/>
    </row>
    <row r="5633" spans="1:11" s="90" customFormat="1" ht="12.75" customHeight="1" x14ac:dyDescent="0.2">
      <c r="A5633" s="247"/>
      <c r="B5633" s="316"/>
      <c r="C5633" s="247"/>
      <c r="D5633" s="317"/>
      <c r="E5633" s="318"/>
      <c r="F5633" s="247"/>
      <c r="G5633" s="247"/>
      <c r="H5633" s="248"/>
      <c r="I5633" s="248"/>
      <c r="J5633" s="247"/>
      <c r="K5633" s="249"/>
    </row>
    <row r="5634" spans="1:11" s="90" customFormat="1" ht="12.75" customHeight="1" x14ac:dyDescent="0.2">
      <c r="A5634" s="247"/>
      <c r="B5634" s="316"/>
      <c r="C5634" s="247"/>
      <c r="D5634" s="317"/>
      <c r="E5634" s="318"/>
      <c r="F5634" s="247"/>
      <c r="G5634" s="247"/>
      <c r="H5634" s="248"/>
      <c r="I5634" s="248"/>
      <c r="J5634" s="247"/>
      <c r="K5634" s="249"/>
    </row>
    <row r="5635" spans="1:11" s="90" customFormat="1" ht="12.75" customHeight="1" x14ac:dyDescent="0.2">
      <c r="A5635" s="247"/>
      <c r="B5635" s="316"/>
      <c r="C5635" s="247"/>
      <c r="D5635" s="317"/>
      <c r="E5635" s="318"/>
      <c r="F5635" s="247"/>
      <c r="G5635" s="247"/>
      <c r="H5635" s="248"/>
      <c r="I5635" s="248"/>
      <c r="J5635" s="247"/>
      <c r="K5635" s="249"/>
    </row>
    <row r="5636" spans="1:11" s="90" customFormat="1" ht="12.75" customHeight="1" x14ac:dyDescent="0.2">
      <c r="A5636" s="247"/>
      <c r="B5636" s="316"/>
      <c r="C5636" s="247"/>
      <c r="D5636" s="317"/>
      <c r="E5636" s="318"/>
      <c r="F5636" s="247"/>
      <c r="G5636" s="247"/>
      <c r="H5636" s="248"/>
      <c r="I5636" s="248"/>
      <c r="J5636" s="247"/>
      <c r="K5636" s="249"/>
    </row>
    <row r="5637" spans="1:11" s="90" customFormat="1" ht="12.75" customHeight="1" x14ac:dyDescent="0.2">
      <c r="A5637" s="247"/>
      <c r="B5637" s="316"/>
      <c r="C5637" s="247"/>
      <c r="D5637" s="317"/>
      <c r="E5637" s="318"/>
      <c r="F5637" s="247"/>
      <c r="G5637" s="247"/>
      <c r="H5637" s="248"/>
      <c r="I5637" s="248"/>
      <c r="J5637" s="247"/>
      <c r="K5637" s="249"/>
    </row>
    <row r="5638" spans="1:11" s="90" customFormat="1" ht="12.75" customHeight="1" x14ac:dyDescent="0.2">
      <c r="A5638" s="247"/>
      <c r="B5638" s="316"/>
      <c r="C5638" s="247"/>
      <c r="D5638" s="317"/>
      <c r="E5638" s="318"/>
      <c r="F5638" s="247"/>
      <c r="G5638" s="247"/>
      <c r="H5638" s="248"/>
      <c r="I5638" s="248"/>
      <c r="J5638" s="247"/>
      <c r="K5638" s="249"/>
    </row>
    <row r="5639" spans="1:11" s="90" customFormat="1" ht="12.75" customHeight="1" x14ac:dyDescent="0.2">
      <c r="A5639" s="247"/>
      <c r="B5639" s="316"/>
      <c r="C5639" s="247"/>
      <c r="D5639" s="317"/>
      <c r="E5639" s="318"/>
      <c r="F5639" s="247"/>
      <c r="G5639" s="247"/>
      <c r="H5639" s="248"/>
      <c r="I5639" s="248"/>
      <c r="J5639" s="247"/>
      <c r="K5639" s="249"/>
    </row>
    <row r="5640" spans="1:11" s="90" customFormat="1" ht="12.75" customHeight="1" x14ac:dyDescent="0.2">
      <c r="A5640" s="247"/>
      <c r="B5640" s="316"/>
      <c r="C5640" s="247"/>
      <c r="D5640" s="317"/>
      <c r="E5640" s="318"/>
      <c r="F5640" s="247"/>
      <c r="G5640" s="247"/>
      <c r="H5640" s="248"/>
      <c r="I5640" s="248"/>
      <c r="J5640" s="247"/>
      <c r="K5640" s="249"/>
    </row>
    <row r="5641" spans="1:11" s="90" customFormat="1" ht="12.75" customHeight="1" x14ac:dyDescent="0.2">
      <c r="A5641" s="247"/>
      <c r="B5641" s="316"/>
      <c r="C5641" s="247"/>
      <c r="D5641" s="317"/>
      <c r="E5641" s="318"/>
      <c r="F5641" s="247"/>
      <c r="G5641" s="247"/>
      <c r="H5641" s="248"/>
      <c r="I5641" s="248"/>
      <c r="J5641" s="247"/>
      <c r="K5641" s="249"/>
    </row>
    <row r="5642" spans="1:11" s="90" customFormat="1" ht="12.75" customHeight="1" x14ac:dyDescent="0.2">
      <c r="A5642" s="247"/>
      <c r="B5642" s="316"/>
      <c r="C5642" s="247"/>
      <c r="D5642" s="317"/>
      <c r="E5642" s="318"/>
      <c r="F5642" s="247"/>
      <c r="G5642" s="247"/>
      <c r="H5642" s="248"/>
      <c r="I5642" s="248"/>
      <c r="J5642" s="247"/>
      <c r="K5642" s="249"/>
    </row>
    <row r="5643" spans="1:11" s="90" customFormat="1" ht="12.75" customHeight="1" x14ac:dyDescent="0.2">
      <c r="A5643" s="247"/>
      <c r="B5643" s="316"/>
      <c r="C5643" s="247"/>
      <c r="D5643" s="317"/>
      <c r="E5643" s="318"/>
      <c r="F5643" s="247"/>
      <c r="G5643" s="247"/>
      <c r="H5643" s="248"/>
      <c r="I5643" s="248"/>
      <c r="J5643" s="247"/>
      <c r="K5643" s="249"/>
    </row>
    <row r="5644" spans="1:11" s="90" customFormat="1" ht="12.75" customHeight="1" x14ac:dyDescent="0.2">
      <c r="A5644" s="247"/>
      <c r="B5644" s="316"/>
      <c r="C5644" s="247"/>
      <c r="D5644" s="317"/>
      <c r="E5644" s="318"/>
      <c r="F5644" s="247"/>
      <c r="G5644" s="247"/>
      <c r="H5644" s="248"/>
      <c r="I5644" s="248"/>
      <c r="J5644" s="247"/>
      <c r="K5644" s="249"/>
    </row>
    <row r="5645" spans="1:11" s="90" customFormat="1" ht="12.75" customHeight="1" x14ac:dyDescent="0.2">
      <c r="A5645" s="247"/>
      <c r="B5645" s="316"/>
      <c r="C5645" s="247"/>
      <c r="D5645" s="317"/>
      <c r="E5645" s="318"/>
      <c r="F5645" s="247"/>
      <c r="G5645" s="247"/>
      <c r="H5645" s="248"/>
      <c r="I5645" s="248"/>
      <c r="J5645" s="247"/>
      <c r="K5645" s="249"/>
    </row>
    <row r="5646" spans="1:11" s="90" customFormat="1" ht="12.75" customHeight="1" x14ac:dyDescent="0.2">
      <c r="A5646" s="247"/>
      <c r="B5646" s="316"/>
      <c r="C5646" s="247"/>
      <c r="D5646" s="317"/>
      <c r="E5646" s="318"/>
      <c r="F5646" s="247"/>
      <c r="G5646" s="247"/>
      <c r="H5646" s="248"/>
      <c r="I5646" s="248"/>
      <c r="J5646" s="247"/>
      <c r="K5646" s="249"/>
    </row>
    <row r="5647" spans="1:11" s="90" customFormat="1" ht="12.75" customHeight="1" x14ac:dyDescent="0.2">
      <c r="A5647" s="247"/>
      <c r="B5647" s="316"/>
      <c r="C5647" s="247"/>
      <c r="D5647" s="317"/>
      <c r="E5647" s="318"/>
      <c r="F5647" s="247"/>
      <c r="G5647" s="247"/>
      <c r="H5647" s="248"/>
      <c r="I5647" s="248"/>
      <c r="J5647" s="247"/>
      <c r="K5647" s="249"/>
    </row>
    <row r="5648" spans="1:11" s="90" customFormat="1" ht="12.75" customHeight="1" x14ac:dyDescent="0.2">
      <c r="A5648" s="247"/>
      <c r="B5648" s="316"/>
      <c r="C5648" s="247"/>
      <c r="D5648" s="317"/>
      <c r="E5648" s="318"/>
      <c r="F5648" s="247"/>
      <c r="G5648" s="247"/>
      <c r="H5648" s="248"/>
      <c r="I5648" s="248"/>
      <c r="J5648" s="247"/>
      <c r="K5648" s="249"/>
    </row>
    <row r="5649" spans="1:11" s="90" customFormat="1" ht="12.75" customHeight="1" x14ac:dyDescent="0.2">
      <c r="A5649" s="247"/>
      <c r="B5649" s="316"/>
      <c r="C5649" s="247"/>
      <c r="D5649" s="317"/>
      <c r="E5649" s="318"/>
      <c r="F5649" s="247"/>
      <c r="G5649" s="247"/>
      <c r="H5649" s="248"/>
      <c r="I5649" s="248"/>
      <c r="J5649" s="247"/>
      <c r="K5649" s="249"/>
    </row>
    <row r="5650" spans="1:11" s="90" customFormat="1" ht="12.75" customHeight="1" x14ac:dyDescent="0.2">
      <c r="A5650" s="247"/>
      <c r="B5650" s="316"/>
      <c r="C5650" s="247"/>
      <c r="D5650" s="317"/>
      <c r="E5650" s="318"/>
      <c r="F5650" s="247"/>
      <c r="G5650" s="247"/>
      <c r="H5650" s="248"/>
      <c r="I5650" s="248"/>
      <c r="J5650" s="247"/>
      <c r="K5650" s="249"/>
    </row>
    <row r="5651" spans="1:11" s="90" customFormat="1" ht="12.75" customHeight="1" x14ac:dyDescent="0.2">
      <c r="A5651" s="247"/>
      <c r="B5651" s="316"/>
      <c r="C5651" s="247"/>
      <c r="D5651" s="317"/>
      <c r="E5651" s="318"/>
      <c r="F5651" s="247"/>
      <c r="G5651" s="247"/>
      <c r="H5651" s="248"/>
      <c r="I5651" s="248"/>
      <c r="J5651" s="247"/>
      <c r="K5651" s="249"/>
    </row>
    <row r="5652" spans="1:11" s="90" customFormat="1" ht="12.75" customHeight="1" x14ac:dyDescent="0.2">
      <c r="A5652" s="247"/>
      <c r="B5652" s="316"/>
      <c r="C5652" s="247"/>
      <c r="D5652" s="317"/>
      <c r="E5652" s="318"/>
      <c r="F5652" s="247"/>
      <c r="G5652" s="247"/>
      <c r="H5652" s="248"/>
      <c r="I5652" s="248"/>
      <c r="J5652" s="247"/>
      <c r="K5652" s="249"/>
    </row>
    <row r="5653" spans="1:11" s="90" customFormat="1" ht="12.75" customHeight="1" x14ac:dyDescent="0.2">
      <c r="A5653" s="247"/>
      <c r="B5653" s="316"/>
      <c r="C5653" s="247"/>
      <c r="D5653" s="317"/>
      <c r="E5653" s="318"/>
      <c r="F5653" s="247"/>
      <c r="G5653" s="247"/>
      <c r="H5653" s="248"/>
      <c r="I5653" s="248"/>
      <c r="J5653" s="247"/>
      <c r="K5653" s="249"/>
    </row>
    <row r="5654" spans="1:11" s="90" customFormat="1" ht="12.75" customHeight="1" x14ac:dyDescent="0.2">
      <c r="A5654" s="247"/>
      <c r="B5654" s="316"/>
      <c r="C5654" s="247"/>
      <c r="D5654" s="317"/>
      <c r="E5654" s="318"/>
      <c r="F5654" s="247"/>
      <c r="G5654" s="247"/>
      <c r="H5654" s="248"/>
      <c r="I5654" s="248"/>
      <c r="J5654" s="247"/>
      <c r="K5654" s="249"/>
    </row>
    <row r="5655" spans="1:11" s="90" customFormat="1" ht="12.75" customHeight="1" x14ac:dyDescent="0.2">
      <c r="A5655" s="247"/>
      <c r="B5655" s="316"/>
      <c r="C5655" s="247"/>
      <c r="D5655" s="317"/>
      <c r="E5655" s="318"/>
      <c r="F5655" s="247"/>
      <c r="G5655" s="247"/>
      <c r="H5655" s="248"/>
      <c r="I5655" s="248"/>
      <c r="J5655" s="247"/>
      <c r="K5655" s="249"/>
    </row>
    <row r="5656" spans="1:11" s="90" customFormat="1" ht="12.75" customHeight="1" x14ac:dyDescent="0.2">
      <c r="A5656" s="247"/>
      <c r="B5656" s="316"/>
      <c r="C5656" s="247"/>
      <c r="D5656" s="317"/>
      <c r="E5656" s="318"/>
      <c r="F5656" s="247"/>
      <c r="G5656" s="247"/>
      <c r="H5656" s="248"/>
      <c r="I5656" s="248"/>
      <c r="J5656" s="247"/>
      <c r="K5656" s="249"/>
    </row>
    <row r="5657" spans="1:11" s="90" customFormat="1" ht="12.75" customHeight="1" x14ac:dyDescent="0.2">
      <c r="A5657" s="247"/>
      <c r="B5657" s="316"/>
      <c r="C5657" s="247"/>
      <c r="D5657" s="317"/>
      <c r="E5657" s="318"/>
      <c r="F5657" s="247"/>
      <c r="G5657" s="247"/>
      <c r="H5657" s="248"/>
      <c r="I5657" s="248"/>
      <c r="J5657" s="247"/>
      <c r="K5657" s="249"/>
    </row>
    <row r="5658" spans="1:11" s="90" customFormat="1" ht="12.75" customHeight="1" x14ac:dyDescent="0.2">
      <c r="A5658" s="247"/>
      <c r="B5658" s="316"/>
      <c r="C5658" s="247"/>
      <c r="D5658" s="317"/>
      <c r="E5658" s="318"/>
      <c r="F5658" s="247"/>
      <c r="G5658" s="247"/>
      <c r="H5658" s="248"/>
      <c r="I5658" s="248"/>
      <c r="J5658" s="247"/>
      <c r="K5658" s="249"/>
    </row>
    <row r="5659" spans="1:11" s="90" customFormat="1" ht="12.75" customHeight="1" x14ac:dyDescent="0.2">
      <c r="A5659" s="247"/>
      <c r="B5659" s="316"/>
      <c r="C5659" s="247"/>
      <c r="D5659" s="317"/>
      <c r="E5659" s="318"/>
      <c r="F5659" s="247"/>
      <c r="G5659" s="247"/>
      <c r="H5659" s="248"/>
      <c r="I5659" s="248"/>
      <c r="J5659" s="247"/>
      <c r="K5659" s="249"/>
    </row>
    <row r="5660" spans="1:11" s="90" customFormat="1" ht="12.75" customHeight="1" x14ac:dyDescent="0.2">
      <c r="A5660" s="247"/>
      <c r="B5660" s="316"/>
      <c r="C5660" s="247"/>
      <c r="D5660" s="317"/>
      <c r="E5660" s="318"/>
      <c r="F5660" s="247"/>
      <c r="G5660" s="247"/>
      <c r="H5660" s="248"/>
      <c r="I5660" s="248"/>
      <c r="J5660" s="247"/>
      <c r="K5660" s="249"/>
    </row>
    <row r="5661" spans="1:11" s="90" customFormat="1" ht="12.75" customHeight="1" x14ac:dyDescent="0.2">
      <c r="A5661" s="247"/>
      <c r="B5661" s="316"/>
      <c r="C5661" s="247"/>
      <c r="D5661" s="317"/>
      <c r="E5661" s="318"/>
      <c r="F5661" s="247"/>
      <c r="G5661" s="247"/>
      <c r="H5661" s="248"/>
      <c r="I5661" s="248"/>
      <c r="J5661" s="247"/>
      <c r="K5661" s="249"/>
    </row>
    <row r="5662" spans="1:11" s="90" customFormat="1" ht="12.75" customHeight="1" x14ac:dyDescent="0.2">
      <c r="A5662" s="247"/>
      <c r="B5662" s="316"/>
      <c r="C5662" s="247"/>
      <c r="D5662" s="317"/>
      <c r="E5662" s="318"/>
      <c r="F5662" s="247"/>
      <c r="G5662" s="247"/>
      <c r="H5662" s="248"/>
      <c r="I5662" s="248"/>
      <c r="J5662" s="247"/>
      <c r="K5662" s="249"/>
    </row>
    <row r="5663" spans="1:11" s="90" customFormat="1" ht="12.75" customHeight="1" x14ac:dyDescent="0.2">
      <c r="A5663" s="247"/>
      <c r="B5663" s="316"/>
      <c r="C5663" s="247"/>
      <c r="D5663" s="317"/>
      <c r="E5663" s="318"/>
      <c r="F5663" s="247"/>
      <c r="G5663" s="247"/>
      <c r="H5663" s="248"/>
      <c r="I5663" s="248"/>
      <c r="J5663" s="247"/>
      <c r="K5663" s="249"/>
    </row>
    <row r="5664" spans="1:11" s="90" customFormat="1" ht="12.75" customHeight="1" x14ac:dyDescent="0.2">
      <c r="A5664" s="247"/>
      <c r="B5664" s="316"/>
      <c r="C5664" s="247"/>
      <c r="D5664" s="317"/>
      <c r="E5664" s="318"/>
      <c r="F5664" s="247"/>
      <c r="G5664" s="247"/>
      <c r="H5664" s="248"/>
      <c r="I5664" s="248"/>
      <c r="J5664" s="247"/>
      <c r="K5664" s="249"/>
    </row>
    <row r="5665" spans="1:11" s="90" customFormat="1" ht="12.75" customHeight="1" x14ac:dyDescent="0.2">
      <c r="A5665" s="247"/>
      <c r="B5665" s="316"/>
      <c r="C5665" s="247"/>
      <c r="D5665" s="317"/>
      <c r="E5665" s="318"/>
      <c r="F5665" s="247"/>
      <c r="G5665" s="247"/>
      <c r="H5665" s="248"/>
      <c r="I5665" s="248"/>
      <c r="J5665" s="247"/>
      <c r="K5665" s="249"/>
    </row>
    <row r="5666" spans="1:11" s="90" customFormat="1" ht="12.75" customHeight="1" x14ac:dyDescent="0.2">
      <c r="A5666" s="247"/>
      <c r="B5666" s="316"/>
      <c r="C5666" s="247"/>
      <c r="D5666" s="317"/>
      <c r="E5666" s="318"/>
      <c r="F5666" s="247"/>
      <c r="G5666" s="247"/>
      <c r="H5666" s="248"/>
      <c r="I5666" s="248"/>
      <c r="J5666" s="247"/>
      <c r="K5666" s="249"/>
    </row>
    <row r="5667" spans="1:11" s="90" customFormat="1" ht="12.75" customHeight="1" x14ac:dyDescent="0.2">
      <c r="A5667" s="247"/>
      <c r="B5667" s="316"/>
      <c r="C5667" s="247"/>
      <c r="D5667" s="317"/>
      <c r="E5667" s="318"/>
      <c r="F5667" s="247"/>
      <c r="G5667" s="247"/>
      <c r="H5667" s="248"/>
      <c r="I5667" s="248"/>
      <c r="J5667" s="247"/>
      <c r="K5667" s="249"/>
    </row>
    <row r="5668" spans="1:11" s="90" customFormat="1" ht="12.75" customHeight="1" x14ac:dyDescent="0.2">
      <c r="A5668" s="247"/>
      <c r="B5668" s="316"/>
      <c r="C5668" s="247"/>
      <c r="D5668" s="317"/>
      <c r="E5668" s="318"/>
      <c r="F5668" s="247"/>
      <c r="G5668" s="247"/>
      <c r="H5668" s="248"/>
      <c r="I5668" s="248"/>
      <c r="J5668" s="247"/>
      <c r="K5668" s="249"/>
    </row>
    <row r="5669" spans="1:11" s="90" customFormat="1" ht="12.75" customHeight="1" x14ac:dyDescent="0.2">
      <c r="A5669" s="247"/>
      <c r="B5669" s="316"/>
      <c r="C5669" s="247"/>
      <c r="D5669" s="317"/>
      <c r="E5669" s="318"/>
      <c r="F5669" s="247"/>
      <c r="G5669" s="247"/>
      <c r="H5669" s="248"/>
      <c r="I5669" s="248"/>
      <c r="J5669" s="247"/>
      <c r="K5669" s="249"/>
    </row>
    <row r="5670" spans="1:11" s="90" customFormat="1" ht="12.75" customHeight="1" x14ac:dyDescent="0.2">
      <c r="A5670" s="247"/>
      <c r="B5670" s="316"/>
      <c r="C5670" s="247"/>
      <c r="D5670" s="317"/>
      <c r="E5670" s="318"/>
      <c r="F5670" s="247"/>
      <c r="G5670" s="247"/>
      <c r="H5670" s="248"/>
      <c r="I5670" s="248"/>
      <c r="J5670" s="247"/>
      <c r="K5670" s="249"/>
    </row>
    <row r="5671" spans="1:11" s="90" customFormat="1" ht="12.75" customHeight="1" x14ac:dyDescent="0.2">
      <c r="A5671" s="247"/>
      <c r="B5671" s="316"/>
      <c r="C5671" s="247"/>
      <c r="D5671" s="317"/>
      <c r="E5671" s="318"/>
      <c r="F5671" s="247"/>
      <c r="G5671" s="247"/>
      <c r="H5671" s="248"/>
      <c r="I5671" s="248"/>
      <c r="J5671" s="247"/>
      <c r="K5671" s="249"/>
    </row>
    <row r="5672" spans="1:11" s="90" customFormat="1" ht="12.75" customHeight="1" x14ac:dyDescent="0.2">
      <c r="A5672" s="247"/>
      <c r="B5672" s="316"/>
      <c r="C5672" s="247"/>
      <c r="D5672" s="317"/>
      <c r="E5672" s="318"/>
      <c r="F5672" s="247"/>
      <c r="G5672" s="247"/>
      <c r="H5672" s="248"/>
      <c r="I5672" s="248"/>
      <c r="J5672" s="247"/>
      <c r="K5672" s="249"/>
    </row>
    <row r="5673" spans="1:11" s="90" customFormat="1" ht="12.75" customHeight="1" x14ac:dyDescent="0.2">
      <c r="A5673" s="247"/>
      <c r="B5673" s="316"/>
      <c r="C5673" s="247"/>
      <c r="D5673" s="317"/>
      <c r="E5673" s="318"/>
      <c r="F5673" s="247"/>
      <c r="G5673" s="247"/>
      <c r="H5673" s="248"/>
      <c r="I5673" s="248"/>
      <c r="J5673" s="247"/>
      <c r="K5673" s="249"/>
    </row>
    <row r="5674" spans="1:11" s="90" customFormat="1" ht="12.75" customHeight="1" x14ac:dyDescent="0.2">
      <c r="A5674" s="247"/>
      <c r="B5674" s="316"/>
      <c r="C5674" s="247"/>
      <c r="D5674" s="317"/>
      <c r="E5674" s="318"/>
      <c r="F5674" s="247"/>
      <c r="G5674" s="247"/>
      <c r="H5674" s="248"/>
      <c r="I5674" s="248"/>
      <c r="J5674" s="247"/>
      <c r="K5674" s="249"/>
    </row>
    <row r="5675" spans="1:11" s="90" customFormat="1" ht="12.75" customHeight="1" x14ac:dyDescent="0.2">
      <c r="A5675" s="247"/>
      <c r="B5675" s="316"/>
      <c r="C5675" s="247"/>
      <c r="D5675" s="317"/>
      <c r="E5675" s="318"/>
      <c r="F5675" s="247"/>
      <c r="G5675" s="247"/>
      <c r="H5675" s="248"/>
      <c r="I5675" s="248"/>
      <c r="J5675" s="247"/>
      <c r="K5675" s="249"/>
    </row>
    <row r="5676" spans="1:11" s="90" customFormat="1" ht="12.75" customHeight="1" x14ac:dyDescent="0.2">
      <c r="A5676" s="247"/>
      <c r="B5676" s="316"/>
      <c r="C5676" s="247"/>
      <c r="D5676" s="317"/>
      <c r="E5676" s="318"/>
      <c r="F5676" s="247"/>
      <c r="G5676" s="247"/>
      <c r="H5676" s="248"/>
      <c r="I5676" s="248"/>
      <c r="J5676" s="247"/>
      <c r="K5676" s="249"/>
    </row>
    <row r="5677" spans="1:11" s="90" customFormat="1" ht="12.75" customHeight="1" x14ac:dyDescent="0.2">
      <c r="A5677" s="247"/>
      <c r="B5677" s="316"/>
      <c r="C5677" s="247"/>
      <c r="D5677" s="317"/>
      <c r="E5677" s="318"/>
      <c r="F5677" s="247"/>
      <c r="G5677" s="247"/>
      <c r="H5677" s="248"/>
      <c r="I5677" s="248"/>
      <c r="J5677" s="247"/>
      <c r="K5677" s="249"/>
    </row>
    <row r="5678" spans="1:11" s="90" customFormat="1" ht="12.75" customHeight="1" x14ac:dyDescent="0.2">
      <c r="A5678" s="247"/>
      <c r="B5678" s="316"/>
      <c r="C5678" s="247"/>
      <c r="D5678" s="317"/>
      <c r="E5678" s="318"/>
      <c r="F5678" s="247"/>
      <c r="G5678" s="247"/>
      <c r="H5678" s="248"/>
      <c r="I5678" s="248"/>
      <c r="J5678" s="247"/>
      <c r="K5678" s="249"/>
    </row>
    <row r="5679" spans="1:11" s="90" customFormat="1" ht="12.75" customHeight="1" x14ac:dyDescent="0.2">
      <c r="A5679" s="247"/>
      <c r="B5679" s="316"/>
      <c r="C5679" s="247"/>
      <c r="D5679" s="317"/>
      <c r="E5679" s="318"/>
      <c r="F5679" s="247"/>
      <c r="G5679" s="247"/>
      <c r="H5679" s="248"/>
      <c r="I5679" s="248"/>
      <c r="J5679" s="247"/>
      <c r="K5679" s="249"/>
    </row>
    <row r="5680" spans="1:11" s="90" customFormat="1" ht="12.75" customHeight="1" x14ac:dyDescent="0.2">
      <c r="A5680" s="247"/>
      <c r="B5680" s="316"/>
      <c r="C5680" s="247"/>
      <c r="D5680" s="317"/>
      <c r="E5680" s="318"/>
      <c r="F5680" s="247"/>
      <c r="G5680" s="247"/>
      <c r="H5680" s="248"/>
      <c r="I5680" s="248"/>
      <c r="J5680" s="247"/>
      <c r="K5680" s="249"/>
    </row>
    <row r="5681" spans="1:11" s="90" customFormat="1" ht="12.75" customHeight="1" x14ac:dyDescent="0.2">
      <c r="A5681" s="247"/>
      <c r="B5681" s="316"/>
      <c r="C5681" s="247"/>
      <c r="D5681" s="317"/>
      <c r="E5681" s="318"/>
      <c r="F5681" s="247"/>
      <c r="G5681" s="247"/>
      <c r="H5681" s="248"/>
      <c r="I5681" s="248"/>
      <c r="J5681" s="247"/>
      <c r="K5681" s="249"/>
    </row>
    <row r="5682" spans="1:11" s="90" customFormat="1" ht="12.75" customHeight="1" x14ac:dyDescent="0.2">
      <c r="A5682" s="247"/>
      <c r="B5682" s="316"/>
      <c r="C5682" s="247"/>
      <c r="D5682" s="317"/>
      <c r="E5682" s="318"/>
      <c r="F5682" s="247"/>
      <c r="G5682" s="247"/>
      <c r="H5682" s="248"/>
      <c r="I5682" s="248"/>
      <c r="J5682" s="247"/>
      <c r="K5682" s="249"/>
    </row>
    <row r="5683" spans="1:11" s="90" customFormat="1" ht="12.75" customHeight="1" x14ac:dyDescent="0.2">
      <c r="A5683" s="247"/>
      <c r="B5683" s="316"/>
      <c r="C5683" s="247"/>
      <c r="D5683" s="317"/>
      <c r="E5683" s="318"/>
      <c r="F5683" s="247"/>
      <c r="G5683" s="247"/>
      <c r="H5683" s="248"/>
      <c r="I5683" s="248"/>
      <c r="J5683" s="247"/>
      <c r="K5683" s="249"/>
    </row>
    <row r="5684" spans="1:11" s="90" customFormat="1" ht="12.75" customHeight="1" x14ac:dyDescent="0.2">
      <c r="A5684" s="247"/>
      <c r="B5684" s="316"/>
      <c r="C5684" s="247"/>
      <c r="D5684" s="317"/>
      <c r="E5684" s="318"/>
      <c r="F5684" s="247"/>
      <c r="G5684" s="247"/>
      <c r="H5684" s="248"/>
      <c r="I5684" s="248"/>
      <c r="J5684" s="247"/>
      <c r="K5684" s="249"/>
    </row>
    <row r="5685" spans="1:11" s="90" customFormat="1" ht="12.75" customHeight="1" x14ac:dyDescent="0.2">
      <c r="A5685" s="247"/>
      <c r="B5685" s="316"/>
      <c r="C5685" s="247"/>
      <c r="D5685" s="317"/>
      <c r="E5685" s="318"/>
      <c r="F5685" s="247"/>
      <c r="G5685" s="247"/>
      <c r="H5685" s="248"/>
      <c r="I5685" s="248"/>
      <c r="J5685" s="247"/>
      <c r="K5685" s="249"/>
    </row>
    <row r="5686" spans="1:11" s="90" customFormat="1" ht="12.75" customHeight="1" x14ac:dyDescent="0.2">
      <c r="A5686" s="247"/>
      <c r="B5686" s="316"/>
      <c r="C5686" s="247"/>
      <c r="D5686" s="317"/>
      <c r="E5686" s="318"/>
      <c r="F5686" s="247"/>
      <c r="G5686" s="247"/>
      <c r="H5686" s="248"/>
      <c r="I5686" s="248"/>
      <c r="J5686" s="247"/>
      <c r="K5686" s="249"/>
    </row>
    <row r="5687" spans="1:11" s="90" customFormat="1" ht="12.75" customHeight="1" x14ac:dyDescent="0.2">
      <c r="A5687" s="247"/>
      <c r="B5687" s="316"/>
      <c r="C5687" s="247"/>
      <c r="D5687" s="317"/>
      <c r="E5687" s="318"/>
      <c r="F5687" s="247"/>
      <c r="G5687" s="247"/>
      <c r="H5687" s="248"/>
      <c r="I5687" s="248"/>
      <c r="J5687" s="247"/>
      <c r="K5687" s="249"/>
    </row>
    <row r="5688" spans="1:11" s="90" customFormat="1" ht="12.75" customHeight="1" x14ac:dyDescent="0.2">
      <c r="A5688" s="247"/>
      <c r="B5688" s="316"/>
      <c r="C5688" s="247"/>
      <c r="D5688" s="317"/>
      <c r="E5688" s="318"/>
      <c r="F5688" s="247"/>
      <c r="G5688" s="247"/>
      <c r="H5688" s="248"/>
      <c r="I5688" s="248"/>
      <c r="J5688" s="247"/>
      <c r="K5688" s="249"/>
    </row>
    <row r="5689" spans="1:11" s="90" customFormat="1" ht="12.75" customHeight="1" x14ac:dyDescent="0.2">
      <c r="A5689" s="247"/>
      <c r="B5689" s="316"/>
      <c r="C5689" s="247"/>
      <c r="D5689" s="317"/>
      <c r="E5689" s="318"/>
      <c r="F5689" s="247"/>
      <c r="G5689" s="247"/>
      <c r="H5689" s="248"/>
      <c r="I5689" s="248"/>
      <c r="J5689" s="247"/>
      <c r="K5689" s="249"/>
    </row>
    <row r="5690" spans="1:11" s="90" customFormat="1" ht="12.75" customHeight="1" x14ac:dyDescent="0.2">
      <c r="A5690" s="247"/>
      <c r="B5690" s="316"/>
      <c r="C5690" s="247"/>
      <c r="D5690" s="317"/>
      <c r="E5690" s="318"/>
      <c r="F5690" s="247"/>
      <c r="G5690" s="247"/>
      <c r="H5690" s="248"/>
      <c r="I5690" s="248"/>
      <c r="J5690" s="247"/>
      <c r="K5690" s="249"/>
    </row>
    <row r="5691" spans="1:11" s="90" customFormat="1" ht="12.75" customHeight="1" x14ac:dyDescent="0.2">
      <c r="A5691" s="247"/>
      <c r="B5691" s="316"/>
      <c r="C5691" s="247"/>
      <c r="D5691" s="317"/>
      <c r="E5691" s="318"/>
      <c r="F5691" s="247"/>
      <c r="G5691" s="247"/>
      <c r="H5691" s="248"/>
      <c r="I5691" s="248"/>
      <c r="J5691" s="247"/>
      <c r="K5691" s="249"/>
    </row>
    <row r="5692" spans="1:11" s="90" customFormat="1" ht="12.75" customHeight="1" x14ac:dyDescent="0.2">
      <c r="A5692" s="247"/>
      <c r="B5692" s="316"/>
      <c r="C5692" s="247"/>
      <c r="D5692" s="317"/>
      <c r="E5692" s="318"/>
      <c r="F5692" s="247"/>
      <c r="G5692" s="247"/>
      <c r="H5692" s="248"/>
      <c r="I5692" s="248"/>
      <c r="J5692" s="247"/>
      <c r="K5692" s="249"/>
    </row>
    <row r="5693" spans="1:11" s="90" customFormat="1" ht="12.75" customHeight="1" x14ac:dyDescent="0.2">
      <c r="A5693" s="247"/>
      <c r="B5693" s="316"/>
      <c r="C5693" s="247"/>
      <c r="D5693" s="317"/>
      <c r="E5693" s="318"/>
      <c r="F5693" s="247"/>
      <c r="G5693" s="247"/>
      <c r="H5693" s="248"/>
      <c r="I5693" s="248"/>
      <c r="J5693" s="247"/>
      <c r="K5693" s="249"/>
    </row>
    <row r="5694" spans="1:11" s="90" customFormat="1" ht="12.75" customHeight="1" x14ac:dyDescent="0.2">
      <c r="A5694" s="247"/>
      <c r="B5694" s="316"/>
      <c r="C5694" s="247"/>
      <c r="D5694" s="317"/>
      <c r="E5694" s="318"/>
      <c r="F5694" s="247"/>
      <c r="G5694" s="247"/>
      <c r="H5694" s="248"/>
      <c r="I5694" s="248"/>
      <c r="J5694" s="247"/>
      <c r="K5694" s="249"/>
    </row>
    <row r="5695" spans="1:11" s="90" customFormat="1" ht="12.75" customHeight="1" x14ac:dyDescent="0.2">
      <c r="A5695" s="247"/>
      <c r="B5695" s="316"/>
      <c r="C5695" s="247"/>
      <c r="D5695" s="317"/>
      <c r="E5695" s="318"/>
      <c r="F5695" s="247"/>
      <c r="G5695" s="247"/>
      <c r="H5695" s="248"/>
      <c r="I5695" s="248"/>
      <c r="J5695" s="247"/>
      <c r="K5695" s="249"/>
    </row>
    <row r="5696" spans="1:11" s="90" customFormat="1" ht="12.75" customHeight="1" x14ac:dyDescent="0.2">
      <c r="A5696" s="247"/>
      <c r="B5696" s="316"/>
      <c r="C5696" s="247"/>
      <c r="D5696" s="317"/>
      <c r="E5696" s="318"/>
      <c r="F5696" s="247"/>
      <c r="G5696" s="247"/>
      <c r="H5696" s="248"/>
      <c r="I5696" s="248"/>
      <c r="J5696" s="247"/>
      <c r="K5696" s="249"/>
    </row>
    <row r="5697" spans="1:11" s="90" customFormat="1" ht="12.75" customHeight="1" x14ac:dyDescent="0.2">
      <c r="A5697" s="247"/>
      <c r="B5697" s="316"/>
      <c r="C5697" s="247"/>
      <c r="D5697" s="317"/>
      <c r="E5697" s="318"/>
      <c r="F5697" s="247"/>
      <c r="G5697" s="247"/>
      <c r="H5697" s="248"/>
      <c r="I5697" s="248"/>
      <c r="J5697" s="247"/>
      <c r="K5697" s="249"/>
    </row>
    <row r="5698" spans="1:11" s="90" customFormat="1" ht="12.75" customHeight="1" x14ac:dyDescent="0.2">
      <c r="A5698" s="247"/>
      <c r="B5698" s="316"/>
      <c r="C5698" s="247"/>
      <c r="D5698" s="317"/>
      <c r="E5698" s="318"/>
      <c r="F5698" s="247"/>
      <c r="G5698" s="247"/>
      <c r="H5698" s="248"/>
      <c r="I5698" s="248"/>
      <c r="J5698" s="247"/>
      <c r="K5698" s="249"/>
    </row>
    <row r="5699" spans="1:11" s="90" customFormat="1" ht="12.75" customHeight="1" x14ac:dyDescent="0.2">
      <c r="A5699" s="247"/>
      <c r="B5699" s="316"/>
      <c r="C5699" s="247"/>
      <c r="D5699" s="317"/>
      <c r="E5699" s="318"/>
      <c r="F5699" s="247"/>
      <c r="G5699" s="247"/>
      <c r="H5699" s="248"/>
      <c r="I5699" s="248"/>
      <c r="J5699" s="247"/>
      <c r="K5699" s="249"/>
    </row>
    <row r="5700" spans="1:11" s="90" customFormat="1" ht="12.75" customHeight="1" x14ac:dyDescent="0.2">
      <c r="A5700" s="247"/>
      <c r="B5700" s="316"/>
      <c r="C5700" s="247"/>
      <c r="D5700" s="317"/>
      <c r="E5700" s="318"/>
      <c r="F5700" s="247"/>
      <c r="G5700" s="247"/>
      <c r="H5700" s="248"/>
      <c r="I5700" s="248"/>
      <c r="J5700" s="247"/>
      <c r="K5700" s="249"/>
    </row>
    <row r="5701" spans="1:11" s="90" customFormat="1" ht="12.75" customHeight="1" x14ac:dyDescent="0.2">
      <c r="A5701" s="247"/>
      <c r="B5701" s="316"/>
      <c r="C5701" s="247"/>
      <c r="D5701" s="317"/>
      <c r="E5701" s="318"/>
      <c r="F5701" s="247"/>
      <c r="G5701" s="247"/>
      <c r="H5701" s="248"/>
      <c r="I5701" s="248"/>
      <c r="J5701" s="247"/>
      <c r="K5701" s="249"/>
    </row>
    <row r="5702" spans="1:11" s="90" customFormat="1" ht="12.75" customHeight="1" x14ac:dyDescent="0.2">
      <c r="A5702" s="247"/>
      <c r="B5702" s="316"/>
      <c r="C5702" s="247"/>
      <c r="D5702" s="317"/>
      <c r="E5702" s="318"/>
      <c r="F5702" s="247"/>
      <c r="G5702" s="247"/>
      <c r="H5702" s="248"/>
      <c r="I5702" s="248"/>
      <c r="J5702" s="247"/>
      <c r="K5702" s="249"/>
    </row>
    <row r="5703" spans="1:11" s="90" customFormat="1" ht="12.75" customHeight="1" x14ac:dyDescent="0.2">
      <c r="A5703" s="247"/>
      <c r="B5703" s="316"/>
      <c r="C5703" s="247"/>
      <c r="D5703" s="317"/>
      <c r="E5703" s="318"/>
      <c r="F5703" s="247"/>
      <c r="G5703" s="247"/>
      <c r="H5703" s="248"/>
      <c r="I5703" s="248"/>
      <c r="J5703" s="247"/>
      <c r="K5703" s="249"/>
    </row>
    <row r="5704" spans="1:11" s="90" customFormat="1" ht="12.75" customHeight="1" x14ac:dyDescent="0.2">
      <c r="A5704" s="247"/>
      <c r="B5704" s="316"/>
      <c r="C5704" s="247"/>
      <c r="D5704" s="317"/>
      <c r="E5704" s="318"/>
      <c r="F5704" s="247"/>
      <c r="G5704" s="247"/>
      <c r="H5704" s="248"/>
      <c r="I5704" s="248"/>
      <c r="J5704" s="247"/>
      <c r="K5704" s="249"/>
    </row>
    <row r="5705" spans="1:11" s="90" customFormat="1" ht="12.75" customHeight="1" x14ac:dyDescent="0.2">
      <c r="A5705" s="247"/>
      <c r="B5705" s="316"/>
      <c r="C5705" s="247"/>
      <c r="D5705" s="317"/>
      <c r="E5705" s="318"/>
      <c r="F5705" s="247"/>
      <c r="G5705" s="247"/>
      <c r="H5705" s="248"/>
      <c r="I5705" s="248"/>
      <c r="J5705" s="247"/>
      <c r="K5705" s="249"/>
    </row>
    <row r="5706" spans="1:11" s="90" customFormat="1" ht="12.75" customHeight="1" x14ac:dyDescent="0.2">
      <c r="A5706" s="247"/>
      <c r="B5706" s="316"/>
      <c r="C5706" s="247"/>
      <c r="D5706" s="317"/>
      <c r="E5706" s="318"/>
      <c r="F5706" s="247"/>
      <c r="G5706" s="247"/>
      <c r="H5706" s="248"/>
      <c r="I5706" s="248"/>
      <c r="J5706" s="247"/>
      <c r="K5706" s="249"/>
    </row>
    <row r="5707" spans="1:11" s="90" customFormat="1" ht="12.75" customHeight="1" x14ac:dyDescent="0.2">
      <c r="A5707" s="247"/>
      <c r="B5707" s="316"/>
      <c r="C5707" s="247"/>
      <c r="D5707" s="317"/>
      <c r="E5707" s="318"/>
      <c r="F5707" s="247"/>
      <c r="G5707" s="247"/>
      <c r="H5707" s="248"/>
      <c r="I5707" s="248"/>
      <c r="J5707" s="247"/>
      <c r="K5707" s="249"/>
    </row>
    <row r="5708" spans="1:11" s="90" customFormat="1" ht="12.75" customHeight="1" x14ac:dyDescent="0.2">
      <c r="A5708" s="247"/>
      <c r="B5708" s="316"/>
      <c r="C5708" s="247"/>
      <c r="D5708" s="317"/>
      <c r="E5708" s="318"/>
      <c r="F5708" s="247"/>
      <c r="G5708" s="247"/>
      <c r="H5708" s="248"/>
      <c r="I5708" s="248"/>
      <c r="J5708" s="247"/>
      <c r="K5708" s="249"/>
    </row>
    <row r="5709" spans="1:11" s="90" customFormat="1" ht="12.75" customHeight="1" x14ac:dyDescent="0.2">
      <c r="A5709" s="247"/>
      <c r="B5709" s="316"/>
      <c r="C5709" s="247"/>
      <c r="D5709" s="317"/>
      <c r="E5709" s="318"/>
      <c r="F5709" s="247"/>
      <c r="G5709" s="247"/>
      <c r="H5709" s="248"/>
      <c r="I5709" s="248"/>
      <c r="J5709" s="247"/>
      <c r="K5709" s="249"/>
    </row>
    <row r="5710" spans="1:11" s="90" customFormat="1" ht="12.75" customHeight="1" x14ac:dyDescent="0.2">
      <c r="A5710" s="247"/>
      <c r="B5710" s="316"/>
      <c r="C5710" s="247"/>
      <c r="D5710" s="317"/>
      <c r="E5710" s="318"/>
      <c r="F5710" s="247"/>
      <c r="G5710" s="247"/>
      <c r="H5710" s="248"/>
      <c r="I5710" s="248"/>
      <c r="J5710" s="247"/>
      <c r="K5710" s="249"/>
    </row>
    <row r="5711" spans="1:11" s="90" customFormat="1" ht="12.75" customHeight="1" x14ac:dyDescent="0.2">
      <c r="A5711" s="247"/>
      <c r="B5711" s="316"/>
      <c r="C5711" s="247"/>
      <c r="D5711" s="317"/>
      <c r="E5711" s="318"/>
      <c r="F5711" s="247"/>
      <c r="G5711" s="247"/>
      <c r="H5711" s="248"/>
      <c r="I5711" s="248"/>
      <c r="J5711" s="247"/>
      <c r="K5711" s="249"/>
    </row>
    <row r="5712" spans="1:11" s="90" customFormat="1" ht="12.75" customHeight="1" x14ac:dyDescent="0.2">
      <c r="A5712" s="247"/>
      <c r="B5712" s="316"/>
      <c r="C5712" s="247"/>
      <c r="D5712" s="317"/>
      <c r="E5712" s="318"/>
      <c r="F5712" s="247"/>
      <c r="G5712" s="247"/>
      <c r="H5712" s="248"/>
      <c r="I5712" s="248"/>
      <c r="J5712" s="247"/>
      <c r="K5712" s="249"/>
    </row>
    <row r="5713" spans="1:11" s="90" customFormat="1" ht="12.75" customHeight="1" x14ac:dyDescent="0.2">
      <c r="A5713" s="247"/>
      <c r="B5713" s="316"/>
      <c r="C5713" s="247"/>
      <c r="D5713" s="317"/>
      <c r="E5713" s="318"/>
      <c r="F5713" s="247"/>
      <c r="G5713" s="247"/>
      <c r="H5713" s="248"/>
      <c r="I5713" s="248"/>
      <c r="J5713" s="247"/>
      <c r="K5713" s="249"/>
    </row>
    <row r="5714" spans="1:11" s="90" customFormat="1" ht="12.75" customHeight="1" x14ac:dyDescent="0.2">
      <c r="A5714" s="247"/>
      <c r="B5714" s="316"/>
      <c r="C5714" s="247"/>
      <c r="D5714" s="317"/>
      <c r="E5714" s="318"/>
      <c r="F5714" s="247"/>
      <c r="G5714" s="247"/>
      <c r="H5714" s="248"/>
      <c r="I5714" s="248"/>
      <c r="J5714" s="247"/>
      <c r="K5714" s="249"/>
    </row>
    <row r="5715" spans="1:11" s="90" customFormat="1" ht="12.75" customHeight="1" x14ac:dyDescent="0.2">
      <c r="A5715" s="247"/>
      <c r="B5715" s="316"/>
      <c r="C5715" s="247"/>
      <c r="D5715" s="317"/>
      <c r="E5715" s="318"/>
      <c r="F5715" s="247"/>
      <c r="G5715" s="247"/>
      <c r="H5715" s="248"/>
      <c r="I5715" s="248"/>
      <c r="J5715" s="247"/>
      <c r="K5715" s="249"/>
    </row>
    <row r="5716" spans="1:11" s="90" customFormat="1" ht="12.75" customHeight="1" x14ac:dyDescent="0.2">
      <c r="A5716" s="247"/>
      <c r="B5716" s="316"/>
      <c r="C5716" s="247"/>
      <c r="D5716" s="317"/>
      <c r="E5716" s="318"/>
      <c r="F5716" s="247"/>
      <c r="G5716" s="247"/>
      <c r="H5716" s="248"/>
      <c r="I5716" s="248"/>
      <c r="J5716" s="247"/>
      <c r="K5716" s="249"/>
    </row>
    <row r="5717" spans="1:11" s="90" customFormat="1" ht="12.75" customHeight="1" x14ac:dyDescent="0.2">
      <c r="A5717" s="247"/>
      <c r="B5717" s="316"/>
      <c r="C5717" s="247"/>
      <c r="D5717" s="317"/>
      <c r="E5717" s="318"/>
      <c r="F5717" s="247"/>
      <c r="G5717" s="247"/>
      <c r="H5717" s="248"/>
      <c r="I5717" s="248"/>
      <c r="J5717" s="247"/>
      <c r="K5717" s="249"/>
    </row>
    <row r="5718" spans="1:11" s="90" customFormat="1" ht="12.75" customHeight="1" x14ac:dyDescent="0.2">
      <c r="A5718" s="247"/>
      <c r="B5718" s="316"/>
      <c r="C5718" s="247"/>
      <c r="D5718" s="317"/>
      <c r="E5718" s="318"/>
      <c r="F5718" s="247"/>
      <c r="G5718" s="247"/>
      <c r="H5718" s="248"/>
      <c r="I5718" s="248"/>
      <c r="J5718" s="247"/>
      <c r="K5718" s="249"/>
    </row>
    <row r="5719" spans="1:11" s="90" customFormat="1" ht="12.75" customHeight="1" x14ac:dyDescent="0.2">
      <c r="A5719" s="247"/>
      <c r="B5719" s="316"/>
      <c r="C5719" s="247"/>
      <c r="D5719" s="317"/>
      <c r="E5719" s="318"/>
      <c r="F5719" s="247"/>
      <c r="G5719" s="247"/>
      <c r="H5719" s="248"/>
      <c r="I5719" s="248"/>
      <c r="J5719" s="247"/>
      <c r="K5719" s="249"/>
    </row>
    <row r="5720" spans="1:11" s="90" customFormat="1" ht="12.75" customHeight="1" x14ac:dyDescent="0.2">
      <c r="A5720" s="247"/>
      <c r="B5720" s="316"/>
      <c r="C5720" s="247"/>
      <c r="D5720" s="317"/>
      <c r="E5720" s="318"/>
      <c r="F5720" s="247"/>
      <c r="G5720" s="247"/>
      <c r="H5720" s="248"/>
      <c r="I5720" s="248"/>
      <c r="J5720" s="247"/>
      <c r="K5720" s="249"/>
    </row>
    <row r="5721" spans="1:11" s="90" customFormat="1" ht="12.75" customHeight="1" x14ac:dyDescent="0.2">
      <c r="A5721" s="247"/>
      <c r="B5721" s="316"/>
      <c r="C5721" s="247"/>
      <c r="D5721" s="317"/>
      <c r="E5721" s="318"/>
      <c r="F5721" s="247"/>
      <c r="G5721" s="247"/>
      <c r="H5721" s="248"/>
      <c r="I5721" s="248"/>
      <c r="J5721" s="247"/>
      <c r="K5721" s="249"/>
    </row>
    <row r="5722" spans="1:11" s="90" customFormat="1" ht="12.75" customHeight="1" x14ac:dyDescent="0.2">
      <c r="A5722" s="247"/>
      <c r="B5722" s="316"/>
      <c r="C5722" s="247"/>
      <c r="D5722" s="317"/>
      <c r="E5722" s="318"/>
      <c r="F5722" s="247"/>
      <c r="G5722" s="247"/>
      <c r="H5722" s="248"/>
      <c r="I5722" s="248"/>
      <c r="J5722" s="247"/>
      <c r="K5722" s="249"/>
    </row>
    <row r="5723" spans="1:11" s="90" customFormat="1" ht="12.75" customHeight="1" x14ac:dyDescent="0.2">
      <c r="A5723" s="247"/>
      <c r="B5723" s="316"/>
      <c r="C5723" s="247"/>
      <c r="D5723" s="317"/>
      <c r="E5723" s="318"/>
      <c r="F5723" s="247"/>
      <c r="G5723" s="247"/>
      <c r="H5723" s="248"/>
      <c r="I5723" s="248"/>
      <c r="J5723" s="247"/>
      <c r="K5723" s="249"/>
    </row>
    <row r="5724" spans="1:11" s="90" customFormat="1" ht="12.75" customHeight="1" x14ac:dyDescent="0.2">
      <c r="A5724" s="247"/>
      <c r="B5724" s="316"/>
      <c r="C5724" s="247"/>
      <c r="D5724" s="317"/>
      <c r="E5724" s="318"/>
      <c r="F5724" s="247"/>
      <c r="G5724" s="247"/>
      <c r="H5724" s="248"/>
      <c r="I5724" s="248"/>
      <c r="J5724" s="247"/>
      <c r="K5724" s="249"/>
    </row>
    <row r="5725" spans="1:11" s="90" customFormat="1" ht="12.75" customHeight="1" x14ac:dyDescent="0.2">
      <c r="A5725" s="247"/>
      <c r="B5725" s="316"/>
      <c r="C5725" s="247"/>
      <c r="D5725" s="317"/>
      <c r="E5725" s="318"/>
      <c r="F5725" s="247"/>
      <c r="G5725" s="247"/>
      <c r="H5725" s="248"/>
      <c r="I5725" s="248"/>
      <c r="J5725" s="247"/>
      <c r="K5725" s="249"/>
    </row>
    <row r="5726" spans="1:11" s="90" customFormat="1" ht="12.75" customHeight="1" x14ac:dyDescent="0.2">
      <c r="A5726" s="247"/>
      <c r="B5726" s="316"/>
      <c r="C5726" s="247"/>
      <c r="D5726" s="317"/>
      <c r="E5726" s="318"/>
      <c r="F5726" s="247"/>
      <c r="G5726" s="247"/>
      <c r="H5726" s="248"/>
      <c r="I5726" s="248"/>
      <c r="J5726" s="247"/>
      <c r="K5726" s="249"/>
    </row>
    <row r="5727" spans="1:11" s="90" customFormat="1" ht="12.75" customHeight="1" x14ac:dyDescent="0.2">
      <c r="A5727" s="247"/>
      <c r="B5727" s="316"/>
      <c r="C5727" s="247"/>
      <c r="D5727" s="317"/>
      <c r="E5727" s="318"/>
      <c r="F5727" s="247"/>
      <c r="G5727" s="247"/>
      <c r="H5727" s="248"/>
      <c r="I5727" s="248"/>
      <c r="J5727" s="247"/>
      <c r="K5727" s="249"/>
    </row>
    <row r="5728" spans="1:11" s="90" customFormat="1" ht="12.75" customHeight="1" x14ac:dyDescent="0.2">
      <c r="A5728" s="247"/>
      <c r="B5728" s="316"/>
      <c r="C5728" s="247"/>
      <c r="D5728" s="317"/>
      <c r="E5728" s="318"/>
      <c r="F5728" s="247"/>
      <c r="G5728" s="247"/>
      <c r="H5728" s="248"/>
      <c r="I5728" s="248"/>
      <c r="J5728" s="247"/>
      <c r="K5728" s="249"/>
    </row>
    <row r="5729" spans="1:11" s="90" customFormat="1" ht="12.75" customHeight="1" x14ac:dyDescent="0.2">
      <c r="A5729" s="247"/>
      <c r="B5729" s="316"/>
      <c r="C5729" s="247"/>
      <c r="D5729" s="317"/>
      <c r="E5729" s="318"/>
      <c r="F5729" s="247"/>
      <c r="G5729" s="247"/>
      <c r="H5729" s="248"/>
      <c r="I5729" s="248"/>
      <c r="J5729" s="247"/>
      <c r="K5729" s="249"/>
    </row>
    <row r="5730" spans="1:11" s="90" customFormat="1" ht="12.75" customHeight="1" x14ac:dyDescent="0.2">
      <c r="A5730" s="247"/>
      <c r="B5730" s="316"/>
      <c r="C5730" s="247"/>
      <c r="D5730" s="317"/>
      <c r="E5730" s="318"/>
      <c r="F5730" s="247"/>
      <c r="G5730" s="247"/>
      <c r="H5730" s="248"/>
      <c r="I5730" s="248"/>
      <c r="J5730" s="247"/>
      <c r="K5730" s="249"/>
    </row>
    <row r="5731" spans="1:11" s="90" customFormat="1" ht="12.75" customHeight="1" x14ac:dyDescent="0.2">
      <c r="A5731" s="247"/>
      <c r="B5731" s="316"/>
      <c r="C5731" s="247"/>
      <c r="D5731" s="317"/>
      <c r="E5731" s="318"/>
      <c r="F5731" s="247"/>
      <c r="G5731" s="247"/>
      <c r="H5731" s="248"/>
      <c r="I5731" s="248"/>
      <c r="J5731" s="247"/>
      <c r="K5731" s="249"/>
    </row>
    <row r="5732" spans="1:11" s="90" customFormat="1" ht="12.75" customHeight="1" x14ac:dyDescent="0.2">
      <c r="A5732" s="247"/>
      <c r="B5732" s="316"/>
      <c r="C5732" s="247"/>
      <c r="D5732" s="317"/>
      <c r="E5732" s="318"/>
      <c r="F5732" s="247"/>
      <c r="G5732" s="247"/>
      <c r="H5732" s="248"/>
      <c r="I5732" s="248"/>
      <c r="J5732" s="247"/>
      <c r="K5732" s="249"/>
    </row>
    <row r="5733" spans="1:11" s="90" customFormat="1" ht="12.75" customHeight="1" x14ac:dyDescent="0.2">
      <c r="A5733" s="247"/>
      <c r="B5733" s="316"/>
      <c r="C5733" s="247"/>
      <c r="D5733" s="317"/>
      <c r="E5733" s="318"/>
      <c r="F5733" s="247"/>
      <c r="G5733" s="247"/>
      <c r="H5733" s="248"/>
      <c r="I5733" s="248"/>
      <c r="J5733" s="247"/>
      <c r="K5733" s="249"/>
    </row>
    <row r="5734" spans="1:11" s="90" customFormat="1" ht="12.75" customHeight="1" x14ac:dyDescent="0.2">
      <c r="A5734" s="247"/>
      <c r="B5734" s="316"/>
      <c r="C5734" s="247"/>
      <c r="D5734" s="317"/>
      <c r="E5734" s="318"/>
      <c r="F5734" s="247"/>
      <c r="G5734" s="247"/>
      <c r="H5734" s="248"/>
      <c r="I5734" s="248"/>
      <c r="J5734" s="247"/>
      <c r="K5734" s="249"/>
    </row>
    <row r="5735" spans="1:11" s="90" customFormat="1" ht="12.75" customHeight="1" x14ac:dyDescent="0.2">
      <c r="A5735" s="247"/>
      <c r="B5735" s="316"/>
      <c r="C5735" s="247"/>
      <c r="D5735" s="317"/>
      <c r="E5735" s="318"/>
      <c r="F5735" s="247"/>
      <c r="G5735" s="247"/>
      <c r="H5735" s="248"/>
      <c r="I5735" s="248"/>
      <c r="J5735" s="247"/>
      <c r="K5735" s="249"/>
    </row>
    <row r="5736" spans="1:11" s="90" customFormat="1" ht="12.75" customHeight="1" x14ac:dyDescent="0.2">
      <c r="A5736" s="247"/>
      <c r="B5736" s="316"/>
      <c r="C5736" s="247"/>
      <c r="D5736" s="317"/>
      <c r="E5736" s="318"/>
      <c r="F5736" s="247"/>
      <c r="G5736" s="247"/>
      <c r="H5736" s="248"/>
      <c r="I5736" s="248"/>
      <c r="J5736" s="247"/>
      <c r="K5736" s="249"/>
    </row>
    <row r="5737" spans="1:11" s="90" customFormat="1" ht="12.75" customHeight="1" x14ac:dyDescent="0.2">
      <c r="A5737" s="247"/>
      <c r="B5737" s="316"/>
      <c r="C5737" s="247"/>
      <c r="D5737" s="317"/>
      <c r="E5737" s="318"/>
      <c r="F5737" s="247"/>
      <c r="G5737" s="247"/>
      <c r="H5737" s="248"/>
      <c r="I5737" s="248"/>
      <c r="J5737" s="247"/>
      <c r="K5737" s="249"/>
    </row>
    <row r="5738" spans="1:11" s="90" customFormat="1" ht="12.75" customHeight="1" x14ac:dyDescent="0.2">
      <c r="A5738" s="247"/>
      <c r="B5738" s="316"/>
      <c r="C5738" s="247"/>
      <c r="D5738" s="317"/>
      <c r="E5738" s="318"/>
      <c r="F5738" s="247"/>
      <c r="G5738" s="247"/>
      <c r="H5738" s="248"/>
      <c r="I5738" s="248"/>
      <c r="J5738" s="247"/>
      <c r="K5738" s="249"/>
    </row>
    <row r="5739" spans="1:11" s="90" customFormat="1" ht="12.75" customHeight="1" x14ac:dyDescent="0.2">
      <c r="A5739" s="247"/>
      <c r="B5739" s="316"/>
      <c r="C5739" s="247"/>
      <c r="D5739" s="317"/>
      <c r="E5739" s="318"/>
      <c r="F5739" s="247"/>
      <c r="G5739" s="247"/>
      <c r="H5739" s="248"/>
      <c r="I5739" s="248"/>
      <c r="J5739" s="247"/>
      <c r="K5739" s="249"/>
    </row>
    <row r="5740" spans="1:11" s="90" customFormat="1" ht="12.75" customHeight="1" x14ac:dyDescent="0.2">
      <c r="A5740" s="247"/>
      <c r="B5740" s="316"/>
      <c r="C5740" s="247"/>
      <c r="D5740" s="317"/>
      <c r="E5740" s="318"/>
      <c r="F5740" s="247"/>
      <c r="G5740" s="247"/>
      <c r="H5740" s="248"/>
      <c r="I5740" s="248"/>
      <c r="J5740" s="247"/>
      <c r="K5740" s="249"/>
    </row>
    <row r="5741" spans="1:11" s="90" customFormat="1" ht="12.75" customHeight="1" x14ac:dyDescent="0.2">
      <c r="A5741" s="247"/>
      <c r="B5741" s="316"/>
      <c r="C5741" s="247"/>
      <c r="D5741" s="317"/>
      <c r="E5741" s="318"/>
      <c r="F5741" s="247"/>
      <c r="G5741" s="247"/>
      <c r="H5741" s="248"/>
      <c r="I5741" s="248"/>
      <c r="J5741" s="247"/>
      <c r="K5741" s="249"/>
    </row>
    <row r="5742" spans="1:11" s="90" customFormat="1" ht="12.75" customHeight="1" x14ac:dyDescent="0.2">
      <c r="A5742" s="247"/>
      <c r="B5742" s="316"/>
      <c r="C5742" s="247"/>
      <c r="D5742" s="317"/>
      <c r="E5742" s="318"/>
      <c r="F5742" s="247"/>
      <c r="G5742" s="247"/>
      <c r="H5742" s="248"/>
      <c r="I5742" s="248"/>
      <c r="J5742" s="247"/>
      <c r="K5742" s="249"/>
    </row>
    <row r="5743" spans="1:11" s="90" customFormat="1" ht="12.75" customHeight="1" x14ac:dyDescent="0.2">
      <c r="A5743" s="247"/>
      <c r="B5743" s="316"/>
      <c r="C5743" s="247"/>
      <c r="D5743" s="317"/>
      <c r="E5743" s="318"/>
      <c r="F5743" s="247"/>
      <c r="G5743" s="247"/>
      <c r="H5743" s="248"/>
      <c r="I5743" s="248"/>
      <c r="J5743" s="247"/>
      <c r="K5743" s="249"/>
    </row>
    <row r="5744" spans="1:11" s="90" customFormat="1" ht="12.75" customHeight="1" x14ac:dyDescent="0.2">
      <c r="A5744" s="247"/>
      <c r="B5744" s="316"/>
      <c r="C5744" s="247"/>
      <c r="D5744" s="317"/>
      <c r="E5744" s="318"/>
      <c r="F5744" s="247"/>
      <c r="G5744" s="247"/>
      <c r="H5744" s="248"/>
      <c r="I5744" s="248"/>
      <c r="J5744" s="247"/>
      <c r="K5744" s="249"/>
    </row>
    <row r="5745" spans="1:11" s="90" customFormat="1" ht="12.75" customHeight="1" x14ac:dyDescent="0.2">
      <c r="A5745" s="247"/>
      <c r="B5745" s="316"/>
      <c r="C5745" s="247"/>
      <c r="D5745" s="317"/>
      <c r="E5745" s="318"/>
      <c r="F5745" s="247"/>
      <c r="G5745" s="247"/>
      <c r="H5745" s="248"/>
      <c r="I5745" s="248"/>
      <c r="J5745" s="247"/>
      <c r="K5745" s="249"/>
    </row>
    <row r="5746" spans="1:11" s="90" customFormat="1" ht="12.75" customHeight="1" x14ac:dyDescent="0.2">
      <c r="A5746" s="247"/>
      <c r="B5746" s="316"/>
      <c r="C5746" s="247"/>
      <c r="D5746" s="317"/>
      <c r="E5746" s="318"/>
      <c r="F5746" s="247"/>
      <c r="G5746" s="247"/>
      <c r="H5746" s="248"/>
      <c r="I5746" s="248"/>
      <c r="J5746" s="247"/>
      <c r="K5746" s="249"/>
    </row>
    <row r="5747" spans="1:11" s="90" customFormat="1" ht="12.75" customHeight="1" x14ac:dyDescent="0.2">
      <c r="A5747" s="247"/>
      <c r="B5747" s="316"/>
      <c r="C5747" s="247"/>
      <c r="D5747" s="317"/>
      <c r="E5747" s="318"/>
      <c r="F5747" s="247"/>
      <c r="G5747" s="247"/>
      <c r="H5747" s="248"/>
      <c r="I5747" s="248"/>
      <c r="J5747" s="247"/>
      <c r="K5747" s="249"/>
    </row>
    <row r="5748" spans="1:11" s="90" customFormat="1" ht="12.75" customHeight="1" x14ac:dyDescent="0.2">
      <c r="A5748" s="247"/>
      <c r="B5748" s="316"/>
      <c r="C5748" s="247"/>
      <c r="D5748" s="317"/>
      <c r="E5748" s="318"/>
      <c r="F5748" s="247"/>
      <c r="G5748" s="247"/>
      <c r="H5748" s="248"/>
      <c r="I5748" s="248"/>
      <c r="J5748" s="247"/>
      <c r="K5748" s="249"/>
    </row>
    <row r="5749" spans="1:11" s="90" customFormat="1" ht="12.75" customHeight="1" x14ac:dyDescent="0.2">
      <c r="A5749" s="247"/>
      <c r="B5749" s="316"/>
      <c r="C5749" s="247"/>
      <c r="D5749" s="317"/>
      <c r="E5749" s="318"/>
      <c r="F5749" s="247"/>
      <c r="G5749" s="247"/>
      <c r="H5749" s="248"/>
      <c r="I5749" s="248"/>
      <c r="J5749" s="247"/>
      <c r="K5749" s="249"/>
    </row>
    <row r="5750" spans="1:11" s="90" customFormat="1" ht="12.75" customHeight="1" x14ac:dyDescent="0.2">
      <c r="A5750" s="247"/>
      <c r="B5750" s="316"/>
      <c r="C5750" s="247"/>
      <c r="D5750" s="317"/>
      <c r="E5750" s="318"/>
      <c r="F5750" s="247"/>
      <c r="G5750" s="247"/>
      <c r="H5750" s="248"/>
      <c r="I5750" s="248"/>
      <c r="J5750" s="247"/>
      <c r="K5750" s="249"/>
    </row>
    <row r="5751" spans="1:11" s="90" customFormat="1" ht="12.75" customHeight="1" x14ac:dyDescent="0.2">
      <c r="A5751" s="247"/>
      <c r="B5751" s="316"/>
      <c r="C5751" s="247"/>
      <c r="D5751" s="317"/>
      <c r="E5751" s="318"/>
      <c r="F5751" s="247"/>
      <c r="G5751" s="247"/>
      <c r="H5751" s="248"/>
      <c r="I5751" s="248"/>
      <c r="J5751" s="247"/>
      <c r="K5751" s="249"/>
    </row>
    <row r="5752" spans="1:11" s="90" customFormat="1" ht="12.75" customHeight="1" x14ac:dyDescent="0.2">
      <c r="A5752" s="247"/>
      <c r="B5752" s="316"/>
      <c r="C5752" s="247"/>
      <c r="D5752" s="317"/>
      <c r="E5752" s="318"/>
      <c r="F5752" s="247"/>
      <c r="G5752" s="247"/>
      <c r="H5752" s="248"/>
      <c r="I5752" s="248"/>
      <c r="J5752" s="247"/>
      <c r="K5752" s="249"/>
    </row>
    <row r="5753" spans="1:11" s="90" customFormat="1" ht="12.75" customHeight="1" x14ac:dyDescent="0.2">
      <c r="A5753" s="247"/>
      <c r="B5753" s="316"/>
      <c r="C5753" s="247"/>
      <c r="D5753" s="317"/>
      <c r="E5753" s="318"/>
      <c r="F5753" s="247"/>
      <c r="G5753" s="247"/>
      <c r="H5753" s="248"/>
      <c r="I5753" s="248"/>
      <c r="J5753" s="247"/>
      <c r="K5753" s="249"/>
    </row>
    <row r="5754" spans="1:11" s="90" customFormat="1" ht="12.75" customHeight="1" x14ac:dyDescent="0.2">
      <c r="A5754" s="247"/>
      <c r="B5754" s="316"/>
      <c r="C5754" s="247"/>
      <c r="D5754" s="317"/>
      <c r="E5754" s="318"/>
      <c r="F5754" s="247"/>
      <c r="G5754" s="247"/>
      <c r="H5754" s="248"/>
      <c r="I5754" s="248"/>
      <c r="J5754" s="247"/>
      <c r="K5754" s="249"/>
    </row>
    <row r="5755" spans="1:11" s="90" customFormat="1" ht="12.75" customHeight="1" x14ac:dyDescent="0.2">
      <c r="A5755" s="247"/>
      <c r="B5755" s="316"/>
      <c r="C5755" s="247"/>
      <c r="D5755" s="317"/>
      <c r="E5755" s="318"/>
      <c r="F5755" s="247"/>
      <c r="G5755" s="247"/>
      <c r="H5755" s="248"/>
      <c r="I5755" s="248"/>
      <c r="J5755" s="247"/>
      <c r="K5755" s="249"/>
    </row>
    <row r="5756" spans="1:11" s="90" customFormat="1" ht="12.75" customHeight="1" x14ac:dyDescent="0.2">
      <c r="A5756" s="247"/>
      <c r="B5756" s="316"/>
      <c r="C5756" s="247"/>
      <c r="D5756" s="317"/>
      <c r="E5756" s="318"/>
      <c r="F5756" s="247"/>
      <c r="G5756" s="247"/>
      <c r="H5756" s="248"/>
      <c r="I5756" s="248"/>
      <c r="J5756" s="247"/>
      <c r="K5756" s="249"/>
    </row>
    <row r="5757" spans="1:11" s="90" customFormat="1" ht="12.75" customHeight="1" x14ac:dyDescent="0.2">
      <c r="A5757" s="247"/>
      <c r="B5757" s="316"/>
      <c r="C5757" s="247"/>
      <c r="D5757" s="317"/>
      <c r="E5757" s="318"/>
      <c r="F5757" s="247"/>
      <c r="G5757" s="247"/>
      <c r="H5757" s="248"/>
      <c r="I5757" s="248"/>
      <c r="J5757" s="247"/>
      <c r="K5757" s="249"/>
    </row>
    <row r="5758" spans="1:11" s="90" customFormat="1" ht="12.75" customHeight="1" x14ac:dyDescent="0.2">
      <c r="A5758" s="247"/>
      <c r="B5758" s="316"/>
      <c r="C5758" s="247"/>
      <c r="D5758" s="317"/>
      <c r="E5758" s="318"/>
      <c r="F5758" s="247"/>
      <c r="G5758" s="247"/>
      <c r="H5758" s="248"/>
      <c r="I5758" s="248"/>
      <c r="J5758" s="247"/>
      <c r="K5758" s="249"/>
    </row>
    <row r="5759" spans="1:11" s="90" customFormat="1" ht="12.75" customHeight="1" x14ac:dyDescent="0.2">
      <c r="A5759" s="247"/>
      <c r="B5759" s="316"/>
      <c r="C5759" s="247"/>
      <c r="D5759" s="317"/>
      <c r="E5759" s="318"/>
      <c r="F5759" s="247"/>
      <c r="G5759" s="247"/>
      <c r="H5759" s="248"/>
      <c r="I5759" s="248"/>
      <c r="J5759" s="247"/>
      <c r="K5759" s="249"/>
    </row>
    <row r="5760" spans="1:11" s="90" customFormat="1" ht="12.75" customHeight="1" x14ac:dyDescent="0.2">
      <c r="A5760" s="247"/>
      <c r="B5760" s="316"/>
      <c r="C5760" s="247"/>
      <c r="D5760" s="317"/>
      <c r="E5760" s="318"/>
      <c r="F5760" s="247"/>
      <c r="G5760" s="247"/>
      <c r="H5760" s="248"/>
      <c r="I5760" s="248"/>
      <c r="J5760" s="247"/>
      <c r="K5760" s="249"/>
    </row>
    <row r="5761" spans="1:11" s="90" customFormat="1" ht="12.75" customHeight="1" x14ac:dyDescent="0.2">
      <c r="A5761" s="247"/>
      <c r="B5761" s="316"/>
      <c r="C5761" s="247"/>
      <c r="D5761" s="317"/>
      <c r="E5761" s="318"/>
      <c r="F5761" s="247"/>
      <c r="G5761" s="247"/>
      <c r="H5761" s="248"/>
      <c r="I5761" s="248"/>
      <c r="J5761" s="247"/>
      <c r="K5761" s="249"/>
    </row>
    <row r="5762" spans="1:11" s="90" customFormat="1" ht="12.75" customHeight="1" x14ac:dyDescent="0.2">
      <c r="A5762" s="247"/>
      <c r="B5762" s="316"/>
      <c r="C5762" s="247"/>
      <c r="D5762" s="317"/>
      <c r="E5762" s="318"/>
      <c r="F5762" s="247"/>
      <c r="G5762" s="247"/>
      <c r="H5762" s="248"/>
      <c r="I5762" s="248"/>
      <c r="J5762" s="247"/>
      <c r="K5762" s="249"/>
    </row>
    <row r="5763" spans="1:11" s="90" customFormat="1" ht="12.75" customHeight="1" x14ac:dyDescent="0.2">
      <c r="A5763" s="247"/>
      <c r="B5763" s="316"/>
      <c r="C5763" s="247"/>
      <c r="D5763" s="317"/>
      <c r="E5763" s="318"/>
      <c r="F5763" s="247"/>
      <c r="G5763" s="247"/>
      <c r="H5763" s="248"/>
      <c r="I5763" s="248"/>
      <c r="J5763" s="247"/>
      <c r="K5763" s="249"/>
    </row>
    <row r="5764" spans="1:11" s="90" customFormat="1" ht="12.75" customHeight="1" x14ac:dyDescent="0.2">
      <c r="A5764" s="247"/>
      <c r="B5764" s="316"/>
      <c r="C5764" s="247"/>
      <c r="D5764" s="317"/>
      <c r="E5764" s="318"/>
      <c r="F5764" s="247"/>
      <c r="G5764" s="247"/>
      <c r="H5764" s="248"/>
      <c r="I5764" s="248"/>
      <c r="J5764" s="247"/>
      <c r="K5764" s="249"/>
    </row>
    <row r="5765" spans="1:11" s="90" customFormat="1" ht="12.75" customHeight="1" x14ac:dyDescent="0.2">
      <c r="A5765" s="247"/>
      <c r="B5765" s="316"/>
      <c r="C5765" s="247"/>
      <c r="D5765" s="317"/>
      <c r="E5765" s="318"/>
      <c r="F5765" s="247"/>
      <c r="G5765" s="247"/>
      <c r="H5765" s="248"/>
      <c r="I5765" s="248"/>
      <c r="J5765" s="247"/>
      <c r="K5765" s="249"/>
    </row>
    <row r="5766" spans="1:11" s="90" customFormat="1" ht="12.75" customHeight="1" x14ac:dyDescent="0.2">
      <c r="A5766" s="247"/>
      <c r="B5766" s="316"/>
      <c r="C5766" s="247"/>
      <c r="D5766" s="317"/>
      <c r="E5766" s="318"/>
      <c r="F5766" s="247"/>
      <c r="G5766" s="247"/>
      <c r="H5766" s="248"/>
      <c r="I5766" s="248"/>
      <c r="J5766" s="247"/>
      <c r="K5766" s="249"/>
    </row>
    <row r="5767" spans="1:11" s="90" customFormat="1" ht="12.75" customHeight="1" x14ac:dyDescent="0.2">
      <c r="A5767" s="247"/>
      <c r="B5767" s="316"/>
      <c r="C5767" s="247"/>
      <c r="D5767" s="317"/>
      <c r="E5767" s="318"/>
      <c r="F5767" s="247"/>
      <c r="G5767" s="247"/>
      <c r="H5767" s="248"/>
      <c r="I5767" s="248"/>
      <c r="J5767" s="247"/>
      <c r="K5767" s="249"/>
    </row>
    <row r="5768" spans="1:11" s="90" customFormat="1" ht="12.75" customHeight="1" x14ac:dyDescent="0.2">
      <c r="A5768" s="247"/>
      <c r="B5768" s="316"/>
      <c r="C5768" s="247"/>
      <c r="D5768" s="317"/>
      <c r="E5768" s="318"/>
      <c r="F5768" s="247"/>
      <c r="G5768" s="247"/>
      <c r="H5768" s="248"/>
      <c r="I5768" s="248"/>
      <c r="J5768" s="247"/>
      <c r="K5768" s="249"/>
    </row>
    <row r="5769" spans="1:11" s="90" customFormat="1" ht="12.75" customHeight="1" x14ac:dyDescent="0.2">
      <c r="A5769" s="247"/>
      <c r="B5769" s="316"/>
      <c r="C5769" s="247"/>
      <c r="D5769" s="317"/>
      <c r="E5769" s="318"/>
      <c r="F5769" s="247"/>
      <c r="G5769" s="247"/>
      <c r="H5769" s="248"/>
      <c r="I5769" s="248"/>
      <c r="J5769" s="247"/>
      <c r="K5769" s="249"/>
    </row>
    <row r="5770" spans="1:11" s="90" customFormat="1" ht="12.75" customHeight="1" x14ac:dyDescent="0.2">
      <c r="A5770" s="247"/>
      <c r="B5770" s="316"/>
      <c r="C5770" s="247"/>
      <c r="D5770" s="317"/>
      <c r="E5770" s="318"/>
      <c r="F5770" s="247"/>
      <c r="G5770" s="247"/>
      <c r="H5770" s="248"/>
      <c r="I5770" s="248"/>
      <c r="J5770" s="247"/>
      <c r="K5770" s="249"/>
    </row>
    <row r="5771" spans="1:11" s="90" customFormat="1" ht="12.75" customHeight="1" x14ac:dyDescent="0.2">
      <c r="A5771" s="247"/>
      <c r="B5771" s="316"/>
      <c r="C5771" s="247"/>
      <c r="D5771" s="317"/>
      <c r="E5771" s="318"/>
      <c r="F5771" s="247"/>
      <c r="G5771" s="247"/>
      <c r="H5771" s="248"/>
      <c r="I5771" s="248"/>
      <c r="J5771" s="247"/>
      <c r="K5771" s="249"/>
    </row>
    <row r="5772" spans="1:11" s="90" customFormat="1" ht="12.75" customHeight="1" x14ac:dyDescent="0.2">
      <c r="A5772" s="247"/>
      <c r="B5772" s="316"/>
      <c r="C5772" s="247"/>
      <c r="D5772" s="317"/>
      <c r="E5772" s="318"/>
      <c r="F5772" s="247"/>
      <c r="G5772" s="247"/>
      <c r="H5772" s="248"/>
      <c r="I5772" s="248"/>
      <c r="J5772" s="247"/>
      <c r="K5772" s="249"/>
    </row>
    <row r="5773" spans="1:11" s="90" customFormat="1" ht="12.75" customHeight="1" x14ac:dyDescent="0.2">
      <c r="A5773" s="247"/>
      <c r="B5773" s="316"/>
      <c r="C5773" s="247"/>
      <c r="D5773" s="317"/>
      <c r="E5773" s="318"/>
      <c r="F5773" s="247"/>
      <c r="G5773" s="247"/>
      <c r="H5773" s="248"/>
      <c r="I5773" s="248"/>
      <c r="J5773" s="247"/>
      <c r="K5773" s="249"/>
    </row>
    <row r="5774" spans="1:11" s="90" customFormat="1" ht="12.75" customHeight="1" x14ac:dyDescent="0.2">
      <c r="A5774" s="247"/>
      <c r="B5774" s="316"/>
      <c r="C5774" s="247"/>
      <c r="D5774" s="317"/>
      <c r="E5774" s="318"/>
      <c r="F5774" s="247"/>
      <c r="G5774" s="247"/>
      <c r="H5774" s="248"/>
      <c r="I5774" s="248"/>
      <c r="J5774" s="247"/>
      <c r="K5774" s="249"/>
    </row>
    <row r="5775" spans="1:11" s="90" customFormat="1" ht="12.75" customHeight="1" x14ac:dyDescent="0.2">
      <c r="A5775" s="247"/>
      <c r="B5775" s="316"/>
      <c r="C5775" s="247"/>
      <c r="D5775" s="317"/>
      <c r="E5775" s="318"/>
      <c r="F5775" s="247"/>
      <c r="G5775" s="247"/>
      <c r="H5775" s="248"/>
      <c r="I5775" s="248"/>
      <c r="J5775" s="247"/>
      <c r="K5775" s="249"/>
    </row>
    <row r="5776" spans="1:11" s="90" customFormat="1" ht="12.75" customHeight="1" x14ac:dyDescent="0.2">
      <c r="A5776" s="247"/>
      <c r="B5776" s="316"/>
      <c r="C5776" s="247"/>
      <c r="D5776" s="317"/>
      <c r="E5776" s="318"/>
      <c r="F5776" s="247"/>
      <c r="G5776" s="247"/>
      <c r="H5776" s="248"/>
      <c r="I5776" s="248"/>
      <c r="J5776" s="247"/>
      <c r="K5776" s="249"/>
    </row>
    <row r="5777" spans="1:11" s="90" customFormat="1" ht="12.75" customHeight="1" x14ac:dyDescent="0.2">
      <c r="A5777" s="247"/>
      <c r="B5777" s="316"/>
      <c r="C5777" s="247"/>
      <c r="D5777" s="317"/>
      <c r="E5777" s="318"/>
      <c r="F5777" s="247"/>
      <c r="G5777" s="247"/>
      <c r="H5777" s="248"/>
      <c r="I5777" s="248"/>
      <c r="J5777" s="247"/>
      <c r="K5777" s="249"/>
    </row>
    <row r="5778" spans="1:11" s="90" customFormat="1" ht="12.75" customHeight="1" x14ac:dyDescent="0.2">
      <c r="A5778" s="247"/>
      <c r="B5778" s="316"/>
      <c r="C5778" s="247"/>
      <c r="D5778" s="317"/>
      <c r="E5778" s="318"/>
      <c r="F5778" s="247"/>
      <c r="G5778" s="247"/>
      <c r="H5778" s="248"/>
      <c r="I5778" s="248"/>
      <c r="J5778" s="247"/>
      <c r="K5778" s="249"/>
    </row>
    <row r="5779" spans="1:11" s="90" customFormat="1" ht="12.75" customHeight="1" x14ac:dyDescent="0.2">
      <c r="A5779" s="247"/>
      <c r="B5779" s="316"/>
      <c r="C5779" s="247"/>
      <c r="D5779" s="317"/>
      <c r="E5779" s="318"/>
      <c r="F5779" s="247"/>
      <c r="G5779" s="247"/>
      <c r="H5779" s="248"/>
      <c r="I5779" s="248"/>
      <c r="J5779" s="247"/>
      <c r="K5779" s="249"/>
    </row>
    <row r="5780" spans="1:11" s="90" customFormat="1" ht="12.75" customHeight="1" x14ac:dyDescent="0.2">
      <c r="A5780" s="247"/>
      <c r="B5780" s="316"/>
      <c r="C5780" s="247"/>
      <c r="D5780" s="317"/>
      <c r="E5780" s="318"/>
      <c r="F5780" s="247"/>
      <c r="G5780" s="247"/>
      <c r="H5780" s="248"/>
      <c r="I5780" s="248"/>
      <c r="J5780" s="247"/>
      <c r="K5780" s="249"/>
    </row>
    <row r="5781" spans="1:11" s="90" customFormat="1" ht="12.75" customHeight="1" x14ac:dyDescent="0.2">
      <c r="A5781" s="247"/>
      <c r="B5781" s="316"/>
      <c r="C5781" s="247"/>
      <c r="D5781" s="317"/>
      <c r="E5781" s="318"/>
      <c r="F5781" s="247"/>
      <c r="G5781" s="247"/>
      <c r="H5781" s="248"/>
      <c r="I5781" s="248"/>
      <c r="J5781" s="247"/>
      <c r="K5781" s="249"/>
    </row>
    <row r="5782" spans="1:11" s="90" customFormat="1" ht="12.75" customHeight="1" x14ac:dyDescent="0.2">
      <c r="A5782" s="247"/>
      <c r="B5782" s="316"/>
      <c r="C5782" s="247"/>
      <c r="D5782" s="317"/>
      <c r="E5782" s="318"/>
      <c r="F5782" s="247"/>
      <c r="G5782" s="247"/>
      <c r="H5782" s="248"/>
      <c r="I5782" s="248"/>
      <c r="J5782" s="247"/>
      <c r="K5782" s="249"/>
    </row>
    <row r="5783" spans="1:11" s="90" customFormat="1" ht="12.75" customHeight="1" x14ac:dyDescent="0.2">
      <c r="A5783" s="247"/>
      <c r="B5783" s="316"/>
      <c r="C5783" s="247"/>
      <c r="D5783" s="317"/>
      <c r="E5783" s="318"/>
      <c r="F5783" s="247"/>
      <c r="G5783" s="247"/>
      <c r="H5783" s="248"/>
      <c r="I5783" s="248"/>
      <c r="J5783" s="247"/>
      <c r="K5783" s="249"/>
    </row>
    <row r="5784" spans="1:11" s="90" customFormat="1" ht="12.75" customHeight="1" x14ac:dyDescent="0.2">
      <c r="A5784" s="247"/>
      <c r="B5784" s="316"/>
      <c r="C5784" s="247"/>
      <c r="D5784" s="317"/>
      <c r="E5784" s="318"/>
      <c r="F5784" s="247"/>
      <c r="G5784" s="247"/>
      <c r="H5784" s="248"/>
      <c r="I5784" s="248"/>
      <c r="J5784" s="247"/>
      <c r="K5784" s="249"/>
    </row>
    <row r="5785" spans="1:11" s="90" customFormat="1" ht="12.75" customHeight="1" x14ac:dyDescent="0.2">
      <c r="A5785" s="247"/>
      <c r="B5785" s="316"/>
      <c r="C5785" s="247"/>
      <c r="D5785" s="317"/>
      <c r="E5785" s="318"/>
      <c r="F5785" s="247"/>
      <c r="G5785" s="247"/>
      <c r="H5785" s="248"/>
      <c r="I5785" s="248"/>
      <c r="J5785" s="247"/>
      <c r="K5785" s="249"/>
    </row>
    <row r="5786" spans="1:11" s="90" customFormat="1" ht="12.75" customHeight="1" x14ac:dyDescent="0.2">
      <c r="A5786" s="247"/>
      <c r="B5786" s="316"/>
      <c r="C5786" s="247"/>
      <c r="D5786" s="317"/>
      <c r="E5786" s="318"/>
      <c r="F5786" s="247"/>
      <c r="G5786" s="247"/>
      <c r="H5786" s="248"/>
      <c r="I5786" s="248"/>
      <c r="J5786" s="247"/>
      <c r="K5786" s="249"/>
    </row>
    <row r="5787" spans="1:11" s="90" customFormat="1" ht="12.75" customHeight="1" x14ac:dyDescent="0.2">
      <c r="A5787" s="247"/>
      <c r="B5787" s="316"/>
      <c r="C5787" s="247"/>
      <c r="D5787" s="317"/>
      <c r="E5787" s="318"/>
      <c r="F5787" s="247"/>
      <c r="G5787" s="247"/>
      <c r="H5787" s="248"/>
      <c r="I5787" s="248"/>
      <c r="J5787" s="247"/>
      <c r="K5787" s="249"/>
    </row>
    <row r="5788" spans="1:11" s="90" customFormat="1" ht="12.75" customHeight="1" x14ac:dyDescent="0.2">
      <c r="A5788" s="247"/>
      <c r="B5788" s="316"/>
      <c r="C5788" s="247"/>
      <c r="D5788" s="317"/>
      <c r="E5788" s="318"/>
      <c r="F5788" s="247"/>
      <c r="G5788" s="247"/>
      <c r="H5788" s="248"/>
      <c r="I5788" s="248"/>
      <c r="J5788" s="247"/>
      <c r="K5788" s="249"/>
    </row>
    <row r="5789" spans="1:11" s="90" customFormat="1" ht="12.75" customHeight="1" x14ac:dyDescent="0.2">
      <c r="A5789" s="247"/>
      <c r="B5789" s="316"/>
      <c r="C5789" s="247"/>
      <c r="D5789" s="317"/>
      <c r="E5789" s="318"/>
      <c r="F5789" s="247"/>
      <c r="G5789" s="247"/>
      <c r="H5789" s="248"/>
      <c r="I5789" s="248"/>
      <c r="J5789" s="247"/>
      <c r="K5789" s="249"/>
    </row>
    <row r="5790" spans="1:11" s="90" customFormat="1" ht="12.75" customHeight="1" x14ac:dyDescent="0.2">
      <c r="A5790" s="247"/>
      <c r="B5790" s="316"/>
      <c r="C5790" s="247"/>
      <c r="D5790" s="317"/>
      <c r="E5790" s="318"/>
      <c r="F5790" s="247"/>
      <c r="G5790" s="247"/>
      <c r="H5790" s="248"/>
      <c r="I5790" s="248"/>
      <c r="J5790" s="247"/>
      <c r="K5790" s="249"/>
    </row>
    <row r="5791" spans="1:11" s="90" customFormat="1" ht="12.75" customHeight="1" x14ac:dyDescent="0.2">
      <c r="A5791" s="247"/>
      <c r="B5791" s="316"/>
      <c r="C5791" s="247"/>
      <c r="D5791" s="317"/>
      <c r="E5791" s="318"/>
      <c r="F5791" s="247"/>
      <c r="G5791" s="247"/>
      <c r="H5791" s="248"/>
      <c r="I5791" s="248"/>
      <c r="J5791" s="247"/>
      <c r="K5791" s="249"/>
    </row>
    <row r="5792" spans="1:11" s="90" customFormat="1" ht="12.75" customHeight="1" x14ac:dyDescent="0.2">
      <c r="A5792" s="247"/>
      <c r="B5792" s="316"/>
      <c r="C5792" s="247"/>
      <c r="D5792" s="317"/>
      <c r="E5792" s="318"/>
      <c r="F5792" s="247"/>
      <c r="G5792" s="247"/>
      <c r="H5792" s="248"/>
      <c r="I5792" s="248"/>
      <c r="J5792" s="247"/>
      <c r="K5792" s="249"/>
    </row>
    <row r="5793" spans="1:11" s="90" customFormat="1" ht="12.75" customHeight="1" x14ac:dyDescent="0.2">
      <c r="A5793" s="247"/>
      <c r="B5793" s="316"/>
      <c r="C5793" s="247"/>
      <c r="D5793" s="317"/>
      <c r="E5793" s="318"/>
      <c r="F5793" s="247"/>
      <c r="G5793" s="247"/>
      <c r="H5793" s="248"/>
      <c r="I5793" s="248"/>
      <c r="J5793" s="247"/>
      <c r="K5793" s="249"/>
    </row>
    <row r="5794" spans="1:11" s="90" customFormat="1" ht="12.75" customHeight="1" x14ac:dyDescent="0.2">
      <c r="A5794" s="247"/>
      <c r="B5794" s="316"/>
      <c r="C5794" s="247"/>
      <c r="D5794" s="317"/>
      <c r="E5794" s="318"/>
      <c r="F5794" s="247"/>
      <c r="G5794" s="247"/>
      <c r="H5794" s="248"/>
      <c r="I5794" s="248"/>
      <c r="J5794" s="247"/>
      <c r="K5794" s="249"/>
    </row>
    <row r="5795" spans="1:11" s="90" customFormat="1" ht="12.75" customHeight="1" x14ac:dyDescent="0.2">
      <c r="A5795" s="247"/>
      <c r="B5795" s="316"/>
      <c r="C5795" s="247"/>
      <c r="D5795" s="317"/>
      <c r="E5795" s="318"/>
      <c r="F5795" s="247"/>
      <c r="G5795" s="247"/>
      <c r="H5795" s="248"/>
      <c r="I5795" s="248"/>
      <c r="J5795" s="247"/>
      <c r="K5795" s="249"/>
    </row>
    <row r="5796" spans="1:11" s="90" customFormat="1" ht="12.75" customHeight="1" x14ac:dyDescent="0.2">
      <c r="A5796" s="247"/>
      <c r="B5796" s="316"/>
      <c r="C5796" s="247"/>
      <c r="D5796" s="317"/>
      <c r="E5796" s="318"/>
      <c r="F5796" s="247"/>
      <c r="G5796" s="247"/>
      <c r="H5796" s="248"/>
      <c r="I5796" s="248"/>
      <c r="J5796" s="247"/>
      <c r="K5796" s="249"/>
    </row>
    <row r="5797" spans="1:11" s="90" customFormat="1" ht="12.75" customHeight="1" x14ac:dyDescent="0.2">
      <c r="A5797" s="247"/>
      <c r="B5797" s="316"/>
      <c r="C5797" s="247"/>
      <c r="D5797" s="317"/>
      <c r="E5797" s="318"/>
      <c r="F5797" s="247"/>
      <c r="G5797" s="247"/>
      <c r="H5797" s="248"/>
      <c r="I5797" s="248"/>
      <c r="J5797" s="247"/>
      <c r="K5797" s="249"/>
    </row>
    <row r="5798" spans="1:11" s="90" customFormat="1" ht="12.75" customHeight="1" x14ac:dyDescent="0.2">
      <c r="A5798" s="247"/>
      <c r="B5798" s="316"/>
      <c r="C5798" s="247"/>
      <c r="D5798" s="317"/>
      <c r="E5798" s="318"/>
      <c r="F5798" s="247"/>
      <c r="G5798" s="247"/>
      <c r="H5798" s="248"/>
      <c r="I5798" s="248"/>
      <c r="J5798" s="247"/>
      <c r="K5798" s="249"/>
    </row>
    <row r="5799" spans="1:11" s="90" customFormat="1" ht="12.75" customHeight="1" x14ac:dyDescent="0.2">
      <c r="A5799" s="247"/>
      <c r="B5799" s="316"/>
      <c r="C5799" s="247"/>
      <c r="D5799" s="317"/>
      <c r="E5799" s="318"/>
      <c r="F5799" s="247"/>
      <c r="G5799" s="247"/>
      <c r="H5799" s="248"/>
      <c r="I5799" s="248"/>
      <c r="J5799" s="247"/>
      <c r="K5799" s="249"/>
    </row>
    <row r="5800" spans="1:11" s="90" customFormat="1" ht="12.75" customHeight="1" x14ac:dyDescent="0.2">
      <c r="A5800" s="247"/>
      <c r="B5800" s="316"/>
      <c r="C5800" s="247"/>
      <c r="D5800" s="317"/>
      <c r="E5800" s="318"/>
      <c r="F5800" s="247"/>
      <c r="G5800" s="247"/>
      <c r="H5800" s="248"/>
      <c r="I5800" s="248"/>
      <c r="J5800" s="247"/>
      <c r="K5800" s="249"/>
    </row>
    <row r="5801" spans="1:11" s="90" customFormat="1" ht="12.75" customHeight="1" x14ac:dyDescent="0.2">
      <c r="A5801" s="247"/>
      <c r="B5801" s="316"/>
      <c r="C5801" s="247"/>
      <c r="D5801" s="317"/>
      <c r="E5801" s="318"/>
      <c r="F5801" s="247"/>
      <c r="G5801" s="247"/>
      <c r="H5801" s="248"/>
      <c r="I5801" s="248"/>
      <c r="J5801" s="247"/>
      <c r="K5801" s="249"/>
    </row>
    <row r="5802" spans="1:11" s="90" customFormat="1" ht="12.75" customHeight="1" x14ac:dyDescent="0.2">
      <c r="A5802" s="247"/>
      <c r="B5802" s="316"/>
      <c r="C5802" s="247"/>
      <c r="D5802" s="317"/>
      <c r="E5802" s="318"/>
      <c r="F5802" s="247"/>
      <c r="G5802" s="247"/>
      <c r="H5802" s="248"/>
      <c r="I5802" s="248"/>
      <c r="J5802" s="247"/>
      <c r="K5802" s="249"/>
    </row>
    <row r="5803" spans="1:11" s="90" customFormat="1" ht="12.75" customHeight="1" x14ac:dyDescent="0.2">
      <c r="A5803" s="247"/>
      <c r="B5803" s="316"/>
      <c r="C5803" s="247"/>
      <c r="D5803" s="317"/>
      <c r="E5803" s="318"/>
      <c r="F5803" s="247"/>
      <c r="G5803" s="247"/>
      <c r="H5803" s="248"/>
      <c r="I5803" s="248"/>
      <c r="J5803" s="247"/>
      <c r="K5803" s="249"/>
    </row>
    <row r="5804" spans="1:11" s="90" customFormat="1" ht="12.75" customHeight="1" x14ac:dyDescent="0.2">
      <c r="A5804" s="247"/>
      <c r="B5804" s="316"/>
      <c r="C5804" s="247"/>
      <c r="D5804" s="317"/>
      <c r="E5804" s="318"/>
      <c r="F5804" s="247"/>
      <c r="G5804" s="247"/>
      <c r="H5804" s="248"/>
      <c r="I5804" s="248"/>
      <c r="J5804" s="247"/>
      <c r="K5804" s="249"/>
    </row>
    <row r="5805" spans="1:11" s="90" customFormat="1" ht="12.75" customHeight="1" x14ac:dyDescent="0.2">
      <c r="A5805" s="247"/>
      <c r="B5805" s="316"/>
      <c r="C5805" s="247"/>
      <c r="D5805" s="317"/>
      <c r="E5805" s="318"/>
      <c r="F5805" s="247"/>
      <c r="G5805" s="247"/>
      <c r="H5805" s="248"/>
      <c r="I5805" s="248"/>
      <c r="J5805" s="247"/>
      <c r="K5805" s="249"/>
    </row>
    <row r="5806" spans="1:11" s="90" customFormat="1" ht="12.75" customHeight="1" x14ac:dyDescent="0.2">
      <c r="A5806" s="247"/>
      <c r="B5806" s="316"/>
      <c r="C5806" s="247"/>
      <c r="D5806" s="317"/>
      <c r="E5806" s="318"/>
      <c r="F5806" s="247"/>
      <c r="G5806" s="247"/>
      <c r="H5806" s="248"/>
      <c r="I5806" s="248"/>
      <c r="J5806" s="247"/>
      <c r="K5806" s="249"/>
    </row>
    <row r="5807" spans="1:11" s="90" customFormat="1" ht="12.75" customHeight="1" x14ac:dyDescent="0.2">
      <c r="A5807" s="247"/>
      <c r="B5807" s="316"/>
      <c r="C5807" s="247"/>
      <c r="D5807" s="317"/>
      <c r="E5807" s="318"/>
      <c r="F5807" s="247"/>
      <c r="G5807" s="247"/>
      <c r="H5807" s="248"/>
      <c r="I5807" s="248"/>
      <c r="J5807" s="247"/>
      <c r="K5807" s="249"/>
    </row>
    <row r="5808" spans="1:11" s="90" customFormat="1" ht="12.75" customHeight="1" x14ac:dyDescent="0.2">
      <c r="A5808" s="247"/>
      <c r="B5808" s="316"/>
      <c r="C5808" s="247"/>
      <c r="D5808" s="317"/>
      <c r="E5808" s="318"/>
      <c r="F5808" s="247"/>
      <c r="G5808" s="247"/>
      <c r="H5808" s="248"/>
      <c r="I5808" s="248"/>
      <c r="J5808" s="247"/>
      <c r="K5808" s="249"/>
    </row>
    <row r="5809" spans="1:11" s="90" customFormat="1" ht="12.75" customHeight="1" x14ac:dyDescent="0.2">
      <c r="A5809" s="247"/>
      <c r="B5809" s="316"/>
      <c r="C5809" s="247"/>
      <c r="D5809" s="317"/>
      <c r="E5809" s="318"/>
      <c r="F5809" s="247"/>
      <c r="G5809" s="247"/>
      <c r="H5809" s="248"/>
      <c r="I5809" s="248"/>
      <c r="J5809" s="247"/>
      <c r="K5809" s="249"/>
    </row>
    <row r="5810" spans="1:11" s="90" customFormat="1" ht="12.75" customHeight="1" x14ac:dyDescent="0.2">
      <c r="A5810" s="247"/>
      <c r="B5810" s="316"/>
      <c r="C5810" s="247"/>
      <c r="D5810" s="317"/>
      <c r="E5810" s="318"/>
      <c r="F5810" s="247"/>
      <c r="G5810" s="247"/>
      <c r="H5810" s="248"/>
      <c r="I5810" s="248"/>
      <c r="J5810" s="247"/>
      <c r="K5810" s="249"/>
    </row>
    <row r="5811" spans="1:11" s="90" customFormat="1" ht="12.75" customHeight="1" x14ac:dyDescent="0.2">
      <c r="A5811" s="247"/>
      <c r="B5811" s="316"/>
      <c r="C5811" s="247"/>
      <c r="D5811" s="317"/>
      <c r="E5811" s="318"/>
      <c r="F5811" s="247"/>
      <c r="G5811" s="247"/>
      <c r="H5811" s="248"/>
      <c r="I5811" s="248"/>
      <c r="J5811" s="247"/>
      <c r="K5811" s="249"/>
    </row>
    <row r="5812" spans="1:11" s="90" customFormat="1" ht="12.75" customHeight="1" x14ac:dyDescent="0.2">
      <c r="A5812" s="247"/>
      <c r="B5812" s="316"/>
      <c r="C5812" s="247"/>
      <c r="D5812" s="317"/>
      <c r="E5812" s="318"/>
      <c r="F5812" s="247"/>
      <c r="G5812" s="247"/>
      <c r="H5812" s="248"/>
      <c r="I5812" s="248"/>
      <c r="J5812" s="247"/>
      <c r="K5812" s="249"/>
    </row>
    <row r="5813" spans="1:11" s="90" customFormat="1" ht="12.75" customHeight="1" x14ac:dyDescent="0.2">
      <c r="A5813" s="247"/>
      <c r="B5813" s="316"/>
      <c r="C5813" s="247"/>
      <c r="D5813" s="317"/>
      <c r="E5813" s="318"/>
      <c r="F5813" s="247"/>
      <c r="G5813" s="247"/>
      <c r="H5813" s="248"/>
      <c r="I5813" s="248"/>
      <c r="J5813" s="247"/>
      <c r="K5813" s="249"/>
    </row>
    <row r="5814" spans="1:11" s="90" customFormat="1" ht="12.75" customHeight="1" x14ac:dyDescent="0.2">
      <c r="A5814" s="247"/>
      <c r="B5814" s="316"/>
      <c r="C5814" s="247"/>
      <c r="D5814" s="317"/>
      <c r="E5814" s="318"/>
      <c r="F5814" s="247"/>
      <c r="G5814" s="247"/>
      <c r="H5814" s="248"/>
      <c r="I5814" s="248"/>
      <c r="J5814" s="247"/>
      <c r="K5814" s="249"/>
    </row>
    <row r="5815" spans="1:11" s="90" customFormat="1" ht="12.75" customHeight="1" x14ac:dyDescent="0.2">
      <c r="A5815" s="247"/>
      <c r="B5815" s="316"/>
      <c r="C5815" s="247"/>
      <c r="D5815" s="317"/>
      <c r="E5815" s="318"/>
      <c r="F5815" s="247"/>
      <c r="G5815" s="247"/>
      <c r="H5815" s="248"/>
      <c r="I5815" s="248"/>
      <c r="J5815" s="247"/>
      <c r="K5815" s="249"/>
    </row>
    <row r="5816" spans="1:11" s="90" customFormat="1" ht="12.75" customHeight="1" x14ac:dyDescent="0.2">
      <c r="A5816" s="247"/>
      <c r="B5816" s="316"/>
      <c r="C5816" s="247"/>
      <c r="D5816" s="317"/>
      <c r="E5816" s="318"/>
      <c r="F5816" s="247"/>
      <c r="G5816" s="247"/>
      <c r="H5816" s="248"/>
      <c r="I5816" s="248"/>
      <c r="J5816" s="247"/>
      <c r="K5816" s="249"/>
    </row>
    <row r="5817" spans="1:11" s="90" customFormat="1" ht="12.75" customHeight="1" x14ac:dyDescent="0.2">
      <c r="A5817" s="247"/>
      <c r="B5817" s="316"/>
      <c r="C5817" s="247"/>
      <c r="D5817" s="317"/>
      <c r="E5817" s="318"/>
      <c r="F5817" s="247"/>
      <c r="G5817" s="247"/>
      <c r="H5817" s="248"/>
      <c r="I5817" s="248"/>
      <c r="J5817" s="247"/>
      <c r="K5817" s="249"/>
    </row>
    <row r="5818" spans="1:11" s="90" customFormat="1" ht="12.75" customHeight="1" x14ac:dyDescent="0.2">
      <c r="A5818" s="247"/>
      <c r="B5818" s="316"/>
      <c r="C5818" s="247"/>
      <c r="D5818" s="317"/>
      <c r="E5818" s="318"/>
      <c r="F5818" s="247"/>
      <c r="G5818" s="247"/>
      <c r="H5818" s="248"/>
      <c r="I5818" s="248"/>
      <c r="J5818" s="247"/>
      <c r="K5818" s="249"/>
    </row>
    <row r="5819" spans="1:11" s="90" customFormat="1" ht="12.75" customHeight="1" x14ac:dyDescent="0.2">
      <c r="A5819" s="247"/>
      <c r="B5819" s="316"/>
      <c r="C5819" s="247"/>
      <c r="D5819" s="317"/>
      <c r="E5819" s="318"/>
      <c r="F5819" s="247"/>
      <c r="G5819" s="247"/>
      <c r="H5819" s="248"/>
      <c r="I5819" s="248"/>
      <c r="J5819" s="247"/>
      <c r="K5819" s="249"/>
    </row>
    <row r="5820" spans="1:11" s="90" customFormat="1" ht="12.75" customHeight="1" x14ac:dyDescent="0.2">
      <c r="A5820" s="247"/>
      <c r="B5820" s="316"/>
      <c r="C5820" s="247"/>
      <c r="D5820" s="317"/>
      <c r="E5820" s="318"/>
      <c r="F5820" s="247"/>
      <c r="G5820" s="247"/>
      <c r="H5820" s="248"/>
      <c r="I5820" s="248"/>
      <c r="J5820" s="247"/>
      <c r="K5820" s="249"/>
    </row>
    <row r="5821" spans="1:11" s="90" customFormat="1" ht="12.75" customHeight="1" x14ac:dyDescent="0.2">
      <c r="A5821" s="247"/>
      <c r="B5821" s="316"/>
      <c r="C5821" s="247"/>
      <c r="D5821" s="317"/>
      <c r="E5821" s="318"/>
      <c r="F5821" s="247"/>
      <c r="G5821" s="247"/>
      <c r="H5821" s="248"/>
      <c r="I5821" s="248"/>
      <c r="J5821" s="247"/>
      <c r="K5821" s="249"/>
    </row>
    <row r="5822" spans="1:11" s="90" customFormat="1" ht="12.75" customHeight="1" x14ac:dyDescent="0.2">
      <c r="A5822" s="247"/>
      <c r="B5822" s="316"/>
      <c r="C5822" s="247"/>
      <c r="D5822" s="317"/>
      <c r="E5822" s="318"/>
      <c r="F5822" s="247"/>
      <c r="G5822" s="247"/>
      <c r="H5822" s="248"/>
      <c r="I5822" s="248"/>
      <c r="J5822" s="247"/>
      <c r="K5822" s="249"/>
    </row>
    <row r="5823" spans="1:11" s="90" customFormat="1" ht="12.75" customHeight="1" x14ac:dyDescent="0.2">
      <c r="A5823" s="247"/>
      <c r="B5823" s="316"/>
      <c r="C5823" s="247"/>
      <c r="D5823" s="317"/>
      <c r="E5823" s="318"/>
      <c r="F5823" s="247"/>
      <c r="G5823" s="247"/>
      <c r="H5823" s="248"/>
      <c r="I5823" s="248"/>
      <c r="J5823" s="247"/>
      <c r="K5823" s="249"/>
    </row>
    <row r="5824" spans="1:11" s="90" customFormat="1" ht="12.75" customHeight="1" x14ac:dyDescent="0.2">
      <c r="A5824" s="247"/>
      <c r="B5824" s="316"/>
      <c r="C5824" s="247"/>
      <c r="D5824" s="317"/>
      <c r="E5824" s="318"/>
      <c r="F5824" s="247"/>
      <c r="G5824" s="247"/>
      <c r="H5824" s="248"/>
      <c r="I5824" s="248"/>
      <c r="J5824" s="247"/>
      <c r="K5824" s="249"/>
    </row>
    <row r="5825" spans="1:11" s="90" customFormat="1" ht="12.75" customHeight="1" x14ac:dyDescent="0.2">
      <c r="A5825" s="247"/>
      <c r="B5825" s="316"/>
      <c r="C5825" s="247"/>
      <c r="D5825" s="317"/>
      <c r="E5825" s="318"/>
      <c r="F5825" s="247"/>
      <c r="G5825" s="247"/>
      <c r="H5825" s="248"/>
      <c r="I5825" s="248"/>
      <c r="J5825" s="247"/>
      <c r="K5825" s="249"/>
    </row>
    <row r="5826" spans="1:11" s="90" customFormat="1" ht="12.75" customHeight="1" x14ac:dyDescent="0.2">
      <c r="A5826" s="247"/>
      <c r="B5826" s="316"/>
      <c r="C5826" s="247"/>
      <c r="D5826" s="317"/>
      <c r="E5826" s="318"/>
      <c r="F5826" s="247"/>
      <c r="G5826" s="247"/>
      <c r="H5826" s="248"/>
      <c r="I5826" s="248"/>
      <c r="J5826" s="247"/>
      <c r="K5826" s="249"/>
    </row>
    <row r="5827" spans="1:11" s="90" customFormat="1" ht="12.75" customHeight="1" x14ac:dyDescent="0.2">
      <c r="A5827" s="247"/>
      <c r="B5827" s="316"/>
      <c r="C5827" s="247"/>
      <c r="D5827" s="317"/>
      <c r="E5827" s="318"/>
      <c r="F5827" s="247"/>
      <c r="G5827" s="247"/>
      <c r="H5827" s="248"/>
      <c r="I5827" s="248"/>
      <c r="J5827" s="247"/>
      <c r="K5827" s="249"/>
    </row>
    <row r="5828" spans="1:11" s="90" customFormat="1" ht="12.75" customHeight="1" x14ac:dyDescent="0.2">
      <c r="A5828" s="247"/>
      <c r="B5828" s="316"/>
      <c r="C5828" s="247"/>
      <c r="D5828" s="317"/>
      <c r="E5828" s="318"/>
      <c r="F5828" s="247"/>
      <c r="G5828" s="247"/>
      <c r="H5828" s="248"/>
      <c r="I5828" s="248"/>
      <c r="J5828" s="247"/>
      <c r="K5828" s="249"/>
    </row>
    <row r="5829" spans="1:11" s="90" customFormat="1" ht="12.75" customHeight="1" x14ac:dyDescent="0.2">
      <c r="A5829" s="247"/>
      <c r="B5829" s="316"/>
      <c r="C5829" s="247"/>
      <c r="D5829" s="317"/>
      <c r="E5829" s="318"/>
      <c r="F5829" s="247"/>
      <c r="G5829" s="247"/>
      <c r="H5829" s="248"/>
      <c r="I5829" s="248"/>
      <c r="J5829" s="247"/>
      <c r="K5829" s="249"/>
    </row>
    <row r="5830" spans="1:11" s="90" customFormat="1" ht="12.75" customHeight="1" x14ac:dyDescent="0.2">
      <c r="A5830" s="247"/>
      <c r="B5830" s="316"/>
      <c r="C5830" s="247"/>
      <c r="D5830" s="317"/>
      <c r="E5830" s="318"/>
      <c r="F5830" s="247"/>
      <c r="G5830" s="247"/>
      <c r="H5830" s="248"/>
      <c r="I5830" s="248"/>
      <c r="J5830" s="247"/>
      <c r="K5830" s="249"/>
    </row>
    <row r="5831" spans="1:11" s="90" customFormat="1" ht="12.75" customHeight="1" x14ac:dyDescent="0.2">
      <c r="A5831" s="247"/>
      <c r="B5831" s="316"/>
      <c r="C5831" s="247"/>
      <c r="D5831" s="317"/>
      <c r="E5831" s="318"/>
      <c r="F5831" s="247"/>
      <c r="G5831" s="247"/>
      <c r="H5831" s="248"/>
      <c r="I5831" s="248"/>
      <c r="J5831" s="247"/>
      <c r="K5831" s="249"/>
    </row>
    <row r="5832" spans="1:11" s="90" customFormat="1" ht="12.75" customHeight="1" x14ac:dyDescent="0.2">
      <c r="A5832" s="247"/>
      <c r="B5832" s="316"/>
      <c r="C5832" s="247"/>
      <c r="D5832" s="317"/>
      <c r="E5832" s="318"/>
      <c r="F5832" s="247"/>
      <c r="G5832" s="247"/>
      <c r="H5832" s="248"/>
      <c r="I5832" s="248"/>
      <c r="J5832" s="247"/>
      <c r="K5832" s="249"/>
    </row>
    <row r="5833" spans="1:11" s="90" customFormat="1" ht="12.75" customHeight="1" x14ac:dyDescent="0.2">
      <c r="A5833" s="247"/>
      <c r="B5833" s="316"/>
      <c r="C5833" s="247"/>
      <c r="D5833" s="317"/>
      <c r="E5833" s="318"/>
      <c r="F5833" s="247"/>
      <c r="G5833" s="247"/>
      <c r="H5833" s="248"/>
      <c r="I5833" s="248"/>
      <c r="J5833" s="247"/>
      <c r="K5833" s="249"/>
    </row>
    <row r="5834" spans="1:11" s="90" customFormat="1" ht="12.75" customHeight="1" x14ac:dyDescent="0.2">
      <c r="A5834" s="247"/>
      <c r="B5834" s="316"/>
      <c r="C5834" s="247"/>
      <c r="D5834" s="317"/>
      <c r="E5834" s="318"/>
      <c r="F5834" s="247"/>
      <c r="G5834" s="247"/>
      <c r="H5834" s="248"/>
      <c r="I5834" s="248"/>
      <c r="J5834" s="247"/>
      <c r="K5834" s="249"/>
    </row>
    <row r="5835" spans="1:11" s="90" customFormat="1" ht="12.75" customHeight="1" x14ac:dyDescent="0.2">
      <c r="A5835" s="247"/>
      <c r="B5835" s="316"/>
      <c r="C5835" s="247"/>
      <c r="D5835" s="317"/>
      <c r="E5835" s="318"/>
      <c r="F5835" s="247"/>
      <c r="G5835" s="247"/>
      <c r="H5835" s="248"/>
      <c r="I5835" s="248"/>
      <c r="J5835" s="247"/>
      <c r="K5835" s="249"/>
    </row>
    <row r="5836" spans="1:11" s="90" customFormat="1" ht="12.75" customHeight="1" x14ac:dyDescent="0.2">
      <c r="A5836" s="247"/>
      <c r="B5836" s="316"/>
      <c r="C5836" s="247"/>
      <c r="D5836" s="317"/>
      <c r="E5836" s="318"/>
      <c r="F5836" s="247"/>
      <c r="G5836" s="247"/>
      <c r="H5836" s="248"/>
      <c r="I5836" s="248"/>
      <c r="J5836" s="247"/>
      <c r="K5836" s="249"/>
    </row>
    <row r="5837" spans="1:11" s="90" customFormat="1" ht="12.75" customHeight="1" x14ac:dyDescent="0.2">
      <c r="A5837" s="247"/>
      <c r="B5837" s="316"/>
      <c r="C5837" s="247"/>
      <c r="D5837" s="317"/>
      <c r="E5837" s="318"/>
      <c r="F5837" s="247"/>
      <c r="G5837" s="247"/>
      <c r="H5837" s="248"/>
      <c r="I5837" s="248"/>
      <c r="J5837" s="247"/>
      <c r="K5837" s="249"/>
    </row>
    <row r="5838" spans="1:11" s="90" customFormat="1" ht="12.75" customHeight="1" x14ac:dyDescent="0.2">
      <c r="A5838" s="247"/>
      <c r="B5838" s="316"/>
      <c r="C5838" s="247"/>
      <c r="D5838" s="317"/>
      <c r="E5838" s="318"/>
      <c r="F5838" s="247"/>
      <c r="G5838" s="247"/>
      <c r="H5838" s="248"/>
      <c r="I5838" s="248"/>
      <c r="J5838" s="247"/>
      <c r="K5838" s="249"/>
    </row>
    <row r="5839" spans="1:11" s="90" customFormat="1" ht="12.75" customHeight="1" x14ac:dyDescent="0.2">
      <c r="A5839" s="247"/>
      <c r="B5839" s="316"/>
      <c r="C5839" s="247"/>
      <c r="D5839" s="317"/>
      <c r="E5839" s="318"/>
      <c r="F5839" s="247"/>
      <c r="G5839" s="247"/>
      <c r="H5839" s="248"/>
      <c r="I5839" s="248"/>
      <c r="J5839" s="247"/>
      <c r="K5839" s="249"/>
    </row>
    <row r="5840" spans="1:11" s="90" customFormat="1" ht="12.75" customHeight="1" x14ac:dyDescent="0.2">
      <c r="A5840" s="247"/>
      <c r="B5840" s="316"/>
      <c r="C5840" s="247"/>
      <c r="D5840" s="317"/>
      <c r="E5840" s="318"/>
      <c r="F5840" s="247"/>
      <c r="G5840" s="247"/>
      <c r="H5840" s="248"/>
      <c r="I5840" s="248"/>
      <c r="J5840" s="247"/>
      <c r="K5840" s="249"/>
    </row>
    <row r="5841" spans="1:11" s="90" customFormat="1" ht="12.75" customHeight="1" x14ac:dyDescent="0.2">
      <c r="A5841" s="247"/>
      <c r="B5841" s="316"/>
      <c r="C5841" s="247"/>
      <c r="D5841" s="317"/>
      <c r="E5841" s="318"/>
      <c r="F5841" s="247"/>
      <c r="G5841" s="247"/>
      <c r="H5841" s="248"/>
      <c r="I5841" s="248"/>
      <c r="J5841" s="247"/>
      <c r="K5841" s="249"/>
    </row>
    <row r="5842" spans="1:11" s="90" customFormat="1" ht="12.75" customHeight="1" x14ac:dyDescent="0.2">
      <c r="A5842" s="247"/>
      <c r="B5842" s="316"/>
      <c r="C5842" s="247"/>
      <c r="D5842" s="317"/>
      <c r="E5842" s="318"/>
      <c r="F5842" s="247"/>
      <c r="G5842" s="247"/>
      <c r="H5842" s="248"/>
      <c r="I5842" s="248"/>
      <c r="J5842" s="247"/>
      <c r="K5842" s="249"/>
    </row>
    <row r="5843" spans="1:11" s="90" customFormat="1" ht="12.75" customHeight="1" x14ac:dyDescent="0.2">
      <c r="A5843" s="247"/>
      <c r="B5843" s="316"/>
      <c r="C5843" s="247"/>
      <c r="D5843" s="317"/>
      <c r="E5843" s="318"/>
      <c r="F5843" s="247"/>
      <c r="G5843" s="247"/>
      <c r="H5843" s="248"/>
      <c r="I5843" s="248"/>
      <c r="J5843" s="247"/>
      <c r="K5843" s="249"/>
    </row>
    <row r="5844" spans="1:11" s="90" customFormat="1" ht="12.75" customHeight="1" x14ac:dyDescent="0.2">
      <c r="A5844" s="247"/>
      <c r="B5844" s="316"/>
      <c r="C5844" s="247"/>
      <c r="D5844" s="317"/>
      <c r="E5844" s="318"/>
      <c r="F5844" s="247"/>
      <c r="G5844" s="247"/>
      <c r="H5844" s="248"/>
      <c r="I5844" s="248"/>
      <c r="J5844" s="247"/>
      <c r="K5844" s="249"/>
    </row>
    <row r="5845" spans="1:11" s="90" customFormat="1" ht="12.75" customHeight="1" x14ac:dyDescent="0.2">
      <c r="A5845" s="247"/>
      <c r="B5845" s="316"/>
      <c r="C5845" s="247"/>
      <c r="D5845" s="317"/>
      <c r="E5845" s="318"/>
      <c r="F5845" s="247"/>
      <c r="G5845" s="247"/>
      <c r="H5845" s="248"/>
      <c r="I5845" s="248"/>
      <c r="J5845" s="247"/>
      <c r="K5845" s="249"/>
    </row>
    <row r="5846" spans="1:11" s="90" customFormat="1" ht="12.75" customHeight="1" x14ac:dyDescent="0.2">
      <c r="A5846" s="247"/>
      <c r="B5846" s="316"/>
      <c r="C5846" s="247"/>
      <c r="D5846" s="317"/>
      <c r="E5846" s="318"/>
      <c r="F5846" s="247"/>
      <c r="G5846" s="247"/>
      <c r="H5846" s="248"/>
      <c r="I5846" s="248"/>
      <c r="J5846" s="247"/>
      <c r="K5846" s="249"/>
    </row>
    <row r="5847" spans="1:11" s="90" customFormat="1" ht="12.75" customHeight="1" x14ac:dyDescent="0.2">
      <c r="A5847" s="247"/>
      <c r="B5847" s="316"/>
      <c r="C5847" s="247"/>
      <c r="D5847" s="317"/>
      <c r="E5847" s="318"/>
      <c r="F5847" s="247"/>
      <c r="G5847" s="247"/>
      <c r="H5847" s="248"/>
      <c r="I5847" s="248"/>
      <c r="J5847" s="247"/>
      <c r="K5847" s="249"/>
    </row>
    <row r="5848" spans="1:11" s="90" customFormat="1" ht="12.75" customHeight="1" x14ac:dyDescent="0.2">
      <c r="A5848" s="247"/>
      <c r="B5848" s="316"/>
      <c r="C5848" s="247"/>
      <c r="D5848" s="317"/>
      <c r="E5848" s="318"/>
      <c r="F5848" s="247"/>
      <c r="G5848" s="247"/>
      <c r="H5848" s="248"/>
      <c r="I5848" s="248"/>
      <c r="J5848" s="247"/>
      <c r="K5848" s="249"/>
    </row>
    <row r="5849" spans="1:11" s="90" customFormat="1" ht="12.75" customHeight="1" x14ac:dyDescent="0.2">
      <c r="A5849" s="247"/>
      <c r="B5849" s="316"/>
      <c r="C5849" s="247"/>
      <c r="D5849" s="317"/>
      <c r="E5849" s="318"/>
      <c r="F5849" s="247"/>
      <c r="G5849" s="247"/>
      <c r="H5849" s="248"/>
      <c r="I5849" s="248"/>
      <c r="J5849" s="247"/>
      <c r="K5849" s="249"/>
    </row>
    <row r="5850" spans="1:11" s="90" customFormat="1" ht="12.75" customHeight="1" x14ac:dyDescent="0.2">
      <c r="A5850" s="247"/>
      <c r="B5850" s="316"/>
      <c r="C5850" s="247"/>
      <c r="D5850" s="317"/>
      <c r="E5850" s="318"/>
      <c r="F5850" s="247"/>
      <c r="G5850" s="247"/>
      <c r="H5850" s="248"/>
      <c r="I5850" s="248"/>
      <c r="J5850" s="247"/>
      <c r="K5850" s="249"/>
    </row>
    <row r="5851" spans="1:11" s="90" customFormat="1" ht="12.75" customHeight="1" x14ac:dyDescent="0.2">
      <c r="A5851" s="247"/>
      <c r="B5851" s="316"/>
      <c r="C5851" s="247"/>
      <c r="D5851" s="317"/>
      <c r="E5851" s="318"/>
      <c r="F5851" s="247"/>
      <c r="G5851" s="247"/>
      <c r="H5851" s="248"/>
      <c r="I5851" s="248"/>
      <c r="J5851" s="247"/>
      <c r="K5851" s="249"/>
    </row>
    <row r="5852" spans="1:11" s="90" customFormat="1" ht="12.75" customHeight="1" x14ac:dyDescent="0.2">
      <c r="A5852" s="247"/>
      <c r="B5852" s="316"/>
      <c r="C5852" s="247"/>
      <c r="D5852" s="317"/>
      <c r="E5852" s="318"/>
      <c r="F5852" s="247"/>
      <c r="G5852" s="247"/>
      <c r="H5852" s="248"/>
      <c r="I5852" s="248"/>
      <c r="J5852" s="247"/>
      <c r="K5852" s="249"/>
    </row>
    <row r="5853" spans="1:11" s="90" customFormat="1" ht="12.75" customHeight="1" x14ac:dyDescent="0.2">
      <c r="A5853" s="247"/>
      <c r="B5853" s="316"/>
      <c r="C5853" s="247"/>
      <c r="D5853" s="317"/>
      <c r="E5853" s="318"/>
      <c r="F5853" s="247"/>
      <c r="G5853" s="247"/>
      <c r="H5853" s="248"/>
      <c r="I5853" s="248"/>
      <c r="J5853" s="247"/>
      <c r="K5853" s="249"/>
    </row>
    <row r="5854" spans="1:11" s="90" customFormat="1" ht="12.75" customHeight="1" x14ac:dyDescent="0.2">
      <c r="A5854" s="247"/>
      <c r="B5854" s="316"/>
      <c r="C5854" s="247"/>
      <c r="D5854" s="317"/>
      <c r="E5854" s="318"/>
      <c r="F5854" s="247"/>
      <c r="G5854" s="247"/>
      <c r="H5854" s="248"/>
      <c r="I5854" s="248"/>
      <c r="J5854" s="247"/>
      <c r="K5854" s="249"/>
    </row>
    <row r="5855" spans="1:11" s="90" customFormat="1" ht="12.75" customHeight="1" x14ac:dyDescent="0.2">
      <c r="A5855" s="247"/>
      <c r="B5855" s="316"/>
      <c r="C5855" s="247"/>
      <c r="D5855" s="317"/>
      <c r="E5855" s="318"/>
      <c r="F5855" s="247"/>
      <c r="G5855" s="247"/>
      <c r="H5855" s="248"/>
      <c r="I5855" s="248"/>
      <c r="J5855" s="247"/>
      <c r="K5855" s="249"/>
    </row>
    <row r="5856" spans="1:11" s="90" customFormat="1" ht="12.75" customHeight="1" x14ac:dyDescent="0.2">
      <c r="A5856" s="247"/>
      <c r="B5856" s="316"/>
      <c r="C5856" s="247"/>
      <c r="D5856" s="317"/>
      <c r="E5856" s="318"/>
      <c r="F5856" s="247"/>
      <c r="G5856" s="247"/>
      <c r="H5856" s="248"/>
      <c r="I5856" s="248"/>
      <c r="J5856" s="247"/>
      <c r="K5856" s="249"/>
    </row>
    <row r="5857" spans="1:11" s="90" customFormat="1" ht="12.75" customHeight="1" x14ac:dyDescent="0.2">
      <c r="A5857" s="247"/>
      <c r="B5857" s="316"/>
      <c r="C5857" s="247"/>
      <c r="D5857" s="317"/>
      <c r="E5857" s="318"/>
      <c r="F5857" s="247"/>
      <c r="G5857" s="247"/>
      <c r="H5857" s="248"/>
      <c r="I5857" s="248"/>
      <c r="J5857" s="247"/>
      <c r="K5857" s="249"/>
    </row>
    <row r="5858" spans="1:11" s="90" customFormat="1" ht="12.75" customHeight="1" x14ac:dyDescent="0.2">
      <c r="A5858" s="247"/>
      <c r="B5858" s="316"/>
      <c r="C5858" s="247"/>
      <c r="D5858" s="317"/>
      <c r="E5858" s="318"/>
      <c r="F5858" s="247"/>
      <c r="G5858" s="247"/>
      <c r="H5858" s="248"/>
      <c r="I5858" s="248"/>
      <c r="J5858" s="247"/>
      <c r="K5858" s="249"/>
    </row>
    <row r="5859" spans="1:11" s="90" customFormat="1" ht="12.75" customHeight="1" x14ac:dyDescent="0.2">
      <c r="A5859" s="247"/>
      <c r="B5859" s="316"/>
      <c r="C5859" s="247"/>
      <c r="D5859" s="317"/>
      <c r="E5859" s="318"/>
      <c r="F5859" s="247"/>
      <c r="G5859" s="247"/>
      <c r="H5859" s="248"/>
      <c r="I5859" s="248"/>
      <c r="J5859" s="247"/>
      <c r="K5859" s="249"/>
    </row>
    <row r="5860" spans="1:11" s="90" customFormat="1" ht="12.75" customHeight="1" x14ac:dyDescent="0.2">
      <c r="A5860" s="247"/>
      <c r="B5860" s="316"/>
      <c r="C5860" s="247"/>
      <c r="D5860" s="317"/>
      <c r="E5860" s="318"/>
      <c r="F5860" s="247"/>
      <c r="G5860" s="247"/>
      <c r="H5860" s="248"/>
      <c r="I5860" s="248"/>
      <c r="J5860" s="247"/>
      <c r="K5860" s="249"/>
    </row>
    <row r="5861" spans="1:11" s="90" customFormat="1" ht="12.75" customHeight="1" x14ac:dyDescent="0.2">
      <c r="A5861" s="247"/>
      <c r="B5861" s="316"/>
      <c r="C5861" s="247"/>
      <c r="D5861" s="317"/>
      <c r="E5861" s="318"/>
      <c r="F5861" s="247"/>
      <c r="G5861" s="247"/>
      <c r="H5861" s="248"/>
      <c r="I5861" s="248"/>
      <c r="J5861" s="247"/>
      <c r="K5861" s="249"/>
    </row>
    <row r="5862" spans="1:11" s="90" customFormat="1" ht="12.75" customHeight="1" x14ac:dyDescent="0.2">
      <c r="A5862" s="247"/>
      <c r="B5862" s="316"/>
      <c r="C5862" s="247"/>
      <c r="D5862" s="317"/>
      <c r="E5862" s="318"/>
      <c r="F5862" s="247"/>
      <c r="G5862" s="247"/>
      <c r="H5862" s="248"/>
      <c r="I5862" s="248"/>
      <c r="J5862" s="247"/>
      <c r="K5862" s="249"/>
    </row>
    <row r="5863" spans="1:11" s="90" customFormat="1" ht="12.75" customHeight="1" x14ac:dyDescent="0.2">
      <c r="A5863" s="247"/>
      <c r="B5863" s="316"/>
      <c r="C5863" s="247"/>
      <c r="D5863" s="317"/>
      <c r="E5863" s="318"/>
      <c r="F5863" s="247"/>
      <c r="G5863" s="247"/>
      <c r="H5863" s="248"/>
      <c r="I5863" s="248"/>
      <c r="J5863" s="247"/>
      <c r="K5863" s="249"/>
    </row>
    <row r="5864" spans="1:11" s="90" customFormat="1" ht="12.75" customHeight="1" x14ac:dyDescent="0.2">
      <c r="A5864" s="247"/>
      <c r="B5864" s="316"/>
      <c r="C5864" s="247"/>
      <c r="D5864" s="317"/>
      <c r="E5864" s="318"/>
      <c r="F5864" s="247"/>
      <c r="G5864" s="247"/>
      <c r="H5864" s="248"/>
      <c r="I5864" s="248"/>
      <c r="J5864" s="247"/>
      <c r="K5864" s="249"/>
    </row>
    <row r="5865" spans="1:11" s="90" customFormat="1" ht="12.75" customHeight="1" x14ac:dyDescent="0.2">
      <c r="A5865" s="247"/>
      <c r="B5865" s="316"/>
      <c r="C5865" s="247"/>
      <c r="D5865" s="317"/>
      <c r="E5865" s="318"/>
      <c r="F5865" s="247"/>
      <c r="G5865" s="247"/>
      <c r="H5865" s="248"/>
      <c r="I5865" s="248"/>
      <c r="J5865" s="247"/>
      <c r="K5865" s="249"/>
    </row>
    <row r="5866" spans="1:11" s="90" customFormat="1" ht="12.75" customHeight="1" x14ac:dyDescent="0.2">
      <c r="A5866" s="247"/>
      <c r="B5866" s="316"/>
      <c r="C5866" s="247"/>
      <c r="D5866" s="317"/>
      <c r="E5866" s="318"/>
      <c r="F5866" s="247"/>
      <c r="G5866" s="247"/>
      <c r="H5866" s="248"/>
      <c r="I5866" s="248"/>
      <c r="J5866" s="247"/>
      <c r="K5866" s="249"/>
    </row>
    <row r="5867" spans="1:11" s="90" customFormat="1" ht="12.75" customHeight="1" x14ac:dyDescent="0.2">
      <c r="A5867" s="247"/>
      <c r="B5867" s="316"/>
      <c r="C5867" s="247"/>
      <c r="D5867" s="317"/>
      <c r="E5867" s="318"/>
      <c r="F5867" s="247"/>
      <c r="G5867" s="247"/>
      <c r="H5867" s="248"/>
      <c r="I5867" s="248"/>
      <c r="J5867" s="247"/>
      <c r="K5867" s="249"/>
    </row>
    <row r="5868" spans="1:11" s="90" customFormat="1" ht="12.75" customHeight="1" x14ac:dyDescent="0.2">
      <c r="A5868" s="247"/>
      <c r="B5868" s="316"/>
      <c r="C5868" s="247"/>
      <c r="D5868" s="317"/>
      <c r="E5868" s="318"/>
      <c r="F5868" s="247"/>
      <c r="G5868" s="247"/>
      <c r="H5868" s="248"/>
      <c r="I5868" s="248"/>
      <c r="J5868" s="247"/>
      <c r="K5868" s="249"/>
    </row>
    <row r="5869" spans="1:11" s="90" customFormat="1" ht="12.75" customHeight="1" x14ac:dyDescent="0.2">
      <c r="A5869" s="247"/>
      <c r="B5869" s="316"/>
      <c r="C5869" s="247"/>
      <c r="D5869" s="317"/>
      <c r="E5869" s="318"/>
      <c r="F5869" s="247"/>
      <c r="G5869" s="247"/>
      <c r="H5869" s="248"/>
      <c r="I5869" s="248"/>
      <c r="J5869" s="247"/>
      <c r="K5869" s="249"/>
    </row>
    <row r="5870" spans="1:11" s="90" customFormat="1" ht="12.75" customHeight="1" x14ac:dyDescent="0.2">
      <c r="A5870" s="247"/>
      <c r="B5870" s="316"/>
      <c r="C5870" s="247"/>
      <c r="D5870" s="317"/>
      <c r="E5870" s="318"/>
      <c r="F5870" s="247"/>
      <c r="G5870" s="247"/>
      <c r="H5870" s="248"/>
      <c r="I5870" s="248"/>
      <c r="J5870" s="247"/>
      <c r="K5870" s="249"/>
    </row>
    <row r="5871" spans="1:11" s="90" customFormat="1" ht="12.75" customHeight="1" x14ac:dyDescent="0.2">
      <c r="A5871" s="247"/>
      <c r="B5871" s="316"/>
      <c r="C5871" s="247"/>
      <c r="D5871" s="317"/>
      <c r="E5871" s="318"/>
      <c r="F5871" s="247"/>
      <c r="G5871" s="247"/>
      <c r="H5871" s="248"/>
      <c r="I5871" s="248"/>
      <c r="J5871" s="247"/>
      <c r="K5871" s="249"/>
    </row>
    <row r="5872" spans="1:11" s="90" customFormat="1" ht="12.75" customHeight="1" x14ac:dyDescent="0.2">
      <c r="A5872" s="247"/>
      <c r="B5872" s="316"/>
      <c r="C5872" s="247"/>
      <c r="D5872" s="317"/>
      <c r="E5872" s="318"/>
      <c r="F5872" s="247"/>
      <c r="G5872" s="247"/>
      <c r="H5872" s="248"/>
      <c r="I5872" s="248"/>
      <c r="J5872" s="247"/>
      <c r="K5872" s="249"/>
    </row>
    <row r="5873" spans="1:11" s="90" customFormat="1" ht="12.75" customHeight="1" x14ac:dyDescent="0.2">
      <c r="A5873" s="247"/>
      <c r="B5873" s="316"/>
      <c r="C5873" s="247"/>
      <c r="D5873" s="317"/>
      <c r="E5873" s="318"/>
      <c r="F5873" s="247"/>
      <c r="G5873" s="247"/>
      <c r="H5873" s="248"/>
      <c r="I5873" s="248"/>
      <c r="J5873" s="247"/>
      <c r="K5873" s="249"/>
    </row>
    <row r="5874" spans="1:11" s="90" customFormat="1" ht="12.75" customHeight="1" x14ac:dyDescent="0.2">
      <c r="A5874" s="247"/>
      <c r="B5874" s="316"/>
      <c r="C5874" s="247"/>
      <c r="D5874" s="317"/>
      <c r="E5874" s="318"/>
      <c r="F5874" s="247"/>
      <c r="G5874" s="247"/>
      <c r="H5874" s="248"/>
      <c r="I5874" s="248"/>
      <c r="J5874" s="247"/>
      <c r="K5874" s="249"/>
    </row>
    <row r="5875" spans="1:11" s="90" customFormat="1" ht="12.75" customHeight="1" x14ac:dyDescent="0.2">
      <c r="A5875" s="247"/>
      <c r="B5875" s="316"/>
      <c r="C5875" s="247"/>
      <c r="D5875" s="317"/>
      <c r="E5875" s="318"/>
      <c r="F5875" s="247"/>
      <c r="G5875" s="247"/>
      <c r="H5875" s="248"/>
      <c r="I5875" s="248"/>
      <c r="J5875" s="247"/>
      <c r="K5875" s="249"/>
    </row>
    <row r="5876" spans="1:11" s="90" customFormat="1" ht="12.75" customHeight="1" x14ac:dyDescent="0.2">
      <c r="A5876" s="247"/>
      <c r="B5876" s="316"/>
      <c r="C5876" s="247"/>
      <c r="D5876" s="317"/>
      <c r="E5876" s="318"/>
      <c r="F5876" s="247"/>
      <c r="G5876" s="247"/>
      <c r="H5876" s="248"/>
      <c r="I5876" s="248"/>
      <c r="J5876" s="247"/>
      <c r="K5876" s="249"/>
    </row>
    <row r="5877" spans="1:11" s="90" customFormat="1" ht="12.75" customHeight="1" x14ac:dyDescent="0.2">
      <c r="A5877" s="247"/>
      <c r="B5877" s="316"/>
      <c r="C5877" s="247"/>
      <c r="D5877" s="317"/>
      <c r="E5877" s="318"/>
      <c r="F5877" s="247"/>
      <c r="G5877" s="247"/>
      <c r="H5877" s="248"/>
      <c r="I5877" s="248"/>
      <c r="J5877" s="247"/>
      <c r="K5877" s="249"/>
    </row>
    <row r="5878" spans="1:11" s="90" customFormat="1" ht="12.75" customHeight="1" x14ac:dyDescent="0.2">
      <c r="A5878" s="247"/>
      <c r="B5878" s="316"/>
      <c r="C5878" s="247"/>
      <c r="D5878" s="317"/>
      <c r="E5878" s="318"/>
      <c r="F5878" s="247"/>
      <c r="G5878" s="247"/>
      <c r="H5878" s="248"/>
      <c r="I5878" s="248"/>
      <c r="J5878" s="247"/>
      <c r="K5878" s="249"/>
    </row>
    <row r="5879" spans="1:11" s="90" customFormat="1" ht="12.75" customHeight="1" x14ac:dyDescent="0.2">
      <c r="A5879" s="247"/>
      <c r="B5879" s="316"/>
      <c r="C5879" s="247"/>
      <c r="D5879" s="317"/>
      <c r="E5879" s="318"/>
      <c r="F5879" s="247"/>
      <c r="G5879" s="247"/>
      <c r="H5879" s="248"/>
      <c r="I5879" s="248"/>
      <c r="J5879" s="247"/>
      <c r="K5879" s="249"/>
    </row>
    <row r="5880" spans="1:11" s="90" customFormat="1" ht="12.75" customHeight="1" x14ac:dyDescent="0.2">
      <c r="A5880" s="247"/>
      <c r="B5880" s="316"/>
      <c r="C5880" s="247"/>
      <c r="D5880" s="317"/>
      <c r="E5880" s="318"/>
      <c r="F5880" s="247"/>
      <c r="G5880" s="247"/>
      <c r="H5880" s="248"/>
      <c r="I5880" s="248"/>
      <c r="J5880" s="247"/>
      <c r="K5880" s="249"/>
    </row>
    <row r="5881" spans="1:11" s="90" customFormat="1" ht="12.75" customHeight="1" x14ac:dyDescent="0.2">
      <c r="A5881" s="247"/>
      <c r="B5881" s="316"/>
      <c r="C5881" s="247"/>
      <c r="D5881" s="317"/>
      <c r="E5881" s="318"/>
      <c r="F5881" s="247"/>
      <c r="G5881" s="247"/>
      <c r="H5881" s="248"/>
      <c r="I5881" s="248"/>
      <c r="J5881" s="247"/>
      <c r="K5881" s="249"/>
    </row>
    <row r="5882" spans="1:11" s="90" customFormat="1" ht="12.75" customHeight="1" x14ac:dyDescent="0.2">
      <c r="A5882" s="247"/>
      <c r="B5882" s="316"/>
      <c r="C5882" s="247"/>
      <c r="D5882" s="317"/>
      <c r="E5882" s="318"/>
      <c r="F5882" s="247"/>
      <c r="G5882" s="247"/>
      <c r="H5882" s="248"/>
      <c r="I5882" s="248"/>
      <c r="J5882" s="247"/>
      <c r="K5882" s="249"/>
    </row>
    <row r="5883" spans="1:11" s="90" customFormat="1" ht="12.75" customHeight="1" x14ac:dyDescent="0.2">
      <c r="A5883" s="247"/>
      <c r="B5883" s="316"/>
      <c r="C5883" s="247"/>
      <c r="D5883" s="317"/>
      <c r="E5883" s="318"/>
      <c r="F5883" s="247"/>
      <c r="G5883" s="247"/>
      <c r="H5883" s="248"/>
      <c r="I5883" s="248"/>
      <c r="J5883" s="247"/>
      <c r="K5883" s="249"/>
    </row>
    <row r="5884" spans="1:11" s="90" customFormat="1" ht="12.75" customHeight="1" x14ac:dyDescent="0.2">
      <c r="A5884" s="247"/>
      <c r="B5884" s="316"/>
      <c r="C5884" s="247"/>
      <c r="D5884" s="317"/>
      <c r="E5884" s="318"/>
      <c r="F5884" s="247"/>
      <c r="G5884" s="247"/>
      <c r="H5884" s="248"/>
      <c r="I5884" s="248"/>
      <c r="J5884" s="247"/>
      <c r="K5884" s="249"/>
    </row>
    <row r="5885" spans="1:11" s="90" customFormat="1" ht="12.75" customHeight="1" x14ac:dyDescent="0.2">
      <c r="A5885" s="247"/>
      <c r="B5885" s="316"/>
      <c r="C5885" s="247"/>
      <c r="D5885" s="317"/>
      <c r="E5885" s="318"/>
      <c r="F5885" s="247"/>
      <c r="G5885" s="247"/>
      <c r="H5885" s="248"/>
      <c r="I5885" s="248"/>
      <c r="J5885" s="247"/>
      <c r="K5885" s="249"/>
    </row>
    <row r="5886" spans="1:11" s="90" customFormat="1" ht="12.75" customHeight="1" x14ac:dyDescent="0.2">
      <c r="A5886" s="247"/>
      <c r="B5886" s="316"/>
      <c r="C5886" s="247"/>
      <c r="D5886" s="317"/>
      <c r="E5886" s="318"/>
      <c r="F5886" s="247"/>
      <c r="G5886" s="247"/>
      <c r="H5886" s="248"/>
      <c r="I5886" s="248"/>
      <c r="J5886" s="247"/>
      <c r="K5886" s="249"/>
    </row>
    <row r="5887" spans="1:11" s="90" customFormat="1" ht="12.75" customHeight="1" x14ac:dyDescent="0.2">
      <c r="A5887" s="247"/>
      <c r="B5887" s="316"/>
      <c r="C5887" s="247"/>
      <c r="D5887" s="317"/>
      <c r="E5887" s="318"/>
      <c r="F5887" s="247"/>
      <c r="G5887" s="247"/>
      <c r="H5887" s="248"/>
      <c r="I5887" s="248"/>
      <c r="J5887" s="247"/>
      <c r="K5887" s="249"/>
    </row>
    <row r="5888" spans="1:11" s="90" customFormat="1" ht="12.75" customHeight="1" x14ac:dyDescent="0.2">
      <c r="A5888" s="247"/>
      <c r="B5888" s="316"/>
      <c r="C5888" s="247"/>
      <c r="D5888" s="317"/>
      <c r="E5888" s="318"/>
      <c r="F5888" s="247"/>
      <c r="G5888" s="247"/>
      <c r="H5888" s="248"/>
      <c r="I5888" s="248"/>
      <c r="J5888" s="247"/>
      <c r="K5888" s="249"/>
    </row>
    <row r="5889" spans="1:11" s="90" customFormat="1" ht="12.75" customHeight="1" x14ac:dyDescent="0.2">
      <c r="A5889" s="247"/>
      <c r="B5889" s="316"/>
      <c r="C5889" s="247"/>
      <c r="D5889" s="317"/>
      <c r="E5889" s="318"/>
      <c r="F5889" s="247"/>
      <c r="G5889" s="247"/>
      <c r="H5889" s="248"/>
      <c r="I5889" s="248"/>
      <c r="J5889" s="247"/>
      <c r="K5889" s="249"/>
    </row>
    <row r="5890" spans="1:11" s="90" customFormat="1" ht="12.75" customHeight="1" x14ac:dyDescent="0.2">
      <c r="A5890" s="247"/>
      <c r="B5890" s="316"/>
      <c r="C5890" s="247"/>
      <c r="D5890" s="317"/>
      <c r="E5890" s="318"/>
      <c r="F5890" s="247"/>
      <c r="G5890" s="247"/>
      <c r="H5890" s="248"/>
      <c r="I5890" s="248"/>
      <c r="J5890" s="247"/>
      <c r="K5890" s="249"/>
    </row>
    <row r="5891" spans="1:11" s="90" customFormat="1" ht="12.75" customHeight="1" x14ac:dyDescent="0.2">
      <c r="A5891" s="247"/>
      <c r="B5891" s="316"/>
      <c r="C5891" s="247"/>
      <c r="D5891" s="317"/>
      <c r="E5891" s="318"/>
      <c r="F5891" s="247"/>
      <c r="G5891" s="247"/>
      <c r="H5891" s="248"/>
      <c r="I5891" s="248"/>
      <c r="J5891" s="247"/>
      <c r="K5891" s="249"/>
    </row>
    <row r="5892" spans="1:11" s="90" customFormat="1" ht="12.75" customHeight="1" x14ac:dyDescent="0.2">
      <c r="A5892" s="247"/>
      <c r="B5892" s="316"/>
      <c r="C5892" s="247"/>
      <c r="D5892" s="317"/>
      <c r="E5892" s="318"/>
      <c r="F5892" s="247"/>
      <c r="G5892" s="247"/>
      <c r="H5892" s="248"/>
      <c r="I5892" s="248"/>
      <c r="J5892" s="247"/>
      <c r="K5892" s="249"/>
    </row>
    <row r="5893" spans="1:11" s="90" customFormat="1" ht="12.75" customHeight="1" x14ac:dyDescent="0.2">
      <c r="A5893" s="247"/>
      <c r="B5893" s="316"/>
      <c r="C5893" s="247"/>
      <c r="D5893" s="317"/>
      <c r="E5893" s="318"/>
      <c r="F5893" s="247"/>
      <c r="G5893" s="247"/>
      <c r="H5893" s="248"/>
      <c r="I5893" s="248"/>
      <c r="J5893" s="247"/>
      <c r="K5893" s="249"/>
    </row>
    <row r="5894" spans="1:11" s="90" customFormat="1" ht="12.75" customHeight="1" x14ac:dyDescent="0.2">
      <c r="A5894" s="247"/>
      <c r="B5894" s="316"/>
      <c r="C5894" s="247"/>
      <c r="D5894" s="317"/>
      <c r="E5894" s="318"/>
      <c r="F5894" s="247"/>
      <c r="G5894" s="247"/>
      <c r="H5894" s="248"/>
      <c r="I5894" s="248"/>
      <c r="J5894" s="247"/>
      <c r="K5894" s="249"/>
    </row>
    <row r="5895" spans="1:11" s="90" customFormat="1" ht="12.75" customHeight="1" x14ac:dyDescent="0.2">
      <c r="A5895" s="247"/>
      <c r="B5895" s="316"/>
      <c r="C5895" s="247"/>
      <c r="D5895" s="317"/>
      <c r="E5895" s="318"/>
      <c r="F5895" s="247"/>
      <c r="G5895" s="247"/>
      <c r="H5895" s="248"/>
      <c r="I5895" s="248"/>
      <c r="J5895" s="247"/>
      <c r="K5895" s="249"/>
    </row>
    <row r="5896" spans="1:11" s="90" customFormat="1" ht="12.75" customHeight="1" x14ac:dyDescent="0.2">
      <c r="A5896" s="247"/>
      <c r="B5896" s="316"/>
      <c r="C5896" s="247"/>
      <c r="D5896" s="317"/>
      <c r="E5896" s="318"/>
      <c r="F5896" s="247"/>
      <c r="G5896" s="247"/>
      <c r="H5896" s="248"/>
      <c r="I5896" s="248"/>
      <c r="J5896" s="247"/>
      <c r="K5896" s="249"/>
    </row>
    <row r="5897" spans="1:11" s="90" customFormat="1" ht="12.75" customHeight="1" x14ac:dyDescent="0.2">
      <c r="A5897" s="247"/>
      <c r="B5897" s="316"/>
      <c r="C5897" s="247"/>
      <c r="D5897" s="317"/>
      <c r="E5897" s="318"/>
      <c r="F5897" s="247"/>
      <c r="G5897" s="247"/>
      <c r="H5897" s="248"/>
      <c r="I5897" s="248"/>
      <c r="J5897" s="247"/>
      <c r="K5897" s="249"/>
    </row>
    <row r="5898" spans="1:11" s="90" customFormat="1" ht="12.75" customHeight="1" x14ac:dyDescent="0.2">
      <c r="A5898" s="247"/>
      <c r="B5898" s="316"/>
      <c r="C5898" s="247"/>
      <c r="D5898" s="317"/>
      <c r="E5898" s="318"/>
      <c r="F5898" s="247"/>
      <c r="G5898" s="247"/>
      <c r="H5898" s="248"/>
      <c r="I5898" s="248"/>
      <c r="J5898" s="247"/>
      <c r="K5898" s="249"/>
    </row>
    <row r="5899" spans="1:11" s="90" customFormat="1" ht="12.75" customHeight="1" x14ac:dyDescent="0.2">
      <c r="A5899" s="247"/>
      <c r="B5899" s="316"/>
      <c r="C5899" s="247"/>
      <c r="D5899" s="317"/>
      <c r="E5899" s="318"/>
      <c r="F5899" s="247"/>
      <c r="G5899" s="247"/>
      <c r="H5899" s="248"/>
      <c r="I5899" s="248"/>
      <c r="J5899" s="247"/>
      <c r="K5899" s="249"/>
    </row>
    <row r="5900" spans="1:11" s="90" customFormat="1" ht="12.75" customHeight="1" x14ac:dyDescent="0.2">
      <c r="A5900" s="247"/>
      <c r="B5900" s="316"/>
      <c r="C5900" s="247"/>
      <c r="D5900" s="317"/>
      <c r="E5900" s="318"/>
      <c r="F5900" s="247"/>
      <c r="G5900" s="247"/>
      <c r="H5900" s="248"/>
      <c r="I5900" s="248"/>
      <c r="J5900" s="247"/>
      <c r="K5900" s="249"/>
    </row>
    <row r="5901" spans="1:11" s="90" customFormat="1" ht="12.75" customHeight="1" x14ac:dyDescent="0.2">
      <c r="A5901" s="247"/>
      <c r="B5901" s="316"/>
      <c r="C5901" s="247"/>
      <c r="D5901" s="317"/>
      <c r="E5901" s="318"/>
      <c r="F5901" s="247"/>
      <c r="G5901" s="247"/>
      <c r="H5901" s="248"/>
      <c r="I5901" s="248"/>
      <c r="J5901" s="247"/>
      <c r="K5901" s="249"/>
    </row>
    <row r="5902" spans="1:11" s="90" customFormat="1" ht="12.75" customHeight="1" x14ac:dyDescent="0.2">
      <c r="A5902" s="247"/>
      <c r="B5902" s="316"/>
      <c r="C5902" s="247"/>
      <c r="D5902" s="317"/>
      <c r="E5902" s="318"/>
      <c r="F5902" s="247"/>
      <c r="G5902" s="247"/>
      <c r="H5902" s="248"/>
      <c r="I5902" s="248"/>
      <c r="J5902" s="247"/>
      <c r="K5902" s="249"/>
    </row>
    <row r="5903" spans="1:11" s="90" customFormat="1" ht="12.75" customHeight="1" x14ac:dyDescent="0.2">
      <c r="A5903" s="247"/>
      <c r="B5903" s="316"/>
      <c r="C5903" s="247"/>
      <c r="D5903" s="317"/>
      <c r="E5903" s="318"/>
      <c r="F5903" s="247"/>
      <c r="G5903" s="247"/>
      <c r="H5903" s="248"/>
      <c r="I5903" s="248"/>
      <c r="J5903" s="247"/>
      <c r="K5903" s="249"/>
    </row>
    <row r="5904" spans="1:11" s="90" customFormat="1" ht="12.75" customHeight="1" x14ac:dyDescent="0.2">
      <c r="A5904" s="247"/>
      <c r="B5904" s="316"/>
      <c r="C5904" s="247"/>
      <c r="D5904" s="317"/>
      <c r="E5904" s="318"/>
      <c r="F5904" s="247"/>
      <c r="G5904" s="247"/>
      <c r="H5904" s="248"/>
      <c r="I5904" s="248"/>
      <c r="J5904" s="247"/>
      <c r="K5904" s="249"/>
    </row>
    <row r="5905" spans="1:11" s="90" customFormat="1" ht="12.75" customHeight="1" x14ac:dyDescent="0.2">
      <c r="A5905" s="247"/>
      <c r="B5905" s="316"/>
      <c r="C5905" s="247"/>
      <c r="D5905" s="317"/>
      <c r="E5905" s="318"/>
      <c r="F5905" s="247"/>
      <c r="G5905" s="247"/>
      <c r="H5905" s="248"/>
      <c r="I5905" s="248"/>
      <c r="J5905" s="247"/>
      <c r="K5905" s="249"/>
    </row>
    <row r="5906" spans="1:11" s="90" customFormat="1" ht="12.75" customHeight="1" x14ac:dyDescent="0.2">
      <c r="A5906" s="247"/>
      <c r="B5906" s="316"/>
      <c r="C5906" s="247"/>
      <c r="D5906" s="317"/>
      <c r="E5906" s="318"/>
      <c r="F5906" s="247"/>
      <c r="G5906" s="247"/>
      <c r="H5906" s="248"/>
      <c r="I5906" s="248"/>
      <c r="J5906" s="247"/>
      <c r="K5906" s="249"/>
    </row>
    <row r="5907" spans="1:11" s="90" customFormat="1" ht="12.75" customHeight="1" x14ac:dyDescent="0.2">
      <c r="A5907" s="247"/>
      <c r="B5907" s="316"/>
      <c r="C5907" s="247"/>
      <c r="D5907" s="317"/>
      <c r="E5907" s="318"/>
      <c r="F5907" s="247"/>
      <c r="G5907" s="247"/>
      <c r="H5907" s="248"/>
      <c r="I5907" s="248"/>
      <c r="J5907" s="247"/>
      <c r="K5907" s="249"/>
    </row>
    <row r="5908" spans="1:11" s="90" customFormat="1" ht="12.75" customHeight="1" x14ac:dyDescent="0.2">
      <c r="A5908" s="247"/>
      <c r="B5908" s="316"/>
      <c r="C5908" s="247"/>
      <c r="D5908" s="317"/>
      <c r="E5908" s="318"/>
      <c r="F5908" s="247"/>
      <c r="G5908" s="247"/>
      <c r="H5908" s="248"/>
      <c r="I5908" s="248"/>
      <c r="J5908" s="247"/>
      <c r="K5908" s="249"/>
    </row>
    <row r="5909" spans="1:11" s="90" customFormat="1" ht="12.75" customHeight="1" x14ac:dyDescent="0.2">
      <c r="A5909" s="247"/>
      <c r="B5909" s="316"/>
      <c r="C5909" s="247"/>
      <c r="D5909" s="317"/>
      <c r="E5909" s="318"/>
      <c r="F5909" s="247"/>
      <c r="G5909" s="247"/>
      <c r="H5909" s="248"/>
      <c r="I5909" s="248"/>
      <c r="J5909" s="247"/>
      <c r="K5909" s="249"/>
    </row>
    <row r="5910" spans="1:11" s="90" customFormat="1" ht="12.75" customHeight="1" x14ac:dyDescent="0.2">
      <c r="A5910" s="247"/>
      <c r="B5910" s="316"/>
      <c r="C5910" s="247"/>
      <c r="D5910" s="317"/>
      <c r="E5910" s="318"/>
      <c r="F5910" s="247"/>
      <c r="G5910" s="247"/>
      <c r="H5910" s="248"/>
      <c r="I5910" s="248"/>
      <c r="J5910" s="247"/>
      <c r="K5910" s="249"/>
    </row>
    <row r="5911" spans="1:11" s="90" customFormat="1" ht="12.75" customHeight="1" x14ac:dyDescent="0.2">
      <c r="A5911" s="247"/>
      <c r="B5911" s="316"/>
      <c r="C5911" s="247"/>
      <c r="D5911" s="317"/>
      <c r="E5911" s="318"/>
      <c r="F5911" s="247"/>
      <c r="G5911" s="247"/>
      <c r="H5911" s="248"/>
      <c r="I5911" s="248"/>
      <c r="J5911" s="247"/>
      <c r="K5911" s="249"/>
    </row>
    <row r="5912" spans="1:11" s="90" customFormat="1" ht="12.75" customHeight="1" x14ac:dyDescent="0.2">
      <c r="A5912" s="247"/>
      <c r="B5912" s="316"/>
      <c r="C5912" s="247"/>
      <c r="D5912" s="317"/>
      <c r="E5912" s="318"/>
      <c r="F5912" s="247"/>
      <c r="G5912" s="247"/>
      <c r="H5912" s="248"/>
      <c r="I5912" s="248"/>
      <c r="J5912" s="247"/>
      <c r="K5912" s="249"/>
    </row>
    <row r="5913" spans="1:11" s="90" customFormat="1" ht="12.75" customHeight="1" x14ac:dyDescent="0.2">
      <c r="A5913" s="247"/>
      <c r="B5913" s="316"/>
      <c r="C5913" s="247"/>
      <c r="D5913" s="317"/>
      <c r="E5913" s="318"/>
      <c r="F5913" s="247"/>
      <c r="G5913" s="247"/>
      <c r="H5913" s="248"/>
      <c r="I5913" s="248"/>
      <c r="J5913" s="247"/>
      <c r="K5913" s="249"/>
    </row>
    <row r="5914" spans="1:11" s="90" customFormat="1" ht="12.75" customHeight="1" x14ac:dyDescent="0.2">
      <c r="A5914" s="247"/>
      <c r="B5914" s="316"/>
      <c r="C5914" s="247"/>
      <c r="D5914" s="317"/>
      <c r="E5914" s="318"/>
      <c r="F5914" s="247"/>
      <c r="G5914" s="247"/>
      <c r="H5914" s="248"/>
      <c r="I5914" s="248"/>
      <c r="J5914" s="247"/>
      <c r="K5914" s="249"/>
    </row>
    <row r="5915" spans="1:11" s="90" customFormat="1" ht="12.75" customHeight="1" x14ac:dyDescent="0.2">
      <c r="A5915" s="247"/>
      <c r="B5915" s="316"/>
      <c r="C5915" s="247"/>
      <c r="D5915" s="317"/>
      <c r="E5915" s="318"/>
      <c r="F5915" s="247"/>
      <c r="G5915" s="247"/>
      <c r="H5915" s="248"/>
      <c r="I5915" s="248"/>
      <c r="J5915" s="247"/>
      <c r="K5915" s="249"/>
    </row>
    <row r="5916" spans="1:11" s="90" customFormat="1" ht="12.75" customHeight="1" x14ac:dyDescent="0.2">
      <c r="A5916" s="247"/>
      <c r="B5916" s="316"/>
      <c r="C5916" s="247"/>
      <c r="D5916" s="317"/>
      <c r="E5916" s="318"/>
      <c r="F5916" s="247"/>
      <c r="G5916" s="247"/>
      <c r="H5916" s="248"/>
      <c r="I5916" s="248"/>
      <c r="J5916" s="247"/>
      <c r="K5916" s="249"/>
    </row>
    <row r="5917" spans="1:11" s="90" customFormat="1" ht="12.75" customHeight="1" x14ac:dyDescent="0.2">
      <c r="A5917" s="247"/>
      <c r="B5917" s="316"/>
      <c r="C5917" s="247"/>
      <c r="D5917" s="317"/>
      <c r="E5917" s="318"/>
      <c r="F5917" s="247"/>
      <c r="G5917" s="247"/>
      <c r="H5917" s="248"/>
      <c r="I5917" s="248"/>
      <c r="J5917" s="247"/>
      <c r="K5917" s="249"/>
    </row>
    <row r="5918" spans="1:11" s="90" customFormat="1" ht="12.75" customHeight="1" x14ac:dyDescent="0.2">
      <c r="A5918" s="247"/>
      <c r="B5918" s="316"/>
      <c r="C5918" s="247"/>
      <c r="D5918" s="317"/>
      <c r="E5918" s="318"/>
      <c r="F5918" s="247"/>
      <c r="G5918" s="247"/>
      <c r="H5918" s="248"/>
      <c r="I5918" s="248"/>
      <c r="J5918" s="247"/>
      <c r="K5918" s="249"/>
    </row>
    <row r="5919" spans="1:11" s="90" customFormat="1" ht="12.75" customHeight="1" x14ac:dyDescent="0.2">
      <c r="A5919" s="247"/>
      <c r="B5919" s="316"/>
      <c r="C5919" s="247"/>
      <c r="D5919" s="317"/>
      <c r="E5919" s="318"/>
      <c r="F5919" s="247"/>
      <c r="G5919" s="247"/>
      <c r="H5919" s="248"/>
      <c r="I5919" s="248"/>
      <c r="J5919" s="247"/>
      <c r="K5919" s="249"/>
    </row>
    <row r="5920" spans="1:11" s="90" customFormat="1" ht="12.75" customHeight="1" x14ac:dyDescent="0.2">
      <c r="A5920" s="247"/>
      <c r="B5920" s="316"/>
      <c r="C5920" s="247"/>
      <c r="D5920" s="317"/>
      <c r="E5920" s="318"/>
      <c r="F5920" s="247"/>
      <c r="G5920" s="247"/>
      <c r="H5920" s="248"/>
      <c r="I5920" s="248"/>
      <c r="J5920" s="247"/>
      <c r="K5920" s="249"/>
    </row>
    <row r="5921" spans="1:11" s="90" customFormat="1" ht="12.75" customHeight="1" x14ac:dyDescent="0.2">
      <c r="A5921" s="247"/>
      <c r="B5921" s="316"/>
      <c r="C5921" s="247"/>
      <c r="D5921" s="317"/>
      <c r="E5921" s="318"/>
      <c r="F5921" s="247"/>
      <c r="G5921" s="247"/>
      <c r="H5921" s="248"/>
      <c r="I5921" s="248"/>
      <c r="J5921" s="247"/>
      <c r="K5921" s="249"/>
    </row>
    <row r="5922" spans="1:11" s="90" customFormat="1" ht="12.75" customHeight="1" x14ac:dyDescent="0.2">
      <c r="A5922" s="247"/>
      <c r="B5922" s="316"/>
      <c r="C5922" s="247"/>
      <c r="D5922" s="317"/>
      <c r="E5922" s="318"/>
      <c r="F5922" s="247"/>
      <c r="G5922" s="247"/>
      <c r="H5922" s="248"/>
      <c r="I5922" s="248"/>
      <c r="J5922" s="247"/>
      <c r="K5922" s="249"/>
    </row>
    <row r="5923" spans="1:11" s="90" customFormat="1" ht="12.75" customHeight="1" x14ac:dyDescent="0.2">
      <c r="A5923" s="247"/>
      <c r="B5923" s="316"/>
      <c r="C5923" s="247"/>
      <c r="D5923" s="317"/>
      <c r="E5923" s="318"/>
      <c r="F5923" s="247"/>
      <c r="G5923" s="247"/>
      <c r="H5923" s="248"/>
      <c r="I5923" s="248"/>
      <c r="J5923" s="247"/>
      <c r="K5923" s="249"/>
    </row>
    <row r="5924" spans="1:11" s="90" customFormat="1" ht="12.75" customHeight="1" x14ac:dyDescent="0.2">
      <c r="A5924" s="247"/>
      <c r="B5924" s="316"/>
      <c r="C5924" s="247"/>
      <c r="D5924" s="317"/>
      <c r="E5924" s="318"/>
      <c r="F5924" s="247"/>
      <c r="G5924" s="247"/>
      <c r="H5924" s="248"/>
      <c r="I5924" s="248"/>
      <c r="J5924" s="247"/>
      <c r="K5924" s="249"/>
    </row>
    <row r="5925" spans="1:11" s="90" customFormat="1" ht="12.75" customHeight="1" x14ac:dyDescent="0.2">
      <c r="A5925" s="247"/>
      <c r="B5925" s="316"/>
      <c r="C5925" s="247"/>
      <c r="D5925" s="317"/>
      <c r="E5925" s="318"/>
      <c r="F5925" s="247"/>
      <c r="G5925" s="247"/>
      <c r="H5925" s="248"/>
      <c r="I5925" s="248"/>
      <c r="J5925" s="247"/>
      <c r="K5925" s="249"/>
    </row>
    <row r="5926" spans="1:11" s="90" customFormat="1" ht="12.75" customHeight="1" x14ac:dyDescent="0.2">
      <c r="A5926" s="247"/>
      <c r="B5926" s="316"/>
      <c r="C5926" s="247"/>
      <c r="D5926" s="317"/>
      <c r="E5926" s="318"/>
      <c r="F5926" s="247"/>
      <c r="G5926" s="247"/>
      <c r="H5926" s="248"/>
      <c r="I5926" s="248"/>
      <c r="J5926" s="247"/>
      <c r="K5926" s="249"/>
    </row>
    <row r="5927" spans="1:11" s="90" customFormat="1" ht="12.75" customHeight="1" x14ac:dyDescent="0.2">
      <c r="A5927" s="247"/>
      <c r="B5927" s="316"/>
      <c r="C5927" s="247"/>
      <c r="D5927" s="317"/>
      <c r="E5927" s="318"/>
      <c r="F5927" s="247"/>
      <c r="G5927" s="247"/>
      <c r="H5927" s="248"/>
      <c r="I5927" s="248"/>
      <c r="J5927" s="247"/>
      <c r="K5927" s="249"/>
    </row>
    <row r="5928" spans="1:11" s="90" customFormat="1" ht="12.75" customHeight="1" x14ac:dyDescent="0.2">
      <c r="A5928" s="247"/>
      <c r="B5928" s="316"/>
      <c r="C5928" s="247"/>
      <c r="D5928" s="317"/>
      <c r="E5928" s="318"/>
      <c r="F5928" s="247"/>
      <c r="G5928" s="247"/>
      <c r="H5928" s="248"/>
      <c r="I5928" s="248"/>
      <c r="J5928" s="247"/>
      <c r="K5928" s="249"/>
    </row>
    <row r="5929" spans="1:11" s="90" customFormat="1" ht="12.75" customHeight="1" x14ac:dyDescent="0.2">
      <c r="A5929" s="247"/>
      <c r="B5929" s="316"/>
      <c r="C5929" s="247"/>
      <c r="D5929" s="317"/>
      <c r="E5929" s="318"/>
      <c r="F5929" s="247"/>
      <c r="G5929" s="247"/>
      <c r="H5929" s="248"/>
      <c r="I5929" s="248"/>
      <c r="J5929" s="247"/>
      <c r="K5929" s="249"/>
    </row>
    <row r="5930" spans="1:11" s="90" customFormat="1" ht="12.75" customHeight="1" x14ac:dyDescent="0.2">
      <c r="A5930" s="247"/>
      <c r="B5930" s="316"/>
      <c r="C5930" s="247"/>
      <c r="D5930" s="317"/>
      <c r="E5930" s="318"/>
      <c r="F5930" s="247"/>
      <c r="G5930" s="247"/>
      <c r="H5930" s="248"/>
      <c r="I5930" s="248"/>
      <c r="J5930" s="247"/>
      <c r="K5930" s="249"/>
    </row>
    <row r="5931" spans="1:11" s="90" customFormat="1" ht="12.75" customHeight="1" x14ac:dyDescent="0.2">
      <c r="A5931" s="247"/>
      <c r="B5931" s="316"/>
      <c r="C5931" s="247"/>
      <c r="D5931" s="317"/>
      <c r="E5931" s="318"/>
      <c r="F5931" s="247"/>
      <c r="G5931" s="247"/>
      <c r="H5931" s="248"/>
      <c r="I5931" s="248"/>
      <c r="J5931" s="247"/>
      <c r="K5931" s="249"/>
    </row>
    <row r="5932" spans="1:11" s="90" customFormat="1" ht="12.75" customHeight="1" x14ac:dyDescent="0.2">
      <c r="A5932" s="247"/>
      <c r="B5932" s="316"/>
      <c r="C5932" s="247"/>
      <c r="D5932" s="317"/>
      <c r="E5932" s="318"/>
      <c r="F5932" s="247"/>
      <c r="G5932" s="247"/>
      <c r="H5932" s="248"/>
      <c r="I5932" s="248"/>
      <c r="J5932" s="247"/>
      <c r="K5932" s="249"/>
    </row>
    <row r="5933" spans="1:11" s="90" customFormat="1" ht="12.75" customHeight="1" x14ac:dyDescent="0.2">
      <c r="A5933" s="247"/>
      <c r="B5933" s="316"/>
      <c r="C5933" s="247"/>
      <c r="D5933" s="317"/>
      <c r="E5933" s="318"/>
      <c r="F5933" s="247"/>
      <c r="G5933" s="247"/>
      <c r="H5933" s="248"/>
      <c r="I5933" s="248"/>
      <c r="J5933" s="247"/>
      <c r="K5933" s="249"/>
    </row>
    <row r="5934" spans="1:11" s="90" customFormat="1" ht="12.75" customHeight="1" x14ac:dyDescent="0.2">
      <c r="A5934" s="247"/>
      <c r="B5934" s="316"/>
      <c r="C5934" s="247"/>
      <c r="D5934" s="317"/>
      <c r="E5934" s="318"/>
      <c r="F5934" s="247"/>
      <c r="G5934" s="247"/>
      <c r="H5934" s="248"/>
      <c r="I5934" s="248"/>
      <c r="J5934" s="247"/>
      <c r="K5934" s="249"/>
    </row>
    <row r="5935" spans="1:11" s="90" customFormat="1" ht="12.75" customHeight="1" x14ac:dyDescent="0.2">
      <c r="A5935" s="247"/>
      <c r="B5935" s="316"/>
      <c r="C5935" s="247"/>
      <c r="D5935" s="317"/>
      <c r="E5935" s="318"/>
      <c r="F5935" s="247"/>
      <c r="G5935" s="247"/>
      <c r="H5935" s="248"/>
      <c r="I5935" s="248"/>
      <c r="J5935" s="247"/>
      <c r="K5935" s="249"/>
    </row>
    <row r="5936" spans="1:11" s="90" customFormat="1" ht="12.75" customHeight="1" x14ac:dyDescent="0.2">
      <c r="A5936" s="247"/>
      <c r="B5936" s="316"/>
      <c r="C5936" s="247"/>
      <c r="D5936" s="317"/>
      <c r="E5936" s="318"/>
      <c r="F5936" s="247"/>
      <c r="G5936" s="247"/>
      <c r="H5936" s="248"/>
      <c r="I5936" s="248"/>
      <c r="J5936" s="247"/>
      <c r="K5936" s="249"/>
    </row>
    <row r="5937" spans="1:11" s="90" customFormat="1" ht="12.75" customHeight="1" x14ac:dyDescent="0.2">
      <c r="A5937" s="247"/>
      <c r="B5937" s="316"/>
      <c r="C5937" s="247"/>
      <c r="D5937" s="317"/>
      <c r="E5937" s="318"/>
      <c r="F5937" s="247"/>
      <c r="G5937" s="247"/>
      <c r="H5937" s="248"/>
      <c r="I5937" s="248"/>
      <c r="J5937" s="247"/>
      <c r="K5937" s="249"/>
    </row>
    <row r="5938" spans="1:11" s="90" customFormat="1" ht="12.75" customHeight="1" x14ac:dyDescent="0.2">
      <c r="A5938" s="247"/>
      <c r="B5938" s="316"/>
      <c r="C5938" s="247"/>
      <c r="D5938" s="317"/>
      <c r="E5938" s="318"/>
      <c r="F5938" s="247"/>
      <c r="G5938" s="247"/>
      <c r="H5938" s="248"/>
      <c r="I5938" s="248"/>
      <c r="J5938" s="247"/>
      <c r="K5938" s="249"/>
    </row>
    <row r="5939" spans="1:11" s="90" customFormat="1" ht="12.75" customHeight="1" x14ac:dyDescent="0.2">
      <c r="A5939" s="247"/>
      <c r="B5939" s="316"/>
      <c r="C5939" s="247"/>
      <c r="D5939" s="317"/>
      <c r="E5939" s="318"/>
      <c r="F5939" s="247"/>
      <c r="G5939" s="247"/>
      <c r="H5939" s="248"/>
      <c r="I5939" s="248"/>
      <c r="J5939" s="247"/>
      <c r="K5939" s="249"/>
    </row>
    <row r="5940" spans="1:11" s="90" customFormat="1" ht="12.75" customHeight="1" x14ac:dyDescent="0.2">
      <c r="A5940" s="247"/>
      <c r="B5940" s="316"/>
      <c r="C5940" s="247"/>
      <c r="D5940" s="317"/>
      <c r="E5940" s="318"/>
      <c r="F5940" s="247"/>
      <c r="G5940" s="247"/>
      <c r="H5940" s="248"/>
      <c r="I5940" s="248"/>
      <c r="J5940" s="247"/>
      <c r="K5940" s="249"/>
    </row>
    <row r="5941" spans="1:11" s="90" customFormat="1" ht="12.75" customHeight="1" x14ac:dyDescent="0.2">
      <c r="A5941" s="247"/>
      <c r="B5941" s="316"/>
      <c r="C5941" s="247"/>
      <c r="D5941" s="317"/>
      <c r="E5941" s="318"/>
      <c r="F5941" s="247"/>
      <c r="G5941" s="247"/>
      <c r="H5941" s="248"/>
      <c r="I5941" s="248"/>
      <c r="J5941" s="247"/>
      <c r="K5941" s="249"/>
    </row>
    <row r="5942" spans="1:11" s="90" customFormat="1" ht="12.75" customHeight="1" x14ac:dyDescent="0.2">
      <c r="A5942" s="247"/>
      <c r="B5942" s="316"/>
      <c r="C5942" s="247"/>
      <c r="D5942" s="317"/>
      <c r="E5942" s="318"/>
      <c r="F5942" s="247"/>
      <c r="G5942" s="247"/>
      <c r="H5942" s="248"/>
      <c r="I5942" s="248"/>
      <c r="J5942" s="247"/>
      <c r="K5942" s="249"/>
    </row>
    <row r="5943" spans="1:11" s="90" customFormat="1" ht="12.75" customHeight="1" x14ac:dyDescent="0.2">
      <c r="A5943" s="247"/>
      <c r="B5943" s="316"/>
      <c r="C5943" s="247"/>
      <c r="D5943" s="317"/>
      <c r="E5943" s="318"/>
      <c r="F5943" s="247"/>
      <c r="G5943" s="247"/>
      <c r="H5943" s="248"/>
      <c r="I5943" s="248"/>
      <c r="J5943" s="247"/>
      <c r="K5943" s="249"/>
    </row>
    <row r="5944" spans="1:11" s="90" customFormat="1" ht="12.75" customHeight="1" x14ac:dyDescent="0.2">
      <c r="A5944" s="247"/>
      <c r="B5944" s="316"/>
      <c r="C5944" s="247"/>
      <c r="D5944" s="317"/>
      <c r="E5944" s="318"/>
      <c r="F5944" s="247"/>
      <c r="G5944" s="247"/>
      <c r="H5944" s="248"/>
      <c r="I5944" s="248"/>
      <c r="J5944" s="247"/>
      <c r="K5944" s="249"/>
    </row>
    <row r="5945" spans="1:11" s="90" customFormat="1" ht="12.75" customHeight="1" x14ac:dyDescent="0.2">
      <c r="A5945" s="247"/>
      <c r="B5945" s="316"/>
      <c r="C5945" s="247"/>
      <c r="D5945" s="317"/>
      <c r="E5945" s="318"/>
      <c r="F5945" s="247"/>
      <c r="G5945" s="247"/>
      <c r="H5945" s="248"/>
      <c r="I5945" s="248"/>
      <c r="J5945" s="247"/>
      <c r="K5945" s="249"/>
    </row>
    <row r="5946" spans="1:11" s="90" customFormat="1" ht="12.75" customHeight="1" x14ac:dyDescent="0.2">
      <c r="A5946" s="247"/>
      <c r="B5946" s="316"/>
      <c r="C5946" s="247"/>
      <c r="D5946" s="317"/>
      <c r="E5946" s="318"/>
      <c r="F5946" s="247"/>
      <c r="G5946" s="247"/>
      <c r="H5946" s="248"/>
      <c r="I5946" s="248"/>
      <c r="J5946" s="247"/>
      <c r="K5946" s="249"/>
    </row>
    <row r="5947" spans="1:11" s="90" customFormat="1" ht="12.75" customHeight="1" x14ac:dyDescent="0.2">
      <c r="A5947" s="247"/>
      <c r="B5947" s="316"/>
      <c r="C5947" s="247"/>
      <c r="D5947" s="317"/>
      <c r="E5947" s="318"/>
      <c r="F5947" s="247"/>
      <c r="G5947" s="247"/>
      <c r="H5947" s="248"/>
      <c r="I5947" s="248"/>
      <c r="J5947" s="247"/>
      <c r="K5947" s="249"/>
    </row>
    <row r="5948" spans="1:11" s="90" customFormat="1" ht="12.75" customHeight="1" x14ac:dyDescent="0.2">
      <c r="A5948" s="247"/>
      <c r="B5948" s="316"/>
      <c r="C5948" s="247"/>
      <c r="D5948" s="317"/>
      <c r="E5948" s="318"/>
      <c r="F5948" s="247"/>
      <c r="G5948" s="247"/>
      <c r="H5948" s="248"/>
      <c r="I5948" s="248"/>
      <c r="J5948" s="247"/>
      <c r="K5948" s="249"/>
    </row>
    <row r="5949" spans="1:11" s="90" customFormat="1" ht="12.75" customHeight="1" x14ac:dyDescent="0.2">
      <c r="A5949" s="247"/>
      <c r="B5949" s="316"/>
      <c r="C5949" s="247"/>
      <c r="D5949" s="317"/>
      <c r="E5949" s="318"/>
      <c r="F5949" s="247"/>
      <c r="G5949" s="247"/>
      <c r="H5949" s="248"/>
      <c r="I5949" s="248"/>
      <c r="J5949" s="247"/>
      <c r="K5949" s="249"/>
    </row>
    <row r="5950" spans="1:11" s="90" customFormat="1" ht="12.75" customHeight="1" x14ac:dyDescent="0.2">
      <c r="A5950" s="247"/>
      <c r="B5950" s="316"/>
      <c r="C5950" s="247"/>
      <c r="D5950" s="317"/>
      <c r="E5950" s="318"/>
      <c r="F5950" s="247"/>
      <c r="G5950" s="247"/>
      <c r="H5950" s="248"/>
      <c r="I5950" s="248"/>
      <c r="J5950" s="247"/>
      <c r="K5950" s="249"/>
    </row>
    <row r="5951" spans="1:11" s="90" customFormat="1" ht="12.75" customHeight="1" x14ac:dyDescent="0.2">
      <c r="A5951" s="247"/>
      <c r="B5951" s="316"/>
      <c r="C5951" s="247"/>
      <c r="D5951" s="317"/>
      <c r="E5951" s="318"/>
      <c r="F5951" s="247"/>
      <c r="G5951" s="247"/>
      <c r="H5951" s="248"/>
      <c r="I5951" s="248"/>
      <c r="J5951" s="247"/>
      <c r="K5951" s="249"/>
    </row>
    <row r="5952" spans="1:11" s="90" customFormat="1" ht="12.75" customHeight="1" x14ac:dyDescent="0.2">
      <c r="A5952" s="247"/>
      <c r="B5952" s="316"/>
      <c r="C5952" s="247"/>
      <c r="D5952" s="317"/>
      <c r="E5952" s="318"/>
      <c r="F5952" s="247"/>
      <c r="G5952" s="247"/>
      <c r="H5952" s="248"/>
      <c r="I5952" s="248"/>
      <c r="J5952" s="247"/>
      <c r="K5952" s="249"/>
    </row>
    <row r="5953" spans="1:11" s="90" customFormat="1" ht="12.75" customHeight="1" x14ac:dyDescent="0.2">
      <c r="A5953" s="247"/>
      <c r="B5953" s="316"/>
      <c r="C5953" s="247"/>
      <c r="D5953" s="317"/>
      <c r="E5953" s="318"/>
      <c r="F5953" s="247"/>
      <c r="G5953" s="247"/>
      <c r="H5953" s="248"/>
      <c r="I5953" s="248"/>
      <c r="J5953" s="247"/>
      <c r="K5953" s="249"/>
    </row>
    <row r="5954" spans="1:11" s="90" customFormat="1" ht="12.75" customHeight="1" x14ac:dyDescent="0.2">
      <c r="A5954" s="247"/>
      <c r="B5954" s="316"/>
      <c r="C5954" s="247"/>
      <c r="D5954" s="317"/>
      <c r="E5954" s="318"/>
      <c r="F5954" s="247"/>
      <c r="G5954" s="247"/>
      <c r="H5954" s="248"/>
      <c r="I5954" s="248"/>
      <c r="J5954" s="247"/>
      <c r="K5954" s="249"/>
    </row>
    <row r="5955" spans="1:11" s="90" customFormat="1" ht="12.75" customHeight="1" x14ac:dyDescent="0.2">
      <c r="A5955" s="247"/>
      <c r="B5955" s="316"/>
      <c r="C5955" s="247"/>
      <c r="D5955" s="317"/>
      <c r="E5955" s="318"/>
      <c r="F5955" s="247"/>
      <c r="G5955" s="247"/>
      <c r="H5955" s="248"/>
      <c r="I5955" s="248"/>
      <c r="J5955" s="247"/>
      <c r="K5955" s="249"/>
    </row>
    <row r="5956" spans="1:11" s="90" customFormat="1" ht="12.75" customHeight="1" x14ac:dyDescent="0.2">
      <c r="A5956" s="247"/>
      <c r="B5956" s="316"/>
      <c r="C5956" s="247"/>
      <c r="D5956" s="317"/>
      <c r="E5956" s="318"/>
      <c r="F5956" s="247"/>
      <c r="G5956" s="247"/>
      <c r="H5956" s="248"/>
      <c r="I5956" s="248"/>
      <c r="J5956" s="247"/>
      <c r="K5956" s="249"/>
    </row>
    <row r="5957" spans="1:11" s="90" customFormat="1" ht="12.75" customHeight="1" x14ac:dyDescent="0.2">
      <c r="A5957" s="247"/>
      <c r="B5957" s="316"/>
      <c r="C5957" s="247"/>
      <c r="D5957" s="317"/>
      <c r="E5957" s="318"/>
      <c r="F5957" s="247"/>
      <c r="G5957" s="247"/>
      <c r="H5957" s="248"/>
      <c r="I5957" s="248"/>
      <c r="J5957" s="247"/>
      <c r="K5957" s="249"/>
    </row>
    <row r="5958" spans="1:11" s="90" customFormat="1" ht="12.75" customHeight="1" x14ac:dyDescent="0.2">
      <c r="A5958" s="247"/>
      <c r="B5958" s="316"/>
      <c r="C5958" s="247"/>
      <c r="D5958" s="317"/>
      <c r="E5958" s="318"/>
      <c r="F5958" s="247"/>
      <c r="G5958" s="247"/>
      <c r="H5958" s="248"/>
      <c r="I5958" s="248"/>
      <c r="J5958" s="247"/>
      <c r="K5958" s="249"/>
    </row>
    <row r="5959" spans="1:11" s="90" customFormat="1" ht="12.75" customHeight="1" x14ac:dyDescent="0.2">
      <c r="A5959" s="247"/>
      <c r="B5959" s="316"/>
      <c r="C5959" s="247"/>
      <c r="D5959" s="317"/>
      <c r="E5959" s="318"/>
      <c r="F5959" s="247"/>
      <c r="G5959" s="247"/>
      <c r="H5959" s="248"/>
      <c r="I5959" s="248"/>
      <c r="J5959" s="247"/>
      <c r="K5959" s="249"/>
    </row>
    <row r="5960" spans="1:11" s="90" customFormat="1" ht="12.75" customHeight="1" x14ac:dyDescent="0.2">
      <c r="A5960" s="247"/>
      <c r="B5960" s="316"/>
      <c r="C5960" s="247"/>
      <c r="D5960" s="317"/>
      <c r="E5960" s="318"/>
      <c r="F5960" s="247"/>
      <c r="G5960" s="247"/>
      <c r="H5960" s="248"/>
      <c r="I5960" s="248"/>
      <c r="J5960" s="247"/>
      <c r="K5960" s="249"/>
    </row>
    <row r="5961" spans="1:11" s="90" customFormat="1" ht="12.75" customHeight="1" x14ac:dyDescent="0.2">
      <c r="A5961" s="247"/>
      <c r="B5961" s="316"/>
      <c r="C5961" s="247"/>
      <c r="D5961" s="317"/>
      <c r="E5961" s="318"/>
      <c r="F5961" s="247"/>
      <c r="G5961" s="247"/>
      <c r="H5961" s="248"/>
      <c r="I5961" s="248"/>
      <c r="J5961" s="247"/>
      <c r="K5961" s="249"/>
    </row>
    <row r="5962" spans="1:11" s="90" customFormat="1" ht="12.75" customHeight="1" x14ac:dyDescent="0.2">
      <c r="A5962" s="247"/>
      <c r="B5962" s="316"/>
      <c r="C5962" s="247"/>
      <c r="D5962" s="317"/>
      <c r="E5962" s="318"/>
      <c r="F5962" s="247"/>
      <c r="G5962" s="247"/>
      <c r="H5962" s="248"/>
      <c r="I5962" s="248"/>
      <c r="J5962" s="247"/>
      <c r="K5962" s="249"/>
    </row>
    <row r="5963" spans="1:11" s="90" customFormat="1" ht="12.75" customHeight="1" x14ac:dyDescent="0.2">
      <c r="A5963" s="247"/>
      <c r="B5963" s="316"/>
      <c r="C5963" s="247"/>
      <c r="D5963" s="317"/>
      <c r="E5963" s="318"/>
      <c r="F5963" s="247"/>
      <c r="G5963" s="247"/>
      <c r="H5963" s="248"/>
      <c r="I5963" s="248"/>
      <c r="J5963" s="247"/>
      <c r="K5963" s="249"/>
    </row>
    <row r="5964" spans="1:11" s="90" customFormat="1" ht="12.75" customHeight="1" x14ac:dyDescent="0.2">
      <c r="A5964" s="247"/>
      <c r="B5964" s="316"/>
      <c r="C5964" s="247"/>
      <c r="D5964" s="317"/>
      <c r="E5964" s="318"/>
      <c r="F5964" s="247"/>
      <c r="G5964" s="247"/>
      <c r="H5964" s="248"/>
      <c r="I5964" s="248"/>
      <c r="J5964" s="247"/>
      <c r="K5964" s="249"/>
    </row>
    <row r="5965" spans="1:11" s="90" customFormat="1" ht="12.75" customHeight="1" x14ac:dyDescent="0.2">
      <c r="A5965" s="247"/>
      <c r="B5965" s="316"/>
      <c r="C5965" s="247"/>
      <c r="D5965" s="317"/>
      <c r="E5965" s="318"/>
      <c r="F5965" s="247"/>
      <c r="G5965" s="247"/>
      <c r="H5965" s="248"/>
      <c r="I5965" s="248"/>
      <c r="J5965" s="247"/>
      <c r="K5965" s="249"/>
    </row>
    <row r="5966" spans="1:11" s="90" customFormat="1" ht="12.75" customHeight="1" x14ac:dyDescent="0.2">
      <c r="A5966" s="247"/>
      <c r="B5966" s="316"/>
      <c r="C5966" s="247"/>
      <c r="D5966" s="317"/>
      <c r="E5966" s="318"/>
      <c r="F5966" s="247"/>
      <c r="G5966" s="247"/>
      <c r="H5966" s="248"/>
      <c r="I5966" s="248"/>
      <c r="J5966" s="247"/>
      <c r="K5966" s="249"/>
    </row>
    <row r="5967" spans="1:11" s="90" customFormat="1" ht="12.75" customHeight="1" x14ac:dyDescent="0.2">
      <c r="A5967" s="247"/>
      <c r="B5967" s="316"/>
      <c r="C5967" s="247"/>
      <c r="D5967" s="317"/>
      <c r="E5967" s="318"/>
      <c r="F5967" s="247"/>
      <c r="G5967" s="247"/>
      <c r="H5967" s="248"/>
      <c r="I5967" s="248"/>
      <c r="J5967" s="247"/>
      <c r="K5967" s="249"/>
    </row>
    <row r="5968" spans="1:11" s="90" customFormat="1" ht="12.75" customHeight="1" x14ac:dyDescent="0.2">
      <c r="A5968" s="247"/>
      <c r="B5968" s="316"/>
      <c r="C5968" s="247"/>
      <c r="D5968" s="317"/>
      <c r="E5968" s="318"/>
      <c r="F5968" s="247"/>
      <c r="G5968" s="247"/>
      <c r="H5968" s="248"/>
      <c r="I5968" s="248"/>
      <c r="J5968" s="247"/>
      <c r="K5968" s="249"/>
    </row>
    <row r="5969" spans="1:11" s="90" customFormat="1" ht="12.75" customHeight="1" x14ac:dyDescent="0.2">
      <c r="A5969" s="247"/>
      <c r="B5969" s="316"/>
      <c r="C5969" s="247"/>
      <c r="D5969" s="317"/>
      <c r="E5969" s="318"/>
      <c r="F5969" s="247"/>
      <c r="G5969" s="247"/>
      <c r="H5969" s="248"/>
      <c r="I5969" s="248"/>
      <c r="J5969" s="247"/>
      <c r="K5969" s="249"/>
    </row>
    <row r="5970" spans="1:11" s="90" customFormat="1" ht="12.75" customHeight="1" x14ac:dyDescent="0.2">
      <c r="A5970" s="247"/>
      <c r="B5970" s="316"/>
      <c r="C5970" s="247"/>
      <c r="D5970" s="317"/>
      <c r="E5970" s="318"/>
      <c r="F5970" s="247"/>
      <c r="G5970" s="247"/>
      <c r="H5970" s="248"/>
      <c r="I5970" s="248"/>
      <c r="J5970" s="247"/>
      <c r="K5970" s="249"/>
    </row>
    <row r="5971" spans="1:11" s="90" customFormat="1" ht="12.75" customHeight="1" x14ac:dyDescent="0.2">
      <c r="A5971" s="247"/>
      <c r="B5971" s="316"/>
      <c r="C5971" s="247"/>
      <c r="D5971" s="317"/>
      <c r="E5971" s="318"/>
      <c r="F5971" s="247"/>
      <c r="G5971" s="247"/>
      <c r="H5971" s="248"/>
      <c r="I5971" s="248"/>
      <c r="J5971" s="247"/>
      <c r="K5971" s="249"/>
    </row>
    <row r="5972" spans="1:11" s="90" customFormat="1" ht="12.75" customHeight="1" x14ac:dyDescent="0.2">
      <c r="A5972" s="247"/>
      <c r="B5972" s="316"/>
      <c r="C5972" s="247"/>
      <c r="D5972" s="317"/>
      <c r="E5972" s="318"/>
      <c r="F5972" s="247"/>
      <c r="G5972" s="247"/>
      <c r="H5972" s="248"/>
      <c r="I5972" s="248"/>
      <c r="J5972" s="247"/>
      <c r="K5972" s="249"/>
    </row>
    <row r="5973" spans="1:11" s="90" customFormat="1" ht="12.75" customHeight="1" x14ac:dyDescent="0.2">
      <c r="A5973" s="247"/>
      <c r="B5973" s="316"/>
      <c r="C5973" s="247"/>
      <c r="D5973" s="317"/>
      <c r="E5973" s="318"/>
      <c r="F5973" s="247"/>
      <c r="G5973" s="247"/>
      <c r="H5973" s="248"/>
      <c r="I5973" s="248"/>
      <c r="J5973" s="247"/>
      <c r="K5973" s="249"/>
    </row>
    <row r="5974" spans="1:11" s="90" customFormat="1" ht="12.75" customHeight="1" x14ac:dyDescent="0.2">
      <c r="A5974" s="247"/>
      <c r="B5974" s="316"/>
      <c r="C5974" s="247"/>
      <c r="D5974" s="317"/>
      <c r="E5974" s="318"/>
      <c r="F5974" s="247"/>
      <c r="G5974" s="247"/>
      <c r="H5974" s="248"/>
      <c r="I5974" s="248"/>
      <c r="J5974" s="247"/>
      <c r="K5974" s="249"/>
    </row>
    <row r="5975" spans="1:11" s="90" customFormat="1" ht="12.75" customHeight="1" x14ac:dyDescent="0.2">
      <c r="A5975" s="247"/>
      <c r="B5975" s="316"/>
      <c r="C5975" s="247"/>
      <c r="D5975" s="317"/>
      <c r="E5975" s="318"/>
      <c r="F5975" s="247"/>
      <c r="G5975" s="247"/>
      <c r="H5975" s="248"/>
      <c r="I5975" s="248"/>
      <c r="J5975" s="247"/>
      <c r="K5975" s="249"/>
    </row>
    <row r="5976" spans="1:11" s="90" customFormat="1" ht="12.75" customHeight="1" x14ac:dyDescent="0.2">
      <c r="A5976" s="247"/>
      <c r="B5976" s="316"/>
      <c r="C5976" s="247"/>
      <c r="D5976" s="317"/>
      <c r="E5976" s="318"/>
      <c r="F5976" s="247"/>
      <c r="G5976" s="247"/>
      <c r="H5976" s="248"/>
      <c r="I5976" s="248"/>
      <c r="J5976" s="247"/>
      <c r="K5976" s="249"/>
    </row>
    <row r="5977" spans="1:11" s="90" customFormat="1" ht="12.75" customHeight="1" x14ac:dyDescent="0.2">
      <c r="A5977" s="247"/>
      <c r="B5977" s="316"/>
      <c r="C5977" s="247"/>
      <c r="D5977" s="317"/>
      <c r="E5977" s="318"/>
      <c r="F5977" s="247"/>
      <c r="G5977" s="247"/>
      <c r="H5977" s="248"/>
      <c r="I5977" s="248"/>
      <c r="J5977" s="247"/>
      <c r="K5977" s="249"/>
    </row>
    <row r="5978" spans="1:11" s="90" customFormat="1" ht="12.75" customHeight="1" x14ac:dyDescent="0.2">
      <c r="A5978" s="247"/>
      <c r="B5978" s="316"/>
      <c r="C5978" s="247"/>
      <c r="D5978" s="317"/>
      <c r="E5978" s="318"/>
      <c r="F5978" s="247"/>
      <c r="G5978" s="247"/>
      <c r="H5978" s="248"/>
      <c r="I5978" s="248"/>
      <c r="J5978" s="247"/>
      <c r="K5978" s="249"/>
    </row>
    <row r="5979" spans="1:11" s="90" customFormat="1" ht="12.75" customHeight="1" x14ac:dyDescent="0.2">
      <c r="A5979" s="247"/>
      <c r="B5979" s="316"/>
      <c r="C5979" s="247"/>
      <c r="D5979" s="317"/>
      <c r="E5979" s="318"/>
      <c r="F5979" s="247"/>
      <c r="G5979" s="247"/>
      <c r="H5979" s="248"/>
      <c r="I5979" s="248"/>
      <c r="J5979" s="247"/>
      <c r="K5979" s="249"/>
    </row>
    <row r="5980" spans="1:11" s="90" customFormat="1" ht="12.75" customHeight="1" x14ac:dyDescent="0.2">
      <c r="A5980" s="247"/>
      <c r="B5980" s="316"/>
      <c r="C5980" s="247"/>
      <c r="D5980" s="317"/>
      <c r="E5980" s="318"/>
      <c r="F5980" s="247"/>
      <c r="G5980" s="247"/>
      <c r="H5980" s="248"/>
      <c r="I5980" s="248"/>
      <c r="J5980" s="247"/>
      <c r="K5980" s="249"/>
    </row>
    <row r="5981" spans="1:11" s="90" customFormat="1" ht="12.75" customHeight="1" x14ac:dyDescent="0.2">
      <c r="A5981" s="247"/>
      <c r="B5981" s="316"/>
      <c r="C5981" s="247"/>
      <c r="D5981" s="317"/>
      <c r="E5981" s="318"/>
      <c r="F5981" s="247"/>
      <c r="G5981" s="247"/>
      <c r="H5981" s="248"/>
      <c r="I5981" s="248"/>
      <c r="J5981" s="247"/>
      <c r="K5981" s="249"/>
    </row>
    <row r="5982" spans="1:11" s="90" customFormat="1" ht="12.75" customHeight="1" x14ac:dyDescent="0.2">
      <c r="A5982" s="247"/>
      <c r="B5982" s="316"/>
      <c r="C5982" s="247"/>
      <c r="D5982" s="317"/>
      <c r="E5982" s="318"/>
      <c r="F5982" s="247"/>
      <c r="G5982" s="247"/>
      <c r="H5982" s="248"/>
      <c r="I5982" s="248"/>
      <c r="J5982" s="247"/>
      <c r="K5982" s="249"/>
    </row>
    <row r="5983" spans="1:11" s="90" customFormat="1" ht="12.75" customHeight="1" x14ac:dyDescent="0.2">
      <c r="A5983" s="247"/>
      <c r="B5983" s="316"/>
      <c r="C5983" s="247"/>
      <c r="D5983" s="317"/>
      <c r="E5983" s="318"/>
      <c r="F5983" s="247"/>
      <c r="G5983" s="247"/>
      <c r="H5983" s="248"/>
      <c r="I5983" s="248"/>
      <c r="J5983" s="247"/>
      <c r="K5983" s="249"/>
    </row>
    <row r="5984" spans="1:11" s="90" customFormat="1" ht="12.75" customHeight="1" x14ac:dyDescent="0.2">
      <c r="A5984" s="247"/>
      <c r="B5984" s="316"/>
      <c r="C5984" s="247"/>
      <c r="D5984" s="317"/>
      <c r="E5984" s="318"/>
      <c r="F5984" s="247"/>
      <c r="G5984" s="247"/>
      <c r="H5984" s="248"/>
      <c r="I5984" s="248"/>
      <c r="J5984" s="247"/>
      <c r="K5984" s="249"/>
    </row>
    <row r="5985" spans="1:11" s="90" customFormat="1" ht="12.75" customHeight="1" x14ac:dyDescent="0.2">
      <c r="A5985" s="247"/>
      <c r="B5985" s="316"/>
      <c r="C5985" s="247"/>
      <c r="D5985" s="317"/>
      <c r="E5985" s="318"/>
      <c r="F5985" s="247"/>
      <c r="G5985" s="247"/>
      <c r="H5985" s="248"/>
      <c r="I5985" s="248"/>
      <c r="J5985" s="247"/>
      <c r="K5985" s="249"/>
    </row>
    <row r="5986" spans="1:11" s="90" customFormat="1" ht="12.75" customHeight="1" x14ac:dyDescent="0.2">
      <c r="A5986" s="247"/>
      <c r="B5986" s="316"/>
      <c r="C5986" s="247"/>
      <c r="D5986" s="317"/>
      <c r="E5986" s="318"/>
      <c r="F5986" s="247"/>
      <c r="G5986" s="247"/>
      <c r="H5986" s="248"/>
      <c r="I5986" s="248"/>
      <c r="J5986" s="247"/>
      <c r="K5986" s="249"/>
    </row>
    <row r="5987" spans="1:11" s="90" customFormat="1" ht="12.75" customHeight="1" x14ac:dyDescent="0.2">
      <c r="A5987" s="247"/>
      <c r="B5987" s="316"/>
      <c r="C5987" s="247"/>
      <c r="D5987" s="317"/>
      <c r="E5987" s="318"/>
      <c r="F5987" s="247"/>
      <c r="G5987" s="247"/>
      <c r="H5987" s="248"/>
      <c r="I5987" s="248"/>
      <c r="J5987" s="247"/>
      <c r="K5987" s="249"/>
    </row>
    <row r="5988" spans="1:11" s="90" customFormat="1" ht="12.75" customHeight="1" x14ac:dyDescent="0.2">
      <c r="A5988" s="247"/>
      <c r="B5988" s="316"/>
      <c r="C5988" s="247"/>
      <c r="D5988" s="317"/>
      <c r="E5988" s="318"/>
      <c r="F5988" s="247"/>
      <c r="G5988" s="247"/>
      <c r="H5988" s="248"/>
      <c r="I5988" s="248"/>
      <c r="J5988" s="247"/>
      <c r="K5988" s="249"/>
    </row>
    <row r="5989" spans="1:11" s="90" customFormat="1" ht="12.75" customHeight="1" x14ac:dyDescent="0.2">
      <c r="A5989" s="247"/>
      <c r="B5989" s="316"/>
      <c r="C5989" s="247"/>
      <c r="D5989" s="317"/>
      <c r="E5989" s="318"/>
      <c r="F5989" s="247"/>
      <c r="G5989" s="247"/>
      <c r="H5989" s="248"/>
      <c r="I5989" s="248"/>
      <c r="J5989" s="247"/>
      <c r="K5989" s="249"/>
    </row>
    <row r="5990" spans="1:11" s="90" customFormat="1" ht="12.75" customHeight="1" x14ac:dyDescent="0.2">
      <c r="A5990" s="247"/>
      <c r="B5990" s="316"/>
      <c r="C5990" s="247"/>
      <c r="D5990" s="317"/>
      <c r="E5990" s="318"/>
      <c r="F5990" s="247"/>
      <c r="G5990" s="247"/>
      <c r="H5990" s="248"/>
      <c r="I5990" s="248"/>
      <c r="J5990" s="247"/>
      <c r="K5990" s="249"/>
    </row>
    <row r="5991" spans="1:11" s="90" customFormat="1" ht="12.75" customHeight="1" x14ac:dyDescent="0.2">
      <c r="A5991" s="247"/>
      <c r="B5991" s="316"/>
      <c r="C5991" s="247"/>
      <c r="D5991" s="317"/>
      <c r="E5991" s="318"/>
      <c r="F5991" s="247"/>
      <c r="G5991" s="247"/>
      <c r="H5991" s="248"/>
      <c r="I5991" s="248"/>
      <c r="J5991" s="247"/>
      <c r="K5991" s="249"/>
    </row>
    <row r="5992" spans="1:11" s="90" customFormat="1" ht="12.75" customHeight="1" x14ac:dyDescent="0.2">
      <c r="A5992" s="247"/>
      <c r="B5992" s="316"/>
      <c r="C5992" s="247"/>
      <c r="D5992" s="317"/>
      <c r="E5992" s="318"/>
      <c r="F5992" s="247"/>
      <c r="G5992" s="247"/>
      <c r="H5992" s="248"/>
      <c r="I5992" s="248"/>
      <c r="J5992" s="247"/>
      <c r="K5992" s="249"/>
    </row>
    <row r="5993" spans="1:11" s="90" customFormat="1" ht="12.75" customHeight="1" x14ac:dyDescent="0.2">
      <c r="A5993" s="247"/>
      <c r="B5993" s="316"/>
      <c r="C5993" s="247"/>
      <c r="D5993" s="317"/>
      <c r="E5993" s="318"/>
      <c r="F5993" s="247"/>
      <c r="G5993" s="247"/>
      <c r="H5993" s="248"/>
      <c r="I5993" s="248"/>
      <c r="J5993" s="247"/>
      <c r="K5993" s="249"/>
    </row>
    <row r="5994" spans="1:11" s="90" customFormat="1" ht="12.75" customHeight="1" x14ac:dyDescent="0.2">
      <c r="A5994" s="247"/>
      <c r="B5994" s="316"/>
      <c r="C5994" s="247"/>
      <c r="D5994" s="317"/>
      <c r="E5994" s="318"/>
      <c r="F5994" s="247"/>
      <c r="G5994" s="247"/>
      <c r="H5994" s="248"/>
      <c r="I5994" s="248"/>
      <c r="J5994" s="247"/>
      <c r="K5994" s="249"/>
    </row>
    <row r="5995" spans="1:11" s="90" customFormat="1" ht="12.75" customHeight="1" x14ac:dyDescent="0.2">
      <c r="A5995" s="247"/>
      <c r="B5995" s="316"/>
      <c r="C5995" s="247"/>
      <c r="D5995" s="317"/>
      <c r="E5995" s="318"/>
      <c r="F5995" s="247"/>
      <c r="G5995" s="247"/>
      <c r="H5995" s="248"/>
      <c r="I5995" s="248"/>
      <c r="J5995" s="247"/>
      <c r="K5995" s="249"/>
    </row>
    <row r="5996" spans="1:11" s="90" customFormat="1" ht="12.75" customHeight="1" x14ac:dyDescent="0.2">
      <c r="A5996" s="247"/>
      <c r="B5996" s="316"/>
      <c r="C5996" s="247"/>
      <c r="D5996" s="317"/>
      <c r="E5996" s="318"/>
      <c r="F5996" s="247"/>
      <c r="G5996" s="247"/>
      <c r="H5996" s="248"/>
      <c r="I5996" s="248"/>
      <c r="J5996" s="247"/>
      <c r="K5996" s="249"/>
    </row>
    <row r="5997" spans="1:11" s="90" customFormat="1" ht="12.75" customHeight="1" x14ac:dyDescent="0.2">
      <c r="A5997" s="247"/>
      <c r="B5997" s="316"/>
      <c r="C5997" s="247"/>
      <c r="D5997" s="317"/>
      <c r="E5997" s="318"/>
      <c r="F5997" s="247"/>
      <c r="G5997" s="247"/>
      <c r="H5997" s="248"/>
      <c r="I5997" s="248"/>
      <c r="J5997" s="247"/>
      <c r="K5997" s="249"/>
    </row>
    <row r="5998" spans="1:11" s="90" customFormat="1" ht="12.75" customHeight="1" x14ac:dyDescent="0.2">
      <c r="A5998" s="247"/>
      <c r="B5998" s="316"/>
      <c r="C5998" s="247"/>
      <c r="D5998" s="317"/>
      <c r="E5998" s="318"/>
      <c r="F5998" s="247"/>
      <c r="G5998" s="247"/>
      <c r="H5998" s="248"/>
      <c r="I5998" s="248"/>
      <c r="J5998" s="247"/>
      <c r="K5998" s="249"/>
    </row>
    <row r="5999" spans="1:11" s="90" customFormat="1" ht="12.75" customHeight="1" x14ac:dyDescent="0.2">
      <c r="A5999" s="247"/>
      <c r="B5999" s="316"/>
      <c r="C5999" s="247"/>
      <c r="D5999" s="317"/>
      <c r="E5999" s="318"/>
      <c r="F5999" s="247"/>
      <c r="G5999" s="247"/>
      <c r="H5999" s="248"/>
      <c r="I5999" s="248"/>
      <c r="J5999" s="247"/>
      <c r="K5999" s="249"/>
    </row>
    <row r="6000" spans="1:11" s="90" customFormat="1" ht="12.75" customHeight="1" x14ac:dyDescent="0.2">
      <c r="A6000" s="247"/>
      <c r="B6000" s="316"/>
      <c r="C6000" s="247"/>
      <c r="D6000" s="317"/>
      <c r="E6000" s="318"/>
      <c r="F6000" s="247"/>
      <c r="G6000" s="247"/>
      <c r="H6000" s="248"/>
      <c r="I6000" s="248"/>
      <c r="J6000" s="247"/>
      <c r="K6000" s="249"/>
    </row>
    <row r="6001" spans="1:11" s="90" customFormat="1" ht="12.75" customHeight="1" x14ac:dyDescent="0.2">
      <c r="A6001" s="247"/>
      <c r="B6001" s="316"/>
      <c r="C6001" s="247"/>
      <c r="D6001" s="317"/>
      <c r="E6001" s="318"/>
      <c r="F6001" s="247"/>
      <c r="G6001" s="247"/>
      <c r="H6001" s="248"/>
      <c r="I6001" s="248"/>
      <c r="J6001" s="247"/>
      <c r="K6001" s="249"/>
    </row>
    <row r="6002" spans="1:11" s="90" customFormat="1" ht="12.75" customHeight="1" x14ac:dyDescent="0.2">
      <c r="A6002" s="247"/>
      <c r="B6002" s="316"/>
      <c r="C6002" s="247"/>
      <c r="D6002" s="317"/>
      <c r="E6002" s="318"/>
      <c r="F6002" s="247"/>
      <c r="G6002" s="247"/>
      <c r="H6002" s="248"/>
      <c r="I6002" s="248"/>
      <c r="J6002" s="247"/>
      <c r="K6002" s="249"/>
    </row>
    <row r="6003" spans="1:11" s="90" customFormat="1" ht="12.75" customHeight="1" x14ac:dyDescent="0.2">
      <c r="A6003" s="247"/>
      <c r="B6003" s="316"/>
      <c r="C6003" s="247"/>
      <c r="D6003" s="317"/>
      <c r="E6003" s="318"/>
      <c r="F6003" s="247"/>
      <c r="G6003" s="247"/>
      <c r="H6003" s="248"/>
      <c r="I6003" s="248"/>
      <c r="J6003" s="247"/>
      <c r="K6003" s="249"/>
    </row>
    <row r="6004" spans="1:11" s="90" customFormat="1" ht="12.75" customHeight="1" x14ac:dyDescent="0.2">
      <c r="A6004" s="247"/>
      <c r="B6004" s="316"/>
      <c r="C6004" s="247"/>
      <c r="D6004" s="317"/>
      <c r="E6004" s="318"/>
      <c r="F6004" s="247"/>
      <c r="G6004" s="247"/>
      <c r="H6004" s="248"/>
      <c r="I6004" s="248"/>
      <c r="J6004" s="247"/>
      <c r="K6004" s="249"/>
    </row>
    <row r="6005" spans="1:11" s="90" customFormat="1" ht="12.75" customHeight="1" x14ac:dyDescent="0.2">
      <c r="A6005" s="247"/>
      <c r="B6005" s="316"/>
      <c r="C6005" s="247"/>
      <c r="D6005" s="317"/>
      <c r="E6005" s="318"/>
      <c r="F6005" s="247"/>
      <c r="G6005" s="247"/>
      <c r="H6005" s="248"/>
      <c r="I6005" s="248"/>
      <c r="J6005" s="247"/>
      <c r="K6005" s="249"/>
    </row>
    <row r="6006" spans="1:11" s="90" customFormat="1" ht="12.75" customHeight="1" x14ac:dyDescent="0.2">
      <c r="A6006" s="247"/>
      <c r="B6006" s="316"/>
      <c r="C6006" s="247"/>
      <c r="D6006" s="317"/>
      <c r="E6006" s="318"/>
      <c r="F6006" s="247"/>
      <c r="G6006" s="247"/>
      <c r="H6006" s="248"/>
      <c r="I6006" s="248"/>
      <c r="J6006" s="247"/>
      <c r="K6006" s="249"/>
    </row>
    <row r="6007" spans="1:11" s="90" customFormat="1" ht="12.75" customHeight="1" x14ac:dyDescent="0.2">
      <c r="A6007" s="247"/>
      <c r="B6007" s="316"/>
      <c r="C6007" s="247"/>
      <c r="D6007" s="317"/>
      <c r="E6007" s="318"/>
      <c r="F6007" s="247"/>
      <c r="G6007" s="247"/>
      <c r="H6007" s="248"/>
      <c r="I6007" s="248"/>
      <c r="J6007" s="247"/>
      <c r="K6007" s="249"/>
    </row>
    <row r="6008" spans="1:11" s="90" customFormat="1" ht="12.75" customHeight="1" x14ac:dyDescent="0.2">
      <c r="A6008" s="247"/>
      <c r="B6008" s="316"/>
      <c r="C6008" s="247"/>
      <c r="D6008" s="317"/>
      <c r="E6008" s="318"/>
      <c r="F6008" s="247"/>
      <c r="G6008" s="247"/>
      <c r="H6008" s="248"/>
      <c r="I6008" s="248"/>
      <c r="J6008" s="247"/>
      <c r="K6008" s="249"/>
    </row>
    <row r="6009" spans="1:11" s="90" customFormat="1" ht="12.75" customHeight="1" x14ac:dyDescent="0.2">
      <c r="A6009" s="247"/>
      <c r="B6009" s="316"/>
      <c r="C6009" s="247"/>
      <c r="D6009" s="317"/>
      <c r="E6009" s="318"/>
      <c r="F6009" s="247"/>
      <c r="G6009" s="247"/>
      <c r="H6009" s="248"/>
      <c r="I6009" s="248"/>
      <c r="J6009" s="247"/>
      <c r="K6009" s="249"/>
    </row>
    <row r="6010" spans="1:11" s="90" customFormat="1" ht="12.75" customHeight="1" x14ac:dyDescent="0.2">
      <c r="A6010" s="247"/>
      <c r="B6010" s="316"/>
      <c r="C6010" s="247"/>
      <c r="D6010" s="317"/>
      <c r="E6010" s="318"/>
      <c r="F6010" s="247"/>
      <c r="G6010" s="247"/>
      <c r="H6010" s="248"/>
      <c r="I6010" s="248"/>
      <c r="J6010" s="247"/>
      <c r="K6010" s="249"/>
    </row>
    <row r="6011" spans="1:11" s="90" customFormat="1" ht="12.75" customHeight="1" x14ac:dyDescent="0.2">
      <c r="A6011" s="247"/>
      <c r="B6011" s="316"/>
      <c r="C6011" s="247"/>
      <c r="D6011" s="317"/>
      <c r="E6011" s="318"/>
      <c r="F6011" s="247"/>
      <c r="G6011" s="247"/>
      <c r="H6011" s="248"/>
      <c r="I6011" s="248"/>
      <c r="J6011" s="247"/>
      <c r="K6011" s="249"/>
    </row>
    <row r="6012" spans="1:11" s="90" customFormat="1" ht="12.75" customHeight="1" x14ac:dyDescent="0.2">
      <c r="A6012" s="247"/>
      <c r="B6012" s="316"/>
      <c r="C6012" s="247"/>
      <c r="D6012" s="317"/>
      <c r="E6012" s="318"/>
      <c r="F6012" s="247"/>
      <c r="G6012" s="247"/>
      <c r="H6012" s="248"/>
      <c r="I6012" s="248"/>
      <c r="J6012" s="247"/>
      <c r="K6012" s="249"/>
    </row>
    <row r="6013" spans="1:11" s="90" customFormat="1" ht="12.75" customHeight="1" x14ac:dyDescent="0.2">
      <c r="A6013" s="247"/>
      <c r="B6013" s="316"/>
      <c r="C6013" s="247"/>
      <c r="D6013" s="317"/>
      <c r="E6013" s="318"/>
      <c r="F6013" s="247"/>
      <c r="G6013" s="247"/>
      <c r="H6013" s="248"/>
      <c r="I6013" s="248"/>
      <c r="J6013" s="247"/>
      <c r="K6013" s="249"/>
    </row>
    <row r="6014" spans="1:11" s="90" customFormat="1" ht="12.75" customHeight="1" x14ac:dyDescent="0.2">
      <c r="A6014" s="247"/>
      <c r="B6014" s="316"/>
      <c r="C6014" s="247"/>
      <c r="D6014" s="317"/>
      <c r="E6014" s="318"/>
      <c r="F6014" s="247"/>
      <c r="G6014" s="247"/>
      <c r="H6014" s="248"/>
      <c r="I6014" s="248"/>
      <c r="J6014" s="247"/>
      <c r="K6014" s="249"/>
    </row>
    <row r="6015" spans="1:11" s="90" customFormat="1" ht="12.75" customHeight="1" x14ac:dyDescent="0.2">
      <c r="A6015" s="247"/>
      <c r="B6015" s="316"/>
      <c r="C6015" s="247"/>
      <c r="D6015" s="317"/>
      <c r="E6015" s="318"/>
      <c r="F6015" s="247"/>
      <c r="G6015" s="247"/>
      <c r="H6015" s="248"/>
      <c r="I6015" s="248"/>
      <c r="J6015" s="247"/>
      <c r="K6015" s="249"/>
    </row>
    <row r="6016" spans="1:11" s="90" customFormat="1" ht="12.75" customHeight="1" x14ac:dyDescent="0.2">
      <c r="A6016" s="247"/>
      <c r="B6016" s="316"/>
      <c r="C6016" s="247"/>
      <c r="D6016" s="317"/>
      <c r="E6016" s="318"/>
      <c r="F6016" s="247"/>
      <c r="G6016" s="247"/>
      <c r="H6016" s="248"/>
      <c r="I6016" s="248"/>
      <c r="J6016" s="247"/>
      <c r="K6016" s="249"/>
    </row>
    <row r="6017" spans="1:11" s="90" customFormat="1" ht="12.75" customHeight="1" x14ac:dyDescent="0.2">
      <c r="A6017" s="247"/>
      <c r="B6017" s="316"/>
      <c r="C6017" s="247"/>
      <c r="D6017" s="317"/>
      <c r="E6017" s="318"/>
      <c r="F6017" s="247"/>
      <c r="G6017" s="247"/>
      <c r="H6017" s="248"/>
      <c r="I6017" s="248"/>
      <c r="J6017" s="247"/>
      <c r="K6017" s="249"/>
    </row>
    <row r="6018" spans="1:11" s="90" customFormat="1" ht="12.75" customHeight="1" x14ac:dyDescent="0.2">
      <c r="A6018" s="247"/>
      <c r="B6018" s="316"/>
      <c r="C6018" s="247"/>
      <c r="D6018" s="317"/>
      <c r="E6018" s="318"/>
      <c r="F6018" s="247"/>
      <c r="G6018" s="247"/>
      <c r="H6018" s="248"/>
      <c r="I6018" s="248"/>
      <c r="J6018" s="247"/>
      <c r="K6018" s="249"/>
    </row>
    <row r="6019" spans="1:11" s="90" customFormat="1" ht="12.75" customHeight="1" x14ac:dyDescent="0.2">
      <c r="A6019" s="247"/>
      <c r="B6019" s="316"/>
      <c r="C6019" s="247"/>
      <c r="D6019" s="317"/>
      <c r="E6019" s="318"/>
      <c r="F6019" s="247"/>
      <c r="G6019" s="247"/>
      <c r="H6019" s="248"/>
      <c r="I6019" s="248"/>
      <c r="J6019" s="247"/>
      <c r="K6019" s="249"/>
    </row>
    <row r="6020" spans="1:11" s="90" customFormat="1" ht="12.75" customHeight="1" x14ac:dyDescent="0.2">
      <c r="A6020" s="247"/>
      <c r="B6020" s="316"/>
      <c r="C6020" s="247"/>
      <c r="D6020" s="317"/>
      <c r="E6020" s="318"/>
      <c r="F6020" s="247"/>
      <c r="G6020" s="247"/>
      <c r="H6020" s="248"/>
      <c r="I6020" s="248"/>
      <c r="J6020" s="247"/>
      <c r="K6020" s="249"/>
    </row>
    <row r="6021" spans="1:11" s="90" customFormat="1" ht="12.75" customHeight="1" x14ac:dyDescent="0.2">
      <c r="A6021" s="247"/>
      <c r="B6021" s="316"/>
      <c r="C6021" s="247"/>
      <c r="D6021" s="317"/>
      <c r="E6021" s="318"/>
      <c r="F6021" s="247"/>
      <c r="G6021" s="247"/>
      <c r="H6021" s="248"/>
      <c r="I6021" s="248"/>
      <c r="J6021" s="247"/>
      <c r="K6021" s="249"/>
    </row>
    <row r="6022" spans="1:11" s="90" customFormat="1" ht="12.75" customHeight="1" x14ac:dyDescent="0.2">
      <c r="A6022" s="247"/>
      <c r="B6022" s="316"/>
      <c r="C6022" s="247"/>
      <c r="D6022" s="317"/>
      <c r="E6022" s="318"/>
      <c r="F6022" s="247"/>
      <c r="G6022" s="247"/>
      <c r="H6022" s="248"/>
      <c r="I6022" s="248"/>
      <c r="J6022" s="247"/>
      <c r="K6022" s="249"/>
    </row>
    <row r="6023" spans="1:11" s="90" customFormat="1" ht="12.75" customHeight="1" x14ac:dyDescent="0.2">
      <c r="A6023" s="247"/>
      <c r="B6023" s="316"/>
      <c r="C6023" s="247"/>
      <c r="D6023" s="317"/>
      <c r="E6023" s="318"/>
      <c r="F6023" s="247"/>
      <c r="G6023" s="247"/>
      <c r="H6023" s="248"/>
      <c r="I6023" s="248"/>
      <c r="J6023" s="247"/>
      <c r="K6023" s="249"/>
    </row>
    <row r="6024" spans="1:11" s="90" customFormat="1" ht="12.75" customHeight="1" x14ac:dyDescent="0.2">
      <c r="A6024" s="247"/>
      <c r="B6024" s="316"/>
      <c r="C6024" s="247"/>
      <c r="D6024" s="317"/>
      <c r="E6024" s="318"/>
      <c r="F6024" s="247"/>
      <c r="G6024" s="247"/>
      <c r="H6024" s="248"/>
      <c r="I6024" s="248"/>
      <c r="J6024" s="247"/>
      <c r="K6024" s="249"/>
    </row>
    <row r="6025" spans="1:11" s="90" customFormat="1" ht="12.75" customHeight="1" x14ac:dyDescent="0.2">
      <c r="A6025" s="247"/>
      <c r="B6025" s="316"/>
      <c r="C6025" s="247"/>
      <c r="D6025" s="317"/>
      <c r="E6025" s="318"/>
      <c r="F6025" s="247"/>
      <c r="G6025" s="247"/>
      <c r="H6025" s="248"/>
      <c r="I6025" s="248"/>
      <c r="J6025" s="247"/>
      <c r="K6025" s="249"/>
    </row>
    <row r="6026" spans="1:11" s="90" customFormat="1" ht="12.75" customHeight="1" x14ac:dyDescent="0.2">
      <c r="A6026" s="247"/>
      <c r="B6026" s="316"/>
      <c r="C6026" s="247"/>
      <c r="D6026" s="317"/>
      <c r="E6026" s="318"/>
      <c r="F6026" s="247"/>
      <c r="G6026" s="247"/>
      <c r="H6026" s="248"/>
      <c r="I6026" s="248"/>
      <c r="J6026" s="247"/>
      <c r="K6026" s="249"/>
    </row>
    <row r="6027" spans="1:11" s="90" customFormat="1" ht="12.75" customHeight="1" x14ac:dyDescent="0.2">
      <c r="A6027" s="247"/>
      <c r="B6027" s="316"/>
      <c r="C6027" s="247"/>
      <c r="D6027" s="317"/>
      <c r="E6027" s="318"/>
      <c r="F6027" s="247"/>
      <c r="G6027" s="247"/>
      <c r="H6027" s="248"/>
      <c r="I6027" s="248"/>
      <c r="J6027" s="247"/>
      <c r="K6027" s="249"/>
    </row>
    <row r="6028" spans="1:11" s="90" customFormat="1" ht="12.75" customHeight="1" x14ac:dyDescent="0.2">
      <c r="A6028" s="247"/>
      <c r="B6028" s="316"/>
      <c r="C6028" s="247"/>
      <c r="D6028" s="317"/>
      <c r="E6028" s="318"/>
      <c r="F6028" s="247"/>
      <c r="G6028" s="247"/>
      <c r="H6028" s="248"/>
      <c r="I6028" s="248"/>
      <c r="J6028" s="247"/>
      <c r="K6028" s="249"/>
    </row>
    <row r="6029" spans="1:11" s="90" customFormat="1" ht="12.75" customHeight="1" x14ac:dyDescent="0.2">
      <c r="A6029" s="247"/>
      <c r="B6029" s="316"/>
      <c r="C6029" s="247"/>
      <c r="D6029" s="317"/>
      <c r="E6029" s="318"/>
      <c r="F6029" s="247"/>
      <c r="G6029" s="247"/>
      <c r="H6029" s="248"/>
      <c r="I6029" s="248"/>
      <c r="J6029" s="247"/>
      <c r="K6029" s="249"/>
    </row>
    <row r="6030" spans="1:11" s="90" customFormat="1" ht="12.75" customHeight="1" x14ac:dyDescent="0.2">
      <c r="A6030" s="247"/>
      <c r="B6030" s="316"/>
      <c r="C6030" s="247"/>
      <c r="D6030" s="317"/>
      <c r="E6030" s="318"/>
      <c r="F6030" s="247"/>
      <c r="G6030" s="247"/>
      <c r="H6030" s="248"/>
      <c r="I6030" s="248"/>
      <c r="J6030" s="247"/>
      <c r="K6030" s="249"/>
    </row>
    <row r="6031" spans="1:11" s="90" customFormat="1" ht="12.75" customHeight="1" x14ac:dyDescent="0.2">
      <c r="A6031" s="247"/>
      <c r="B6031" s="316"/>
      <c r="C6031" s="247"/>
      <c r="D6031" s="317"/>
      <c r="E6031" s="318"/>
      <c r="F6031" s="247"/>
      <c r="G6031" s="247"/>
      <c r="H6031" s="248"/>
      <c r="I6031" s="248"/>
      <c r="J6031" s="247"/>
      <c r="K6031" s="249"/>
    </row>
    <row r="6032" spans="1:11" s="90" customFormat="1" ht="12.75" customHeight="1" x14ac:dyDescent="0.2">
      <c r="A6032" s="247"/>
      <c r="B6032" s="316"/>
      <c r="C6032" s="247"/>
      <c r="D6032" s="317"/>
      <c r="E6032" s="318"/>
      <c r="F6032" s="247"/>
      <c r="G6032" s="247"/>
      <c r="H6032" s="248"/>
      <c r="I6032" s="248"/>
      <c r="J6032" s="247"/>
      <c r="K6032" s="249"/>
    </row>
    <row r="6033" spans="1:11" s="90" customFormat="1" ht="12.75" customHeight="1" x14ac:dyDescent="0.2">
      <c r="A6033" s="247"/>
      <c r="B6033" s="316"/>
      <c r="C6033" s="247"/>
      <c r="D6033" s="317"/>
      <c r="E6033" s="318"/>
      <c r="F6033" s="247"/>
      <c r="G6033" s="247"/>
      <c r="H6033" s="248"/>
      <c r="I6033" s="248"/>
      <c r="J6033" s="247"/>
      <c r="K6033" s="249"/>
    </row>
    <row r="6034" spans="1:11" s="90" customFormat="1" ht="12.75" customHeight="1" x14ac:dyDescent="0.2">
      <c r="A6034" s="247"/>
      <c r="B6034" s="316"/>
      <c r="C6034" s="247"/>
      <c r="D6034" s="317"/>
      <c r="E6034" s="318"/>
      <c r="F6034" s="247"/>
      <c r="G6034" s="247"/>
      <c r="H6034" s="248"/>
      <c r="I6034" s="248"/>
      <c r="J6034" s="247"/>
      <c r="K6034" s="249"/>
    </row>
    <row r="6035" spans="1:11" s="90" customFormat="1" ht="12.75" customHeight="1" x14ac:dyDescent="0.2">
      <c r="A6035" s="247"/>
      <c r="B6035" s="316"/>
      <c r="C6035" s="247"/>
      <c r="D6035" s="317"/>
      <c r="E6035" s="318"/>
      <c r="F6035" s="247"/>
      <c r="G6035" s="247"/>
      <c r="H6035" s="248"/>
      <c r="I6035" s="248"/>
      <c r="J6035" s="247"/>
      <c r="K6035" s="249"/>
    </row>
    <row r="6036" spans="1:11" s="90" customFormat="1" ht="12.75" customHeight="1" x14ac:dyDescent="0.2">
      <c r="A6036" s="247"/>
      <c r="B6036" s="316"/>
      <c r="C6036" s="247"/>
      <c r="D6036" s="317"/>
      <c r="E6036" s="318"/>
      <c r="F6036" s="247"/>
      <c r="G6036" s="247"/>
      <c r="H6036" s="248"/>
      <c r="I6036" s="248"/>
      <c r="J6036" s="247"/>
      <c r="K6036" s="249"/>
    </row>
    <row r="6037" spans="1:11" s="90" customFormat="1" ht="12.75" customHeight="1" x14ac:dyDescent="0.2">
      <c r="A6037" s="247"/>
      <c r="B6037" s="316"/>
      <c r="C6037" s="247"/>
      <c r="D6037" s="317"/>
      <c r="E6037" s="318"/>
      <c r="F6037" s="247"/>
      <c r="G6037" s="247"/>
      <c r="H6037" s="248"/>
      <c r="I6037" s="248"/>
      <c r="J6037" s="247"/>
      <c r="K6037" s="249"/>
    </row>
    <row r="6038" spans="1:11" s="90" customFormat="1" ht="12.75" customHeight="1" x14ac:dyDescent="0.2">
      <c r="A6038" s="247"/>
      <c r="B6038" s="316"/>
      <c r="C6038" s="247"/>
      <c r="D6038" s="317"/>
      <c r="E6038" s="318"/>
      <c r="F6038" s="247"/>
      <c r="G6038" s="247"/>
      <c r="H6038" s="248"/>
      <c r="I6038" s="248"/>
      <c r="J6038" s="247"/>
      <c r="K6038" s="249"/>
    </row>
    <row r="6039" spans="1:11" s="90" customFormat="1" ht="12.75" customHeight="1" x14ac:dyDescent="0.2">
      <c r="A6039" s="247"/>
      <c r="B6039" s="316"/>
      <c r="C6039" s="247"/>
      <c r="D6039" s="317"/>
      <c r="E6039" s="318"/>
      <c r="F6039" s="247"/>
      <c r="G6039" s="247"/>
      <c r="H6039" s="248"/>
      <c r="I6039" s="248"/>
      <c r="J6039" s="247"/>
      <c r="K6039" s="249"/>
    </row>
    <row r="6040" spans="1:11" s="90" customFormat="1" ht="12.75" customHeight="1" x14ac:dyDescent="0.2">
      <c r="A6040" s="247"/>
      <c r="B6040" s="316"/>
      <c r="C6040" s="247"/>
      <c r="D6040" s="317"/>
      <c r="E6040" s="318"/>
      <c r="F6040" s="247"/>
      <c r="G6040" s="247"/>
      <c r="H6040" s="248"/>
      <c r="I6040" s="248"/>
      <c r="J6040" s="247"/>
      <c r="K6040" s="249"/>
    </row>
    <row r="6041" spans="1:11" s="90" customFormat="1" ht="12.75" customHeight="1" x14ac:dyDescent="0.2">
      <c r="A6041" s="247"/>
      <c r="B6041" s="316"/>
      <c r="C6041" s="247"/>
      <c r="D6041" s="317"/>
      <c r="E6041" s="318"/>
      <c r="F6041" s="247"/>
      <c r="G6041" s="247"/>
      <c r="H6041" s="248"/>
      <c r="I6041" s="248"/>
      <c r="J6041" s="247"/>
      <c r="K6041" s="249"/>
    </row>
    <row r="6042" spans="1:11" s="90" customFormat="1" ht="12.75" customHeight="1" x14ac:dyDescent="0.2">
      <c r="A6042" s="247"/>
      <c r="B6042" s="316"/>
      <c r="C6042" s="247"/>
      <c r="D6042" s="317"/>
      <c r="E6042" s="318"/>
      <c r="F6042" s="247"/>
      <c r="G6042" s="247"/>
      <c r="H6042" s="248"/>
      <c r="I6042" s="248"/>
      <c r="J6042" s="247"/>
      <c r="K6042" s="249"/>
    </row>
    <row r="6043" spans="1:11" s="90" customFormat="1" ht="12.75" customHeight="1" x14ac:dyDescent="0.2">
      <c r="A6043" s="247"/>
      <c r="B6043" s="316"/>
      <c r="C6043" s="247"/>
      <c r="D6043" s="317"/>
      <c r="E6043" s="318"/>
      <c r="F6043" s="247"/>
      <c r="G6043" s="247"/>
      <c r="H6043" s="248"/>
      <c r="I6043" s="248"/>
      <c r="J6043" s="247"/>
      <c r="K6043" s="249"/>
    </row>
    <row r="6044" spans="1:11" s="90" customFormat="1" ht="12.75" customHeight="1" x14ac:dyDescent="0.2">
      <c r="A6044" s="247"/>
      <c r="B6044" s="316"/>
      <c r="C6044" s="247"/>
      <c r="D6044" s="317"/>
      <c r="E6044" s="318"/>
      <c r="F6044" s="247"/>
      <c r="G6044" s="247"/>
      <c r="H6044" s="248"/>
      <c r="I6044" s="248"/>
      <c r="J6044" s="247"/>
      <c r="K6044" s="249"/>
    </row>
    <row r="6045" spans="1:11" s="90" customFormat="1" ht="12.75" customHeight="1" x14ac:dyDescent="0.2">
      <c r="A6045" s="247"/>
      <c r="B6045" s="316"/>
      <c r="C6045" s="247"/>
      <c r="D6045" s="317"/>
      <c r="E6045" s="318"/>
      <c r="F6045" s="247"/>
      <c r="G6045" s="247"/>
      <c r="H6045" s="248"/>
      <c r="I6045" s="248"/>
      <c r="J6045" s="247"/>
      <c r="K6045" s="249"/>
    </row>
    <row r="6046" spans="1:11" s="90" customFormat="1" ht="12.75" customHeight="1" x14ac:dyDescent="0.2">
      <c r="A6046" s="247"/>
      <c r="B6046" s="316"/>
      <c r="C6046" s="247"/>
      <c r="D6046" s="317"/>
      <c r="E6046" s="318"/>
      <c r="F6046" s="247"/>
      <c r="G6046" s="247"/>
      <c r="H6046" s="248"/>
      <c r="I6046" s="248"/>
      <c r="J6046" s="247"/>
      <c r="K6046" s="249"/>
    </row>
    <row r="6047" spans="1:11" s="90" customFormat="1" ht="12.75" customHeight="1" x14ac:dyDescent="0.2">
      <c r="A6047" s="247"/>
      <c r="B6047" s="316"/>
      <c r="C6047" s="247"/>
      <c r="D6047" s="317"/>
      <c r="E6047" s="318"/>
      <c r="F6047" s="247"/>
      <c r="G6047" s="247"/>
      <c r="H6047" s="248"/>
      <c r="I6047" s="248"/>
      <c r="J6047" s="247"/>
      <c r="K6047" s="249"/>
    </row>
    <row r="6048" spans="1:11" s="90" customFormat="1" ht="12.75" customHeight="1" x14ac:dyDescent="0.2">
      <c r="A6048" s="247"/>
      <c r="B6048" s="316"/>
      <c r="C6048" s="247"/>
      <c r="D6048" s="317"/>
      <c r="E6048" s="318"/>
      <c r="F6048" s="247"/>
      <c r="G6048" s="247"/>
      <c r="H6048" s="248"/>
      <c r="I6048" s="248"/>
      <c r="J6048" s="247"/>
      <c r="K6048" s="249"/>
    </row>
    <row r="6049" spans="1:11" s="90" customFormat="1" ht="12.75" customHeight="1" x14ac:dyDescent="0.2">
      <c r="A6049" s="247"/>
      <c r="B6049" s="316"/>
      <c r="C6049" s="247"/>
      <c r="D6049" s="317"/>
      <c r="E6049" s="318"/>
      <c r="F6049" s="247"/>
      <c r="G6049" s="247"/>
      <c r="H6049" s="248"/>
      <c r="I6049" s="248"/>
      <c r="J6049" s="247"/>
      <c r="K6049" s="249"/>
    </row>
    <row r="6050" spans="1:11" s="90" customFormat="1" ht="12.75" customHeight="1" x14ac:dyDescent="0.2">
      <c r="A6050" s="247"/>
      <c r="B6050" s="316"/>
      <c r="C6050" s="247"/>
      <c r="D6050" s="317"/>
      <c r="E6050" s="318"/>
      <c r="F6050" s="247"/>
      <c r="G6050" s="247"/>
      <c r="H6050" s="248"/>
      <c r="I6050" s="248"/>
      <c r="J6050" s="247"/>
      <c r="K6050" s="249"/>
    </row>
    <row r="6051" spans="1:11" s="90" customFormat="1" ht="12.75" customHeight="1" x14ac:dyDescent="0.2">
      <c r="A6051" s="247"/>
      <c r="B6051" s="316"/>
      <c r="C6051" s="247"/>
      <c r="D6051" s="317"/>
      <c r="E6051" s="318"/>
      <c r="F6051" s="247"/>
      <c r="G6051" s="247"/>
      <c r="H6051" s="248"/>
      <c r="I6051" s="248"/>
      <c r="J6051" s="247"/>
      <c r="K6051" s="249"/>
    </row>
    <row r="6052" spans="1:11" s="90" customFormat="1" ht="12.75" customHeight="1" x14ac:dyDescent="0.2">
      <c r="A6052" s="247"/>
      <c r="B6052" s="316"/>
      <c r="C6052" s="247"/>
      <c r="D6052" s="317"/>
      <c r="E6052" s="318"/>
      <c r="F6052" s="247"/>
      <c r="G6052" s="247"/>
      <c r="H6052" s="248"/>
      <c r="I6052" s="248"/>
      <c r="J6052" s="247"/>
      <c r="K6052" s="249"/>
    </row>
    <row r="6053" spans="1:11" s="90" customFormat="1" ht="12.75" customHeight="1" x14ac:dyDescent="0.2">
      <c r="A6053" s="247"/>
      <c r="B6053" s="316"/>
      <c r="C6053" s="247"/>
      <c r="D6053" s="317"/>
      <c r="E6053" s="318"/>
      <c r="F6053" s="247"/>
      <c r="G6053" s="247"/>
      <c r="H6053" s="248"/>
      <c r="I6053" s="248"/>
      <c r="J6053" s="247"/>
      <c r="K6053" s="249"/>
    </row>
    <row r="6054" spans="1:11" s="90" customFormat="1" ht="12.75" customHeight="1" x14ac:dyDescent="0.2">
      <c r="A6054" s="247"/>
      <c r="B6054" s="316"/>
      <c r="C6054" s="247"/>
      <c r="D6054" s="317"/>
      <c r="E6054" s="318"/>
      <c r="F6054" s="247"/>
      <c r="G6054" s="247"/>
      <c r="H6054" s="248"/>
      <c r="I6054" s="248"/>
      <c r="J6054" s="247"/>
      <c r="K6054" s="249"/>
    </row>
    <row r="6055" spans="1:11" s="90" customFormat="1" ht="12.75" customHeight="1" x14ac:dyDescent="0.2">
      <c r="A6055" s="247"/>
      <c r="B6055" s="316"/>
      <c r="C6055" s="247"/>
      <c r="D6055" s="317"/>
      <c r="E6055" s="318"/>
      <c r="F6055" s="247"/>
      <c r="G6055" s="247"/>
      <c r="H6055" s="248"/>
      <c r="I6055" s="248"/>
      <c r="J6055" s="247"/>
      <c r="K6055" s="249"/>
    </row>
    <row r="6056" spans="1:11" s="90" customFormat="1" ht="12.75" customHeight="1" x14ac:dyDescent="0.2">
      <c r="A6056" s="247"/>
      <c r="B6056" s="316"/>
      <c r="C6056" s="247"/>
      <c r="D6056" s="317"/>
      <c r="E6056" s="318"/>
      <c r="F6056" s="247"/>
      <c r="G6056" s="247"/>
      <c r="H6056" s="248"/>
      <c r="I6056" s="248"/>
      <c r="J6056" s="247"/>
      <c r="K6056" s="249"/>
    </row>
    <row r="6057" spans="1:11" s="90" customFormat="1" ht="12.75" customHeight="1" x14ac:dyDescent="0.2">
      <c r="A6057" s="247"/>
      <c r="B6057" s="316"/>
      <c r="C6057" s="247"/>
      <c r="D6057" s="317"/>
      <c r="E6057" s="318"/>
      <c r="F6057" s="247"/>
      <c r="G6057" s="247"/>
      <c r="H6057" s="248"/>
      <c r="I6057" s="248"/>
      <c r="J6057" s="247"/>
      <c r="K6057" s="249"/>
    </row>
    <row r="6058" spans="1:11" s="90" customFormat="1" ht="12.75" customHeight="1" x14ac:dyDescent="0.2">
      <c r="A6058" s="247"/>
      <c r="B6058" s="316"/>
      <c r="C6058" s="247"/>
      <c r="D6058" s="317"/>
      <c r="E6058" s="318"/>
      <c r="F6058" s="247"/>
      <c r="G6058" s="247"/>
      <c r="H6058" s="248"/>
      <c r="I6058" s="248"/>
      <c r="J6058" s="247"/>
      <c r="K6058" s="249"/>
    </row>
    <row r="6059" spans="1:11" s="90" customFormat="1" ht="12.75" customHeight="1" x14ac:dyDescent="0.2">
      <c r="A6059" s="247"/>
      <c r="B6059" s="316"/>
      <c r="C6059" s="247"/>
      <c r="D6059" s="317"/>
      <c r="E6059" s="318"/>
      <c r="F6059" s="247"/>
      <c r="G6059" s="247"/>
      <c r="H6059" s="248"/>
      <c r="I6059" s="248"/>
      <c r="J6059" s="247"/>
      <c r="K6059" s="249"/>
    </row>
    <row r="6060" spans="1:11" s="90" customFormat="1" ht="12.75" customHeight="1" x14ac:dyDescent="0.2">
      <c r="A6060" s="247"/>
      <c r="B6060" s="316"/>
      <c r="C6060" s="247"/>
      <c r="D6060" s="317"/>
      <c r="E6060" s="318"/>
      <c r="F6060" s="247"/>
      <c r="G6060" s="247"/>
      <c r="H6060" s="248"/>
      <c r="I6060" s="248"/>
      <c r="J6060" s="247"/>
      <c r="K6060" s="249"/>
    </row>
    <row r="6061" spans="1:11" s="90" customFormat="1" ht="12.75" customHeight="1" x14ac:dyDescent="0.2">
      <c r="A6061" s="247"/>
      <c r="B6061" s="316"/>
      <c r="C6061" s="247"/>
      <c r="D6061" s="317"/>
      <c r="E6061" s="318"/>
      <c r="F6061" s="247"/>
      <c r="G6061" s="247"/>
      <c r="H6061" s="248"/>
      <c r="I6061" s="248"/>
      <c r="J6061" s="247"/>
      <c r="K6061" s="249"/>
    </row>
    <row r="6062" spans="1:11" s="90" customFormat="1" ht="12.75" customHeight="1" x14ac:dyDescent="0.2">
      <c r="A6062" s="247"/>
      <c r="B6062" s="316"/>
      <c r="C6062" s="247"/>
      <c r="D6062" s="317"/>
      <c r="E6062" s="318"/>
      <c r="F6062" s="247"/>
      <c r="G6062" s="247"/>
      <c r="H6062" s="248"/>
      <c r="I6062" s="248"/>
      <c r="J6062" s="247"/>
      <c r="K6062" s="249"/>
    </row>
    <row r="6063" spans="1:11" s="90" customFormat="1" ht="12.75" customHeight="1" x14ac:dyDescent="0.2">
      <c r="A6063" s="247"/>
      <c r="B6063" s="316"/>
      <c r="C6063" s="247"/>
      <c r="D6063" s="317"/>
      <c r="E6063" s="318"/>
      <c r="F6063" s="247"/>
      <c r="G6063" s="247"/>
      <c r="H6063" s="248"/>
      <c r="I6063" s="248"/>
      <c r="J6063" s="247"/>
      <c r="K6063" s="249"/>
    </row>
    <row r="6064" spans="1:11" s="90" customFormat="1" ht="12.75" customHeight="1" x14ac:dyDescent="0.2">
      <c r="A6064" s="247"/>
      <c r="B6064" s="316"/>
      <c r="C6064" s="247"/>
      <c r="D6064" s="317"/>
      <c r="E6064" s="318"/>
      <c r="F6064" s="247"/>
      <c r="G6064" s="247"/>
      <c r="H6064" s="248"/>
      <c r="I6064" s="248"/>
      <c r="J6064" s="247"/>
      <c r="K6064" s="249"/>
    </row>
    <row r="6065" spans="1:11" s="90" customFormat="1" ht="12.75" customHeight="1" x14ac:dyDescent="0.2">
      <c r="A6065" s="247"/>
      <c r="B6065" s="316"/>
      <c r="C6065" s="247"/>
      <c r="D6065" s="317"/>
      <c r="E6065" s="318"/>
      <c r="F6065" s="247"/>
      <c r="G6065" s="247"/>
      <c r="H6065" s="248"/>
      <c r="I6065" s="248"/>
      <c r="J6065" s="247"/>
      <c r="K6065" s="249"/>
    </row>
    <row r="6066" spans="1:11" s="90" customFormat="1" ht="12.75" customHeight="1" x14ac:dyDescent="0.2">
      <c r="A6066" s="247"/>
      <c r="B6066" s="316"/>
      <c r="C6066" s="247"/>
      <c r="D6066" s="317"/>
      <c r="E6066" s="318"/>
      <c r="F6066" s="247"/>
      <c r="G6066" s="247"/>
      <c r="H6066" s="248"/>
      <c r="I6066" s="248"/>
      <c r="J6066" s="247"/>
      <c r="K6066" s="249"/>
    </row>
    <row r="6067" spans="1:11" s="90" customFormat="1" ht="12.75" customHeight="1" x14ac:dyDescent="0.2">
      <c r="A6067" s="247"/>
      <c r="B6067" s="316"/>
      <c r="C6067" s="247"/>
      <c r="D6067" s="317"/>
      <c r="E6067" s="318"/>
      <c r="F6067" s="247"/>
      <c r="G6067" s="247"/>
      <c r="H6067" s="248"/>
      <c r="I6067" s="248"/>
      <c r="J6067" s="247"/>
      <c r="K6067" s="249"/>
    </row>
    <row r="6068" spans="1:11" s="90" customFormat="1" ht="12.75" customHeight="1" x14ac:dyDescent="0.2">
      <c r="A6068" s="247"/>
      <c r="B6068" s="316"/>
      <c r="C6068" s="247"/>
      <c r="D6068" s="317"/>
      <c r="E6068" s="318"/>
      <c r="F6068" s="247"/>
      <c r="G6068" s="247"/>
      <c r="H6068" s="248"/>
      <c r="I6068" s="248"/>
      <c r="J6068" s="247"/>
      <c r="K6068" s="249"/>
    </row>
    <row r="6069" spans="1:11" s="90" customFormat="1" ht="12.75" customHeight="1" x14ac:dyDescent="0.2">
      <c r="A6069" s="247"/>
      <c r="B6069" s="316"/>
      <c r="C6069" s="247"/>
      <c r="D6069" s="317"/>
      <c r="E6069" s="318"/>
      <c r="F6069" s="247"/>
      <c r="G6069" s="247"/>
      <c r="H6069" s="248"/>
      <c r="I6069" s="248"/>
      <c r="J6069" s="247"/>
      <c r="K6069" s="249"/>
    </row>
    <row r="6070" spans="1:11" s="90" customFormat="1" ht="12.75" customHeight="1" x14ac:dyDescent="0.2">
      <c r="A6070" s="247"/>
      <c r="B6070" s="316"/>
      <c r="C6070" s="247"/>
      <c r="D6070" s="317"/>
      <c r="E6070" s="318"/>
      <c r="F6070" s="247"/>
      <c r="G6070" s="247"/>
      <c r="H6070" s="248"/>
      <c r="I6070" s="248"/>
      <c r="J6070" s="247"/>
      <c r="K6070" s="249"/>
    </row>
    <row r="6071" spans="1:11" s="90" customFormat="1" ht="12.75" customHeight="1" x14ac:dyDescent="0.2">
      <c r="A6071" s="247"/>
      <c r="B6071" s="316"/>
      <c r="C6071" s="247"/>
      <c r="D6071" s="317"/>
      <c r="E6071" s="318"/>
      <c r="F6071" s="247"/>
      <c r="G6071" s="247"/>
      <c r="H6071" s="248"/>
      <c r="I6071" s="248"/>
      <c r="J6071" s="247"/>
      <c r="K6071" s="249"/>
    </row>
    <row r="6072" spans="1:11" s="90" customFormat="1" ht="12.75" customHeight="1" x14ac:dyDescent="0.2">
      <c r="A6072" s="247"/>
      <c r="B6072" s="316"/>
      <c r="C6072" s="247"/>
      <c r="D6072" s="317"/>
      <c r="E6072" s="318"/>
      <c r="F6072" s="247"/>
      <c r="G6072" s="247"/>
      <c r="H6072" s="248"/>
      <c r="I6072" s="248"/>
      <c r="J6072" s="247"/>
      <c r="K6072" s="249"/>
    </row>
    <row r="6073" spans="1:11" s="90" customFormat="1" ht="12.75" customHeight="1" x14ac:dyDescent="0.2">
      <c r="A6073" s="247"/>
      <c r="B6073" s="316"/>
      <c r="C6073" s="247"/>
      <c r="D6073" s="317"/>
      <c r="E6073" s="318"/>
      <c r="F6073" s="247"/>
      <c r="G6073" s="247"/>
      <c r="H6073" s="248"/>
      <c r="I6073" s="248"/>
      <c r="J6073" s="247"/>
      <c r="K6073" s="249"/>
    </row>
    <row r="6074" spans="1:11" s="90" customFormat="1" ht="12.75" customHeight="1" x14ac:dyDescent="0.2">
      <c r="A6074" s="247"/>
      <c r="B6074" s="316"/>
      <c r="C6074" s="247"/>
      <c r="D6074" s="317"/>
      <c r="E6074" s="318"/>
      <c r="F6074" s="247"/>
      <c r="G6074" s="247"/>
      <c r="H6074" s="248"/>
      <c r="I6074" s="248"/>
      <c r="J6074" s="247"/>
      <c r="K6074" s="249"/>
    </row>
    <row r="6075" spans="1:11" s="90" customFormat="1" ht="12.75" customHeight="1" x14ac:dyDescent="0.2">
      <c r="A6075" s="247"/>
      <c r="B6075" s="316"/>
      <c r="C6075" s="247"/>
      <c r="D6075" s="317"/>
      <c r="E6075" s="318"/>
      <c r="F6075" s="247"/>
      <c r="G6075" s="247"/>
      <c r="H6075" s="248"/>
      <c r="I6075" s="248"/>
      <c r="J6075" s="247"/>
      <c r="K6075" s="249"/>
    </row>
    <row r="6076" spans="1:11" s="90" customFormat="1" ht="12.75" customHeight="1" x14ac:dyDescent="0.2">
      <c r="A6076" s="247"/>
      <c r="B6076" s="316"/>
      <c r="C6076" s="247"/>
      <c r="D6076" s="317"/>
      <c r="E6076" s="318"/>
      <c r="F6076" s="247"/>
      <c r="G6076" s="247"/>
      <c r="H6076" s="248"/>
      <c r="I6076" s="248"/>
      <c r="J6076" s="247"/>
      <c r="K6076" s="249"/>
    </row>
    <row r="6077" spans="1:11" s="90" customFormat="1" ht="12.75" customHeight="1" x14ac:dyDescent="0.2">
      <c r="A6077" s="247"/>
      <c r="B6077" s="316"/>
      <c r="C6077" s="247"/>
      <c r="D6077" s="317"/>
      <c r="E6077" s="318"/>
      <c r="F6077" s="247"/>
      <c r="G6077" s="247"/>
      <c r="H6077" s="248"/>
      <c r="I6077" s="248"/>
      <c r="J6077" s="247"/>
      <c r="K6077" s="249"/>
    </row>
    <row r="6078" spans="1:11" s="90" customFormat="1" ht="12.75" customHeight="1" x14ac:dyDescent="0.2">
      <c r="A6078" s="247"/>
      <c r="B6078" s="316"/>
      <c r="C6078" s="247"/>
      <c r="D6078" s="317"/>
      <c r="E6078" s="318"/>
      <c r="F6078" s="247"/>
      <c r="G6078" s="247"/>
      <c r="H6078" s="248"/>
      <c r="I6078" s="248"/>
      <c r="J6078" s="247"/>
      <c r="K6078" s="249"/>
    </row>
    <row r="6079" spans="1:11" s="90" customFormat="1" ht="12.75" customHeight="1" x14ac:dyDescent="0.2">
      <c r="A6079" s="247"/>
      <c r="B6079" s="316"/>
      <c r="C6079" s="247"/>
      <c r="D6079" s="317"/>
      <c r="E6079" s="318"/>
      <c r="F6079" s="247"/>
      <c r="G6079" s="247"/>
      <c r="H6079" s="248"/>
      <c r="I6079" s="248"/>
      <c r="J6079" s="247"/>
      <c r="K6079" s="249"/>
    </row>
    <row r="6080" spans="1:11" s="90" customFormat="1" ht="12.75" customHeight="1" x14ac:dyDescent="0.2">
      <c r="A6080" s="247"/>
      <c r="B6080" s="316"/>
      <c r="C6080" s="247"/>
      <c r="D6080" s="317"/>
      <c r="E6080" s="318"/>
      <c r="F6080" s="247"/>
      <c r="G6080" s="247"/>
      <c r="H6080" s="248"/>
      <c r="I6080" s="248"/>
      <c r="J6080" s="247"/>
      <c r="K6080" s="249"/>
    </row>
    <row r="6081" spans="1:11" s="90" customFormat="1" ht="12.75" customHeight="1" x14ac:dyDescent="0.2">
      <c r="A6081" s="247"/>
      <c r="B6081" s="316"/>
      <c r="C6081" s="247"/>
      <c r="D6081" s="317"/>
      <c r="E6081" s="318"/>
      <c r="F6081" s="247"/>
      <c r="G6081" s="247"/>
      <c r="H6081" s="248"/>
      <c r="I6081" s="248"/>
      <c r="J6081" s="247"/>
      <c r="K6081" s="249"/>
    </row>
    <row r="6082" spans="1:11" s="90" customFormat="1" ht="12.75" customHeight="1" x14ac:dyDescent="0.2">
      <c r="A6082" s="247"/>
      <c r="B6082" s="316"/>
      <c r="C6082" s="247"/>
      <c r="D6082" s="317"/>
      <c r="E6082" s="318"/>
      <c r="F6082" s="247"/>
      <c r="G6082" s="247"/>
      <c r="H6082" s="248"/>
      <c r="I6082" s="248"/>
      <c r="J6082" s="247"/>
      <c r="K6082" s="249"/>
    </row>
    <row r="6083" spans="1:11" s="90" customFormat="1" ht="12.75" customHeight="1" x14ac:dyDescent="0.2">
      <c r="A6083" s="247"/>
      <c r="B6083" s="316"/>
      <c r="C6083" s="247"/>
      <c r="D6083" s="317"/>
      <c r="E6083" s="318"/>
      <c r="F6083" s="247"/>
      <c r="G6083" s="247"/>
      <c r="H6083" s="248"/>
      <c r="I6083" s="248"/>
      <c r="J6083" s="247"/>
      <c r="K6083" s="249"/>
    </row>
    <row r="6084" spans="1:11" s="90" customFormat="1" ht="12.75" customHeight="1" x14ac:dyDescent="0.2">
      <c r="A6084" s="247"/>
      <c r="B6084" s="316"/>
      <c r="C6084" s="247"/>
      <c r="D6084" s="317"/>
      <c r="E6084" s="318"/>
      <c r="F6084" s="247"/>
      <c r="G6084" s="247"/>
      <c r="H6084" s="248"/>
      <c r="I6084" s="248"/>
      <c r="J6084" s="247"/>
      <c r="K6084" s="249"/>
    </row>
    <row r="6085" spans="1:11" s="90" customFormat="1" ht="12.75" customHeight="1" x14ac:dyDescent="0.2">
      <c r="A6085" s="247"/>
      <c r="B6085" s="316"/>
      <c r="C6085" s="247"/>
      <c r="D6085" s="317"/>
      <c r="E6085" s="318"/>
      <c r="F6085" s="247"/>
      <c r="G6085" s="247"/>
      <c r="H6085" s="248"/>
      <c r="I6085" s="248"/>
      <c r="J6085" s="247"/>
      <c r="K6085" s="249"/>
    </row>
    <row r="6086" spans="1:11" s="90" customFormat="1" ht="12.75" customHeight="1" x14ac:dyDescent="0.2">
      <c r="A6086" s="247"/>
      <c r="B6086" s="316"/>
      <c r="C6086" s="247"/>
      <c r="D6086" s="317"/>
      <c r="E6086" s="318"/>
      <c r="F6086" s="247"/>
      <c r="G6086" s="247"/>
      <c r="H6086" s="248"/>
      <c r="I6086" s="248"/>
      <c r="J6086" s="247"/>
      <c r="K6086" s="249"/>
    </row>
    <row r="6087" spans="1:11" s="90" customFormat="1" ht="12.75" customHeight="1" x14ac:dyDescent="0.2">
      <c r="A6087" s="247"/>
      <c r="B6087" s="316"/>
      <c r="C6087" s="247"/>
      <c r="D6087" s="317"/>
      <c r="E6087" s="318"/>
      <c r="F6087" s="247"/>
      <c r="G6087" s="247"/>
      <c r="H6087" s="248"/>
      <c r="I6087" s="248"/>
      <c r="J6087" s="247"/>
      <c r="K6087" s="249"/>
    </row>
    <row r="6088" spans="1:11" s="90" customFormat="1" ht="12.75" customHeight="1" x14ac:dyDescent="0.2">
      <c r="A6088" s="247"/>
      <c r="B6088" s="316"/>
      <c r="C6088" s="247"/>
      <c r="D6088" s="317"/>
      <c r="E6088" s="318"/>
      <c r="F6088" s="247"/>
      <c r="G6088" s="247"/>
      <c r="H6088" s="248"/>
      <c r="I6088" s="248"/>
      <c r="J6088" s="247"/>
      <c r="K6088" s="249"/>
    </row>
    <row r="6089" spans="1:11" s="90" customFormat="1" ht="12.75" customHeight="1" x14ac:dyDescent="0.2">
      <c r="A6089" s="247"/>
      <c r="B6089" s="316"/>
      <c r="C6089" s="247"/>
      <c r="D6089" s="317"/>
      <c r="E6089" s="318"/>
      <c r="F6089" s="247"/>
      <c r="G6089" s="247"/>
      <c r="H6089" s="248"/>
      <c r="I6089" s="248"/>
      <c r="J6089" s="247"/>
      <c r="K6089" s="249"/>
    </row>
    <row r="6090" spans="1:11" s="90" customFormat="1" ht="12.75" customHeight="1" x14ac:dyDescent="0.2">
      <c r="A6090" s="247"/>
      <c r="B6090" s="316"/>
      <c r="C6090" s="247"/>
      <c r="D6090" s="317"/>
      <c r="E6090" s="318"/>
      <c r="F6090" s="247"/>
      <c r="G6090" s="247"/>
      <c r="H6090" s="248"/>
      <c r="I6090" s="248"/>
      <c r="J6090" s="247"/>
      <c r="K6090" s="249"/>
    </row>
    <row r="6091" spans="1:11" s="90" customFormat="1" ht="12.75" customHeight="1" x14ac:dyDescent="0.2">
      <c r="A6091" s="247"/>
      <c r="B6091" s="316"/>
      <c r="C6091" s="247"/>
      <c r="D6091" s="317"/>
      <c r="E6091" s="318"/>
      <c r="F6091" s="247"/>
      <c r="G6091" s="247"/>
      <c r="H6091" s="248"/>
      <c r="I6091" s="248"/>
      <c r="J6091" s="247"/>
      <c r="K6091" s="249"/>
    </row>
    <row r="6092" spans="1:11" s="90" customFormat="1" ht="12.75" customHeight="1" x14ac:dyDescent="0.2">
      <c r="A6092" s="247"/>
      <c r="B6092" s="316"/>
      <c r="C6092" s="247"/>
      <c r="D6092" s="317"/>
      <c r="E6092" s="318"/>
      <c r="F6092" s="247"/>
      <c r="G6092" s="247"/>
      <c r="H6092" s="248"/>
      <c r="I6092" s="248"/>
      <c r="J6092" s="247"/>
      <c r="K6092" s="249"/>
    </row>
    <row r="6093" spans="1:11" s="90" customFormat="1" ht="12.75" customHeight="1" x14ac:dyDescent="0.2">
      <c r="A6093" s="247"/>
      <c r="B6093" s="316"/>
      <c r="C6093" s="247"/>
      <c r="D6093" s="317"/>
      <c r="E6093" s="318"/>
      <c r="F6093" s="247"/>
      <c r="G6093" s="247"/>
      <c r="H6093" s="248"/>
      <c r="I6093" s="248"/>
      <c r="J6093" s="247"/>
      <c r="K6093" s="249"/>
    </row>
    <row r="6094" spans="1:11" s="90" customFormat="1" ht="12.75" customHeight="1" x14ac:dyDescent="0.2">
      <c r="A6094" s="247"/>
      <c r="B6094" s="316"/>
      <c r="C6094" s="247"/>
      <c r="D6094" s="317"/>
      <c r="E6094" s="318"/>
      <c r="F6094" s="247"/>
      <c r="G6094" s="247"/>
      <c r="H6094" s="248"/>
      <c r="I6094" s="248"/>
      <c r="J6094" s="247"/>
      <c r="K6094" s="249"/>
    </row>
    <row r="6095" spans="1:11" s="90" customFormat="1" ht="12.75" customHeight="1" x14ac:dyDescent="0.2">
      <c r="A6095" s="247"/>
      <c r="B6095" s="316"/>
      <c r="C6095" s="247"/>
      <c r="D6095" s="317"/>
      <c r="E6095" s="318"/>
      <c r="F6095" s="247"/>
      <c r="G6095" s="247"/>
      <c r="H6095" s="248"/>
      <c r="I6095" s="248"/>
      <c r="J6095" s="247"/>
      <c r="K6095" s="249"/>
    </row>
    <row r="6096" spans="1:11" s="90" customFormat="1" ht="12.75" customHeight="1" x14ac:dyDescent="0.2">
      <c r="A6096" s="247"/>
      <c r="B6096" s="316"/>
      <c r="C6096" s="247"/>
      <c r="D6096" s="317"/>
      <c r="E6096" s="318"/>
      <c r="F6096" s="247"/>
      <c r="G6096" s="247"/>
      <c r="H6096" s="248"/>
      <c r="I6096" s="248"/>
      <c r="J6096" s="247"/>
      <c r="K6096" s="249"/>
    </row>
    <row r="6097" spans="1:11" s="90" customFormat="1" ht="12.75" customHeight="1" x14ac:dyDescent="0.2">
      <c r="A6097" s="247"/>
      <c r="B6097" s="316"/>
      <c r="C6097" s="247"/>
      <c r="D6097" s="317"/>
      <c r="E6097" s="318"/>
      <c r="F6097" s="247"/>
      <c r="G6097" s="247"/>
      <c r="H6097" s="248"/>
      <c r="I6097" s="248"/>
      <c r="J6097" s="247"/>
      <c r="K6097" s="249"/>
    </row>
    <row r="6098" spans="1:11" s="90" customFormat="1" ht="12.75" customHeight="1" x14ac:dyDescent="0.2">
      <c r="A6098" s="247"/>
      <c r="B6098" s="316"/>
      <c r="C6098" s="247"/>
      <c r="D6098" s="317"/>
      <c r="E6098" s="318"/>
      <c r="F6098" s="247"/>
      <c r="G6098" s="247"/>
      <c r="H6098" s="248"/>
      <c r="I6098" s="248"/>
      <c r="J6098" s="247"/>
      <c r="K6098" s="249"/>
    </row>
    <row r="6099" spans="1:11" s="90" customFormat="1" ht="12.75" customHeight="1" x14ac:dyDescent="0.2">
      <c r="A6099" s="247"/>
      <c r="B6099" s="316"/>
      <c r="C6099" s="247"/>
      <c r="D6099" s="317"/>
      <c r="E6099" s="318"/>
      <c r="F6099" s="247"/>
      <c r="G6099" s="247"/>
      <c r="H6099" s="248"/>
      <c r="I6099" s="248"/>
      <c r="J6099" s="247"/>
      <c r="K6099" s="249"/>
    </row>
    <row r="6100" spans="1:11" s="90" customFormat="1" ht="12.75" customHeight="1" x14ac:dyDescent="0.2">
      <c r="A6100" s="247"/>
      <c r="B6100" s="316"/>
      <c r="C6100" s="247"/>
      <c r="D6100" s="317"/>
      <c r="E6100" s="318"/>
      <c r="F6100" s="247"/>
      <c r="G6100" s="247"/>
      <c r="H6100" s="248"/>
      <c r="I6100" s="248"/>
      <c r="J6100" s="247"/>
      <c r="K6100" s="249"/>
    </row>
    <row r="6101" spans="1:11" s="90" customFormat="1" ht="12.75" customHeight="1" x14ac:dyDescent="0.2">
      <c r="A6101" s="247"/>
      <c r="B6101" s="316"/>
      <c r="C6101" s="247"/>
      <c r="D6101" s="317"/>
      <c r="E6101" s="318"/>
      <c r="F6101" s="247"/>
      <c r="G6101" s="247"/>
      <c r="H6101" s="248"/>
      <c r="I6101" s="248"/>
      <c r="J6101" s="247"/>
      <c r="K6101" s="249"/>
    </row>
    <row r="6102" spans="1:11" s="90" customFormat="1" ht="12.75" customHeight="1" x14ac:dyDescent="0.2">
      <c r="A6102" s="247"/>
      <c r="B6102" s="316"/>
      <c r="C6102" s="247"/>
      <c r="D6102" s="317"/>
      <c r="E6102" s="318"/>
      <c r="F6102" s="247"/>
      <c r="G6102" s="247"/>
      <c r="H6102" s="248"/>
      <c r="I6102" s="248"/>
      <c r="J6102" s="247"/>
      <c r="K6102" s="249"/>
    </row>
    <row r="6103" spans="1:11" s="90" customFormat="1" ht="12.75" customHeight="1" x14ac:dyDescent="0.2">
      <c r="A6103" s="247"/>
      <c r="B6103" s="316"/>
      <c r="C6103" s="247"/>
      <c r="D6103" s="317"/>
      <c r="E6103" s="318"/>
      <c r="F6103" s="247"/>
      <c r="G6103" s="247"/>
      <c r="H6103" s="248"/>
      <c r="I6103" s="248"/>
      <c r="J6103" s="247"/>
      <c r="K6103" s="249"/>
    </row>
    <row r="6104" spans="1:11" s="90" customFormat="1" ht="12.75" customHeight="1" x14ac:dyDescent="0.2">
      <c r="A6104" s="247"/>
      <c r="B6104" s="316"/>
      <c r="C6104" s="247"/>
      <c r="D6104" s="317"/>
      <c r="E6104" s="318"/>
      <c r="F6104" s="247"/>
      <c r="G6104" s="247"/>
      <c r="H6104" s="248"/>
      <c r="I6104" s="248"/>
      <c r="J6104" s="247"/>
      <c r="K6104" s="249"/>
    </row>
    <row r="6105" spans="1:11" s="90" customFormat="1" ht="12.75" customHeight="1" x14ac:dyDescent="0.2">
      <c r="A6105" s="247"/>
      <c r="B6105" s="316"/>
      <c r="C6105" s="247"/>
      <c r="D6105" s="317"/>
      <c r="E6105" s="318"/>
      <c r="F6105" s="247"/>
      <c r="G6105" s="247"/>
      <c r="H6105" s="248"/>
      <c r="I6105" s="248"/>
      <c r="J6105" s="247"/>
      <c r="K6105" s="249"/>
    </row>
    <row r="6106" spans="1:11" s="90" customFormat="1" ht="12.75" customHeight="1" x14ac:dyDescent="0.2">
      <c r="A6106" s="247"/>
      <c r="B6106" s="316"/>
      <c r="C6106" s="247"/>
      <c r="D6106" s="317"/>
      <c r="E6106" s="318"/>
      <c r="F6106" s="247"/>
      <c r="G6106" s="247"/>
      <c r="H6106" s="248"/>
      <c r="I6106" s="248"/>
      <c r="J6106" s="247"/>
      <c r="K6106" s="249"/>
    </row>
    <row r="6107" spans="1:11" s="90" customFormat="1" ht="12.75" customHeight="1" x14ac:dyDescent="0.2">
      <c r="A6107" s="247"/>
      <c r="B6107" s="316"/>
      <c r="C6107" s="247"/>
      <c r="D6107" s="317"/>
      <c r="E6107" s="318"/>
      <c r="F6107" s="247"/>
      <c r="G6107" s="247"/>
      <c r="H6107" s="248"/>
      <c r="I6107" s="248"/>
      <c r="J6107" s="247"/>
      <c r="K6107" s="249"/>
    </row>
    <row r="6108" spans="1:11" s="90" customFormat="1" ht="12.75" customHeight="1" x14ac:dyDescent="0.2">
      <c r="A6108" s="247"/>
      <c r="B6108" s="316"/>
      <c r="C6108" s="247"/>
      <c r="D6108" s="317"/>
      <c r="E6108" s="318"/>
      <c r="F6108" s="247"/>
      <c r="G6108" s="247"/>
      <c r="H6108" s="248"/>
      <c r="I6108" s="248"/>
      <c r="J6108" s="247"/>
      <c r="K6108" s="249"/>
    </row>
    <row r="6109" spans="1:11" s="90" customFormat="1" ht="12.75" customHeight="1" x14ac:dyDescent="0.2">
      <c r="A6109" s="247"/>
      <c r="B6109" s="316"/>
      <c r="C6109" s="247"/>
      <c r="D6109" s="317"/>
      <c r="E6109" s="318"/>
      <c r="F6109" s="247"/>
      <c r="G6109" s="247"/>
      <c r="H6109" s="248"/>
      <c r="I6109" s="248"/>
      <c r="J6109" s="247"/>
      <c r="K6109" s="249"/>
    </row>
    <row r="6110" spans="1:11" s="90" customFormat="1" ht="12.75" customHeight="1" x14ac:dyDescent="0.2">
      <c r="A6110" s="247"/>
      <c r="B6110" s="316"/>
      <c r="C6110" s="247"/>
      <c r="D6110" s="317"/>
      <c r="E6110" s="318"/>
      <c r="F6110" s="247"/>
      <c r="G6110" s="247"/>
      <c r="H6110" s="248"/>
      <c r="I6110" s="248"/>
      <c r="J6110" s="247"/>
      <c r="K6110" s="249"/>
    </row>
    <row r="6111" spans="1:11" s="90" customFormat="1" ht="12.75" customHeight="1" x14ac:dyDescent="0.2">
      <c r="A6111" s="247"/>
      <c r="B6111" s="316"/>
      <c r="C6111" s="247"/>
      <c r="D6111" s="317"/>
      <c r="E6111" s="318"/>
      <c r="F6111" s="247"/>
      <c r="G6111" s="247"/>
      <c r="H6111" s="248"/>
      <c r="I6111" s="248"/>
      <c r="J6111" s="247"/>
      <c r="K6111" s="249"/>
    </row>
    <row r="6112" spans="1:11" s="90" customFormat="1" ht="12.75" customHeight="1" x14ac:dyDescent="0.2">
      <c r="A6112" s="247"/>
      <c r="B6112" s="316"/>
      <c r="C6112" s="247"/>
      <c r="D6112" s="317"/>
      <c r="E6112" s="318"/>
      <c r="F6112" s="247"/>
      <c r="G6112" s="247"/>
      <c r="H6112" s="248"/>
      <c r="I6112" s="248"/>
      <c r="J6112" s="247"/>
      <c r="K6112" s="249"/>
    </row>
    <row r="6113" spans="1:11" s="90" customFormat="1" ht="12.75" customHeight="1" x14ac:dyDescent="0.2">
      <c r="A6113" s="247"/>
      <c r="B6113" s="316"/>
      <c r="C6113" s="247"/>
      <c r="D6113" s="317"/>
      <c r="E6113" s="318"/>
      <c r="F6113" s="247"/>
      <c r="G6113" s="247"/>
      <c r="H6113" s="248"/>
      <c r="I6113" s="248"/>
      <c r="J6113" s="247"/>
      <c r="K6113" s="249"/>
    </row>
    <row r="6114" spans="1:11" s="90" customFormat="1" ht="12.75" customHeight="1" x14ac:dyDescent="0.2">
      <c r="A6114" s="247"/>
      <c r="B6114" s="316"/>
      <c r="C6114" s="247"/>
      <c r="D6114" s="317"/>
      <c r="E6114" s="318"/>
      <c r="F6114" s="247"/>
      <c r="G6114" s="247"/>
      <c r="H6114" s="248"/>
      <c r="I6114" s="248"/>
      <c r="J6114" s="247"/>
      <c r="K6114" s="249"/>
    </row>
    <row r="6115" spans="1:11" s="90" customFormat="1" ht="12.75" customHeight="1" x14ac:dyDescent="0.2">
      <c r="A6115" s="247"/>
      <c r="B6115" s="316"/>
      <c r="C6115" s="247"/>
      <c r="D6115" s="317"/>
      <c r="E6115" s="318"/>
      <c r="F6115" s="247"/>
      <c r="G6115" s="247"/>
      <c r="H6115" s="248"/>
      <c r="I6115" s="248"/>
      <c r="J6115" s="247"/>
      <c r="K6115" s="249"/>
    </row>
    <row r="6116" spans="1:11" s="90" customFormat="1" ht="12.75" customHeight="1" x14ac:dyDescent="0.2">
      <c r="A6116" s="247"/>
      <c r="B6116" s="316"/>
      <c r="C6116" s="247"/>
      <c r="D6116" s="317"/>
      <c r="E6116" s="318"/>
      <c r="F6116" s="247"/>
      <c r="G6116" s="247"/>
      <c r="H6116" s="248"/>
      <c r="I6116" s="248"/>
      <c r="J6116" s="247"/>
      <c r="K6116" s="249"/>
    </row>
    <row r="6117" spans="1:11" s="90" customFormat="1" ht="12.75" customHeight="1" x14ac:dyDescent="0.2">
      <c r="A6117" s="247"/>
      <c r="B6117" s="316"/>
      <c r="C6117" s="247"/>
      <c r="D6117" s="317"/>
      <c r="E6117" s="318"/>
      <c r="F6117" s="247"/>
      <c r="G6117" s="247"/>
      <c r="H6117" s="248"/>
      <c r="I6117" s="248"/>
      <c r="J6117" s="247"/>
      <c r="K6117" s="249"/>
    </row>
    <row r="6118" spans="1:11" s="90" customFormat="1" ht="12.75" customHeight="1" x14ac:dyDescent="0.2">
      <c r="A6118" s="247"/>
      <c r="B6118" s="316"/>
      <c r="C6118" s="247"/>
      <c r="D6118" s="317"/>
      <c r="E6118" s="318"/>
      <c r="F6118" s="247"/>
      <c r="G6118" s="247"/>
      <c r="H6118" s="248"/>
      <c r="I6118" s="248"/>
      <c r="J6118" s="247"/>
      <c r="K6118" s="249"/>
    </row>
    <row r="6119" spans="1:11" s="90" customFormat="1" ht="12.75" customHeight="1" x14ac:dyDescent="0.2">
      <c r="A6119" s="247"/>
      <c r="B6119" s="316"/>
      <c r="C6119" s="247"/>
      <c r="D6119" s="317"/>
      <c r="E6119" s="318"/>
      <c r="F6119" s="247"/>
      <c r="G6119" s="247"/>
      <c r="H6119" s="248"/>
      <c r="I6119" s="248"/>
      <c r="J6119" s="247"/>
      <c r="K6119" s="249"/>
    </row>
    <row r="6120" spans="1:11" s="90" customFormat="1" ht="12.75" customHeight="1" x14ac:dyDescent="0.2">
      <c r="A6120" s="247"/>
      <c r="B6120" s="316"/>
      <c r="C6120" s="247"/>
      <c r="D6120" s="317"/>
      <c r="E6120" s="318"/>
      <c r="F6120" s="247"/>
      <c r="G6120" s="247"/>
      <c r="H6120" s="248"/>
      <c r="I6120" s="248"/>
      <c r="J6120" s="247"/>
      <c r="K6120" s="249"/>
    </row>
    <row r="6121" spans="1:11" s="90" customFormat="1" ht="12.75" customHeight="1" x14ac:dyDescent="0.2">
      <c r="A6121" s="247"/>
      <c r="B6121" s="316"/>
      <c r="C6121" s="247"/>
      <c r="D6121" s="317"/>
      <c r="E6121" s="318"/>
      <c r="F6121" s="247"/>
      <c r="G6121" s="247"/>
      <c r="H6121" s="248"/>
      <c r="I6121" s="248"/>
      <c r="J6121" s="247"/>
      <c r="K6121" s="249"/>
    </row>
    <row r="6122" spans="1:11" s="90" customFormat="1" ht="12.75" customHeight="1" x14ac:dyDescent="0.2">
      <c r="A6122" s="247"/>
      <c r="B6122" s="316"/>
      <c r="C6122" s="247"/>
      <c r="D6122" s="317"/>
      <c r="E6122" s="318"/>
      <c r="F6122" s="247"/>
      <c r="G6122" s="247"/>
      <c r="H6122" s="248"/>
      <c r="I6122" s="248"/>
      <c r="J6122" s="247"/>
      <c r="K6122" s="249"/>
    </row>
    <row r="6123" spans="1:11" s="90" customFormat="1" ht="12.75" customHeight="1" x14ac:dyDescent="0.2">
      <c r="A6123" s="247"/>
      <c r="B6123" s="316"/>
      <c r="C6123" s="247"/>
      <c r="D6123" s="317"/>
      <c r="E6123" s="318"/>
      <c r="F6123" s="247"/>
      <c r="G6123" s="247"/>
      <c r="H6123" s="248"/>
      <c r="I6123" s="248"/>
      <c r="J6123" s="247"/>
      <c r="K6123" s="249"/>
    </row>
    <row r="6124" spans="1:11" s="90" customFormat="1" ht="12.75" customHeight="1" x14ac:dyDescent="0.2">
      <c r="A6124" s="247"/>
      <c r="B6124" s="316"/>
      <c r="C6124" s="247"/>
      <c r="D6124" s="317"/>
      <c r="E6124" s="318"/>
      <c r="F6124" s="247"/>
      <c r="G6124" s="247"/>
      <c r="H6124" s="248"/>
      <c r="I6124" s="248"/>
      <c r="J6124" s="247"/>
      <c r="K6124" s="249"/>
    </row>
    <row r="6125" spans="1:11" s="90" customFormat="1" ht="12.75" customHeight="1" x14ac:dyDescent="0.2">
      <c r="A6125" s="247"/>
      <c r="B6125" s="316"/>
      <c r="C6125" s="247"/>
      <c r="D6125" s="317"/>
      <c r="E6125" s="318"/>
      <c r="F6125" s="247"/>
      <c r="G6125" s="247"/>
      <c r="H6125" s="248"/>
      <c r="I6125" s="248"/>
      <c r="J6125" s="247"/>
      <c r="K6125" s="249"/>
    </row>
    <row r="6126" spans="1:11" s="90" customFormat="1" ht="12.75" customHeight="1" x14ac:dyDescent="0.2">
      <c r="A6126" s="247"/>
      <c r="B6126" s="316"/>
      <c r="C6126" s="247"/>
      <c r="D6126" s="317"/>
      <c r="E6126" s="318"/>
      <c r="F6126" s="247"/>
      <c r="G6126" s="247"/>
      <c r="H6126" s="248"/>
      <c r="I6126" s="248"/>
      <c r="J6126" s="247"/>
      <c r="K6126" s="249"/>
    </row>
    <row r="6127" spans="1:11" s="90" customFormat="1" ht="12.75" customHeight="1" x14ac:dyDescent="0.2">
      <c r="A6127" s="247"/>
      <c r="B6127" s="316"/>
      <c r="C6127" s="247"/>
      <c r="D6127" s="317"/>
      <c r="E6127" s="318"/>
      <c r="F6127" s="247"/>
      <c r="G6127" s="247"/>
      <c r="H6127" s="248"/>
      <c r="I6127" s="248"/>
      <c r="J6127" s="247"/>
      <c r="K6127" s="249"/>
    </row>
    <row r="6128" spans="1:11" s="90" customFormat="1" ht="12.75" customHeight="1" x14ac:dyDescent="0.2">
      <c r="A6128" s="247"/>
      <c r="B6128" s="316"/>
      <c r="C6128" s="247"/>
      <c r="D6128" s="317"/>
      <c r="E6128" s="318"/>
      <c r="F6128" s="247"/>
      <c r="G6128" s="247"/>
      <c r="H6128" s="248"/>
      <c r="I6128" s="248"/>
      <c r="J6128" s="247"/>
      <c r="K6128" s="249"/>
    </row>
    <row r="6129" spans="1:11" s="90" customFormat="1" ht="12.75" customHeight="1" x14ac:dyDescent="0.2">
      <c r="A6129" s="247"/>
      <c r="B6129" s="316"/>
      <c r="C6129" s="247"/>
      <c r="D6129" s="317"/>
      <c r="E6129" s="318"/>
      <c r="F6129" s="247"/>
      <c r="G6129" s="247"/>
      <c r="H6129" s="248"/>
      <c r="I6129" s="248"/>
      <c r="J6129" s="247"/>
      <c r="K6129" s="249"/>
    </row>
    <row r="6130" spans="1:11" s="90" customFormat="1" ht="12.75" customHeight="1" x14ac:dyDescent="0.2">
      <c r="A6130" s="247"/>
      <c r="B6130" s="316"/>
      <c r="C6130" s="247"/>
      <c r="D6130" s="317"/>
      <c r="E6130" s="318"/>
      <c r="F6130" s="247"/>
      <c r="G6130" s="247"/>
      <c r="H6130" s="248"/>
      <c r="I6130" s="248"/>
      <c r="J6130" s="247"/>
      <c r="K6130" s="249"/>
    </row>
    <row r="6131" spans="1:11" s="90" customFormat="1" ht="12.75" customHeight="1" x14ac:dyDescent="0.2">
      <c r="A6131" s="247"/>
      <c r="B6131" s="316"/>
      <c r="C6131" s="247"/>
      <c r="D6131" s="317"/>
      <c r="E6131" s="318"/>
      <c r="F6131" s="247"/>
      <c r="G6131" s="247"/>
      <c r="H6131" s="248"/>
      <c r="I6131" s="248"/>
      <c r="J6131" s="247"/>
      <c r="K6131" s="249"/>
    </row>
    <row r="6132" spans="1:11" s="90" customFormat="1" ht="12.75" customHeight="1" x14ac:dyDescent="0.2">
      <c r="A6132" s="247"/>
      <c r="B6132" s="316"/>
      <c r="C6132" s="247"/>
      <c r="D6132" s="317"/>
      <c r="E6132" s="318"/>
      <c r="F6132" s="247"/>
      <c r="G6132" s="247"/>
      <c r="H6132" s="248"/>
      <c r="I6132" s="248"/>
      <c r="J6132" s="247"/>
      <c r="K6132" s="249"/>
    </row>
    <row r="6133" spans="1:11" s="90" customFormat="1" ht="12.75" customHeight="1" x14ac:dyDescent="0.2">
      <c r="A6133" s="247"/>
      <c r="B6133" s="316"/>
      <c r="C6133" s="247"/>
      <c r="D6133" s="317"/>
      <c r="E6133" s="318"/>
      <c r="F6133" s="247"/>
      <c r="G6133" s="247"/>
      <c r="H6133" s="248"/>
      <c r="I6133" s="248"/>
      <c r="J6133" s="247"/>
      <c r="K6133" s="249"/>
    </row>
    <row r="6134" spans="1:11" s="90" customFormat="1" ht="12.75" customHeight="1" x14ac:dyDescent="0.2">
      <c r="A6134" s="247"/>
      <c r="B6134" s="316"/>
      <c r="C6134" s="247"/>
      <c r="D6134" s="317"/>
      <c r="E6134" s="318"/>
      <c r="F6134" s="247"/>
      <c r="G6134" s="247"/>
      <c r="H6134" s="248"/>
      <c r="I6134" s="248"/>
      <c r="J6134" s="247"/>
      <c r="K6134" s="249"/>
    </row>
    <row r="6135" spans="1:11" s="90" customFormat="1" ht="12.75" customHeight="1" x14ac:dyDescent="0.2">
      <c r="A6135" s="247"/>
      <c r="B6135" s="316"/>
      <c r="C6135" s="247"/>
      <c r="D6135" s="317"/>
      <c r="E6135" s="318"/>
      <c r="F6135" s="247"/>
      <c r="G6135" s="247"/>
      <c r="H6135" s="248"/>
      <c r="I6135" s="248"/>
      <c r="J6135" s="247"/>
      <c r="K6135" s="249"/>
    </row>
    <row r="6136" spans="1:11" s="90" customFormat="1" ht="12.75" customHeight="1" x14ac:dyDescent="0.2">
      <c r="A6136" s="247"/>
      <c r="B6136" s="316"/>
      <c r="C6136" s="247"/>
      <c r="D6136" s="317"/>
      <c r="E6136" s="318"/>
      <c r="F6136" s="247"/>
      <c r="G6136" s="247"/>
      <c r="H6136" s="248"/>
      <c r="I6136" s="248"/>
      <c r="J6136" s="247"/>
      <c r="K6136" s="249"/>
    </row>
    <row r="6137" spans="1:11" s="90" customFormat="1" ht="12.75" customHeight="1" x14ac:dyDescent="0.2">
      <c r="A6137" s="247"/>
      <c r="B6137" s="316"/>
      <c r="C6137" s="247"/>
      <c r="D6137" s="317"/>
      <c r="E6137" s="318"/>
      <c r="F6137" s="247"/>
      <c r="G6137" s="247"/>
      <c r="H6137" s="248"/>
      <c r="I6137" s="248"/>
      <c r="J6137" s="247"/>
      <c r="K6137" s="249"/>
    </row>
    <row r="6138" spans="1:11" s="90" customFormat="1" ht="12.75" customHeight="1" x14ac:dyDescent="0.2">
      <c r="A6138" s="247"/>
      <c r="B6138" s="316"/>
      <c r="C6138" s="247"/>
      <c r="D6138" s="317"/>
      <c r="E6138" s="318"/>
      <c r="F6138" s="247"/>
      <c r="G6138" s="247"/>
      <c r="H6138" s="248"/>
      <c r="I6138" s="248"/>
      <c r="J6138" s="247"/>
      <c r="K6138" s="249"/>
    </row>
    <row r="6139" spans="1:11" s="90" customFormat="1" ht="12.75" customHeight="1" x14ac:dyDescent="0.2">
      <c r="A6139" s="247"/>
      <c r="B6139" s="316"/>
      <c r="C6139" s="247"/>
      <c r="D6139" s="317"/>
      <c r="E6139" s="318"/>
      <c r="F6139" s="247"/>
      <c r="G6139" s="247"/>
      <c r="H6139" s="248"/>
      <c r="I6139" s="248"/>
      <c r="J6139" s="247"/>
      <c r="K6139" s="249"/>
    </row>
    <row r="6140" spans="1:11" s="90" customFormat="1" ht="12.75" customHeight="1" x14ac:dyDescent="0.2">
      <c r="A6140" s="247"/>
      <c r="B6140" s="316"/>
      <c r="C6140" s="247"/>
      <c r="D6140" s="317"/>
      <c r="E6140" s="318"/>
      <c r="F6140" s="247"/>
      <c r="G6140" s="247"/>
      <c r="H6140" s="248"/>
      <c r="I6140" s="248"/>
      <c r="J6140" s="247"/>
      <c r="K6140" s="249"/>
    </row>
    <row r="6141" spans="1:11" s="90" customFormat="1" ht="12.75" customHeight="1" x14ac:dyDescent="0.2">
      <c r="A6141" s="247"/>
      <c r="B6141" s="316"/>
      <c r="C6141" s="247"/>
      <c r="D6141" s="317"/>
      <c r="E6141" s="318"/>
      <c r="F6141" s="247"/>
      <c r="G6141" s="247"/>
      <c r="H6141" s="248"/>
      <c r="I6141" s="248"/>
      <c r="J6141" s="247"/>
      <c r="K6141" s="249"/>
    </row>
    <row r="6142" spans="1:11" s="90" customFormat="1" ht="12.75" customHeight="1" x14ac:dyDescent="0.2">
      <c r="A6142" s="247"/>
      <c r="B6142" s="316"/>
      <c r="C6142" s="247"/>
      <c r="D6142" s="317"/>
      <c r="E6142" s="318"/>
      <c r="F6142" s="247"/>
      <c r="G6142" s="247"/>
      <c r="H6142" s="248"/>
      <c r="I6142" s="248"/>
      <c r="J6142" s="247"/>
      <c r="K6142" s="249"/>
    </row>
    <row r="6143" spans="1:11" s="90" customFormat="1" ht="12.75" customHeight="1" x14ac:dyDescent="0.2">
      <c r="A6143" s="247"/>
      <c r="B6143" s="316"/>
      <c r="C6143" s="247"/>
      <c r="D6143" s="317"/>
      <c r="E6143" s="318"/>
      <c r="F6143" s="247"/>
      <c r="G6143" s="247"/>
      <c r="H6143" s="248"/>
      <c r="I6143" s="248"/>
      <c r="J6143" s="247"/>
      <c r="K6143" s="249"/>
    </row>
    <row r="6144" spans="1:11" s="90" customFormat="1" ht="12.75" customHeight="1" x14ac:dyDescent="0.2">
      <c r="A6144" s="247"/>
      <c r="B6144" s="316"/>
      <c r="C6144" s="247"/>
      <c r="D6144" s="317"/>
      <c r="E6144" s="318"/>
      <c r="F6144" s="247"/>
      <c r="G6144" s="247"/>
      <c r="H6144" s="248"/>
      <c r="I6144" s="248"/>
      <c r="J6144" s="247"/>
      <c r="K6144" s="249"/>
    </row>
    <row r="6145" spans="1:11" s="90" customFormat="1" ht="12.75" customHeight="1" x14ac:dyDescent="0.2">
      <c r="A6145" s="247"/>
      <c r="B6145" s="316"/>
      <c r="C6145" s="247"/>
      <c r="D6145" s="317"/>
      <c r="E6145" s="318"/>
      <c r="F6145" s="247"/>
      <c r="G6145" s="247"/>
      <c r="H6145" s="248"/>
      <c r="I6145" s="248"/>
      <c r="J6145" s="247"/>
      <c r="K6145" s="249"/>
    </row>
    <row r="6146" spans="1:11" s="90" customFormat="1" ht="12.75" customHeight="1" x14ac:dyDescent="0.2">
      <c r="A6146" s="247"/>
      <c r="B6146" s="316"/>
      <c r="C6146" s="247"/>
      <c r="D6146" s="317"/>
      <c r="E6146" s="318"/>
      <c r="F6146" s="247"/>
      <c r="G6146" s="247"/>
      <c r="H6146" s="248"/>
      <c r="I6146" s="248"/>
      <c r="J6146" s="247"/>
      <c r="K6146" s="249"/>
    </row>
    <row r="6147" spans="1:11" s="90" customFormat="1" ht="12.75" customHeight="1" x14ac:dyDescent="0.2">
      <c r="A6147" s="247"/>
      <c r="B6147" s="316"/>
      <c r="C6147" s="247"/>
      <c r="D6147" s="317"/>
      <c r="E6147" s="318"/>
      <c r="F6147" s="247"/>
      <c r="G6147" s="247"/>
      <c r="H6147" s="248"/>
      <c r="I6147" s="248"/>
      <c r="J6147" s="247"/>
      <c r="K6147" s="249"/>
    </row>
    <row r="6148" spans="1:11" s="90" customFormat="1" ht="12.75" customHeight="1" x14ac:dyDescent="0.2">
      <c r="A6148" s="247"/>
      <c r="B6148" s="316"/>
      <c r="C6148" s="247"/>
      <c r="D6148" s="317"/>
      <c r="E6148" s="318"/>
      <c r="F6148" s="247"/>
      <c r="G6148" s="247"/>
      <c r="H6148" s="248"/>
      <c r="I6148" s="248"/>
      <c r="J6148" s="247"/>
      <c r="K6148" s="249"/>
    </row>
    <row r="6149" spans="1:11" s="90" customFormat="1" ht="12.75" customHeight="1" x14ac:dyDescent="0.2">
      <c r="A6149" s="247"/>
      <c r="B6149" s="316"/>
      <c r="C6149" s="247"/>
      <c r="D6149" s="317"/>
      <c r="E6149" s="318"/>
      <c r="F6149" s="247"/>
      <c r="G6149" s="247"/>
      <c r="H6149" s="248"/>
      <c r="I6149" s="248"/>
      <c r="J6149" s="247"/>
      <c r="K6149" s="249"/>
    </row>
    <row r="6150" spans="1:11" s="90" customFormat="1" ht="12.75" customHeight="1" x14ac:dyDescent="0.2">
      <c r="A6150" s="247"/>
      <c r="B6150" s="316"/>
      <c r="C6150" s="247"/>
      <c r="D6150" s="317"/>
      <c r="E6150" s="318"/>
      <c r="F6150" s="247"/>
      <c r="G6150" s="247"/>
      <c r="H6150" s="248"/>
      <c r="I6150" s="248"/>
      <c r="J6150" s="247"/>
      <c r="K6150" s="249"/>
    </row>
    <row r="6151" spans="1:11" s="90" customFormat="1" ht="12.75" customHeight="1" x14ac:dyDescent="0.2">
      <c r="A6151" s="247"/>
      <c r="B6151" s="316"/>
      <c r="C6151" s="247"/>
      <c r="D6151" s="317"/>
      <c r="E6151" s="318"/>
      <c r="F6151" s="247"/>
      <c r="G6151" s="247"/>
      <c r="H6151" s="248"/>
      <c r="I6151" s="248"/>
      <c r="J6151" s="247"/>
      <c r="K6151" s="249"/>
    </row>
    <row r="6152" spans="1:11" s="90" customFormat="1" ht="12.75" customHeight="1" x14ac:dyDescent="0.2">
      <c r="A6152" s="247"/>
      <c r="B6152" s="316"/>
      <c r="C6152" s="247"/>
      <c r="D6152" s="317"/>
      <c r="E6152" s="318"/>
      <c r="F6152" s="247"/>
      <c r="G6152" s="247"/>
      <c r="H6152" s="248"/>
      <c r="I6152" s="248"/>
      <c r="J6152" s="247"/>
      <c r="K6152" s="249"/>
    </row>
    <row r="6153" spans="1:11" s="90" customFormat="1" ht="12.75" customHeight="1" x14ac:dyDescent="0.2">
      <c r="A6153" s="247"/>
      <c r="B6153" s="316"/>
      <c r="C6153" s="247"/>
      <c r="D6153" s="317"/>
      <c r="E6153" s="318"/>
      <c r="F6153" s="247"/>
      <c r="G6153" s="247"/>
      <c r="H6153" s="248"/>
      <c r="I6153" s="248"/>
      <c r="J6153" s="247"/>
      <c r="K6153" s="249"/>
    </row>
    <row r="6154" spans="1:11" s="90" customFormat="1" ht="12.75" customHeight="1" x14ac:dyDescent="0.2">
      <c r="A6154" s="247"/>
      <c r="B6154" s="316"/>
      <c r="C6154" s="247"/>
      <c r="D6154" s="317"/>
      <c r="E6154" s="318"/>
      <c r="F6154" s="247"/>
      <c r="G6154" s="247"/>
      <c r="H6154" s="248"/>
      <c r="I6154" s="248"/>
      <c r="J6154" s="247"/>
      <c r="K6154" s="249"/>
    </row>
    <row r="6155" spans="1:11" s="90" customFormat="1" ht="12.75" customHeight="1" x14ac:dyDescent="0.2">
      <c r="A6155" s="247"/>
      <c r="B6155" s="316"/>
      <c r="C6155" s="247"/>
      <c r="D6155" s="317"/>
      <c r="E6155" s="318"/>
      <c r="F6155" s="247"/>
      <c r="G6155" s="247"/>
      <c r="H6155" s="248"/>
      <c r="I6155" s="248"/>
      <c r="J6155" s="247"/>
      <c r="K6155" s="249"/>
    </row>
    <row r="6156" spans="1:11" s="90" customFormat="1" ht="12.75" customHeight="1" x14ac:dyDescent="0.2">
      <c r="A6156" s="247"/>
      <c r="B6156" s="316"/>
      <c r="C6156" s="247"/>
      <c r="D6156" s="317"/>
      <c r="E6156" s="318"/>
      <c r="F6156" s="247"/>
      <c r="G6156" s="247"/>
      <c r="H6156" s="248"/>
      <c r="I6156" s="248"/>
      <c r="J6156" s="247"/>
      <c r="K6156" s="249"/>
    </row>
    <row r="6157" spans="1:11" s="90" customFormat="1" ht="12.75" customHeight="1" x14ac:dyDescent="0.2">
      <c r="A6157" s="247"/>
      <c r="B6157" s="316"/>
      <c r="C6157" s="247"/>
      <c r="D6157" s="317"/>
      <c r="E6157" s="318"/>
      <c r="F6157" s="247"/>
      <c r="G6157" s="247"/>
      <c r="H6157" s="248"/>
      <c r="I6157" s="248"/>
      <c r="J6157" s="247"/>
      <c r="K6157" s="249"/>
    </row>
    <row r="6158" spans="1:11" s="90" customFormat="1" ht="12.75" customHeight="1" x14ac:dyDescent="0.2">
      <c r="A6158" s="247"/>
      <c r="B6158" s="316"/>
      <c r="C6158" s="247"/>
      <c r="D6158" s="317"/>
      <c r="E6158" s="318"/>
      <c r="F6158" s="247"/>
      <c r="G6158" s="247"/>
      <c r="H6158" s="248"/>
      <c r="I6158" s="248"/>
      <c r="J6158" s="247"/>
      <c r="K6158" s="249"/>
    </row>
    <row r="6159" spans="1:11" s="90" customFormat="1" ht="12.75" customHeight="1" x14ac:dyDescent="0.2">
      <c r="A6159" s="247"/>
      <c r="B6159" s="316"/>
      <c r="C6159" s="247"/>
      <c r="D6159" s="317"/>
      <c r="E6159" s="318"/>
      <c r="F6159" s="247"/>
      <c r="G6159" s="247"/>
      <c r="H6159" s="248"/>
      <c r="I6159" s="248"/>
      <c r="J6159" s="247"/>
      <c r="K6159" s="249"/>
    </row>
    <row r="6160" spans="1:11" s="90" customFormat="1" ht="12.75" customHeight="1" x14ac:dyDescent="0.2">
      <c r="A6160" s="247"/>
      <c r="B6160" s="316"/>
      <c r="C6160" s="247"/>
      <c r="D6160" s="317"/>
      <c r="E6160" s="318"/>
      <c r="F6160" s="247"/>
      <c r="G6160" s="247"/>
      <c r="H6160" s="248"/>
      <c r="I6160" s="248"/>
      <c r="J6160" s="247"/>
      <c r="K6160" s="249"/>
    </row>
    <row r="6161" spans="1:11" s="90" customFormat="1" ht="12.75" customHeight="1" x14ac:dyDescent="0.2">
      <c r="A6161" s="247"/>
      <c r="B6161" s="316"/>
      <c r="C6161" s="247"/>
      <c r="D6161" s="317"/>
      <c r="E6161" s="318"/>
      <c r="F6161" s="247"/>
      <c r="G6161" s="247"/>
      <c r="H6161" s="248"/>
      <c r="I6161" s="248"/>
      <c r="J6161" s="247"/>
      <c r="K6161" s="249"/>
    </row>
    <row r="6162" spans="1:11" s="90" customFormat="1" ht="12.75" customHeight="1" x14ac:dyDescent="0.2">
      <c r="A6162" s="247"/>
      <c r="B6162" s="316"/>
      <c r="C6162" s="247"/>
      <c r="D6162" s="317"/>
      <c r="E6162" s="318"/>
      <c r="F6162" s="247"/>
      <c r="G6162" s="247"/>
      <c r="H6162" s="248"/>
      <c r="I6162" s="248"/>
      <c r="J6162" s="247"/>
      <c r="K6162" s="249"/>
    </row>
    <row r="6163" spans="1:11" s="90" customFormat="1" ht="12.75" customHeight="1" x14ac:dyDescent="0.2">
      <c r="A6163" s="247"/>
      <c r="B6163" s="316"/>
      <c r="C6163" s="247"/>
      <c r="D6163" s="317"/>
      <c r="E6163" s="318"/>
      <c r="F6163" s="247"/>
      <c r="G6163" s="247"/>
      <c r="H6163" s="248"/>
      <c r="I6163" s="248"/>
      <c r="J6163" s="247"/>
      <c r="K6163" s="249"/>
    </row>
    <row r="6164" spans="1:11" s="90" customFormat="1" ht="12.75" customHeight="1" x14ac:dyDescent="0.2">
      <c r="A6164" s="247"/>
      <c r="B6164" s="316"/>
      <c r="C6164" s="247"/>
      <c r="D6164" s="317"/>
      <c r="E6164" s="318"/>
      <c r="F6164" s="247"/>
      <c r="G6164" s="247"/>
      <c r="H6164" s="248"/>
      <c r="I6164" s="248"/>
      <c r="J6164" s="247"/>
      <c r="K6164" s="249"/>
    </row>
    <row r="6165" spans="1:11" s="90" customFormat="1" ht="12.75" customHeight="1" x14ac:dyDescent="0.2">
      <c r="A6165" s="247"/>
      <c r="B6165" s="316"/>
      <c r="C6165" s="247"/>
      <c r="D6165" s="317"/>
      <c r="E6165" s="318"/>
      <c r="F6165" s="247"/>
      <c r="G6165" s="247"/>
      <c r="H6165" s="248"/>
      <c r="I6165" s="248"/>
      <c r="J6165" s="247"/>
      <c r="K6165" s="249"/>
    </row>
    <row r="6166" spans="1:11" s="90" customFormat="1" ht="12.75" customHeight="1" x14ac:dyDescent="0.2">
      <c r="A6166" s="247"/>
      <c r="B6166" s="316"/>
      <c r="C6166" s="247"/>
      <c r="D6166" s="317"/>
      <c r="E6166" s="318"/>
      <c r="F6166" s="247"/>
      <c r="G6166" s="247"/>
      <c r="H6166" s="248"/>
      <c r="I6166" s="248"/>
      <c r="J6166" s="247"/>
      <c r="K6166" s="249"/>
    </row>
    <row r="6167" spans="1:11" s="90" customFormat="1" ht="12.75" customHeight="1" x14ac:dyDescent="0.2">
      <c r="A6167" s="247"/>
      <c r="B6167" s="316"/>
      <c r="C6167" s="247"/>
      <c r="D6167" s="317"/>
      <c r="E6167" s="318"/>
      <c r="F6167" s="247"/>
      <c r="G6167" s="247"/>
      <c r="H6167" s="248"/>
      <c r="I6167" s="248"/>
      <c r="J6167" s="247"/>
      <c r="K6167" s="249"/>
    </row>
    <row r="6168" spans="1:11" s="90" customFormat="1" ht="12.75" customHeight="1" x14ac:dyDescent="0.2">
      <c r="A6168" s="247"/>
      <c r="B6168" s="316"/>
      <c r="C6168" s="247"/>
      <c r="D6168" s="317"/>
      <c r="E6168" s="318"/>
      <c r="F6168" s="247"/>
      <c r="G6168" s="247"/>
      <c r="H6168" s="248"/>
      <c r="I6168" s="248"/>
      <c r="J6168" s="247"/>
      <c r="K6168" s="249"/>
    </row>
    <row r="6169" spans="1:11" s="90" customFormat="1" ht="12.75" customHeight="1" x14ac:dyDescent="0.2">
      <c r="A6169" s="247"/>
      <c r="B6169" s="316"/>
      <c r="C6169" s="247"/>
      <c r="D6169" s="317"/>
      <c r="E6169" s="318"/>
      <c r="F6169" s="247"/>
      <c r="G6169" s="247"/>
      <c r="H6169" s="248"/>
      <c r="I6169" s="248"/>
      <c r="J6169" s="247"/>
      <c r="K6169" s="249"/>
    </row>
    <row r="6170" spans="1:11" s="90" customFormat="1" ht="12.75" customHeight="1" x14ac:dyDescent="0.2">
      <c r="A6170" s="247"/>
      <c r="B6170" s="316"/>
      <c r="C6170" s="247"/>
      <c r="D6170" s="317"/>
      <c r="E6170" s="318"/>
      <c r="F6170" s="247"/>
      <c r="G6170" s="247"/>
      <c r="H6170" s="248"/>
      <c r="I6170" s="248"/>
      <c r="J6170" s="247"/>
      <c r="K6170" s="249"/>
    </row>
    <row r="6171" spans="1:11" s="90" customFormat="1" ht="12.75" customHeight="1" x14ac:dyDescent="0.2">
      <c r="A6171" s="247"/>
      <c r="B6171" s="316"/>
      <c r="C6171" s="247"/>
      <c r="D6171" s="317"/>
      <c r="E6171" s="318"/>
      <c r="F6171" s="247"/>
      <c r="G6171" s="247"/>
      <c r="H6171" s="248"/>
      <c r="I6171" s="248"/>
      <c r="J6171" s="247"/>
      <c r="K6171" s="249"/>
    </row>
    <row r="6172" spans="1:11" s="90" customFormat="1" ht="12.75" customHeight="1" x14ac:dyDescent="0.2">
      <c r="A6172" s="247"/>
      <c r="B6172" s="316"/>
      <c r="C6172" s="247"/>
      <c r="D6172" s="317"/>
      <c r="E6172" s="318"/>
      <c r="F6172" s="247"/>
      <c r="G6172" s="247"/>
      <c r="H6172" s="248"/>
      <c r="I6172" s="248"/>
      <c r="J6172" s="247"/>
      <c r="K6172" s="249"/>
    </row>
    <row r="6173" spans="1:11" s="90" customFormat="1" ht="12.75" customHeight="1" x14ac:dyDescent="0.2">
      <c r="A6173" s="247"/>
      <c r="B6173" s="316"/>
      <c r="C6173" s="247"/>
      <c r="D6173" s="317"/>
      <c r="E6173" s="318"/>
      <c r="F6173" s="247"/>
      <c r="G6173" s="247"/>
      <c r="H6173" s="248"/>
      <c r="I6173" s="248"/>
      <c r="J6173" s="247"/>
      <c r="K6173" s="249"/>
    </row>
    <row r="6174" spans="1:11" s="90" customFormat="1" ht="12.75" customHeight="1" x14ac:dyDescent="0.2">
      <c r="A6174" s="247"/>
      <c r="B6174" s="316"/>
      <c r="C6174" s="247"/>
      <c r="D6174" s="317"/>
      <c r="E6174" s="318"/>
      <c r="F6174" s="247"/>
      <c r="G6174" s="247"/>
      <c r="H6174" s="248"/>
      <c r="I6174" s="248"/>
      <c r="J6174" s="247"/>
      <c r="K6174" s="249"/>
    </row>
    <row r="6175" spans="1:11" s="90" customFormat="1" ht="12.75" customHeight="1" x14ac:dyDescent="0.2">
      <c r="A6175" s="247"/>
      <c r="B6175" s="316"/>
      <c r="C6175" s="247"/>
      <c r="D6175" s="317"/>
      <c r="E6175" s="318"/>
      <c r="F6175" s="247"/>
      <c r="G6175" s="247"/>
      <c r="H6175" s="248"/>
      <c r="I6175" s="248"/>
      <c r="J6175" s="247"/>
      <c r="K6175" s="249"/>
    </row>
    <row r="6176" spans="1:11" s="90" customFormat="1" ht="12.75" customHeight="1" x14ac:dyDescent="0.2">
      <c r="A6176" s="247"/>
      <c r="B6176" s="316"/>
      <c r="C6176" s="247"/>
      <c r="D6176" s="317"/>
      <c r="E6176" s="318"/>
      <c r="F6176" s="247"/>
      <c r="G6176" s="247"/>
      <c r="H6176" s="248"/>
      <c r="I6176" s="248"/>
      <c r="J6176" s="247"/>
      <c r="K6176" s="249"/>
    </row>
    <row r="6177" spans="1:11" s="90" customFormat="1" ht="12.75" customHeight="1" x14ac:dyDescent="0.2">
      <c r="A6177" s="247"/>
      <c r="B6177" s="316"/>
      <c r="C6177" s="247"/>
      <c r="D6177" s="317"/>
      <c r="E6177" s="318"/>
      <c r="F6177" s="247"/>
      <c r="G6177" s="247"/>
      <c r="H6177" s="248"/>
      <c r="I6177" s="248"/>
      <c r="J6177" s="247"/>
      <c r="K6177" s="249"/>
    </row>
    <row r="6178" spans="1:11" s="90" customFormat="1" ht="12.75" customHeight="1" x14ac:dyDescent="0.2">
      <c r="A6178" s="247"/>
      <c r="B6178" s="316"/>
      <c r="C6178" s="247"/>
      <c r="D6178" s="317"/>
      <c r="E6178" s="318"/>
      <c r="F6178" s="247"/>
      <c r="G6178" s="247"/>
      <c r="H6178" s="248"/>
      <c r="I6178" s="248"/>
      <c r="J6178" s="247"/>
      <c r="K6178" s="249"/>
    </row>
    <row r="6179" spans="1:11" s="90" customFormat="1" ht="12.75" customHeight="1" x14ac:dyDescent="0.2">
      <c r="A6179" s="247"/>
      <c r="B6179" s="316"/>
      <c r="C6179" s="247"/>
      <c r="D6179" s="317"/>
      <c r="E6179" s="318"/>
      <c r="F6179" s="247"/>
      <c r="G6179" s="247"/>
      <c r="H6179" s="248"/>
      <c r="I6179" s="248"/>
      <c r="J6179" s="247"/>
      <c r="K6179" s="249"/>
    </row>
    <row r="6180" spans="1:11" s="90" customFormat="1" ht="12.75" customHeight="1" x14ac:dyDescent="0.2">
      <c r="A6180" s="247"/>
      <c r="B6180" s="316"/>
      <c r="C6180" s="247"/>
      <c r="D6180" s="317"/>
      <c r="E6180" s="318"/>
      <c r="F6180" s="247"/>
      <c r="G6180" s="247"/>
      <c r="H6180" s="248"/>
      <c r="I6180" s="248"/>
      <c r="J6180" s="247"/>
      <c r="K6180" s="249"/>
    </row>
    <row r="6181" spans="1:11" s="90" customFormat="1" ht="12.75" customHeight="1" x14ac:dyDescent="0.2">
      <c r="A6181" s="247"/>
      <c r="B6181" s="316"/>
      <c r="C6181" s="247"/>
      <c r="D6181" s="317"/>
      <c r="E6181" s="318"/>
      <c r="F6181" s="247"/>
      <c r="G6181" s="247"/>
      <c r="H6181" s="248"/>
      <c r="I6181" s="248"/>
      <c r="J6181" s="247"/>
      <c r="K6181" s="249"/>
    </row>
    <row r="6182" spans="1:11" s="90" customFormat="1" ht="12.75" customHeight="1" x14ac:dyDescent="0.2">
      <c r="A6182" s="247"/>
      <c r="B6182" s="316"/>
      <c r="C6182" s="247"/>
      <c r="D6182" s="317"/>
      <c r="E6182" s="318"/>
      <c r="F6182" s="247"/>
      <c r="G6182" s="247"/>
      <c r="H6182" s="248"/>
      <c r="I6182" s="248"/>
      <c r="J6182" s="247"/>
      <c r="K6182" s="249"/>
    </row>
    <row r="6183" spans="1:11" s="90" customFormat="1" ht="12.75" customHeight="1" x14ac:dyDescent="0.2">
      <c r="A6183" s="247"/>
      <c r="B6183" s="316"/>
      <c r="C6183" s="247"/>
      <c r="D6183" s="317"/>
      <c r="E6183" s="318"/>
      <c r="F6183" s="247"/>
      <c r="G6183" s="247"/>
      <c r="H6183" s="248"/>
      <c r="I6183" s="248"/>
      <c r="J6183" s="247"/>
      <c r="K6183" s="249"/>
    </row>
    <row r="6184" spans="1:11" s="90" customFormat="1" ht="12.75" customHeight="1" x14ac:dyDescent="0.2">
      <c r="A6184" s="247"/>
      <c r="B6184" s="316"/>
      <c r="C6184" s="247"/>
      <c r="D6184" s="317"/>
      <c r="E6184" s="318"/>
      <c r="F6184" s="247"/>
      <c r="G6184" s="247"/>
      <c r="H6184" s="248"/>
      <c r="I6184" s="248"/>
      <c r="J6184" s="247"/>
      <c r="K6184" s="249"/>
    </row>
    <row r="6185" spans="1:11" s="90" customFormat="1" ht="12.75" customHeight="1" x14ac:dyDescent="0.2">
      <c r="A6185" s="247"/>
      <c r="B6185" s="316"/>
      <c r="C6185" s="247"/>
      <c r="D6185" s="317"/>
      <c r="E6185" s="318"/>
      <c r="F6185" s="247"/>
      <c r="G6185" s="247"/>
      <c r="H6185" s="248"/>
      <c r="I6185" s="248"/>
      <c r="J6185" s="247"/>
      <c r="K6185" s="249"/>
    </row>
    <row r="6186" spans="1:11" s="90" customFormat="1" ht="12.75" customHeight="1" x14ac:dyDescent="0.2">
      <c r="A6186" s="247"/>
      <c r="B6186" s="316"/>
      <c r="C6186" s="247"/>
      <c r="D6186" s="317"/>
      <c r="E6186" s="318"/>
      <c r="F6186" s="247"/>
      <c r="G6186" s="247"/>
      <c r="H6186" s="248"/>
      <c r="I6186" s="248"/>
      <c r="J6186" s="247"/>
      <c r="K6186" s="249"/>
    </row>
    <row r="6187" spans="1:11" s="90" customFormat="1" ht="12.75" customHeight="1" x14ac:dyDescent="0.2">
      <c r="A6187" s="247"/>
      <c r="B6187" s="316"/>
      <c r="C6187" s="247"/>
      <c r="D6187" s="317"/>
      <c r="E6187" s="318"/>
      <c r="F6187" s="247"/>
      <c r="G6187" s="247"/>
      <c r="H6187" s="248"/>
      <c r="I6187" s="248"/>
      <c r="J6187" s="247"/>
      <c r="K6187" s="249"/>
    </row>
    <row r="6188" spans="1:11" s="90" customFormat="1" ht="12.75" customHeight="1" x14ac:dyDescent="0.2">
      <c r="A6188" s="247"/>
      <c r="B6188" s="316"/>
      <c r="C6188" s="247"/>
      <c r="D6188" s="317"/>
      <c r="E6188" s="318"/>
      <c r="F6188" s="247"/>
      <c r="G6188" s="247"/>
      <c r="H6188" s="248"/>
      <c r="I6188" s="248"/>
      <c r="J6188" s="247"/>
      <c r="K6188" s="249"/>
    </row>
    <row r="6189" spans="1:11" s="90" customFormat="1" ht="12.75" customHeight="1" x14ac:dyDescent="0.2">
      <c r="A6189" s="247"/>
      <c r="B6189" s="316"/>
      <c r="C6189" s="247"/>
      <c r="D6189" s="317"/>
      <c r="E6189" s="318"/>
      <c r="F6189" s="247"/>
      <c r="G6189" s="247"/>
      <c r="H6189" s="248"/>
      <c r="I6189" s="248"/>
      <c r="J6189" s="247"/>
      <c r="K6189" s="249"/>
    </row>
    <row r="6190" spans="1:11" s="90" customFormat="1" ht="12.75" customHeight="1" x14ac:dyDescent="0.2">
      <c r="A6190" s="247"/>
      <c r="B6190" s="316"/>
      <c r="C6190" s="247"/>
      <c r="D6190" s="317"/>
      <c r="E6190" s="318"/>
      <c r="F6190" s="247"/>
      <c r="G6190" s="247"/>
      <c r="H6190" s="248"/>
      <c r="I6190" s="248"/>
      <c r="J6190" s="247"/>
      <c r="K6190" s="249"/>
    </row>
    <row r="6191" spans="1:11" s="90" customFormat="1" ht="12.75" customHeight="1" x14ac:dyDescent="0.2">
      <c r="A6191" s="247"/>
      <c r="B6191" s="316"/>
      <c r="C6191" s="247"/>
      <c r="D6191" s="317"/>
      <c r="E6191" s="318"/>
      <c r="F6191" s="247"/>
      <c r="G6191" s="247"/>
      <c r="H6191" s="248"/>
      <c r="I6191" s="248"/>
      <c r="J6191" s="247"/>
      <c r="K6191" s="249"/>
    </row>
    <row r="6192" spans="1:11" s="90" customFormat="1" ht="12.75" customHeight="1" x14ac:dyDescent="0.2">
      <c r="A6192" s="247"/>
      <c r="B6192" s="316"/>
      <c r="C6192" s="247"/>
      <c r="D6192" s="317"/>
      <c r="E6192" s="318"/>
      <c r="F6192" s="247"/>
      <c r="G6192" s="247"/>
      <c r="H6192" s="248"/>
      <c r="I6192" s="248"/>
      <c r="J6192" s="247"/>
      <c r="K6192" s="249"/>
    </row>
    <row r="6193" spans="1:11" s="90" customFormat="1" ht="12.75" customHeight="1" x14ac:dyDescent="0.2">
      <c r="A6193" s="247"/>
      <c r="B6193" s="316"/>
      <c r="C6193" s="247"/>
      <c r="D6193" s="317"/>
      <c r="E6193" s="318"/>
      <c r="F6193" s="247"/>
      <c r="G6193" s="247"/>
      <c r="H6193" s="248"/>
      <c r="I6193" s="248"/>
      <c r="J6193" s="247"/>
      <c r="K6193" s="249"/>
    </row>
    <row r="6194" spans="1:11" s="90" customFormat="1" ht="12.75" customHeight="1" x14ac:dyDescent="0.2">
      <c r="A6194" s="247"/>
      <c r="B6194" s="316"/>
      <c r="C6194" s="247"/>
      <c r="D6194" s="317"/>
      <c r="E6194" s="318"/>
      <c r="F6194" s="247"/>
      <c r="G6194" s="247"/>
      <c r="H6194" s="248"/>
      <c r="I6194" s="248"/>
      <c r="J6194" s="247"/>
      <c r="K6194" s="249"/>
    </row>
    <row r="6195" spans="1:11" s="90" customFormat="1" ht="12.75" customHeight="1" x14ac:dyDescent="0.2">
      <c r="A6195" s="247"/>
      <c r="B6195" s="316"/>
      <c r="C6195" s="247"/>
      <c r="D6195" s="317"/>
      <c r="E6195" s="318"/>
      <c r="F6195" s="247"/>
      <c r="G6195" s="247"/>
      <c r="H6195" s="248"/>
      <c r="I6195" s="248"/>
      <c r="J6195" s="247"/>
      <c r="K6195" s="249"/>
    </row>
    <row r="6196" spans="1:11" s="90" customFormat="1" ht="12.75" customHeight="1" x14ac:dyDescent="0.2">
      <c r="A6196" s="247"/>
      <c r="B6196" s="316"/>
      <c r="C6196" s="247"/>
      <c r="D6196" s="317"/>
      <c r="E6196" s="318"/>
      <c r="F6196" s="247"/>
      <c r="G6196" s="247"/>
      <c r="H6196" s="248"/>
      <c r="I6196" s="248"/>
      <c r="J6196" s="247"/>
      <c r="K6196" s="249"/>
    </row>
    <row r="6197" spans="1:11" s="90" customFormat="1" ht="12.75" customHeight="1" x14ac:dyDescent="0.2">
      <c r="A6197" s="247"/>
      <c r="B6197" s="316"/>
      <c r="C6197" s="247"/>
      <c r="D6197" s="317"/>
      <c r="E6197" s="318"/>
      <c r="F6197" s="247"/>
      <c r="G6197" s="247"/>
      <c r="H6197" s="248"/>
      <c r="I6197" s="248"/>
      <c r="J6197" s="247"/>
      <c r="K6197" s="249"/>
    </row>
    <row r="6198" spans="1:11" s="90" customFormat="1" ht="12.75" customHeight="1" x14ac:dyDescent="0.2">
      <c r="A6198" s="247"/>
      <c r="B6198" s="316"/>
      <c r="C6198" s="247"/>
      <c r="D6198" s="317"/>
      <c r="E6198" s="318"/>
      <c r="F6198" s="247"/>
      <c r="G6198" s="247"/>
      <c r="H6198" s="248"/>
      <c r="I6198" s="248"/>
      <c r="J6198" s="247"/>
      <c r="K6198" s="249"/>
    </row>
    <row r="6199" spans="1:11" s="90" customFormat="1" ht="12.75" customHeight="1" x14ac:dyDescent="0.2">
      <c r="A6199" s="247"/>
      <c r="B6199" s="316"/>
      <c r="C6199" s="247"/>
      <c r="D6199" s="317"/>
      <c r="E6199" s="318"/>
      <c r="F6199" s="247"/>
      <c r="G6199" s="247"/>
      <c r="H6199" s="248"/>
      <c r="I6199" s="248"/>
      <c r="J6199" s="247"/>
      <c r="K6199" s="249"/>
    </row>
    <row r="6200" spans="1:11" s="90" customFormat="1" ht="12.75" customHeight="1" x14ac:dyDescent="0.2">
      <c r="A6200" s="247"/>
      <c r="B6200" s="316"/>
      <c r="C6200" s="247"/>
      <c r="D6200" s="317"/>
      <c r="E6200" s="318"/>
      <c r="F6200" s="247"/>
      <c r="G6200" s="247"/>
      <c r="H6200" s="248"/>
      <c r="I6200" s="248"/>
      <c r="J6200" s="247"/>
      <c r="K6200" s="249"/>
    </row>
    <row r="6201" spans="1:11" s="90" customFormat="1" ht="12.75" customHeight="1" x14ac:dyDescent="0.2">
      <c r="A6201" s="247"/>
      <c r="B6201" s="316"/>
      <c r="C6201" s="247"/>
      <c r="D6201" s="317"/>
      <c r="E6201" s="318"/>
      <c r="F6201" s="247"/>
      <c r="G6201" s="247"/>
      <c r="H6201" s="248"/>
      <c r="I6201" s="248"/>
      <c r="J6201" s="247"/>
      <c r="K6201" s="249"/>
    </row>
    <row r="6202" spans="1:11" s="90" customFormat="1" ht="12.75" customHeight="1" x14ac:dyDescent="0.2">
      <c r="A6202" s="247"/>
      <c r="B6202" s="316"/>
      <c r="C6202" s="247"/>
      <c r="D6202" s="317"/>
      <c r="E6202" s="318"/>
      <c r="F6202" s="247"/>
      <c r="G6202" s="247"/>
      <c r="H6202" s="248"/>
      <c r="I6202" s="248"/>
      <c r="J6202" s="247"/>
      <c r="K6202" s="249"/>
    </row>
    <row r="6203" spans="1:11" s="90" customFormat="1" ht="12.75" customHeight="1" x14ac:dyDescent="0.2">
      <c r="A6203" s="247"/>
      <c r="B6203" s="316"/>
      <c r="C6203" s="247"/>
      <c r="D6203" s="317"/>
      <c r="E6203" s="318"/>
      <c r="F6203" s="247"/>
      <c r="G6203" s="247"/>
      <c r="H6203" s="248"/>
      <c r="I6203" s="248"/>
      <c r="J6203" s="247"/>
      <c r="K6203" s="249"/>
    </row>
    <row r="6204" spans="1:11" s="90" customFormat="1" ht="12.75" customHeight="1" x14ac:dyDescent="0.2">
      <c r="A6204" s="247"/>
      <c r="B6204" s="316"/>
      <c r="C6204" s="247"/>
      <c r="D6204" s="317"/>
      <c r="E6204" s="318"/>
      <c r="F6204" s="247"/>
      <c r="G6204" s="247"/>
      <c r="H6204" s="248"/>
      <c r="I6204" s="248"/>
      <c r="J6204" s="247"/>
      <c r="K6204" s="249"/>
    </row>
    <row r="6205" spans="1:11" s="90" customFormat="1" ht="12.75" customHeight="1" x14ac:dyDescent="0.2">
      <c r="A6205" s="247"/>
      <c r="B6205" s="316"/>
      <c r="C6205" s="247"/>
      <c r="D6205" s="317"/>
      <c r="E6205" s="318"/>
      <c r="F6205" s="247"/>
      <c r="G6205" s="247"/>
      <c r="H6205" s="248"/>
      <c r="I6205" s="248"/>
      <c r="J6205" s="247"/>
      <c r="K6205" s="249"/>
    </row>
    <row r="6206" spans="1:11" s="90" customFormat="1" ht="12.75" customHeight="1" x14ac:dyDescent="0.2">
      <c r="A6206" s="247"/>
      <c r="B6206" s="316"/>
      <c r="C6206" s="247"/>
      <c r="D6206" s="317"/>
      <c r="E6206" s="318"/>
      <c r="F6206" s="247"/>
      <c r="G6206" s="247"/>
      <c r="H6206" s="248"/>
      <c r="I6206" s="248"/>
      <c r="J6206" s="247"/>
      <c r="K6206" s="249"/>
    </row>
    <row r="6207" spans="1:11" s="90" customFormat="1" ht="12.75" customHeight="1" x14ac:dyDescent="0.2">
      <c r="A6207" s="247"/>
      <c r="B6207" s="316"/>
      <c r="C6207" s="247"/>
      <c r="D6207" s="317"/>
      <c r="E6207" s="318"/>
      <c r="F6207" s="247"/>
      <c r="G6207" s="247"/>
      <c r="H6207" s="248"/>
      <c r="I6207" s="248"/>
      <c r="J6207" s="247"/>
      <c r="K6207" s="249"/>
    </row>
    <row r="6208" spans="1:11" s="90" customFormat="1" ht="12.75" customHeight="1" x14ac:dyDescent="0.2">
      <c r="A6208" s="247"/>
      <c r="B6208" s="316"/>
      <c r="C6208" s="247"/>
      <c r="D6208" s="317"/>
      <c r="E6208" s="318"/>
      <c r="F6208" s="247"/>
      <c r="G6208" s="247"/>
      <c r="H6208" s="248"/>
      <c r="I6208" s="248"/>
      <c r="J6208" s="247"/>
      <c r="K6208" s="249"/>
    </row>
    <row r="6209" spans="1:11" s="90" customFormat="1" ht="12.75" customHeight="1" x14ac:dyDescent="0.2">
      <c r="A6209" s="247"/>
      <c r="B6209" s="316"/>
      <c r="C6209" s="247"/>
      <c r="D6209" s="317"/>
      <c r="E6209" s="318"/>
      <c r="F6209" s="247"/>
      <c r="G6209" s="247"/>
      <c r="H6209" s="248"/>
      <c r="I6209" s="248"/>
      <c r="J6209" s="247"/>
      <c r="K6209" s="249"/>
    </row>
    <row r="6210" spans="1:11" s="90" customFormat="1" ht="12.75" customHeight="1" x14ac:dyDescent="0.2">
      <c r="A6210" s="247"/>
      <c r="B6210" s="316"/>
      <c r="C6210" s="247"/>
      <c r="D6210" s="317"/>
      <c r="E6210" s="318"/>
      <c r="F6210" s="247"/>
      <c r="G6210" s="247"/>
      <c r="H6210" s="248"/>
      <c r="I6210" s="248"/>
      <c r="J6210" s="247"/>
      <c r="K6210" s="249"/>
    </row>
    <row r="6211" spans="1:11" s="90" customFormat="1" ht="12.75" customHeight="1" x14ac:dyDescent="0.2">
      <c r="A6211" s="247"/>
      <c r="B6211" s="316"/>
      <c r="C6211" s="247"/>
      <c r="D6211" s="317"/>
      <c r="E6211" s="318"/>
      <c r="F6211" s="247"/>
      <c r="G6211" s="247"/>
      <c r="H6211" s="248"/>
      <c r="I6211" s="248"/>
      <c r="J6211" s="247"/>
      <c r="K6211" s="249"/>
    </row>
    <row r="6212" spans="1:11" s="90" customFormat="1" ht="12.75" customHeight="1" x14ac:dyDescent="0.2">
      <c r="A6212" s="247"/>
      <c r="B6212" s="316"/>
      <c r="C6212" s="247"/>
      <c r="D6212" s="317"/>
      <c r="E6212" s="318"/>
      <c r="F6212" s="247"/>
      <c r="G6212" s="247"/>
      <c r="H6212" s="248"/>
      <c r="I6212" s="248"/>
      <c r="J6212" s="247"/>
      <c r="K6212" s="249"/>
    </row>
    <row r="6213" spans="1:11" s="90" customFormat="1" ht="12.75" customHeight="1" x14ac:dyDescent="0.2">
      <c r="A6213" s="247"/>
      <c r="B6213" s="316"/>
      <c r="C6213" s="247"/>
      <c r="D6213" s="317"/>
      <c r="E6213" s="318"/>
      <c r="F6213" s="247"/>
      <c r="G6213" s="247"/>
      <c r="H6213" s="248"/>
      <c r="I6213" s="248"/>
      <c r="J6213" s="247"/>
      <c r="K6213" s="249"/>
    </row>
    <row r="6214" spans="1:11" s="90" customFormat="1" ht="12.75" customHeight="1" x14ac:dyDescent="0.2">
      <c r="A6214" s="247"/>
      <c r="B6214" s="316"/>
      <c r="C6214" s="247"/>
      <c r="D6214" s="317"/>
      <c r="E6214" s="318"/>
      <c r="F6214" s="247"/>
      <c r="G6214" s="247"/>
      <c r="H6214" s="248"/>
      <c r="I6214" s="248"/>
      <c r="J6214" s="247"/>
      <c r="K6214" s="249"/>
    </row>
    <row r="6215" spans="1:11" s="90" customFormat="1" ht="12.75" customHeight="1" x14ac:dyDescent="0.2">
      <c r="A6215" s="247"/>
      <c r="B6215" s="316"/>
      <c r="C6215" s="247"/>
      <c r="D6215" s="317"/>
      <c r="E6215" s="318"/>
      <c r="F6215" s="247"/>
      <c r="G6215" s="247"/>
      <c r="H6215" s="248"/>
      <c r="I6215" s="248"/>
      <c r="J6215" s="247"/>
      <c r="K6215" s="249"/>
    </row>
    <row r="6216" spans="1:11" s="90" customFormat="1" ht="12.75" customHeight="1" x14ac:dyDescent="0.2">
      <c r="A6216" s="247"/>
      <c r="B6216" s="316"/>
      <c r="C6216" s="247"/>
      <c r="D6216" s="317"/>
      <c r="E6216" s="318"/>
      <c r="F6216" s="247"/>
      <c r="G6216" s="247"/>
      <c r="H6216" s="248"/>
      <c r="I6216" s="248"/>
      <c r="J6216" s="247"/>
      <c r="K6216" s="249"/>
    </row>
    <row r="6217" spans="1:11" s="90" customFormat="1" ht="12.75" customHeight="1" x14ac:dyDescent="0.2">
      <c r="A6217" s="247"/>
      <c r="B6217" s="316"/>
      <c r="C6217" s="247"/>
      <c r="D6217" s="317"/>
      <c r="E6217" s="318"/>
      <c r="F6217" s="247"/>
      <c r="G6217" s="247"/>
      <c r="H6217" s="248"/>
      <c r="I6217" s="248"/>
      <c r="J6217" s="247"/>
      <c r="K6217" s="249"/>
    </row>
    <row r="6218" spans="1:11" s="90" customFormat="1" ht="12.75" customHeight="1" x14ac:dyDescent="0.2">
      <c r="A6218" s="247"/>
      <c r="B6218" s="316"/>
      <c r="C6218" s="247"/>
      <c r="D6218" s="317"/>
      <c r="E6218" s="318"/>
      <c r="F6218" s="247"/>
      <c r="G6218" s="247"/>
      <c r="H6218" s="248"/>
      <c r="I6218" s="248"/>
      <c r="J6218" s="247"/>
      <c r="K6218" s="249"/>
    </row>
    <row r="6219" spans="1:11" s="90" customFormat="1" ht="12.75" customHeight="1" x14ac:dyDescent="0.2">
      <c r="A6219" s="247"/>
      <c r="B6219" s="316"/>
      <c r="C6219" s="247"/>
      <c r="D6219" s="317"/>
      <c r="E6219" s="318"/>
      <c r="F6219" s="247"/>
      <c r="G6219" s="247"/>
      <c r="H6219" s="248"/>
      <c r="I6219" s="248"/>
      <c r="J6219" s="247"/>
      <c r="K6219" s="249"/>
    </row>
    <row r="6220" spans="1:11" s="90" customFormat="1" ht="12.75" customHeight="1" x14ac:dyDescent="0.2">
      <c r="A6220" s="247"/>
      <c r="B6220" s="316"/>
      <c r="C6220" s="247"/>
      <c r="D6220" s="317"/>
      <c r="E6220" s="318"/>
      <c r="F6220" s="247"/>
      <c r="G6220" s="247"/>
      <c r="H6220" s="248"/>
      <c r="I6220" s="248"/>
      <c r="J6220" s="247"/>
      <c r="K6220" s="249"/>
    </row>
    <row r="6221" spans="1:11" s="90" customFormat="1" ht="12.75" customHeight="1" x14ac:dyDescent="0.2">
      <c r="A6221" s="247"/>
      <c r="B6221" s="316"/>
      <c r="C6221" s="247"/>
      <c r="D6221" s="317"/>
      <c r="E6221" s="318"/>
      <c r="F6221" s="247"/>
      <c r="G6221" s="247"/>
      <c r="H6221" s="248"/>
      <c r="I6221" s="248"/>
      <c r="J6221" s="247"/>
      <c r="K6221" s="249"/>
    </row>
    <row r="6222" spans="1:11" s="90" customFormat="1" ht="12.75" customHeight="1" x14ac:dyDescent="0.2">
      <c r="A6222" s="247"/>
      <c r="B6222" s="316"/>
      <c r="C6222" s="247"/>
      <c r="D6222" s="317"/>
      <c r="E6222" s="318"/>
      <c r="F6222" s="247"/>
      <c r="G6222" s="247"/>
      <c r="H6222" s="248"/>
      <c r="I6222" s="248"/>
      <c r="J6222" s="247"/>
      <c r="K6222" s="249"/>
    </row>
    <row r="6223" spans="1:11" s="90" customFormat="1" ht="12.75" customHeight="1" x14ac:dyDescent="0.2">
      <c r="A6223" s="247"/>
      <c r="B6223" s="316"/>
      <c r="C6223" s="247"/>
      <c r="D6223" s="317"/>
      <c r="E6223" s="318"/>
      <c r="F6223" s="247"/>
      <c r="G6223" s="247"/>
      <c r="H6223" s="248"/>
      <c r="I6223" s="248"/>
      <c r="J6223" s="247"/>
      <c r="K6223" s="249"/>
    </row>
    <row r="6224" spans="1:11" s="90" customFormat="1" ht="12.75" customHeight="1" x14ac:dyDescent="0.2">
      <c r="A6224" s="247"/>
      <c r="B6224" s="316"/>
      <c r="C6224" s="247"/>
      <c r="D6224" s="317"/>
      <c r="E6224" s="318"/>
      <c r="F6224" s="247"/>
      <c r="G6224" s="247"/>
      <c r="H6224" s="248"/>
      <c r="I6224" s="248"/>
      <c r="J6224" s="247"/>
      <c r="K6224" s="249"/>
    </row>
    <row r="6225" spans="1:11" s="90" customFormat="1" ht="12.75" customHeight="1" x14ac:dyDescent="0.2">
      <c r="A6225" s="247"/>
      <c r="B6225" s="316"/>
      <c r="C6225" s="247"/>
      <c r="D6225" s="317"/>
      <c r="E6225" s="318"/>
      <c r="F6225" s="247"/>
      <c r="G6225" s="247"/>
      <c r="H6225" s="248"/>
      <c r="I6225" s="248"/>
      <c r="J6225" s="247"/>
      <c r="K6225" s="249"/>
    </row>
    <row r="6226" spans="1:11" s="90" customFormat="1" ht="12.75" customHeight="1" x14ac:dyDescent="0.2">
      <c r="A6226" s="247"/>
      <c r="B6226" s="316"/>
      <c r="C6226" s="247"/>
      <c r="D6226" s="317"/>
      <c r="E6226" s="318"/>
      <c r="F6226" s="247"/>
      <c r="G6226" s="247"/>
      <c r="H6226" s="248"/>
      <c r="I6226" s="248"/>
      <c r="J6226" s="247"/>
      <c r="K6226" s="249"/>
    </row>
    <row r="6227" spans="1:11" s="90" customFormat="1" ht="12.75" customHeight="1" x14ac:dyDescent="0.2">
      <c r="A6227" s="247"/>
      <c r="B6227" s="316"/>
      <c r="C6227" s="247"/>
      <c r="D6227" s="317"/>
      <c r="E6227" s="318"/>
      <c r="F6227" s="247"/>
      <c r="G6227" s="247"/>
      <c r="H6227" s="248"/>
      <c r="I6227" s="248"/>
      <c r="J6227" s="247"/>
      <c r="K6227" s="249"/>
    </row>
    <row r="6228" spans="1:11" s="90" customFormat="1" ht="12.75" customHeight="1" x14ac:dyDescent="0.2">
      <c r="A6228" s="247"/>
      <c r="B6228" s="316"/>
      <c r="C6228" s="247"/>
      <c r="D6228" s="317"/>
      <c r="E6228" s="318"/>
      <c r="F6228" s="247"/>
      <c r="G6228" s="247"/>
      <c r="H6228" s="248"/>
      <c r="I6228" s="248"/>
      <c r="J6228" s="247"/>
      <c r="K6228" s="249"/>
    </row>
    <row r="6229" spans="1:11" s="90" customFormat="1" ht="12.75" customHeight="1" x14ac:dyDescent="0.2">
      <c r="A6229" s="247"/>
      <c r="B6229" s="316"/>
      <c r="C6229" s="247"/>
      <c r="D6229" s="317"/>
      <c r="E6229" s="318"/>
      <c r="F6229" s="247"/>
      <c r="G6229" s="247"/>
      <c r="H6229" s="248"/>
      <c r="I6229" s="248"/>
      <c r="J6229" s="247"/>
      <c r="K6229" s="249"/>
    </row>
    <row r="6230" spans="1:11" s="90" customFormat="1" ht="12.75" customHeight="1" x14ac:dyDescent="0.2">
      <c r="A6230" s="247"/>
      <c r="B6230" s="316"/>
      <c r="C6230" s="247"/>
      <c r="D6230" s="317"/>
      <c r="E6230" s="318"/>
      <c r="F6230" s="247"/>
      <c r="G6230" s="247"/>
      <c r="H6230" s="248"/>
      <c r="I6230" s="248"/>
      <c r="J6230" s="247"/>
      <c r="K6230" s="249"/>
    </row>
    <row r="6231" spans="1:11" s="90" customFormat="1" ht="12.75" customHeight="1" x14ac:dyDescent="0.2">
      <c r="A6231" s="247"/>
      <c r="B6231" s="316"/>
      <c r="C6231" s="247"/>
      <c r="D6231" s="317"/>
      <c r="E6231" s="318"/>
      <c r="F6231" s="247"/>
      <c r="G6231" s="247"/>
      <c r="H6231" s="248"/>
      <c r="I6231" s="248"/>
      <c r="J6231" s="247"/>
      <c r="K6231" s="249"/>
    </row>
    <row r="6232" spans="1:11" s="90" customFormat="1" ht="12.75" customHeight="1" x14ac:dyDescent="0.2">
      <c r="A6232" s="247"/>
      <c r="B6232" s="316"/>
      <c r="C6232" s="247"/>
      <c r="D6232" s="317"/>
      <c r="E6232" s="318"/>
      <c r="F6232" s="247"/>
      <c r="G6232" s="247"/>
      <c r="H6232" s="248"/>
      <c r="I6232" s="248"/>
      <c r="J6232" s="247"/>
      <c r="K6232" s="249"/>
    </row>
    <row r="6233" spans="1:11" s="90" customFormat="1" ht="12.75" customHeight="1" x14ac:dyDescent="0.2">
      <c r="A6233" s="247"/>
      <c r="B6233" s="316"/>
      <c r="C6233" s="247"/>
      <c r="D6233" s="317"/>
      <c r="E6233" s="318"/>
      <c r="F6233" s="247"/>
      <c r="G6233" s="247"/>
      <c r="H6233" s="248"/>
      <c r="I6233" s="248"/>
      <c r="J6233" s="247"/>
      <c r="K6233" s="249"/>
    </row>
    <row r="6234" spans="1:11" s="90" customFormat="1" ht="12.75" customHeight="1" x14ac:dyDescent="0.2">
      <c r="A6234" s="247"/>
      <c r="B6234" s="316"/>
      <c r="C6234" s="247"/>
      <c r="D6234" s="317"/>
      <c r="E6234" s="318"/>
      <c r="F6234" s="247"/>
      <c r="G6234" s="247"/>
      <c r="H6234" s="248"/>
      <c r="I6234" s="248"/>
      <c r="J6234" s="247"/>
      <c r="K6234" s="249"/>
    </row>
    <row r="6235" spans="1:11" s="90" customFormat="1" ht="12.75" customHeight="1" x14ac:dyDescent="0.2">
      <c r="A6235" s="247"/>
      <c r="B6235" s="316"/>
      <c r="C6235" s="247"/>
      <c r="D6235" s="317"/>
      <c r="E6235" s="318"/>
      <c r="F6235" s="247"/>
      <c r="G6235" s="247"/>
      <c r="H6235" s="248"/>
      <c r="I6235" s="248"/>
      <c r="J6235" s="247"/>
      <c r="K6235" s="249"/>
    </row>
    <row r="6236" spans="1:11" s="90" customFormat="1" ht="12.75" customHeight="1" x14ac:dyDescent="0.2">
      <c r="A6236" s="247"/>
      <c r="B6236" s="316"/>
      <c r="C6236" s="247"/>
      <c r="D6236" s="317"/>
      <c r="E6236" s="318"/>
      <c r="F6236" s="247"/>
      <c r="G6236" s="247"/>
      <c r="H6236" s="248"/>
      <c r="I6236" s="248"/>
      <c r="J6236" s="247"/>
      <c r="K6236" s="249"/>
    </row>
    <row r="6237" spans="1:11" s="90" customFormat="1" ht="12.75" customHeight="1" x14ac:dyDescent="0.2">
      <c r="A6237" s="247"/>
      <c r="B6237" s="316"/>
      <c r="C6237" s="247"/>
      <c r="D6237" s="317"/>
      <c r="E6237" s="318"/>
      <c r="F6237" s="247"/>
      <c r="G6237" s="247"/>
      <c r="H6237" s="248"/>
      <c r="I6237" s="248"/>
      <c r="J6237" s="247"/>
      <c r="K6237" s="249"/>
    </row>
    <row r="6238" spans="1:11" s="90" customFormat="1" ht="12.75" customHeight="1" x14ac:dyDescent="0.2">
      <c r="A6238" s="247"/>
      <c r="B6238" s="316"/>
      <c r="C6238" s="247"/>
      <c r="D6238" s="317"/>
      <c r="E6238" s="318"/>
      <c r="F6238" s="247"/>
      <c r="G6238" s="247"/>
      <c r="H6238" s="248"/>
      <c r="I6238" s="248"/>
      <c r="J6238" s="247"/>
      <c r="K6238" s="249"/>
    </row>
    <row r="6239" spans="1:11" s="90" customFormat="1" ht="12.75" customHeight="1" x14ac:dyDescent="0.2">
      <c r="A6239" s="247"/>
      <c r="B6239" s="316"/>
      <c r="C6239" s="247"/>
      <c r="D6239" s="317"/>
      <c r="E6239" s="318"/>
      <c r="F6239" s="247"/>
      <c r="G6239" s="247"/>
      <c r="H6239" s="248"/>
      <c r="I6239" s="248"/>
      <c r="J6239" s="247"/>
      <c r="K6239" s="249"/>
    </row>
    <row r="6240" spans="1:11" s="90" customFormat="1" ht="12.75" customHeight="1" x14ac:dyDescent="0.2">
      <c r="A6240" s="247"/>
      <c r="B6240" s="316"/>
      <c r="C6240" s="247"/>
      <c r="D6240" s="317"/>
      <c r="E6240" s="318"/>
      <c r="F6240" s="247"/>
      <c r="G6240" s="247"/>
      <c r="H6240" s="248"/>
      <c r="I6240" s="248"/>
      <c r="J6240" s="247"/>
      <c r="K6240" s="249"/>
    </row>
    <row r="6241" spans="1:11" s="90" customFormat="1" ht="12.75" customHeight="1" x14ac:dyDescent="0.2">
      <c r="A6241" s="247"/>
      <c r="B6241" s="316"/>
      <c r="C6241" s="247"/>
      <c r="D6241" s="317"/>
      <c r="E6241" s="318"/>
      <c r="F6241" s="247"/>
      <c r="G6241" s="247"/>
      <c r="H6241" s="248"/>
      <c r="I6241" s="248"/>
      <c r="J6241" s="247"/>
      <c r="K6241" s="249"/>
    </row>
    <row r="6242" spans="1:11" s="90" customFormat="1" ht="12.75" customHeight="1" x14ac:dyDescent="0.2">
      <c r="A6242" s="247"/>
      <c r="B6242" s="316"/>
      <c r="C6242" s="247"/>
      <c r="D6242" s="317"/>
      <c r="E6242" s="318"/>
      <c r="F6242" s="247"/>
      <c r="G6242" s="247"/>
      <c r="H6242" s="248"/>
      <c r="I6242" s="248"/>
      <c r="J6242" s="247"/>
      <c r="K6242" s="249"/>
    </row>
    <row r="6243" spans="1:11" s="90" customFormat="1" ht="12.75" customHeight="1" x14ac:dyDescent="0.2">
      <c r="A6243" s="247"/>
      <c r="B6243" s="316"/>
      <c r="C6243" s="247"/>
      <c r="D6243" s="317"/>
      <c r="E6243" s="318"/>
      <c r="F6243" s="247"/>
      <c r="G6243" s="247"/>
      <c r="H6243" s="248"/>
      <c r="I6243" s="248"/>
      <c r="J6243" s="247"/>
      <c r="K6243" s="249"/>
    </row>
    <row r="6244" spans="1:11" s="90" customFormat="1" ht="12.75" customHeight="1" x14ac:dyDescent="0.2">
      <c r="A6244" s="247"/>
      <c r="B6244" s="316"/>
      <c r="C6244" s="247"/>
      <c r="D6244" s="317"/>
      <c r="E6244" s="318"/>
      <c r="F6244" s="247"/>
      <c r="G6244" s="247"/>
      <c r="H6244" s="248"/>
      <c r="I6244" s="248"/>
      <c r="J6244" s="247"/>
      <c r="K6244" s="249"/>
    </row>
    <row r="6245" spans="1:11" s="90" customFormat="1" ht="12.75" customHeight="1" x14ac:dyDescent="0.2">
      <c r="A6245" s="247"/>
      <c r="B6245" s="316"/>
      <c r="C6245" s="247"/>
      <c r="D6245" s="317"/>
      <c r="E6245" s="318"/>
      <c r="F6245" s="247"/>
      <c r="G6245" s="247"/>
      <c r="H6245" s="248"/>
      <c r="I6245" s="248"/>
      <c r="J6245" s="247"/>
      <c r="K6245" s="249"/>
    </row>
    <row r="6246" spans="1:11" s="90" customFormat="1" ht="12.75" customHeight="1" x14ac:dyDescent="0.2">
      <c r="A6246" s="247"/>
      <c r="B6246" s="316"/>
      <c r="C6246" s="247"/>
      <c r="D6246" s="317"/>
      <c r="E6246" s="318"/>
      <c r="F6246" s="247"/>
      <c r="G6246" s="247"/>
      <c r="H6246" s="248"/>
      <c r="I6246" s="248"/>
      <c r="J6246" s="247"/>
      <c r="K6246" s="249"/>
    </row>
    <row r="6247" spans="1:11" s="90" customFormat="1" ht="12.75" customHeight="1" x14ac:dyDescent="0.2">
      <c r="A6247" s="247"/>
      <c r="B6247" s="316"/>
      <c r="C6247" s="247"/>
      <c r="D6247" s="317"/>
      <c r="E6247" s="318"/>
      <c r="F6247" s="247"/>
      <c r="G6247" s="247"/>
      <c r="H6247" s="248"/>
      <c r="I6247" s="248"/>
      <c r="J6247" s="247"/>
      <c r="K6247" s="249"/>
    </row>
    <row r="6248" spans="1:11" s="90" customFormat="1" ht="12.75" customHeight="1" x14ac:dyDescent="0.2">
      <c r="A6248" s="247"/>
      <c r="B6248" s="316"/>
      <c r="C6248" s="247"/>
      <c r="D6248" s="317"/>
      <c r="E6248" s="318"/>
      <c r="F6248" s="247"/>
      <c r="G6248" s="247"/>
      <c r="H6248" s="248"/>
      <c r="I6248" s="248"/>
      <c r="J6248" s="247"/>
      <c r="K6248" s="249"/>
    </row>
    <row r="6249" spans="1:11" s="90" customFormat="1" ht="12.75" customHeight="1" x14ac:dyDescent="0.2">
      <c r="A6249" s="247"/>
      <c r="B6249" s="316"/>
      <c r="C6249" s="247"/>
      <c r="D6249" s="317"/>
      <c r="E6249" s="318"/>
      <c r="F6249" s="247"/>
      <c r="G6249" s="247"/>
      <c r="H6249" s="248"/>
      <c r="I6249" s="248"/>
      <c r="J6249" s="247"/>
      <c r="K6249" s="249"/>
    </row>
    <row r="6250" spans="1:11" s="90" customFormat="1" ht="12.75" customHeight="1" x14ac:dyDescent="0.2">
      <c r="A6250" s="247"/>
      <c r="B6250" s="316"/>
      <c r="C6250" s="247"/>
      <c r="D6250" s="317"/>
      <c r="E6250" s="318"/>
      <c r="F6250" s="247"/>
      <c r="G6250" s="247"/>
      <c r="H6250" s="248"/>
      <c r="I6250" s="248"/>
      <c r="J6250" s="247"/>
      <c r="K6250" s="249"/>
    </row>
    <row r="6251" spans="1:11" s="90" customFormat="1" ht="12.75" customHeight="1" x14ac:dyDescent="0.2">
      <c r="A6251" s="247"/>
      <c r="B6251" s="316"/>
      <c r="C6251" s="247"/>
      <c r="D6251" s="317"/>
      <c r="E6251" s="318"/>
      <c r="F6251" s="247"/>
      <c r="G6251" s="247"/>
      <c r="H6251" s="248"/>
      <c r="I6251" s="248"/>
      <c r="J6251" s="247"/>
      <c r="K6251" s="249"/>
    </row>
    <row r="6252" spans="1:11" s="90" customFormat="1" ht="12.75" customHeight="1" x14ac:dyDescent="0.2">
      <c r="A6252" s="247"/>
      <c r="B6252" s="316"/>
      <c r="C6252" s="247"/>
      <c r="D6252" s="317"/>
      <c r="E6252" s="318"/>
      <c r="F6252" s="247"/>
      <c r="G6252" s="247"/>
      <c r="H6252" s="248"/>
      <c r="I6252" s="248"/>
      <c r="J6252" s="247"/>
      <c r="K6252" s="249"/>
    </row>
    <row r="6253" spans="1:11" s="90" customFormat="1" ht="12.75" customHeight="1" x14ac:dyDescent="0.2">
      <c r="A6253" s="247"/>
      <c r="B6253" s="316"/>
      <c r="C6253" s="247"/>
      <c r="D6253" s="317"/>
      <c r="E6253" s="318"/>
      <c r="F6253" s="247"/>
      <c r="G6253" s="247"/>
      <c r="H6253" s="248"/>
      <c r="I6253" s="248"/>
      <c r="J6253" s="247"/>
      <c r="K6253" s="249"/>
    </row>
    <row r="6254" spans="1:11" s="90" customFormat="1" ht="12.75" customHeight="1" x14ac:dyDescent="0.2">
      <c r="A6254" s="247"/>
      <c r="B6254" s="316"/>
      <c r="C6254" s="247"/>
      <c r="D6254" s="317"/>
      <c r="E6254" s="318"/>
      <c r="F6254" s="247"/>
      <c r="G6254" s="247"/>
      <c r="H6254" s="248"/>
      <c r="I6254" s="248"/>
      <c r="J6254" s="247"/>
      <c r="K6254" s="249"/>
    </row>
    <row r="6255" spans="1:11" s="90" customFormat="1" ht="12.75" customHeight="1" x14ac:dyDescent="0.2">
      <c r="A6255" s="247"/>
      <c r="B6255" s="316"/>
      <c r="C6255" s="247"/>
      <c r="D6255" s="317"/>
      <c r="E6255" s="318"/>
      <c r="F6255" s="247"/>
      <c r="G6255" s="247"/>
      <c r="H6255" s="248"/>
      <c r="I6255" s="248"/>
      <c r="J6255" s="247"/>
      <c r="K6255" s="249"/>
    </row>
    <row r="6256" spans="1:11" s="90" customFormat="1" ht="12.75" customHeight="1" x14ac:dyDescent="0.2">
      <c r="A6256" s="247"/>
      <c r="B6256" s="316"/>
      <c r="C6256" s="247"/>
      <c r="D6256" s="317"/>
      <c r="E6256" s="318"/>
      <c r="F6256" s="247"/>
      <c r="G6256" s="247"/>
      <c r="H6256" s="248"/>
      <c r="I6256" s="248"/>
      <c r="J6256" s="247"/>
      <c r="K6256" s="249"/>
    </row>
    <row r="6257" spans="1:11" s="90" customFormat="1" ht="12.75" customHeight="1" x14ac:dyDescent="0.2">
      <c r="A6257" s="247"/>
      <c r="B6257" s="316"/>
      <c r="C6257" s="247"/>
      <c r="D6257" s="317"/>
      <c r="E6257" s="318"/>
      <c r="F6257" s="247"/>
      <c r="G6257" s="247"/>
      <c r="H6257" s="248"/>
      <c r="I6257" s="248"/>
      <c r="J6257" s="247"/>
      <c r="K6257" s="249"/>
    </row>
    <row r="6258" spans="1:11" s="90" customFormat="1" ht="12.75" customHeight="1" x14ac:dyDescent="0.2">
      <c r="A6258" s="247"/>
      <c r="B6258" s="316"/>
      <c r="C6258" s="247"/>
      <c r="D6258" s="317"/>
      <c r="E6258" s="318"/>
      <c r="F6258" s="247"/>
      <c r="G6258" s="247"/>
      <c r="H6258" s="248"/>
      <c r="I6258" s="248"/>
      <c r="J6258" s="247"/>
      <c r="K6258" s="249"/>
    </row>
    <row r="6259" spans="1:11" s="90" customFormat="1" ht="12.75" customHeight="1" x14ac:dyDescent="0.2">
      <c r="A6259" s="247"/>
      <c r="B6259" s="316"/>
      <c r="C6259" s="247"/>
      <c r="D6259" s="317"/>
      <c r="E6259" s="318"/>
      <c r="F6259" s="247"/>
      <c r="G6259" s="247"/>
      <c r="H6259" s="248"/>
      <c r="I6259" s="248"/>
      <c r="J6259" s="247"/>
      <c r="K6259" s="249"/>
    </row>
    <row r="6260" spans="1:11" s="90" customFormat="1" ht="12.75" customHeight="1" x14ac:dyDescent="0.2">
      <c r="A6260" s="247"/>
      <c r="B6260" s="316"/>
      <c r="C6260" s="247"/>
      <c r="D6260" s="317"/>
      <c r="E6260" s="318"/>
      <c r="F6260" s="247"/>
      <c r="G6260" s="247"/>
      <c r="H6260" s="248"/>
      <c r="I6260" s="248"/>
      <c r="J6260" s="247"/>
      <c r="K6260" s="249"/>
    </row>
    <row r="6261" spans="1:11" s="90" customFormat="1" ht="12.75" customHeight="1" x14ac:dyDescent="0.2">
      <c r="A6261" s="247"/>
      <c r="B6261" s="316"/>
      <c r="C6261" s="247"/>
      <c r="D6261" s="317"/>
      <c r="E6261" s="318"/>
      <c r="F6261" s="247"/>
      <c r="G6261" s="247"/>
      <c r="H6261" s="248"/>
      <c r="I6261" s="248"/>
      <c r="J6261" s="247"/>
      <c r="K6261" s="249"/>
    </row>
    <row r="6262" spans="1:11" s="90" customFormat="1" ht="12.75" customHeight="1" x14ac:dyDescent="0.2">
      <c r="A6262" s="247"/>
      <c r="B6262" s="316"/>
      <c r="C6262" s="247"/>
      <c r="D6262" s="317"/>
      <c r="E6262" s="318"/>
      <c r="F6262" s="247"/>
      <c r="G6262" s="247"/>
      <c r="H6262" s="248"/>
      <c r="I6262" s="248"/>
      <c r="J6262" s="247"/>
      <c r="K6262" s="249"/>
    </row>
    <row r="6263" spans="1:11" s="90" customFormat="1" ht="12.75" customHeight="1" x14ac:dyDescent="0.2">
      <c r="A6263" s="247"/>
      <c r="B6263" s="316"/>
      <c r="C6263" s="247"/>
      <c r="D6263" s="317"/>
      <c r="E6263" s="318"/>
      <c r="F6263" s="247"/>
      <c r="G6263" s="247"/>
      <c r="H6263" s="248"/>
      <c r="I6263" s="248"/>
      <c r="J6263" s="247"/>
      <c r="K6263" s="249"/>
    </row>
    <row r="6264" spans="1:11" s="90" customFormat="1" ht="12.75" customHeight="1" x14ac:dyDescent="0.2">
      <c r="A6264" s="247"/>
      <c r="B6264" s="316"/>
      <c r="C6264" s="247"/>
      <c r="D6264" s="317"/>
      <c r="E6264" s="318"/>
      <c r="F6264" s="247"/>
      <c r="G6264" s="247"/>
      <c r="H6264" s="248"/>
      <c r="I6264" s="248"/>
      <c r="J6264" s="247"/>
      <c r="K6264" s="249"/>
    </row>
    <row r="6265" spans="1:11" s="90" customFormat="1" ht="12.75" customHeight="1" x14ac:dyDescent="0.2">
      <c r="A6265" s="247"/>
      <c r="B6265" s="316"/>
      <c r="C6265" s="247"/>
      <c r="D6265" s="317"/>
      <c r="E6265" s="318"/>
      <c r="F6265" s="247"/>
      <c r="G6265" s="247"/>
      <c r="H6265" s="248"/>
      <c r="I6265" s="248"/>
      <c r="J6265" s="247"/>
      <c r="K6265" s="249"/>
    </row>
    <row r="6266" spans="1:11" s="90" customFormat="1" ht="12.75" customHeight="1" x14ac:dyDescent="0.2">
      <c r="A6266" s="247"/>
      <c r="B6266" s="316"/>
      <c r="C6266" s="247"/>
      <c r="D6266" s="317"/>
      <c r="E6266" s="318"/>
      <c r="F6266" s="247"/>
      <c r="G6266" s="247"/>
      <c r="H6266" s="248"/>
      <c r="I6266" s="248"/>
      <c r="J6266" s="247"/>
      <c r="K6266" s="249"/>
    </row>
    <row r="6267" spans="1:11" s="90" customFormat="1" ht="12.75" customHeight="1" x14ac:dyDescent="0.2">
      <c r="A6267" s="247"/>
      <c r="B6267" s="316"/>
      <c r="C6267" s="247"/>
      <c r="D6267" s="317"/>
      <c r="E6267" s="318"/>
      <c r="F6267" s="247"/>
      <c r="G6267" s="247"/>
      <c r="H6267" s="248"/>
      <c r="I6267" s="248"/>
      <c r="J6267" s="247"/>
      <c r="K6267" s="249"/>
    </row>
    <row r="6268" spans="1:11" s="90" customFormat="1" ht="12.75" customHeight="1" x14ac:dyDescent="0.2">
      <c r="A6268" s="247"/>
      <c r="B6268" s="316"/>
      <c r="C6268" s="247"/>
      <c r="D6268" s="317"/>
      <c r="E6268" s="318"/>
      <c r="F6268" s="247"/>
      <c r="G6268" s="247"/>
      <c r="H6268" s="248"/>
      <c r="I6268" s="248"/>
      <c r="J6268" s="247"/>
      <c r="K6268" s="249"/>
    </row>
    <row r="6269" spans="1:11" s="90" customFormat="1" ht="12.75" customHeight="1" x14ac:dyDescent="0.2">
      <c r="A6269" s="247"/>
      <c r="B6269" s="316"/>
      <c r="C6269" s="247"/>
      <c r="D6269" s="317"/>
      <c r="E6269" s="318"/>
      <c r="F6269" s="247"/>
      <c r="G6269" s="247"/>
      <c r="H6269" s="248"/>
      <c r="I6269" s="248"/>
      <c r="J6269" s="247"/>
      <c r="K6269" s="249"/>
    </row>
    <row r="6270" spans="1:11" s="90" customFormat="1" ht="12.75" customHeight="1" x14ac:dyDescent="0.2">
      <c r="A6270" s="247"/>
      <c r="B6270" s="316"/>
      <c r="C6270" s="247"/>
      <c r="D6270" s="317"/>
      <c r="E6270" s="318"/>
      <c r="F6270" s="247"/>
      <c r="G6270" s="247"/>
      <c r="H6270" s="248"/>
      <c r="I6270" s="248"/>
      <c r="J6270" s="247"/>
      <c r="K6270" s="249"/>
    </row>
    <row r="6271" spans="1:11" s="90" customFormat="1" ht="12.75" customHeight="1" x14ac:dyDescent="0.2">
      <c r="A6271" s="247"/>
      <c r="B6271" s="316"/>
      <c r="C6271" s="247"/>
      <c r="D6271" s="317"/>
      <c r="E6271" s="318"/>
      <c r="F6271" s="247"/>
      <c r="G6271" s="247"/>
      <c r="H6271" s="248"/>
      <c r="I6271" s="248"/>
      <c r="J6271" s="247"/>
      <c r="K6271" s="249"/>
    </row>
    <row r="6272" spans="1:11" s="90" customFormat="1" ht="12.75" customHeight="1" x14ac:dyDescent="0.2">
      <c r="A6272" s="247"/>
      <c r="B6272" s="316"/>
      <c r="C6272" s="247"/>
      <c r="D6272" s="317"/>
      <c r="E6272" s="318"/>
      <c r="F6272" s="247"/>
      <c r="G6272" s="247"/>
      <c r="H6272" s="248"/>
      <c r="I6272" s="248"/>
      <c r="J6272" s="247"/>
      <c r="K6272" s="249"/>
    </row>
    <row r="6273" spans="1:11" s="90" customFormat="1" ht="12.75" customHeight="1" x14ac:dyDescent="0.2">
      <c r="A6273" s="247"/>
      <c r="B6273" s="316"/>
      <c r="C6273" s="247"/>
      <c r="D6273" s="317"/>
      <c r="E6273" s="318"/>
      <c r="F6273" s="247"/>
      <c r="G6273" s="247"/>
      <c r="H6273" s="248"/>
      <c r="I6273" s="248"/>
      <c r="J6273" s="247"/>
      <c r="K6273" s="249"/>
    </row>
    <row r="6274" spans="1:11" s="90" customFormat="1" ht="12.75" customHeight="1" x14ac:dyDescent="0.2">
      <c r="A6274" s="247"/>
      <c r="B6274" s="316"/>
      <c r="C6274" s="247"/>
      <c r="D6274" s="317"/>
      <c r="E6274" s="318"/>
      <c r="F6274" s="247"/>
      <c r="G6274" s="247"/>
      <c r="H6274" s="248"/>
      <c r="I6274" s="248"/>
      <c r="J6274" s="247"/>
      <c r="K6274" s="249"/>
    </row>
    <row r="6275" spans="1:11" s="90" customFormat="1" ht="12.75" customHeight="1" x14ac:dyDescent="0.2">
      <c r="A6275" s="247"/>
      <c r="B6275" s="316"/>
      <c r="C6275" s="247"/>
      <c r="D6275" s="317"/>
      <c r="E6275" s="318"/>
      <c r="F6275" s="247"/>
      <c r="G6275" s="247"/>
      <c r="H6275" s="248"/>
      <c r="I6275" s="248"/>
      <c r="J6275" s="247"/>
      <c r="K6275" s="249"/>
    </row>
    <row r="6276" spans="1:11" s="90" customFormat="1" ht="12.75" customHeight="1" x14ac:dyDescent="0.2">
      <c r="A6276" s="247"/>
      <c r="B6276" s="316"/>
      <c r="C6276" s="247"/>
      <c r="D6276" s="317"/>
      <c r="E6276" s="318"/>
      <c r="F6276" s="247"/>
      <c r="G6276" s="247"/>
      <c r="H6276" s="248"/>
      <c r="I6276" s="248"/>
      <c r="J6276" s="247"/>
      <c r="K6276" s="249"/>
    </row>
    <row r="6277" spans="1:11" s="90" customFormat="1" ht="12.75" customHeight="1" x14ac:dyDescent="0.2">
      <c r="A6277" s="247"/>
      <c r="B6277" s="316"/>
      <c r="C6277" s="247"/>
      <c r="D6277" s="317"/>
      <c r="E6277" s="318"/>
      <c r="F6277" s="247"/>
      <c r="G6277" s="247"/>
      <c r="H6277" s="248"/>
      <c r="I6277" s="248"/>
      <c r="J6277" s="247"/>
      <c r="K6277" s="249"/>
    </row>
    <row r="6278" spans="1:11" s="90" customFormat="1" ht="12.75" customHeight="1" x14ac:dyDescent="0.2">
      <c r="A6278" s="247"/>
      <c r="B6278" s="316"/>
      <c r="C6278" s="247"/>
      <c r="D6278" s="317"/>
      <c r="E6278" s="318"/>
      <c r="F6278" s="247"/>
      <c r="G6278" s="247"/>
      <c r="H6278" s="248"/>
      <c r="I6278" s="248"/>
      <c r="J6278" s="247"/>
      <c r="K6278" s="249"/>
    </row>
    <row r="6279" spans="1:11" s="90" customFormat="1" ht="12.75" customHeight="1" x14ac:dyDescent="0.2">
      <c r="A6279" s="247"/>
      <c r="B6279" s="316"/>
      <c r="C6279" s="247"/>
      <c r="D6279" s="317"/>
      <c r="E6279" s="318"/>
      <c r="F6279" s="247"/>
      <c r="G6279" s="247"/>
      <c r="H6279" s="248"/>
      <c r="I6279" s="248"/>
      <c r="J6279" s="247"/>
      <c r="K6279" s="249"/>
    </row>
    <row r="6280" spans="1:11" s="90" customFormat="1" ht="12.75" customHeight="1" x14ac:dyDescent="0.2">
      <c r="A6280" s="247"/>
      <c r="B6280" s="316"/>
      <c r="C6280" s="247"/>
      <c r="D6280" s="317"/>
      <c r="E6280" s="318"/>
      <c r="F6280" s="247"/>
      <c r="G6280" s="247"/>
      <c r="H6280" s="248"/>
      <c r="I6280" s="248"/>
      <c r="J6280" s="247"/>
      <c r="K6280" s="249"/>
    </row>
    <row r="6281" spans="1:11" s="90" customFormat="1" ht="12.75" customHeight="1" x14ac:dyDescent="0.2">
      <c r="A6281" s="247"/>
      <c r="B6281" s="316"/>
      <c r="C6281" s="247"/>
      <c r="D6281" s="317"/>
      <c r="E6281" s="318"/>
      <c r="F6281" s="247"/>
      <c r="G6281" s="247"/>
      <c r="H6281" s="248"/>
      <c r="I6281" s="248"/>
      <c r="J6281" s="247"/>
      <c r="K6281" s="249"/>
    </row>
    <row r="6282" spans="1:11" s="90" customFormat="1" ht="12.75" customHeight="1" x14ac:dyDescent="0.2">
      <c r="A6282" s="247"/>
      <c r="B6282" s="316"/>
      <c r="C6282" s="247"/>
      <c r="D6282" s="317"/>
      <c r="E6282" s="318"/>
      <c r="F6282" s="247"/>
      <c r="G6282" s="247"/>
      <c r="H6282" s="248"/>
      <c r="I6282" s="248"/>
      <c r="J6282" s="247"/>
      <c r="K6282" s="249"/>
    </row>
    <row r="6283" spans="1:11" s="90" customFormat="1" ht="12.75" customHeight="1" x14ac:dyDescent="0.2">
      <c r="A6283" s="247"/>
      <c r="B6283" s="316"/>
      <c r="C6283" s="247"/>
      <c r="D6283" s="317"/>
      <c r="E6283" s="318"/>
      <c r="F6283" s="247"/>
      <c r="G6283" s="247"/>
      <c r="H6283" s="248"/>
      <c r="I6283" s="248"/>
      <c r="J6283" s="247"/>
      <c r="K6283" s="249"/>
    </row>
    <row r="6284" spans="1:11" s="90" customFormat="1" ht="12.75" customHeight="1" x14ac:dyDescent="0.2">
      <c r="A6284" s="247"/>
      <c r="B6284" s="316"/>
      <c r="C6284" s="247"/>
      <c r="D6284" s="317"/>
      <c r="E6284" s="318"/>
      <c r="F6284" s="247"/>
      <c r="G6284" s="247"/>
      <c r="H6284" s="248"/>
      <c r="I6284" s="248"/>
      <c r="J6284" s="247"/>
      <c r="K6284" s="249"/>
    </row>
    <row r="6285" spans="1:11" s="90" customFormat="1" ht="12.75" customHeight="1" x14ac:dyDescent="0.2">
      <c r="A6285" s="247"/>
      <c r="B6285" s="316"/>
      <c r="C6285" s="247"/>
      <c r="D6285" s="317"/>
      <c r="E6285" s="318"/>
      <c r="F6285" s="247"/>
      <c r="G6285" s="247"/>
      <c r="H6285" s="248"/>
      <c r="I6285" s="248"/>
      <c r="J6285" s="247"/>
      <c r="K6285" s="249"/>
    </row>
    <row r="6286" spans="1:11" s="90" customFormat="1" ht="12.75" customHeight="1" x14ac:dyDescent="0.2">
      <c r="A6286" s="247"/>
      <c r="B6286" s="316"/>
      <c r="C6286" s="247"/>
      <c r="D6286" s="317"/>
      <c r="E6286" s="318"/>
      <c r="F6286" s="247"/>
      <c r="G6286" s="247"/>
      <c r="H6286" s="248"/>
      <c r="I6286" s="248"/>
      <c r="J6286" s="247"/>
      <c r="K6286" s="249"/>
    </row>
    <row r="6287" spans="1:11" s="90" customFormat="1" ht="12.75" customHeight="1" x14ac:dyDescent="0.2">
      <c r="A6287" s="247"/>
      <c r="B6287" s="316"/>
      <c r="C6287" s="247"/>
      <c r="D6287" s="317"/>
      <c r="E6287" s="318"/>
      <c r="F6287" s="247"/>
      <c r="G6287" s="247"/>
      <c r="H6287" s="248"/>
      <c r="I6287" s="248"/>
      <c r="J6287" s="247"/>
      <c r="K6287" s="249"/>
    </row>
    <row r="6288" spans="1:11" s="90" customFormat="1" ht="12.75" customHeight="1" x14ac:dyDescent="0.2">
      <c r="A6288" s="247"/>
      <c r="B6288" s="316"/>
      <c r="C6288" s="247"/>
      <c r="D6288" s="317"/>
      <c r="E6288" s="318"/>
      <c r="F6288" s="247"/>
      <c r="G6288" s="247"/>
      <c r="H6288" s="248"/>
      <c r="I6288" s="248"/>
      <c r="J6288" s="247"/>
      <c r="K6288" s="249"/>
    </row>
    <row r="6289" spans="1:11" s="90" customFormat="1" ht="12.75" customHeight="1" x14ac:dyDescent="0.2">
      <c r="A6289" s="247"/>
      <c r="B6289" s="316"/>
      <c r="C6289" s="247"/>
      <c r="D6289" s="317"/>
      <c r="E6289" s="318"/>
      <c r="F6289" s="247"/>
      <c r="G6289" s="247"/>
      <c r="H6289" s="248"/>
      <c r="I6289" s="248"/>
      <c r="J6289" s="247"/>
      <c r="K6289" s="249"/>
    </row>
    <row r="6290" spans="1:11" s="90" customFormat="1" ht="12.75" customHeight="1" x14ac:dyDescent="0.2">
      <c r="A6290" s="247"/>
      <c r="B6290" s="316"/>
      <c r="C6290" s="247"/>
      <c r="D6290" s="317"/>
      <c r="E6290" s="318"/>
      <c r="F6290" s="247"/>
      <c r="G6290" s="247"/>
      <c r="H6290" s="248"/>
      <c r="I6290" s="248"/>
      <c r="J6290" s="247"/>
      <c r="K6290" s="249"/>
    </row>
    <row r="6291" spans="1:11" s="90" customFormat="1" ht="12.75" customHeight="1" x14ac:dyDescent="0.2">
      <c r="A6291" s="247"/>
      <c r="B6291" s="316"/>
      <c r="C6291" s="247"/>
      <c r="D6291" s="317"/>
      <c r="E6291" s="318"/>
      <c r="F6291" s="247"/>
      <c r="G6291" s="247"/>
      <c r="H6291" s="248"/>
      <c r="I6291" s="248"/>
      <c r="J6291" s="247"/>
      <c r="K6291" s="249"/>
    </row>
    <row r="6292" spans="1:11" s="90" customFormat="1" ht="12.75" customHeight="1" x14ac:dyDescent="0.2">
      <c r="A6292" s="247"/>
      <c r="B6292" s="316"/>
      <c r="C6292" s="247"/>
      <c r="D6292" s="317"/>
      <c r="E6292" s="318"/>
      <c r="F6292" s="247"/>
      <c r="G6292" s="247"/>
      <c r="H6292" s="248"/>
      <c r="I6292" s="248"/>
      <c r="J6292" s="247"/>
      <c r="K6292" s="249"/>
    </row>
    <row r="6293" spans="1:11" s="90" customFormat="1" ht="12.75" customHeight="1" x14ac:dyDescent="0.2">
      <c r="A6293" s="247"/>
      <c r="B6293" s="316"/>
      <c r="C6293" s="247"/>
      <c r="D6293" s="317"/>
      <c r="E6293" s="318"/>
      <c r="F6293" s="247"/>
      <c r="G6293" s="247"/>
      <c r="H6293" s="248"/>
      <c r="I6293" s="248"/>
      <c r="J6293" s="247"/>
      <c r="K6293" s="249"/>
    </row>
    <row r="6294" spans="1:11" s="90" customFormat="1" ht="12.75" customHeight="1" x14ac:dyDescent="0.2">
      <c r="A6294" s="247"/>
      <c r="B6294" s="316"/>
      <c r="C6294" s="247"/>
      <c r="D6294" s="317"/>
      <c r="E6294" s="318"/>
      <c r="F6294" s="247"/>
      <c r="G6294" s="247"/>
      <c r="H6294" s="248"/>
      <c r="I6294" s="248"/>
      <c r="J6294" s="247"/>
      <c r="K6294" s="249"/>
    </row>
    <row r="6295" spans="1:11" s="90" customFormat="1" ht="12.75" customHeight="1" x14ac:dyDescent="0.2">
      <c r="A6295" s="247"/>
      <c r="B6295" s="316"/>
      <c r="C6295" s="247"/>
      <c r="D6295" s="317"/>
      <c r="E6295" s="318"/>
      <c r="F6295" s="247"/>
      <c r="G6295" s="247"/>
      <c r="H6295" s="248"/>
      <c r="I6295" s="248"/>
      <c r="J6295" s="247"/>
      <c r="K6295" s="249"/>
    </row>
    <row r="6296" spans="1:11" s="90" customFormat="1" ht="12.75" customHeight="1" x14ac:dyDescent="0.2">
      <c r="A6296" s="247"/>
      <c r="B6296" s="316"/>
      <c r="C6296" s="247"/>
      <c r="D6296" s="317"/>
      <c r="E6296" s="318"/>
      <c r="F6296" s="247"/>
      <c r="G6296" s="247"/>
      <c r="H6296" s="248"/>
      <c r="I6296" s="248"/>
      <c r="J6296" s="247"/>
      <c r="K6296" s="249"/>
    </row>
    <row r="6297" spans="1:11" s="90" customFormat="1" ht="12.75" customHeight="1" x14ac:dyDescent="0.2">
      <c r="A6297" s="247"/>
      <c r="B6297" s="316"/>
      <c r="C6297" s="247"/>
      <c r="D6297" s="317"/>
      <c r="E6297" s="318"/>
      <c r="F6297" s="247"/>
      <c r="G6297" s="247"/>
      <c r="H6297" s="248"/>
      <c r="I6297" s="248"/>
      <c r="J6297" s="247"/>
      <c r="K6297" s="249"/>
    </row>
    <row r="6298" spans="1:11" s="90" customFormat="1" ht="12.75" customHeight="1" x14ac:dyDescent="0.2">
      <c r="A6298" s="247"/>
      <c r="B6298" s="316"/>
      <c r="C6298" s="247"/>
      <c r="D6298" s="317"/>
      <c r="E6298" s="318"/>
      <c r="F6298" s="247"/>
      <c r="G6298" s="247"/>
      <c r="H6298" s="248"/>
      <c r="I6298" s="248"/>
      <c r="J6298" s="247"/>
      <c r="K6298" s="249"/>
    </row>
    <row r="6299" spans="1:11" s="90" customFormat="1" ht="12.75" customHeight="1" x14ac:dyDescent="0.2">
      <c r="A6299" s="247"/>
      <c r="B6299" s="316"/>
      <c r="C6299" s="247"/>
      <c r="D6299" s="317"/>
      <c r="E6299" s="318"/>
      <c r="F6299" s="247"/>
      <c r="G6299" s="247"/>
      <c r="H6299" s="248"/>
      <c r="I6299" s="248"/>
      <c r="J6299" s="247"/>
      <c r="K6299" s="249"/>
    </row>
    <row r="6300" spans="1:11" s="90" customFormat="1" ht="12.75" customHeight="1" x14ac:dyDescent="0.2">
      <c r="A6300" s="247"/>
      <c r="B6300" s="316"/>
      <c r="C6300" s="247"/>
      <c r="D6300" s="317"/>
      <c r="E6300" s="318"/>
      <c r="F6300" s="247"/>
      <c r="G6300" s="247"/>
      <c r="H6300" s="248"/>
      <c r="I6300" s="248"/>
      <c r="J6300" s="247"/>
      <c r="K6300" s="249"/>
    </row>
    <row r="6301" spans="1:11" s="90" customFormat="1" ht="12.75" customHeight="1" x14ac:dyDescent="0.2">
      <c r="A6301" s="247"/>
      <c r="B6301" s="316"/>
      <c r="C6301" s="247"/>
      <c r="D6301" s="317"/>
      <c r="E6301" s="318"/>
      <c r="F6301" s="247"/>
      <c r="G6301" s="247"/>
      <c r="H6301" s="248"/>
      <c r="I6301" s="248"/>
      <c r="J6301" s="247"/>
      <c r="K6301" s="249"/>
    </row>
    <row r="6302" spans="1:11" s="90" customFormat="1" ht="12.75" customHeight="1" x14ac:dyDescent="0.2">
      <c r="A6302" s="247"/>
      <c r="B6302" s="316"/>
      <c r="C6302" s="247"/>
      <c r="D6302" s="317"/>
      <c r="E6302" s="318"/>
      <c r="F6302" s="247"/>
      <c r="G6302" s="247"/>
      <c r="H6302" s="248"/>
      <c r="I6302" s="248"/>
      <c r="J6302" s="247"/>
      <c r="K6302" s="249"/>
    </row>
    <row r="6303" spans="1:11" s="90" customFormat="1" ht="12.75" customHeight="1" x14ac:dyDescent="0.2">
      <c r="A6303" s="247"/>
      <c r="B6303" s="316"/>
      <c r="C6303" s="247"/>
      <c r="D6303" s="317"/>
      <c r="E6303" s="318"/>
      <c r="F6303" s="247"/>
      <c r="G6303" s="247"/>
      <c r="H6303" s="248"/>
      <c r="I6303" s="248"/>
      <c r="J6303" s="247"/>
      <c r="K6303" s="249"/>
    </row>
    <row r="6304" spans="1:11" s="90" customFormat="1" ht="12.75" customHeight="1" x14ac:dyDescent="0.2">
      <c r="A6304" s="247"/>
      <c r="B6304" s="316"/>
      <c r="C6304" s="247"/>
      <c r="D6304" s="317"/>
      <c r="E6304" s="318"/>
      <c r="F6304" s="247"/>
      <c r="G6304" s="247"/>
      <c r="H6304" s="248"/>
      <c r="I6304" s="248"/>
      <c r="J6304" s="247"/>
      <c r="K6304" s="249"/>
    </row>
    <row r="6305" spans="1:11" s="90" customFormat="1" ht="12.75" customHeight="1" x14ac:dyDescent="0.2">
      <c r="A6305" s="247"/>
      <c r="B6305" s="316"/>
      <c r="C6305" s="247"/>
      <c r="D6305" s="317"/>
      <c r="E6305" s="318"/>
      <c r="F6305" s="247"/>
      <c r="G6305" s="247"/>
      <c r="H6305" s="248"/>
      <c r="I6305" s="248"/>
      <c r="J6305" s="247"/>
      <c r="K6305" s="249"/>
    </row>
    <row r="6306" spans="1:11" s="90" customFormat="1" ht="12.75" customHeight="1" x14ac:dyDescent="0.2">
      <c r="A6306" s="247"/>
      <c r="B6306" s="316"/>
      <c r="C6306" s="247"/>
      <c r="D6306" s="317"/>
      <c r="E6306" s="318"/>
      <c r="F6306" s="247"/>
      <c r="G6306" s="247"/>
      <c r="H6306" s="248"/>
      <c r="I6306" s="248"/>
      <c r="J6306" s="247"/>
      <c r="K6306" s="249"/>
    </row>
    <row r="6307" spans="1:11" s="90" customFormat="1" ht="12.75" customHeight="1" x14ac:dyDescent="0.2">
      <c r="A6307" s="247"/>
      <c r="B6307" s="316"/>
      <c r="C6307" s="247"/>
      <c r="D6307" s="317"/>
      <c r="E6307" s="318"/>
      <c r="F6307" s="247"/>
      <c r="G6307" s="247"/>
      <c r="H6307" s="248"/>
      <c r="I6307" s="248"/>
      <c r="J6307" s="247"/>
      <c r="K6307" s="249"/>
    </row>
    <row r="6308" spans="1:11" s="90" customFormat="1" ht="12.75" customHeight="1" x14ac:dyDescent="0.2">
      <c r="A6308" s="247"/>
      <c r="B6308" s="316"/>
      <c r="C6308" s="247"/>
      <c r="D6308" s="317"/>
      <c r="E6308" s="318"/>
      <c r="F6308" s="247"/>
      <c r="G6308" s="247"/>
      <c r="H6308" s="248"/>
      <c r="I6308" s="248"/>
      <c r="J6308" s="247"/>
      <c r="K6308" s="249"/>
    </row>
    <row r="6309" spans="1:11" s="90" customFormat="1" ht="12.75" customHeight="1" x14ac:dyDescent="0.2">
      <c r="A6309" s="247"/>
      <c r="B6309" s="316"/>
      <c r="C6309" s="247"/>
      <c r="D6309" s="317"/>
      <c r="E6309" s="318"/>
      <c r="F6309" s="247"/>
      <c r="G6309" s="247"/>
      <c r="H6309" s="248"/>
      <c r="I6309" s="248"/>
      <c r="J6309" s="247"/>
      <c r="K6309" s="249"/>
    </row>
    <row r="6310" spans="1:11" s="90" customFormat="1" ht="12.75" customHeight="1" x14ac:dyDescent="0.2">
      <c r="A6310" s="247"/>
      <c r="B6310" s="316"/>
      <c r="C6310" s="247"/>
      <c r="D6310" s="317"/>
      <c r="E6310" s="318"/>
      <c r="F6310" s="247"/>
      <c r="G6310" s="247"/>
      <c r="H6310" s="248"/>
      <c r="I6310" s="248"/>
      <c r="J6310" s="247"/>
      <c r="K6310" s="249"/>
    </row>
    <row r="6311" spans="1:11" s="90" customFormat="1" ht="12.75" customHeight="1" x14ac:dyDescent="0.2">
      <c r="A6311" s="247"/>
      <c r="B6311" s="316"/>
      <c r="C6311" s="247"/>
      <c r="D6311" s="317"/>
      <c r="E6311" s="318"/>
      <c r="F6311" s="247"/>
      <c r="G6311" s="247"/>
      <c r="H6311" s="248"/>
      <c r="I6311" s="248"/>
      <c r="J6311" s="247"/>
      <c r="K6311" s="249"/>
    </row>
    <row r="6312" spans="1:11" s="90" customFormat="1" ht="12.75" customHeight="1" x14ac:dyDescent="0.2">
      <c r="A6312" s="247"/>
      <c r="B6312" s="316"/>
      <c r="C6312" s="247"/>
      <c r="D6312" s="317"/>
      <c r="E6312" s="318"/>
      <c r="F6312" s="247"/>
      <c r="G6312" s="247"/>
      <c r="H6312" s="248"/>
      <c r="I6312" s="248"/>
      <c r="J6312" s="247"/>
      <c r="K6312" s="249"/>
    </row>
    <row r="6313" spans="1:11" s="90" customFormat="1" ht="12.75" customHeight="1" x14ac:dyDescent="0.2">
      <c r="A6313" s="247"/>
      <c r="B6313" s="316"/>
      <c r="C6313" s="247"/>
      <c r="D6313" s="317"/>
      <c r="E6313" s="318"/>
      <c r="F6313" s="247"/>
      <c r="G6313" s="247"/>
      <c r="H6313" s="248"/>
      <c r="I6313" s="248"/>
      <c r="J6313" s="247"/>
      <c r="K6313" s="249"/>
    </row>
    <row r="6314" spans="1:11" s="90" customFormat="1" ht="12.75" customHeight="1" x14ac:dyDescent="0.2">
      <c r="A6314" s="247"/>
      <c r="B6314" s="316"/>
      <c r="C6314" s="247"/>
      <c r="D6314" s="317"/>
      <c r="E6314" s="318"/>
      <c r="F6314" s="247"/>
      <c r="G6314" s="247"/>
      <c r="H6314" s="248"/>
      <c r="I6314" s="248"/>
      <c r="J6314" s="247"/>
      <c r="K6314" s="249"/>
    </row>
    <row r="6315" spans="1:11" s="90" customFormat="1" ht="12.75" customHeight="1" x14ac:dyDescent="0.2">
      <c r="A6315" s="247"/>
      <c r="B6315" s="316"/>
      <c r="C6315" s="247"/>
      <c r="D6315" s="317"/>
      <c r="E6315" s="318"/>
      <c r="F6315" s="247"/>
      <c r="G6315" s="247"/>
      <c r="H6315" s="248"/>
      <c r="I6315" s="248"/>
      <c r="J6315" s="247"/>
      <c r="K6315" s="249"/>
    </row>
    <row r="6316" spans="1:11" s="90" customFormat="1" ht="12.75" customHeight="1" x14ac:dyDescent="0.2">
      <c r="A6316" s="247"/>
      <c r="B6316" s="316"/>
      <c r="C6316" s="247"/>
      <c r="D6316" s="317"/>
      <c r="E6316" s="318"/>
      <c r="F6316" s="247"/>
      <c r="G6316" s="247"/>
      <c r="H6316" s="248"/>
      <c r="I6316" s="248"/>
      <c r="J6316" s="247"/>
      <c r="K6316" s="249"/>
    </row>
    <row r="6317" spans="1:11" s="90" customFormat="1" ht="12.75" customHeight="1" x14ac:dyDescent="0.2">
      <c r="A6317" s="247"/>
      <c r="B6317" s="316"/>
      <c r="C6317" s="247"/>
      <c r="D6317" s="317"/>
      <c r="E6317" s="318"/>
      <c r="F6317" s="247"/>
      <c r="G6317" s="247"/>
      <c r="H6317" s="248"/>
      <c r="I6317" s="248"/>
      <c r="J6317" s="247"/>
      <c r="K6317" s="249"/>
    </row>
    <row r="6318" spans="1:11" s="90" customFormat="1" ht="12.75" customHeight="1" x14ac:dyDescent="0.2">
      <c r="A6318" s="247"/>
      <c r="B6318" s="316"/>
      <c r="C6318" s="247"/>
      <c r="D6318" s="317"/>
      <c r="E6318" s="318"/>
      <c r="F6318" s="247"/>
      <c r="G6318" s="247"/>
      <c r="H6318" s="248"/>
      <c r="I6318" s="248"/>
      <c r="J6318" s="247"/>
      <c r="K6318" s="249"/>
    </row>
    <row r="6319" spans="1:11" s="90" customFormat="1" ht="12.75" customHeight="1" x14ac:dyDescent="0.2">
      <c r="A6319" s="247"/>
      <c r="B6319" s="316"/>
      <c r="C6319" s="247"/>
      <c r="D6319" s="317"/>
      <c r="E6319" s="318"/>
      <c r="F6319" s="247"/>
      <c r="G6319" s="247"/>
      <c r="H6319" s="248"/>
      <c r="I6319" s="248"/>
      <c r="J6319" s="247"/>
      <c r="K6319" s="249"/>
    </row>
    <row r="6320" spans="1:11" s="90" customFormat="1" ht="12.75" customHeight="1" x14ac:dyDescent="0.2">
      <c r="A6320" s="247"/>
      <c r="B6320" s="316"/>
      <c r="C6320" s="247"/>
      <c r="D6320" s="317"/>
      <c r="E6320" s="318"/>
      <c r="F6320" s="247"/>
      <c r="G6320" s="247"/>
      <c r="H6320" s="248"/>
      <c r="I6320" s="248"/>
      <c r="J6320" s="247"/>
      <c r="K6320" s="249"/>
    </row>
    <row r="6321" spans="1:11" s="90" customFormat="1" ht="12.75" customHeight="1" x14ac:dyDescent="0.2">
      <c r="A6321" s="247"/>
      <c r="B6321" s="316"/>
      <c r="C6321" s="247"/>
      <c r="D6321" s="317"/>
      <c r="E6321" s="318"/>
      <c r="F6321" s="247"/>
      <c r="G6321" s="247"/>
      <c r="H6321" s="248"/>
      <c r="I6321" s="248"/>
      <c r="J6321" s="247"/>
      <c r="K6321" s="249"/>
    </row>
    <row r="6322" spans="1:11" s="90" customFormat="1" ht="12.75" customHeight="1" x14ac:dyDescent="0.2">
      <c r="A6322" s="247"/>
      <c r="B6322" s="316"/>
      <c r="C6322" s="247"/>
      <c r="D6322" s="317"/>
      <c r="E6322" s="318"/>
      <c r="F6322" s="247"/>
      <c r="G6322" s="247"/>
      <c r="H6322" s="248"/>
      <c r="I6322" s="248"/>
      <c r="J6322" s="247"/>
      <c r="K6322" s="249"/>
    </row>
    <row r="6323" spans="1:11" s="90" customFormat="1" ht="12.75" customHeight="1" x14ac:dyDescent="0.2">
      <c r="A6323" s="247"/>
      <c r="B6323" s="316"/>
      <c r="C6323" s="247"/>
      <c r="D6323" s="317"/>
      <c r="E6323" s="318"/>
      <c r="F6323" s="247"/>
      <c r="G6323" s="247"/>
      <c r="H6323" s="248"/>
      <c r="I6323" s="248"/>
      <c r="J6323" s="247"/>
      <c r="K6323" s="249"/>
    </row>
    <row r="6324" spans="1:11" s="90" customFormat="1" ht="12.75" customHeight="1" x14ac:dyDescent="0.2">
      <c r="A6324" s="247"/>
      <c r="B6324" s="316"/>
      <c r="C6324" s="247"/>
      <c r="D6324" s="317"/>
      <c r="E6324" s="318"/>
      <c r="F6324" s="247"/>
      <c r="G6324" s="247"/>
      <c r="H6324" s="248"/>
      <c r="I6324" s="248"/>
      <c r="J6324" s="247"/>
      <c r="K6324" s="249"/>
    </row>
    <row r="6325" spans="1:11" s="90" customFormat="1" ht="12.75" customHeight="1" x14ac:dyDescent="0.2">
      <c r="A6325" s="247"/>
      <c r="B6325" s="316"/>
      <c r="C6325" s="247"/>
      <c r="D6325" s="317"/>
      <c r="E6325" s="318"/>
      <c r="F6325" s="247"/>
      <c r="G6325" s="247"/>
      <c r="H6325" s="248"/>
      <c r="I6325" s="248"/>
      <c r="J6325" s="247"/>
      <c r="K6325" s="249"/>
    </row>
    <row r="6326" spans="1:11" s="90" customFormat="1" ht="12.75" customHeight="1" x14ac:dyDescent="0.2">
      <c r="A6326" s="247"/>
      <c r="B6326" s="316"/>
      <c r="C6326" s="247"/>
      <c r="D6326" s="317"/>
      <c r="E6326" s="318"/>
      <c r="F6326" s="247"/>
      <c r="G6326" s="247"/>
      <c r="H6326" s="248"/>
      <c r="I6326" s="248"/>
      <c r="J6326" s="247"/>
      <c r="K6326" s="249"/>
    </row>
    <row r="6327" spans="1:11" s="90" customFormat="1" ht="12.75" customHeight="1" x14ac:dyDescent="0.2">
      <c r="A6327" s="247"/>
      <c r="B6327" s="316"/>
      <c r="C6327" s="247"/>
      <c r="D6327" s="317"/>
      <c r="E6327" s="318"/>
      <c r="F6327" s="247"/>
      <c r="G6327" s="247"/>
      <c r="H6327" s="248"/>
      <c r="I6327" s="248"/>
      <c r="J6327" s="247"/>
      <c r="K6327" s="249"/>
    </row>
    <row r="6328" spans="1:11" s="90" customFormat="1" ht="12.75" customHeight="1" x14ac:dyDescent="0.2">
      <c r="A6328" s="247"/>
      <c r="B6328" s="316"/>
      <c r="C6328" s="247"/>
      <c r="D6328" s="317"/>
      <c r="E6328" s="318"/>
      <c r="F6328" s="247"/>
      <c r="G6328" s="247"/>
      <c r="H6328" s="248"/>
      <c r="I6328" s="248"/>
      <c r="J6328" s="247"/>
      <c r="K6328" s="249"/>
    </row>
    <row r="6329" spans="1:11" s="90" customFormat="1" ht="12.75" customHeight="1" x14ac:dyDescent="0.2">
      <c r="A6329" s="247"/>
      <c r="B6329" s="316"/>
      <c r="C6329" s="247"/>
      <c r="D6329" s="317"/>
      <c r="E6329" s="318"/>
      <c r="F6329" s="247"/>
      <c r="G6329" s="247"/>
      <c r="H6329" s="248"/>
      <c r="I6329" s="248"/>
      <c r="J6329" s="247"/>
      <c r="K6329" s="249"/>
    </row>
    <row r="6330" spans="1:11" s="90" customFormat="1" ht="12.75" customHeight="1" x14ac:dyDescent="0.2">
      <c r="A6330" s="247"/>
      <c r="B6330" s="316"/>
      <c r="C6330" s="247"/>
      <c r="D6330" s="317"/>
      <c r="E6330" s="318"/>
      <c r="F6330" s="247"/>
      <c r="G6330" s="247"/>
      <c r="H6330" s="248"/>
      <c r="I6330" s="248"/>
      <c r="J6330" s="247"/>
      <c r="K6330" s="249"/>
    </row>
    <row r="6331" spans="1:11" s="90" customFormat="1" ht="12.75" customHeight="1" x14ac:dyDescent="0.2">
      <c r="A6331" s="247"/>
      <c r="B6331" s="316"/>
      <c r="C6331" s="247"/>
      <c r="D6331" s="317"/>
      <c r="E6331" s="318"/>
      <c r="F6331" s="247"/>
      <c r="G6331" s="247"/>
      <c r="H6331" s="248"/>
      <c r="I6331" s="248"/>
      <c r="J6331" s="247"/>
      <c r="K6331" s="249"/>
    </row>
    <row r="6332" spans="1:11" s="90" customFormat="1" ht="12.75" customHeight="1" x14ac:dyDescent="0.2">
      <c r="A6332" s="247"/>
      <c r="B6332" s="316"/>
      <c r="C6332" s="247"/>
      <c r="D6332" s="317"/>
      <c r="E6332" s="318"/>
      <c r="F6332" s="247"/>
      <c r="G6332" s="247"/>
      <c r="H6332" s="248"/>
      <c r="I6332" s="248"/>
      <c r="J6332" s="247"/>
      <c r="K6332" s="249"/>
    </row>
    <row r="6333" spans="1:11" s="90" customFormat="1" ht="12.75" customHeight="1" x14ac:dyDescent="0.2">
      <c r="A6333" s="247"/>
      <c r="B6333" s="316"/>
      <c r="C6333" s="247"/>
      <c r="D6333" s="317"/>
      <c r="E6333" s="318"/>
      <c r="F6333" s="247"/>
      <c r="G6333" s="247"/>
      <c r="H6333" s="248"/>
      <c r="I6333" s="248"/>
      <c r="J6333" s="247"/>
      <c r="K6333" s="249"/>
    </row>
    <row r="6334" spans="1:11" s="90" customFormat="1" ht="12.75" customHeight="1" x14ac:dyDescent="0.2">
      <c r="A6334" s="247"/>
      <c r="B6334" s="316"/>
      <c r="C6334" s="247"/>
      <c r="D6334" s="317"/>
      <c r="E6334" s="318"/>
      <c r="F6334" s="247"/>
      <c r="G6334" s="247"/>
      <c r="H6334" s="248"/>
      <c r="I6334" s="248"/>
      <c r="J6334" s="247"/>
      <c r="K6334" s="249"/>
    </row>
    <row r="6335" spans="1:11" s="90" customFormat="1" ht="12.75" customHeight="1" x14ac:dyDescent="0.2">
      <c r="A6335" s="247"/>
      <c r="B6335" s="316"/>
      <c r="C6335" s="247"/>
      <c r="D6335" s="317"/>
      <c r="E6335" s="318"/>
      <c r="F6335" s="247"/>
      <c r="G6335" s="247"/>
      <c r="H6335" s="248"/>
      <c r="I6335" s="248"/>
      <c r="J6335" s="247"/>
      <c r="K6335" s="249"/>
    </row>
    <row r="6336" spans="1:11" s="90" customFormat="1" ht="12.75" customHeight="1" x14ac:dyDescent="0.2">
      <c r="A6336" s="247"/>
      <c r="B6336" s="316"/>
      <c r="C6336" s="247"/>
      <c r="D6336" s="317"/>
      <c r="E6336" s="318"/>
      <c r="F6336" s="247"/>
      <c r="G6336" s="247"/>
      <c r="H6336" s="248"/>
      <c r="I6336" s="248"/>
      <c r="J6336" s="247"/>
      <c r="K6336" s="249"/>
    </row>
    <row r="6337" spans="1:11" s="90" customFormat="1" ht="12.75" customHeight="1" x14ac:dyDescent="0.2">
      <c r="A6337" s="247"/>
      <c r="B6337" s="316"/>
      <c r="C6337" s="247"/>
      <c r="D6337" s="317"/>
      <c r="E6337" s="318"/>
      <c r="F6337" s="247"/>
      <c r="G6337" s="247"/>
      <c r="H6337" s="248"/>
      <c r="I6337" s="248"/>
      <c r="J6337" s="247"/>
      <c r="K6337" s="249"/>
    </row>
    <row r="6338" spans="1:11" s="90" customFormat="1" ht="12.75" customHeight="1" x14ac:dyDescent="0.2">
      <c r="A6338" s="247"/>
      <c r="B6338" s="316"/>
      <c r="C6338" s="247"/>
      <c r="D6338" s="317"/>
      <c r="E6338" s="318"/>
      <c r="F6338" s="247"/>
      <c r="G6338" s="247"/>
      <c r="H6338" s="248"/>
      <c r="I6338" s="248"/>
      <c r="J6338" s="247"/>
      <c r="K6338" s="249"/>
    </row>
    <row r="6339" spans="1:11" s="90" customFormat="1" ht="12.75" customHeight="1" x14ac:dyDescent="0.2">
      <c r="A6339" s="247"/>
      <c r="B6339" s="316"/>
      <c r="C6339" s="247"/>
      <c r="D6339" s="317"/>
      <c r="E6339" s="318"/>
      <c r="F6339" s="247"/>
      <c r="G6339" s="247"/>
      <c r="H6339" s="248"/>
      <c r="I6339" s="248"/>
      <c r="J6339" s="247"/>
      <c r="K6339" s="249"/>
    </row>
    <row r="6340" spans="1:11" s="90" customFormat="1" ht="12.75" customHeight="1" x14ac:dyDescent="0.2">
      <c r="A6340" s="247"/>
      <c r="B6340" s="316"/>
      <c r="C6340" s="247"/>
      <c r="D6340" s="317"/>
      <c r="E6340" s="318"/>
      <c r="F6340" s="247"/>
      <c r="G6340" s="247"/>
      <c r="H6340" s="248"/>
      <c r="I6340" s="248"/>
      <c r="J6340" s="247"/>
      <c r="K6340" s="249"/>
    </row>
    <row r="6341" spans="1:11" s="90" customFormat="1" ht="12.75" customHeight="1" x14ac:dyDescent="0.2">
      <c r="A6341" s="247"/>
      <c r="B6341" s="316"/>
      <c r="C6341" s="247"/>
      <c r="D6341" s="317"/>
      <c r="E6341" s="318"/>
      <c r="F6341" s="247"/>
      <c r="G6341" s="247"/>
      <c r="H6341" s="248"/>
      <c r="I6341" s="248"/>
      <c r="J6341" s="247"/>
      <c r="K6341" s="249"/>
    </row>
    <row r="6342" spans="1:11" s="90" customFormat="1" ht="12.75" customHeight="1" x14ac:dyDescent="0.2">
      <c r="A6342" s="247"/>
      <c r="B6342" s="316"/>
      <c r="C6342" s="247"/>
      <c r="D6342" s="317"/>
      <c r="E6342" s="318"/>
      <c r="F6342" s="247"/>
      <c r="G6342" s="247"/>
      <c r="H6342" s="248"/>
      <c r="I6342" s="248"/>
      <c r="J6342" s="247"/>
      <c r="K6342" s="249"/>
    </row>
    <row r="6343" spans="1:11" s="90" customFormat="1" ht="12.75" customHeight="1" x14ac:dyDescent="0.2">
      <c r="A6343" s="247"/>
      <c r="B6343" s="316"/>
      <c r="C6343" s="247"/>
      <c r="D6343" s="317"/>
      <c r="E6343" s="318"/>
      <c r="F6343" s="247"/>
      <c r="G6343" s="247"/>
      <c r="H6343" s="248"/>
      <c r="I6343" s="248"/>
      <c r="J6343" s="247"/>
      <c r="K6343" s="249"/>
    </row>
    <row r="6344" spans="1:11" s="90" customFormat="1" ht="12.75" customHeight="1" x14ac:dyDescent="0.2">
      <c r="A6344" s="247"/>
      <c r="B6344" s="316"/>
      <c r="C6344" s="247"/>
      <c r="D6344" s="317"/>
      <c r="E6344" s="318"/>
      <c r="F6344" s="247"/>
      <c r="G6344" s="247"/>
      <c r="H6344" s="248"/>
      <c r="I6344" s="248"/>
      <c r="J6344" s="247"/>
      <c r="K6344" s="249"/>
    </row>
    <row r="6345" spans="1:11" s="90" customFormat="1" ht="12.75" customHeight="1" x14ac:dyDescent="0.2">
      <c r="A6345" s="247"/>
      <c r="B6345" s="316"/>
      <c r="C6345" s="247"/>
      <c r="D6345" s="317"/>
      <c r="E6345" s="318"/>
      <c r="F6345" s="247"/>
      <c r="G6345" s="247"/>
      <c r="H6345" s="248"/>
      <c r="I6345" s="248"/>
      <c r="J6345" s="247"/>
      <c r="K6345" s="249"/>
    </row>
    <row r="6346" spans="1:11" s="90" customFormat="1" ht="12.75" customHeight="1" x14ac:dyDescent="0.2">
      <c r="A6346" s="247"/>
      <c r="B6346" s="316"/>
      <c r="C6346" s="247"/>
      <c r="D6346" s="317"/>
      <c r="E6346" s="318"/>
      <c r="F6346" s="247"/>
      <c r="G6346" s="247"/>
      <c r="H6346" s="248"/>
      <c r="I6346" s="248"/>
      <c r="J6346" s="247"/>
      <c r="K6346" s="249"/>
    </row>
    <row r="6347" spans="1:11" s="90" customFormat="1" ht="12.75" customHeight="1" x14ac:dyDescent="0.2">
      <c r="A6347" s="247"/>
      <c r="B6347" s="316"/>
      <c r="C6347" s="247"/>
      <c r="D6347" s="317"/>
      <c r="E6347" s="318"/>
      <c r="F6347" s="247"/>
      <c r="G6347" s="247"/>
      <c r="H6347" s="248"/>
      <c r="I6347" s="248"/>
      <c r="J6347" s="247"/>
      <c r="K6347" s="249"/>
    </row>
    <row r="6348" spans="1:11" s="90" customFormat="1" ht="12.75" customHeight="1" x14ac:dyDescent="0.2">
      <c r="A6348" s="247"/>
      <c r="B6348" s="316"/>
      <c r="C6348" s="247"/>
      <c r="D6348" s="317"/>
      <c r="E6348" s="318"/>
      <c r="F6348" s="247"/>
      <c r="G6348" s="247"/>
      <c r="H6348" s="248"/>
      <c r="I6348" s="248"/>
      <c r="J6348" s="247"/>
      <c r="K6348" s="249"/>
    </row>
    <row r="6349" spans="1:11" s="90" customFormat="1" ht="12.75" customHeight="1" x14ac:dyDescent="0.2">
      <c r="A6349" s="247"/>
      <c r="B6349" s="316"/>
      <c r="C6349" s="247"/>
      <c r="D6349" s="317"/>
      <c r="E6349" s="318"/>
      <c r="F6349" s="247"/>
      <c r="G6349" s="247"/>
      <c r="H6349" s="248"/>
      <c r="I6349" s="248"/>
      <c r="J6349" s="247"/>
      <c r="K6349" s="249"/>
    </row>
    <row r="6350" spans="1:11" s="90" customFormat="1" ht="12.75" customHeight="1" x14ac:dyDescent="0.2">
      <c r="A6350" s="247"/>
      <c r="B6350" s="316"/>
      <c r="C6350" s="247"/>
      <c r="D6350" s="317"/>
      <c r="E6350" s="318"/>
      <c r="F6350" s="247"/>
      <c r="G6350" s="247"/>
      <c r="H6350" s="248"/>
      <c r="I6350" s="248"/>
      <c r="J6350" s="247"/>
      <c r="K6350" s="249"/>
    </row>
    <row r="6351" spans="1:11" s="90" customFormat="1" ht="12.75" customHeight="1" x14ac:dyDescent="0.2">
      <c r="A6351" s="247"/>
      <c r="B6351" s="316"/>
      <c r="C6351" s="247"/>
      <c r="D6351" s="317"/>
      <c r="E6351" s="318"/>
      <c r="F6351" s="247"/>
      <c r="G6351" s="247"/>
      <c r="H6351" s="248"/>
      <c r="I6351" s="248"/>
      <c r="J6351" s="247"/>
      <c r="K6351" s="249"/>
    </row>
    <row r="6352" spans="1:11" s="90" customFormat="1" ht="12.75" customHeight="1" x14ac:dyDescent="0.2">
      <c r="A6352" s="247"/>
      <c r="B6352" s="316"/>
      <c r="C6352" s="247"/>
      <c r="D6352" s="317"/>
      <c r="E6352" s="318"/>
      <c r="F6352" s="247"/>
      <c r="G6352" s="247"/>
      <c r="H6352" s="248"/>
      <c r="I6352" s="248"/>
      <c r="J6352" s="247"/>
      <c r="K6352" s="249"/>
    </row>
    <row r="6353" spans="1:11" s="90" customFormat="1" ht="12.75" customHeight="1" x14ac:dyDescent="0.2">
      <c r="A6353" s="247"/>
      <c r="B6353" s="316"/>
      <c r="C6353" s="247"/>
      <c r="D6353" s="317"/>
      <c r="E6353" s="318"/>
      <c r="F6353" s="247"/>
      <c r="G6353" s="247"/>
      <c r="H6353" s="248"/>
      <c r="I6353" s="248"/>
      <c r="J6353" s="247"/>
      <c r="K6353" s="249"/>
    </row>
    <row r="6354" spans="1:11" s="90" customFormat="1" ht="12.75" customHeight="1" x14ac:dyDescent="0.2">
      <c r="A6354" s="247"/>
      <c r="B6354" s="316"/>
      <c r="C6354" s="247"/>
      <c r="D6354" s="317"/>
      <c r="E6354" s="318"/>
      <c r="F6354" s="247"/>
      <c r="G6354" s="247"/>
      <c r="H6354" s="248"/>
      <c r="I6354" s="248"/>
      <c r="J6354" s="247"/>
      <c r="K6354" s="249"/>
    </row>
    <row r="6355" spans="1:11" s="90" customFormat="1" ht="12.75" customHeight="1" x14ac:dyDescent="0.2">
      <c r="A6355" s="247"/>
      <c r="B6355" s="316"/>
      <c r="C6355" s="247"/>
      <c r="D6355" s="317"/>
      <c r="E6355" s="318"/>
      <c r="F6355" s="247"/>
      <c r="G6355" s="247"/>
      <c r="H6355" s="248"/>
      <c r="I6355" s="248"/>
      <c r="J6355" s="247"/>
      <c r="K6355" s="249"/>
    </row>
    <row r="6356" spans="1:11" s="90" customFormat="1" ht="12.75" customHeight="1" x14ac:dyDescent="0.2">
      <c r="A6356" s="247"/>
      <c r="B6356" s="316"/>
      <c r="C6356" s="247"/>
      <c r="D6356" s="317"/>
      <c r="E6356" s="318"/>
      <c r="F6356" s="247"/>
      <c r="G6356" s="247"/>
      <c r="H6356" s="248"/>
      <c r="I6356" s="248"/>
      <c r="J6356" s="247"/>
      <c r="K6356" s="249"/>
    </row>
    <row r="6357" spans="1:11" s="90" customFormat="1" ht="12.75" customHeight="1" x14ac:dyDescent="0.2">
      <c r="A6357" s="247"/>
      <c r="B6357" s="316"/>
      <c r="C6357" s="247"/>
      <c r="D6357" s="317"/>
      <c r="E6357" s="318"/>
      <c r="F6357" s="247"/>
      <c r="G6357" s="247"/>
      <c r="H6357" s="248"/>
      <c r="I6357" s="248"/>
      <c r="J6357" s="247"/>
      <c r="K6357" s="249"/>
    </row>
    <row r="6358" spans="1:11" s="90" customFormat="1" ht="12.75" customHeight="1" x14ac:dyDescent="0.2">
      <c r="A6358" s="247"/>
      <c r="B6358" s="316"/>
      <c r="C6358" s="247"/>
      <c r="D6358" s="317"/>
      <c r="E6358" s="318"/>
      <c r="F6358" s="247"/>
      <c r="G6358" s="247"/>
      <c r="H6358" s="248"/>
      <c r="I6358" s="248"/>
      <c r="J6358" s="247"/>
      <c r="K6358" s="249"/>
    </row>
    <row r="6359" spans="1:11" s="90" customFormat="1" ht="12.75" customHeight="1" x14ac:dyDescent="0.2">
      <c r="A6359" s="247"/>
      <c r="B6359" s="316"/>
      <c r="C6359" s="247"/>
      <c r="D6359" s="317"/>
      <c r="E6359" s="318"/>
      <c r="F6359" s="247"/>
      <c r="G6359" s="247"/>
      <c r="H6359" s="248"/>
      <c r="I6359" s="248"/>
      <c r="J6359" s="247"/>
      <c r="K6359" s="249"/>
    </row>
    <row r="6360" spans="1:11" s="90" customFormat="1" ht="12.75" customHeight="1" x14ac:dyDescent="0.2">
      <c r="A6360" s="247"/>
      <c r="B6360" s="316"/>
      <c r="C6360" s="247"/>
      <c r="D6360" s="317"/>
      <c r="E6360" s="318"/>
      <c r="F6360" s="247"/>
      <c r="G6360" s="247"/>
      <c r="H6360" s="248"/>
      <c r="I6360" s="248"/>
      <c r="J6360" s="247"/>
      <c r="K6360" s="249"/>
    </row>
    <row r="6361" spans="1:11" s="90" customFormat="1" ht="12.75" customHeight="1" x14ac:dyDescent="0.2">
      <c r="A6361" s="247"/>
      <c r="B6361" s="316"/>
      <c r="C6361" s="247"/>
      <c r="D6361" s="317"/>
      <c r="E6361" s="318"/>
      <c r="F6361" s="247"/>
      <c r="G6361" s="247"/>
      <c r="H6361" s="248"/>
      <c r="I6361" s="248"/>
      <c r="J6361" s="247"/>
      <c r="K6361" s="249"/>
    </row>
    <row r="6362" spans="1:11" s="90" customFormat="1" ht="12.75" customHeight="1" x14ac:dyDescent="0.2">
      <c r="A6362" s="247"/>
      <c r="B6362" s="316"/>
      <c r="C6362" s="247"/>
      <c r="D6362" s="317"/>
      <c r="E6362" s="318"/>
      <c r="F6362" s="247"/>
      <c r="G6362" s="247"/>
      <c r="H6362" s="248"/>
      <c r="I6362" s="248"/>
      <c r="J6362" s="247"/>
      <c r="K6362" s="249"/>
    </row>
    <row r="6363" spans="1:11" s="90" customFormat="1" ht="12.75" customHeight="1" x14ac:dyDescent="0.2">
      <c r="A6363" s="247"/>
      <c r="B6363" s="316"/>
      <c r="C6363" s="247"/>
      <c r="D6363" s="317"/>
      <c r="E6363" s="318"/>
      <c r="F6363" s="247"/>
      <c r="G6363" s="247"/>
      <c r="H6363" s="248"/>
      <c r="I6363" s="248"/>
      <c r="J6363" s="247"/>
      <c r="K6363" s="249"/>
    </row>
    <row r="6364" spans="1:11" s="90" customFormat="1" ht="12.75" customHeight="1" x14ac:dyDescent="0.2">
      <c r="A6364" s="247"/>
      <c r="B6364" s="316"/>
      <c r="C6364" s="247"/>
      <c r="D6364" s="317"/>
      <c r="E6364" s="318"/>
      <c r="F6364" s="247"/>
      <c r="G6364" s="247"/>
      <c r="H6364" s="248"/>
      <c r="I6364" s="248"/>
      <c r="J6364" s="247"/>
      <c r="K6364" s="249"/>
    </row>
    <row r="6365" spans="1:11" s="90" customFormat="1" ht="12.75" customHeight="1" x14ac:dyDescent="0.2">
      <c r="A6365" s="247"/>
      <c r="B6365" s="316"/>
      <c r="C6365" s="247"/>
      <c r="D6365" s="317"/>
      <c r="E6365" s="318"/>
      <c r="F6365" s="247"/>
      <c r="G6365" s="247"/>
      <c r="H6365" s="248"/>
      <c r="I6365" s="248"/>
      <c r="J6365" s="247"/>
      <c r="K6365" s="249"/>
    </row>
    <row r="6366" spans="1:11" s="90" customFormat="1" ht="12.75" customHeight="1" x14ac:dyDescent="0.2">
      <c r="A6366" s="247"/>
      <c r="B6366" s="316"/>
      <c r="C6366" s="247"/>
      <c r="D6366" s="317"/>
      <c r="E6366" s="318"/>
      <c r="F6366" s="247"/>
      <c r="G6366" s="247"/>
      <c r="H6366" s="248"/>
      <c r="I6366" s="248"/>
      <c r="J6366" s="247"/>
      <c r="K6366" s="249"/>
    </row>
    <row r="6367" spans="1:11" s="90" customFormat="1" ht="12.75" customHeight="1" x14ac:dyDescent="0.2">
      <c r="A6367" s="247"/>
      <c r="B6367" s="316"/>
      <c r="C6367" s="247"/>
      <c r="D6367" s="317"/>
      <c r="E6367" s="318"/>
      <c r="F6367" s="247"/>
      <c r="G6367" s="247"/>
      <c r="H6367" s="248"/>
      <c r="I6367" s="248"/>
      <c r="J6367" s="247"/>
      <c r="K6367" s="249"/>
    </row>
    <row r="6368" spans="1:11" s="90" customFormat="1" ht="12.75" customHeight="1" x14ac:dyDescent="0.2">
      <c r="A6368" s="247"/>
      <c r="B6368" s="316"/>
      <c r="C6368" s="247"/>
      <c r="D6368" s="317"/>
      <c r="E6368" s="318"/>
      <c r="F6368" s="247"/>
      <c r="G6368" s="247"/>
      <c r="H6368" s="248"/>
      <c r="I6368" s="248"/>
      <c r="J6368" s="247"/>
      <c r="K6368" s="249"/>
    </row>
    <row r="6369" spans="1:11" s="90" customFormat="1" ht="12.75" customHeight="1" x14ac:dyDescent="0.2">
      <c r="A6369" s="247"/>
      <c r="B6369" s="316"/>
      <c r="C6369" s="247"/>
      <c r="D6369" s="317"/>
      <c r="E6369" s="318"/>
      <c r="F6369" s="247"/>
      <c r="G6369" s="247"/>
      <c r="H6369" s="248"/>
      <c r="I6369" s="248"/>
      <c r="J6369" s="247"/>
      <c r="K6369" s="249"/>
    </row>
    <row r="6370" spans="1:11" s="90" customFormat="1" ht="12.75" customHeight="1" x14ac:dyDescent="0.2">
      <c r="A6370" s="247"/>
      <c r="B6370" s="316"/>
      <c r="C6370" s="247"/>
      <c r="D6370" s="317"/>
      <c r="E6370" s="318"/>
      <c r="F6370" s="247"/>
      <c r="G6370" s="247"/>
      <c r="H6370" s="248"/>
      <c r="I6370" s="248"/>
      <c r="J6370" s="247"/>
      <c r="K6370" s="249"/>
    </row>
    <row r="6371" spans="1:11" s="90" customFormat="1" ht="12.75" customHeight="1" x14ac:dyDescent="0.2">
      <c r="A6371" s="247"/>
      <c r="B6371" s="316"/>
      <c r="C6371" s="247"/>
      <c r="D6371" s="317"/>
      <c r="E6371" s="318"/>
      <c r="F6371" s="247"/>
      <c r="G6371" s="247"/>
      <c r="H6371" s="248"/>
      <c r="I6371" s="248"/>
      <c r="J6371" s="247"/>
      <c r="K6371" s="249"/>
    </row>
    <row r="6372" spans="1:11" s="90" customFormat="1" ht="12.75" customHeight="1" x14ac:dyDescent="0.2">
      <c r="A6372" s="247"/>
      <c r="B6372" s="316"/>
      <c r="C6372" s="247"/>
      <c r="D6372" s="317"/>
      <c r="E6372" s="318"/>
      <c r="F6372" s="247"/>
      <c r="G6372" s="247"/>
      <c r="H6372" s="248"/>
      <c r="I6372" s="248"/>
      <c r="J6372" s="247"/>
      <c r="K6372" s="249"/>
    </row>
    <row r="6373" spans="1:11" s="90" customFormat="1" ht="12.75" customHeight="1" x14ac:dyDescent="0.2">
      <c r="A6373" s="247"/>
      <c r="B6373" s="316"/>
      <c r="C6373" s="247"/>
      <c r="D6373" s="317"/>
      <c r="E6373" s="318"/>
      <c r="F6373" s="247"/>
      <c r="G6373" s="247"/>
      <c r="H6373" s="248"/>
      <c r="I6373" s="248"/>
      <c r="J6373" s="247"/>
      <c r="K6373" s="249"/>
    </row>
    <row r="6374" spans="1:11" s="90" customFormat="1" ht="12.75" customHeight="1" x14ac:dyDescent="0.2">
      <c r="A6374" s="247"/>
      <c r="B6374" s="316"/>
      <c r="C6374" s="247"/>
      <c r="D6374" s="317"/>
      <c r="E6374" s="318"/>
      <c r="F6374" s="247"/>
      <c r="G6374" s="247"/>
      <c r="H6374" s="248"/>
      <c r="I6374" s="248"/>
      <c r="J6374" s="247"/>
      <c r="K6374" s="249"/>
    </row>
    <row r="6375" spans="1:11" s="90" customFormat="1" ht="12.75" customHeight="1" x14ac:dyDescent="0.2">
      <c r="A6375" s="247"/>
      <c r="B6375" s="316"/>
      <c r="C6375" s="247"/>
      <c r="D6375" s="317"/>
      <c r="E6375" s="318"/>
      <c r="F6375" s="247"/>
      <c r="G6375" s="247"/>
      <c r="H6375" s="248"/>
      <c r="I6375" s="248"/>
      <c r="J6375" s="247"/>
      <c r="K6375" s="249"/>
    </row>
    <row r="6376" spans="1:11" s="90" customFormat="1" ht="12.75" customHeight="1" x14ac:dyDescent="0.2">
      <c r="A6376" s="247"/>
      <c r="B6376" s="316"/>
      <c r="C6376" s="247"/>
      <c r="D6376" s="317"/>
      <c r="E6376" s="318"/>
      <c r="F6376" s="247"/>
      <c r="G6376" s="247"/>
      <c r="H6376" s="248"/>
      <c r="I6376" s="248"/>
      <c r="J6376" s="247"/>
      <c r="K6376" s="249"/>
    </row>
    <row r="6377" spans="1:11" s="90" customFormat="1" ht="12.75" customHeight="1" x14ac:dyDescent="0.2">
      <c r="A6377" s="247"/>
      <c r="B6377" s="316"/>
      <c r="C6377" s="247"/>
      <c r="D6377" s="317"/>
      <c r="E6377" s="318"/>
      <c r="F6377" s="247"/>
      <c r="G6377" s="247"/>
      <c r="H6377" s="248"/>
      <c r="I6377" s="248"/>
      <c r="J6377" s="247"/>
      <c r="K6377" s="249"/>
    </row>
    <row r="6378" spans="1:11" s="90" customFormat="1" ht="12.75" customHeight="1" x14ac:dyDescent="0.2">
      <c r="A6378" s="247"/>
      <c r="B6378" s="316"/>
      <c r="C6378" s="247"/>
      <c r="D6378" s="317"/>
      <c r="E6378" s="318"/>
      <c r="F6378" s="247"/>
      <c r="G6378" s="247"/>
      <c r="H6378" s="248"/>
      <c r="I6378" s="248"/>
      <c r="J6378" s="247"/>
      <c r="K6378" s="249"/>
    </row>
    <row r="6379" spans="1:11" s="90" customFormat="1" ht="12.75" customHeight="1" x14ac:dyDescent="0.2">
      <c r="A6379" s="247"/>
      <c r="B6379" s="316"/>
      <c r="C6379" s="247"/>
      <c r="D6379" s="317"/>
      <c r="E6379" s="318"/>
      <c r="F6379" s="247"/>
      <c r="G6379" s="247"/>
      <c r="H6379" s="248"/>
      <c r="I6379" s="248"/>
      <c r="J6379" s="247"/>
      <c r="K6379" s="249"/>
    </row>
    <row r="6380" spans="1:11" s="90" customFormat="1" ht="12.75" customHeight="1" x14ac:dyDescent="0.2">
      <c r="A6380" s="247"/>
      <c r="B6380" s="316"/>
      <c r="C6380" s="247"/>
      <c r="D6380" s="317"/>
      <c r="E6380" s="318"/>
      <c r="F6380" s="247"/>
      <c r="G6380" s="247"/>
      <c r="H6380" s="248"/>
      <c r="I6380" s="248"/>
      <c r="J6380" s="247"/>
      <c r="K6380" s="249"/>
    </row>
    <row r="6381" spans="1:11" s="90" customFormat="1" ht="12.75" customHeight="1" x14ac:dyDescent="0.2">
      <c r="A6381" s="247"/>
      <c r="B6381" s="316"/>
      <c r="C6381" s="247"/>
      <c r="D6381" s="317"/>
      <c r="E6381" s="318"/>
      <c r="F6381" s="247"/>
      <c r="G6381" s="247"/>
      <c r="H6381" s="248"/>
      <c r="I6381" s="248"/>
      <c r="J6381" s="247"/>
      <c r="K6381" s="249"/>
    </row>
    <row r="6382" spans="1:11" s="90" customFormat="1" ht="12.75" customHeight="1" x14ac:dyDescent="0.2">
      <c r="A6382" s="247"/>
      <c r="B6382" s="316"/>
      <c r="C6382" s="247"/>
      <c r="D6382" s="317"/>
      <c r="E6382" s="318"/>
      <c r="F6382" s="247"/>
      <c r="G6382" s="247"/>
      <c r="H6382" s="248"/>
      <c r="I6382" s="248"/>
      <c r="J6382" s="247"/>
      <c r="K6382" s="249"/>
    </row>
    <row r="6383" spans="1:11" s="90" customFormat="1" ht="12.75" customHeight="1" x14ac:dyDescent="0.2">
      <c r="A6383" s="247"/>
      <c r="B6383" s="316"/>
      <c r="C6383" s="247"/>
      <c r="D6383" s="317"/>
      <c r="E6383" s="318"/>
      <c r="F6383" s="247"/>
      <c r="G6383" s="247"/>
      <c r="H6383" s="248"/>
      <c r="I6383" s="248"/>
      <c r="J6383" s="247"/>
      <c r="K6383" s="249"/>
    </row>
    <row r="6384" spans="1:11" s="90" customFormat="1" ht="12.75" customHeight="1" x14ac:dyDescent="0.2">
      <c r="A6384" s="247"/>
      <c r="B6384" s="316"/>
      <c r="C6384" s="247"/>
      <c r="D6384" s="317"/>
      <c r="E6384" s="318"/>
      <c r="F6384" s="247"/>
      <c r="G6384" s="247"/>
      <c r="H6384" s="248"/>
      <c r="I6384" s="248"/>
      <c r="J6384" s="247"/>
      <c r="K6384" s="249"/>
    </row>
    <row r="6385" spans="1:11" s="90" customFormat="1" ht="12.75" customHeight="1" x14ac:dyDescent="0.2">
      <c r="A6385" s="247"/>
      <c r="B6385" s="316"/>
      <c r="C6385" s="247"/>
      <c r="D6385" s="317"/>
      <c r="E6385" s="318"/>
      <c r="F6385" s="247"/>
      <c r="G6385" s="247"/>
      <c r="H6385" s="248"/>
      <c r="I6385" s="248"/>
      <c r="J6385" s="247"/>
      <c r="K6385" s="249"/>
    </row>
    <row r="6386" spans="1:11" s="90" customFormat="1" ht="12.75" customHeight="1" x14ac:dyDescent="0.2">
      <c r="A6386" s="247"/>
      <c r="B6386" s="316"/>
      <c r="C6386" s="247"/>
      <c r="D6386" s="317"/>
      <c r="E6386" s="318"/>
      <c r="F6386" s="247"/>
      <c r="G6386" s="247"/>
      <c r="H6386" s="248"/>
      <c r="I6386" s="248"/>
      <c r="J6386" s="247"/>
      <c r="K6386" s="249"/>
    </row>
    <row r="6387" spans="1:11" s="90" customFormat="1" ht="12.75" customHeight="1" x14ac:dyDescent="0.2">
      <c r="A6387" s="247"/>
      <c r="B6387" s="316"/>
      <c r="C6387" s="247"/>
      <c r="D6387" s="317"/>
      <c r="E6387" s="318"/>
      <c r="F6387" s="247"/>
      <c r="G6387" s="247"/>
      <c r="H6387" s="248"/>
      <c r="I6387" s="248"/>
      <c r="J6387" s="247"/>
      <c r="K6387" s="249"/>
    </row>
    <row r="6388" spans="1:11" s="90" customFormat="1" ht="12.75" customHeight="1" x14ac:dyDescent="0.2">
      <c r="A6388" s="247"/>
      <c r="B6388" s="316"/>
      <c r="C6388" s="247"/>
      <c r="D6388" s="317"/>
      <c r="E6388" s="318"/>
      <c r="F6388" s="247"/>
      <c r="G6388" s="247"/>
      <c r="H6388" s="248"/>
      <c r="I6388" s="248"/>
      <c r="J6388" s="247"/>
      <c r="K6388" s="249"/>
    </row>
    <row r="6389" spans="1:11" s="90" customFormat="1" ht="12.75" customHeight="1" x14ac:dyDescent="0.2">
      <c r="A6389" s="247"/>
      <c r="B6389" s="316"/>
      <c r="C6389" s="247"/>
      <c r="D6389" s="317"/>
      <c r="E6389" s="318"/>
      <c r="F6389" s="247"/>
      <c r="G6389" s="247"/>
      <c r="H6389" s="248"/>
      <c r="I6389" s="248"/>
      <c r="J6389" s="247"/>
      <c r="K6389" s="249"/>
    </row>
    <row r="6390" spans="1:11" s="90" customFormat="1" ht="12.75" customHeight="1" x14ac:dyDescent="0.2">
      <c r="A6390" s="247"/>
      <c r="B6390" s="316"/>
      <c r="C6390" s="247"/>
      <c r="D6390" s="317"/>
      <c r="E6390" s="318"/>
      <c r="F6390" s="247"/>
      <c r="G6390" s="247"/>
      <c r="H6390" s="248"/>
      <c r="I6390" s="248"/>
      <c r="J6390" s="247"/>
      <c r="K6390" s="249"/>
    </row>
    <row r="6391" spans="1:11" s="90" customFormat="1" ht="12.75" customHeight="1" x14ac:dyDescent="0.2">
      <c r="A6391" s="247"/>
      <c r="B6391" s="316"/>
      <c r="C6391" s="247"/>
      <c r="D6391" s="317"/>
      <c r="E6391" s="318"/>
      <c r="F6391" s="247"/>
      <c r="G6391" s="247"/>
      <c r="H6391" s="248"/>
      <c r="I6391" s="248"/>
      <c r="J6391" s="247"/>
      <c r="K6391" s="249"/>
    </row>
    <row r="6392" spans="1:11" s="90" customFormat="1" ht="12.75" customHeight="1" x14ac:dyDescent="0.2">
      <c r="A6392" s="247"/>
      <c r="B6392" s="316"/>
      <c r="C6392" s="247"/>
      <c r="D6392" s="317"/>
      <c r="E6392" s="318"/>
      <c r="F6392" s="247"/>
      <c r="G6392" s="247"/>
      <c r="H6392" s="248"/>
      <c r="I6392" s="248"/>
      <c r="J6392" s="247"/>
      <c r="K6392" s="249"/>
    </row>
    <row r="6393" spans="1:11" s="90" customFormat="1" ht="12.75" customHeight="1" x14ac:dyDescent="0.2">
      <c r="A6393" s="247"/>
      <c r="B6393" s="316"/>
      <c r="C6393" s="247"/>
      <c r="D6393" s="317"/>
      <c r="E6393" s="318"/>
      <c r="F6393" s="247"/>
      <c r="G6393" s="247"/>
      <c r="H6393" s="248"/>
      <c r="I6393" s="248"/>
      <c r="J6393" s="247"/>
      <c r="K6393" s="249"/>
    </row>
    <row r="6394" spans="1:11" s="90" customFormat="1" ht="12.75" customHeight="1" x14ac:dyDescent="0.2">
      <c r="A6394" s="247"/>
      <c r="B6394" s="316"/>
      <c r="C6394" s="247"/>
      <c r="D6394" s="317"/>
      <c r="E6394" s="318"/>
      <c r="F6394" s="247"/>
      <c r="G6394" s="247"/>
      <c r="H6394" s="248"/>
      <c r="I6394" s="248"/>
      <c r="J6394" s="247"/>
      <c r="K6394" s="249"/>
    </row>
    <row r="6395" spans="1:11" s="90" customFormat="1" ht="12.75" customHeight="1" x14ac:dyDescent="0.2">
      <c r="A6395" s="247"/>
      <c r="B6395" s="316"/>
      <c r="C6395" s="247"/>
      <c r="D6395" s="317"/>
      <c r="E6395" s="318"/>
      <c r="F6395" s="247"/>
      <c r="G6395" s="247"/>
      <c r="H6395" s="248"/>
      <c r="I6395" s="248"/>
      <c r="J6395" s="247"/>
      <c r="K6395" s="249"/>
    </row>
    <row r="6396" spans="1:11" s="90" customFormat="1" ht="12.75" customHeight="1" x14ac:dyDescent="0.2">
      <c r="A6396" s="247"/>
      <c r="B6396" s="316"/>
      <c r="C6396" s="247"/>
      <c r="D6396" s="317"/>
      <c r="E6396" s="318"/>
      <c r="F6396" s="247"/>
      <c r="G6396" s="247"/>
      <c r="H6396" s="248"/>
      <c r="I6396" s="248"/>
      <c r="J6396" s="247"/>
      <c r="K6396" s="249"/>
    </row>
    <row r="6397" spans="1:11" s="90" customFormat="1" ht="12.75" customHeight="1" x14ac:dyDescent="0.2">
      <c r="A6397" s="247"/>
      <c r="B6397" s="316"/>
      <c r="C6397" s="247"/>
      <c r="D6397" s="317"/>
      <c r="E6397" s="318"/>
      <c r="F6397" s="247"/>
      <c r="G6397" s="247"/>
      <c r="H6397" s="248"/>
      <c r="I6397" s="248"/>
      <c r="J6397" s="247"/>
      <c r="K6397" s="249"/>
    </row>
    <row r="6398" spans="1:11" s="90" customFormat="1" ht="12.75" customHeight="1" x14ac:dyDescent="0.2">
      <c r="A6398" s="247"/>
      <c r="B6398" s="316"/>
      <c r="C6398" s="247"/>
      <c r="D6398" s="317"/>
      <c r="E6398" s="318"/>
      <c r="F6398" s="247"/>
      <c r="G6398" s="247"/>
      <c r="H6398" s="248"/>
      <c r="I6398" s="248"/>
      <c r="J6398" s="247"/>
      <c r="K6398" s="249"/>
    </row>
    <row r="6399" spans="1:11" s="90" customFormat="1" ht="12.75" customHeight="1" x14ac:dyDescent="0.2">
      <c r="A6399" s="247"/>
      <c r="B6399" s="316"/>
      <c r="C6399" s="247"/>
      <c r="D6399" s="317"/>
      <c r="E6399" s="318"/>
      <c r="F6399" s="247"/>
      <c r="G6399" s="247"/>
      <c r="H6399" s="248"/>
      <c r="I6399" s="248"/>
      <c r="J6399" s="247"/>
      <c r="K6399" s="249"/>
    </row>
    <row r="6400" spans="1:11" s="90" customFormat="1" ht="12.75" customHeight="1" x14ac:dyDescent="0.2">
      <c r="A6400" s="247"/>
      <c r="B6400" s="316"/>
      <c r="C6400" s="247"/>
      <c r="D6400" s="317"/>
      <c r="E6400" s="318"/>
      <c r="F6400" s="247"/>
      <c r="G6400" s="247"/>
      <c r="H6400" s="248"/>
      <c r="I6400" s="248"/>
      <c r="J6400" s="247"/>
      <c r="K6400" s="249"/>
    </row>
    <row r="6401" spans="1:11" s="90" customFormat="1" ht="12.75" customHeight="1" x14ac:dyDescent="0.2">
      <c r="A6401" s="247"/>
      <c r="B6401" s="316"/>
      <c r="C6401" s="247"/>
      <c r="D6401" s="317"/>
      <c r="E6401" s="318"/>
      <c r="F6401" s="247"/>
      <c r="G6401" s="247"/>
      <c r="H6401" s="248"/>
      <c r="I6401" s="248"/>
      <c r="J6401" s="247"/>
      <c r="K6401" s="249"/>
    </row>
    <row r="6402" spans="1:11" s="90" customFormat="1" ht="12.75" customHeight="1" x14ac:dyDescent="0.2">
      <c r="A6402" s="247"/>
      <c r="B6402" s="316"/>
      <c r="C6402" s="247"/>
      <c r="D6402" s="317"/>
      <c r="E6402" s="318"/>
      <c r="F6402" s="247"/>
      <c r="G6402" s="247"/>
      <c r="H6402" s="248"/>
      <c r="I6402" s="248"/>
      <c r="J6402" s="247"/>
      <c r="K6402" s="249"/>
    </row>
    <row r="6403" spans="1:11" s="90" customFormat="1" ht="12.75" customHeight="1" x14ac:dyDescent="0.2">
      <c r="A6403" s="247"/>
      <c r="B6403" s="316"/>
      <c r="C6403" s="247"/>
      <c r="D6403" s="317"/>
      <c r="E6403" s="318"/>
      <c r="F6403" s="247"/>
      <c r="G6403" s="247"/>
      <c r="H6403" s="248"/>
      <c r="I6403" s="248"/>
      <c r="J6403" s="247"/>
      <c r="K6403" s="249"/>
    </row>
    <row r="6404" spans="1:11" s="90" customFormat="1" ht="12.75" customHeight="1" x14ac:dyDescent="0.2">
      <c r="A6404" s="247"/>
      <c r="B6404" s="316"/>
      <c r="C6404" s="247"/>
      <c r="D6404" s="317"/>
      <c r="E6404" s="318"/>
      <c r="F6404" s="247"/>
      <c r="G6404" s="247"/>
      <c r="H6404" s="248"/>
      <c r="I6404" s="248"/>
      <c r="J6404" s="247"/>
      <c r="K6404" s="249"/>
    </row>
    <row r="6405" spans="1:11" s="90" customFormat="1" ht="12.75" customHeight="1" x14ac:dyDescent="0.2">
      <c r="A6405" s="247"/>
      <c r="B6405" s="316"/>
      <c r="C6405" s="247"/>
      <c r="D6405" s="317"/>
      <c r="E6405" s="318"/>
      <c r="F6405" s="247"/>
      <c r="G6405" s="247"/>
      <c r="H6405" s="248"/>
      <c r="I6405" s="248"/>
      <c r="J6405" s="247"/>
      <c r="K6405" s="249"/>
    </row>
    <row r="6406" spans="1:11" s="90" customFormat="1" ht="12.75" customHeight="1" x14ac:dyDescent="0.2">
      <c r="A6406" s="247"/>
      <c r="B6406" s="316"/>
      <c r="C6406" s="247"/>
      <c r="D6406" s="317"/>
      <c r="E6406" s="318"/>
      <c r="F6406" s="247"/>
      <c r="G6406" s="247"/>
      <c r="H6406" s="248"/>
      <c r="I6406" s="248"/>
      <c r="J6406" s="247"/>
      <c r="K6406" s="249"/>
    </row>
    <row r="6407" spans="1:11" s="90" customFormat="1" ht="12.75" customHeight="1" x14ac:dyDescent="0.2">
      <c r="A6407" s="247"/>
      <c r="B6407" s="316"/>
      <c r="C6407" s="247"/>
      <c r="D6407" s="317"/>
      <c r="E6407" s="318"/>
      <c r="F6407" s="247"/>
      <c r="G6407" s="247"/>
      <c r="H6407" s="248"/>
      <c r="I6407" s="248"/>
      <c r="J6407" s="247"/>
      <c r="K6407" s="249"/>
    </row>
    <row r="6408" spans="1:11" s="90" customFormat="1" ht="12.75" customHeight="1" x14ac:dyDescent="0.2">
      <c r="A6408" s="247"/>
      <c r="B6408" s="316"/>
      <c r="C6408" s="247"/>
      <c r="D6408" s="317"/>
      <c r="E6408" s="318"/>
      <c r="F6408" s="247"/>
      <c r="G6408" s="247"/>
      <c r="H6408" s="248"/>
      <c r="I6408" s="248"/>
      <c r="J6408" s="247"/>
      <c r="K6408" s="249"/>
    </row>
    <row r="6409" spans="1:11" s="90" customFormat="1" ht="12.75" customHeight="1" x14ac:dyDescent="0.2">
      <c r="A6409" s="247"/>
      <c r="B6409" s="316"/>
      <c r="C6409" s="247"/>
      <c r="D6409" s="317"/>
      <c r="E6409" s="318"/>
      <c r="F6409" s="247"/>
      <c r="G6409" s="247"/>
      <c r="H6409" s="248"/>
      <c r="I6409" s="248"/>
      <c r="J6409" s="247"/>
      <c r="K6409" s="249"/>
    </row>
    <row r="6410" spans="1:11" s="90" customFormat="1" ht="12.75" customHeight="1" x14ac:dyDescent="0.2">
      <c r="A6410" s="247"/>
      <c r="B6410" s="316"/>
      <c r="C6410" s="247"/>
      <c r="D6410" s="317"/>
      <c r="E6410" s="318"/>
      <c r="F6410" s="247"/>
      <c r="G6410" s="247"/>
      <c r="H6410" s="248"/>
      <c r="I6410" s="248"/>
      <c r="J6410" s="247"/>
      <c r="K6410" s="249"/>
    </row>
    <row r="6411" spans="1:11" s="90" customFormat="1" ht="12.75" customHeight="1" x14ac:dyDescent="0.2">
      <c r="A6411" s="247"/>
      <c r="B6411" s="316"/>
      <c r="C6411" s="247"/>
      <c r="D6411" s="317"/>
      <c r="E6411" s="318"/>
      <c r="F6411" s="247"/>
      <c r="G6411" s="247"/>
      <c r="H6411" s="248"/>
      <c r="I6411" s="248"/>
      <c r="J6411" s="247"/>
      <c r="K6411" s="249"/>
    </row>
    <row r="6412" spans="1:11" s="90" customFormat="1" ht="12.75" customHeight="1" x14ac:dyDescent="0.2">
      <c r="A6412" s="247"/>
      <c r="B6412" s="316"/>
      <c r="C6412" s="247"/>
      <c r="D6412" s="317"/>
      <c r="E6412" s="318"/>
      <c r="F6412" s="247"/>
      <c r="G6412" s="247"/>
      <c r="H6412" s="248"/>
      <c r="I6412" s="248"/>
      <c r="J6412" s="247"/>
      <c r="K6412" s="249"/>
    </row>
    <row r="6413" spans="1:11" s="90" customFormat="1" ht="12.75" customHeight="1" x14ac:dyDescent="0.2">
      <c r="A6413" s="247"/>
      <c r="B6413" s="316"/>
      <c r="C6413" s="247"/>
      <c r="D6413" s="317"/>
      <c r="E6413" s="318"/>
      <c r="F6413" s="247"/>
      <c r="G6413" s="247"/>
      <c r="H6413" s="248"/>
      <c r="I6413" s="248"/>
      <c r="J6413" s="247"/>
      <c r="K6413" s="249"/>
    </row>
    <row r="6414" spans="1:11" s="90" customFormat="1" ht="12.75" customHeight="1" x14ac:dyDescent="0.2">
      <c r="A6414" s="247"/>
      <c r="B6414" s="316"/>
      <c r="C6414" s="247"/>
      <c r="D6414" s="317"/>
      <c r="E6414" s="318"/>
      <c r="F6414" s="247"/>
      <c r="G6414" s="247"/>
      <c r="H6414" s="248"/>
      <c r="I6414" s="248"/>
      <c r="J6414" s="247"/>
      <c r="K6414" s="249"/>
    </row>
    <row r="6415" spans="1:11" s="90" customFormat="1" ht="12.75" customHeight="1" x14ac:dyDescent="0.2">
      <c r="A6415" s="247"/>
      <c r="B6415" s="316"/>
      <c r="C6415" s="247"/>
      <c r="D6415" s="317"/>
      <c r="E6415" s="318"/>
      <c r="F6415" s="247"/>
      <c r="G6415" s="247"/>
      <c r="H6415" s="248"/>
      <c r="I6415" s="248"/>
      <c r="J6415" s="247"/>
      <c r="K6415" s="249"/>
    </row>
    <row r="6416" spans="1:11" s="90" customFormat="1" ht="12.75" customHeight="1" x14ac:dyDescent="0.2">
      <c r="A6416" s="247"/>
      <c r="B6416" s="316"/>
      <c r="C6416" s="247"/>
      <c r="D6416" s="317"/>
      <c r="E6416" s="318"/>
      <c r="F6416" s="247"/>
      <c r="G6416" s="247"/>
      <c r="H6416" s="248"/>
      <c r="I6416" s="248"/>
      <c r="J6416" s="247"/>
      <c r="K6416" s="249"/>
    </row>
    <row r="6417" spans="1:11" s="90" customFormat="1" ht="12.75" customHeight="1" x14ac:dyDescent="0.2">
      <c r="A6417" s="247"/>
      <c r="B6417" s="316"/>
      <c r="C6417" s="247"/>
      <c r="D6417" s="317"/>
      <c r="E6417" s="318"/>
      <c r="F6417" s="247"/>
      <c r="G6417" s="247"/>
      <c r="H6417" s="248"/>
      <c r="I6417" s="248"/>
      <c r="J6417" s="247"/>
      <c r="K6417" s="249"/>
    </row>
    <row r="6418" spans="1:11" s="90" customFormat="1" ht="12.75" customHeight="1" x14ac:dyDescent="0.2">
      <c r="A6418" s="247"/>
      <c r="B6418" s="316"/>
      <c r="C6418" s="247"/>
      <c r="D6418" s="317"/>
      <c r="E6418" s="318"/>
      <c r="F6418" s="247"/>
      <c r="G6418" s="247"/>
      <c r="H6418" s="248"/>
      <c r="I6418" s="248"/>
      <c r="J6418" s="247"/>
      <c r="K6418" s="249"/>
    </row>
    <row r="6419" spans="1:11" s="90" customFormat="1" ht="12.75" customHeight="1" x14ac:dyDescent="0.2">
      <c r="A6419" s="247"/>
      <c r="B6419" s="316"/>
      <c r="C6419" s="247"/>
      <c r="D6419" s="317"/>
      <c r="E6419" s="318"/>
      <c r="F6419" s="247"/>
      <c r="G6419" s="247"/>
      <c r="H6419" s="248"/>
      <c r="I6419" s="248"/>
      <c r="J6419" s="247"/>
      <c r="K6419" s="249"/>
    </row>
    <row r="6420" spans="1:11" s="90" customFormat="1" ht="12.75" customHeight="1" x14ac:dyDescent="0.2">
      <c r="A6420" s="247"/>
      <c r="B6420" s="316"/>
      <c r="C6420" s="247"/>
      <c r="D6420" s="317"/>
      <c r="E6420" s="318"/>
      <c r="F6420" s="247"/>
      <c r="G6420" s="247"/>
      <c r="H6420" s="248"/>
      <c r="I6420" s="248"/>
      <c r="J6420" s="247"/>
      <c r="K6420" s="249"/>
    </row>
    <row r="6421" spans="1:11" s="90" customFormat="1" ht="12.75" customHeight="1" x14ac:dyDescent="0.2">
      <c r="A6421" s="247"/>
      <c r="B6421" s="316"/>
      <c r="C6421" s="247"/>
      <c r="D6421" s="317"/>
      <c r="E6421" s="318"/>
      <c r="F6421" s="247"/>
      <c r="G6421" s="247"/>
      <c r="H6421" s="248"/>
      <c r="I6421" s="248"/>
      <c r="J6421" s="247"/>
      <c r="K6421" s="249"/>
    </row>
    <row r="6422" spans="1:11" s="90" customFormat="1" ht="12.75" customHeight="1" x14ac:dyDescent="0.2">
      <c r="A6422" s="247"/>
      <c r="B6422" s="316"/>
      <c r="C6422" s="247"/>
      <c r="D6422" s="317"/>
      <c r="E6422" s="318"/>
      <c r="F6422" s="247"/>
      <c r="G6422" s="247"/>
      <c r="H6422" s="248"/>
      <c r="I6422" s="248"/>
      <c r="J6422" s="247"/>
      <c r="K6422" s="249"/>
    </row>
    <row r="6423" spans="1:11" s="90" customFormat="1" ht="12.75" customHeight="1" x14ac:dyDescent="0.2">
      <c r="A6423" s="247"/>
      <c r="B6423" s="316"/>
      <c r="C6423" s="247"/>
      <c r="D6423" s="317"/>
      <c r="E6423" s="318"/>
      <c r="F6423" s="247"/>
      <c r="G6423" s="247"/>
      <c r="H6423" s="248"/>
      <c r="I6423" s="248"/>
      <c r="J6423" s="247"/>
      <c r="K6423" s="249"/>
    </row>
    <row r="6424" spans="1:11" s="90" customFormat="1" ht="12.75" customHeight="1" x14ac:dyDescent="0.2">
      <c r="A6424" s="247"/>
      <c r="B6424" s="316"/>
      <c r="C6424" s="247"/>
      <c r="D6424" s="317"/>
      <c r="E6424" s="318"/>
      <c r="F6424" s="247"/>
      <c r="G6424" s="247"/>
      <c r="H6424" s="248"/>
      <c r="I6424" s="248"/>
      <c r="J6424" s="247"/>
      <c r="K6424" s="249"/>
    </row>
    <row r="6425" spans="1:11" s="90" customFormat="1" ht="12.75" customHeight="1" x14ac:dyDescent="0.2">
      <c r="A6425" s="247"/>
      <c r="B6425" s="316"/>
      <c r="C6425" s="247"/>
      <c r="D6425" s="317"/>
      <c r="E6425" s="318"/>
      <c r="F6425" s="247"/>
      <c r="G6425" s="247"/>
      <c r="H6425" s="248"/>
      <c r="I6425" s="248"/>
      <c r="J6425" s="247"/>
      <c r="K6425" s="249"/>
    </row>
    <row r="6426" spans="1:11" s="90" customFormat="1" ht="12.75" customHeight="1" x14ac:dyDescent="0.2">
      <c r="A6426" s="247"/>
      <c r="B6426" s="316"/>
      <c r="C6426" s="247"/>
      <c r="D6426" s="317"/>
      <c r="E6426" s="318"/>
      <c r="F6426" s="247"/>
      <c r="G6426" s="247"/>
      <c r="H6426" s="248"/>
      <c r="I6426" s="248"/>
      <c r="J6426" s="247"/>
      <c r="K6426" s="249"/>
    </row>
    <row r="6427" spans="1:11" s="90" customFormat="1" ht="12.75" customHeight="1" x14ac:dyDescent="0.2">
      <c r="A6427" s="247"/>
      <c r="B6427" s="316"/>
      <c r="C6427" s="247"/>
      <c r="D6427" s="317"/>
      <c r="E6427" s="318"/>
      <c r="F6427" s="247"/>
      <c r="G6427" s="247"/>
      <c r="H6427" s="248"/>
      <c r="I6427" s="248"/>
      <c r="J6427" s="247"/>
      <c r="K6427" s="249"/>
    </row>
    <row r="6428" spans="1:11" s="90" customFormat="1" ht="12.75" customHeight="1" x14ac:dyDescent="0.2">
      <c r="A6428" s="247"/>
      <c r="B6428" s="316"/>
      <c r="C6428" s="247"/>
      <c r="D6428" s="317"/>
      <c r="E6428" s="318"/>
      <c r="F6428" s="247"/>
      <c r="G6428" s="247"/>
      <c r="H6428" s="248"/>
      <c r="I6428" s="248"/>
      <c r="J6428" s="247"/>
      <c r="K6428" s="249"/>
    </row>
    <row r="6429" spans="1:11" s="90" customFormat="1" ht="12.75" customHeight="1" x14ac:dyDescent="0.2">
      <c r="A6429" s="247"/>
      <c r="B6429" s="316"/>
      <c r="C6429" s="247"/>
      <c r="D6429" s="317"/>
      <c r="E6429" s="318"/>
      <c r="F6429" s="247"/>
      <c r="G6429" s="247"/>
      <c r="H6429" s="248"/>
      <c r="I6429" s="248"/>
      <c r="J6429" s="247"/>
      <c r="K6429" s="249"/>
    </row>
    <row r="6430" spans="1:11" s="90" customFormat="1" ht="12.75" customHeight="1" x14ac:dyDescent="0.2">
      <c r="A6430" s="247"/>
      <c r="B6430" s="316"/>
      <c r="C6430" s="247"/>
      <c r="D6430" s="317"/>
      <c r="E6430" s="318"/>
      <c r="F6430" s="247"/>
      <c r="G6430" s="247"/>
      <c r="H6430" s="248"/>
      <c r="I6430" s="248"/>
      <c r="J6430" s="247"/>
      <c r="K6430" s="249"/>
    </row>
    <row r="6431" spans="1:11" s="90" customFormat="1" ht="12.75" customHeight="1" x14ac:dyDescent="0.2">
      <c r="A6431" s="247"/>
      <c r="B6431" s="316"/>
      <c r="C6431" s="247"/>
      <c r="D6431" s="317"/>
      <c r="E6431" s="318"/>
      <c r="F6431" s="247"/>
      <c r="G6431" s="247"/>
      <c r="H6431" s="248"/>
      <c r="I6431" s="248"/>
      <c r="J6431" s="247"/>
      <c r="K6431" s="249"/>
    </row>
    <row r="6432" spans="1:11" s="90" customFormat="1" ht="12.75" customHeight="1" x14ac:dyDescent="0.2">
      <c r="A6432" s="247"/>
      <c r="B6432" s="316"/>
      <c r="C6432" s="247"/>
      <c r="D6432" s="317"/>
      <c r="E6432" s="318"/>
      <c r="F6432" s="247"/>
      <c r="G6432" s="247"/>
      <c r="H6432" s="248"/>
      <c r="I6432" s="248"/>
      <c r="J6432" s="247"/>
      <c r="K6432" s="249"/>
    </row>
    <row r="6433" spans="1:11" s="90" customFormat="1" ht="12.75" customHeight="1" x14ac:dyDescent="0.2">
      <c r="A6433" s="247"/>
      <c r="B6433" s="316"/>
      <c r="C6433" s="247"/>
      <c r="D6433" s="317"/>
      <c r="E6433" s="318"/>
      <c r="F6433" s="247"/>
      <c r="G6433" s="247"/>
      <c r="H6433" s="248"/>
      <c r="I6433" s="248"/>
      <c r="J6433" s="247"/>
      <c r="K6433" s="249"/>
    </row>
    <row r="6434" spans="1:11" s="90" customFormat="1" ht="12.75" customHeight="1" x14ac:dyDescent="0.2">
      <c r="A6434" s="247"/>
      <c r="B6434" s="316"/>
      <c r="C6434" s="247"/>
      <c r="D6434" s="317"/>
      <c r="E6434" s="318"/>
      <c r="F6434" s="247"/>
      <c r="G6434" s="247"/>
      <c r="H6434" s="248"/>
      <c r="I6434" s="248"/>
      <c r="J6434" s="247"/>
      <c r="K6434" s="249"/>
    </row>
    <row r="6435" spans="1:11" s="90" customFormat="1" ht="12.75" customHeight="1" x14ac:dyDescent="0.2">
      <c r="A6435" s="247"/>
      <c r="B6435" s="316"/>
      <c r="C6435" s="247"/>
      <c r="D6435" s="317"/>
      <c r="E6435" s="318"/>
      <c r="F6435" s="247"/>
      <c r="G6435" s="247"/>
      <c r="H6435" s="248"/>
      <c r="I6435" s="248"/>
      <c r="J6435" s="247"/>
      <c r="K6435" s="249"/>
    </row>
    <row r="6436" spans="1:11" s="90" customFormat="1" ht="12.75" customHeight="1" x14ac:dyDescent="0.2">
      <c r="A6436" s="247"/>
      <c r="B6436" s="316"/>
      <c r="C6436" s="247"/>
      <c r="D6436" s="317"/>
      <c r="E6436" s="318"/>
      <c r="F6436" s="247"/>
      <c r="G6436" s="247"/>
      <c r="H6436" s="248"/>
      <c r="I6436" s="248"/>
      <c r="J6436" s="247"/>
      <c r="K6436" s="249"/>
    </row>
    <row r="6437" spans="1:11" s="90" customFormat="1" ht="12.75" customHeight="1" x14ac:dyDescent="0.2">
      <c r="A6437" s="247"/>
      <c r="B6437" s="316"/>
      <c r="C6437" s="247"/>
      <c r="D6437" s="317"/>
      <c r="E6437" s="318"/>
      <c r="F6437" s="247"/>
      <c r="G6437" s="247"/>
      <c r="H6437" s="248"/>
      <c r="I6437" s="248"/>
      <c r="J6437" s="247"/>
      <c r="K6437" s="249"/>
    </row>
    <row r="6438" spans="1:11" s="90" customFormat="1" ht="12.75" customHeight="1" x14ac:dyDescent="0.2">
      <c r="A6438" s="247"/>
      <c r="B6438" s="316"/>
      <c r="C6438" s="247"/>
      <c r="D6438" s="317"/>
      <c r="E6438" s="318"/>
      <c r="F6438" s="247"/>
      <c r="G6438" s="247"/>
      <c r="H6438" s="248"/>
      <c r="I6438" s="248"/>
      <c r="J6438" s="247"/>
      <c r="K6438" s="249"/>
    </row>
    <row r="6439" spans="1:11" s="90" customFormat="1" ht="12.75" customHeight="1" x14ac:dyDescent="0.2">
      <c r="A6439" s="247"/>
      <c r="B6439" s="316"/>
      <c r="C6439" s="247"/>
      <c r="D6439" s="317"/>
      <c r="E6439" s="318"/>
      <c r="F6439" s="247"/>
      <c r="G6439" s="247"/>
      <c r="H6439" s="248"/>
      <c r="I6439" s="248"/>
      <c r="J6439" s="247"/>
      <c r="K6439" s="249"/>
    </row>
    <row r="6440" spans="1:11" s="90" customFormat="1" ht="12.75" customHeight="1" x14ac:dyDescent="0.2">
      <c r="A6440" s="247"/>
      <c r="B6440" s="316"/>
      <c r="C6440" s="247"/>
      <c r="D6440" s="317"/>
      <c r="E6440" s="318"/>
      <c r="F6440" s="247"/>
      <c r="G6440" s="247"/>
      <c r="H6440" s="248"/>
      <c r="I6440" s="248"/>
      <c r="J6440" s="247"/>
      <c r="K6440" s="249"/>
    </row>
    <row r="6441" spans="1:11" s="90" customFormat="1" ht="12.75" customHeight="1" x14ac:dyDescent="0.2">
      <c r="A6441" s="247"/>
      <c r="B6441" s="316"/>
      <c r="C6441" s="247"/>
      <c r="D6441" s="317"/>
      <c r="E6441" s="318"/>
      <c r="F6441" s="247"/>
      <c r="G6441" s="247"/>
      <c r="H6441" s="248"/>
      <c r="I6441" s="248"/>
      <c r="J6441" s="247"/>
      <c r="K6441" s="249"/>
    </row>
    <row r="6442" spans="1:11" s="90" customFormat="1" ht="12.75" customHeight="1" x14ac:dyDescent="0.2">
      <c r="A6442" s="247"/>
      <c r="B6442" s="316"/>
      <c r="C6442" s="247"/>
      <c r="D6442" s="317"/>
      <c r="E6442" s="318"/>
      <c r="F6442" s="247"/>
      <c r="G6442" s="247"/>
      <c r="H6442" s="248"/>
      <c r="I6442" s="248"/>
      <c r="J6442" s="247"/>
      <c r="K6442" s="249"/>
    </row>
    <row r="6443" spans="1:11" s="90" customFormat="1" ht="12.75" customHeight="1" x14ac:dyDescent="0.2">
      <c r="A6443" s="247"/>
      <c r="B6443" s="316"/>
      <c r="C6443" s="247"/>
      <c r="D6443" s="317"/>
      <c r="E6443" s="318"/>
      <c r="F6443" s="247"/>
      <c r="G6443" s="247"/>
      <c r="H6443" s="248"/>
      <c r="I6443" s="248"/>
      <c r="J6443" s="247"/>
      <c r="K6443" s="249"/>
    </row>
    <row r="6444" spans="1:11" s="90" customFormat="1" ht="12.75" customHeight="1" x14ac:dyDescent="0.2">
      <c r="A6444" s="247"/>
      <c r="B6444" s="316"/>
      <c r="C6444" s="247"/>
      <c r="D6444" s="317"/>
      <c r="E6444" s="318"/>
      <c r="F6444" s="247"/>
      <c r="G6444" s="247"/>
      <c r="H6444" s="248"/>
      <c r="I6444" s="248"/>
      <c r="J6444" s="247"/>
      <c r="K6444" s="249"/>
    </row>
    <row r="6445" spans="1:11" s="90" customFormat="1" ht="12.75" customHeight="1" x14ac:dyDescent="0.2">
      <c r="A6445" s="247"/>
      <c r="B6445" s="316"/>
      <c r="C6445" s="247"/>
      <c r="D6445" s="317"/>
      <c r="E6445" s="318"/>
      <c r="F6445" s="247"/>
      <c r="G6445" s="247"/>
      <c r="H6445" s="248"/>
      <c r="I6445" s="248"/>
      <c r="J6445" s="247"/>
      <c r="K6445" s="249"/>
    </row>
    <row r="6446" spans="1:11" s="90" customFormat="1" ht="12.75" customHeight="1" x14ac:dyDescent="0.2">
      <c r="A6446" s="247"/>
      <c r="B6446" s="316"/>
      <c r="C6446" s="247"/>
      <c r="D6446" s="317"/>
      <c r="E6446" s="318"/>
      <c r="F6446" s="247"/>
      <c r="G6446" s="247"/>
      <c r="H6446" s="248"/>
      <c r="I6446" s="248"/>
      <c r="J6446" s="247"/>
      <c r="K6446" s="249"/>
    </row>
    <row r="6447" spans="1:11" s="90" customFormat="1" ht="12.75" customHeight="1" x14ac:dyDescent="0.2">
      <c r="A6447" s="247"/>
      <c r="B6447" s="316"/>
      <c r="C6447" s="247"/>
      <c r="D6447" s="317"/>
      <c r="E6447" s="318"/>
      <c r="F6447" s="247"/>
      <c r="G6447" s="247"/>
      <c r="H6447" s="248"/>
      <c r="I6447" s="248"/>
      <c r="J6447" s="247"/>
      <c r="K6447" s="249"/>
    </row>
    <row r="6448" spans="1:11" s="90" customFormat="1" ht="12.75" customHeight="1" x14ac:dyDescent="0.2">
      <c r="A6448" s="247"/>
      <c r="B6448" s="316"/>
      <c r="C6448" s="247"/>
      <c r="D6448" s="317"/>
      <c r="E6448" s="318"/>
      <c r="F6448" s="247"/>
      <c r="G6448" s="247"/>
      <c r="H6448" s="248"/>
      <c r="I6448" s="248"/>
      <c r="J6448" s="247"/>
      <c r="K6448" s="249"/>
    </row>
    <row r="6449" spans="1:11" s="90" customFormat="1" ht="12.75" customHeight="1" x14ac:dyDescent="0.2">
      <c r="A6449" s="247"/>
      <c r="B6449" s="316"/>
      <c r="C6449" s="247"/>
      <c r="D6449" s="317"/>
      <c r="E6449" s="318"/>
      <c r="F6449" s="247"/>
      <c r="G6449" s="247"/>
      <c r="H6449" s="248"/>
      <c r="I6449" s="248"/>
      <c r="J6449" s="247"/>
      <c r="K6449" s="249"/>
    </row>
    <row r="6450" spans="1:11" s="90" customFormat="1" ht="12.75" customHeight="1" x14ac:dyDescent="0.2">
      <c r="A6450" s="247"/>
      <c r="B6450" s="316"/>
      <c r="C6450" s="247"/>
      <c r="D6450" s="317"/>
      <c r="E6450" s="318"/>
      <c r="F6450" s="247"/>
      <c r="G6450" s="247"/>
      <c r="H6450" s="248"/>
      <c r="I6450" s="248"/>
      <c r="J6450" s="247"/>
      <c r="K6450" s="249"/>
    </row>
    <row r="6451" spans="1:11" s="90" customFormat="1" ht="12.75" customHeight="1" x14ac:dyDescent="0.2">
      <c r="A6451" s="247"/>
      <c r="B6451" s="316"/>
      <c r="C6451" s="247"/>
      <c r="D6451" s="317"/>
      <c r="E6451" s="318"/>
      <c r="F6451" s="247"/>
      <c r="G6451" s="247"/>
      <c r="H6451" s="248"/>
      <c r="I6451" s="248"/>
      <c r="J6451" s="247"/>
      <c r="K6451" s="249"/>
    </row>
    <row r="6452" spans="1:11" s="90" customFormat="1" ht="12.75" customHeight="1" x14ac:dyDescent="0.2">
      <c r="A6452" s="247"/>
      <c r="B6452" s="316"/>
      <c r="C6452" s="247"/>
      <c r="D6452" s="317"/>
      <c r="E6452" s="318"/>
      <c r="F6452" s="247"/>
      <c r="G6452" s="247"/>
      <c r="H6452" s="248"/>
      <c r="I6452" s="248"/>
      <c r="J6452" s="247"/>
      <c r="K6452" s="249"/>
    </row>
    <row r="6453" spans="1:11" s="90" customFormat="1" ht="12.75" customHeight="1" x14ac:dyDescent="0.2">
      <c r="A6453" s="247"/>
      <c r="B6453" s="316"/>
      <c r="C6453" s="247"/>
      <c r="D6453" s="317"/>
      <c r="E6453" s="318"/>
      <c r="F6453" s="247"/>
      <c r="G6453" s="247"/>
      <c r="H6453" s="248"/>
      <c r="I6453" s="248"/>
      <c r="J6453" s="247"/>
      <c r="K6453" s="249"/>
    </row>
    <row r="6454" spans="1:11" s="90" customFormat="1" ht="12.75" customHeight="1" x14ac:dyDescent="0.2">
      <c r="A6454" s="247"/>
      <c r="B6454" s="316"/>
      <c r="C6454" s="247"/>
      <c r="D6454" s="317"/>
      <c r="E6454" s="318"/>
      <c r="F6454" s="247"/>
      <c r="G6454" s="247"/>
      <c r="H6454" s="248"/>
      <c r="I6454" s="248"/>
      <c r="J6454" s="247"/>
      <c r="K6454" s="249"/>
    </row>
    <row r="6455" spans="1:11" s="90" customFormat="1" ht="12.75" customHeight="1" x14ac:dyDescent="0.2">
      <c r="A6455" s="247"/>
      <c r="B6455" s="316"/>
      <c r="C6455" s="247"/>
      <c r="D6455" s="317"/>
      <c r="E6455" s="318"/>
      <c r="F6455" s="247"/>
      <c r="G6455" s="247"/>
      <c r="H6455" s="248"/>
      <c r="I6455" s="248"/>
      <c r="J6455" s="247"/>
      <c r="K6455" s="249"/>
    </row>
    <row r="6456" spans="1:11" s="90" customFormat="1" ht="12.75" customHeight="1" x14ac:dyDescent="0.2">
      <c r="A6456" s="247"/>
      <c r="B6456" s="316"/>
      <c r="C6456" s="247"/>
      <c r="D6456" s="317"/>
      <c r="E6456" s="318"/>
      <c r="F6456" s="247"/>
      <c r="G6456" s="247"/>
      <c r="H6456" s="248"/>
      <c r="I6456" s="248"/>
      <c r="J6456" s="247"/>
      <c r="K6456" s="249"/>
    </row>
    <row r="6457" spans="1:11" s="90" customFormat="1" ht="12.75" customHeight="1" x14ac:dyDescent="0.2">
      <c r="A6457" s="247"/>
      <c r="B6457" s="316"/>
      <c r="C6457" s="247"/>
      <c r="D6457" s="317"/>
      <c r="E6457" s="318"/>
      <c r="F6457" s="247"/>
      <c r="G6457" s="247"/>
      <c r="H6457" s="248"/>
      <c r="I6457" s="248"/>
      <c r="J6457" s="247"/>
      <c r="K6457" s="249"/>
    </row>
    <row r="6458" spans="1:11" s="90" customFormat="1" ht="12.75" customHeight="1" x14ac:dyDescent="0.2">
      <c r="A6458" s="247"/>
      <c r="B6458" s="316"/>
      <c r="C6458" s="247"/>
      <c r="D6458" s="317"/>
      <c r="E6458" s="318"/>
      <c r="F6458" s="247"/>
      <c r="G6458" s="247"/>
      <c r="H6458" s="248"/>
      <c r="I6458" s="248"/>
      <c r="J6458" s="247"/>
      <c r="K6458" s="249"/>
    </row>
    <row r="6459" spans="1:11" s="90" customFormat="1" ht="12.75" customHeight="1" x14ac:dyDescent="0.2">
      <c r="A6459" s="247"/>
      <c r="B6459" s="316"/>
      <c r="C6459" s="247"/>
      <c r="D6459" s="317"/>
      <c r="E6459" s="318"/>
      <c r="F6459" s="247"/>
      <c r="G6459" s="247"/>
      <c r="H6459" s="248"/>
      <c r="I6459" s="248"/>
      <c r="J6459" s="247"/>
      <c r="K6459" s="249"/>
    </row>
    <row r="6460" spans="1:11" s="90" customFormat="1" ht="12.75" customHeight="1" x14ac:dyDescent="0.2">
      <c r="A6460" s="247"/>
      <c r="B6460" s="316"/>
      <c r="C6460" s="247"/>
      <c r="D6460" s="317"/>
      <c r="E6460" s="318"/>
      <c r="F6460" s="247"/>
      <c r="G6460" s="247"/>
      <c r="H6460" s="248"/>
      <c r="I6460" s="248"/>
      <c r="J6460" s="247"/>
      <c r="K6460" s="249"/>
    </row>
    <row r="6461" spans="1:11" s="90" customFormat="1" ht="12.75" customHeight="1" x14ac:dyDescent="0.2">
      <c r="A6461" s="247"/>
      <c r="B6461" s="316"/>
      <c r="C6461" s="247"/>
      <c r="D6461" s="317"/>
      <c r="E6461" s="318"/>
      <c r="F6461" s="247"/>
      <c r="G6461" s="247"/>
      <c r="H6461" s="248"/>
      <c r="I6461" s="248"/>
      <c r="J6461" s="247"/>
      <c r="K6461" s="249"/>
    </row>
    <row r="6462" spans="1:11" s="90" customFormat="1" ht="12.75" customHeight="1" x14ac:dyDescent="0.2">
      <c r="A6462" s="247"/>
      <c r="B6462" s="316"/>
      <c r="C6462" s="247"/>
      <c r="D6462" s="317"/>
      <c r="E6462" s="318"/>
      <c r="F6462" s="247"/>
      <c r="G6462" s="247"/>
      <c r="H6462" s="248"/>
      <c r="I6462" s="248"/>
      <c r="J6462" s="247"/>
      <c r="K6462" s="249"/>
    </row>
    <row r="6463" spans="1:11" s="90" customFormat="1" ht="12.75" customHeight="1" x14ac:dyDescent="0.2">
      <c r="A6463" s="247"/>
      <c r="B6463" s="316"/>
      <c r="C6463" s="247"/>
      <c r="D6463" s="317"/>
      <c r="E6463" s="318"/>
      <c r="F6463" s="247"/>
      <c r="G6463" s="247"/>
      <c r="H6463" s="248"/>
      <c r="I6463" s="248"/>
      <c r="J6463" s="247"/>
      <c r="K6463" s="249"/>
    </row>
    <row r="6464" spans="1:11" s="90" customFormat="1" ht="12.75" customHeight="1" x14ac:dyDescent="0.2">
      <c r="A6464" s="247"/>
      <c r="B6464" s="316"/>
      <c r="C6464" s="247"/>
      <c r="D6464" s="317"/>
      <c r="E6464" s="318"/>
      <c r="F6464" s="247"/>
      <c r="G6464" s="247"/>
      <c r="H6464" s="248"/>
      <c r="I6464" s="248"/>
      <c r="J6464" s="247"/>
      <c r="K6464" s="249"/>
    </row>
    <row r="6465" spans="1:11" s="90" customFormat="1" ht="12.75" customHeight="1" x14ac:dyDescent="0.2">
      <c r="A6465" s="247"/>
      <c r="B6465" s="316"/>
      <c r="C6465" s="247"/>
      <c r="D6465" s="317"/>
      <c r="E6465" s="318"/>
      <c r="F6465" s="247"/>
      <c r="G6465" s="247"/>
      <c r="H6465" s="248"/>
      <c r="I6465" s="248"/>
      <c r="J6465" s="247"/>
      <c r="K6465" s="249"/>
    </row>
    <row r="6466" spans="1:11" s="90" customFormat="1" ht="12.75" customHeight="1" x14ac:dyDescent="0.2">
      <c r="A6466" s="247"/>
      <c r="B6466" s="316"/>
      <c r="C6466" s="247"/>
      <c r="D6466" s="317"/>
      <c r="E6466" s="318"/>
      <c r="F6466" s="247"/>
      <c r="G6466" s="247"/>
      <c r="H6466" s="248"/>
      <c r="I6466" s="248"/>
      <c r="J6466" s="247"/>
      <c r="K6466" s="249"/>
    </row>
    <row r="6467" spans="1:11" s="90" customFormat="1" ht="12.75" customHeight="1" x14ac:dyDescent="0.2">
      <c r="A6467" s="247"/>
      <c r="B6467" s="316"/>
      <c r="C6467" s="247"/>
      <c r="D6467" s="317"/>
      <c r="E6467" s="318"/>
      <c r="F6467" s="247"/>
      <c r="G6467" s="247"/>
      <c r="H6467" s="248"/>
      <c r="I6467" s="248"/>
      <c r="J6467" s="247"/>
      <c r="K6467" s="249"/>
    </row>
    <row r="6468" spans="1:11" s="90" customFormat="1" ht="12.75" customHeight="1" x14ac:dyDescent="0.2">
      <c r="A6468" s="247"/>
      <c r="B6468" s="316"/>
      <c r="C6468" s="247"/>
      <c r="D6468" s="317"/>
      <c r="E6468" s="318"/>
      <c r="F6468" s="247"/>
      <c r="G6468" s="247"/>
      <c r="H6468" s="248"/>
      <c r="I6468" s="248"/>
      <c r="J6468" s="247"/>
      <c r="K6468" s="249"/>
    </row>
    <row r="6469" spans="1:11" s="90" customFormat="1" ht="12.75" customHeight="1" x14ac:dyDescent="0.2">
      <c r="A6469" s="247"/>
      <c r="B6469" s="316"/>
      <c r="C6469" s="247"/>
      <c r="D6469" s="317"/>
      <c r="E6469" s="318"/>
      <c r="F6469" s="247"/>
      <c r="G6469" s="247"/>
      <c r="H6469" s="248"/>
      <c r="I6469" s="248"/>
      <c r="J6469" s="247"/>
      <c r="K6469" s="249"/>
    </row>
    <row r="6470" spans="1:11" s="90" customFormat="1" ht="12.75" customHeight="1" x14ac:dyDescent="0.2">
      <c r="A6470" s="247"/>
      <c r="B6470" s="316"/>
      <c r="C6470" s="247"/>
      <c r="D6470" s="317"/>
      <c r="E6470" s="318"/>
      <c r="F6470" s="247"/>
      <c r="G6470" s="247"/>
      <c r="H6470" s="248"/>
      <c r="I6470" s="248"/>
      <c r="J6470" s="247"/>
      <c r="K6470" s="249"/>
    </row>
    <row r="6471" spans="1:11" s="90" customFormat="1" ht="12.75" customHeight="1" x14ac:dyDescent="0.2">
      <c r="A6471" s="247"/>
      <c r="B6471" s="316"/>
      <c r="C6471" s="247"/>
      <c r="D6471" s="317"/>
      <c r="E6471" s="318"/>
      <c r="F6471" s="247"/>
      <c r="G6471" s="247"/>
      <c r="H6471" s="248"/>
      <c r="I6471" s="248"/>
      <c r="J6471" s="247"/>
      <c r="K6471" s="249"/>
    </row>
    <row r="6472" spans="1:11" s="90" customFormat="1" ht="12.75" customHeight="1" x14ac:dyDescent="0.2">
      <c r="A6472" s="247"/>
      <c r="B6472" s="316"/>
      <c r="C6472" s="247"/>
      <c r="D6472" s="317"/>
      <c r="E6472" s="318"/>
      <c r="F6472" s="247"/>
      <c r="G6472" s="247"/>
      <c r="H6472" s="248"/>
      <c r="I6472" s="248"/>
      <c r="J6472" s="247"/>
      <c r="K6472" s="249"/>
    </row>
    <row r="6473" spans="1:11" s="90" customFormat="1" ht="12.75" customHeight="1" x14ac:dyDescent="0.2">
      <c r="A6473" s="247"/>
      <c r="B6473" s="316"/>
      <c r="C6473" s="247"/>
      <c r="D6473" s="317"/>
      <c r="E6473" s="318"/>
      <c r="F6473" s="247"/>
      <c r="G6473" s="247"/>
      <c r="H6473" s="248"/>
      <c r="I6473" s="248"/>
      <c r="J6473" s="247"/>
      <c r="K6473" s="249"/>
    </row>
    <row r="6474" spans="1:11" s="90" customFormat="1" ht="12.75" customHeight="1" x14ac:dyDescent="0.2">
      <c r="A6474" s="247"/>
      <c r="B6474" s="316"/>
      <c r="C6474" s="247"/>
      <c r="D6474" s="317"/>
      <c r="E6474" s="318"/>
      <c r="F6474" s="247"/>
      <c r="G6474" s="247"/>
      <c r="H6474" s="248"/>
      <c r="I6474" s="248"/>
      <c r="J6474" s="247"/>
      <c r="K6474" s="249"/>
    </row>
    <row r="6475" spans="1:11" s="90" customFormat="1" ht="12.75" customHeight="1" x14ac:dyDescent="0.2">
      <c r="A6475" s="247"/>
      <c r="B6475" s="316"/>
      <c r="C6475" s="247"/>
      <c r="D6475" s="317"/>
      <c r="E6475" s="318"/>
      <c r="F6475" s="247"/>
      <c r="G6475" s="247"/>
      <c r="H6475" s="248"/>
      <c r="I6475" s="248"/>
      <c r="J6475" s="247"/>
      <c r="K6475" s="249"/>
    </row>
    <row r="6476" spans="1:11" s="90" customFormat="1" ht="12.75" customHeight="1" x14ac:dyDescent="0.2">
      <c r="A6476" s="247"/>
      <c r="B6476" s="316"/>
      <c r="C6476" s="247"/>
      <c r="D6476" s="317"/>
      <c r="E6476" s="318"/>
      <c r="F6476" s="247"/>
      <c r="G6476" s="247"/>
      <c r="H6476" s="248"/>
      <c r="I6476" s="248"/>
      <c r="J6476" s="247"/>
      <c r="K6476" s="249"/>
    </row>
    <row r="6477" spans="1:11" s="90" customFormat="1" ht="12.75" customHeight="1" x14ac:dyDescent="0.2">
      <c r="A6477" s="247"/>
      <c r="B6477" s="316"/>
      <c r="C6477" s="247"/>
      <c r="D6477" s="317"/>
      <c r="E6477" s="318"/>
      <c r="F6477" s="247"/>
      <c r="G6477" s="247"/>
      <c r="H6477" s="248"/>
      <c r="I6477" s="248"/>
      <c r="J6477" s="247"/>
      <c r="K6477" s="249"/>
    </row>
    <row r="6478" spans="1:11" s="90" customFormat="1" ht="12.75" customHeight="1" x14ac:dyDescent="0.2">
      <c r="A6478" s="247"/>
      <c r="B6478" s="316"/>
      <c r="C6478" s="247"/>
      <c r="D6478" s="317"/>
      <c r="E6478" s="318"/>
      <c r="F6478" s="247"/>
      <c r="G6478" s="247"/>
      <c r="H6478" s="248"/>
      <c r="I6478" s="248"/>
      <c r="J6478" s="247"/>
      <c r="K6478" s="249"/>
    </row>
    <row r="6479" spans="1:11" s="90" customFormat="1" ht="12.75" customHeight="1" x14ac:dyDescent="0.2">
      <c r="A6479" s="247"/>
      <c r="B6479" s="316"/>
      <c r="C6479" s="247"/>
      <c r="D6479" s="317"/>
      <c r="E6479" s="318"/>
      <c r="F6479" s="247"/>
      <c r="G6479" s="247"/>
      <c r="H6479" s="248"/>
      <c r="I6479" s="248"/>
      <c r="J6479" s="247"/>
      <c r="K6479" s="249"/>
    </row>
    <row r="6480" spans="1:11" s="90" customFormat="1" ht="12.75" customHeight="1" x14ac:dyDescent="0.2">
      <c r="A6480" s="247"/>
      <c r="B6480" s="316"/>
      <c r="C6480" s="247"/>
      <c r="D6480" s="317"/>
      <c r="E6480" s="318"/>
      <c r="F6480" s="247"/>
      <c r="G6480" s="247"/>
      <c r="H6480" s="248"/>
      <c r="I6480" s="248"/>
      <c r="J6480" s="247"/>
      <c r="K6480" s="249"/>
    </row>
    <row r="6481" spans="1:11" s="90" customFormat="1" ht="12.75" customHeight="1" x14ac:dyDescent="0.2">
      <c r="A6481" s="247"/>
      <c r="B6481" s="316"/>
      <c r="C6481" s="247"/>
      <c r="D6481" s="317"/>
      <c r="E6481" s="318"/>
      <c r="F6481" s="247"/>
      <c r="G6481" s="247"/>
      <c r="H6481" s="248"/>
      <c r="I6481" s="248"/>
      <c r="J6481" s="247"/>
      <c r="K6481" s="249"/>
    </row>
    <row r="6482" spans="1:11" s="90" customFormat="1" ht="12.75" customHeight="1" x14ac:dyDescent="0.2">
      <c r="A6482" s="247"/>
      <c r="B6482" s="316"/>
      <c r="C6482" s="247"/>
      <c r="D6482" s="317"/>
      <c r="E6482" s="318"/>
      <c r="F6482" s="247"/>
      <c r="G6482" s="247"/>
      <c r="H6482" s="248"/>
      <c r="I6482" s="248"/>
      <c r="J6482" s="247"/>
      <c r="K6482" s="249"/>
    </row>
    <row r="6483" spans="1:11" s="90" customFormat="1" ht="12.75" customHeight="1" x14ac:dyDescent="0.2">
      <c r="A6483" s="247"/>
      <c r="B6483" s="316"/>
      <c r="C6483" s="247"/>
      <c r="D6483" s="317"/>
      <c r="E6483" s="318"/>
      <c r="F6483" s="247"/>
      <c r="G6483" s="247"/>
      <c r="H6483" s="248"/>
      <c r="I6483" s="248"/>
      <c r="J6483" s="247"/>
      <c r="K6483" s="249"/>
    </row>
    <row r="6484" spans="1:11" s="90" customFormat="1" ht="12.75" customHeight="1" x14ac:dyDescent="0.2">
      <c r="A6484" s="247"/>
      <c r="B6484" s="316"/>
      <c r="C6484" s="247"/>
      <c r="D6484" s="317"/>
      <c r="E6484" s="318"/>
      <c r="F6484" s="247"/>
      <c r="G6484" s="247"/>
      <c r="H6484" s="248"/>
      <c r="I6484" s="248"/>
      <c r="J6484" s="247"/>
      <c r="K6484" s="249"/>
    </row>
    <row r="6485" spans="1:11" s="90" customFormat="1" ht="12.75" customHeight="1" x14ac:dyDescent="0.2">
      <c r="A6485" s="247"/>
      <c r="B6485" s="316"/>
      <c r="C6485" s="247"/>
      <c r="D6485" s="317"/>
      <c r="E6485" s="318"/>
      <c r="F6485" s="247"/>
      <c r="G6485" s="247"/>
      <c r="H6485" s="248"/>
      <c r="I6485" s="248"/>
      <c r="J6485" s="247"/>
      <c r="K6485" s="249"/>
    </row>
    <row r="6486" spans="1:11" s="90" customFormat="1" ht="12.75" customHeight="1" x14ac:dyDescent="0.2">
      <c r="A6486" s="247"/>
      <c r="B6486" s="316"/>
      <c r="C6486" s="247"/>
      <c r="D6486" s="317"/>
      <c r="E6486" s="318"/>
      <c r="F6486" s="247"/>
      <c r="G6486" s="247"/>
      <c r="H6486" s="248"/>
      <c r="I6486" s="248"/>
      <c r="J6486" s="247"/>
      <c r="K6486" s="249"/>
    </row>
    <row r="6487" spans="1:11" s="90" customFormat="1" ht="12.75" customHeight="1" x14ac:dyDescent="0.2">
      <c r="A6487" s="247"/>
      <c r="B6487" s="316"/>
      <c r="C6487" s="247"/>
      <c r="D6487" s="317"/>
      <c r="E6487" s="318"/>
      <c r="F6487" s="247"/>
      <c r="G6487" s="247"/>
      <c r="H6487" s="248"/>
      <c r="I6487" s="248"/>
      <c r="J6487" s="247"/>
      <c r="K6487" s="249"/>
    </row>
    <row r="6488" spans="1:11" s="90" customFormat="1" ht="12.75" customHeight="1" x14ac:dyDescent="0.2">
      <c r="A6488" s="247"/>
      <c r="B6488" s="316"/>
      <c r="C6488" s="247"/>
      <c r="D6488" s="317"/>
      <c r="E6488" s="318"/>
      <c r="F6488" s="247"/>
      <c r="G6488" s="247"/>
      <c r="H6488" s="248"/>
      <c r="I6488" s="248"/>
      <c r="J6488" s="247"/>
      <c r="K6488" s="249"/>
    </row>
    <row r="6489" spans="1:11" s="90" customFormat="1" ht="12.75" customHeight="1" x14ac:dyDescent="0.2">
      <c r="A6489" s="247"/>
      <c r="B6489" s="316"/>
      <c r="C6489" s="247"/>
      <c r="D6489" s="317"/>
      <c r="E6489" s="318"/>
      <c r="F6489" s="247"/>
      <c r="G6489" s="247"/>
      <c r="H6489" s="248"/>
      <c r="I6489" s="248"/>
      <c r="J6489" s="247"/>
      <c r="K6489" s="249"/>
    </row>
    <row r="6490" spans="1:11" s="90" customFormat="1" ht="12.75" customHeight="1" x14ac:dyDescent="0.2">
      <c r="A6490" s="247"/>
      <c r="B6490" s="316"/>
      <c r="C6490" s="247"/>
      <c r="D6490" s="317"/>
      <c r="E6490" s="318"/>
      <c r="F6490" s="247"/>
      <c r="G6490" s="247"/>
      <c r="H6490" s="248"/>
      <c r="I6490" s="248"/>
      <c r="J6490" s="247"/>
      <c r="K6490" s="249"/>
    </row>
    <row r="6491" spans="1:11" s="90" customFormat="1" ht="12.75" customHeight="1" x14ac:dyDescent="0.2">
      <c r="A6491" s="247"/>
      <c r="B6491" s="316"/>
      <c r="C6491" s="247"/>
      <c r="D6491" s="317"/>
      <c r="E6491" s="318"/>
      <c r="F6491" s="247"/>
      <c r="G6491" s="247"/>
      <c r="H6491" s="248"/>
      <c r="I6491" s="248"/>
      <c r="J6491" s="247"/>
      <c r="K6491" s="249"/>
    </row>
    <row r="6492" spans="1:11" s="90" customFormat="1" ht="12.75" customHeight="1" x14ac:dyDescent="0.2">
      <c r="A6492" s="247"/>
      <c r="B6492" s="316"/>
      <c r="C6492" s="247"/>
      <c r="D6492" s="317"/>
      <c r="E6492" s="318"/>
      <c r="F6492" s="247"/>
      <c r="G6492" s="247"/>
      <c r="H6492" s="248"/>
      <c r="I6492" s="248"/>
      <c r="J6492" s="247"/>
      <c r="K6492" s="249"/>
    </row>
    <row r="6493" spans="1:11" s="90" customFormat="1" ht="12.75" customHeight="1" x14ac:dyDescent="0.2">
      <c r="A6493" s="247"/>
      <c r="B6493" s="316"/>
      <c r="C6493" s="247"/>
      <c r="D6493" s="317"/>
      <c r="E6493" s="318"/>
      <c r="F6493" s="247"/>
      <c r="G6493" s="247"/>
      <c r="H6493" s="248"/>
      <c r="I6493" s="248"/>
      <c r="J6493" s="247"/>
      <c r="K6493" s="249"/>
    </row>
    <row r="6494" spans="1:11" s="90" customFormat="1" ht="12.75" customHeight="1" x14ac:dyDescent="0.2">
      <c r="A6494" s="247"/>
      <c r="B6494" s="316"/>
      <c r="C6494" s="247"/>
      <c r="D6494" s="317"/>
      <c r="E6494" s="318"/>
      <c r="F6494" s="247"/>
      <c r="G6494" s="247"/>
      <c r="H6494" s="248"/>
      <c r="I6494" s="248"/>
      <c r="J6494" s="247"/>
      <c r="K6494" s="249"/>
    </row>
    <row r="6495" spans="1:11" s="90" customFormat="1" ht="12.75" customHeight="1" x14ac:dyDescent="0.2">
      <c r="A6495" s="247"/>
      <c r="B6495" s="316"/>
      <c r="C6495" s="247"/>
      <c r="D6495" s="317"/>
      <c r="E6495" s="318"/>
      <c r="F6495" s="247"/>
      <c r="G6495" s="247"/>
      <c r="H6495" s="248"/>
      <c r="I6495" s="248"/>
      <c r="J6495" s="247"/>
      <c r="K6495" s="249"/>
    </row>
    <row r="6496" spans="1:11" s="90" customFormat="1" ht="12.75" customHeight="1" x14ac:dyDescent="0.2">
      <c r="A6496" s="247"/>
      <c r="B6496" s="316"/>
      <c r="C6496" s="247"/>
      <c r="D6496" s="317"/>
      <c r="E6496" s="318"/>
      <c r="F6496" s="247"/>
      <c r="G6496" s="247"/>
      <c r="H6496" s="248"/>
      <c r="I6496" s="248"/>
      <c r="J6496" s="247"/>
      <c r="K6496" s="249"/>
    </row>
    <row r="6497" spans="1:11" s="90" customFormat="1" ht="12.75" customHeight="1" x14ac:dyDescent="0.2">
      <c r="A6497" s="247"/>
      <c r="B6497" s="316"/>
      <c r="C6497" s="247"/>
      <c r="D6497" s="317"/>
      <c r="E6497" s="318"/>
      <c r="F6497" s="247"/>
      <c r="G6497" s="247"/>
      <c r="H6497" s="248"/>
      <c r="I6497" s="248"/>
      <c r="J6497" s="247"/>
      <c r="K6497" s="249"/>
    </row>
    <row r="6498" spans="1:11" s="90" customFormat="1" ht="12.75" customHeight="1" x14ac:dyDescent="0.2">
      <c r="A6498" s="247"/>
      <c r="B6498" s="316"/>
      <c r="C6498" s="247"/>
      <c r="D6498" s="317"/>
      <c r="E6498" s="318"/>
      <c r="F6498" s="247"/>
      <c r="G6498" s="247"/>
      <c r="H6498" s="248"/>
      <c r="I6498" s="248"/>
      <c r="J6498" s="247"/>
      <c r="K6498" s="249"/>
    </row>
    <row r="6499" spans="1:11" s="90" customFormat="1" ht="12.75" customHeight="1" x14ac:dyDescent="0.2">
      <c r="A6499" s="247"/>
      <c r="B6499" s="316"/>
      <c r="C6499" s="247"/>
      <c r="D6499" s="317"/>
      <c r="E6499" s="318"/>
      <c r="F6499" s="247"/>
      <c r="G6499" s="247"/>
      <c r="H6499" s="248"/>
      <c r="I6499" s="248"/>
      <c r="J6499" s="247"/>
      <c r="K6499" s="249"/>
    </row>
    <row r="6500" spans="1:11" s="90" customFormat="1" ht="12.75" customHeight="1" x14ac:dyDescent="0.2">
      <c r="A6500" s="247"/>
      <c r="B6500" s="316"/>
      <c r="C6500" s="247"/>
      <c r="D6500" s="317"/>
      <c r="E6500" s="318"/>
      <c r="F6500" s="247"/>
      <c r="G6500" s="247"/>
      <c r="H6500" s="248"/>
      <c r="I6500" s="248"/>
      <c r="J6500" s="247"/>
      <c r="K6500" s="249"/>
    </row>
    <row r="6501" spans="1:11" s="90" customFormat="1" ht="12.75" customHeight="1" x14ac:dyDescent="0.2">
      <c r="A6501" s="247"/>
      <c r="B6501" s="316"/>
      <c r="C6501" s="247"/>
      <c r="D6501" s="317"/>
      <c r="E6501" s="318"/>
      <c r="F6501" s="247"/>
      <c r="G6501" s="247"/>
      <c r="H6501" s="248"/>
      <c r="I6501" s="248"/>
      <c r="J6501" s="247"/>
      <c r="K6501" s="249"/>
    </row>
    <row r="6502" spans="1:11" s="90" customFormat="1" ht="12.75" customHeight="1" x14ac:dyDescent="0.2">
      <c r="A6502" s="247"/>
      <c r="B6502" s="316"/>
      <c r="C6502" s="247"/>
      <c r="D6502" s="317"/>
      <c r="E6502" s="318"/>
      <c r="F6502" s="247"/>
      <c r="G6502" s="247"/>
      <c r="H6502" s="248"/>
      <c r="I6502" s="248"/>
      <c r="J6502" s="247"/>
      <c r="K6502" s="249"/>
    </row>
    <row r="6503" spans="1:11" s="90" customFormat="1" ht="12.75" customHeight="1" x14ac:dyDescent="0.2">
      <c r="A6503" s="247"/>
      <c r="B6503" s="316"/>
      <c r="C6503" s="247"/>
      <c r="D6503" s="317"/>
      <c r="E6503" s="318"/>
      <c r="F6503" s="247"/>
      <c r="G6503" s="247"/>
      <c r="H6503" s="248"/>
      <c r="I6503" s="248"/>
      <c r="J6503" s="247"/>
      <c r="K6503" s="249"/>
    </row>
    <row r="6504" spans="1:11" s="90" customFormat="1" ht="12.75" customHeight="1" x14ac:dyDescent="0.2">
      <c r="A6504" s="247"/>
      <c r="B6504" s="316"/>
      <c r="C6504" s="247"/>
      <c r="D6504" s="317"/>
      <c r="E6504" s="318"/>
      <c r="F6504" s="247"/>
      <c r="G6504" s="247"/>
      <c r="H6504" s="248"/>
      <c r="I6504" s="248"/>
      <c r="J6504" s="247"/>
      <c r="K6504" s="249"/>
    </row>
    <row r="6505" spans="1:11" s="90" customFormat="1" ht="12.75" customHeight="1" x14ac:dyDescent="0.2">
      <c r="A6505" s="247"/>
      <c r="B6505" s="316"/>
      <c r="C6505" s="247"/>
      <c r="D6505" s="317"/>
      <c r="E6505" s="318"/>
      <c r="F6505" s="247"/>
      <c r="G6505" s="247"/>
      <c r="H6505" s="248"/>
      <c r="I6505" s="248"/>
      <c r="J6505" s="247"/>
      <c r="K6505" s="249"/>
    </row>
    <row r="6506" spans="1:11" s="90" customFormat="1" ht="12.75" customHeight="1" x14ac:dyDescent="0.2">
      <c r="A6506" s="247"/>
      <c r="B6506" s="316"/>
      <c r="C6506" s="247"/>
      <c r="D6506" s="317"/>
      <c r="E6506" s="318"/>
      <c r="F6506" s="247"/>
      <c r="G6506" s="247"/>
      <c r="H6506" s="248"/>
      <c r="I6506" s="248"/>
      <c r="J6506" s="247"/>
      <c r="K6506" s="249"/>
    </row>
    <row r="6507" spans="1:11" s="90" customFormat="1" ht="12.75" customHeight="1" x14ac:dyDescent="0.2">
      <c r="A6507" s="247"/>
      <c r="B6507" s="316"/>
      <c r="C6507" s="247"/>
      <c r="D6507" s="317"/>
      <c r="E6507" s="318"/>
      <c r="F6507" s="247"/>
      <c r="G6507" s="247"/>
      <c r="H6507" s="248"/>
      <c r="I6507" s="248"/>
      <c r="J6507" s="247"/>
      <c r="K6507" s="249"/>
    </row>
    <row r="6508" spans="1:11" s="90" customFormat="1" ht="12.75" customHeight="1" x14ac:dyDescent="0.2">
      <c r="A6508" s="247"/>
      <c r="B6508" s="316"/>
      <c r="C6508" s="247"/>
      <c r="D6508" s="317"/>
      <c r="E6508" s="318"/>
      <c r="F6508" s="247"/>
      <c r="G6508" s="247"/>
      <c r="H6508" s="248"/>
      <c r="I6508" s="248"/>
      <c r="J6508" s="247"/>
      <c r="K6508" s="249"/>
    </row>
    <row r="6509" spans="1:11" s="90" customFormat="1" ht="12.75" customHeight="1" x14ac:dyDescent="0.2">
      <c r="A6509" s="247"/>
      <c r="B6509" s="316"/>
      <c r="C6509" s="247"/>
      <c r="D6509" s="317"/>
      <c r="E6509" s="318"/>
      <c r="F6509" s="247"/>
      <c r="G6509" s="247"/>
      <c r="H6509" s="248"/>
      <c r="I6509" s="248"/>
      <c r="J6509" s="247"/>
      <c r="K6509" s="249"/>
    </row>
    <row r="6510" spans="1:11" s="90" customFormat="1" ht="12.75" customHeight="1" x14ac:dyDescent="0.2">
      <c r="A6510" s="247"/>
      <c r="B6510" s="316"/>
      <c r="C6510" s="247"/>
      <c r="D6510" s="317"/>
      <c r="E6510" s="318"/>
      <c r="F6510" s="247"/>
      <c r="G6510" s="247"/>
      <c r="H6510" s="248"/>
      <c r="I6510" s="248"/>
      <c r="J6510" s="247"/>
      <c r="K6510" s="249"/>
    </row>
    <row r="6511" spans="1:11" s="90" customFormat="1" ht="12.75" customHeight="1" x14ac:dyDescent="0.2">
      <c r="A6511" s="247"/>
      <c r="B6511" s="316"/>
      <c r="C6511" s="247"/>
      <c r="D6511" s="317"/>
      <c r="E6511" s="318"/>
      <c r="F6511" s="247"/>
      <c r="G6511" s="247"/>
      <c r="H6511" s="248"/>
      <c r="I6511" s="248"/>
      <c r="J6511" s="247"/>
      <c r="K6511" s="249"/>
    </row>
    <row r="6512" spans="1:11" s="90" customFormat="1" ht="12.75" customHeight="1" x14ac:dyDescent="0.2">
      <c r="A6512" s="247"/>
      <c r="B6512" s="316"/>
      <c r="C6512" s="247"/>
      <c r="D6512" s="317"/>
      <c r="E6512" s="318"/>
      <c r="F6512" s="247"/>
      <c r="G6512" s="247"/>
      <c r="H6512" s="248"/>
      <c r="I6512" s="248"/>
      <c r="J6512" s="247"/>
      <c r="K6512" s="249"/>
    </row>
    <row r="6513" spans="1:11" s="90" customFormat="1" ht="12.75" customHeight="1" x14ac:dyDescent="0.2">
      <c r="A6513" s="247"/>
      <c r="B6513" s="316"/>
      <c r="C6513" s="247"/>
      <c r="D6513" s="317"/>
      <c r="E6513" s="318"/>
      <c r="F6513" s="247"/>
      <c r="G6513" s="247"/>
      <c r="H6513" s="248"/>
      <c r="I6513" s="248"/>
      <c r="J6513" s="247"/>
      <c r="K6513" s="249"/>
    </row>
    <row r="6514" spans="1:11" s="90" customFormat="1" ht="12.75" customHeight="1" x14ac:dyDescent="0.2">
      <c r="A6514" s="247"/>
      <c r="B6514" s="316"/>
      <c r="C6514" s="247"/>
      <c r="D6514" s="317"/>
      <c r="E6514" s="318"/>
      <c r="F6514" s="247"/>
      <c r="G6514" s="247"/>
      <c r="H6514" s="248"/>
      <c r="I6514" s="248"/>
      <c r="J6514" s="247"/>
      <c r="K6514" s="249"/>
    </row>
    <row r="6515" spans="1:11" s="90" customFormat="1" ht="12.75" customHeight="1" x14ac:dyDescent="0.2">
      <c r="A6515" s="247"/>
      <c r="B6515" s="316"/>
      <c r="C6515" s="247"/>
      <c r="D6515" s="317"/>
      <c r="E6515" s="318"/>
      <c r="F6515" s="247"/>
      <c r="G6515" s="247"/>
      <c r="H6515" s="248"/>
      <c r="I6515" s="248"/>
      <c r="J6515" s="247"/>
      <c r="K6515" s="249"/>
    </row>
    <row r="6516" spans="1:11" s="90" customFormat="1" ht="12.75" customHeight="1" x14ac:dyDescent="0.2">
      <c r="A6516" s="247"/>
      <c r="B6516" s="316"/>
      <c r="C6516" s="247"/>
      <c r="D6516" s="317"/>
      <c r="E6516" s="318"/>
      <c r="F6516" s="247"/>
      <c r="G6516" s="247"/>
      <c r="H6516" s="248"/>
      <c r="I6516" s="248"/>
      <c r="J6516" s="247"/>
      <c r="K6516" s="249"/>
    </row>
    <row r="6517" spans="1:11" s="90" customFormat="1" ht="12.75" customHeight="1" x14ac:dyDescent="0.2">
      <c r="A6517" s="247"/>
      <c r="B6517" s="316"/>
      <c r="C6517" s="247"/>
      <c r="D6517" s="317"/>
      <c r="E6517" s="318"/>
      <c r="F6517" s="247"/>
      <c r="G6517" s="247"/>
      <c r="H6517" s="248"/>
      <c r="I6517" s="248"/>
      <c r="J6517" s="247"/>
      <c r="K6517" s="249"/>
    </row>
    <row r="6518" spans="1:11" s="90" customFormat="1" ht="12.75" customHeight="1" x14ac:dyDescent="0.2">
      <c r="A6518" s="247"/>
      <c r="B6518" s="316"/>
      <c r="C6518" s="247"/>
      <c r="D6518" s="317"/>
      <c r="E6518" s="318"/>
      <c r="F6518" s="247"/>
      <c r="G6518" s="247"/>
      <c r="H6518" s="248"/>
      <c r="I6518" s="248"/>
      <c r="J6518" s="247"/>
      <c r="K6518" s="249"/>
    </row>
    <row r="6519" spans="1:11" s="90" customFormat="1" ht="12.75" customHeight="1" x14ac:dyDescent="0.2">
      <c r="A6519" s="247"/>
      <c r="B6519" s="316"/>
      <c r="C6519" s="247"/>
      <c r="D6519" s="317"/>
      <c r="E6519" s="318"/>
      <c r="F6519" s="247"/>
      <c r="G6519" s="247"/>
      <c r="H6519" s="248"/>
      <c r="I6519" s="248"/>
      <c r="J6519" s="247"/>
      <c r="K6519" s="249"/>
    </row>
    <row r="6520" spans="1:11" s="90" customFormat="1" ht="12.75" customHeight="1" x14ac:dyDescent="0.2">
      <c r="A6520" s="247"/>
      <c r="B6520" s="316"/>
      <c r="C6520" s="247"/>
      <c r="D6520" s="317"/>
      <c r="E6520" s="318"/>
      <c r="F6520" s="247"/>
      <c r="G6520" s="247"/>
      <c r="H6520" s="248"/>
      <c r="I6520" s="248"/>
      <c r="J6520" s="247"/>
      <c r="K6520" s="249"/>
    </row>
    <row r="6521" spans="1:11" s="90" customFormat="1" ht="12.75" customHeight="1" x14ac:dyDescent="0.2">
      <c r="A6521" s="247"/>
      <c r="B6521" s="316"/>
      <c r="C6521" s="247"/>
      <c r="D6521" s="317"/>
      <c r="E6521" s="318"/>
      <c r="F6521" s="247"/>
      <c r="G6521" s="247"/>
      <c r="H6521" s="248"/>
      <c r="I6521" s="248"/>
      <c r="J6521" s="247"/>
      <c r="K6521" s="249"/>
    </row>
    <row r="6522" spans="1:11" s="90" customFormat="1" ht="12.75" customHeight="1" x14ac:dyDescent="0.2">
      <c r="A6522" s="247"/>
      <c r="B6522" s="316"/>
      <c r="C6522" s="247"/>
      <c r="D6522" s="317"/>
      <c r="E6522" s="318"/>
      <c r="F6522" s="247"/>
      <c r="G6522" s="247"/>
      <c r="H6522" s="248"/>
      <c r="I6522" s="248"/>
      <c r="J6522" s="247"/>
      <c r="K6522" s="249"/>
    </row>
    <row r="6523" spans="1:11" s="90" customFormat="1" ht="12.75" customHeight="1" x14ac:dyDescent="0.2">
      <c r="A6523" s="247"/>
      <c r="B6523" s="316"/>
      <c r="C6523" s="247"/>
      <c r="D6523" s="317"/>
      <c r="E6523" s="318"/>
      <c r="F6523" s="247"/>
      <c r="G6523" s="247"/>
      <c r="H6523" s="248"/>
      <c r="I6523" s="248"/>
      <c r="J6523" s="247"/>
      <c r="K6523" s="249"/>
    </row>
    <row r="6524" spans="1:11" s="90" customFormat="1" ht="12.75" customHeight="1" x14ac:dyDescent="0.2">
      <c r="A6524" s="247"/>
      <c r="B6524" s="316"/>
      <c r="C6524" s="247"/>
      <c r="D6524" s="317"/>
      <c r="E6524" s="318"/>
      <c r="F6524" s="247"/>
      <c r="G6524" s="247"/>
      <c r="H6524" s="248"/>
      <c r="I6524" s="248"/>
      <c r="J6524" s="247"/>
      <c r="K6524" s="249"/>
    </row>
    <row r="6525" spans="1:11" s="90" customFormat="1" ht="12.75" customHeight="1" x14ac:dyDescent="0.2">
      <c r="A6525" s="247"/>
      <c r="B6525" s="316"/>
      <c r="C6525" s="247"/>
      <c r="D6525" s="317"/>
      <c r="E6525" s="318"/>
      <c r="F6525" s="247"/>
      <c r="G6525" s="247"/>
      <c r="H6525" s="248"/>
      <c r="I6525" s="248"/>
      <c r="J6525" s="247"/>
      <c r="K6525" s="249"/>
    </row>
    <row r="6526" spans="1:11" s="90" customFormat="1" ht="12.75" customHeight="1" x14ac:dyDescent="0.2">
      <c r="A6526" s="247"/>
      <c r="B6526" s="316"/>
      <c r="C6526" s="247"/>
      <c r="D6526" s="317"/>
      <c r="E6526" s="318"/>
      <c r="F6526" s="247"/>
      <c r="G6526" s="247"/>
      <c r="H6526" s="248"/>
      <c r="I6526" s="248"/>
      <c r="J6526" s="247"/>
      <c r="K6526" s="249"/>
    </row>
    <row r="6527" spans="1:11" s="90" customFormat="1" ht="12.75" customHeight="1" x14ac:dyDescent="0.2">
      <c r="A6527" s="247"/>
      <c r="B6527" s="316"/>
      <c r="C6527" s="247"/>
      <c r="D6527" s="317"/>
      <c r="E6527" s="318"/>
      <c r="F6527" s="247"/>
      <c r="G6527" s="247"/>
      <c r="H6527" s="248"/>
      <c r="I6527" s="248"/>
      <c r="J6527" s="247"/>
      <c r="K6527" s="249"/>
    </row>
    <row r="6528" spans="1:11" s="90" customFormat="1" ht="12.75" customHeight="1" x14ac:dyDescent="0.2">
      <c r="A6528" s="247"/>
      <c r="B6528" s="316"/>
      <c r="C6528" s="247"/>
      <c r="D6528" s="317"/>
      <c r="E6528" s="318"/>
      <c r="F6528" s="247"/>
      <c r="G6528" s="247"/>
      <c r="H6528" s="248"/>
      <c r="I6528" s="248"/>
      <c r="J6528" s="247"/>
      <c r="K6528" s="249"/>
    </row>
    <row r="6529" spans="1:11" s="90" customFormat="1" ht="12.75" customHeight="1" x14ac:dyDescent="0.2">
      <c r="A6529" s="247"/>
      <c r="B6529" s="316"/>
      <c r="C6529" s="247"/>
      <c r="D6529" s="317"/>
      <c r="E6529" s="318"/>
      <c r="F6529" s="247"/>
      <c r="G6529" s="247"/>
      <c r="H6529" s="248"/>
      <c r="I6529" s="248"/>
      <c r="J6529" s="247"/>
      <c r="K6529" s="249"/>
    </row>
    <row r="6530" spans="1:11" s="90" customFormat="1" ht="12.75" customHeight="1" x14ac:dyDescent="0.2">
      <c r="A6530" s="247"/>
      <c r="B6530" s="316"/>
      <c r="C6530" s="247"/>
      <c r="D6530" s="317"/>
      <c r="E6530" s="318"/>
      <c r="F6530" s="247"/>
      <c r="G6530" s="247"/>
      <c r="H6530" s="248"/>
      <c r="I6530" s="248"/>
      <c r="J6530" s="247"/>
      <c r="K6530" s="249"/>
    </row>
    <row r="6531" spans="1:11" s="90" customFormat="1" ht="12.75" customHeight="1" x14ac:dyDescent="0.2">
      <c r="A6531" s="247"/>
      <c r="B6531" s="316"/>
      <c r="C6531" s="247"/>
      <c r="D6531" s="317"/>
      <c r="E6531" s="318"/>
      <c r="F6531" s="247"/>
      <c r="G6531" s="247"/>
      <c r="H6531" s="248"/>
      <c r="I6531" s="248"/>
      <c r="J6531" s="247"/>
      <c r="K6531" s="249"/>
    </row>
    <row r="6532" spans="1:11" s="90" customFormat="1" ht="12.75" customHeight="1" x14ac:dyDescent="0.2">
      <c r="A6532" s="247"/>
      <c r="B6532" s="316"/>
      <c r="C6532" s="247"/>
      <c r="D6532" s="317"/>
      <c r="E6532" s="318"/>
      <c r="F6532" s="247"/>
      <c r="G6532" s="247"/>
      <c r="H6532" s="248"/>
      <c r="I6532" s="248"/>
      <c r="J6532" s="247"/>
      <c r="K6532" s="249"/>
    </row>
    <row r="6533" spans="1:11" s="90" customFormat="1" ht="12.75" customHeight="1" x14ac:dyDescent="0.2">
      <c r="A6533" s="247"/>
      <c r="B6533" s="316"/>
      <c r="C6533" s="247"/>
      <c r="D6533" s="317"/>
      <c r="E6533" s="318"/>
      <c r="F6533" s="247"/>
      <c r="G6533" s="247"/>
      <c r="H6533" s="248"/>
      <c r="I6533" s="248"/>
      <c r="J6533" s="247"/>
      <c r="K6533" s="249"/>
    </row>
    <row r="6534" spans="1:11" s="90" customFormat="1" ht="12.75" customHeight="1" x14ac:dyDescent="0.2">
      <c r="A6534" s="247"/>
      <c r="B6534" s="316"/>
      <c r="C6534" s="247"/>
      <c r="D6534" s="317"/>
      <c r="E6534" s="318"/>
      <c r="F6534" s="247"/>
      <c r="G6534" s="247"/>
      <c r="H6534" s="248"/>
      <c r="I6534" s="248"/>
      <c r="J6534" s="247"/>
      <c r="K6534" s="249"/>
    </row>
    <row r="6535" spans="1:11" s="90" customFormat="1" ht="12.75" customHeight="1" x14ac:dyDescent="0.2">
      <c r="A6535" s="247"/>
      <c r="B6535" s="316"/>
      <c r="C6535" s="247"/>
      <c r="D6535" s="317"/>
      <c r="E6535" s="318"/>
      <c r="F6535" s="247"/>
      <c r="G6535" s="247"/>
      <c r="H6535" s="248"/>
      <c r="I6535" s="248"/>
      <c r="J6535" s="247"/>
      <c r="K6535" s="249"/>
    </row>
    <row r="6536" spans="1:11" s="90" customFormat="1" ht="12.75" customHeight="1" x14ac:dyDescent="0.2">
      <c r="A6536" s="247"/>
      <c r="B6536" s="316"/>
      <c r="C6536" s="247"/>
      <c r="D6536" s="317"/>
      <c r="E6536" s="318"/>
      <c r="F6536" s="247"/>
      <c r="G6536" s="247"/>
      <c r="H6536" s="248"/>
      <c r="I6536" s="248"/>
      <c r="J6536" s="247"/>
      <c r="K6536" s="249"/>
    </row>
    <row r="6537" spans="1:11" s="90" customFormat="1" ht="12.75" customHeight="1" x14ac:dyDescent="0.2">
      <c r="A6537" s="247"/>
      <c r="B6537" s="316"/>
      <c r="C6537" s="247"/>
      <c r="D6537" s="317"/>
      <c r="E6537" s="318"/>
      <c r="F6537" s="247"/>
      <c r="G6537" s="247"/>
      <c r="H6537" s="248"/>
      <c r="I6537" s="248"/>
      <c r="J6537" s="247"/>
      <c r="K6537" s="249"/>
    </row>
    <row r="6538" spans="1:11" s="90" customFormat="1" ht="12.75" customHeight="1" x14ac:dyDescent="0.2">
      <c r="A6538" s="247"/>
      <c r="B6538" s="316"/>
      <c r="C6538" s="247"/>
      <c r="D6538" s="317"/>
      <c r="E6538" s="318"/>
      <c r="F6538" s="247"/>
      <c r="G6538" s="247"/>
      <c r="H6538" s="248"/>
      <c r="I6538" s="248"/>
      <c r="J6538" s="247"/>
      <c r="K6538" s="249"/>
    </row>
    <row r="6539" spans="1:11" s="90" customFormat="1" ht="12.75" customHeight="1" x14ac:dyDescent="0.2">
      <c r="A6539" s="247"/>
      <c r="B6539" s="316"/>
      <c r="C6539" s="247"/>
      <c r="D6539" s="317"/>
      <c r="E6539" s="318"/>
      <c r="F6539" s="247"/>
      <c r="G6539" s="247"/>
      <c r="H6539" s="248"/>
      <c r="I6539" s="248"/>
      <c r="J6539" s="247"/>
      <c r="K6539" s="249"/>
    </row>
    <row r="6540" spans="1:11" s="90" customFormat="1" ht="12.75" customHeight="1" x14ac:dyDescent="0.2">
      <c r="A6540" s="247"/>
      <c r="B6540" s="316"/>
      <c r="C6540" s="247"/>
      <c r="D6540" s="317"/>
      <c r="E6540" s="318"/>
      <c r="F6540" s="247"/>
      <c r="G6540" s="247"/>
      <c r="H6540" s="248"/>
      <c r="I6540" s="248"/>
      <c r="J6540" s="247"/>
      <c r="K6540" s="249"/>
    </row>
    <row r="6541" spans="1:11" s="90" customFormat="1" ht="12.75" customHeight="1" x14ac:dyDescent="0.2">
      <c r="A6541" s="247"/>
      <c r="B6541" s="316"/>
      <c r="C6541" s="247"/>
      <c r="D6541" s="317"/>
      <c r="E6541" s="318"/>
      <c r="F6541" s="247"/>
      <c r="G6541" s="247"/>
      <c r="H6541" s="248"/>
      <c r="I6541" s="248"/>
      <c r="J6541" s="247"/>
      <c r="K6541" s="249"/>
    </row>
    <row r="6542" spans="1:11" s="90" customFormat="1" ht="12.75" customHeight="1" x14ac:dyDescent="0.2">
      <c r="A6542" s="247"/>
      <c r="B6542" s="316"/>
      <c r="C6542" s="247"/>
      <c r="D6542" s="317"/>
      <c r="E6542" s="318"/>
      <c r="F6542" s="247"/>
      <c r="G6542" s="247"/>
      <c r="H6542" s="248"/>
      <c r="I6542" s="248"/>
      <c r="J6542" s="247"/>
      <c r="K6542" s="249"/>
    </row>
    <row r="6543" spans="1:11" s="90" customFormat="1" ht="12.75" customHeight="1" x14ac:dyDescent="0.2">
      <c r="A6543" s="247"/>
      <c r="B6543" s="316"/>
      <c r="C6543" s="247"/>
      <c r="D6543" s="317"/>
      <c r="E6543" s="318"/>
      <c r="F6543" s="247"/>
      <c r="G6543" s="247"/>
      <c r="H6543" s="248"/>
      <c r="I6543" s="248"/>
      <c r="J6543" s="247"/>
      <c r="K6543" s="249"/>
    </row>
    <row r="6544" spans="1:11" s="90" customFormat="1" ht="12.75" customHeight="1" x14ac:dyDescent="0.2">
      <c r="A6544" s="247"/>
      <c r="B6544" s="316"/>
      <c r="C6544" s="247"/>
      <c r="D6544" s="317"/>
      <c r="E6544" s="318"/>
      <c r="F6544" s="247"/>
      <c r="G6544" s="247"/>
      <c r="H6544" s="248"/>
      <c r="I6544" s="248"/>
      <c r="J6544" s="247"/>
      <c r="K6544" s="249"/>
    </row>
    <row r="6545" spans="1:11" s="90" customFormat="1" ht="12.75" customHeight="1" x14ac:dyDescent="0.2">
      <c r="A6545" s="247"/>
      <c r="B6545" s="316"/>
      <c r="C6545" s="247"/>
      <c r="D6545" s="317"/>
      <c r="E6545" s="318"/>
      <c r="F6545" s="247"/>
      <c r="G6545" s="247"/>
      <c r="H6545" s="248"/>
      <c r="I6545" s="248"/>
      <c r="J6545" s="247"/>
      <c r="K6545" s="249"/>
    </row>
    <row r="6546" spans="1:11" s="90" customFormat="1" ht="12.75" customHeight="1" x14ac:dyDescent="0.2">
      <c r="A6546" s="247"/>
      <c r="B6546" s="316"/>
      <c r="C6546" s="247"/>
      <c r="D6546" s="317"/>
      <c r="E6546" s="318"/>
      <c r="F6546" s="247"/>
      <c r="G6546" s="247"/>
      <c r="H6546" s="248"/>
      <c r="I6546" s="248"/>
      <c r="J6546" s="247"/>
      <c r="K6546" s="249"/>
    </row>
    <row r="6547" spans="1:11" s="90" customFormat="1" ht="12.75" customHeight="1" x14ac:dyDescent="0.2">
      <c r="A6547" s="247"/>
      <c r="B6547" s="316"/>
      <c r="C6547" s="247"/>
      <c r="D6547" s="317"/>
      <c r="E6547" s="318"/>
      <c r="F6547" s="247"/>
      <c r="G6547" s="247"/>
      <c r="H6547" s="248"/>
      <c r="I6547" s="248"/>
      <c r="J6547" s="247"/>
      <c r="K6547" s="249"/>
    </row>
    <row r="6548" spans="1:11" s="90" customFormat="1" ht="12.75" customHeight="1" x14ac:dyDescent="0.2">
      <c r="A6548" s="247"/>
      <c r="B6548" s="316"/>
      <c r="C6548" s="247"/>
      <c r="D6548" s="317"/>
      <c r="E6548" s="318"/>
      <c r="F6548" s="247"/>
      <c r="G6548" s="247"/>
      <c r="H6548" s="248"/>
      <c r="I6548" s="248"/>
      <c r="J6548" s="247"/>
      <c r="K6548" s="249"/>
    </row>
    <row r="6549" spans="1:11" s="90" customFormat="1" ht="12.75" customHeight="1" x14ac:dyDescent="0.2">
      <c r="A6549" s="247"/>
      <c r="B6549" s="316"/>
      <c r="C6549" s="247"/>
      <c r="D6549" s="317"/>
      <c r="E6549" s="318"/>
      <c r="F6549" s="247"/>
      <c r="G6549" s="247"/>
      <c r="H6549" s="248"/>
      <c r="I6549" s="248"/>
      <c r="J6549" s="247"/>
      <c r="K6549" s="249"/>
    </row>
    <row r="6550" spans="1:11" s="90" customFormat="1" ht="12.75" customHeight="1" x14ac:dyDescent="0.2">
      <c r="A6550" s="247"/>
      <c r="B6550" s="316"/>
      <c r="C6550" s="247"/>
      <c r="D6550" s="317"/>
      <c r="E6550" s="318"/>
      <c r="F6550" s="247"/>
      <c r="G6550" s="247"/>
      <c r="H6550" s="248"/>
      <c r="I6550" s="248"/>
      <c r="J6550" s="247"/>
      <c r="K6550" s="249"/>
    </row>
    <row r="6551" spans="1:11" s="90" customFormat="1" ht="12.75" customHeight="1" x14ac:dyDescent="0.2">
      <c r="A6551" s="247"/>
      <c r="B6551" s="316"/>
      <c r="C6551" s="247"/>
      <c r="D6551" s="317"/>
      <c r="E6551" s="318"/>
      <c r="F6551" s="247"/>
      <c r="G6551" s="247"/>
      <c r="H6551" s="248"/>
      <c r="I6551" s="248"/>
      <c r="J6551" s="247"/>
      <c r="K6551" s="249"/>
    </row>
    <row r="6552" spans="1:11" s="90" customFormat="1" ht="12.75" customHeight="1" x14ac:dyDescent="0.2">
      <c r="A6552" s="247"/>
      <c r="B6552" s="316"/>
      <c r="C6552" s="247"/>
      <c r="D6552" s="317"/>
      <c r="E6552" s="318"/>
      <c r="F6552" s="247"/>
      <c r="G6552" s="247"/>
      <c r="H6552" s="248"/>
      <c r="I6552" s="248"/>
      <c r="J6552" s="247"/>
      <c r="K6552" s="249"/>
    </row>
    <row r="6553" spans="1:11" s="90" customFormat="1" ht="12.75" customHeight="1" x14ac:dyDescent="0.2">
      <c r="A6553" s="247"/>
      <c r="B6553" s="316"/>
      <c r="C6553" s="247"/>
      <c r="D6553" s="317"/>
      <c r="E6553" s="318"/>
      <c r="F6553" s="247"/>
      <c r="G6553" s="247"/>
      <c r="H6553" s="248"/>
      <c r="I6553" s="248"/>
      <c r="J6553" s="247"/>
      <c r="K6553" s="249"/>
    </row>
    <row r="6554" spans="1:11" s="90" customFormat="1" ht="12.75" customHeight="1" x14ac:dyDescent="0.2">
      <c r="A6554" s="247"/>
      <c r="B6554" s="316"/>
      <c r="C6554" s="247"/>
      <c r="D6554" s="317"/>
      <c r="E6554" s="318"/>
      <c r="F6554" s="247"/>
      <c r="G6554" s="247"/>
      <c r="H6554" s="248"/>
      <c r="I6554" s="248"/>
      <c r="J6554" s="247"/>
      <c r="K6554" s="249"/>
    </row>
    <row r="6555" spans="1:11" s="90" customFormat="1" ht="12.75" customHeight="1" x14ac:dyDescent="0.2">
      <c r="A6555" s="247"/>
      <c r="B6555" s="316"/>
      <c r="C6555" s="247"/>
      <c r="D6555" s="317"/>
      <c r="E6555" s="318"/>
      <c r="F6555" s="247"/>
      <c r="G6555" s="247"/>
      <c r="H6555" s="248"/>
      <c r="I6555" s="248"/>
      <c r="J6555" s="247"/>
      <c r="K6555" s="249"/>
    </row>
    <row r="6556" spans="1:11" s="90" customFormat="1" ht="12.75" customHeight="1" x14ac:dyDescent="0.2">
      <c r="A6556" s="247"/>
      <c r="B6556" s="316"/>
      <c r="C6556" s="247"/>
      <c r="D6556" s="317"/>
      <c r="E6556" s="318"/>
      <c r="F6556" s="247"/>
      <c r="G6556" s="247"/>
      <c r="H6556" s="248"/>
      <c r="I6556" s="248"/>
      <c r="J6556" s="247"/>
      <c r="K6556" s="249"/>
    </row>
    <row r="6557" spans="1:11" s="90" customFormat="1" ht="12.75" customHeight="1" x14ac:dyDescent="0.2">
      <c r="A6557" s="247"/>
      <c r="B6557" s="316"/>
      <c r="C6557" s="247"/>
      <c r="D6557" s="317"/>
      <c r="E6557" s="318"/>
      <c r="F6557" s="247"/>
      <c r="G6557" s="247"/>
      <c r="H6557" s="248"/>
      <c r="I6557" s="248"/>
      <c r="J6557" s="247"/>
      <c r="K6557" s="249"/>
    </row>
    <row r="6558" spans="1:11" s="90" customFormat="1" ht="12.75" customHeight="1" x14ac:dyDescent="0.2">
      <c r="A6558" s="247"/>
      <c r="B6558" s="316"/>
      <c r="C6558" s="247"/>
      <c r="D6558" s="317"/>
      <c r="E6558" s="318"/>
      <c r="F6558" s="247"/>
      <c r="G6558" s="247"/>
      <c r="H6558" s="248"/>
      <c r="I6558" s="248"/>
      <c r="J6558" s="247"/>
      <c r="K6558" s="249"/>
    </row>
    <row r="6559" spans="1:11" s="90" customFormat="1" ht="12.75" customHeight="1" x14ac:dyDescent="0.2">
      <c r="A6559" s="247"/>
      <c r="B6559" s="316"/>
      <c r="C6559" s="247"/>
      <c r="D6559" s="317"/>
      <c r="E6559" s="318"/>
      <c r="F6559" s="247"/>
      <c r="G6559" s="247"/>
      <c r="H6559" s="248"/>
      <c r="I6559" s="248"/>
      <c r="J6559" s="247"/>
      <c r="K6559" s="249"/>
    </row>
    <row r="6560" spans="1:11" s="90" customFormat="1" ht="12.75" customHeight="1" x14ac:dyDescent="0.2">
      <c r="A6560" s="247"/>
      <c r="B6560" s="316"/>
      <c r="C6560" s="247"/>
      <c r="D6560" s="317"/>
      <c r="E6560" s="318"/>
      <c r="F6560" s="247"/>
      <c r="G6560" s="247"/>
      <c r="H6560" s="248"/>
      <c r="I6560" s="248"/>
      <c r="J6560" s="247"/>
      <c r="K6560" s="249"/>
    </row>
    <row r="6561" spans="1:11" s="90" customFormat="1" ht="12.75" customHeight="1" x14ac:dyDescent="0.2">
      <c r="A6561" s="247"/>
      <c r="B6561" s="316"/>
      <c r="C6561" s="247"/>
      <c r="D6561" s="317"/>
      <c r="E6561" s="318"/>
      <c r="F6561" s="247"/>
      <c r="G6561" s="247"/>
      <c r="H6561" s="248"/>
      <c r="I6561" s="248"/>
      <c r="J6561" s="247"/>
      <c r="K6561" s="249"/>
    </row>
    <row r="6562" spans="1:11" s="90" customFormat="1" ht="12.75" customHeight="1" x14ac:dyDescent="0.2">
      <c r="A6562" s="247"/>
      <c r="B6562" s="316"/>
      <c r="C6562" s="247"/>
      <c r="D6562" s="317"/>
      <c r="E6562" s="318"/>
      <c r="F6562" s="247"/>
      <c r="G6562" s="247"/>
      <c r="H6562" s="248"/>
      <c r="I6562" s="248"/>
      <c r="J6562" s="247"/>
      <c r="K6562" s="249"/>
    </row>
    <row r="6563" spans="1:11" s="90" customFormat="1" ht="12.75" customHeight="1" x14ac:dyDescent="0.2">
      <c r="A6563" s="247"/>
      <c r="B6563" s="316"/>
      <c r="C6563" s="247"/>
      <c r="D6563" s="317"/>
      <c r="E6563" s="318"/>
      <c r="F6563" s="247"/>
      <c r="G6563" s="247"/>
      <c r="H6563" s="248"/>
      <c r="I6563" s="248"/>
      <c r="J6563" s="247"/>
      <c r="K6563" s="249"/>
    </row>
    <row r="6564" spans="1:11" s="90" customFormat="1" ht="12.75" customHeight="1" x14ac:dyDescent="0.2">
      <c r="A6564" s="247"/>
      <c r="B6564" s="316"/>
      <c r="C6564" s="247"/>
      <c r="D6564" s="317"/>
      <c r="E6564" s="318"/>
      <c r="F6564" s="247"/>
      <c r="G6564" s="247"/>
      <c r="H6564" s="248"/>
      <c r="I6564" s="248"/>
      <c r="J6564" s="247"/>
      <c r="K6564" s="249"/>
    </row>
    <row r="6565" spans="1:11" s="90" customFormat="1" ht="12.75" customHeight="1" x14ac:dyDescent="0.2">
      <c r="A6565" s="247"/>
      <c r="B6565" s="316"/>
      <c r="C6565" s="247"/>
      <c r="D6565" s="317"/>
      <c r="E6565" s="318"/>
      <c r="F6565" s="247"/>
      <c r="G6565" s="247"/>
      <c r="H6565" s="248"/>
      <c r="I6565" s="248"/>
      <c r="J6565" s="247"/>
      <c r="K6565" s="249"/>
    </row>
    <row r="6566" spans="1:11" s="90" customFormat="1" ht="12.75" customHeight="1" x14ac:dyDescent="0.2">
      <c r="A6566" s="247"/>
      <c r="B6566" s="316"/>
      <c r="C6566" s="247"/>
      <c r="D6566" s="317"/>
      <c r="E6566" s="318"/>
      <c r="F6566" s="247"/>
      <c r="G6566" s="247"/>
      <c r="H6566" s="248"/>
      <c r="I6566" s="248"/>
      <c r="J6566" s="247"/>
      <c r="K6566" s="249"/>
    </row>
    <row r="6567" spans="1:11" s="90" customFormat="1" ht="12.75" customHeight="1" x14ac:dyDescent="0.2">
      <c r="A6567" s="247"/>
      <c r="B6567" s="316"/>
      <c r="C6567" s="247"/>
      <c r="D6567" s="317"/>
      <c r="E6567" s="318"/>
      <c r="F6567" s="247"/>
      <c r="G6567" s="247"/>
      <c r="H6567" s="248"/>
      <c r="I6567" s="248"/>
      <c r="J6567" s="247"/>
      <c r="K6567" s="249"/>
    </row>
    <row r="6568" spans="1:11" s="90" customFormat="1" ht="12.75" customHeight="1" x14ac:dyDescent="0.2">
      <c r="A6568" s="247"/>
      <c r="B6568" s="316"/>
      <c r="C6568" s="247"/>
      <c r="D6568" s="317"/>
      <c r="E6568" s="318"/>
      <c r="F6568" s="247"/>
      <c r="G6568" s="247"/>
      <c r="H6568" s="248"/>
      <c r="I6568" s="248"/>
      <c r="J6568" s="247"/>
      <c r="K6568" s="249"/>
    </row>
    <row r="6569" spans="1:11" s="90" customFormat="1" ht="12.75" customHeight="1" x14ac:dyDescent="0.2">
      <c r="A6569" s="247"/>
      <c r="B6569" s="316"/>
      <c r="C6569" s="247"/>
      <c r="D6569" s="317"/>
      <c r="E6569" s="318"/>
      <c r="F6569" s="247"/>
      <c r="G6569" s="247"/>
      <c r="H6569" s="248"/>
      <c r="I6569" s="248"/>
      <c r="J6569" s="247"/>
      <c r="K6569" s="249"/>
    </row>
    <row r="6570" spans="1:11" s="90" customFormat="1" ht="12.75" customHeight="1" x14ac:dyDescent="0.2">
      <c r="A6570" s="247"/>
      <c r="B6570" s="316"/>
      <c r="C6570" s="247"/>
      <c r="D6570" s="317"/>
      <c r="E6570" s="318"/>
      <c r="F6570" s="247"/>
      <c r="G6570" s="247"/>
      <c r="H6570" s="248"/>
      <c r="I6570" s="248"/>
      <c r="J6570" s="247"/>
      <c r="K6570" s="249"/>
    </row>
    <row r="6571" spans="1:11" s="90" customFormat="1" ht="12.75" customHeight="1" x14ac:dyDescent="0.2">
      <c r="A6571" s="247"/>
      <c r="B6571" s="316"/>
      <c r="C6571" s="247"/>
      <c r="D6571" s="317"/>
      <c r="E6571" s="318"/>
      <c r="F6571" s="247"/>
      <c r="G6571" s="247"/>
      <c r="H6571" s="248"/>
      <c r="I6571" s="248"/>
      <c r="J6571" s="247"/>
      <c r="K6571" s="249"/>
    </row>
    <row r="6572" spans="1:11" s="90" customFormat="1" ht="12.75" customHeight="1" x14ac:dyDescent="0.2">
      <c r="A6572" s="247"/>
      <c r="B6572" s="316"/>
      <c r="C6572" s="247"/>
      <c r="D6572" s="317"/>
      <c r="E6572" s="318"/>
      <c r="F6572" s="247"/>
      <c r="G6572" s="247"/>
      <c r="H6572" s="248"/>
      <c r="I6572" s="248"/>
      <c r="J6572" s="247"/>
      <c r="K6572" s="249"/>
    </row>
    <row r="6573" spans="1:11" s="90" customFormat="1" ht="12.75" customHeight="1" x14ac:dyDescent="0.2">
      <c r="A6573" s="247"/>
      <c r="B6573" s="316"/>
      <c r="C6573" s="247"/>
      <c r="D6573" s="317"/>
      <c r="E6573" s="318"/>
      <c r="F6573" s="247"/>
      <c r="G6573" s="247"/>
      <c r="H6573" s="248"/>
      <c r="I6573" s="248"/>
      <c r="J6573" s="247"/>
      <c r="K6573" s="249"/>
    </row>
    <row r="6574" spans="1:11" s="90" customFormat="1" ht="12.75" customHeight="1" x14ac:dyDescent="0.2">
      <c r="A6574" s="247"/>
      <c r="B6574" s="316"/>
      <c r="C6574" s="247"/>
      <c r="D6574" s="317"/>
      <c r="E6574" s="318"/>
      <c r="F6574" s="247"/>
      <c r="G6574" s="247"/>
      <c r="H6574" s="248"/>
      <c r="I6574" s="248"/>
      <c r="J6574" s="247"/>
      <c r="K6574" s="249"/>
    </row>
    <row r="6575" spans="1:11" s="90" customFormat="1" ht="12.75" customHeight="1" x14ac:dyDescent="0.2">
      <c r="A6575" s="247"/>
      <c r="B6575" s="316"/>
      <c r="C6575" s="247"/>
      <c r="D6575" s="317"/>
      <c r="E6575" s="318"/>
      <c r="F6575" s="247"/>
      <c r="G6575" s="247"/>
      <c r="H6575" s="248"/>
      <c r="I6575" s="248"/>
      <c r="J6575" s="247"/>
      <c r="K6575" s="249"/>
    </row>
    <row r="6576" spans="1:11" s="90" customFormat="1" ht="12.75" customHeight="1" x14ac:dyDescent="0.2">
      <c r="A6576" s="247"/>
      <c r="B6576" s="316"/>
      <c r="C6576" s="247"/>
      <c r="D6576" s="317"/>
      <c r="E6576" s="318"/>
      <c r="F6576" s="247"/>
      <c r="G6576" s="247"/>
      <c r="H6576" s="248"/>
      <c r="I6576" s="248"/>
      <c r="J6576" s="247"/>
      <c r="K6576" s="249"/>
    </row>
    <row r="6577" spans="1:11" s="90" customFormat="1" ht="12.75" customHeight="1" x14ac:dyDescent="0.2">
      <c r="A6577" s="247"/>
      <c r="B6577" s="316"/>
      <c r="C6577" s="247"/>
      <c r="D6577" s="317"/>
      <c r="E6577" s="318"/>
      <c r="F6577" s="247"/>
      <c r="G6577" s="247"/>
      <c r="H6577" s="248"/>
      <c r="I6577" s="248"/>
      <c r="J6577" s="247"/>
      <c r="K6577" s="249"/>
    </row>
    <row r="6578" spans="1:11" s="90" customFormat="1" ht="12.75" customHeight="1" x14ac:dyDescent="0.2">
      <c r="A6578" s="247"/>
      <c r="B6578" s="316"/>
      <c r="C6578" s="247"/>
      <c r="D6578" s="317"/>
      <c r="E6578" s="318"/>
      <c r="F6578" s="247"/>
      <c r="G6578" s="247"/>
      <c r="H6578" s="248"/>
      <c r="I6578" s="248"/>
      <c r="J6578" s="247"/>
      <c r="K6578" s="249"/>
    </row>
    <row r="6579" spans="1:11" s="90" customFormat="1" ht="12.75" customHeight="1" x14ac:dyDescent="0.2">
      <c r="A6579" s="247"/>
      <c r="B6579" s="316"/>
      <c r="C6579" s="247"/>
      <c r="D6579" s="317"/>
      <c r="E6579" s="318"/>
      <c r="F6579" s="247"/>
      <c r="G6579" s="247"/>
      <c r="H6579" s="248"/>
      <c r="I6579" s="248"/>
      <c r="J6579" s="247"/>
      <c r="K6579" s="249"/>
    </row>
    <row r="6580" spans="1:11" s="90" customFormat="1" ht="12.75" customHeight="1" x14ac:dyDescent="0.2">
      <c r="A6580" s="247"/>
      <c r="B6580" s="316"/>
      <c r="C6580" s="247"/>
      <c r="D6580" s="317"/>
      <c r="E6580" s="318"/>
      <c r="F6580" s="247"/>
      <c r="G6580" s="247"/>
      <c r="H6580" s="248"/>
      <c r="I6580" s="248"/>
      <c r="J6580" s="247"/>
      <c r="K6580" s="249"/>
    </row>
    <row r="6581" spans="1:11" s="90" customFormat="1" ht="12.75" customHeight="1" x14ac:dyDescent="0.2">
      <c r="A6581" s="247"/>
      <c r="B6581" s="316"/>
      <c r="C6581" s="247"/>
      <c r="D6581" s="317"/>
      <c r="E6581" s="318"/>
      <c r="F6581" s="247"/>
      <c r="G6581" s="247"/>
      <c r="H6581" s="248"/>
      <c r="I6581" s="248"/>
      <c r="J6581" s="247"/>
      <c r="K6581" s="249"/>
    </row>
    <row r="6582" spans="1:11" s="90" customFormat="1" ht="12.75" customHeight="1" x14ac:dyDescent="0.2">
      <c r="A6582" s="247"/>
      <c r="B6582" s="316"/>
      <c r="C6582" s="247"/>
      <c r="D6582" s="317"/>
      <c r="E6582" s="318"/>
      <c r="F6582" s="247"/>
      <c r="G6582" s="247"/>
      <c r="H6582" s="248"/>
      <c r="I6582" s="248"/>
      <c r="J6582" s="247"/>
      <c r="K6582" s="249"/>
    </row>
    <row r="6583" spans="1:11" s="90" customFormat="1" ht="12.75" customHeight="1" x14ac:dyDescent="0.2">
      <c r="A6583" s="247"/>
      <c r="B6583" s="316"/>
      <c r="C6583" s="247"/>
      <c r="D6583" s="317"/>
      <c r="E6583" s="318"/>
      <c r="F6583" s="247"/>
      <c r="G6583" s="247"/>
      <c r="H6583" s="248"/>
      <c r="I6583" s="248"/>
      <c r="J6583" s="247"/>
      <c r="K6583" s="249"/>
    </row>
    <row r="6584" spans="1:11" s="90" customFormat="1" ht="12.75" customHeight="1" x14ac:dyDescent="0.2">
      <c r="A6584" s="247"/>
      <c r="B6584" s="316"/>
      <c r="C6584" s="247"/>
      <c r="D6584" s="317"/>
      <c r="E6584" s="318"/>
      <c r="F6584" s="247"/>
      <c r="G6584" s="247"/>
      <c r="H6584" s="248"/>
      <c r="I6584" s="248"/>
      <c r="J6584" s="247"/>
      <c r="K6584" s="249"/>
    </row>
    <row r="6585" spans="1:11" s="90" customFormat="1" ht="12.75" customHeight="1" x14ac:dyDescent="0.2">
      <c r="A6585" s="247"/>
      <c r="B6585" s="316"/>
      <c r="C6585" s="247"/>
      <c r="D6585" s="317"/>
      <c r="E6585" s="318"/>
      <c r="F6585" s="247"/>
      <c r="G6585" s="247"/>
      <c r="H6585" s="248"/>
      <c r="I6585" s="248"/>
      <c r="J6585" s="247"/>
      <c r="K6585" s="249"/>
    </row>
    <row r="6586" spans="1:11" s="90" customFormat="1" ht="12.75" customHeight="1" x14ac:dyDescent="0.2">
      <c r="A6586" s="247"/>
      <c r="B6586" s="316"/>
      <c r="C6586" s="247"/>
      <c r="D6586" s="317"/>
      <c r="E6586" s="318"/>
      <c r="F6586" s="247"/>
      <c r="G6586" s="247"/>
      <c r="H6586" s="248"/>
      <c r="I6586" s="248"/>
      <c r="J6586" s="247"/>
      <c r="K6586" s="249"/>
    </row>
    <row r="6587" spans="1:11" s="90" customFormat="1" ht="12.75" customHeight="1" x14ac:dyDescent="0.2">
      <c r="A6587" s="247"/>
      <c r="B6587" s="316"/>
      <c r="C6587" s="247"/>
      <c r="D6587" s="317"/>
      <c r="E6587" s="318"/>
      <c r="F6587" s="247"/>
      <c r="G6587" s="247"/>
      <c r="H6587" s="248"/>
      <c r="I6587" s="248"/>
      <c r="J6587" s="247"/>
      <c r="K6587" s="249"/>
    </row>
    <row r="6588" spans="1:11" s="90" customFormat="1" ht="12.75" customHeight="1" x14ac:dyDescent="0.2">
      <c r="A6588" s="247"/>
      <c r="B6588" s="316"/>
      <c r="C6588" s="247"/>
      <c r="D6588" s="317"/>
      <c r="E6588" s="318"/>
      <c r="F6588" s="247"/>
      <c r="G6588" s="247"/>
      <c r="H6588" s="248"/>
      <c r="I6588" s="248"/>
      <c r="J6588" s="247"/>
      <c r="K6588" s="249"/>
    </row>
    <row r="6589" spans="1:11" s="90" customFormat="1" ht="12.75" customHeight="1" x14ac:dyDescent="0.2">
      <c r="A6589" s="247"/>
      <c r="B6589" s="316"/>
      <c r="C6589" s="247"/>
      <c r="D6589" s="317"/>
      <c r="E6589" s="318"/>
      <c r="F6589" s="247"/>
      <c r="G6589" s="247"/>
      <c r="H6589" s="248"/>
      <c r="I6589" s="248"/>
      <c r="J6589" s="247"/>
      <c r="K6589" s="249"/>
    </row>
    <row r="6590" spans="1:11" s="90" customFormat="1" ht="12.75" customHeight="1" x14ac:dyDescent="0.2">
      <c r="A6590" s="247"/>
      <c r="B6590" s="316"/>
      <c r="C6590" s="247"/>
      <c r="D6590" s="317"/>
      <c r="E6590" s="318"/>
      <c r="F6590" s="247"/>
      <c r="G6590" s="247"/>
      <c r="H6590" s="248"/>
      <c r="I6590" s="248"/>
      <c r="J6590" s="247"/>
      <c r="K6590" s="249"/>
    </row>
    <row r="6591" spans="1:11" s="90" customFormat="1" ht="12.75" customHeight="1" x14ac:dyDescent="0.2">
      <c r="A6591" s="247"/>
      <c r="B6591" s="316"/>
      <c r="C6591" s="247"/>
      <c r="D6591" s="317"/>
      <c r="E6591" s="318"/>
      <c r="F6591" s="247"/>
      <c r="G6591" s="247"/>
      <c r="H6591" s="248"/>
      <c r="I6591" s="248"/>
      <c r="J6591" s="247"/>
      <c r="K6591" s="249"/>
    </row>
    <row r="6592" spans="1:11" s="90" customFormat="1" ht="12.75" customHeight="1" x14ac:dyDescent="0.2">
      <c r="A6592" s="247"/>
      <c r="B6592" s="316"/>
      <c r="C6592" s="247"/>
      <c r="D6592" s="317"/>
      <c r="E6592" s="318"/>
      <c r="F6592" s="247"/>
      <c r="G6592" s="247"/>
      <c r="H6592" s="248"/>
      <c r="I6592" s="248"/>
      <c r="J6592" s="247"/>
      <c r="K6592" s="249"/>
    </row>
    <row r="6593" spans="1:11" s="90" customFormat="1" ht="12.75" customHeight="1" x14ac:dyDescent="0.2">
      <c r="A6593" s="247"/>
      <c r="B6593" s="316"/>
      <c r="C6593" s="247"/>
      <c r="D6593" s="317"/>
      <c r="E6593" s="318"/>
      <c r="F6593" s="247"/>
      <c r="G6593" s="247"/>
      <c r="H6593" s="248"/>
      <c r="I6593" s="248"/>
      <c r="J6593" s="247"/>
      <c r="K6593" s="249"/>
    </row>
    <row r="6594" spans="1:11" s="90" customFormat="1" ht="12.75" customHeight="1" x14ac:dyDescent="0.2">
      <c r="A6594" s="247"/>
      <c r="B6594" s="316"/>
      <c r="C6594" s="247"/>
      <c r="D6594" s="317"/>
      <c r="E6594" s="318"/>
      <c r="F6594" s="247"/>
      <c r="G6594" s="247"/>
      <c r="H6594" s="248"/>
      <c r="I6594" s="248"/>
      <c r="J6594" s="247"/>
      <c r="K6594" s="249"/>
    </row>
    <row r="6595" spans="1:11" s="90" customFormat="1" ht="12.75" customHeight="1" x14ac:dyDescent="0.2">
      <c r="A6595" s="247"/>
      <c r="B6595" s="316"/>
      <c r="C6595" s="247"/>
      <c r="D6595" s="317"/>
      <c r="E6595" s="318"/>
      <c r="F6595" s="247"/>
      <c r="G6595" s="247"/>
      <c r="H6595" s="248"/>
      <c r="I6595" s="248"/>
      <c r="J6595" s="247"/>
      <c r="K6595" s="249"/>
    </row>
    <row r="6596" spans="1:11" s="90" customFormat="1" ht="12.75" customHeight="1" x14ac:dyDescent="0.2">
      <c r="A6596" s="247"/>
      <c r="B6596" s="316"/>
      <c r="C6596" s="247"/>
      <c r="D6596" s="317"/>
      <c r="E6596" s="318"/>
      <c r="F6596" s="247"/>
      <c r="G6596" s="247"/>
      <c r="H6596" s="248"/>
      <c r="I6596" s="248"/>
      <c r="J6596" s="247"/>
      <c r="K6596" s="249"/>
    </row>
    <row r="6597" spans="1:11" s="90" customFormat="1" ht="12.75" customHeight="1" x14ac:dyDescent="0.2">
      <c r="A6597" s="247"/>
      <c r="B6597" s="316"/>
      <c r="C6597" s="247"/>
      <c r="D6597" s="317"/>
      <c r="E6597" s="318"/>
      <c r="F6597" s="247"/>
      <c r="G6597" s="247"/>
      <c r="H6597" s="248"/>
      <c r="I6597" s="248"/>
      <c r="J6597" s="247"/>
      <c r="K6597" s="249"/>
    </row>
    <row r="6598" spans="1:11" s="90" customFormat="1" ht="12.75" customHeight="1" x14ac:dyDescent="0.2">
      <c r="A6598" s="247"/>
      <c r="B6598" s="316"/>
      <c r="C6598" s="247"/>
      <c r="D6598" s="317"/>
      <c r="E6598" s="318"/>
      <c r="F6598" s="247"/>
      <c r="G6598" s="247"/>
      <c r="H6598" s="248"/>
      <c r="I6598" s="248"/>
      <c r="J6598" s="247"/>
      <c r="K6598" s="249"/>
    </row>
    <row r="6599" spans="1:11" s="90" customFormat="1" ht="12.75" customHeight="1" x14ac:dyDescent="0.2">
      <c r="A6599" s="247"/>
      <c r="B6599" s="316"/>
      <c r="C6599" s="247"/>
      <c r="D6599" s="317"/>
      <c r="E6599" s="318"/>
      <c r="F6599" s="247"/>
      <c r="G6599" s="247"/>
      <c r="H6599" s="248"/>
      <c r="I6599" s="248"/>
      <c r="J6599" s="247"/>
      <c r="K6599" s="249"/>
    </row>
    <row r="6600" spans="1:11" s="90" customFormat="1" ht="12.75" customHeight="1" x14ac:dyDescent="0.2">
      <c r="A6600" s="247"/>
      <c r="B6600" s="316"/>
      <c r="C6600" s="247"/>
      <c r="D6600" s="317"/>
      <c r="E6600" s="318"/>
      <c r="F6600" s="247"/>
      <c r="G6600" s="247"/>
      <c r="H6600" s="248"/>
      <c r="I6600" s="248"/>
      <c r="J6600" s="247"/>
      <c r="K6600" s="249"/>
    </row>
    <row r="6601" spans="1:11" s="90" customFormat="1" ht="12.75" customHeight="1" x14ac:dyDescent="0.2">
      <c r="A6601" s="247"/>
      <c r="B6601" s="316"/>
      <c r="C6601" s="247"/>
      <c r="D6601" s="317"/>
      <c r="E6601" s="318"/>
      <c r="F6601" s="247"/>
      <c r="G6601" s="247"/>
      <c r="H6601" s="248"/>
      <c r="I6601" s="248"/>
      <c r="J6601" s="247"/>
      <c r="K6601" s="249"/>
    </row>
    <row r="6602" spans="1:11" s="90" customFormat="1" ht="12.75" customHeight="1" x14ac:dyDescent="0.2">
      <c r="A6602" s="247"/>
      <c r="B6602" s="316"/>
      <c r="C6602" s="247"/>
      <c r="D6602" s="317"/>
      <c r="E6602" s="318"/>
      <c r="F6602" s="247"/>
      <c r="G6602" s="247"/>
      <c r="H6602" s="248"/>
      <c r="I6602" s="248"/>
      <c r="J6602" s="247"/>
      <c r="K6602" s="249"/>
    </row>
    <row r="6603" spans="1:11" s="90" customFormat="1" ht="12.75" customHeight="1" x14ac:dyDescent="0.2">
      <c r="A6603" s="247"/>
      <c r="B6603" s="316"/>
      <c r="C6603" s="247"/>
      <c r="D6603" s="317"/>
      <c r="E6603" s="318"/>
      <c r="F6603" s="247"/>
      <c r="G6603" s="247"/>
      <c r="H6603" s="248"/>
      <c r="I6603" s="248"/>
      <c r="J6603" s="247"/>
      <c r="K6603" s="249"/>
    </row>
    <row r="6604" spans="1:11" s="90" customFormat="1" ht="12.75" customHeight="1" x14ac:dyDescent="0.2">
      <c r="A6604" s="247"/>
      <c r="B6604" s="316"/>
      <c r="C6604" s="247"/>
      <c r="D6604" s="317"/>
      <c r="E6604" s="318"/>
      <c r="F6604" s="247"/>
      <c r="G6604" s="247"/>
      <c r="H6604" s="248"/>
      <c r="I6604" s="248"/>
      <c r="J6604" s="247"/>
      <c r="K6604" s="249"/>
    </row>
    <row r="6605" spans="1:11" s="90" customFormat="1" ht="12.75" customHeight="1" x14ac:dyDescent="0.2">
      <c r="A6605" s="247"/>
      <c r="B6605" s="316"/>
      <c r="C6605" s="247"/>
      <c r="D6605" s="317"/>
      <c r="E6605" s="318"/>
      <c r="F6605" s="247"/>
      <c r="G6605" s="247"/>
      <c r="H6605" s="248"/>
      <c r="I6605" s="248"/>
      <c r="J6605" s="247"/>
      <c r="K6605" s="249"/>
    </row>
    <row r="6606" spans="1:11" s="90" customFormat="1" ht="12.75" customHeight="1" x14ac:dyDescent="0.2">
      <c r="A6606" s="247"/>
      <c r="B6606" s="316"/>
      <c r="C6606" s="247"/>
      <c r="D6606" s="317"/>
      <c r="E6606" s="318"/>
      <c r="F6606" s="247"/>
      <c r="G6606" s="247"/>
      <c r="H6606" s="248"/>
      <c r="I6606" s="248"/>
      <c r="J6606" s="247"/>
      <c r="K6606" s="249"/>
    </row>
    <row r="6607" spans="1:11" s="90" customFormat="1" ht="12.75" customHeight="1" x14ac:dyDescent="0.2">
      <c r="A6607" s="247"/>
      <c r="B6607" s="316"/>
      <c r="C6607" s="247"/>
      <c r="D6607" s="317"/>
      <c r="E6607" s="318"/>
      <c r="F6607" s="247"/>
      <c r="G6607" s="247"/>
      <c r="H6607" s="248"/>
      <c r="I6607" s="248"/>
      <c r="J6607" s="247"/>
      <c r="K6607" s="249"/>
    </row>
    <row r="6608" spans="1:11" s="90" customFormat="1" ht="12.75" customHeight="1" x14ac:dyDescent="0.2">
      <c r="A6608" s="247"/>
      <c r="B6608" s="316"/>
      <c r="C6608" s="247"/>
      <c r="D6608" s="317"/>
      <c r="E6608" s="318"/>
      <c r="F6608" s="247"/>
      <c r="G6608" s="247"/>
      <c r="H6608" s="248"/>
      <c r="I6608" s="248"/>
      <c r="J6608" s="247"/>
      <c r="K6608" s="249"/>
    </row>
    <row r="6609" spans="1:11" s="90" customFormat="1" ht="12.75" customHeight="1" x14ac:dyDescent="0.2">
      <c r="A6609" s="247"/>
      <c r="B6609" s="316"/>
      <c r="C6609" s="247"/>
      <c r="D6609" s="317"/>
      <c r="E6609" s="318"/>
      <c r="F6609" s="247"/>
      <c r="G6609" s="247"/>
      <c r="H6609" s="248"/>
      <c r="I6609" s="248"/>
      <c r="J6609" s="247"/>
      <c r="K6609" s="249"/>
    </row>
    <row r="6610" spans="1:11" s="90" customFormat="1" ht="12.75" customHeight="1" x14ac:dyDescent="0.2">
      <c r="A6610" s="247"/>
      <c r="B6610" s="316"/>
      <c r="C6610" s="247"/>
      <c r="D6610" s="317"/>
      <c r="E6610" s="318"/>
      <c r="F6610" s="247"/>
      <c r="G6610" s="247"/>
      <c r="H6610" s="248"/>
      <c r="I6610" s="248"/>
      <c r="J6610" s="247"/>
      <c r="K6610" s="249"/>
    </row>
    <row r="6611" spans="1:11" s="90" customFormat="1" ht="12.75" customHeight="1" x14ac:dyDescent="0.2">
      <c r="A6611" s="247"/>
      <c r="B6611" s="316"/>
      <c r="C6611" s="247"/>
      <c r="D6611" s="317"/>
      <c r="E6611" s="318"/>
      <c r="F6611" s="247"/>
      <c r="G6611" s="247"/>
      <c r="H6611" s="248"/>
      <c r="I6611" s="248"/>
      <c r="J6611" s="247"/>
      <c r="K6611" s="249"/>
    </row>
    <row r="6612" spans="1:11" s="90" customFormat="1" ht="12.75" customHeight="1" x14ac:dyDescent="0.2">
      <c r="A6612" s="247"/>
      <c r="B6612" s="316"/>
      <c r="C6612" s="247"/>
      <c r="D6612" s="317"/>
      <c r="E6612" s="318"/>
      <c r="F6612" s="247"/>
      <c r="G6612" s="247"/>
      <c r="H6612" s="248"/>
      <c r="I6612" s="248"/>
      <c r="J6612" s="247"/>
      <c r="K6612" s="249"/>
    </row>
    <row r="6613" spans="1:11" s="90" customFormat="1" ht="12.75" customHeight="1" x14ac:dyDescent="0.2">
      <c r="A6613" s="247"/>
      <c r="B6613" s="316"/>
      <c r="C6613" s="247"/>
      <c r="D6613" s="317"/>
      <c r="E6613" s="318"/>
      <c r="F6613" s="247"/>
      <c r="G6613" s="247"/>
      <c r="H6613" s="248"/>
      <c r="I6613" s="248"/>
      <c r="J6613" s="247"/>
      <c r="K6613" s="249"/>
    </row>
    <row r="6614" spans="1:11" s="90" customFormat="1" ht="12.75" customHeight="1" x14ac:dyDescent="0.2">
      <c r="A6614" s="247"/>
      <c r="B6614" s="316"/>
      <c r="C6614" s="247"/>
      <c r="D6614" s="317"/>
      <c r="E6614" s="318"/>
      <c r="F6614" s="247"/>
      <c r="G6614" s="247"/>
      <c r="H6614" s="248"/>
      <c r="I6614" s="248"/>
      <c r="J6614" s="247"/>
      <c r="K6614" s="249"/>
    </row>
    <row r="6615" spans="1:11" s="90" customFormat="1" ht="12.75" customHeight="1" x14ac:dyDescent="0.2">
      <c r="A6615" s="247"/>
      <c r="B6615" s="316"/>
      <c r="C6615" s="247"/>
      <c r="D6615" s="317"/>
      <c r="E6615" s="318"/>
      <c r="F6615" s="247"/>
      <c r="G6615" s="247"/>
      <c r="H6615" s="248"/>
      <c r="I6615" s="248"/>
      <c r="J6615" s="247"/>
      <c r="K6615" s="249"/>
    </row>
    <row r="6616" spans="1:11" s="90" customFormat="1" ht="12.75" customHeight="1" x14ac:dyDescent="0.2">
      <c r="A6616" s="247"/>
      <c r="B6616" s="316"/>
      <c r="C6616" s="247"/>
      <c r="D6616" s="317"/>
      <c r="E6616" s="318"/>
      <c r="F6616" s="247"/>
      <c r="G6616" s="247"/>
      <c r="H6616" s="248"/>
      <c r="I6616" s="248"/>
      <c r="J6616" s="247"/>
      <c r="K6616" s="249"/>
    </row>
    <row r="6617" spans="1:11" s="90" customFormat="1" ht="12.75" customHeight="1" x14ac:dyDescent="0.2">
      <c r="A6617" s="247"/>
      <c r="B6617" s="316"/>
      <c r="C6617" s="247"/>
      <c r="D6617" s="317"/>
      <c r="E6617" s="318"/>
      <c r="F6617" s="247"/>
      <c r="G6617" s="247"/>
      <c r="H6617" s="248"/>
      <c r="I6617" s="248"/>
      <c r="J6617" s="247"/>
      <c r="K6617" s="249"/>
    </row>
    <row r="6618" spans="1:11" s="90" customFormat="1" ht="12.75" customHeight="1" x14ac:dyDescent="0.2">
      <c r="A6618" s="247"/>
      <c r="B6618" s="316"/>
      <c r="C6618" s="247"/>
      <c r="D6618" s="317"/>
      <c r="E6618" s="318"/>
      <c r="F6618" s="247"/>
      <c r="G6618" s="247"/>
      <c r="H6618" s="248"/>
      <c r="I6618" s="248"/>
      <c r="J6618" s="247"/>
      <c r="K6618" s="249"/>
    </row>
    <row r="6619" spans="1:11" s="90" customFormat="1" ht="12.75" customHeight="1" x14ac:dyDescent="0.2">
      <c r="A6619" s="247"/>
      <c r="B6619" s="316"/>
      <c r="C6619" s="247"/>
      <c r="D6619" s="317"/>
      <c r="E6619" s="318"/>
      <c r="F6619" s="247"/>
      <c r="G6619" s="247"/>
      <c r="H6619" s="248"/>
      <c r="I6619" s="248"/>
      <c r="J6619" s="247"/>
      <c r="K6619" s="249"/>
    </row>
    <row r="6620" spans="1:11" s="90" customFormat="1" ht="12.75" customHeight="1" x14ac:dyDescent="0.2">
      <c r="A6620" s="247"/>
      <c r="B6620" s="316"/>
      <c r="C6620" s="247"/>
      <c r="D6620" s="317"/>
      <c r="E6620" s="318"/>
      <c r="F6620" s="247"/>
      <c r="G6620" s="247"/>
      <c r="H6620" s="248"/>
      <c r="I6620" s="248"/>
      <c r="J6620" s="247"/>
      <c r="K6620" s="249"/>
    </row>
    <row r="6621" spans="1:11" s="90" customFormat="1" ht="12.75" customHeight="1" x14ac:dyDescent="0.2">
      <c r="A6621" s="247"/>
      <c r="B6621" s="316"/>
      <c r="C6621" s="247"/>
      <c r="D6621" s="317"/>
      <c r="E6621" s="318"/>
      <c r="F6621" s="247"/>
      <c r="G6621" s="247"/>
      <c r="H6621" s="248"/>
      <c r="I6621" s="248"/>
      <c r="J6621" s="247"/>
      <c r="K6621" s="249"/>
    </row>
    <row r="6622" spans="1:11" s="90" customFormat="1" ht="12.75" customHeight="1" x14ac:dyDescent="0.2">
      <c r="A6622" s="247"/>
      <c r="B6622" s="316"/>
      <c r="C6622" s="247"/>
      <c r="D6622" s="317"/>
      <c r="E6622" s="318"/>
      <c r="F6622" s="247"/>
      <c r="G6622" s="247"/>
      <c r="H6622" s="248"/>
      <c r="I6622" s="248"/>
      <c r="J6622" s="247"/>
      <c r="K6622" s="249"/>
    </row>
    <row r="6623" spans="1:11" s="90" customFormat="1" ht="12.75" customHeight="1" x14ac:dyDescent="0.2">
      <c r="A6623" s="247"/>
      <c r="B6623" s="316"/>
      <c r="C6623" s="247"/>
      <c r="D6623" s="317"/>
      <c r="E6623" s="318"/>
      <c r="F6623" s="247"/>
      <c r="G6623" s="247"/>
      <c r="H6623" s="248"/>
      <c r="I6623" s="248"/>
      <c r="J6623" s="247"/>
      <c r="K6623" s="249"/>
    </row>
    <row r="6624" spans="1:11" s="90" customFormat="1" ht="12.75" customHeight="1" x14ac:dyDescent="0.2">
      <c r="A6624" s="247"/>
      <c r="B6624" s="316"/>
      <c r="C6624" s="247"/>
      <c r="D6624" s="317"/>
      <c r="E6624" s="318"/>
      <c r="F6624" s="247"/>
      <c r="G6624" s="247"/>
      <c r="H6624" s="248"/>
      <c r="I6624" s="248"/>
      <c r="J6624" s="247"/>
      <c r="K6624" s="249"/>
    </row>
    <row r="6625" spans="1:11" s="90" customFormat="1" ht="12.75" customHeight="1" x14ac:dyDescent="0.2">
      <c r="A6625" s="247"/>
      <c r="B6625" s="316"/>
      <c r="C6625" s="247"/>
      <c r="D6625" s="317"/>
      <c r="E6625" s="318"/>
      <c r="F6625" s="247"/>
      <c r="G6625" s="247"/>
      <c r="H6625" s="248"/>
      <c r="I6625" s="248"/>
      <c r="J6625" s="247"/>
      <c r="K6625" s="249"/>
    </row>
    <row r="6626" spans="1:11" s="90" customFormat="1" ht="12.75" customHeight="1" x14ac:dyDescent="0.2">
      <c r="A6626" s="247"/>
      <c r="B6626" s="316"/>
      <c r="C6626" s="247"/>
      <c r="D6626" s="317"/>
      <c r="E6626" s="318"/>
      <c r="F6626" s="247"/>
      <c r="G6626" s="247"/>
      <c r="H6626" s="248"/>
      <c r="I6626" s="248"/>
      <c r="J6626" s="247"/>
      <c r="K6626" s="249"/>
    </row>
    <row r="6627" spans="1:11" s="90" customFormat="1" ht="12.75" customHeight="1" x14ac:dyDescent="0.2">
      <c r="A6627" s="247"/>
      <c r="B6627" s="316"/>
      <c r="C6627" s="247"/>
      <c r="D6627" s="317"/>
      <c r="E6627" s="318"/>
      <c r="F6627" s="247"/>
      <c r="G6627" s="247"/>
      <c r="H6627" s="248"/>
      <c r="I6627" s="248"/>
      <c r="J6627" s="247"/>
      <c r="K6627" s="249"/>
    </row>
    <row r="6628" spans="1:11" s="90" customFormat="1" ht="12.75" customHeight="1" x14ac:dyDescent="0.2">
      <c r="A6628" s="247"/>
      <c r="B6628" s="316"/>
      <c r="C6628" s="247"/>
      <c r="D6628" s="317"/>
      <c r="E6628" s="318"/>
      <c r="F6628" s="247"/>
      <c r="G6628" s="247"/>
      <c r="H6628" s="248"/>
      <c r="I6628" s="248"/>
      <c r="J6628" s="247"/>
      <c r="K6628" s="249"/>
    </row>
    <row r="6629" spans="1:11" s="90" customFormat="1" ht="12.75" customHeight="1" x14ac:dyDescent="0.2">
      <c r="A6629" s="247"/>
      <c r="B6629" s="316"/>
      <c r="C6629" s="247"/>
      <c r="D6629" s="317"/>
      <c r="E6629" s="318"/>
      <c r="F6629" s="247"/>
      <c r="G6629" s="247"/>
      <c r="H6629" s="248"/>
      <c r="I6629" s="248"/>
      <c r="J6629" s="247"/>
      <c r="K6629" s="249"/>
    </row>
    <row r="6630" spans="1:11" s="90" customFormat="1" ht="12.75" customHeight="1" x14ac:dyDescent="0.2">
      <c r="A6630" s="247"/>
      <c r="B6630" s="316"/>
      <c r="C6630" s="247"/>
      <c r="D6630" s="317"/>
      <c r="E6630" s="318"/>
      <c r="F6630" s="247"/>
      <c r="G6630" s="247"/>
      <c r="H6630" s="248"/>
      <c r="I6630" s="248"/>
      <c r="J6630" s="247"/>
      <c r="K6630" s="249"/>
    </row>
    <row r="6631" spans="1:11" s="90" customFormat="1" ht="12.75" customHeight="1" x14ac:dyDescent="0.2">
      <c r="A6631" s="247"/>
      <c r="B6631" s="316"/>
      <c r="C6631" s="247"/>
      <c r="D6631" s="317"/>
      <c r="E6631" s="318"/>
      <c r="F6631" s="247"/>
      <c r="G6631" s="247"/>
      <c r="H6631" s="248"/>
      <c r="I6631" s="248"/>
      <c r="J6631" s="247"/>
      <c r="K6631" s="249"/>
    </row>
    <row r="6632" spans="1:11" s="90" customFormat="1" ht="12.75" customHeight="1" x14ac:dyDescent="0.2">
      <c r="A6632" s="247"/>
      <c r="B6632" s="316"/>
      <c r="C6632" s="247"/>
      <c r="D6632" s="317"/>
      <c r="E6632" s="318"/>
      <c r="F6632" s="247"/>
      <c r="G6632" s="247"/>
      <c r="H6632" s="248"/>
      <c r="I6632" s="248"/>
      <c r="J6632" s="247"/>
      <c r="K6632" s="249"/>
    </row>
    <row r="6633" spans="1:11" s="90" customFormat="1" ht="12.75" customHeight="1" x14ac:dyDescent="0.2">
      <c r="A6633" s="247"/>
      <c r="B6633" s="316"/>
      <c r="C6633" s="247"/>
      <c r="D6633" s="317"/>
      <c r="E6633" s="318"/>
      <c r="F6633" s="247"/>
      <c r="G6633" s="247"/>
      <c r="H6633" s="248"/>
      <c r="I6633" s="248"/>
      <c r="J6633" s="247"/>
      <c r="K6633" s="249"/>
    </row>
    <row r="6634" spans="1:11" s="90" customFormat="1" ht="12.75" customHeight="1" x14ac:dyDescent="0.2">
      <c r="A6634" s="247"/>
      <c r="B6634" s="316"/>
      <c r="C6634" s="247"/>
      <c r="D6634" s="317"/>
      <c r="E6634" s="318"/>
      <c r="F6634" s="247"/>
      <c r="G6634" s="247"/>
      <c r="H6634" s="248"/>
      <c r="I6634" s="248"/>
      <c r="J6634" s="247"/>
      <c r="K6634" s="249"/>
    </row>
    <row r="6635" spans="1:11" s="90" customFormat="1" ht="12.75" customHeight="1" x14ac:dyDescent="0.2">
      <c r="A6635" s="247"/>
      <c r="B6635" s="316"/>
      <c r="C6635" s="247"/>
      <c r="D6635" s="317"/>
      <c r="E6635" s="318"/>
      <c r="F6635" s="247"/>
      <c r="G6635" s="247"/>
      <c r="H6635" s="248"/>
      <c r="I6635" s="248"/>
      <c r="J6635" s="247"/>
      <c r="K6635" s="249"/>
    </row>
    <row r="6636" spans="1:11" s="90" customFormat="1" ht="12.75" customHeight="1" x14ac:dyDescent="0.2">
      <c r="A6636" s="247"/>
      <c r="B6636" s="316"/>
      <c r="C6636" s="247"/>
      <c r="D6636" s="317"/>
      <c r="E6636" s="318"/>
      <c r="F6636" s="247"/>
      <c r="G6636" s="247"/>
      <c r="H6636" s="248"/>
      <c r="I6636" s="248"/>
      <c r="J6636" s="247"/>
      <c r="K6636" s="249"/>
    </row>
    <row r="6637" spans="1:11" s="90" customFormat="1" ht="12.75" customHeight="1" x14ac:dyDescent="0.2">
      <c r="A6637" s="247"/>
      <c r="B6637" s="316"/>
      <c r="C6637" s="247"/>
      <c r="D6637" s="317"/>
      <c r="E6637" s="318"/>
      <c r="F6637" s="247"/>
      <c r="G6637" s="247"/>
      <c r="H6637" s="248"/>
      <c r="I6637" s="248"/>
      <c r="J6637" s="247"/>
      <c r="K6637" s="249"/>
    </row>
    <row r="6638" spans="1:11" s="90" customFormat="1" ht="12.75" customHeight="1" x14ac:dyDescent="0.2">
      <c r="A6638" s="247"/>
      <c r="B6638" s="316"/>
      <c r="C6638" s="247"/>
      <c r="D6638" s="317"/>
      <c r="E6638" s="318"/>
      <c r="F6638" s="247"/>
      <c r="G6638" s="247"/>
      <c r="H6638" s="248"/>
      <c r="I6638" s="248"/>
      <c r="J6638" s="247"/>
      <c r="K6638" s="249"/>
    </row>
    <row r="6639" spans="1:11" s="90" customFormat="1" ht="12.75" customHeight="1" x14ac:dyDescent="0.2">
      <c r="A6639" s="247"/>
      <c r="B6639" s="316"/>
      <c r="C6639" s="247"/>
      <c r="D6639" s="317"/>
      <c r="E6639" s="318"/>
      <c r="F6639" s="247"/>
      <c r="G6639" s="247"/>
      <c r="H6639" s="248"/>
      <c r="I6639" s="248"/>
      <c r="J6639" s="247"/>
      <c r="K6639" s="249"/>
    </row>
    <row r="6640" spans="1:11" s="90" customFormat="1" ht="12.75" customHeight="1" x14ac:dyDescent="0.2">
      <c r="A6640" s="247"/>
      <c r="B6640" s="316"/>
      <c r="C6640" s="247"/>
      <c r="D6640" s="317"/>
      <c r="E6640" s="318"/>
      <c r="F6640" s="247"/>
      <c r="G6640" s="247"/>
      <c r="H6640" s="248"/>
      <c r="I6640" s="248"/>
      <c r="J6640" s="247"/>
      <c r="K6640" s="249"/>
    </row>
    <row r="6641" spans="1:11" s="90" customFormat="1" ht="12.75" customHeight="1" x14ac:dyDescent="0.2">
      <c r="A6641" s="247"/>
      <c r="B6641" s="316"/>
      <c r="C6641" s="247"/>
      <c r="D6641" s="317"/>
      <c r="E6641" s="318"/>
      <c r="F6641" s="247"/>
      <c r="G6641" s="247"/>
      <c r="H6641" s="248"/>
      <c r="I6641" s="248"/>
      <c r="J6641" s="247"/>
      <c r="K6641" s="249"/>
    </row>
    <row r="6642" spans="1:11" s="90" customFormat="1" ht="12.75" customHeight="1" x14ac:dyDescent="0.2">
      <c r="A6642" s="247"/>
      <c r="B6642" s="316"/>
      <c r="C6642" s="247"/>
      <c r="D6642" s="317"/>
      <c r="E6642" s="318"/>
      <c r="F6642" s="247"/>
      <c r="G6642" s="247"/>
      <c r="H6642" s="248"/>
      <c r="I6642" s="248"/>
      <c r="J6642" s="247"/>
      <c r="K6642" s="249"/>
    </row>
    <row r="6643" spans="1:11" s="90" customFormat="1" ht="12.75" customHeight="1" x14ac:dyDescent="0.2">
      <c r="A6643" s="247"/>
      <c r="B6643" s="316"/>
      <c r="C6643" s="247"/>
      <c r="D6643" s="317"/>
      <c r="E6643" s="318"/>
      <c r="F6643" s="247"/>
      <c r="G6643" s="247"/>
      <c r="H6643" s="248"/>
      <c r="I6643" s="248"/>
      <c r="J6643" s="247"/>
      <c r="K6643" s="249"/>
    </row>
    <row r="6644" spans="1:11" s="90" customFormat="1" ht="12.75" customHeight="1" x14ac:dyDescent="0.2">
      <c r="A6644" s="247"/>
      <c r="B6644" s="316"/>
      <c r="C6644" s="247"/>
      <c r="D6644" s="317"/>
      <c r="E6644" s="318"/>
      <c r="F6644" s="247"/>
      <c r="G6644" s="247"/>
      <c r="H6644" s="248"/>
      <c r="I6644" s="248"/>
      <c r="J6644" s="247"/>
      <c r="K6644" s="249"/>
    </row>
    <row r="6645" spans="1:11" s="90" customFormat="1" ht="12.75" customHeight="1" x14ac:dyDescent="0.2">
      <c r="A6645" s="247"/>
      <c r="B6645" s="316"/>
      <c r="C6645" s="247"/>
      <c r="D6645" s="317"/>
      <c r="E6645" s="318"/>
      <c r="F6645" s="247"/>
      <c r="G6645" s="247"/>
      <c r="H6645" s="248"/>
      <c r="I6645" s="248"/>
      <c r="J6645" s="247"/>
      <c r="K6645" s="249"/>
    </row>
    <row r="6646" spans="1:11" s="90" customFormat="1" ht="12.75" customHeight="1" x14ac:dyDescent="0.2">
      <c r="A6646" s="247"/>
      <c r="B6646" s="316"/>
      <c r="C6646" s="247"/>
      <c r="D6646" s="317"/>
      <c r="E6646" s="318"/>
      <c r="F6646" s="247"/>
      <c r="G6646" s="247"/>
      <c r="H6646" s="248"/>
      <c r="I6646" s="248"/>
      <c r="J6646" s="247"/>
      <c r="K6646" s="249"/>
    </row>
    <row r="6647" spans="1:11" s="90" customFormat="1" ht="12.75" customHeight="1" x14ac:dyDescent="0.2">
      <c r="A6647" s="247"/>
      <c r="B6647" s="316"/>
      <c r="C6647" s="247"/>
      <c r="D6647" s="317"/>
      <c r="E6647" s="318"/>
      <c r="F6647" s="247"/>
      <c r="G6647" s="247"/>
      <c r="H6647" s="248"/>
      <c r="I6647" s="248"/>
      <c r="J6647" s="247"/>
      <c r="K6647" s="249"/>
    </row>
    <row r="6648" spans="1:11" s="90" customFormat="1" ht="12.75" customHeight="1" x14ac:dyDescent="0.2">
      <c r="A6648" s="247"/>
      <c r="B6648" s="316"/>
      <c r="C6648" s="247"/>
      <c r="D6648" s="317"/>
      <c r="E6648" s="318"/>
      <c r="F6648" s="247"/>
      <c r="G6648" s="247"/>
      <c r="H6648" s="248"/>
      <c r="I6648" s="248"/>
      <c r="J6648" s="247"/>
      <c r="K6648" s="249"/>
    </row>
    <row r="6649" spans="1:11" s="90" customFormat="1" ht="12.75" customHeight="1" x14ac:dyDescent="0.2">
      <c r="A6649" s="247"/>
      <c r="B6649" s="316"/>
      <c r="C6649" s="247"/>
      <c r="D6649" s="317"/>
      <c r="E6649" s="318"/>
      <c r="F6649" s="247"/>
      <c r="G6649" s="247"/>
      <c r="H6649" s="248"/>
      <c r="I6649" s="248"/>
      <c r="J6649" s="247"/>
      <c r="K6649" s="249"/>
    </row>
    <row r="6650" spans="1:11" s="90" customFormat="1" ht="12.75" customHeight="1" x14ac:dyDescent="0.2">
      <c r="A6650" s="247"/>
      <c r="B6650" s="316"/>
      <c r="C6650" s="247"/>
      <c r="D6650" s="317"/>
      <c r="E6650" s="318"/>
      <c r="F6650" s="247"/>
      <c r="G6650" s="247"/>
      <c r="H6650" s="248"/>
      <c r="I6650" s="248"/>
      <c r="J6650" s="247"/>
      <c r="K6650" s="249"/>
    </row>
    <row r="6651" spans="1:11" s="90" customFormat="1" ht="12.75" customHeight="1" x14ac:dyDescent="0.2">
      <c r="A6651" s="247"/>
      <c r="B6651" s="316"/>
      <c r="C6651" s="247"/>
      <c r="D6651" s="317"/>
      <c r="E6651" s="318"/>
      <c r="F6651" s="247"/>
      <c r="G6651" s="247"/>
      <c r="H6651" s="248"/>
      <c r="I6651" s="248"/>
      <c r="J6651" s="247"/>
      <c r="K6651" s="249"/>
    </row>
    <row r="6652" spans="1:11" s="90" customFormat="1" ht="12.75" customHeight="1" x14ac:dyDescent="0.2">
      <c r="A6652" s="247"/>
      <c r="B6652" s="316"/>
      <c r="C6652" s="247"/>
      <c r="D6652" s="317"/>
      <c r="E6652" s="318"/>
      <c r="F6652" s="247"/>
      <c r="G6652" s="247"/>
      <c r="H6652" s="248"/>
      <c r="I6652" s="248"/>
      <c r="J6652" s="247"/>
      <c r="K6652" s="249"/>
    </row>
    <row r="6653" spans="1:11" s="90" customFormat="1" ht="12.75" customHeight="1" x14ac:dyDescent="0.2">
      <c r="A6653" s="247"/>
      <c r="B6653" s="316"/>
      <c r="C6653" s="247"/>
      <c r="D6653" s="317"/>
      <c r="E6653" s="318"/>
      <c r="F6653" s="247"/>
      <c r="G6653" s="247"/>
      <c r="H6653" s="248"/>
      <c r="I6653" s="248"/>
      <c r="J6653" s="247"/>
      <c r="K6653" s="249"/>
    </row>
    <row r="6654" spans="1:11" s="90" customFormat="1" ht="12.75" customHeight="1" x14ac:dyDescent="0.2">
      <c r="A6654" s="247"/>
      <c r="B6654" s="316"/>
      <c r="C6654" s="247"/>
      <c r="D6654" s="317"/>
      <c r="E6654" s="318"/>
      <c r="F6654" s="247"/>
      <c r="G6654" s="247"/>
      <c r="H6654" s="248"/>
      <c r="I6654" s="248"/>
      <c r="J6654" s="247"/>
      <c r="K6654" s="249"/>
    </row>
    <row r="6655" spans="1:11" s="90" customFormat="1" ht="12.75" customHeight="1" x14ac:dyDescent="0.2">
      <c r="A6655" s="247"/>
      <c r="B6655" s="316"/>
      <c r="C6655" s="247"/>
      <c r="D6655" s="317"/>
      <c r="E6655" s="318"/>
      <c r="F6655" s="247"/>
      <c r="G6655" s="247"/>
      <c r="H6655" s="248"/>
      <c r="I6655" s="248"/>
      <c r="J6655" s="247"/>
      <c r="K6655" s="249"/>
    </row>
    <row r="6656" spans="1:11" s="90" customFormat="1" ht="12.75" customHeight="1" x14ac:dyDescent="0.2">
      <c r="A6656" s="247"/>
      <c r="B6656" s="316"/>
      <c r="C6656" s="247"/>
      <c r="D6656" s="317"/>
      <c r="E6656" s="318"/>
      <c r="F6656" s="247"/>
      <c r="G6656" s="247"/>
      <c r="H6656" s="248"/>
      <c r="I6656" s="248"/>
      <c r="J6656" s="247"/>
      <c r="K6656" s="249"/>
    </row>
    <row r="6657" spans="1:11" s="90" customFormat="1" ht="12.75" customHeight="1" x14ac:dyDescent="0.2">
      <c r="A6657" s="247"/>
      <c r="B6657" s="316"/>
      <c r="C6657" s="247"/>
      <c r="D6657" s="317"/>
      <c r="E6657" s="318"/>
      <c r="F6657" s="247"/>
      <c r="G6657" s="247"/>
      <c r="H6657" s="248"/>
      <c r="I6657" s="248"/>
      <c r="J6657" s="247"/>
      <c r="K6657" s="249"/>
    </row>
    <row r="6658" spans="1:11" s="90" customFormat="1" ht="12.75" customHeight="1" x14ac:dyDescent="0.2">
      <c r="A6658" s="247"/>
      <c r="B6658" s="316"/>
      <c r="C6658" s="247"/>
      <c r="D6658" s="317"/>
      <c r="E6658" s="318"/>
      <c r="F6658" s="247"/>
      <c r="G6658" s="247"/>
      <c r="H6658" s="248"/>
      <c r="I6658" s="248"/>
      <c r="J6658" s="247"/>
      <c r="K6658" s="249"/>
    </row>
    <row r="6659" spans="1:11" s="90" customFormat="1" ht="12.75" customHeight="1" x14ac:dyDescent="0.2">
      <c r="A6659" s="247"/>
      <c r="B6659" s="316"/>
      <c r="C6659" s="247"/>
      <c r="D6659" s="317"/>
      <c r="E6659" s="318"/>
      <c r="F6659" s="247"/>
      <c r="G6659" s="247"/>
      <c r="H6659" s="248"/>
      <c r="I6659" s="248"/>
      <c r="J6659" s="247"/>
      <c r="K6659" s="249"/>
    </row>
    <row r="6660" spans="1:11" s="90" customFormat="1" ht="12.75" customHeight="1" x14ac:dyDescent="0.2">
      <c r="A6660" s="247"/>
      <c r="B6660" s="316"/>
      <c r="C6660" s="247"/>
      <c r="D6660" s="317"/>
      <c r="E6660" s="318"/>
      <c r="F6660" s="247"/>
      <c r="G6660" s="247"/>
      <c r="H6660" s="248"/>
      <c r="I6660" s="248"/>
      <c r="J6660" s="247"/>
      <c r="K6660" s="249"/>
    </row>
    <row r="6661" spans="1:11" s="90" customFormat="1" ht="12.75" customHeight="1" x14ac:dyDescent="0.2">
      <c r="A6661" s="247"/>
      <c r="B6661" s="316"/>
      <c r="C6661" s="247"/>
      <c r="D6661" s="317"/>
      <c r="E6661" s="318"/>
      <c r="F6661" s="247"/>
      <c r="G6661" s="247"/>
      <c r="H6661" s="248"/>
      <c r="I6661" s="248"/>
      <c r="J6661" s="247"/>
      <c r="K6661" s="249"/>
    </row>
    <row r="6662" spans="1:11" s="90" customFormat="1" ht="12.75" customHeight="1" x14ac:dyDescent="0.2">
      <c r="A6662" s="247"/>
      <c r="B6662" s="316"/>
      <c r="C6662" s="247"/>
      <c r="D6662" s="317"/>
      <c r="E6662" s="318"/>
      <c r="F6662" s="247"/>
      <c r="G6662" s="247"/>
      <c r="H6662" s="248"/>
      <c r="I6662" s="248"/>
      <c r="J6662" s="247"/>
      <c r="K6662" s="249"/>
    </row>
    <row r="6663" spans="1:11" s="90" customFormat="1" ht="12.75" customHeight="1" x14ac:dyDescent="0.2">
      <c r="A6663" s="247"/>
      <c r="B6663" s="316"/>
      <c r="C6663" s="247"/>
      <c r="D6663" s="317"/>
      <c r="E6663" s="318"/>
      <c r="F6663" s="247"/>
      <c r="G6663" s="247"/>
      <c r="H6663" s="248"/>
      <c r="I6663" s="248"/>
      <c r="J6663" s="247"/>
      <c r="K6663" s="249"/>
    </row>
    <row r="6664" spans="1:11" s="90" customFormat="1" ht="12.75" customHeight="1" x14ac:dyDescent="0.2">
      <c r="A6664" s="247"/>
      <c r="B6664" s="316"/>
      <c r="C6664" s="247"/>
      <c r="D6664" s="317"/>
      <c r="E6664" s="318"/>
      <c r="F6664" s="247"/>
      <c r="G6664" s="247"/>
      <c r="H6664" s="248"/>
      <c r="I6664" s="248"/>
      <c r="J6664" s="247"/>
      <c r="K6664" s="249"/>
    </row>
    <row r="6665" spans="1:11" s="90" customFormat="1" ht="12.75" customHeight="1" x14ac:dyDescent="0.2">
      <c r="A6665" s="247"/>
      <c r="B6665" s="316"/>
      <c r="C6665" s="247"/>
      <c r="D6665" s="317"/>
      <c r="E6665" s="318"/>
      <c r="F6665" s="247"/>
      <c r="G6665" s="247"/>
      <c r="H6665" s="248"/>
      <c r="I6665" s="248"/>
      <c r="J6665" s="247"/>
      <c r="K6665" s="249"/>
    </row>
    <row r="6666" spans="1:11" s="90" customFormat="1" ht="12.75" customHeight="1" x14ac:dyDescent="0.2">
      <c r="A6666" s="247"/>
      <c r="B6666" s="316"/>
      <c r="C6666" s="247"/>
      <c r="D6666" s="317"/>
      <c r="E6666" s="318"/>
      <c r="F6666" s="247"/>
      <c r="G6666" s="247"/>
      <c r="H6666" s="248"/>
      <c r="I6666" s="248"/>
      <c r="J6666" s="247"/>
      <c r="K6666" s="249"/>
    </row>
    <row r="6667" spans="1:11" s="90" customFormat="1" ht="12.75" customHeight="1" x14ac:dyDescent="0.2">
      <c r="A6667" s="247"/>
      <c r="B6667" s="316"/>
      <c r="C6667" s="247"/>
      <c r="D6667" s="317"/>
      <c r="E6667" s="318"/>
      <c r="F6667" s="247"/>
      <c r="G6667" s="247"/>
      <c r="H6667" s="248"/>
      <c r="I6667" s="248"/>
      <c r="J6667" s="247"/>
      <c r="K6667" s="249"/>
    </row>
    <row r="6668" spans="1:11" s="90" customFormat="1" ht="12.75" customHeight="1" x14ac:dyDescent="0.2">
      <c r="A6668" s="247"/>
      <c r="B6668" s="316"/>
      <c r="C6668" s="247"/>
      <c r="D6668" s="317"/>
      <c r="E6668" s="318"/>
      <c r="F6668" s="247"/>
      <c r="G6668" s="247"/>
      <c r="H6668" s="248"/>
      <c r="I6668" s="248"/>
      <c r="J6668" s="247"/>
      <c r="K6668" s="249"/>
    </row>
    <row r="6669" spans="1:11" s="90" customFormat="1" ht="12.75" customHeight="1" x14ac:dyDescent="0.2">
      <c r="A6669" s="247"/>
      <c r="B6669" s="316"/>
      <c r="C6669" s="247"/>
      <c r="D6669" s="317"/>
      <c r="E6669" s="318"/>
      <c r="F6669" s="247"/>
      <c r="G6669" s="247"/>
      <c r="H6669" s="248"/>
      <c r="I6669" s="248"/>
      <c r="J6669" s="247"/>
      <c r="K6669" s="249"/>
    </row>
    <row r="6670" spans="1:11" s="90" customFormat="1" ht="12.75" customHeight="1" x14ac:dyDescent="0.2">
      <c r="A6670" s="247"/>
      <c r="B6670" s="316"/>
      <c r="C6670" s="247"/>
      <c r="D6670" s="317"/>
      <c r="E6670" s="318"/>
      <c r="F6670" s="247"/>
      <c r="G6670" s="247"/>
      <c r="H6670" s="248"/>
      <c r="I6670" s="248"/>
      <c r="J6670" s="247"/>
      <c r="K6670" s="249"/>
    </row>
    <row r="6671" spans="1:11" s="90" customFormat="1" ht="12.75" customHeight="1" x14ac:dyDescent="0.2">
      <c r="A6671" s="247"/>
      <c r="B6671" s="316"/>
      <c r="C6671" s="247"/>
      <c r="D6671" s="317"/>
      <c r="E6671" s="318"/>
      <c r="F6671" s="247"/>
      <c r="G6671" s="247"/>
      <c r="H6671" s="248"/>
      <c r="I6671" s="248"/>
      <c r="J6671" s="247"/>
      <c r="K6671" s="249"/>
    </row>
    <row r="6672" spans="1:11" s="90" customFormat="1" ht="12.75" customHeight="1" x14ac:dyDescent="0.2">
      <c r="A6672" s="247"/>
      <c r="B6672" s="316"/>
      <c r="C6672" s="247"/>
      <c r="D6672" s="317"/>
      <c r="E6672" s="318"/>
      <c r="F6672" s="247"/>
      <c r="G6672" s="247"/>
      <c r="H6672" s="248"/>
      <c r="I6672" s="248"/>
      <c r="J6672" s="247"/>
      <c r="K6672" s="249"/>
    </row>
    <row r="6673" spans="1:11" s="90" customFormat="1" ht="12.75" customHeight="1" x14ac:dyDescent="0.2">
      <c r="A6673" s="247"/>
      <c r="B6673" s="316"/>
      <c r="C6673" s="247"/>
      <c r="D6673" s="317"/>
      <c r="E6673" s="318"/>
      <c r="F6673" s="247"/>
      <c r="G6673" s="247"/>
      <c r="H6673" s="248"/>
      <c r="I6673" s="248"/>
      <c r="J6673" s="247"/>
      <c r="K6673" s="249"/>
    </row>
    <row r="6674" spans="1:11" s="90" customFormat="1" ht="12.75" customHeight="1" x14ac:dyDescent="0.2">
      <c r="A6674" s="247"/>
      <c r="B6674" s="316"/>
      <c r="C6674" s="247"/>
      <c r="D6674" s="317"/>
      <c r="E6674" s="318"/>
      <c r="F6674" s="247"/>
      <c r="G6674" s="247"/>
      <c r="H6674" s="248"/>
      <c r="I6674" s="248"/>
      <c r="J6674" s="247"/>
      <c r="K6674" s="249"/>
    </row>
    <row r="6675" spans="1:11" s="90" customFormat="1" ht="12.75" customHeight="1" x14ac:dyDescent="0.2">
      <c r="A6675" s="247"/>
      <c r="B6675" s="316"/>
      <c r="C6675" s="247"/>
      <c r="D6675" s="317"/>
      <c r="E6675" s="318"/>
      <c r="F6675" s="247"/>
      <c r="G6675" s="247"/>
      <c r="H6675" s="248"/>
      <c r="I6675" s="248"/>
      <c r="J6675" s="247"/>
      <c r="K6675" s="249"/>
    </row>
    <row r="6676" spans="1:11" s="90" customFormat="1" ht="12.75" customHeight="1" x14ac:dyDescent="0.2">
      <c r="A6676" s="247"/>
      <c r="B6676" s="316"/>
      <c r="C6676" s="247"/>
      <c r="D6676" s="317"/>
      <c r="E6676" s="318"/>
      <c r="F6676" s="247"/>
      <c r="G6676" s="247"/>
      <c r="H6676" s="248"/>
      <c r="I6676" s="248"/>
      <c r="J6676" s="247"/>
      <c r="K6676" s="249"/>
    </row>
    <row r="6677" spans="1:11" s="90" customFormat="1" ht="12.75" customHeight="1" x14ac:dyDescent="0.2">
      <c r="A6677" s="247"/>
      <c r="B6677" s="316"/>
      <c r="C6677" s="247"/>
      <c r="D6677" s="317"/>
      <c r="E6677" s="318"/>
      <c r="F6677" s="247"/>
      <c r="G6677" s="247"/>
      <c r="H6677" s="248"/>
      <c r="I6677" s="248"/>
      <c r="J6677" s="247"/>
      <c r="K6677" s="249"/>
    </row>
    <row r="6678" spans="1:11" s="90" customFormat="1" ht="12.75" customHeight="1" x14ac:dyDescent="0.2">
      <c r="A6678" s="247"/>
      <c r="B6678" s="316"/>
      <c r="C6678" s="247"/>
      <c r="D6678" s="317"/>
      <c r="E6678" s="318"/>
      <c r="F6678" s="247"/>
      <c r="G6678" s="247"/>
      <c r="H6678" s="248"/>
      <c r="I6678" s="248"/>
      <c r="J6678" s="247"/>
      <c r="K6678" s="249"/>
    </row>
    <row r="6679" spans="1:11" s="90" customFormat="1" ht="12.75" customHeight="1" x14ac:dyDescent="0.2">
      <c r="A6679" s="247"/>
      <c r="B6679" s="316"/>
      <c r="C6679" s="247"/>
      <c r="D6679" s="317"/>
      <c r="E6679" s="318"/>
      <c r="F6679" s="247"/>
      <c r="G6679" s="247"/>
      <c r="H6679" s="248"/>
      <c r="I6679" s="248"/>
      <c r="J6679" s="247"/>
      <c r="K6679" s="249"/>
    </row>
    <row r="6680" spans="1:11" s="90" customFormat="1" ht="12.75" customHeight="1" x14ac:dyDescent="0.2">
      <c r="A6680" s="247"/>
      <c r="B6680" s="316"/>
      <c r="C6680" s="247"/>
      <c r="D6680" s="317"/>
      <c r="E6680" s="318"/>
      <c r="F6680" s="247"/>
      <c r="G6680" s="247"/>
      <c r="H6680" s="248"/>
      <c r="I6680" s="248"/>
      <c r="J6680" s="247"/>
      <c r="K6680" s="249"/>
    </row>
    <row r="6681" spans="1:11" s="90" customFormat="1" ht="12.75" customHeight="1" x14ac:dyDescent="0.2">
      <c r="A6681" s="247"/>
      <c r="B6681" s="316"/>
      <c r="C6681" s="247"/>
      <c r="D6681" s="317"/>
      <c r="E6681" s="318"/>
      <c r="F6681" s="247"/>
      <c r="G6681" s="247"/>
      <c r="H6681" s="248"/>
      <c r="I6681" s="248"/>
      <c r="J6681" s="247"/>
      <c r="K6681" s="249"/>
    </row>
    <row r="6682" spans="1:11" s="90" customFormat="1" ht="12.75" customHeight="1" x14ac:dyDescent="0.2">
      <c r="A6682" s="247"/>
      <c r="B6682" s="316"/>
      <c r="C6682" s="247"/>
      <c r="D6682" s="317"/>
      <c r="E6682" s="318"/>
      <c r="F6682" s="247"/>
      <c r="G6682" s="247"/>
      <c r="H6682" s="248"/>
      <c r="I6682" s="248"/>
      <c r="J6682" s="247"/>
      <c r="K6682" s="249"/>
    </row>
    <row r="6683" spans="1:11" s="90" customFormat="1" ht="12.75" customHeight="1" x14ac:dyDescent="0.2">
      <c r="A6683" s="247"/>
      <c r="B6683" s="316"/>
      <c r="C6683" s="247"/>
      <c r="D6683" s="317"/>
      <c r="E6683" s="318"/>
      <c r="F6683" s="247"/>
      <c r="G6683" s="247"/>
      <c r="H6683" s="248"/>
      <c r="I6683" s="248"/>
      <c r="J6683" s="247"/>
      <c r="K6683" s="249"/>
    </row>
    <row r="6684" spans="1:11" s="90" customFormat="1" ht="12.75" customHeight="1" x14ac:dyDescent="0.2">
      <c r="A6684" s="247"/>
      <c r="B6684" s="316"/>
      <c r="C6684" s="247"/>
      <c r="D6684" s="317"/>
      <c r="E6684" s="318"/>
      <c r="F6684" s="247"/>
      <c r="G6684" s="247"/>
      <c r="H6684" s="248"/>
      <c r="I6684" s="248"/>
      <c r="J6684" s="247"/>
      <c r="K6684" s="249"/>
    </row>
    <row r="6685" spans="1:11" s="90" customFormat="1" ht="12.75" customHeight="1" x14ac:dyDescent="0.2">
      <c r="A6685" s="247"/>
      <c r="B6685" s="316"/>
      <c r="C6685" s="247"/>
      <c r="D6685" s="317"/>
      <c r="E6685" s="318"/>
      <c r="F6685" s="247"/>
      <c r="G6685" s="247"/>
      <c r="H6685" s="248"/>
      <c r="I6685" s="248"/>
      <c r="J6685" s="247"/>
      <c r="K6685" s="249"/>
    </row>
    <row r="6686" spans="1:11" s="90" customFormat="1" ht="12.75" customHeight="1" x14ac:dyDescent="0.2">
      <c r="A6686" s="247"/>
      <c r="B6686" s="316"/>
      <c r="C6686" s="247"/>
      <c r="D6686" s="317"/>
      <c r="E6686" s="318"/>
      <c r="F6686" s="247"/>
      <c r="G6686" s="247"/>
      <c r="H6686" s="248"/>
      <c r="I6686" s="248"/>
      <c r="J6686" s="247"/>
      <c r="K6686" s="249"/>
    </row>
    <row r="6687" spans="1:11" s="90" customFormat="1" ht="12.75" customHeight="1" x14ac:dyDescent="0.2">
      <c r="A6687" s="247"/>
      <c r="B6687" s="316"/>
      <c r="C6687" s="247"/>
      <c r="D6687" s="317"/>
      <c r="E6687" s="318"/>
      <c r="F6687" s="247"/>
      <c r="G6687" s="247"/>
      <c r="H6687" s="248"/>
      <c r="I6687" s="248"/>
      <c r="J6687" s="247"/>
      <c r="K6687" s="249"/>
    </row>
    <row r="6688" spans="1:11" s="90" customFormat="1" ht="12.75" customHeight="1" x14ac:dyDescent="0.2">
      <c r="A6688" s="247"/>
      <c r="B6688" s="316"/>
      <c r="C6688" s="247"/>
      <c r="D6688" s="317"/>
      <c r="E6688" s="318"/>
      <c r="F6688" s="247"/>
      <c r="G6688" s="247"/>
      <c r="H6688" s="248"/>
      <c r="I6688" s="248"/>
      <c r="J6688" s="247"/>
      <c r="K6688" s="249"/>
    </row>
    <row r="6689" spans="1:11" s="90" customFormat="1" ht="12.75" customHeight="1" x14ac:dyDescent="0.2">
      <c r="A6689" s="247"/>
      <c r="B6689" s="316"/>
      <c r="C6689" s="247"/>
      <c r="D6689" s="317"/>
      <c r="E6689" s="318"/>
      <c r="F6689" s="247"/>
      <c r="G6689" s="247"/>
      <c r="H6689" s="248"/>
      <c r="I6689" s="248"/>
      <c r="J6689" s="247"/>
      <c r="K6689" s="249"/>
    </row>
    <row r="6690" spans="1:11" s="90" customFormat="1" ht="12.75" customHeight="1" x14ac:dyDescent="0.2">
      <c r="A6690" s="247"/>
      <c r="B6690" s="316"/>
      <c r="C6690" s="247"/>
      <c r="D6690" s="317"/>
      <c r="E6690" s="318"/>
      <c r="F6690" s="247"/>
      <c r="G6690" s="247"/>
      <c r="H6690" s="248"/>
      <c r="I6690" s="248"/>
      <c r="J6690" s="247"/>
      <c r="K6690" s="249"/>
    </row>
    <row r="6691" spans="1:11" s="90" customFormat="1" ht="12.75" customHeight="1" x14ac:dyDescent="0.2">
      <c r="A6691" s="247"/>
      <c r="B6691" s="316"/>
      <c r="C6691" s="247"/>
      <c r="D6691" s="317"/>
      <c r="E6691" s="318"/>
      <c r="F6691" s="247"/>
      <c r="G6691" s="247"/>
      <c r="H6691" s="248"/>
      <c r="I6691" s="248"/>
      <c r="J6691" s="247"/>
      <c r="K6691" s="249"/>
    </row>
    <row r="6692" spans="1:11" s="90" customFormat="1" ht="12.75" customHeight="1" x14ac:dyDescent="0.2">
      <c r="A6692" s="247"/>
      <c r="B6692" s="316"/>
      <c r="C6692" s="247"/>
      <c r="D6692" s="317"/>
      <c r="E6692" s="318"/>
      <c r="F6692" s="247"/>
      <c r="G6692" s="247"/>
      <c r="H6692" s="248"/>
      <c r="I6692" s="248"/>
      <c r="J6692" s="247"/>
      <c r="K6692" s="249"/>
    </row>
    <row r="6693" spans="1:11" s="90" customFormat="1" ht="12.75" customHeight="1" x14ac:dyDescent="0.2">
      <c r="A6693" s="247"/>
      <c r="B6693" s="316"/>
      <c r="C6693" s="247"/>
      <c r="D6693" s="317"/>
      <c r="E6693" s="318"/>
      <c r="F6693" s="247"/>
      <c r="G6693" s="247"/>
      <c r="H6693" s="248"/>
      <c r="I6693" s="248"/>
      <c r="J6693" s="247"/>
      <c r="K6693" s="249"/>
    </row>
    <row r="6694" spans="1:11" s="90" customFormat="1" ht="12.75" customHeight="1" x14ac:dyDescent="0.2">
      <c r="A6694" s="247"/>
      <c r="B6694" s="316"/>
      <c r="C6694" s="247"/>
      <c r="D6694" s="317"/>
      <c r="E6694" s="318"/>
      <c r="F6694" s="247"/>
      <c r="G6694" s="247"/>
      <c r="H6694" s="248"/>
      <c r="I6694" s="248"/>
      <c r="J6694" s="247"/>
      <c r="K6694" s="249"/>
    </row>
    <row r="6695" spans="1:11" s="90" customFormat="1" ht="12.75" customHeight="1" x14ac:dyDescent="0.2">
      <c r="A6695" s="247"/>
      <c r="B6695" s="316"/>
      <c r="C6695" s="247"/>
      <c r="D6695" s="317"/>
      <c r="E6695" s="318"/>
      <c r="F6695" s="247"/>
      <c r="G6695" s="247"/>
      <c r="H6695" s="248"/>
      <c r="I6695" s="248"/>
      <c r="J6695" s="247"/>
      <c r="K6695" s="249"/>
    </row>
    <row r="6696" spans="1:11" s="90" customFormat="1" ht="12.75" customHeight="1" x14ac:dyDescent="0.2">
      <c r="A6696" s="247"/>
      <c r="B6696" s="316"/>
      <c r="C6696" s="247"/>
      <c r="D6696" s="317"/>
      <c r="E6696" s="318"/>
      <c r="F6696" s="247"/>
      <c r="G6696" s="247"/>
      <c r="H6696" s="248"/>
      <c r="I6696" s="248"/>
      <c r="J6696" s="247"/>
      <c r="K6696" s="249"/>
    </row>
    <row r="6697" spans="1:11" s="90" customFormat="1" ht="12.75" customHeight="1" x14ac:dyDescent="0.2">
      <c r="A6697" s="247"/>
      <c r="B6697" s="316"/>
      <c r="C6697" s="247"/>
      <c r="D6697" s="317"/>
      <c r="E6697" s="318"/>
      <c r="F6697" s="247"/>
      <c r="G6697" s="247"/>
      <c r="H6697" s="248"/>
      <c r="I6697" s="248"/>
      <c r="J6697" s="247"/>
      <c r="K6697" s="249"/>
    </row>
    <row r="6698" spans="1:11" s="90" customFormat="1" ht="12.75" customHeight="1" x14ac:dyDescent="0.2">
      <c r="A6698" s="247"/>
      <c r="B6698" s="316"/>
      <c r="C6698" s="247"/>
      <c r="D6698" s="317"/>
      <c r="E6698" s="318"/>
      <c r="F6698" s="247"/>
      <c r="G6698" s="247"/>
      <c r="H6698" s="248"/>
      <c r="I6698" s="248"/>
      <c r="J6698" s="247"/>
      <c r="K6698" s="249"/>
    </row>
    <row r="6699" spans="1:11" s="90" customFormat="1" ht="12.75" customHeight="1" x14ac:dyDescent="0.2">
      <c r="A6699" s="247"/>
      <c r="B6699" s="316"/>
      <c r="C6699" s="247"/>
      <c r="D6699" s="317"/>
      <c r="E6699" s="318"/>
      <c r="F6699" s="247"/>
      <c r="G6699" s="247"/>
      <c r="H6699" s="248"/>
      <c r="I6699" s="248"/>
      <c r="J6699" s="247"/>
      <c r="K6699" s="249"/>
    </row>
    <row r="6700" spans="1:11" s="90" customFormat="1" ht="12.75" customHeight="1" x14ac:dyDescent="0.2">
      <c r="A6700" s="247"/>
      <c r="B6700" s="316"/>
      <c r="C6700" s="247"/>
      <c r="D6700" s="317"/>
      <c r="E6700" s="318"/>
      <c r="F6700" s="247"/>
      <c r="G6700" s="247"/>
      <c r="H6700" s="248"/>
      <c r="I6700" s="248"/>
      <c r="J6700" s="247"/>
      <c r="K6700" s="249"/>
    </row>
    <row r="6701" spans="1:11" s="90" customFormat="1" ht="12.75" customHeight="1" x14ac:dyDescent="0.2">
      <c r="A6701" s="247"/>
      <c r="B6701" s="316"/>
      <c r="C6701" s="247"/>
      <c r="D6701" s="317"/>
      <c r="E6701" s="318"/>
      <c r="F6701" s="247"/>
      <c r="G6701" s="247"/>
      <c r="H6701" s="248"/>
      <c r="I6701" s="248"/>
      <c r="J6701" s="247"/>
      <c r="K6701" s="249"/>
    </row>
    <row r="6702" spans="1:11" s="90" customFormat="1" ht="12.75" customHeight="1" x14ac:dyDescent="0.2">
      <c r="A6702" s="247"/>
      <c r="B6702" s="316"/>
      <c r="C6702" s="247"/>
      <c r="D6702" s="317"/>
      <c r="E6702" s="318"/>
      <c r="F6702" s="247"/>
      <c r="G6702" s="247"/>
      <c r="H6702" s="248"/>
      <c r="I6702" s="248"/>
      <c r="J6702" s="247"/>
      <c r="K6702" s="249"/>
    </row>
    <row r="6703" spans="1:11" s="90" customFormat="1" ht="12.75" customHeight="1" x14ac:dyDescent="0.2">
      <c r="A6703" s="247"/>
      <c r="B6703" s="316"/>
      <c r="C6703" s="247"/>
      <c r="D6703" s="317"/>
      <c r="E6703" s="318"/>
      <c r="F6703" s="247"/>
      <c r="G6703" s="247"/>
      <c r="H6703" s="248"/>
      <c r="I6703" s="248"/>
      <c r="J6703" s="247"/>
      <c r="K6703" s="249"/>
    </row>
    <row r="6704" spans="1:11" s="90" customFormat="1" ht="12.75" customHeight="1" x14ac:dyDescent="0.2">
      <c r="A6704" s="247"/>
      <c r="B6704" s="316"/>
      <c r="C6704" s="247"/>
      <c r="D6704" s="317"/>
      <c r="E6704" s="318"/>
      <c r="F6704" s="247"/>
      <c r="G6704" s="247"/>
      <c r="H6704" s="248"/>
      <c r="I6704" s="248"/>
      <c r="J6704" s="247"/>
      <c r="K6704" s="249"/>
    </row>
    <row r="6705" spans="1:11" s="90" customFormat="1" ht="12.75" customHeight="1" x14ac:dyDescent="0.2">
      <c r="A6705" s="247"/>
      <c r="B6705" s="316"/>
      <c r="C6705" s="247"/>
      <c r="D6705" s="317"/>
      <c r="E6705" s="318"/>
      <c r="F6705" s="247"/>
      <c r="G6705" s="247"/>
      <c r="H6705" s="248"/>
      <c r="I6705" s="248"/>
      <c r="J6705" s="247"/>
      <c r="K6705" s="249"/>
    </row>
    <row r="6706" spans="1:11" s="90" customFormat="1" ht="12.75" customHeight="1" x14ac:dyDescent="0.2">
      <c r="A6706" s="247"/>
      <c r="B6706" s="316"/>
      <c r="C6706" s="247"/>
      <c r="D6706" s="317"/>
      <c r="E6706" s="318"/>
      <c r="F6706" s="247"/>
      <c r="G6706" s="247"/>
      <c r="H6706" s="248"/>
      <c r="I6706" s="248"/>
      <c r="J6706" s="247"/>
      <c r="K6706" s="249"/>
    </row>
    <row r="6707" spans="1:11" s="90" customFormat="1" ht="12.75" customHeight="1" x14ac:dyDescent="0.2">
      <c r="A6707" s="247"/>
      <c r="B6707" s="316"/>
      <c r="C6707" s="247"/>
      <c r="D6707" s="317"/>
      <c r="E6707" s="318"/>
      <c r="F6707" s="247"/>
      <c r="G6707" s="247"/>
      <c r="H6707" s="248"/>
      <c r="I6707" s="248"/>
      <c r="J6707" s="247"/>
      <c r="K6707" s="249"/>
    </row>
    <row r="6708" spans="1:11" s="90" customFormat="1" ht="12.75" customHeight="1" x14ac:dyDescent="0.2">
      <c r="A6708" s="247"/>
      <c r="B6708" s="316"/>
      <c r="C6708" s="247"/>
      <c r="D6708" s="317"/>
      <c r="E6708" s="318"/>
      <c r="F6708" s="247"/>
      <c r="G6708" s="247"/>
      <c r="H6708" s="248"/>
      <c r="I6708" s="248"/>
      <c r="J6708" s="247"/>
      <c r="K6708" s="249"/>
    </row>
    <row r="6709" spans="1:11" s="90" customFormat="1" ht="12.75" customHeight="1" x14ac:dyDescent="0.2">
      <c r="A6709" s="247"/>
      <c r="B6709" s="316"/>
      <c r="C6709" s="247"/>
      <c r="D6709" s="317"/>
      <c r="E6709" s="318"/>
      <c r="F6709" s="247"/>
      <c r="G6709" s="247"/>
      <c r="H6709" s="248"/>
      <c r="I6709" s="248"/>
      <c r="J6709" s="247"/>
      <c r="K6709" s="249"/>
    </row>
    <row r="6710" spans="1:11" s="90" customFormat="1" ht="12.75" customHeight="1" x14ac:dyDescent="0.2">
      <c r="A6710" s="247"/>
      <c r="B6710" s="316"/>
      <c r="C6710" s="247"/>
      <c r="D6710" s="317"/>
      <c r="E6710" s="318"/>
      <c r="F6710" s="247"/>
      <c r="G6710" s="247"/>
      <c r="H6710" s="248"/>
      <c r="I6710" s="248"/>
      <c r="J6710" s="247"/>
      <c r="K6710" s="249"/>
    </row>
    <row r="6711" spans="1:11" s="90" customFormat="1" ht="12.75" customHeight="1" x14ac:dyDescent="0.2">
      <c r="A6711" s="247"/>
      <c r="B6711" s="316"/>
      <c r="C6711" s="247"/>
      <c r="D6711" s="317"/>
      <c r="E6711" s="318"/>
      <c r="F6711" s="247"/>
      <c r="G6711" s="247"/>
      <c r="H6711" s="248"/>
      <c r="I6711" s="248"/>
      <c r="J6711" s="247"/>
      <c r="K6711" s="249"/>
    </row>
    <row r="6712" spans="1:11" s="90" customFormat="1" ht="12.75" customHeight="1" x14ac:dyDescent="0.2">
      <c r="A6712" s="247"/>
      <c r="B6712" s="316"/>
      <c r="C6712" s="247"/>
      <c r="D6712" s="317"/>
      <c r="E6712" s="318"/>
      <c r="F6712" s="247"/>
      <c r="G6712" s="247"/>
      <c r="H6712" s="248"/>
      <c r="I6712" s="248"/>
      <c r="J6712" s="247"/>
      <c r="K6712" s="249"/>
    </row>
    <row r="6713" spans="1:11" s="90" customFormat="1" ht="12.75" customHeight="1" x14ac:dyDescent="0.2">
      <c r="A6713" s="247"/>
      <c r="B6713" s="316"/>
      <c r="C6713" s="247"/>
      <c r="D6713" s="317"/>
      <c r="E6713" s="318"/>
      <c r="F6713" s="247"/>
      <c r="G6713" s="247"/>
      <c r="H6713" s="248"/>
      <c r="I6713" s="248"/>
      <c r="J6713" s="247"/>
      <c r="K6713" s="249"/>
    </row>
    <row r="6714" spans="1:11" s="90" customFormat="1" ht="12.75" customHeight="1" x14ac:dyDescent="0.2">
      <c r="A6714" s="247"/>
      <c r="B6714" s="316"/>
      <c r="C6714" s="247"/>
      <c r="D6714" s="317"/>
      <c r="E6714" s="318"/>
      <c r="F6714" s="247"/>
      <c r="G6714" s="247"/>
      <c r="H6714" s="248"/>
      <c r="I6714" s="248"/>
      <c r="J6714" s="247"/>
      <c r="K6714" s="249"/>
    </row>
    <row r="6715" spans="1:11" s="90" customFormat="1" ht="12.75" customHeight="1" x14ac:dyDescent="0.2">
      <c r="A6715" s="247"/>
      <c r="B6715" s="316"/>
      <c r="C6715" s="247"/>
      <c r="D6715" s="317"/>
      <c r="E6715" s="318"/>
      <c r="F6715" s="247"/>
      <c r="G6715" s="247"/>
      <c r="H6715" s="248"/>
      <c r="I6715" s="248"/>
      <c r="J6715" s="247"/>
      <c r="K6715" s="249"/>
    </row>
    <row r="6716" spans="1:11" s="90" customFormat="1" ht="12.75" customHeight="1" x14ac:dyDescent="0.2">
      <c r="A6716" s="247"/>
      <c r="B6716" s="316"/>
      <c r="C6716" s="247"/>
      <c r="D6716" s="317"/>
      <c r="E6716" s="318"/>
      <c r="F6716" s="247"/>
      <c r="G6716" s="247"/>
      <c r="H6716" s="248"/>
      <c r="I6716" s="248"/>
      <c r="J6716" s="247"/>
      <c r="K6716" s="249"/>
    </row>
    <row r="6717" spans="1:11" s="90" customFormat="1" ht="12.75" customHeight="1" x14ac:dyDescent="0.2">
      <c r="A6717" s="247"/>
      <c r="B6717" s="316"/>
      <c r="C6717" s="247"/>
      <c r="D6717" s="317"/>
      <c r="E6717" s="318"/>
      <c r="F6717" s="247"/>
      <c r="G6717" s="247"/>
      <c r="H6717" s="248"/>
      <c r="I6717" s="248"/>
      <c r="J6717" s="247"/>
      <c r="K6717" s="249"/>
    </row>
    <row r="6718" spans="1:11" s="90" customFormat="1" ht="12.75" customHeight="1" x14ac:dyDescent="0.2">
      <c r="A6718" s="247"/>
      <c r="B6718" s="316"/>
      <c r="C6718" s="247"/>
      <c r="D6718" s="317"/>
      <c r="E6718" s="318"/>
      <c r="F6718" s="247"/>
      <c r="G6718" s="247"/>
      <c r="H6718" s="248"/>
      <c r="I6718" s="248"/>
      <c r="J6718" s="247"/>
      <c r="K6718" s="249"/>
    </row>
    <row r="6719" spans="1:11" s="90" customFormat="1" ht="12.75" customHeight="1" x14ac:dyDescent="0.2">
      <c r="A6719" s="247"/>
      <c r="B6719" s="316"/>
      <c r="C6719" s="247"/>
      <c r="D6719" s="317"/>
      <c r="E6719" s="318"/>
      <c r="F6719" s="247"/>
      <c r="G6719" s="247"/>
      <c r="H6719" s="248"/>
      <c r="I6719" s="248"/>
      <c r="J6719" s="247"/>
      <c r="K6719" s="249"/>
    </row>
    <row r="6720" spans="1:11" s="90" customFormat="1" ht="12.75" customHeight="1" x14ac:dyDescent="0.2">
      <c r="A6720" s="247"/>
      <c r="B6720" s="316"/>
      <c r="C6720" s="247"/>
      <c r="D6720" s="317"/>
      <c r="E6720" s="318"/>
      <c r="F6720" s="247"/>
      <c r="G6720" s="247"/>
      <c r="H6720" s="248"/>
      <c r="I6720" s="248"/>
      <c r="J6720" s="247"/>
      <c r="K6720" s="249"/>
    </row>
    <row r="6721" spans="1:11" s="90" customFormat="1" ht="12.75" customHeight="1" x14ac:dyDescent="0.2">
      <c r="A6721" s="247"/>
      <c r="B6721" s="316"/>
      <c r="C6721" s="247"/>
      <c r="D6721" s="317"/>
      <c r="E6721" s="318"/>
      <c r="F6721" s="247"/>
      <c r="G6721" s="247"/>
      <c r="H6721" s="248"/>
      <c r="I6721" s="248"/>
      <c r="J6721" s="247"/>
      <c r="K6721" s="249"/>
    </row>
    <row r="6722" spans="1:11" s="90" customFormat="1" ht="12.75" customHeight="1" x14ac:dyDescent="0.2">
      <c r="A6722" s="247"/>
      <c r="B6722" s="316"/>
      <c r="C6722" s="247"/>
      <c r="D6722" s="317"/>
      <c r="E6722" s="318"/>
      <c r="F6722" s="247"/>
      <c r="G6722" s="247"/>
      <c r="H6722" s="248"/>
      <c r="I6722" s="248"/>
      <c r="J6722" s="247"/>
      <c r="K6722" s="249"/>
    </row>
    <row r="6723" spans="1:11" s="90" customFormat="1" ht="12.75" customHeight="1" x14ac:dyDescent="0.2">
      <c r="A6723" s="247"/>
      <c r="B6723" s="316"/>
      <c r="C6723" s="247"/>
      <c r="D6723" s="317"/>
      <c r="E6723" s="318"/>
      <c r="F6723" s="247"/>
      <c r="G6723" s="247"/>
      <c r="H6723" s="248"/>
      <c r="I6723" s="248"/>
      <c r="J6723" s="247"/>
      <c r="K6723" s="249"/>
    </row>
    <row r="6724" spans="1:11" s="90" customFormat="1" ht="12.75" customHeight="1" x14ac:dyDescent="0.2">
      <c r="A6724" s="247"/>
      <c r="B6724" s="316"/>
      <c r="C6724" s="247"/>
      <c r="D6724" s="317"/>
      <c r="E6724" s="318"/>
      <c r="F6724" s="247"/>
      <c r="G6724" s="247"/>
      <c r="H6724" s="248"/>
      <c r="I6724" s="248"/>
      <c r="J6724" s="247"/>
      <c r="K6724" s="249"/>
    </row>
    <row r="6725" spans="1:11" s="90" customFormat="1" ht="12.75" customHeight="1" x14ac:dyDescent="0.2">
      <c r="A6725" s="247"/>
      <c r="B6725" s="316"/>
      <c r="C6725" s="247"/>
      <c r="D6725" s="317"/>
      <c r="E6725" s="318"/>
      <c r="F6725" s="247"/>
      <c r="G6725" s="247"/>
      <c r="H6725" s="248"/>
      <c r="I6725" s="248"/>
      <c r="J6725" s="247"/>
      <c r="K6725" s="249"/>
    </row>
    <row r="6726" spans="1:11" s="90" customFormat="1" ht="12.75" customHeight="1" x14ac:dyDescent="0.2">
      <c r="A6726" s="247"/>
      <c r="B6726" s="316"/>
      <c r="C6726" s="247"/>
      <c r="D6726" s="317"/>
      <c r="E6726" s="318"/>
      <c r="F6726" s="247"/>
      <c r="G6726" s="247"/>
      <c r="H6726" s="248"/>
      <c r="I6726" s="248"/>
      <c r="J6726" s="247"/>
      <c r="K6726" s="249"/>
    </row>
    <row r="6727" spans="1:11" s="90" customFormat="1" ht="12.75" customHeight="1" x14ac:dyDescent="0.2">
      <c r="A6727" s="247"/>
      <c r="B6727" s="316"/>
      <c r="C6727" s="247"/>
      <c r="D6727" s="317"/>
      <c r="E6727" s="318"/>
      <c r="F6727" s="247"/>
      <c r="G6727" s="247"/>
      <c r="H6727" s="248"/>
      <c r="I6727" s="248"/>
      <c r="J6727" s="247"/>
      <c r="K6727" s="249"/>
    </row>
    <row r="6728" spans="1:11" s="90" customFormat="1" ht="12.75" customHeight="1" x14ac:dyDescent="0.2">
      <c r="A6728" s="247"/>
      <c r="B6728" s="316"/>
      <c r="C6728" s="247"/>
      <c r="D6728" s="317"/>
      <c r="E6728" s="318"/>
      <c r="F6728" s="247"/>
      <c r="G6728" s="247"/>
      <c r="H6728" s="248"/>
      <c r="I6728" s="248"/>
      <c r="J6728" s="247"/>
      <c r="K6728" s="249"/>
    </row>
    <row r="6729" spans="1:11" s="90" customFormat="1" ht="12.75" customHeight="1" x14ac:dyDescent="0.2">
      <c r="A6729" s="247"/>
      <c r="B6729" s="316"/>
      <c r="C6729" s="247"/>
      <c r="D6729" s="317"/>
      <c r="E6729" s="318"/>
      <c r="F6729" s="247"/>
      <c r="G6729" s="247"/>
      <c r="H6729" s="248"/>
      <c r="I6729" s="248"/>
      <c r="J6729" s="247"/>
      <c r="K6729" s="249"/>
    </row>
    <row r="6730" spans="1:11" s="90" customFormat="1" ht="12.75" customHeight="1" x14ac:dyDescent="0.2">
      <c r="A6730" s="247"/>
      <c r="B6730" s="316"/>
      <c r="C6730" s="247"/>
      <c r="D6730" s="317"/>
      <c r="E6730" s="318"/>
      <c r="F6730" s="247"/>
      <c r="G6730" s="247"/>
      <c r="H6730" s="248"/>
      <c r="I6730" s="248"/>
      <c r="J6730" s="247"/>
      <c r="K6730" s="249"/>
    </row>
    <row r="6731" spans="1:11" s="90" customFormat="1" ht="12.75" customHeight="1" x14ac:dyDescent="0.2">
      <c r="A6731" s="247"/>
      <c r="B6731" s="316"/>
      <c r="C6731" s="247"/>
      <c r="D6731" s="317"/>
      <c r="E6731" s="318"/>
      <c r="F6731" s="247"/>
      <c r="G6731" s="247"/>
      <c r="H6731" s="248"/>
      <c r="I6731" s="248"/>
      <c r="J6731" s="247"/>
      <c r="K6731" s="249"/>
    </row>
    <row r="6732" spans="1:11" s="90" customFormat="1" ht="12.75" customHeight="1" x14ac:dyDescent="0.2">
      <c r="A6732" s="247"/>
      <c r="B6732" s="316"/>
      <c r="C6732" s="247"/>
      <c r="D6732" s="317"/>
      <c r="E6732" s="318"/>
      <c r="F6732" s="247"/>
      <c r="G6732" s="247"/>
      <c r="H6732" s="248"/>
      <c r="I6732" s="248"/>
      <c r="J6732" s="247"/>
      <c r="K6732" s="249"/>
    </row>
    <row r="6733" spans="1:11" s="90" customFormat="1" ht="12.75" customHeight="1" x14ac:dyDescent="0.2">
      <c r="A6733" s="247"/>
      <c r="B6733" s="316"/>
      <c r="C6733" s="247"/>
      <c r="D6733" s="317"/>
      <c r="E6733" s="318"/>
      <c r="F6733" s="247"/>
      <c r="G6733" s="247"/>
      <c r="H6733" s="248"/>
      <c r="I6733" s="248"/>
      <c r="J6733" s="247"/>
      <c r="K6733" s="249"/>
    </row>
    <row r="6734" spans="1:11" s="90" customFormat="1" ht="12.75" customHeight="1" x14ac:dyDescent="0.2">
      <c r="A6734" s="247"/>
      <c r="B6734" s="316"/>
      <c r="C6734" s="247"/>
      <c r="D6734" s="317"/>
      <c r="E6734" s="318"/>
      <c r="F6734" s="247"/>
      <c r="G6734" s="247"/>
      <c r="H6734" s="248"/>
      <c r="I6734" s="248"/>
      <c r="J6734" s="247"/>
      <c r="K6734" s="249"/>
    </row>
    <row r="6735" spans="1:11" s="90" customFormat="1" ht="12.75" customHeight="1" x14ac:dyDescent="0.2">
      <c r="A6735" s="247"/>
      <c r="B6735" s="316"/>
      <c r="C6735" s="247"/>
      <c r="D6735" s="317"/>
      <c r="E6735" s="318"/>
      <c r="F6735" s="247"/>
      <c r="G6735" s="247"/>
      <c r="H6735" s="248"/>
      <c r="I6735" s="248"/>
      <c r="J6735" s="247"/>
      <c r="K6735" s="249"/>
    </row>
    <row r="6736" spans="1:11" s="90" customFormat="1" ht="12.75" customHeight="1" x14ac:dyDescent="0.2">
      <c r="A6736" s="247"/>
      <c r="B6736" s="316"/>
      <c r="C6736" s="247"/>
      <c r="D6736" s="317"/>
      <c r="E6736" s="318"/>
      <c r="F6736" s="247"/>
      <c r="G6736" s="247"/>
      <c r="H6736" s="248"/>
      <c r="I6736" s="248"/>
      <c r="J6736" s="247"/>
      <c r="K6736" s="249"/>
    </row>
    <row r="6737" spans="1:11" s="90" customFormat="1" ht="12.75" customHeight="1" x14ac:dyDescent="0.2">
      <c r="A6737" s="247"/>
      <c r="B6737" s="316"/>
      <c r="C6737" s="247"/>
      <c r="D6737" s="317"/>
      <c r="E6737" s="318"/>
      <c r="F6737" s="247"/>
      <c r="G6737" s="247"/>
      <c r="H6737" s="248"/>
      <c r="I6737" s="248"/>
      <c r="J6737" s="247"/>
      <c r="K6737" s="249"/>
    </row>
    <row r="6738" spans="1:11" s="90" customFormat="1" ht="12.75" customHeight="1" x14ac:dyDescent="0.2">
      <c r="A6738" s="247"/>
      <c r="B6738" s="316"/>
      <c r="C6738" s="247"/>
      <c r="D6738" s="317"/>
      <c r="E6738" s="318"/>
      <c r="F6738" s="247"/>
      <c r="G6738" s="247"/>
      <c r="H6738" s="248"/>
      <c r="I6738" s="248"/>
      <c r="J6738" s="247"/>
      <c r="K6738" s="249"/>
    </row>
    <row r="6739" spans="1:11" s="90" customFormat="1" ht="12.75" customHeight="1" x14ac:dyDescent="0.2">
      <c r="A6739" s="247"/>
      <c r="B6739" s="316"/>
      <c r="C6739" s="247"/>
      <c r="D6739" s="317"/>
      <c r="E6739" s="318"/>
      <c r="F6739" s="247"/>
      <c r="G6739" s="247"/>
      <c r="H6739" s="248"/>
      <c r="I6739" s="248"/>
      <c r="J6739" s="247"/>
      <c r="K6739" s="249"/>
    </row>
    <row r="6740" spans="1:11" s="90" customFormat="1" ht="12.75" customHeight="1" x14ac:dyDescent="0.2">
      <c r="A6740" s="247"/>
      <c r="B6740" s="316"/>
      <c r="C6740" s="247"/>
      <c r="D6740" s="317"/>
      <c r="E6740" s="318"/>
      <c r="F6740" s="247"/>
      <c r="G6740" s="247"/>
      <c r="H6740" s="248"/>
      <c r="I6740" s="248"/>
      <c r="J6740" s="247"/>
      <c r="K6740" s="249"/>
    </row>
    <row r="6741" spans="1:11" s="90" customFormat="1" ht="12.75" customHeight="1" x14ac:dyDescent="0.2">
      <c r="A6741" s="247"/>
      <c r="B6741" s="316"/>
      <c r="C6741" s="247"/>
      <c r="D6741" s="317"/>
      <c r="E6741" s="318"/>
      <c r="F6741" s="247"/>
      <c r="G6741" s="247"/>
      <c r="H6741" s="248"/>
      <c r="I6741" s="248"/>
      <c r="J6741" s="247"/>
      <c r="K6741" s="249"/>
    </row>
    <row r="6742" spans="1:11" s="90" customFormat="1" ht="12.75" customHeight="1" x14ac:dyDescent="0.2">
      <c r="A6742" s="247"/>
      <c r="B6742" s="316"/>
      <c r="C6742" s="247"/>
      <c r="D6742" s="317"/>
      <c r="E6742" s="318"/>
      <c r="F6742" s="247"/>
      <c r="G6742" s="247"/>
      <c r="H6742" s="248"/>
      <c r="I6742" s="248"/>
      <c r="J6742" s="247"/>
      <c r="K6742" s="249"/>
    </row>
    <row r="6743" spans="1:11" s="90" customFormat="1" ht="12.75" customHeight="1" x14ac:dyDescent="0.2">
      <c r="A6743" s="247"/>
      <c r="B6743" s="316"/>
      <c r="C6743" s="247"/>
      <c r="D6743" s="317"/>
      <c r="E6743" s="318"/>
      <c r="F6743" s="247"/>
      <c r="G6743" s="247"/>
      <c r="H6743" s="248"/>
      <c r="I6743" s="248"/>
      <c r="J6743" s="247"/>
      <c r="K6743" s="249"/>
    </row>
    <row r="6744" spans="1:11" s="90" customFormat="1" ht="12.75" customHeight="1" x14ac:dyDescent="0.2">
      <c r="A6744" s="247"/>
      <c r="B6744" s="316"/>
      <c r="C6744" s="247"/>
      <c r="D6744" s="317"/>
      <c r="E6744" s="318"/>
      <c r="F6744" s="247"/>
      <c r="G6744" s="247"/>
      <c r="H6744" s="248"/>
      <c r="I6744" s="248"/>
      <c r="J6744" s="247"/>
      <c r="K6744" s="249"/>
    </row>
    <row r="6745" spans="1:11" s="90" customFormat="1" ht="12.75" customHeight="1" x14ac:dyDescent="0.2">
      <c r="A6745" s="247"/>
      <c r="B6745" s="316"/>
      <c r="C6745" s="247"/>
      <c r="D6745" s="317"/>
      <c r="E6745" s="318"/>
      <c r="F6745" s="247"/>
      <c r="G6745" s="247"/>
      <c r="H6745" s="248"/>
      <c r="I6745" s="248"/>
      <c r="J6745" s="247"/>
      <c r="K6745" s="249"/>
    </row>
    <row r="6746" spans="1:11" s="90" customFormat="1" ht="12.75" customHeight="1" x14ac:dyDescent="0.2">
      <c r="A6746" s="247"/>
      <c r="B6746" s="316"/>
      <c r="C6746" s="247"/>
      <c r="D6746" s="317"/>
      <c r="E6746" s="318"/>
      <c r="F6746" s="247"/>
      <c r="G6746" s="247"/>
      <c r="H6746" s="248"/>
      <c r="I6746" s="248"/>
      <c r="J6746" s="247"/>
      <c r="K6746" s="249"/>
    </row>
    <row r="6747" spans="1:11" s="90" customFormat="1" ht="12.75" customHeight="1" x14ac:dyDescent="0.2">
      <c r="A6747" s="247"/>
      <c r="B6747" s="316"/>
      <c r="C6747" s="247"/>
      <c r="D6747" s="317"/>
      <c r="E6747" s="318"/>
      <c r="F6747" s="247"/>
      <c r="G6747" s="247"/>
      <c r="H6747" s="248"/>
      <c r="I6747" s="248"/>
      <c r="J6747" s="247"/>
      <c r="K6747" s="249"/>
    </row>
    <row r="6748" spans="1:11" s="90" customFormat="1" ht="12.75" customHeight="1" x14ac:dyDescent="0.2">
      <c r="A6748" s="247"/>
      <c r="B6748" s="316"/>
      <c r="C6748" s="247"/>
      <c r="D6748" s="317"/>
      <c r="E6748" s="318"/>
      <c r="F6748" s="247"/>
      <c r="G6748" s="247"/>
      <c r="H6748" s="248"/>
      <c r="I6748" s="248"/>
      <c r="J6748" s="247"/>
      <c r="K6748" s="249"/>
    </row>
    <row r="6749" spans="1:11" s="90" customFormat="1" ht="12.75" customHeight="1" x14ac:dyDescent="0.2">
      <c r="A6749" s="247"/>
      <c r="B6749" s="316"/>
      <c r="C6749" s="247"/>
      <c r="D6749" s="317"/>
      <c r="E6749" s="318"/>
      <c r="F6749" s="247"/>
      <c r="G6749" s="247"/>
      <c r="H6749" s="248"/>
      <c r="I6749" s="248"/>
      <c r="J6749" s="247"/>
      <c r="K6749" s="249"/>
    </row>
    <row r="6750" spans="1:11" s="90" customFormat="1" ht="12.75" customHeight="1" x14ac:dyDescent="0.2">
      <c r="A6750" s="247"/>
      <c r="B6750" s="316"/>
      <c r="C6750" s="247"/>
      <c r="D6750" s="317"/>
      <c r="E6750" s="318"/>
      <c r="F6750" s="247"/>
      <c r="G6750" s="247"/>
      <c r="H6750" s="248"/>
      <c r="I6750" s="248"/>
      <c r="J6750" s="247"/>
      <c r="K6750" s="249"/>
    </row>
    <row r="6751" spans="1:11" s="90" customFormat="1" ht="12.75" customHeight="1" x14ac:dyDescent="0.2">
      <c r="A6751" s="247"/>
      <c r="B6751" s="316"/>
      <c r="C6751" s="247"/>
      <c r="D6751" s="317"/>
      <c r="E6751" s="318"/>
      <c r="F6751" s="247"/>
      <c r="G6751" s="247"/>
      <c r="H6751" s="248"/>
      <c r="I6751" s="248"/>
      <c r="J6751" s="247"/>
      <c r="K6751" s="249"/>
    </row>
    <row r="6752" spans="1:11" s="90" customFormat="1" ht="12.75" customHeight="1" x14ac:dyDescent="0.2">
      <c r="A6752" s="247"/>
      <c r="B6752" s="316"/>
      <c r="C6752" s="247"/>
      <c r="D6752" s="317"/>
      <c r="E6752" s="318"/>
      <c r="F6752" s="247"/>
      <c r="G6752" s="247"/>
      <c r="H6752" s="248"/>
      <c r="I6752" s="248"/>
      <c r="J6752" s="247"/>
      <c r="K6752" s="249"/>
    </row>
    <row r="6753" spans="1:11" s="90" customFormat="1" ht="12.75" customHeight="1" x14ac:dyDescent="0.2">
      <c r="A6753" s="247"/>
      <c r="B6753" s="316"/>
      <c r="C6753" s="247"/>
      <c r="D6753" s="317"/>
      <c r="E6753" s="318"/>
      <c r="F6753" s="247"/>
      <c r="G6753" s="247"/>
      <c r="H6753" s="248"/>
      <c r="I6753" s="248"/>
      <c r="J6753" s="247"/>
      <c r="K6753" s="249"/>
    </row>
    <row r="6754" spans="1:11" s="90" customFormat="1" ht="12.75" customHeight="1" x14ac:dyDescent="0.2">
      <c r="A6754" s="247"/>
      <c r="B6754" s="316"/>
      <c r="C6754" s="247"/>
      <c r="D6754" s="317"/>
      <c r="E6754" s="318"/>
      <c r="F6754" s="247"/>
      <c r="G6754" s="247"/>
      <c r="H6754" s="248"/>
      <c r="I6754" s="248"/>
      <c r="J6754" s="247"/>
      <c r="K6754" s="249"/>
    </row>
    <row r="6755" spans="1:11" s="90" customFormat="1" ht="12.75" customHeight="1" x14ac:dyDescent="0.2">
      <c r="A6755" s="247"/>
      <c r="B6755" s="316"/>
      <c r="C6755" s="247"/>
      <c r="D6755" s="317"/>
      <c r="E6755" s="318"/>
      <c r="F6755" s="247"/>
      <c r="G6755" s="247"/>
      <c r="H6755" s="248"/>
      <c r="I6755" s="248"/>
      <c r="J6755" s="247"/>
      <c r="K6755" s="249"/>
    </row>
    <row r="6756" spans="1:11" s="90" customFormat="1" ht="12.75" customHeight="1" x14ac:dyDescent="0.2">
      <c r="A6756" s="247"/>
      <c r="B6756" s="316"/>
      <c r="C6756" s="247"/>
      <c r="D6756" s="317"/>
      <c r="E6756" s="318"/>
      <c r="F6756" s="247"/>
      <c r="G6756" s="247"/>
      <c r="H6756" s="248"/>
      <c r="I6756" s="248"/>
      <c r="J6756" s="247"/>
      <c r="K6756" s="249"/>
    </row>
    <row r="6757" spans="1:11" s="90" customFormat="1" ht="12.75" customHeight="1" x14ac:dyDescent="0.2">
      <c r="A6757" s="247"/>
      <c r="B6757" s="316"/>
      <c r="C6757" s="247"/>
      <c r="D6757" s="317"/>
      <c r="E6757" s="318"/>
      <c r="F6757" s="247"/>
      <c r="G6757" s="247"/>
      <c r="H6757" s="248"/>
      <c r="I6757" s="248"/>
      <c r="J6757" s="247"/>
      <c r="K6757" s="249"/>
    </row>
    <row r="6758" spans="1:11" s="90" customFormat="1" ht="12.75" customHeight="1" x14ac:dyDescent="0.2">
      <c r="A6758" s="247"/>
      <c r="B6758" s="316"/>
      <c r="C6758" s="247"/>
      <c r="D6758" s="317"/>
      <c r="E6758" s="318"/>
      <c r="F6758" s="247"/>
      <c r="G6758" s="247"/>
      <c r="H6758" s="248"/>
      <c r="I6758" s="248"/>
      <c r="J6758" s="247"/>
      <c r="K6758" s="249"/>
    </row>
    <row r="6759" spans="1:11" s="90" customFormat="1" ht="12.75" customHeight="1" x14ac:dyDescent="0.2">
      <c r="A6759" s="247"/>
      <c r="B6759" s="316"/>
      <c r="C6759" s="247"/>
      <c r="D6759" s="317"/>
      <c r="E6759" s="318"/>
      <c r="F6759" s="247"/>
      <c r="G6759" s="247"/>
      <c r="H6759" s="248"/>
      <c r="I6759" s="248"/>
      <c r="J6759" s="247"/>
      <c r="K6759" s="249"/>
    </row>
    <row r="6760" spans="1:11" s="90" customFormat="1" ht="12.75" customHeight="1" x14ac:dyDescent="0.2">
      <c r="A6760" s="247"/>
      <c r="B6760" s="316"/>
      <c r="C6760" s="247"/>
      <c r="D6760" s="317"/>
      <c r="E6760" s="318"/>
      <c r="F6760" s="247"/>
      <c r="G6760" s="247"/>
      <c r="H6760" s="248"/>
      <c r="I6760" s="248"/>
      <c r="J6760" s="247"/>
      <c r="K6760" s="249"/>
    </row>
    <row r="6761" spans="1:11" s="90" customFormat="1" ht="12.75" customHeight="1" x14ac:dyDescent="0.2">
      <c r="A6761" s="247"/>
      <c r="B6761" s="316"/>
      <c r="C6761" s="247"/>
      <c r="D6761" s="317"/>
      <c r="E6761" s="318"/>
      <c r="F6761" s="247"/>
      <c r="G6761" s="247"/>
      <c r="H6761" s="248"/>
      <c r="I6761" s="248"/>
      <c r="J6761" s="247"/>
      <c r="K6761" s="249"/>
    </row>
    <row r="6762" spans="1:11" s="90" customFormat="1" ht="12.75" customHeight="1" x14ac:dyDescent="0.2">
      <c r="A6762" s="247"/>
      <c r="B6762" s="316"/>
      <c r="C6762" s="247"/>
      <c r="D6762" s="317"/>
      <c r="E6762" s="318"/>
      <c r="F6762" s="247"/>
      <c r="G6762" s="247"/>
      <c r="H6762" s="248"/>
      <c r="I6762" s="248"/>
      <c r="J6762" s="247"/>
      <c r="K6762" s="249"/>
    </row>
    <row r="6763" spans="1:11" s="90" customFormat="1" ht="12.75" customHeight="1" x14ac:dyDescent="0.2">
      <c r="A6763" s="247"/>
      <c r="B6763" s="316"/>
      <c r="C6763" s="247"/>
      <c r="D6763" s="317"/>
      <c r="E6763" s="318"/>
      <c r="F6763" s="247"/>
      <c r="G6763" s="247"/>
      <c r="H6763" s="248"/>
      <c r="I6763" s="248"/>
      <c r="J6763" s="247"/>
      <c r="K6763" s="249"/>
    </row>
    <row r="6764" spans="1:11" s="90" customFormat="1" ht="12.75" customHeight="1" x14ac:dyDescent="0.2">
      <c r="A6764" s="247"/>
      <c r="B6764" s="316"/>
      <c r="C6764" s="247"/>
      <c r="D6764" s="317"/>
      <c r="E6764" s="318"/>
      <c r="F6764" s="247"/>
      <c r="G6764" s="247"/>
      <c r="H6764" s="248"/>
      <c r="I6764" s="248"/>
      <c r="J6764" s="247"/>
      <c r="K6764" s="249"/>
    </row>
    <row r="6765" spans="1:11" s="90" customFormat="1" ht="12.75" customHeight="1" x14ac:dyDescent="0.2">
      <c r="A6765" s="247"/>
      <c r="B6765" s="316"/>
      <c r="C6765" s="247"/>
      <c r="D6765" s="317"/>
      <c r="E6765" s="318"/>
      <c r="F6765" s="247"/>
      <c r="G6765" s="247"/>
      <c r="H6765" s="248"/>
      <c r="I6765" s="248"/>
      <c r="J6765" s="247"/>
      <c r="K6765" s="249"/>
    </row>
    <row r="6766" spans="1:11" s="90" customFormat="1" ht="12.75" customHeight="1" x14ac:dyDescent="0.2">
      <c r="A6766" s="247"/>
      <c r="B6766" s="316"/>
      <c r="C6766" s="247"/>
      <c r="D6766" s="317"/>
      <c r="E6766" s="318"/>
      <c r="F6766" s="247"/>
      <c r="G6766" s="247"/>
      <c r="H6766" s="248"/>
      <c r="I6766" s="248"/>
      <c r="J6766" s="247"/>
      <c r="K6766" s="249"/>
    </row>
    <row r="6767" spans="1:11" s="90" customFormat="1" ht="12.75" customHeight="1" x14ac:dyDescent="0.2">
      <c r="A6767" s="247"/>
      <c r="B6767" s="316"/>
      <c r="C6767" s="247"/>
      <c r="D6767" s="317"/>
      <c r="E6767" s="318"/>
      <c r="F6767" s="247"/>
      <c r="G6767" s="247"/>
      <c r="H6767" s="248"/>
      <c r="I6767" s="248"/>
      <c r="J6767" s="247"/>
      <c r="K6767" s="249"/>
    </row>
    <row r="6768" spans="1:11" s="90" customFormat="1" ht="12.75" customHeight="1" x14ac:dyDescent="0.2">
      <c r="A6768" s="247"/>
      <c r="B6768" s="316"/>
      <c r="C6768" s="247"/>
      <c r="D6768" s="317"/>
      <c r="E6768" s="318"/>
      <c r="F6768" s="247"/>
      <c r="G6768" s="247"/>
      <c r="H6768" s="248"/>
      <c r="I6768" s="248"/>
      <c r="J6768" s="247"/>
      <c r="K6768" s="249"/>
    </row>
    <row r="6769" spans="1:11" s="90" customFormat="1" ht="12.75" customHeight="1" x14ac:dyDescent="0.2">
      <c r="A6769" s="247"/>
      <c r="B6769" s="316"/>
      <c r="C6769" s="247"/>
      <c r="D6769" s="317"/>
      <c r="E6769" s="318"/>
      <c r="F6769" s="247"/>
      <c r="G6769" s="247"/>
      <c r="H6769" s="248"/>
      <c r="I6769" s="248"/>
      <c r="J6769" s="247"/>
      <c r="K6769" s="249"/>
    </row>
    <row r="6770" spans="1:11" s="90" customFormat="1" ht="12.75" customHeight="1" x14ac:dyDescent="0.2">
      <c r="A6770" s="247"/>
      <c r="B6770" s="316"/>
      <c r="C6770" s="247"/>
      <c r="D6770" s="317"/>
      <c r="E6770" s="318"/>
      <c r="F6770" s="247"/>
      <c r="G6770" s="247"/>
      <c r="H6770" s="248"/>
      <c r="I6770" s="248"/>
      <c r="J6770" s="247"/>
      <c r="K6770" s="249"/>
    </row>
    <row r="6771" spans="1:11" s="90" customFormat="1" ht="12.75" customHeight="1" x14ac:dyDescent="0.2">
      <c r="A6771" s="247"/>
      <c r="B6771" s="316"/>
      <c r="C6771" s="247"/>
      <c r="D6771" s="317"/>
      <c r="E6771" s="318"/>
      <c r="F6771" s="247"/>
      <c r="G6771" s="247"/>
      <c r="H6771" s="248"/>
      <c r="I6771" s="248"/>
      <c r="J6771" s="247"/>
      <c r="K6771" s="249"/>
    </row>
    <row r="6772" spans="1:11" s="90" customFormat="1" ht="12.75" customHeight="1" x14ac:dyDescent="0.2">
      <c r="A6772" s="247"/>
      <c r="B6772" s="316"/>
      <c r="C6772" s="247"/>
      <c r="D6772" s="317"/>
      <c r="E6772" s="318"/>
      <c r="F6772" s="247"/>
      <c r="G6772" s="247"/>
      <c r="H6772" s="248"/>
      <c r="I6772" s="248"/>
      <c r="J6772" s="247"/>
      <c r="K6772" s="249"/>
    </row>
    <row r="6773" spans="1:11" s="90" customFormat="1" ht="12.75" customHeight="1" x14ac:dyDescent="0.2">
      <c r="A6773" s="247"/>
      <c r="B6773" s="316"/>
      <c r="C6773" s="247"/>
      <c r="D6773" s="317"/>
      <c r="E6773" s="318"/>
      <c r="F6773" s="247"/>
      <c r="G6773" s="247"/>
      <c r="H6773" s="248"/>
      <c r="I6773" s="248"/>
      <c r="J6773" s="247"/>
      <c r="K6773" s="249"/>
    </row>
    <row r="6774" spans="1:11" s="90" customFormat="1" ht="12.75" customHeight="1" x14ac:dyDescent="0.2">
      <c r="A6774" s="247"/>
      <c r="B6774" s="316"/>
      <c r="C6774" s="247"/>
      <c r="D6774" s="317"/>
      <c r="E6774" s="318"/>
      <c r="F6774" s="247"/>
      <c r="G6774" s="247"/>
      <c r="H6774" s="248"/>
      <c r="I6774" s="248"/>
      <c r="J6774" s="247"/>
      <c r="K6774" s="249"/>
    </row>
    <row r="6775" spans="1:11" s="90" customFormat="1" ht="12.75" customHeight="1" x14ac:dyDescent="0.2">
      <c r="A6775" s="247"/>
      <c r="B6775" s="316"/>
      <c r="C6775" s="247"/>
      <c r="D6775" s="317"/>
      <c r="E6775" s="318"/>
      <c r="F6775" s="247"/>
      <c r="G6775" s="247"/>
      <c r="H6775" s="248"/>
      <c r="I6775" s="248"/>
      <c r="J6775" s="247"/>
      <c r="K6775" s="249"/>
    </row>
    <row r="6776" spans="1:11" s="90" customFormat="1" ht="12.75" customHeight="1" x14ac:dyDescent="0.2">
      <c r="A6776" s="247"/>
      <c r="B6776" s="316"/>
      <c r="C6776" s="247"/>
      <c r="D6776" s="317"/>
      <c r="E6776" s="318"/>
      <c r="F6776" s="247"/>
      <c r="G6776" s="247"/>
      <c r="H6776" s="248"/>
      <c r="I6776" s="248"/>
      <c r="J6776" s="247"/>
      <c r="K6776" s="249"/>
    </row>
    <row r="6777" spans="1:11" s="90" customFormat="1" ht="12.75" customHeight="1" x14ac:dyDescent="0.2">
      <c r="A6777" s="247"/>
      <c r="B6777" s="316"/>
      <c r="C6777" s="247"/>
      <c r="D6777" s="317"/>
      <c r="E6777" s="318"/>
      <c r="F6777" s="247"/>
      <c r="G6777" s="247"/>
      <c r="H6777" s="248"/>
      <c r="I6777" s="248"/>
      <c r="J6777" s="247"/>
      <c r="K6777" s="249"/>
    </row>
    <row r="6778" spans="1:11" s="90" customFormat="1" ht="12.75" customHeight="1" x14ac:dyDescent="0.2">
      <c r="A6778" s="247"/>
      <c r="B6778" s="316"/>
      <c r="C6778" s="247"/>
      <c r="D6778" s="317"/>
      <c r="E6778" s="318"/>
      <c r="F6778" s="247"/>
      <c r="G6778" s="247"/>
      <c r="H6778" s="248"/>
      <c r="I6778" s="248"/>
      <c r="J6778" s="247"/>
      <c r="K6778" s="249"/>
    </row>
    <row r="6779" spans="1:11" s="90" customFormat="1" ht="12.75" customHeight="1" x14ac:dyDescent="0.2">
      <c r="A6779" s="247"/>
      <c r="B6779" s="316"/>
      <c r="C6779" s="247"/>
      <c r="D6779" s="317"/>
      <c r="E6779" s="318"/>
      <c r="F6779" s="247"/>
      <c r="G6779" s="247"/>
      <c r="H6779" s="248"/>
      <c r="I6779" s="248"/>
      <c r="J6779" s="247"/>
      <c r="K6779" s="249"/>
    </row>
    <row r="6780" spans="1:11" s="90" customFormat="1" ht="12.75" customHeight="1" x14ac:dyDescent="0.2">
      <c r="A6780" s="247"/>
      <c r="B6780" s="316"/>
      <c r="C6780" s="247"/>
      <c r="D6780" s="317"/>
      <c r="E6780" s="318"/>
      <c r="F6780" s="247"/>
      <c r="G6780" s="247"/>
      <c r="H6780" s="248"/>
      <c r="I6780" s="248"/>
      <c r="J6780" s="247"/>
      <c r="K6780" s="249"/>
    </row>
    <row r="6781" spans="1:11" s="90" customFormat="1" ht="12.75" customHeight="1" x14ac:dyDescent="0.2">
      <c r="A6781" s="247"/>
      <c r="B6781" s="316"/>
      <c r="C6781" s="247"/>
      <c r="D6781" s="317"/>
      <c r="E6781" s="318"/>
      <c r="F6781" s="247"/>
      <c r="G6781" s="247"/>
      <c r="H6781" s="248"/>
      <c r="I6781" s="248"/>
      <c r="J6781" s="247"/>
      <c r="K6781" s="249"/>
    </row>
    <row r="6782" spans="1:11" s="90" customFormat="1" ht="12.75" customHeight="1" x14ac:dyDescent="0.2">
      <c r="A6782" s="247"/>
      <c r="B6782" s="316"/>
      <c r="C6782" s="247"/>
      <c r="D6782" s="317"/>
      <c r="E6782" s="318"/>
      <c r="F6782" s="247"/>
      <c r="G6782" s="247"/>
      <c r="H6782" s="248"/>
      <c r="I6782" s="248"/>
      <c r="J6782" s="247"/>
      <c r="K6782" s="249"/>
    </row>
    <row r="6783" spans="1:11" s="90" customFormat="1" ht="12.75" customHeight="1" x14ac:dyDescent="0.2">
      <c r="A6783" s="247"/>
      <c r="B6783" s="316"/>
      <c r="C6783" s="247"/>
      <c r="D6783" s="317"/>
      <c r="E6783" s="318"/>
      <c r="F6783" s="247"/>
      <c r="G6783" s="247"/>
      <c r="H6783" s="248"/>
      <c r="I6783" s="248"/>
      <c r="J6783" s="247"/>
      <c r="K6783" s="249"/>
    </row>
    <row r="6784" spans="1:11" s="90" customFormat="1" ht="12.75" customHeight="1" x14ac:dyDescent="0.2">
      <c r="A6784" s="247"/>
      <c r="B6784" s="316"/>
      <c r="C6784" s="247"/>
      <c r="D6784" s="317"/>
      <c r="E6784" s="318"/>
      <c r="F6784" s="247"/>
      <c r="G6784" s="247"/>
      <c r="H6784" s="248"/>
      <c r="I6784" s="248"/>
      <c r="J6784" s="247"/>
      <c r="K6784" s="249"/>
    </row>
    <row r="6785" spans="1:11" s="90" customFormat="1" ht="12.75" customHeight="1" x14ac:dyDescent="0.2">
      <c r="A6785" s="247"/>
      <c r="B6785" s="316"/>
      <c r="C6785" s="247"/>
      <c r="D6785" s="317"/>
      <c r="E6785" s="318"/>
      <c r="F6785" s="247"/>
      <c r="G6785" s="247"/>
      <c r="H6785" s="248"/>
      <c r="I6785" s="248"/>
      <c r="J6785" s="247"/>
      <c r="K6785" s="249"/>
    </row>
    <row r="6786" spans="1:11" s="90" customFormat="1" ht="12.75" customHeight="1" x14ac:dyDescent="0.2">
      <c r="A6786" s="247"/>
      <c r="B6786" s="316"/>
      <c r="C6786" s="247"/>
      <c r="D6786" s="317"/>
      <c r="E6786" s="318"/>
      <c r="F6786" s="247"/>
      <c r="G6786" s="247"/>
      <c r="H6786" s="248"/>
      <c r="I6786" s="248"/>
      <c r="J6786" s="247"/>
      <c r="K6786" s="249"/>
    </row>
    <row r="6787" spans="1:11" s="90" customFormat="1" ht="12.75" customHeight="1" x14ac:dyDescent="0.2">
      <c r="A6787" s="247"/>
      <c r="B6787" s="316"/>
      <c r="C6787" s="247"/>
      <c r="D6787" s="317"/>
      <c r="E6787" s="318"/>
      <c r="F6787" s="247"/>
      <c r="G6787" s="247"/>
      <c r="H6787" s="248"/>
      <c r="I6787" s="248"/>
      <c r="J6787" s="247"/>
      <c r="K6787" s="249"/>
    </row>
    <row r="6788" spans="1:11" s="90" customFormat="1" ht="12.75" customHeight="1" x14ac:dyDescent="0.2">
      <c r="A6788" s="247"/>
      <c r="B6788" s="316"/>
      <c r="C6788" s="247"/>
      <c r="D6788" s="317"/>
      <c r="E6788" s="318"/>
      <c r="F6788" s="247"/>
      <c r="G6788" s="247"/>
      <c r="H6788" s="248"/>
      <c r="I6788" s="248"/>
      <c r="J6788" s="247"/>
      <c r="K6788" s="249"/>
    </row>
    <row r="6789" spans="1:11" s="90" customFormat="1" ht="12.75" customHeight="1" x14ac:dyDescent="0.2">
      <c r="A6789" s="247"/>
      <c r="B6789" s="316"/>
      <c r="C6789" s="247"/>
      <c r="D6789" s="317"/>
      <c r="E6789" s="318"/>
      <c r="F6789" s="247"/>
      <c r="G6789" s="247"/>
      <c r="H6789" s="248"/>
      <c r="I6789" s="248"/>
      <c r="J6789" s="247"/>
      <c r="K6789" s="249"/>
    </row>
    <row r="6790" spans="1:11" s="90" customFormat="1" ht="12.75" customHeight="1" x14ac:dyDescent="0.2">
      <c r="A6790" s="247"/>
      <c r="B6790" s="316"/>
      <c r="C6790" s="247"/>
      <c r="D6790" s="317"/>
      <c r="E6790" s="318"/>
      <c r="F6790" s="247"/>
      <c r="G6790" s="247"/>
      <c r="H6790" s="248"/>
      <c r="I6790" s="248"/>
      <c r="J6790" s="247"/>
      <c r="K6790" s="249"/>
    </row>
    <row r="6791" spans="1:11" s="90" customFormat="1" ht="12.75" customHeight="1" x14ac:dyDescent="0.2">
      <c r="A6791" s="247"/>
      <c r="B6791" s="316"/>
      <c r="C6791" s="247"/>
      <c r="D6791" s="317"/>
      <c r="E6791" s="318"/>
      <c r="F6791" s="247"/>
      <c r="G6791" s="247"/>
      <c r="H6791" s="248"/>
      <c r="I6791" s="248"/>
      <c r="J6791" s="247"/>
      <c r="K6791" s="249"/>
    </row>
    <row r="6792" spans="1:11" s="90" customFormat="1" ht="12.75" customHeight="1" x14ac:dyDescent="0.2">
      <c r="A6792" s="247"/>
      <c r="B6792" s="316"/>
      <c r="C6792" s="247"/>
      <c r="D6792" s="317"/>
      <c r="E6792" s="318"/>
      <c r="F6792" s="247"/>
      <c r="G6792" s="247"/>
      <c r="H6792" s="248"/>
      <c r="I6792" s="248"/>
      <c r="J6792" s="247"/>
      <c r="K6792" s="249"/>
    </row>
    <row r="6793" spans="1:11" s="90" customFormat="1" ht="12.75" customHeight="1" x14ac:dyDescent="0.2">
      <c r="A6793" s="247"/>
      <c r="B6793" s="316"/>
      <c r="C6793" s="247"/>
      <c r="D6793" s="317"/>
      <c r="E6793" s="318"/>
      <c r="F6793" s="247"/>
      <c r="G6793" s="247"/>
      <c r="H6793" s="248"/>
      <c r="I6793" s="248"/>
      <c r="J6793" s="247"/>
      <c r="K6793" s="249"/>
    </row>
    <row r="6794" spans="1:11" s="90" customFormat="1" ht="12.75" customHeight="1" x14ac:dyDescent="0.2">
      <c r="A6794" s="247"/>
      <c r="B6794" s="316"/>
      <c r="C6794" s="247"/>
      <c r="D6794" s="317"/>
      <c r="E6794" s="318"/>
      <c r="F6794" s="247"/>
      <c r="G6794" s="247"/>
      <c r="H6794" s="248"/>
      <c r="I6794" s="248"/>
      <c r="J6794" s="247"/>
      <c r="K6794" s="249"/>
    </row>
    <row r="6795" spans="1:11" s="90" customFormat="1" ht="12.75" customHeight="1" x14ac:dyDescent="0.2">
      <c r="A6795" s="247"/>
      <c r="B6795" s="316"/>
      <c r="C6795" s="247"/>
      <c r="D6795" s="317"/>
      <c r="E6795" s="318"/>
      <c r="F6795" s="247"/>
      <c r="G6795" s="247"/>
      <c r="H6795" s="248"/>
      <c r="I6795" s="248"/>
      <c r="J6795" s="247"/>
      <c r="K6795" s="249"/>
    </row>
    <row r="6796" spans="1:11" s="90" customFormat="1" ht="12.75" customHeight="1" x14ac:dyDescent="0.2">
      <c r="A6796" s="247"/>
      <c r="B6796" s="316"/>
      <c r="C6796" s="247"/>
      <c r="D6796" s="317"/>
      <c r="E6796" s="318"/>
      <c r="F6796" s="247"/>
      <c r="G6796" s="247"/>
      <c r="H6796" s="248"/>
      <c r="I6796" s="248"/>
      <c r="J6796" s="247"/>
      <c r="K6796" s="249"/>
    </row>
    <row r="6797" spans="1:11" s="90" customFormat="1" ht="12.75" customHeight="1" x14ac:dyDescent="0.2">
      <c r="A6797" s="247"/>
      <c r="B6797" s="316"/>
      <c r="C6797" s="247"/>
      <c r="D6797" s="317"/>
      <c r="E6797" s="318"/>
      <c r="F6797" s="247"/>
      <c r="G6797" s="247"/>
      <c r="H6797" s="248"/>
      <c r="I6797" s="248"/>
      <c r="J6797" s="247"/>
      <c r="K6797" s="249"/>
    </row>
    <row r="6798" spans="1:11" s="90" customFormat="1" ht="12.75" customHeight="1" x14ac:dyDescent="0.2">
      <c r="A6798" s="247"/>
      <c r="B6798" s="316"/>
      <c r="C6798" s="247"/>
      <c r="D6798" s="317"/>
      <c r="E6798" s="318"/>
      <c r="F6798" s="247"/>
      <c r="G6798" s="247"/>
      <c r="H6798" s="248"/>
      <c r="I6798" s="248"/>
      <c r="J6798" s="247"/>
      <c r="K6798" s="249"/>
    </row>
    <row r="6799" spans="1:11" s="90" customFormat="1" ht="12.75" customHeight="1" x14ac:dyDescent="0.2">
      <c r="A6799" s="247"/>
      <c r="B6799" s="316"/>
      <c r="C6799" s="247"/>
      <c r="D6799" s="317"/>
      <c r="E6799" s="318"/>
      <c r="F6799" s="247"/>
      <c r="G6799" s="247"/>
      <c r="H6799" s="248"/>
      <c r="I6799" s="248"/>
      <c r="J6799" s="247"/>
      <c r="K6799" s="249"/>
    </row>
    <row r="6800" spans="1:11" s="90" customFormat="1" ht="12.75" customHeight="1" x14ac:dyDescent="0.2">
      <c r="A6800" s="247"/>
      <c r="B6800" s="316"/>
      <c r="C6800" s="247"/>
      <c r="D6800" s="317"/>
      <c r="E6800" s="318"/>
      <c r="F6800" s="247"/>
      <c r="G6800" s="247"/>
      <c r="H6800" s="248"/>
      <c r="I6800" s="248"/>
      <c r="J6800" s="247"/>
      <c r="K6800" s="249"/>
    </row>
    <row r="6801" spans="1:11" s="90" customFormat="1" ht="12.75" customHeight="1" x14ac:dyDescent="0.2">
      <c r="A6801" s="247"/>
      <c r="B6801" s="316"/>
      <c r="C6801" s="247"/>
      <c r="D6801" s="317"/>
      <c r="E6801" s="318"/>
      <c r="F6801" s="247"/>
      <c r="G6801" s="247"/>
      <c r="H6801" s="248"/>
      <c r="I6801" s="248"/>
      <c r="J6801" s="247"/>
      <c r="K6801" s="249"/>
    </row>
    <row r="6802" spans="1:11" s="90" customFormat="1" ht="12.75" customHeight="1" x14ac:dyDescent="0.2">
      <c r="A6802" s="247"/>
      <c r="B6802" s="316"/>
      <c r="C6802" s="247"/>
      <c r="D6802" s="317"/>
      <c r="E6802" s="318"/>
      <c r="F6802" s="247"/>
      <c r="G6802" s="247"/>
      <c r="H6802" s="248"/>
      <c r="I6802" s="248"/>
      <c r="J6802" s="247"/>
      <c r="K6802" s="249"/>
    </row>
    <row r="6803" spans="1:11" s="90" customFormat="1" ht="12.75" customHeight="1" x14ac:dyDescent="0.2">
      <c r="A6803" s="247"/>
      <c r="B6803" s="316"/>
      <c r="C6803" s="247"/>
      <c r="D6803" s="317"/>
      <c r="E6803" s="318"/>
      <c r="F6803" s="247"/>
      <c r="G6803" s="247"/>
      <c r="H6803" s="248"/>
      <c r="I6803" s="248"/>
      <c r="J6803" s="247"/>
      <c r="K6803" s="249"/>
    </row>
    <row r="6804" spans="1:11" s="90" customFormat="1" ht="12.75" customHeight="1" x14ac:dyDescent="0.2">
      <c r="A6804" s="247"/>
      <c r="B6804" s="316"/>
      <c r="C6804" s="247"/>
      <c r="D6804" s="317"/>
      <c r="E6804" s="318"/>
      <c r="F6804" s="247"/>
      <c r="G6804" s="247"/>
      <c r="H6804" s="248"/>
      <c r="I6804" s="248"/>
      <c r="J6804" s="247"/>
      <c r="K6804" s="249"/>
    </row>
    <row r="6805" spans="1:11" s="90" customFormat="1" ht="12.75" customHeight="1" x14ac:dyDescent="0.2">
      <c r="A6805" s="247"/>
      <c r="B6805" s="316"/>
      <c r="C6805" s="247"/>
      <c r="D6805" s="317"/>
      <c r="E6805" s="318"/>
      <c r="F6805" s="247"/>
      <c r="G6805" s="247"/>
      <c r="H6805" s="248"/>
      <c r="I6805" s="248"/>
      <c r="J6805" s="247"/>
      <c r="K6805" s="249"/>
    </row>
    <row r="6806" spans="1:11" s="90" customFormat="1" ht="12.75" customHeight="1" x14ac:dyDescent="0.2">
      <c r="A6806" s="247"/>
      <c r="B6806" s="316"/>
      <c r="C6806" s="247"/>
      <c r="D6806" s="317"/>
      <c r="E6806" s="318"/>
      <c r="F6806" s="247"/>
      <c r="G6806" s="247"/>
      <c r="H6806" s="248"/>
      <c r="I6806" s="248"/>
      <c r="J6806" s="247"/>
      <c r="K6806" s="249"/>
    </row>
    <row r="6807" spans="1:11" s="90" customFormat="1" ht="12.75" customHeight="1" x14ac:dyDescent="0.2">
      <c r="A6807" s="247"/>
      <c r="B6807" s="316"/>
      <c r="C6807" s="247"/>
      <c r="D6807" s="317"/>
      <c r="E6807" s="318"/>
      <c r="F6807" s="247"/>
      <c r="G6807" s="247"/>
      <c r="H6807" s="248"/>
      <c r="I6807" s="248"/>
      <c r="J6807" s="247"/>
      <c r="K6807" s="249"/>
    </row>
    <row r="6808" spans="1:11" s="90" customFormat="1" ht="12.75" customHeight="1" x14ac:dyDescent="0.2">
      <c r="A6808" s="247"/>
      <c r="B6808" s="316"/>
      <c r="C6808" s="247"/>
      <c r="D6808" s="317"/>
      <c r="E6808" s="318"/>
      <c r="F6808" s="247"/>
      <c r="G6808" s="247"/>
      <c r="H6808" s="248"/>
      <c r="I6808" s="248"/>
      <c r="J6808" s="247"/>
      <c r="K6808" s="249"/>
    </row>
    <row r="6809" spans="1:11" s="90" customFormat="1" ht="12.75" customHeight="1" x14ac:dyDescent="0.2">
      <c r="A6809" s="247"/>
      <c r="B6809" s="316"/>
      <c r="C6809" s="247"/>
      <c r="D6809" s="317"/>
      <c r="E6809" s="318"/>
      <c r="F6809" s="247"/>
      <c r="G6809" s="247"/>
      <c r="H6809" s="248"/>
      <c r="I6809" s="248"/>
      <c r="J6809" s="247"/>
      <c r="K6809" s="249"/>
    </row>
    <row r="6810" spans="1:11" s="90" customFormat="1" ht="12.75" customHeight="1" x14ac:dyDescent="0.2">
      <c r="A6810" s="247"/>
      <c r="B6810" s="316"/>
      <c r="C6810" s="247"/>
      <c r="D6810" s="317"/>
      <c r="E6810" s="318"/>
      <c r="F6810" s="247"/>
      <c r="G6810" s="247"/>
      <c r="H6810" s="248"/>
      <c r="I6810" s="248"/>
      <c r="J6810" s="247"/>
      <c r="K6810" s="249"/>
    </row>
    <row r="6811" spans="1:11" s="90" customFormat="1" ht="12.75" customHeight="1" x14ac:dyDescent="0.2">
      <c r="A6811" s="247"/>
      <c r="B6811" s="316"/>
      <c r="C6811" s="247"/>
      <c r="D6811" s="317"/>
      <c r="E6811" s="318"/>
      <c r="F6811" s="247"/>
      <c r="G6811" s="247"/>
      <c r="H6811" s="248"/>
      <c r="I6811" s="248"/>
      <c r="J6811" s="247"/>
      <c r="K6811" s="249"/>
    </row>
    <row r="6812" spans="1:11" s="90" customFormat="1" ht="12.75" customHeight="1" x14ac:dyDescent="0.2">
      <c r="A6812" s="247"/>
      <c r="B6812" s="316"/>
      <c r="C6812" s="247"/>
      <c r="D6812" s="317"/>
      <c r="E6812" s="318"/>
      <c r="F6812" s="247"/>
      <c r="G6812" s="247"/>
      <c r="H6812" s="248"/>
      <c r="I6812" s="248"/>
      <c r="J6812" s="247"/>
      <c r="K6812" s="249"/>
    </row>
    <row r="6813" spans="1:11" s="90" customFormat="1" ht="12.75" customHeight="1" x14ac:dyDescent="0.2">
      <c r="A6813" s="247"/>
      <c r="B6813" s="316"/>
      <c r="C6813" s="247"/>
      <c r="D6813" s="317"/>
      <c r="E6813" s="318"/>
      <c r="F6813" s="247"/>
      <c r="G6813" s="247"/>
      <c r="H6813" s="248"/>
      <c r="I6813" s="248"/>
      <c r="J6813" s="247"/>
      <c r="K6813" s="249"/>
    </row>
    <row r="6814" spans="1:11" s="90" customFormat="1" ht="12.75" customHeight="1" x14ac:dyDescent="0.2">
      <c r="A6814" s="247"/>
      <c r="B6814" s="316"/>
      <c r="C6814" s="247"/>
      <c r="D6814" s="317"/>
      <c r="E6814" s="318"/>
      <c r="F6814" s="247"/>
      <c r="G6814" s="247"/>
      <c r="H6814" s="248"/>
      <c r="I6814" s="248"/>
      <c r="J6814" s="247"/>
      <c r="K6814" s="249"/>
    </row>
    <row r="6815" spans="1:11" s="90" customFormat="1" ht="12.75" customHeight="1" x14ac:dyDescent="0.2">
      <c r="A6815" s="247"/>
      <c r="B6815" s="316"/>
      <c r="C6815" s="247"/>
      <c r="D6815" s="317"/>
      <c r="E6815" s="318"/>
      <c r="F6815" s="247"/>
      <c r="G6815" s="247"/>
      <c r="H6815" s="248"/>
      <c r="I6815" s="248"/>
      <c r="J6815" s="247"/>
      <c r="K6815" s="249"/>
    </row>
    <row r="6816" spans="1:11" s="90" customFormat="1" ht="12.75" customHeight="1" x14ac:dyDescent="0.2">
      <c r="A6816" s="247"/>
      <c r="B6816" s="316"/>
      <c r="C6816" s="247"/>
      <c r="D6816" s="317"/>
      <c r="E6816" s="318"/>
      <c r="F6816" s="247"/>
      <c r="G6816" s="247"/>
      <c r="H6816" s="248"/>
      <c r="I6816" s="248"/>
      <c r="J6816" s="247"/>
      <c r="K6816" s="249"/>
    </row>
    <row r="6817" spans="1:11" s="90" customFormat="1" ht="12.75" customHeight="1" x14ac:dyDescent="0.2">
      <c r="A6817" s="247"/>
      <c r="B6817" s="316"/>
      <c r="C6817" s="247"/>
      <c r="D6817" s="317"/>
      <c r="E6817" s="318"/>
      <c r="F6817" s="247"/>
      <c r="G6817" s="247"/>
      <c r="H6817" s="248"/>
      <c r="I6817" s="248"/>
      <c r="J6817" s="247"/>
      <c r="K6817" s="249"/>
    </row>
    <row r="6818" spans="1:11" s="90" customFormat="1" ht="12.75" customHeight="1" x14ac:dyDescent="0.2">
      <c r="A6818" s="247"/>
      <c r="B6818" s="316"/>
      <c r="C6818" s="247"/>
      <c r="D6818" s="317"/>
      <c r="E6818" s="318"/>
      <c r="F6818" s="247"/>
      <c r="G6818" s="247"/>
      <c r="H6818" s="248"/>
      <c r="I6818" s="248"/>
      <c r="J6818" s="247"/>
      <c r="K6818" s="249"/>
    </row>
    <row r="6819" spans="1:11" s="90" customFormat="1" ht="12.75" customHeight="1" x14ac:dyDescent="0.2">
      <c r="A6819" s="247"/>
      <c r="B6819" s="316"/>
      <c r="C6819" s="247"/>
      <c r="D6819" s="317"/>
      <c r="E6819" s="318"/>
      <c r="F6819" s="247"/>
      <c r="G6819" s="247"/>
      <c r="H6819" s="248"/>
      <c r="I6819" s="248"/>
      <c r="J6819" s="247"/>
      <c r="K6819" s="249"/>
    </row>
    <row r="6820" spans="1:11" s="90" customFormat="1" ht="12.75" customHeight="1" x14ac:dyDescent="0.2">
      <c r="A6820" s="247"/>
      <c r="B6820" s="316"/>
      <c r="C6820" s="247"/>
      <c r="D6820" s="317"/>
      <c r="E6820" s="318"/>
      <c r="F6820" s="247"/>
      <c r="G6820" s="247"/>
      <c r="H6820" s="248"/>
      <c r="I6820" s="248"/>
      <c r="J6820" s="247"/>
      <c r="K6820" s="249"/>
    </row>
    <row r="6821" spans="1:11" s="90" customFormat="1" ht="12.75" customHeight="1" x14ac:dyDescent="0.2">
      <c r="A6821" s="247"/>
      <c r="B6821" s="316"/>
      <c r="C6821" s="247"/>
      <c r="D6821" s="317"/>
      <c r="E6821" s="318"/>
      <c r="F6821" s="247"/>
      <c r="G6821" s="247"/>
      <c r="H6821" s="248"/>
      <c r="I6821" s="248"/>
      <c r="J6821" s="247"/>
      <c r="K6821" s="249"/>
    </row>
    <row r="6822" spans="1:11" s="90" customFormat="1" ht="12.75" customHeight="1" x14ac:dyDescent="0.2">
      <c r="A6822" s="247"/>
      <c r="B6822" s="316"/>
      <c r="C6822" s="247"/>
      <c r="D6822" s="317"/>
      <c r="E6822" s="318"/>
      <c r="F6822" s="247"/>
      <c r="G6822" s="247"/>
      <c r="H6822" s="248"/>
      <c r="I6822" s="248"/>
      <c r="J6822" s="247"/>
      <c r="K6822" s="249"/>
    </row>
    <row r="6823" spans="1:11" s="90" customFormat="1" ht="12.75" customHeight="1" x14ac:dyDescent="0.2">
      <c r="A6823" s="247"/>
      <c r="B6823" s="316"/>
      <c r="C6823" s="247"/>
      <c r="D6823" s="317"/>
      <c r="E6823" s="318"/>
      <c r="F6823" s="247"/>
      <c r="G6823" s="247"/>
      <c r="H6823" s="248"/>
      <c r="I6823" s="248"/>
      <c r="J6823" s="247"/>
      <c r="K6823" s="249"/>
    </row>
    <row r="6824" spans="1:11" s="90" customFormat="1" ht="12.75" customHeight="1" x14ac:dyDescent="0.2">
      <c r="A6824" s="247"/>
      <c r="B6824" s="316"/>
      <c r="C6824" s="247"/>
      <c r="D6824" s="317"/>
      <c r="E6824" s="318"/>
      <c r="F6824" s="247"/>
      <c r="G6824" s="247"/>
      <c r="H6824" s="248"/>
      <c r="I6824" s="248"/>
      <c r="J6824" s="247"/>
      <c r="K6824" s="249"/>
    </row>
    <row r="6825" spans="1:11" s="90" customFormat="1" ht="12.75" customHeight="1" x14ac:dyDescent="0.2">
      <c r="A6825" s="247"/>
      <c r="B6825" s="316"/>
      <c r="C6825" s="247"/>
      <c r="D6825" s="317"/>
      <c r="E6825" s="318"/>
      <c r="F6825" s="247"/>
      <c r="G6825" s="247"/>
      <c r="H6825" s="248"/>
      <c r="I6825" s="248"/>
      <c r="J6825" s="247"/>
      <c r="K6825" s="249"/>
    </row>
    <row r="6826" spans="1:11" s="90" customFormat="1" ht="12.75" customHeight="1" x14ac:dyDescent="0.2">
      <c r="A6826" s="247"/>
      <c r="B6826" s="316"/>
      <c r="C6826" s="247"/>
      <c r="D6826" s="317"/>
      <c r="E6826" s="318"/>
      <c r="F6826" s="247"/>
      <c r="G6826" s="247"/>
      <c r="H6826" s="248"/>
      <c r="I6826" s="248"/>
      <c r="J6826" s="247"/>
      <c r="K6826" s="249"/>
    </row>
    <row r="6827" spans="1:11" s="90" customFormat="1" ht="12.75" customHeight="1" x14ac:dyDescent="0.2">
      <c r="A6827" s="247"/>
      <c r="B6827" s="316"/>
      <c r="C6827" s="247"/>
      <c r="D6827" s="317"/>
      <c r="E6827" s="318"/>
      <c r="F6827" s="247"/>
      <c r="G6827" s="247"/>
      <c r="H6827" s="248"/>
      <c r="I6827" s="248"/>
      <c r="J6827" s="247"/>
      <c r="K6827" s="249"/>
    </row>
    <row r="6828" spans="1:11" s="90" customFormat="1" ht="12.75" customHeight="1" x14ac:dyDescent="0.2">
      <c r="A6828" s="247"/>
      <c r="B6828" s="316"/>
      <c r="C6828" s="247"/>
      <c r="D6828" s="317"/>
      <c r="E6828" s="318"/>
      <c r="F6828" s="247"/>
      <c r="G6828" s="247"/>
      <c r="H6828" s="248"/>
      <c r="I6828" s="248"/>
      <c r="J6828" s="247"/>
      <c r="K6828" s="249"/>
    </row>
    <row r="6829" spans="1:11" s="90" customFormat="1" ht="12.75" customHeight="1" x14ac:dyDescent="0.2">
      <c r="A6829" s="247"/>
      <c r="B6829" s="316"/>
      <c r="C6829" s="247"/>
      <c r="D6829" s="317"/>
      <c r="E6829" s="318"/>
      <c r="F6829" s="247"/>
      <c r="G6829" s="247"/>
      <c r="H6829" s="248"/>
      <c r="I6829" s="248"/>
      <c r="J6829" s="247"/>
      <c r="K6829" s="249"/>
    </row>
    <row r="6830" spans="1:11" s="90" customFormat="1" ht="12.75" customHeight="1" x14ac:dyDescent="0.2">
      <c r="A6830" s="247"/>
      <c r="B6830" s="316"/>
      <c r="C6830" s="247"/>
      <c r="D6830" s="317"/>
      <c r="E6830" s="318"/>
      <c r="F6830" s="247"/>
      <c r="G6830" s="247"/>
      <c r="H6830" s="248"/>
      <c r="I6830" s="248"/>
      <c r="J6830" s="247"/>
      <c r="K6830" s="249"/>
    </row>
    <row r="6831" spans="1:11" s="90" customFormat="1" ht="12.75" customHeight="1" x14ac:dyDescent="0.2">
      <c r="A6831" s="247"/>
      <c r="B6831" s="316"/>
      <c r="C6831" s="247"/>
      <c r="D6831" s="317"/>
      <c r="E6831" s="318"/>
      <c r="F6831" s="247"/>
      <c r="G6831" s="247"/>
      <c r="H6831" s="248"/>
      <c r="I6831" s="248"/>
      <c r="J6831" s="247"/>
      <c r="K6831" s="249"/>
    </row>
    <row r="6832" spans="1:11" s="90" customFormat="1" ht="12.75" customHeight="1" x14ac:dyDescent="0.2">
      <c r="A6832" s="247"/>
      <c r="B6832" s="316"/>
      <c r="C6832" s="247"/>
      <c r="D6832" s="317"/>
      <c r="E6832" s="318"/>
      <c r="F6832" s="247"/>
      <c r="G6832" s="247"/>
      <c r="H6832" s="248"/>
      <c r="I6832" s="248"/>
      <c r="J6832" s="247"/>
      <c r="K6832" s="249"/>
    </row>
    <row r="6833" spans="1:11" s="90" customFormat="1" ht="12.75" customHeight="1" x14ac:dyDescent="0.2">
      <c r="A6833" s="247"/>
      <c r="B6833" s="316"/>
      <c r="C6833" s="247"/>
      <c r="D6833" s="317"/>
      <c r="E6833" s="318"/>
      <c r="F6833" s="247"/>
      <c r="G6833" s="247"/>
      <c r="H6833" s="248"/>
      <c r="I6833" s="248"/>
      <c r="J6833" s="247"/>
      <c r="K6833" s="249"/>
    </row>
    <row r="6834" spans="1:11" s="90" customFormat="1" ht="12.75" customHeight="1" x14ac:dyDescent="0.2">
      <c r="A6834" s="247"/>
      <c r="B6834" s="316"/>
      <c r="C6834" s="247"/>
      <c r="D6834" s="317"/>
      <c r="E6834" s="318"/>
      <c r="F6834" s="247"/>
      <c r="G6834" s="247"/>
      <c r="H6834" s="248"/>
      <c r="I6834" s="248"/>
      <c r="J6834" s="247"/>
      <c r="K6834" s="249"/>
    </row>
    <row r="6835" spans="1:11" s="90" customFormat="1" ht="12.75" customHeight="1" x14ac:dyDescent="0.2">
      <c r="A6835" s="247"/>
      <c r="B6835" s="316"/>
      <c r="C6835" s="247"/>
      <c r="D6835" s="317"/>
      <c r="E6835" s="318"/>
      <c r="F6835" s="247"/>
      <c r="G6835" s="247"/>
      <c r="H6835" s="248"/>
      <c r="I6835" s="248"/>
      <c r="J6835" s="247"/>
      <c r="K6835" s="249"/>
    </row>
    <row r="6836" spans="1:11" s="90" customFormat="1" ht="12.75" customHeight="1" x14ac:dyDescent="0.2">
      <c r="A6836" s="247"/>
      <c r="B6836" s="316"/>
      <c r="C6836" s="247"/>
      <c r="D6836" s="317"/>
      <c r="E6836" s="318"/>
      <c r="F6836" s="247"/>
      <c r="G6836" s="247"/>
      <c r="H6836" s="248"/>
      <c r="I6836" s="248"/>
      <c r="J6836" s="247"/>
      <c r="K6836" s="249"/>
    </row>
    <row r="6837" spans="1:11" s="90" customFormat="1" ht="12.75" customHeight="1" x14ac:dyDescent="0.2">
      <c r="A6837" s="247"/>
      <c r="B6837" s="316"/>
      <c r="C6837" s="247"/>
      <c r="D6837" s="317"/>
      <c r="E6837" s="318"/>
      <c r="F6837" s="247"/>
      <c r="G6837" s="247"/>
      <c r="H6837" s="248"/>
      <c r="I6837" s="248"/>
      <c r="J6837" s="247"/>
      <c r="K6837" s="249"/>
    </row>
    <row r="6838" spans="1:11" s="90" customFormat="1" ht="12.75" customHeight="1" x14ac:dyDescent="0.2">
      <c r="A6838" s="247"/>
      <c r="B6838" s="316"/>
      <c r="C6838" s="247"/>
      <c r="D6838" s="317"/>
      <c r="E6838" s="318"/>
      <c r="F6838" s="247"/>
      <c r="G6838" s="247"/>
      <c r="H6838" s="248"/>
      <c r="I6838" s="248"/>
      <c r="J6838" s="247"/>
      <c r="K6838" s="249"/>
    </row>
    <row r="6839" spans="1:11" s="90" customFormat="1" ht="12.75" customHeight="1" x14ac:dyDescent="0.2">
      <c r="A6839" s="247"/>
      <c r="B6839" s="316"/>
      <c r="C6839" s="247"/>
      <c r="D6839" s="317"/>
      <c r="E6839" s="318"/>
      <c r="F6839" s="247"/>
      <c r="G6839" s="247"/>
      <c r="H6839" s="248"/>
      <c r="I6839" s="248"/>
      <c r="J6839" s="247"/>
      <c r="K6839" s="249"/>
    </row>
    <row r="6840" spans="1:11" s="90" customFormat="1" ht="12.75" customHeight="1" x14ac:dyDescent="0.2">
      <c r="A6840" s="247"/>
      <c r="B6840" s="316"/>
      <c r="C6840" s="247"/>
      <c r="D6840" s="317"/>
      <c r="E6840" s="318"/>
      <c r="F6840" s="247"/>
      <c r="G6840" s="247"/>
      <c r="H6840" s="248"/>
      <c r="I6840" s="248"/>
      <c r="J6840" s="247"/>
      <c r="K6840" s="249"/>
    </row>
    <row r="6841" spans="1:11" s="90" customFormat="1" ht="12.75" customHeight="1" x14ac:dyDescent="0.2">
      <c r="A6841" s="247"/>
      <c r="B6841" s="316"/>
      <c r="C6841" s="247"/>
      <c r="D6841" s="317"/>
      <c r="E6841" s="318"/>
      <c r="F6841" s="247"/>
      <c r="G6841" s="247"/>
      <c r="H6841" s="248"/>
      <c r="I6841" s="248"/>
      <c r="J6841" s="247"/>
      <c r="K6841" s="249"/>
    </row>
    <row r="6842" spans="1:11" s="90" customFormat="1" ht="12.75" customHeight="1" x14ac:dyDescent="0.2">
      <c r="A6842" s="247"/>
      <c r="B6842" s="316"/>
      <c r="C6842" s="247"/>
      <c r="D6842" s="317"/>
      <c r="E6842" s="318"/>
      <c r="F6842" s="247"/>
      <c r="G6842" s="247"/>
      <c r="H6842" s="248"/>
      <c r="I6842" s="248"/>
      <c r="J6842" s="247"/>
      <c r="K6842" s="249"/>
    </row>
    <row r="6843" spans="1:11" s="90" customFormat="1" ht="12.75" customHeight="1" x14ac:dyDescent="0.2">
      <c r="A6843" s="247"/>
      <c r="B6843" s="316"/>
      <c r="C6843" s="247"/>
      <c r="D6843" s="317"/>
      <c r="E6843" s="318"/>
      <c r="F6843" s="247"/>
      <c r="G6843" s="247"/>
      <c r="H6843" s="248"/>
      <c r="I6843" s="248"/>
      <c r="J6843" s="247"/>
      <c r="K6843" s="249"/>
    </row>
    <row r="6844" spans="1:11" s="90" customFormat="1" ht="12.75" customHeight="1" x14ac:dyDescent="0.2">
      <c r="A6844" s="247"/>
      <c r="B6844" s="316"/>
      <c r="C6844" s="247"/>
      <c r="D6844" s="317"/>
      <c r="E6844" s="318"/>
      <c r="F6844" s="247"/>
      <c r="G6844" s="247"/>
      <c r="H6844" s="248"/>
      <c r="I6844" s="248"/>
      <c r="J6844" s="247"/>
      <c r="K6844" s="249"/>
    </row>
    <row r="6845" spans="1:11" s="90" customFormat="1" ht="12.75" customHeight="1" x14ac:dyDescent="0.2">
      <c r="A6845" s="247"/>
      <c r="B6845" s="316"/>
      <c r="C6845" s="247"/>
      <c r="D6845" s="317"/>
      <c r="E6845" s="318"/>
      <c r="F6845" s="247"/>
      <c r="G6845" s="247"/>
      <c r="H6845" s="248"/>
      <c r="I6845" s="248"/>
      <c r="J6845" s="247"/>
      <c r="K6845" s="249"/>
    </row>
    <row r="6846" spans="1:11" s="90" customFormat="1" ht="12.75" customHeight="1" x14ac:dyDescent="0.2">
      <c r="A6846" s="247"/>
      <c r="B6846" s="316"/>
      <c r="C6846" s="247"/>
      <c r="D6846" s="317"/>
      <c r="E6846" s="318"/>
      <c r="F6846" s="247"/>
      <c r="G6846" s="247"/>
      <c r="H6846" s="248"/>
      <c r="I6846" s="248"/>
      <c r="J6846" s="247"/>
      <c r="K6846" s="249"/>
    </row>
    <row r="6847" spans="1:11" s="90" customFormat="1" ht="12.75" customHeight="1" x14ac:dyDescent="0.2">
      <c r="A6847" s="247"/>
      <c r="B6847" s="316"/>
      <c r="C6847" s="247"/>
      <c r="D6847" s="317"/>
      <c r="E6847" s="318"/>
      <c r="F6847" s="247"/>
      <c r="G6847" s="247"/>
      <c r="H6847" s="248"/>
      <c r="I6847" s="248"/>
      <c r="J6847" s="247"/>
      <c r="K6847" s="249"/>
    </row>
    <row r="6848" spans="1:11" s="90" customFormat="1" ht="12.75" customHeight="1" x14ac:dyDescent="0.2">
      <c r="A6848" s="247"/>
      <c r="B6848" s="316"/>
      <c r="C6848" s="247"/>
      <c r="D6848" s="317"/>
      <c r="E6848" s="318"/>
      <c r="F6848" s="247"/>
      <c r="G6848" s="247"/>
      <c r="H6848" s="248"/>
      <c r="I6848" s="248"/>
      <c r="J6848" s="247"/>
      <c r="K6848" s="249"/>
    </row>
    <row r="6849" spans="1:11" s="90" customFormat="1" ht="12.75" customHeight="1" x14ac:dyDescent="0.2">
      <c r="A6849" s="247"/>
      <c r="B6849" s="316"/>
      <c r="C6849" s="247"/>
      <c r="D6849" s="317"/>
      <c r="E6849" s="318"/>
      <c r="F6849" s="247"/>
      <c r="G6849" s="247"/>
      <c r="H6849" s="248"/>
      <c r="I6849" s="248"/>
      <c r="J6849" s="247"/>
      <c r="K6849" s="249"/>
    </row>
    <row r="6850" spans="1:11" s="90" customFormat="1" ht="12.75" customHeight="1" x14ac:dyDescent="0.2">
      <c r="A6850" s="247"/>
      <c r="B6850" s="316"/>
      <c r="C6850" s="247"/>
      <c r="D6850" s="317"/>
      <c r="E6850" s="318"/>
      <c r="F6850" s="247"/>
      <c r="G6850" s="247"/>
      <c r="H6850" s="248"/>
      <c r="I6850" s="248"/>
      <c r="J6850" s="247"/>
      <c r="K6850" s="249"/>
    </row>
    <row r="6851" spans="1:11" s="90" customFormat="1" ht="12.75" customHeight="1" x14ac:dyDescent="0.2">
      <c r="A6851" s="247"/>
      <c r="B6851" s="316"/>
      <c r="C6851" s="247"/>
      <c r="D6851" s="317"/>
      <c r="E6851" s="318"/>
      <c r="F6851" s="247"/>
      <c r="G6851" s="247"/>
      <c r="H6851" s="248"/>
      <c r="I6851" s="248"/>
      <c r="J6851" s="247"/>
      <c r="K6851" s="249"/>
    </row>
    <row r="6852" spans="1:11" s="90" customFormat="1" ht="12.75" customHeight="1" x14ac:dyDescent="0.2">
      <c r="A6852" s="247"/>
      <c r="B6852" s="316"/>
      <c r="C6852" s="247"/>
      <c r="D6852" s="317"/>
      <c r="E6852" s="318"/>
      <c r="F6852" s="247"/>
      <c r="G6852" s="247"/>
      <c r="H6852" s="248"/>
      <c r="I6852" s="248"/>
      <c r="J6852" s="247"/>
      <c r="K6852" s="249"/>
    </row>
    <row r="6853" spans="1:11" s="90" customFormat="1" ht="12.75" customHeight="1" x14ac:dyDescent="0.2">
      <c r="A6853" s="247"/>
      <c r="B6853" s="316"/>
      <c r="C6853" s="247"/>
      <c r="D6853" s="317"/>
      <c r="E6853" s="318"/>
      <c r="F6853" s="247"/>
      <c r="G6853" s="247"/>
      <c r="H6853" s="248"/>
      <c r="I6853" s="248"/>
      <c r="J6853" s="247"/>
      <c r="K6853" s="249"/>
    </row>
    <row r="6854" spans="1:11" s="90" customFormat="1" ht="12.75" customHeight="1" x14ac:dyDescent="0.2">
      <c r="A6854" s="247"/>
      <c r="B6854" s="316"/>
      <c r="C6854" s="247"/>
      <c r="D6854" s="317"/>
      <c r="E6854" s="318"/>
      <c r="F6854" s="247"/>
      <c r="G6854" s="247"/>
      <c r="H6854" s="248"/>
      <c r="I6854" s="248"/>
      <c r="J6854" s="247"/>
      <c r="K6854" s="249"/>
    </row>
    <row r="6855" spans="1:11" s="90" customFormat="1" ht="12.75" customHeight="1" x14ac:dyDescent="0.2">
      <c r="A6855" s="247"/>
      <c r="B6855" s="316"/>
      <c r="C6855" s="247"/>
      <c r="D6855" s="317"/>
      <c r="E6855" s="318"/>
      <c r="F6855" s="247"/>
      <c r="G6855" s="247"/>
      <c r="H6855" s="248"/>
      <c r="I6855" s="248"/>
      <c r="J6855" s="247"/>
      <c r="K6855" s="249"/>
    </row>
    <row r="6856" spans="1:11" s="90" customFormat="1" ht="12.75" customHeight="1" x14ac:dyDescent="0.2">
      <c r="A6856" s="247"/>
      <c r="B6856" s="316"/>
      <c r="C6856" s="247"/>
      <c r="D6856" s="317"/>
      <c r="E6856" s="318"/>
      <c r="F6856" s="247"/>
      <c r="G6856" s="247"/>
      <c r="H6856" s="248"/>
      <c r="I6856" s="248"/>
      <c r="J6856" s="247"/>
      <c r="K6856" s="249"/>
    </row>
    <row r="6857" spans="1:11" s="90" customFormat="1" ht="12.75" customHeight="1" x14ac:dyDescent="0.2">
      <c r="A6857" s="247"/>
      <c r="B6857" s="316"/>
      <c r="C6857" s="247"/>
      <c r="D6857" s="317"/>
      <c r="E6857" s="318"/>
      <c r="F6857" s="247"/>
      <c r="G6857" s="247"/>
      <c r="H6857" s="248"/>
      <c r="I6857" s="248"/>
      <c r="J6857" s="247"/>
      <c r="K6857" s="249"/>
    </row>
    <row r="6858" spans="1:11" s="90" customFormat="1" ht="12.75" customHeight="1" x14ac:dyDescent="0.2">
      <c r="A6858" s="247"/>
      <c r="B6858" s="316"/>
      <c r="C6858" s="247"/>
      <c r="D6858" s="317"/>
      <c r="E6858" s="318"/>
      <c r="F6858" s="247"/>
      <c r="G6858" s="247"/>
      <c r="H6858" s="248"/>
      <c r="I6858" s="248"/>
      <c r="J6858" s="247"/>
      <c r="K6858" s="249"/>
    </row>
    <row r="6859" spans="1:11" s="90" customFormat="1" ht="12.75" customHeight="1" x14ac:dyDescent="0.2">
      <c r="A6859" s="247"/>
      <c r="B6859" s="316"/>
      <c r="C6859" s="247"/>
      <c r="D6859" s="317"/>
      <c r="E6859" s="318"/>
      <c r="F6859" s="247"/>
      <c r="G6859" s="247"/>
      <c r="H6859" s="248"/>
      <c r="I6859" s="248"/>
      <c r="J6859" s="247"/>
      <c r="K6859" s="249"/>
    </row>
    <row r="6860" spans="1:11" s="90" customFormat="1" ht="12.75" customHeight="1" x14ac:dyDescent="0.2">
      <c r="A6860" s="247"/>
      <c r="B6860" s="316"/>
      <c r="C6860" s="247"/>
      <c r="D6860" s="317"/>
      <c r="E6860" s="318"/>
      <c r="F6860" s="247"/>
      <c r="G6860" s="247"/>
      <c r="H6860" s="248"/>
      <c r="I6860" s="248"/>
      <c r="J6860" s="247"/>
      <c r="K6860" s="249"/>
    </row>
    <row r="6861" spans="1:11" s="90" customFormat="1" ht="12.75" customHeight="1" x14ac:dyDescent="0.2">
      <c r="A6861" s="247"/>
      <c r="B6861" s="316"/>
      <c r="C6861" s="247"/>
      <c r="D6861" s="317"/>
      <c r="E6861" s="318"/>
      <c r="F6861" s="247"/>
      <c r="G6861" s="247"/>
      <c r="H6861" s="248"/>
      <c r="I6861" s="248"/>
      <c r="J6861" s="247"/>
      <c r="K6861" s="249"/>
    </row>
    <row r="6862" spans="1:11" s="90" customFormat="1" ht="12.75" customHeight="1" x14ac:dyDescent="0.2">
      <c r="A6862" s="247"/>
      <c r="B6862" s="316"/>
      <c r="C6862" s="247"/>
      <c r="D6862" s="317"/>
      <c r="E6862" s="318"/>
      <c r="F6862" s="247"/>
      <c r="G6862" s="247"/>
      <c r="H6862" s="248"/>
      <c r="I6862" s="248"/>
      <c r="J6862" s="247"/>
      <c r="K6862" s="249"/>
    </row>
    <row r="6863" spans="1:11" s="90" customFormat="1" ht="12.75" customHeight="1" x14ac:dyDescent="0.2">
      <c r="A6863" s="247"/>
      <c r="B6863" s="316"/>
      <c r="C6863" s="247"/>
      <c r="D6863" s="317"/>
      <c r="E6863" s="318"/>
      <c r="F6863" s="247"/>
      <c r="G6863" s="247"/>
      <c r="H6863" s="248"/>
      <c r="I6863" s="248"/>
      <c r="J6863" s="247"/>
      <c r="K6863" s="249"/>
    </row>
    <row r="6864" spans="1:11" s="90" customFormat="1" ht="12.75" customHeight="1" x14ac:dyDescent="0.2">
      <c r="A6864" s="247"/>
      <c r="B6864" s="316"/>
      <c r="C6864" s="247"/>
      <c r="D6864" s="317"/>
      <c r="E6864" s="318"/>
      <c r="F6864" s="247"/>
      <c r="G6864" s="247"/>
      <c r="H6864" s="248"/>
      <c r="I6864" s="248"/>
      <c r="J6864" s="247"/>
      <c r="K6864" s="249"/>
    </row>
    <row r="6865" spans="1:11" s="90" customFormat="1" ht="12.75" customHeight="1" x14ac:dyDescent="0.2">
      <c r="A6865" s="247"/>
      <c r="B6865" s="316"/>
      <c r="C6865" s="247"/>
      <c r="D6865" s="317"/>
      <c r="E6865" s="318"/>
      <c r="F6865" s="247"/>
      <c r="G6865" s="247"/>
      <c r="H6865" s="248"/>
      <c r="I6865" s="248"/>
      <c r="J6865" s="247"/>
      <c r="K6865" s="249"/>
    </row>
    <row r="6866" spans="1:11" s="90" customFormat="1" ht="12.75" customHeight="1" x14ac:dyDescent="0.2">
      <c r="A6866" s="247"/>
      <c r="B6866" s="316"/>
      <c r="C6866" s="247"/>
      <c r="D6866" s="317"/>
      <c r="E6866" s="318"/>
      <c r="F6866" s="247"/>
      <c r="G6866" s="247"/>
      <c r="H6866" s="248"/>
      <c r="I6866" s="248"/>
      <c r="J6866" s="247"/>
      <c r="K6866" s="249"/>
    </row>
    <row r="6867" spans="1:11" s="90" customFormat="1" ht="12.75" customHeight="1" x14ac:dyDescent="0.2">
      <c r="A6867" s="247"/>
      <c r="B6867" s="316"/>
      <c r="C6867" s="247"/>
      <c r="D6867" s="317"/>
      <c r="E6867" s="318"/>
      <c r="F6867" s="247"/>
      <c r="G6867" s="247"/>
      <c r="H6867" s="248"/>
      <c r="I6867" s="248"/>
      <c r="J6867" s="247"/>
      <c r="K6867" s="249"/>
    </row>
    <row r="6868" spans="1:11" s="90" customFormat="1" ht="12.75" customHeight="1" x14ac:dyDescent="0.2">
      <c r="A6868" s="247"/>
      <c r="B6868" s="316"/>
      <c r="C6868" s="247"/>
      <c r="D6868" s="317"/>
      <c r="E6868" s="318"/>
      <c r="F6868" s="247"/>
      <c r="G6868" s="247"/>
      <c r="H6868" s="248"/>
      <c r="I6868" s="248"/>
      <c r="J6868" s="247"/>
      <c r="K6868" s="249"/>
    </row>
    <row r="6869" spans="1:11" s="90" customFormat="1" ht="12.75" customHeight="1" x14ac:dyDescent="0.2">
      <c r="A6869" s="247"/>
      <c r="B6869" s="316"/>
      <c r="C6869" s="247"/>
      <c r="D6869" s="317"/>
      <c r="E6869" s="318"/>
      <c r="F6869" s="247"/>
      <c r="G6869" s="247"/>
      <c r="H6869" s="248"/>
      <c r="I6869" s="248"/>
      <c r="J6869" s="247"/>
      <c r="K6869" s="249"/>
    </row>
    <row r="6870" spans="1:11" s="90" customFormat="1" ht="12.75" customHeight="1" x14ac:dyDescent="0.2">
      <c r="A6870" s="247"/>
      <c r="B6870" s="316"/>
      <c r="C6870" s="247"/>
      <c r="D6870" s="317"/>
      <c r="E6870" s="318"/>
      <c r="F6870" s="247"/>
      <c r="G6870" s="247"/>
      <c r="H6870" s="248"/>
      <c r="I6870" s="248"/>
      <c r="J6870" s="247"/>
      <c r="K6870" s="249"/>
    </row>
    <row r="6871" spans="1:11" s="90" customFormat="1" ht="12.75" customHeight="1" x14ac:dyDescent="0.2">
      <c r="A6871" s="247"/>
      <c r="B6871" s="316"/>
      <c r="C6871" s="247"/>
      <c r="D6871" s="317"/>
      <c r="E6871" s="318"/>
      <c r="F6871" s="247"/>
      <c r="G6871" s="247"/>
      <c r="H6871" s="248"/>
      <c r="I6871" s="248"/>
      <c r="J6871" s="247"/>
      <c r="K6871" s="249"/>
    </row>
    <row r="6872" spans="1:11" s="90" customFormat="1" ht="12.75" customHeight="1" x14ac:dyDescent="0.2">
      <c r="A6872" s="247"/>
      <c r="B6872" s="316"/>
      <c r="C6872" s="247"/>
      <c r="D6872" s="317"/>
      <c r="E6872" s="318"/>
      <c r="F6872" s="247"/>
      <c r="G6872" s="247"/>
      <c r="H6872" s="248"/>
      <c r="I6872" s="248"/>
      <c r="J6872" s="247"/>
      <c r="K6872" s="249"/>
    </row>
    <row r="6873" spans="1:11" s="90" customFormat="1" ht="12.75" customHeight="1" x14ac:dyDescent="0.2">
      <c r="A6873" s="247"/>
      <c r="B6873" s="316"/>
      <c r="C6873" s="247"/>
      <c r="D6873" s="317"/>
      <c r="E6873" s="318"/>
      <c r="F6873" s="247"/>
      <c r="G6873" s="247"/>
      <c r="H6873" s="248"/>
      <c r="I6873" s="248"/>
      <c r="J6873" s="247"/>
      <c r="K6873" s="249"/>
    </row>
    <row r="6874" spans="1:11" s="90" customFormat="1" ht="12.75" customHeight="1" x14ac:dyDescent="0.2">
      <c r="A6874" s="247"/>
      <c r="B6874" s="316"/>
      <c r="C6874" s="247"/>
      <c r="D6874" s="317"/>
      <c r="E6874" s="318"/>
      <c r="F6874" s="247"/>
      <c r="G6874" s="247"/>
      <c r="H6874" s="248"/>
      <c r="I6874" s="248"/>
      <c r="J6874" s="247"/>
      <c r="K6874" s="249"/>
    </row>
    <row r="6875" spans="1:11" s="90" customFormat="1" ht="12.75" customHeight="1" x14ac:dyDescent="0.2">
      <c r="A6875" s="247"/>
      <c r="B6875" s="316"/>
      <c r="C6875" s="247"/>
      <c r="D6875" s="317"/>
      <c r="E6875" s="318"/>
      <c r="F6875" s="247"/>
      <c r="G6875" s="247"/>
      <c r="H6875" s="248"/>
      <c r="I6875" s="248"/>
      <c r="J6875" s="247"/>
      <c r="K6875" s="249"/>
    </row>
    <row r="6876" spans="1:11" s="90" customFormat="1" ht="12.75" customHeight="1" x14ac:dyDescent="0.2">
      <c r="A6876" s="247"/>
      <c r="B6876" s="316"/>
      <c r="C6876" s="247"/>
      <c r="D6876" s="317"/>
      <c r="E6876" s="318"/>
      <c r="F6876" s="247"/>
      <c r="G6876" s="247"/>
      <c r="H6876" s="248"/>
      <c r="I6876" s="248"/>
      <c r="J6876" s="247"/>
      <c r="K6876" s="249"/>
    </row>
    <row r="6877" spans="1:11" s="90" customFormat="1" ht="12.75" customHeight="1" x14ac:dyDescent="0.2">
      <c r="A6877" s="247"/>
      <c r="B6877" s="316"/>
      <c r="C6877" s="247"/>
      <c r="D6877" s="317"/>
      <c r="E6877" s="318"/>
      <c r="F6877" s="247"/>
      <c r="G6877" s="247"/>
      <c r="H6877" s="248"/>
      <c r="I6877" s="248"/>
      <c r="J6877" s="247"/>
      <c r="K6877" s="249"/>
    </row>
    <row r="6878" spans="1:11" s="90" customFormat="1" ht="12.75" customHeight="1" x14ac:dyDescent="0.2">
      <c r="A6878" s="247"/>
      <c r="B6878" s="316"/>
      <c r="C6878" s="247"/>
      <c r="D6878" s="317"/>
      <c r="E6878" s="318"/>
      <c r="F6878" s="247"/>
      <c r="G6878" s="247"/>
      <c r="H6878" s="248"/>
      <c r="I6878" s="248"/>
      <c r="J6878" s="247"/>
      <c r="K6878" s="249"/>
    </row>
    <row r="6879" spans="1:11" s="90" customFormat="1" ht="12.75" customHeight="1" x14ac:dyDescent="0.2">
      <c r="A6879" s="247"/>
      <c r="B6879" s="316"/>
      <c r="C6879" s="247"/>
      <c r="D6879" s="317"/>
      <c r="E6879" s="318"/>
      <c r="F6879" s="247"/>
      <c r="G6879" s="247"/>
      <c r="H6879" s="248"/>
      <c r="I6879" s="248"/>
      <c r="J6879" s="247"/>
      <c r="K6879" s="249"/>
    </row>
    <row r="6880" spans="1:11" s="90" customFormat="1" ht="12.75" customHeight="1" x14ac:dyDescent="0.2">
      <c r="A6880" s="247"/>
      <c r="B6880" s="316"/>
      <c r="C6880" s="247"/>
      <c r="D6880" s="317"/>
      <c r="E6880" s="318"/>
      <c r="F6880" s="247"/>
      <c r="G6880" s="247"/>
      <c r="H6880" s="248"/>
      <c r="I6880" s="248"/>
      <c r="J6880" s="247"/>
      <c r="K6880" s="249"/>
    </row>
    <row r="6881" spans="1:11" s="90" customFormat="1" ht="12.75" customHeight="1" x14ac:dyDescent="0.2">
      <c r="A6881" s="247"/>
      <c r="B6881" s="316"/>
      <c r="C6881" s="247"/>
      <c r="D6881" s="317"/>
      <c r="E6881" s="318"/>
      <c r="F6881" s="247"/>
      <c r="G6881" s="247"/>
      <c r="H6881" s="248"/>
      <c r="I6881" s="248"/>
      <c r="J6881" s="247"/>
      <c r="K6881" s="249"/>
    </row>
    <row r="6882" spans="1:11" s="90" customFormat="1" ht="12.75" customHeight="1" x14ac:dyDescent="0.2">
      <c r="A6882" s="247"/>
      <c r="B6882" s="316"/>
      <c r="C6882" s="247"/>
      <c r="D6882" s="317"/>
      <c r="E6882" s="318"/>
      <c r="F6882" s="247"/>
      <c r="G6882" s="247"/>
      <c r="H6882" s="248"/>
      <c r="I6882" s="248"/>
      <c r="J6882" s="247"/>
      <c r="K6882" s="249"/>
    </row>
    <row r="6883" spans="1:11" s="90" customFormat="1" ht="12.75" customHeight="1" x14ac:dyDescent="0.2">
      <c r="A6883" s="247"/>
      <c r="B6883" s="316"/>
      <c r="C6883" s="247"/>
      <c r="D6883" s="317"/>
      <c r="E6883" s="318"/>
      <c r="F6883" s="247"/>
      <c r="G6883" s="247"/>
      <c r="H6883" s="248"/>
      <c r="I6883" s="248"/>
      <c r="J6883" s="247"/>
      <c r="K6883" s="249"/>
    </row>
    <row r="6884" spans="1:11" s="90" customFormat="1" ht="12.75" customHeight="1" x14ac:dyDescent="0.2">
      <c r="A6884" s="247"/>
      <c r="B6884" s="316"/>
      <c r="C6884" s="247"/>
      <c r="D6884" s="317"/>
      <c r="E6884" s="318"/>
      <c r="F6884" s="247"/>
      <c r="G6884" s="247"/>
      <c r="H6884" s="248"/>
      <c r="I6884" s="248"/>
      <c r="J6884" s="247"/>
      <c r="K6884" s="249"/>
    </row>
    <row r="6885" spans="1:11" s="90" customFormat="1" ht="12.75" customHeight="1" x14ac:dyDescent="0.2">
      <c r="A6885" s="247"/>
      <c r="B6885" s="316"/>
      <c r="C6885" s="247"/>
      <c r="D6885" s="317"/>
      <c r="E6885" s="318"/>
      <c r="F6885" s="247"/>
      <c r="G6885" s="247"/>
      <c r="H6885" s="248"/>
      <c r="I6885" s="248"/>
      <c r="J6885" s="247"/>
      <c r="K6885" s="249"/>
    </row>
    <row r="6886" spans="1:11" s="90" customFormat="1" ht="12.75" customHeight="1" x14ac:dyDescent="0.2">
      <c r="A6886" s="247"/>
      <c r="B6886" s="316"/>
      <c r="C6886" s="247"/>
      <c r="D6886" s="317"/>
      <c r="E6886" s="318"/>
      <c r="F6886" s="247"/>
      <c r="G6886" s="247"/>
      <c r="H6886" s="248"/>
      <c r="I6886" s="248"/>
      <c r="J6886" s="247"/>
      <c r="K6886" s="249"/>
    </row>
    <row r="6887" spans="1:11" s="90" customFormat="1" ht="12.75" customHeight="1" x14ac:dyDescent="0.2">
      <c r="A6887" s="247"/>
      <c r="B6887" s="316"/>
      <c r="C6887" s="247"/>
      <c r="D6887" s="317"/>
      <c r="E6887" s="318"/>
      <c r="F6887" s="247"/>
      <c r="G6887" s="247"/>
      <c r="H6887" s="248"/>
      <c r="I6887" s="248"/>
      <c r="J6887" s="247"/>
      <c r="K6887" s="249"/>
    </row>
    <row r="6888" spans="1:11" s="90" customFormat="1" ht="12.75" customHeight="1" x14ac:dyDescent="0.2">
      <c r="A6888" s="247"/>
      <c r="B6888" s="316"/>
      <c r="C6888" s="247"/>
      <c r="D6888" s="317"/>
      <c r="E6888" s="318"/>
      <c r="F6888" s="247"/>
      <c r="G6888" s="247"/>
      <c r="H6888" s="248"/>
      <c r="I6888" s="248"/>
      <c r="J6888" s="247"/>
      <c r="K6888" s="249"/>
    </row>
    <row r="6889" spans="1:11" s="90" customFormat="1" ht="12.75" customHeight="1" x14ac:dyDescent="0.2">
      <c r="A6889" s="247"/>
      <c r="B6889" s="316"/>
      <c r="C6889" s="247"/>
      <c r="D6889" s="317"/>
      <c r="E6889" s="318"/>
      <c r="F6889" s="247"/>
      <c r="G6889" s="247"/>
      <c r="H6889" s="248"/>
      <c r="I6889" s="248"/>
      <c r="J6889" s="247"/>
      <c r="K6889" s="249"/>
    </row>
    <row r="6890" spans="1:11" s="90" customFormat="1" ht="12.75" customHeight="1" x14ac:dyDescent="0.2">
      <c r="A6890" s="247"/>
      <c r="B6890" s="316"/>
      <c r="C6890" s="247"/>
      <c r="D6890" s="317"/>
      <c r="E6890" s="318"/>
      <c r="F6890" s="247"/>
      <c r="G6890" s="247"/>
      <c r="H6890" s="248"/>
      <c r="I6890" s="248"/>
      <c r="J6890" s="247"/>
      <c r="K6890" s="249"/>
    </row>
    <row r="6891" spans="1:11" s="90" customFormat="1" ht="12.75" customHeight="1" x14ac:dyDescent="0.2">
      <c r="A6891" s="247"/>
      <c r="B6891" s="316"/>
      <c r="C6891" s="247"/>
      <c r="D6891" s="317"/>
      <c r="E6891" s="318"/>
      <c r="F6891" s="247"/>
      <c r="G6891" s="247"/>
      <c r="H6891" s="248"/>
      <c r="I6891" s="248"/>
      <c r="J6891" s="247"/>
      <c r="K6891" s="249"/>
    </row>
    <row r="6892" spans="1:11" s="90" customFormat="1" ht="12.75" customHeight="1" x14ac:dyDescent="0.2">
      <c r="A6892" s="247"/>
      <c r="B6892" s="316"/>
      <c r="C6892" s="247"/>
      <c r="D6892" s="317"/>
      <c r="E6892" s="318"/>
      <c r="F6892" s="247"/>
      <c r="G6892" s="247"/>
      <c r="H6892" s="248"/>
      <c r="I6892" s="248"/>
      <c r="J6892" s="247"/>
      <c r="K6892" s="249"/>
    </row>
    <row r="6893" spans="1:11" s="90" customFormat="1" ht="12.75" customHeight="1" x14ac:dyDescent="0.2">
      <c r="A6893" s="247"/>
      <c r="B6893" s="316"/>
      <c r="C6893" s="247"/>
      <c r="D6893" s="317"/>
      <c r="E6893" s="318"/>
      <c r="F6893" s="247"/>
      <c r="G6893" s="247"/>
      <c r="H6893" s="248"/>
      <c r="I6893" s="248"/>
      <c r="J6893" s="247"/>
      <c r="K6893" s="249"/>
    </row>
    <row r="6894" spans="1:11" s="90" customFormat="1" ht="12.75" customHeight="1" x14ac:dyDescent="0.2">
      <c r="A6894" s="247"/>
      <c r="B6894" s="316"/>
      <c r="C6894" s="247"/>
      <c r="D6894" s="317"/>
      <c r="E6894" s="318"/>
      <c r="F6894" s="247"/>
      <c r="G6894" s="247"/>
      <c r="H6894" s="248"/>
      <c r="I6894" s="248"/>
      <c r="J6894" s="247"/>
      <c r="K6894" s="249"/>
    </row>
    <row r="6895" spans="1:11" s="90" customFormat="1" ht="12.75" customHeight="1" x14ac:dyDescent="0.2">
      <c r="A6895" s="247"/>
      <c r="B6895" s="316"/>
      <c r="C6895" s="247"/>
      <c r="D6895" s="317"/>
      <c r="E6895" s="318"/>
      <c r="F6895" s="247"/>
      <c r="G6895" s="247"/>
      <c r="H6895" s="248"/>
      <c r="I6895" s="248"/>
      <c r="J6895" s="247"/>
      <c r="K6895" s="249"/>
    </row>
    <row r="6896" spans="1:11" s="90" customFormat="1" ht="12.75" customHeight="1" x14ac:dyDescent="0.2">
      <c r="A6896" s="247"/>
      <c r="B6896" s="316"/>
      <c r="C6896" s="247"/>
      <c r="D6896" s="317"/>
      <c r="E6896" s="318"/>
      <c r="F6896" s="247"/>
      <c r="G6896" s="247"/>
      <c r="H6896" s="248"/>
      <c r="I6896" s="248"/>
      <c r="J6896" s="247"/>
      <c r="K6896" s="249"/>
    </row>
    <row r="6897" spans="1:11" s="90" customFormat="1" ht="12.75" customHeight="1" x14ac:dyDescent="0.2">
      <c r="A6897" s="247"/>
      <c r="B6897" s="316"/>
      <c r="C6897" s="247"/>
      <c r="D6897" s="317"/>
      <c r="E6897" s="318"/>
      <c r="F6897" s="247"/>
      <c r="G6897" s="247"/>
      <c r="H6897" s="248"/>
      <c r="I6897" s="248"/>
      <c r="J6897" s="247"/>
      <c r="K6897" s="249"/>
    </row>
    <row r="6898" spans="1:11" s="90" customFormat="1" ht="12.75" customHeight="1" x14ac:dyDescent="0.2">
      <c r="A6898" s="247"/>
      <c r="B6898" s="316"/>
      <c r="C6898" s="247"/>
      <c r="D6898" s="317"/>
      <c r="E6898" s="318"/>
      <c r="F6898" s="247"/>
      <c r="G6898" s="247"/>
      <c r="H6898" s="248"/>
      <c r="I6898" s="248"/>
      <c r="J6898" s="247"/>
      <c r="K6898" s="249"/>
    </row>
    <row r="6899" spans="1:11" s="90" customFormat="1" ht="12.75" customHeight="1" x14ac:dyDescent="0.2">
      <c r="A6899" s="247"/>
      <c r="B6899" s="316"/>
      <c r="C6899" s="247"/>
      <c r="D6899" s="317"/>
      <c r="E6899" s="318"/>
      <c r="F6899" s="247"/>
      <c r="G6899" s="247"/>
      <c r="H6899" s="248"/>
      <c r="I6899" s="248"/>
      <c r="J6899" s="247"/>
      <c r="K6899" s="249"/>
    </row>
    <row r="6900" spans="1:11" s="90" customFormat="1" ht="12.75" customHeight="1" x14ac:dyDescent="0.2">
      <c r="A6900" s="247"/>
      <c r="B6900" s="316"/>
      <c r="C6900" s="247"/>
      <c r="D6900" s="317"/>
      <c r="E6900" s="318"/>
      <c r="F6900" s="247"/>
      <c r="G6900" s="247"/>
      <c r="H6900" s="248"/>
      <c r="I6900" s="248"/>
      <c r="J6900" s="247"/>
      <c r="K6900" s="249"/>
    </row>
    <row r="6901" spans="1:11" s="90" customFormat="1" ht="12.75" customHeight="1" x14ac:dyDescent="0.2">
      <c r="A6901" s="247"/>
      <c r="B6901" s="316"/>
      <c r="C6901" s="247"/>
      <c r="D6901" s="317"/>
      <c r="E6901" s="318"/>
      <c r="F6901" s="247"/>
      <c r="G6901" s="247"/>
      <c r="H6901" s="248"/>
      <c r="I6901" s="248"/>
      <c r="J6901" s="247"/>
      <c r="K6901" s="249"/>
    </row>
    <row r="6902" spans="1:11" s="90" customFormat="1" ht="12.75" customHeight="1" x14ac:dyDescent="0.2">
      <c r="A6902" s="247"/>
      <c r="B6902" s="316"/>
      <c r="C6902" s="247"/>
      <c r="D6902" s="317"/>
      <c r="E6902" s="318"/>
      <c r="F6902" s="247"/>
      <c r="G6902" s="247"/>
      <c r="H6902" s="248"/>
      <c r="I6902" s="248"/>
      <c r="J6902" s="247"/>
      <c r="K6902" s="249"/>
    </row>
    <row r="6903" spans="1:11" s="90" customFormat="1" ht="12.75" customHeight="1" x14ac:dyDescent="0.2">
      <c r="A6903" s="247"/>
      <c r="B6903" s="316"/>
      <c r="C6903" s="247"/>
      <c r="D6903" s="317"/>
      <c r="E6903" s="318"/>
      <c r="F6903" s="247"/>
      <c r="G6903" s="247"/>
      <c r="H6903" s="248"/>
      <c r="I6903" s="248"/>
      <c r="J6903" s="247"/>
      <c r="K6903" s="249"/>
    </row>
    <row r="6904" spans="1:11" s="90" customFormat="1" ht="12.75" customHeight="1" x14ac:dyDescent="0.2">
      <c r="A6904" s="247"/>
      <c r="B6904" s="316"/>
      <c r="C6904" s="247"/>
      <c r="D6904" s="317"/>
      <c r="E6904" s="318"/>
      <c r="F6904" s="247"/>
      <c r="G6904" s="247"/>
      <c r="H6904" s="248"/>
      <c r="I6904" s="248"/>
      <c r="J6904" s="247"/>
      <c r="K6904" s="249"/>
    </row>
    <row r="6905" spans="1:11" s="90" customFormat="1" ht="12.75" customHeight="1" x14ac:dyDescent="0.2">
      <c r="A6905" s="247"/>
      <c r="B6905" s="316"/>
      <c r="C6905" s="247"/>
      <c r="D6905" s="317"/>
      <c r="E6905" s="318"/>
      <c r="F6905" s="247"/>
      <c r="G6905" s="247"/>
      <c r="H6905" s="248"/>
      <c r="I6905" s="248"/>
      <c r="J6905" s="247"/>
      <c r="K6905" s="249"/>
    </row>
    <row r="6906" spans="1:11" s="90" customFormat="1" ht="12.75" customHeight="1" x14ac:dyDescent="0.2">
      <c r="A6906" s="247"/>
      <c r="B6906" s="316"/>
      <c r="C6906" s="247"/>
      <c r="D6906" s="317"/>
      <c r="E6906" s="318"/>
      <c r="F6906" s="247"/>
      <c r="G6906" s="247"/>
      <c r="H6906" s="248"/>
      <c r="I6906" s="248"/>
      <c r="J6906" s="247"/>
      <c r="K6906" s="249"/>
    </row>
    <row r="6907" spans="1:11" s="90" customFormat="1" ht="12.75" customHeight="1" x14ac:dyDescent="0.2">
      <c r="A6907" s="247"/>
      <c r="B6907" s="316"/>
      <c r="C6907" s="247"/>
      <c r="D6907" s="317"/>
      <c r="E6907" s="318"/>
      <c r="F6907" s="247"/>
      <c r="G6907" s="247"/>
      <c r="H6907" s="248"/>
      <c r="I6907" s="248"/>
      <c r="J6907" s="247"/>
      <c r="K6907" s="249"/>
    </row>
    <row r="6908" spans="1:11" s="90" customFormat="1" ht="12.75" customHeight="1" x14ac:dyDescent="0.2">
      <c r="A6908" s="247"/>
      <c r="B6908" s="316"/>
      <c r="C6908" s="247"/>
      <c r="D6908" s="317"/>
      <c r="E6908" s="318"/>
      <c r="F6908" s="247"/>
      <c r="G6908" s="247"/>
      <c r="H6908" s="248"/>
      <c r="I6908" s="248"/>
      <c r="J6908" s="247"/>
      <c r="K6908" s="249"/>
    </row>
    <row r="6909" spans="1:11" s="90" customFormat="1" ht="12.75" customHeight="1" x14ac:dyDescent="0.2">
      <c r="A6909" s="247"/>
      <c r="B6909" s="316"/>
      <c r="C6909" s="247"/>
      <c r="D6909" s="317"/>
      <c r="E6909" s="318"/>
      <c r="F6909" s="247"/>
      <c r="G6909" s="247"/>
      <c r="H6909" s="248"/>
      <c r="I6909" s="248"/>
      <c r="J6909" s="247"/>
      <c r="K6909" s="249"/>
    </row>
    <row r="6910" spans="1:11" s="90" customFormat="1" ht="12.75" customHeight="1" x14ac:dyDescent="0.2">
      <c r="A6910" s="247"/>
      <c r="B6910" s="316"/>
      <c r="C6910" s="247"/>
      <c r="D6910" s="317"/>
      <c r="E6910" s="318"/>
      <c r="F6910" s="247"/>
      <c r="G6910" s="247"/>
      <c r="H6910" s="248"/>
      <c r="I6910" s="248"/>
      <c r="J6910" s="247"/>
      <c r="K6910" s="249"/>
    </row>
    <row r="6911" spans="1:11" s="90" customFormat="1" ht="12.75" customHeight="1" x14ac:dyDescent="0.2">
      <c r="A6911" s="247"/>
      <c r="B6911" s="316"/>
      <c r="C6911" s="247"/>
      <c r="D6911" s="317"/>
      <c r="E6911" s="318"/>
      <c r="F6911" s="247"/>
      <c r="G6911" s="247"/>
      <c r="H6911" s="248"/>
      <c r="I6911" s="248"/>
      <c r="J6911" s="247"/>
      <c r="K6911" s="249"/>
    </row>
    <row r="6912" spans="1:11" s="90" customFormat="1" ht="12.75" customHeight="1" x14ac:dyDescent="0.2">
      <c r="A6912" s="247"/>
      <c r="B6912" s="316"/>
      <c r="C6912" s="247"/>
      <c r="D6912" s="317"/>
      <c r="E6912" s="318"/>
      <c r="F6912" s="247"/>
      <c r="G6912" s="247"/>
      <c r="H6912" s="248"/>
      <c r="I6912" s="248"/>
      <c r="J6912" s="247"/>
      <c r="K6912" s="249"/>
    </row>
    <row r="6913" spans="1:11" s="90" customFormat="1" ht="12.75" customHeight="1" x14ac:dyDescent="0.2">
      <c r="A6913" s="247"/>
      <c r="B6913" s="316"/>
      <c r="C6913" s="247"/>
      <c r="D6913" s="317"/>
      <c r="E6913" s="318"/>
      <c r="F6913" s="247"/>
      <c r="G6913" s="247"/>
      <c r="H6913" s="248"/>
      <c r="I6913" s="248"/>
      <c r="J6913" s="247"/>
      <c r="K6913" s="249"/>
    </row>
    <row r="6914" spans="1:11" s="90" customFormat="1" ht="12.75" customHeight="1" x14ac:dyDescent="0.2">
      <c r="A6914" s="247"/>
      <c r="B6914" s="316"/>
      <c r="C6914" s="247"/>
      <c r="D6914" s="317"/>
      <c r="E6914" s="318"/>
      <c r="F6914" s="247"/>
      <c r="G6914" s="247"/>
      <c r="H6914" s="248"/>
      <c r="I6914" s="248"/>
      <c r="J6914" s="247"/>
      <c r="K6914" s="249"/>
    </row>
    <row r="6915" spans="1:11" s="90" customFormat="1" ht="12.75" customHeight="1" x14ac:dyDescent="0.2">
      <c r="A6915" s="247"/>
      <c r="B6915" s="316"/>
      <c r="C6915" s="247"/>
      <c r="D6915" s="317"/>
      <c r="E6915" s="318"/>
      <c r="F6915" s="247"/>
      <c r="G6915" s="247"/>
      <c r="H6915" s="248"/>
      <c r="I6915" s="248"/>
      <c r="J6915" s="247"/>
      <c r="K6915" s="249"/>
    </row>
    <row r="6916" spans="1:11" s="90" customFormat="1" ht="12.75" customHeight="1" x14ac:dyDescent="0.2">
      <c r="A6916" s="247"/>
      <c r="B6916" s="316"/>
      <c r="C6916" s="247"/>
      <c r="D6916" s="317"/>
      <c r="E6916" s="318"/>
      <c r="F6916" s="247"/>
      <c r="G6916" s="247"/>
      <c r="H6916" s="248"/>
      <c r="I6916" s="248"/>
      <c r="J6916" s="247"/>
      <c r="K6916" s="249"/>
    </row>
    <row r="6917" spans="1:11" s="90" customFormat="1" ht="12.75" customHeight="1" x14ac:dyDescent="0.2">
      <c r="A6917" s="247"/>
      <c r="B6917" s="316"/>
      <c r="C6917" s="247"/>
      <c r="D6917" s="317"/>
      <c r="E6917" s="318"/>
      <c r="F6917" s="247"/>
      <c r="G6917" s="247"/>
      <c r="H6917" s="248"/>
      <c r="I6917" s="248"/>
      <c r="J6917" s="247"/>
      <c r="K6917" s="249"/>
    </row>
    <row r="6918" spans="1:11" s="90" customFormat="1" ht="12.75" customHeight="1" x14ac:dyDescent="0.2">
      <c r="A6918" s="247"/>
      <c r="B6918" s="316"/>
      <c r="C6918" s="247"/>
      <c r="D6918" s="317"/>
      <c r="E6918" s="318"/>
      <c r="F6918" s="247"/>
      <c r="G6918" s="247"/>
      <c r="H6918" s="248"/>
      <c r="I6918" s="248"/>
      <c r="J6918" s="247"/>
      <c r="K6918" s="249"/>
    </row>
    <row r="6919" spans="1:11" s="90" customFormat="1" ht="12.75" customHeight="1" x14ac:dyDescent="0.2">
      <c r="A6919" s="247"/>
      <c r="B6919" s="316"/>
      <c r="C6919" s="247"/>
      <c r="D6919" s="317"/>
      <c r="E6919" s="318"/>
      <c r="F6919" s="247"/>
      <c r="G6919" s="247"/>
      <c r="H6919" s="248"/>
      <c r="I6919" s="248"/>
      <c r="J6919" s="247"/>
      <c r="K6919" s="249"/>
    </row>
    <row r="6920" spans="1:11" s="90" customFormat="1" ht="12.75" customHeight="1" x14ac:dyDescent="0.2">
      <c r="A6920" s="247"/>
      <c r="B6920" s="316"/>
      <c r="C6920" s="247"/>
      <c r="D6920" s="317"/>
      <c r="E6920" s="318"/>
      <c r="F6920" s="247"/>
      <c r="G6920" s="247"/>
      <c r="H6920" s="248"/>
      <c r="I6920" s="248"/>
      <c r="J6920" s="247"/>
      <c r="K6920" s="249"/>
    </row>
    <row r="6921" spans="1:11" s="90" customFormat="1" ht="12.75" customHeight="1" x14ac:dyDescent="0.2">
      <c r="A6921" s="247"/>
      <c r="B6921" s="316"/>
      <c r="C6921" s="247"/>
      <c r="D6921" s="317"/>
      <c r="E6921" s="318"/>
      <c r="F6921" s="247"/>
      <c r="G6921" s="247"/>
      <c r="H6921" s="248"/>
      <c r="I6921" s="248"/>
      <c r="J6921" s="247"/>
      <c r="K6921" s="249"/>
    </row>
    <row r="6922" spans="1:11" s="90" customFormat="1" ht="12.75" customHeight="1" x14ac:dyDescent="0.2">
      <c r="A6922" s="247"/>
      <c r="B6922" s="316"/>
      <c r="C6922" s="247"/>
      <c r="D6922" s="317"/>
      <c r="E6922" s="318"/>
      <c r="F6922" s="247"/>
      <c r="G6922" s="247"/>
      <c r="H6922" s="248"/>
      <c r="I6922" s="248"/>
      <c r="J6922" s="247"/>
      <c r="K6922" s="249"/>
    </row>
    <row r="6923" spans="1:11" s="90" customFormat="1" ht="12.75" customHeight="1" x14ac:dyDescent="0.2">
      <c r="A6923" s="247"/>
      <c r="B6923" s="316"/>
      <c r="C6923" s="247"/>
      <c r="D6923" s="317"/>
      <c r="E6923" s="318"/>
      <c r="F6923" s="247"/>
      <c r="G6923" s="247"/>
      <c r="H6923" s="248"/>
      <c r="I6923" s="248"/>
      <c r="J6923" s="247"/>
      <c r="K6923" s="249"/>
    </row>
    <row r="6924" spans="1:11" s="90" customFormat="1" ht="12.75" customHeight="1" x14ac:dyDescent="0.2">
      <c r="A6924" s="247"/>
      <c r="B6924" s="316"/>
      <c r="C6924" s="247"/>
      <c r="D6924" s="317"/>
      <c r="E6924" s="318"/>
      <c r="F6924" s="247"/>
      <c r="G6924" s="247"/>
      <c r="H6924" s="248"/>
      <c r="I6924" s="248"/>
      <c r="J6924" s="247"/>
      <c r="K6924" s="249"/>
    </row>
    <row r="6925" spans="1:11" s="90" customFormat="1" ht="12.75" customHeight="1" x14ac:dyDescent="0.2">
      <c r="A6925" s="247"/>
      <c r="B6925" s="316"/>
      <c r="C6925" s="247"/>
      <c r="D6925" s="317"/>
      <c r="E6925" s="318"/>
      <c r="F6925" s="247"/>
      <c r="G6925" s="247"/>
      <c r="H6925" s="248"/>
      <c r="I6925" s="248"/>
      <c r="J6925" s="247"/>
      <c r="K6925" s="249"/>
    </row>
    <row r="6926" spans="1:11" s="90" customFormat="1" ht="12.75" customHeight="1" x14ac:dyDescent="0.2">
      <c r="A6926" s="247"/>
      <c r="B6926" s="316"/>
      <c r="C6926" s="247"/>
      <c r="D6926" s="317"/>
      <c r="E6926" s="318"/>
      <c r="F6926" s="247"/>
      <c r="G6926" s="247"/>
      <c r="H6926" s="248"/>
      <c r="I6926" s="248"/>
      <c r="J6926" s="247"/>
      <c r="K6926" s="249"/>
    </row>
    <row r="6927" spans="1:11" s="90" customFormat="1" ht="12.75" customHeight="1" x14ac:dyDescent="0.2">
      <c r="A6927" s="247"/>
      <c r="B6927" s="316"/>
      <c r="C6927" s="247"/>
      <c r="D6927" s="317"/>
      <c r="E6927" s="318"/>
      <c r="F6927" s="247"/>
      <c r="G6927" s="247"/>
      <c r="H6927" s="248"/>
      <c r="I6927" s="248"/>
      <c r="J6927" s="247"/>
      <c r="K6927" s="249"/>
    </row>
    <row r="6928" spans="1:11" s="90" customFormat="1" ht="12.75" customHeight="1" x14ac:dyDescent="0.2">
      <c r="A6928" s="247"/>
      <c r="B6928" s="316"/>
      <c r="C6928" s="247"/>
      <c r="D6928" s="317"/>
      <c r="E6928" s="318"/>
      <c r="F6928" s="247"/>
      <c r="G6928" s="247"/>
      <c r="H6928" s="248"/>
      <c r="I6928" s="248"/>
      <c r="J6928" s="247"/>
      <c r="K6928" s="249"/>
    </row>
    <row r="6929" spans="1:11" s="90" customFormat="1" ht="12.75" customHeight="1" x14ac:dyDescent="0.2">
      <c r="A6929" s="247"/>
      <c r="B6929" s="316"/>
      <c r="C6929" s="247"/>
      <c r="D6929" s="317"/>
      <c r="E6929" s="318"/>
      <c r="F6929" s="247"/>
      <c r="G6929" s="247"/>
      <c r="H6929" s="248"/>
      <c r="I6929" s="248"/>
      <c r="J6929" s="247"/>
      <c r="K6929" s="249"/>
    </row>
    <row r="6930" spans="1:11" s="90" customFormat="1" ht="12.75" customHeight="1" x14ac:dyDescent="0.2">
      <c r="A6930" s="247"/>
      <c r="B6930" s="316"/>
      <c r="C6930" s="247"/>
      <c r="D6930" s="317"/>
      <c r="E6930" s="318"/>
      <c r="F6930" s="247"/>
      <c r="G6930" s="247"/>
      <c r="H6930" s="248"/>
      <c r="I6930" s="248"/>
      <c r="J6930" s="247"/>
      <c r="K6930" s="249"/>
    </row>
    <row r="6931" spans="1:11" s="90" customFormat="1" ht="12.75" customHeight="1" x14ac:dyDescent="0.2">
      <c r="A6931" s="247"/>
      <c r="B6931" s="316"/>
      <c r="C6931" s="247"/>
      <c r="D6931" s="317"/>
      <c r="E6931" s="318"/>
      <c r="F6931" s="247"/>
      <c r="G6931" s="247"/>
      <c r="H6931" s="248"/>
      <c r="I6931" s="248"/>
      <c r="J6931" s="247"/>
      <c r="K6931" s="249"/>
    </row>
    <row r="6932" spans="1:11" s="90" customFormat="1" ht="12.75" customHeight="1" x14ac:dyDescent="0.2">
      <c r="A6932" s="247"/>
      <c r="B6932" s="316"/>
      <c r="C6932" s="247"/>
      <c r="D6932" s="317"/>
      <c r="E6932" s="318"/>
      <c r="F6932" s="247"/>
      <c r="G6932" s="247"/>
      <c r="H6932" s="248"/>
      <c r="I6932" s="248"/>
      <c r="J6932" s="247"/>
      <c r="K6932" s="249"/>
    </row>
    <row r="6933" spans="1:11" s="90" customFormat="1" ht="12.75" customHeight="1" x14ac:dyDescent="0.2">
      <c r="A6933" s="247"/>
      <c r="B6933" s="316"/>
      <c r="C6933" s="247"/>
      <c r="D6933" s="317"/>
      <c r="E6933" s="318"/>
      <c r="F6933" s="247"/>
      <c r="G6933" s="247"/>
      <c r="H6933" s="248"/>
      <c r="I6933" s="248"/>
      <c r="J6933" s="247"/>
      <c r="K6933" s="249"/>
    </row>
    <row r="6934" spans="1:11" s="90" customFormat="1" ht="12.75" customHeight="1" x14ac:dyDescent="0.2">
      <c r="A6934" s="247"/>
      <c r="B6934" s="316"/>
      <c r="C6934" s="247"/>
      <c r="D6934" s="317"/>
      <c r="E6934" s="318"/>
      <c r="F6934" s="247"/>
      <c r="G6934" s="247"/>
      <c r="H6934" s="248"/>
      <c r="I6934" s="248"/>
      <c r="J6934" s="247"/>
      <c r="K6934" s="249"/>
    </row>
    <row r="6935" spans="1:11" s="90" customFormat="1" ht="12.75" customHeight="1" x14ac:dyDescent="0.2">
      <c r="A6935" s="247"/>
      <c r="B6935" s="316"/>
      <c r="C6935" s="247"/>
      <c r="D6935" s="317"/>
      <c r="E6935" s="318"/>
      <c r="F6935" s="247"/>
      <c r="G6935" s="247"/>
      <c r="H6935" s="248"/>
      <c r="I6935" s="248"/>
      <c r="J6935" s="247"/>
      <c r="K6935" s="249"/>
    </row>
    <row r="6936" spans="1:11" s="90" customFormat="1" ht="12.75" customHeight="1" x14ac:dyDescent="0.2">
      <c r="A6936" s="247"/>
      <c r="B6936" s="316"/>
      <c r="C6936" s="247"/>
      <c r="D6936" s="317"/>
      <c r="E6936" s="318"/>
      <c r="F6936" s="247"/>
      <c r="G6936" s="247"/>
      <c r="H6936" s="248"/>
      <c r="I6936" s="248"/>
      <c r="J6936" s="247"/>
      <c r="K6936" s="249"/>
    </row>
    <row r="6937" spans="1:11" s="90" customFormat="1" ht="12.75" customHeight="1" x14ac:dyDescent="0.2">
      <c r="A6937" s="247"/>
      <c r="B6937" s="316"/>
      <c r="C6937" s="247"/>
      <c r="D6937" s="317"/>
      <c r="E6937" s="318"/>
      <c r="F6937" s="247"/>
      <c r="G6937" s="247"/>
      <c r="H6937" s="248"/>
      <c r="I6937" s="248"/>
      <c r="J6937" s="247"/>
      <c r="K6937" s="249"/>
    </row>
    <row r="6938" spans="1:11" s="90" customFormat="1" ht="12.75" customHeight="1" x14ac:dyDescent="0.2">
      <c r="A6938" s="247"/>
      <c r="B6938" s="316"/>
      <c r="C6938" s="247"/>
      <c r="D6938" s="317"/>
      <c r="E6938" s="318"/>
      <c r="F6938" s="247"/>
      <c r="G6938" s="247"/>
      <c r="H6938" s="248"/>
      <c r="I6938" s="248"/>
      <c r="J6938" s="247"/>
      <c r="K6938" s="249"/>
    </row>
    <row r="6939" spans="1:11" s="90" customFormat="1" ht="12.75" customHeight="1" x14ac:dyDescent="0.2">
      <c r="A6939" s="247"/>
      <c r="B6939" s="316"/>
      <c r="C6939" s="247"/>
      <c r="D6939" s="317"/>
      <c r="E6939" s="318"/>
      <c r="F6939" s="247"/>
      <c r="G6939" s="247"/>
      <c r="H6939" s="248"/>
      <c r="I6939" s="248"/>
      <c r="J6939" s="247"/>
      <c r="K6939" s="249"/>
    </row>
    <row r="6940" spans="1:11" s="90" customFormat="1" ht="12.75" customHeight="1" x14ac:dyDescent="0.2">
      <c r="A6940" s="247"/>
      <c r="B6940" s="316"/>
      <c r="C6940" s="247"/>
      <c r="D6940" s="317"/>
      <c r="E6940" s="318"/>
      <c r="F6940" s="247"/>
      <c r="G6940" s="247"/>
      <c r="H6940" s="248"/>
      <c r="I6940" s="248"/>
      <c r="J6940" s="247"/>
      <c r="K6940" s="249"/>
    </row>
    <row r="6941" spans="1:11" s="90" customFormat="1" ht="12.75" customHeight="1" x14ac:dyDescent="0.2">
      <c r="A6941" s="247"/>
      <c r="B6941" s="316"/>
      <c r="C6941" s="247"/>
      <c r="D6941" s="317"/>
      <c r="E6941" s="318"/>
      <c r="F6941" s="247"/>
      <c r="G6941" s="247"/>
      <c r="H6941" s="248"/>
      <c r="I6941" s="248"/>
      <c r="J6941" s="247"/>
      <c r="K6941" s="249"/>
    </row>
    <row r="6942" spans="1:11" s="90" customFormat="1" ht="12.75" customHeight="1" x14ac:dyDescent="0.2">
      <c r="A6942" s="247"/>
      <c r="B6942" s="316"/>
      <c r="C6942" s="247"/>
      <c r="D6942" s="317"/>
      <c r="E6942" s="318"/>
      <c r="F6942" s="247"/>
      <c r="G6942" s="247"/>
      <c r="H6942" s="248"/>
      <c r="I6942" s="248"/>
      <c r="J6942" s="247"/>
      <c r="K6942" s="249"/>
    </row>
    <row r="6943" spans="1:11" s="90" customFormat="1" ht="12.75" customHeight="1" x14ac:dyDescent="0.2">
      <c r="A6943" s="247"/>
      <c r="B6943" s="316"/>
      <c r="C6943" s="247"/>
      <c r="D6943" s="317"/>
      <c r="E6943" s="318"/>
      <c r="F6943" s="247"/>
      <c r="G6943" s="247"/>
      <c r="H6943" s="248"/>
      <c r="I6943" s="248"/>
      <c r="J6943" s="247"/>
      <c r="K6943" s="249"/>
    </row>
    <row r="6944" spans="1:11" s="90" customFormat="1" ht="12.75" customHeight="1" x14ac:dyDescent="0.2">
      <c r="A6944" s="247"/>
      <c r="B6944" s="316"/>
      <c r="C6944" s="247"/>
      <c r="D6944" s="317"/>
      <c r="E6944" s="318"/>
      <c r="F6944" s="247"/>
      <c r="G6944" s="247"/>
      <c r="H6944" s="248"/>
      <c r="I6944" s="248"/>
      <c r="J6944" s="247"/>
      <c r="K6944" s="249"/>
    </row>
    <row r="6945" spans="1:11" s="90" customFormat="1" ht="12.75" customHeight="1" x14ac:dyDescent="0.2">
      <c r="A6945" s="247"/>
      <c r="B6945" s="316"/>
      <c r="C6945" s="247"/>
      <c r="D6945" s="317"/>
      <c r="E6945" s="318"/>
      <c r="F6945" s="247"/>
      <c r="G6945" s="247"/>
      <c r="H6945" s="248"/>
      <c r="I6945" s="248"/>
      <c r="J6945" s="247"/>
      <c r="K6945" s="249"/>
    </row>
    <row r="6946" spans="1:11" s="90" customFormat="1" ht="12.75" customHeight="1" x14ac:dyDescent="0.2">
      <c r="A6946" s="247"/>
      <c r="B6946" s="316"/>
      <c r="C6946" s="247"/>
      <c r="D6946" s="317"/>
      <c r="E6946" s="318"/>
      <c r="F6946" s="247"/>
      <c r="G6946" s="247"/>
      <c r="H6946" s="248"/>
      <c r="I6946" s="248"/>
      <c r="J6946" s="247"/>
      <c r="K6946" s="249"/>
    </row>
    <row r="6947" spans="1:11" s="90" customFormat="1" ht="12.75" customHeight="1" x14ac:dyDescent="0.2">
      <c r="A6947" s="247"/>
      <c r="B6947" s="316"/>
      <c r="C6947" s="247"/>
      <c r="D6947" s="317"/>
      <c r="E6947" s="318"/>
      <c r="F6947" s="247"/>
      <c r="G6947" s="247"/>
      <c r="H6947" s="248"/>
      <c r="I6947" s="248"/>
      <c r="J6947" s="247"/>
      <c r="K6947" s="249"/>
    </row>
    <row r="6948" spans="1:11" s="90" customFormat="1" ht="12.75" customHeight="1" x14ac:dyDescent="0.2">
      <c r="A6948" s="247"/>
      <c r="B6948" s="316"/>
      <c r="C6948" s="247"/>
      <c r="D6948" s="317"/>
      <c r="E6948" s="318"/>
      <c r="F6948" s="247"/>
      <c r="G6948" s="247"/>
      <c r="H6948" s="248"/>
      <c r="I6948" s="248"/>
      <c r="J6948" s="247"/>
      <c r="K6948" s="249"/>
    </row>
    <row r="6949" spans="1:11" s="90" customFormat="1" ht="12.75" customHeight="1" x14ac:dyDescent="0.2">
      <c r="A6949" s="247"/>
      <c r="B6949" s="316"/>
      <c r="C6949" s="247"/>
      <c r="D6949" s="317"/>
      <c r="E6949" s="318"/>
      <c r="F6949" s="247"/>
      <c r="G6949" s="247"/>
      <c r="H6949" s="248"/>
      <c r="I6949" s="248"/>
      <c r="J6949" s="247"/>
      <c r="K6949" s="249"/>
    </row>
    <row r="6950" spans="1:11" s="90" customFormat="1" ht="12.75" customHeight="1" x14ac:dyDescent="0.2">
      <c r="A6950" s="247"/>
      <c r="B6950" s="316"/>
      <c r="C6950" s="247"/>
      <c r="D6950" s="317"/>
      <c r="E6950" s="318"/>
      <c r="F6950" s="247"/>
      <c r="G6950" s="247"/>
      <c r="H6950" s="248"/>
      <c r="I6950" s="248"/>
      <c r="J6950" s="247"/>
      <c r="K6950" s="249"/>
    </row>
    <row r="6951" spans="1:11" s="90" customFormat="1" ht="12.75" customHeight="1" x14ac:dyDescent="0.2">
      <c r="A6951" s="247"/>
      <c r="B6951" s="316"/>
      <c r="C6951" s="247"/>
      <c r="D6951" s="317"/>
      <c r="E6951" s="318"/>
      <c r="F6951" s="247"/>
      <c r="G6951" s="247"/>
      <c r="H6951" s="248"/>
      <c r="I6951" s="248"/>
      <c r="J6951" s="247"/>
      <c r="K6951" s="249"/>
    </row>
    <row r="6952" spans="1:11" s="90" customFormat="1" ht="12.75" customHeight="1" x14ac:dyDescent="0.2">
      <c r="A6952" s="247"/>
      <c r="B6952" s="316"/>
      <c r="C6952" s="247"/>
      <c r="D6952" s="317"/>
      <c r="E6952" s="318"/>
      <c r="F6952" s="247"/>
      <c r="G6952" s="247"/>
      <c r="H6952" s="248"/>
      <c r="I6952" s="248"/>
      <c r="J6952" s="247"/>
      <c r="K6952" s="249"/>
    </row>
    <row r="6953" spans="1:11" s="90" customFormat="1" ht="12.75" customHeight="1" x14ac:dyDescent="0.2">
      <c r="A6953" s="247"/>
      <c r="B6953" s="316"/>
      <c r="C6953" s="247"/>
      <c r="D6953" s="317"/>
      <c r="E6953" s="318"/>
      <c r="F6953" s="247"/>
      <c r="G6953" s="247"/>
      <c r="H6953" s="248"/>
      <c r="I6953" s="248"/>
      <c r="J6953" s="247"/>
      <c r="K6953" s="249"/>
    </row>
    <row r="6954" spans="1:11" s="90" customFormat="1" ht="12.75" customHeight="1" x14ac:dyDescent="0.2">
      <c r="A6954" s="247"/>
      <c r="B6954" s="316"/>
      <c r="C6954" s="247"/>
      <c r="D6954" s="317"/>
      <c r="E6954" s="318"/>
      <c r="F6954" s="247"/>
      <c r="G6954" s="247"/>
      <c r="H6954" s="248"/>
      <c r="I6954" s="248"/>
      <c r="J6954" s="247"/>
      <c r="K6954" s="249"/>
    </row>
    <row r="6955" spans="1:11" s="90" customFormat="1" ht="12.75" customHeight="1" x14ac:dyDescent="0.2">
      <c r="A6955" s="247"/>
      <c r="B6955" s="316"/>
      <c r="C6955" s="247"/>
      <c r="D6955" s="317"/>
      <c r="E6955" s="318"/>
      <c r="F6955" s="247"/>
      <c r="G6955" s="247"/>
      <c r="H6955" s="248"/>
      <c r="I6955" s="248"/>
      <c r="J6955" s="247"/>
      <c r="K6955" s="249"/>
    </row>
    <row r="6956" spans="1:11" s="90" customFormat="1" ht="12.75" customHeight="1" x14ac:dyDescent="0.2">
      <c r="A6956" s="247"/>
      <c r="B6956" s="316"/>
      <c r="C6956" s="247"/>
      <c r="D6956" s="317"/>
      <c r="E6956" s="318"/>
      <c r="F6956" s="247"/>
      <c r="G6956" s="247"/>
      <c r="H6956" s="248"/>
      <c r="I6956" s="248"/>
      <c r="J6956" s="247"/>
      <c r="K6956" s="249"/>
    </row>
    <row r="6957" spans="1:11" s="90" customFormat="1" ht="12.75" customHeight="1" x14ac:dyDescent="0.2">
      <c r="A6957" s="247"/>
      <c r="B6957" s="316"/>
      <c r="C6957" s="247"/>
      <c r="D6957" s="317"/>
      <c r="E6957" s="318"/>
      <c r="F6957" s="247"/>
      <c r="G6957" s="247"/>
      <c r="H6957" s="248"/>
      <c r="I6957" s="248"/>
      <c r="J6957" s="247"/>
      <c r="K6957" s="249"/>
    </row>
    <row r="6958" spans="1:11" s="90" customFormat="1" ht="12.75" customHeight="1" x14ac:dyDescent="0.2">
      <c r="A6958" s="247"/>
      <c r="B6958" s="316"/>
      <c r="C6958" s="247"/>
      <c r="D6958" s="317"/>
      <c r="E6958" s="318"/>
      <c r="F6958" s="247"/>
      <c r="G6958" s="247"/>
      <c r="H6958" s="248"/>
      <c r="I6958" s="248"/>
      <c r="J6958" s="247"/>
      <c r="K6958" s="249"/>
    </row>
    <row r="6959" spans="1:11" s="90" customFormat="1" ht="12.75" customHeight="1" x14ac:dyDescent="0.2">
      <c r="A6959" s="247"/>
      <c r="B6959" s="316"/>
      <c r="C6959" s="247"/>
      <c r="D6959" s="317"/>
      <c r="E6959" s="318"/>
      <c r="F6959" s="247"/>
      <c r="G6959" s="247"/>
      <c r="H6959" s="248"/>
      <c r="I6959" s="248"/>
      <c r="J6959" s="247"/>
      <c r="K6959" s="249"/>
    </row>
    <row r="6960" spans="1:11" s="90" customFormat="1" ht="12.75" customHeight="1" x14ac:dyDescent="0.2">
      <c r="A6960" s="247"/>
      <c r="B6960" s="316"/>
      <c r="C6960" s="247"/>
      <c r="D6960" s="317"/>
      <c r="E6960" s="318"/>
      <c r="F6960" s="247"/>
      <c r="G6960" s="247"/>
      <c r="H6960" s="248"/>
      <c r="I6960" s="248"/>
      <c r="J6960" s="247"/>
      <c r="K6960" s="249"/>
    </row>
    <row r="6961" spans="1:11" s="90" customFormat="1" ht="12.75" customHeight="1" x14ac:dyDescent="0.2">
      <c r="A6961" s="247"/>
      <c r="B6961" s="316"/>
      <c r="C6961" s="247"/>
      <c r="D6961" s="317"/>
      <c r="E6961" s="318"/>
      <c r="F6961" s="247"/>
      <c r="G6961" s="247"/>
      <c r="H6961" s="248"/>
      <c r="I6961" s="248"/>
      <c r="J6961" s="247"/>
      <c r="K6961" s="249"/>
    </row>
    <row r="6962" spans="1:11" s="90" customFormat="1" ht="12.75" customHeight="1" x14ac:dyDescent="0.2">
      <c r="A6962" s="247"/>
      <c r="B6962" s="316"/>
      <c r="C6962" s="247"/>
      <c r="D6962" s="317"/>
      <c r="E6962" s="318"/>
      <c r="F6962" s="247"/>
      <c r="G6962" s="247"/>
      <c r="H6962" s="248"/>
      <c r="I6962" s="248"/>
      <c r="J6962" s="247"/>
      <c r="K6962" s="249"/>
    </row>
    <row r="6963" spans="1:11" s="90" customFormat="1" ht="12.75" customHeight="1" x14ac:dyDescent="0.2">
      <c r="A6963" s="247"/>
      <c r="B6963" s="316"/>
      <c r="C6963" s="247"/>
      <c r="D6963" s="317"/>
      <c r="E6963" s="318"/>
      <c r="F6963" s="247"/>
      <c r="G6963" s="247"/>
      <c r="H6963" s="248"/>
      <c r="I6963" s="248"/>
      <c r="J6963" s="247"/>
      <c r="K6963" s="249"/>
    </row>
    <row r="6964" spans="1:11" s="90" customFormat="1" ht="12.75" customHeight="1" x14ac:dyDescent="0.2">
      <c r="A6964" s="247"/>
      <c r="B6964" s="316"/>
      <c r="C6964" s="247"/>
      <c r="D6964" s="317"/>
      <c r="E6964" s="318"/>
      <c r="F6964" s="247"/>
      <c r="G6964" s="247"/>
      <c r="H6964" s="248"/>
      <c r="I6964" s="248"/>
      <c r="J6964" s="247"/>
      <c r="K6964" s="249"/>
    </row>
    <row r="6965" spans="1:11" s="90" customFormat="1" ht="12.75" customHeight="1" x14ac:dyDescent="0.2">
      <c r="A6965" s="247"/>
      <c r="B6965" s="316"/>
      <c r="C6965" s="247"/>
      <c r="D6965" s="317"/>
      <c r="E6965" s="318"/>
      <c r="F6965" s="247"/>
      <c r="G6965" s="247"/>
      <c r="H6965" s="248"/>
      <c r="I6965" s="248"/>
      <c r="J6965" s="247"/>
      <c r="K6965" s="249"/>
    </row>
    <row r="6966" spans="1:11" s="90" customFormat="1" ht="12.75" customHeight="1" x14ac:dyDescent="0.2">
      <c r="A6966" s="247"/>
      <c r="B6966" s="316"/>
      <c r="C6966" s="247"/>
      <c r="D6966" s="317"/>
      <c r="E6966" s="318"/>
      <c r="F6966" s="247"/>
      <c r="G6966" s="247"/>
      <c r="H6966" s="248"/>
      <c r="I6966" s="248"/>
      <c r="J6966" s="247"/>
      <c r="K6966" s="249"/>
    </row>
    <row r="6967" spans="1:11" s="90" customFormat="1" ht="12.75" customHeight="1" x14ac:dyDescent="0.2">
      <c r="A6967" s="247"/>
      <c r="B6967" s="316"/>
      <c r="C6967" s="247"/>
      <c r="D6967" s="317"/>
      <c r="E6967" s="318"/>
      <c r="F6967" s="247"/>
      <c r="G6967" s="247"/>
      <c r="H6967" s="248"/>
      <c r="I6967" s="248"/>
      <c r="J6967" s="247"/>
      <c r="K6967" s="249"/>
    </row>
    <row r="6968" spans="1:11" s="90" customFormat="1" ht="12.75" customHeight="1" x14ac:dyDescent="0.2">
      <c r="A6968" s="247"/>
      <c r="B6968" s="316"/>
      <c r="C6968" s="247"/>
      <c r="D6968" s="317"/>
      <c r="E6968" s="318"/>
      <c r="F6968" s="247"/>
      <c r="G6968" s="247"/>
      <c r="H6968" s="248"/>
      <c r="I6968" s="248"/>
      <c r="J6968" s="247"/>
      <c r="K6968" s="249"/>
    </row>
    <row r="6969" spans="1:11" s="90" customFormat="1" ht="12.75" customHeight="1" x14ac:dyDescent="0.2">
      <c r="A6969" s="247"/>
      <c r="B6969" s="316"/>
      <c r="C6969" s="247"/>
      <c r="D6969" s="317"/>
      <c r="E6969" s="318"/>
      <c r="F6969" s="247"/>
      <c r="G6969" s="247"/>
      <c r="H6969" s="248"/>
      <c r="I6969" s="248"/>
      <c r="J6969" s="247"/>
      <c r="K6969" s="249"/>
    </row>
    <row r="6970" spans="1:11" s="90" customFormat="1" ht="12.75" customHeight="1" x14ac:dyDescent="0.2">
      <c r="A6970" s="247"/>
      <c r="B6970" s="316"/>
      <c r="C6970" s="247"/>
      <c r="D6970" s="317"/>
      <c r="E6970" s="318"/>
      <c r="F6970" s="247"/>
      <c r="G6970" s="247"/>
      <c r="H6970" s="248"/>
      <c r="I6970" s="248"/>
      <c r="J6970" s="247"/>
      <c r="K6970" s="249"/>
    </row>
    <row r="6971" spans="1:11" s="90" customFormat="1" ht="12.75" customHeight="1" x14ac:dyDescent="0.2">
      <c r="A6971" s="247"/>
      <c r="B6971" s="316"/>
      <c r="C6971" s="247"/>
      <c r="D6971" s="317"/>
      <c r="E6971" s="318"/>
      <c r="F6971" s="247"/>
      <c r="G6971" s="247"/>
      <c r="H6971" s="248"/>
      <c r="I6971" s="248"/>
      <c r="J6971" s="247"/>
      <c r="K6971" s="249"/>
    </row>
    <row r="6972" spans="1:11" s="90" customFormat="1" ht="12.75" customHeight="1" x14ac:dyDescent="0.2">
      <c r="A6972" s="247"/>
      <c r="B6972" s="316"/>
      <c r="C6972" s="247"/>
      <c r="D6972" s="317"/>
      <c r="E6972" s="318"/>
      <c r="F6972" s="247"/>
      <c r="G6972" s="247"/>
      <c r="H6972" s="248"/>
      <c r="I6972" s="248"/>
      <c r="J6972" s="247"/>
      <c r="K6972" s="249"/>
    </row>
    <row r="6973" spans="1:11" s="90" customFormat="1" ht="12.75" customHeight="1" x14ac:dyDescent="0.2">
      <c r="A6973" s="247"/>
      <c r="B6973" s="316"/>
      <c r="C6973" s="247"/>
      <c r="D6973" s="317"/>
      <c r="E6973" s="318"/>
      <c r="F6973" s="247"/>
      <c r="G6973" s="247"/>
      <c r="H6973" s="248"/>
      <c r="I6973" s="248"/>
      <c r="J6973" s="247"/>
      <c r="K6973" s="249"/>
    </row>
    <row r="6974" spans="1:11" s="90" customFormat="1" ht="12.75" customHeight="1" x14ac:dyDescent="0.2">
      <c r="A6974" s="247"/>
      <c r="B6974" s="316"/>
      <c r="C6974" s="247"/>
      <c r="D6974" s="317"/>
      <c r="E6974" s="318"/>
      <c r="F6974" s="247"/>
      <c r="G6974" s="247"/>
      <c r="H6974" s="248"/>
      <c r="I6974" s="248"/>
      <c r="J6974" s="247"/>
      <c r="K6974" s="249"/>
    </row>
    <row r="6975" spans="1:11" s="90" customFormat="1" ht="12.75" customHeight="1" x14ac:dyDescent="0.2">
      <c r="A6975" s="247"/>
      <c r="B6975" s="316"/>
      <c r="C6975" s="247"/>
      <c r="D6975" s="317"/>
      <c r="E6975" s="318"/>
      <c r="F6975" s="247"/>
      <c r="G6975" s="247"/>
      <c r="H6975" s="248"/>
      <c r="I6975" s="248"/>
      <c r="J6975" s="247"/>
      <c r="K6975" s="249"/>
    </row>
    <row r="6976" spans="1:11" s="90" customFormat="1" ht="12.75" customHeight="1" x14ac:dyDescent="0.2">
      <c r="A6976" s="247"/>
      <c r="B6976" s="316"/>
      <c r="C6976" s="247"/>
      <c r="D6976" s="317"/>
      <c r="E6976" s="318"/>
      <c r="F6976" s="247"/>
      <c r="G6976" s="247"/>
      <c r="H6976" s="248"/>
      <c r="I6976" s="248"/>
      <c r="J6976" s="247"/>
      <c r="K6976" s="249"/>
    </row>
    <row r="6977" spans="1:11" s="90" customFormat="1" ht="12.75" customHeight="1" x14ac:dyDescent="0.2">
      <c r="A6977" s="247"/>
      <c r="B6977" s="316"/>
      <c r="C6977" s="247"/>
      <c r="D6977" s="317"/>
      <c r="E6977" s="318"/>
      <c r="F6977" s="247"/>
      <c r="G6977" s="247"/>
      <c r="H6977" s="248"/>
      <c r="I6977" s="248"/>
      <c r="J6977" s="247"/>
      <c r="K6977" s="249"/>
    </row>
    <row r="6978" spans="1:11" s="90" customFormat="1" ht="12.75" customHeight="1" x14ac:dyDescent="0.2">
      <c r="A6978" s="247"/>
      <c r="B6978" s="316"/>
      <c r="C6978" s="247"/>
      <c r="D6978" s="317"/>
      <c r="E6978" s="318"/>
      <c r="F6978" s="247"/>
      <c r="G6978" s="247"/>
      <c r="H6978" s="248"/>
      <c r="I6978" s="248"/>
      <c r="J6978" s="247"/>
      <c r="K6978" s="249"/>
    </row>
    <row r="6979" spans="1:11" s="90" customFormat="1" ht="12.75" customHeight="1" x14ac:dyDescent="0.2">
      <c r="A6979" s="247"/>
      <c r="B6979" s="316"/>
      <c r="C6979" s="247"/>
      <c r="D6979" s="317"/>
      <c r="E6979" s="318"/>
      <c r="F6979" s="247"/>
      <c r="G6979" s="247"/>
      <c r="H6979" s="248"/>
      <c r="I6979" s="248"/>
      <c r="J6979" s="247"/>
      <c r="K6979" s="249"/>
    </row>
    <row r="6980" spans="1:11" s="90" customFormat="1" ht="12.75" customHeight="1" x14ac:dyDescent="0.2">
      <c r="A6980" s="247"/>
      <c r="B6980" s="316"/>
      <c r="C6980" s="247"/>
      <c r="D6980" s="317"/>
      <c r="E6980" s="318"/>
      <c r="F6980" s="247"/>
      <c r="G6980" s="247"/>
      <c r="H6980" s="248"/>
      <c r="I6980" s="248"/>
      <c r="J6980" s="247"/>
      <c r="K6980" s="249"/>
    </row>
    <row r="6981" spans="1:11" s="90" customFormat="1" ht="12.75" customHeight="1" x14ac:dyDescent="0.2">
      <c r="A6981" s="247"/>
      <c r="B6981" s="316"/>
      <c r="C6981" s="247"/>
      <c r="D6981" s="317"/>
      <c r="E6981" s="318"/>
      <c r="F6981" s="247"/>
      <c r="G6981" s="247"/>
      <c r="H6981" s="248"/>
      <c r="I6981" s="248"/>
      <c r="J6981" s="247"/>
      <c r="K6981" s="249"/>
    </row>
    <row r="6982" spans="1:11" s="90" customFormat="1" ht="12.75" customHeight="1" x14ac:dyDescent="0.2">
      <c r="A6982" s="247"/>
      <c r="B6982" s="316"/>
      <c r="C6982" s="247"/>
      <c r="D6982" s="317"/>
      <c r="E6982" s="318"/>
      <c r="F6982" s="247"/>
      <c r="G6982" s="247"/>
      <c r="H6982" s="248"/>
      <c r="I6982" s="248"/>
      <c r="J6982" s="247"/>
      <c r="K6982" s="249"/>
    </row>
    <row r="6983" spans="1:11" s="90" customFormat="1" ht="12.75" customHeight="1" x14ac:dyDescent="0.2">
      <c r="A6983" s="247"/>
      <c r="B6983" s="316"/>
      <c r="C6983" s="247"/>
      <c r="D6983" s="317"/>
      <c r="E6983" s="318"/>
      <c r="F6983" s="247"/>
      <c r="G6983" s="247"/>
      <c r="H6983" s="248"/>
      <c r="I6983" s="248"/>
      <c r="J6983" s="247"/>
      <c r="K6983" s="249"/>
    </row>
    <row r="6984" spans="1:11" s="90" customFormat="1" ht="12.75" customHeight="1" x14ac:dyDescent="0.2">
      <c r="A6984" s="247"/>
      <c r="B6984" s="316"/>
      <c r="C6984" s="247"/>
      <c r="D6984" s="317"/>
      <c r="E6984" s="318"/>
      <c r="F6984" s="247"/>
      <c r="G6984" s="247"/>
      <c r="H6984" s="248"/>
      <c r="I6984" s="248"/>
      <c r="J6984" s="247"/>
      <c r="K6984" s="249"/>
    </row>
    <row r="6985" spans="1:11" s="90" customFormat="1" ht="12.75" customHeight="1" x14ac:dyDescent="0.2">
      <c r="A6985" s="247"/>
      <c r="B6985" s="316"/>
      <c r="C6985" s="247"/>
      <c r="D6985" s="317"/>
      <c r="E6985" s="318"/>
      <c r="F6985" s="247"/>
      <c r="G6985" s="247"/>
      <c r="H6985" s="248"/>
      <c r="I6985" s="248"/>
      <c r="J6985" s="247"/>
      <c r="K6985" s="249"/>
    </row>
    <row r="6986" spans="1:11" s="90" customFormat="1" ht="12.75" customHeight="1" x14ac:dyDescent="0.2">
      <c r="A6986" s="247"/>
      <c r="B6986" s="316"/>
      <c r="C6986" s="247"/>
      <c r="D6986" s="317"/>
      <c r="E6986" s="318"/>
      <c r="F6986" s="247"/>
      <c r="G6986" s="247"/>
      <c r="H6986" s="248"/>
      <c r="I6986" s="248"/>
      <c r="J6986" s="247"/>
      <c r="K6986" s="249"/>
    </row>
    <row r="6987" spans="1:11" s="90" customFormat="1" ht="12.75" customHeight="1" x14ac:dyDescent="0.2">
      <c r="A6987" s="247"/>
      <c r="B6987" s="316"/>
      <c r="C6987" s="247"/>
      <c r="D6987" s="317"/>
      <c r="E6987" s="318"/>
      <c r="F6987" s="247"/>
      <c r="G6987" s="247"/>
      <c r="H6987" s="248"/>
      <c r="I6987" s="248"/>
      <c r="J6987" s="247"/>
      <c r="K6987" s="249"/>
    </row>
    <row r="6988" spans="1:11" s="90" customFormat="1" ht="12.75" customHeight="1" x14ac:dyDescent="0.2">
      <c r="A6988" s="247"/>
      <c r="B6988" s="316"/>
      <c r="C6988" s="247"/>
      <c r="D6988" s="317"/>
      <c r="E6988" s="318"/>
      <c r="F6988" s="247"/>
      <c r="G6988" s="247"/>
      <c r="H6988" s="248"/>
      <c r="I6988" s="248"/>
      <c r="J6988" s="247"/>
      <c r="K6988" s="249"/>
    </row>
    <row r="6989" spans="1:11" s="90" customFormat="1" ht="12.75" customHeight="1" x14ac:dyDescent="0.2">
      <c r="A6989" s="247"/>
      <c r="B6989" s="316"/>
      <c r="C6989" s="247"/>
      <c r="D6989" s="317"/>
      <c r="E6989" s="318"/>
      <c r="F6989" s="247"/>
      <c r="G6989" s="247"/>
      <c r="H6989" s="248"/>
      <c r="I6989" s="248"/>
      <c r="J6989" s="247"/>
      <c r="K6989" s="249"/>
    </row>
    <row r="6990" spans="1:11" s="90" customFormat="1" ht="12.75" customHeight="1" x14ac:dyDescent="0.2">
      <c r="A6990" s="247"/>
      <c r="B6990" s="316"/>
      <c r="C6990" s="247"/>
      <c r="D6990" s="317"/>
      <c r="E6990" s="318"/>
      <c r="F6990" s="247"/>
      <c r="G6990" s="247"/>
      <c r="H6990" s="248"/>
      <c r="I6990" s="248"/>
      <c r="J6990" s="247"/>
      <c r="K6990" s="249"/>
    </row>
    <row r="6991" spans="1:11" s="90" customFormat="1" ht="12.75" customHeight="1" x14ac:dyDescent="0.2">
      <c r="A6991" s="247"/>
      <c r="B6991" s="316"/>
      <c r="C6991" s="247"/>
      <c r="D6991" s="317"/>
      <c r="E6991" s="318"/>
      <c r="F6991" s="247"/>
      <c r="G6991" s="247"/>
      <c r="H6991" s="248"/>
      <c r="I6991" s="248"/>
      <c r="J6991" s="247"/>
      <c r="K6991" s="249"/>
    </row>
    <row r="6992" spans="1:11" s="90" customFormat="1" ht="12.75" customHeight="1" x14ac:dyDescent="0.2">
      <c r="A6992" s="247"/>
      <c r="B6992" s="316"/>
      <c r="C6992" s="247"/>
      <c r="D6992" s="317"/>
      <c r="E6992" s="318"/>
      <c r="F6992" s="247"/>
      <c r="G6992" s="247"/>
      <c r="H6992" s="248"/>
      <c r="I6992" s="248"/>
      <c r="J6992" s="247"/>
      <c r="K6992" s="249"/>
    </row>
    <row r="6993" spans="1:11" s="90" customFormat="1" ht="12.75" customHeight="1" x14ac:dyDescent="0.2">
      <c r="A6993" s="247"/>
      <c r="B6993" s="316"/>
      <c r="C6993" s="247"/>
      <c r="D6993" s="317"/>
      <c r="E6993" s="318"/>
      <c r="F6993" s="247"/>
      <c r="G6993" s="247"/>
      <c r="H6993" s="248"/>
      <c r="I6993" s="248"/>
      <c r="J6993" s="247"/>
      <c r="K6993" s="249"/>
    </row>
    <row r="6994" spans="1:11" s="90" customFormat="1" ht="12.75" customHeight="1" x14ac:dyDescent="0.2">
      <c r="A6994" s="247"/>
      <c r="B6994" s="316"/>
      <c r="C6994" s="247"/>
      <c r="D6994" s="317"/>
      <c r="E6994" s="318"/>
      <c r="F6994" s="247"/>
      <c r="G6994" s="247"/>
      <c r="H6994" s="248"/>
      <c r="I6994" s="248"/>
      <c r="J6994" s="247"/>
      <c r="K6994" s="249"/>
    </row>
    <row r="6995" spans="1:11" s="90" customFormat="1" ht="12.75" customHeight="1" x14ac:dyDescent="0.2">
      <c r="A6995" s="247"/>
      <c r="B6995" s="316"/>
      <c r="C6995" s="247"/>
      <c r="D6995" s="317"/>
      <c r="E6995" s="318"/>
      <c r="F6995" s="247"/>
      <c r="G6995" s="247"/>
      <c r="H6995" s="248"/>
      <c r="I6995" s="248"/>
      <c r="J6995" s="247"/>
      <c r="K6995" s="249"/>
    </row>
    <row r="6996" spans="1:11" s="90" customFormat="1" ht="12.75" customHeight="1" x14ac:dyDescent="0.2">
      <c r="A6996" s="247"/>
      <c r="B6996" s="316"/>
      <c r="C6996" s="247"/>
      <c r="D6996" s="317"/>
      <c r="E6996" s="318"/>
      <c r="F6996" s="247"/>
      <c r="G6996" s="247"/>
      <c r="H6996" s="248"/>
      <c r="I6996" s="248"/>
      <c r="J6996" s="247"/>
      <c r="K6996" s="249"/>
    </row>
    <row r="6997" spans="1:11" s="90" customFormat="1" ht="12.75" customHeight="1" x14ac:dyDescent="0.2">
      <c r="A6997" s="247"/>
      <c r="B6997" s="316"/>
      <c r="C6997" s="247"/>
      <c r="D6997" s="317"/>
      <c r="E6997" s="318"/>
      <c r="F6997" s="247"/>
      <c r="G6997" s="247"/>
      <c r="H6997" s="248"/>
      <c r="I6997" s="248"/>
      <c r="J6997" s="247"/>
      <c r="K6997" s="249"/>
    </row>
    <row r="6998" spans="1:11" s="90" customFormat="1" ht="12.75" customHeight="1" x14ac:dyDescent="0.2">
      <c r="A6998" s="247"/>
      <c r="B6998" s="316"/>
      <c r="C6998" s="247"/>
      <c r="D6998" s="317"/>
      <c r="E6998" s="318"/>
      <c r="F6998" s="247"/>
      <c r="G6998" s="247"/>
      <c r="H6998" s="248"/>
      <c r="I6998" s="248"/>
      <c r="J6998" s="247"/>
      <c r="K6998" s="249"/>
    </row>
    <row r="6999" spans="1:11" s="90" customFormat="1" ht="12.75" customHeight="1" x14ac:dyDescent="0.2">
      <c r="A6999" s="247"/>
      <c r="B6999" s="316"/>
      <c r="C6999" s="247"/>
      <c r="D6999" s="317"/>
      <c r="E6999" s="318"/>
      <c r="F6999" s="247"/>
      <c r="G6999" s="247"/>
      <c r="H6999" s="248"/>
      <c r="I6999" s="248"/>
      <c r="J6999" s="247"/>
      <c r="K6999" s="249"/>
    </row>
    <row r="7000" spans="1:11" s="90" customFormat="1" ht="12.75" customHeight="1" x14ac:dyDescent="0.2">
      <c r="A7000" s="247"/>
      <c r="B7000" s="316"/>
      <c r="C7000" s="247"/>
      <c r="D7000" s="317"/>
      <c r="E7000" s="318"/>
      <c r="F7000" s="247"/>
      <c r="G7000" s="247"/>
      <c r="H7000" s="248"/>
      <c r="I7000" s="248"/>
      <c r="J7000" s="247"/>
      <c r="K7000" s="249"/>
    </row>
    <row r="7001" spans="1:11" s="90" customFormat="1" ht="12.75" customHeight="1" x14ac:dyDescent="0.2">
      <c r="A7001" s="247"/>
      <c r="B7001" s="316"/>
      <c r="C7001" s="247"/>
      <c r="D7001" s="317"/>
      <c r="E7001" s="318"/>
      <c r="F7001" s="247"/>
      <c r="G7001" s="247"/>
      <c r="H7001" s="248"/>
      <c r="I7001" s="248"/>
      <c r="J7001" s="247"/>
      <c r="K7001" s="249"/>
    </row>
    <row r="7002" spans="1:11" s="90" customFormat="1" ht="12.75" customHeight="1" x14ac:dyDescent="0.2">
      <c r="A7002" s="247"/>
      <c r="B7002" s="316"/>
      <c r="C7002" s="247"/>
      <c r="D7002" s="317"/>
      <c r="E7002" s="318"/>
      <c r="F7002" s="247"/>
      <c r="G7002" s="247"/>
      <c r="H7002" s="248"/>
      <c r="I7002" s="248"/>
      <c r="J7002" s="247"/>
      <c r="K7002" s="249"/>
    </row>
    <row r="7003" spans="1:11" s="90" customFormat="1" ht="12.75" customHeight="1" x14ac:dyDescent="0.2">
      <c r="A7003" s="247"/>
      <c r="B7003" s="316"/>
      <c r="C7003" s="247"/>
      <c r="D7003" s="317"/>
      <c r="E7003" s="318"/>
      <c r="F7003" s="247"/>
      <c r="G7003" s="247"/>
      <c r="H7003" s="248"/>
      <c r="I7003" s="248"/>
      <c r="J7003" s="247"/>
      <c r="K7003" s="249"/>
    </row>
    <row r="7004" spans="1:11" s="90" customFormat="1" ht="12.75" customHeight="1" x14ac:dyDescent="0.2">
      <c r="A7004" s="247"/>
      <c r="B7004" s="316"/>
      <c r="C7004" s="247"/>
      <c r="D7004" s="317"/>
      <c r="E7004" s="318"/>
      <c r="F7004" s="247"/>
      <c r="G7004" s="247"/>
      <c r="H7004" s="248"/>
      <c r="I7004" s="248"/>
      <c r="J7004" s="247"/>
      <c r="K7004" s="249"/>
    </row>
    <row r="7005" spans="1:11" s="90" customFormat="1" ht="12.75" customHeight="1" x14ac:dyDescent="0.2">
      <c r="A7005" s="247"/>
      <c r="B7005" s="316"/>
      <c r="C7005" s="247"/>
      <c r="D7005" s="317"/>
      <c r="E7005" s="318"/>
      <c r="F7005" s="247"/>
      <c r="G7005" s="247"/>
      <c r="H7005" s="248"/>
      <c r="I7005" s="248"/>
      <c r="J7005" s="247"/>
      <c r="K7005" s="249"/>
    </row>
    <row r="7006" spans="1:11" s="90" customFormat="1" ht="12.75" customHeight="1" x14ac:dyDescent="0.2">
      <c r="A7006" s="247"/>
      <c r="B7006" s="316"/>
      <c r="C7006" s="247"/>
      <c r="D7006" s="317"/>
      <c r="E7006" s="318"/>
      <c r="F7006" s="247"/>
      <c r="G7006" s="247"/>
      <c r="H7006" s="248"/>
      <c r="I7006" s="248"/>
      <c r="J7006" s="247"/>
      <c r="K7006" s="249"/>
    </row>
    <row r="7007" spans="1:11" s="90" customFormat="1" ht="12.75" customHeight="1" x14ac:dyDescent="0.2">
      <c r="A7007" s="247"/>
      <c r="B7007" s="316"/>
      <c r="C7007" s="247"/>
      <c r="D7007" s="317"/>
      <c r="E7007" s="318"/>
      <c r="F7007" s="247"/>
      <c r="G7007" s="247"/>
      <c r="H7007" s="248"/>
      <c r="I7007" s="248"/>
      <c r="J7007" s="247"/>
      <c r="K7007" s="249"/>
    </row>
    <row r="7008" spans="1:11" s="90" customFormat="1" ht="12.75" customHeight="1" x14ac:dyDescent="0.2">
      <c r="A7008" s="247"/>
      <c r="B7008" s="316"/>
      <c r="C7008" s="247"/>
      <c r="D7008" s="317"/>
      <c r="E7008" s="318"/>
      <c r="F7008" s="247"/>
      <c r="G7008" s="247"/>
      <c r="H7008" s="248"/>
      <c r="I7008" s="248"/>
      <c r="J7008" s="247"/>
      <c r="K7008" s="249"/>
    </row>
    <row r="7009" spans="1:11" s="90" customFormat="1" ht="12.75" customHeight="1" x14ac:dyDescent="0.2">
      <c r="A7009" s="247"/>
      <c r="B7009" s="316"/>
      <c r="C7009" s="247"/>
      <c r="D7009" s="317"/>
      <c r="E7009" s="318"/>
      <c r="F7009" s="247"/>
      <c r="G7009" s="247"/>
      <c r="H7009" s="248"/>
      <c r="I7009" s="248"/>
      <c r="J7009" s="247"/>
      <c r="K7009" s="249"/>
    </row>
    <row r="7010" spans="1:11" s="90" customFormat="1" ht="12.75" customHeight="1" x14ac:dyDescent="0.2">
      <c r="A7010" s="247"/>
      <c r="B7010" s="316"/>
      <c r="C7010" s="247"/>
      <c r="D7010" s="317"/>
      <c r="E7010" s="318"/>
      <c r="F7010" s="247"/>
      <c r="G7010" s="247"/>
      <c r="H7010" s="248"/>
      <c r="I7010" s="248"/>
      <c r="J7010" s="247"/>
      <c r="K7010" s="249"/>
    </row>
    <row r="7011" spans="1:11" s="90" customFormat="1" ht="12.75" customHeight="1" x14ac:dyDescent="0.2">
      <c r="A7011" s="247"/>
      <c r="B7011" s="316"/>
      <c r="C7011" s="247"/>
      <c r="D7011" s="317"/>
      <c r="E7011" s="318"/>
      <c r="F7011" s="247"/>
      <c r="G7011" s="247"/>
      <c r="H7011" s="248"/>
      <c r="I7011" s="248"/>
      <c r="J7011" s="247"/>
      <c r="K7011" s="249"/>
    </row>
    <row r="7012" spans="1:11" s="90" customFormat="1" ht="12.75" customHeight="1" x14ac:dyDescent="0.2">
      <c r="A7012" s="247"/>
      <c r="B7012" s="316"/>
      <c r="C7012" s="247"/>
      <c r="D7012" s="317"/>
      <c r="E7012" s="318"/>
      <c r="F7012" s="247"/>
      <c r="G7012" s="247"/>
      <c r="H7012" s="248"/>
      <c r="I7012" s="248"/>
      <c r="J7012" s="247"/>
      <c r="K7012" s="249"/>
    </row>
    <row r="7013" spans="1:11" s="90" customFormat="1" ht="12.75" customHeight="1" x14ac:dyDescent="0.2">
      <c r="A7013" s="247"/>
      <c r="B7013" s="316"/>
      <c r="C7013" s="247"/>
      <c r="D7013" s="317"/>
      <c r="E7013" s="318"/>
      <c r="F7013" s="247"/>
      <c r="G7013" s="247"/>
      <c r="H7013" s="248"/>
      <c r="I7013" s="248"/>
      <c r="J7013" s="247"/>
      <c r="K7013" s="249"/>
    </row>
    <row r="7014" spans="1:11" s="90" customFormat="1" ht="12.75" customHeight="1" x14ac:dyDescent="0.2">
      <c r="A7014" s="247"/>
      <c r="B7014" s="316"/>
      <c r="C7014" s="247"/>
      <c r="D7014" s="317"/>
      <c r="E7014" s="318"/>
      <c r="F7014" s="247"/>
      <c r="G7014" s="247"/>
      <c r="H7014" s="248"/>
      <c r="I7014" s="248"/>
      <c r="J7014" s="247"/>
      <c r="K7014" s="249"/>
    </row>
    <row r="7015" spans="1:11" s="90" customFormat="1" ht="12.75" customHeight="1" x14ac:dyDescent="0.2">
      <c r="A7015" s="247"/>
      <c r="B7015" s="316"/>
      <c r="C7015" s="247"/>
      <c r="D7015" s="317"/>
      <c r="E7015" s="318"/>
      <c r="F7015" s="247"/>
      <c r="G7015" s="247"/>
      <c r="H7015" s="248"/>
      <c r="I7015" s="248"/>
      <c r="J7015" s="247"/>
      <c r="K7015" s="249"/>
    </row>
    <row r="7016" spans="1:11" s="90" customFormat="1" ht="12.75" customHeight="1" x14ac:dyDescent="0.2">
      <c r="A7016" s="247"/>
      <c r="B7016" s="316"/>
      <c r="C7016" s="247"/>
      <c r="D7016" s="317"/>
      <c r="E7016" s="318"/>
      <c r="F7016" s="247"/>
      <c r="G7016" s="247"/>
      <c r="H7016" s="248"/>
      <c r="I7016" s="248"/>
      <c r="J7016" s="247"/>
      <c r="K7016" s="249"/>
    </row>
    <row r="7017" spans="1:11" s="90" customFormat="1" ht="12.75" customHeight="1" x14ac:dyDescent="0.2">
      <c r="A7017" s="247"/>
      <c r="B7017" s="316"/>
      <c r="C7017" s="247"/>
      <c r="D7017" s="317"/>
      <c r="E7017" s="318"/>
      <c r="F7017" s="247"/>
      <c r="G7017" s="247"/>
      <c r="H7017" s="248"/>
      <c r="I7017" s="248"/>
      <c r="J7017" s="247"/>
      <c r="K7017" s="249"/>
    </row>
    <row r="7018" spans="1:11" s="90" customFormat="1" ht="12.75" customHeight="1" x14ac:dyDescent="0.2">
      <c r="A7018" s="247"/>
      <c r="B7018" s="316"/>
      <c r="C7018" s="247"/>
      <c r="D7018" s="317"/>
      <c r="E7018" s="318"/>
      <c r="F7018" s="247"/>
      <c r="G7018" s="247"/>
      <c r="H7018" s="248"/>
      <c r="I7018" s="248"/>
      <c r="J7018" s="247"/>
      <c r="K7018" s="249"/>
    </row>
    <row r="7019" spans="1:11" s="90" customFormat="1" ht="12.75" customHeight="1" x14ac:dyDescent="0.2">
      <c r="A7019" s="247"/>
      <c r="B7019" s="316"/>
      <c r="C7019" s="247"/>
      <c r="D7019" s="317"/>
      <c r="E7019" s="318"/>
      <c r="F7019" s="247"/>
      <c r="G7019" s="247"/>
      <c r="H7019" s="248"/>
      <c r="I7019" s="248"/>
      <c r="J7019" s="247"/>
      <c r="K7019" s="249"/>
    </row>
    <row r="7020" spans="1:11" s="90" customFormat="1" ht="12.75" customHeight="1" x14ac:dyDescent="0.2">
      <c r="A7020" s="247"/>
      <c r="B7020" s="316"/>
      <c r="C7020" s="247"/>
      <c r="D7020" s="317"/>
      <c r="E7020" s="318"/>
      <c r="F7020" s="247"/>
      <c r="G7020" s="247"/>
      <c r="H7020" s="248"/>
      <c r="I7020" s="248"/>
      <c r="J7020" s="247"/>
      <c r="K7020" s="249"/>
    </row>
    <row r="7021" spans="1:11" s="90" customFormat="1" ht="12.75" customHeight="1" x14ac:dyDescent="0.2">
      <c r="A7021" s="247"/>
      <c r="B7021" s="316"/>
      <c r="C7021" s="247"/>
      <c r="D7021" s="317"/>
      <c r="E7021" s="318"/>
      <c r="F7021" s="247"/>
      <c r="G7021" s="247"/>
      <c r="H7021" s="248"/>
      <c r="I7021" s="248"/>
      <c r="J7021" s="247"/>
      <c r="K7021" s="249"/>
    </row>
    <row r="7022" spans="1:11" s="90" customFormat="1" ht="12.75" customHeight="1" x14ac:dyDescent="0.2">
      <c r="A7022" s="247"/>
      <c r="B7022" s="316"/>
      <c r="C7022" s="247"/>
      <c r="D7022" s="317"/>
      <c r="E7022" s="318"/>
      <c r="F7022" s="247"/>
      <c r="G7022" s="247"/>
      <c r="H7022" s="248"/>
      <c r="I7022" s="248"/>
      <c r="J7022" s="247"/>
      <c r="K7022" s="249"/>
    </row>
    <row r="7023" spans="1:11" s="90" customFormat="1" ht="12.75" customHeight="1" x14ac:dyDescent="0.2">
      <c r="A7023" s="247"/>
      <c r="B7023" s="316"/>
      <c r="C7023" s="247"/>
      <c r="D7023" s="317"/>
      <c r="E7023" s="318"/>
      <c r="F7023" s="247"/>
      <c r="G7023" s="247"/>
      <c r="H7023" s="248"/>
      <c r="I7023" s="248"/>
      <c r="J7023" s="247"/>
      <c r="K7023" s="249"/>
    </row>
    <row r="7024" spans="1:11" s="90" customFormat="1" ht="12.75" customHeight="1" x14ac:dyDescent="0.2">
      <c r="A7024" s="247"/>
      <c r="B7024" s="316"/>
      <c r="C7024" s="247"/>
      <c r="D7024" s="317"/>
      <c r="E7024" s="318"/>
      <c r="F7024" s="247"/>
      <c r="G7024" s="247"/>
      <c r="H7024" s="248"/>
      <c r="I7024" s="248"/>
      <c r="J7024" s="247"/>
      <c r="K7024" s="249"/>
    </row>
    <row r="7025" spans="1:11" s="90" customFormat="1" ht="12.75" customHeight="1" x14ac:dyDescent="0.2">
      <c r="A7025" s="247"/>
      <c r="B7025" s="316"/>
      <c r="C7025" s="247"/>
      <c r="D7025" s="317"/>
      <c r="E7025" s="318"/>
      <c r="F7025" s="247"/>
      <c r="G7025" s="247"/>
      <c r="H7025" s="248"/>
      <c r="I7025" s="248"/>
      <c r="J7025" s="247"/>
      <c r="K7025" s="249"/>
    </row>
    <row r="7026" spans="1:11" s="90" customFormat="1" ht="12.75" customHeight="1" x14ac:dyDescent="0.2">
      <c r="A7026" s="247"/>
      <c r="B7026" s="316"/>
      <c r="C7026" s="247"/>
      <c r="D7026" s="317"/>
      <c r="E7026" s="318"/>
      <c r="F7026" s="247"/>
      <c r="G7026" s="247"/>
      <c r="H7026" s="248"/>
      <c r="I7026" s="248"/>
      <c r="J7026" s="247"/>
      <c r="K7026" s="249"/>
    </row>
    <row r="7027" spans="1:11" s="90" customFormat="1" ht="12.75" customHeight="1" x14ac:dyDescent="0.2">
      <c r="A7027" s="247"/>
      <c r="B7027" s="316"/>
      <c r="C7027" s="247"/>
      <c r="D7027" s="317"/>
      <c r="E7027" s="318"/>
      <c r="F7027" s="247"/>
      <c r="G7027" s="247"/>
      <c r="H7027" s="248"/>
      <c r="I7027" s="248"/>
      <c r="J7027" s="247"/>
      <c r="K7027" s="249"/>
    </row>
    <row r="7028" spans="1:11" s="90" customFormat="1" ht="12.75" customHeight="1" x14ac:dyDescent="0.2">
      <c r="A7028" s="247"/>
      <c r="B7028" s="316"/>
      <c r="C7028" s="247"/>
      <c r="D7028" s="317"/>
      <c r="E7028" s="318"/>
      <c r="F7028" s="247"/>
      <c r="G7028" s="247"/>
      <c r="H7028" s="248"/>
      <c r="I7028" s="248"/>
      <c r="J7028" s="247"/>
      <c r="K7028" s="249"/>
    </row>
    <row r="7029" spans="1:11" s="90" customFormat="1" ht="12.75" customHeight="1" x14ac:dyDescent="0.2">
      <c r="A7029" s="247"/>
      <c r="B7029" s="316"/>
      <c r="C7029" s="247"/>
      <c r="D7029" s="317"/>
      <c r="E7029" s="318"/>
      <c r="F7029" s="247"/>
      <c r="G7029" s="247"/>
      <c r="H7029" s="248"/>
      <c r="I7029" s="248"/>
      <c r="J7029" s="247"/>
      <c r="K7029" s="249"/>
    </row>
    <row r="7030" spans="1:11" s="90" customFormat="1" ht="12.75" customHeight="1" x14ac:dyDescent="0.2">
      <c r="A7030" s="247"/>
      <c r="B7030" s="316"/>
      <c r="C7030" s="247"/>
      <c r="D7030" s="317"/>
      <c r="E7030" s="318"/>
      <c r="F7030" s="247"/>
      <c r="G7030" s="247"/>
      <c r="H7030" s="248"/>
      <c r="I7030" s="248"/>
      <c r="J7030" s="247"/>
      <c r="K7030" s="249"/>
    </row>
    <row r="7031" spans="1:11" s="90" customFormat="1" ht="12.75" customHeight="1" x14ac:dyDescent="0.2">
      <c r="A7031" s="247"/>
      <c r="B7031" s="316"/>
      <c r="C7031" s="247"/>
      <c r="D7031" s="317"/>
      <c r="E7031" s="318"/>
      <c r="F7031" s="247"/>
      <c r="G7031" s="247"/>
      <c r="H7031" s="248"/>
      <c r="I7031" s="248"/>
      <c r="J7031" s="247"/>
      <c r="K7031" s="249"/>
    </row>
    <row r="7032" spans="1:11" s="90" customFormat="1" ht="12.75" customHeight="1" x14ac:dyDescent="0.2">
      <c r="A7032" s="247"/>
      <c r="B7032" s="316"/>
      <c r="C7032" s="247"/>
      <c r="D7032" s="317"/>
      <c r="E7032" s="318"/>
      <c r="F7032" s="247"/>
      <c r="G7032" s="247"/>
      <c r="H7032" s="248"/>
      <c r="I7032" s="248"/>
      <c r="J7032" s="247"/>
      <c r="K7032" s="249"/>
    </row>
    <row r="7033" spans="1:11" s="90" customFormat="1" ht="12.75" customHeight="1" x14ac:dyDescent="0.2">
      <c r="A7033" s="247"/>
      <c r="B7033" s="316"/>
      <c r="C7033" s="247"/>
      <c r="D7033" s="317"/>
      <c r="E7033" s="318"/>
      <c r="F7033" s="247"/>
      <c r="G7033" s="247"/>
      <c r="H7033" s="248"/>
      <c r="I7033" s="248"/>
      <c r="J7033" s="247"/>
      <c r="K7033" s="249"/>
    </row>
    <row r="7034" spans="1:11" s="90" customFormat="1" ht="12.75" customHeight="1" x14ac:dyDescent="0.2">
      <c r="A7034" s="247"/>
      <c r="B7034" s="316"/>
      <c r="C7034" s="247"/>
      <c r="D7034" s="317"/>
      <c r="E7034" s="318"/>
      <c r="F7034" s="247"/>
      <c r="G7034" s="247"/>
      <c r="H7034" s="248"/>
      <c r="I7034" s="248"/>
      <c r="J7034" s="247"/>
      <c r="K7034" s="249"/>
    </row>
    <row r="7035" spans="1:11" s="90" customFormat="1" ht="12.75" customHeight="1" x14ac:dyDescent="0.2">
      <c r="A7035" s="247"/>
      <c r="B7035" s="316"/>
      <c r="C7035" s="247"/>
      <c r="D7035" s="317"/>
      <c r="E7035" s="318"/>
      <c r="F7035" s="247"/>
      <c r="G7035" s="247"/>
      <c r="H7035" s="248"/>
      <c r="I7035" s="248"/>
      <c r="J7035" s="247"/>
      <c r="K7035" s="249"/>
    </row>
    <row r="7036" spans="1:11" s="90" customFormat="1" ht="12.75" customHeight="1" x14ac:dyDescent="0.2">
      <c r="A7036" s="247"/>
      <c r="B7036" s="316"/>
      <c r="C7036" s="247"/>
      <c r="D7036" s="317"/>
      <c r="E7036" s="318"/>
      <c r="F7036" s="247"/>
      <c r="G7036" s="247"/>
      <c r="H7036" s="248"/>
      <c r="I7036" s="248"/>
      <c r="J7036" s="247"/>
      <c r="K7036" s="249"/>
    </row>
    <row r="7037" spans="1:11" s="90" customFormat="1" ht="12.75" customHeight="1" x14ac:dyDescent="0.2">
      <c r="A7037" s="247"/>
      <c r="B7037" s="316"/>
      <c r="C7037" s="247"/>
      <c r="D7037" s="317"/>
      <c r="E7037" s="318"/>
      <c r="F7037" s="247"/>
      <c r="G7037" s="247"/>
      <c r="H7037" s="248"/>
      <c r="I7037" s="248"/>
      <c r="J7037" s="247"/>
      <c r="K7037" s="249"/>
    </row>
    <row r="7038" spans="1:11" s="90" customFormat="1" ht="12.75" customHeight="1" x14ac:dyDescent="0.2">
      <c r="A7038" s="247"/>
      <c r="B7038" s="316"/>
      <c r="C7038" s="247"/>
      <c r="D7038" s="317"/>
      <c r="E7038" s="318"/>
      <c r="F7038" s="247"/>
      <c r="G7038" s="247"/>
      <c r="H7038" s="248"/>
      <c r="I7038" s="248"/>
      <c r="J7038" s="247"/>
      <c r="K7038" s="249"/>
    </row>
    <row r="7039" spans="1:11" s="90" customFormat="1" ht="12.75" customHeight="1" x14ac:dyDescent="0.2">
      <c r="A7039" s="247"/>
      <c r="B7039" s="316"/>
      <c r="C7039" s="247"/>
      <c r="D7039" s="317"/>
      <c r="E7039" s="318"/>
      <c r="F7039" s="247"/>
      <c r="G7039" s="247"/>
      <c r="H7039" s="248"/>
      <c r="I7039" s="248"/>
      <c r="J7039" s="247"/>
      <c r="K7039" s="249"/>
    </row>
    <row r="7040" spans="1:11" s="90" customFormat="1" ht="12.75" customHeight="1" x14ac:dyDescent="0.2">
      <c r="A7040" s="247"/>
      <c r="B7040" s="316"/>
      <c r="C7040" s="247"/>
      <c r="D7040" s="317"/>
      <c r="E7040" s="318"/>
      <c r="F7040" s="247"/>
      <c r="G7040" s="247"/>
      <c r="H7040" s="248"/>
      <c r="I7040" s="248"/>
      <c r="J7040" s="247"/>
      <c r="K7040" s="249"/>
    </row>
    <row r="7041" spans="1:11" s="90" customFormat="1" ht="12.75" customHeight="1" x14ac:dyDescent="0.2">
      <c r="A7041" s="247"/>
      <c r="B7041" s="316"/>
      <c r="C7041" s="247"/>
      <c r="D7041" s="317"/>
      <c r="E7041" s="318"/>
      <c r="F7041" s="247"/>
      <c r="G7041" s="247"/>
      <c r="H7041" s="248"/>
      <c r="I7041" s="248"/>
      <c r="J7041" s="247"/>
      <c r="K7041" s="249"/>
    </row>
    <row r="7042" spans="1:11" s="90" customFormat="1" ht="12.75" customHeight="1" x14ac:dyDescent="0.2">
      <c r="A7042" s="247"/>
      <c r="B7042" s="316"/>
      <c r="C7042" s="247"/>
      <c r="D7042" s="317"/>
      <c r="E7042" s="318"/>
      <c r="F7042" s="247"/>
      <c r="G7042" s="247"/>
      <c r="H7042" s="248"/>
      <c r="I7042" s="248"/>
      <c r="J7042" s="247"/>
      <c r="K7042" s="249"/>
    </row>
    <row r="7043" spans="1:11" s="90" customFormat="1" ht="12.75" customHeight="1" x14ac:dyDescent="0.2">
      <c r="A7043" s="247"/>
      <c r="B7043" s="316"/>
      <c r="C7043" s="247"/>
      <c r="D7043" s="317"/>
      <c r="E7043" s="318"/>
      <c r="F7043" s="247"/>
      <c r="G7043" s="247"/>
      <c r="H7043" s="248"/>
      <c r="I7043" s="248"/>
      <c r="J7043" s="247"/>
      <c r="K7043" s="249"/>
    </row>
    <row r="7044" spans="1:11" s="90" customFormat="1" ht="12.75" customHeight="1" x14ac:dyDescent="0.2">
      <c r="A7044" s="247"/>
      <c r="B7044" s="316"/>
      <c r="C7044" s="247"/>
      <c r="D7044" s="317"/>
      <c r="E7044" s="318"/>
      <c r="F7044" s="247"/>
      <c r="G7044" s="247"/>
      <c r="H7044" s="248"/>
      <c r="I7044" s="248"/>
      <c r="J7044" s="247"/>
      <c r="K7044" s="249"/>
    </row>
    <row r="7045" spans="1:11" s="90" customFormat="1" ht="12.75" customHeight="1" x14ac:dyDescent="0.2">
      <c r="A7045" s="247"/>
      <c r="B7045" s="316"/>
      <c r="C7045" s="247"/>
      <c r="D7045" s="317"/>
      <c r="E7045" s="318"/>
      <c r="F7045" s="247"/>
      <c r="G7045" s="247"/>
      <c r="H7045" s="248"/>
      <c r="I7045" s="248"/>
      <c r="J7045" s="247"/>
      <c r="K7045" s="249"/>
    </row>
    <row r="7046" spans="1:11" s="90" customFormat="1" ht="12.75" customHeight="1" x14ac:dyDescent="0.2">
      <c r="A7046" s="247"/>
      <c r="B7046" s="316"/>
      <c r="C7046" s="247"/>
      <c r="D7046" s="317"/>
      <c r="E7046" s="318"/>
      <c r="F7046" s="247"/>
      <c r="G7046" s="247"/>
      <c r="H7046" s="248"/>
      <c r="I7046" s="248"/>
      <c r="J7046" s="247"/>
      <c r="K7046" s="249"/>
    </row>
    <row r="7047" spans="1:11" s="90" customFormat="1" ht="12.75" customHeight="1" x14ac:dyDescent="0.2">
      <c r="A7047" s="247"/>
      <c r="B7047" s="316"/>
      <c r="C7047" s="247"/>
      <c r="D7047" s="317"/>
      <c r="E7047" s="318"/>
      <c r="F7047" s="247"/>
      <c r="G7047" s="247"/>
      <c r="H7047" s="248"/>
      <c r="I7047" s="248"/>
      <c r="J7047" s="247"/>
      <c r="K7047" s="249"/>
    </row>
    <row r="7048" spans="1:11" s="90" customFormat="1" ht="12.75" customHeight="1" x14ac:dyDescent="0.2">
      <c r="A7048" s="247"/>
      <c r="B7048" s="316"/>
      <c r="C7048" s="247"/>
      <c r="D7048" s="317"/>
      <c r="E7048" s="318"/>
      <c r="F7048" s="247"/>
      <c r="G7048" s="247"/>
      <c r="H7048" s="248"/>
      <c r="I7048" s="248"/>
      <c r="J7048" s="247"/>
      <c r="K7048" s="249"/>
    </row>
    <row r="7049" spans="1:11" s="90" customFormat="1" ht="12.75" customHeight="1" x14ac:dyDescent="0.2">
      <c r="A7049" s="247"/>
      <c r="B7049" s="316"/>
      <c r="C7049" s="247"/>
      <c r="D7049" s="317"/>
      <c r="E7049" s="318"/>
      <c r="F7049" s="247"/>
      <c r="G7049" s="247"/>
      <c r="H7049" s="248"/>
      <c r="I7049" s="248"/>
      <c r="J7049" s="247"/>
      <c r="K7049" s="249"/>
    </row>
    <row r="7050" spans="1:11" s="90" customFormat="1" ht="12.75" customHeight="1" x14ac:dyDescent="0.2">
      <c r="A7050" s="247"/>
      <c r="B7050" s="316"/>
      <c r="C7050" s="247"/>
      <c r="D7050" s="317"/>
      <c r="E7050" s="318"/>
      <c r="F7050" s="247"/>
      <c r="G7050" s="247"/>
      <c r="H7050" s="248"/>
      <c r="I7050" s="248"/>
      <c r="J7050" s="247"/>
      <c r="K7050" s="249"/>
    </row>
    <row r="7051" spans="1:11" s="90" customFormat="1" ht="12.75" customHeight="1" x14ac:dyDescent="0.2">
      <c r="A7051" s="247"/>
      <c r="B7051" s="316"/>
      <c r="C7051" s="247"/>
      <c r="D7051" s="317"/>
      <c r="E7051" s="318"/>
      <c r="F7051" s="247"/>
      <c r="G7051" s="247"/>
      <c r="H7051" s="248"/>
      <c r="I7051" s="248"/>
      <c r="J7051" s="247"/>
      <c r="K7051" s="249"/>
    </row>
    <row r="7052" spans="1:11" s="90" customFormat="1" ht="12.75" customHeight="1" x14ac:dyDescent="0.2">
      <c r="A7052" s="247"/>
      <c r="B7052" s="316"/>
      <c r="C7052" s="247"/>
      <c r="D7052" s="317"/>
      <c r="E7052" s="318"/>
      <c r="F7052" s="247"/>
      <c r="G7052" s="247"/>
      <c r="H7052" s="248"/>
      <c r="I7052" s="248"/>
      <c r="J7052" s="247"/>
      <c r="K7052" s="249"/>
    </row>
    <row r="7053" spans="1:11" s="90" customFormat="1" ht="12.75" customHeight="1" x14ac:dyDescent="0.2">
      <c r="A7053" s="247"/>
      <c r="B7053" s="316"/>
      <c r="C7053" s="247"/>
      <c r="D7053" s="317"/>
      <c r="E7053" s="318"/>
      <c r="F7053" s="247"/>
      <c r="G7053" s="247"/>
      <c r="H7053" s="248"/>
      <c r="I7053" s="248"/>
      <c r="J7053" s="247"/>
      <c r="K7053" s="249"/>
    </row>
    <row r="7054" spans="1:11" s="90" customFormat="1" ht="12.75" customHeight="1" x14ac:dyDescent="0.2">
      <c r="A7054" s="247"/>
      <c r="B7054" s="316"/>
      <c r="C7054" s="247"/>
      <c r="D7054" s="317"/>
      <c r="E7054" s="318"/>
      <c r="F7054" s="247"/>
      <c r="G7054" s="247"/>
      <c r="H7054" s="248"/>
      <c r="I7054" s="248"/>
      <c r="J7054" s="247"/>
      <c r="K7054" s="249"/>
    </row>
    <row r="7055" spans="1:11" s="90" customFormat="1" ht="12.75" customHeight="1" x14ac:dyDescent="0.2">
      <c r="A7055" s="247"/>
      <c r="B7055" s="316"/>
      <c r="C7055" s="247"/>
      <c r="D7055" s="317"/>
      <c r="E7055" s="318"/>
      <c r="F7055" s="247"/>
      <c r="G7055" s="247"/>
      <c r="H7055" s="248"/>
      <c r="I7055" s="248"/>
      <c r="J7055" s="247"/>
      <c r="K7055" s="249"/>
    </row>
    <row r="7056" spans="1:11" s="90" customFormat="1" ht="12.75" customHeight="1" x14ac:dyDescent="0.2">
      <c r="A7056" s="247"/>
      <c r="B7056" s="316"/>
      <c r="C7056" s="247"/>
      <c r="D7056" s="317"/>
      <c r="E7056" s="318"/>
      <c r="F7056" s="247"/>
      <c r="G7056" s="247"/>
      <c r="H7056" s="248"/>
      <c r="I7056" s="248"/>
      <c r="J7056" s="247"/>
      <c r="K7056" s="249"/>
    </row>
    <row r="7057" spans="1:11" s="90" customFormat="1" ht="12.75" customHeight="1" x14ac:dyDescent="0.2">
      <c r="A7057" s="247"/>
      <c r="B7057" s="316"/>
      <c r="C7057" s="247"/>
      <c r="D7057" s="317"/>
      <c r="E7057" s="318"/>
      <c r="F7057" s="247"/>
      <c r="G7057" s="247"/>
      <c r="H7057" s="248"/>
      <c r="I7057" s="248"/>
      <c r="J7057" s="247"/>
      <c r="K7057" s="249"/>
    </row>
    <row r="7058" spans="1:11" s="90" customFormat="1" ht="12.75" customHeight="1" x14ac:dyDescent="0.2">
      <c r="A7058" s="247"/>
      <c r="B7058" s="316"/>
      <c r="C7058" s="247"/>
      <c r="D7058" s="317"/>
      <c r="E7058" s="318"/>
      <c r="F7058" s="247"/>
      <c r="G7058" s="247"/>
      <c r="H7058" s="248"/>
      <c r="I7058" s="248"/>
      <c r="J7058" s="247"/>
      <c r="K7058" s="249"/>
    </row>
    <row r="7059" spans="1:11" s="90" customFormat="1" ht="12.75" customHeight="1" x14ac:dyDescent="0.2">
      <c r="A7059" s="247"/>
      <c r="B7059" s="316"/>
      <c r="C7059" s="247"/>
      <c r="D7059" s="317"/>
      <c r="E7059" s="318"/>
      <c r="F7059" s="247"/>
      <c r="G7059" s="247"/>
      <c r="H7059" s="248"/>
      <c r="I7059" s="248"/>
      <c r="J7059" s="247"/>
      <c r="K7059" s="249"/>
    </row>
    <row r="7060" spans="1:11" s="90" customFormat="1" ht="12.75" customHeight="1" x14ac:dyDescent="0.2">
      <c r="A7060" s="247"/>
      <c r="B7060" s="316"/>
      <c r="C7060" s="247"/>
      <c r="D7060" s="317"/>
      <c r="E7060" s="318"/>
      <c r="F7060" s="247"/>
      <c r="G7060" s="247"/>
      <c r="H7060" s="248"/>
      <c r="I7060" s="248"/>
      <c r="J7060" s="247"/>
      <c r="K7060" s="249"/>
    </row>
    <row r="7061" spans="1:11" s="90" customFormat="1" ht="12.75" customHeight="1" x14ac:dyDescent="0.2">
      <c r="A7061" s="247"/>
      <c r="B7061" s="316"/>
      <c r="C7061" s="247"/>
      <c r="D7061" s="317"/>
      <c r="E7061" s="318"/>
      <c r="F7061" s="247"/>
      <c r="G7061" s="247"/>
      <c r="H7061" s="248"/>
      <c r="I7061" s="248"/>
      <c r="J7061" s="247"/>
      <c r="K7061" s="249"/>
    </row>
    <row r="7062" spans="1:11" s="90" customFormat="1" ht="12.75" customHeight="1" x14ac:dyDescent="0.2">
      <c r="A7062" s="247"/>
      <c r="B7062" s="316"/>
      <c r="C7062" s="247"/>
      <c r="D7062" s="317"/>
      <c r="E7062" s="318"/>
      <c r="F7062" s="247"/>
      <c r="G7062" s="247"/>
      <c r="H7062" s="248"/>
      <c r="I7062" s="248"/>
      <c r="J7062" s="247"/>
      <c r="K7062" s="249"/>
    </row>
    <row r="7063" spans="1:11" s="90" customFormat="1" ht="12.75" customHeight="1" x14ac:dyDescent="0.2">
      <c r="A7063" s="247"/>
      <c r="B7063" s="316"/>
      <c r="C7063" s="247"/>
      <c r="D7063" s="317"/>
      <c r="E7063" s="318"/>
      <c r="F7063" s="247"/>
      <c r="G7063" s="247"/>
      <c r="H7063" s="248"/>
      <c r="I7063" s="248"/>
      <c r="J7063" s="247"/>
      <c r="K7063" s="249"/>
    </row>
    <row r="7064" spans="1:11" s="90" customFormat="1" ht="12.75" customHeight="1" x14ac:dyDescent="0.2">
      <c r="A7064" s="247"/>
      <c r="B7064" s="316"/>
      <c r="C7064" s="247"/>
      <c r="D7064" s="317"/>
      <c r="E7064" s="318"/>
      <c r="F7064" s="247"/>
      <c r="G7064" s="247"/>
      <c r="H7064" s="248"/>
      <c r="I7064" s="248"/>
      <c r="J7064" s="247"/>
      <c r="K7064" s="249"/>
    </row>
    <row r="7065" spans="1:11" s="90" customFormat="1" ht="12.75" customHeight="1" x14ac:dyDescent="0.2">
      <c r="A7065" s="247"/>
      <c r="B7065" s="316"/>
      <c r="C7065" s="247"/>
      <c r="D7065" s="317"/>
      <c r="E7065" s="318"/>
      <c r="F7065" s="247"/>
      <c r="G7065" s="247"/>
      <c r="H7065" s="248"/>
      <c r="I7065" s="248"/>
      <c r="J7065" s="247"/>
      <c r="K7065" s="249"/>
    </row>
    <row r="7066" spans="1:11" s="90" customFormat="1" ht="12.75" customHeight="1" x14ac:dyDescent="0.2">
      <c r="A7066" s="247"/>
      <c r="B7066" s="316"/>
      <c r="C7066" s="247"/>
      <c r="D7066" s="317"/>
      <c r="E7066" s="318"/>
      <c r="F7066" s="247"/>
      <c r="G7066" s="247"/>
      <c r="H7066" s="248"/>
      <c r="I7066" s="248"/>
      <c r="J7066" s="247"/>
      <c r="K7066" s="249"/>
    </row>
    <row r="7067" spans="1:11" s="90" customFormat="1" ht="12.75" customHeight="1" x14ac:dyDescent="0.2">
      <c r="A7067" s="247"/>
      <c r="B7067" s="316"/>
      <c r="C7067" s="247"/>
      <c r="D7067" s="317"/>
      <c r="E7067" s="318"/>
      <c r="F7067" s="247"/>
      <c r="G7067" s="247"/>
      <c r="H7067" s="248"/>
      <c r="I7067" s="248"/>
      <c r="J7067" s="247"/>
      <c r="K7067" s="249"/>
    </row>
    <row r="7068" spans="1:11" s="90" customFormat="1" ht="12.75" customHeight="1" x14ac:dyDescent="0.2">
      <c r="A7068" s="247"/>
      <c r="B7068" s="316"/>
      <c r="C7068" s="247"/>
      <c r="D7068" s="317"/>
      <c r="E7068" s="318"/>
      <c r="F7068" s="247"/>
      <c r="G7068" s="247"/>
      <c r="H7068" s="248"/>
      <c r="I7068" s="248"/>
      <c r="J7068" s="247"/>
      <c r="K7068" s="249"/>
    </row>
    <row r="7069" spans="1:11" s="90" customFormat="1" ht="12.75" customHeight="1" x14ac:dyDescent="0.2">
      <c r="A7069" s="247"/>
      <c r="B7069" s="316"/>
      <c r="C7069" s="247"/>
      <c r="D7069" s="317"/>
      <c r="E7069" s="318"/>
      <c r="F7069" s="247"/>
      <c r="G7069" s="247"/>
      <c r="H7069" s="248"/>
      <c r="I7069" s="248"/>
      <c r="J7069" s="247"/>
      <c r="K7069" s="249"/>
    </row>
    <row r="7070" spans="1:11" s="90" customFormat="1" ht="12.75" customHeight="1" x14ac:dyDescent="0.2">
      <c r="A7070" s="247"/>
      <c r="B7070" s="316"/>
      <c r="C7070" s="247"/>
      <c r="D7070" s="317"/>
      <c r="E7070" s="318"/>
      <c r="F7070" s="247"/>
      <c r="G7070" s="247"/>
      <c r="H7070" s="248"/>
      <c r="I7070" s="248"/>
      <c r="J7070" s="247"/>
      <c r="K7070" s="249"/>
    </row>
    <row r="7071" spans="1:11" s="90" customFormat="1" ht="12.75" customHeight="1" x14ac:dyDescent="0.2">
      <c r="A7071" s="247"/>
      <c r="B7071" s="316"/>
      <c r="C7071" s="247"/>
      <c r="D7071" s="317"/>
      <c r="E7071" s="318"/>
      <c r="F7071" s="247"/>
      <c r="G7071" s="247"/>
      <c r="H7071" s="248"/>
      <c r="I7071" s="248"/>
      <c r="J7071" s="247"/>
      <c r="K7071" s="249"/>
    </row>
    <row r="7072" spans="1:11" s="90" customFormat="1" ht="12.75" customHeight="1" x14ac:dyDescent="0.2">
      <c r="A7072" s="247"/>
      <c r="B7072" s="316"/>
      <c r="C7072" s="247"/>
      <c r="D7072" s="317"/>
      <c r="E7072" s="318"/>
      <c r="F7072" s="247"/>
      <c r="G7072" s="247"/>
      <c r="H7072" s="248"/>
      <c r="I7072" s="248"/>
      <c r="J7072" s="247"/>
      <c r="K7072" s="249"/>
    </row>
    <row r="7073" spans="1:11" s="90" customFormat="1" ht="12.75" customHeight="1" x14ac:dyDescent="0.2">
      <c r="A7073" s="247"/>
      <c r="B7073" s="316"/>
      <c r="C7073" s="247"/>
      <c r="D7073" s="317"/>
      <c r="E7073" s="318"/>
      <c r="F7073" s="247"/>
      <c r="G7073" s="247"/>
      <c r="H7073" s="248"/>
      <c r="I7073" s="248"/>
      <c r="J7073" s="247"/>
      <c r="K7073" s="249"/>
    </row>
    <row r="7074" spans="1:11" s="90" customFormat="1" ht="12.75" customHeight="1" x14ac:dyDescent="0.2">
      <c r="A7074" s="247"/>
      <c r="B7074" s="316"/>
      <c r="C7074" s="247"/>
      <c r="D7074" s="317"/>
      <c r="E7074" s="318"/>
      <c r="F7074" s="247"/>
      <c r="G7074" s="247"/>
      <c r="H7074" s="248"/>
      <c r="I7074" s="248"/>
      <c r="J7074" s="247"/>
      <c r="K7074" s="249"/>
    </row>
    <row r="7075" spans="1:11" s="90" customFormat="1" ht="12.75" customHeight="1" x14ac:dyDescent="0.2">
      <c r="A7075" s="247"/>
      <c r="B7075" s="316"/>
      <c r="C7075" s="247"/>
      <c r="D7075" s="317"/>
      <c r="E7075" s="318"/>
      <c r="F7075" s="247"/>
      <c r="G7075" s="247"/>
      <c r="H7075" s="248"/>
      <c r="I7075" s="248"/>
      <c r="J7075" s="247"/>
      <c r="K7075" s="249"/>
    </row>
    <row r="7076" spans="1:11" s="90" customFormat="1" ht="12.75" customHeight="1" x14ac:dyDescent="0.2">
      <c r="A7076" s="247"/>
      <c r="B7076" s="316"/>
      <c r="C7076" s="247"/>
      <c r="D7076" s="317"/>
      <c r="E7076" s="318"/>
      <c r="F7076" s="247"/>
      <c r="G7076" s="247"/>
      <c r="H7076" s="248"/>
      <c r="I7076" s="248"/>
      <c r="J7076" s="247"/>
      <c r="K7076" s="249"/>
    </row>
    <row r="7077" spans="1:11" s="90" customFormat="1" ht="12.75" customHeight="1" x14ac:dyDescent="0.2">
      <c r="A7077" s="247"/>
      <c r="B7077" s="316"/>
      <c r="C7077" s="247"/>
      <c r="D7077" s="317"/>
      <c r="E7077" s="318"/>
      <c r="F7077" s="247"/>
      <c r="G7077" s="247"/>
      <c r="H7077" s="248"/>
      <c r="I7077" s="248"/>
      <c r="J7077" s="247"/>
      <c r="K7077" s="249"/>
    </row>
    <row r="7078" spans="1:11" s="90" customFormat="1" ht="12.75" customHeight="1" x14ac:dyDescent="0.2">
      <c r="A7078" s="247"/>
      <c r="B7078" s="316"/>
      <c r="C7078" s="247"/>
      <c r="D7078" s="317"/>
      <c r="E7078" s="318"/>
      <c r="F7078" s="247"/>
      <c r="G7078" s="247"/>
      <c r="H7078" s="248"/>
      <c r="I7078" s="248"/>
      <c r="J7078" s="247"/>
      <c r="K7078" s="249"/>
    </row>
    <row r="7079" spans="1:11" s="90" customFormat="1" ht="12.75" customHeight="1" x14ac:dyDescent="0.2">
      <c r="A7079" s="247"/>
      <c r="B7079" s="316"/>
      <c r="C7079" s="247"/>
      <c r="D7079" s="317"/>
      <c r="E7079" s="318"/>
      <c r="F7079" s="247"/>
      <c r="G7079" s="247"/>
      <c r="H7079" s="248"/>
      <c r="I7079" s="248"/>
      <c r="J7079" s="247"/>
      <c r="K7079" s="249"/>
    </row>
    <row r="7080" spans="1:11" s="90" customFormat="1" ht="12.75" customHeight="1" x14ac:dyDescent="0.2">
      <c r="A7080" s="247"/>
      <c r="B7080" s="316"/>
      <c r="C7080" s="247"/>
      <c r="D7080" s="317"/>
      <c r="E7080" s="318"/>
      <c r="F7080" s="247"/>
      <c r="G7080" s="247"/>
      <c r="H7080" s="248"/>
      <c r="I7080" s="248"/>
      <c r="J7080" s="247"/>
      <c r="K7080" s="249"/>
    </row>
    <row r="7081" spans="1:11" s="90" customFormat="1" ht="12.75" customHeight="1" x14ac:dyDescent="0.2">
      <c r="A7081" s="247"/>
      <c r="B7081" s="316"/>
      <c r="C7081" s="247"/>
      <c r="D7081" s="317"/>
      <c r="E7081" s="318"/>
      <c r="F7081" s="247"/>
      <c r="G7081" s="247"/>
      <c r="H7081" s="248"/>
      <c r="I7081" s="248"/>
      <c r="J7081" s="247"/>
      <c r="K7081" s="249"/>
    </row>
    <row r="7082" spans="1:11" s="90" customFormat="1" ht="12.75" customHeight="1" x14ac:dyDescent="0.2">
      <c r="A7082" s="247"/>
      <c r="B7082" s="316"/>
      <c r="C7082" s="247"/>
      <c r="D7082" s="317"/>
      <c r="E7082" s="318"/>
      <c r="F7082" s="247"/>
      <c r="G7082" s="247"/>
      <c r="H7082" s="248"/>
      <c r="I7082" s="248"/>
      <c r="J7082" s="247"/>
      <c r="K7082" s="249"/>
    </row>
    <row r="7083" spans="1:11" s="90" customFormat="1" ht="12.75" customHeight="1" x14ac:dyDescent="0.2">
      <c r="A7083" s="247"/>
      <c r="B7083" s="316"/>
      <c r="C7083" s="247"/>
      <c r="D7083" s="317"/>
      <c r="E7083" s="318"/>
      <c r="F7083" s="247"/>
      <c r="G7083" s="247"/>
      <c r="H7083" s="248"/>
      <c r="I7083" s="248"/>
      <c r="J7083" s="247"/>
      <c r="K7083" s="249"/>
    </row>
    <row r="7084" spans="1:11" s="90" customFormat="1" ht="12.75" customHeight="1" x14ac:dyDescent="0.2">
      <c r="A7084" s="247"/>
      <c r="B7084" s="316"/>
      <c r="C7084" s="247"/>
      <c r="D7084" s="317"/>
      <c r="E7084" s="318"/>
      <c r="F7084" s="247"/>
      <c r="G7084" s="247"/>
      <c r="H7084" s="248"/>
      <c r="I7084" s="248"/>
      <c r="J7084" s="247"/>
      <c r="K7084" s="249"/>
    </row>
    <row r="7085" spans="1:11" s="90" customFormat="1" ht="12.75" customHeight="1" x14ac:dyDescent="0.2">
      <c r="A7085" s="247"/>
      <c r="B7085" s="316"/>
      <c r="C7085" s="247"/>
      <c r="D7085" s="317"/>
      <c r="E7085" s="318"/>
      <c r="F7085" s="247"/>
      <c r="G7085" s="247"/>
      <c r="H7085" s="248"/>
      <c r="I7085" s="248"/>
      <c r="J7085" s="247"/>
      <c r="K7085" s="249"/>
    </row>
    <row r="7086" spans="1:11" s="90" customFormat="1" ht="12.75" customHeight="1" x14ac:dyDescent="0.2">
      <c r="A7086" s="247"/>
      <c r="B7086" s="316"/>
      <c r="C7086" s="247"/>
      <c r="D7086" s="317"/>
      <c r="E7086" s="318"/>
      <c r="F7086" s="247"/>
      <c r="G7086" s="247"/>
      <c r="H7086" s="248"/>
      <c r="I7086" s="248"/>
      <c r="J7086" s="247"/>
      <c r="K7086" s="249"/>
    </row>
    <row r="7087" spans="1:11" s="90" customFormat="1" ht="12.75" customHeight="1" x14ac:dyDescent="0.2">
      <c r="A7087" s="247"/>
      <c r="B7087" s="316"/>
      <c r="C7087" s="247"/>
      <c r="D7087" s="317"/>
      <c r="E7087" s="318"/>
      <c r="F7087" s="247"/>
      <c r="G7087" s="247"/>
      <c r="H7087" s="248"/>
      <c r="I7087" s="248"/>
      <c r="J7087" s="247"/>
      <c r="K7087" s="249"/>
    </row>
    <row r="7088" spans="1:11" s="90" customFormat="1" ht="12.75" customHeight="1" x14ac:dyDescent="0.2">
      <c r="A7088" s="247"/>
      <c r="B7088" s="316"/>
      <c r="C7088" s="247"/>
      <c r="D7088" s="317"/>
      <c r="E7088" s="318"/>
      <c r="F7088" s="247"/>
      <c r="G7088" s="247"/>
      <c r="H7088" s="248"/>
      <c r="I7088" s="248"/>
      <c r="J7088" s="247"/>
      <c r="K7088" s="249"/>
    </row>
    <row r="7089" spans="1:11" s="90" customFormat="1" ht="12.75" customHeight="1" x14ac:dyDescent="0.2">
      <c r="A7089" s="247"/>
      <c r="B7089" s="316"/>
      <c r="C7089" s="247"/>
      <c r="D7089" s="317"/>
      <c r="E7089" s="318"/>
      <c r="F7089" s="247"/>
      <c r="G7089" s="247"/>
      <c r="H7089" s="248"/>
      <c r="I7089" s="248"/>
      <c r="J7089" s="247"/>
      <c r="K7089" s="249"/>
    </row>
    <row r="7090" spans="1:11" s="90" customFormat="1" ht="12.75" customHeight="1" x14ac:dyDescent="0.2">
      <c r="A7090" s="247"/>
      <c r="B7090" s="316"/>
      <c r="C7090" s="247"/>
      <c r="D7090" s="317"/>
      <c r="E7090" s="318"/>
      <c r="F7090" s="247"/>
      <c r="G7090" s="247"/>
      <c r="H7090" s="248"/>
      <c r="I7090" s="248"/>
      <c r="J7090" s="247"/>
      <c r="K7090" s="249"/>
    </row>
    <row r="7091" spans="1:11" s="90" customFormat="1" ht="12.75" customHeight="1" x14ac:dyDescent="0.2">
      <c r="A7091" s="247"/>
      <c r="B7091" s="316"/>
      <c r="C7091" s="247"/>
      <c r="D7091" s="317"/>
      <c r="E7091" s="318"/>
      <c r="F7091" s="247"/>
      <c r="G7091" s="247"/>
      <c r="H7091" s="248"/>
      <c r="I7091" s="248"/>
      <c r="J7091" s="247"/>
      <c r="K7091" s="249"/>
    </row>
    <row r="7092" spans="1:11" s="90" customFormat="1" ht="12.75" customHeight="1" x14ac:dyDescent="0.2">
      <c r="A7092" s="247"/>
      <c r="B7092" s="316"/>
      <c r="C7092" s="247"/>
      <c r="D7092" s="317"/>
      <c r="E7092" s="318"/>
      <c r="F7092" s="247"/>
      <c r="G7092" s="247"/>
      <c r="H7092" s="248"/>
      <c r="I7092" s="248"/>
      <c r="J7092" s="247"/>
      <c r="K7092" s="249"/>
    </row>
    <row r="7093" spans="1:11" s="90" customFormat="1" ht="12.75" customHeight="1" x14ac:dyDescent="0.2">
      <c r="A7093" s="247"/>
      <c r="B7093" s="316"/>
      <c r="C7093" s="247"/>
      <c r="D7093" s="317"/>
      <c r="E7093" s="318"/>
      <c r="F7093" s="247"/>
      <c r="G7093" s="247"/>
      <c r="H7093" s="248"/>
      <c r="I7093" s="248"/>
      <c r="J7093" s="247"/>
      <c r="K7093" s="249"/>
    </row>
    <row r="7094" spans="1:11" s="90" customFormat="1" ht="12.75" customHeight="1" x14ac:dyDescent="0.2">
      <c r="A7094" s="247"/>
      <c r="B7094" s="316"/>
      <c r="C7094" s="247"/>
      <c r="D7094" s="317"/>
      <c r="E7094" s="318"/>
      <c r="F7094" s="247"/>
      <c r="G7094" s="247"/>
      <c r="H7094" s="248"/>
      <c r="I7094" s="248"/>
      <c r="J7094" s="247"/>
      <c r="K7094" s="249"/>
    </row>
    <row r="7095" spans="1:11" s="90" customFormat="1" ht="12.75" customHeight="1" x14ac:dyDescent="0.2">
      <c r="A7095" s="247"/>
      <c r="B7095" s="316"/>
      <c r="C7095" s="247"/>
      <c r="D7095" s="317"/>
      <c r="E7095" s="318"/>
      <c r="F7095" s="247"/>
      <c r="G7095" s="247"/>
      <c r="H7095" s="248"/>
      <c r="I7095" s="248"/>
      <c r="J7095" s="247"/>
      <c r="K7095" s="249"/>
    </row>
    <row r="7096" spans="1:11" s="90" customFormat="1" ht="12.75" customHeight="1" x14ac:dyDescent="0.2">
      <c r="A7096" s="247"/>
      <c r="B7096" s="316"/>
      <c r="C7096" s="247"/>
      <c r="D7096" s="317"/>
      <c r="E7096" s="318"/>
      <c r="F7096" s="247"/>
      <c r="G7096" s="247"/>
      <c r="H7096" s="248"/>
      <c r="I7096" s="248"/>
      <c r="J7096" s="247"/>
      <c r="K7096" s="249"/>
    </row>
    <row r="7097" spans="1:11" s="90" customFormat="1" ht="12.75" customHeight="1" x14ac:dyDescent="0.2">
      <c r="A7097" s="247"/>
      <c r="B7097" s="316"/>
      <c r="C7097" s="247"/>
      <c r="D7097" s="317"/>
      <c r="E7097" s="318"/>
      <c r="F7097" s="247"/>
      <c r="G7097" s="247"/>
      <c r="H7097" s="248"/>
      <c r="I7097" s="248"/>
      <c r="J7097" s="247"/>
      <c r="K7097" s="249"/>
    </row>
    <row r="7098" spans="1:11" s="90" customFormat="1" ht="12.75" customHeight="1" x14ac:dyDescent="0.2">
      <c r="A7098" s="247"/>
      <c r="B7098" s="316"/>
      <c r="C7098" s="247"/>
      <c r="D7098" s="317"/>
      <c r="E7098" s="318"/>
      <c r="F7098" s="247"/>
      <c r="G7098" s="247"/>
      <c r="H7098" s="248"/>
      <c r="I7098" s="248"/>
      <c r="J7098" s="247"/>
      <c r="K7098" s="249"/>
    </row>
    <row r="7099" spans="1:11" s="90" customFormat="1" ht="12.75" customHeight="1" x14ac:dyDescent="0.2">
      <c r="A7099" s="247"/>
      <c r="B7099" s="316"/>
      <c r="C7099" s="247"/>
      <c r="D7099" s="317"/>
      <c r="E7099" s="318"/>
      <c r="F7099" s="247"/>
      <c r="G7099" s="247"/>
      <c r="H7099" s="248"/>
      <c r="I7099" s="248"/>
      <c r="J7099" s="247"/>
      <c r="K7099" s="249"/>
    </row>
    <row r="7100" spans="1:11" s="90" customFormat="1" ht="12.75" customHeight="1" x14ac:dyDescent="0.2">
      <c r="A7100" s="247"/>
      <c r="B7100" s="316"/>
      <c r="C7100" s="247"/>
      <c r="D7100" s="317"/>
      <c r="E7100" s="318"/>
      <c r="F7100" s="247"/>
      <c r="G7100" s="247"/>
      <c r="H7100" s="248"/>
      <c r="I7100" s="248"/>
      <c r="J7100" s="247"/>
      <c r="K7100" s="249"/>
    </row>
    <row r="7101" spans="1:11" s="90" customFormat="1" ht="12.75" customHeight="1" x14ac:dyDescent="0.2">
      <c r="A7101" s="247"/>
      <c r="B7101" s="316"/>
      <c r="C7101" s="247"/>
      <c r="D7101" s="317"/>
      <c r="E7101" s="318"/>
      <c r="F7101" s="247"/>
      <c r="G7101" s="247"/>
      <c r="H7101" s="248"/>
      <c r="I7101" s="248"/>
      <c r="J7101" s="247"/>
      <c r="K7101" s="249"/>
    </row>
    <row r="7102" spans="1:11" s="90" customFormat="1" ht="12.75" customHeight="1" x14ac:dyDescent="0.2">
      <c r="A7102" s="247"/>
      <c r="B7102" s="316"/>
      <c r="C7102" s="247"/>
      <c r="D7102" s="317"/>
      <c r="E7102" s="318"/>
      <c r="F7102" s="247"/>
      <c r="G7102" s="247"/>
      <c r="H7102" s="248"/>
      <c r="I7102" s="248"/>
      <c r="J7102" s="247"/>
      <c r="K7102" s="249"/>
    </row>
    <row r="7103" spans="1:11" s="90" customFormat="1" ht="12.75" customHeight="1" x14ac:dyDescent="0.2">
      <c r="A7103" s="247"/>
      <c r="B7103" s="316"/>
      <c r="C7103" s="247"/>
      <c r="D7103" s="317"/>
      <c r="E7103" s="318"/>
      <c r="F7103" s="247"/>
      <c r="G7103" s="247"/>
      <c r="H7103" s="248"/>
      <c r="I7103" s="248"/>
      <c r="J7103" s="247"/>
      <c r="K7103" s="249"/>
    </row>
    <row r="7104" spans="1:11" s="90" customFormat="1" ht="12.75" customHeight="1" x14ac:dyDescent="0.2">
      <c r="A7104" s="247"/>
      <c r="B7104" s="316"/>
      <c r="C7104" s="247"/>
      <c r="D7104" s="317"/>
      <c r="E7104" s="318"/>
      <c r="F7104" s="247"/>
      <c r="G7104" s="247"/>
      <c r="H7104" s="248"/>
      <c r="I7104" s="248"/>
      <c r="J7104" s="247"/>
      <c r="K7104" s="249"/>
    </row>
    <row r="7105" spans="1:11" s="90" customFormat="1" ht="12.75" customHeight="1" x14ac:dyDescent="0.2">
      <c r="A7105" s="247"/>
      <c r="B7105" s="316"/>
      <c r="C7105" s="247"/>
      <c r="D7105" s="317"/>
      <c r="E7105" s="318"/>
      <c r="F7105" s="247"/>
      <c r="G7105" s="247"/>
      <c r="H7105" s="248"/>
      <c r="I7105" s="248"/>
      <c r="J7105" s="247"/>
      <c r="K7105" s="249"/>
    </row>
    <row r="7106" spans="1:11" s="90" customFormat="1" ht="12.75" customHeight="1" x14ac:dyDescent="0.2">
      <c r="A7106" s="247"/>
      <c r="B7106" s="316"/>
      <c r="C7106" s="247"/>
      <c r="D7106" s="317"/>
      <c r="E7106" s="318"/>
      <c r="F7106" s="247"/>
      <c r="G7106" s="247"/>
      <c r="H7106" s="248"/>
      <c r="I7106" s="248"/>
      <c r="J7106" s="247"/>
      <c r="K7106" s="249"/>
    </row>
    <row r="7107" spans="1:11" s="90" customFormat="1" ht="12.75" customHeight="1" x14ac:dyDescent="0.2">
      <c r="A7107" s="247"/>
      <c r="B7107" s="316"/>
      <c r="C7107" s="247"/>
      <c r="D7107" s="317"/>
      <c r="E7107" s="318"/>
      <c r="F7107" s="247"/>
      <c r="G7107" s="247"/>
      <c r="H7107" s="248"/>
      <c r="I7107" s="248"/>
      <c r="J7107" s="247"/>
      <c r="K7107" s="249"/>
    </row>
    <row r="7108" spans="1:11" s="90" customFormat="1" ht="12.75" customHeight="1" x14ac:dyDescent="0.2">
      <c r="A7108" s="247"/>
      <c r="B7108" s="316"/>
      <c r="C7108" s="247"/>
      <c r="D7108" s="317"/>
      <c r="E7108" s="318"/>
      <c r="F7108" s="247"/>
      <c r="G7108" s="247"/>
      <c r="H7108" s="248"/>
      <c r="I7108" s="248"/>
      <c r="J7108" s="247"/>
      <c r="K7108" s="249"/>
    </row>
    <row r="7109" spans="1:11" s="90" customFormat="1" ht="12.75" customHeight="1" x14ac:dyDescent="0.2">
      <c r="A7109" s="247"/>
      <c r="B7109" s="316"/>
      <c r="C7109" s="247"/>
      <c r="D7109" s="317"/>
      <c r="E7109" s="318"/>
      <c r="F7109" s="247"/>
      <c r="G7109" s="247"/>
      <c r="H7109" s="248"/>
      <c r="I7109" s="248"/>
      <c r="J7109" s="247"/>
      <c r="K7109" s="249"/>
    </row>
    <row r="7110" spans="1:11" s="90" customFormat="1" ht="12.75" customHeight="1" x14ac:dyDescent="0.2">
      <c r="A7110" s="247"/>
      <c r="B7110" s="316"/>
      <c r="C7110" s="247"/>
      <c r="D7110" s="317"/>
      <c r="E7110" s="318"/>
      <c r="F7110" s="247"/>
      <c r="G7110" s="247"/>
      <c r="H7110" s="248"/>
      <c r="I7110" s="248"/>
      <c r="J7110" s="247"/>
      <c r="K7110" s="249"/>
    </row>
    <row r="7111" spans="1:11" s="90" customFormat="1" ht="12.75" customHeight="1" x14ac:dyDescent="0.2">
      <c r="A7111" s="247"/>
      <c r="B7111" s="316"/>
      <c r="C7111" s="247"/>
      <c r="D7111" s="317"/>
      <c r="E7111" s="318"/>
      <c r="F7111" s="247"/>
      <c r="G7111" s="247"/>
      <c r="H7111" s="248"/>
      <c r="I7111" s="248"/>
      <c r="J7111" s="247"/>
      <c r="K7111" s="249"/>
    </row>
    <row r="7112" spans="1:11" s="90" customFormat="1" ht="12.75" customHeight="1" x14ac:dyDescent="0.2">
      <c r="A7112" s="247"/>
      <c r="B7112" s="316"/>
      <c r="C7112" s="247"/>
      <c r="D7112" s="317"/>
      <c r="E7112" s="318"/>
      <c r="F7112" s="247"/>
      <c r="G7112" s="247"/>
      <c r="H7112" s="248"/>
      <c r="I7112" s="248"/>
      <c r="J7112" s="247"/>
      <c r="K7112" s="249"/>
    </row>
    <row r="7113" spans="1:11" s="90" customFormat="1" ht="12.75" customHeight="1" x14ac:dyDescent="0.2">
      <c r="A7113" s="247"/>
      <c r="B7113" s="316"/>
      <c r="C7113" s="247"/>
      <c r="D7113" s="317"/>
      <c r="E7113" s="318"/>
      <c r="F7113" s="247"/>
      <c r="G7113" s="247"/>
      <c r="H7113" s="248"/>
      <c r="I7113" s="248"/>
      <c r="J7113" s="247"/>
      <c r="K7113" s="249"/>
    </row>
    <row r="7114" spans="1:11" s="90" customFormat="1" ht="12.75" customHeight="1" x14ac:dyDescent="0.2">
      <c r="A7114" s="247"/>
      <c r="B7114" s="316"/>
      <c r="C7114" s="247"/>
      <c r="D7114" s="317"/>
      <c r="E7114" s="318"/>
      <c r="F7114" s="247"/>
      <c r="G7114" s="247"/>
      <c r="H7114" s="248"/>
      <c r="I7114" s="248"/>
      <c r="J7114" s="247"/>
      <c r="K7114" s="249"/>
    </row>
    <row r="7115" spans="1:11" s="90" customFormat="1" ht="12.75" customHeight="1" x14ac:dyDescent="0.2">
      <c r="A7115" s="247"/>
      <c r="B7115" s="316"/>
      <c r="C7115" s="247"/>
      <c r="D7115" s="317"/>
      <c r="E7115" s="318"/>
      <c r="F7115" s="247"/>
      <c r="G7115" s="247"/>
      <c r="H7115" s="248"/>
      <c r="I7115" s="248"/>
      <c r="J7115" s="247"/>
      <c r="K7115" s="249"/>
    </row>
    <row r="7116" spans="1:11" s="90" customFormat="1" ht="12.75" customHeight="1" x14ac:dyDescent="0.2">
      <c r="A7116" s="247"/>
      <c r="B7116" s="316"/>
      <c r="C7116" s="247"/>
      <c r="D7116" s="317"/>
      <c r="E7116" s="318"/>
      <c r="F7116" s="247"/>
      <c r="G7116" s="247"/>
      <c r="H7116" s="248"/>
      <c r="I7116" s="248"/>
      <c r="J7116" s="247"/>
      <c r="K7116" s="249"/>
    </row>
    <row r="7117" spans="1:11" s="90" customFormat="1" ht="12.75" customHeight="1" x14ac:dyDescent="0.2">
      <c r="A7117" s="247"/>
      <c r="B7117" s="316"/>
      <c r="C7117" s="247"/>
      <c r="D7117" s="317"/>
      <c r="E7117" s="318"/>
      <c r="F7117" s="247"/>
      <c r="G7117" s="247"/>
      <c r="H7117" s="248"/>
      <c r="I7117" s="248"/>
      <c r="J7117" s="247"/>
      <c r="K7117" s="249"/>
    </row>
    <row r="7118" spans="1:11" s="90" customFormat="1" ht="12.75" customHeight="1" x14ac:dyDescent="0.2">
      <c r="A7118" s="247"/>
      <c r="B7118" s="316"/>
      <c r="C7118" s="247"/>
      <c r="D7118" s="317"/>
      <c r="E7118" s="318"/>
      <c r="F7118" s="247"/>
      <c r="G7118" s="247"/>
      <c r="H7118" s="248"/>
      <c r="I7118" s="248"/>
      <c r="J7118" s="247"/>
      <c r="K7118" s="249"/>
    </row>
    <row r="7119" spans="1:11" s="90" customFormat="1" ht="12.75" customHeight="1" x14ac:dyDescent="0.2">
      <c r="A7119" s="247"/>
      <c r="B7119" s="316"/>
      <c r="C7119" s="247"/>
      <c r="D7119" s="317"/>
      <c r="E7119" s="318"/>
      <c r="F7119" s="247"/>
      <c r="G7119" s="247"/>
      <c r="H7119" s="248"/>
      <c r="I7119" s="248"/>
      <c r="J7119" s="247"/>
      <c r="K7119" s="249"/>
    </row>
    <row r="7120" spans="1:11" s="90" customFormat="1" ht="12.75" customHeight="1" x14ac:dyDescent="0.2">
      <c r="A7120" s="247"/>
      <c r="B7120" s="316"/>
      <c r="C7120" s="247"/>
      <c r="D7120" s="317"/>
      <c r="E7120" s="318"/>
      <c r="F7120" s="247"/>
      <c r="G7120" s="247"/>
      <c r="H7120" s="248"/>
      <c r="I7120" s="248"/>
      <c r="J7120" s="247"/>
      <c r="K7120" s="249"/>
    </row>
    <row r="7121" spans="1:11" s="90" customFormat="1" ht="12.75" customHeight="1" x14ac:dyDescent="0.2">
      <c r="A7121" s="247"/>
      <c r="B7121" s="316"/>
      <c r="C7121" s="247"/>
      <c r="D7121" s="317"/>
      <c r="E7121" s="318"/>
      <c r="F7121" s="247"/>
      <c r="G7121" s="247"/>
      <c r="H7121" s="248"/>
      <c r="I7121" s="248"/>
      <c r="J7121" s="247"/>
      <c r="K7121" s="249"/>
    </row>
    <row r="7122" spans="1:11" s="90" customFormat="1" ht="12.75" customHeight="1" x14ac:dyDescent="0.2">
      <c r="A7122" s="247"/>
      <c r="B7122" s="316"/>
      <c r="C7122" s="247"/>
      <c r="D7122" s="317"/>
      <c r="E7122" s="318"/>
      <c r="F7122" s="247"/>
      <c r="G7122" s="247"/>
      <c r="H7122" s="248"/>
      <c r="I7122" s="248"/>
      <c r="J7122" s="247"/>
      <c r="K7122" s="249"/>
    </row>
    <row r="7123" spans="1:11" s="90" customFormat="1" ht="12.75" customHeight="1" x14ac:dyDescent="0.2">
      <c r="A7123" s="247"/>
      <c r="B7123" s="316"/>
      <c r="C7123" s="247"/>
      <c r="D7123" s="317"/>
      <c r="E7123" s="318"/>
      <c r="F7123" s="247"/>
      <c r="G7123" s="247"/>
      <c r="H7123" s="248"/>
      <c r="I7123" s="248"/>
      <c r="J7123" s="247"/>
      <c r="K7123" s="249"/>
    </row>
    <row r="7124" spans="1:11" s="90" customFormat="1" ht="12.75" customHeight="1" x14ac:dyDescent="0.2">
      <c r="A7124" s="247"/>
      <c r="B7124" s="316"/>
      <c r="C7124" s="247"/>
      <c r="D7124" s="317"/>
      <c r="E7124" s="318"/>
      <c r="F7124" s="247"/>
      <c r="G7124" s="247"/>
      <c r="H7124" s="248"/>
      <c r="I7124" s="248"/>
      <c r="J7124" s="247"/>
      <c r="K7124" s="249"/>
    </row>
    <row r="7125" spans="1:11" s="90" customFormat="1" ht="12.75" customHeight="1" x14ac:dyDescent="0.2">
      <c r="A7125" s="247"/>
      <c r="B7125" s="316"/>
      <c r="C7125" s="247"/>
      <c r="D7125" s="317"/>
      <c r="E7125" s="318"/>
      <c r="F7125" s="247"/>
      <c r="G7125" s="247"/>
      <c r="H7125" s="248"/>
      <c r="I7125" s="248"/>
      <c r="J7125" s="247"/>
      <c r="K7125" s="249"/>
    </row>
    <row r="7126" spans="1:11" s="90" customFormat="1" ht="12.75" customHeight="1" x14ac:dyDescent="0.2">
      <c r="A7126" s="247"/>
      <c r="B7126" s="316"/>
      <c r="C7126" s="247"/>
      <c r="D7126" s="317"/>
      <c r="E7126" s="318"/>
      <c r="F7126" s="247"/>
      <c r="G7126" s="247"/>
      <c r="H7126" s="248"/>
      <c r="I7126" s="248"/>
      <c r="J7126" s="247"/>
      <c r="K7126" s="249"/>
    </row>
    <row r="7127" spans="1:11" s="90" customFormat="1" ht="12.75" customHeight="1" x14ac:dyDescent="0.2">
      <c r="A7127" s="247"/>
      <c r="B7127" s="316"/>
      <c r="C7127" s="247"/>
      <c r="D7127" s="317"/>
      <c r="E7127" s="318"/>
      <c r="F7127" s="247"/>
      <c r="G7127" s="247"/>
      <c r="H7127" s="248"/>
      <c r="I7127" s="248"/>
      <c r="J7127" s="247"/>
      <c r="K7127" s="249"/>
    </row>
    <row r="7128" spans="1:11" s="90" customFormat="1" ht="12.75" customHeight="1" x14ac:dyDescent="0.2">
      <c r="A7128" s="247"/>
      <c r="B7128" s="316"/>
      <c r="C7128" s="247"/>
      <c r="D7128" s="317"/>
      <c r="E7128" s="318"/>
      <c r="F7128" s="247"/>
      <c r="G7128" s="247"/>
      <c r="H7128" s="248"/>
      <c r="I7128" s="248"/>
      <c r="J7128" s="247"/>
      <c r="K7128" s="249"/>
    </row>
    <row r="7129" spans="1:11" s="90" customFormat="1" ht="12.75" customHeight="1" x14ac:dyDescent="0.2">
      <c r="A7129" s="247"/>
      <c r="B7129" s="316"/>
      <c r="C7129" s="247"/>
      <c r="D7129" s="317"/>
      <c r="E7129" s="318"/>
      <c r="F7129" s="247"/>
      <c r="G7129" s="247"/>
      <c r="H7129" s="248"/>
      <c r="I7129" s="248"/>
      <c r="J7129" s="247"/>
      <c r="K7129" s="249"/>
    </row>
    <row r="7130" spans="1:11" s="90" customFormat="1" ht="12.75" customHeight="1" x14ac:dyDescent="0.2">
      <c r="A7130" s="247"/>
      <c r="B7130" s="316"/>
      <c r="C7130" s="247"/>
      <c r="D7130" s="317"/>
      <c r="E7130" s="318"/>
      <c r="F7130" s="247"/>
      <c r="G7130" s="247"/>
      <c r="H7130" s="248"/>
      <c r="I7130" s="248"/>
      <c r="J7130" s="247"/>
      <c r="K7130" s="249"/>
    </row>
    <row r="7131" spans="1:11" s="90" customFormat="1" ht="12.75" customHeight="1" x14ac:dyDescent="0.2">
      <c r="A7131" s="247"/>
      <c r="B7131" s="316"/>
      <c r="C7131" s="247"/>
      <c r="D7131" s="317"/>
      <c r="E7131" s="318"/>
      <c r="F7131" s="247"/>
      <c r="G7131" s="247"/>
      <c r="H7131" s="248"/>
      <c r="I7131" s="248"/>
      <c r="J7131" s="247"/>
      <c r="K7131" s="249"/>
    </row>
    <row r="7132" spans="1:11" s="90" customFormat="1" ht="12.75" customHeight="1" x14ac:dyDescent="0.2">
      <c r="A7132" s="247"/>
      <c r="B7132" s="316"/>
      <c r="C7132" s="247"/>
      <c r="D7132" s="317"/>
      <c r="E7132" s="318"/>
      <c r="F7132" s="247"/>
      <c r="G7132" s="247"/>
      <c r="H7132" s="248"/>
      <c r="I7132" s="248"/>
      <c r="J7132" s="247"/>
      <c r="K7132" s="249"/>
    </row>
    <row r="7133" spans="1:11" s="90" customFormat="1" ht="12.75" customHeight="1" x14ac:dyDescent="0.2">
      <c r="A7133" s="247"/>
      <c r="B7133" s="316"/>
      <c r="C7133" s="247"/>
      <c r="D7133" s="317"/>
      <c r="E7133" s="318"/>
      <c r="F7133" s="247"/>
      <c r="G7133" s="247"/>
      <c r="H7133" s="248"/>
      <c r="I7133" s="248"/>
      <c r="J7133" s="247"/>
      <c r="K7133" s="249"/>
    </row>
    <row r="7134" spans="1:11" s="90" customFormat="1" ht="12.75" customHeight="1" x14ac:dyDescent="0.2">
      <c r="A7134" s="247"/>
      <c r="B7134" s="316"/>
      <c r="C7134" s="247"/>
      <c r="D7134" s="317"/>
      <c r="E7134" s="318"/>
      <c r="F7134" s="247"/>
      <c r="G7134" s="247"/>
      <c r="H7134" s="248"/>
      <c r="I7134" s="248"/>
      <c r="J7134" s="247"/>
      <c r="K7134" s="249"/>
    </row>
    <row r="7135" spans="1:11" s="90" customFormat="1" ht="12.75" customHeight="1" x14ac:dyDescent="0.2">
      <c r="A7135" s="247"/>
      <c r="B7135" s="316"/>
      <c r="C7135" s="247"/>
      <c r="D7135" s="317"/>
      <c r="E7135" s="318"/>
      <c r="F7135" s="247"/>
      <c r="G7135" s="247"/>
      <c r="H7135" s="248"/>
      <c r="I7135" s="248"/>
      <c r="J7135" s="247"/>
      <c r="K7135" s="249"/>
    </row>
    <row r="7136" spans="1:11" s="90" customFormat="1" ht="12.75" customHeight="1" x14ac:dyDescent="0.2">
      <c r="A7136" s="247"/>
      <c r="B7136" s="316"/>
      <c r="C7136" s="247"/>
      <c r="D7136" s="317"/>
      <c r="E7136" s="318"/>
      <c r="F7136" s="247"/>
      <c r="G7136" s="247"/>
      <c r="H7136" s="248"/>
      <c r="I7136" s="248"/>
      <c r="J7136" s="247"/>
      <c r="K7136" s="249"/>
    </row>
    <row r="7137" spans="1:11" s="90" customFormat="1" ht="12.75" customHeight="1" x14ac:dyDescent="0.2">
      <c r="A7137" s="247"/>
      <c r="B7137" s="316"/>
      <c r="C7137" s="247"/>
      <c r="D7137" s="317"/>
      <c r="E7137" s="318"/>
      <c r="F7137" s="247"/>
      <c r="G7137" s="247"/>
      <c r="H7137" s="248"/>
      <c r="I7137" s="248"/>
      <c r="J7137" s="247"/>
      <c r="K7137" s="249"/>
    </row>
    <row r="7138" spans="1:11" s="90" customFormat="1" ht="12.75" customHeight="1" x14ac:dyDescent="0.2">
      <c r="A7138" s="247"/>
      <c r="B7138" s="316"/>
      <c r="C7138" s="247"/>
      <c r="D7138" s="317"/>
      <c r="E7138" s="318"/>
      <c r="F7138" s="247"/>
      <c r="G7138" s="247"/>
      <c r="H7138" s="248"/>
      <c r="I7138" s="248"/>
      <c r="J7138" s="247"/>
      <c r="K7138" s="249"/>
    </row>
    <row r="7139" spans="1:11" s="90" customFormat="1" ht="12.75" customHeight="1" x14ac:dyDescent="0.2">
      <c r="A7139" s="247"/>
      <c r="B7139" s="316"/>
      <c r="C7139" s="247"/>
      <c r="D7139" s="317"/>
      <c r="E7139" s="318"/>
      <c r="F7139" s="247"/>
      <c r="G7139" s="247"/>
      <c r="H7139" s="248"/>
      <c r="I7139" s="248"/>
      <c r="J7139" s="247"/>
      <c r="K7139" s="249"/>
    </row>
    <row r="7140" spans="1:11" s="90" customFormat="1" ht="12.75" customHeight="1" x14ac:dyDescent="0.2">
      <c r="A7140" s="247"/>
      <c r="B7140" s="316"/>
      <c r="C7140" s="247"/>
      <c r="D7140" s="317"/>
      <c r="E7140" s="318"/>
      <c r="F7140" s="247"/>
      <c r="G7140" s="247"/>
      <c r="H7140" s="248"/>
      <c r="I7140" s="248"/>
      <c r="J7140" s="247"/>
      <c r="K7140" s="249"/>
    </row>
    <row r="7141" spans="1:11" s="90" customFormat="1" ht="12.75" customHeight="1" x14ac:dyDescent="0.2">
      <c r="A7141" s="247"/>
      <c r="B7141" s="316"/>
      <c r="C7141" s="247"/>
      <c r="D7141" s="317"/>
      <c r="E7141" s="318"/>
      <c r="F7141" s="247"/>
      <c r="G7141" s="247"/>
      <c r="H7141" s="248"/>
      <c r="I7141" s="248"/>
      <c r="J7141" s="247"/>
      <c r="K7141" s="249"/>
    </row>
    <row r="7142" spans="1:11" s="90" customFormat="1" ht="12.75" customHeight="1" x14ac:dyDescent="0.2">
      <c r="A7142" s="247"/>
      <c r="B7142" s="316"/>
      <c r="C7142" s="247"/>
      <c r="D7142" s="317"/>
      <c r="E7142" s="318"/>
      <c r="F7142" s="247"/>
      <c r="G7142" s="247"/>
      <c r="H7142" s="248"/>
      <c r="I7142" s="248"/>
      <c r="J7142" s="247"/>
      <c r="K7142" s="249"/>
    </row>
    <row r="7143" spans="1:11" s="90" customFormat="1" ht="12.75" customHeight="1" x14ac:dyDescent="0.2">
      <c r="A7143" s="247"/>
      <c r="B7143" s="316"/>
      <c r="C7143" s="247"/>
      <c r="D7143" s="317"/>
      <c r="E7143" s="318"/>
      <c r="F7143" s="247"/>
      <c r="G7143" s="247"/>
      <c r="H7143" s="248"/>
      <c r="I7143" s="248"/>
      <c r="J7143" s="247"/>
      <c r="K7143" s="249"/>
    </row>
    <row r="7144" spans="1:11" s="90" customFormat="1" ht="12.75" customHeight="1" x14ac:dyDescent="0.2">
      <c r="A7144" s="247"/>
      <c r="B7144" s="316"/>
      <c r="C7144" s="247"/>
      <c r="D7144" s="317"/>
      <c r="E7144" s="318"/>
      <c r="F7144" s="247"/>
      <c r="G7144" s="247"/>
      <c r="H7144" s="248"/>
      <c r="I7144" s="248"/>
      <c r="J7144" s="247"/>
      <c r="K7144" s="249"/>
    </row>
    <row r="7145" spans="1:11" s="90" customFormat="1" ht="12.75" customHeight="1" x14ac:dyDescent="0.2">
      <c r="A7145" s="247"/>
      <c r="B7145" s="316"/>
      <c r="C7145" s="247"/>
      <c r="D7145" s="317"/>
      <c r="E7145" s="318"/>
      <c r="F7145" s="247"/>
      <c r="G7145" s="247"/>
      <c r="H7145" s="248"/>
      <c r="I7145" s="248"/>
      <c r="J7145" s="247"/>
      <c r="K7145" s="249"/>
    </row>
    <row r="7146" spans="1:11" s="90" customFormat="1" ht="12.75" customHeight="1" x14ac:dyDescent="0.2">
      <c r="A7146" s="247"/>
      <c r="B7146" s="316"/>
      <c r="C7146" s="247"/>
      <c r="D7146" s="317"/>
      <c r="E7146" s="318"/>
      <c r="F7146" s="247"/>
      <c r="G7146" s="247"/>
      <c r="H7146" s="248"/>
      <c r="I7146" s="248"/>
      <c r="J7146" s="247"/>
      <c r="K7146" s="249"/>
    </row>
    <row r="7147" spans="1:11" s="90" customFormat="1" ht="12.75" customHeight="1" x14ac:dyDescent="0.2">
      <c r="A7147" s="247"/>
      <c r="B7147" s="316"/>
      <c r="C7147" s="247"/>
      <c r="D7147" s="317"/>
      <c r="E7147" s="318"/>
      <c r="F7147" s="247"/>
      <c r="G7147" s="247"/>
      <c r="H7147" s="248"/>
      <c r="I7147" s="248"/>
      <c r="J7147" s="247"/>
      <c r="K7147" s="249"/>
    </row>
    <row r="7148" spans="1:11" s="90" customFormat="1" ht="12.75" customHeight="1" x14ac:dyDescent="0.2">
      <c r="A7148" s="247"/>
      <c r="B7148" s="316"/>
      <c r="C7148" s="247"/>
      <c r="D7148" s="317"/>
      <c r="E7148" s="318"/>
      <c r="F7148" s="247"/>
      <c r="G7148" s="247"/>
      <c r="H7148" s="248"/>
      <c r="I7148" s="248"/>
      <c r="J7148" s="247"/>
      <c r="K7148" s="249"/>
    </row>
    <row r="7149" spans="1:11" s="90" customFormat="1" ht="12.75" customHeight="1" x14ac:dyDescent="0.2">
      <c r="A7149" s="247"/>
      <c r="B7149" s="316"/>
      <c r="C7149" s="247"/>
      <c r="D7149" s="317"/>
      <c r="E7149" s="318"/>
      <c r="F7149" s="247"/>
      <c r="G7149" s="247"/>
      <c r="H7149" s="248"/>
      <c r="I7149" s="248"/>
      <c r="J7149" s="247"/>
      <c r="K7149" s="249"/>
    </row>
    <row r="7150" spans="1:11" s="90" customFormat="1" ht="12.75" customHeight="1" x14ac:dyDescent="0.2">
      <c r="A7150" s="247"/>
      <c r="B7150" s="316"/>
      <c r="C7150" s="247"/>
      <c r="D7150" s="317"/>
      <c r="E7150" s="318"/>
      <c r="F7150" s="247"/>
      <c r="G7150" s="247"/>
      <c r="H7150" s="248"/>
      <c r="I7150" s="248"/>
      <c r="J7150" s="247"/>
      <c r="K7150" s="249"/>
    </row>
    <row r="7151" spans="1:11" s="90" customFormat="1" ht="12.75" customHeight="1" x14ac:dyDescent="0.2">
      <c r="A7151" s="247"/>
      <c r="B7151" s="316"/>
      <c r="C7151" s="247"/>
      <c r="D7151" s="317"/>
      <c r="E7151" s="318"/>
      <c r="F7151" s="247"/>
      <c r="G7151" s="247"/>
      <c r="H7151" s="248"/>
      <c r="I7151" s="248"/>
      <c r="J7151" s="247"/>
      <c r="K7151" s="249"/>
    </row>
    <row r="7152" spans="1:11" s="90" customFormat="1" ht="12.75" customHeight="1" x14ac:dyDescent="0.2">
      <c r="A7152" s="247"/>
      <c r="B7152" s="316"/>
      <c r="C7152" s="247"/>
      <c r="D7152" s="317"/>
      <c r="E7152" s="318"/>
      <c r="F7152" s="247"/>
      <c r="G7152" s="247"/>
      <c r="H7152" s="248"/>
      <c r="I7152" s="248"/>
      <c r="J7152" s="247"/>
      <c r="K7152" s="249"/>
    </row>
    <row r="7153" spans="1:11" s="90" customFormat="1" ht="12.75" customHeight="1" x14ac:dyDescent="0.2">
      <c r="A7153" s="247"/>
      <c r="B7153" s="316"/>
      <c r="C7153" s="247"/>
      <c r="D7153" s="317"/>
      <c r="E7153" s="318"/>
      <c r="F7153" s="247"/>
      <c r="G7153" s="247"/>
      <c r="H7153" s="248"/>
      <c r="I7153" s="248"/>
      <c r="J7153" s="247"/>
      <c r="K7153" s="249"/>
    </row>
    <row r="7154" spans="1:11" s="90" customFormat="1" ht="12.75" customHeight="1" x14ac:dyDescent="0.2">
      <c r="A7154" s="247"/>
      <c r="B7154" s="316"/>
      <c r="C7154" s="247"/>
      <c r="D7154" s="317"/>
      <c r="E7154" s="318"/>
      <c r="F7154" s="247"/>
      <c r="G7154" s="247"/>
      <c r="H7154" s="248"/>
      <c r="I7154" s="248"/>
      <c r="J7154" s="247"/>
      <c r="K7154" s="249"/>
    </row>
    <row r="7155" spans="1:11" s="90" customFormat="1" ht="12.75" customHeight="1" x14ac:dyDescent="0.2">
      <c r="A7155" s="247"/>
      <c r="B7155" s="316"/>
      <c r="C7155" s="247"/>
      <c r="D7155" s="317"/>
      <c r="E7155" s="318"/>
      <c r="F7155" s="247"/>
      <c r="G7155" s="247"/>
      <c r="H7155" s="248"/>
      <c r="I7155" s="248"/>
      <c r="J7155" s="247"/>
      <c r="K7155" s="249"/>
    </row>
    <row r="7156" spans="1:11" s="90" customFormat="1" ht="12.75" customHeight="1" x14ac:dyDescent="0.2">
      <c r="A7156" s="247"/>
      <c r="B7156" s="316"/>
      <c r="C7156" s="247"/>
      <c r="D7156" s="317"/>
      <c r="E7156" s="318"/>
      <c r="F7156" s="247"/>
      <c r="G7156" s="247"/>
      <c r="H7156" s="248"/>
      <c r="I7156" s="248"/>
      <c r="J7156" s="247"/>
      <c r="K7156" s="249"/>
    </row>
    <row r="7157" spans="1:11" s="90" customFormat="1" ht="12.75" customHeight="1" x14ac:dyDescent="0.2">
      <c r="A7157" s="247"/>
      <c r="B7157" s="316"/>
      <c r="C7157" s="247"/>
      <c r="D7157" s="317"/>
      <c r="E7157" s="318"/>
      <c r="F7157" s="247"/>
      <c r="G7157" s="247"/>
      <c r="H7157" s="248"/>
      <c r="I7157" s="248"/>
      <c r="J7157" s="247"/>
      <c r="K7157" s="249"/>
    </row>
    <row r="7158" spans="1:11" s="90" customFormat="1" ht="12.75" customHeight="1" x14ac:dyDescent="0.2">
      <c r="A7158" s="247"/>
      <c r="B7158" s="316"/>
      <c r="C7158" s="247"/>
      <c r="D7158" s="317"/>
      <c r="E7158" s="318"/>
      <c r="F7158" s="247"/>
      <c r="G7158" s="247"/>
      <c r="H7158" s="248"/>
      <c r="I7158" s="248"/>
      <c r="J7158" s="247"/>
      <c r="K7158" s="249"/>
    </row>
    <row r="7159" spans="1:11" s="90" customFormat="1" ht="12.75" customHeight="1" x14ac:dyDescent="0.2">
      <c r="A7159" s="247"/>
      <c r="B7159" s="316"/>
      <c r="C7159" s="247"/>
      <c r="D7159" s="317"/>
      <c r="E7159" s="318"/>
      <c r="F7159" s="247"/>
      <c r="G7159" s="247"/>
      <c r="H7159" s="248"/>
      <c r="I7159" s="248"/>
      <c r="J7159" s="247"/>
      <c r="K7159" s="249"/>
    </row>
    <row r="7160" spans="1:11" s="90" customFormat="1" ht="12.75" customHeight="1" x14ac:dyDescent="0.2">
      <c r="A7160" s="247"/>
      <c r="B7160" s="316"/>
      <c r="C7160" s="247"/>
      <c r="D7160" s="317"/>
      <c r="E7160" s="318"/>
      <c r="F7160" s="247"/>
      <c r="G7160" s="247"/>
      <c r="H7160" s="248"/>
      <c r="I7160" s="248"/>
      <c r="J7160" s="247"/>
      <c r="K7160" s="249"/>
    </row>
    <row r="7161" spans="1:11" s="90" customFormat="1" ht="12.75" customHeight="1" x14ac:dyDescent="0.2">
      <c r="A7161" s="247"/>
      <c r="B7161" s="316"/>
      <c r="C7161" s="247"/>
      <c r="D7161" s="317"/>
      <c r="E7161" s="318"/>
      <c r="F7161" s="247"/>
      <c r="G7161" s="247"/>
      <c r="H7161" s="248"/>
      <c r="I7161" s="248"/>
      <c r="J7161" s="247"/>
      <c r="K7161" s="249"/>
    </row>
    <row r="7162" spans="1:11" s="90" customFormat="1" ht="12.75" customHeight="1" x14ac:dyDescent="0.2">
      <c r="A7162" s="247"/>
      <c r="B7162" s="316"/>
      <c r="C7162" s="247"/>
      <c r="D7162" s="317"/>
      <c r="E7162" s="318"/>
      <c r="F7162" s="247"/>
      <c r="G7162" s="247"/>
      <c r="H7162" s="248"/>
      <c r="I7162" s="248"/>
      <c r="J7162" s="247"/>
      <c r="K7162" s="249"/>
    </row>
    <row r="7163" spans="1:11" s="90" customFormat="1" ht="12.75" customHeight="1" x14ac:dyDescent="0.2">
      <c r="A7163" s="247"/>
      <c r="B7163" s="316"/>
      <c r="C7163" s="247"/>
      <c r="D7163" s="317"/>
      <c r="E7163" s="318"/>
      <c r="F7163" s="247"/>
      <c r="G7163" s="247"/>
      <c r="H7163" s="248"/>
      <c r="I7163" s="248"/>
      <c r="J7163" s="247"/>
      <c r="K7163" s="249"/>
    </row>
    <row r="7164" spans="1:11" s="90" customFormat="1" ht="12.75" customHeight="1" x14ac:dyDescent="0.2">
      <c r="A7164" s="247"/>
      <c r="B7164" s="316"/>
      <c r="C7164" s="247"/>
      <c r="D7164" s="317"/>
      <c r="E7164" s="318"/>
      <c r="F7164" s="247"/>
      <c r="G7164" s="247"/>
      <c r="H7164" s="248"/>
      <c r="I7164" s="248"/>
      <c r="J7164" s="247"/>
      <c r="K7164" s="249"/>
    </row>
    <row r="7165" spans="1:11" s="90" customFormat="1" ht="12.75" customHeight="1" x14ac:dyDescent="0.2">
      <c r="A7165" s="247"/>
      <c r="B7165" s="316"/>
      <c r="C7165" s="247"/>
      <c r="D7165" s="317"/>
      <c r="E7165" s="318"/>
      <c r="F7165" s="247"/>
      <c r="G7165" s="247"/>
      <c r="H7165" s="248"/>
      <c r="I7165" s="248"/>
      <c r="J7165" s="247"/>
      <c r="K7165" s="249"/>
    </row>
    <row r="7166" spans="1:11" s="90" customFormat="1" ht="12.75" customHeight="1" x14ac:dyDescent="0.2">
      <c r="A7166" s="247"/>
      <c r="B7166" s="316"/>
      <c r="C7166" s="247"/>
      <c r="D7166" s="317"/>
      <c r="E7166" s="318"/>
      <c r="F7166" s="247"/>
      <c r="G7166" s="247"/>
      <c r="H7166" s="248"/>
      <c r="I7166" s="248"/>
      <c r="J7166" s="247"/>
      <c r="K7166" s="249"/>
    </row>
    <row r="7167" spans="1:11" s="90" customFormat="1" ht="12.75" customHeight="1" x14ac:dyDescent="0.2">
      <c r="A7167" s="247"/>
      <c r="B7167" s="316"/>
      <c r="C7167" s="247"/>
      <c r="D7167" s="317"/>
      <c r="E7167" s="318"/>
      <c r="F7167" s="247"/>
      <c r="G7167" s="247"/>
      <c r="H7167" s="248"/>
      <c r="I7167" s="248"/>
      <c r="J7167" s="247"/>
      <c r="K7167" s="249"/>
    </row>
    <row r="7168" spans="1:11" s="90" customFormat="1" ht="12.75" customHeight="1" x14ac:dyDescent="0.2">
      <c r="A7168" s="247"/>
      <c r="B7168" s="316"/>
      <c r="C7168" s="247"/>
      <c r="D7168" s="317"/>
      <c r="E7168" s="318"/>
      <c r="F7168" s="247"/>
      <c r="G7168" s="247"/>
      <c r="H7168" s="248"/>
      <c r="I7168" s="248"/>
      <c r="J7168" s="247"/>
      <c r="K7168" s="249"/>
    </row>
    <row r="7169" spans="1:11" s="90" customFormat="1" ht="12.75" customHeight="1" x14ac:dyDescent="0.2">
      <c r="A7169" s="247"/>
      <c r="B7169" s="316"/>
      <c r="C7169" s="247"/>
      <c r="D7169" s="317"/>
      <c r="E7169" s="318"/>
      <c r="F7169" s="247"/>
      <c r="G7169" s="247"/>
      <c r="H7169" s="248"/>
      <c r="I7169" s="248"/>
      <c r="J7169" s="247"/>
      <c r="K7169" s="249"/>
    </row>
    <row r="7170" spans="1:11" s="90" customFormat="1" ht="12.75" customHeight="1" x14ac:dyDescent="0.2">
      <c r="A7170" s="247"/>
      <c r="B7170" s="316"/>
      <c r="C7170" s="247"/>
      <c r="D7170" s="317"/>
      <c r="E7170" s="318"/>
      <c r="F7170" s="247"/>
      <c r="G7170" s="247"/>
      <c r="H7170" s="248"/>
      <c r="I7170" s="248"/>
      <c r="J7170" s="247"/>
      <c r="K7170" s="249"/>
    </row>
    <row r="7171" spans="1:11" s="90" customFormat="1" ht="12.75" customHeight="1" x14ac:dyDescent="0.2">
      <c r="A7171" s="247"/>
      <c r="B7171" s="316"/>
      <c r="C7171" s="247"/>
      <c r="D7171" s="317"/>
      <c r="E7171" s="318"/>
      <c r="F7171" s="247"/>
      <c r="G7171" s="247"/>
      <c r="H7171" s="248"/>
      <c r="I7171" s="248"/>
      <c r="J7171" s="247"/>
      <c r="K7171" s="249"/>
    </row>
    <row r="7172" spans="1:11" s="90" customFormat="1" ht="12.75" customHeight="1" x14ac:dyDescent="0.2">
      <c r="A7172" s="247"/>
      <c r="B7172" s="316"/>
      <c r="C7172" s="247"/>
      <c r="D7172" s="317"/>
      <c r="E7172" s="318"/>
      <c r="F7172" s="247"/>
      <c r="G7172" s="247"/>
      <c r="H7172" s="248"/>
      <c r="I7172" s="248"/>
      <c r="J7172" s="247"/>
      <c r="K7172" s="249"/>
    </row>
    <row r="7173" spans="1:11" s="90" customFormat="1" ht="12.75" customHeight="1" x14ac:dyDescent="0.2">
      <c r="A7173" s="247"/>
      <c r="B7173" s="316"/>
      <c r="C7173" s="247"/>
      <c r="D7173" s="317"/>
      <c r="E7173" s="318"/>
      <c r="F7173" s="247"/>
      <c r="G7173" s="247"/>
      <c r="H7173" s="248"/>
      <c r="I7173" s="248"/>
      <c r="J7173" s="247"/>
      <c r="K7173" s="249"/>
    </row>
    <row r="7174" spans="1:11" s="90" customFormat="1" ht="12.75" customHeight="1" x14ac:dyDescent="0.2">
      <c r="A7174" s="247"/>
      <c r="B7174" s="316"/>
      <c r="C7174" s="247"/>
      <c r="D7174" s="317"/>
      <c r="E7174" s="318"/>
      <c r="F7174" s="247"/>
      <c r="G7174" s="247"/>
      <c r="H7174" s="248"/>
      <c r="I7174" s="248"/>
      <c r="J7174" s="247"/>
      <c r="K7174" s="249"/>
    </row>
    <row r="7175" spans="1:11" s="90" customFormat="1" ht="12.75" customHeight="1" x14ac:dyDescent="0.2">
      <c r="A7175" s="247"/>
      <c r="B7175" s="316"/>
      <c r="C7175" s="247"/>
      <c r="D7175" s="317"/>
      <c r="E7175" s="318"/>
      <c r="F7175" s="247"/>
      <c r="G7175" s="247"/>
      <c r="H7175" s="248"/>
      <c r="I7175" s="248"/>
      <c r="J7175" s="247"/>
      <c r="K7175" s="249"/>
    </row>
    <row r="7176" spans="1:11" s="90" customFormat="1" ht="12.75" customHeight="1" x14ac:dyDescent="0.2">
      <c r="A7176" s="247"/>
      <c r="B7176" s="316"/>
      <c r="C7176" s="247"/>
      <c r="D7176" s="317"/>
      <c r="E7176" s="318"/>
      <c r="F7176" s="247"/>
      <c r="G7176" s="247"/>
      <c r="H7176" s="248"/>
      <c r="I7176" s="248"/>
      <c r="J7176" s="247"/>
      <c r="K7176" s="249"/>
    </row>
    <row r="7177" spans="1:11" s="90" customFormat="1" ht="12.75" customHeight="1" x14ac:dyDescent="0.2">
      <c r="A7177" s="247"/>
      <c r="B7177" s="316"/>
      <c r="C7177" s="247"/>
      <c r="D7177" s="317"/>
      <c r="E7177" s="318"/>
      <c r="F7177" s="247"/>
      <c r="G7177" s="247"/>
      <c r="H7177" s="248"/>
      <c r="I7177" s="248"/>
      <c r="J7177" s="247"/>
      <c r="K7177" s="249"/>
    </row>
    <row r="7178" spans="1:11" s="90" customFormat="1" ht="12.75" customHeight="1" x14ac:dyDescent="0.2">
      <c r="A7178" s="247"/>
      <c r="B7178" s="316"/>
      <c r="C7178" s="247"/>
      <c r="D7178" s="317"/>
      <c r="E7178" s="318"/>
      <c r="F7178" s="247"/>
      <c r="G7178" s="247"/>
      <c r="H7178" s="248"/>
      <c r="I7178" s="248"/>
      <c r="J7178" s="247"/>
      <c r="K7178" s="249"/>
    </row>
    <row r="7179" spans="1:11" s="90" customFormat="1" ht="12.75" customHeight="1" x14ac:dyDescent="0.2">
      <c r="A7179" s="247"/>
      <c r="B7179" s="316"/>
      <c r="C7179" s="247"/>
      <c r="D7179" s="317"/>
      <c r="E7179" s="318"/>
      <c r="F7179" s="247"/>
      <c r="G7179" s="247"/>
      <c r="H7179" s="248"/>
      <c r="I7179" s="248"/>
      <c r="J7179" s="247"/>
      <c r="K7179" s="249"/>
    </row>
    <row r="7180" spans="1:11" s="90" customFormat="1" ht="12.75" customHeight="1" x14ac:dyDescent="0.2">
      <c r="A7180" s="247"/>
      <c r="B7180" s="316"/>
      <c r="C7180" s="247"/>
      <c r="D7180" s="317"/>
      <c r="E7180" s="318"/>
      <c r="F7180" s="247"/>
      <c r="G7180" s="247"/>
      <c r="H7180" s="248"/>
      <c r="I7180" s="248"/>
      <c r="J7180" s="247"/>
      <c r="K7180" s="249"/>
    </row>
    <row r="7181" spans="1:11" s="90" customFormat="1" ht="12.75" customHeight="1" x14ac:dyDescent="0.2">
      <c r="A7181" s="247"/>
      <c r="B7181" s="316"/>
      <c r="C7181" s="247"/>
      <c r="D7181" s="317"/>
      <c r="E7181" s="318"/>
      <c r="F7181" s="247"/>
      <c r="G7181" s="247"/>
      <c r="H7181" s="248"/>
      <c r="I7181" s="248"/>
      <c r="J7181" s="247"/>
      <c r="K7181" s="249"/>
    </row>
    <row r="7182" spans="1:11" s="90" customFormat="1" ht="12.75" customHeight="1" x14ac:dyDescent="0.2">
      <c r="A7182" s="247"/>
      <c r="B7182" s="316"/>
      <c r="C7182" s="247"/>
      <c r="D7182" s="317"/>
      <c r="E7182" s="318"/>
      <c r="F7182" s="247"/>
      <c r="G7182" s="247"/>
      <c r="H7182" s="248"/>
      <c r="I7182" s="248"/>
      <c r="J7182" s="247"/>
      <c r="K7182" s="249"/>
    </row>
    <row r="7183" spans="1:11" s="90" customFormat="1" ht="12.75" customHeight="1" x14ac:dyDescent="0.2">
      <c r="A7183" s="247"/>
      <c r="B7183" s="316"/>
      <c r="C7183" s="247"/>
      <c r="D7183" s="317"/>
      <c r="E7183" s="318"/>
      <c r="F7183" s="247"/>
      <c r="G7183" s="247"/>
      <c r="H7183" s="248"/>
      <c r="I7183" s="248"/>
      <c r="J7183" s="247"/>
      <c r="K7183" s="249"/>
    </row>
    <row r="7184" spans="1:11" s="90" customFormat="1" ht="12.75" customHeight="1" x14ac:dyDescent="0.2">
      <c r="A7184" s="247"/>
      <c r="B7184" s="316"/>
      <c r="C7184" s="247"/>
      <c r="D7184" s="317"/>
      <c r="E7184" s="318"/>
      <c r="F7184" s="247"/>
      <c r="G7184" s="247"/>
      <c r="H7184" s="248"/>
      <c r="I7184" s="248"/>
      <c r="J7184" s="247"/>
      <c r="K7184" s="249"/>
    </row>
    <row r="7185" spans="1:11" s="90" customFormat="1" ht="12.75" customHeight="1" x14ac:dyDescent="0.2">
      <c r="A7185" s="247"/>
      <c r="B7185" s="316"/>
      <c r="C7185" s="247"/>
      <c r="D7185" s="317"/>
      <c r="E7185" s="318"/>
      <c r="F7185" s="247"/>
      <c r="G7185" s="247"/>
      <c r="H7185" s="248"/>
      <c r="I7185" s="248"/>
      <c r="J7185" s="247"/>
      <c r="K7185" s="249"/>
    </row>
    <row r="7186" spans="1:11" s="90" customFormat="1" ht="12.75" customHeight="1" x14ac:dyDescent="0.2">
      <c r="A7186" s="247"/>
      <c r="B7186" s="316"/>
      <c r="C7186" s="247"/>
      <c r="D7186" s="317"/>
      <c r="E7186" s="318"/>
      <c r="F7186" s="247"/>
      <c r="G7186" s="247"/>
      <c r="H7186" s="248"/>
      <c r="I7186" s="248"/>
      <c r="J7186" s="247"/>
      <c r="K7186" s="249"/>
    </row>
    <row r="7187" spans="1:11" s="90" customFormat="1" ht="12.75" customHeight="1" x14ac:dyDescent="0.2">
      <c r="A7187" s="247"/>
      <c r="B7187" s="316"/>
      <c r="C7187" s="247"/>
      <c r="D7187" s="317"/>
      <c r="E7187" s="318"/>
      <c r="F7187" s="247"/>
      <c r="G7187" s="247"/>
      <c r="H7187" s="248"/>
      <c r="I7187" s="248"/>
      <c r="J7187" s="247"/>
      <c r="K7187" s="249"/>
    </row>
    <row r="7188" spans="1:11" s="90" customFormat="1" ht="12.75" customHeight="1" x14ac:dyDescent="0.2">
      <c r="A7188" s="247"/>
      <c r="B7188" s="316"/>
      <c r="C7188" s="247"/>
      <c r="D7188" s="317"/>
      <c r="E7188" s="318"/>
      <c r="F7188" s="247"/>
      <c r="G7188" s="247"/>
      <c r="H7188" s="248"/>
      <c r="I7188" s="248"/>
      <c r="J7188" s="247"/>
      <c r="K7188" s="249"/>
    </row>
    <row r="7189" spans="1:11" s="90" customFormat="1" ht="12.75" customHeight="1" x14ac:dyDescent="0.2">
      <c r="A7189" s="247"/>
      <c r="B7189" s="316"/>
      <c r="C7189" s="247"/>
      <c r="D7189" s="317"/>
      <c r="E7189" s="318"/>
      <c r="F7189" s="247"/>
      <c r="G7189" s="247"/>
      <c r="H7189" s="248"/>
      <c r="I7189" s="248"/>
      <c r="J7189" s="247"/>
      <c r="K7189" s="249"/>
    </row>
    <row r="7190" spans="1:11" s="90" customFormat="1" ht="12.75" customHeight="1" x14ac:dyDescent="0.2">
      <c r="A7190" s="247"/>
      <c r="B7190" s="316"/>
      <c r="C7190" s="247"/>
      <c r="D7190" s="317"/>
      <c r="E7190" s="318"/>
      <c r="F7190" s="247"/>
      <c r="G7190" s="247"/>
      <c r="H7190" s="248"/>
      <c r="I7190" s="248"/>
      <c r="J7190" s="247"/>
      <c r="K7190" s="249"/>
    </row>
    <row r="7191" spans="1:11" s="90" customFormat="1" ht="12.75" customHeight="1" x14ac:dyDescent="0.2">
      <c r="A7191" s="247"/>
      <c r="B7191" s="316"/>
      <c r="C7191" s="247"/>
      <c r="D7191" s="317"/>
      <c r="E7191" s="318"/>
      <c r="F7191" s="247"/>
      <c r="G7191" s="247"/>
      <c r="H7191" s="248"/>
      <c r="I7191" s="248"/>
      <c r="J7191" s="247"/>
      <c r="K7191" s="249"/>
    </row>
    <row r="7192" spans="1:11" s="90" customFormat="1" ht="12.75" customHeight="1" x14ac:dyDescent="0.2">
      <c r="A7192" s="247"/>
      <c r="B7192" s="316"/>
      <c r="C7192" s="247"/>
      <c r="D7192" s="317"/>
      <c r="E7192" s="318"/>
      <c r="F7192" s="247"/>
      <c r="G7192" s="247"/>
      <c r="H7192" s="248"/>
      <c r="I7192" s="248"/>
      <c r="J7192" s="247"/>
      <c r="K7192" s="249"/>
    </row>
    <row r="7193" spans="1:11" s="90" customFormat="1" ht="12.75" customHeight="1" x14ac:dyDescent="0.2">
      <c r="A7193" s="247"/>
      <c r="B7193" s="316"/>
      <c r="C7193" s="247"/>
      <c r="D7193" s="317"/>
      <c r="E7193" s="318"/>
      <c r="F7193" s="247"/>
      <c r="G7193" s="247"/>
      <c r="H7193" s="248"/>
      <c r="I7193" s="248"/>
      <c r="J7193" s="247"/>
      <c r="K7193" s="249"/>
    </row>
    <row r="7194" spans="1:11" s="90" customFormat="1" ht="12.75" customHeight="1" x14ac:dyDescent="0.2">
      <c r="A7194" s="247"/>
      <c r="B7194" s="316"/>
      <c r="C7194" s="247"/>
      <c r="D7194" s="317"/>
      <c r="E7194" s="318"/>
      <c r="F7194" s="247"/>
      <c r="G7194" s="247"/>
      <c r="H7194" s="248"/>
      <c r="I7194" s="248"/>
      <c r="J7194" s="247"/>
      <c r="K7194" s="249"/>
    </row>
    <row r="7195" spans="1:11" s="90" customFormat="1" ht="12.75" customHeight="1" x14ac:dyDescent="0.2">
      <c r="A7195" s="247"/>
      <c r="B7195" s="316"/>
      <c r="C7195" s="247"/>
      <c r="D7195" s="317"/>
      <c r="E7195" s="318"/>
      <c r="F7195" s="247"/>
      <c r="G7195" s="247"/>
      <c r="H7195" s="248"/>
      <c r="I7195" s="248"/>
      <c r="J7195" s="247"/>
      <c r="K7195" s="249"/>
    </row>
    <row r="7196" spans="1:11" s="90" customFormat="1" ht="12.75" customHeight="1" x14ac:dyDescent="0.2">
      <c r="A7196" s="247"/>
      <c r="B7196" s="316"/>
      <c r="C7196" s="247"/>
      <c r="D7196" s="317"/>
      <c r="E7196" s="318"/>
      <c r="F7196" s="247"/>
      <c r="G7196" s="247"/>
      <c r="H7196" s="248"/>
      <c r="I7196" s="248"/>
      <c r="J7196" s="247"/>
      <c r="K7196" s="249"/>
    </row>
    <row r="7197" spans="1:11" s="90" customFormat="1" ht="12.75" customHeight="1" x14ac:dyDescent="0.2">
      <c r="A7197" s="247"/>
      <c r="B7197" s="316"/>
      <c r="C7197" s="247"/>
      <c r="D7197" s="317"/>
      <c r="E7197" s="318"/>
      <c r="F7197" s="247"/>
      <c r="G7197" s="247"/>
      <c r="H7197" s="248"/>
      <c r="I7197" s="248"/>
      <c r="J7197" s="247"/>
      <c r="K7197" s="249"/>
    </row>
    <row r="7198" spans="1:11" s="90" customFormat="1" ht="12.75" customHeight="1" x14ac:dyDescent="0.2">
      <c r="A7198" s="247"/>
      <c r="B7198" s="316"/>
      <c r="C7198" s="247"/>
      <c r="D7198" s="317"/>
      <c r="E7198" s="318"/>
      <c r="F7198" s="247"/>
      <c r="G7198" s="247"/>
      <c r="H7198" s="248"/>
      <c r="I7198" s="248"/>
      <c r="J7198" s="247"/>
      <c r="K7198" s="249"/>
    </row>
    <row r="7199" spans="1:11" s="90" customFormat="1" ht="12.75" customHeight="1" x14ac:dyDescent="0.2">
      <c r="A7199" s="247"/>
      <c r="B7199" s="316"/>
      <c r="C7199" s="247"/>
      <c r="D7199" s="317"/>
      <c r="E7199" s="318"/>
      <c r="F7199" s="247"/>
      <c r="G7199" s="247"/>
      <c r="H7199" s="248"/>
      <c r="I7199" s="248"/>
      <c r="J7199" s="247"/>
      <c r="K7199" s="249"/>
    </row>
    <row r="7200" spans="1:11" s="90" customFormat="1" ht="12.75" customHeight="1" x14ac:dyDescent="0.2">
      <c r="A7200" s="247"/>
      <c r="B7200" s="316"/>
      <c r="C7200" s="247"/>
      <c r="D7200" s="317"/>
      <c r="E7200" s="318"/>
      <c r="F7200" s="247"/>
      <c r="G7200" s="247"/>
      <c r="H7200" s="248"/>
      <c r="I7200" s="248"/>
      <c r="J7200" s="247"/>
      <c r="K7200" s="249"/>
    </row>
    <row r="7201" spans="1:11" s="90" customFormat="1" ht="12.75" customHeight="1" x14ac:dyDescent="0.2">
      <c r="A7201" s="247"/>
      <c r="B7201" s="316"/>
      <c r="C7201" s="247"/>
      <c r="D7201" s="317"/>
      <c r="E7201" s="318"/>
      <c r="F7201" s="247"/>
      <c r="G7201" s="247"/>
      <c r="H7201" s="248"/>
      <c r="I7201" s="248"/>
      <c r="J7201" s="247"/>
      <c r="K7201" s="249"/>
    </row>
    <row r="7202" spans="1:11" s="90" customFormat="1" ht="12.75" customHeight="1" x14ac:dyDescent="0.2">
      <c r="A7202" s="247"/>
      <c r="B7202" s="316"/>
      <c r="C7202" s="247"/>
      <c r="D7202" s="317"/>
      <c r="E7202" s="318"/>
      <c r="F7202" s="247"/>
      <c r="G7202" s="247"/>
      <c r="H7202" s="248"/>
      <c r="I7202" s="248"/>
      <c r="J7202" s="247"/>
      <c r="K7202" s="249"/>
    </row>
    <row r="7203" spans="1:11" s="90" customFormat="1" ht="12.75" customHeight="1" x14ac:dyDescent="0.2">
      <c r="A7203" s="247"/>
      <c r="B7203" s="316"/>
      <c r="C7203" s="247"/>
      <c r="D7203" s="317"/>
      <c r="E7203" s="318"/>
      <c r="F7203" s="247"/>
      <c r="G7203" s="247"/>
      <c r="H7203" s="248"/>
      <c r="I7203" s="248"/>
      <c r="J7203" s="247"/>
      <c r="K7203" s="249"/>
    </row>
    <row r="7204" spans="1:11" s="90" customFormat="1" ht="12.75" customHeight="1" x14ac:dyDescent="0.2">
      <c r="A7204" s="247"/>
      <c r="B7204" s="316"/>
      <c r="C7204" s="247"/>
      <c r="D7204" s="317"/>
      <c r="E7204" s="318"/>
      <c r="F7204" s="247"/>
      <c r="G7204" s="247"/>
      <c r="H7204" s="248"/>
      <c r="I7204" s="248"/>
      <c r="J7204" s="247"/>
      <c r="K7204" s="249"/>
    </row>
    <row r="7205" spans="1:11" s="90" customFormat="1" ht="12.75" customHeight="1" x14ac:dyDescent="0.2">
      <c r="A7205" s="247"/>
      <c r="B7205" s="316"/>
      <c r="C7205" s="247"/>
      <c r="D7205" s="317"/>
      <c r="E7205" s="318"/>
      <c r="F7205" s="247"/>
      <c r="G7205" s="247"/>
      <c r="H7205" s="248"/>
      <c r="I7205" s="248"/>
      <c r="J7205" s="247"/>
      <c r="K7205" s="249"/>
    </row>
    <row r="7206" spans="1:11" s="90" customFormat="1" ht="12.75" customHeight="1" x14ac:dyDescent="0.2">
      <c r="A7206" s="247"/>
      <c r="B7206" s="316"/>
      <c r="C7206" s="247"/>
      <c r="D7206" s="317"/>
      <c r="E7206" s="318"/>
      <c r="F7206" s="247"/>
      <c r="G7206" s="247"/>
      <c r="H7206" s="248"/>
      <c r="I7206" s="248"/>
      <c r="J7206" s="247"/>
      <c r="K7206" s="249"/>
    </row>
    <row r="7207" spans="1:11" s="90" customFormat="1" ht="12.75" customHeight="1" x14ac:dyDescent="0.2">
      <c r="A7207" s="247"/>
      <c r="B7207" s="316"/>
      <c r="C7207" s="247"/>
      <c r="D7207" s="317"/>
      <c r="E7207" s="318"/>
      <c r="F7207" s="247"/>
      <c r="G7207" s="247"/>
      <c r="H7207" s="248"/>
      <c r="I7207" s="248"/>
      <c r="J7207" s="247"/>
      <c r="K7207" s="249"/>
    </row>
    <row r="7208" spans="1:11" s="90" customFormat="1" ht="12.75" customHeight="1" x14ac:dyDescent="0.2">
      <c r="A7208" s="247"/>
      <c r="B7208" s="316"/>
      <c r="C7208" s="247"/>
      <c r="D7208" s="317"/>
      <c r="E7208" s="318"/>
      <c r="F7208" s="247"/>
      <c r="G7208" s="247"/>
      <c r="H7208" s="248"/>
      <c r="I7208" s="248"/>
      <c r="J7208" s="247"/>
      <c r="K7208" s="249"/>
    </row>
    <row r="7209" spans="1:11" s="90" customFormat="1" ht="12.75" customHeight="1" x14ac:dyDescent="0.2">
      <c r="A7209" s="247"/>
      <c r="B7209" s="316"/>
      <c r="C7209" s="247"/>
      <c r="D7209" s="317"/>
      <c r="E7209" s="318"/>
      <c r="F7209" s="247"/>
      <c r="G7209" s="247"/>
      <c r="H7209" s="248"/>
      <c r="I7209" s="248"/>
      <c r="J7209" s="247"/>
      <c r="K7209" s="249"/>
    </row>
    <row r="7210" spans="1:11" s="90" customFormat="1" ht="12.75" customHeight="1" x14ac:dyDescent="0.2">
      <c r="A7210" s="247"/>
      <c r="B7210" s="316"/>
      <c r="C7210" s="247"/>
      <c r="D7210" s="317"/>
      <c r="E7210" s="318"/>
      <c r="F7210" s="247"/>
      <c r="G7210" s="247"/>
      <c r="H7210" s="248"/>
      <c r="I7210" s="248"/>
      <c r="J7210" s="247"/>
      <c r="K7210" s="249"/>
    </row>
    <row r="7211" spans="1:11" s="90" customFormat="1" ht="12.75" customHeight="1" x14ac:dyDescent="0.2">
      <c r="A7211" s="247"/>
      <c r="B7211" s="316"/>
      <c r="C7211" s="247"/>
      <c r="D7211" s="317"/>
      <c r="E7211" s="318"/>
      <c r="F7211" s="247"/>
      <c r="G7211" s="247"/>
      <c r="H7211" s="248"/>
      <c r="I7211" s="248"/>
      <c r="J7211" s="247"/>
      <c r="K7211" s="249"/>
    </row>
    <row r="7212" spans="1:11" s="90" customFormat="1" ht="12.75" customHeight="1" x14ac:dyDescent="0.2">
      <c r="A7212" s="247"/>
      <c r="B7212" s="316"/>
      <c r="C7212" s="247"/>
      <c r="D7212" s="317"/>
      <c r="E7212" s="318"/>
      <c r="F7212" s="247"/>
      <c r="G7212" s="247"/>
      <c r="H7212" s="248"/>
      <c r="I7212" s="248"/>
      <c r="J7212" s="247"/>
      <c r="K7212" s="249"/>
    </row>
    <row r="7213" spans="1:11" s="90" customFormat="1" ht="12.75" customHeight="1" x14ac:dyDescent="0.2">
      <c r="A7213" s="247"/>
      <c r="B7213" s="316"/>
      <c r="C7213" s="247"/>
      <c r="D7213" s="317"/>
      <c r="E7213" s="318"/>
      <c r="F7213" s="247"/>
      <c r="G7213" s="247"/>
      <c r="H7213" s="248"/>
      <c r="I7213" s="248"/>
      <c r="J7213" s="247"/>
      <c r="K7213" s="249"/>
    </row>
    <row r="7214" spans="1:11" s="90" customFormat="1" ht="12.75" customHeight="1" x14ac:dyDescent="0.2">
      <c r="A7214" s="247"/>
      <c r="B7214" s="316"/>
      <c r="C7214" s="247"/>
      <c r="D7214" s="317"/>
      <c r="E7214" s="318"/>
      <c r="F7214" s="247"/>
      <c r="G7214" s="247"/>
      <c r="H7214" s="248"/>
      <c r="I7214" s="248"/>
      <c r="J7214" s="247"/>
      <c r="K7214" s="249"/>
    </row>
    <row r="7215" spans="1:11" s="90" customFormat="1" ht="12.75" customHeight="1" x14ac:dyDescent="0.2">
      <c r="A7215" s="247"/>
      <c r="B7215" s="316"/>
      <c r="C7215" s="247"/>
      <c r="D7215" s="317"/>
      <c r="E7215" s="318"/>
      <c r="F7215" s="247"/>
      <c r="G7215" s="247"/>
      <c r="H7215" s="248"/>
      <c r="I7215" s="248"/>
      <c r="J7215" s="247"/>
      <c r="K7215" s="249"/>
    </row>
    <row r="7216" spans="1:11" s="90" customFormat="1" ht="12.75" customHeight="1" x14ac:dyDescent="0.2">
      <c r="A7216" s="247"/>
      <c r="B7216" s="316"/>
      <c r="C7216" s="247"/>
      <c r="D7216" s="317"/>
      <c r="E7216" s="318"/>
      <c r="F7216" s="247"/>
      <c r="G7216" s="247"/>
      <c r="H7216" s="248"/>
      <c r="I7216" s="248"/>
      <c r="J7216" s="247"/>
      <c r="K7216" s="249"/>
    </row>
    <row r="7217" spans="1:11" s="90" customFormat="1" ht="12.75" customHeight="1" x14ac:dyDescent="0.2">
      <c r="A7217" s="247"/>
      <c r="B7217" s="316"/>
      <c r="C7217" s="247"/>
      <c r="D7217" s="317"/>
      <c r="E7217" s="318"/>
      <c r="F7217" s="247"/>
      <c r="G7217" s="247"/>
      <c r="H7217" s="248"/>
      <c r="I7217" s="248"/>
      <c r="J7217" s="247"/>
      <c r="K7217" s="249"/>
    </row>
    <row r="7218" spans="1:11" s="90" customFormat="1" ht="12.75" customHeight="1" x14ac:dyDescent="0.2">
      <c r="A7218" s="247"/>
      <c r="B7218" s="316"/>
      <c r="C7218" s="247"/>
      <c r="D7218" s="317"/>
      <c r="E7218" s="318"/>
      <c r="F7218" s="247"/>
      <c r="G7218" s="247"/>
      <c r="H7218" s="248"/>
      <c r="I7218" s="248"/>
      <c r="J7218" s="247"/>
      <c r="K7218" s="249"/>
    </row>
    <row r="7219" spans="1:11" s="90" customFormat="1" ht="12.75" customHeight="1" x14ac:dyDescent="0.2">
      <c r="A7219" s="247"/>
      <c r="B7219" s="316"/>
      <c r="C7219" s="247"/>
      <c r="D7219" s="317"/>
      <c r="E7219" s="318"/>
      <c r="F7219" s="247"/>
      <c r="G7219" s="247"/>
      <c r="H7219" s="248"/>
      <c r="I7219" s="248"/>
      <c r="J7219" s="247"/>
      <c r="K7219" s="249"/>
    </row>
    <row r="7220" spans="1:11" s="90" customFormat="1" ht="12.75" customHeight="1" x14ac:dyDescent="0.2">
      <c r="A7220" s="247"/>
      <c r="B7220" s="316"/>
      <c r="C7220" s="247"/>
      <c r="D7220" s="317"/>
      <c r="E7220" s="318"/>
      <c r="F7220" s="247"/>
      <c r="G7220" s="247"/>
      <c r="H7220" s="248"/>
      <c r="I7220" s="248"/>
      <c r="J7220" s="247"/>
      <c r="K7220" s="249"/>
    </row>
    <row r="7221" spans="1:11" s="90" customFormat="1" ht="12.75" customHeight="1" x14ac:dyDescent="0.2">
      <c r="A7221" s="247"/>
      <c r="B7221" s="316"/>
      <c r="C7221" s="247"/>
      <c r="D7221" s="317"/>
      <c r="E7221" s="318"/>
      <c r="F7221" s="247"/>
      <c r="G7221" s="247"/>
      <c r="H7221" s="248"/>
      <c r="I7221" s="248"/>
      <c r="J7221" s="247"/>
      <c r="K7221" s="249"/>
    </row>
    <row r="7222" spans="1:11" s="90" customFormat="1" ht="12.75" customHeight="1" x14ac:dyDescent="0.2">
      <c r="A7222" s="247"/>
      <c r="B7222" s="316"/>
      <c r="C7222" s="247"/>
      <c r="D7222" s="317"/>
      <c r="E7222" s="318"/>
      <c r="F7222" s="247"/>
      <c r="G7222" s="247"/>
      <c r="H7222" s="248"/>
      <c r="I7222" s="248"/>
      <c r="J7222" s="247"/>
      <c r="K7222" s="249"/>
    </row>
    <row r="7223" spans="1:11" s="90" customFormat="1" ht="12.75" customHeight="1" x14ac:dyDescent="0.2">
      <c r="A7223" s="247"/>
      <c r="B7223" s="316"/>
      <c r="C7223" s="247"/>
      <c r="D7223" s="317"/>
      <c r="E7223" s="318"/>
      <c r="F7223" s="247"/>
      <c r="G7223" s="247"/>
      <c r="H7223" s="248"/>
      <c r="I7223" s="248"/>
      <c r="J7223" s="247"/>
      <c r="K7223" s="249"/>
    </row>
    <row r="7224" spans="1:11" s="90" customFormat="1" ht="12.75" customHeight="1" x14ac:dyDescent="0.2">
      <c r="A7224" s="247"/>
      <c r="B7224" s="316"/>
      <c r="C7224" s="247"/>
      <c r="D7224" s="317"/>
      <c r="E7224" s="318"/>
      <c r="F7224" s="247"/>
      <c r="G7224" s="247"/>
      <c r="H7224" s="248"/>
      <c r="I7224" s="248"/>
      <c r="J7224" s="247"/>
      <c r="K7224" s="249"/>
    </row>
    <row r="7225" spans="1:11" s="90" customFormat="1" ht="12.75" customHeight="1" x14ac:dyDescent="0.2">
      <c r="A7225" s="247"/>
      <c r="B7225" s="316"/>
      <c r="C7225" s="247"/>
      <c r="D7225" s="317"/>
      <c r="E7225" s="318"/>
      <c r="F7225" s="247"/>
      <c r="G7225" s="247"/>
      <c r="H7225" s="248"/>
      <c r="I7225" s="248"/>
      <c r="J7225" s="247"/>
      <c r="K7225" s="249"/>
    </row>
    <row r="7226" spans="1:11" s="90" customFormat="1" ht="12.75" customHeight="1" x14ac:dyDescent="0.2">
      <c r="A7226" s="247"/>
      <c r="B7226" s="316"/>
      <c r="C7226" s="247"/>
      <c r="D7226" s="317"/>
      <c r="E7226" s="318"/>
      <c r="F7226" s="247"/>
      <c r="G7226" s="247"/>
      <c r="H7226" s="248"/>
      <c r="I7226" s="248"/>
      <c r="J7226" s="247"/>
      <c r="K7226" s="249"/>
    </row>
    <row r="7227" spans="1:11" s="90" customFormat="1" ht="12.75" customHeight="1" x14ac:dyDescent="0.2">
      <c r="A7227" s="247"/>
      <c r="B7227" s="316"/>
      <c r="C7227" s="247"/>
      <c r="D7227" s="317"/>
      <c r="E7227" s="318"/>
      <c r="F7227" s="247"/>
      <c r="G7227" s="247"/>
      <c r="H7227" s="248"/>
      <c r="I7227" s="248"/>
      <c r="J7227" s="247"/>
      <c r="K7227" s="249"/>
    </row>
    <row r="7228" spans="1:11" s="90" customFormat="1" ht="12.75" customHeight="1" x14ac:dyDescent="0.2">
      <c r="A7228" s="247"/>
      <c r="B7228" s="316"/>
      <c r="C7228" s="247"/>
      <c r="D7228" s="317"/>
      <c r="E7228" s="318"/>
      <c r="F7228" s="247"/>
      <c r="G7228" s="247"/>
      <c r="H7228" s="248"/>
      <c r="I7228" s="248"/>
      <c r="J7228" s="247"/>
      <c r="K7228" s="249"/>
    </row>
    <row r="7229" spans="1:11" s="90" customFormat="1" ht="12.75" customHeight="1" x14ac:dyDescent="0.2">
      <c r="A7229" s="247"/>
      <c r="B7229" s="316"/>
      <c r="C7229" s="247"/>
      <c r="D7229" s="317"/>
      <c r="E7229" s="318"/>
      <c r="F7229" s="247"/>
      <c r="G7229" s="247"/>
      <c r="H7229" s="248"/>
      <c r="I7229" s="248"/>
      <c r="J7229" s="247"/>
      <c r="K7229" s="249"/>
    </row>
    <row r="7230" spans="1:11" s="90" customFormat="1" ht="12.75" customHeight="1" x14ac:dyDescent="0.2">
      <c r="A7230" s="247"/>
      <c r="B7230" s="316"/>
      <c r="C7230" s="247"/>
      <c r="D7230" s="317"/>
      <c r="E7230" s="318"/>
      <c r="F7230" s="247"/>
      <c r="G7230" s="247"/>
      <c r="H7230" s="248"/>
      <c r="I7230" s="248"/>
      <c r="J7230" s="247"/>
      <c r="K7230" s="249"/>
    </row>
    <row r="7231" spans="1:11" s="90" customFormat="1" ht="12.75" customHeight="1" x14ac:dyDescent="0.2">
      <c r="A7231" s="247"/>
      <c r="B7231" s="316"/>
      <c r="C7231" s="247"/>
      <c r="D7231" s="317"/>
      <c r="E7231" s="318"/>
      <c r="F7231" s="247"/>
      <c r="G7231" s="247"/>
      <c r="H7231" s="248"/>
      <c r="I7231" s="248"/>
      <c r="J7231" s="247"/>
      <c r="K7231" s="249"/>
    </row>
    <row r="7232" spans="1:11" s="90" customFormat="1" ht="12.75" customHeight="1" x14ac:dyDescent="0.2">
      <c r="A7232" s="247"/>
      <c r="B7232" s="316"/>
      <c r="C7232" s="247"/>
      <c r="D7232" s="317"/>
      <c r="E7232" s="318"/>
      <c r="F7232" s="247"/>
      <c r="G7232" s="247"/>
      <c r="H7232" s="248"/>
      <c r="I7232" s="248"/>
      <c r="J7232" s="247"/>
      <c r="K7232" s="249"/>
    </row>
    <row r="7233" spans="1:11" s="90" customFormat="1" ht="12.75" customHeight="1" x14ac:dyDescent="0.2">
      <c r="A7233" s="247"/>
      <c r="B7233" s="316"/>
      <c r="C7233" s="247"/>
      <c r="D7233" s="317"/>
      <c r="E7233" s="318"/>
      <c r="F7233" s="247"/>
      <c r="G7233" s="247"/>
      <c r="H7233" s="248"/>
      <c r="I7233" s="248"/>
      <c r="J7233" s="247"/>
      <c r="K7233" s="249"/>
    </row>
    <row r="7234" spans="1:11" s="90" customFormat="1" ht="12.75" customHeight="1" x14ac:dyDescent="0.2">
      <c r="A7234" s="247"/>
      <c r="B7234" s="316"/>
      <c r="C7234" s="247"/>
      <c r="D7234" s="317"/>
      <c r="E7234" s="318"/>
      <c r="F7234" s="247"/>
      <c r="G7234" s="247"/>
      <c r="H7234" s="248"/>
      <c r="I7234" s="248"/>
      <c r="J7234" s="247"/>
      <c r="K7234" s="249"/>
    </row>
    <row r="7235" spans="1:11" s="90" customFormat="1" ht="12.75" customHeight="1" x14ac:dyDescent="0.2">
      <c r="A7235" s="247"/>
      <c r="B7235" s="316"/>
      <c r="C7235" s="247"/>
      <c r="D7235" s="317"/>
      <c r="E7235" s="318"/>
      <c r="F7235" s="247"/>
      <c r="G7235" s="247"/>
      <c r="H7235" s="248"/>
      <c r="I7235" s="248"/>
      <c r="J7235" s="247"/>
      <c r="K7235" s="249"/>
    </row>
    <row r="7236" spans="1:11" s="90" customFormat="1" ht="12.75" customHeight="1" x14ac:dyDescent="0.2">
      <c r="A7236" s="247"/>
      <c r="B7236" s="316"/>
      <c r="C7236" s="247"/>
      <c r="D7236" s="317"/>
      <c r="E7236" s="318"/>
      <c r="F7236" s="247"/>
      <c r="G7236" s="247"/>
      <c r="H7236" s="248"/>
      <c r="I7236" s="248"/>
      <c r="J7236" s="247"/>
      <c r="K7236" s="249"/>
    </row>
    <row r="7237" spans="1:11" s="90" customFormat="1" ht="12.75" customHeight="1" x14ac:dyDescent="0.2">
      <c r="A7237" s="247"/>
      <c r="B7237" s="316"/>
      <c r="C7237" s="247"/>
      <c r="D7237" s="317"/>
      <c r="E7237" s="318"/>
      <c r="F7237" s="247"/>
      <c r="G7237" s="247"/>
      <c r="H7237" s="248"/>
      <c r="I7237" s="248"/>
      <c r="J7237" s="247"/>
      <c r="K7237" s="249"/>
    </row>
    <row r="7238" spans="1:11" s="90" customFormat="1" ht="12.75" customHeight="1" x14ac:dyDescent="0.2">
      <c r="A7238" s="247"/>
      <c r="B7238" s="316"/>
      <c r="C7238" s="247"/>
      <c r="D7238" s="317"/>
      <c r="E7238" s="318"/>
      <c r="F7238" s="247"/>
      <c r="G7238" s="247"/>
      <c r="H7238" s="248"/>
      <c r="I7238" s="248"/>
      <c r="J7238" s="247"/>
      <c r="K7238" s="249"/>
    </row>
    <row r="7239" spans="1:11" s="90" customFormat="1" ht="12.75" customHeight="1" x14ac:dyDescent="0.2">
      <c r="A7239" s="247"/>
      <c r="B7239" s="316"/>
      <c r="C7239" s="247"/>
      <c r="D7239" s="317"/>
      <c r="E7239" s="318"/>
      <c r="F7239" s="247"/>
      <c r="G7239" s="247"/>
      <c r="H7239" s="248"/>
      <c r="I7239" s="248"/>
      <c r="J7239" s="247"/>
      <c r="K7239" s="249"/>
    </row>
    <row r="7240" spans="1:11" s="90" customFormat="1" ht="12.75" customHeight="1" x14ac:dyDescent="0.2">
      <c r="A7240" s="247"/>
      <c r="B7240" s="316"/>
      <c r="C7240" s="247"/>
      <c r="D7240" s="317"/>
      <c r="E7240" s="318"/>
      <c r="F7240" s="247"/>
      <c r="G7240" s="247"/>
      <c r="H7240" s="248"/>
      <c r="I7240" s="248"/>
      <c r="J7240" s="247"/>
      <c r="K7240" s="249"/>
    </row>
    <row r="7241" spans="1:11" s="90" customFormat="1" ht="12.75" customHeight="1" x14ac:dyDescent="0.2">
      <c r="A7241" s="247"/>
      <c r="B7241" s="316"/>
      <c r="C7241" s="247"/>
      <c r="D7241" s="317"/>
      <c r="E7241" s="318"/>
      <c r="F7241" s="247"/>
      <c r="G7241" s="247"/>
      <c r="H7241" s="248"/>
      <c r="I7241" s="248"/>
      <c r="J7241" s="247"/>
      <c r="K7241" s="249"/>
    </row>
    <row r="7242" spans="1:11" s="90" customFormat="1" ht="12.75" customHeight="1" x14ac:dyDescent="0.2">
      <c r="A7242" s="247"/>
      <c r="B7242" s="316"/>
      <c r="C7242" s="247"/>
      <c r="D7242" s="317"/>
      <c r="E7242" s="318"/>
      <c r="F7242" s="247"/>
      <c r="G7242" s="247"/>
      <c r="H7242" s="248"/>
      <c r="I7242" s="248"/>
      <c r="J7242" s="247"/>
      <c r="K7242" s="249"/>
    </row>
    <row r="7243" spans="1:11" s="90" customFormat="1" ht="12.75" customHeight="1" x14ac:dyDescent="0.2">
      <c r="A7243" s="247"/>
      <c r="B7243" s="316"/>
      <c r="C7243" s="247"/>
      <c r="D7243" s="317"/>
      <c r="E7243" s="318"/>
      <c r="F7243" s="247"/>
      <c r="G7243" s="247"/>
      <c r="H7243" s="248"/>
      <c r="I7243" s="248"/>
      <c r="J7243" s="247"/>
      <c r="K7243" s="249"/>
    </row>
    <row r="7244" spans="1:11" s="90" customFormat="1" ht="12.75" customHeight="1" x14ac:dyDescent="0.2">
      <c r="A7244" s="247"/>
      <c r="B7244" s="316"/>
      <c r="C7244" s="247"/>
      <c r="D7244" s="317"/>
      <c r="E7244" s="318"/>
      <c r="F7244" s="247"/>
      <c r="G7244" s="247"/>
      <c r="H7244" s="248"/>
      <c r="I7244" s="248"/>
      <c r="J7244" s="247"/>
      <c r="K7244" s="249"/>
    </row>
    <row r="7245" spans="1:11" s="90" customFormat="1" ht="12.75" customHeight="1" x14ac:dyDescent="0.2">
      <c r="A7245" s="247"/>
      <c r="B7245" s="316"/>
      <c r="C7245" s="247"/>
      <c r="D7245" s="317"/>
      <c r="E7245" s="318"/>
      <c r="F7245" s="247"/>
      <c r="G7245" s="247"/>
      <c r="H7245" s="248"/>
      <c r="I7245" s="248"/>
      <c r="J7245" s="247"/>
      <c r="K7245" s="249"/>
    </row>
    <row r="7246" spans="1:11" s="90" customFormat="1" ht="12.75" customHeight="1" x14ac:dyDescent="0.2">
      <c r="A7246" s="247"/>
      <c r="B7246" s="316"/>
      <c r="C7246" s="247"/>
      <c r="D7246" s="317"/>
      <c r="E7246" s="318"/>
      <c r="F7246" s="247"/>
      <c r="G7246" s="247"/>
      <c r="H7246" s="248"/>
      <c r="I7246" s="248"/>
      <c r="J7246" s="247"/>
      <c r="K7246" s="249"/>
    </row>
    <row r="7247" spans="1:11" s="90" customFormat="1" ht="12.75" customHeight="1" x14ac:dyDescent="0.2">
      <c r="A7247" s="247"/>
      <c r="B7247" s="316"/>
      <c r="C7247" s="247"/>
      <c r="D7247" s="317"/>
      <c r="E7247" s="318"/>
      <c r="F7247" s="247"/>
      <c r="G7247" s="247"/>
      <c r="H7247" s="248"/>
      <c r="I7247" s="248"/>
      <c r="J7247" s="247"/>
      <c r="K7247" s="249"/>
    </row>
    <row r="7248" spans="1:11" s="90" customFormat="1" ht="12.75" customHeight="1" x14ac:dyDescent="0.2">
      <c r="A7248" s="247"/>
      <c r="B7248" s="316"/>
      <c r="C7248" s="247"/>
      <c r="D7248" s="317"/>
      <c r="E7248" s="318"/>
      <c r="F7248" s="247"/>
      <c r="G7248" s="247"/>
      <c r="H7248" s="248"/>
      <c r="I7248" s="248"/>
      <c r="J7248" s="247"/>
      <c r="K7248" s="249"/>
    </row>
    <row r="7249" spans="1:11" s="90" customFormat="1" ht="12.75" customHeight="1" x14ac:dyDescent="0.2">
      <c r="A7249" s="247"/>
      <c r="B7249" s="316"/>
      <c r="C7249" s="247"/>
      <c r="D7249" s="317"/>
      <c r="E7249" s="318"/>
      <c r="F7249" s="247"/>
      <c r="G7249" s="247"/>
      <c r="H7249" s="248"/>
      <c r="I7249" s="248"/>
      <c r="J7249" s="247"/>
      <c r="K7249" s="249"/>
    </row>
    <row r="7250" spans="1:11" s="90" customFormat="1" ht="12.75" customHeight="1" x14ac:dyDescent="0.2">
      <c r="A7250" s="247"/>
      <c r="B7250" s="316"/>
      <c r="C7250" s="247"/>
      <c r="D7250" s="317"/>
      <c r="E7250" s="318"/>
      <c r="F7250" s="247"/>
      <c r="G7250" s="247"/>
      <c r="H7250" s="248"/>
      <c r="I7250" s="248"/>
      <c r="J7250" s="247"/>
      <c r="K7250" s="249"/>
    </row>
    <row r="7251" spans="1:11" s="90" customFormat="1" ht="12.75" customHeight="1" x14ac:dyDescent="0.2">
      <c r="A7251" s="247"/>
      <c r="B7251" s="316"/>
      <c r="C7251" s="247"/>
      <c r="D7251" s="317"/>
      <c r="E7251" s="318"/>
      <c r="F7251" s="247"/>
      <c r="G7251" s="247"/>
      <c r="H7251" s="248"/>
      <c r="I7251" s="248"/>
      <c r="J7251" s="247"/>
      <c r="K7251" s="249"/>
    </row>
    <row r="7252" spans="1:11" s="90" customFormat="1" ht="12.75" customHeight="1" x14ac:dyDescent="0.2">
      <c r="A7252" s="247"/>
      <c r="B7252" s="316"/>
      <c r="C7252" s="247"/>
      <c r="D7252" s="317"/>
      <c r="E7252" s="318"/>
      <c r="F7252" s="247"/>
      <c r="G7252" s="247"/>
      <c r="H7252" s="248"/>
      <c r="I7252" s="248"/>
      <c r="J7252" s="247"/>
      <c r="K7252" s="249"/>
    </row>
    <row r="7253" spans="1:11" s="90" customFormat="1" ht="12.75" customHeight="1" x14ac:dyDescent="0.2">
      <c r="A7253" s="247"/>
      <c r="B7253" s="316"/>
      <c r="C7253" s="247"/>
      <c r="D7253" s="317"/>
      <c r="E7253" s="318"/>
      <c r="F7253" s="247"/>
      <c r="G7253" s="247"/>
      <c r="H7253" s="248"/>
      <c r="I7253" s="248"/>
      <c r="J7253" s="247"/>
      <c r="K7253" s="249"/>
    </row>
    <row r="7254" spans="1:11" s="90" customFormat="1" ht="12.75" customHeight="1" x14ac:dyDescent="0.2">
      <c r="A7254" s="247"/>
      <c r="B7254" s="316"/>
      <c r="C7254" s="247"/>
      <c r="D7254" s="317"/>
      <c r="E7254" s="318"/>
      <c r="F7254" s="247"/>
      <c r="G7254" s="247"/>
      <c r="H7254" s="248"/>
      <c r="I7254" s="248"/>
      <c r="J7254" s="247"/>
      <c r="K7254" s="249"/>
    </row>
    <row r="7255" spans="1:11" s="90" customFormat="1" ht="12.75" customHeight="1" x14ac:dyDescent="0.2">
      <c r="A7255" s="247"/>
      <c r="B7255" s="316"/>
      <c r="C7255" s="247"/>
      <c r="D7255" s="317"/>
      <c r="E7255" s="318"/>
      <c r="F7255" s="247"/>
      <c r="G7255" s="247"/>
      <c r="H7255" s="248"/>
      <c r="I7255" s="248"/>
      <c r="J7255" s="247"/>
      <c r="K7255" s="249"/>
    </row>
    <row r="7256" spans="1:11" s="90" customFormat="1" ht="12.75" customHeight="1" x14ac:dyDescent="0.2">
      <c r="A7256" s="247"/>
      <c r="B7256" s="316"/>
      <c r="C7256" s="247"/>
      <c r="D7256" s="317"/>
      <c r="E7256" s="318"/>
      <c r="F7256" s="247"/>
      <c r="G7256" s="247"/>
      <c r="H7256" s="248"/>
      <c r="I7256" s="248"/>
      <c r="J7256" s="247"/>
      <c r="K7256" s="249"/>
    </row>
    <row r="7257" spans="1:11" s="90" customFormat="1" ht="12.75" customHeight="1" x14ac:dyDescent="0.2">
      <c r="A7257" s="247"/>
      <c r="B7257" s="316"/>
      <c r="C7257" s="247"/>
      <c r="D7257" s="317"/>
      <c r="E7257" s="318"/>
      <c r="F7257" s="247"/>
      <c r="G7257" s="247"/>
      <c r="H7257" s="248"/>
      <c r="I7257" s="248"/>
      <c r="J7257" s="247"/>
      <c r="K7257" s="249"/>
    </row>
    <row r="7258" spans="1:11" s="90" customFormat="1" ht="12.75" customHeight="1" x14ac:dyDescent="0.2">
      <c r="A7258" s="247"/>
      <c r="B7258" s="316"/>
      <c r="C7258" s="247"/>
      <c r="D7258" s="317"/>
      <c r="E7258" s="318"/>
      <c r="F7258" s="247"/>
      <c r="G7258" s="247"/>
      <c r="H7258" s="248"/>
      <c r="I7258" s="248"/>
      <c r="J7258" s="247"/>
      <c r="K7258" s="249"/>
    </row>
    <row r="7259" spans="1:11" s="90" customFormat="1" ht="12.75" customHeight="1" x14ac:dyDescent="0.2">
      <c r="A7259" s="247"/>
      <c r="B7259" s="316"/>
      <c r="C7259" s="247"/>
      <c r="D7259" s="317"/>
      <c r="E7259" s="318"/>
      <c r="F7259" s="247"/>
      <c r="G7259" s="247"/>
      <c r="H7259" s="248"/>
      <c r="I7259" s="248"/>
      <c r="J7259" s="247"/>
      <c r="K7259" s="249"/>
    </row>
    <row r="7260" spans="1:11" s="90" customFormat="1" ht="12.75" customHeight="1" x14ac:dyDescent="0.2">
      <c r="A7260" s="247"/>
      <c r="B7260" s="316"/>
      <c r="C7260" s="247"/>
      <c r="D7260" s="317"/>
      <c r="E7260" s="318"/>
      <c r="F7260" s="247"/>
      <c r="G7260" s="247"/>
      <c r="H7260" s="248"/>
      <c r="I7260" s="248"/>
      <c r="J7260" s="247"/>
      <c r="K7260" s="249"/>
    </row>
    <row r="7261" spans="1:11" s="90" customFormat="1" ht="12.75" customHeight="1" x14ac:dyDescent="0.2">
      <c r="A7261" s="247"/>
      <c r="B7261" s="316"/>
      <c r="C7261" s="247"/>
      <c r="D7261" s="317"/>
      <c r="E7261" s="318"/>
      <c r="F7261" s="247"/>
      <c r="G7261" s="247"/>
      <c r="H7261" s="248"/>
      <c r="I7261" s="248"/>
      <c r="J7261" s="247"/>
      <c r="K7261" s="249"/>
    </row>
    <row r="7262" spans="1:11" s="90" customFormat="1" ht="12.75" customHeight="1" x14ac:dyDescent="0.2">
      <c r="A7262" s="247"/>
      <c r="B7262" s="316"/>
      <c r="C7262" s="247"/>
      <c r="D7262" s="317"/>
      <c r="E7262" s="318"/>
      <c r="F7262" s="247"/>
      <c r="G7262" s="247"/>
      <c r="H7262" s="248"/>
      <c r="I7262" s="248"/>
      <c r="J7262" s="247"/>
      <c r="K7262" s="249"/>
    </row>
    <row r="7263" spans="1:11" s="90" customFormat="1" ht="12.75" customHeight="1" x14ac:dyDescent="0.2">
      <c r="A7263" s="247"/>
      <c r="B7263" s="316"/>
      <c r="C7263" s="247"/>
      <c r="D7263" s="317"/>
      <c r="E7263" s="318"/>
      <c r="F7263" s="247"/>
      <c r="G7263" s="247"/>
      <c r="H7263" s="248"/>
      <c r="I7263" s="248"/>
      <c r="J7263" s="247"/>
      <c r="K7263" s="249"/>
    </row>
    <row r="7264" spans="1:11" s="90" customFormat="1" ht="12.75" customHeight="1" x14ac:dyDescent="0.2">
      <c r="A7264" s="247"/>
      <c r="B7264" s="316"/>
      <c r="C7264" s="247"/>
      <c r="D7264" s="317"/>
      <c r="E7264" s="318"/>
      <c r="F7264" s="247"/>
      <c r="G7264" s="247"/>
      <c r="H7264" s="248"/>
      <c r="I7264" s="248"/>
      <c r="J7264" s="247"/>
      <c r="K7264" s="249"/>
    </row>
    <row r="7265" spans="1:11" s="90" customFormat="1" ht="12.75" customHeight="1" x14ac:dyDescent="0.2">
      <c r="A7265" s="247"/>
      <c r="B7265" s="316"/>
      <c r="C7265" s="247"/>
      <c r="D7265" s="317"/>
      <c r="E7265" s="318"/>
      <c r="F7265" s="247"/>
      <c r="G7265" s="247"/>
      <c r="H7265" s="248"/>
      <c r="I7265" s="248"/>
      <c r="J7265" s="247"/>
      <c r="K7265" s="249"/>
    </row>
    <row r="7266" spans="1:11" s="90" customFormat="1" ht="12.75" customHeight="1" x14ac:dyDescent="0.2">
      <c r="A7266" s="247"/>
      <c r="B7266" s="316"/>
      <c r="C7266" s="247"/>
      <c r="D7266" s="317"/>
      <c r="E7266" s="318"/>
      <c r="F7266" s="247"/>
      <c r="G7266" s="247"/>
      <c r="H7266" s="248"/>
      <c r="I7266" s="248"/>
      <c r="J7266" s="247"/>
      <c r="K7266" s="249"/>
    </row>
    <row r="7267" spans="1:11" s="90" customFormat="1" ht="12.75" customHeight="1" x14ac:dyDescent="0.2">
      <c r="A7267" s="247"/>
      <c r="B7267" s="316"/>
      <c r="C7267" s="247"/>
      <c r="D7267" s="317"/>
      <c r="E7267" s="318"/>
      <c r="F7267" s="247"/>
      <c r="G7267" s="247"/>
      <c r="H7267" s="248"/>
      <c r="I7267" s="248"/>
      <c r="J7267" s="247"/>
      <c r="K7267" s="249"/>
    </row>
    <row r="7268" spans="1:11" s="90" customFormat="1" ht="12.75" customHeight="1" x14ac:dyDescent="0.2">
      <c r="A7268" s="247"/>
      <c r="B7268" s="316"/>
      <c r="C7268" s="247"/>
      <c r="D7268" s="317"/>
      <c r="E7268" s="318"/>
      <c r="F7268" s="247"/>
      <c r="G7268" s="247"/>
      <c r="H7268" s="248"/>
      <c r="I7268" s="248"/>
      <c r="J7268" s="247"/>
      <c r="K7268" s="249"/>
    </row>
    <row r="7269" spans="1:11" s="90" customFormat="1" ht="12.75" customHeight="1" x14ac:dyDescent="0.2">
      <c r="A7269" s="247"/>
      <c r="B7269" s="316"/>
      <c r="C7269" s="247"/>
      <c r="D7269" s="317"/>
      <c r="E7269" s="318"/>
      <c r="F7269" s="247"/>
      <c r="G7269" s="247"/>
      <c r="H7269" s="248"/>
      <c r="I7269" s="248"/>
      <c r="J7269" s="247"/>
      <c r="K7269" s="249"/>
    </row>
    <row r="7270" spans="1:11" s="90" customFormat="1" ht="12.75" customHeight="1" x14ac:dyDescent="0.2">
      <c r="A7270" s="247"/>
      <c r="B7270" s="316"/>
      <c r="C7270" s="247"/>
      <c r="D7270" s="317"/>
      <c r="E7270" s="318"/>
      <c r="F7270" s="247"/>
      <c r="G7270" s="247"/>
      <c r="H7270" s="248"/>
      <c r="I7270" s="248"/>
      <c r="J7270" s="247"/>
      <c r="K7270" s="249"/>
    </row>
    <row r="7271" spans="1:11" s="90" customFormat="1" ht="12.75" customHeight="1" x14ac:dyDescent="0.2">
      <c r="A7271" s="247"/>
      <c r="B7271" s="316"/>
      <c r="C7271" s="247"/>
      <c r="D7271" s="317"/>
      <c r="E7271" s="318"/>
      <c r="F7271" s="247"/>
      <c r="G7271" s="247"/>
      <c r="H7271" s="248"/>
      <c r="I7271" s="248"/>
      <c r="J7271" s="247"/>
      <c r="K7271" s="249"/>
    </row>
    <row r="7272" spans="1:11" s="90" customFormat="1" ht="12.75" customHeight="1" x14ac:dyDescent="0.2">
      <c r="A7272" s="247"/>
      <c r="B7272" s="316"/>
      <c r="C7272" s="247"/>
      <c r="D7272" s="317"/>
      <c r="E7272" s="318"/>
      <c r="F7272" s="247"/>
      <c r="G7272" s="247"/>
      <c r="H7272" s="248"/>
      <c r="I7272" s="248"/>
      <c r="J7272" s="247"/>
      <c r="K7272" s="249"/>
    </row>
    <row r="7273" spans="1:11" s="90" customFormat="1" ht="12.75" customHeight="1" x14ac:dyDescent="0.2">
      <c r="A7273" s="247"/>
      <c r="B7273" s="316"/>
      <c r="C7273" s="247"/>
      <c r="D7273" s="317"/>
      <c r="E7273" s="318"/>
      <c r="F7273" s="247"/>
      <c r="G7273" s="247"/>
      <c r="H7273" s="248"/>
      <c r="I7273" s="248"/>
      <c r="J7273" s="247"/>
      <c r="K7273" s="249"/>
    </row>
    <row r="7274" spans="1:11" s="90" customFormat="1" ht="12.75" customHeight="1" x14ac:dyDescent="0.2">
      <c r="A7274" s="247"/>
      <c r="B7274" s="316"/>
      <c r="C7274" s="247"/>
      <c r="D7274" s="317"/>
      <c r="E7274" s="318"/>
      <c r="F7274" s="247"/>
      <c r="G7274" s="247"/>
      <c r="H7274" s="248"/>
      <c r="I7274" s="248"/>
      <c r="J7274" s="247"/>
      <c r="K7274" s="249"/>
    </row>
    <row r="7275" spans="1:11" s="90" customFormat="1" ht="12.75" customHeight="1" x14ac:dyDescent="0.2">
      <c r="A7275" s="247"/>
      <c r="B7275" s="316"/>
      <c r="C7275" s="247"/>
      <c r="D7275" s="317"/>
      <c r="E7275" s="318"/>
      <c r="F7275" s="247"/>
      <c r="G7275" s="247"/>
      <c r="H7275" s="248"/>
      <c r="I7275" s="248"/>
      <c r="J7275" s="247"/>
      <c r="K7275" s="249"/>
    </row>
    <row r="7276" spans="1:11" s="90" customFormat="1" ht="12.75" customHeight="1" x14ac:dyDescent="0.2">
      <c r="A7276" s="247"/>
      <c r="B7276" s="316"/>
      <c r="C7276" s="247"/>
      <c r="D7276" s="317"/>
      <c r="E7276" s="318"/>
      <c r="F7276" s="247"/>
      <c r="G7276" s="247"/>
      <c r="H7276" s="248"/>
      <c r="I7276" s="248"/>
      <c r="J7276" s="247"/>
      <c r="K7276" s="249"/>
    </row>
    <row r="7277" spans="1:11" s="90" customFormat="1" ht="12.75" customHeight="1" x14ac:dyDescent="0.2">
      <c r="A7277" s="247"/>
      <c r="B7277" s="316"/>
      <c r="C7277" s="247"/>
      <c r="D7277" s="317"/>
      <c r="E7277" s="318"/>
      <c r="F7277" s="247"/>
      <c r="G7277" s="247"/>
      <c r="H7277" s="248"/>
      <c r="I7277" s="248"/>
      <c r="J7277" s="247"/>
      <c r="K7277" s="249"/>
    </row>
    <row r="7278" spans="1:11" s="90" customFormat="1" ht="12.75" customHeight="1" x14ac:dyDescent="0.2">
      <c r="A7278" s="247"/>
      <c r="B7278" s="316"/>
      <c r="C7278" s="247"/>
      <c r="D7278" s="317"/>
      <c r="E7278" s="318"/>
      <c r="F7278" s="247"/>
      <c r="G7278" s="247"/>
      <c r="H7278" s="248"/>
      <c r="I7278" s="248"/>
      <c r="J7278" s="247"/>
      <c r="K7278" s="249"/>
    </row>
    <row r="7279" spans="1:11" s="90" customFormat="1" ht="12.75" customHeight="1" x14ac:dyDescent="0.2">
      <c r="A7279" s="247"/>
      <c r="B7279" s="316"/>
      <c r="C7279" s="247"/>
      <c r="D7279" s="317"/>
      <c r="E7279" s="318"/>
      <c r="F7279" s="247"/>
      <c r="G7279" s="247"/>
      <c r="H7279" s="248"/>
      <c r="I7279" s="248"/>
      <c r="J7279" s="247"/>
      <c r="K7279" s="249"/>
    </row>
    <row r="7280" spans="1:11" s="90" customFormat="1" ht="12.75" customHeight="1" x14ac:dyDescent="0.2">
      <c r="A7280" s="247"/>
      <c r="B7280" s="316"/>
      <c r="C7280" s="247"/>
      <c r="D7280" s="317"/>
      <c r="E7280" s="318"/>
      <c r="F7280" s="247"/>
      <c r="G7280" s="247"/>
      <c r="H7280" s="248"/>
      <c r="I7280" s="248"/>
      <c r="J7280" s="247"/>
      <c r="K7280" s="249"/>
    </row>
    <row r="7281" spans="1:11" s="90" customFormat="1" ht="12.75" customHeight="1" x14ac:dyDescent="0.2">
      <c r="A7281" s="247"/>
      <c r="B7281" s="316"/>
      <c r="C7281" s="247"/>
      <c r="D7281" s="317"/>
      <c r="E7281" s="318"/>
      <c r="F7281" s="247"/>
      <c r="G7281" s="247"/>
      <c r="H7281" s="248"/>
      <c r="I7281" s="248"/>
      <c r="J7281" s="247"/>
      <c r="K7281" s="249"/>
    </row>
    <row r="7282" spans="1:11" s="90" customFormat="1" ht="12.75" customHeight="1" x14ac:dyDescent="0.2">
      <c r="A7282" s="247"/>
      <c r="B7282" s="316"/>
      <c r="C7282" s="247"/>
      <c r="D7282" s="317"/>
      <c r="E7282" s="318"/>
      <c r="F7282" s="247"/>
      <c r="G7282" s="247"/>
      <c r="H7282" s="248"/>
      <c r="I7282" s="248"/>
      <c r="J7282" s="247"/>
      <c r="K7282" s="249"/>
    </row>
    <row r="7283" spans="1:11" s="90" customFormat="1" ht="12.75" customHeight="1" x14ac:dyDescent="0.2">
      <c r="A7283" s="247"/>
      <c r="B7283" s="316"/>
      <c r="C7283" s="247"/>
      <c r="D7283" s="317"/>
      <c r="E7283" s="318"/>
      <c r="F7283" s="247"/>
      <c r="G7283" s="247"/>
      <c r="H7283" s="248"/>
      <c r="I7283" s="248"/>
      <c r="J7283" s="247"/>
      <c r="K7283" s="249"/>
    </row>
    <row r="7284" spans="1:11" s="90" customFormat="1" ht="12.75" customHeight="1" x14ac:dyDescent="0.2">
      <c r="A7284" s="247"/>
      <c r="B7284" s="316"/>
      <c r="C7284" s="247"/>
      <c r="D7284" s="317"/>
      <c r="E7284" s="318"/>
      <c r="F7284" s="247"/>
      <c r="G7284" s="247"/>
      <c r="H7284" s="248"/>
      <c r="I7284" s="248"/>
      <c r="J7284" s="247"/>
      <c r="K7284" s="249"/>
    </row>
    <row r="7285" spans="1:11" s="90" customFormat="1" ht="12.75" customHeight="1" x14ac:dyDescent="0.2">
      <c r="A7285" s="247"/>
      <c r="B7285" s="316"/>
      <c r="C7285" s="247"/>
      <c r="D7285" s="317"/>
      <c r="E7285" s="318"/>
      <c r="F7285" s="247"/>
      <c r="G7285" s="247"/>
      <c r="H7285" s="248"/>
      <c r="I7285" s="248"/>
      <c r="J7285" s="247"/>
      <c r="K7285" s="249"/>
    </row>
    <row r="7286" spans="1:11" s="90" customFormat="1" ht="12.75" customHeight="1" x14ac:dyDescent="0.2">
      <c r="A7286" s="247"/>
      <c r="B7286" s="316"/>
      <c r="C7286" s="247"/>
      <c r="D7286" s="317"/>
      <c r="E7286" s="318"/>
      <c r="F7286" s="247"/>
      <c r="G7286" s="247"/>
      <c r="H7286" s="248"/>
      <c r="I7286" s="248"/>
      <c r="J7286" s="247"/>
      <c r="K7286" s="249"/>
    </row>
    <row r="7287" spans="1:11" s="90" customFormat="1" ht="12.75" customHeight="1" x14ac:dyDescent="0.2">
      <c r="A7287" s="247"/>
      <c r="B7287" s="316"/>
      <c r="C7287" s="247"/>
      <c r="D7287" s="317"/>
      <c r="E7287" s="318"/>
      <c r="F7287" s="247"/>
      <c r="G7287" s="247"/>
      <c r="H7287" s="248"/>
      <c r="I7287" s="248"/>
      <c r="J7287" s="247"/>
      <c r="K7287" s="249"/>
    </row>
    <row r="7288" spans="1:11" s="90" customFormat="1" ht="12.75" customHeight="1" x14ac:dyDescent="0.2">
      <c r="A7288" s="247"/>
      <c r="B7288" s="316"/>
      <c r="C7288" s="247"/>
      <c r="D7288" s="317"/>
      <c r="E7288" s="318"/>
      <c r="F7288" s="247"/>
      <c r="G7288" s="247"/>
      <c r="H7288" s="248"/>
      <c r="I7288" s="248"/>
      <c r="J7288" s="247"/>
      <c r="K7288" s="249"/>
    </row>
    <row r="7289" spans="1:11" s="90" customFormat="1" ht="12.75" customHeight="1" x14ac:dyDescent="0.2">
      <c r="A7289" s="247"/>
      <c r="B7289" s="316"/>
      <c r="C7289" s="247"/>
      <c r="D7289" s="317"/>
      <c r="E7289" s="318"/>
      <c r="F7289" s="247"/>
      <c r="G7289" s="247"/>
      <c r="H7289" s="248"/>
      <c r="I7289" s="248"/>
      <c r="J7289" s="247"/>
      <c r="K7289" s="249"/>
    </row>
    <row r="7290" spans="1:11" s="90" customFormat="1" ht="12.75" customHeight="1" x14ac:dyDescent="0.2">
      <c r="A7290" s="247"/>
      <c r="B7290" s="316"/>
      <c r="C7290" s="247"/>
      <c r="D7290" s="317"/>
      <c r="E7290" s="318"/>
      <c r="F7290" s="247"/>
      <c r="G7290" s="247"/>
      <c r="H7290" s="248"/>
      <c r="I7290" s="248"/>
      <c r="J7290" s="247"/>
      <c r="K7290" s="249"/>
    </row>
    <row r="7291" spans="1:11" s="90" customFormat="1" ht="12.75" customHeight="1" x14ac:dyDescent="0.2">
      <c r="A7291" s="247"/>
      <c r="B7291" s="316"/>
      <c r="C7291" s="247"/>
      <c r="D7291" s="317"/>
      <c r="E7291" s="318"/>
      <c r="F7291" s="247"/>
      <c r="G7291" s="247"/>
      <c r="H7291" s="248"/>
      <c r="I7291" s="248"/>
      <c r="J7291" s="247"/>
      <c r="K7291" s="249"/>
    </row>
    <row r="7292" spans="1:11" s="90" customFormat="1" ht="12.75" customHeight="1" x14ac:dyDescent="0.2">
      <c r="A7292" s="247"/>
      <c r="B7292" s="316"/>
      <c r="C7292" s="247"/>
      <c r="D7292" s="317"/>
      <c r="E7292" s="318"/>
      <c r="F7292" s="247"/>
      <c r="G7292" s="247"/>
      <c r="H7292" s="248"/>
      <c r="I7292" s="248"/>
      <c r="J7292" s="247"/>
      <c r="K7292" s="249"/>
    </row>
    <row r="7293" spans="1:11" s="90" customFormat="1" ht="12.75" customHeight="1" x14ac:dyDescent="0.2">
      <c r="A7293" s="247"/>
      <c r="B7293" s="316"/>
      <c r="C7293" s="247"/>
      <c r="D7293" s="317"/>
      <c r="E7293" s="318"/>
      <c r="F7293" s="247"/>
      <c r="G7293" s="247"/>
      <c r="H7293" s="248"/>
      <c r="I7293" s="248"/>
      <c r="J7293" s="247"/>
      <c r="K7293" s="249"/>
    </row>
    <row r="7294" spans="1:11" s="90" customFormat="1" ht="12.75" customHeight="1" x14ac:dyDescent="0.2">
      <c r="A7294" s="247"/>
      <c r="B7294" s="316"/>
      <c r="C7294" s="247"/>
      <c r="D7294" s="317"/>
      <c r="E7294" s="318"/>
      <c r="F7294" s="247"/>
      <c r="G7294" s="247"/>
      <c r="H7294" s="248"/>
      <c r="I7294" s="248"/>
      <c r="J7294" s="247"/>
      <c r="K7294" s="249"/>
    </row>
    <row r="7295" spans="1:11" s="90" customFormat="1" ht="12.75" customHeight="1" x14ac:dyDescent="0.2">
      <c r="A7295" s="247"/>
      <c r="B7295" s="316"/>
      <c r="C7295" s="247"/>
      <c r="D7295" s="317"/>
      <c r="E7295" s="318"/>
      <c r="F7295" s="247"/>
      <c r="G7295" s="247"/>
      <c r="H7295" s="248"/>
      <c r="I7295" s="248"/>
      <c r="J7295" s="247"/>
      <c r="K7295" s="249"/>
    </row>
    <row r="7296" spans="1:11" s="90" customFormat="1" ht="12.75" customHeight="1" x14ac:dyDescent="0.2">
      <c r="A7296" s="247"/>
      <c r="B7296" s="316"/>
      <c r="C7296" s="247"/>
      <c r="D7296" s="317"/>
      <c r="E7296" s="318"/>
      <c r="F7296" s="247"/>
      <c r="G7296" s="247"/>
      <c r="H7296" s="248"/>
      <c r="I7296" s="248"/>
      <c r="J7296" s="247"/>
      <c r="K7296" s="249"/>
    </row>
    <row r="7297" spans="1:11" s="90" customFormat="1" ht="12.75" customHeight="1" x14ac:dyDescent="0.2">
      <c r="A7297" s="247"/>
      <c r="B7297" s="316"/>
      <c r="C7297" s="247"/>
      <c r="D7297" s="317"/>
      <c r="E7297" s="318"/>
      <c r="F7297" s="247"/>
      <c r="G7297" s="247"/>
      <c r="H7297" s="248"/>
      <c r="I7297" s="248"/>
      <c r="J7297" s="247"/>
      <c r="K7297" s="249"/>
    </row>
    <row r="7298" spans="1:11" s="90" customFormat="1" ht="12.75" customHeight="1" x14ac:dyDescent="0.2">
      <c r="A7298" s="247"/>
      <c r="B7298" s="316"/>
      <c r="C7298" s="247"/>
      <c r="D7298" s="317"/>
      <c r="E7298" s="318"/>
      <c r="F7298" s="247"/>
      <c r="G7298" s="247"/>
      <c r="H7298" s="248"/>
      <c r="I7298" s="248"/>
      <c r="J7298" s="247"/>
      <c r="K7298" s="249"/>
    </row>
    <row r="7299" spans="1:11" s="90" customFormat="1" ht="12.75" customHeight="1" x14ac:dyDescent="0.2">
      <c r="A7299" s="247"/>
      <c r="B7299" s="316"/>
      <c r="C7299" s="247"/>
      <c r="D7299" s="317"/>
      <c r="E7299" s="318"/>
      <c r="F7299" s="247"/>
      <c r="G7299" s="247"/>
      <c r="H7299" s="248"/>
      <c r="I7299" s="248"/>
      <c r="J7299" s="247"/>
      <c r="K7299" s="249"/>
    </row>
    <row r="7300" spans="1:11" s="90" customFormat="1" ht="12.75" customHeight="1" x14ac:dyDescent="0.2">
      <c r="A7300" s="247"/>
      <c r="B7300" s="316"/>
      <c r="C7300" s="247"/>
      <c r="D7300" s="317"/>
      <c r="E7300" s="318"/>
      <c r="F7300" s="247"/>
      <c r="G7300" s="247"/>
      <c r="H7300" s="248"/>
      <c r="I7300" s="248"/>
      <c r="J7300" s="247"/>
      <c r="K7300" s="249"/>
    </row>
    <row r="7301" spans="1:11" s="90" customFormat="1" ht="12.75" customHeight="1" x14ac:dyDescent="0.2">
      <c r="A7301" s="247"/>
      <c r="B7301" s="316"/>
      <c r="C7301" s="247"/>
      <c r="D7301" s="317"/>
      <c r="E7301" s="318"/>
      <c r="F7301" s="247"/>
      <c r="G7301" s="247"/>
      <c r="H7301" s="248"/>
      <c r="I7301" s="248"/>
      <c r="J7301" s="247"/>
      <c r="K7301" s="249"/>
    </row>
    <row r="7302" spans="1:11" s="90" customFormat="1" ht="12.75" customHeight="1" x14ac:dyDescent="0.2">
      <c r="A7302" s="247"/>
      <c r="B7302" s="316"/>
      <c r="C7302" s="247"/>
      <c r="D7302" s="317"/>
      <c r="E7302" s="318"/>
      <c r="F7302" s="247"/>
      <c r="G7302" s="247"/>
      <c r="H7302" s="248"/>
      <c r="I7302" s="248"/>
      <c r="J7302" s="247"/>
      <c r="K7302" s="249"/>
    </row>
    <row r="7303" spans="1:11" s="90" customFormat="1" ht="12.75" customHeight="1" x14ac:dyDescent="0.2">
      <c r="A7303" s="247"/>
      <c r="B7303" s="316"/>
      <c r="C7303" s="247"/>
      <c r="D7303" s="317"/>
      <c r="E7303" s="318"/>
      <c r="F7303" s="247"/>
      <c r="G7303" s="247"/>
      <c r="H7303" s="248"/>
      <c r="I7303" s="248"/>
      <c r="J7303" s="247"/>
      <c r="K7303" s="249"/>
    </row>
    <row r="7304" spans="1:11" s="90" customFormat="1" ht="12.75" customHeight="1" x14ac:dyDescent="0.2">
      <c r="A7304" s="247"/>
      <c r="B7304" s="316"/>
      <c r="C7304" s="247"/>
      <c r="D7304" s="317"/>
      <c r="E7304" s="318"/>
      <c r="F7304" s="247"/>
      <c r="G7304" s="247"/>
      <c r="H7304" s="248"/>
      <c r="I7304" s="248"/>
      <c r="J7304" s="247"/>
      <c r="K7304" s="249"/>
    </row>
    <row r="7305" spans="1:11" s="90" customFormat="1" ht="12.75" customHeight="1" x14ac:dyDescent="0.2">
      <c r="A7305" s="247"/>
      <c r="B7305" s="316"/>
      <c r="C7305" s="247"/>
      <c r="D7305" s="317"/>
      <c r="E7305" s="318"/>
      <c r="F7305" s="247"/>
      <c r="G7305" s="247"/>
      <c r="H7305" s="248"/>
      <c r="I7305" s="248"/>
      <c r="J7305" s="247"/>
      <c r="K7305" s="249"/>
    </row>
    <row r="7306" spans="1:11" s="90" customFormat="1" ht="12.75" customHeight="1" x14ac:dyDescent="0.2">
      <c r="A7306" s="247"/>
      <c r="B7306" s="316"/>
      <c r="C7306" s="247"/>
      <c r="D7306" s="317"/>
      <c r="E7306" s="318"/>
      <c r="F7306" s="247"/>
      <c r="G7306" s="247"/>
      <c r="H7306" s="248"/>
      <c r="I7306" s="248"/>
      <c r="J7306" s="247"/>
      <c r="K7306" s="249"/>
    </row>
    <row r="7307" spans="1:11" s="90" customFormat="1" ht="12.75" customHeight="1" x14ac:dyDescent="0.2">
      <c r="A7307" s="247"/>
      <c r="B7307" s="316"/>
      <c r="C7307" s="247"/>
      <c r="D7307" s="317"/>
      <c r="E7307" s="318"/>
      <c r="F7307" s="247"/>
      <c r="G7307" s="247"/>
      <c r="H7307" s="248"/>
      <c r="I7307" s="248"/>
      <c r="J7307" s="247"/>
      <c r="K7307" s="249"/>
    </row>
    <row r="7308" spans="1:11" s="90" customFormat="1" ht="12.75" customHeight="1" x14ac:dyDescent="0.2">
      <c r="A7308" s="247"/>
      <c r="B7308" s="316"/>
      <c r="C7308" s="247"/>
      <c r="D7308" s="317"/>
      <c r="E7308" s="318"/>
      <c r="F7308" s="247"/>
      <c r="G7308" s="247"/>
      <c r="H7308" s="248"/>
      <c r="I7308" s="248"/>
      <c r="J7308" s="247"/>
      <c r="K7308" s="249"/>
    </row>
    <row r="7309" spans="1:11" s="90" customFormat="1" ht="12.75" customHeight="1" x14ac:dyDescent="0.2">
      <c r="A7309" s="247"/>
      <c r="B7309" s="316"/>
      <c r="C7309" s="247"/>
      <c r="D7309" s="317"/>
      <c r="E7309" s="318"/>
      <c r="F7309" s="247"/>
      <c r="G7309" s="247"/>
      <c r="H7309" s="248"/>
      <c r="I7309" s="248"/>
      <c r="J7309" s="247"/>
      <c r="K7309" s="249"/>
    </row>
    <row r="7310" spans="1:11" s="90" customFormat="1" ht="12.75" customHeight="1" x14ac:dyDescent="0.2">
      <c r="A7310" s="247"/>
      <c r="B7310" s="316"/>
      <c r="C7310" s="247"/>
      <c r="D7310" s="317"/>
      <c r="E7310" s="318"/>
      <c r="F7310" s="247"/>
      <c r="G7310" s="247"/>
      <c r="H7310" s="248"/>
      <c r="I7310" s="248"/>
      <c r="J7310" s="247"/>
      <c r="K7310" s="249"/>
    </row>
    <row r="7311" spans="1:11" s="90" customFormat="1" ht="12.75" customHeight="1" x14ac:dyDescent="0.2">
      <c r="A7311" s="247"/>
      <c r="B7311" s="316"/>
      <c r="C7311" s="247"/>
      <c r="D7311" s="317"/>
      <c r="E7311" s="318"/>
      <c r="F7311" s="247"/>
      <c r="G7311" s="247"/>
      <c r="H7311" s="248"/>
      <c r="I7311" s="248"/>
      <c r="J7311" s="247"/>
      <c r="K7311" s="249"/>
    </row>
    <row r="7312" spans="1:11" s="90" customFormat="1" ht="12.75" customHeight="1" x14ac:dyDescent="0.2">
      <c r="A7312" s="247"/>
      <c r="B7312" s="316"/>
      <c r="C7312" s="247"/>
      <c r="D7312" s="317"/>
      <c r="E7312" s="318"/>
      <c r="F7312" s="247"/>
      <c r="G7312" s="247"/>
      <c r="H7312" s="248"/>
      <c r="I7312" s="248"/>
      <c r="J7312" s="247"/>
      <c r="K7312" s="249"/>
    </row>
    <row r="7313" spans="1:11" s="90" customFormat="1" ht="12.75" customHeight="1" x14ac:dyDescent="0.2">
      <c r="A7313" s="247"/>
      <c r="B7313" s="316"/>
      <c r="C7313" s="247"/>
      <c r="D7313" s="317"/>
      <c r="E7313" s="318"/>
      <c r="F7313" s="247"/>
      <c r="G7313" s="247"/>
      <c r="H7313" s="248"/>
      <c r="I7313" s="248"/>
      <c r="J7313" s="247"/>
      <c r="K7313" s="249"/>
    </row>
    <row r="7314" spans="1:11" s="90" customFormat="1" ht="12.75" customHeight="1" x14ac:dyDescent="0.2">
      <c r="A7314" s="247"/>
      <c r="B7314" s="316"/>
      <c r="C7314" s="247"/>
      <c r="D7314" s="317"/>
      <c r="E7314" s="318"/>
      <c r="F7314" s="247"/>
      <c r="G7314" s="247"/>
      <c r="H7314" s="248"/>
      <c r="I7314" s="248"/>
      <c r="J7314" s="247"/>
      <c r="K7314" s="249"/>
    </row>
    <row r="7315" spans="1:11" s="90" customFormat="1" ht="12.75" customHeight="1" x14ac:dyDescent="0.2">
      <c r="A7315" s="247"/>
      <c r="B7315" s="316"/>
      <c r="C7315" s="247"/>
      <c r="D7315" s="317"/>
      <c r="E7315" s="318"/>
      <c r="F7315" s="247"/>
      <c r="G7315" s="247"/>
      <c r="H7315" s="248"/>
      <c r="I7315" s="248"/>
      <c r="J7315" s="247"/>
      <c r="K7315" s="249"/>
    </row>
    <row r="7316" spans="1:11" s="90" customFormat="1" ht="12.75" customHeight="1" x14ac:dyDescent="0.2">
      <c r="A7316" s="247"/>
      <c r="B7316" s="316"/>
      <c r="C7316" s="247"/>
      <c r="D7316" s="317"/>
      <c r="E7316" s="318"/>
      <c r="F7316" s="247"/>
      <c r="G7316" s="247"/>
      <c r="H7316" s="248"/>
      <c r="I7316" s="248"/>
      <c r="J7316" s="247"/>
      <c r="K7316" s="249"/>
    </row>
    <row r="7317" spans="1:11" s="90" customFormat="1" ht="12.75" customHeight="1" x14ac:dyDescent="0.2">
      <c r="A7317" s="247"/>
      <c r="B7317" s="316"/>
      <c r="C7317" s="247"/>
      <c r="D7317" s="317"/>
      <c r="E7317" s="318"/>
      <c r="F7317" s="247"/>
      <c r="G7317" s="247"/>
      <c r="H7317" s="248"/>
      <c r="I7317" s="248"/>
      <c r="J7317" s="247"/>
      <c r="K7317" s="249"/>
    </row>
    <row r="7318" spans="1:11" s="90" customFormat="1" ht="12.75" customHeight="1" x14ac:dyDescent="0.2">
      <c r="A7318" s="247"/>
      <c r="B7318" s="316"/>
      <c r="C7318" s="247"/>
      <c r="D7318" s="317"/>
      <c r="E7318" s="318"/>
      <c r="F7318" s="247"/>
      <c r="G7318" s="247"/>
      <c r="H7318" s="248"/>
      <c r="I7318" s="248"/>
      <c r="J7318" s="247"/>
      <c r="K7318" s="249"/>
    </row>
    <row r="7319" spans="1:11" s="90" customFormat="1" ht="12.75" customHeight="1" x14ac:dyDescent="0.2">
      <c r="A7319" s="247"/>
      <c r="B7319" s="316"/>
      <c r="C7319" s="247"/>
      <c r="D7319" s="317"/>
      <c r="E7319" s="318"/>
      <c r="F7319" s="247"/>
      <c r="G7319" s="247"/>
      <c r="H7319" s="248"/>
      <c r="I7319" s="248"/>
      <c r="J7319" s="247"/>
      <c r="K7319" s="249"/>
    </row>
    <row r="7320" spans="1:11" s="90" customFormat="1" ht="12.75" customHeight="1" x14ac:dyDescent="0.2">
      <c r="A7320" s="247"/>
      <c r="B7320" s="316"/>
      <c r="C7320" s="247"/>
      <c r="D7320" s="317"/>
      <c r="E7320" s="318"/>
      <c r="F7320" s="247"/>
      <c r="G7320" s="247"/>
      <c r="H7320" s="248"/>
      <c r="I7320" s="248"/>
      <c r="J7320" s="247"/>
      <c r="K7320" s="249"/>
    </row>
    <row r="7321" spans="1:11" s="90" customFormat="1" ht="12.75" customHeight="1" x14ac:dyDescent="0.2">
      <c r="A7321" s="247"/>
      <c r="B7321" s="316"/>
      <c r="C7321" s="247"/>
      <c r="D7321" s="317"/>
      <c r="E7321" s="318"/>
      <c r="F7321" s="247"/>
      <c r="G7321" s="247"/>
      <c r="H7321" s="248"/>
      <c r="I7321" s="248"/>
      <c r="J7321" s="247"/>
      <c r="K7321" s="249"/>
    </row>
    <row r="7322" spans="1:11" s="90" customFormat="1" ht="12.75" customHeight="1" x14ac:dyDescent="0.2">
      <c r="A7322" s="247"/>
      <c r="B7322" s="316"/>
      <c r="C7322" s="247"/>
      <c r="D7322" s="317"/>
      <c r="E7322" s="318"/>
      <c r="F7322" s="247"/>
      <c r="G7322" s="247"/>
      <c r="H7322" s="248"/>
      <c r="I7322" s="248"/>
      <c r="J7322" s="247"/>
      <c r="K7322" s="249"/>
    </row>
    <row r="7323" spans="1:11" s="90" customFormat="1" ht="12.75" customHeight="1" x14ac:dyDescent="0.2">
      <c r="A7323" s="247"/>
      <c r="B7323" s="316"/>
      <c r="C7323" s="247"/>
      <c r="D7323" s="317"/>
      <c r="E7323" s="318"/>
      <c r="F7323" s="247"/>
      <c r="G7323" s="247"/>
      <c r="H7323" s="248"/>
      <c r="I7323" s="248"/>
      <c r="J7323" s="247"/>
      <c r="K7323" s="249"/>
    </row>
    <row r="7324" spans="1:11" s="90" customFormat="1" ht="12.75" customHeight="1" x14ac:dyDescent="0.2">
      <c r="A7324" s="247"/>
      <c r="B7324" s="316"/>
      <c r="C7324" s="247"/>
      <c r="D7324" s="317"/>
      <c r="E7324" s="318"/>
      <c r="F7324" s="247"/>
      <c r="G7324" s="247"/>
      <c r="H7324" s="248"/>
      <c r="I7324" s="248"/>
      <c r="J7324" s="247"/>
      <c r="K7324" s="249"/>
    </row>
    <row r="7325" spans="1:11" s="90" customFormat="1" ht="12.75" customHeight="1" x14ac:dyDescent="0.2">
      <c r="A7325" s="247"/>
      <c r="B7325" s="316"/>
      <c r="C7325" s="247"/>
      <c r="D7325" s="317"/>
      <c r="E7325" s="318"/>
      <c r="F7325" s="247"/>
      <c r="G7325" s="247"/>
      <c r="H7325" s="248"/>
      <c r="I7325" s="248"/>
      <c r="J7325" s="247"/>
      <c r="K7325" s="249"/>
    </row>
    <row r="7326" spans="1:11" s="90" customFormat="1" ht="12.75" customHeight="1" x14ac:dyDescent="0.2">
      <c r="A7326" s="247"/>
      <c r="B7326" s="316"/>
      <c r="C7326" s="247"/>
      <c r="D7326" s="317"/>
      <c r="E7326" s="318"/>
      <c r="F7326" s="247"/>
      <c r="G7326" s="247"/>
      <c r="H7326" s="248"/>
      <c r="I7326" s="248"/>
      <c r="J7326" s="247"/>
      <c r="K7326" s="249"/>
    </row>
    <row r="7327" spans="1:11" s="90" customFormat="1" ht="12.75" customHeight="1" x14ac:dyDescent="0.2">
      <c r="A7327" s="247"/>
      <c r="B7327" s="316"/>
      <c r="C7327" s="247"/>
      <c r="D7327" s="317"/>
      <c r="E7327" s="318"/>
      <c r="F7327" s="247"/>
      <c r="G7327" s="247"/>
      <c r="H7327" s="248"/>
      <c r="I7327" s="248"/>
      <c r="J7327" s="247"/>
      <c r="K7327" s="249"/>
    </row>
    <row r="7328" spans="1:11" s="90" customFormat="1" ht="12.75" customHeight="1" x14ac:dyDescent="0.2">
      <c r="A7328" s="247"/>
      <c r="B7328" s="316"/>
      <c r="C7328" s="247"/>
      <c r="D7328" s="317"/>
      <c r="E7328" s="318"/>
      <c r="F7328" s="247"/>
      <c r="G7328" s="247"/>
      <c r="H7328" s="248"/>
      <c r="I7328" s="248"/>
      <c r="J7328" s="247"/>
      <c r="K7328" s="249"/>
    </row>
    <row r="7329" spans="1:11" s="90" customFormat="1" ht="12.75" customHeight="1" x14ac:dyDescent="0.2">
      <c r="A7329" s="247"/>
      <c r="B7329" s="316"/>
      <c r="C7329" s="247"/>
      <c r="D7329" s="317"/>
      <c r="E7329" s="318"/>
      <c r="F7329" s="247"/>
      <c r="G7329" s="247"/>
      <c r="H7329" s="248"/>
      <c r="I7329" s="248"/>
      <c r="J7329" s="247"/>
      <c r="K7329" s="249"/>
    </row>
    <row r="7330" spans="1:11" s="90" customFormat="1" ht="12.75" customHeight="1" x14ac:dyDescent="0.2">
      <c r="A7330" s="247"/>
      <c r="B7330" s="316"/>
      <c r="C7330" s="247"/>
      <c r="D7330" s="317"/>
      <c r="E7330" s="318"/>
      <c r="F7330" s="247"/>
      <c r="G7330" s="247"/>
      <c r="H7330" s="248"/>
      <c r="I7330" s="248"/>
      <c r="J7330" s="247"/>
      <c r="K7330" s="249"/>
    </row>
    <row r="7331" spans="1:11" s="90" customFormat="1" ht="12.75" customHeight="1" x14ac:dyDescent="0.2">
      <c r="A7331" s="247"/>
      <c r="B7331" s="316"/>
      <c r="C7331" s="247"/>
      <c r="D7331" s="317"/>
      <c r="E7331" s="318"/>
      <c r="F7331" s="247"/>
      <c r="G7331" s="247"/>
      <c r="H7331" s="248"/>
      <c r="I7331" s="248"/>
      <c r="J7331" s="247"/>
      <c r="K7331" s="249"/>
    </row>
    <row r="7332" spans="1:11" s="90" customFormat="1" ht="12.75" customHeight="1" x14ac:dyDescent="0.2">
      <c r="A7332" s="247"/>
      <c r="B7332" s="316"/>
      <c r="C7332" s="247"/>
      <c r="D7332" s="317"/>
      <c r="E7332" s="318"/>
      <c r="F7332" s="247"/>
      <c r="G7332" s="247"/>
      <c r="H7332" s="248"/>
      <c r="I7332" s="248"/>
      <c r="J7332" s="247"/>
      <c r="K7332" s="249"/>
    </row>
    <row r="7333" spans="1:11" s="90" customFormat="1" ht="12.75" customHeight="1" x14ac:dyDescent="0.2">
      <c r="A7333" s="247"/>
      <c r="B7333" s="316"/>
      <c r="C7333" s="247"/>
      <c r="D7333" s="317"/>
      <c r="E7333" s="318"/>
      <c r="F7333" s="247"/>
      <c r="G7333" s="247"/>
      <c r="H7333" s="248"/>
      <c r="I7333" s="248"/>
      <c r="J7333" s="247"/>
      <c r="K7333" s="249"/>
    </row>
    <row r="7334" spans="1:11" s="90" customFormat="1" ht="12.75" customHeight="1" x14ac:dyDescent="0.2">
      <c r="A7334" s="247"/>
      <c r="B7334" s="316"/>
      <c r="C7334" s="247"/>
      <c r="D7334" s="317"/>
      <c r="E7334" s="318"/>
      <c r="F7334" s="247"/>
      <c r="G7334" s="247"/>
      <c r="H7334" s="248"/>
      <c r="I7334" s="248"/>
      <c r="J7334" s="247"/>
      <c r="K7334" s="249"/>
    </row>
    <row r="7335" spans="1:11" s="90" customFormat="1" ht="12.75" customHeight="1" x14ac:dyDescent="0.2">
      <c r="A7335" s="247"/>
      <c r="B7335" s="316"/>
      <c r="C7335" s="247"/>
      <c r="D7335" s="317"/>
      <c r="E7335" s="318"/>
      <c r="F7335" s="247"/>
      <c r="G7335" s="247"/>
      <c r="H7335" s="248"/>
      <c r="I7335" s="248"/>
      <c r="J7335" s="247"/>
      <c r="K7335" s="249"/>
    </row>
    <row r="7336" spans="1:11" s="90" customFormat="1" ht="12.75" customHeight="1" x14ac:dyDescent="0.2">
      <c r="A7336" s="247"/>
      <c r="B7336" s="316"/>
      <c r="C7336" s="247"/>
      <c r="D7336" s="317"/>
      <c r="E7336" s="318"/>
      <c r="F7336" s="247"/>
      <c r="G7336" s="247"/>
      <c r="H7336" s="248"/>
      <c r="I7336" s="248"/>
      <c r="J7336" s="247"/>
      <c r="K7336" s="249"/>
    </row>
    <row r="7337" spans="1:11" s="90" customFormat="1" ht="12.75" customHeight="1" x14ac:dyDescent="0.2">
      <c r="A7337" s="247"/>
      <c r="B7337" s="316"/>
      <c r="C7337" s="247"/>
      <c r="D7337" s="317"/>
      <c r="E7337" s="318"/>
      <c r="F7337" s="247"/>
      <c r="G7337" s="247"/>
      <c r="H7337" s="248"/>
      <c r="I7337" s="248"/>
      <c r="J7337" s="247"/>
      <c r="K7337" s="249"/>
    </row>
    <row r="7338" spans="1:11" s="90" customFormat="1" ht="12.75" customHeight="1" x14ac:dyDescent="0.2">
      <c r="A7338" s="247"/>
      <c r="B7338" s="316"/>
      <c r="C7338" s="247"/>
      <c r="D7338" s="317"/>
      <c r="E7338" s="318"/>
      <c r="F7338" s="247"/>
      <c r="G7338" s="247"/>
      <c r="H7338" s="248"/>
      <c r="I7338" s="248"/>
      <c r="J7338" s="247"/>
      <c r="K7338" s="249"/>
    </row>
    <row r="7339" spans="1:11" s="90" customFormat="1" ht="12.75" customHeight="1" x14ac:dyDescent="0.2">
      <c r="A7339" s="247"/>
      <c r="B7339" s="316"/>
      <c r="C7339" s="247"/>
      <c r="D7339" s="317"/>
      <c r="E7339" s="318"/>
      <c r="F7339" s="247"/>
      <c r="G7339" s="247"/>
      <c r="H7339" s="248"/>
      <c r="I7339" s="248"/>
      <c r="J7339" s="247"/>
      <c r="K7339" s="249"/>
    </row>
    <row r="7340" spans="1:11" s="90" customFormat="1" ht="12.75" customHeight="1" x14ac:dyDescent="0.2">
      <c r="A7340" s="247"/>
      <c r="B7340" s="316"/>
      <c r="C7340" s="247"/>
      <c r="D7340" s="317"/>
      <c r="E7340" s="318"/>
      <c r="F7340" s="247"/>
      <c r="G7340" s="247"/>
      <c r="H7340" s="248"/>
      <c r="I7340" s="248"/>
      <c r="J7340" s="247"/>
      <c r="K7340" s="249"/>
    </row>
    <row r="7341" spans="1:11" s="90" customFormat="1" ht="12.75" customHeight="1" x14ac:dyDescent="0.2">
      <c r="A7341" s="247"/>
      <c r="B7341" s="316"/>
      <c r="C7341" s="247"/>
      <c r="D7341" s="317"/>
      <c r="E7341" s="318"/>
      <c r="F7341" s="247"/>
      <c r="G7341" s="247"/>
      <c r="H7341" s="248"/>
      <c r="I7341" s="248"/>
      <c r="J7341" s="247"/>
      <c r="K7341" s="249"/>
    </row>
    <row r="7342" spans="1:11" s="90" customFormat="1" ht="12.75" customHeight="1" x14ac:dyDescent="0.2">
      <c r="A7342" s="247"/>
      <c r="B7342" s="316"/>
      <c r="C7342" s="247"/>
      <c r="D7342" s="317"/>
      <c r="E7342" s="318"/>
      <c r="F7342" s="247"/>
      <c r="G7342" s="247"/>
      <c r="H7342" s="248"/>
      <c r="I7342" s="248"/>
      <c r="J7342" s="247"/>
      <c r="K7342" s="249"/>
    </row>
    <row r="7343" spans="1:11" s="90" customFormat="1" ht="12.75" customHeight="1" x14ac:dyDescent="0.2">
      <c r="A7343" s="247"/>
      <c r="B7343" s="316"/>
      <c r="C7343" s="247"/>
      <c r="D7343" s="317"/>
      <c r="E7343" s="318"/>
      <c r="F7343" s="247"/>
      <c r="G7343" s="247"/>
      <c r="H7343" s="248"/>
      <c r="I7343" s="248"/>
      <c r="J7343" s="247"/>
      <c r="K7343" s="249"/>
    </row>
    <row r="7344" spans="1:11" s="90" customFormat="1" ht="12.75" customHeight="1" x14ac:dyDescent="0.2">
      <c r="A7344" s="247"/>
      <c r="B7344" s="316"/>
      <c r="C7344" s="247"/>
      <c r="D7344" s="317"/>
      <c r="E7344" s="318"/>
      <c r="F7344" s="247"/>
      <c r="G7344" s="247"/>
      <c r="H7344" s="248"/>
      <c r="I7344" s="248"/>
      <c r="J7344" s="247"/>
      <c r="K7344" s="249"/>
    </row>
    <row r="7345" spans="1:11" s="90" customFormat="1" ht="12.75" customHeight="1" x14ac:dyDescent="0.2">
      <c r="A7345" s="247"/>
      <c r="B7345" s="316"/>
      <c r="C7345" s="247"/>
      <c r="D7345" s="317"/>
      <c r="E7345" s="318"/>
      <c r="F7345" s="247"/>
      <c r="G7345" s="247"/>
      <c r="H7345" s="248"/>
      <c r="I7345" s="248"/>
      <c r="J7345" s="247"/>
      <c r="K7345" s="249"/>
    </row>
    <row r="7346" spans="1:11" s="90" customFormat="1" ht="12.75" customHeight="1" x14ac:dyDescent="0.2">
      <c r="A7346" s="247"/>
      <c r="B7346" s="316"/>
      <c r="C7346" s="247"/>
      <c r="D7346" s="317"/>
      <c r="E7346" s="318"/>
      <c r="F7346" s="247"/>
      <c r="G7346" s="247"/>
      <c r="H7346" s="248"/>
      <c r="I7346" s="248"/>
      <c r="J7346" s="247"/>
      <c r="K7346" s="249"/>
    </row>
    <row r="7347" spans="1:11" s="90" customFormat="1" ht="12.75" customHeight="1" x14ac:dyDescent="0.2">
      <c r="A7347" s="247"/>
      <c r="B7347" s="316"/>
      <c r="C7347" s="247"/>
      <c r="D7347" s="317"/>
      <c r="E7347" s="318"/>
      <c r="F7347" s="247"/>
      <c r="G7347" s="247"/>
      <c r="H7347" s="248"/>
      <c r="I7347" s="248"/>
      <c r="J7347" s="247"/>
      <c r="K7347" s="249"/>
    </row>
    <row r="7348" spans="1:11" s="90" customFormat="1" ht="12.75" customHeight="1" x14ac:dyDescent="0.2">
      <c r="A7348" s="247"/>
      <c r="B7348" s="316"/>
      <c r="C7348" s="247"/>
      <c r="D7348" s="317"/>
      <c r="E7348" s="318"/>
      <c r="F7348" s="247"/>
      <c r="G7348" s="247"/>
      <c r="H7348" s="248"/>
      <c r="I7348" s="248"/>
      <c r="J7348" s="247"/>
      <c r="K7348" s="249"/>
    </row>
    <row r="7349" spans="1:11" s="90" customFormat="1" ht="12.75" customHeight="1" x14ac:dyDescent="0.2">
      <c r="A7349" s="247"/>
      <c r="B7349" s="316"/>
      <c r="C7349" s="247"/>
      <c r="D7349" s="317"/>
      <c r="E7349" s="318"/>
      <c r="F7349" s="247"/>
      <c r="G7349" s="247"/>
      <c r="H7349" s="248"/>
      <c r="I7349" s="248"/>
      <c r="J7349" s="247"/>
      <c r="K7349" s="249"/>
    </row>
    <row r="7350" spans="1:11" s="90" customFormat="1" ht="12.75" customHeight="1" x14ac:dyDescent="0.2">
      <c r="A7350" s="247"/>
      <c r="B7350" s="316"/>
      <c r="C7350" s="247"/>
      <c r="D7350" s="317"/>
      <c r="E7350" s="318"/>
      <c r="F7350" s="247"/>
      <c r="G7350" s="247"/>
      <c r="H7350" s="248"/>
      <c r="I7350" s="248"/>
      <c r="J7350" s="247"/>
      <c r="K7350" s="249"/>
    </row>
    <row r="7351" spans="1:11" s="90" customFormat="1" ht="12.75" customHeight="1" x14ac:dyDescent="0.2">
      <c r="A7351" s="247"/>
      <c r="B7351" s="316"/>
      <c r="C7351" s="247"/>
      <c r="D7351" s="317"/>
      <c r="E7351" s="318"/>
      <c r="F7351" s="247"/>
      <c r="G7351" s="247"/>
      <c r="H7351" s="248"/>
      <c r="I7351" s="248"/>
      <c r="J7351" s="247"/>
      <c r="K7351" s="249"/>
    </row>
    <row r="7352" spans="1:11" s="90" customFormat="1" ht="12.75" customHeight="1" x14ac:dyDescent="0.2">
      <c r="A7352" s="247"/>
      <c r="B7352" s="316"/>
      <c r="C7352" s="247"/>
      <c r="D7352" s="317"/>
      <c r="E7352" s="318"/>
      <c r="F7352" s="247"/>
      <c r="G7352" s="247"/>
      <c r="H7352" s="248"/>
      <c r="I7352" s="248"/>
      <c r="J7352" s="247"/>
      <c r="K7352" s="249"/>
    </row>
    <row r="7353" spans="1:11" s="90" customFormat="1" ht="12.75" customHeight="1" x14ac:dyDescent="0.2">
      <c r="A7353" s="247"/>
      <c r="B7353" s="316"/>
      <c r="C7353" s="247"/>
      <c r="D7353" s="317"/>
      <c r="E7353" s="318"/>
      <c r="F7353" s="247"/>
      <c r="G7353" s="247"/>
      <c r="H7353" s="248"/>
      <c r="I7353" s="248"/>
      <c r="J7353" s="247"/>
      <c r="K7353" s="249"/>
    </row>
    <row r="7354" spans="1:11" s="90" customFormat="1" ht="12.75" customHeight="1" x14ac:dyDescent="0.2">
      <c r="A7354" s="247"/>
      <c r="B7354" s="316"/>
      <c r="C7354" s="247"/>
      <c r="D7354" s="317"/>
      <c r="E7354" s="318"/>
      <c r="F7354" s="247"/>
      <c r="G7354" s="247"/>
      <c r="H7354" s="248"/>
      <c r="I7354" s="248"/>
      <c r="J7354" s="247"/>
      <c r="K7354" s="249"/>
    </row>
    <row r="7355" spans="1:11" s="90" customFormat="1" ht="12.75" customHeight="1" x14ac:dyDescent="0.2">
      <c r="A7355" s="247"/>
      <c r="B7355" s="316"/>
      <c r="C7355" s="247"/>
      <c r="D7355" s="317"/>
      <c r="E7355" s="318"/>
      <c r="F7355" s="247"/>
      <c r="G7355" s="247"/>
      <c r="H7355" s="248"/>
      <c r="I7355" s="248"/>
      <c r="J7355" s="247"/>
      <c r="K7355" s="249"/>
    </row>
    <row r="7356" spans="1:11" s="90" customFormat="1" ht="12.75" customHeight="1" x14ac:dyDescent="0.2">
      <c r="A7356" s="247"/>
      <c r="B7356" s="316"/>
      <c r="C7356" s="247"/>
      <c r="D7356" s="317"/>
      <c r="E7356" s="318"/>
      <c r="F7356" s="247"/>
      <c r="G7356" s="247"/>
      <c r="H7356" s="248"/>
      <c r="I7356" s="248"/>
      <c r="J7356" s="247"/>
      <c r="K7356" s="249"/>
    </row>
    <row r="7357" spans="1:11" s="90" customFormat="1" ht="12.75" customHeight="1" x14ac:dyDescent="0.2">
      <c r="A7357" s="247"/>
      <c r="B7357" s="316"/>
      <c r="C7357" s="247"/>
      <c r="D7357" s="317"/>
      <c r="E7357" s="318"/>
      <c r="F7357" s="247"/>
      <c r="G7357" s="247"/>
      <c r="H7357" s="248"/>
      <c r="I7357" s="248"/>
      <c r="J7357" s="247"/>
      <c r="K7357" s="249"/>
    </row>
    <row r="7358" spans="1:11" s="90" customFormat="1" ht="12.75" customHeight="1" x14ac:dyDescent="0.2">
      <c r="A7358" s="247"/>
      <c r="B7358" s="316"/>
      <c r="C7358" s="247"/>
      <c r="D7358" s="317"/>
      <c r="E7358" s="318"/>
      <c r="F7358" s="247"/>
      <c r="G7358" s="247"/>
      <c r="H7358" s="248"/>
      <c r="I7358" s="248"/>
      <c r="J7358" s="247"/>
      <c r="K7358" s="249"/>
    </row>
    <row r="7359" spans="1:11" s="90" customFormat="1" ht="12.75" customHeight="1" x14ac:dyDescent="0.2">
      <c r="A7359" s="247"/>
      <c r="B7359" s="316"/>
      <c r="C7359" s="247"/>
      <c r="D7359" s="317"/>
      <c r="E7359" s="318"/>
      <c r="F7359" s="247"/>
      <c r="G7359" s="247"/>
      <c r="H7359" s="248"/>
      <c r="I7359" s="248"/>
      <c r="J7359" s="247"/>
      <c r="K7359" s="249"/>
    </row>
    <row r="7360" spans="1:11" s="90" customFormat="1" ht="12.75" customHeight="1" x14ac:dyDescent="0.2">
      <c r="A7360" s="247"/>
      <c r="B7360" s="316"/>
      <c r="C7360" s="247"/>
      <c r="D7360" s="317"/>
      <c r="E7360" s="318"/>
      <c r="F7360" s="247"/>
      <c r="G7360" s="247"/>
      <c r="H7360" s="248"/>
      <c r="I7360" s="248"/>
      <c r="J7360" s="247"/>
      <c r="K7360" s="249"/>
    </row>
    <row r="7361" spans="1:11" s="90" customFormat="1" ht="12.75" customHeight="1" x14ac:dyDescent="0.2">
      <c r="A7361" s="247"/>
      <c r="B7361" s="316"/>
      <c r="C7361" s="247"/>
      <c r="D7361" s="317"/>
      <c r="E7361" s="318"/>
      <c r="F7361" s="247"/>
      <c r="G7361" s="247"/>
      <c r="H7361" s="248"/>
      <c r="I7361" s="248"/>
      <c r="J7361" s="247"/>
      <c r="K7361" s="249"/>
    </row>
    <row r="7362" spans="1:11" s="90" customFormat="1" ht="12.75" customHeight="1" x14ac:dyDescent="0.2">
      <c r="A7362" s="247"/>
      <c r="B7362" s="316"/>
      <c r="C7362" s="247"/>
      <c r="D7362" s="317"/>
      <c r="E7362" s="318"/>
      <c r="F7362" s="247"/>
      <c r="G7362" s="247"/>
      <c r="H7362" s="248"/>
      <c r="I7362" s="248"/>
      <c r="J7362" s="247"/>
      <c r="K7362" s="249"/>
    </row>
    <row r="7363" spans="1:11" s="90" customFormat="1" ht="12.75" customHeight="1" x14ac:dyDescent="0.2">
      <c r="A7363" s="247"/>
      <c r="B7363" s="316"/>
      <c r="C7363" s="247"/>
      <c r="D7363" s="317"/>
      <c r="E7363" s="318"/>
      <c r="F7363" s="247"/>
      <c r="G7363" s="247"/>
      <c r="H7363" s="248"/>
      <c r="I7363" s="248"/>
      <c r="J7363" s="247"/>
      <c r="K7363" s="249"/>
    </row>
    <row r="7364" spans="1:11" s="90" customFormat="1" ht="12.75" customHeight="1" x14ac:dyDescent="0.2">
      <c r="A7364" s="247"/>
      <c r="B7364" s="316"/>
      <c r="C7364" s="247"/>
      <c r="D7364" s="317"/>
      <c r="E7364" s="318"/>
      <c r="F7364" s="247"/>
      <c r="G7364" s="247"/>
      <c r="H7364" s="248"/>
      <c r="I7364" s="248"/>
      <c r="J7364" s="247"/>
      <c r="K7364" s="249"/>
    </row>
    <row r="7365" spans="1:11" s="90" customFormat="1" ht="12.75" customHeight="1" x14ac:dyDescent="0.2">
      <c r="A7365" s="247"/>
      <c r="B7365" s="316"/>
      <c r="C7365" s="247"/>
      <c r="D7365" s="317"/>
      <c r="E7365" s="318"/>
      <c r="F7365" s="247"/>
      <c r="G7365" s="247"/>
      <c r="H7365" s="248"/>
      <c r="I7365" s="248"/>
      <c r="J7365" s="247"/>
      <c r="K7365" s="249"/>
    </row>
    <row r="7366" spans="1:11" s="90" customFormat="1" ht="12.75" customHeight="1" x14ac:dyDescent="0.2">
      <c r="A7366" s="247"/>
      <c r="B7366" s="316"/>
      <c r="C7366" s="247"/>
      <c r="D7366" s="317"/>
      <c r="E7366" s="318"/>
      <c r="F7366" s="247"/>
      <c r="G7366" s="247"/>
      <c r="H7366" s="248"/>
      <c r="I7366" s="248"/>
      <c r="J7366" s="247"/>
      <c r="K7366" s="249"/>
    </row>
    <row r="7367" spans="1:11" s="90" customFormat="1" ht="12.75" customHeight="1" x14ac:dyDescent="0.2">
      <c r="A7367" s="247"/>
      <c r="B7367" s="316"/>
      <c r="C7367" s="247"/>
      <c r="D7367" s="317"/>
      <c r="E7367" s="318"/>
      <c r="F7367" s="247"/>
      <c r="G7367" s="247"/>
      <c r="H7367" s="248"/>
      <c r="I7367" s="248"/>
      <c r="J7367" s="247"/>
      <c r="K7367" s="249"/>
    </row>
    <row r="7368" spans="1:11" s="90" customFormat="1" ht="12.75" customHeight="1" x14ac:dyDescent="0.2">
      <c r="A7368" s="247"/>
      <c r="B7368" s="316"/>
      <c r="C7368" s="247"/>
      <c r="D7368" s="317"/>
      <c r="E7368" s="318"/>
      <c r="F7368" s="247"/>
      <c r="G7368" s="247"/>
      <c r="H7368" s="248"/>
      <c r="I7368" s="248"/>
      <c r="J7368" s="247"/>
      <c r="K7368" s="249"/>
    </row>
    <row r="7369" spans="1:11" s="90" customFormat="1" ht="12.75" customHeight="1" x14ac:dyDescent="0.2">
      <c r="A7369" s="247"/>
      <c r="B7369" s="316"/>
      <c r="C7369" s="247"/>
      <c r="D7369" s="317"/>
      <c r="E7369" s="318"/>
      <c r="F7369" s="247"/>
      <c r="G7369" s="247"/>
      <c r="H7369" s="248"/>
      <c r="I7369" s="248"/>
      <c r="J7369" s="247"/>
      <c r="K7369" s="249"/>
    </row>
    <row r="7370" spans="1:11" s="90" customFormat="1" ht="12.75" customHeight="1" x14ac:dyDescent="0.2">
      <c r="A7370" s="247"/>
      <c r="B7370" s="316"/>
      <c r="C7370" s="247"/>
      <c r="D7370" s="317"/>
      <c r="E7370" s="318"/>
      <c r="F7370" s="247"/>
      <c r="G7370" s="247"/>
      <c r="H7370" s="248"/>
      <c r="I7370" s="248"/>
      <c r="J7370" s="247"/>
      <c r="K7370" s="249"/>
    </row>
    <row r="7371" spans="1:11" s="90" customFormat="1" ht="12.75" customHeight="1" x14ac:dyDescent="0.2">
      <c r="A7371" s="247"/>
      <c r="B7371" s="316"/>
      <c r="C7371" s="247"/>
      <c r="D7371" s="317"/>
      <c r="E7371" s="318"/>
      <c r="F7371" s="247"/>
      <c r="G7371" s="247"/>
      <c r="H7371" s="248"/>
      <c r="I7371" s="248"/>
      <c r="J7371" s="247"/>
      <c r="K7371" s="249"/>
    </row>
    <row r="7372" spans="1:11" s="90" customFormat="1" ht="12.75" customHeight="1" x14ac:dyDescent="0.2">
      <c r="A7372" s="247"/>
      <c r="B7372" s="316"/>
      <c r="C7372" s="247"/>
      <c r="D7372" s="317"/>
      <c r="E7372" s="318"/>
      <c r="F7372" s="247"/>
      <c r="G7372" s="247"/>
      <c r="H7372" s="248"/>
      <c r="I7372" s="248"/>
      <c r="J7372" s="247"/>
      <c r="K7372" s="249"/>
    </row>
    <row r="7373" spans="1:11" s="90" customFormat="1" ht="12.75" customHeight="1" x14ac:dyDescent="0.2">
      <c r="A7373" s="247"/>
      <c r="B7373" s="316"/>
      <c r="C7373" s="247"/>
      <c r="D7373" s="317"/>
      <c r="E7373" s="318"/>
      <c r="F7373" s="247"/>
      <c r="G7373" s="247"/>
      <c r="H7373" s="248"/>
      <c r="I7373" s="248"/>
      <c r="J7373" s="247"/>
      <c r="K7373" s="249"/>
    </row>
    <row r="7374" spans="1:11" s="90" customFormat="1" ht="12.75" customHeight="1" x14ac:dyDescent="0.2">
      <c r="A7374" s="247"/>
      <c r="B7374" s="316"/>
      <c r="C7374" s="247"/>
      <c r="D7374" s="317"/>
      <c r="E7374" s="318"/>
      <c r="F7374" s="247"/>
      <c r="G7374" s="247"/>
      <c r="H7374" s="248"/>
      <c r="I7374" s="248"/>
      <c r="J7374" s="247"/>
      <c r="K7374" s="249"/>
    </row>
    <row r="7375" spans="1:11" s="90" customFormat="1" ht="12.75" customHeight="1" x14ac:dyDescent="0.2">
      <c r="A7375" s="247"/>
      <c r="B7375" s="316"/>
      <c r="C7375" s="247"/>
      <c r="D7375" s="317"/>
      <c r="E7375" s="318"/>
      <c r="F7375" s="247"/>
      <c r="G7375" s="247"/>
      <c r="H7375" s="248"/>
      <c r="I7375" s="248"/>
      <c r="J7375" s="247"/>
      <c r="K7375" s="249"/>
    </row>
    <row r="7376" spans="1:11" s="90" customFormat="1" ht="12.75" customHeight="1" x14ac:dyDescent="0.2">
      <c r="A7376" s="247"/>
      <c r="B7376" s="316"/>
      <c r="C7376" s="247"/>
      <c r="D7376" s="317"/>
      <c r="E7376" s="318"/>
      <c r="F7376" s="247"/>
      <c r="G7376" s="247"/>
      <c r="H7376" s="248"/>
      <c r="I7376" s="248"/>
      <c r="J7376" s="247"/>
      <c r="K7376" s="249"/>
    </row>
    <row r="7377" spans="1:11" s="90" customFormat="1" ht="12.75" customHeight="1" x14ac:dyDescent="0.2">
      <c r="A7377" s="247"/>
      <c r="B7377" s="316"/>
      <c r="C7377" s="247"/>
      <c r="D7377" s="317"/>
      <c r="E7377" s="318"/>
      <c r="F7377" s="247"/>
      <c r="G7377" s="247"/>
      <c r="H7377" s="248"/>
      <c r="I7377" s="248"/>
      <c r="J7377" s="247"/>
      <c r="K7377" s="249"/>
    </row>
    <row r="7378" spans="1:11" s="90" customFormat="1" ht="12.75" customHeight="1" x14ac:dyDescent="0.2">
      <c r="A7378" s="247"/>
      <c r="B7378" s="316"/>
      <c r="C7378" s="247"/>
      <c r="D7378" s="317"/>
      <c r="E7378" s="318"/>
      <c r="F7378" s="247"/>
      <c r="G7378" s="247"/>
      <c r="H7378" s="248"/>
      <c r="I7378" s="248"/>
      <c r="J7378" s="247"/>
      <c r="K7378" s="249"/>
    </row>
    <row r="7379" spans="1:11" s="90" customFormat="1" ht="12.75" customHeight="1" x14ac:dyDescent="0.2">
      <c r="A7379" s="247"/>
      <c r="B7379" s="316"/>
      <c r="C7379" s="247"/>
      <c r="D7379" s="317"/>
      <c r="E7379" s="318"/>
      <c r="F7379" s="247"/>
      <c r="G7379" s="247"/>
      <c r="H7379" s="248"/>
      <c r="I7379" s="248"/>
      <c r="J7379" s="247"/>
      <c r="K7379" s="249"/>
    </row>
    <row r="7380" spans="1:11" s="90" customFormat="1" ht="12.75" customHeight="1" x14ac:dyDescent="0.2">
      <c r="A7380" s="247"/>
      <c r="B7380" s="316"/>
      <c r="C7380" s="247"/>
      <c r="D7380" s="317"/>
      <c r="E7380" s="318"/>
      <c r="F7380" s="247"/>
      <c r="G7380" s="247"/>
      <c r="H7380" s="248"/>
      <c r="I7380" s="248"/>
      <c r="J7380" s="247"/>
      <c r="K7380" s="249"/>
    </row>
    <row r="7381" spans="1:11" s="90" customFormat="1" ht="12.75" customHeight="1" x14ac:dyDescent="0.2">
      <c r="A7381" s="247"/>
      <c r="B7381" s="316"/>
      <c r="C7381" s="247"/>
      <c r="D7381" s="317"/>
      <c r="E7381" s="318"/>
      <c r="F7381" s="247"/>
      <c r="G7381" s="247"/>
      <c r="H7381" s="248"/>
      <c r="I7381" s="248"/>
      <c r="J7381" s="247"/>
      <c r="K7381" s="249"/>
    </row>
    <row r="7382" spans="1:11" s="90" customFormat="1" ht="12.75" customHeight="1" x14ac:dyDescent="0.2">
      <c r="A7382" s="247"/>
      <c r="B7382" s="316"/>
      <c r="C7382" s="247"/>
      <c r="D7382" s="317"/>
      <c r="E7382" s="318"/>
      <c r="F7382" s="247"/>
      <c r="G7382" s="247"/>
      <c r="H7382" s="248"/>
      <c r="I7382" s="248"/>
      <c r="J7382" s="247"/>
      <c r="K7382" s="249"/>
    </row>
    <row r="7383" spans="1:11" s="90" customFormat="1" ht="12.75" customHeight="1" x14ac:dyDescent="0.2">
      <c r="A7383" s="247"/>
      <c r="B7383" s="316"/>
      <c r="C7383" s="247"/>
      <c r="D7383" s="317"/>
      <c r="E7383" s="318"/>
      <c r="F7383" s="247"/>
      <c r="G7383" s="247"/>
      <c r="H7383" s="248"/>
      <c r="I7383" s="248"/>
      <c r="J7383" s="247"/>
      <c r="K7383" s="249"/>
    </row>
    <row r="7384" spans="1:11" s="90" customFormat="1" ht="12.75" customHeight="1" x14ac:dyDescent="0.2">
      <c r="A7384" s="247"/>
      <c r="B7384" s="316"/>
      <c r="C7384" s="247"/>
      <c r="D7384" s="317"/>
      <c r="E7384" s="318"/>
      <c r="F7384" s="247"/>
      <c r="G7384" s="247"/>
      <c r="H7384" s="248"/>
      <c r="I7384" s="248"/>
      <c r="J7384" s="247"/>
      <c r="K7384" s="249"/>
    </row>
    <row r="7385" spans="1:11" s="90" customFormat="1" ht="12.75" customHeight="1" x14ac:dyDescent="0.2">
      <c r="A7385" s="247"/>
      <c r="B7385" s="316"/>
      <c r="C7385" s="247"/>
      <c r="D7385" s="317"/>
      <c r="E7385" s="318"/>
      <c r="F7385" s="247"/>
      <c r="G7385" s="247"/>
      <c r="H7385" s="248"/>
      <c r="I7385" s="248"/>
      <c r="J7385" s="247"/>
      <c r="K7385" s="249"/>
    </row>
    <row r="7386" spans="1:11" s="90" customFormat="1" ht="12.75" customHeight="1" x14ac:dyDescent="0.2">
      <c r="A7386" s="247"/>
      <c r="B7386" s="316"/>
      <c r="C7386" s="247"/>
      <c r="D7386" s="317"/>
      <c r="E7386" s="318"/>
      <c r="F7386" s="247"/>
      <c r="G7386" s="247"/>
      <c r="H7386" s="248"/>
      <c r="I7386" s="248"/>
      <c r="J7386" s="247"/>
      <c r="K7386" s="249"/>
    </row>
    <row r="7387" spans="1:11" s="90" customFormat="1" ht="12.75" customHeight="1" x14ac:dyDescent="0.2">
      <c r="A7387" s="247"/>
      <c r="B7387" s="316"/>
      <c r="C7387" s="247"/>
      <c r="D7387" s="317"/>
      <c r="E7387" s="318"/>
      <c r="F7387" s="247"/>
      <c r="G7387" s="247"/>
      <c r="H7387" s="248"/>
      <c r="I7387" s="248"/>
      <c r="J7387" s="247"/>
      <c r="K7387" s="249"/>
    </row>
    <row r="7388" spans="1:11" s="90" customFormat="1" ht="12.75" customHeight="1" x14ac:dyDescent="0.2">
      <c r="A7388" s="247"/>
      <c r="B7388" s="316"/>
      <c r="C7388" s="247"/>
      <c r="D7388" s="317"/>
      <c r="E7388" s="318"/>
      <c r="F7388" s="247"/>
      <c r="G7388" s="247"/>
      <c r="H7388" s="248"/>
      <c r="I7388" s="248"/>
      <c r="J7388" s="247"/>
      <c r="K7388" s="249"/>
    </row>
    <row r="7389" spans="1:11" s="90" customFormat="1" ht="12.75" customHeight="1" x14ac:dyDescent="0.2">
      <c r="A7389" s="247"/>
      <c r="B7389" s="316"/>
      <c r="C7389" s="247"/>
      <c r="D7389" s="317"/>
      <c r="E7389" s="318"/>
      <c r="F7389" s="247"/>
      <c r="G7389" s="247"/>
      <c r="H7389" s="248"/>
      <c r="I7389" s="248"/>
      <c r="J7389" s="247"/>
      <c r="K7389" s="249"/>
    </row>
    <row r="7390" spans="1:11" s="90" customFormat="1" ht="12.75" customHeight="1" x14ac:dyDescent="0.2">
      <c r="A7390" s="247"/>
      <c r="B7390" s="316"/>
      <c r="C7390" s="247"/>
      <c r="D7390" s="317"/>
      <c r="E7390" s="318"/>
      <c r="F7390" s="247"/>
      <c r="G7390" s="247"/>
      <c r="H7390" s="248"/>
      <c r="I7390" s="248"/>
      <c r="J7390" s="247"/>
      <c r="K7390" s="249"/>
    </row>
    <row r="7391" spans="1:11" s="90" customFormat="1" ht="12.75" customHeight="1" x14ac:dyDescent="0.2">
      <c r="A7391" s="247"/>
      <c r="B7391" s="316"/>
      <c r="C7391" s="247"/>
      <c r="D7391" s="317"/>
      <c r="E7391" s="318"/>
      <c r="F7391" s="247"/>
      <c r="G7391" s="247"/>
      <c r="H7391" s="248"/>
      <c r="I7391" s="248"/>
      <c r="J7391" s="247"/>
      <c r="K7391" s="249"/>
    </row>
    <row r="7392" spans="1:11" s="90" customFormat="1" ht="12.75" customHeight="1" x14ac:dyDescent="0.2">
      <c r="A7392" s="247"/>
      <c r="B7392" s="316"/>
      <c r="C7392" s="247"/>
      <c r="D7392" s="317"/>
      <c r="E7392" s="318"/>
      <c r="F7392" s="247"/>
      <c r="G7392" s="247"/>
      <c r="H7392" s="248"/>
      <c r="I7392" s="248"/>
      <c r="J7392" s="247"/>
      <c r="K7392" s="249"/>
    </row>
    <row r="7393" spans="1:11" s="90" customFormat="1" ht="12.75" customHeight="1" x14ac:dyDescent="0.2">
      <c r="A7393" s="247"/>
      <c r="B7393" s="316"/>
      <c r="C7393" s="247"/>
      <c r="D7393" s="317"/>
      <c r="E7393" s="318"/>
      <c r="F7393" s="247"/>
      <c r="G7393" s="247"/>
      <c r="H7393" s="248"/>
      <c r="I7393" s="248"/>
      <c r="J7393" s="247"/>
      <c r="K7393" s="249"/>
    </row>
    <row r="7394" spans="1:11" s="90" customFormat="1" ht="12.75" customHeight="1" x14ac:dyDescent="0.2">
      <c r="A7394" s="247"/>
      <c r="B7394" s="316"/>
      <c r="C7394" s="247"/>
      <c r="D7394" s="317"/>
      <c r="E7394" s="318"/>
      <c r="F7394" s="247"/>
      <c r="G7394" s="247"/>
      <c r="H7394" s="248"/>
      <c r="I7394" s="248"/>
      <c r="J7394" s="247"/>
      <c r="K7394" s="249"/>
    </row>
    <row r="7395" spans="1:11" s="90" customFormat="1" ht="12.75" customHeight="1" x14ac:dyDescent="0.2">
      <c r="A7395" s="247"/>
      <c r="B7395" s="316"/>
      <c r="C7395" s="247"/>
      <c r="D7395" s="317"/>
      <c r="E7395" s="318"/>
      <c r="F7395" s="247"/>
      <c r="G7395" s="247"/>
      <c r="H7395" s="248"/>
      <c r="I7395" s="248"/>
      <c r="J7395" s="247"/>
      <c r="K7395" s="249"/>
    </row>
    <row r="7396" spans="1:11" s="90" customFormat="1" ht="12.75" customHeight="1" x14ac:dyDescent="0.2">
      <c r="A7396" s="247"/>
      <c r="B7396" s="316"/>
      <c r="C7396" s="247"/>
      <c r="D7396" s="317"/>
      <c r="E7396" s="318"/>
      <c r="F7396" s="247"/>
      <c r="G7396" s="247"/>
      <c r="H7396" s="248"/>
      <c r="I7396" s="248"/>
      <c r="J7396" s="247"/>
      <c r="K7396" s="249"/>
    </row>
    <row r="7397" spans="1:11" s="90" customFormat="1" ht="12.75" customHeight="1" x14ac:dyDescent="0.2">
      <c r="A7397" s="247"/>
      <c r="B7397" s="316"/>
      <c r="C7397" s="247"/>
      <c r="D7397" s="317"/>
      <c r="E7397" s="318"/>
      <c r="F7397" s="247"/>
      <c r="G7397" s="247"/>
      <c r="H7397" s="248"/>
      <c r="I7397" s="248"/>
      <c r="J7397" s="247"/>
      <c r="K7397" s="249"/>
    </row>
    <row r="7398" spans="1:11" s="90" customFormat="1" ht="12.75" customHeight="1" x14ac:dyDescent="0.2">
      <c r="A7398" s="247"/>
      <c r="B7398" s="316"/>
      <c r="C7398" s="247"/>
      <c r="D7398" s="317"/>
      <c r="E7398" s="318"/>
      <c r="F7398" s="247"/>
      <c r="G7398" s="247"/>
      <c r="H7398" s="248"/>
      <c r="I7398" s="248"/>
      <c r="J7398" s="247"/>
      <c r="K7398" s="249"/>
    </row>
    <row r="7399" spans="1:11" s="90" customFormat="1" ht="12.75" customHeight="1" x14ac:dyDescent="0.2">
      <c r="A7399" s="247"/>
      <c r="B7399" s="316"/>
      <c r="C7399" s="247"/>
      <c r="D7399" s="317"/>
      <c r="E7399" s="318"/>
      <c r="F7399" s="247"/>
      <c r="G7399" s="247"/>
      <c r="H7399" s="248"/>
      <c r="I7399" s="248"/>
      <c r="J7399" s="247"/>
      <c r="K7399" s="249"/>
    </row>
    <row r="7400" spans="1:11" s="90" customFormat="1" ht="12.75" customHeight="1" x14ac:dyDescent="0.2">
      <c r="A7400" s="247"/>
      <c r="B7400" s="316"/>
      <c r="C7400" s="247"/>
      <c r="D7400" s="317"/>
      <c r="E7400" s="318"/>
      <c r="F7400" s="247"/>
      <c r="G7400" s="247"/>
      <c r="H7400" s="248"/>
      <c r="I7400" s="248"/>
      <c r="J7400" s="247"/>
      <c r="K7400" s="249"/>
    </row>
    <row r="7401" spans="1:11" s="90" customFormat="1" ht="12.75" customHeight="1" x14ac:dyDescent="0.2">
      <c r="A7401" s="247"/>
      <c r="B7401" s="316"/>
      <c r="C7401" s="247"/>
      <c r="D7401" s="317"/>
      <c r="E7401" s="318"/>
      <c r="F7401" s="247"/>
      <c r="G7401" s="247"/>
      <c r="H7401" s="248"/>
      <c r="I7401" s="248"/>
      <c r="J7401" s="247"/>
      <c r="K7401" s="249"/>
    </row>
    <row r="7402" spans="1:11" s="90" customFormat="1" ht="12.75" customHeight="1" x14ac:dyDescent="0.2">
      <c r="A7402" s="247"/>
      <c r="B7402" s="316"/>
      <c r="C7402" s="247"/>
      <c r="D7402" s="317"/>
      <c r="E7402" s="318"/>
      <c r="F7402" s="247"/>
      <c r="G7402" s="247"/>
      <c r="H7402" s="248"/>
      <c r="I7402" s="248"/>
      <c r="J7402" s="247"/>
      <c r="K7402" s="249"/>
    </row>
    <row r="7403" spans="1:11" s="90" customFormat="1" ht="12.75" customHeight="1" x14ac:dyDescent="0.2">
      <c r="A7403" s="247"/>
      <c r="B7403" s="316"/>
      <c r="C7403" s="247"/>
      <c r="D7403" s="317"/>
      <c r="E7403" s="318"/>
      <c r="F7403" s="247"/>
      <c r="G7403" s="247"/>
      <c r="H7403" s="248"/>
      <c r="I7403" s="248"/>
      <c r="J7403" s="247"/>
      <c r="K7403" s="249"/>
    </row>
    <row r="7404" spans="1:11" s="90" customFormat="1" ht="12.75" customHeight="1" x14ac:dyDescent="0.2">
      <c r="A7404" s="247"/>
      <c r="B7404" s="316"/>
      <c r="C7404" s="247"/>
      <c r="D7404" s="317"/>
      <c r="E7404" s="318"/>
      <c r="F7404" s="247"/>
      <c r="G7404" s="247"/>
      <c r="H7404" s="248"/>
      <c r="I7404" s="248"/>
      <c r="J7404" s="247"/>
      <c r="K7404" s="249"/>
    </row>
    <row r="7405" spans="1:11" s="90" customFormat="1" ht="12.75" customHeight="1" x14ac:dyDescent="0.2">
      <c r="A7405" s="247"/>
      <c r="B7405" s="316"/>
      <c r="C7405" s="247"/>
      <c r="D7405" s="317"/>
      <c r="E7405" s="318"/>
      <c r="F7405" s="247"/>
      <c r="G7405" s="247"/>
      <c r="H7405" s="248"/>
      <c r="I7405" s="248"/>
      <c r="J7405" s="247"/>
      <c r="K7405" s="249"/>
    </row>
    <row r="7406" spans="1:11" s="90" customFormat="1" ht="12.75" customHeight="1" x14ac:dyDescent="0.2">
      <c r="A7406" s="247"/>
      <c r="B7406" s="316"/>
      <c r="C7406" s="247"/>
      <c r="D7406" s="317"/>
      <c r="E7406" s="318"/>
      <c r="F7406" s="247"/>
      <c r="G7406" s="247"/>
      <c r="H7406" s="248"/>
      <c r="I7406" s="248"/>
      <c r="J7406" s="247"/>
      <c r="K7406" s="249"/>
    </row>
    <row r="7407" spans="1:11" s="90" customFormat="1" ht="12.75" customHeight="1" x14ac:dyDescent="0.2">
      <c r="A7407" s="247"/>
      <c r="B7407" s="316"/>
      <c r="C7407" s="247"/>
      <c r="D7407" s="317"/>
      <c r="E7407" s="318"/>
      <c r="F7407" s="247"/>
      <c r="G7407" s="247"/>
      <c r="H7407" s="248"/>
      <c r="I7407" s="248"/>
      <c r="J7407" s="247"/>
      <c r="K7407" s="249"/>
    </row>
    <row r="7408" spans="1:11" s="90" customFormat="1" ht="12.75" customHeight="1" x14ac:dyDescent="0.2">
      <c r="A7408" s="247"/>
      <c r="B7408" s="316"/>
      <c r="C7408" s="247"/>
      <c r="D7408" s="317"/>
      <c r="E7408" s="318"/>
      <c r="F7408" s="247"/>
      <c r="G7408" s="247"/>
      <c r="H7408" s="248"/>
      <c r="I7408" s="248"/>
      <c r="J7408" s="247"/>
      <c r="K7408" s="249"/>
    </row>
    <row r="7409" spans="1:11" s="90" customFormat="1" ht="12.75" customHeight="1" x14ac:dyDescent="0.2">
      <c r="A7409" s="247"/>
      <c r="B7409" s="316"/>
      <c r="C7409" s="247"/>
      <c r="D7409" s="317"/>
      <c r="E7409" s="318"/>
      <c r="F7409" s="247"/>
      <c r="G7409" s="247"/>
      <c r="H7409" s="248"/>
      <c r="I7409" s="248"/>
      <c r="J7409" s="247"/>
      <c r="K7409" s="249"/>
    </row>
    <row r="7410" spans="1:11" s="90" customFormat="1" ht="12.75" customHeight="1" x14ac:dyDescent="0.2">
      <c r="A7410" s="247"/>
      <c r="B7410" s="316"/>
      <c r="C7410" s="247"/>
      <c r="D7410" s="317"/>
      <c r="E7410" s="318"/>
      <c r="F7410" s="247"/>
      <c r="G7410" s="247"/>
      <c r="H7410" s="248"/>
      <c r="I7410" s="248"/>
      <c r="J7410" s="247"/>
      <c r="K7410" s="249"/>
    </row>
    <row r="7411" spans="1:11" s="90" customFormat="1" ht="12.75" customHeight="1" x14ac:dyDescent="0.2">
      <c r="A7411" s="247"/>
      <c r="B7411" s="316"/>
      <c r="C7411" s="247"/>
      <c r="D7411" s="317"/>
      <c r="E7411" s="318"/>
      <c r="F7411" s="247"/>
      <c r="G7411" s="247"/>
      <c r="H7411" s="248"/>
      <c r="I7411" s="248"/>
      <c r="J7411" s="247"/>
      <c r="K7411" s="249"/>
    </row>
    <row r="7412" spans="1:11" s="90" customFormat="1" ht="12.75" customHeight="1" x14ac:dyDescent="0.2">
      <c r="A7412" s="247"/>
      <c r="B7412" s="316"/>
      <c r="C7412" s="247"/>
      <c r="D7412" s="317"/>
      <c r="E7412" s="318"/>
      <c r="F7412" s="247"/>
      <c r="G7412" s="247"/>
      <c r="H7412" s="248"/>
      <c r="I7412" s="248"/>
      <c r="J7412" s="247"/>
      <c r="K7412" s="249"/>
    </row>
    <row r="7413" spans="1:11" s="90" customFormat="1" ht="12.75" customHeight="1" x14ac:dyDescent="0.2">
      <c r="A7413" s="247"/>
      <c r="B7413" s="316"/>
      <c r="C7413" s="247"/>
      <c r="D7413" s="317"/>
      <c r="E7413" s="318"/>
      <c r="F7413" s="247"/>
      <c r="G7413" s="247"/>
      <c r="H7413" s="248"/>
      <c r="I7413" s="248"/>
      <c r="J7413" s="247"/>
      <c r="K7413" s="249"/>
    </row>
    <row r="7414" spans="1:11" s="90" customFormat="1" ht="12.75" customHeight="1" x14ac:dyDescent="0.2">
      <c r="A7414" s="247"/>
      <c r="B7414" s="316"/>
      <c r="C7414" s="247"/>
      <c r="D7414" s="317"/>
      <c r="E7414" s="318"/>
      <c r="F7414" s="247"/>
      <c r="G7414" s="247"/>
      <c r="H7414" s="248"/>
      <c r="I7414" s="248"/>
      <c r="J7414" s="247"/>
      <c r="K7414" s="249"/>
    </row>
    <row r="7415" spans="1:11" s="90" customFormat="1" ht="12.75" customHeight="1" x14ac:dyDescent="0.2">
      <c r="A7415" s="247"/>
      <c r="B7415" s="316"/>
      <c r="C7415" s="247"/>
      <c r="D7415" s="317"/>
      <c r="E7415" s="318"/>
      <c r="F7415" s="247"/>
      <c r="G7415" s="247"/>
      <c r="H7415" s="248"/>
      <c r="I7415" s="248"/>
      <c r="J7415" s="247"/>
      <c r="K7415" s="249"/>
    </row>
    <row r="7416" spans="1:11" s="90" customFormat="1" ht="12.75" customHeight="1" x14ac:dyDescent="0.2">
      <c r="A7416" s="247"/>
      <c r="B7416" s="316"/>
      <c r="C7416" s="247"/>
      <c r="D7416" s="317"/>
      <c r="E7416" s="318"/>
      <c r="F7416" s="247"/>
      <c r="G7416" s="247"/>
      <c r="H7416" s="248"/>
      <c r="I7416" s="248"/>
      <c r="J7416" s="247"/>
      <c r="K7416" s="249"/>
    </row>
    <row r="7417" spans="1:11" s="90" customFormat="1" ht="12.75" customHeight="1" x14ac:dyDescent="0.2">
      <c r="A7417" s="247"/>
      <c r="B7417" s="316"/>
      <c r="C7417" s="247"/>
      <c r="D7417" s="317"/>
      <c r="E7417" s="318"/>
      <c r="F7417" s="247"/>
      <c r="G7417" s="247"/>
      <c r="H7417" s="248"/>
      <c r="I7417" s="248"/>
      <c r="J7417" s="247"/>
      <c r="K7417" s="249"/>
    </row>
    <row r="7418" spans="1:11" s="90" customFormat="1" ht="12.75" customHeight="1" x14ac:dyDescent="0.2">
      <c r="A7418" s="247"/>
      <c r="B7418" s="316"/>
      <c r="C7418" s="247"/>
      <c r="D7418" s="317"/>
      <c r="E7418" s="318"/>
      <c r="F7418" s="247"/>
      <c r="G7418" s="247"/>
      <c r="H7418" s="248"/>
      <c r="I7418" s="248"/>
      <c r="J7418" s="247"/>
      <c r="K7418" s="249"/>
    </row>
    <row r="7419" spans="1:11" s="90" customFormat="1" ht="12.75" customHeight="1" x14ac:dyDescent="0.2">
      <c r="A7419" s="247"/>
      <c r="B7419" s="316"/>
      <c r="C7419" s="247"/>
      <c r="D7419" s="317"/>
      <c r="E7419" s="318"/>
      <c r="F7419" s="247"/>
      <c r="G7419" s="247"/>
      <c r="H7419" s="248"/>
      <c r="I7419" s="248"/>
      <c r="J7419" s="247"/>
      <c r="K7419" s="249"/>
    </row>
    <row r="7420" spans="1:11" s="90" customFormat="1" ht="12.75" customHeight="1" x14ac:dyDescent="0.2">
      <c r="A7420" s="247"/>
      <c r="B7420" s="316"/>
      <c r="C7420" s="247"/>
      <c r="D7420" s="317"/>
      <c r="E7420" s="318"/>
      <c r="F7420" s="247"/>
      <c r="G7420" s="247"/>
      <c r="H7420" s="248"/>
      <c r="I7420" s="248"/>
      <c r="J7420" s="247"/>
      <c r="K7420" s="249"/>
    </row>
    <row r="7421" spans="1:11" s="90" customFormat="1" ht="12.75" customHeight="1" x14ac:dyDescent="0.2">
      <c r="A7421" s="247"/>
      <c r="B7421" s="316"/>
      <c r="C7421" s="247"/>
      <c r="D7421" s="317"/>
      <c r="E7421" s="318"/>
      <c r="F7421" s="247"/>
      <c r="G7421" s="247"/>
      <c r="H7421" s="248"/>
      <c r="I7421" s="248"/>
      <c r="J7421" s="247"/>
      <c r="K7421" s="249"/>
    </row>
    <row r="7422" spans="1:11" s="90" customFormat="1" ht="12.75" customHeight="1" x14ac:dyDescent="0.2">
      <c r="A7422" s="247"/>
      <c r="B7422" s="316"/>
      <c r="C7422" s="247"/>
      <c r="D7422" s="317"/>
      <c r="E7422" s="318"/>
      <c r="F7422" s="247"/>
      <c r="G7422" s="247"/>
      <c r="H7422" s="248"/>
      <c r="I7422" s="248"/>
      <c r="J7422" s="247"/>
      <c r="K7422" s="249"/>
    </row>
    <row r="7423" spans="1:11" s="90" customFormat="1" ht="12.75" customHeight="1" x14ac:dyDescent="0.2">
      <c r="A7423" s="247"/>
      <c r="B7423" s="316"/>
      <c r="C7423" s="247"/>
      <c r="D7423" s="317"/>
      <c r="E7423" s="318"/>
      <c r="F7423" s="247"/>
      <c r="G7423" s="247"/>
      <c r="H7423" s="248"/>
      <c r="I7423" s="248"/>
      <c r="J7423" s="247"/>
      <c r="K7423" s="249"/>
    </row>
    <row r="7424" spans="1:11" s="90" customFormat="1" ht="12.75" customHeight="1" x14ac:dyDescent="0.2">
      <c r="A7424" s="247"/>
      <c r="B7424" s="316"/>
      <c r="C7424" s="247"/>
      <c r="D7424" s="317"/>
      <c r="E7424" s="318"/>
      <c r="F7424" s="247"/>
      <c r="G7424" s="247"/>
      <c r="H7424" s="248"/>
      <c r="I7424" s="248"/>
      <c r="J7424" s="247"/>
      <c r="K7424" s="249"/>
    </row>
    <row r="7425" spans="1:11" s="90" customFormat="1" ht="12.75" customHeight="1" x14ac:dyDescent="0.2">
      <c r="A7425" s="247"/>
      <c r="B7425" s="316"/>
      <c r="C7425" s="247"/>
      <c r="D7425" s="317"/>
      <c r="E7425" s="318"/>
      <c r="F7425" s="247"/>
      <c r="G7425" s="247"/>
      <c r="H7425" s="248"/>
      <c r="I7425" s="248"/>
      <c r="J7425" s="247"/>
      <c r="K7425" s="249"/>
    </row>
    <row r="7426" spans="1:11" s="90" customFormat="1" ht="12.75" customHeight="1" x14ac:dyDescent="0.2">
      <c r="A7426" s="247"/>
      <c r="B7426" s="316"/>
      <c r="C7426" s="247"/>
      <c r="D7426" s="317"/>
      <c r="E7426" s="318"/>
      <c r="F7426" s="247"/>
      <c r="G7426" s="247"/>
      <c r="H7426" s="248"/>
      <c r="I7426" s="248"/>
      <c r="J7426" s="247"/>
      <c r="K7426" s="249"/>
    </row>
    <row r="7427" spans="1:11" s="90" customFormat="1" ht="12.75" customHeight="1" x14ac:dyDescent="0.2">
      <c r="A7427" s="247"/>
      <c r="B7427" s="316"/>
      <c r="C7427" s="247"/>
      <c r="D7427" s="317"/>
      <c r="E7427" s="318"/>
      <c r="F7427" s="247"/>
      <c r="G7427" s="247"/>
      <c r="H7427" s="248"/>
      <c r="I7427" s="248"/>
      <c r="J7427" s="247"/>
      <c r="K7427" s="249"/>
    </row>
    <row r="7428" spans="1:11" s="90" customFormat="1" ht="12.75" customHeight="1" x14ac:dyDescent="0.2">
      <c r="A7428" s="247"/>
      <c r="B7428" s="316"/>
      <c r="C7428" s="247"/>
      <c r="D7428" s="317"/>
      <c r="E7428" s="318"/>
      <c r="F7428" s="247"/>
      <c r="G7428" s="247"/>
      <c r="H7428" s="248"/>
      <c r="I7428" s="248"/>
      <c r="J7428" s="247"/>
      <c r="K7428" s="249"/>
    </row>
    <row r="7429" spans="1:11" s="90" customFormat="1" ht="12.75" customHeight="1" x14ac:dyDescent="0.2">
      <c r="A7429" s="247"/>
      <c r="B7429" s="316"/>
      <c r="C7429" s="247"/>
      <c r="D7429" s="317"/>
      <c r="E7429" s="318"/>
      <c r="F7429" s="247"/>
      <c r="G7429" s="247"/>
      <c r="H7429" s="248"/>
      <c r="I7429" s="248"/>
      <c r="J7429" s="247"/>
      <c r="K7429" s="249"/>
    </row>
    <row r="7430" spans="1:11" s="90" customFormat="1" ht="12.75" customHeight="1" x14ac:dyDescent="0.2">
      <c r="A7430" s="247"/>
      <c r="B7430" s="316"/>
      <c r="C7430" s="247"/>
      <c r="D7430" s="317"/>
      <c r="E7430" s="318"/>
      <c r="F7430" s="247"/>
      <c r="G7430" s="247"/>
      <c r="H7430" s="248"/>
      <c r="I7430" s="248"/>
      <c r="J7430" s="247"/>
      <c r="K7430" s="249"/>
    </row>
    <row r="7431" spans="1:11" s="90" customFormat="1" ht="12.75" customHeight="1" x14ac:dyDescent="0.2">
      <c r="A7431" s="247"/>
      <c r="B7431" s="316"/>
      <c r="C7431" s="247"/>
      <c r="D7431" s="317"/>
      <c r="E7431" s="318"/>
      <c r="F7431" s="247"/>
      <c r="G7431" s="247"/>
      <c r="H7431" s="248"/>
      <c r="I7431" s="248"/>
      <c r="J7431" s="247"/>
      <c r="K7431" s="249"/>
    </row>
    <row r="7432" spans="1:11" s="90" customFormat="1" ht="12.75" customHeight="1" x14ac:dyDescent="0.2">
      <c r="A7432" s="247"/>
      <c r="B7432" s="316"/>
      <c r="C7432" s="247"/>
      <c r="D7432" s="317"/>
      <c r="E7432" s="318"/>
      <c r="F7432" s="247"/>
      <c r="G7432" s="247"/>
      <c r="H7432" s="248"/>
      <c r="I7432" s="248"/>
      <c r="J7432" s="247"/>
      <c r="K7432" s="249"/>
    </row>
    <row r="7433" spans="1:11" s="90" customFormat="1" ht="12.75" customHeight="1" x14ac:dyDescent="0.2">
      <c r="A7433" s="247"/>
      <c r="B7433" s="316"/>
      <c r="C7433" s="247"/>
      <c r="D7433" s="317"/>
      <c r="E7433" s="318"/>
      <c r="F7433" s="247"/>
      <c r="G7433" s="247"/>
      <c r="H7433" s="248"/>
      <c r="I7433" s="248"/>
      <c r="J7433" s="247"/>
      <c r="K7433" s="249"/>
    </row>
    <row r="7434" spans="1:11" s="90" customFormat="1" ht="12.75" customHeight="1" x14ac:dyDescent="0.2">
      <c r="A7434" s="247"/>
      <c r="B7434" s="316"/>
      <c r="C7434" s="247"/>
      <c r="D7434" s="317"/>
      <c r="E7434" s="318"/>
      <c r="F7434" s="247"/>
      <c r="G7434" s="247"/>
      <c r="H7434" s="248"/>
      <c r="I7434" s="248"/>
      <c r="J7434" s="247"/>
      <c r="K7434" s="249"/>
    </row>
    <row r="7435" spans="1:11" s="90" customFormat="1" ht="12.75" customHeight="1" x14ac:dyDescent="0.2">
      <c r="A7435" s="247"/>
      <c r="B7435" s="316"/>
      <c r="C7435" s="247"/>
      <c r="D7435" s="317"/>
      <c r="E7435" s="318"/>
      <c r="F7435" s="247"/>
      <c r="G7435" s="247"/>
      <c r="H7435" s="248"/>
      <c r="I7435" s="248"/>
      <c r="J7435" s="247"/>
      <c r="K7435" s="249"/>
    </row>
    <row r="7436" spans="1:11" s="90" customFormat="1" ht="12.75" customHeight="1" x14ac:dyDescent="0.2">
      <c r="A7436" s="247"/>
      <c r="B7436" s="316"/>
      <c r="C7436" s="247"/>
      <c r="D7436" s="317"/>
      <c r="E7436" s="318"/>
      <c r="F7436" s="247"/>
      <c r="G7436" s="247"/>
      <c r="H7436" s="248"/>
      <c r="I7436" s="248"/>
      <c r="J7436" s="247"/>
      <c r="K7436" s="249"/>
    </row>
    <row r="7437" spans="1:11" s="90" customFormat="1" ht="12.75" customHeight="1" x14ac:dyDescent="0.2">
      <c r="A7437" s="247"/>
      <c r="B7437" s="316"/>
      <c r="C7437" s="247"/>
      <c r="D7437" s="317"/>
      <c r="E7437" s="318"/>
      <c r="F7437" s="247"/>
      <c r="G7437" s="247"/>
      <c r="H7437" s="248"/>
      <c r="I7437" s="248"/>
      <c r="J7437" s="247"/>
      <c r="K7437" s="249"/>
    </row>
    <row r="7438" spans="1:11" s="90" customFormat="1" ht="12.75" customHeight="1" x14ac:dyDescent="0.2">
      <c r="A7438" s="247"/>
      <c r="B7438" s="316"/>
      <c r="C7438" s="247"/>
      <c r="D7438" s="317"/>
      <c r="E7438" s="318"/>
      <c r="F7438" s="247"/>
      <c r="G7438" s="247"/>
      <c r="H7438" s="248"/>
      <c r="I7438" s="248"/>
      <c r="J7438" s="247"/>
      <c r="K7438" s="249"/>
    </row>
    <row r="7439" spans="1:11" s="90" customFormat="1" ht="12.75" customHeight="1" x14ac:dyDescent="0.2">
      <c r="A7439" s="247"/>
      <c r="B7439" s="316"/>
      <c r="C7439" s="247"/>
      <c r="D7439" s="317"/>
      <c r="E7439" s="318"/>
      <c r="F7439" s="247"/>
      <c r="G7439" s="247"/>
      <c r="H7439" s="248"/>
      <c r="I7439" s="248"/>
      <c r="J7439" s="247"/>
      <c r="K7439" s="249"/>
    </row>
    <row r="7440" spans="1:11" s="90" customFormat="1" ht="12.75" customHeight="1" x14ac:dyDescent="0.2">
      <c r="A7440" s="247"/>
      <c r="B7440" s="316"/>
      <c r="C7440" s="247"/>
      <c r="D7440" s="317"/>
      <c r="E7440" s="318"/>
      <c r="F7440" s="247"/>
      <c r="G7440" s="247"/>
      <c r="H7440" s="248"/>
      <c r="I7440" s="248"/>
      <c r="J7440" s="247"/>
      <c r="K7440" s="249"/>
    </row>
    <row r="7441" spans="1:11" s="90" customFormat="1" ht="12.75" customHeight="1" x14ac:dyDescent="0.2">
      <c r="A7441" s="247"/>
      <c r="B7441" s="316"/>
      <c r="C7441" s="247"/>
      <c r="D7441" s="317"/>
      <c r="E7441" s="318"/>
      <c r="F7441" s="247"/>
      <c r="G7441" s="247"/>
      <c r="H7441" s="248"/>
      <c r="I7441" s="248"/>
      <c r="J7441" s="247"/>
      <c r="K7441" s="249"/>
    </row>
    <row r="7442" spans="1:11" s="90" customFormat="1" ht="12.75" customHeight="1" x14ac:dyDescent="0.2">
      <c r="A7442" s="247"/>
      <c r="B7442" s="316"/>
      <c r="C7442" s="247"/>
      <c r="D7442" s="317"/>
      <c r="E7442" s="318"/>
      <c r="F7442" s="247"/>
      <c r="G7442" s="247"/>
      <c r="H7442" s="248"/>
      <c r="I7442" s="248"/>
      <c r="J7442" s="247"/>
      <c r="K7442" s="249"/>
    </row>
    <row r="7443" spans="1:11" s="90" customFormat="1" ht="12.75" customHeight="1" x14ac:dyDescent="0.2">
      <c r="A7443" s="247"/>
      <c r="B7443" s="316"/>
      <c r="C7443" s="247"/>
      <c r="D7443" s="317"/>
      <c r="E7443" s="318"/>
      <c r="F7443" s="247"/>
      <c r="G7443" s="247"/>
      <c r="H7443" s="248"/>
      <c r="I7443" s="248"/>
      <c r="J7443" s="247"/>
      <c r="K7443" s="249"/>
    </row>
    <row r="7444" spans="1:11" s="90" customFormat="1" ht="12.75" customHeight="1" x14ac:dyDescent="0.2">
      <c r="A7444" s="247"/>
      <c r="B7444" s="316"/>
      <c r="C7444" s="247"/>
      <c r="D7444" s="317"/>
      <c r="E7444" s="318"/>
      <c r="F7444" s="247"/>
      <c r="G7444" s="247"/>
      <c r="H7444" s="248"/>
      <c r="I7444" s="248"/>
      <c r="J7444" s="247"/>
      <c r="K7444" s="249"/>
    </row>
    <row r="7445" spans="1:11" s="90" customFormat="1" ht="12.75" customHeight="1" x14ac:dyDescent="0.2">
      <c r="A7445" s="247"/>
      <c r="B7445" s="316"/>
      <c r="C7445" s="247"/>
      <c r="D7445" s="317"/>
      <c r="E7445" s="318"/>
      <c r="F7445" s="247"/>
      <c r="G7445" s="247"/>
      <c r="H7445" s="248"/>
      <c r="I7445" s="248"/>
      <c r="J7445" s="247"/>
      <c r="K7445" s="249"/>
    </row>
    <row r="7446" spans="1:11" s="90" customFormat="1" ht="12.75" customHeight="1" x14ac:dyDescent="0.2">
      <c r="A7446" s="247"/>
      <c r="B7446" s="316"/>
      <c r="C7446" s="247"/>
      <c r="D7446" s="317"/>
      <c r="E7446" s="318"/>
      <c r="F7446" s="247"/>
      <c r="G7446" s="247"/>
      <c r="H7446" s="248"/>
      <c r="I7446" s="248"/>
      <c r="J7446" s="247"/>
      <c r="K7446" s="249"/>
    </row>
    <row r="7447" spans="1:11" s="90" customFormat="1" ht="12.75" customHeight="1" x14ac:dyDescent="0.2">
      <c r="A7447" s="247"/>
      <c r="B7447" s="316"/>
      <c r="C7447" s="247"/>
      <c r="D7447" s="317"/>
      <c r="E7447" s="318"/>
      <c r="F7447" s="247"/>
      <c r="G7447" s="247"/>
      <c r="H7447" s="248"/>
      <c r="I7447" s="248"/>
      <c r="J7447" s="247"/>
      <c r="K7447" s="249"/>
    </row>
    <row r="7448" spans="1:11" s="90" customFormat="1" ht="12.75" customHeight="1" x14ac:dyDescent="0.2">
      <c r="A7448" s="247"/>
      <c r="B7448" s="316"/>
      <c r="C7448" s="247"/>
      <c r="D7448" s="317"/>
      <c r="E7448" s="318"/>
      <c r="F7448" s="247"/>
      <c r="G7448" s="247"/>
      <c r="H7448" s="248"/>
      <c r="I7448" s="248"/>
      <c r="J7448" s="247"/>
      <c r="K7448" s="249"/>
    </row>
    <row r="7449" spans="1:11" s="90" customFormat="1" ht="12.75" customHeight="1" x14ac:dyDescent="0.2">
      <c r="A7449" s="247"/>
      <c r="B7449" s="316"/>
      <c r="C7449" s="247"/>
      <c r="D7449" s="317"/>
      <c r="E7449" s="318"/>
      <c r="F7449" s="247"/>
      <c r="G7449" s="247"/>
      <c r="H7449" s="248"/>
      <c r="I7449" s="248"/>
      <c r="J7449" s="247"/>
      <c r="K7449" s="249"/>
    </row>
    <row r="7450" spans="1:11" s="90" customFormat="1" ht="12.75" customHeight="1" x14ac:dyDescent="0.2">
      <c r="A7450" s="247"/>
      <c r="B7450" s="316"/>
      <c r="C7450" s="247"/>
      <c r="D7450" s="317"/>
      <c r="E7450" s="318"/>
      <c r="F7450" s="247"/>
      <c r="G7450" s="247"/>
      <c r="H7450" s="248"/>
      <c r="I7450" s="248"/>
      <c r="J7450" s="247"/>
      <c r="K7450" s="249"/>
    </row>
    <row r="7451" spans="1:11" s="90" customFormat="1" ht="12.75" customHeight="1" x14ac:dyDescent="0.2">
      <c r="A7451" s="247"/>
      <c r="B7451" s="316"/>
      <c r="C7451" s="247"/>
      <c r="D7451" s="317"/>
      <c r="E7451" s="318"/>
      <c r="F7451" s="247"/>
      <c r="G7451" s="247"/>
      <c r="H7451" s="248"/>
      <c r="I7451" s="248"/>
      <c r="J7451" s="247"/>
      <c r="K7451" s="249"/>
    </row>
    <row r="7452" spans="1:11" s="90" customFormat="1" ht="12.75" customHeight="1" x14ac:dyDescent="0.2">
      <c r="A7452" s="247"/>
      <c r="B7452" s="316"/>
      <c r="C7452" s="247"/>
      <c r="D7452" s="317"/>
      <c r="E7452" s="318"/>
      <c r="F7452" s="247"/>
      <c r="G7452" s="247"/>
      <c r="H7452" s="248"/>
      <c r="I7452" s="248"/>
      <c r="J7452" s="247"/>
      <c r="K7452" s="249"/>
    </row>
    <row r="7453" spans="1:11" s="90" customFormat="1" ht="12.75" customHeight="1" x14ac:dyDescent="0.2">
      <c r="A7453" s="247"/>
      <c r="B7453" s="316"/>
      <c r="C7453" s="247"/>
      <c r="D7453" s="317"/>
      <c r="E7453" s="318"/>
      <c r="F7453" s="247"/>
      <c r="G7453" s="247"/>
      <c r="H7453" s="248"/>
      <c r="I7453" s="248"/>
      <c r="J7453" s="247"/>
      <c r="K7453" s="249"/>
    </row>
    <row r="7454" spans="1:11" s="90" customFormat="1" ht="12.75" customHeight="1" x14ac:dyDescent="0.2">
      <c r="A7454" s="247"/>
      <c r="B7454" s="316"/>
      <c r="C7454" s="247"/>
      <c r="D7454" s="317"/>
      <c r="E7454" s="318"/>
      <c r="F7454" s="247"/>
      <c r="G7454" s="247"/>
      <c r="H7454" s="248"/>
      <c r="I7454" s="248"/>
      <c r="J7454" s="247"/>
      <c r="K7454" s="249"/>
    </row>
    <row r="7455" spans="1:11" s="90" customFormat="1" ht="12.75" customHeight="1" x14ac:dyDescent="0.2">
      <c r="A7455" s="247"/>
      <c r="B7455" s="316"/>
      <c r="C7455" s="247"/>
      <c r="D7455" s="317"/>
      <c r="E7455" s="318"/>
      <c r="F7455" s="247"/>
      <c r="G7455" s="247"/>
      <c r="H7455" s="248"/>
      <c r="I7455" s="248"/>
      <c r="J7455" s="247"/>
      <c r="K7455" s="249"/>
    </row>
    <row r="7456" spans="1:11" s="90" customFormat="1" ht="12.75" customHeight="1" x14ac:dyDescent="0.2">
      <c r="A7456" s="247"/>
      <c r="B7456" s="316"/>
      <c r="C7456" s="247"/>
      <c r="D7456" s="317"/>
      <c r="E7456" s="318"/>
      <c r="F7456" s="247"/>
      <c r="G7456" s="247"/>
      <c r="H7456" s="248"/>
      <c r="I7456" s="248"/>
      <c r="J7456" s="247"/>
      <c r="K7456" s="249"/>
    </row>
    <row r="7457" spans="1:11" s="90" customFormat="1" ht="12.75" customHeight="1" x14ac:dyDescent="0.2">
      <c r="A7457" s="247"/>
      <c r="B7457" s="316"/>
      <c r="C7457" s="247"/>
      <c r="D7457" s="317"/>
      <c r="E7457" s="318"/>
      <c r="F7457" s="247"/>
      <c r="G7457" s="247"/>
      <c r="H7457" s="248"/>
      <c r="I7457" s="248"/>
      <c r="J7457" s="247"/>
      <c r="K7457" s="249"/>
    </row>
    <row r="7458" spans="1:11" s="90" customFormat="1" ht="12.75" customHeight="1" x14ac:dyDescent="0.2">
      <c r="A7458" s="247"/>
      <c r="B7458" s="316"/>
      <c r="C7458" s="247"/>
      <c r="D7458" s="317"/>
      <c r="E7458" s="318"/>
      <c r="F7458" s="247"/>
      <c r="G7458" s="247"/>
      <c r="H7458" s="248"/>
      <c r="I7458" s="248"/>
      <c r="J7458" s="247"/>
      <c r="K7458" s="249"/>
    </row>
    <row r="7459" spans="1:11" s="90" customFormat="1" ht="12.75" customHeight="1" x14ac:dyDescent="0.2">
      <c r="A7459" s="247"/>
      <c r="B7459" s="316"/>
      <c r="C7459" s="247"/>
      <c r="D7459" s="317"/>
      <c r="E7459" s="318"/>
      <c r="F7459" s="247"/>
      <c r="G7459" s="247"/>
      <c r="H7459" s="248"/>
      <c r="I7459" s="248"/>
      <c r="J7459" s="247"/>
      <c r="K7459" s="249"/>
    </row>
    <row r="7460" spans="1:11" s="90" customFormat="1" ht="12.75" customHeight="1" x14ac:dyDescent="0.2">
      <c r="A7460" s="247"/>
      <c r="B7460" s="316"/>
      <c r="C7460" s="247"/>
      <c r="D7460" s="317"/>
      <c r="E7460" s="318"/>
      <c r="F7460" s="247"/>
      <c r="G7460" s="247"/>
      <c r="H7460" s="248"/>
      <c r="I7460" s="248"/>
      <c r="J7460" s="247"/>
      <c r="K7460" s="249"/>
    </row>
    <row r="7461" spans="1:11" s="90" customFormat="1" ht="12.75" customHeight="1" x14ac:dyDescent="0.2">
      <c r="A7461" s="247"/>
      <c r="B7461" s="316"/>
      <c r="C7461" s="247"/>
      <c r="D7461" s="317"/>
      <c r="E7461" s="318"/>
      <c r="F7461" s="247"/>
      <c r="G7461" s="247"/>
      <c r="H7461" s="248"/>
      <c r="I7461" s="248"/>
      <c r="J7461" s="247"/>
      <c r="K7461" s="249"/>
    </row>
    <row r="7462" spans="1:11" s="90" customFormat="1" ht="12.75" customHeight="1" x14ac:dyDescent="0.2">
      <c r="A7462" s="247"/>
      <c r="B7462" s="316"/>
      <c r="C7462" s="247"/>
      <c r="D7462" s="317"/>
      <c r="E7462" s="318"/>
      <c r="F7462" s="247"/>
      <c r="G7462" s="247"/>
      <c r="H7462" s="248"/>
      <c r="I7462" s="248"/>
      <c r="J7462" s="247"/>
      <c r="K7462" s="249"/>
    </row>
    <row r="7463" spans="1:11" s="90" customFormat="1" ht="12.75" customHeight="1" x14ac:dyDescent="0.2">
      <c r="A7463" s="247"/>
      <c r="B7463" s="316"/>
      <c r="C7463" s="247"/>
      <c r="D7463" s="317"/>
      <c r="E7463" s="318"/>
      <c r="F7463" s="247"/>
      <c r="G7463" s="247"/>
      <c r="H7463" s="248"/>
      <c r="I7463" s="248"/>
      <c r="J7463" s="247"/>
      <c r="K7463" s="249"/>
    </row>
    <row r="7464" spans="1:11" s="90" customFormat="1" ht="12.75" customHeight="1" x14ac:dyDescent="0.2">
      <c r="A7464" s="247"/>
      <c r="B7464" s="316"/>
      <c r="C7464" s="247"/>
      <c r="D7464" s="317"/>
      <c r="E7464" s="318"/>
      <c r="F7464" s="247"/>
      <c r="G7464" s="247"/>
      <c r="H7464" s="248"/>
      <c r="I7464" s="248"/>
      <c r="J7464" s="247"/>
      <c r="K7464" s="249"/>
    </row>
    <row r="7465" spans="1:11" s="90" customFormat="1" ht="12.75" customHeight="1" x14ac:dyDescent="0.2">
      <c r="A7465" s="247"/>
      <c r="B7465" s="316"/>
      <c r="C7465" s="247"/>
      <c r="D7465" s="317"/>
      <c r="E7465" s="318"/>
      <c r="F7465" s="247"/>
      <c r="G7465" s="247"/>
      <c r="H7465" s="248"/>
      <c r="I7465" s="248"/>
      <c r="J7465" s="247"/>
      <c r="K7465" s="249"/>
    </row>
    <row r="7466" spans="1:11" s="90" customFormat="1" ht="12.75" customHeight="1" x14ac:dyDescent="0.2">
      <c r="A7466" s="247"/>
      <c r="B7466" s="316"/>
      <c r="C7466" s="247"/>
      <c r="D7466" s="317"/>
      <c r="E7466" s="318"/>
      <c r="F7466" s="247"/>
      <c r="G7466" s="247"/>
      <c r="H7466" s="248"/>
      <c r="I7466" s="248"/>
      <c r="J7466" s="247"/>
      <c r="K7466" s="249"/>
    </row>
    <row r="7467" spans="1:11" s="90" customFormat="1" ht="12.75" customHeight="1" x14ac:dyDescent="0.2">
      <c r="A7467" s="247"/>
      <c r="B7467" s="316"/>
      <c r="C7467" s="247"/>
      <c r="D7467" s="317"/>
      <c r="E7467" s="318"/>
      <c r="F7467" s="247"/>
      <c r="G7467" s="247"/>
      <c r="H7467" s="248"/>
      <c r="I7467" s="248"/>
      <c r="J7467" s="247"/>
      <c r="K7467" s="249"/>
    </row>
    <row r="7468" spans="1:11" s="90" customFormat="1" ht="12.75" customHeight="1" x14ac:dyDescent="0.2">
      <c r="A7468" s="247"/>
      <c r="B7468" s="316"/>
      <c r="C7468" s="247"/>
      <c r="D7468" s="317"/>
      <c r="E7468" s="318"/>
      <c r="F7468" s="247"/>
      <c r="G7468" s="247"/>
      <c r="H7468" s="248"/>
      <c r="I7468" s="248"/>
      <c r="J7468" s="247"/>
      <c r="K7468" s="249"/>
    </row>
    <row r="7469" spans="1:11" s="90" customFormat="1" ht="12.75" customHeight="1" x14ac:dyDescent="0.2">
      <c r="A7469" s="247"/>
      <c r="B7469" s="316"/>
      <c r="C7469" s="247"/>
      <c r="D7469" s="317"/>
      <c r="E7469" s="318"/>
      <c r="F7469" s="247"/>
      <c r="G7469" s="247"/>
      <c r="H7469" s="248"/>
      <c r="I7469" s="248"/>
      <c r="J7469" s="247"/>
      <c r="K7469" s="249"/>
    </row>
    <row r="7470" spans="1:11" s="90" customFormat="1" ht="12.75" customHeight="1" x14ac:dyDescent="0.2">
      <c r="A7470" s="247"/>
      <c r="B7470" s="316"/>
      <c r="C7470" s="247"/>
      <c r="D7470" s="317"/>
      <c r="E7470" s="318"/>
      <c r="F7470" s="247"/>
      <c r="G7470" s="247"/>
      <c r="H7470" s="248"/>
      <c r="I7470" s="248"/>
      <c r="J7470" s="247"/>
      <c r="K7470" s="249"/>
    </row>
    <row r="7471" spans="1:11" s="90" customFormat="1" ht="12.75" customHeight="1" x14ac:dyDescent="0.2">
      <c r="A7471" s="247"/>
      <c r="B7471" s="316"/>
      <c r="C7471" s="247"/>
      <c r="D7471" s="317"/>
      <c r="E7471" s="318"/>
      <c r="F7471" s="247"/>
      <c r="G7471" s="247"/>
      <c r="H7471" s="248"/>
      <c r="I7471" s="248"/>
      <c r="J7471" s="247"/>
      <c r="K7471" s="249"/>
    </row>
    <row r="7472" spans="1:11" s="90" customFormat="1" ht="12.75" customHeight="1" x14ac:dyDescent="0.2">
      <c r="A7472" s="247"/>
      <c r="B7472" s="316"/>
      <c r="C7472" s="247"/>
      <c r="D7472" s="317"/>
      <c r="E7472" s="318"/>
      <c r="F7472" s="247"/>
      <c r="G7472" s="247"/>
      <c r="H7472" s="248"/>
      <c r="I7472" s="248"/>
      <c r="J7472" s="247"/>
      <c r="K7472" s="249"/>
    </row>
    <row r="7473" spans="1:11" s="90" customFormat="1" ht="12.75" customHeight="1" x14ac:dyDescent="0.2">
      <c r="A7473" s="247"/>
      <c r="B7473" s="316"/>
      <c r="C7473" s="247"/>
      <c r="D7473" s="317"/>
      <c r="E7473" s="318"/>
      <c r="F7473" s="247"/>
      <c r="G7473" s="247"/>
      <c r="H7473" s="248"/>
      <c r="I7473" s="248"/>
      <c r="J7473" s="247"/>
      <c r="K7473" s="249"/>
    </row>
    <row r="7474" spans="1:11" s="90" customFormat="1" ht="12.75" customHeight="1" x14ac:dyDescent="0.2">
      <c r="A7474" s="247"/>
      <c r="B7474" s="316"/>
      <c r="C7474" s="247"/>
      <c r="D7474" s="317"/>
      <c r="E7474" s="318"/>
      <c r="F7474" s="247"/>
      <c r="G7474" s="247"/>
      <c r="H7474" s="248"/>
      <c r="I7474" s="248"/>
      <c r="J7474" s="247"/>
      <c r="K7474" s="249"/>
    </row>
    <row r="7475" spans="1:11" s="90" customFormat="1" ht="12.75" customHeight="1" x14ac:dyDescent="0.2">
      <c r="A7475" s="247"/>
      <c r="B7475" s="316"/>
      <c r="C7475" s="247"/>
      <c r="D7475" s="317"/>
      <c r="E7475" s="318"/>
      <c r="F7475" s="247"/>
      <c r="G7475" s="247"/>
      <c r="H7475" s="248"/>
      <c r="I7475" s="248"/>
      <c r="J7475" s="247"/>
      <c r="K7475" s="249"/>
    </row>
    <row r="7476" spans="1:11" s="90" customFormat="1" ht="12.75" customHeight="1" x14ac:dyDescent="0.2">
      <c r="A7476" s="247"/>
      <c r="B7476" s="316"/>
      <c r="C7476" s="247"/>
      <c r="D7476" s="317"/>
      <c r="E7476" s="318"/>
      <c r="F7476" s="247"/>
      <c r="G7476" s="247"/>
      <c r="H7476" s="248"/>
      <c r="I7476" s="248"/>
      <c r="J7476" s="247"/>
      <c r="K7476" s="249"/>
    </row>
    <row r="7477" spans="1:11" s="90" customFormat="1" ht="12.75" customHeight="1" x14ac:dyDescent="0.2">
      <c r="A7477" s="247"/>
      <c r="B7477" s="316"/>
      <c r="C7477" s="247"/>
      <c r="D7477" s="317"/>
      <c r="E7477" s="318"/>
      <c r="F7477" s="247"/>
      <c r="G7477" s="247"/>
      <c r="H7477" s="248"/>
      <c r="I7477" s="248"/>
      <c r="J7477" s="247"/>
      <c r="K7477" s="249"/>
    </row>
    <row r="7478" spans="1:11" s="90" customFormat="1" ht="12.75" customHeight="1" x14ac:dyDescent="0.2">
      <c r="A7478" s="247"/>
      <c r="B7478" s="316"/>
      <c r="C7478" s="247"/>
      <c r="D7478" s="317"/>
      <c r="E7478" s="318"/>
      <c r="F7478" s="247"/>
      <c r="G7478" s="247"/>
      <c r="H7478" s="248"/>
      <c r="I7478" s="248"/>
      <c r="J7478" s="247"/>
      <c r="K7478" s="249"/>
    </row>
    <row r="7479" spans="1:11" s="90" customFormat="1" ht="12.75" customHeight="1" x14ac:dyDescent="0.2">
      <c r="A7479" s="247"/>
      <c r="B7479" s="316"/>
      <c r="C7479" s="247"/>
      <c r="D7479" s="317"/>
      <c r="E7479" s="318"/>
      <c r="F7479" s="247"/>
      <c r="G7479" s="247"/>
      <c r="H7479" s="248"/>
      <c r="I7479" s="248"/>
      <c r="J7479" s="247"/>
      <c r="K7479" s="249"/>
    </row>
    <row r="7480" spans="1:11" s="90" customFormat="1" ht="12.75" customHeight="1" x14ac:dyDescent="0.2">
      <c r="A7480" s="247"/>
      <c r="B7480" s="316"/>
      <c r="C7480" s="247"/>
      <c r="D7480" s="317"/>
      <c r="E7480" s="318"/>
      <c r="F7480" s="247"/>
      <c r="G7480" s="247"/>
      <c r="H7480" s="248"/>
      <c r="I7480" s="248"/>
      <c r="J7480" s="247"/>
      <c r="K7480" s="249"/>
    </row>
    <row r="7481" spans="1:11" s="90" customFormat="1" ht="12.75" customHeight="1" x14ac:dyDescent="0.2">
      <c r="A7481" s="247"/>
      <c r="B7481" s="316"/>
      <c r="C7481" s="247"/>
      <c r="D7481" s="317"/>
      <c r="E7481" s="318"/>
      <c r="F7481" s="247"/>
      <c r="G7481" s="247"/>
      <c r="H7481" s="248"/>
      <c r="I7481" s="248"/>
      <c r="J7481" s="247"/>
      <c r="K7481" s="249"/>
    </row>
    <row r="7482" spans="1:11" s="90" customFormat="1" ht="12.75" customHeight="1" x14ac:dyDescent="0.2">
      <c r="A7482" s="247"/>
      <c r="B7482" s="316"/>
      <c r="C7482" s="247"/>
      <c r="D7482" s="317"/>
      <c r="E7482" s="318"/>
      <c r="F7482" s="247"/>
      <c r="G7482" s="247"/>
      <c r="H7482" s="248"/>
      <c r="I7482" s="248"/>
      <c r="J7482" s="247"/>
      <c r="K7482" s="249"/>
    </row>
    <row r="7483" spans="1:11" s="90" customFormat="1" ht="12.75" customHeight="1" x14ac:dyDescent="0.2">
      <c r="A7483" s="247"/>
      <c r="B7483" s="316"/>
      <c r="C7483" s="247"/>
      <c r="D7483" s="317"/>
      <c r="E7483" s="318"/>
      <c r="F7483" s="247"/>
      <c r="G7483" s="247"/>
      <c r="H7483" s="248"/>
      <c r="I7483" s="248"/>
      <c r="J7483" s="247"/>
      <c r="K7483" s="249"/>
    </row>
    <row r="7484" spans="1:11" s="90" customFormat="1" ht="12.75" customHeight="1" x14ac:dyDescent="0.2">
      <c r="A7484" s="247"/>
      <c r="B7484" s="316"/>
      <c r="C7484" s="247"/>
      <c r="D7484" s="317"/>
      <c r="E7484" s="318"/>
      <c r="F7484" s="247"/>
      <c r="G7484" s="247"/>
      <c r="H7484" s="248"/>
      <c r="I7484" s="248"/>
      <c r="J7484" s="247"/>
      <c r="K7484" s="249"/>
    </row>
    <row r="7485" spans="1:11" s="90" customFormat="1" ht="12.75" customHeight="1" x14ac:dyDescent="0.2">
      <c r="A7485" s="247"/>
      <c r="B7485" s="316"/>
      <c r="C7485" s="247"/>
      <c r="D7485" s="317"/>
      <c r="E7485" s="318"/>
      <c r="F7485" s="247"/>
      <c r="G7485" s="247"/>
      <c r="H7485" s="248"/>
      <c r="I7485" s="248"/>
      <c r="J7485" s="247"/>
      <c r="K7485" s="249"/>
    </row>
    <row r="7486" spans="1:11" s="90" customFormat="1" ht="12.75" customHeight="1" x14ac:dyDescent="0.2">
      <c r="A7486" s="247"/>
      <c r="B7486" s="316"/>
      <c r="C7486" s="247"/>
      <c r="D7486" s="317"/>
      <c r="E7486" s="318"/>
      <c r="F7486" s="247"/>
      <c r="G7486" s="247"/>
      <c r="H7486" s="248"/>
      <c r="I7486" s="248"/>
      <c r="J7486" s="247"/>
      <c r="K7486" s="249"/>
    </row>
    <row r="7487" spans="1:11" s="90" customFormat="1" ht="12.75" customHeight="1" x14ac:dyDescent="0.2">
      <c r="A7487" s="247"/>
      <c r="B7487" s="316"/>
      <c r="C7487" s="247"/>
      <c r="D7487" s="317"/>
      <c r="E7487" s="318"/>
      <c r="F7487" s="247"/>
      <c r="G7487" s="247"/>
      <c r="H7487" s="248"/>
      <c r="I7487" s="248"/>
      <c r="J7487" s="247"/>
      <c r="K7487" s="249"/>
    </row>
    <row r="7488" spans="1:11" s="90" customFormat="1" ht="12.75" customHeight="1" x14ac:dyDescent="0.2">
      <c r="A7488" s="247"/>
      <c r="B7488" s="316"/>
      <c r="C7488" s="247"/>
      <c r="D7488" s="317"/>
      <c r="E7488" s="318"/>
      <c r="F7488" s="247"/>
      <c r="G7488" s="247"/>
      <c r="H7488" s="248"/>
      <c r="I7488" s="248"/>
      <c r="J7488" s="247"/>
      <c r="K7488" s="249"/>
    </row>
    <row r="7489" spans="1:11" s="90" customFormat="1" ht="12.75" customHeight="1" x14ac:dyDescent="0.2">
      <c r="A7489" s="247"/>
      <c r="B7489" s="316"/>
      <c r="C7489" s="247"/>
      <c r="D7489" s="317"/>
      <c r="E7489" s="318"/>
      <c r="F7489" s="247"/>
      <c r="G7489" s="247"/>
      <c r="H7489" s="248"/>
      <c r="I7489" s="248"/>
      <c r="J7489" s="247"/>
      <c r="K7489" s="249"/>
    </row>
    <row r="7490" spans="1:11" s="90" customFormat="1" ht="12.75" customHeight="1" x14ac:dyDescent="0.2">
      <c r="A7490" s="247"/>
      <c r="B7490" s="316"/>
      <c r="C7490" s="247"/>
      <c r="D7490" s="317"/>
      <c r="E7490" s="318"/>
      <c r="F7490" s="247"/>
      <c r="G7490" s="247"/>
      <c r="H7490" s="248"/>
      <c r="I7490" s="248"/>
      <c r="J7490" s="247"/>
      <c r="K7490" s="249"/>
    </row>
    <row r="7491" spans="1:11" s="90" customFormat="1" ht="12.75" customHeight="1" x14ac:dyDescent="0.2">
      <c r="A7491" s="247"/>
      <c r="B7491" s="316"/>
      <c r="C7491" s="247"/>
      <c r="D7491" s="317"/>
      <c r="E7491" s="318"/>
      <c r="F7491" s="247"/>
      <c r="G7491" s="247"/>
      <c r="H7491" s="248"/>
      <c r="I7491" s="248"/>
      <c r="J7491" s="247"/>
      <c r="K7491" s="249"/>
    </row>
    <row r="7492" spans="1:11" s="90" customFormat="1" ht="12.75" customHeight="1" x14ac:dyDescent="0.2">
      <c r="A7492" s="247"/>
      <c r="B7492" s="316"/>
      <c r="C7492" s="247"/>
      <c r="D7492" s="317"/>
      <c r="E7492" s="318"/>
      <c r="F7492" s="247"/>
      <c r="G7492" s="247"/>
      <c r="H7492" s="248"/>
      <c r="I7492" s="248"/>
      <c r="J7492" s="247"/>
      <c r="K7492" s="249"/>
    </row>
    <row r="7493" spans="1:11" s="90" customFormat="1" ht="12.75" customHeight="1" x14ac:dyDescent="0.2">
      <c r="A7493" s="247"/>
      <c r="B7493" s="316"/>
      <c r="C7493" s="247"/>
      <c r="D7493" s="317"/>
      <c r="E7493" s="318"/>
      <c r="F7493" s="247"/>
      <c r="G7493" s="247"/>
      <c r="H7493" s="248"/>
      <c r="I7493" s="248"/>
      <c r="J7493" s="247"/>
      <c r="K7493" s="249"/>
    </row>
    <row r="7494" spans="1:11" s="90" customFormat="1" ht="12.75" customHeight="1" x14ac:dyDescent="0.2">
      <c r="A7494" s="247"/>
      <c r="B7494" s="316"/>
      <c r="C7494" s="247"/>
      <c r="D7494" s="317"/>
      <c r="E7494" s="318"/>
      <c r="F7494" s="247"/>
      <c r="G7494" s="247"/>
      <c r="H7494" s="248"/>
      <c r="I7494" s="248"/>
      <c r="J7494" s="247"/>
      <c r="K7494" s="249"/>
    </row>
    <row r="7495" spans="1:11" s="90" customFormat="1" ht="12.75" customHeight="1" x14ac:dyDescent="0.2">
      <c r="A7495" s="247"/>
      <c r="B7495" s="316"/>
      <c r="C7495" s="247"/>
      <c r="D7495" s="317"/>
      <c r="E7495" s="318"/>
      <c r="F7495" s="247"/>
      <c r="G7495" s="247"/>
      <c r="H7495" s="248"/>
      <c r="I7495" s="248"/>
      <c r="J7495" s="247"/>
      <c r="K7495" s="249"/>
    </row>
    <row r="7496" spans="1:11" s="90" customFormat="1" ht="12.75" customHeight="1" x14ac:dyDescent="0.2">
      <c r="A7496" s="247"/>
      <c r="B7496" s="316"/>
      <c r="C7496" s="247"/>
      <c r="D7496" s="317"/>
      <c r="E7496" s="318"/>
      <c r="F7496" s="247"/>
      <c r="G7496" s="247"/>
      <c r="H7496" s="248"/>
      <c r="I7496" s="248"/>
      <c r="J7496" s="247"/>
      <c r="K7496" s="249"/>
    </row>
    <row r="7497" spans="1:11" s="90" customFormat="1" ht="12.75" customHeight="1" x14ac:dyDescent="0.2">
      <c r="A7497" s="247"/>
      <c r="B7497" s="316"/>
      <c r="C7497" s="247"/>
      <c r="D7497" s="317"/>
      <c r="E7497" s="318"/>
      <c r="F7497" s="247"/>
      <c r="G7497" s="247"/>
      <c r="H7497" s="248"/>
      <c r="I7497" s="248"/>
      <c r="J7497" s="247"/>
      <c r="K7497" s="249"/>
    </row>
    <row r="7498" spans="1:11" s="90" customFormat="1" ht="12.75" customHeight="1" x14ac:dyDescent="0.2">
      <c r="A7498" s="247"/>
      <c r="B7498" s="316"/>
      <c r="C7498" s="247"/>
      <c r="D7498" s="317"/>
      <c r="E7498" s="318"/>
      <c r="F7498" s="247"/>
      <c r="G7498" s="247"/>
      <c r="H7498" s="248"/>
      <c r="I7498" s="248"/>
      <c r="J7498" s="247"/>
      <c r="K7498" s="249"/>
    </row>
    <row r="7499" spans="1:11" s="90" customFormat="1" ht="12.75" customHeight="1" x14ac:dyDescent="0.2">
      <c r="A7499" s="247"/>
      <c r="B7499" s="316"/>
      <c r="C7499" s="247"/>
      <c r="D7499" s="317"/>
      <c r="E7499" s="318"/>
      <c r="F7499" s="247"/>
      <c r="G7499" s="247"/>
      <c r="H7499" s="248"/>
      <c r="I7499" s="248"/>
      <c r="J7499" s="247"/>
      <c r="K7499" s="249"/>
    </row>
    <row r="7500" spans="1:11" s="90" customFormat="1" ht="12.75" customHeight="1" x14ac:dyDescent="0.2">
      <c r="A7500" s="247"/>
      <c r="B7500" s="316"/>
      <c r="C7500" s="247"/>
      <c r="D7500" s="317"/>
      <c r="E7500" s="318"/>
      <c r="F7500" s="247"/>
      <c r="G7500" s="247"/>
      <c r="H7500" s="248"/>
      <c r="I7500" s="248"/>
      <c r="J7500" s="247"/>
      <c r="K7500" s="249"/>
    </row>
    <row r="7501" spans="1:11" s="90" customFormat="1" ht="12.75" customHeight="1" x14ac:dyDescent="0.2">
      <c r="A7501" s="247"/>
      <c r="B7501" s="316"/>
      <c r="C7501" s="247"/>
      <c r="D7501" s="317"/>
      <c r="E7501" s="318"/>
      <c r="F7501" s="247"/>
      <c r="G7501" s="247"/>
      <c r="H7501" s="248"/>
      <c r="I7501" s="248"/>
      <c r="J7501" s="247"/>
      <c r="K7501" s="249"/>
    </row>
    <row r="7502" spans="1:11" s="90" customFormat="1" ht="12.75" customHeight="1" x14ac:dyDescent="0.2">
      <c r="A7502" s="247"/>
      <c r="B7502" s="316"/>
      <c r="C7502" s="247"/>
      <c r="D7502" s="317"/>
      <c r="E7502" s="318"/>
      <c r="F7502" s="247"/>
      <c r="G7502" s="247"/>
      <c r="H7502" s="248"/>
      <c r="I7502" s="248"/>
      <c r="J7502" s="247"/>
      <c r="K7502" s="249"/>
    </row>
    <row r="7503" spans="1:11" s="90" customFormat="1" ht="12.75" customHeight="1" x14ac:dyDescent="0.2">
      <c r="A7503" s="247"/>
      <c r="B7503" s="316"/>
      <c r="C7503" s="247"/>
      <c r="D7503" s="317"/>
      <c r="E7503" s="318"/>
      <c r="F7503" s="247"/>
      <c r="G7503" s="247"/>
      <c r="H7503" s="248"/>
      <c r="I7503" s="248"/>
      <c r="J7503" s="247"/>
      <c r="K7503" s="249"/>
    </row>
    <row r="7504" spans="1:11" s="90" customFormat="1" ht="12.75" customHeight="1" x14ac:dyDescent="0.2">
      <c r="A7504" s="247"/>
      <c r="B7504" s="316"/>
      <c r="C7504" s="247"/>
      <c r="D7504" s="317"/>
      <c r="E7504" s="318"/>
      <c r="F7504" s="247"/>
      <c r="G7504" s="247"/>
      <c r="H7504" s="248"/>
      <c r="I7504" s="248"/>
      <c r="J7504" s="247"/>
      <c r="K7504" s="249"/>
    </row>
    <row r="7505" spans="1:11" s="90" customFormat="1" ht="12.75" customHeight="1" x14ac:dyDescent="0.2">
      <c r="A7505" s="247"/>
      <c r="B7505" s="316"/>
      <c r="C7505" s="247"/>
      <c r="D7505" s="317"/>
      <c r="E7505" s="318"/>
      <c r="F7505" s="247"/>
      <c r="G7505" s="247"/>
      <c r="H7505" s="248"/>
      <c r="I7505" s="248"/>
      <c r="J7505" s="247"/>
      <c r="K7505" s="249"/>
    </row>
    <row r="7506" spans="1:11" s="90" customFormat="1" ht="12.75" customHeight="1" x14ac:dyDescent="0.2">
      <c r="A7506" s="247"/>
      <c r="B7506" s="316"/>
      <c r="C7506" s="247"/>
      <c r="D7506" s="317"/>
      <c r="E7506" s="318"/>
      <c r="F7506" s="247"/>
      <c r="G7506" s="247"/>
      <c r="H7506" s="248"/>
      <c r="I7506" s="248"/>
      <c r="J7506" s="247"/>
      <c r="K7506" s="249"/>
    </row>
    <row r="7507" spans="1:11" s="90" customFormat="1" ht="12.75" customHeight="1" x14ac:dyDescent="0.2">
      <c r="A7507" s="247"/>
      <c r="B7507" s="316"/>
      <c r="C7507" s="247"/>
      <c r="D7507" s="317"/>
      <c r="E7507" s="318"/>
      <c r="F7507" s="247"/>
      <c r="G7507" s="247"/>
      <c r="H7507" s="248"/>
      <c r="I7507" s="248"/>
      <c r="J7507" s="247"/>
      <c r="K7507" s="249"/>
    </row>
    <row r="7508" spans="1:11" s="90" customFormat="1" ht="12.75" customHeight="1" x14ac:dyDescent="0.2">
      <c r="A7508" s="247"/>
      <c r="B7508" s="316"/>
      <c r="C7508" s="247"/>
      <c r="D7508" s="317"/>
      <c r="E7508" s="318"/>
      <c r="F7508" s="247"/>
      <c r="G7508" s="247"/>
      <c r="H7508" s="248"/>
      <c r="I7508" s="248"/>
      <c r="J7508" s="247"/>
      <c r="K7508" s="249"/>
    </row>
    <row r="7509" spans="1:11" s="90" customFormat="1" ht="12.75" customHeight="1" x14ac:dyDescent="0.2">
      <c r="A7509" s="247"/>
      <c r="B7509" s="316"/>
      <c r="C7509" s="247"/>
      <c r="D7509" s="317"/>
      <c r="E7509" s="318"/>
      <c r="F7509" s="247"/>
      <c r="G7509" s="247"/>
      <c r="H7509" s="248"/>
      <c r="I7509" s="248"/>
      <c r="J7509" s="247"/>
      <c r="K7509" s="249"/>
    </row>
    <row r="7510" spans="1:11" s="90" customFormat="1" ht="12.75" customHeight="1" x14ac:dyDescent="0.2">
      <c r="A7510" s="247"/>
      <c r="B7510" s="316"/>
      <c r="C7510" s="247"/>
      <c r="D7510" s="317"/>
      <c r="E7510" s="318"/>
      <c r="F7510" s="247"/>
      <c r="G7510" s="247"/>
      <c r="H7510" s="248"/>
      <c r="I7510" s="248"/>
      <c r="J7510" s="247"/>
      <c r="K7510" s="249"/>
    </row>
    <row r="7511" spans="1:11" s="90" customFormat="1" ht="12.75" customHeight="1" x14ac:dyDescent="0.2">
      <c r="A7511" s="247"/>
      <c r="B7511" s="316"/>
      <c r="C7511" s="247"/>
      <c r="D7511" s="317"/>
      <c r="E7511" s="318"/>
      <c r="F7511" s="247"/>
      <c r="G7511" s="247"/>
      <c r="H7511" s="248"/>
      <c r="I7511" s="248"/>
      <c r="J7511" s="247"/>
      <c r="K7511" s="249"/>
    </row>
    <row r="7512" spans="1:11" s="90" customFormat="1" ht="12.75" customHeight="1" x14ac:dyDescent="0.2">
      <c r="A7512" s="247"/>
      <c r="B7512" s="316"/>
      <c r="C7512" s="247"/>
      <c r="D7512" s="317"/>
      <c r="E7512" s="318"/>
      <c r="F7512" s="247"/>
      <c r="G7512" s="247"/>
      <c r="H7512" s="248"/>
      <c r="I7512" s="248"/>
      <c r="J7512" s="247"/>
      <c r="K7512" s="249"/>
    </row>
    <row r="7513" spans="1:11" s="90" customFormat="1" ht="12.75" customHeight="1" x14ac:dyDescent="0.2">
      <c r="A7513" s="247"/>
      <c r="B7513" s="316"/>
      <c r="C7513" s="247"/>
      <c r="D7513" s="317"/>
      <c r="E7513" s="318"/>
      <c r="F7513" s="247"/>
      <c r="G7513" s="247"/>
      <c r="H7513" s="248"/>
      <c r="I7513" s="248"/>
      <c r="J7513" s="247"/>
      <c r="K7513" s="249"/>
    </row>
    <row r="7514" spans="1:11" s="90" customFormat="1" ht="12.75" customHeight="1" x14ac:dyDescent="0.2">
      <c r="A7514" s="247"/>
      <c r="B7514" s="316"/>
      <c r="C7514" s="247"/>
      <c r="D7514" s="317"/>
      <c r="E7514" s="318"/>
      <c r="F7514" s="247"/>
      <c r="G7514" s="247"/>
      <c r="H7514" s="248"/>
      <c r="I7514" s="248"/>
      <c r="J7514" s="247"/>
      <c r="K7514" s="249"/>
    </row>
    <row r="7515" spans="1:11" s="90" customFormat="1" ht="12.75" customHeight="1" x14ac:dyDescent="0.2">
      <c r="A7515" s="247"/>
      <c r="B7515" s="316"/>
      <c r="C7515" s="247"/>
      <c r="D7515" s="317"/>
      <c r="E7515" s="318"/>
      <c r="F7515" s="247"/>
      <c r="G7515" s="247"/>
      <c r="H7515" s="248"/>
      <c r="I7515" s="248"/>
      <c r="J7515" s="247"/>
      <c r="K7515" s="249"/>
    </row>
    <row r="7516" spans="1:11" s="90" customFormat="1" ht="12.75" customHeight="1" x14ac:dyDescent="0.2">
      <c r="A7516" s="247"/>
      <c r="B7516" s="316"/>
      <c r="C7516" s="247"/>
      <c r="D7516" s="317"/>
      <c r="E7516" s="318"/>
      <c r="F7516" s="247"/>
      <c r="G7516" s="247"/>
      <c r="H7516" s="248"/>
      <c r="I7516" s="248"/>
      <c r="J7516" s="247"/>
      <c r="K7516" s="249"/>
    </row>
    <row r="7517" spans="1:11" s="90" customFormat="1" ht="12.75" customHeight="1" x14ac:dyDescent="0.2">
      <c r="A7517" s="247"/>
      <c r="B7517" s="316"/>
      <c r="C7517" s="247"/>
      <c r="D7517" s="317"/>
      <c r="E7517" s="318"/>
      <c r="F7517" s="247"/>
      <c r="G7517" s="247"/>
      <c r="H7517" s="248"/>
      <c r="I7517" s="248"/>
      <c r="J7517" s="247"/>
      <c r="K7517" s="249"/>
    </row>
    <row r="7518" spans="1:11" s="90" customFormat="1" ht="12.75" customHeight="1" x14ac:dyDescent="0.2">
      <c r="A7518" s="247"/>
      <c r="B7518" s="316"/>
      <c r="C7518" s="247"/>
      <c r="D7518" s="317"/>
      <c r="E7518" s="318"/>
      <c r="F7518" s="247"/>
      <c r="G7518" s="247"/>
      <c r="H7518" s="248"/>
      <c r="I7518" s="248"/>
      <c r="J7518" s="247"/>
      <c r="K7518" s="249"/>
    </row>
    <row r="7519" spans="1:11" s="90" customFormat="1" ht="12.75" customHeight="1" x14ac:dyDescent="0.2">
      <c r="A7519" s="247"/>
      <c r="B7519" s="316"/>
      <c r="C7519" s="247"/>
      <c r="D7519" s="317"/>
      <c r="E7519" s="318"/>
      <c r="F7519" s="247"/>
      <c r="G7519" s="247"/>
      <c r="H7519" s="248"/>
      <c r="I7519" s="248"/>
      <c r="J7519" s="247"/>
      <c r="K7519" s="249"/>
    </row>
    <row r="7520" spans="1:11" s="90" customFormat="1" ht="12.75" customHeight="1" x14ac:dyDescent="0.2">
      <c r="A7520" s="247"/>
      <c r="B7520" s="316"/>
      <c r="C7520" s="247"/>
      <c r="D7520" s="317"/>
      <c r="E7520" s="318"/>
      <c r="F7520" s="247"/>
      <c r="G7520" s="247"/>
      <c r="H7520" s="248"/>
      <c r="I7520" s="248"/>
      <c r="J7520" s="247"/>
      <c r="K7520" s="249"/>
    </row>
    <row r="7521" spans="1:11" s="90" customFormat="1" ht="12.75" customHeight="1" x14ac:dyDescent="0.2">
      <c r="A7521" s="247"/>
      <c r="B7521" s="316"/>
      <c r="C7521" s="247"/>
      <c r="D7521" s="317"/>
      <c r="E7521" s="318"/>
      <c r="F7521" s="247"/>
      <c r="G7521" s="247"/>
      <c r="H7521" s="248"/>
      <c r="I7521" s="248"/>
      <c r="J7521" s="247"/>
      <c r="K7521" s="249"/>
    </row>
    <row r="7522" spans="1:11" s="90" customFormat="1" ht="12.75" customHeight="1" x14ac:dyDescent="0.2">
      <c r="A7522" s="247"/>
      <c r="B7522" s="316"/>
      <c r="C7522" s="247"/>
      <c r="D7522" s="317"/>
      <c r="E7522" s="318"/>
      <c r="F7522" s="247"/>
      <c r="G7522" s="247"/>
      <c r="H7522" s="248"/>
      <c r="I7522" s="248"/>
      <c r="J7522" s="247"/>
      <c r="K7522" s="249"/>
    </row>
    <row r="7523" spans="1:11" s="90" customFormat="1" ht="12.75" customHeight="1" x14ac:dyDescent="0.2">
      <c r="A7523" s="247"/>
      <c r="B7523" s="316"/>
      <c r="C7523" s="247"/>
      <c r="D7523" s="317"/>
      <c r="E7523" s="318"/>
      <c r="F7523" s="247"/>
      <c r="G7523" s="247"/>
      <c r="H7523" s="248"/>
      <c r="I7523" s="248"/>
      <c r="J7523" s="247"/>
      <c r="K7523" s="249"/>
    </row>
    <row r="7524" spans="1:11" s="90" customFormat="1" ht="12.75" customHeight="1" x14ac:dyDescent="0.2">
      <c r="A7524" s="247"/>
      <c r="B7524" s="316"/>
      <c r="C7524" s="247"/>
      <c r="D7524" s="317"/>
      <c r="E7524" s="318"/>
      <c r="F7524" s="247"/>
      <c r="G7524" s="247"/>
      <c r="H7524" s="248"/>
      <c r="I7524" s="248"/>
      <c r="J7524" s="247"/>
      <c r="K7524" s="249"/>
    </row>
    <row r="7525" spans="1:11" s="90" customFormat="1" ht="12.75" customHeight="1" x14ac:dyDescent="0.2">
      <c r="A7525" s="247"/>
      <c r="B7525" s="316"/>
      <c r="C7525" s="247"/>
      <c r="D7525" s="317"/>
      <c r="E7525" s="318"/>
      <c r="F7525" s="247"/>
      <c r="G7525" s="247"/>
      <c r="H7525" s="248"/>
      <c r="I7525" s="248"/>
      <c r="J7525" s="247"/>
      <c r="K7525" s="249"/>
    </row>
    <row r="7526" spans="1:11" s="90" customFormat="1" ht="12.75" customHeight="1" x14ac:dyDescent="0.2">
      <c r="A7526" s="247"/>
      <c r="B7526" s="316"/>
      <c r="C7526" s="247"/>
      <c r="D7526" s="317"/>
      <c r="E7526" s="318"/>
      <c r="F7526" s="247"/>
      <c r="G7526" s="247"/>
      <c r="H7526" s="248"/>
      <c r="I7526" s="248"/>
      <c r="J7526" s="247"/>
      <c r="K7526" s="249"/>
    </row>
    <row r="7527" spans="1:11" s="90" customFormat="1" ht="12.75" customHeight="1" x14ac:dyDescent="0.2">
      <c r="A7527" s="247"/>
      <c r="B7527" s="316"/>
      <c r="C7527" s="247"/>
      <c r="D7527" s="317"/>
      <c r="E7527" s="318"/>
      <c r="F7527" s="247"/>
      <c r="G7527" s="247"/>
      <c r="H7527" s="248"/>
      <c r="I7527" s="248"/>
      <c r="J7527" s="247"/>
      <c r="K7527" s="249"/>
    </row>
    <row r="7528" spans="1:11" s="90" customFormat="1" ht="12.75" customHeight="1" x14ac:dyDescent="0.2">
      <c r="A7528" s="247"/>
      <c r="B7528" s="316"/>
      <c r="C7528" s="247"/>
      <c r="D7528" s="317"/>
      <c r="E7528" s="318"/>
      <c r="F7528" s="247"/>
      <c r="G7528" s="247"/>
      <c r="H7528" s="248"/>
      <c r="I7528" s="248"/>
      <c r="J7528" s="247"/>
      <c r="K7528" s="249"/>
    </row>
    <row r="7529" spans="1:11" s="90" customFormat="1" ht="12.75" customHeight="1" x14ac:dyDescent="0.2">
      <c r="A7529" s="247"/>
      <c r="B7529" s="316"/>
      <c r="C7529" s="247"/>
      <c r="D7529" s="317"/>
      <c r="E7529" s="318"/>
      <c r="F7529" s="247"/>
      <c r="G7529" s="247"/>
      <c r="H7529" s="248"/>
      <c r="I7529" s="248"/>
      <c r="J7529" s="247"/>
      <c r="K7529" s="249"/>
    </row>
    <row r="7530" spans="1:11" s="90" customFormat="1" ht="12.75" customHeight="1" x14ac:dyDescent="0.2">
      <c r="A7530" s="247"/>
      <c r="B7530" s="316"/>
      <c r="C7530" s="247"/>
      <c r="D7530" s="317"/>
      <c r="E7530" s="318"/>
      <c r="F7530" s="247"/>
      <c r="G7530" s="247"/>
      <c r="H7530" s="248"/>
      <c r="I7530" s="248"/>
      <c r="J7530" s="247"/>
      <c r="K7530" s="249"/>
    </row>
    <row r="7531" spans="1:11" s="90" customFormat="1" ht="12.75" customHeight="1" x14ac:dyDescent="0.2">
      <c r="A7531" s="247"/>
      <c r="B7531" s="316"/>
      <c r="C7531" s="247"/>
      <c r="D7531" s="317"/>
      <c r="E7531" s="318"/>
      <c r="F7531" s="247"/>
      <c r="G7531" s="247"/>
      <c r="H7531" s="248"/>
      <c r="I7531" s="248"/>
      <c r="J7531" s="247"/>
      <c r="K7531" s="249"/>
    </row>
    <row r="7532" spans="1:11" s="90" customFormat="1" ht="12.75" customHeight="1" x14ac:dyDescent="0.2">
      <c r="A7532" s="247"/>
      <c r="B7532" s="316"/>
      <c r="C7532" s="247"/>
      <c r="D7532" s="317"/>
      <c r="E7532" s="318"/>
      <c r="F7532" s="247"/>
      <c r="G7532" s="247"/>
      <c r="H7532" s="248"/>
      <c r="I7532" s="248"/>
      <c r="J7532" s="247"/>
      <c r="K7532" s="249"/>
    </row>
    <row r="7533" spans="1:11" s="90" customFormat="1" ht="12.75" customHeight="1" x14ac:dyDescent="0.2">
      <c r="A7533" s="247"/>
      <c r="B7533" s="316"/>
      <c r="C7533" s="247"/>
      <c r="D7533" s="317"/>
      <c r="E7533" s="318"/>
      <c r="F7533" s="247"/>
      <c r="G7533" s="247"/>
      <c r="H7533" s="248"/>
      <c r="I7533" s="248"/>
      <c r="J7533" s="247"/>
      <c r="K7533" s="249"/>
    </row>
    <row r="7534" spans="1:11" s="90" customFormat="1" ht="12.75" customHeight="1" x14ac:dyDescent="0.2">
      <c r="A7534" s="247"/>
      <c r="B7534" s="316"/>
      <c r="C7534" s="247"/>
      <c r="D7534" s="317"/>
      <c r="E7534" s="318"/>
      <c r="F7534" s="247"/>
      <c r="G7534" s="247"/>
      <c r="H7534" s="248"/>
      <c r="I7534" s="248"/>
      <c r="J7534" s="247"/>
      <c r="K7534" s="249"/>
    </row>
    <row r="7535" spans="1:11" s="90" customFormat="1" ht="12.75" customHeight="1" x14ac:dyDescent="0.2">
      <c r="A7535" s="247"/>
      <c r="B7535" s="316"/>
      <c r="C7535" s="247"/>
      <c r="D7535" s="317"/>
      <c r="E7535" s="318"/>
      <c r="F7535" s="247"/>
      <c r="G7535" s="247"/>
      <c r="H7535" s="248"/>
      <c r="I7535" s="248"/>
      <c r="J7535" s="247"/>
      <c r="K7535" s="249"/>
    </row>
    <row r="7536" spans="1:11" s="90" customFormat="1" ht="12.75" customHeight="1" x14ac:dyDescent="0.2">
      <c r="A7536" s="247"/>
      <c r="B7536" s="316"/>
      <c r="C7536" s="247"/>
      <c r="D7536" s="317"/>
      <c r="E7536" s="318"/>
      <c r="F7536" s="247"/>
      <c r="G7536" s="247"/>
      <c r="H7536" s="248"/>
      <c r="I7536" s="248"/>
      <c r="J7536" s="247"/>
      <c r="K7536" s="249"/>
    </row>
    <row r="7537" spans="1:11" s="90" customFormat="1" ht="12.75" customHeight="1" x14ac:dyDescent="0.2">
      <c r="A7537" s="247"/>
      <c r="B7537" s="316"/>
      <c r="C7537" s="247"/>
      <c r="D7537" s="317"/>
      <c r="E7537" s="318"/>
      <c r="F7537" s="247"/>
      <c r="G7537" s="247"/>
      <c r="H7537" s="248"/>
      <c r="I7537" s="248"/>
      <c r="J7537" s="247"/>
      <c r="K7537" s="249"/>
    </row>
    <row r="7538" spans="1:11" s="90" customFormat="1" ht="12.75" customHeight="1" x14ac:dyDescent="0.2">
      <c r="A7538" s="247"/>
      <c r="B7538" s="316"/>
      <c r="C7538" s="247"/>
      <c r="D7538" s="317"/>
      <c r="E7538" s="318"/>
      <c r="F7538" s="247"/>
      <c r="G7538" s="247"/>
      <c r="H7538" s="248"/>
      <c r="I7538" s="248"/>
      <c r="J7538" s="247"/>
      <c r="K7538" s="249"/>
    </row>
    <row r="7539" spans="1:11" s="90" customFormat="1" ht="12.75" customHeight="1" x14ac:dyDescent="0.2">
      <c r="A7539" s="247"/>
      <c r="B7539" s="316"/>
      <c r="C7539" s="247"/>
      <c r="D7539" s="317"/>
      <c r="E7539" s="318"/>
      <c r="F7539" s="247"/>
      <c r="G7539" s="247"/>
      <c r="H7539" s="248"/>
      <c r="I7539" s="248"/>
      <c r="J7539" s="247"/>
      <c r="K7539" s="249"/>
    </row>
    <row r="7540" spans="1:11" s="90" customFormat="1" ht="12.75" customHeight="1" x14ac:dyDescent="0.2">
      <c r="A7540" s="247"/>
      <c r="B7540" s="316"/>
      <c r="C7540" s="247"/>
      <c r="D7540" s="317"/>
      <c r="E7540" s="318"/>
      <c r="F7540" s="247"/>
      <c r="G7540" s="247"/>
      <c r="H7540" s="248"/>
      <c r="I7540" s="248"/>
      <c r="J7540" s="247"/>
      <c r="K7540" s="249"/>
    </row>
    <row r="7541" spans="1:11" s="90" customFormat="1" ht="12.75" customHeight="1" x14ac:dyDescent="0.2">
      <c r="A7541" s="247"/>
      <c r="B7541" s="316"/>
      <c r="C7541" s="247"/>
      <c r="D7541" s="317"/>
      <c r="E7541" s="318"/>
      <c r="F7541" s="247"/>
      <c r="G7541" s="247"/>
      <c r="H7541" s="248"/>
      <c r="I7541" s="248"/>
      <c r="J7541" s="247"/>
      <c r="K7541" s="249"/>
    </row>
    <row r="7542" spans="1:11" s="90" customFormat="1" ht="12.75" customHeight="1" x14ac:dyDescent="0.2">
      <c r="A7542" s="247"/>
      <c r="B7542" s="316"/>
      <c r="C7542" s="247"/>
      <c r="D7542" s="317"/>
      <c r="E7542" s="318"/>
      <c r="F7542" s="247"/>
      <c r="G7542" s="247"/>
      <c r="H7542" s="248"/>
      <c r="I7542" s="248"/>
      <c r="J7542" s="247"/>
      <c r="K7542" s="249"/>
    </row>
    <row r="7543" spans="1:11" s="90" customFormat="1" ht="12.75" customHeight="1" x14ac:dyDescent="0.2">
      <c r="A7543" s="247"/>
      <c r="B7543" s="316"/>
      <c r="C7543" s="247"/>
      <c r="D7543" s="317"/>
      <c r="E7543" s="318"/>
      <c r="F7543" s="247"/>
      <c r="G7543" s="247"/>
      <c r="H7543" s="248"/>
      <c r="I7543" s="248"/>
      <c r="J7543" s="247"/>
      <c r="K7543" s="249"/>
    </row>
    <row r="7544" spans="1:11" s="90" customFormat="1" ht="12.75" customHeight="1" x14ac:dyDescent="0.2">
      <c r="A7544" s="247"/>
      <c r="B7544" s="316"/>
      <c r="C7544" s="247"/>
      <c r="D7544" s="317"/>
      <c r="E7544" s="318"/>
      <c r="F7544" s="247"/>
      <c r="G7544" s="247"/>
      <c r="H7544" s="248"/>
      <c r="I7544" s="248"/>
      <c r="J7544" s="247"/>
      <c r="K7544" s="249"/>
    </row>
    <row r="7545" spans="1:11" s="90" customFormat="1" ht="12.75" customHeight="1" x14ac:dyDescent="0.2">
      <c r="A7545" s="247"/>
      <c r="B7545" s="316"/>
      <c r="C7545" s="247"/>
      <c r="D7545" s="317"/>
      <c r="E7545" s="318"/>
      <c r="F7545" s="247"/>
      <c r="G7545" s="247"/>
      <c r="H7545" s="248"/>
      <c r="I7545" s="248"/>
      <c r="J7545" s="247"/>
      <c r="K7545" s="249"/>
    </row>
    <row r="7546" spans="1:11" s="90" customFormat="1" ht="12.75" customHeight="1" x14ac:dyDescent="0.2">
      <c r="A7546" s="247"/>
      <c r="B7546" s="316"/>
      <c r="C7546" s="247"/>
      <c r="D7546" s="317"/>
      <c r="E7546" s="318"/>
      <c r="F7546" s="247"/>
      <c r="G7546" s="247"/>
      <c r="H7546" s="248"/>
      <c r="I7546" s="248"/>
      <c r="J7546" s="247"/>
      <c r="K7546" s="249"/>
    </row>
    <row r="7547" spans="1:11" s="90" customFormat="1" ht="12.75" customHeight="1" x14ac:dyDescent="0.2">
      <c r="A7547" s="247"/>
      <c r="B7547" s="316"/>
      <c r="C7547" s="247"/>
      <c r="D7547" s="317"/>
      <c r="E7547" s="318"/>
      <c r="F7547" s="247"/>
      <c r="G7547" s="247"/>
      <c r="H7547" s="248"/>
      <c r="I7547" s="248"/>
      <c r="J7547" s="247"/>
      <c r="K7547" s="249"/>
    </row>
    <row r="7548" spans="1:11" s="90" customFormat="1" ht="12.75" customHeight="1" x14ac:dyDescent="0.2">
      <c r="A7548" s="247"/>
      <c r="B7548" s="316"/>
      <c r="C7548" s="247"/>
      <c r="D7548" s="317"/>
      <c r="E7548" s="318"/>
      <c r="F7548" s="247"/>
      <c r="G7548" s="247"/>
      <c r="H7548" s="248"/>
      <c r="I7548" s="248"/>
      <c r="J7548" s="247"/>
      <c r="K7548" s="249"/>
    </row>
    <row r="7549" spans="1:11" s="90" customFormat="1" ht="12.75" customHeight="1" x14ac:dyDescent="0.2">
      <c r="A7549" s="247"/>
      <c r="B7549" s="316"/>
      <c r="C7549" s="247"/>
      <c r="D7549" s="317"/>
      <c r="E7549" s="318"/>
      <c r="F7549" s="247"/>
      <c r="G7549" s="247"/>
      <c r="H7549" s="248"/>
      <c r="I7549" s="248"/>
      <c r="J7549" s="247"/>
      <c r="K7549" s="249"/>
    </row>
    <row r="7550" spans="1:11" s="90" customFormat="1" ht="12.75" customHeight="1" x14ac:dyDescent="0.2">
      <c r="A7550" s="247"/>
      <c r="B7550" s="316"/>
      <c r="C7550" s="247"/>
      <c r="D7550" s="317"/>
      <c r="E7550" s="318"/>
      <c r="F7550" s="247"/>
      <c r="G7550" s="247"/>
      <c r="H7550" s="248"/>
      <c r="I7550" s="248"/>
      <c r="J7550" s="247"/>
      <c r="K7550" s="249"/>
    </row>
    <row r="7551" spans="1:11" s="90" customFormat="1" ht="12.75" customHeight="1" x14ac:dyDescent="0.2">
      <c r="A7551" s="247"/>
      <c r="B7551" s="316"/>
      <c r="C7551" s="247"/>
      <c r="D7551" s="317"/>
      <c r="E7551" s="318"/>
      <c r="F7551" s="247"/>
      <c r="G7551" s="247"/>
      <c r="H7551" s="248"/>
      <c r="I7551" s="248"/>
      <c r="J7551" s="247"/>
      <c r="K7551" s="249"/>
    </row>
    <row r="7552" spans="1:11" s="90" customFormat="1" ht="12.75" customHeight="1" x14ac:dyDescent="0.2">
      <c r="A7552" s="247"/>
      <c r="B7552" s="316"/>
      <c r="C7552" s="247"/>
      <c r="D7552" s="317"/>
      <c r="E7552" s="318"/>
      <c r="F7552" s="247"/>
      <c r="G7552" s="247"/>
      <c r="H7552" s="248"/>
      <c r="I7552" s="248"/>
      <c r="J7552" s="247"/>
      <c r="K7552" s="249"/>
    </row>
    <row r="7553" spans="1:11" s="90" customFormat="1" ht="12.75" customHeight="1" x14ac:dyDescent="0.2">
      <c r="A7553" s="247"/>
      <c r="B7553" s="316"/>
      <c r="C7553" s="247"/>
      <c r="D7553" s="317"/>
      <c r="E7553" s="318"/>
      <c r="F7553" s="247"/>
      <c r="G7553" s="247"/>
      <c r="H7553" s="248"/>
      <c r="I7553" s="248"/>
      <c r="J7553" s="247"/>
      <c r="K7553" s="249"/>
    </row>
    <row r="7554" spans="1:11" s="90" customFormat="1" ht="12.75" customHeight="1" x14ac:dyDescent="0.2">
      <c r="A7554" s="247"/>
      <c r="B7554" s="316"/>
      <c r="C7554" s="247"/>
      <c r="D7554" s="317"/>
      <c r="E7554" s="318"/>
      <c r="F7554" s="247"/>
      <c r="G7554" s="247"/>
      <c r="H7554" s="248"/>
      <c r="I7554" s="248"/>
      <c r="J7554" s="247"/>
      <c r="K7554" s="249"/>
    </row>
    <row r="7555" spans="1:11" s="90" customFormat="1" ht="12.75" customHeight="1" x14ac:dyDescent="0.2">
      <c r="A7555" s="247"/>
      <c r="B7555" s="316"/>
      <c r="C7555" s="247"/>
      <c r="D7555" s="317"/>
      <c r="E7555" s="318"/>
      <c r="F7555" s="247"/>
      <c r="G7555" s="247"/>
      <c r="H7555" s="248"/>
      <c r="I7555" s="248"/>
      <c r="J7555" s="247"/>
      <c r="K7555" s="249"/>
    </row>
    <row r="7556" spans="1:11" s="90" customFormat="1" ht="12.75" customHeight="1" x14ac:dyDescent="0.2">
      <c r="A7556" s="247"/>
      <c r="B7556" s="316"/>
      <c r="C7556" s="247"/>
      <c r="D7556" s="317"/>
      <c r="E7556" s="318"/>
      <c r="F7556" s="247"/>
      <c r="G7556" s="247"/>
      <c r="H7556" s="248"/>
      <c r="I7556" s="248"/>
      <c r="J7556" s="247"/>
      <c r="K7556" s="249"/>
    </row>
    <row r="7557" spans="1:11" s="90" customFormat="1" ht="12.75" customHeight="1" x14ac:dyDescent="0.2">
      <c r="A7557" s="247"/>
      <c r="B7557" s="316"/>
      <c r="C7557" s="247"/>
      <c r="D7557" s="317"/>
      <c r="E7557" s="318"/>
      <c r="F7557" s="247"/>
      <c r="G7557" s="247"/>
      <c r="H7557" s="248"/>
      <c r="I7557" s="248"/>
      <c r="J7557" s="247"/>
      <c r="K7557" s="249"/>
    </row>
    <row r="7558" spans="1:11" s="90" customFormat="1" ht="12.75" customHeight="1" x14ac:dyDescent="0.2">
      <c r="A7558" s="247"/>
      <c r="B7558" s="316"/>
      <c r="C7558" s="247"/>
      <c r="D7558" s="317"/>
      <c r="E7558" s="318"/>
      <c r="F7558" s="247"/>
      <c r="G7558" s="247"/>
      <c r="H7558" s="248"/>
      <c r="I7558" s="248"/>
      <c r="J7558" s="247"/>
      <c r="K7558" s="249"/>
    </row>
    <row r="7559" spans="1:11" s="90" customFormat="1" ht="12.75" customHeight="1" x14ac:dyDescent="0.2">
      <c r="A7559" s="247"/>
      <c r="B7559" s="316"/>
      <c r="C7559" s="247"/>
      <c r="D7559" s="317"/>
      <c r="E7559" s="318"/>
      <c r="F7559" s="247"/>
      <c r="G7559" s="247"/>
      <c r="H7559" s="248"/>
      <c r="I7559" s="248"/>
      <c r="J7559" s="247"/>
      <c r="K7559" s="249"/>
    </row>
    <row r="7560" spans="1:11" s="90" customFormat="1" ht="12.75" customHeight="1" x14ac:dyDescent="0.2">
      <c r="A7560" s="247"/>
      <c r="B7560" s="316"/>
      <c r="C7560" s="247"/>
      <c r="D7560" s="317"/>
      <c r="E7560" s="318"/>
      <c r="F7560" s="247"/>
      <c r="G7560" s="247"/>
      <c r="H7560" s="248"/>
      <c r="I7560" s="248"/>
      <c r="J7560" s="247"/>
      <c r="K7560" s="249"/>
    </row>
    <row r="7561" spans="1:11" s="90" customFormat="1" ht="12.75" customHeight="1" x14ac:dyDescent="0.2">
      <c r="A7561" s="247"/>
      <c r="B7561" s="316"/>
      <c r="C7561" s="247"/>
      <c r="D7561" s="317"/>
      <c r="E7561" s="318"/>
      <c r="F7561" s="247"/>
      <c r="G7561" s="247"/>
      <c r="H7561" s="248"/>
      <c r="I7561" s="248"/>
      <c r="J7561" s="247"/>
      <c r="K7561" s="249"/>
    </row>
    <row r="7562" spans="1:11" s="90" customFormat="1" ht="12.75" customHeight="1" x14ac:dyDescent="0.2">
      <c r="A7562" s="247"/>
      <c r="B7562" s="316"/>
      <c r="C7562" s="247"/>
      <c r="D7562" s="317"/>
      <c r="E7562" s="318"/>
      <c r="F7562" s="247"/>
      <c r="G7562" s="247"/>
      <c r="H7562" s="248"/>
      <c r="I7562" s="248"/>
      <c r="J7562" s="247"/>
      <c r="K7562" s="249"/>
    </row>
    <row r="7563" spans="1:11" s="90" customFormat="1" ht="12.75" customHeight="1" x14ac:dyDescent="0.2">
      <c r="A7563" s="247"/>
      <c r="B7563" s="316"/>
      <c r="C7563" s="247"/>
      <c r="D7563" s="317"/>
      <c r="E7563" s="318"/>
      <c r="F7563" s="247"/>
      <c r="G7563" s="247"/>
      <c r="H7563" s="248"/>
      <c r="I7563" s="248"/>
      <c r="J7563" s="247"/>
      <c r="K7563" s="249"/>
    </row>
    <row r="7564" spans="1:11" s="90" customFormat="1" ht="12.75" customHeight="1" x14ac:dyDescent="0.2">
      <c r="A7564" s="247"/>
      <c r="B7564" s="316"/>
      <c r="C7564" s="247"/>
      <c r="D7564" s="317"/>
      <c r="E7564" s="318"/>
      <c r="F7564" s="247"/>
      <c r="G7564" s="247"/>
      <c r="H7564" s="248"/>
      <c r="I7564" s="248"/>
      <c r="J7564" s="247"/>
      <c r="K7564" s="249"/>
    </row>
    <row r="7565" spans="1:11" s="90" customFormat="1" ht="12.75" customHeight="1" x14ac:dyDescent="0.2">
      <c r="A7565" s="247"/>
      <c r="B7565" s="316"/>
      <c r="C7565" s="247"/>
      <c r="D7565" s="317"/>
      <c r="E7565" s="318"/>
      <c r="F7565" s="247"/>
      <c r="G7565" s="247"/>
      <c r="H7565" s="248"/>
      <c r="I7565" s="248"/>
      <c r="J7565" s="247"/>
      <c r="K7565" s="249"/>
    </row>
    <row r="7566" spans="1:11" s="90" customFormat="1" ht="12.75" customHeight="1" x14ac:dyDescent="0.2">
      <c r="A7566" s="247"/>
      <c r="B7566" s="316"/>
      <c r="C7566" s="247"/>
      <c r="D7566" s="317"/>
      <c r="E7566" s="318"/>
      <c r="F7566" s="247"/>
      <c r="G7566" s="247"/>
      <c r="H7566" s="248"/>
      <c r="I7566" s="248"/>
      <c r="J7566" s="247"/>
      <c r="K7566" s="249"/>
    </row>
    <row r="7567" spans="1:11" s="90" customFormat="1" ht="12.75" customHeight="1" x14ac:dyDescent="0.2">
      <c r="A7567" s="247"/>
      <c r="B7567" s="316"/>
      <c r="C7567" s="247"/>
      <c r="D7567" s="317"/>
      <c r="E7567" s="318"/>
      <c r="F7567" s="247"/>
      <c r="G7567" s="247"/>
      <c r="H7567" s="248"/>
      <c r="I7567" s="248"/>
      <c r="J7567" s="247"/>
      <c r="K7567" s="249"/>
    </row>
    <row r="7568" spans="1:11" s="90" customFormat="1" ht="12.75" customHeight="1" x14ac:dyDescent="0.2">
      <c r="A7568" s="247"/>
      <c r="B7568" s="316"/>
      <c r="C7568" s="247"/>
      <c r="D7568" s="317"/>
      <c r="E7568" s="318"/>
      <c r="F7568" s="247"/>
      <c r="G7568" s="247"/>
      <c r="H7568" s="248"/>
      <c r="I7568" s="248"/>
      <c r="J7568" s="247"/>
      <c r="K7568" s="249"/>
    </row>
    <row r="7569" spans="1:11" s="90" customFormat="1" ht="12.75" customHeight="1" x14ac:dyDescent="0.2">
      <c r="A7569" s="247"/>
      <c r="B7569" s="316"/>
      <c r="C7569" s="247"/>
      <c r="D7569" s="317"/>
      <c r="E7569" s="318"/>
      <c r="F7569" s="247"/>
      <c r="G7569" s="247"/>
      <c r="H7569" s="248"/>
      <c r="I7569" s="248"/>
      <c r="J7569" s="247"/>
      <c r="K7569" s="249"/>
    </row>
    <row r="7570" spans="1:11" s="90" customFormat="1" ht="12.75" customHeight="1" x14ac:dyDescent="0.2">
      <c r="A7570" s="247"/>
      <c r="B7570" s="316"/>
      <c r="C7570" s="247"/>
      <c r="D7570" s="317"/>
      <c r="E7570" s="318"/>
      <c r="F7570" s="247"/>
      <c r="G7570" s="247"/>
      <c r="H7570" s="248"/>
      <c r="I7570" s="248"/>
      <c r="J7570" s="247"/>
      <c r="K7570" s="249"/>
    </row>
    <row r="7571" spans="1:11" s="90" customFormat="1" ht="12.75" customHeight="1" x14ac:dyDescent="0.2">
      <c r="A7571" s="247"/>
      <c r="B7571" s="316"/>
      <c r="C7571" s="247"/>
      <c r="D7571" s="317"/>
      <c r="E7571" s="318"/>
      <c r="F7571" s="247"/>
      <c r="G7571" s="247"/>
      <c r="H7571" s="248"/>
      <c r="I7571" s="248"/>
      <c r="J7571" s="247"/>
      <c r="K7571" s="249"/>
    </row>
    <row r="7572" spans="1:11" s="90" customFormat="1" ht="12.75" customHeight="1" x14ac:dyDescent="0.2">
      <c r="A7572" s="247"/>
      <c r="B7572" s="316"/>
      <c r="C7572" s="247"/>
      <c r="D7572" s="317"/>
      <c r="E7572" s="318"/>
      <c r="F7572" s="247"/>
      <c r="G7572" s="247"/>
      <c r="H7572" s="248"/>
      <c r="I7572" s="248"/>
      <c r="J7572" s="247"/>
      <c r="K7572" s="249"/>
    </row>
    <row r="7573" spans="1:11" s="90" customFormat="1" ht="12.75" customHeight="1" x14ac:dyDescent="0.2">
      <c r="A7573" s="247"/>
      <c r="B7573" s="316"/>
      <c r="C7573" s="247"/>
      <c r="D7573" s="317"/>
      <c r="E7573" s="318"/>
      <c r="F7573" s="247"/>
      <c r="G7573" s="247"/>
      <c r="H7573" s="248"/>
      <c r="I7573" s="248"/>
      <c r="J7573" s="247"/>
      <c r="K7573" s="249"/>
    </row>
    <row r="7574" spans="1:11" s="90" customFormat="1" ht="12.75" customHeight="1" x14ac:dyDescent="0.2">
      <c r="A7574" s="247"/>
      <c r="B7574" s="316"/>
      <c r="C7574" s="247"/>
      <c r="D7574" s="317"/>
      <c r="E7574" s="318"/>
      <c r="F7574" s="247"/>
      <c r="G7574" s="247"/>
      <c r="H7574" s="248"/>
      <c r="I7574" s="248"/>
      <c r="J7574" s="247"/>
      <c r="K7574" s="249"/>
    </row>
    <row r="7575" spans="1:11" s="90" customFormat="1" ht="12.75" customHeight="1" x14ac:dyDescent="0.2">
      <c r="A7575" s="247"/>
      <c r="B7575" s="316"/>
      <c r="C7575" s="247"/>
      <c r="D7575" s="317"/>
      <c r="E7575" s="318"/>
      <c r="F7575" s="247"/>
      <c r="G7575" s="247"/>
      <c r="H7575" s="248"/>
      <c r="I7575" s="248"/>
      <c r="J7575" s="247"/>
      <c r="K7575" s="249"/>
    </row>
    <row r="7576" spans="1:11" s="90" customFormat="1" ht="12.75" customHeight="1" x14ac:dyDescent="0.2">
      <c r="A7576" s="247"/>
      <c r="B7576" s="316"/>
      <c r="C7576" s="247"/>
      <c r="D7576" s="317"/>
      <c r="E7576" s="318"/>
      <c r="F7576" s="247"/>
      <c r="G7576" s="247"/>
      <c r="H7576" s="248"/>
      <c r="I7576" s="248"/>
      <c r="J7576" s="247"/>
      <c r="K7576" s="249"/>
    </row>
    <row r="7577" spans="1:11" s="90" customFormat="1" ht="12.75" customHeight="1" x14ac:dyDescent="0.2">
      <c r="A7577" s="247"/>
      <c r="B7577" s="316"/>
      <c r="C7577" s="247"/>
      <c r="D7577" s="317"/>
      <c r="E7577" s="318"/>
      <c r="F7577" s="247"/>
      <c r="G7577" s="247"/>
      <c r="H7577" s="248"/>
      <c r="I7577" s="248"/>
      <c r="J7577" s="247"/>
      <c r="K7577" s="249"/>
    </row>
    <row r="7578" spans="1:11" s="90" customFormat="1" ht="12.75" customHeight="1" x14ac:dyDescent="0.2">
      <c r="A7578" s="247"/>
      <c r="B7578" s="316"/>
      <c r="C7578" s="247"/>
      <c r="D7578" s="317"/>
      <c r="E7578" s="318"/>
      <c r="F7578" s="247"/>
      <c r="G7578" s="247"/>
      <c r="H7578" s="248"/>
      <c r="I7578" s="248"/>
      <c r="J7578" s="247"/>
      <c r="K7578" s="249"/>
    </row>
    <row r="7579" spans="1:11" s="90" customFormat="1" ht="12.75" customHeight="1" x14ac:dyDescent="0.2">
      <c r="A7579" s="247"/>
      <c r="B7579" s="316"/>
      <c r="C7579" s="247"/>
      <c r="D7579" s="317"/>
      <c r="E7579" s="318"/>
      <c r="F7579" s="247"/>
      <c r="G7579" s="247"/>
      <c r="H7579" s="248"/>
      <c r="I7579" s="248"/>
      <c r="J7579" s="247"/>
      <c r="K7579" s="249"/>
    </row>
    <row r="7580" spans="1:11" s="90" customFormat="1" ht="12.75" customHeight="1" x14ac:dyDescent="0.2">
      <c r="A7580" s="247"/>
      <c r="B7580" s="316"/>
      <c r="C7580" s="247"/>
      <c r="D7580" s="317"/>
      <c r="E7580" s="318"/>
      <c r="F7580" s="247"/>
      <c r="G7580" s="247"/>
      <c r="H7580" s="248"/>
      <c r="I7580" s="248"/>
      <c r="J7580" s="247"/>
      <c r="K7580" s="249"/>
    </row>
    <row r="7581" spans="1:11" s="90" customFormat="1" ht="12.75" customHeight="1" x14ac:dyDescent="0.2">
      <c r="A7581" s="247"/>
      <c r="B7581" s="316"/>
      <c r="C7581" s="247"/>
      <c r="D7581" s="317"/>
      <c r="E7581" s="318"/>
      <c r="F7581" s="247"/>
      <c r="G7581" s="247"/>
      <c r="H7581" s="248"/>
      <c r="I7581" s="248"/>
      <c r="J7581" s="247"/>
      <c r="K7581" s="249"/>
    </row>
    <row r="7582" spans="1:11" s="90" customFormat="1" ht="12.75" customHeight="1" x14ac:dyDescent="0.2">
      <c r="A7582" s="247"/>
      <c r="B7582" s="316"/>
      <c r="C7582" s="247"/>
      <c r="D7582" s="317"/>
      <c r="E7582" s="318"/>
      <c r="F7582" s="247"/>
      <c r="G7582" s="247"/>
      <c r="H7582" s="248"/>
      <c r="I7582" s="248"/>
      <c r="J7582" s="247"/>
      <c r="K7582" s="249"/>
    </row>
    <row r="7583" spans="1:11" s="90" customFormat="1" ht="12.75" customHeight="1" x14ac:dyDescent="0.2">
      <c r="A7583" s="247"/>
      <c r="B7583" s="316"/>
      <c r="C7583" s="247"/>
      <c r="D7583" s="317"/>
      <c r="E7583" s="318"/>
      <c r="F7583" s="247"/>
      <c r="G7583" s="247"/>
      <c r="H7583" s="248"/>
      <c r="I7583" s="248"/>
      <c r="J7583" s="247"/>
      <c r="K7583" s="249"/>
    </row>
    <row r="7584" spans="1:11" s="90" customFormat="1" ht="12.75" customHeight="1" x14ac:dyDescent="0.2">
      <c r="A7584" s="247"/>
      <c r="B7584" s="316"/>
      <c r="C7584" s="247"/>
      <c r="D7584" s="317"/>
      <c r="E7584" s="318"/>
      <c r="F7584" s="247"/>
      <c r="G7584" s="247"/>
      <c r="H7584" s="248"/>
      <c r="I7584" s="248"/>
      <c r="J7584" s="247"/>
      <c r="K7584" s="249"/>
    </row>
    <row r="7585" spans="1:11" s="90" customFormat="1" ht="12.75" customHeight="1" x14ac:dyDescent="0.2">
      <c r="A7585" s="247"/>
      <c r="B7585" s="316"/>
      <c r="C7585" s="247"/>
      <c r="D7585" s="317"/>
      <c r="E7585" s="318"/>
      <c r="F7585" s="247"/>
      <c r="G7585" s="247"/>
      <c r="H7585" s="248"/>
      <c r="I7585" s="248"/>
      <c r="J7585" s="247"/>
      <c r="K7585" s="249"/>
    </row>
    <row r="7586" spans="1:11" s="90" customFormat="1" ht="12.75" customHeight="1" x14ac:dyDescent="0.2">
      <c r="A7586" s="247"/>
      <c r="B7586" s="316"/>
      <c r="C7586" s="247"/>
      <c r="D7586" s="317"/>
      <c r="E7586" s="318"/>
      <c r="F7586" s="247"/>
      <c r="G7586" s="247"/>
      <c r="H7586" s="248"/>
      <c r="I7586" s="248"/>
      <c r="J7586" s="247"/>
      <c r="K7586" s="249"/>
    </row>
    <row r="7587" spans="1:11" s="90" customFormat="1" ht="12.75" customHeight="1" x14ac:dyDescent="0.2">
      <c r="A7587" s="247"/>
      <c r="B7587" s="316"/>
      <c r="C7587" s="247"/>
      <c r="D7587" s="317"/>
      <c r="E7587" s="318"/>
      <c r="F7587" s="247"/>
      <c r="G7587" s="247"/>
      <c r="H7587" s="248"/>
      <c r="I7587" s="248"/>
      <c r="J7587" s="247"/>
      <c r="K7587" s="249"/>
    </row>
    <row r="7588" spans="1:11" s="90" customFormat="1" ht="12.75" customHeight="1" x14ac:dyDescent="0.2">
      <c r="A7588" s="247"/>
      <c r="B7588" s="316"/>
      <c r="C7588" s="247"/>
      <c r="D7588" s="317"/>
      <c r="E7588" s="318"/>
      <c r="F7588" s="247"/>
      <c r="G7588" s="247"/>
      <c r="H7588" s="248"/>
      <c r="I7588" s="248"/>
      <c r="J7588" s="247"/>
      <c r="K7588" s="249"/>
    </row>
    <row r="7589" spans="1:11" s="90" customFormat="1" ht="12.75" customHeight="1" x14ac:dyDescent="0.2">
      <c r="A7589" s="247"/>
      <c r="B7589" s="316"/>
      <c r="C7589" s="247"/>
      <c r="D7589" s="317"/>
      <c r="E7589" s="318"/>
      <c r="F7589" s="247"/>
      <c r="G7589" s="247"/>
      <c r="H7589" s="248"/>
      <c r="I7589" s="248"/>
      <c r="J7589" s="247"/>
      <c r="K7589" s="249"/>
    </row>
    <row r="7590" spans="1:11" s="90" customFormat="1" ht="12.75" customHeight="1" x14ac:dyDescent="0.2">
      <c r="A7590" s="247"/>
      <c r="B7590" s="316"/>
      <c r="C7590" s="247"/>
      <c r="D7590" s="317"/>
      <c r="E7590" s="318"/>
      <c r="F7590" s="247"/>
      <c r="G7590" s="247"/>
      <c r="H7590" s="248"/>
      <c r="I7590" s="248"/>
      <c r="J7590" s="247"/>
      <c r="K7590" s="249"/>
    </row>
    <row r="7591" spans="1:11" s="90" customFormat="1" ht="12.75" customHeight="1" x14ac:dyDescent="0.2">
      <c r="A7591" s="247"/>
      <c r="B7591" s="316"/>
      <c r="C7591" s="247"/>
      <c r="D7591" s="317"/>
      <c r="E7591" s="318"/>
      <c r="F7591" s="247"/>
      <c r="G7591" s="247"/>
      <c r="H7591" s="248"/>
      <c r="I7591" s="248"/>
      <c r="J7591" s="247"/>
      <c r="K7591" s="249"/>
    </row>
    <row r="7592" spans="1:11" s="90" customFormat="1" ht="12.75" customHeight="1" x14ac:dyDescent="0.2">
      <c r="A7592" s="247"/>
      <c r="B7592" s="316"/>
      <c r="C7592" s="247"/>
      <c r="D7592" s="317"/>
      <c r="E7592" s="318"/>
      <c r="F7592" s="247"/>
      <c r="G7592" s="247"/>
      <c r="H7592" s="248"/>
      <c r="I7592" s="248"/>
      <c r="J7592" s="247"/>
      <c r="K7592" s="249"/>
    </row>
    <row r="7593" spans="1:11" s="90" customFormat="1" ht="12.75" customHeight="1" x14ac:dyDescent="0.2">
      <c r="A7593" s="247"/>
      <c r="B7593" s="316"/>
      <c r="C7593" s="247"/>
      <c r="D7593" s="317"/>
      <c r="E7593" s="318"/>
      <c r="F7593" s="247"/>
      <c r="G7593" s="247"/>
      <c r="H7593" s="248"/>
      <c r="I7593" s="248"/>
      <c r="J7593" s="247"/>
      <c r="K7593" s="249"/>
    </row>
    <row r="7594" spans="1:11" s="90" customFormat="1" ht="12.75" customHeight="1" x14ac:dyDescent="0.2">
      <c r="A7594" s="247"/>
      <c r="B7594" s="316"/>
      <c r="C7594" s="247"/>
      <c r="D7594" s="317"/>
      <c r="E7594" s="318"/>
      <c r="F7594" s="247"/>
      <c r="G7594" s="247"/>
      <c r="H7594" s="248"/>
      <c r="I7594" s="248"/>
      <c r="J7594" s="247"/>
      <c r="K7594" s="249"/>
    </row>
    <row r="7595" spans="1:11" s="90" customFormat="1" ht="12.75" customHeight="1" x14ac:dyDescent="0.2">
      <c r="A7595" s="247"/>
      <c r="B7595" s="316"/>
      <c r="C7595" s="247"/>
      <c r="D7595" s="317"/>
      <c r="E7595" s="318"/>
      <c r="F7595" s="247"/>
      <c r="G7595" s="247"/>
      <c r="H7595" s="248"/>
      <c r="I7595" s="248"/>
      <c r="J7595" s="247"/>
      <c r="K7595" s="249"/>
    </row>
    <row r="7596" spans="1:11" s="90" customFormat="1" ht="12.75" customHeight="1" x14ac:dyDescent="0.2">
      <c r="A7596" s="247"/>
      <c r="B7596" s="316"/>
      <c r="C7596" s="247"/>
      <c r="D7596" s="317"/>
      <c r="E7596" s="318"/>
      <c r="F7596" s="247"/>
      <c r="G7596" s="247"/>
      <c r="H7596" s="248"/>
      <c r="I7596" s="248"/>
      <c r="J7596" s="247"/>
      <c r="K7596" s="249"/>
    </row>
    <row r="7597" spans="1:11" s="90" customFormat="1" ht="12.75" customHeight="1" x14ac:dyDescent="0.2">
      <c r="A7597" s="247"/>
      <c r="B7597" s="316"/>
      <c r="C7597" s="247"/>
      <c r="D7597" s="317"/>
      <c r="E7597" s="318"/>
      <c r="F7597" s="247"/>
      <c r="G7597" s="247"/>
      <c r="H7597" s="248"/>
      <c r="I7597" s="248"/>
      <c r="J7597" s="247"/>
      <c r="K7597" s="249"/>
    </row>
    <row r="7598" spans="1:11" s="90" customFormat="1" ht="12.75" customHeight="1" x14ac:dyDescent="0.2">
      <c r="A7598" s="247"/>
      <c r="B7598" s="316"/>
      <c r="C7598" s="247"/>
      <c r="D7598" s="317"/>
      <c r="E7598" s="318"/>
      <c r="F7598" s="247"/>
      <c r="G7598" s="247"/>
      <c r="H7598" s="248"/>
      <c r="I7598" s="248"/>
      <c r="J7598" s="247"/>
      <c r="K7598" s="249"/>
    </row>
    <row r="7599" spans="1:11" s="90" customFormat="1" ht="12.75" customHeight="1" x14ac:dyDescent="0.2">
      <c r="A7599" s="247"/>
      <c r="B7599" s="316"/>
      <c r="C7599" s="247"/>
      <c r="D7599" s="317"/>
      <c r="E7599" s="318"/>
      <c r="F7599" s="247"/>
      <c r="G7599" s="247"/>
      <c r="H7599" s="248"/>
      <c r="I7599" s="248"/>
      <c r="J7599" s="247"/>
      <c r="K7599" s="249"/>
    </row>
    <row r="7600" spans="1:11" s="90" customFormat="1" ht="12.75" customHeight="1" x14ac:dyDescent="0.2">
      <c r="A7600" s="247"/>
      <c r="B7600" s="316"/>
      <c r="C7600" s="247"/>
      <c r="D7600" s="317"/>
      <c r="E7600" s="318"/>
      <c r="F7600" s="247"/>
      <c r="G7600" s="247"/>
      <c r="H7600" s="248"/>
      <c r="I7600" s="248"/>
      <c r="J7600" s="247"/>
      <c r="K7600" s="249"/>
    </row>
    <row r="7601" spans="1:11" s="90" customFormat="1" ht="12.75" customHeight="1" x14ac:dyDescent="0.2">
      <c r="A7601" s="247"/>
      <c r="B7601" s="316"/>
      <c r="C7601" s="247"/>
      <c r="D7601" s="317"/>
      <c r="E7601" s="318"/>
      <c r="F7601" s="247"/>
      <c r="G7601" s="247"/>
      <c r="H7601" s="248"/>
      <c r="I7601" s="248"/>
      <c r="J7601" s="247"/>
      <c r="K7601" s="249"/>
    </row>
    <row r="7602" spans="1:11" s="90" customFormat="1" ht="12.75" customHeight="1" x14ac:dyDescent="0.2">
      <c r="A7602" s="247"/>
      <c r="B7602" s="316"/>
      <c r="C7602" s="247"/>
      <c r="D7602" s="317"/>
      <c r="E7602" s="318"/>
      <c r="F7602" s="247"/>
      <c r="G7602" s="247"/>
      <c r="H7602" s="248"/>
      <c r="I7602" s="248"/>
      <c r="J7602" s="247"/>
      <c r="K7602" s="249"/>
    </row>
    <row r="7603" spans="1:11" s="90" customFormat="1" ht="12.75" customHeight="1" x14ac:dyDescent="0.2">
      <c r="A7603" s="247"/>
      <c r="B7603" s="316"/>
      <c r="C7603" s="247"/>
      <c r="D7603" s="317"/>
      <c r="E7603" s="318"/>
      <c r="F7603" s="247"/>
      <c r="G7603" s="247"/>
      <c r="H7603" s="248"/>
      <c r="I7603" s="248"/>
      <c r="J7603" s="247"/>
      <c r="K7603" s="249"/>
    </row>
    <row r="7604" spans="1:11" s="90" customFormat="1" ht="12.75" customHeight="1" x14ac:dyDescent="0.2">
      <c r="A7604" s="247"/>
      <c r="B7604" s="316"/>
      <c r="C7604" s="247"/>
      <c r="D7604" s="317"/>
      <c r="E7604" s="318"/>
      <c r="F7604" s="247"/>
      <c r="G7604" s="247"/>
      <c r="H7604" s="248"/>
      <c r="I7604" s="248"/>
      <c r="J7604" s="247"/>
      <c r="K7604" s="249"/>
    </row>
    <row r="7605" spans="1:11" s="90" customFormat="1" ht="12.75" customHeight="1" x14ac:dyDescent="0.2">
      <c r="A7605" s="247"/>
      <c r="B7605" s="316"/>
      <c r="C7605" s="247"/>
      <c r="D7605" s="317"/>
      <c r="E7605" s="318"/>
      <c r="F7605" s="247"/>
      <c r="G7605" s="247"/>
      <c r="H7605" s="248"/>
      <c r="I7605" s="248"/>
      <c r="J7605" s="247"/>
      <c r="K7605" s="249"/>
    </row>
    <row r="7606" spans="1:11" s="90" customFormat="1" ht="12.75" customHeight="1" x14ac:dyDescent="0.2">
      <c r="A7606" s="247"/>
      <c r="B7606" s="316"/>
      <c r="C7606" s="247"/>
      <c r="D7606" s="317"/>
      <c r="E7606" s="318"/>
      <c r="F7606" s="247"/>
      <c r="G7606" s="247"/>
      <c r="H7606" s="248"/>
      <c r="I7606" s="248"/>
      <c r="J7606" s="247"/>
      <c r="K7606" s="249"/>
    </row>
    <row r="7607" spans="1:11" s="90" customFormat="1" ht="12.75" customHeight="1" x14ac:dyDescent="0.2">
      <c r="A7607" s="247"/>
      <c r="B7607" s="316"/>
      <c r="C7607" s="247"/>
      <c r="D7607" s="317"/>
      <c r="E7607" s="318"/>
      <c r="F7607" s="247"/>
      <c r="G7607" s="247"/>
      <c r="H7607" s="248"/>
      <c r="I7607" s="248"/>
      <c r="J7607" s="247"/>
      <c r="K7607" s="249"/>
    </row>
    <row r="7608" spans="1:11" s="90" customFormat="1" ht="12.75" customHeight="1" x14ac:dyDescent="0.2">
      <c r="A7608" s="247"/>
      <c r="B7608" s="316"/>
      <c r="C7608" s="247"/>
      <c r="D7608" s="317"/>
      <c r="E7608" s="318"/>
      <c r="F7608" s="247"/>
      <c r="G7608" s="247"/>
      <c r="H7608" s="248"/>
      <c r="I7608" s="248"/>
      <c r="J7608" s="247"/>
      <c r="K7608" s="249"/>
    </row>
    <row r="7609" spans="1:11" s="90" customFormat="1" ht="12.75" customHeight="1" x14ac:dyDescent="0.2">
      <c r="A7609" s="247"/>
      <c r="B7609" s="316"/>
      <c r="C7609" s="247"/>
      <c r="D7609" s="317"/>
      <c r="E7609" s="318"/>
      <c r="F7609" s="247"/>
      <c r="G7609" s="247"/>
      <c r="H7609" s="248"/>
      <c r="I7609" s="248"/>
      <c r="J7609" s="247"/>
      <c r="K7609" s="249"/>
    </row>
    <row r="7610" spans="1:11" s="90" customFormat="1" ht="12.75" customHeight="1" x14ac:dyDescent="0.2">
      <c r="A7610" s="247"/>
      <c r="B7610" s="316"/>
      <c r="C7610" s="247"/>
      <c r="D7610" s="317"/>
      <c r="E7610" s="318"/>
      <c r="F7610" s="247"/>
      <c r="G7610" s="247"/>
      <c r="H7610" s="248"/>
      <c r="I7610" s="248"/>
      <c r="J7610" s="247"/>
      <c r="K7610" s="249"/>
    </row>
    <row r="7611" spans="1:11" s="90" customFormat="1" ht="12.75" customHeight="1" x14ac:dyDescent="0.2">
      <c r="A7611" s="247"/>
      <c r="B7611" s="316"/>
      <c r="C7611" s="247"/>
      <c r="D7611" s="317"/>
      <c r="E7611" s="318"/>
      <c r="F7611" s="247"/>
      <c r="G7611" s="247"/>
      <c r="H7611" s="248"/>
      <c r="I7611" s="248"/>
      <c r="J7611" s="247"/>
      <c r="K7611" s="249"/>
    </row>
    <row r="7612" spans="1:11" s="90" customFormat="1" ht="12.75" customHeight="1" x14ac:dyDescent="0.2">
      <c r="A7612" s="247"/>
      <c r="B7612" s="316"/>
      <c r="C7612" s="247"/>
      <c r="D7612" s="317"/>
      <c r="E7612" s="318"/>
      <c r="F7612" s="247"/>
      <c r="G7612" s="247"/>
      <c r="H7612" s="248"/>
      <c r="I7612" s="248"/>
      <c r="J7612" s="247"/>
      <c r="K7612" s="249"/>
    </row>
    <row r="7613" spans="1:11" s="90" customFormat="1" ht="12.75" customHeight="1" x14ac:dyDescent="0.2">
      <c r="A7613" s="247"/>
      <c r="B7613" s="316"/>
      <c r="C7613" s="247"/>
      <c r="D7613" s="317"/>
      <c r="E7613" s="318"/>
      <c r="F7613" s="247"/>
      <c r="G7613" s="247"/>
      <c r="H7613" s="248"/>
      <c r="I7613" s="248"/>
      <c r="J7613" s="247"/>
      <c r="K7613" s="249"/>
    </row>
    <row r="7614" spans="1:11" s="90" customFormat="1" ht="12.75" customHeight="1" x14ac:dyDescent="0.2">
      <c r="A7614" s="247"/>
      <c r="B7614" s="316"/>
      <c r="C7614" s="247"/>
      <c r="D7614" s="317"/>
      <c r="E7614" s="318"/>
      <c r="F7614" s="247"/>
      <c r="G7614" s="247"/>
      <c r="H7614" s="248"/>
      <c r="I7614" s="248"/>
      <c r="J7614" s="247"/>
      <c r="K7614" s="249"/>
    </row>
    <row r="7615" spans="1:11" s="90" customFormat="1" ht="12.75" customHeight="1" x14ac:dyDescent="0.2">
      <c r="A7615" s="247"/>
      <c r="B7615" s="316"/>
      <c r="C7615" s="247"/>
      <c r="D7615" s="317"/>
      <c r="E7615" s="318"/>
      <c r="F7615" s="247"/>
      <c r="G7615" s="247"/>
      <c r="H7615" s="248"/>
      <c r="I7615" s="248"/>
      <c r="J7615" s="247"/>
      <c r="K7615" s="249"/>
    </row>
    <row r="7616" spans="1:11" s="90" customFormat="1" ht="12.75" customHeight="1" x14ac:dyDescent="0.2">
      <c r="A7616" s="247"/>
      <c r="B7616" s="316"/>
      <c r="C7616" s="247"/>
      <c r="D7616" s="317"/>
      <c r="E7616" s="318"/>
      <c r="F7616" s="247"/>
      <c r="G7616" s="247"/>
      <c r="H7616" s="248"/>
      <c r="I7616" s="248"/>
      <c r="J7616" s="247"/>
      <c r="K7616" s="249"/>
    </row>
    <row r="7617" spans="1:11" s="90" customFormat="1" ht="12.75" customHeight="1" x14ac:dyDescent="0.2">
      <c r="A7617" s="247"/>
      <c r="B7617" s="316"/>
      <c r="C7617" s="247"/>
      <c r="D7617" s="317"/>
      <c r="E7617" s="318"/>
      <c r="F7617" s="247"/>
      <c r="G7617" s="247"/>
      <c r="H7617" s="248"/>
      <c r="I7617" s="248"/>
      <c r="J7617" s="247"/>
      <c r="K7617" s="249"/>
    </row>
    <row r="7618" spans="1:11" s="90" customFormat="1" ht="12.75" customHeight="1" x14ac:dyDescent="0.2">
      <c r="A7618" s="247"/>
      <c r="B7618" s="316"/>
      <c r="C7618" s="247"/>
      <c r="D7618" s="317"/>
      <c r="E7618" s="318"/>
      <c r="F7618" s="247"/>
      <c r="G7618" s="247"/>
      <c r="H7618" s="248"/>
      <c r="I7618" s="248"/>
      <c r="J7618" s="247"/>
      <c r="K7618" s="249"/>
    </row>
    <row r="7619" spans="1:11" s="90" customFormat="1" ht="12.75" customHeight="1" x14ac:dyDescent="0.2">
      <c r="A7619" s="247"/>
      <c r="B7619" s="316"/>
      <c r="C7619" s="247"/>
      <c r="D7619" s="317"/>
      <c r="E7619" s="318"/>
      <c r="F7619" s="247"/>
      <c r="G7619" s="247"/>
      <c r="H7619" s="248"/>
      <c r="I7619" s="248"/>
      <c r="J7619" s="247"/>
      <c r="K7619" s="249"/>
    </row>
    <row r="7620" spans="1:11" s="90" customFormat="1" ht="12.75" customHeight="1" x14ac:dyDescent="0.2">
      <c r="A7620" s="247"/>
      <c r="B7620" s="316"/>
      <c r="C7620" s="247"/>
      <c r="D7620" s="317"/>
      <c r="E7620" s="318"/>
      <c r="F7620" s="247"/>
      <c r="G7620" s="247"/>
      <c r="H7620" s="248"/>
      <c r="I7620" s="248"/>
      <c r="J7620" s="247"/>
      <c r="K7620" s="249"/>
    </row>
    <row r="7621" spans="1:11" s="90" customFormat="1" ht="12.75" customHeight="1" x14ac:dyDescent="0.2">
      <c r="A7621" s="247"/>
      <c r="B7621" s="316"/>
      <c r="C7621" s="247"/>
      <c r="D7621" s="317"/>
      <c r="E7621" s="318"/>
      <c r="F7621" s="247"/>
      <c r="G7621" s="247"/>
      <c r="H7621" s="248"/>
      <c r="I7621" s="248"/>
      <c r="J7621" s="247"/>
      <c r="K7621" s="249"/>
    </row>
    <row r="7622" spans="1:11" s="90" customFormat="1" ht="12.75" customHeight="1" x14ac:dyDescent="0.2">
      <c r="A7622" s="247"/>
      <c r="B7622" s="316"/>
      <c r="C7622" s="247"/>
      <c r="D7622" s="317"/>
      <c r="E7622" s="318"/>
      <c r="F7622" s="247"/>
      <c r="G7622" s="247"/>
      <c r="H7622" s="248"/>
      <c r="I7622" s="248"/>
      <c r="J7622" s="247"/>
      <c r="K7622" s="249"/>
    </row>
    <row r="7623" spans="1:11" s="90" customFormat="1" ht="12.75" customHeight="1" x14ac:dyDescent="0.2">
      <c r="A7623" s="247"/>
      <c r="B7623" s="316"/>
      <c r="C7623" s="247"/>
      <c r="D7623" s="317"/>
      <c r="E7623" s="318"/>
      <c r="F7623" s="247"/>
      <c r="G7623" s="247"/>
      <c r="H7623" s="248"/>
      <c r="I7623" s="248"/>
      <c r="J7623" s="247"/>
      <c r="K7623" s="249"/>
    </row>
    <row r="7624" spans="1:11" s="90" customFormat="1" ht="12.75" customHeight="1" x14ac:dyDescent="0.2">
      <c r="A7624" s="247"/>
      <c r="B7624" s="316"/>
      <c r="C7624" s="247"/>
      <c r="D7624" s="317"/>
      <c r="E7624" s="318"/>
      <c r="F7624" s="247"/>
      <c r="G7624" s="247"/>
      <c r="H7624" s="248"/>
      <c r="I7624" s="248"/>
      <c r="J7624" s="247"/>
      <c r="K7624" s="249"/>
    </row>
    <row r="7625" spans="1:11" s="90" customFormat="1" ht="12.75" customHeight="1" x14ac:dyDescent="0.2">
      <c r="A7625" s="247"/>
      <c r="B7625" s="316"/>
      <c r="C7625" s="247"/>
      <c r="D7625" s="317"/>
      <c r="E7625" s="318"/>
      <c r="F7625" s="247"/>
      <c r="G7625" s="247"/>
      <c r="H7625" s="248"/>
      <c r="I7625" s="248"/>
      <c r="J7625" s="247"/>
      <c r="K7625" s="249"/>
    </row>
    <row r="7626" spans="1:11" s="90" customFormat="1" ht="12.75" customHeight="1" x14ac:dyDescent="0.2">
      <c r="A7626" s="247"/>
      <c r="B7626" s="316"/>
      <c r="C7626" s="247"/>
      <c r="D7626" s="317"/>
      <c r="E7626" s="318"/>
      <c r="F7626" s="247"/>
      <c r="G7626" s="247"/>
      <c r="H7626" s="248"/>
      <c r="I7626" s="248"/>
      <c r="J7626" s="247"/>
      <c r="K7626" s="249"/>
    </row>
    <row r="7627" spans="1:11" s="90" customFormat="1" ht="12.75" customHeight="1" x14ac:dyDescent="0.2">
      <c r="A7627" s="247"/>
      <c r="B7627" s="316"/>
      <c r="C7627" s="247"/>
      <c r="D7627" s="317"/>
      <c r="E7627" s="318"/>
      <c r="F7627" s="247"/>
      <c r="G7627" s="247"/>
      <c r="H7627" s="248"/>
      <c r="I7627" s="248"/>
      <c r="J7627" s="247"/>
      <c r="K7627" s="249"/>
    </row>
    <row r="7628" spans="1:11" s="90" customFormat="1" ht="12.75" customHeight="1" x14ac:dyDescent="0.2">
      <c r="A7628" s="247"/>
      <c r="B7628" s="316"/>
      <c r="C7628" s="247"/>
      <c r="D7628" s="317"/>
      <c r="E7628" s="318"/>
      <c r="F7628" s="247"/>
      <c r="G7628" s="247"/>
      <c r="H7628" s="248"/>
      <c r="I7628" s="248"/>
      <c r="J7628" s="247"/>
      <c r="K7628" s="249"/>
    </row>
    <row r="7629" spans="1:11" s="90" customFormat="1" ht="12.75" customHeight="1" x14ac:dyDescent="0.2">
      <c r="A7629" s="247"/>
      <c r="B7629" s="316"/>
      <c r="C7629" s="247"/>
      <c r="D7629" s="317"/>
      <c r="E7629" s="318"/>
      <c r="F7629" s="247"/>
      <c r="G7629" s="247"/>
      <c r="H7629" s="248"/>
      <c r="I7629" s="248"/>
      <c r="J7629" s="247"/>
      <c r="K7629" s="249"/>
    </row>
    <row r="7630" spans="1:11" s="90" customFormat="1" ht="12.75" customHeight="1" x14ac:dyDescent="0.2">
      <c r="A7630" s="247"/>
      <c r="B7630" s="316"/>
      <c r="C7630" s="247"/>
      <c r="D7630" s="317"/>
      <c r="E7630" s="318"/>
      <c r="F7630" s="247"/>
      <c r="G7630" s="247"/>
      <c r="H7630" s="248"/>
      <c r="I7630" s="248"/>
      <c r="J7630" s="247"/>
      <c r="K7630" s="249"/>
    </row>
    <row r="7631" spans="1:11" s="90" customFormat="1" ht="12.75" customHeight="1" x14ac:dyDescent="0.2">
      <c r="A7631" s="247"/>
      <c r="B7631" s="316"/>
      <c r="C7631" s="247"/>
      <c r="D7631" s="317"/>
      <c r="E7631" s="318"/>
      <c r="F7631" s="247"/>
      <c r="G7631" s="247"/>
      <c r="H7631" s="248"/>
      <c r="I7631" s="248"/>
      <c r="J7631" s="247"/>
      <c r="K7631" s="249"/>
    </row>
    <row r="7632" spans="1:11" s="90" customFormat="1" ht="12.75" customHeight="1" x14ac:dyDescent="0.2">
      <c r="A7632" s="247"/>
      <c r="B7632" s="316"/>
      <c r="C7632" s="247"/>
      <c r="D7632" s="317"/>
      <c r="E7632" s="318"/>
      <c r="F7632" s="247"/>
      <c r="G7632" s="247"/>
      <c r="H7632" s="248"/>
      <c r="I7632" s="248"/>
      <c r="J7632" s="247"/>
      <c r="K7632" s="249"/>
    </row>
    <row r="7633" spans="1:11" s="90" customFormat="1" ht="12.75" customHeight="1" x14ac:dyDescent="0.2">
      <c r="A7633" s="247"/>
      <c r="B7633" s="316"/>
      <c r="C7633" s="247"/>
      <c r="D7633" s="317"/>
      <c r="E7633" s="318"/>
      <c r="F7633" s="247"/>
      <c r="G7633" s="247"/>
      <c r="H7633" s="248"/>
      <c r="I7633" s="248"/>
      <c r="J7633" s="247"/>
      <c r="K7633" s="249"/>
    </row>
    <row r="7634" spans="1:11" s="90" customFormat="1" ht="12.75" customHeight="1" x14ac:dyDescent="0.2">
      <c r="A7634" s="247"/>
      <c r="B7634" s="316"/>
      <c r="C7634" s="247"/>
      <c r="D7634" s="317"/>
      <c r="E7634" s="318"/>
      <c r="F7634" s="247"/>
      <c r="G7634" s="247"/>
      <c r="H7634" s="248"/>
      <c r="I7634" s="248"/>
      <c r="J7634" s="247"/>
      <c r="K7634" s="249"/>
    </row>
    <row r="7635" spans="1:11" s="90" customFormat="1" ht="12.75" customHeight="1" x14ac:dyDescent="0.2">
      <c r="A7635" s="247"/>
      <c r="B7635" s="316"/>
      <c r="C7635" s="247"/>
      <c r="D7635" s="317"/>
      <c r="E7635" s="318"/>
      <c r="F7635" s="247"/>
      <c r="G7635" s="247"/>
      <c r="H7635" s="248"/>
      <c r="I7635" s="248"/>
      <c r="J7635" s="247"/>
      <c r="K7635" s="249"/>
    </row>
    <row r="7636" spans="1:11" s="90" customFormat="1" ht="12.75" customHeight="1" x14ac:dyDescent="0.2">
      <c r="A7636" s="247"/>
      <c r="B7636" s="316"/>
      <c r="C7636" s="247"/>
      <c r="D7636" s="317"/>
      <c r="E7636" s="318"/>
      <c r="F7636" s="247"/>
      <c r="G7636" s="247"/>
      <c r="H7636" s="248"/>
      <c r="I7636" s="248"/>
      <c r="J7636" s="247"/>
      <c r="K7636" s="249"/>
    </row>
    <row r="7637" spans="1:11" s="90" customFormat="1" ht="12.75" customHeight="1" x14ac:dyDescent="0.2">
      <c r="A7637" s="247"/>
      <c r="B7637" s="316"/>
      <c r="C7637" s="247"/>
      <c r="D7637" s="317"/>
      <c r="E7637" s="318"/>
      <c r="F7637" s="247"/>
      <c r="G7637" s="247"/>
      <c r="H7637" s="248"/>
      <c r="I7637" s="248"/>
      <c r="J7637" s="247"/>
      <c r="K7637" s="249"/>
    </row>
    <row r="7638" spans="1:11" s="90" customFormat="1" ht="12.75" customHeight="1" x14ac:dyDescent="0.2">
      <c r="A7638" s="247"/>
      <c r="B7638" s="316"/>
      <c r="C7638" s="247"/>
      <c r="D7638" s="317"/>
      <c r="E7638" s="318"/>
      <c r="F7638" s="247"/>
      <c r="G7638" s="247"/>
      <c r="H7638" s="248"/>
      <c r="I7638" s="248"/>
      <c r="J7638" s="247"/>
      <c r="K7638" s="249"/>
    </row>
    <row r="7639" spans="1:11" s="90" customFormat="1" ht="12.75" customHeight="1" x14ac:dyDescent="0.2">
      <c r="A7639" s="247"/>
      <c r="B7639" s="316"/>
      <c r="C7639" s="247"/>
      <c r="D7639" s="317"/>
      <c r="E7639" s="318"/>
      <c r="F7639" s="247"/>
      <c r="G7639" s="247"/>
      <c r="H7639" s="248"/>
      <c r="I7639" s="248"/>
      <c r="J7639" s="247"/>
      <c r="K7639" s="249"/>
    </row>
    <row r="7640" spans="1:11" s="90" customFormat="1" ht="12.75" customHeight="1" x14ac:dyDescent="0.2">
      <c r="A7640" s="247"/>
      <c r="B7640" s="316"/>
      <c r="C7640" s="247"/>
      <c r="D7640" s="317"/>
      <c r="E7640" s="318"/>
      <c r="F7640" s="247"/>
      <c r="G7640" s="247"/>
      <c r="H7640" s="248"/>
      <c r="I7640" s="248"/>
      <c r="J7640" s="247"/>
      <c r="K7640" s="249"/>
    </row>
    <row r="7641" spans="1:11" s="90" customFormat="1" ht="12.75" customHeight="1" x14ac:dyDescent="0.2">
      <c r="A7641" s="247"/>
      <c r="B7641" s="316"/>
      <c r="C7641" s="247"/>
      <c r="D7641" s="317"/>
      <c r="E7641" s="318"/>
      <c r="F7641" s="247"/>
      <c r="G7641" s="247"/>
      <c r="H7641" s="248"/>
      <c r="I7641" s="248"/>
      <c r="J7641" s="247"/>
      <c r="K7641" s="249"/>
    </row>
    <row r="7642" spans="1:11" s="90" customFormat="1" ht="12.75" customHeight="1" x14ac:dyDescent="0.2">
      <c r="A7642" s="247"/>
      <c r="B7642" s="316"/>
      <c r="C7642" s="247"/>
      <c r="D7642" s="317"/>
      <c r="E7642" s="318"/>
      <c r="F7642" s="247"/>
      <c r="G7642" s="247"/>
      <c r="H7642" s="248"/>
      <c r="I7642" s="248"/>
      <c r="J7642" s="247"/>
      <c r="K7642" s="249"/>
    </row>
    <row r="7643" spans="1:11" s="90" customFormat="1" ht="12.75" customHeight="1" x14ac:dyDescent="0.2">
      <c r="A7643" s="247"/>
      <c r="B7643" s="316"/>
      <c r="C7643" s="247"/>
      <c r="D7643" s="317"/>
      <c r="E7643" s="318"/>
      <c r="F7643" s="247"/>
      <c r="G7643" s="247"/>
      <c r="H7643" s="248"/>
      <c r="I7643" s="248"/>
      <c r="J7643" s="247"/>
      <c r="K7643" s="249"/>
    </row>
    <row r="7644" spans="1:11" s="90" customFormat="1" ht="12.75" customHeight="1" x14ac:dyDescent="0.2">
      <c r="A7644" s="247"/>
      <c r="B7644" s="316"/>
      <c r="C7644" s="247"/>
      <c r="D7644" s="317"/>
      <c r="E7644" s="318"/>
      <c r="F7644" s="247"/>
      <c r="G7644" s="247"/>
      <c r="H7644" s="248"/>
      <c r="I7644" s="248"/>
      <c r="J7644" s="247"/>
      <c r="K7644" s="249"/>
    </row>
    <row r="7645" spans="1:11" s="90" customFormat="1" ht="12.75" customHeight="1" x14ac:dyDescent="0.2">
      <c r="A7645" s="247"/>
      <c r="B7645" s="316"/>
      <c r="C7645" s="247"/>
      <c r="D7645" s="317"/>
      <c r="E7645" s="318"/>
      <c r="F7645" s="247"/>
      <c r="G7645" s="247"/>
      <c r="H7645" s="248"/>
      <c r="I7645" s="248"/>
      <c r="J7645" s="247"/>
      <c r="K7645" s="249"/>
    </row>
    <row r="7646" spans="1:11" s="90" customFormat="1" ht="12.75" customHeight="1" x14ac:dyDescent="0.2">
      <c r="A7646" s="247"/>
      <c r="B7646" s="316"/>
      <c r="C7646" s="247"/>
      <c r="D7646" s="317"/>
      <c r="E7646" s="318"/>
      <c r="F7646" s="247"/>
      <c r="G7646" s="247"/>
      <c r="H7646" s="248"/>
      <c r="I7646" s="248"/>
      <c r="J7646" s="247"/>
      <c r="K7646" s="249"/>
    </row>
    <row r="7647" spans="1:11" s="90" customFormat="1" ht="12.75" customHeight="1" x14ac:dyDescent="0.2">
      <c r="A7647" s="247"/>
      <c r="B7647" s="316"/>
      <c r="C7647" s="247"/>
      <c r="D7647" s="317"/>
      <c r="E7647" s="318"/>
      <c r="F7647" s="247"/>
      <c r="G7647" s="247"/>
      <c r="H7647" s="248"/>
      <c r="I7647" s="248"/>
      <c r="J7647" s="247"/>
      <c r="K7647" s="249"/>
    </row>
    <row r="7648" spans="1:11" s="90" customFormat="1" ht="12.75" customHeight="1" x14ac:dyDescent="0.2">
      <c r="A7648" s="247"/>
      <c r="B7648" s="316"/>
      <c r="C7648" s="247"/>
      <c r="D7648" s="317"/>
      <c r="E7648" s="318"/>
      <c r="F7648" s="247"/>
      <c r="G7648" s="247"/>
      <c r="H7648" s="248"/>
      <c r="I7648" s="248"/>
      <c r="J7648" s="247"/>
      <c r="K7648" s="249"/>
    </row>
    <row r="7649" spans="1:11" s="90" customFormat="1" ht="12.75" customHeight="1" x14ac:dyDescent="0.2">
      <c r="A7649" s="247"/>
      <c r="B7649" s="316"/>
      <c r="C7649" s="247"/>
      <c r="D7649" s="317"/>
      <c r="E7649" s="318"/>
      <c r="F7649" s="247"/>
      <c r="G7649" s="247"/>
      <c r="H7649" s="248"/>
      <c r="I7649" s="248"/>
      <c r="J7649" s="247"/>
      <c r="K7649" s="249"/>
    </row>
    <row r="7650" spans="1:11" s="90" customFormat="1" ht="12.75" customHeight="1" x14ac:dyDescent="0.2">
      <c r="A7650" s="247"/>
      <c r="B7650" s="316"/>
      <c r="C7650" s="247"/>
      <c r="D7650" s="317"/>
      <c r="E7650" s="318"/>
      <c r="F7650" s="247"/>
      <c r="G7650" s="247"/>
      <c r="H7650" s="248"/>
      <c r="I7650" s="248"/>
      <c r="J7650" s="247"/>
      <c r="K7650" s="249"/>
    </row>
    <row r="7651" spans="1:11" s="90" customFormat="1" ht="12.75" customHeight="1" x14ac:dyDescent="0.2">
      <c r="A7651" s="247"/>
      <c r="B7651" s="316"/>
      <c r="C7651" s="247"/>
      <c r="D7651" s="317"/>
      <c r="E7651" s="318"/>
      <c r="F7651" s="247"/>
      <c r="G7651" s="247"/>
      <c r="H7651" s="248"/>
      <c r="I7651" s="248"/>
      <c r="J7651" s="247"/>
      <c r="K7651" s="249"/>
    </row>
    <row r="7652" spans="1:11" s="90" customFormat="1" ht="12.75" customHeight="1" x14ac:dyDescent="0.2">
      <c r="A7652" s="247"/>
      <c r="B7652" s="316"/>
      <c r="C7652" s="247"/>
      <c r="D7652" s="317"/>
      <c r="E7652" s="318"/>
      <c r="F7652" s="247"/>
      <c r="G7652" s="247"/>
      <c r="H7652" s="248"/>
      <c r="I7652" s="248"/>
      <c r="J7652" s="247"/>
      <c r="K7652" s="249"/>
    </row>
    <row r="7653" spans="1:11" s="90" customFormat="1" ht="12.75" customHeight="1" x14ac:dyDescent="0.2">
      <c r="A7653" s="247"/>
      <c r="B7653" s="316"/>
      <c r="C7653" s="247"/>
      <c r="D7653" s="317"/>
      <c r="E7653" s="318"/>
      <c r="F7653" s="247"/>
      <c r="G7653" s="247"/>
      <c r="H7653" s="248"/>
      <c r="I7653" s="248"/>
      <c r="J7653" s="247"/>
      <c r="K7653" s="249"/>
    </row>
    <row r="7654" spans="1:11" s="90" customFormat="1" ht="12.75" customHeight="1" x14ac:dyDescent="0.2">
      <c r="A7654" s="247"/>
      <c r="B7654" s="316"/>
      <c r="C7654" s="247"/>
      <c r="D7654" s="317"/>
      <c r="E7654" s="318"/>
      <c r="F7654" s="247"/>
      <c r="G7654" s="247"/>
      <c r="H7654" s="248"/>
      <c r="I7654" s="248"/>
      <c r="J7654" s="247"/>
      <c r="K7654" s="249"/>
    </row>
    <row r="7655" spans="1:11" s="90" customFormat="1" ht="12.75" customHeight="1" x14ac:dyDescent="0.2">
      <c r="A7655" s="247"/>
      <c r="B7655" s="316"/>
      <c r="C7655" s="247"/>
      <c r="D7655" s="317"/>
      <c r="E7655" s="318"/>
      <c r="F7655" s="247"/>
      <c r="G7655" s="247"/>
      <c r="H7655" s="248"/>
      <c r="I7655" s="248"/>
      <c r="J7655" s="247"/>
      <c r="K7655" s="249"/>
    </row>
    <row r="7656" spans="1:11" s="90" customFormat="1" ht="12.75" customHeight="1" x14ac:dyDescent="0.2">
      <c r="A7656" s="247"/>
      <c r="B7656" s="316"/>
      <c r="C7656" s="247"/>
      <c r="D7656" s="317"/>
      <c r="E7656" s="318"/>
      <c r="F7656" s="247"/>
      <c r="G7656" s="247"/>
      <c r="H7656" s="248"/>
      <c r="I7656" s="248"/>
      <c r="J7656" s="247"/>
      <c r="K7656" s="249"/>
    </row>
    <row r="7657" spans="1:11" s="90" customFormat="1" ht="12.75" customHeight="1" x14ac:dyDescent="0.2">
      <c r="A7657" s="247"/>
      <c r="B7657" s="316"/>
      <c r="C7657" s="247"/>
      <c r="D7657" s="317"/>
      <c r="E7657" s="318"/>
      <c r="F7657" s="247"/>
      <c r="G7657" s="247"/>
      <c r="H7657" s="248"/>
      <c r="I7657" s="248"/>
      <c r="J7657" s="247"/>
      <c r="K7657" s="249"/>
    </row>
    <row r="7658" spans="1:11" s="90" customFormat="1" ht="12.75" customHeight="1" x14ac:dyDescent="0.2">
      <c r="A7658" s="247"/>
      <c r="B7658" s="316"/>
      <c r="C7658" s="247"/>
      <c r="D7658" s="317"/>
      <c r="E7658" s="318"/>
      <c r="F7658" s="247"/>
      <c r="G7658" s="247"/>
      <c r="H7658" s="248"/>
      <c r="I7658" s="248"/>
      <c r="J7658" s="247"/>
      <c r="K7658" s="249"/>
    </row>
    <row r="7659" spans="1:11" s="90" customFormat="1" ht="12.75" customHeight="1" x14ac:dyDescent="0.2">
      <c r="A7659" s="247"/>
      <c r="B7659" s="316"/>
      <c r="C7659" s="247"/>
      <c r="D7659" s="317"/>
      <c r="E7659" s="318"/>
      <c r="F7659" s="247"/>
      <c r="G7659" s="247"/>
      <c r="H7659" s="248"/>
      <c r="I7659" s="248"/>
      <c r="J7659" s="247"/>
      <c r="K7659" s="249"/>
    </row>
    <row r="7660" spans="1:11" s="90" customFormat="1" ht="12.75" customHeight="1" x14ac:dyDescent="0.2">
      <c r="A7660" s="247"/>
      <c r="B7660" s="316"/>
      <c r="C7660" s="247"/>
      <c r="D7660" s="317"/>
      <c r="E7660" s="318"/>
      <c r="F7660" s="247"/>
      <c r="G7660" s="247"/>
      <c r="H7660" s="248"/>
      <c r="I7660" s="248"/>
      <c r="J7660" s="247"/>
      <c r="K7660" s="249"/>
    </row>
    <row r="7661" spans="1:11" s="90" customFormat="1" ht="12.75" customHeight="1" x14ac:dyDescent="0.2">
      <c r="A7661" s="247"/>
      <c r="B7661" s="316"/>
      <c r="C7661" s="247"/>
      <c r="D7661" s="317"/>
      <c r="E7661" s="318"/>
      <c r="F7661" s="247"/>
      <c r="G7661" s="247"/>
      <c r="H7661" s="248"/>
      <c r="I7661" s="248"/>
      <c r="J7661" s="247"/>
      <c r="K7661" s="249"/>
    </row>
    <row r="7662" spans="1:11" s="90" customFormat="1" ht="12.75" customHeight="1" x14ac:dyDescent="0.2">
      <c r="A7662" s="247"/>
      <c r="B7662" s="316"/>
      <c r="C7662" s="247"/>
      <c r="D7662" s="317"/>
      <c r="E7662" s="318"/>
      <c r="F7662" s="247"/>
      <c r="G7662" s="247"/>
      <c r="H7662" s="248"/>
      <c r="I7662" s="248"/>
      <c r="J7662" s="247"/>
      <c r="K7662" s="249"/>
    </row>
    <row r="7663" spans="1:11" s="90" customFormat="1" ht="12.75" customHeight="1" x14ac:dyDescent="0.2">
      <c r="A7663" s="247"/>
      <c r="B7663" s="316"/>
      <c r="C7663" s="247"/>
      <c r="D7663" s="317"/>
      <c r="E7663" s="318"/>
      <c r="F7663" s="247"/>
      <c r="G7663" s="247"/>
      <c r="H7663" s="248"/>
      <c r="I7663" s="248"/>
      <c r="J7663" s="247"/>
      <c r="K7663" s="249"/>
    </row>
    <row r="7664" spans="1:11" s="90" customFormat="1" ht="12.75" customHeight="1" x14ac:dyDescent="0.2">
      <c r="A7664" s="247"/>
      <c r="B7664" s="316"/>
      <c r="C7664" s="247"/>
      <c r="D7664" s="317"/>
      <c r="E7664" s="318"/>
      <c r="F7664" s="247"/>
      <c r="G7664" s="247"/>
      <c r="H7664" s="248"/>
      <c r="I7664" s="248"/>
      <c r="J7664" s="247"/>
      <c r="K7664" s="249"/>
    </row>
    <row r="7665" spans="1:11" s="90" customFormat="1" ht="12.75" customHeight="1" x14ac:dyDescent="0.2">
      <c r="A7665" s="247"/>
      <c r="B7665" s="316"/>
      <c r="C7665" s="247"/>
      <c r="D7665" s="317"/>
      <c r="E7665" s="318"/>
      <c r="F7665" s="247"/>
      <c r="G7665" s="247"/>
      <c r="H7665" s="248"/>
      <c r="I7665" s="248"/>
      <c r="J7665" s="247"/>
      <c r="K7665" s="249"/>
    </row>
    <row r="7666" spans="1:11" s="90" customFormat="1" ht="12.75" customHeight="1" x14ac:dyDescent="0.2">
      <c r="A7666" s="247"/>
      <c r="B7666" s="316"/>
      <c r="C7666" s="247"/>
      <c r="D7666" s="317"/>
      <c r="E7666" s="318"/>
      <c r="F7666" s="247"/>
      <c r="G7666" s="247"/>
      <c r="H7666" s="248"/>
      <c r="I7666" s="248"/>
      <c r="J7666" s="247"/>
      <c r="K7666" s="249"/>
    </row>
    <row r="7667" spans="1:11" s="90" customFormat="1" ht="12.75" customHeight="1" x14ac:dyDescent="0.2">
      <c r="A7667" s="247"/>
      <c r="B7667" s="316"/>
      <c r="C7667" s="247"/>
      <c r="D7667" s="317"/>
      <c r="E7667" s="318"/>
      <c r="F7667" s="247"/>
      <c r="G7667" s="247"/>
      <c r="H7667" s="248"/>
      <c r="I7667" s="248"/>
      <c r="J7667" s="247"/>
      <c r="K7667" s="249"/>
    </row>
    <row r="7668" spans="1:11" s="90" customFormat="1" ht="12.75" customHeight="1" x14ac:dyDescent="0.2">
      <c r="A7668" s="247"/>
      <c r="B7668" s="316"/>
      <c r="C7668" s="247"/>
      <c r="D7668" s="317"/>
      <c r="E7668" s="318"/>
      <c r="F7668" s="247"/>
      <c r="G7668" s="247"/>
      <c r="H7668" s="248"/>
      <c r="I7668" s="248"/>
      <c r="J7668" s="247"/>
      <c r="K7668" s="249"/>
    </row>
    <row r="7669" spans="1:11" s="90" customFormat="1" ht="12.75" customHeight="1" x14ac:dyDescent="0.2">
      <c r="A7669" s="247"/>
      <c r="B7669" s="316"/>
      <c r="C7669" s="247"/>
      <c r="D7669" s="317"/>
      <c r="E7669" s="318"/>
      <c r="F7669" s="247"/>
      <c r="G7669" s="247"/>
      <c r="H7669" s="248"/>
      <c r="I7669" s="248"/>
      <c r="J7669" s="247"/>
      <c r="K7669" s="249"/>
    </row>
    <row r="7670" spans="1:11" s="90" customFormat="1" ht="12.75" customHeight="1" x14ac:dyDescent="0.2">
      <c r="A7670" s="247"/>
      <c r="B7670" s="316"/>
      <c r="C7670" s="247"/>
      <c r="D7670" s="317"/>
      <c r="E7670" s="318"/>
      <c r="F7670" s="247"/>
      <c r="G7670" s="247"/>
      <c r="H7670" s="248"/>
      <c r="I7670" s="248"/>
      <c r="J7670" s="247"/>
      <c r="K7670" s="249"/>
    </row>
    <row r="7671" spans="1:11" s="90" customFormat="1" ht="12.75" customHeight="1" x14ac:dyDescent="0.2">
      <c r="A7671" s="247"/>
      <c r="B7671" s="316"/>
      <c r="C7671" s="247"/>
      <c r="D7671" s="317"/>
      <c r="E7671" s="318"/>
      <c r="F7671" s="247"/>
      <c r="G7671" s="247"/>
      <c r="H7671" s="248"/>
      <c r="I7671" s="248"/>
      <c r="J7671" s="247"/>
      <c r="K7671" s="249"/>
    </row>
    <row r="7672" spans="1:11" s="90" customFormat="1" ht="12.75" customHeight="1" x14ac:dyDescent="0.2">
      <c r="A7672" s="247"/>
      <c r="B7672" s="316"/>
      <c r="C7672" s="247"/>
      <c r="D7672" s="317"/>
      <c r="E7672" s="318"/>
      <c r="F7672" s="247"/>
      <c r="G7672" s="247"/>
      <c r="H7672" s="248"/>
      <c r="I7672" s="248"/>
      <c r="J7672" s="247"/>
      <c r="K7672" s="249"/>
    </row>
    <row r="7673" spans="1:11" s="90" customFormat="1" ht="12.75" customHeight="1" x14ac:dyDescent="0.2">
      <c r="A7673" s="247"/>
      <c r="B7673" s="316"/>
      <c r="C7673" s="247"/>
      <c r="D7673" s="317"/>
      <c r="E7673" s="318"/>
      <c r="F7673" s="247"/>
      <c r="G7673" s="247"/>
      <c r="H7673" s="248"/>
      <c r="I7673" s="248"/>
      <c r="J7673" s="247"/>
      <c r="K7673" s="249"/>
    </row>
    <row r="7674" spans="1:11" s="90" customFormat="1" ht="12.75" customHeight="1" x14ac:dyDescent="0.2">
      <c r="A7674" s="247"/>
      <c r="B7674" s="316"/>
      <c r="C7674" s="247"/>
      <c r="D7674" s="317"/>
      <c r="E7674" s="318"/>
      <c r="F7674" s="247"/>
      <c r="G7674" s="247"/>
      <c r="H7674" s="248"/>
      <c r="I7674" s="248"/>
      <c r="J7674" s="247"/>
      <c r="K7674" s="249"/>
    </row>
    <row r="7675" spans="1:11" s="90" customFormat="1" ht="12.75" customHeight="1" x14ac:dyDescent="0.2">
      <c r="A7675" s="247"/>
      <c r="B7675" s="316"/>
      <c r="C7675" s="247"/>
      <c r="D7675" s="317"/>
      <c r="E7675" s="318"/>
      <c r="F7675" s="247"/>
      <c r="G7675" s="247"/>
      <c r="H7675" s="248"/>
      <c r="I7675" s="248"/>
      <c r="J7675" s="247"/>
      <c r="K7675" s="249"/>
    </row>
    <row r="7676" spans="1:11" s="90" customFormat="1" ht="12.75" customHeight="1" x14ac:dyDescent="0.2">
      <c r="A7676" s="247"/>
      <c r="B7676" s="316"/>
      <c r="C7676" s="247"/>
      <c r="D7676" s="317"/>
      <c r="E7676" s="318"/>
      <c r="F7676" s="247"/>
      <c r="G7676" s="247"/>
      <c r="H7676" s="248"/>
      <c r="I7676" s="248"/>
      <c r="J7676" s="247"/>
      <c r="K7676" s="249"/>
    </row>
    <row r="7677" spans="1:11" s="90" customFormat="1" ht="12.75" customHeight="1" x14ac:dyDescent="0.2">
      <c r="A7677" s="247"/>
      <c r="B7677" s="316"/>
      <c r="C7677" s="247"/>
      <c r="D7677" s="317"/>
      <c r="E7677" s="318"/>
      <c r="F7677" s="247"/>
      <c r="G7677" s="247"/>
      <c r="H7677" s="248"/>
      <c r="I7677" s="248"/>
      <c r="J7677" s="247"/>
      <c r="K7677" s="249"/>
    </row>
    <row r="7678" spans="1:11" s="90" customFormat="1" ht="12.75" customHeight="1" x14ac:dyDescent="0.2">
      <c r="A7678" s="247"/>
      <c r="B7678" s="316"/>
      <c r="C7678" s="247"/>
      <c r="D7678" s="317"/>
      <c r="E7678" s="318"/>
      <c r="F7678" s="247"/>
      <c r="G7678" s="247"/>
      <c r="H7678" s="248"/>
      <c r="I7678" s="248"/>
      <c r="J7678" s="247"/>
      <c r="K7678" s="249"/>
    </row>
    <row r="7679" spans="1:11" s="90" customFormat="1" ht="12.75" customHeight="1" x14ac:dyDescent="0.2">
      <c r="A7679" s="247"/>
      <c r="B7679" s="316"/>
      <c r="C7679" s="247"/>
      <c r="D7679" s="317"/>
      <c r="E7679" s="318"/>
      <c r="F7679" s="247"/>
      <c r="G7679" s="247"/>
      <c r="H7679" s="248"/>
      <c r="I7679" s="248"/>
      <c r="J7679" s="247"/>
      <c r="K7679" s="249"/>
    </row>
    <row r="7680" spans="1:11" s="90" customFormat="1" ht="12.75" customHeight="1" x14ac:dyDescent="0.2">
      <c r="A7680" s="247"/>
      <c r="B7680" s="316"/>
      <c r="C7680" s="247"/>
      <c r="D7680" s="317"/>
      <c r="E7680" s="318"/>
      <c r="F7680" s="247"/>
      <c r="G7680" s="247"/>
      <c r="H7680" s="248"/>
      <c r="I7680" s="248"/>
      <c r="J7680" s="247"/>
      <c r="K7680" s="249"/>
    </row>
    <row r="7681" spans="1:11" s="90" customFormat="1" ht="12.75" customHeight="1" x14ac:dyDescent="0.2">
      <c r="A7681" s="247"/>
      <c r="B7681" s="316"/>
      <c r="C7681" s="247"/>
      <c r="D7681" s="317"/>
      <c r="E7681" s="318"/>
      <c r="F7681" s="247"/>
      <c r="G7681" s="247"/>
      <c r="H7681" s="248"/>
      <c r="I7681" s="248"/>
      <c r="J7681" s="247"/>
      <c r="K7681" s="249"/>
    </row>
    <row r="7682" spans="1:11" s="90" customFormat="1" ht="12.75" customHeight="1" x14ac:dyDescent="0.2">
      <c r="A7682" s="247"/>
      <c r="B7682" s="316"/>
      <c r="C7682" s="247"/>
      <c r="D7682" s="317"/>
      <c r="E7682" s="318"/>
      <c r="F7682" s="247"/>
      <c r="G7682" s="247"/>
      <c r="H7682" s="248"/>
      <c r="I7682" s="248"/>
      <c r="J7682" s="247"/>
      <c r="K7682" s="249"/>
    </row>
    <row r="7683" spans="1:11" s="90" customFormat="1" ht="12.75" customHeight="1" x14ac:dyDescent="0.2">
      <c r="A7683" s="247"/>
      <c r="B7683" s="316"/>
      <c r="C7683" s="247"/>
      <c r="D7683" s="317"/>
      <c r="E7683" s="318"/>
      <c r="F7683" s="247"/>
      <c r="G7683" s="247"/>
      <c r="H7683" s="248"/>
      <c r="I7683" s="248"/>
      <c r="J7683" s="247"/>
      <c r="K7683" s="249"/>
    </row>
    <row r="7684" spans="1:11" s="90" customFormat="1" ht="12.75" customHeight="1" x14ac:dyDescent="0.2">
      <c r="A7684" s="247"/>
      <c r="B7684" s="316"/>
      <c r="C7684" s="247"/>
      <c r="D7684" s="317"/>
      <c r="E7684" s="318"/>
      <c r="F7684" s="247"/>
      <c r="G7684" s="247"/>
      <c r="H7684" s="248"/>
      <c r="I7684" s="248"/>
      <c r="J7684" s="247"/>
      <c r="K7684" s="249"/>
    </row>
    <row r="7685" spans="1:11" s="90" customFormat="1" ht="12.75" customHeight="1" x14ac:dyDescent="0.2">
      <c r="A7685" s="247"/>
      <c r="B7685" s="316"/>
      <c r="C7685" s="247"/>
      <c r="D7685" s="317"/>
      <c r="E7685" s="318"/>
      <c r="F7685" s="247"/>
      <c r="G7685" s="247"/>
      <c r="H7685" s="248"/>
      <c r="I7685" s="248"/>
      <c r="J7685" s="247"/>
      <c r="K7685" s="249"/>
    </row>
    <row r="7686" spans="1:11" s="90" customFormat="1" ht="12.75" customHeight="1" x14ac:dyDescent="0.2">
      <c r="A7686" s="247"/>
      <c r="B7686" s="316"/>
      <c r="C7686" s="247"/>
      <c r="D7686" s="317"/>
      <c r="E7686" s="318"/>
      <c r="F7686" s="247"/>
      <c r="G7686" s="247"/>
      <c r="H7686" s="248"/>
      <c r="I7686" s="248"/>
      <c r="J7686" s="247"/>
      <c r="K7686" s="249"/>
    </row>
    <row r="7687" spans="1:11" s="90" customFormat="1" ht="12.75" customHeight="1" x14ac:dyDescent="0.2">
      <c r="A7687" s="247"/>
      <c r="B7687" s="316"/>
      <c r="C7687" s="247"/>
      <c r="D7687" s="317"/>
      <c r="E7687" s="318"/>
      <c r="F7687" s="247"/>
      <c r="G7687" s="247"/>
      <c r="H7687" s="248"/>
      <c r="I7687" s="248"/>
      <c r="J7687" s="247"/>
      <c r="K7687" s="249"/>
    </row>
    <row r="7688" spans="1:11" s="90" customFormat="1" ht="12.75" customHeight="1" x14ac:dyDescent="0.2">
      <c r="A7688" s="247"/>
      <c r="B7688" s="316"/>
      <c r="C7688" s="247"/>
      <c r="D7688" s="317"/>
      <c r="E7688" s="318"/>
      <c r="F7688" s="247"/>
      <c r="G7688" s="247"/>
      <c r="H7688" s="248"/>
      <c r="I7688" s="248"/>
      <c r="J7688" s="247"/>
      <c r="K7688" s="249"/>
    </row>
    <row r="7689" spans="1:11" s="90" customFormat="1" ht="12.75" customHeight="1" x14ac:dyDescent="0.2">
      <c r="A7689" s="247"/>
      <c r="B7689" s="316"/>
      <c r="C7689" s="247"/>
      <c r="D7689" s="317"/>
      <c r="E7689" s="318"/>
      <c r="F7689" s="247"/>
      <c r="G7689" s="247"/>
      <c r="H7689" s="248"/>
      <c r="I7689" s="248"/>
      <c r="J7689" s="247"/>
      <c r="K7689" s="249"/>
    </row>
    <row r="7690" spans="1:11" s="90" customFormat="1" ht="12.75" customHeight="1" x14ac:dyDescent="0.2">
      <c r="A7690" s="247"/>
      <c r="B7690" s="316"/>
      <c r="C7690" s="247"/>
      <c r="D7690" s="317"/>
      <c r="E7690" s="318"/>
      <c r="F7690" s="247"/>
      <c r="G7690" s="247"/>
      <c r="H7690" s="248"/>
      <c r="I7690" s="248"/>
      <c r="J7690" s="247"/>
      <c r="K7690" s="249"/>
    </row>
    <row r="7691" spans="1:11" s="90" customFormat="1" ht="12.75" customHeight="1" x14ac:dyDescent="0.2">
      <c r="A7691" s="247"/>
      <c r="B7691" s="316"/>
      <c r="C7691" s="247"/>
      <c r="D7691" s="317"/>
      <c r="E7691" s="318"/>
      <c r="F7691" s="247"/>
      <c r="G7691" s="247"/>
      <c r="H7691" s="248"/>
      <c r="I7691" s="248"/>
      <c r="J7691" s="247"/>
      <c r="K7691" s="249"/>
    </row>
    <row r="7692" spans="1:11" s="90" customFormat="1" ht="12.75" customHeight="1" x14ac:dyDescent="0.2">
      <c r="A7692" s="247"/>
      <c r="B7692" s="316"/>
      <c r="C7692" s="247"/>
      <c r="D7692" s="317"/>
      <c r="E7692" s="318"/>
      <c r="F7692" s="247"/>
      <c r="G7692" s="247"/>
      <c r="H7692" s="248"/>
      <c r="I7692" s="248"/>
      <c r="J7692" s="247"/>
      <c r="K7692" s="249"/>
    </row>
    <row r="7693" spans="1:11" s="90" customFormat="1" ht="12.75" customHeight="1" x14ac:dyDescent="0.2">
      <c r="A7693" s="247"/>
      <c r="B7693" s="316"/>
      <c r="C7693" s="247"/>
      <c r="D7693" s="317"/>
      <c r="E7693" s="318"/>
      <c r="F7693" s="247"/>
      <c r="G7693" s="247"/>
      <c r="H7693" s="248"/>
      <c r="I7693" s="248"/>
      <c r="J7693" s="247"/>
      <c r="K7693" s="249"/>
    </row>
    <row r="7694" spans="1:11" s="90" customFormat="1" ht="12.75" customHeight="1" x14ac:dyDescent="0.2">
      <c r="A7694" s="247"/>
      <c r="B7694" s="316"/>
      <c r="C7694" s="247"/>
      <c r="D7694" s="317"/>
      <c r="E7694" s="318"/>
      <c r="F7694" s="247"/>
      <c r="G7694" s="247"/>
      <c r="H7694" s="248"/>
      <c r="I7694" s="248"/>
      <c r="J7694" s="247"/>
      <c r="K7694" s="249"/>
    </row>
    <row r="7695" spans="1:11" s="90" customFormat="1" ht="12.75" customHeight="1" x14ac:dyDescent="0.2">
      <c r="A7695" s="247"/>
      <c r="B7695" s="316"/>
      <c r="C7695" s="247"/>
      <c r="D7695" s="317"/>
      <c r="E7695" s="318"/>
      <c r="F7695" s="247"/>
      <c r="G7695" s="247"/>
      <c r="H7695" s="248"/>
      <c r="I7695" s="248"/>
      <c r="J7695" s="247"/>
      <c r="K7695" s="249"/>
    </row>
    <row r="7696" spans="1:11" s="90" customFormat="1" ht="12.75" customHeight="1" x14ac:dyDescent="0.2">
      <c r="A7696" s="247"/>
      <c r="B7696" s="316"/>
      <c r="C7696" s="247"/>
      <c r="D7696" s="317"/>
      <c r="E7696" s="318"/>
      <c r="F7696" s="247"/>
      <c r="G7696" s="247"/>
      <c r="H7696" s="248"/>
      <c r="I7696" s="248"/>
      <c r="J7696" s="247"/>
      <c r="K7696" s="249"/>
    </row>
    <row r="7697" spans="1:11" s="90" customFormat="1" ht="12.75" customHeight="1" x14ac:dyDescent="0.2">
      <c r="A7697" s="247"/>
      <c r="B7697" s="316"/>
      <c r="C7697" s="247"/>
      <c r="D7697" s="317"/>
      <c r="E7697" s="318"/>
      <c r="F7697" s="247"/>
      <c r="G7697" s="247"/>
      <c r="H7697" s="248"/>
      <c r="I7697" s="248"/>
      <c r="J7697" s="247"/>
      <c r="K7697" s="249"/>
    </row>
    <row r="7698" spans="1:11" s="90" customFormat="1" ht="12.75" customHeight="1" x14ac:dyDescent="0.2">
      <c r="A7698" s="247"/>
      <c r="B7698" s="316"/>
      <c r="C7698" s="247"/>
      <c r="D7698" s="317"/>
      <c r="E7698" s="318"/>
      <c r="F7698" s="247"/>
      <c r="G7698" s="247"/>
      <c r="H7698" s="248"/>
      <c r="I7698" s="248"/>
      <c r="J7698" s="247"/>
      <c r="K7698" s="249"/>
    </row>
    <row r="7699" spans="1:11" s="90" customFormat="1" ht="12.75" customHeight="1" x14ac:dyDescent="0.2">
      <c r="A7699" s="247"/>
      <c r="B7699" s="316"/>
      <c r="C7699" s="247"/>
      <c r="D7699" s="317"/>
      <c r="E7699" s="318"/>
      <c r="F7699" s="247"/>
      <c r="G7699" s="247"/>
      <c r="H7699" s="248"/>
      <c r="I7699" s="248"/>
      <c r="J7699" s="247"/>
      <c r="K7699" s="249"/>
    </row>
    <row r="7700" spans="1:11" s="90" customFormat="1" ht="12.75" customHeight="1" x14ac:dyDescent="0.2">
      <c r="A7700" s="247"/>
      <c r="B7700" s="316"/>
      <c r="C7700" s="247"/>
      <c r="D7700" s="317"/>
      <c r="E7700" s="318"/>
      <c r="F7700" s="247"/>
      <c r="G7700" s="247"/>
      <c r="H7700" s="248"/>
      <c r="I7700" s="248"/>
      <c r="J7700" s="247"/>
      <c r="K7700" s="249"/>
    </row>
    <row r="7701" spans="1:11" s="90" customFormat="1" ht="12.75" customHeight="1" x14ac:dyDescent="0.2">
      <c r="A7701" s="247"/>
      <c r="B7701" s="316"/>
      <c r="C7701" s="247"/>
      <c r="D7701" s="317"/>
      <c r="E7701" s="318"/>
      <c r="F7701" s="247"/>
      <c r="G7701" s="247"/>
      <c r="H7701" s="248"/>
      <c r="I7701" s="248"/>
      <c r="J7701" s="247"/>
      <c r="K7701" s="249"/>
    </row>
    <row r="7702" spans="1:11" s="90" customFormat="1" ht="12.75" customHeight="1" x14ac:dyDescent="0.2">
      <c r="A7702" s="247"/>
      <c r="B7702" s="316"/>
      <c r="C7702" s="247"/>
      <c r="D7702" s="317"/>
      <c r="E7702" s="318"/>
      <c r="F7702" s="247"/>
      <c r="G7702" s="247"/>
      <c r="H7702" s="248"/>
      <c r="I7702" s="248"/>
      <c r="J7702" s="247"/>
      <c r="K7702" s="249"/>
    </row>
    <row r="7703" spans="1:11" s="90" customFormat="1" ht="12.75" customHeight="1" x14ac:dyDescent="0.2">
      <c r="A7703" s="247"/>
      <c r="B7703" s="316"/>
      <c r="C7703" s="247"/>
      <c r="D7703" s="317"/>
      <c r="E7703" s="318"/>
      <c r="F7703" s="247"/>
      <c r="G7703" s="247"/>
      <c r="H7703" s="248"/>
      <c r="I7703" s="248"/>
      <c r="J7703" s="247"/>
      <c r="K7703" s="249"/>
    </row>
    <row r="7704" spans="1:11" s="90" customFormat="1" ht="12.75" customHeight="1" x14ac:dyDescent="0.2">
      <c r="A7704" s="247"/>
      <c r="B7704" s="316"/>
      <c r="C7704" s="247"/>
      <c r="D7704" s="317"/>
      <c r="E7704" s="318"/>
      <c r="F7704" s="247"/>
      <c r="G7704" s="247"/>
      <c r="H7704" s="248"/>
      <c r="I7704" s="248"/>
      <c r="J7704" s="247"/>
      <c r="K7704" s="249"/>
    </row>
    <row r="7705" spans="1:11" s="90" customFormat="1" ht="12.75" customHeight="1" x14ac:dyDescent="0.2">
      <c r="A7705" s="247"/>
      <c r="B7705" s="316"/>
      <c r="C7705" s="247"/>
      <c r="D7705" s="317"/>
      <c r="E7705" s="318"/>
      <c r="F7705" s="247"/>
      <c r="G7705" s="247"/>
      <c r="H7705" s="248"/>
      <c r="I7705" s="248"/>
      <c r="J7705" s="247"/>
      <c r="K7705" s="249"/>
    </row>
    <row r="7706" spans="1:11" s="90" customFormat="1" ht="12.75" customHeight="1" x14ac:dyDescent="0.2">
      <c r="A7706" s="247"/>
      <c r="B7706" s="316"/>
      <c r="C7706" s="247"/>
      <c r="D7706" s="317"/>
      <c r="E7706" s="318"/>
      <c r="F7706" s="247"/>
      <c r="G7706" s="247"/>
      <c r="H7706" s="248"/>
      <c r="I7706" s="248"/>
      <c r="J7706" s="247"/>
      <c r="K7706" s="249"/>
    </row>
    <row r="7707" spans="1:11" s="90" customFormat="1" ht="12.75" customHeight="1" x14ac:dyDescent="0.2">
      <c r="A7707" s="247"/>
      <c r="B7707" s="316"/>
      <c r="C7707" s="247"/>
      <c r="D7707" s="317"/>
      <c r="E7707" s="318"/>
      <c r="F7707" s="247"/>
      <c r="G7707" s="247"/>
      <c r="H7707" s="248"/>
      <c r="I7707" s="248"/>
      <c r="J7707" s="247"/>
      <c r="K7707" s="249"/>
    </row>
    <row r="7708" spans="1:11" s="90" customFormat="1" ht="12.75" customHeight="1" x14ac:dyDescent="0.2">
      <c r="A7708" s="247"/>
      <c r="B7708" s="316"/>
      <c r="C7708" s="247"/>
      <c r="D7708" s="317"/>
      <c r="E7708" s="318"/>
      <c r="F7708" s="247"/>
      <c r="G7708" s="247"/>
      <c r="H7708" s="248"/>
      <c r="I7708" s="248"/>
      <c r="J7708" s="247"/>
      <c r="K7708" s="249"/>
    </row>
    <row r="7709" spans="1:11" s="90" customFormat="1" ht="12.75" customHeight="1" x14ac:dyDescent="0.2">
      <c r="A7709" s="247"/>
      <c r="B7709" s="316"/>
      <c r="C7709" s="247"/>
      <c r="D7709" s="317"/>
      <c r="E7709" s="318"/>
      <c r="F7709" s="247"/>
      <c r="G7709" s="247"/>
      <c r="H7709" s="248"/>
      <c r="I7709" s="248"/>
      <c r="J7709" s="247"/>
      <c r="K7709" s="249"/>
    </row>
    <row r="7710" spans="1:11" s="90" customFormat="1" ht="12.75" customHeight="1" x14ac:dyDescent="0.2">
      <c r="A7710" s="247"/>
      <c r="B7710" s="316"/>
      <c r="C7710" s="247"/>
      <c r="D7710" s="317"/>
      <c r="E7710" s="318"/>
      <c r="F7710" s="247"/>
      <c r="G7710" s="247"/>
      <c r="H7710" s="248"/>
      <c r="I7710" s="248"/>
      <c r="J7710" s="247"/>
      <c r="K7710" s="249"/>
    </row>
    <row r="7711" spans="1:11" s="90" customFormat="1" ht="12.75" customHeight="1" x14ac:dyDescent="0.2">
      <c r="A7711" s="247"/>
      <c r="B7711" s="316"/>
      <c r="C7711" s="247"/>
      <c r="D7711" s="317"/>
      <c r="E7711" s="318"/>
      <c r="F7711" s="247"/>
      <c r="G7711" s="247"/>
      <c r="H7711" s="248"/>
      <c r="I7711" s="248"/>
      <c r="J7711" s="247"/>
      <c r="K7711" s="249"/>
    </row>
    <row r="7712" spans="1:11" s="90" customFormat="1" ht="12.75" customHeight="1" x14ac:dyDescent="0.2">
      <c r="A7712" s="247"/>
      <c r="B7712" s="316"/>
      <c r="C7712" s="247"/>
      <c r="D7712" s="317"/>
      <c r="E7712" s="318"/>
      <c r="F7712" s="247"/>
      <c r="G7712" s="247"/>
      <c r="H7712" s="248"/>
      <c r="I7712" s="248"/>
      <c r="J7712" s="247"/>
      <c r="K7712" s="249"/>
    </row>
    <row r="7713" spans="1:11" s="90" customFormat="1" ht="12.75" customHeight="1" x14ac:dyDescent="0.2">
      <c r="A7713" s="247"/>
      <c r="B7713" s="316"/>
      <c r="C7713" s="247"/>
      <c r="D7713" s="317"/>
      <c r="E7713" s="318"/>
      <c r="F7713" s="247"/>
      <c r="G7713" s="247"/>
      <c r="H7713" s="248"/>
      <c r="I7713" s="248"/>
      <c r="J7713" s="247"/>
      <c r="K7713" s="249"/>
    </row>
    <row r="7714" spans="1:11" s="90" customFormat="1" ht="12.75" customHeight="1" x14ac:dyDescent="0.2">
      <c r="A7714" s="247"/>
      <c r="B7714" s="316"/>
      <c r="C7714" s="247"/>
      <c r="D7714" s="317"/>
      <c r="E7714" s="318"/>
      <c r="F7714" s="247"/>
      <c r="G7714" s="247"/>
      <c r="H7714" s="248"/>
      <c r="I7714" s="248"/>
      <c r="J7714" s="247"/>
      <c r="K7714" s="249"/>
    </row>
    <row r="7715" spans="1:11" s="90" customFormat="1" ht="12.75" customHeight="1" x14ac:dyDescent="0.2">
      <c r="A7715" s="247"/>
      <c r="B7715" s="316"/>
      <c r="C7715" s="247"/>
      <c r="D7715" s="317"/>
      <c r="E7715" s="318"/>
      <c r="F7715" s="247"/>
      <c r="G7715" s="247"/>
      <c r="H7715" s="248"/>
      <c r="I7715" s="248"/>
      <c r="J7715" s="247"/>
      <c r="K7715" s="249"/>
    </row>
    <row r="7716" spans="1:11" s="90" customFormat="1" ht="12.75" customHeight="1" x14ac:dyDescent="0.2">
      <c r="A7716" s="247"/>
      <c r="B7716" s="316"/>
      <c r="C7716" s="247"/>
      <c r="D7716" s="317"/>
      <c r="E7716" s="318"/>
      <c r="F7716" s="247"/>
      <c r="G7716" s="247"/>
      <c r="H7716" s="248"/>
      <c r="I7716" s="248"/>
      <c r="J7716" s="247"/>
      <c r="K7716" s="249"/>
    </row>
    <row r="7717" spans="1:11" s="90" customFormat="1" ht="12.75" customHeight="1" x14ac:dyDescent="0.2">
      <c r="A7717" s="247"/>
      <c r="B7717" s="316"/>
      <c r="C7717" s="247"/>
      <c r="D7717" s="317"/>
      <c r="E7717" s="318"/>
      <c r="F7717" s="247"/>
      <c r="G7717" s="247"/>
      <c r="H7717" s="248"/>
      <c r="I7717" s="248"/>
      <c r="J7717" s="247"/>
      <c r="K7717" s="249"/>
    </row>
    <row r="7718" spans="1:11" s="90" customFormat="1" ht="12.75" customHeight="1" x14ac:dyDescent="0.2">
      <c r="A7718" s="247"/>
      <c r="B7718" s="316"/>
      <c r="C7718" s="247"/>
      <c r="D7718" s="317"/>
      <c r="E7718" s="318"/>
      <c r="F7718" s="247"/>
      <c r="G7718" s="247"/>
      <c r="H7718" s="248"/>
      <c r="I7718" s="248"/>
      <c r="J7718" s="247"/>
      <c r="K7718" s="249"/>
    </row>
    <row r="7719" spans="1:11" s="90" customFormat="1" ht="12.75" customHeight="1" x14ac:dyDescent="0.2">
      <c r="A7719" s="247"/>
      <c r="B7719" s="316"/>
      <c r="C7719" s="247"/>
      <c r="D7719" s="317"/>
      <c r="E7719" s="318"/>
      <c r="F7719" s="247"/>
      <c r="G7719" s="247"/>
      <c r="H7719" s="248"/>
      <c r="I7719" s="248"/>
      <c r="J7719" s="247"/>
      <c r="K7719" s="249"/>
    </row>
    <row r="7720" spans="1:11" s="90" customFormat="1" ht="12.75" customHeight="1" x14ac:dyDescent="0.2">
      <c r="A7720" s="247"/>
      <c r="B7720" s="316"/>
      <c r="C7720" s="247"/>
      <c r="D7720" s="317"/>
      <c r="E7720" s="318"/>
      <c r="F7720" s="247"/>
      <c r="G7720" s="247"/>
      <c r="H7720" s="248"/>
      <c r="I7720" s="248"/>
      <c r="J7720" s="247"/>
      <c r="K7720" s="249"/>
    </row>
    <row r="7721" spans="1:11" s="90" customFormat="1" ht="12.75" customHeight="1" x14ac:dyDescent="0.2">
      <c r="A7721" s="247"/>
      <c r="B7721" s="316"/>
      <c r="C7721" s="247"/>
      <c r="D7721" s="317"/>
      <c r="E7721" s="318"/>
      <c r="F7721" s="247"/>
      <c r="G7721" s="247"/>
      <c r="H7721" s="248"/>
      <c r="I7721" s="248"/>
      <c r="J7721" s="247"/>
      <c r="K7721" s="249"/>
    </row>
    <row r="7722" spans="1:11" s="90" customFormat="1" ht="12.75" customHeight="1" x14ac:dyDescent="0.2">
      <c r="A7722" s="247"/>
      <c r="B7722" s="316"/>
      <c r="C7722" s="247"/>
      <c r="D7722" s="317"/>
      <c r="E7722" s="318"/>
      <c r="F7722" s="247"/>
      <c r="G7722" s="247"/>
      <c r="H7722" s="248"/>
      <c r="I7722" s="248"/>
      <c r="J7722" s="247"/>
      <c r="K7722" s="249"/>
    </row>
    <row r="7723" spans="1:11" s="90" customFormat="1" ht="12.75" customHeight="1" x14ac:dyDescent="0.2">
      <c r="A7723" s="247"/>
      <c r="B7723" s="316"/>
      <c r="C7723" s="247"/>
      <c r="D7723" s="317"/>
      <c r="E7723" s="318"/>
      <c r="F7723" s="247"/>
      <c r="G7723" s="247"/>
      <c r="H7723" s="248"/>
      <c r="I7723" s="248"/>
      <c r="J7723" s="247"/>
      <c r="K7723" s="249"/>
    </row>
    <row r="7724" spans="1:11" s="90" customFormat="1" ht="12.75" customHeight="1" x14ac:dyDescent="0.2">
      <c r="A7724" s="247"/>
      <c r="B7724" s="316"/>
      <c r="C7724" s="247"/>
      <c r="D7724" s="317"/>
      <c r="E7724" s="318"/>
      <c r="F7724" s="247"/>
      <c r="G7724" s="247"/>
      <c r="H7724" s="248"/>
      <c r="I7724" s="248"/>
      <c r="J7724" s="247"/>
      <c r="K7724" s="249"/>
    </row>
    <row r="7725" spans="1:11" s="90" customFormat="1" ht="12.75" customHeight="1" x14ac:dyDescent="0.2">
      <c r="A7725" s="247"/>
      <c r="B7725" s="316"/>
      <c r="C7725" s="247"/>
      <c r="D7725" s="317"/>
      <c r="E7725" s="318"/>
      <c r="F7725" s="247"/>
      <c r="G7725" s="247"/>
      <c r="H7725" s="248"/>
      <c r="I7725" s="248"/>
      <c r="J7725" s="247"/>
      <c r="K7725" s="249"/>
    </row>
    <row r="7726" spans="1:11" s="90" customFormat="1" ht="12.75" customHeight="1" x14ac:dyDescent="0.2">
      <c r="A7726" s="247"/>
      <c r="B7726" s="316"/>
      <c r="C7726" s="247"/>
      <c r="D7726" s="317"/>
      <c r="E7726" s="318"/>
      <c r="F7726" s="247"/>
      <c r="G7726" s="247"/>
      <c r="H7726" s="248"/>
      <c r="I7726" s="248"/>
      <c r="J7726" s="247"/>
      <c r="K7726" s="249"/>
    </row>
    <row r="7727" spans="1:11" s="90" customFormat="1" ht="12.75" customHeight="1" x14ac:dyDescent="0.2">
      <c r="A7727" s="247"/>
      <c r="B7727" s="316"/>
      <c r="C7727" s="247"/>
      <c r="D7727" s="317"/>
      <c r="E7727" s="318"/>
      <c r="F7727" s="247"/>
      <c r="G7727" s="247"/>
      <c r="H7727" s="248"/>
      <c r="I7727" s="248"/>
      <c r="J7727" s="247"/>
      <c r="K7727" s="249"/>
    </row>
    <row r="7728" spans="1:11" s="90" customFormat="1" ht="12.75" customHeight="1" x14ac:dyDescent="0.2">
      <c r="A7728" s="247"/>
      <c r="B7728" s="316"/>
      <c r="C7728" s="247"/>
      <c r="D7728" s="317"/>
      <c r="E7728" s="318"/>
      <c r="F7728" s="247"/>
      <c r="G7728" s="247"/>
      <c r="H7728" s="248"/>
      <c r="I7728" s="248"/>
      <c r="J7728" s="247"/>
      <c r="K7728" s="249"/>
    </row>
    <row r="7729" spans="1:11" s="90" customFormat="1" ht="12.75" customHeight="1" x14ac:dyDescent="0.2">
      <c r="A7729" s="247"/>
      <c r="B7729" s="316"/>
      <c r="C7729" s="247"/>
      <c r="D7729" s="317"/>
      <c r="E7729" s="318"/>
      <c r="F7729" s="247"/>
      <c r="G7729" s="247"/>
      <c r="H7729" s="248"/>
      <c r="I7729" s="248"/>
      <c r="J7729" s="247"/>
      <c r="K7729" s="249"/>
    </row>
    <row r="7730" spans="1:11" s="90" customFormat="1" ht="12.75" customHeight="1" x14ac:dyDescent="0.2">
      <c r="A7730" s="247"/>
      <c r="B7730" s="316"/>
      <c r="C7730" s="247"/>
      <c r="D7730" s="317"/>
      <c r="E7730" s="318"/>
      <c r="F7730" s="247"/>
      <c r="G7730" s="247"/>
      <c r="H7730" s="248"/>
      <c r="I7730" s="248"/>
      <c r="J7730" s="247"/>
      <c r="K7730" s="249"/>
    </row>
    <row r="7731" spans="1:11" s="90" customFormat="1" ht="12.75" customHeight="1" x14ac:dyDescent="0.2">
      <c r="A7731" s="247"/>
      <c r="B7731" s="316"/>
      <c r="C7731" s="247"/>
      <c r="D7731" s="317"/>
      <c r="E7731" s="318"/>
      <c r="F7731" s="247"/>
      <c r="G7731" s="247"/>
      <c r="H7731" s="248"/>
      <c r="I7731" s="248"/>
      <c r="J7731" s="247"/>
      <c r="K7731" s="249"/>
    </row>
    <row r="7732" spans="1:11" s="90" customFormat="1" ht="12.75" customHeight="1" x14ac:dyDescent="0.2">
      <c r="A7732" s="247"/>
      <c r="B7732" s="316"/>
      <c r="C7732" s="247"/>
      <c r="D7732" s="317"/>
      <c r="E7732" s="318"/>
      <c r="F7732" s="247"/>
      <c r="G7732" s="247"/>
      <c r="H7732" s="248"/>
      <c r="I7732" s="248"/>
      <c r="J7732" s="247"/>
      <c r="K7732" s="249"/>
    </row>
    <row r="7733" spans="1:11" s="90" customFormat="1" ht="12.75" customHeight="1" x14ac:dyDescent="0.2">
      <c r="A7733" s="247"/>
      <c r="B7733" s="316"/>
      <c r="C7733" s="247"/>
      <c r="D7733" s="317"/>
      <c r="E7733" s="318"/>
      <c r="F7733" s="247"/>
      <c r="G7733" s="247"/>
      <c r="H7733" s="248"/>
      <c r="I7733" s="248"/>
      <c r="J7733" s="247"/>
      <c r="K7733" s="249"/>
    </row>
    <row r="7734" spans="1:11" s="90" customFormat="1" ht="12.75" customHeight="1" x14ac:dyDescent="0.2">
      <c r="A7734" s="247"/>
      <c r="B7734" s="316"/>
      <c r="C7734" s="247"/>
      <c r="D7734" s="317"/>
      <c r="E7734" s="318"/>
      <c r="F7734" s="247"/>
      <c r="G7734" s="247"/>
      <c r="H7734" s="248"/>
      <c r="I7734" s="248"/>
      <c r="J7734" s="247"/>
      <c r="K7734" s="249"/>
    </row>
    <row r="7735" spans="1:11" s="90" customFormat="1" ht="12.75" customHeight="1" x14ac:dyDescent="0.2">
      <c r="A7735" s="247"/>
      <c r="B7735" s="316"/>
      <c r="C7735" s="247"/>
      <c r="D7735" s="317"/>
      <c r="E7735" s="318"/>
      <c r="F7735" s="247"/>
      <c r="G7735" s="247"/>
      <c r="H7735" s="248"/>
      <c r="I7735" s="248"/>
      <c r="J7735" s="247"/>
      <c r="K7735" s="249"/>
    </row>
    <row r="7736" spans="1:11" s="90" customFormat="1" ht="12.75" customHeight="1" x14ac:dyDescent="0.2">
      <c r="A7736" s="247"/>
      <c r="B7736" s="316"/>
      <c r="C7736" s="247"/>
      <c r="D7736" s="317"/>
      <c r="E7736" s="318"/>
      <c r="F7736" s="247"/>
      <c r="G7736" s="247"/>
      <c r="H7736" s="248"/>
      <c r="I7736" s="248"/>
      <c r="J7736" s="247"/>
      <c r="K7736" s="249"/>
    </row>
    <row r="7737" spans="1:11" s="90" customFormat="1" ht="12.75" customHeight="1" x14ac:dyDescent="0.2">
      <c r="A7737" s="247"/>
      <c r="B7737" s="316"/>
      <c r="C7737" s="247"/>
      <c r="D7737" s="317"/>
      <c r="E7737" s="318"/>
      <c r="F7737" s="247"/>
      <c r="G7737" s="247"/>
      <c r="H7737" s="248"/>
      <c r="I7737" s="248"/>
      <c r="J7737" s="247"/>
      <c r="K7737" s="249"/>
    </row>
    <row r="7738" spans="1:11" s="90" customFormat="1" ht="12.75" customHeight="1" x14ac:dyDescent="0.2">
      <c r="A7738" s="247"/>
      <c r="B7738" s="316"/>
      <c r="C7738" s="247"/>
      <c r="D7738" s="317"/>
      <c r="E7738" s="318"/>
      <c r="F7738" s="247"/>
      <c r="G7738" s="247"/>
      <c r="H7738" s="248"/>
      <c r="I7738" s="248"/>
      <c r="J7738" s="247"/>
      <c r="K7738" s="249"/>
    </row>
    <row r="7739" spans="1:11" s="90" customFormat="1" ht="12.75" customHeight="1" x14ac:dyDescent="0.2">
      <c r="A7739" s="247"/>
      <c r="B7739" s="316"/>
      <c r="C7739" s="247"/>
      <c r="D7739" s="317"/>
      <c r="E7739" s="318"/>
      <c r="F7739" s="247"/>
      <c r="G7739" s="247"/>
      <c r="H7739" s="248"/>
      <c r="I7739" s="248"/>
      <c r="J7739" s="247"/>
      <c r="K7739" s="249"/>
    </row>
    <row r="7740" spans="1:11" s="90" customFormat="1" ht="12.75" customHeight="1" x14ac:dyDescent="0.2">
      <c r="A7740" s="247"/>
      <c r="B7740" s="316"/>
      <c r="C7740" s="247"/>
      <c r="D7740" s="317"/>
      <c r="E7740" s="318"/>
      <c r="F7740" s="247"/>
      <c r="G7740" s="247"/>
      <c r="H7740" s="248"/>
      <c r="I7740" s="248"/>
      <c r="J7740" s="247"/>
      <c r="K7740" s="249"/>
    </row>
    <row r="7741" spans="1:11" s="90" customFormat="1" ht="12.75" customHeight="1" x14ac:dyDescent="0.2">
      <c r="A7741" s="247"/>
      <c r="B7741" s="316"/>
      <c r="C7741" s="247"/>
      <c r="D7741" s="317"/>
      <c r="E7741" s="318"/>
      <c r="F7741" s="247"/>
      <c r="G7741" s="247"/>
      <c r="H7741" s="248"/>
      <c r="I7741" s="248"/>
      <c r="J7741" s="247"/>
      <c r="K7741" s="249"/>
    </row>
    <row r="7742" spans="1:11" s="90" customFormat="1" ht="12.75" customHeight="1" x14ac:dyDescent="0.2">
      <c r="A7742" s="247"/>
      <c r="B7742" s="316"/>
      <c r="C7742" s="247"/>
      <c r="D7742" s="317"/>
      <c r="E7742" s="318"/>
      <c r="F7742" s="247"/>
      <c r="G7742" s="247"/>
      <c r="H7742" s="248"/>
      <c r="I7742" s="248"/>
      <c r="J7742" s="247"/>
      <c r="K7742" s="249"/>
    </row>
    <row r="7743" spans="1:11" s="90" customFormat="1" ht="12.75" customHeight="1" x14ac:dyDescent="0.2">
      <c r="A7743" s="247"/>
      <c r="B7743" s="316"/>
      <c r="C7743" s="247"/>
      <c r="D7743" s="317"/>
      <c r="E7743" s="318"/>
      <c r="F7743" s="247"/>
      <c r="G7743" s="247"/>
      <c r="H7743" s="248"/>
      <c r="I7743" s="248"/>
      <c r="J7743" s="247"/>
      <c r="K7743" s="249"/>
    </row>
    <row r="7744" spans="1:11" s="90" customFormat="1" ht="12.75" customHeight="1" x14ac:dyDescent="0.2">
      <c r="A7744" s="247"/>
      <c r="B7744" s="316"/>
      <c r="C7744" s="247"/>
      <c r="D7744" s="317"/>
      <c r="E7744" s="318"/>
      <c r="F7744" s="247"/>
      <c r="G7744" s="247"/>
      <c r="H7744" s="248"/>
      <c r="I7744" s="248"/>
      <c r="J7744" s="247"/>
      <c r="K7744" s="249"/>
    </row>
    <row r="7745" spans="1:11" s="90" customFormat="1" ht="12.75" customHeight="1" x14ac:dyDescent="0.2">
      <c r="A7745" s="247"/>
      <c r="B7745" s="316"/>
      <c r="C7745" s="247"/>
      <c r="D7745" s="317"/>
      <c r="E7745" s="318"/>
      <c r="F7745" s="247"/>
      <c r="G7745" s="247"/>
      <c r="H7745" s="248"/>
      <c r="I7745" s="248"/>
      <c r="J7745" s="247"/>
      <c r="K7745" s="249"/>
    </row>
    <row r="7746" spans="1:11" s="90" customFormat="1" ht="12.75" customHeight="1" x14ac:dyDescent="0.2">
      <c r="A7746" s="247"/>
      <c r="B7746" s="316"/>
      <c r="C7746" s="247"/>
      <c r="D7746" s="317"/>
      <c r="E7746" s="318"/>
      <c r="F7746" s="247"/>
      <c r="G7746" s="247"/>
      <c r="H7746" s="248"/>
      <c r="I7746" s="248"/>
      <c r="J7746" s="247"/>
      <c r="K7746" s="249"/>
    </row>
    <row r="7747" spans="1:11" s="90" customFormat="1" ht="12.75" customHeight="1" x14ac:dyDescent="0.2">
      <c r="A7747" s="247"/>
      <c r="B7747" s="316"/>
      <c r="C7747" s="247"/>
      <c r="D7747" s="317"/>
      <c r="E7747" s="318"/>
      <c r="F7747" s="247"/>
      <c r="G7747" s="247"/>
      <c r="H7747" s="248"/>
      <c r="I7747" s="248"/>
      <c r="J7747" s="247"/>
      <c r="K7747" s="249"/>
    </row>
    <row r="7748" spans="1:11" s="90" customFormat="1" ht="12.75" customHeight="1" x14ac:dyDescent="0.2">
      <c r="A7748" s="247"/>
      <c r="B7748" s="316"/>
      <c r="C7748" s="247"/>
      <c r="D7748" s="317"/>
      <c r="E7748" s="318"/>
      <c r="F7748" s="247"/>
      <c r="G7748" s="247"/>
      <c r="H7748" s="248"/>
      <c r="I7748" s="248"/>
      <c r="J7748" s="247"/>
      <c r="K7748" s="249"/>
    </row>
    <row r="7749" spans="1:11" s="90" customFormat="1" ht="12.75" customHeight="1" x14ac:dyDescent="0.2">
      <c r="A7749" s="247"/>
      <c r="B7749" s="316"/>
      <c r="C7749" s="247"/>
      <c r="D7749" s="317"/>
      <c r="E7749" s="318"/>
      <c r="F7749" s="247"/>
      <c r="G7749" s="247"/>
      <c r="H7749" s="248"/>
      <c r="I7749" s="248"/>
      <c r="J7749" s="247"/>
      <c r="K7749" s="249"/>
    </row>
    <row r="7750" spans="1:11" s="90" customFormat="1" ht="12.75" customHeight="1" x14ac:dyDescent="0.2">
      <c r="A7750" s="247"/>
      <c r="B7750" s="316"/>
      <c r="C7750" s="247"/>
      <c r="D7750" s="317"/>
      <c r="E7750" s="318"/>
      <c r="F7750" s="247"/>
      <c r="G7750" s="247"/>
      <c r="H7750" s="248"/>
      <c r="I7750" s="248"/>
      <c r="J7750" s="247"/>
      <c r="K7750" s="249"/>
    </row>
    <row r="7751" spans="1:11" s="90" customFormat="1" ht="12.75" customHeight="1" x14ac:dyDescent="0.2">
      <c r="A7751" s="247"/>
      <c r="B7751" s="316"/>
      <c r="C7751" s="247"/>
      <c r="D7751" s="317"/>
      <c r="E7751" s="318"/>
      <c r="F7751" s="247"/>
      <c r="G7751" s="247"/>
      <c r="H7751" s="248"/>
      <c r="I7751" s="248"/>
      <c r="J7751" s="247"/>
      <c r="K7751" s="249"/>
    </row>
    <row r="7752" spans="1:11" s="90" customFormat="1" ht="12.75" customHeight="1" x14ac:dyDescent="0.2">
      <c r="A7752" s="247"/>
      <c r="B7752" s="316"/>
      <c r="C7752" s="247"/>
      <c r="D7752" s="317"/>
      <c r="E7752" s="318"/>
      <c r="F7752" s="247"/>
      <c r="G7752" s="247"/>
      <c r="H7752" s="248"/>
      <c r="I7752" s="248"/>
      <c r="J7752" s="247"/>
      <c r="K7752" s="249"/>
    </row>
    <row r="7753" spans="1:11" s="90" customFormat="1" ht="12.75" customHeight="1" x14ac:dyDescent="0.2">
      <c r="A7753" s="247"/>
      <c r="B7753" s="316"/>
      <c r="C7753" s="247"/>
      <c r="D7753" s="317"/>
      <c r="E7753" s="318"/>
      <c r="F7753" s="247"/>
      <c r="G7753" s="247"/>
      <c r="H7753" s="248"/>
      <c r="I7753" s="248"/>
      <c r="J7753" s="247"/>
      <c r="K7753" s="249"/>
    </row>
    <row r="7754" spans="1:11" s="90" customFormat="1" ht="12.75" customHeight="1" x14ac:dyDescent="0.2">
      <c r="A7754" s="247"/>
      <c r="B7754" s="316"/>
      <c r="C7754" s="247"/>
      <c r="D7754" s="317"/>
      <c r="E7754" s="318"/>
      <c r="F7754" s="247"/>
      <c r="G7754" s="247"/>
      <c r="H7754" s="248"/>
      <c r="I7754" s="248"/>
      <c r="J7754" s="247"/>
      <c r="K7754" s="249"/>
    </row>
    <row r="7755" spans="1:11" s="90" customFormat="1" ht="12.75" customHeight="1" x14ac:dyDescent="0.2">
      <c r="A7755" s="247"/>
      <c r="B7755" s="316"/>
      <c r="C7755" s="247"/>
      <c r="D7755" s="317"/>
      <c r="E7755" s="318"/>
      <c r="F7755" s="247"/>
      <c r="G7755" s="247"/>
      <c r="H7755" s="248"/>
      <c r="I7755" s="248"/>
      <c r="J7755" s="247"/>
      <c r="K7755" s="249"/>
    </row>
    <row r="7756" spans="1:11" s="90" customFormat="1" ht="12.75" customHeight="1" x14ac:dyDescent="0.2">
      <c r="A7756" s="247"/>
      <c r="B7756" s="316"/>
      <c r="C7756" s="247"/>
      <c r="D7756" s="317"/>
      <c r="E7756" s="318"/>
      <c r="F7756" s="247"/>
      <c r="G7756" s="247"/>
      <c r="H7756" s="248"/>
      <c r="I7756" s="248"/>
      <c r="J7756" s="247"/>
      <c r="K7756" s="249"/>
    </row>
    <row r="7757" spans="1:11" s="90" customFormat="1" ht="12.75" customHeight="1" x14ac:dyDescent="0.2">
      <c r="A7757" s="247"/>
      <c r="B7757" s="316"/>
      <c r="C7757" s="247"/>
      <c r="D7757" s="317"/>
      <c r="E7757" s="318"/>
      <c r="F7757" s="247"/>
      <c r="G7757" s="247"/>
      <c r="H7757" s="248"/>
      <c r="I7757" s="248"/>
      <c r="J7757" s="247"/>
      <c r="K7757" s="249"/>
    </row>
    <row r="7758" spans="1:11" s="90" customFormat="1" ht="12.75" customHeight="1" x14ac:dyDescent="0.2">
      <c r="A7758" s="247"/>
      <c r="B7758" s="316"/>
      <c r="C7758" s="247"/>
      <c r="D7758" s="317"/>
      <c r="E7758" s="318"/>
      <c r="F7758" s="247"/>
      <c r="G7758" s="247"/>
      <c r="H7758" s="248"/>
      <c r="I7758" s="248"/>
      <c r="J7758" s="247"/>
      <c r="K7758" s="249"/>
    </row>
    <row r="7759" spans="1:11" s="90" customFormat="1" ht="12.75" customHeight="1" x14ac:dyDescent="0.2">
      <c r="A7759" s="247"/>
      <c r="B7759" s="316"/>
      <c r="C7759" s="247"/>
      <c r="D7759" s="317"/>
      <c r="E7759" s="318"/>
      <c r="F7759" s="247"/>
      <c r="G7759" s="247"/>
      <c r="H7759" s="248"/>
      <c r="I7759" s="248"/>
      <c r="J7759" s="247"/>
      <c r="K7759" s="249"/>
    </row>
    <row r="7760" spans="1:11" s="90" customFormat="1" ht="12.75" customHeight="1" x14ac:dyDescent="0.2">
      <c r="A7760" s="247"/>
      <c r="B7760" s="316"/>
      <c r="C7760" s="247"/>
      <c r="D7760" s="317"/>
      <c r="E7760" s="318"/>
      <c r="F7760" s="247"/>
      <c r="G7760" s="247"/>
      <c r="H7760" s="248"/>
      <c r="I7760" s="248"/>
      <c r="J7760" s="247"/>
      <c r="K7760" s="249"/>
    </row>
    <row r="7761" spans="1:11" s="90" customFormat="1" ht="12.75" customHeight="1" x14ac:dyDescent="0.2">
      <c r="A7761" s="247"/>
      <c r="B7761" s="316"/>
      <c r="C7761" s="247"/>
      <c r="D7761" s="317"/>
      <c r="E7761" s="318"/>
      <c r="F7761" s="247"/>
      <c r="G7761" s="247"/>
      <c r="H7761" s="248"/>
      <c r="I7761" s="248"/>
      <c r="J7761" s="247"/>
      <c r="K7761" s="249"/>
    </row>
    <row r="7762" spans="1:11" s="90" customFormat="1" ht="12.75" customHeight="1" x14ac:dyDescent="0.2">
      <c r="A7762" s="247"/>
      <c r="B7762" s="316"/>
      <c r="C7762" s="247"/>
      <c r="D7762" s="317"/>
      <c r="E7762" s="318"/>
      <c r="F7762" s="247"/>
      <c r="G7762" s="247"/>
      <c r="H7762" s="248"/>
      <c r="I7762" s="248"/>
      <c r="J7762" s="247"/>
      <c r="K7762" s="249"/>
    </row>
    <row r="7763" spans="1:11" s="90" customFormat="1" ht="12.75" customHeight="1" x14ac:dyDescent="0.2">
      <c r="A7763" s="247"/>
      <c r="B7763" s="316"/>
      <c r="C7763" s="247"/>
      <c r="D7763" s="317"/>
      <c r="E7763" s="318"/>
      <c r="F7763" s="247"/>
      <c r="G7763" s="247"/>
      <c r="H7763" s="248"/>
      <c r="I7763" s="248"/>
      <c r="J7763" s="247"/>
      <c r="K7763" s="249"/>
    </row>
    <row r="7764" spans="1:11" s="90" customFormat="1" ht="12.75" customHeight="1" x14ac:dyDescent="0.2">
      <c r="A7764" s="247"/>
      <c r="B7764" s="316"/>
      <c r="C7764" s="247"/>
      <c r="D7764" s="317"/>
      <c r="E7764" s="318"/>
      <c r="F7764" s="247"/>
      <c r="G7764" s="247"/>
      <c r="H7764" s="248"/>
      <c r="I7764" s="248"/>
      <c r="J7764" s="247"/>
      <c r="K7764" s="249"/>
    </row>
    <row r="7765" spans="1:11" s="90" customFormat="1" ht="12.75" customHeight="1" x14ac:dyDescent="0.2">
      <c r="A7765" s="247"/>
      <c r="B7765" s="316"/>
      <c r="C7765" s="247"/>
      <c r="D7765" s="317"/>
      <c r="E7765" s="318"/>
      <c r="F7765" s="247"/>
      <c r="G7765" s="247"/>
      <c r="H7765" s="248"/>
      <c r="I7765" s="248"/>
      <c r="J7765" s="247"/>
      <c r="K7765" s="249"/>
    </row>
    <row r="7766" spans="1:11" s="90" customFormat="1" ht="12.75" customHeight="1" x14ac:dyDescent="0.2">
      <c r="A7766" s="247"/>
      <c r="B7766" s="316"/>
      <c r="C7766" s="247"/>
      <c r="D7766" s="317"/>
      <c r="E7766" s="318"/>
      <c r="F7766" s="247"/>
      <c r="G7766" s="247"/>
      <c r="H7766" s="248"/>
      <c r="I7766" s="248"/>
      <c r="J7766" s="247"/>
      <c r="K7766" s="249"/>
    </row>
    <row r="7767" spans="1:11" s="90" customFormat="1" ht="12.75" customHeight="1" x14ac:dyDescent="0.2">
      <c r="A7767" s="247"/>
      <c r="B7767" s="316"/>
      <c r="C7767" s="247"/>
      <c r="D7767" s="317"/>
      <c r="E7767" s="318"/>
      <c r="F7767" s="247"/>
      <c r="G7767" s="247"/>
      <c r="H7767" s="248"/>
      <c r="I7767" s="248"/>
      <c r="J7767" s="247"/>
      <c r="K7767" s="249"/>
    </row>
    <row r="7768" spans="1:11" s="90" customFormat="1" ht="12.75" customHeight="1" x14ac:dyDescent="0.2">
      <c r="A7768" s="247"/>
      <c r="B7768" s="316"/>
      <c r="C7768" s="247"/>
      <c r="D7768" s="317"/>
      <c r="E7768" s="318"/>
      <c r="F7768" s="247"/>
      <c r="G7768" s="247"/>
      <c r="H7768" s="248"/>
      <c r="I7768" s="248"/>
      <c r="J7768" s="247"/>
      <c r="K7768" s="249"/>
    </row>
    <row r="7769" spans="1:11" s="90" customFormat="1" ht="12.75" customHeight="1" x14ac:dyDescent="0.2">
      <c r="A7769" s="247"/>
      <c r="B7769" s="316"/>
      <c r="C7769" s="247"/>
      <c r="D7769" s="317"/>
      <c r="E7769" s="318"/>
      <c r="F7769" s="247"/>
      <c r="G7769" s="247"/>
      <c r="H7769" s="248"/>
      <c r="I7769" s="248"/>
      <c r="J7769" s="247"/>
      <c r="K7769" s="249"/>
    </row>
    <row r="7770" spans="1:11" s="90" customFormat="1" ht="12.75" customHeight="1" x14ac:dyDescent="0.2">
      <c r="A7770" s="247"/>
      <c r="B7770" s="316"/>
      <c r="C7770" s="247"/>
      <c r="D7770" s="317"/>
      <c r="E7770" s="318"/>
      <c r="F7770" s="247"/>
      <c r="G7770" s="247"/>
      <c r="H7770" s="248"/>
      <c r="I7770" s="248"/>
      <c r="J7770" s="247"/>
      <c r="K7770" s="249"/>
    </row>
    <row r="7771" spans="1:11" s="90" customFormat="1" ht="12.75" customHeight="1" x14ac:dyDescent="0.2">
      <c r="A7771" s="247"/>
      <c r="B7771" s="316"/>
      <c r="C7771" s="247"/>
      <c r="D7771" s="317"/>
      <c r="E7771" s="318"/>
      <c r="F7771" s="247"/>
      <c r="G7771" s="247"/>
      <c r="H7771" s="248"/>
      <c r="I7771" s="248"/>
      <c r="J7771" s="247"/>
      <c r="K7771" s="249"/>
    </row>
    <row r="7772" spans="1:11" s="90" customFormat="1" ht="12.75" customHeight="1" x14ac:dyDescent="0.2">
      <c r="A7772" s="247"/>
      <c r="B7772" s="316"/>
      <c r="C7772" s="247"/>
      <c r="D7772" s="317"/>
      <c r="E7772" s="318"/>
      <c r="F7772" s="247"/>
      <c r="G7772" s="247"/>
      <c r="H7772" s="248"/>
      <c r="I7772" s="248"/>
      <c r="J7772" s="247"/>
      <c r="K7772" s="249"/>
    </row>
    <row r="7773" spans="1:11" s="90" customFormat="1" ht="12.75" customHeight="1" x14ac:dyDescent="0.2">
      <c r="A7773" s="247"/>
      <c r="B7773" s="316"/>
      <c r="C7773" s="247"/>
      <c r="D7773" s="317"/>
      <c r="E7773" s="318"/>
      <c r="F7773" s="247"/>
      <c r="G7773" s="247"/>
      <c r="H7773" s="248"/>
      <c r="I7773" s="248"/>
      <c r="J7773" s="247"/>
      <c r="K7773" s="249"/>
    </row>
    <row r="7774" spans="1:11" s="90" customFormat="1" ht="12.75" customHeight="1" x14ac:dyDescent="0.2">
      <c r="A7774" s="247"/>
      <c r="B7774" s="316"/>
      <c r="C7774" s="247"/>
      <c r="D7774" s="317"/>
      <c r="E7774" s="318"/>
      <c r="F7774" s="247"/>
      <c r="G7774" s="247"/>
      <c r="H7774" s="248"/>
      <c r="I7774" s="248"/>
      <c r="J7774" s="247"/>
      <c r="K7774" s="249"/>
    </row>
    <row r="7775" spans="1:11" s="90" customFormat="1" ht="12.75" customHeight="1" x14ac:dyDescent="0.2">
      <c r="A7775" s="247"/>
      <c r="B7775" s="316"/>
      <c r="C7775" s="247"/>
      <c r="D7775" s="317"/>
      <c r="E7775" s="318"/>
      <c r="F7775" s="247"/>
      <c r="G7775" s="247"/>
      <c r="H7775" s="248"/>
      <c r="I7775" s="248"/>
      <c r="J7775" s="247"/>
      <c r="K7775" s="249"/>
    </row>
    <row r="7776" spans="1:11" s="90" customFormat="1" ht="12.75" customHeight="1" x14ac:dyDescent="0.2">
      <c r="A7776" s="247"/>
      <c r="B7776" s="316"/>
      <c r="C7776" s="247"/>
      <c r="D7776" s="317"/>
      <c r="E7776" s="318"/>
      <c r="F7776" s="247"/>
      <c r="G7776" s="247"/>
      <c r="H7776" s="248"/>
      <c r="I7776" s="248"/>
      <c r="J7776" s="247"/>
      <c r="K7776" s="249"/>
    </row>
    <row r="7777" spans="1:11" s="90" customFormat="1" ht="12.75" customHeight="1" x14ac:dyDescent="0.2">
      <c r="A7777" s="247"/>
      <c r="B7777" s="316"/>
      <c r="C7777" s="247"/>
      <c r="D7777" s="317"/>
      <c r="E7777" s="318"/>
      <c r="F7777" s="247"/>
      <c r="G7777" s="247"/>
      <c r="H7777" s="248"/>
      <c r="I7777" s="248"/>
      <c r="J7777" s="247"/>
      <c r="K7777" s="249"/>
    </row>
    <row r="7778" spans="1:11" s="90" customFormat="1" ht="12.75" customHeight="1" x14ac:dyDescent="0.2">
      <c r="A7778" s="247"/>
      <c r="B7778" s="316"/>
      <c r="C7778" s="247"/>
      <c r="D7778" s="317"/>
      <c r="E7778" s="318"/>
      <c r="F7778" s="247"/>
      <c r="G7778" s="247"/>
      <c r="H7778" s="248"/>
      <c r="I7778" s="248"/>
      <c r="J7778" s="247"/>
      <c r="K7778" s="249"/>
    </row>
    <row r="7779" spans="1:11" s="90" customFormat="1" ht="12.75" customHeight="1" x14ac:dyDescent="0.2">
      <c r="A7779" s="247"/>
      <c r="B7779" s="316"/>
      <c r="C7779" s="247"/>
      <c r="D7779" s="317"/>
      <c r="E7779" s="318"/>
      <c r="F7779" s="247"/>
      <c r="G7779" s="247"/>
      <c r="H7779" s="248"/>
      <c r="I7779" s="248"/>
      <c r="J7779" s="247"/>
      <c r="K7779" s="249"/>
    </row>
    <row r="7780" spans="1:11" s="90" customFormat="1" ht="12.75" customHeight="1" x14ac:dyDescent="0.2">
      <c r="A7780" s="247"/>
      <c r="B7780" s="316"/>
      <c r="C7780" s="247"/>
      <c r="D7780" s="317"/>
      <c r="E7780" s="318"/>
      <c r="F7780" s="247"/>
      <c r="G7780" s="247"/>
      <c r="H7780" s="248"/>
      <c r="I7780" s="248"/>
      <c r="J7780" s="247"/>
      <c r="K7780" s="249"/>
    </row>
    <row r="7781" spans="1:11" s="90" customFormat="1" ht="12.75" customHeight="1" x14ac:dyDescent="0.2">
      <c r="A7781" s="247"/>
      <c r="B7781" s="316"/>
      <c r="C7781" s="247"/>
      <c r="D7781" s="317"/>
      <c r="E7781" s="318"/>
      <c r="F7781" s="247"/>
      <c r="G7781" s="247"/>
      <c r="H7781" s="248"/>
      <c r="I7781" s="248"/>
      <c r="J7781" s="247"/>
      <c r="K7781" s="249"/>
    </row>
    <row r="7782" spans="1:11" s="90" customFormat="1" ht="12.75" customHeight="1" x14ac:dyDescent="0.2">
      <c r="A7782" s="247"/>
      <c r="B7782" s="316"/>
      <c r="C7782" s="247"/>
      <c r="D7782" s="317"/>
      <c r="E7782" s="318"/>
      <c r="F7782" s="247"/>
      <c r="G7782" s="247"/>
      <c r="H7782" s="248"/>
      <c r="I7782" s="248"/>
      <c r="J7782" s="247"/>
      <c r="K7782" s="249"/>
    </row>
    <row r="7783" spans="1:11" s="90" customFormat="1" ht="12.75" customHeight="1" x14ac:dyDescent="0.2">
      <c r="A7783" s="247"/>
      <c r="B7783" s="316"/>
      <c r="C7783" s="247"/>
      <c r="D7783" s="317"/>
      <c r="E7783" s="318"/>
      <c r="F7783" s="247"/>
      <c r="G7783" s="247"/>
      <c r="H7783" s="248"/>
      <c r="I7783" s="248"/>
      <c r="J7783" s="247"/>
      <c r="K7783" s="249"/>
    </row>
    <row r="7784" spans="1:11" s="90" customFormat="1" ht="12.75" customHeight="1" x14ac:dyDescent="0.2">
      <c r="A7784" s="247"/>
      <c r="B7784" s="316"/>
      <c r="C7784" s="247"/>
      <c r="D7784" s="317"/>
      <c r="E7784" s="318"/>
      <c r="F7784" s="247"/>
      <c r="G7784" s="247"/>
      <c r="H7784" s="248"/>
      <c r="I7784" s="248"/>
      <c r="J7784" s="247"/>
      <c r="K7784" s="249"/>
    </row>
    <row r="7785" spans="1:11" s="90" customFormat="1" ht="12.75" customHeight="1" x14ac:dyDescent="0.2">
      <c r="A7785" s="247"/>
      <c r="B7785" s="316"/>
      <c r="C7785" s="247"/>
      <c r="D7785" s="317"/>
      <c r="E7785" s="318"/>
      <c r="F7785" s="247"/>
      <c r="G7785" s="247"/>
      <c r="H7785" s="248"/>
      <c r="I7785" s="248"/>
      <c r="J7785" s="247"/>
      <c r="K7785" s="249"/>
    </row>
    <row r="7786" spans="1:11" s="90" customFormat="1" ht="12.75" customHeight="1" x14ac:dyDescent="0.2">
      <c r="A7786" s="247"/>
      <c r="B7786" s="316"/>
      <c r="C7786" s="247"/>
      <c r="D7786" s="317"/>
      <c r="E7786" s="318"/>
      <c r="F7786" s="247"/>
      <c r="G7786" s="247"/>
      <c r="H7786" s="248"/>
      <c r="I7786" s="248"/>
      <c r="J7786" s="247"/>
      <c r="K7786" s="249"/>
    </row>
    <row r="7787" spans="1:11" s="90" customFormat="1" ht="12.75" customHeight="1" x14ac:dyDescent="0.2">
      <c r="A7787" s="247"/>
      <c r="B7787" s="316"/>
      <c r="C7787" s="247"/>
      <c r="D7787" s="317"/>
      <c r="E7787" s="318"/>
      <c r="F7787" s="247"/>
      <c r="G7787" s="247"/>
      <c r="H7787" s="248"/>
      <c r="I7787" s="248"/>
      <c r="J7787" s="247"/>
      <c r="K7787" s="249"/>
    </row>
    <row r="7788" spans="1:11" s="90" customFormat="1" ht="12.75" customHeight="1" x14ac:dyDescent="0.2">
      <c r="A7788" s="247"/>
      <c r="B7788" s="316"/>
      <c r="C7788" s="247"/>
      <c r="D7788" s="317"/>
      <c r="E7788" s="318"/>
      <c r="F7788" s="247"/>
      <c r="G7788" s="247"/>
      <c r="H7788" s="248"/>
      <c r="I7788" s="248"/>
      <c r="J7788" s="247"/>
      <c r="K7788" s="249"/>
    </row>
    <row r="7789" spans="1:11" s="90" customFormat="1" ht="12.75" customHeight="1" x14ac:dyDescent="0.2">
      <c r="A7789" s="247"/>
      <c r="B7789" s="316"/>
      <c r="C7789" s="247"/>
      <c r="D7789" s="317"/>
      <c r="E7789" s="318"/>
      <c r="F7789" s="247"/>
      <c r="G7789" s="247"/>
      <c r="H7789" s="248"/>
      <c r="I7789" s="248"/>
      <c r="J7789" s="247"/>
      <c r="K7789" s="249"/>
    </row>
    <row r="7790" spans="1:11" s="90" customFormat="1" ht="12.75" customHeight="1" x14ac:dyDescent="0.2">
      <c r="A7790" s="247"/>
      <c r="B7790" s="316"/>
      <c r="C7790" s="247"/>
      <c r="D7790" s="317"/>
      <c r="E7790" s="318"/>
      <c r="F7790" s="247"/>
      <c r="G7790" s="247"/>
      <c r="H7790" s="248"/>
      <c r="I7790" s="248"/>
      <c r="J7790" s="247"/>
      <c r="K7790" s="249"/>
    </row>
    <row r="7791" spans="1:11" s="90" customFormat="1" ht="12.75" customHeight="1" x14ac:dyDescent="0.2">
      <c r="A7791" s="247"/>
      <c r="B7791" s="316"/>
      <c r="C7791" s="247"/>
      <c r="D7791" s="317"/>
      <c r="E7791" s="318"/>
      <c r="F7791" s="247"/>
      <c r="G7791" s="247"/>
      <c r="H7791" s="248"/>
      <c r="I7791" s="248"/>
      <c r="J7791" s="247"/>
      <c r="K7791" s="249"/>
    </row>
    <row r="7792" spans="1:11" s="90" customFormat="1" ht="12.75" customHeight="1" x14ac:dyDescent="0.2">
      <c r="A7792" s="247"/>
      <c r="B7792" s="316"/>
      <c r="C7792" s="247"/>
      <c r="D7792" s="317"/>
      <c r="E7792" s="318"/>
      <c r="F7792" s="247"/>
      <c r="G7792" s="247"/>
      <c r="H7792" s="248"/>
      <c r="I7792" s="248"/>
      <c r="J7792" s="247"/>
      <c r="K7792" s="249"/>
    </row>
    <row r="7793" spans="1:11" s="90" customFormat="1" ht="12.75" customHeight="1" x14ac:dyDescent="0.2">
      <c r="A7793" s="247"/>
      <c r="B7793" s="316"/>
      <c r="C7793" s="247"/>
      <c r="D7793" s="317"/>
      <c r="E7793" s="318"/>
      <c r="F7793" s="247"/>
      <c r="G7793" s="247"/>
      <c r="H7793" s="248"/>
      <c r="I7793" s="248"/>
      <c r="J7793" s="247"/>
      <c r="K7793" s="249"/>
    </row>
    <row r="7794" spans="1:11" s="90" customFormat="1" ht="12.75" customHeight="1" x14ac:dyDescent="0.2">
      <c r="A7794" s="247"/>
      <c r="B7794" s="316"/>
      <c r="C7794" s="247"/>
      <c r="D7794" s="317"/>
      <c r="E7794" s="318"/>
      <c r="F7794" s="247"/>
      <c r="G7794" s="247"/>
      <c r="H7794" s="248"/>
      <c r="I7794" s="248"/>
      <c r="J7794" s="247"/>
      <c r="K7794" s="249"/>
    </row>
    <row r="7795" spans="1:11" s="90" customFormat="1" ht="12.75" customHeight="1" x14ac:dyDescent="0.2">
      <c r="A7795" s="247"/>
      <c r="B7795" s="316"/>
      <c r="C7795" s="247"/>
      <c r="D7795" s="317"/>
      <c r="E7795" s="318"/>
      <c r="F7795" s="247"/>
      <c r="G7795" s="247"/>
      <c r="H7795" s="248"/>
      <c r="I7795" s="248"/>
      <c r="J7795" s="247"/>
      <c r="K7795" s="249"/>
    </row>
    <row r="7796" spans="1:11" s="90" customFormat="1" ht="12.75" customHeight="1" x14ac:dyDescent="0.2">
      <c r="A7796" s="247"/>
      <c r="B7796" s="316"/>
      <c r="C7796" s="247"/>
      <c r="D7796" s="317"/>
      <c r="E7796" s="318"/>
      <c r="F7796" s="247"/>
      <c r="G7796" s="247"/>
      <c r="H7796" s="248"/>
      <c r="I7796" s="248"/>
      <c r="J7796" s="247"/>
      <c r="K7796" s="249"/>
    </row>
    <row r="7797" spans="1:11" s="90" customFormat="1" ht="12.75" customHeight="1" x14ac:dyDescent="0.2">
      <c r="A7797" s="247"/>
      <c r="B7797" s="316"/>
      <c r="C7797" s="247"/>
      <c r="D7797" s="317"/>
      <c r="E7797" s="318"/>
      <c r="F7797" s="247"/>
      <c r="G7797" s="247"/>
      <c r="H7797" s="248"/>
      <c r="I7797" s="248"/>
      <c r="J7797" s="247"/>
      <c r="K7797" s="249"/>
    </row>
    <row r="7798" spans="1:11" s="90" customFormat="1" ht="12.75" customHeight="1" x14ac:dyDescent="0.2">
      <c r="A7798" s="247"/>
      <c r="B7798" s="316"/>
      <c r="C7798" s="247"/>
      <c r="D7798" s="317"/>
      <c r="E7798" s="318"/>
      <c r="F7798" s="247"/>
      <c r="G7798" s="247"/>
      <c r="H7798" s="248"/>
      <c r="I7798" s="248"/>
      <c r="J7798" s="247"/>
      <c r="K7798" s="249"/>
    </row>
    <row r="7799" spans="1:11" s="90" customFormat="1" ht="12.75" customHeight="1" x14ac:dyDescent="0.2">
      <c r="A7799" s="247"/>
      <c r="B7799" s="316"/>
      <c r="C7799" s="247"/>
      <c r="D7799" s="317"/>
      <c r="E7799" s="318"/>
      <c r="F7799" s="247"/>
      <c r="G7799" s="247"/>
      <c r="H7799" s="248"/>
      <c r="I7799" s="248"/>
      <c r="J7799" s="247"/>
      <c r="K7799" s="249"/>
    </row>
    <row r="7800" spans="1:11" s="90" customFormat="1" ht="12.75" customHeight="1" x14ac:dyDescent="0.2">
      <c r="A7800" s="247"/>
      <c r="B7800" s="316"/>
      <c r="C7800" s="247"/>
      <c r="D7800" s="317"/>
      <c r="E7800" s="318"/>
      <c r="F7800" s="247"/>
      <c r="G7800" s="247"/>
      <c r="H7800" s="248"/>
      <c r="I7800" s="248"/>
      <c r="J7800" s="247"/>
      <c r="K7800" s="249"/>
    </row>
    <row r="7801" spans="1:11" s="90" customFormat="1" ht="12.75" customHeight="1" x14ac:dyDescent="0.2">
      <c r="A7801" s="247"/>
      <c r="B7801" s="316"/>
      <c r="C7801" s="247"/>
      <c r="D7801" s="317"/>
      <c r="E7801" s="318"/>
      <c r="F7801" s="247"/>
      <c r="G7801" s="247"/>
      <c r="H7801" s="248"/>
      <c r="I7801" s="248"/>
      <c r="J7801" s="247"/>
      <c r="K7801" s="249"/>
    </row>
    <row r="7802" spans="1:11" s="90" customFormat="1" ht="12.75" customHeight="1" x14ac:dyDescent="0.2">
      <c r="A7802" s="247"/>
      <c r="B7802" s="316"/>
      <c r="C7802" s="247"/>
      <c r="D7802" s="317"/>
      <c r="E7802" s="318"/>
      <c r="F7802" s="247"/>
      <c r="G7802" s="247"/>
      <c r="H7802" s="248"/>
      <c r="I7802" s="248"/>
      <c r="J7802" s="247"/>
      <c r="K7802" s="249"/>
    </row>
    <row r="7803" spans="1:11" s="90" customFormat="1" ht="12.75" customHeight="1" x14ac:dyDescent="0.2">
      <c r="A7803" s="247"/>
      <c r="B7803" s="316"/>
      <c r="C7803" s="247"/>
      <c r="D7803" s="317"/>
      <c r="E7803" s="318"/>
      <c r="F7803" s="247"/>
      <c r="G7803" s="247"/>
      <c r="H7803" s="248"/>
      <c r="I7803" s="248"/>
      <c r="J7803" s="247"/>
      <c r="K7803" s="249"/>
    </row>
    <row r="7804" spans="1:11" s="90" customFormat="1" ht="12.75" customHeight="1" x14ac:dyDescent="0.2">
      <c r="A7804" s="247"/>
      <c r="B7804" s="316"/>
      <c r="C7804" s="247"/>
      <c r="D7804" s="317"/>
      <c r="E7804" s="318"/>
      <c r="F7804" s="247"/>
      <c r="G7804" s="247"/>
      <c r="H7804" s="248"/>
      <c r="I7804" s="248"/>
      <c r="J7804" s="247"/>
      <c r="K7804" s="249"/>
    </row>
    <row r="7805" spans="1:11" s="90" customFormat="1" ht="12.75" customHeight="1" x14ac:dyDescent="0.2">
      <c r="A7805" s="247"/>
      <c r="B7805" s="316"/>
      <c r="C7805" s="247"/>
      <c r="D7805" s="317"/>
      <c r="E7805" s="318"/>
      <c r="F7805" s="247"/>
      <c r="G7805" s="247"/>
      <c r="H7805" s="248"/>
      <c r="I7805" s="248"/>
      <c r="J7805" s="247"/>
      <c r="K7805" s="249"/>
    </row>
    <row r="7806" spans="1:11" s="90" customFormat="1" ht="12.75" customHeight="1" x14ac:dyDescent="0.2">
      <c r="A7806" s="247"/>
      <c r="B7806" s="316"/>
      <c r="C7806" s="247"/>
      <c r="D7806" s="317"/>
      <c r="E7806" s="318"/>
      <c r="F7806" s="247"/>
      <c r="G7806" s="247"/>
      <c r="H7806" s="248"/>
      <c r="I7806" s="248"/>
      <c r="J7806" s="247"/>
      <c r="K7806" s="249"/>
    </row>
    <row r="7807" spans="1:11" s="90" customFormat="1" ht="12.75" customHeight="1" x14ac:dyDescent="0.2">
      <c r="A7807" s="247"/>
      <c r="B7807" s="316"/>
      <c r="C7807" s="247"/>
      <c r="D7807" s="317"/>
      <c r="E7807" s="318"/>
      <c r="F7807" s="247"/>
      <c r="G7807" s="247"/>
      <c r="H7807" s="248"/>
      <c r="I7807" s="248"/>
      <c r="J7807" s="247"/>
      <c r="K7807" s="249"/>
    </row>
    <row r="7808" spans="1:11" s="90" customFormat="1" ht="12.75" customHeight="1" x14ac:dyDescent="0.2">
      <c r="A7808" s="247"/>
      <c r="B7808" s="316"/>
      <c r="C7808" s="247"/>
      <c r="D7808" s="317"/>
      <c r="E7808" s="318"/>
      <c r="F7808" s="247"/>
      <c r="G7808" s="247"/>
      <c r="H7808" s="248"/>
      <c r="I7808" s="248"/>
      <c r="J7808" s="247"/>
      <c r="K7808" s="249"/>
    </row>
    <row r="7809" spans="1:11" s="90" customFormat="1" ht="12.75" customHeight="1" x14ac:dyDescent="0.2">
      <c r="A7809" s="247"/>
      <c r="B7809" s="316"/>
      <c r="C7809" s="247"/>
      <c r="D7809" s="317"/>
      <c r="E7809" s="318"/>
      <c r="F7809" s="247"/>
      <c r="G7809" s="247"/>
      <c r="H7809" s="248"/>
      <c r="I7809" s="248"/>
      <c r="J7809" s="247"/>
      <c r="K7809" s="249"/>
    </row>
    <row r="7810" spans="1:11" s="90" customFormat="1" ht="12.75" customHeight="1" x14ac:dyDescent="0.2">
      <c r="A7810" s="247"/>
      <c r="B7810" s="316"/>
      <c r="C7810" s="247"/>
      <c r="D7810" s="317"/>
      <c r="E7810" s="318"/>
      <c r="F7810" s="247"/>
      <c r="G7810" s="247"/>
      <c r="H7810" s="248"/>
      <c r="I7810" s="248"/>
      <c r="J7810" s="247"/>
      <c r="K7810" s="249"/>
    </row>
    <row r="7811" spans="1:11" s="90" customFormat="1" ht="12.75" customHeight="1" x14ac:dyDescent="0.2">
      <c r="A7811" s="247"/>
      <c r="B7811" s="316"/>
      <c r="C7811" s="247"/>
      <c r="D7811" s="317"/>
      <c r="E7811" s="318"/>
      <c r="F7811" s="247"/>
      <c r="G7811" s="247"/>
      <c r="H7811" s="248"/>
      <c r="I7811" s="248"/>
      <c r="J7811" s="247"/>
      <c r="K7811" s="249"/>
    </row>
    <row r="7812" spans="1:11" s="90" customFormat="1" ht="12.75" customHeight="1" x14ac:dyDescent="0.2">
      <c r="A7812" s="247"/>
      <c r="B7812" s="316"/>
      <c r="C7812" s="247"/>
      <c r="D7812" s="317"/>
      <c r="E7812" s="318"/>
      <c r="F7812" s="247"/>
      <c r="G7812" s="247"/>
      <c r="H7812" s="248"/>
      <c r="I7812" s="248"/>
      <c r="J7812" s="247"/>
      <c r="K7812" s="249"/>
    </row>
    <row r="7813" spans="1:11" s="90" customFormat="1" ht="12.75" customHeight="1" x14ac:dyDescent="0.2">
      <c r="A7813" s="247"/>
      <c r="B7813" s="316"/>
      <c r="C7813" s="247"/>
      <c r="D7813" s="317"/>
      <c r="E7813" s="318"/>
      <c r="F7813" s="247"/>
      <c r="G7813" s="247"/>
      <c r="H7813" s="248"/>
      <c r="I7813" s="248"/>
      <c r="J7813" s="247"/>
      <c r="K7813" s="249"/>
    </row>
    <row r="7814" spans="1:11" s="90" customFormat="1" ht="12.75" customHeight="1" x14ac:dyDescent="0.2">
      <c r="A7814" s="247"/>
      <c r="B7814" s="316"/>
      <c r="C7814" s="247"/>
      <c r="D7814" s="317"/>
      <c r="E7814" s="318"/>
      <c r="F7814" s="247"/>
      <c r="G7814" s="247"/>
      <c r="H7814" s="248"/>
      <c r="I7814" s="248"/>
      <c r="J7814" s="247"/>
      <c r="K7814" s="249"/>
    </row>
    <row r="7815" spans="1:11" s="90" customFormat="1" ht="12.75" customHeight="1" x14ac:dyDescent="0.2">
      <c r="A7815" s="247"/>
      <c r="B7815" s="316"/>
      <c r="C7815" s="247"/>
      <c r="D7815" s="317"/>
      <c r="E7815" s="318"/>
      <c r="F7815" s="247"/>
      <c r="G7815" s="247"/>
      <c r="H7815" s="248"/>
      <c r="I7815" s="248"/>
      <c r="J7815" s="247"/>
      <c r="K7815" s="249"/>
    </row>
    <row r="7816" spans="1:11" s="90" customFormat="1" ht="12.75" customHeight="1" x14ac:dyDescent="0.2">
      <c r="A7816" s="247"/>
      <c r="B7816" s="316"/>
      <c r="C7816" s="247"/>
      <c r="D7816" s="317"/>
      <c r="E7816" s="318"/>
      <c r="F7816" s="247"/>
      <c r="G7816" s="247"/>
      <c r="H7816" s="248"/>
      <c r="I7816" s="248"/>
      <c r="J7816" s="247"/>
      <c r="K7816" s="249"/>
    </row>
    <row r="7817" spans="1:11" s="90" customFormat="1" ht="12.75" customHeight="1" x14ac:dyDescent="0.2">
      <c r="A7817" s="247"/>
      <c r="B7817" s="316"/>
      <c r="C7817" s="247"/>
      <c r="D7817" s="317"/>
      <c r="E7817" s="318"/>
      <c r="F7817" s="247"/>
      <c r="G7817" s="247"/>
      <c r="H7817" s="248"/>
      <c r="I7817" s="248"/>
      <c r="J7817" s="247"/>
      <c r="K7817" s="249"/>
    </row>
    <row r="7818" spans="1:11" s="90" customFormat="1" ht="12.75" customHeight="1" x14ac:dyDescent="0.2">
      <c r="A7818" s="247"/>
      <c r="B7818" s="316"/>
      <c r="C7818" s="247"/>
      <c r="D7818" s="317"/>
      <c r="E7818" s="318"/>
      <c r="F7818" s="247"/>
      <c r="G7818" s="247"/>
      <c r="H7818" s="248"/>
      <c r="I7818" s="248"/>
      <c r="J7818" s="247"/>
      <c r="K7818" s="249"/>
    </row>
    <row r="7819" spans="1:11" s="90" customFormat="1" ht="12.75" customHeight="1" x14ac:dyDescent="0.2">
      <c r="A7819" s="247"/>
      <c r="B7819" s="316"/>
      <c r="C7819" s="247"/>
      <c r="D7819" s="317"/>
      <c r="E7819" s="318"/>
      <c r="F7819" s="247"/>
      <c r="G7819" s="247"/>
      <c r="H7819" s="248"/>
      <c r="I7819" s="248"/>
      <c r="J7819" s="247"/>
      <c r="K7819" s="249"/>
    </row>
    <row r="7820" spans="1:11" s="90" customFormat="1" ht="12.75" customHeight="1" x14ac:dyDescent="0.2">
      <c r="A7820" s="247"/>
      <c r="B7820" s="316"/>
      <c r="C7820" s="247"/>
      <c r="D7820" s="317"/>
      <c r="E7820" s="318"/>
      <c r="F7820" s="247"/>
      <c r="G7820" s="247"/>
      <c r="H7820" s="248"/>
      <c r="I7820" s="248"/>
      <c r="J7820" s="247"/>
      <c r="K7820" s="249"/>
    </row>
    <row r="7821" spans="1:11" s="90" customFormat="1" ht="12.75" customHeight="1" x14ac:dyDescent="0.2">
      <c r="A7821" s="247"/>
      <c r="B7821" s="316"/>
      <c r="C7821" s="247"/>
      <c r="D7821" s="317"/>
      <c r="E7821" s="318"/>
      <c r="F7821" s="247"/>
      <c r="G7821" s="247"/>
      <c r="H7821" s="248"/>
      <c r="I7821" s="248"/>
      <c r="J7821" s="247"/>
      <c r="K7821" s="249"/>
    </row>
    <row r="7822" spans="1:11" s="90" customFormat="1" ht="12.75" customHeight="1" x14ac:dyDescent="0.2">
      <c r="A7822" s="247"/>
      <c r="B7822" s="316"/>
      <c r="C7822" s="247"/>
      <c r="D7822" s="317"/>
      <c r="E7822" s="318"/>
      <c r="F7822" s="247"/>
      <c r="G7822" s="247"/>
      <c r="H7822" s="248"/>
      <c r="I7822" s="248"/>
      <c r="J7822" s="247"/>
      <c r="K7822" s="249"/>
    </row>
    <row r="7823" spans="1:11" s="90" customFormat="1" ht="12.75" customHeight="1" x14ac:dyDescent="0.2">
      <c r="A7823" s="247"/>
      <c r="B7823" s="316"/>
      <c r="C7823" s="247"/>
      <c r="D7823" s="317"/>
      <c r="E7823" s="318"/>
      <c r="F7823" s="247"/>
      <c r="G7823" s="247"/>
      <c r="H7823" s="248"/>
      <c r="I7823" s="248"/>
      <c r="J7823" s="247"/>
      <c r="K7823" s="249"/>
    </row>
    <row r="7824" spans="1:11" s="90" customFormat="1" ht="12.75" customHeight="1" x14ac:dyDescent="0.2">
      <c r="A7824" s="247"/>
      <c r="B7824" s="316"/>
      <c r="C7824" s="247"/>
      <c r="D7824" s="317"/>
      <c r="E7824" s="318"/>
      <c r="F7824" s="247"/>
      <c r="G7824" s="247"/>
      <c r="H7824" s="248"/>
      <c r="I7824" s="248"/>
      <c r="J7824" s="247"/>
      <c r="K7824" s="249"/>
    </row>
    <row r="7825" spans="1:11" s="90" customFormat="1" ht="12.75" customHeight="1" x14ac:dyDescent="0.2">
      <c r="A7825" s="247"/>
      <c r="B7825" s="316"/>
      <c r="C7825" s="247"/>
      <c r="D7825" s="317"/>
      <c r="E7825" s="318"/>
      <c r="F7825" s="247"/>
      <c r="G7825" s="247"/>
      <c r="H7825" s="248"/>
      <c r="I7825" s="248"/>
      <c r="J7825" s="247"/>
      <c r="K7825" s="249"/>
    </row>
    <row r="7826" spans="1:11" s="90" customFormat="1" ht="12.75" customHeight="1" x14ac:dyDescent="0.2">
      <c r="A7826" s="247"/>
      <c r="B7826" s="316"/>
      <c r="C7826" s="247"/>
      <c r="D7826" s="317"/>
      <c r="E7826" s="318"/>
      <c r="F7826" s="247"/>
      <c r="G7826" s="247"/>
      <c r="H7826" s="248"/>
      <c r="I7826" s="248"/>
      <c r="J7826" s="247"/>
      <c r="K7826" s="249"/>
    </row>
    <row r="7827" spans="1:11" s="90" customFormat="1" ht="12.75" customHeight="1" x14ac:dyDescent="0.2">
      <c r="A7827" s="247"/>
      <c r="B7827" s="316"/>
      <c r="C7827" s="247"/>
      <c r="D7827" s="317"/>
      <c r="E7827" s="318"/>
      <c r="F7827" s="247"/>
      <c r="G7827" s="247"/>
      <c r="H7827" s="248"/>
      <c r="I7827" s="248"/>
      <c r="J7827" s="247"/>
      <c r="K7827" s="249"/>
    </row>
    <row r="7828" spans="1:11" s="90" customFormat="1" ht="12.75" customHeight="1" x14ac:dyDescent="0.2">
      <c r="A7828" s="247"/>
      <c r="B7828" s="316"/>
      <c r="C7828" s="247"/>
      <c r="D7828" s="317"/>
      <c r="E7828" s="318"/>
      <c r="F7828" s="247"/>
      <c r="G7828" s="247"/>
      <c r="H7828" s="248"/>
      <c r="I7828" s="248"/>
      <c r="J7828" s="247"/>
      <c r="K7828" s="249"/>
    </row>
    <row r="7829" spans="1:11" s="90" customFormat="1" ht="12.75" customHeight="1" x14ac:dyDescent="0.2">
      <c r="A7829" s="247"/>
      <c r="B7829" s="316"/>
      <c r="C7829" s="247"/>
      <c r="D7829" s="317"/>
      <c r="E7829" s="318"/>
      <c r="F7829" s="247"/>
      <c r="G7829" s="247"/>
      <c r="H7829" s="248"/>
      <c r="I7829" s="248"/>
      <c r="J7829" s="247"/>
      <c r="K7829" s="249"/>
    </row>
    <row r="7830" spans="1:11" s="90" customFormat="1" ht="12.75" customHeight="1" x14ac:dyDescent="0.2">
      <c r="A7830" s="247"/>
      <c r="B7830" s="316"/>
      <c r="C7830" s="247"/>
      <c r="D7830" s="317"/>
      <c r="E7830" s="318"/>
      <c r="F7830" s="247"/>
      <c r="G7830" s="247"/>
      <c r="H7830" s="248"/>
      <c r="I7830" s="248"/>
      <c r="J7830" s="247"/>
      <c r="K7830" s="249"/>
    </row>
    <row r="7831" spans="1:11" s="90" customFormat="1" ht="12.75" customHeight="1" x14ac:dyDescent="0.2">
      <c r="A7831" s="247"/>
      <c r="B7831" s="316"/>
      <c r="C7831" s="247"/>
      <c r="D7831" s="317"/>
      <c r="E7831" s="318"/>
      <c r="F7831" s="247"/>
      <c r="G7831" s="247"/>
      <c r="H7831" s="248"/>
      <c r="I7831" s="248"/>
      <c r="J7831" s="247"/>
      <c r="K7831" s="249"/>
    </row>
    <row r="7832" spans="1:11" s="90" customFormat="1" ht="12.75" customHeight="1" x14ac:dyDescent="0.2">
      <c r="A7832" s="247"/>
      <c r="B7832" s="316"/>
      <c r="C7832" s="247"/>
      <c r="D7832" s="317"/>
      <c r="E7832" s="318"/>
      <c r="F7832" s="247"/>
      <c r="G7832" s="247"/>
      <c r="H7832" s="248"/>
      <c r="I7832" s="248"/>
      <c r="J7832" s="247"/>
      <c r="K7832" s="249"/>
    </row>
    <row r="7833" spans="1:11" s="90" customFormat="1" ht="12.75" customHeight="1" x14ac:dyDescent="0.2">
      <c r="A7833" s="247"/>
      <c r="B7833" s="316"/>
      <c r="C7833" s="247"/>
      <c r="D7833" s="317"/>
      <c r="E7833" s="318"/>
      <c r="F7833" s="247"/>
      <c r="G7833" s="247"/>
      <c r="H7833" s="248"/>
      <c r="I7833" s="248"/>
      <c r="J7833" s="247"/>
      <c r="K7833" s="249"/>
    </row>
    <row r="7834" spans="1:11" s="90" customFormat="1" ht="12.75" customHeight="1" x14ac:dyDescent="0.2">
      <c r="A7834" s="247"/>
      <c r="B7834" s="316"/>
      <c r="C7834" s="247"/>
      <c r="D7834" s="317"/>
      <c r="E7834" s="318"/>
      <c r="F7834" s="247"/>
      <c r="G7834" s="247"/>
      <c r="H7834" s="248"/>
      <c r="I7834" s="248"/>
      <c r="J7834" s="247"/>
      <c r="K7834" s="249"/>
    </row>
    <row r="7835" spans="1:11" s="90" customFormat="1" ht="12.75" customHeight="1" x14ac:dyDescent="0.2">
      <c r="A7835" s="247"/>
      <c r="B7835" s="316"/>
      <c r="C7835" s="247"/>
      <c r="D7835" s="317"/>
      <c r="E7835" s="318"/>
      <c r="F7835" s="247"/>
      <c r="G7835" s="247"/>
      <c r="H7835" s="248"/>
      <c r="I7835" s="248"/>
      <c r="J7835" s="247"/>
      <c r="K7835" s="249"/>
    </row>
    <row r="7836" spans="1:11" s="90" customFormat="1" ht="12.75" customHeight="1" x14ac:dyDescent="0.2">
      <c r="A7836" s="247"/>
      <c r="B7836" s="316"/>
      <c r="C7836" s="247"/>
      <c r="D7836" s="317"/>
      <c r="E7836" s="318"/>
      <c r="F7836" s="247"/>
      <c r="G7836" s="247"/>
      <c r="H7836" s="248"/>
      <c r="I7836" s="248"/>
      <c r="J7836" s="247"/>
      <c r="K7836" s="249"/>
    </row>
    <row r="7837" spans="1:11" s="90" customFormat="1" ht="12.75" customHeight="1" x14ac:dyDescent="0.2">
      <c r="A7837" s="247"/>
      <c r="B7837" s="316"/>
      <c r="C7837" s="247"/>
      <c r="D7837" s="317"/>
      <c r="E7837" s="318"/>
      <c r="F7837" s="247"/>
      <c r="G7837" s="247"/>
      <c r="H7837" s="248"/>
      <c r="I7837" s="248"/>
      <c r="J7837" s="247"/>
      <c r="K7837" s="249"/>
    </row>
    <row r="7838" spans="1:11" s="90" customFormat="1" ht="12.75" customHeight="1" x14ac:dyDescent="0.2">
      <c r="A7838" s="247"/>
      <c r="B7838" s="316"/>
      <c r="C7838" s="247"/>
      <c r="D7838" s="317"/>
      <c r="E7838" s="318"/>
      <c r="F7838" s="247"/>
      <c r="G7838" s="247"/>
      <c r="H7838" s="248"/>
      <c r="I7838" s="248"/>
      <c r="J7838" s="247"/>
      <c r="K7838" s="249"/>
    </row>
    <row r="7839" spans="1:11" s="90" customFormat="1" ht="12.75" customHeight="1" x14ac:dyDescent="0.2">
      <c r="A7839" s="247"/>
      <c r="B7839" s="316"/>
      <c r="C7839" s="247"/>
      <c r="D7839" s="317"/>
      <c r="E7839" s="318"/>
      <c r="F7839" s="247"/>
      <c r="G7839" s="247"/>
      <c r="H7839" s="248"/>
      <c r="I7839" s="248"/>
      <c r="J7839" s="247"/>
      <c r="K7839" s="249"/>
    </row>
    <row r="7840" spans="1:11" s="90" customFormat="1" ht="12.75" customHeight="1" x14ac:dyDescent="0.2">
      <c r="A7840" s="247"/>
      <c r="B7840" s="316"/>
      <c r="C7840" s="247"/>
      <c r="D7840" s="317"/>
      <c r="E7840" s="318"/>
      <c r="F7840" s="247"/>
      <c r="G7840" s="247"/>
      <c r="H7840" s="248"/>
      <c r="I7840" s="248"/>
      <c r="J7840" s="247"/>
      <c r="K7840" s="249"/>
    </row>
    <row r="7841" spans="1:11" s="90" customFormat="1" ht="12.75" customHeight="1" x14ac:dyDescent="0.2">
      <c r="A7841" s="247"/>
      <c r="B7841" s="316"/>
      <c r="C7841" s="247"/>
      <c r="D7841" s="317"/>
      <c r="E7841" s="318"/>
      <c r="F7841" s="247"/>
      <c r="G7841" s="247"/>
      <c r="H7841" s="248"/>
      <c r="I7841" s="248"/>
      <c r="J7841" s="247"/>
      <c r="K7841" s="249"/>
    </row>
    <row r="7842" spans="1:11" s="90" customFormat="1" ht="12.75" customHeight="1" x14ac:dyDescent="0.2">
      <c r="A7842" s="247"/>
      <c r="B7842" s="316"/>
      <c r="C7842" s="247"/>
      <c r="D7842" s="317"/>
      <c r="E7842" s="318"/>
      <c r="F7842" s="247"/>
      <c r="G7842" s="247"/>
      <c r="H7842" s="248"/>
      <c r="I7842" s="248"/>
      <c r="J7842" s="247"/>
      <c r="K7842" s="249"/>
    </row>
    <row r="7843" spans="1:11" s="90" customFormat="1" ht="12.75" customHeight="1" x14ac:dyDescent="0.2">
      <c r="A7843" s="247"/>
      <c r="B7843" s="316"/>
      <c r="C7843" s="247"/>
      <c r="D7843" s="317"/>
      <c r="E7843" s="318"/>
      <c r="F7843" s="247"/>
      <c r="G7843" s="247"/>
      <c r="H7843" s="248"/>
      <c r="I7843" s="248"/>
      <c r="J7843" s="247"/>
      <c r="K7843" s="249"/>
    </row>
    <row r="7844" spans="1:11" s="90" customFormat="1" ht="12.75" customHeight="1" x14ac:dyDescent="0.2">
      <c r="A7844" s="247"/>
      <c r="B7844" s="316"/>
      <c r="C7844" s="247"/>
      <c r="D7844" s="317"/>
      <c r="E7844" s="318"/>
      <c r="F7844" s="247"/>
      <c r="G7844" s="247"/>
      <c r="H7844" s="248"/>
      <c r="I7844" s="248"/>
      <c r="J7844" s="247"/>
      <c r="K7844" s="249"/>
    </row>
    <row r="7845" spans="1:11" s="90" customFormat="1" ht="12.75" customHeight="1" x14ac:dyDescent="0.2">
      <c r="A7845" s="247"/>
      <c r="B7845" s="316"/>
      <c r="C7845" s="247"/>
      <c r="D7845" s="317"/>
      <c r="E7845" s="318"/>
      <c r="F7845" s="247"/>
      <c r="G7845" s="247"/>
      <c r="H7845" s="248"/>
      <c r="I7845" s="248"/>
      <c r="J7845" s="247"/>
      <c r="K7845" s="249"/>
    </row>
    <row r="7846" spans="1:11" s="90" customFormat="1" ht="12.75" customHeight="1" x14ac:dyDescent="0.2">
      <c r="A7846" s="247"/>
      <c r="B7846" s="316"/>
      <c r="C7846" s="247"/>
      <c r="D7846" s="317"/>
      <c r="E7846" s="318"/>
      <c r="F7846" s="247"/>
      <c r="G7846" s="247"/>
      <c r="H7846" s="248"/>
      <c r="I7846" s="248"/>
      <c r="J7846" s="247"/>
      <c r="K7846" s="249"/>
    </row>
    <row r="7847" spans="1:11" s="90" customFormat="1" ht="12.75" customHeight="1" x14ac:dyDescent="0.2">
      <c r="A7847" s="247"/>
      <c r="B7847" s="316"/>
      <c r="C7847" s="247"/>
      <c r="D7847" s="317"/>
      <c r="E7847" s="318"/>
      <c r="F7847" s="247"/>
      <c r="G7847" s="247"/>
      <c r="H7847" s="248"/>
      <c r="I7847" s="248"/>
      <c r="J7847" s="247"/>
      <c r="K7847" s="249"/>
    </row>
    <row r="7848" spans="1:11" s="90" customFormat="1" ht="12.75" customHeight="1" x14ac:dyDescent="0.2">
      <c r="A7848" s="247"/>
      <c r="B7848" s="316"/>
      <c r="C7848" s="247"/>
      <c r="D7848" s="317"/>
      <c r="E7848" s="318"/>
      <c r="F7848" s="247"/>
      <c r="G7848" s="247"/>
      <c r="H7848" s="248"/>
      <c r="I7848" s="248"/>
      <c r="J7848" s="247"/>
      <c r="K7848" s="249"/>
    </row>
    <row r="7849" spans="1:11" s="90" customFormat="1" ht="12.75" customHeight="1" x14ac:dyDescent="0.2">
      <c r="A7849" s="247"/>
      <c r="B7849" s="316"/>
      <c r="C7849" s="247"/>
      <c r="D7849" s="317"/>
      <c r="E7849" s="318"/>
      <c r="F7849" s="247"/>
      <c r="G7849" s="247"/>
      <c r="H7849" s="248"/>
      <c r="I7849" s="248"/>
      <c r="J7849" s="247"/>
      <c r="K7849" s="249"/>
    </row>
    <row r="7850" spans="1:11" s="90" customFormat="1" ht="12.75" customHeight="1" x14ac:dyDescent="0.2">
      <c r="A7850" s="247"/>
      <c r="B7850" s="316"/>
      <c r="C7850" s="247"/>
      <c r="D7850" s="317"/>
      <c r="E7850" s="318"/>
      <c r="F7850" s="247"/>
      <c r="G7850" s="247"/>
      <c r="H7850" s="248"/>
      <c r="I7850" s="248"/>
      <c r="J7850" s="247"/>
      <c r="K7850" s="249"/>
    </row>
    <row r="7851" spans="1:11" s="90" customFormat="1" ht="12.75" customHeight="1" x14ac:dyDescent="0.2">
      <c r="A7851" s="247"/>
      <c r="B7851" s="316"/>
      <c r="C7851" s="247"/>
      <c r="D7851" s="317"/>
      <c r="E7851" s="318"/>
      <c r="F7851" s="247"/>
      <c r="G7851" s="247"/>
      <c r="H7851" s="248"/>
      <c r="I7851" s="248"/>
      <c r="J7851" s="247"/>
      <c r="K7851" s="249"/>
    </row>
    <row r="7852" spans="1:11" s="90" customFormat="1" ht="12.75" customHeight="1" x14ac:dyDescent="0.2">
      <c r="A7852" s="247"/>
      <c r="B7852" s="316"/>
      <c r="C7852" s="247"/>
      <c r="D7852" s="317"/>
      <c r="E7852" s="318"/>
      <c r="F7852" s="247"/>
      <c r="G7852" s="247"/>
      <c r="H7852" s="248"/>
      <c r="I7852" s="248"/>
      <c r="J7852" s="247"/>
      <c r="K7852" s="249"/>
    </row>
    <row r="7853" spans="1:11" s="90" customFormat="1" ht="12.75" customHeight="1" x14ac:dyDescent="0.2">
      <c r="A7853" s="247"/>
      <c r="B7853" s="316"/>
      <c r="C7853" s="247"/>
      <c r="D7853" s="317"/>
      <c r="E7853" s="318"/>
      <c r="F7853" s="247"/>
      <c r="G7853" s="247"/>
      <c r="H7853" s="248"/>
      <c r="I7853" s="248"/>
      <c r="J7853" s="247"/>
      <c r="K7853" s="249"/>
    </row>
    <row r="7854" spans="1:11" s="90" customFormat="1" ht="12.75" customHeight="1" x14ac:dyDescent="0.2">
      <c r="A7854" s="247"/>
      <c r="B7854" s="316"/>
      <c r="C7854" s="247"/>
      <c r="D7854" s="317"/>
      <c r="E7854" s="318"/>
      <c r="F7854" s="247"/>
      <c r="G7854" s="247"/>
      <c r="H7854" s="248"/>
      <c r="I7854" s="248"/>
      <c r="J7854" s="247"/>
      <c r="K7854" s="249"/>
    </row>
    <row r="7855" spans="1:11" s="90" customFormat="1" ht="12.75" customHeight="1" x14ac:dyDescent="0.2">
      <c r="A7855" s="247"/>
      <c r="B7855" s="316"/>
      <c r="C7855" s="247"/>
      <c r="D7855" s="317"/>
      <c r="E7855" s="318"/>
      <c r="F7855" s="247"/>
      <c r="G7855" s="247"/>
      <c r="H7855" s="248"/>
      <c r="I7855" s="248"/>
      <c r="J7855" s="247"/>
      <c r="K7855" s="249"/>
    </row>
    <row r="7856" spans="1:11" s="90" customFormat="1" ht="12.75" customHeight="1" x14ac:dyDescent="0.2">
      <c r="A7856" s="247"/>
      <c r="B7856" s="316"/>
      <c r="C7856" s="247"/>
      <c r="D7856" s="317"/>
      <c r="E7856" s="318"/>
      <c r="F7856" s="247"/>
      <c r="G7856" s="247"/>
      <c r="H7856" s="248"/>
      <c r="I7856" s="248"/>
      <c r="J7856" s="247"/>
      <c r="K7856" s="249"/>
    </row>
    <row r="7857" spans="1:11" s="90" customFormat="1" ht="12.75" customHeight="1" x14ac:dyDescent="0.2">
      <c r="A7857" s="247"/>
      <c r="B7857" s="316"/>
      <c r="C7857" s="247"/>
      <c r="D7857" s="317"/>
      <c r="E7857" s="318"/>
      <c r="F7857" s="247"/>
      <c r="G7857" s="247"/>
      <c r="H7857" s="248"/>
      <c r="I7857" s="248"/>
      <c r="J7857" s="247"/>
      <c r="K7857" s="249"/>
    </row>
    <row r="7858" spans="1:11" s="90" customFormat="1" ht="12.75" customHeight="1" x14ac:dyDescent="0.2">
      <c r="A7858" s="247"/>
      <c r="B7858" s="316"/>
      <c r="C7858" s="247"/>
      <c r="D7858" s="317"/>
      <c r="E7858" s="318"/>
      <c r="F7858" s="247"/>
      <c r="G7858" s="247"/>
      <c r="H7858" s="248"/>
      <c r="I7858" s="248"/>
      <c r="J7858" s="247"/>
      <c r="K7858" s="249"/>
    </row>
    <row r="7859" spans="1:11" s="90" customFormat="1" ht="12.75" customHeight="1" x14ac:dyDescent="0.2">
      <c r="A7859" s="247"/>
      <c r="B7859" s="316"/>
      <c r="C7859" s="247"/>
      <c r="D7859" s="317"/>
      <c r="E7859" s="318"/>
      <c r="F7859" s="247"/>
      <c r="G7859" s="247"/>
      <c r="H7859" s="248"/>
      <c r="I7859" s="248"/>
      <c r="J7859" s="247"/>
      <c r="K7859" s="249"/>
    </row>
    <row r="7860" spans="1:11" s="90" customFormat="1" ht="12.75" customHeight="1" x14ac:dyDescent="0.2">
      <c r="A7860" s="247"/>
      <c r="B7860" s="316"/>
      <c r="C7860" s="247"/>
      <c r="D7860" s="317"/>
      <c r="E7860" s="318"/>
      <c r="F7860" s="247"/>
      <c r="G7860" s="247"/>
      <c r="H7860" s="248"/>
      <c r="I7860" s="248"/>
      <c r="J7860" s="247"/>
      <c r="K7860" s="249"/>
    </row>
    <row r="7861" spans="1:11" s="90" customFormat="1" ht="12.75" customHeight="1" x14ac:dyDescent="0.2">
      <c r="A7861" s="247"/>
      <c r="B7861" s="316"/>
      <c r="C7861" s="247"/>
      <c r="D7861" s="317"/>
      <c r="E7861" s="318"/>
      <c r="F7861" s="247"/>
      <c r="G7861" s="247"/>
      <c r="H7861" s="248"/>
      <c r="I7861" s="248"/>
      <c r="J7861" s="247"/>
      <c r="K7861" s="249"/>
    </row>
    <row r="7862" spans="1:11" s="90" customFormat="1" ht="12.75" customHeight="1" x14ac:dyDescent="0.2">
      <c r="A7862" s="247"/>
      <c r="B7862" s="316"/>
      <c r="C7862" s="247"/>
      <c r="D7862" s="317"/>
      <c r="E7862" s="318"/>
      <c r="F7862" s="247"/>
      <c r="G7862" s="247"/>
      <c r="H7862" s="248"/>
      <c r="I7862" s="248"/>
      <c r="J7862" s="247"/>
      <c r="K7862" s="249"/>
    </row>
    <row r="7863" spans="1:11" s="90" customFormat="1" ht="12.75" customHeight="1" x14ac:dyDescent="0.2">
      <c r="A7863" s="247"/>
      <c r="B7863" s="316"/>
      <c r="C7863" s="247"/>
      <c r="D7863" s="317"/>
      <c r="E7863" s="318"/>
      <c r="F7863" s="247"/>
      <c r="G7863" s="247"/>
      <c r="H7863" s="248"/>
      <c r="I7863" s="248"/>
      <c r="J7863" s="247"/>
      <c r="K7863" s="249"/>
    </row>
    <row r="7864" spans="1:11" s="90" customFormat="1" ht="12.75" customHeight="1" x14ac:dyDescent="0.2">
      <c r="A7864" s="247"/>
      <c r="B7864" s="316"/>
      <c r="C7864" s="247"/>
      <c r="D7864" s="317"/>
      <c r="E7864" s="318"/>
      <c r="F7864" s="247"/>
      <c r="G7864" s="247"/>
      <c r="H7864" s="248"/>
      <c r="I7864" s="248"/>
      <c r="J7864" s="247"/>
      <c r="K7864" s="249"/>
    </row>
    <row r="7865" spans="1:11" s="90" customFormat="1" ht="12.75" customHeight="1" x14ac:dyDescent="0.2">
      <c r="A7865" s="247"/>
      <c r="B7865" s="316"/>
      <c r="C7865" s="247"/>
      <c r="D7865" s="317"/>
      <c r="E7865" s="318"/>
      <c r="F7865" s="247"/>
      <c r="G7865" s="247"/>
      <c r="H7865" s="248"/>
      <c r="I7865" s="248"/>
      <c r="J7865" s="247"/>
      <c r="K7865" s="249"/>
    </row>
    <row r="7866" spans="1:11" s="90" customFormat="1" ht="12.75" customHeight="1" x14ac:dyDescent="0.2">
      <c r="A7866" s="247"/>
      <c r="B7866" s="316"/>
      <c r="C7866" s="247"/>
      <c r="D7866" s="317"/>
      <c r="E7866" s="318"/>
      <c r="F7866" s="247"/>
      <c r="G7866" s="247"/>
      <c r="H7866" s="248"/>
      <c r="I7866" s="248"/>
      <c r="J7866" s="247"/>
      <c r="K7866" s="249"/>
    </row>
    <row r="7867" spans="1:11" s="90" customFormat="1" ht="12.75" customHeight="1" x14ac:dyDescent="0.2">
      <c r="A7867" s="247"/>
      <c r="B7867" s="316"/>
      <c r="C7867" s="247"/>
      <c r="D7867" s="317"/>
      <c r="E7867" s="318"/>
      <c r="F7867" s="247"/>
      <c r="G7867" s="247"/>
      <c r="H7867" s="248"/>
      <c r="I7867" s="248"/>
      <c r="J7867" s="247"/>
      <c r="K7867" s="249"/>
    </row>
    <row r="7868" spans="1:11" s="90" customFormat="1" ht="12.75" customHeight="1" x14ac:dyDescent="0.2">
      <c r="A7868" s="247"/>
      <c r="B7868" s="316"/>
      <c r="C7868" s="247"/>
      <c r="D7868" s="317"/>
      <c r="E7868" s="318"/>
      <c r="F7868" s="247"/>
      <c r="G7868" s="247"/>
      <c r="H7868" s="248"/>
      <c r="I7868" s="248"/>
      <c r="J7868" s="247"/>
      <c r="K7868" s="249"/>
    </row>
    <row r="7869" spans="1:11" s="90" customFormat="1" ht="12.75" customHeight="1" x14ac:dyDescent="0.2">
      <c r="A7869" s="247"/>
      <c r="B7869" s="316"/>
      <c r="C7869" s="247"/>
      <c r="D7869" s="317"/>
      <c r="E7869" s="318"/>
      <c r="F7869" s="247"/>
      <c r="G7869" s="247"/>
      <c r="H7869" s="248"/>
      <c r="I7869" s="248"/>
      <c r="J7869" s="247"/>
      <c r="K7869" s="249"/>
    </row>
    <row r="7870" spans="1:11" s="90" customFormat="1" ht="12.75" customHeight="1" x14ac:dyDescent="0.2">
      <c r="A7870" s="247"/>
      <c r="B7870" s="316"/>
      <c r="C7870" s="247"/>
      <c r="D7870" s="317"/>
      <c r="E7870" s="318"/>
      <c r="F7870" s="247"/>
      <c r="G7870" s="247"/>
      <c r="H7870" s="248"/>
      <c r="I7870" s="248"/>
      <c r="J7870" s="247"/>
      <c r="K7870" s="249"/>
    </row>
    <row r="7871" spans="1:11" s="90" customFormat="1" ht="12.75" customHeight="1" x14ac:dyDescent="0.2">
      <c r="A7871" s="247"/>
      <c r="B7871" s="316"/>
      <c r="C7871" s="247"/>
      <c r="D7871" s="317"/>
      <c r="E7871" s="318"/>
      <c r="F7871" s="247"/>
      <c r="G7871" s="247"/>
      <c r="H7871" s="248"/>
      <c r="I7871" s="248"/>
      <c r="J7871" s="247"/>
      <c r="K7871" s="249"/>
    </row>
    <row r="7872" spans="1:11" s="90" customFormat="1" ht="12.75" customHeight="1" x14ac:dyDescent="0.2">
      <c r="A7872" s="247"/>
      <c r="B7872" s="316"/>
      <c r="C7872" s="247"/>
      <c r="D7872" s="317"/>
      <c r="E7872" s="318"/>
      <c r="F7872" s="247"/>
      <c r="G7872" s="247"/>
      <c r="H7872" s="248"/>
      <c r="I7872" s="248"/>
      <c r="J7872" s="247"/>
      <c r="K7872" s="249"/>
    </row>
    <row r="7873" spans="1:11" s="90" customFormat="1" ht="12.75" customHeight="1" x14ac:dyDescent="0.2">
      <c r="A7873" s="247"/>
      <c r="B7873" s="316"/>
      <c r="C7873" s="247"/>
      <c r="D7873" s="317"/>
      <c r="E7873" s="318"/>
      <c r="F7873" s="247"/>
      <c r="G7873" s="247"/>
      <c r="H7873" s="248"/>
      <c r="I7873" s="248"/>
      <c r="J7873" s="247"/>
      <c r="K7873" s="249"/>
    </row>
    <row r="7874" spans="1:11" s="90" customFormat="1" ht="12.75" customHeight="1" x14ac:dyDescent="0.2">
      <c r="A7874" s="247"/>
      <c r="B7874" s="316"/>
      <c r="C7874" s="247"/>
      <c r="D7874" s="317"/>
      <c r="E7874" s="318"/>
      <c r="F7874" s="247"/>
      <c r="G7874" s="247"/>
      <c r="H7874" s="248"/>
      <c r="I7874" s="248"/>
      <c r="J7874" s="247"/>
      <c r="K7874" s="249"/>
    </row>
    <row r="7875" spans="1:11" s="90" customFormat="1" ht="12.75" customHeight="1" x14ac:dyDescent="0.2">
      <c r="A7875" s="247"/>
      <c r="B7875" s="316"/>
      <c r="C7875" s="247"/>
      <c r="D7875" s="317"/>
      <c r="E7875" s="318"/>
      <c r="F7875" s="247"/>
      <c r="G7875" s="247"/>
      <c r="H7875" s="248"/>
      <c r="I7875" s="248"/>
      <c r="J7875" s="247"/>
      <c r="K7875" s="249"/>
    </row>
    <row r="7876" spans="1:11" s="90" customFormat="1" ht="12.75" customHeight="1" x14ac:dyDescent="0.2">
      <c r="A7876" s="247"/>
      <c r="B7876" s="316"/>
      <c r="C7876" s="247"/>
      <c r="D7876" s="317"/>
      <c r="E7876" s="318"/>
      <c r="F7876" s="247"/>
      <c r="G7876" s="247"/>
      <c r="H7876" s="248"/>
      <c r="I7876" s="248"/>
      <c r="J7876" s="247"/>
      <c r="K7876" s="249"/>
    </row>
    <row r="7877" spans="1:11" s="90" customFormat="1" ht="12.75" customHeight="1" x14ac:dyDescent="0.2">
      <c r="A7877" s="247"/>
      <c r="B7877" s="316"/>
      <c r="C7877" s="247"/>
      <c r="D7877" s="317"/>
      <c r="E7877" s="318"/>
      <c r="F7877" s="247"/>
      <c r="G7877" s="247"/>
      <c r="H7877" s="248"/>
      <c r="I7877" s="248"/>
      <c r="J7877" s="247"/>
      <c r="K7877" s="249"/>
    </row>
    <row r="7878" spans="1:11" s="90" customFormat="1" ht="12.75" customHeight="1" x14ac:dyDescent="0.2">
      <c r="A7878" s="247"/>
      <c r="B7878" s="316"/>
      <c r="C7878" s="247"/>
      <c r="D7878" s="317"/>
      <c r="E7878" s="318"/>
      <c r="F7878" s="247"/>
      <c r="G7878" s="247"/>
      <c r="H7878" s="248"/>
      <c r="I7878" s="248"/>
      <c r="J7878" s="247"/>
      <c r="K7878" s="249"/>
    </row>
    <row r="7879" spans="1:11" s="90" customFormat="1" ht="12.75" customHeight="1" x14ac:dyDescent="0.2">
      <c r="A7879" s="247"/>
      <c r="B7879" s="316"/>
      <c r="C7879" s="247"/>
      <c r="D7879" s="317"/>
      <c r="E7879" s="318"/>
      <c r="F7879" s="247"/>
      <c r="G7879" s="247"/>
      <c r="H7879" s="248"/>
      <c r="I7879" s="248"/>
      <c r="J7879" s="247"/>
      <c r="K7879" s="249"/>
    </row>
    <row r="7880" spans="1:11" s="90" customFormat="1" ht="12.75" customHeight="1" x14ac:dyDescent="0.2">
      <c r="A7880" s="247"/>
      <c r="B7880" s="316"/>
      <c r="C7880" s="247"/>
      <c r="D7880" s="317"/>
      <c r="E7880" s="318"/>
      <c r="F7880" s="247"/>
      <c r="G7880" s="247"/>
      <c r="H7880" s="248"/>
      <c r="I7880" s="248"/>
      <c r="J7880" s="247"/>
      <c r="K7880" s="249"/>
    </row>
    <row r="7881" spans="1:11" s="90" customFormat="1" ht="12.75" customHeight="1" x14ac:dyDescent="0.2">
      <c r="A7881" s="247"/>
      <c r="B7881" s="316"/>
      <c r="C7881" s="247"/>
      <c r="D7881" s="317"/>
      <c r="E7881" s="318"/>
      <c r="F7881" s="247"/>
      <c r="G7881" s="247"/>
      <c r="H7881" s="248"/>
      <c r="I7881" s="248"/>
      <c r="J7881" s="247"/>
      <c r="K7881" s="249"/>
    </row>
    <row r="7882" spans="1:11" s="90" customFormat="1" ht="12.75" customHeight="1" x14ac:dyDescent="0.2">
      <c r="A7882" s="247"/>
      <c r="B7882" s="316"/>
      <c r="C7882" s="247"/>
      <c r="D7882" s="317"/>
      <c r="E7882" s="318"/>
      <c r="F7882" s="247"/>
      <c r="G7882" s="247"/>
      <c r="H7882" s="248"/>
      <c r="I7882" s="248"/>
      <c r="J7882" s="247"/>
      <c r="K7882" s="249"/>
    </row>
    <row r="7883" spans="1:11" s="90" customFormat="1" ht="12.75" customHeight="1" x14ac:dyDescent="0.2">
      <c r="A7883" s="247"/>
      <c r="B7883" s="316"/>
      <c r="C7883" s="247"/>
      <c r="D7883" s="317"/>
      <c r="E7883" s="318"/>
      <c r="F7883" s="247"/>
      <c r="G7883" s="247"/>
      <c r="H7883" s="248"/>
      <c r="I7883" s="248"/>
      <c r="J7883" s="247"/>
      <c r="K7883" s="249"/>
    </row>
    <row r="7884" spans="1:11" s="90" customFormat="1" ht="12.75" customHeight="1" x14ac:dyDescent="0.2">
      <c r="A7884" s="247"/>
      <c r="B7884" s="316"/>
      <c r="C7884" s="247"/>
      <c r="D7884" s="317"/>
      <c r="E7884" s="318"/>
      <c r="F7884" s="247"/>
      <c r="G7884" s="247"/>
      <c r="H7884" s="248"/>
      <c r="I7884" s="248"/>
      <c r="J7884" s="247"/>
      <c r="K7884" s="249"/>
    </row>
    <row r="7885" spans="1:11" s="90" customFormat="1" ht="12.75" customHeight="1" x14ac:dyDescent="0.2">
      <c r="A7885" s="247"/>
      <c r="B7885" s="316"/>
      <c r="C7885" s="247"/>
      <c r="D7885" s="317"/>
      <c r="E7885" s="318"/>
      <c r="F7885" s="247"/>
      <c r="G7885" s="247"/>
      <c r="H7885" s="248"/>
      <c r="I7885" s="248"/>
      <c r="J7885" s="247"/>
      <c r="K7885" s="249"/>
    </row>
    <row r="7886" spans="1:11" s="90" customFormat="1" ht="12.75" customHeight="1" x14ac:dyDescent="0.2">
      <c r="A7886" s="247"/>
      <c r="B7886" s="316"/>
      <c r="C7886" s="247"/>
      <c r="D7886" s="317"/>
      <c r="E7886" s="318"/>
      <c r="F7886" s="247"/>
      <c r="G7886" s="247"/>
      <c r="H7886" s="248"/>
      <c r="I7886" s="248"/>
      <c r="J7886" s="247"/>
      <c r="K7886" s="249"/>
    </row>
    <row r="7887" spans="1:11" s="90" customFormat="1" ht="12.75" customHeight="1" x14ac:dyDescent="0.2">
      <c r="A7887" s="247"/>
      <c r="B7887" s="316"/>
      <c r="C7887" s="247"/>
      <c r="D7887" s="317"/>
      <c r="E7887" s="318"/>
      <c r="F7887" s="247"/>
      <c r="G7887" s="247"/>
      <c r="H7887" s="248"/>
      <c r="I7887" s="248"/>
      <c r="J7887" s="247"/>
      <c r="K7887" s="249"/>
    </row>
    <row r="7888" spans="1:11" s="90" customFormat="1" ht="12.75" customHeight="1" x14ac:dyDescent="0.2">
      <c r="A7888" s="247"/>
      <c r="B7888" s="316"/>
      <c r="C7888" s="247"/>
      <c r="D7888" s="317"/>
      <c r="E7888" s="318"/>
      <c r="F7888" s="247"/>
      <c r="G7888" s="247"/>
      <c r="H7888" s="248"/>
      <c r="I7888" s="248"/>
      <c r="J7888" s="247"/>
      <c r="K7888" s="249"/>
    </row>
    <row r="7889" spans="1:11" s="90" customFormat="1" ht="12.75" customHeight="1" x14ac:dyDescent="0.2">
      <c r="A7889" s="247"/>
      <c r="B7889" s="316"/>
      <c r="C7889" s="247"/>
      <c r="D7889" s="317"/>
      <c r="E7889" s="318"/>
      <c r="F7889" s="247"/>
      <c r="G7889" s="247"/>
      <c r="H7889" s="248"/>
      <c r="I7889" s="248"/>
      <c r="J7889" s="247"/>
      <c r="K7889" s="249"/>
    </row>
    <row r="7890" spans="1:11" s="90" customFormat="1" ht="12.75" customHeight="1" x14ac:dyDescent="0.2">
      <c r="A7890" s="247"/>
      <c r="B7890" s="316"/>
      <c r="C7890" s="247"/>
      <c r="D7890" s="317"/>
      <c r="E7890" s="318"/>
      <c r="F7890" s="247"/>
      <c r="G7890" s="247"/>
      <c r="H7890" s="248"/>
      <c r="I7890" s="248"/>
      <c r="J7890" s="247"/>
      <c r="K7890" s="249"/>
    </row>
    <row r="7891" spans="1:11" s="90" customFormat="1" ht="12.75" customHeight="1" x14ac:dyDescent="0.2">
      <c r="A7891" s="247"/>
      <c r="B7891" s="316"/>
      <c r="C7891" s="247"/>
      <c r="D7891" s="317"/>
      <c r="E7891" s="318"/>
      <c r="F7891" s="247"/>
      <c r="G7891" s="247"/>
      <c r="H7891" s="248"/>
      <c r="I7891" s="248"/>
      <c r="J7891" s="247"/>
      <c r="K7891" s="249"/>
    </row>
    <row r="7892" spans="1:11" s="90" customFormat="1" ht="12.75" customHeight="1" x14ac:dyDescent="0.2">
      <c r="A7892" s="247"/>
      <c r="B7892" s="316"/>
      <c r="C7892" s="247"/>
      <c r="D7892" s="317"/>
      <c r="E7892" s="318"/>
      <c r="F7892" s="247"/>
      <c r="G7892" s="247"/>
      <c r="H7892" s="248"/>
      <c r="I7892" s="248"/>
      <c r="J7892" s="247"/>
      <c r="K7892" s="249"/>
    </row>
    <row r="7893" spans="1:11" s="90" customFormat="1" ht="12.75" customHeight="1" x14ac:dyDescent="0.2">
      <c r="A7893" s="247"/>
      <c r="B7893" s="316"/>
      <c r="C7893" s="247"/>
      <c r="D7893" s="317"/>
      <c r="E7893" s="318"/>
      <c r="F7893" s="247"/>
      <c r="G7893" s="247"/>
      <c r="H7893" s="248"/>
      <c r="I7893" s="248"/>
      <c r="J7893" s="247"/>
      <c r="K7893" s="249"/>
    </row>
    <row r="7894" spans="1:11" s="90" customFormat="1" ht="12.75" customHeight="1" x14ac:dyDescent="0.2">
      <c r="A7894" s="247"/>
      <c r="B7894" s="316"/>
      <c r="C7894" s="247"/>
      <c r="D7894" s="317"/>
      <c r="E7894" s="318"/>
      <c r="F7894" s="247"/>
      <c r="G7894" s="247"/>
      <c r="H7894" s="248"/>
      <c r="I7894" s="248"/>
      <c r="J7894" s="247"/>
      <c r="K7894" s="249"/>
    </row>
    <row r="7895" spans="1:11" s="90" customFormat="1" ht="12.75" customHeight="1" x14ac:dyDescent="0.2">
      <c r="A7895" s="247"/>
      <c r="B7895" s="316"/>
      <c r="C7895" s="247"/>
      <c r="D7895" s="317"/>
      <c r="E7895" s="318"/>
      <c r="F7895" s="247"/>
      <c r="G7895" s="247"/>
      <c r="H7895" s="248"/>
      <c r="I7895" s="248"/>
      <c r="J7895" s="247"/>
      <c r="K7895" s="249"/>
    </row>
    <row r="7896" spans="1:11" s="90" customFormat="1" ht="12.75" customHeight="1" x14ac:dyDescent="0.2">
      <c r="A7896" s="247"/>
      <c r="B7896" s="316"/>
      <c r="C7896" s="247"/>
      <c r="D7896" s="317"/>
      <c r="E7896" s="318"/>
      <c r="F7896" s="247"/>
      <c r="G7896" s="247"/>
      <c r="H7896" s="248"/>
      <c r="I7896" s="248"/>
      <c r="J7896" s="247"/>
      <c r="K7896" s="249"/>
    </row>
    <row r="7897" spans="1:11" s="90" customFormat="1" ht="12.75" customHeight="1" x14ac:dyDescent="0.2">
      <c r="A7897" s="247"/>
      <c r="B7897" s="316"/>
      <c r="C7897" s="247"/>
      <c r="D7897" s="317"/>
      <c r="E7897" s="318"/>
      <c r="F7897" s="247"/>
      <c r="G7897" s="247"/>
      <c r="H7897" s="248"/>
      <c r="I7897" s="248"/>
      <c r="J7897" s="247"/>
      <c r="K7897" s="249"/>
    </row>
    <row r="7898" spans="1:11" s="90" customFormat="1" ht="12.75" customHeight="1" x14ac:dyDescent="0.2">
      <c r="A7898" s="247"/>
      <c r="B7898" s="316"/>
      <c r="C7898" s="247"/>
      <c r="D7898" s="317"/>
      <c r="E7898" s="318"/>
      <c r="F7898" s="247"/>
      <c r="G7898" s="247"/>
      <c r="H7898" s="248"/>
      <c r="I7898" s="248"/>
      <c r="J7898" s="247"/>
      <c r="K7898" s="249"/>
    </row>
    <row r="7899" spans="1:11" s="90" customFormat="1" ht="12.75" customHeight="1" x14ac:dyDescent="0.2">
      <c r="A7899" s="247"/>
      <c r="B7899" s="316"/>
      <c r="C7899" s="247"/>
      <c r="D7899" s="317"/>
      <c r="E7899" s="318"/>
      <c r="F7899" s="247"/>
      <c r="G7899" s="247"/>
      <c r="H7899" s="248"/>
      <c r="I7899" s="248"/>
      <c r="J7899" s="247"/>
      <c r="K7899" s="249"/>
    </row>
    <row r="7900" spans="1:11" s="90" customFormat="1" ht="12.75" customHeight="1" x14ac:dyDescent="0.2">
      <c r="A7900" s="247"/>
      <c r="B7900" s="316"/>
      <c r="C7900" s="247"/>
      <c r="D7900" s="317"/>
      <c r="E7900" s="318"/>
      <c r="F7900" s="247"/>
      <c r="G7900" s="247"/>
      <c r="H7900" s="248"/>
      <c r="I7900" s="248"/>
      <c r="J7900" s="247"/>
      <c r="K7900" s="249"/>
    </row>
    <row r="7901" spans="1:11" s="90" customFormat="1" ht="12.75" customHeight="1" x14ac:dyDescent="0.2">
      <c r="A7901" s="247"/>
      <c r="B7901" s="316"/>
      <c r="C7901" s="247"/>
      <c r="D7901" s="317"/>
      <c r="E7901" s="318"/>
      <c r="F7901" s="247"/>
      <c r="G7901" s="247"/>
      <c r="H7901" s="248"/>
      <c r="I7901" s="248"/>
      <c r="J7901" s="247"/>
      <c r="K7901" s="249"/>
    </row>
    <row r="7902" spans="1:11" s="90" customFormat="1" ht="12.75" customHeight="1" x14ac:dyDescent="0.2">
      <c r="A7902" s="247"/>
      <c r="B7902" s="316"/>
      <c r="C7902" s="247"/>
      <c r="D7902" s="317"/>
      <c r="E7902" s="318"/>
      <c r="F7902" s="247"/>
      <c r="G7902" s="247"/>
      <c r="H7902" s="248"/>
      <c r="I7902" s="248"/>
      <c r="J7902" s="247"/>
      <c r="K7902" s="249"/>
    </row>
    <row r="7903" spans="1:11" s="90" customFormat="1" ht="12.75" customHeight="1" x14ac:dyDescent="0.2">
      <c r="A7903" s="247"/>
      <c r="B7903" s="316"/>
      <c r="C7903" s="247"/>
      <c r="D7903" s="317"/>
      <c r="E7903" s="318"/>
      <c r="F7903" s="247"/>
      <c r="G7903" s="247"/>
      <c r="H7903" s="248"/>
      <c r="I7903" s="248"/>
      <c r="J7903" s="247"/>
      <c r="K7903" s="249"/>
    </row>
    <row r="7904" spans="1:11" s="90" customFormat="1" ht="12.75" customHeight="1" x14ac:dyDescent="0.2">
      <c r="A7904" s="247"/>
      <c r="B7904" s="316"/>
      <c r="C7904" s="247"/>
      <c r="D7904" s="317"/>
      <c r="E7904" s="318"/>
      <c r="F7904" s="247"/>
      <c r="G7904" s="247"/>
      <c r="H7904" s="248"/>
      <c r="I7904" s="248"/>
      <c r="J7904" s="247"/>
      <c r="K7904" s="249"/>
    </row>
    <row r="7905" spans="1:11" s="90" customFormat="1" ht="12.75" customHeight="1" x14ac:dyDescent="0.2">
      <c r="A7905" s="247"/>
      <c r="B7905" s="316"/>
      <c r="C7905" s="247"/>
      <c r="D7905" s="317"/>
      <c r="E7905" s="318"/>
      <c r="F7905" s="247"/>
      <c r="G7905" s="247"/>
      <c r="H7905" s="248"/>
      <c r="I7905" s="248"/>
      <c r="J7905" s="247"/>
      <c r="K7905" s="249"/>
    </row>
    <row r="7906" spans="1:11" s="90" customFormat="1" ht="12.75" customHeight="1" x14ac:dyDescent="0.2">
      <c r="A7906" s="247"/>
      <c r="B7906" s="316"/>
      <c r="C7906" s="247"/>
      <c r="D7906" s="317"/>
      <c r="E7906" s="318"/>
      <c r="F7906" s="247"/>
      <c r="G7906" s="247"/>
      <c r="H7906" s="248"/>
      <c r="I7906" s="248"/>
      <c r="J7906" s="247"/>
      <c r="K7906" s="249"/>
    </row>
    <row r="7907" spans="1:11" s="90" customFormat="1" ht="12.75" customHeight="1" x14ac:dyDescent="0.2">
      <c r="A7907" s="247"/>
      <c r="B7907" s="316"/>
      <c r="C7907" s="247"/>
      <c r="D7907" s="317"/>
      <c r="E7907" s="318"/>
      <c r="F7907" s="247"/>
      <c r="G7907" s="247"/>
      <c r="H7907" s="248"/>
      <c r="I7907" s="248"/>
      <c r="J7907" s="247"/>
      <c r="K7907" s="249"/>
    </row>
    <row r="7908" spans="1:11" s="90" customFormat="1" ht="12.75" customHeight="1" x14ac:dyDescent="0.2">
      <c r="A7908" s="247"/>
      <c r="B7908" s="316"/>
      <c r="C7908" s="247"/>
      <c r="D7908" s="317"/>
      <c r="E7908" s="318"/>
      <c r="F7908" s="247"/>
      <c r="G7908" s="247"/>
      <c r="H7908" s="248"/>
      <c r="I7908" s="248"/>
      <c r="J7908" s="247"/>
      <c r="K7908" s="249"/>
    </row>
    <row r="7909" spans="1:11" s="90" customFormat="1" ht="12.75" customHeight="1" x14ac:dyDescent="0.2">
      <c r="A7909" s="247"/>
      <c r="B7909" s="316"/>
      <c r="C7909" s="247"/>
      <c r="D7909" s="317"/>
      <c r="E7909" s="318"/>
      <c r="F7909" s="247"/>
      <c r="G7909" s="247"/>
      <c r="H7909" s="248"/>
      <c r="I7909" s="248"/>
      <c r="J7909" s="247"/>
      <c r="K7909" s="249"/>
    </row>
    <row r="7910" spans="1:11" s="90" customFormat="1" ht="12.75" customHeight="1" x14ac:dyDescent="0.2">
      <c r="A7910" s="247"/>
      <c r="B7910" s="316"/>
      <c r="C7910" s="247"/>
      <c r="D7910" s="317"/>
      <c r="E7910" s="318"/>
      <c r="F7910" s="247"/>
      <c r="G7910" s="247"/>
      <c r="H7910" s="248"/>
      <c r="I7910" s="248"/>
      <c r="J7910" s="247"/>
      <c r="K7910" s="249"/>
    </row>
    <row r="7911" spans="1:11" s="90" customFormat="1" ht="12.75" customHeight="1" x14ac:dyDescent="0.2">
      <c r="A7911" s="247"/>
      <c r="B7911" s="316"/>
      <c r="C7911" s="247"/>
      <c r="D7911" s="317"/>
      <c r="E7911" s="318"/>
      <c r="F7911" s="247"/>
      <c r="G7911" s="247"/>
      <c r="H7911" s="248"/>
      <c r="I7911" s="248"/>
      <c r="J7911" s="247"/>
      <c r="K7911" s="249"/>
    </row>
    <row r="7912" spans="1:11" s="90" customFormat="1" ht="12.75" customHeight="1" x14ac:dyDescent="0.2">
      <c r="A7912" s="247"/>
      <c r="B7912" s="316"/>
      <c r="C7912" s="247"/>
      <c r="D7912" s="317"/>
      <c r="E7912" s="318"/>
      <c r="F7912" s="247"/>
      <c r="G7912" s="247"/>
      <c r="H7912" s="248"/>
      <c r="I7912" s="248"/>
      <c r="J7912" s="247"/>
      <c r="K7912" s="249"/>
    </row>
    <row r="7913" spans="1:11" s="90" customFormat="1" ht="12.75" customHeight="1" x14ac:dyDescent="0.2">
      <c r="A7913" s="247"/>
      <c r="B7913" s="316"/>
      <c r="C7913" s="247"/>
      <c r="D7913" s="317"/>
      <c r="E7913" s="318"/>
      <c r="F7913" s="247"/>
      <c r="G7913" s="247"/>
      <c r="H7913" s="248"/>
      <c r="I7913" s="248"/>
      <c r="J7913" s="247"/>
      <c r="K7913" s="249"/>
    </row>
    <row r="7914" spans="1:11" s="90" customFormat="1" ht="12.75" customHeight="1" x14ac:dyDescent="0.2">
      <c r="A7914" s="247"/>
      <c r="B7914" s="316"/>
      <c r="C7914" s="247"/>
      <c r="D7914" s="317"/>
      <c r="E7914" s="318"/>
      <c r="F7914" s="247"/>
      <c r="G7914" s="247"/>
      <c r="H7914" s="248"/>
      <c r="I7914" s="248"/>
      <c r="J7914" s="247"/>
      <c r="K7914" s="249"/>
    </row>
    <row r="7915" spans="1:11" s="90" customFormat="1" ht="12.75" customHeight="1" x14ac:dyDescent="0.2">
      <c r="A7915" s="247"/>
      <c r="B7915" s="316"/>
      <c r="C7915" s="247"/>
      <c r="D7915" s="317"/>
      <c r="E7915" s="318"/>
      <c r="F7915" s="247"/>
      <c r="G7915" s="247"/>
      <c r="H7915" s="248"/>
      <c r="I7915" s="248"/>
      <c r="J7915" s="247"/>
      <c r="K7915" s="249"/>
    </row>
    <row r="7916" spans="1:11" s="90" customFormat="1" ht="12.75" customHeight="1" x14ac:dyDescent="0.2">
      <c r="A7916" s="247"/>
      <c r="B7916" s="316"/>
      <c r="C7916" s="247"/>
      <c r="D7916" s="317"/>
      <c r="E7916" s="318"/>
      <c r="F7916" s="247"/>
      <c r="G7916" s="247"/>
      <c r="H7916" s="248"/>
      <c r="I7916" s="248"/>
      <c r="J7916" s="247"/>
      <c r="K7916" s="249"/>
    </row>
    <row r="7917" spans="1:11" s="90" customFormat="1" ht="12.75" customHeight="1" x14ac:dyDescent="0.2">
      <c r="A7917" s="247"/>
      <c r="B7917" s="316"/>
      <c r="C7917" s="247"/>
      <c r="D7917" s="317"/>
      <c r="E7917" s="318"/>
      <c r="F7917" s="247"/>
      <c r="G7917" s="247"/>
      <c r="H7917" s="248"/>
      <c r="I7917" s="248"/>
      <c r="J7917" s="247"/>
      <c r="K7917" s="249"/>
    </row>
    <row r="7918" spans="1:11" s="90" customFormat="1" ht="12.75" customHeight="1" x14ac:dyDescent="0.2">
      <c r="A7918" s="247"/>
      <c r="B7918" s="316"/>
      <c r="C7918" s="247"/>
      <c r="D7918" s="317"/>
      <c r="E7918" s="318"/>
      <c r="F7918" s="247"/>
      <c r="G7918" s="247"/>
      <c r="H7918" s="248"/>
      <c r="I7918" s="248"/>
      <c r="J7918" s="247"/>
      <c r="K7918" s="249"/>
    </row>
    <row r="7919" spans="1:11" s="90" customFormat="1" ht="12.75" customHeight="1" x14ac:dyDescent="0.2">
      <c r="A7919" s="247"/>
      <c r="B7919" s="316"/>
      <c r="C7919" s="247"/>
      <c r="D7919" s="317"/>
      <c r="E7919" s="318"/>
      <c r="F7919" s="247"/>
      <c r="G7919" s="247"/>
      <c r="H7919" s="248"/>
      <c r="I7919" s="248"/>
      <c r="J7919" s="247"/>
      <c r="K7919" s="249"/>
    </row>
    <row r="7920" spans="1:11" s="90" customFormat="1" ht="12.75" customHeight="1" x14ac:dyDescent="0.2">
      <c r="A7920" s="247"/>
      <c r="B7920" s="316"/>
      <c r="C7920" s="247"/>
      <c r="D7920" s="317"/>
      <c r="E7920" s="318"/>
      <c r="F7920" s="247"/>
      <c r="G7920" s="247"/>
      <c r="H7920" s="248"/>
      <c r="I7920" s="248"/>
      <c r="J7920" s="247"/>
      <c r="K7920" s="249"/>
    </row>
    <row r="7921" spans="1:11" s="90" customFormat="1" ht="12.75" customHeight="1" x14ac:dyDescent="0.2">
      <c r="A7921" s="247"/>
      <c r="B7921" s="316"/>
      <c r="C7921" s="247"/>
      <c r="D7921" s="317"/>
      <c r="E7921" s="318"/>
      <c r="F7921" s="247"/>
      <c r="G7921" s="247"/>
      <c r="H7921" s="248"/>
      <c r="I7921" s="248"/>
      <c r="J7921" s="247"/>
      <c r="K7921" s="249"/>
    </row>
    <row r="7922" spans="1:11" s="90" customFormat="1" ht="12.75" customHeight="1" x14ac:dyDescent="0.2">
      <c r="A7922" s="247"/>
      <c r="B7922" s="316"/>
      <c r="C7922" s="247"/>
      <c r="D7922" s="317"/>
      <c r="E7922" s="318"/>
      <c r="F7922" s="247"/>
      <c r="G7922" s="247"/>
      <c r="H7922" s="248"/>
      <c r="I7922" s="248"/>
      <c r="J7922" s="247"/>
      <c r="K7922" s="249"/>
    </row>
    <row r="7923" spans="1:11" s="90" customFormat="1" ht="12.75" customHeight="1" x14ac:dyDescent="0.2">
      <c r="A7923" s="247"/>
      <c r="B7923" s="316"/>
      <c r="C7923" s="247"/>
      <c r="D7923" s="317"/>
      <c r="E7923" s="318"/>
      <c r="F7923" s="247"/>
      <c r="G7923" s="247"/>
      <c r="H7923" s="248"/>
      <c r="I7923" s="248"/>
      <c r="J7923" s="247"/>
      <c r="K7923" s="249"/>
    </row>
    <row r="7924" spans="1:11" s="90" customFormat="1" ht="12.75" customHeight="1" x14ac:dyDescent="0.2">
      <c r="A7924" s="247"/>
      <c r="B7924" s="316"/>
      <c r="C7924" s="247"/>
      <c r="D7924" s="317"/>
      <c r="E7924" s="318"/>
      <c r="F7924" s="247"/>
      <c r="G7924" s="247"/>
      <c r="H7924" s="248"/>
      <c r="I7924" s="248"/>
      <c r="J7924" s="247"/>
      <c r="K7924" s="249"/>
    </row>
    <row r="7925" spans="1:11" s="90" customFormat="1" ht="12.75" customHeight="1" x14ac:dyDescent="0.2">
      <c r="A7925" s="247"/>
      <c r="B7925" s="316"/>
      <c r="C7925" s="247"/>
      <c r="D7925" s="317"/>
      <c r="E7925" s="318"/>
      <c r="F7925" s="247"/>
      <c r="G7925" s="247"/>
      <c r="H7925" s="248"/>
      <c r="I7925" s="248"/>
      <c r="J7925" s="247"/>
      <c r="K7925" s="249"/>
    </row>
    <row r="7926" spans="1:11" s="90" customFormat="1" ht="12.75" customHeight="1" x14ac:dyDescent="0.2">
      <c r="A7926" s="247"/>
      <c r="B7926" s="316"/>
      <c r="C7926" s="247"/>
      <c r="D7926" s="317"/>
      <c r="E7926" s="318"/>
      <c r="F7926" s="247"/>
      <c r="G7926" s="247"/>
      <c r="H7926" s="248"/>
      <c r="I7926" s="248"/>
      <c r="J7926" s="247"/>
      <c r="K7926" s="249"/>
    </row>
    <row r="7927" spans="1:11" s="90" customFormat="1" ht="12.75" customHeight="1" x14ac:dyDescent="0.2">
      <c r="A7927" s="247"/>
      <c r="B7927" s="316"/>
      <c r="C7927" s="247"/>
      <c r="D7927" s="317"/>
      <c r="E7927" s="318"/>
      <c r="F7927" s="247"/>
      <c r="G7927" s="247"/>
      <c r="H7927" s="248"/>
      <c r="I7927" s="248"/>
      <c r="J7927" s="247"/>
      <c r="K7927" s="249"/>
    </row>
    <row r="7928" spans="1:11" s="90" customFormat="1" ht="12.75" customHeight="1" x14ac:dyDescent="0.2">
      <c r="A7928" s="247"/>
      <c r="B7928" s="316"/>
      <c r="C7928" s="247"/>
      <c r="D7928" s="317"/>
      <c r="E7928" s="318"/>
      <c r="F7928" s="247"/>
      <c r="G7928" s="247"/>
      <c r="H7928" s="248"/>
      <c r="I7928" s="248"/>
      <c r="J7928" s="247"/>
      <c r="K7928" s="249"/>
    </row>
    <row r="7929" spans="1:11" s="90" customFormat="1" ht="12.75" customHeight="1" x14ac:dyDescent="0.2">
      <c r="A7929" s="247"/>
      <c r="B7929" s="316"/>
      <c r="C7929" s="247"/>
      <c r="D7929" s="317"/>
      <c r="E7929" s="318"/>
      <c r="F7929" s="247"/>
      <c r="G7929" s="247"/>
      <c r="H7929" s="248"/>
      <c r="I7929" s="248"/>
      <c r="J7929" s="247"/>
      <c r="K7929" s="249"/>
    </row>
    <row r="7930" spans="1:11" s="90" customFormat="1" ht="12.75" customHeight="1" x14ac:dyDescent="0.2">
      <c r="A7930" s="247"/>
      <c r="B7930" s="316"/>
      <c r="C7930" s="247"/>
      <c r="D7930" s="317"/>
      <c r="E7930" s="318"/>
      <c r="F7930" s="247"/>
      <c r="G7930" s="247"/>
      <c r="H7930" s="248"/>
      <c r="I7930" s="248"/>
      <c r="J7930" s="247"/>
      <c r="K7930" s="249"/>
    </row>
    <row r="7931" spans="1:11" s="90" customFormat="1" ht="12.75" customHeight="1" x14ac:dyDescent="0.2">
      <c r="A7931" s="247"/>
      <c r="B7931" s="316"/>
      <c r="C7931" s="247"/>
      <c r="D7931" s="317"/>
      <c r="E7931" s="318"/>
      <c r="F7931" s="247"/>
      <c r="G7931" s="247"/>
      <c r="H7931" s="248"/>
      <c r="I7931" s="248"/>
      <c r="J7931" s="247"/>
      <c r="K7931" s="249"/>
    </row>
    <row r="7932" spans="1:11" s="90" customFormat="1" ht="12.75" customHeight="1" x14ac:dyDescent="0.2">
      <c r="A7932" s="247"/>
      <c r="B7932" s="316"/>
      <c r="C7932" s="247"/>
      <c r="D7932" s="317"/>
      <c r="E7932" s="318"/>
      <c r="F7932" s="247"/>
      <c r="G7932" s="247"/>
      <c r="H7932" s="248"/>
      <c r="I7932" s="248"/>
      <c r="J7932" s="247"/>
      <c r="K7932" s="249"/>
    </row>
    <row r="7933" spans="1:11" s="90" customFormat="1" ht="12.75" customHeight="1" x14ac:dyDescent="0.2">
      <c r="A7933" s="247"/>
      <c r="B7933" s="316"/>
      <c r="C7933" s="247"/>
      <c r="D7933" s="317"/>
      <c r="E7933" s="318"/>
      <c r="F7933" s="247"/>
      <c r="G7933" s="247"/>
      <c r="H7933" s="248"/>
      <c r="I7933" s="248"/>
      <c r="J7933" s="247"/>
      <c r="K7933" s="249"/>
    </row>
    <row r="7934" spans="1:11" s="90" customFormat="1" ht="12.75" customHeight="1" x14ac:dyDescent="0.2">
      <c r="A7934" s="247"/>
      <c r="B7934" s="316"/>
      <c r="C7934" s="247"/>
      <c r="D7934" s="317"/>
      <c r="E7934" s="318"/>
      <c r="F7934" s="247"/>
      <c r="G7934" s="247"/>
      <c r="H7934" s="248"/>
      <c r="I7934" s="248"/>
      <c r="J7934" s="247"/>
      <c r="K7934" s="249"/>
    </row>
    <row r="7935" spans="1:11" s="90" customFormat="1" ht="12.75" customHeight="1" x14ac:dyDescent="0.2">
      <c r="A7935" s="247"/>
      <c r="B7935" s="316"/>
      <c r="C7935" s="247"/>
      <c r="D7935" s="317"/>
      <c r="E7935" s="318"/>
      <c r="F7935" s="247"/>
      <c r="G7935" s="247"/>
      <c r="H7935" s="248"/>
      <c r="I7935" s="248"/>
      <c r="J7935" s="247"/>
      <c r="K7935" s="249"/>
    </row>
    <row r="7936" spans="1:11" s="90" customFormat="1" ht="12.75" customHeight="1" x14ac:dyDescent="0.2">
      <c r="A7936" s="247"/>
      <c r="B7936" s="316"/>
      <c r="C7936" s="247"/>
      <c r="D7936" s="317"/>
      <c r="E7936" s="318"/>
      <c r="F7936" s="247"/>
      <c r="G7936" s="247"/>
      <c r="H7936" s="248"/>
      <c r="I7936" s="248"/>
      <c r="J7936" s="247"/>
      <c r="K7936" s="249"/>
    </row>
    <row r="7937" spans="1:11" s="90" customFormat="1" ht="12.75" customHeight="1" x14ac:dyDescent="0.2">
      <c r="A7937" s="247"/>
      <c r="B7937" s="316"/>
      <c r="C7937" s="247"/>
      <c r="D7937" s="317"/>
      <c r="E7937" s="318"/>
      <c r="F7937" s="247"/>
      <c r="G7937" s="247"/>
      <c r="H7937" s="248"/>
      <c r="I7937" s="248"/>
      <c r="J7937" s="247"/>
      <c r="K7937" s="249"/>
    </row>
    <row r="7938" spans="1:11" s="90" customFormat="1" ht="12.75" customHeight="1" x14ac:dyDescent="0.2">
      <c r="A7938" s="247"/>
      <c r="B7938" s="316"/>
      <c r="C7938" s="247"/>
      <c r="D7938" s="317"/>
      <c r="E7938" s="318"/>
      <c r="F7938" s="247"/>
      <c r="G7938" s="247"/>
      <c r="H7938" s="248"/>
      <c r="I7938" s="248"/>
      <c r="J7938" s="247"/>
      <c r="K7938" s="249"/>
    </row>
    <row r="7939" spans="1:11" s="90" customFormat="1" ht="12.75" customHeight="1" x14ac:dyDescent="0.2">
      <c r="A7939" s="247"/>
      <c r="B7939" s="316"/>
      <c r="C7939" s="247"/>
      <c r="D7939" s="317"/>
      <c r="E7939" s="318"/>
      <c r="F7939" s="247"/>
      <c r="G7939" s="247"/>
      <c r="H7939" s="248"/>
      <c r="I7939" s="248"/>
      <c r="J7939" s="247"/>
      <c r="K7939" s="249"/>
    </row>
    <row r="7940" spans="1:11" s="90" customFormat="1" ht="12.75" customHeight="1" x14ac:dyDescent="0.2">
      <c r="A7940" s="247"/>
      <c r="B7940" s="316"/>
      <c r="C7940" s="247"/>
      <c r="D7940" s="317"/>
      <c r="E7940" s="318"/>
      <c r="F7940" s="247"/>
      <c r="G7940" s="247"/>
      <c r="H7940" s="248"/>
      <c r="I7940" s="248"/>
      <c r="J7940" s="247"/>
      <c r="K7940" s="249"/>
    </row>
    <row r="7941" spans="1:11" s="90" customFormat="1" ht="12.75" customHeight="1" x14ac:dyDescent="0.2">
      <c r="A7941" s="247"/>
      <c r="B7941" s="316"/>
      <c r="C7941" s="247"/>
      <c r="D7941" s="317"/>
      <c r="E7941" s="318"/>
      <c r="F7941" s="247"/>
      <c r="G7941" s="247"/>
      <c r="H7941" s="248"/>
      <c r="I7941" s="248"/>
      <c r="J7941" s="247"/>
      <c r="K7941" s="249"/>
    </row>
    <row r="7942" spans="1:11" s="90" customFormat="1" ht="12.75" customHeight="1" x14ac:dyDescent="0.2">
      <c r="A7942" s="247"/>
      <c r="B7942" s="316"/>
      <c r="C7942" s="247"/>
      <c r="D7942" s="317"/>
      <c r="E7942" s="318"/>
      <c r="F7942" s="247"/>
      <c r="G7942" s="247"/>
      <c r="H7942" s="248"/>
      <c r="I7942" s="248"/>
      <c r="J7942" s="247"/>
      <c r="K7942" s="249"/>
    </row>
    <row r="7943" spans="1:11" s="90" customFormat="1" ht="12.75" customHeight="1" x14ac:dyDescent="0.2">
      <c r="A7943" s="247"/>
      <c r="B7943" s="316"/>
      <c r="C7943" s="247"/>
      <c r="D7943" s="317"/>
      <c r="E7943" s="318"/>
      <c r="F7943" s="247"/>
      <c r="G7943" s="247"/>
      <c r="H7943" s="248"/>
      <c r="I7943" s="248"/>
      <c r="J7943" s="247"/>
      <c r="K7943" s="249"/>
    </row>
    <row r="7944" spans="1:11" s="90" customFormat="1" ht="12.75" customHeight="1" x14ac:dyDescent="0.2">
      <c r="A7944" s="247"/>
      <c r="B7944" s="316"/>
      <c r="C7944" s="247"/>
      <c r="D7944" s="317"/>
      <c r="E7944" s="318"/>
      <c r="F7944" s="247"/>
      <c r="G7944" s="247"/>
      <c r="H7944" s="248"/>
      <c r="I7944" s="248"/>
      <c r="J7944" s="247"/>
      <c r="K7944" s="249"/>
    </row>
    <row r="7945" spans="1:11" s="90" customFormat="1" ht="12.75" customHeight="1" x14ac:dyDescent="0.2">
      <c r="A7945" s="247"/>
      <c r="B7945" s="316"/>
      <c r="C7945" s="247"/>
      <c r="D7945" s="317"/>
      <c r="E7945" s="318"/>
      <c r="F7945" s="247"/>
      <c r="G7945" s="247"/>
      <c r="H7945" s="248"/>
      <c r="I7945" s="248"/>
      <c r="J7945" s="247"/>
      <c r="K7945" s="249"/>
    </row>
    <row r="7946" spans="1:11" s="90" customFormat="1" ht="12.75" customHeight="1" x14ac:dyDescent="0.2">
      <c r="A7946" s="247"/>
      <c r="B7946" s="316"/>
      <c r="C7946" s="247"/>
      <c r="D7946" s="317"/>
      <c r="E7946" s="318"/>
      <c r="F7946" s="247"/>
      <c r="G7946" s="247"/>
      <c r="H7946" s="248"/>
      <c r="I7946" s="248"/>
      <c r="J7946" s="247"/>
      <c r="K7946" s="249"/>
    </row>
    <row r="7947" spans="1:11" s="90" customFormat="1" ht="12.75" customHeight="1" x14ac:dyDescent="0.2">
      <c r="A7947" s="247"/>
      <c r="B7947" s="316"/>
      <c r="C7947" s="247"/>
      <c r="D7947" s="317"/>
      <c r="E7947" s="318"/>
      <c r="F7947" s="247"/>
      <c r="G7947" s="247"/>
      <c r="H7947" s="248"/>
      <c r="I7947" s="248"/>
      <c r="J7947" s="247"/>
      <c r="K7947" s="249"/>
    </row>
    <row r="7948" spans="1:11" s="90" customFormat="1" ht="12.75" customHeight="1" x14ac:dyDescent="0.2">
      <c r="A7948" s="247"/>
      <c r="B7948" s="316"/>
      <c r="C7948" s="247"/>
      <c r="D7948" s="317"/>
      <c r="E7948" s="318"/>
      <c r="F7948" s="247"/>
      <c r="G7948" s="247"/>
      <c r="H7948" s="248"/>
      <c r="I7948" s="248"/>
      <c r="J7948" s="247"/>
      <c r="K7948" s="249"/>
    </row>
    <row r="7949" spans="1:11" s="90" customFormat="1" ht="12.75" customHeight="1" x14ac:dyDescent="0.2">
      <c r="A7949" s="247"/>
      <c r="B7949" s="316"/>
      <c r="C7949" s="247"/>
      <c r="D7949" s="317"/>
      <c r="E7949" s="318"/>
      <c r="F7949" s="247"/>
      <c r="G7949" s="247"/>
      <c r="H7949" s="248"/>
      <c r="I7949" s="248"/>
      <c r="J7949" s="247"/>
      <c r="K7949" s="249"/>
    </row>
    <row r="7950" spans="1:11" s="90" customFormat="1" ht="12.75" customHeight="1" x14ac:dyDescent="0.2">
      <c r="A7950" s="247"/>
      <c r="B7950" s="316"/>
      <c r="C7950" s="247"/>
      <c r="D7950" s="317"/>
      <c r="E7950" s="318"/>
      <c r="F7950" s="247"/>
      <c r="G7950" s="247"/>
      <c r="H7950" s="248"/>
      <c r="I7950" s="248"/>
      <c r="J7950" s="247"/>
      <c r="K7950" s="249"/>
    </row>
    <row r="7951" spans="1:11" s="90" customFormat="1" ht="12.75" customHeight="1" x14ac:dyDescent="0.2">
      <c r="A7951" s="247"/>
      <c r="B7951" s="316"/>
      <c r="C7951" s="247"/>
      <c r="D7951" s="317"/>
      <c r="E7951" s="318"/>
      <c r="F7951" s="247"/>
      <c r="G7951" s="247"/>
      <c r="H7951" s="248"/>
      <c r="I7951" s="248"/>
      <c r="J7951" s="247"/>
      <c r="K7951" s="249"/>
    </row>
    <row r="7952" spans="1:11" s="90" customFormat="1" ht="12.75" customHeight="1" x14ac:dyDescent="0.2">
      <c r="A7952" s="247"/>
      <c r="B7952" s="316"/>
      <c r="C7952" s="247"/>
      <c r="D7952" s="317"/>
      <c r="E7952" s="318"/>
      <c r="F7952" s="247"/>
      <c r="G7952" s="247"/>
      <c r="H7952" s="248"/>
      <c r="I7952" s="248"/>
      <c r="J7952" s="247"/>
      <c r="K7952" s="249"/>
    </row>
    <row r="7953" spans="1:11" s="90" customFormat="1" ht="12.75" customHeight="1" x14ac:dyDescent="0.2">
      <c r="A7953" s="247"/>
      <c r="B7953" s="316"/>
      <c r="C7953" s="247"/>
      <c r="D7953" s="317"/>
      <c r="E7953" s="318"/>
      <c r="F7953" s="247"/>
      <c r="G7953" s="247"/>
      <c r="H7953" s="248"/>
      <c r="I7953" s="248"/>
      <c r="J7953" s="247"/>
      <c r="K7953" s="249"/>
    </row>
    <row r="7954" spans="1:11" s="90" customFormat="1" ht="12.75" customHeight="1" x14ac:dyDescent="0.2">
      <c r="A7954" s="247"/>
      <c r="B7954" s="316"/>
      <c r="C7954" s="247"/>
      <c r="D7954" s="317"/>
      <c r="E7954" s="318"/>
      <c r="F7954" s="247"/>
      <c r="G7954" s="247"/>
      <c r="H7954" s="248"/>
      <c r="I7954" s="248"/>
      <c r="J7954" s="247"/>
      <c r="K7954" s="249"/>
    </row>
    <row r="7955" spans="1:11" s="90" customFormat="1" ht="12.75" customHeight="1" x14ac:dyDescent="0.2">
      <c r="A7955" s="247"/>
      <c r="B7955" s="316"/>
      <c r="C7955" s="247"/>
      <c r="D7955" s="317"/>
      <c r="E7955" s="318"/>
      <c r="F7955" s="247"/>
      <c r="G7955" s="247"/>
      <c r="H7955" s="248"/>
      <c r="I7955" s="248"/>
      <c r="J7955" s="247"/>
      <c r="K7955" s="249"/>
    </row>
    <row r="7956" spans="1:11" s="90" customFormat="1" ht="12.75" customHeight="1" x14ac:dyDescent="0.2">
      <c r="A7956" s="247"/>
      <c r="B7956" s="316"/>
      <c r="C7956" s="247"/>
      <c r="D7956" s="317"/>
      <c r="E7956" s="318"/>
      <c r="F7956" s="247"/>
      <c r="G7956" s="247"/>
      <c r="H7956" s="248"/>
      <c r="I7956" s="248"/>
      <c r="J7956" s="247"/>
      <c r="K7956" s="249"/>
    </row>
    <row r="7957" spans="1:11" s="90" customFormat="1" ht="12.75" customHeight="1" x14ac:dyDescent="0.2">
      <c r="A7957" s="247"/>
      <c r="B7957" s="316"/>
      <c r="C7957" s="247"/>
      <c r="D7957" s="317"/>
      <c r="E7957" s="318"/>
      <c r="F7957" s="247"/>
      <c r="G7957" s="247"/>
      <c r="H7957" s="248"/>
      <c r="I7957" s="248"/>
      <c r="J7957" s="247"/>
      <c r="K7957" s="249"/>
    </row>
    <row r="7958" spans="1:11" s="90" customFormat="1" ht="12.75" customHeight="1" x14ac:dyDescent="0.2">
      <c r="A7958" s="247"/>
      <c r="B7958" s="316"/>
      <c r="C7958" s="247"/>
      <c r="D7958" s="317"/>
      <c r="E7958" s="318"/>
      <c r="F7958" s="247"/>
      <c r="G7958" s="247"/>
      <c r="H7958" s="248"/>
      <c r="I7958" s="248"/>
      <c r="J7958" s="247"/>
      <c r="K7958" s="249"/>
    </row>
    <row r="7959" spans="1:11" s="90" customFormat="1" ht="12.75" customHeight="1" x14ac:dyDescent="0.2">
      <c r="A7959" s="247"/>
      <c r="B7959" s="316"/>
      <c r="C7959" s="247"/>
      <c r="D7959" s="317"/>
      <c r="E7959" s="318"/>
      <c r="F7959" s="247"/>
      <c r="G7959" s="247"/>
      <c r="H7959" s="248"/>
      <c r="I7959" s="248"/>
      <c r="J7959" s="247"/>
      <c r="K7959" s="249"/>
    </row>
    <row r="7960" spans="1:11" s="90" customFormat="1" ht="12.75" customHeight="1" x14ac:dyDescent="0.2">
      <c r="A7960" s="247"/>
      <c r="B7960" s="316"/>
      <c r="C7960" s="247"/>
      <c r="D7960" s="317"/>
      <c r="E7960" s="318"/>
      <c r="F7960" s="247"/>
      <c r="G7960" s="247"/>
      <c r="H7960" s="248"/>
      <c r="I7960" s="248"/>
      <c r="J7960" s="247"/>
      <c r="K7960" s="249"/>
    </row>
    <row r="7961" spans="1:11" s="90" customFormat="1" ht="12.75" customHeight="1" x14ac:dyDescent="0.2">
      <c r="A7961" s="247"/>
      <c r="B7961" s="316"/>
      <c r="C7961" s="247"/>
      <c r="D7961" s="317"/>
      <c r="E7961" s="318"/>
      <c r="F7961" s="247"/>
      <c r="G7961" s="247"/>
      <c r="H7961" s="248"/>
      <c r="I7961" s="248"/>
      <c r="J7961" s="247"/>
      <c r="K7961" s="249"/>
    </row>
    <row r="7962" spans="1:11" s="90" customFormat="1" ht="12.75" customHeight="1" x14ac:dyDescent="0.2">
      <c r="A7962" s="247"/>
      <c r="B7962" s="316"/>
      <c r="C7962" s="247"/>
      <c r="D7962" s="317"/>
      <c r="E7962" s="318"/>
      <c r="F7962" s="247"/>
      <c r="G7962" s="247"/>
      <c r="H7962" s="248"/>
      <c r="I7962" s="248"/>
      <c r="J7962" s="247"/>
      <c r="K7962" s="249"/>
    </row>
    <row r="7963" spans="1:11" s="90" customFormat="1" ht="12.75" customHeight="1" x14ac:dyDescent="0.2">
      <c r="A7963" s="247"/>
      <c r="B7963" s="316"/>
      <c r="C7963" s="247"/>
      <c r="D7963" s="317"/>
      <c r="E7963" s="318"/>
      <c r="F7963" s="247"/>
      <c r="G7963" s="247"/>
      <c r="H7963" s="248"/>
      <c r="I7963" s="248"/>
      <c r="J7963" s="247"/>
      <c r="K7963" s="249"/>
    </row>
    <row r="7964" spans="1:11" s="90" customFormat="1" ht="12.75" customHeight="1" x14ac:dyDescent="0.2">
      <c r="A7964" s="247"/>
      <c r="B7964" s="316"/>
      <c r="C7964" s="247"/>
      <c r="D7964" s="317"/>
      <c r="E7964" s="318"/>
      <c r="F7964" s="247"/>
      <c r="G7964" s="247"/>
      <c r="H7964" s="248"/>
      <c r="I7964" s="248"/>
      <c r="J7964" s="247"/>
      <c r="K7964" s="249"/>
    </row>
    <row r="7965" spans="1:11" s="90" customFormat="1" ht="12.75" customHeight="1" x14ac:dyDescent="0.2">
      <c r="A7965" s="247"/>
      <c r="B7965" s="316"/>
      <c r="C7965" s="247"/>
      <c r="D7965" s="317"/>
      <c r="E7965" s="318"/>
      <c r="F7965" s="247"/>
      <c r="G7965" s="247"/>
      <c r="H7965" s="248"/>
      <c r="I7965" s="248"/>
      <c r="J7965" s="247"/>
      <c r="K7965" s="249"/>
    </row>
    <row r="7966" spans="1:11" s="90" customFormat="1" ht="12.75" customHeight="1" x14ac:dyDescent="0.2">
      <c r="A7966" s="247"/>
      <c r="B7966" s="316"/>
      <c r="C7966" s="247"/>
      <c r="D7966" s="317"/>
      <c r="E7966" s="318"/>
      <c r="F7966" s="247"/>
      <c r="G7966" s="247"/>
      <c r="H7966" s="248"/>
      <c r="I7966" s="248"/>
      <c r="J7966" s="247"/>
      <c r="K7966" s="249"/>
    </row>
    <row r="7967" spans="1:11" s="90" customFormat="1" ht="12.75" customHeight="1" x14ac:dyDescent="0.2">
      <c r="A7967" s="247"/>
      <c r="B7967" s="316"/>
      <c r="C7967" s="247"/>
      <c r="D7967" s="317"/>
      <c r="E7967" s="318"/>
      <c r="F7967" s="247"/>
      <c r="G7967" s="247"/>
      <c r="H7967" s="248"/>
      <c r="I7967" s="248"/>
      <c r="J7967" s="247"/>
      <c r="K7967" s="249"/>
    </row>
    <row r="7968" spans="1:11" s="90" customFormat="1" ht="12.75" customHeight="1" x14ac:dyDescent="0.2">
      <c r="A7968" s="247"/>
      <c r="B7968" s="316"/>
      <c r="C7968" s="247"/>
      <c r="D7968" s="317"/>
      <c r="E7968" s="318"/>
      <c r="F7968" s="247"/>
      <c r="G7968" s="247"/>
      <c r="H7968" s="248"/>
      <c r="I7968" s="248"/>
      <c r="J7968" s="247"/>
      <c r="K7968" s="249"/>
    </row>
    <row r="7969" spans="1:11" s="90" customFormat="1" ht="12.75" customHeight="1" x14ac:dyDescent="0.2">
      <c r="A7969" s="247"/>
      <c r="B7969" s="316"/>
      <c r="C7969" s="247"/>
      <c r="D7969" s="317"/>
      <c r="E7969" s="318"/>
      <c r="F7969" s="247"/>
      <c r="G7969" s="247"/>
      <c r="H7969" s="248"/>
      <c r="I7969" s="248"/>
      <c r="J7969" s="247"/>
      <c r="K7969" s="249"/>
    </row>
    <row r="7970" spans="1:11" s="90" customFormat="1" ht="12.75" customHeight="1" x14ac:dyDescent="0.2">
      <c r="A7970" s="247"/>
      <c r="B7970" s="316"/>
      <c r="C7970" s="247"/>
      <c r="D7970" s="317"/>
      <c r="E7970" s="318"/>
      <c r="F7970" s="247"/>
      <c r="G7970" s="247"/>
      <c r="H7970" s="248"/>
      <c r="I7970" s="248"/>
      <c r="J7970" s="247"/>
      <c r="K7970" s="249"/>
    </row>
    <row r="7971" spans="1:11" s="90" customFormat="1" ht="12.75" customHeight="1" x14ac:dyDescent="0.2">
      <c r="A7971" s="247"/>
      <c r="B7971" s="316"/>
      <c r="C7971" s="247"/>
      <c r="D7971" s="317"/>
      <c r="E7971" s="318"/>
      <c r="F7971" s="247"/>
      <c r="G7971" s="247"/>
      <c r="H7971" s="248"/>
      <c r="I7971" s="248"/>
      <c r="J7971" s="247"/>
      <c r="K7971" s="249"/>
    </row>
    <row r="7972" spans="1:11" s="90" customFormat="1" ht="12.75" customHeight="1" x14ac:dyDescent="0.2">
      <c r="A7972" s="247"/>
      <c r="B7972" s="316"/>
      <c r="C7972" s="247"/>
      <c r="D7972" s="317"/>
      <c r="E7972" s="318"/>
      <c r="F7972" s="247"/>
      <c r="G7972" s="247"/>
      <c r="H7972" s="248"/>
      <c r="I7972" s="248"/>
      <c r="J7972" s="247"/>
      <c r="K7972" s="249"/>
    </row>
    <row r="7973" spans="1:11" s="90" customFormat="1" ht="12.75" customHeight="1" x14ac:dyDescent="0.2">
      <c r="A7973" s="247"/>
      <c r="B7973" s="316"/>
      <c r="C7973" s="247"/>
      <c r="D7973" s="317"/>
      <c r="E7973" s="318"/>
      <c r="F7973" s="247"/>
      <c r="G7973" s="247"/>
      <c r="H7973" s="248"/>
      <c r="I7973" s="248"/>
      <c r="J7973" s="247"/>
      <c r="K7973" s="249"/>
    </row>
    <row r="7974" spans="1:11" s="90" customFormat="1" ht="12.75" customHeight="1" x14ac:dyDescent="0.2">
      <c r="A7974" s="247"/>
      <c r="B7974" s="316"/>
      <c r="C7974" s="247"/>
      <c r="D7974" s="317"/>
      <c r="E7974" s="318"/>
      <c r="F7974" s="247"/>
      <c r="G7974" s="247"/>
      <c r="H7974" s="248"/>
      <c r="I7974" s="248"/>
      <c r="J7974" s="247"/>
      <c r="K7974" s="249"/>
    </row>
    <row r="7975" spans="1:11" s="90" customFormat="1" ht="12.75" customHeight="1" x14ac:dyDescent="0.2">
      <c r="A7975" s="247"/>
      <c r="B7975" s="316"/>
      <c r="C7975" s="247"/>
      <c r="D7975" s="317"/>
      <c r="E7975" s="318"/>
      <c r="F7975" s="247"/>
      <c r="G7975" s="247"/>
      <c r="H7975" s="248"/>
      <c r="I7975" s="248"/>
      <c r="J7975" s="247"/>
      <c r="K7975" s="249"/>
    </row>
    <row r="7976" spans="1:11" s="90" customFormat="1" ht="12.75" customHeight="1" x14ac:dyDescent="0.2">
      <c r="A7976" s="247"/>
      <c r="B7976" s="316"/>
      <c r="C7976" s="247"/>
      <c r="D7976" s="317"/>
      <c r="E7976" s="318"/>
      <c r="F7976" s="247"/>
      <c r="G7976" s="247"/>
      <c r="H7976" s="248"/>
      <c r="I7976" s="248"/>
      <c r="J7976" s="247"/>
      <c r="K7976" s="249"/>
    </row>
    <row r="7977" spans="1:11" s="90" customFormat="1" ht="12.75" customHeight="1" x14ac:dyDescent="0.2">
      <c r="A7977" s="247"/>
      <c r="B7977" s="316"/>
      <c r="C7977" s="247"/>
      <c r="D7977" s="317"/>
      <c r="E7977" s="318"/>
      <c r="F7977" s="247"/>
      <c r="G7977" s="247"/>
      <c r="H7977" s="248"/>
      <c r="I7977" s="248"/>
      <c r="J7977" s="247"/>
      <c r="K7977" s="249"/>
    </row>
    <row r="7978" spans="1:11" s="90" customFormat="1" ht="12.75" customHeight="1" x14ac:dyDescent="0.2">
      <c r="A7978" s="247"/>
      <c r="B7978" s="316"/>
      <c r="C7978" s="247"/>
      <c r="D7978" s="317"/>
      <c r="E7978" s="318"/>
      <c r="F7978" s="247"/>
      <c r="G7978" s="247"/>
      <c r="H7978" s="248"/>
      <c r="I7978" s="248"/>
      <c r="J7978" s="247"/>
      <c r="K7978" s="249"/>
    </row>
    <row r="7979" spans="1:11" s="90" customFormat="1" ht="12.75" customHeight="1" x14ac:dyDescent="0.2">
      <c r="A7979" s="247"/>
      <c r="B7979" s="316"/>
      <c r="C7979" s="247"/>
      <c r="D7979" s="317"/>
      <c r="E7979" s="318"/>
      <c r="F7979" s="247"/>
      <c r="G7979" s="247"/>
      <c r="H7979" s="248"/>
      <c r="I7979" s="248"/>
      <c r="J7979" s="247"/>
      <c r="K7979" s="249"/>
    </row>
    <row r="7980" spans="1:11" s="90" customFormat="1" ht="12.75" customHeight="1" x14ac:dyDescent="0.2">
      <c r="A7980" s="247"/>
      <c r="B7980" s="316"/>
      <c r="C7980" s="247"/>
      <c r="D7980" s="317"/>
      <c r="E7980" s="318"/>
      <c r="F7980" s="247"/>
      <c r="G7980" s="247"/>
      <c r="H7980" s="248"/>
      <c r="I7980" s="248"/>
      <c r="J7980" s="247"/>
      <c r="K7980" s="249"/>
    </row>
    <row r="7981" spans="1:11" s="90" customFormat="1" ht="12.75" customHeight="1" x14ac:dyDescent="0.2">
      <c r="A7981" s="247"/>
      <c r="B7981" s="316"/>
      <c r="C7981" s="247"/>
      <c r="D7981" s="317"/>
      <c r="E7981" s="318"/>
      <c r="F7981" s="247"/>
      <c r="G7981" s="247"/>
      <c r="H7981" s="248"/>
      <c r="I7981" s="248"/>
      <c r="J7981" s="247"/>
      <c r="K7981" s="249"/>
    </row>
    <row r="7982" spans="1:11" s="90" customFormat="1" ht="12.75" customHeight="1" x14ac:dyDescent="0.2">
      <c r="A7982" s="247"/>
      <c r="B7982" s="316"/>
      <c r="C7982" s="247"/>
      <c r="D7982" s="317"/>
      <c r="E7982" s="318"/>
      <c r="F7982" s="247"/>
      <c r="G7982" s="247"/>
      <c r="H7982" s="248"/>
      <c r="I7982" s="248"/>
      <c r="J7982" s="247"/>
      <c r="K7982" s="249"/>
    </row>
    <row r="7983" spans="1:11" s="90" customFormat="1" ht="12.75" customHeight="1" x14ac:dyDescent="0.2">
      <c r="A7983" s="247"/>
      <c r="B7983" s="316"/>
      <c r="C7983" s="247"/>
      <c r="D7983" s="317"/>
      <c r="E7983" s="318"/>
      <c r="F7983" s="247"/>
      <c r="G7983" s="247"/>
      <c r="H7983" s="248"/>
      <c r="I7983" s="248"/>
      <c r="J7983" s="247"/>
      <c r="K7983" s="249"/>
    </row>
    <row r="7984" spans="1:11" s="90" customFormat="1" ht="12.75" customHeight="1" x14ac:dyDescent="0.2">
      <c r="A7984" s="247"/>
      <c r="B7984" s="316"/>
      <c r="C7984" s="247"/>
      <c r="D7984" s="317"/>
      <c r="E7984" s="318"/>
      <c r="F7984" s="247"/>
      <c r="G7984" s="247"/>
      <c r="H7984" s="248"/>
      <c r="I7984" s="248"/>
      <c r="J7984" s="247"/>
      <c r="K7984" s="249"/>
    </row>
    <row r="7985" spans="1:11" s="90" customFormat="1" ht="12.75" customHeight="1" x14ac:dyDescent="0.2">
      <c r="A7985" s="247"/>
      <c r="B7985" s="316"/>
      <c r="C7985" s="247"/>
      <c r="D7985" s="317"/>
      <c r="E7985" s="318"/>
      <c r="F7985" s="247"/>
      <c r="G7985" s="247"/>
      <c r="H7985" s="248"/>
      <c r="I7985" s="248"/>
      <c r="J7985" s="247"/>
      <c r="K7985" s="249"/>
    </row>
    <row r="7986" spans="1:11" s="90" customFormat="1" ht="12.75" customHeight="1" x14ac:dyDescent="0.2">
      <c r="A7986" s="247"/>
      <c r="B7986" s="316"/>
      <c r="C7986" s="247"/>
      <c r="D7986" s="317"/>
      <c r="E7986" s="318"/>
      <c r="F7986" s="247"/>
      <c r="G7986" s="247"/>
      <c r="H7986" s="248"/>
      <c r="I7986" s="248"/>
      <c r="J7986" s="247"/>
      <c r="K7986" s="249"/>
    </row>
    <row r="7987" spans="1:11" s="90" customFormat="1" ht="12.75" customHeight="1" x14ac:dyDescent="0.2">
      <c r="A7987" s="247"/>
      <c r="B7987" s="316"/>
      <c r="C7987" s="247"/>
      <c r="D7987" s="317"/>
      <c r="E7987" s="318"/>
      <c r="F7987" s="247"/>
      <c r="G7987" s="247"/>
      <c r="H7987" s="248"/>
      <c r="I7987" s="248"/>
      <c r="J7987" s="247"/>
      <c r="K7987" s="249"/>
    </row>
    <row r="7988" spans="1:11" s="90" customFormat="1" ht="12.75" customHeight="1" x14ac:dyDescent="0.2">
      <c r="A7988" s="247"/>
      <c r="B7988" s="316"/>
      <c r="C7988" s="247"/>
      <c r="D7988" s="317"/>
      <c r="E7988" s="318"/>
      <c r="F7988" s="247"/>
      <c r="G7988" s="247"/>
      <c r="H7988" s="248"/>
      <c r="I7988" s="248"/>
      <c r="J7988" s="247"/>
      <c r="K7988" s="249"/>
    </row>
    <row r="7989" spans="1:11" s="90" customFormat="1" ht="12.75" customHeight="1" x14ac:dyDescent="0.2">
      <c r="A7989" s="247"/>
      <c r="B7989" s="316"/>
      <c r="C7989" s="247"/>
      <c r="D7989" s="317"/>
      <c r="E7989" s="318"/>
      <c r="F7989" s="247"/>
      <c r="G7989" s="247"/>
      <c r="H7989" s="248"/>
      <c r="I7989" s="248"/>
      <c r="J7989" s="247"/>
      <c r="K7989" s="249"/>
    </row>
    <row r="7990" spans="1:11" s="90" customFormat="1" ht="12.75" customHeight="1" x14ac:dyDescent="0.2">
      <c r="A7990" s="247"/>
      <c r="B7990" s="316"/>
      <c r="C7990" s="247"/>
      <c r="D7990" s="317"/>
      <c r="E7990" s="318"/>
      <c r="F7990" s="247"/>
      <c r="G7990" s="247"/>
      <c r="H7990" s="248"/>
      <c r="I7990" s="248"/>
      <c r="J7990" s="247"/>
      <c r="K7990" s="249"/>
    </row>
    <row r="7991" spans="1:11" s="90" customFormat="1" ht="12.75" customHeight="1" x14ac:dyDescent="0.2">
      <c r="A7991" s="247"/>
      <c r="B7991" s="316"/>
      <c r="C7991" s="247"/>
      <c r="D7991" s="317"/>
      <c r="E7991" s="318"/>
      <c r="F7991" s="247"/>
      <c r="G7991" s="247"/>
      <c r="H7991" s="248"/>
      <c r="I7991" s="248"/>
      <c r="J7991" s="247"/>
      <c r="K7991" s="249"/>
    </row>
    <row r="7992" spans="1:11" s="90" customFormat="1" ht="12.75" customHeight="1" x14ac:dyDescent="0.2">
      <c r="A7992" s="247"/>
      <c r="B7992" s="316"/>
      <c r="C7992" s="247"/>
      <c r="D7992" s="317"/>
      <c r="E7992" s="318"/>
      <c r="F7992" s="247"/>
      <c r="G7992" s="247"/>
      <c r="H7992" s="248"/>
      <c r="I7992" s="248"/>
      <c r="J7992" s="247"/>
      <c r="K7992" s="249"/>
    </row>
    <row r="7993" spans="1:11" s="90" customFormat="1" ht="12.75" customHeight="1" x14ac:dyDescent="0.2">
      <c r="A7993" s="247"/>
      <c r="B7993" s="316"/>
      <c r="C7993" s="247"/>
      <c r="D7993" s="317"/>
      <c r="E7993" s="318"/>
      <c r="F7993" s="247"/>
      <c r="G7993" s="247"/>
      <c r="H7993" s="248"/>
      <c r="I7993" s="248"/>
      <c r="J7993" s="247"/>
      <c r="K7993" s="249"/>
    </row>
    <row r="7994" spans="1:11" s="90" customFormat="1" ht="12.75" customHeight="1" x14ac:dyDescent="0.2">
      <c r="A7994" s="247"/>
      <c r="B7994" s="316"/>
      <c r="C7994" s="247"/>
      <c r="D7994" s="317"/>
      <c r="E7994" s="318"/>
      <c r="F7994" s="247"/>
      <c r="G7994" s="247"/>
      <c r="H7994" s="248"/>
      <c r="I7994" s="248"/>
      <c r="J7994" s="247"/>
      <c r="K7994" s="249"/>
    </row>
    <row r="7995" spans="1:11" s="90" customFormat="1" ht="12.75" customHeight="1" x14ac:dyDescent="0.2">
      <c r="A7995" s="247"/>
      <c r="B7995" s="316"/>
      <c r="C7995" s="247"/>
      <c r="D7995" s="317"/>
      <c r="E7995" s="318"/>
      <c r="F7995" s="247"/>
      <c r="G7995" s="247"/>
      <c r="H7995" s="248"/>
      <c r="I7995" s="248"/>
      <c r="J7995" s="247"/>
      <c r="K7995" s="249"/>
    </row>
    <row r="7996" spans="1:11" s="90" customFormat="1" ht="12.75" customHeight="1" x14ac:dyDescent="0.2">
      <c r="A7996" s="247"/>
      <c r="B7996" s="316"/>
      <c r="C7996" s="247"/>
      <c r="D7996" s="317"/>
      <c r="E7996" s="318"/>
      <c r="F7996" s="247"/>
      <c r="G7996" s="247"/>
      <c r="H7996" s="248"/>
      <c r="I7996" s="248"/>
      <c r="J7996" s="247"/>
      <c r="K7996" s="249"/>
    </row>
    <row r="7997" spans="1:11" s="90" customFormat="1" ht="12.75" customHeight="1" x14ac:dyDescent="0.2">
      <c r="A7997" s="247"/>
      <c r="B7997" s="316"/>
      <c r="C7997" s="247"/>
      <c r="D7997" s="317"/>
      <c r="E7997" s="318"/>
      <c r="F7997" s="247"/>
      <c r="G7997" s="247"/>
      <c r="H7997" s="248"/>
      <c r="I7997" s="248"/>
      <c r="J7997" s="247"/>
      <c r="K7997" s="249"/>
    </row>
    <row r="7998" spans="1:11" s="90" customFormat="1" ht="12.75" customHeight="1" x14ac:dyDescent="0.2">
      <c r="A7998" s="247"/>
      <c r="B7998" s="316"/>
      <c r="C7998" s="247"/>
      <c r="D7998" s="317"/>
      <c r="E7998" s="318"/>
      <c r="F7998" s="247"/>
      <c r="G7998" s="247"/>
      <c r="H7998" s="248"/>
      <c r="I7998" s="248"/>
      <c r="J7998" s="247"/>
      <c r="K7998" s="249"/>
    </row>
    <row r="7999" spans="1:11" s="90" customFormat="1" ht="12.75" customHeight="1" x14ac:dyDescent="0.2">
      <c r="A7999" s="247"/>
      <c r="B7999" s="316"/>
      <c r="C7999" s="247"/>
      <c r="D7999" s="317"/>
      <c r="E7999" s="318"/>
      <c r="F7999" s="247"/>
      <c r="G7999" s="247"/>
      <c r="H7999" s="248"/>
      <c r="I7999" s="248"/>
      <c r="J7999" s="247"/>
      <c r="K7999" s="249"/>
    </row>
    <row r="8000" spans="1:11" s="90" customFormat="1" ht="12.75" customHeight="1" x14ac:dyDescent="0.2">
      <c r="A8000" s="247"/>
      <c r="B8000" s="316"/>
      <c r="C8000" s="247"/>
      <c r="D8000" s="317"/>
      <c r="E8000" s="318"/>
      <c r="F8000" s="247"/>
      <c r="G8000" s="247"/>
      <c r="H8000" s="248"/>
      <c r="I8000" s="248"/>
      <c r="J8000" s="247"/>
      <c r="K8000" s="249"/>
    </row>
    <row r="8001" spans="1:11" s="90" customFormat="1" ht="12.75" customHeight="1" x14ac:dyDescent="0.2">
      <c r="A8001" s="247"/>
      <c r="B8001" s="316"/>
      <c r="C8001" s="247"/>
      <c r="D8001" s="317"/>
      <c r="E8001" s="318"/>
      <c r="F8001" s="247"/>
      <c r="G8001" s="247"/>
      <c r="H8001" s="248"/>
      <c r="I8001" s="248"/>
      <c r="J8001" s="247"/>
      <c r="K8001" s="249"/>
    </row>
    <row r="8002" spans="1:11" s="90" customFormat="1" ht="12.75" customHeight="1" x14ac:dyDescent="0.2">
      <c r="A8002" s="247"/>
      <c r="B8002" s="316"/>
      <c r="C8002" s="247"/>
      <c r="D8002" s="317"/>
      <c r="E8002" s="318"/>
      <c r="F8002" s="247"/>
      <c r="G8002" s="247"/>
      <c r="H8002" s="248"/>
      <c r="I8002" s="248"/>
      <c r="J8002" s="247"/>
      <c r="K8002" s="249"/>
    </row>
    <row r="8003" spans="1:11" s="90" customFormat="1" ht="12.75" customHeight="1" x14ac:dyDescent="0.2">
      <c r="A8003" s="247"/>
      <c r="B8003" s="316"/>
      <c r="C8003" s="247"/>
      <c r="D8003" s="317"/>
      <c r="E8003" s="318"/>
      <c r="F8003" s="247"/>
      <c r="G8003" s="247"/>
      <c r="H8003" s="248"/>
      <c r="I8003" s="248"/>
      <c r="J8003" s="247"/>
      <c r="K8003" s="249"/>
    </row>
    <row r="8004" spans="1:11" s="90" customFormat="1" ht="12.75" customHeight="1" x14ac:dyDescent="0.2">
      <c r="A8004" s="247"/>
      <c r="B8004" s="316"/>
      <c r="C8004" s="247"/>
      <c r="D8004" s="317"/>
      <c r="E8004" s="318"/>
      <c r="F8004" s="247"/>
      <c r="G8004" s="247"/>
      <c r="H8004" s="248"/>
      <c r="I8004" s="248"/>
      <c r="J8004" s="247"/>
      <c r="K8004" s="249"/>
    </row>
    <row r="8005" spans="1:11" s="90" customFormat="1" ht="12.75" customHeight="1" x14ac:dyDescent="0.2">
      <c r="A8005" s="247"/>
      <c r="B8005" s="316"/>
      <c r="C8005" s="247"/>
      <c r="D8005" s="317"/>
      <c r="E8005" s="318"/>
      <c r="F8005" s="247"/>
      <c r="G8005" s="247"/>
      <c r="H8005" s="248"/>
      <c r="I8005" s="248"/>
      <c r="J8005" s="247"/>
      <c r="K8005" s="249"/>
    </row>
    <row r="8006" spans="1:11" s="90" customFormat="1" ht="12.75" customHeight="1" x14ac:dyDescent="0.2">
      <c r="A8006" s="247"/>
      <c r="B8006" s="316"/>
      <c r="C8006" s="247"/>
      <c r="D8006" s="317"/>
      <c r="E8006" s="318"/>
      <c r="F8006" s="247"/>
      <c r="G8006" s="247"/>
      <c r="H8006" s="248"/>
      <c r="I8006" s="248"/>
      <c r="J8006" s="247"/>
      <c r="K8006" s="249"/>
    </row>
    <row r="8007" spans="1:11" s="90" customFormat="1" ht="12.75" customHeight="1" x14ac:dyDescent="0.2">
      <c r="A8007" s="247"/>
      <c r="B8007" s="316"/>
      <c r="C8007" s="247"/>
      <c r="D8007" s="317"/>
      <c r="E8007" s="318"/>
      <c r="F8007" s="247"/>
      <c r="G8007" s="247"/>
      <c r="H8007" s="248"/>
      <c r="I8007" s="248"/>
      <c r="J8007" s="247"/>
      <c r="K8007" s="249"/>
    </row>
    <row r="8008" spans="1:11" s="90" customFormat="1" ht="12.75" customHeight="1" x14ac:dyDescent="0.2">
      <c r="A8008" s="247"/>
      <c r="B8008" s="316"/>
      <c r="C8008" s="247"/>
      <c r="D8008" s="317"/>
      <c r="E8008" s="318"/>
      <c r="F8008" s="247"/>
      <c r="G8008" s="247"/>
      <c r="H8008" s="248"/>
      <c r="I8008" s="248"/>
      <c r="J8008" s="247"/>
      <c r="K8008" s="249"/>
    </row>
    <row r="8009" spans="1:11" s="90" customFormat="1" ht="12.75" customHeight="1" x14ac:dyDescent="0.2">
      <c r="A8009" s="247"/>
      <c r="B8009" s="316"/>
      <c r="C8009" s="247"/>
      <c r="D8009" s="317"/>
      <c r="E8009" s="318"/>
      <c r="F8009" s="247"/>
      <c r="G8009" s="247"/>
      <c r="H8009" s="248"/>
      <c r="I8009" s="248"/>
      <c r="J8009" s="247"/>
      <c r="K8009" s="249"/>
    </row>
    <row r="8010" spans="1:11" s="90" customFormat="1" ht="12.75" customHeight="1" x14ac:dyDescent="0.2">
      <c r="A8010" s="247"/>
      <c r="B8010" s="316"/>
      <c r="C8010" s="247"/>
      <c r="D8010" s="317"/>
      <c r="E8010" s="318"/>
      <c r="F8010" s="247"/>
      <c r="G8010" s="247"/>
      <c r="H8010" s="248"/>
      <c r="I8010" s="248"/>
      <c r="J8010" s="247"/>
      <c r="K8010" s="249"/>
    </row>
    <row r="8011" spans="1:11" s="90" customFormat="1" ht="12.75" customHeight="1" x14ac:dyDescent="0.2">
      <c r="A8011" s="247"/>
      <c r="B8011" s="316"/>
      <c r="C8011" s="247"/>
      <c r="D8011" s="317"/>
      <c r="E8011" s="318"/>
      <c r="F8011" s="247"/>
      <c r="G8011" s="247"/>
      <c r="H8011" s="248"/>
      <c r="I8011" s="248"/>
      <c r="J8011" s="247"/>
      <c r="K8011" s="249"/>
    </row>
    <row r="8012" spans="1:11" s="90" customFormat="1" ht="12.75" customHeight="1" x14ac:dyDescent="0.2">
      <c r="A8012" s="247"/>
      <c r="B8012" s="316"/>
      <c r="C8012" s="247"/>
      <c r="D8012" s="317"/>
      <c r="E8012" s="318"/>
      <c r="F8012" s="247"/>
      <c r="G8012" s="247"/>
      <c r="H8012" s="248"/>
      <c r="I8012" s="248"/>
      <c r="J8012" s="247"/>
      <c r="K8012" s="249"/>
    </row>
    <row r="8013" spans="1:11" s="90" customFormat="1" ht="12.75" customHeight="1" x14ac:dyDescent="0.2">
      <c r="A8013" s="247"/>
      <c r="B8013" s="316"/>
      <c r="C8013" s="247"/>
      <c r="D8013" s="317"/>
      <c r="E8013" s="318"/>
      <c r="F8013" s="247"/>
      <c r="G8013" s="247"/>
      <c r="H8013" s="248"/>
      <c r="I8013" s="248"/>
      <c r="J8013" s="247"/>
      <c r="K8013" s="249"/>
    </row>
    <row r="8014" spans="1:11" s="90" customFormat="1" ht="12.75" customHeight="1" x14ac:dyDescent="0.2">
      <c r="A8014" s="247"/>
      <c r="B8014" s="316"/>
      <c r="C8014" s="247"/>
      <c r="D8014" s="317"/>
      <c r="E8014" s="318"/>
      <c r="F8014" s="247"/>
      <c r="G8014" s="247"/>
      <c r="H8014" s="248"/>
      <c r="I8014" s="248"/>
      <c r="J8014" s="247"/>
      <c r="K8014" s="249"/>
    </row>
    <row r="8015" spans="1:11" s="90" customFormat="1" ht="12.75" customHeight="1" x14ac:dyDescent="0.2">
      <c r="A8015" s="247"/>
      <c r="B8015" s="316"/>
      <c r="C8015" s="247"/>
      <c r="D8015" s="317"/>
      <c r="E8015" s="318"/>
      <c r="F8015" s="247"/>
      <c r="G8015" s="247"/>
      <c r="H8015" s="248"/>
      <c r="I8015" s="248"/>
      <c r="J8015" s="247"/>
      <c r="K8015" s="249"/>
    </row>
    <row r="8016" spans="1:11" s="90" customFormat="1" ht="12.75" customHeight="1" x14ac:dyDescent="0.2">
      <c r="A8016" s="247"/>
      <c r="B8016" s="316"/>
      <c r="C8016" s="247"/>
      <c r="D8016" s="317"/>
      <c r="E8016" s="318"/>
      <c r="F8016" s="247"/>
      <c r="G8016" s="247"/>
      <c r="H8016" s="248"/>
      <c r="I8016" s="248"/>
      <c r="J8016" s="247"/>
      <c r="K8016" s="249"/>
    </row>
    <row r="8017" spans="1:11" s="90" customFormat="1" ht="12.75" customHeight="1" x14ac:dyDescent="0.2">
      <c r="A8017" s="247"/>
      <c r="B8017" s="316"/>
      <c r="C8017" s="247"/>
      <c r="D8017" s="317"/>
      <c r="E8017" s="318"/>
      <c r="F8017" s="247"/>
      <c r="G8017" s="247"/>
      <c r="H8017" s="248"/>
      <c r="I8017" s="248"/>
      <c r="J8017" s="247"/>
      <c r="K8017" s="249"/>
    </row>
    <row r="8018" spans="1:11" s="90" customFormat="1" ht="12.75" customHeight="1" x14ac:dyDescent="0.2">
      <c r="A8018" s="247"/>
      <c r="B8018" s="316"/>
      <c r="C8018" s="247"/>
      <c r="D8018" s="317"/>
      <c r="E8018" s="318"/>
      <c r="F8018" s="247"/>
      <c r="G8018" s="247"/>
      <c r="H8018" s="248"/>
      <c r="I8018" s="248"/>
      <c r="J8018" s="247"/>
      <c r="K8018" s="249"/>
    </row>
    <row r="8019" spans="1:11" s="90" customFormat="1" ht="12.75" customHeight="1" x14ac:dyDescent="0.2">
      <c r="A8019" s="247"/>
      <c r="B8019" s="316"/>
      <c r="C8019" s="247"/>
      <c r="D8019" s="317"/>
      <c r="E8019" s="318"/>
      <c r="F8019" s="247"/>
      <c r="G8019" s="247"/>
      <c r="H8019" s="248"/>
      <c r="I8019" s="248"/>
      <c r="J8019" s="247"/>
      <c r="K8019" s="249"/>
    </row>
    <row r="8020" spans="1:11" s="90" customFormat="1" ht="12.75" customHeight="1" x14ac:dyDescent="0.2">
      <c r="A8020" s="247"/>
      <c r="B8020" s="316"/>
      <c r="C8020" s="247"/>
      <c r="D8020" s="317"/>
      <c r="E8020" s="318"/>
      <c r="F8020" s="247"/>
      <c r="G8020" s="247"/>
      <c r="H8020" s="248"/>
      <c r="I8020" s="248"/>
      <c r="J8020" s="247"/>
      <c r="K8020" s="249"/>
    </row>
    <row r="8021" spans="1:11" s="90" customFormat="1" ht="12.75" customHeight="1" x14ac:dyDescent="0.2">
      <c r="A8021" s="247"/>
      <c r="B8021" s="316"/>
      <c r="C8021" s="247"/>
      <c r="D8021" s="317"/>
      <c r="E8021" s="318"/>
      <c r="F8021" s="247"/>
      <c r="G8021" s="247"/>
      <c r="H8021" s="248"/>
      <c r="I8021" s="248"/>
      <c r="J8021" s="247"/>
      <c r="K8021" s="249"/>
    </row>
    <row r="8022" spans="1:11" s="90" customFormat="1" ht="12.75" customHeight="1" x14ac:dyDescent="0.2">
      <c r="A8022" s="247"/>
      <c r="B8022" s="316"/>
      <c r="C8022" s="247"/>
      <c r="D8022" s="317"/>
      <c r="E8022" s="318"/>
      <c r="F8022" s="247"/>
      <c r="G8022" s="247"/>
      <c r="H8022" s="248"/>
      <c r="I8022" s="248"/>
      <c r="J8022" s="247"/>
      <c r="K8022" s="249"/>
    </row>
    <row r="8023" spans="1:11" s="90" customFormat="1" ht="12.75" customHeight="1" x14ac:dyDescent="0.2">
      <c r="A8023" s="247"/>
      <c r="B8023" s="316"/>
      <c r="C8023" s="247"/>
      <c r="D8023" s="317"/>
      <c r="E8023" s="318"/>
      <c r="F8023" s="247"/>
      <c r="G8023" s="247"/>
      <c r="H8023" s="248"/>
      <c r="I8023" s="248"/>
      <c r="J8023" s="247"/>
      <c r="K8023" s="249"/>
    </row>
    <row r="8024" spans="1:11" s="90" customFormat="1" ht="12.75" customHeight="1" x14ac:dyDescent="0.2">
      <c r="A8024" s="247"/>
      <c r="B8024" s="316"/>
      <c r="C8024" s="247"/>
      <c r="D8024" s="317"/>
      <c r="E8024" s="318"/>
      <c r="F8024" s="247"/>
      <c r="G8024" s="247"/>
      <c r="H8024" s="248"/>
      <c r="I8024" s="248"/>
      <c r="J8024" s="247"/>
      <c r="K8024" s="249"/>
    </row>
    <row r="8025" spans="1:11" s="90" customFormat="1" ht="12.75" customHeight="1" x14ac:dyDescent="0.2">
      <c r="A8025" s="247"/>
      <c r="B8025" s="316"/>
      <c r="C8025" s="247"/>
      <c r="D8025" s="317"/>
      <c r="E8025" s="318"/>
      <c r="F8025" s="247"/>
      <c r="G8025" s="247"/>
      <c r="H8025" s="248"/>
      <c r="I8025" s="248"/>
      <c r="J8025" s="247"/>
      <c r="K8025" s="249"/>
    </row>
    <row r="8026" spans="1:11" s="90" customFormat="1" ht="12.75" customHeight="1" x14ac:dyDescent="0.2">
      <c r="A8026" s="247"/>
      <c r="B8026" s="316"/>
      <c r="C8026" s="247"/>
      <c r="D8026" s="317"/>
      <c r="E8026" s="318"/>
      <c r="F8026" s="247"/>
      <c r="G8026" s="247"/>
      <c r="H8026" s="248"/>
      <c r="I8026" s="248"/>
      <c r="J8026" s="247"/>
      <c r="K8026" s="249"/>
    </row>
    <row r="8027" spans="1:11" s="90" customFormat="1" ht="12.75" customHeight="1" x14ac:dyDescent="0.2">
      <c r="A8027" s="247"/>
      <c r="B8027" s="316"/>
      <c r="C8027" s="247"/>
      <c r="D8027" s="317"/>
      <c r="E8027" s="318"/>
      <c r="F8027" s="247"/>
      <c r="G8027" s="247"/>
      <c r="H8027" s="248"/>
      <c r="I8027" s="248"/>
      <c r="J8027" s="247"/>
      <c r="K8027" s="249"/>
    </row>
    <row r="8028" spans="1:11" s="90" customFormat="1" ht="12.75" customHeight="1" x14ac:dyDescent="0.2">
      <c r="A8028" s="247"/>
      <c r="B8028" s="316"/>
      <c r="C8028" s="247"/>
      <c r="D8028" s="317"/>
      <c r="E8028" s="318"/>
      <c r="F8028" s="247"/>
      <c r="G8028" s="247"/>
      <c r="H8028" s="248"/>
      <c r="I8028" s="248"/>
      <c r="J8028" s="247"/>
      <c r="K8028" s="249"/>
    </row>
    <row r="8029" spans="1:11" s="90" customFormat="1" ht="12.75" customHeight="1" x14ac:dyDescent="0.2">
      <c r="A8029" s="247"/>
      <c r="B8029" s="316"/>
      <c r="C8029" s="247"/>
      <c r="D8029" s="317"/>
      <c r="E8029" s="318"/>
      <c r="F8029" s="247"/>
      <c r="G8029" s="247"/>
      <c r="H8029" s="248"/>
      <c r="I8029" s="248"/>
      <c r="J8029" s="247"/>
      <c r="K8029" s="249"/>
    </row>
    <row r="8030" spans="1:11" s="90" customFormat="1" ht="12.75" customHeight="1" x14ac:dyDescent="0.2">
      <c r="A8030" s="247"/>
      <c r="B8030" s="316"/>
      <c r="C8030" s="247"/>
      <c r="D8030" s="317"/>
      <c r="E8030" s="318"/>
      <c r="F8030" s="247"/>
      <c r="G8030" s="247"/>
      <c r="H8030" s="248"/>
      <c r="I8030" s="248"/>
      <c r="J8030" s="247"/>
      <c r="K8030" s="249"/>
    </row>
    <row r="8031" spans="1:11" s="90" customFormat="1" ht="12.75" customHeight="1" x14ac:dyDescent="0.2">
      <c r="A8031" s="247"/>
      <c r="B8031" s="316"/>
      <c r="C8031" s="247"/>
      <c r="D8031" s="317"/>
      <c r="E8031" s="318"/>
      <c r="F8031" s="247"/>
      <c r="G8031" s="247"/>
      <c r="H8031" s="248"/>
      <c r="I8031" s="248"/>
      <c r="J8031" s="247"/>
      <c r="K8031" s="249"/>
    </row>
    <row r="8032" spans="1:11" s="90" customFormat="1" ht="12.75" customHeight="1" x14ac:dyDescent="0.2">
      <c r="A8032" s="247"/>
      <c r="B8032" s="316"/>
      <c r="C8032" s="247"/>
      <c r="D8032" s="317"/>
      <c r="E8032" s="318"/>
      <c r="F8032" s="247"/>
      <c r="G8032" s="247"/>
      <c r="H8032" s="248"/>
      <c r="I8032" s="248"/>
      <c r="J8032" s="247"/>
      <c r="K8032" s="249"/>
    </row>
    <row r="8033" spans="1:11" s="90" customFormat="1" ht="12.75" customHeight="1" x14ac:dyDescent="0.2">
      <c r="A8033" s="247"/>
      <c r="B8033" s="316"/>
      <c r="C8033" s="247"/>
      <c r="D8033" s="317"/>
      <c r="E8033" s="318"/>
      <c r="F8033" s="247"/>
      <c r="G8033" s="247"/>
      <c r="H8033" s="248"/>
      <c r="I8033" s="248"/>
      <c r="J8033" s="247"/>
      <c r="K8033" s="249"/>
    </row>
    <row r="8034" spans="1:11" s="90" customFormat="1" ht="12.75" customHeight="1" x14ac:dyDescent="0.2">
      <c r="A8034" s="247"/>
      <c r="B8034" s="316"/>
      <c r="C8034" s="247"/>
      <c r="D8034" s="317"/>
      <c r="E8034" s="318"/>
      <c r="F8034" s="247"/>
      <c r="G8034" s="247"/>
      <c r="H8034" s="248"/>
      <c r="I8034" s="248"/>
      <c r="J8034" s="247"/>
      <c r="K8034" s="249"/>
    </row>
    <row r="8035" spans="1:11" s="90" customFormat="1" ht="12.75" customHeight="1" x14ac:dyDescent="0.2">
      <c r="A8035" s="247"/>
      <c r="B8035" s="316"/>
      <c r="C8035" s="247"/>
      <c r="D8035" s="317"/>
      <c r="E8035" s="318"/>
      <c r="F8035" s="247"/>
      <c r="G8035" s="247"/>
      <c r="H8035" s="248"/>
      <c r="I8035" s="248"/>
      <c r="J8035" s="247"/>
      <c r="K8035" s="249"/>
    </row>
    <row r="8036" spans="1:11" s="90" customFormat="1" ht="12.75" customHeight="1" x14ac:dyDescent="0.2">
      <c r="A8036" s="247"/>
      <c r="B8036" s="316"/>
      <c r="C8036" s="247"/>
      <c r="D8036" s="317"/>
      <c r="E8036" s="318"/>
      <c r="F8036" s="247"/>
      <c r="G8036" s="247"/>
      <c r="H8036" s="248"/>
      <c r="I8036" s="248"/>
      <c r="J8036" s="247"/>
      <c r="K8036" s="249"/>
    </row>
    <row r="8037" spans="1:11" s="90" customFormat="1" ht="12.75" customHeight="1" x14ac:dyDescent="0.2">
      <c r="A8037" s="247"/>
      <c r="B8037" s="316"/>
      <c r="C8037" s="247"/>
      <c r="D8037" s="317"/>
      <c r="E8037" s="318"/>
      <c r="F8037" s="247"/>
      <c r="G8037" s="247"/>
      <c r="H8037" s="248"/>
      <c r="I8037" s="248"/>
      <c r="J8037" s="247"/>
      <c r="K8037" s="249"/>
    </row>
    <row r="8038" spans="1:11" s="90" customFormat="1" ht="12.75" customHeight="1" x14ac:dyDescent="0.2">
      <c r="A8038" s="247"/>
      <c r="B8038" s="316"/>
      <c r="C8038" s="247"/>
      <c r="D8038" s="317"/>
      <c r="E8038" s="318"/>
      <c r="F8038" s="247"/>
      <c r="G8038" s="247"/>
      <c r="H8038" s="248"/>
      <c r="I8038" s="248"/>
      <c r="J8038" s="247"/>
      <c r="K8038" s="249"/>
    </row>
    <row r="8039" spans="1:11" s="90" customFormat="1" ht="12.75" customHeight="1" x14ac:dyDescent="0.2">
      <c r="A8039" s="247"/>
      <c r="B8039" s="316"/>
      <c r="C8039" s="247"/>
      <c r="D8039" s="317"/>
      <c r="E8039" s="318"/>
      <c r="F8039" s="247"/>
      <c r="G8039" s="247"/>
      <c r="H8039" s="248"/>
      <c r="I8039" s="248"/>
      <c r="J8039" s="247"/>
      <c r="K8039" s="249"/>
    </row>
    <row r="8040" spans="1:11" s="90" customFormat="1" ht="12.75" customHeight="1" x14ac:dyDescent="0.2">
      <c r="A8040" s="247"/>
      <c r="B8040" s="316"/>
      <c r="C8040" s="247"/>
      <c r="D8040" s="317"/>
      <c r="E8040" s="318"/>
      <c r="F8040" s="247"/>
      <c r="G8040" s="247"/>
      <c r="H8040" s="248"/>
      <c r="I8040" s="248"/>
      <c r="J8040" s="247"/>
      <c r="K8040" s="249"/>
    </row>
    <row r="8041" spans="1:11" s="90" customFormat="1" ht="12.75" customHeight="1" x14ac:dyDescent="0.2">
      <c r="A8041" s="247"/>
      <c r="B8041" s="316"/>
      <c r="C8041" s="247"/>
      <c r="D8041" s="317"/>
      <c r="E8041" s="318"/>
      <c r="F8041" s="247"/>
      <c r="G8041" s="247"/>
      <c r="H8041" s="248"/>
      <c r="I8041" s="248"/>
      <c r="J8041" s="247"/>
      <c r="K8041" s="249"/>
    </row>
    <row r="8042" spans="1:11" s="90" customFormat="1" ht="12.75" customHeight="1" x14ac:dyDescent="0.2">
      <c r="A8042" s="247"/>
      <c r="B8042" s="316"/>
      <c r="C8042" s="247"/>
      <c r="D8042" s="317"/>
      <c r="E8042" s="318"/>
      <c r="F8042" s="247"/>
      <c r="G8042" s="247"/>
      <c r="H8042" s="248"/>
      <c r="I8042" s="248"/>
      <c r="J8042" s="247"/>
      <c r="K8042" s="249"/>
    </row>
    <row r="8043" spans="1:11" s="90" customFormat="1" ht="12.75" customHeight="1" x14ac:dyDescent="0.2">
      <c r="A8043" s="247"/>
      <c r="B8043" s="316"/>
      <c r="C8043" s="247"/>
      <c r="D8043" s="317"/>
      <c r="E8043" s="318"/>
      <c r="F8043" s="247"/>
      <c r="G8043" s="247"/>
      <c r="H8043" s="248"/>
      <c r="I8043" s="248"/>
      <c r="J8043" s="247"/>
      <c r="K8043" s="249"/>
    </row>
    <row r="8044" spans="1:11" s="90" customFormat="1" ht="12.75" customHeight="1" x14ac:dyDescent="0.2">
      <c r="A8044" s="247"/>
      <c r="B8044" s="316"/>
      <c r="C8044" s="247"/>
      <c r="D8044" s="317"/>
      <c r="E8044" s="318"/>
      <c r="F8044" s="247"/>
      <c r="G8044" s="247"/>
      <c r="H8044" s="248"/>
      <c r="I8044" s="248"/>
      <c r="J8044" s="247"/>
      <c r="K8044" s="249"/>
    </row>
    <row r="8045" spans="1:11" s="90" customFormat="1" ht="12.75" customHeight="1" x14ac:dyDescent="0.2">
      <c r="A8045" s="247"/>
      <c r="B8045" s="316"/>
      <c r="C8045" s="247"/>
      <c r="D8045" s="317"/>
      <c r="E8045" s="318"/>
      <c r="F8045" s="247"/>
      <c r="G8045" s="247"/>
      <c r="H8045" s="248"/>
      <c r="I8045" s="248"/>
      <c r="J8045" s="247"/>
      <c r="K8045" s="249"/>
    </row>
    <row r="8046" spans="1:11" s="90" customFormat="1" ht="12.75" customHeight="1" x14ac:dyDescent="0.2">
      <c r="A8046" s="247"/>
      <c r="B8046" s="316"/>
      <c r="C8046" s="247"/>
      <c r="D8046" s="317"/>
      <c r="E8046" s="318"/>
      <c r="F8046" s="247"/>
      <c r="G8046" s="247"/>
      <c r="H8046" s="248"/>
      <c r="I8046" s="248"/>
      <c r="J8046" s="247"/>
      <c r="K8046" s="249"/>
    </row>
    <row r="8047" spans="1:11" s="90" customFormat="1" ht="12.75" customHeight="1" x14ac:dyDescent="0.2">
      <c r="A8047" s="247"/>
      <c r="B8047" s="316"/>
      <c r="C8047" s="247"/>
      <c r="D8047" s="317"/>
      <c r="E8047" s="318"/>
      <c r="F8047" s="247"/>
      <c r="G8047" s="247"/>
      <c r="H8047" s="248"/>
      <c r="I8047" s="248"/>
      <c r="J8047" s="247"/>
      <c r="K8047" s="249"/>
    </row>
    <row r="8048" spans="1:11" s="90" customFormat="1" ht="12.75" customHeight="1" x14ac:dyDescent="0.2">
      <c r="A8048" s="247"/>
      <c r="B8048" s="316"/>
      <c r="C8048" s="247"/>
      <c r="D8048" s="317"/>
      <c r="E8048" s="318"/>
      <c r="F8048" s="247"/>
      <c r="G8048" s="247"/>
      <c r="H8048" s="248"/>
      <c r="I8048" s="248"/>
      <c r="J8048" s="247"/>
      <c r="K8048" s="249"/>
    </row>
    <row r="8049" spans="1:11" s="90" customFormat="1" ht="12.75" customHeight="1" x14ac:dyDescent="0.2">
      <c r="A8049" s="247"/>
      <c r="B8049" s="316"/>
      <c r="C8049" s="247"/>
      <c r="D8049" s="317"/>
      <c r="E8049" s="318"/>
      <c r="F8049" s="247"/>
      <c r="G8049" s="247"/>
      <c r="H8049" s="248"/>
      <c r="I8049" s="248"/>
      <c r="J8049" s="247"/>
      <c r="K8049" s="249"/>
    </row>
    <row r="8050" spans="1:11" s="90" customFormat="1" ht="12.75" customHeight="1" x14ac:dyDescent="0.2">
      <c r="A8050" s="247"/>
      <c r="B8050" s="316"/>
      <c r="C8050" s="247"/>
      <c r="D8050" s="317"/>
      <c r="E8050" s="318"/>
      <c r="F8050" s="247"/>
      <c r="G8050" s="247"/>
      <c r="H8050" s="248"/>
      <c r="I8050" s="248"/>
      <c r="J8050" s="247"/>
      <c r="K8050" s="249"/>
    </row>
    <row r="8051" spans="1:11" s="90" customFormat="1" ht="12.75" customHeight="1" x14ac:dyDescent="0.2">
      <c r="A8051" s="247"/>
      <c r="B8051" s="316"/>
      <c r="C8051" s="247"/>
      <c r="D8051" s="317"/>
      <c r="E8051" s="318"/>
      <c r="F8051" s="247"/>
      <c r="G8051" s="247"/>
      <c r="H8051" s="248"/>
      <c r="I8051" s="248"/>
      <c r="J8051" s="247"/>
      <c r="K8051" s="249"/>
    </row>
    <row r="8052" spans="1:11" s="90" customFormat="1" ht="12.75" customHeight="1" x14ac:dyDescent="0.2">
      <c r="A8052" s="247"/>
      <c r="B8052" s="316"/>
      <c r="C8052" s="247"/>
      <c r="D8052" s="317"/>
      <c r="E8052" s="318"/>
      <c r="F8052" s="247"/>
      <c r="G8052" s="247"/>
      <c r="H8052" s="248"/>
      <c r="I8052" s="248"/>
      <c r="J8052" s="247"/>
      <c r="K8052" s="249"/>
    </row>
    <row r="8053" spans="1:11" s="90" customFormat="1" ht="12.75" customHeight="1" x14ac:dyDescent="0.2">
      <c r="A8053" s="247"/>
      <c r="B8053" s="316"/>
      <c r="C8053" s="247"/>
      <c r="D8053" s="317"/>
      <c r="E8053" s="318"/>
      <c r="F8053" s="247"/>
      <c r="G8053" s="247"/>
      <c r="H8053" s="248"/>
      <c r="I8053" s="248"/>
      <c r="J8053" s="247"/>
      <c r="K8053" s="249"/>
    </row>
    <row r="8054" spans="1:11" s="90" customFormat="1" ht="12.75" customHeight="1" x14ac:dyDescent="0.2">
      <c r="A8054" s="247"/>
      <c r="B8054" s="316"/>
      <c r="C8054" s="247"/>
      <c r="D8054" s="317"/>
      <c r="E8054" s="318"/>
      <c r="F8054" s="247"/>
      <c r="G8054" s="247"/>
      <c r="H8054" s="248"/>
      <c r="I8054" s="248"/>
      <c r="J8054" s="247"/>
      <c r="K8054" s="249"/>
    </row>
    <row r="8055" spans="1:11" s="90" customFormat="1" ht="12.75" customHeight="1" x14ac:dyDescent="0.2">
      <c r="A8055" s="247"/>
      <c r="B8055" s="316"/>
      <c r="C8055" s="247"/>
      <c r="D8055" s="317"/>
      <c r="E8055" s="318"/>
      <c r="F8055" s="247"/>
      <c r="G8055" s="247"/>
      <c r="H8055" s="248"/>
      <c r="I8055" s="248"/>
      <c r="J8055" s="247"/>
      <c r="K8055" s="249"/>
    </row>
    <row r="8056" spans="1:11" s="90" customFormat="1" ht="12.75" customHeight="1" x14ac:dyDescent="0.2">
      <c r="A8056" s="247"/>
      <c r="B8056" s="316"/>
      <c r="C8056" s="247"/>
      <c r="D8056" s="317"/>
      <c r="E8056" s="318"/>
      <c r="F8056" s="247"/>
      <c r="G8056" s="247"/>
      <c r="H8056" s="248"/>
      <c r="I8056" s="248"/>
      <c r="J8056" s="247"/>
      <c r="K8056" s="249"/>
    </row>
    <row r="8057" spans="1:11" s="90" customFormat="1" ht="12.75" customHeight="1" x14ac:dyDescent="0.2">
      <c r="A8057" s="247"/>
      <c r="B8057" s="316"/>
      <c r="C8057" s="247"/>
      <c r="D8057" s="317"/>
      <c r="E8057" s="318"/>
      <c r="F8057" s="247"/>
      <c r="G8057" s="247"/>
      <c r="H8057" s="248"/>
      <c r="I8057" s="248"/>
      <c r="J8057" s="247"/>
      <c r="K8057" s="249"/>
    </row>
    <row r="8058" spans="1:11" s="90" customFormat="1" ht="12.75" customHeight="1" x14ac:dyDescent="0.2">
      <c r="A8058" s="247"/>
      <c r="B8058" s="316"/>
      <c r="C8058" s="247"/>
      <c r="D8058" s="317"/>
      <c r="E8058" s="318"/>
      <c r="F8058" s="247"/>
      <c r="G8058" s="247"/>
      <c r="H8058" s="248"/>
      <c r="I8058" s="248"/>
      <c r="J8058" s="247"/>
      <c r="K8058" s="249"/>
    </row>
    <row r="8059" spans="1:11" s="90" customFormat="1" ht="12.75" customHeight="1" x14ac:dyDescent="0.2">
      <c r="A8059" s="247"/>
      <c r="B8059" s="316"/>
      <c r="C8059" s="247"/>
      <c r="D8059" s="317"/>
      <c r="E8059" s="318"/>
      <c r="F8059" s="247"/>
      <c r="G8059" s="247"/>
      <c r="H8059" s="248"/>
      <c r="I8059" s="248"/>
      <c r="J8059" s="247"/>
      <c r="K8059" s="249"/>
    </row>
    <row r="8060" spans="1:11" s="90" customFormat="1" ht="12.75" customHeight="1" x14ac:dyDescent="0.2">
      <c r="A8060" s="247"/>
      <c r="B8060" s="316"/>
      <c r="C8060" s="247"/>
      <c r="D8060" s="317"/>
      <c r="E8060" s="318"/>
      <c r="F8060" s="247"/>
      <c r="G8060" s="247"/>
      <c r="H8060" s="248"/>
      <c r="I8060" s="248"/>
      <c r="J8060" s="247"/>
      <c r="K8060" s="249"/>
    </row>
    <row r="8061" spans="1:11" s="90" customFormat="1" ht="12.75" customHeight="1" x14ac:dyDescent="0.2">
      <c r="A8061" s="247"/>
      <c r="B8061" s="316"/>
      <c r="C8061" s="247"/>
      <c r="D8061" s="317"/>
      <c r="E8061" s="318"/>
      <c r="F8061" s="247"/>
      <c r="G8061" s="247"/>
      <c r="H8061" s="248"/>
      <c r="I8061" s="248"/>
      <c r="J8061" s="247"/>
      <c r="K8061" s="249"/>
    </row>
    <row r="8062" spans="1:11" s="90" customFormat="1" ht="12.75" customHeight="1" x14ac:dyDescent="0.2">
      <c r="A8062" s="247"/>
      <c r="B8062" s="316"/>
      <c r="C8062" s="247"/>
      <c r="D8062" s="317"/>
      <c r="E8062" s="318"/>
      <c r="F8062" s="247"/>
      <c r="G8062" s="247"/>
      <c r="H8062" s="248"/>
      <c r="I8062" s="248"/>
      <c r="J8062" s="247"/>
      <c r="K8062" s="249"/>
    </row>
    <row r="8063" spans="1:11" s="90" customFormat="1" ht="12.75" customHeight="1" x14ac:dyDescent="0.2">
      <c r="A8063" s="247"/>
      <c r="B8063" s="316"/>
      <c r="C8063" s="247"/>
      <c r="D8063" s="317"/>
      <c r="E8063" s="318"/>
      <c r="F8063" s="247"/>
      <c r="G8063" s="247"/>
      <c r="H8063" s="248"/>
      <c r="I8063" s="248"/>
      <c r="J8063" s="247"/>
      <c r="K8063" s="249"/>
    </row>
    <row r="8064" spans="1:11" s="90" customFormat="1" ht="12.75" customHeight="1" x14ac:dyDescent="0.2">
      <c r="A8064" s="247"/>
      <c r="B8064" s="316"/>
      <c r="C8064" s="247"/>
      <c r="D8064" s="317"/>
      <c r="E8064" s="318"/>
      <c r="F8064" s="247"/>
      <c r="G8064" s="247"/>
      <c r="H8064" s="248"/>
      <c r="I8064" s="248"/>
      <c r="J8064" s="247"/>
      <c r="K8064" s="249"/>
    </row>
    <row r="8065" spans="1:11" s="90" customFormat="1" ht="12.75" customHeight="1" x14ac:dyDescent="0.2">
      <c r="A8065" s="247"/>
      <c r="B8065" s="316"/>
      <c r="C8065" s="247"/>
      <c r="D8065" s="317"/>
      <c r="E8065" s="318"/>
      <c r="F8065" s="247"/>
      <c r="G8065" s="247"/>
      <c r="H8065" s="248"/>
      <c r="I8065" s="248"/>
      <c r="J8065" s="247"/>
      <c r="K8065" s="249"/>
    </row>
    <row r="8066" spans="1:11" s="90" customFormat="1" ht="12.75" customHeight="1" x14ac:dyDescent="0.2">
      <c r="A8066" s="247"/>
      <c r="B8066" s="316"/>
      <c r="C8066" s="247"/>
      <c r="D8066" s="317"/>
      <c r="E8066" s="318"/>
      <c r="F8066" s="247"/>
      <c r="G8066" s="247"/>
      <c r="H8066" s="248"/>
      <c r="I8066" s="248"/>
      <c r="J8066" s="247"/>
      <c r="K8066" s="249"/>
    </row>
    <row r="8067" spans="1:11" s="90" customFormat="1" ht="12.75" customHeight="1" x14ac:dyDescent="0.2">
      <c r="A8067" s="247"/>
      <c r="B8067" s="316"/>
      <c r="C8067" s="247"/>
      <c r="D8067" s="317"/>
      <c r="E8067" s="318"/>
      <c r="F8067" s="247"/>
      <c r="G8067" s="247"/>
      <c r="H8067" s="248"/>
      <c r="I8067" s="248"/>
      <c r="J8067" s="247"/>
      <c r="K8067" s="249"/>
    </row>
    <row r="8068" spans="1:11" s="90" customFormat="1" ht="12.75" customHeight="1" x14ac:dyDescent="0.2">
      <c r="A8068" s="247"/>
      <c r="B8068" s="316"/>
      <c r="C8068" s="247"/>
      <c r="D8068" s="317"/>
      <c r="E8068" s="318"/>
      <c r="F8068" s="247"/>
      <c r="G8068" s="247"/>
      <c r="H8068" s="248"/>
      <c r="I8068" s="248"/>
      <c r="J8068" s="247"/>
      <c r="K8068" s="249"/>
    </row>
    <row r="8069" spans="1:11" s="90" customFormat="1" ht="12.75" customHeight="1" x14ac:dyDescent="0.2">
      <c r="A8069" s="247"/>
      <c r="B8069" s="316"/>
      <c r="C8069" s="247"/>
      <c r="D8069" s="317"/>
      <c r="E8069" s="318"/>
      <c r="F8069" s="247"/>
      <c r="G8069" s="247"/>
      <c r="H8069" s="248"/>
      <c r="I8069" s="248"/>
      <c r="J8069" s="247"/>
      <c r="K8069" s="249"/>
    </row>
    <row r="8070" spans="1:11" s="90" customFormat="1" ht="12.75" customHeight="1" x14ac:dyDescent="0.2">
      <c r="A8070" s="247"/>
      <c r="B8070" s="316"/>
      <c r="C8070" s="247"/>
      <c r="D8070" s="317"/>
      <c r="E8070" s="318"/>
      <c r="F8070" s="247"/>
      <c r="G8070" s="247"/>
      <c r="H8070" s="248"/>
      <c r="I8070" s="248"/>
      <c r="J8070" s="247"/>
      <c r="K8070" s="249"/>
    </row>
    <row r="8071" spans="1:11" s="90" customFormat="1" ht="12.75" customHeight="1" x14ac:dyDescent="0.2">
      <c r="A8071" s="247"/>
      <c r="B8071" s="316"/>
      <c r="C8071" s="247"/>
      <c r="D8071" s="317"/>
      <c r="E8071" s="318"/>
      <c r="F8071" s="247"/>
      <c r="G8071" s="247"/>
      <c r="H8071" s="248"/>
      <c r="I8071" s="248"/>
      <c r="J8071" s="247"/>
      <c r="K8071" s="249"/>
    </row>
    <row r="8072" spans="1:11" s="90" customFormat="1" ht="12.75" customHeight="1" x14ac:dyDescent="0.2">
      <c r="A8072" s="247"/>
      <c r="B8072" s="316"/>
      <c r="C8072" s="247"/>
      <c r="D8072" s="317"/>
      <c r="E8072" s="318"/>
      <c r="F8072" s="247"/>
      <c r="G8072" s="247"/>
      <c r="H8072" s="248"/>
      <c r="I8072" s="248"/>
      <c r="J8072" s="247"/>
      <c r="K8072" s="249"/>
    </row>
    <row r="8073" spans="1:11" s="90" customFormat="1" ht="12.75" customHeight="1" x14ac:dyDescent="0.2">
      <c r="A8073" s="247"/>
      <c r="B8073" s="316"/>
      <c r="C8073" s="247"/>
      <c r="D8073" s="317"/>
      <c r="E8073" s="318"/>
      <c r="F8073" s="247"/>
      <c r="G8073" s="247"/>
      <c r="H8073" s="248"/>
      <c r="I8073" s="248"/>
      <c r="J8073" s="247"/>
      <c r="K8073" s="249"/>
    </row>
    <row r="8074" spans="1:11" s="90" customFormat="1" ht="12.75" customHeight="1" x14ac:dyDescent="0.2">
      <c r="A8074" s="247"/>
      <c r="B8074" s="316"/>
      <c r="C8074" s="247"/>
      <c r="D8074" s="317"/>
      <c r="E8074" s="318"/>
      <c r="F8074" s="247"/>
      <c r="G8074" s="247"/>
      <c r="H8074" s="248"/>
      <c r="I8074" s="248"/>
      <c r="J8074" s="247"/>
      <c r="K8074" s="249"/>
    </row>
    <row r="8075" spans="1:11" s="90" customFormat="1" ht="12.75" customHeight="1" x14ac:dyDescent="0.2">
      <c r="A8075" s="247"/>
      <c r="B8075" s="316"/>
      <c r="C8075" s="247"/>
      <c r="D8075" s="317"/>
      <c r="E8075" s="318"/>
      <c r="F8075" s="247"/>
      <c r="G8075" s="247"/>
      <c r="H8075" s="248"/>
      <c r="I8075" s="248"/>
      <c r="J8075" s="247"/>
      <c r="K8075" s="249"/>
    </row>
    <row r="8076" spans="1:11" s="90" customFormat="1" ht="12.75" customHeight="1" x14ac:dyDescent="0.2">
      <c r="A8076" s="247"/>
      <c r="B8076" s="316"/>
      <c r="C8076" s="247"/>
      <c r="D8076" s="317"/>
      <c r="E8076" s="318"/>
      <c r="F8076" s="247"/>
      <c r="G8076" s="247"/>
      <c r="H8076" s="248"/>
      <c r="I8076" s="248"/>
      <c r="J8076" s="247"/>
      <c r="K8076" s="249"/>
    </row>
    <row r="8077" spans="1:11" s="90" customFormat="1" ht="12.75" customHeight="1" x14ac:dyDescent="0.2">
      <c r="A8077" s="247"/>
      <c r="B8077" s="316"/>
      <c r="C8077" s="247"/>
      <c r="D8077" s="317"/>
      <c r="E8077" s="318"/>
      <c r="F8077" s="247"/>
      <c r="G8077" s="247"/>
      <c r="H8077" s="248"/>
      <c r="I8077" s="248"/>
      <c r="J8077" s="247"/>
      <c r="K8077" s="249"/>
    </row>
    <row r="8078" spans="1:11" s="90" customFormat="1" ht="12.75" customHeight="1" x14ac:dyDescent="0.2">
      <c r="A8078" s="247"/>
      <c r="B8078" s="316"/>
      <c r="C8078" s="247"/>
      <c r="D8078" s="317"/>
      <c r="E8078" s="318"/>
      <c r="F8078" s="247"/>
      <c r="G8078" s="247"/>
      <c r="H8078" s="248"/>
      <c r="I8078" s="248"/>
      <c r="J8078" s="247"/>
      <c r="K8078" s="249"/>
    </row>
    <row r="8079" spans="1:11" s="90" customFormat="1" ht="12.75" customHeight="1" x14ac:dyDescent="0.2">
      <c r="A8079" s="247"/>
      <c r="B8079" s="316"/>
      <c r="C8079" s="247"/>
      <c r="D8079" s="317"/>
      <c r="E8079" s="318"/>
      <c r="F8079" s="247"/>
      <c r="G8079" s="247"/>
      <c r="H8079" s="248"/>
      <c r="I8079" s="248"/>
      <c r="J8079" s="247"/>
      <c r="K8079" s="249"/>
    </row>
    <row r="8080" spans="1:11" s="90" customFormat="1" ht="12.75" customHeight="1" x14ac:dyDescent="0.2">
      <c r="A8080" s="247"/>
      <c r="B8080" s="316"/>
      <c r="C8080" s="247"/>
      <c r="D8080" s="317"/>
      <c r="E8080" s="318"/>
      <c r="F8080" s="247"/>
      <c r="G8080" s="247"/>
      <c r="H8080" s="248"/>
      <c r="I8080" s="248"/>
      <c r="J8080" s="247"/>
      <c r="K8080" s="249"/>
    </row>
    <row r="8081" spans="1:11" s="90" customFormat="1" ht="12.75" customHeight="1" x14ac:dyDescent="0.2">
      <c r="A8081" s="247"/>
      <c r="B8081" s="316"/>
      <c r="C8081" s="247"/>
      <c r="D8081" s="317"/>
      <c r="E8081" s="318"/>
      <c r="F8081" s="247"/>
      <c r="G8081" s="247"/>
      <c r="H8081" s="248"/>
      <c r="I8081" s="248"/>
      <c r="J8081" s="247"/>
      <c r="K8081" s="249"/>
    </row>
    <row r="8082" spans="1:11" s="90" customFormat="1" ht="12.75" customHeight="1" x14ac:dyDescent="0.2">
      <c r="A8082" s="247"/>
      <c r="B8082" s="316"/>
      <c r="C8082" s="247"/>
      <c r="D8082" s="317"/>
      <c r="E8082" s="318"/>
      <c r="F8082" s="247"/>
      <c r="G8082" s="247"/>
      <c r="H8082" s="248"/>
      <c r="I8082" s="248"/>
      <c r="J8082" s="247"/>
      <c r="K8082" s="249"/>
    </row>
    <row r="8083" spans="1:11" s="90" customFormat="1" ht="12.75" customHeight="1" x14ac:dyDescent="0.2">
      <c r="A8083" s="247"/>
      <c r="B8083" s="316"/>
      <c r="C8083" s="247"/>
      <c r="D8083" s="317"/>
      <c r="E8083" s="318"/>
      <c r="F8083" s="247"/>
      <c r="G8083" s="247"/>
      <c r="H8083" s="248"/>
      <c r="I8083" s="248"/>
      <c r="J8083" s="247"/>
      <c r="K8083" s="249"/>
    </row>
    <row r="8084" spans="1:11" s="90" customFormat="1" ht="12.75" customHeight="1" x14ac:dyDescent="0.2">
      <c r="A8084" s="247"/>
      <c r="B8084" s="316"/>
      <c r="C8084" s="247"/>
      <c r="D8084" s="317"/>
      <c r="E8084" s="318"/>
      <c r="F8084" s="247"/>
      <c r="G8084" s="247"/>
      <c r="H8084" s="248"/>
      <c r="I8084" s="248"/>
      <c r="J8084" s="247"/>
      <c r="K8084" s="249"/>
    </row>
    <row r="8085" spans="1:11" s="90" customFormat="1" ht="12.75" customHeight="1" x14ac:dyDescent="0.2">
      <c r="A8085" s="247"/>
      <c r="B8085" s="316"/>
      <c r="C8085" s="247"/>
      <c r="D8085" s="317"/>
      <c r="E8085" s="318"/>
      <c r="F8085" s="247"/>
      <c r="G8085" s="247"/>
      <c r="H8085" s="248"/>
      <c r="I8085" s="248"/>
      <c r="J8085" s="247"/>
      <c r="K8085" s="249"/>
    </row>
    <row r="8086" spans="1:11" s="90" customFormat="1" ht="12.75" customHeight="1" x14ac:dyDescent="0.2">
      <c r="A8086" s="247"/>
      <c r="B8086" s="316"/>
      <c r="C8086" s="247"/>
      <c r="D8086" s="317"/>
      <c r="E8086" s="318"/>
      <c r="F8086" s="247"/>
      <c r="G8086" s="247"/>
      <c r="H8086" s="248"/>
      <c r="I8086" s="248"/>
      <c r="J8086" s="247"/>
      <c r="K8086" s="249"/>
    </row>
    <row r="8087" spans="1:11" s="90" customFormat="1" ht="12.75" customHeight="1" x14ac:dyDescent="0.2">
      <c r="A8087" s="247"/>
      <c r="B8087" s="316"/>
      <c r="C8087" s="247"/>
      <c r="D8087" s="317"/>
      <c r="E8087" s="318"/>
      <c r="F8087" s="247"/>
      <c r="G8087" s="247"/>
      <c r="H8087" s="248"/>
      <c r="I8087" s="248"/>
      <c r="J8087" s="247"/>
      <c r="K8087" s="249"/>
    </row>
    <row r="8088" spans="1:11" s="90" customFormat="1" ht="12.75" customHeight="1" x14ac:dyDescent="0.2">
      <c r="A8088" s="247"/>
      <c r="B8088" s="316"/>
      <c r="C8088" s="247"/>
      <c r="D8088" s="317"/>
      <c r="E8088" s="318"/>
      <c r="F8088" s="247"/>
      <c r="G8088" s="247"/>
      <c r="H8088" s="248"/>
      <c r="I8088" s="248"/>
      <c r="J8088" s="247"/>
      <c r="K8088" s="249"/>
    </row>
    <row r="8089" spans="1:11" s="90" customFormat="1" ht="12.75" customHeight="1" x14ac:dyDescent="0.2">
      <c r="A8089" s="247"/>
      <c r="B8089" s="316"/>
      <c r="C8089" s="247"/>
      <c r="D8089" s="317"/>
      <c r="E8089" s="318"/>
      <c r="F8089" s="247"/>
      <c r="G8089" s="247"/>
      <c r="H8089" s="248"/>
      <c r="I8089" s="248"/>
      <c r="J8089" s="247"/>
      <c r="K8089" s="249"/>
    </row>
    <row r="8090" spans="1:11" s="90" customFormat="1" ht="12.75" customHeight="1" x14ac:dyDescent="0.2">
      <c r="A8090" s="247"/>
      <c r="B8090" s="316"/>
      <c r="C8090" s="247"/>
      <c r="D8090" s="317"/>
      <c r="E8090" s="318"/>
      <c r="F8090" s="247"/>
      <c r="G8090" s="247"/>
      <c r="H8090" s="248"/>
      <c r="I8090" s="248"/>
      <c r="J8090" s="247"/>
      <c r="K8090" s="249"/>
    </row>
    <row r="8091" spans="1:11" s="90" customFormat="1" ht="12.75" customHeight="1" x14ac:dyDescent="0.2">
      <c r="A8091" s="247"/>
      <c r="B8091" s="316"/>
      <c r="C8091" s="247"/>
      <c r="D8091" s="317"/>
      <c r="E8091" s="318"/>
      <c r="F8091" s="247"/>
      <c r="G8091" s="247"/>
      <c r="H8091" s="248"/>
      <c r="I8091" s="248"/>
      <c r="J8091" s="247"/>
      <c r="K8091" s="249"/>
    </row>
    <row r="8092" spans="1:11" s="90" customFormat="1" ht="12.75" customHeight="1" x14ac:dyDescent="0.2">
      <c r="A8092" s="247"/>
      <c r="B8092" s="316"/>
      <c r="C8092" s="247"/>
      <c r="D8092" s="317"/>
      <c r="E8092" s="318"/>
      <c r="F8092" s="247"/>
      <c r="G8092" s="247"/>
      <c r="H8092" s="248"/>
      <c r="I8092" s="248"/>
      <c r="J8092" s="247"/>
      <c r="K8092" s="249"/>
    </row>
    <row r="8093" spans="1:11" s="90" customFormat="1" ht="12.75" customHeight="1" x14ac:dyDescent="0.2">
      <c r="A8093" s="247"/>
      <c r="B8093" s="316"/>
      <c r="C8093" s="247"/>
      <c r="D8093" s="317"/>
      <c r="E8093" s="318"/>
      <c r="F8093" s="247"/>
      <c r="G8093" s="247"/>
      <c r="H8093" s="248"/>
      <c r="I8093" s="248"/>
      <c r="J8093" s="247"/>
      <c r="K8093" s="249"/>
    </row>
    <row r="8094" spans="1:11" s="90" customFormat="1" ht="12.75" customHeight="1" x14ac:dyDescent="0.2">
      <c r="A8094" s="247"/>
      <c r="B8094" s="316"/>
      <c r="C8094" s="247"/>
      <c r="D8094" s="317"/>
      <c r="E8094" s="318"/>
      <c r="F8094" s="247"/>
      <c r="G8094" s="247"/>
      <c r="H8094" s="248"/>
      <c r="I8094" s="248"/>
      <c r="J8094" s="247"/>
      <c r="K8094" s="249"/>
    </row>
    <row r="8095" spans="1:11" s="90" customFormat="1" ht="12.75" customHeight="1" x14ac:dyDescent="0.2">
      <c r="A8095" s="247"/>
      <c r="B8095" s="316"/>
      <c r="C8095" s="247"/>
      <c r="D8095" s="317"/>
      <c r="E8095" s="318"/>
      <c r="F8095" s="247"/>
      <c r="G8095" s="247"/>
      <c r="H8095" s="248"/>
      <c r="I8095" s="248"/>
      <c r="J8095" s="247"/>
      <c r="K8095" s="249"/>
    </row>
    <row r="8096" spans="1:11" s="90" customFormat="1" ht="12.75" customHeight="1" x14ac:dyDescent="0.2">
      <c r="A8096" s="247"/>
      <c r="B8096" s="316"/>
      <c r="C8096" s="247"/>
      <c r="D8096" s="317"/>
      <c r="E8096" s="318"/>
      <c r="F8096" s="247"/>
      <c r="G8096" s="247"/>
      <c r="H8096" s="248"/>
      <c r="I8096" s="248"/>
      <c r="J8096" s="247"/>
      <c r="K8096" s="249"/>
    </row>
    <row r="8097" spans="1:11" s="90" customFormat="1" ht="12.75" customHeight="1" x14ac:dyDescent="0.2">
      <c r="A8097" s="247"/>
      <c r="B8097" s="316"/>
      <c r="C8097" s="247"/>
      <c r="D8097" s="317"/>
      <c r="E8097" s="318"/>
      <c r="F8097" s="247"/>
      <c r="G8097" s="247"/>
      <c r="H8097" s="248"/>
      <c r="I8097" s="248"/>
      <c r="J8097" s="247"/>
      <c r="K8097" s="249"/>
    </row>
    <row r="8098" spans="1:11" s="90" customFormat="1" ht="12.75" customHeight="1" x14ac:dyDescent="0.2">
      <c r="A8098" s="247"/>
      <c r="B8098" s="316"/>
      <c r="C8098" s="247"/>
      <c r="D8098" s="317"/>
      <c r="E8098" s="318"/>
      <c r="F8098" s="247"/>
      <c r="G8098" s="247"/>
      <c r="H8098" s="248"/>
      <c r="I8098" s="248"/>
      <c r="J8098" s="247"/>
      <c r="K8098" s="249"/>
    </row>
    <row r="8099" spans="1:11" s="90" customFormat="1" ht="12.75" customHeight="1" x14ac:dyDescent="0.2">
      <c r="A8099" s="247"/>
      <c r="B8099" s="316"/>
      <c r="C8099" s="247"/>
      <c r="D8099" s="317"/>
      <c r="E8099" s="318"/>
      <c r="F8099" s="247"/>
      <c r="G8099" s="247"/>
      <c r="H8099" s="248"/>
      <c r="I8099" s="248"/>
      <c r="J8099" s="247"/>
      <c r="K8099" s="249"/>
    </row>
    <row r="8100" spans="1:11" s="90" customFormat="1" ht="12.75" customHeight="1" x14ac:dyDescent="0.2">
      <c r="A8100" s="247"/>
      <c r="B8100" s="316"/>
      <c r="C8100" s="247"/>
      <c r="D8100" s="317"/>
      <c r="E8100" s="318"/>
      <c r="F8100" s="247"/>
      <c r="G8100" s="247"/>
      <c r="H8100" s="248"/>
      <c r="I8100" s="248"/>
      <c r="J8100" s="247"/>
      <c r="K8100" s="249"/>
    </row>
    <row r="8101" spans="1:11" s="90" customFormat="1" ht="12.75" customHeight="1" x14ac:dyDescent="0.2">
      <c r="A8101" s="247"/>
      <c r="B8101" s="316"/>
      <c r="C8101" s="247"/>
      <c r="D8101" s="317"/>
      <c r="E8101" s="318"/>
      <c r="F8101" s="247"/>
      <c r="G8101" s="247"/>
      <c r="H8101" s="248"/>
      <c r="I8101" s="248"/>
      <c r="J8101" s="247"/>
      <c r="K8101" s="249"/>
    </row>
    <row r="8102" spans="1:11" s="90" customFormat="1" ht="12.75" customHeight="1" x14ac:dyDescent="0.2">
      <c r="A8102" s="247"/>
      <c r="B8102" s="316"/>
      <c r="C8102" s="247"/>
      <c r="D8102" s="317"/>
      <c r="E8102" s="318"/>
      <c r="F8102" s="247"/>
      <c r="G8102" s="247"/>
      <c r="H8102" s="248"/>
      <c r="I8102" s="248"/>
      <c r="J8102" s="247"/>
      <c r="K8102" s="249"/>
    </row>
    <row r="8103" spans="1:11" s="90" customFormat="1" ht="12.75" customHeight="1" x14ac:dyDescent="0.2">
      <c r="A8103" s="247"/>
      <c r="B8103" s="316"/>
      <c r="C8103" s="247"/>
      <c r="D8103" s="317"/>
      <c r="E8103" s="318"/>
      <c r="F8103" s="247"/>
      <c r="G8103" s="247"/>
      <c r="H8103" s="248"/>
      <c r="I8103" s="248"/>
      <c r="J8103" s="247"/>
      <c r="K8103" s="249"/>
    </row>
    <row r="8104" spans="1:11" s="90" customFormat="1" ht="12.75" customHeight="1" x14ac:dyDescent="0.2">
      <c r="A8104" s="247"/>
      <c r="B8104" s="316"/>
      <c r="C8104" s="247"/>
      <c r="D8104" s="317"/>
      <c r="E8104" s="318"/>
      <c r="F8104" s="247"/>
      <c r="G8104" s="247"/>
      <c r="H8104" s="248"/>
      <c r="I8104" s="248"/>
      <c r="J8104" s="247"/>
      <c r="K8104" s="249"/>
    </row>
    <row r="8105" spans="1:11" s="90" customFormat="1" ht="12.75" customHeight="1" x14ac:dyDescent="0.2">
      <c r="A8105" s="247"/>
      <c r="B8105" s="316"/>
      <c r="C8105" s="247"/>
      <c r="D8105" s="317"/>
      <c r="E8105" s="318"/>
      <c r="F8105" s="247"/>
      <c r="G8105" s="247"/>
      <c r="H8105" s="248"/>
      <c r="I8105" s="248"/>
      <c r="J8105" s="247"/>
      <c r="K8105" s="249"/>
    </row>
    <row r="8106" spans="1:11" s="90" customFormat="1" ht="12.75" customHeight="1" x14ac:dyDescent="0.2">
      <c r="A8106" s="247"/>
      <c r="B8106" s="316"/>
      <c r="C8106" s="247"/>
      <c r="D8106" s="317"/>
      <c r="E8106" s="318"/>
      <c r="F8106" s="247"/>
      <c r="G8106" s="247"/>
      <c r="H8106" s="248"/>
      <c r="I8106" s="248"/>
      <c r="J8106" s="247"/>
      <c r="K8106" s="249"/>
    </row>
    <row r="8107" spans="1:11" s="90" customFormat="1" ht="12.75" customHeight="1" x14ac:dyDescent="0.2">
      <c r="A8107" s="247"/>
      <c r="B8107" s="316"/>
      <c r="C8107" s="247"/>
      <c r="D8107" s="317"/>
      <c r="E8107" s="318"/>
      <c r="F8107" s="247"/>
      <c r="G8107" s="247"/>
      <c r="H8107" s="248"/>
      <c r="I8107" s="248"/>
      <c r="J8107" s="247"/>
      <c r="K8107" s="249"/>
    </row>
    <row r="8108" spans="1:11" s="90" customFormat="1" ht="12.75" customHeight="1" x14ac:dyDescent="0.2">
      <c r="A8108" s="247"/>
      <c r="B8108" s="316"/>
      <c r="C8108" s="247"/>
      <c r="D8108" s="317"/>
      <c r="E8108" s="318"/>
      <c r="F8108" s="247"/>
      <c r="G8108" s="247"/>
      <c r="H8108" s="248"/>
      <c r="I8108" s="248"/>
      <c r="J8108" s="247"/>
      <c r="K8108" s="249"/>
    </row>
    <row r="8109" spans="1:11" s="90" customFormat="1" ht="12.75" customHeight="1" x14ac:dyDescent="0.2">
      <c r="A8109" s="247"/>
      <c r="B8109" s="316"/>
      <c r="C8109" s="247"/>
      <c r="D8109" s="317"/>
      <c r="E8109" s="318"/>
      <c r="F8109" s="247"/>
      <c r="G8109" s="247"/>
      <c r="H8109" s="248"/>
      <c r="I8109" s="248"/>
      <c r="J8109" s="247"/>
      <c r="K8109" s="249"/>
    </row>
    <row r="8110" spans="1:11" s="90" customFormat="1" ht="12.75" customHeight="1" x14ac:dyDescent="0.2">
      <c r="A8110" s="247"/>
      <c r="B8110" s="316"/>
      <c r="C8110" s="247"/>
      <c r="D8110" s="317"/>
      <c r="E8110" s="318"/>
      <c r="F8110" s="247"/>
      <c r="G8110" s="247"/>
      <c r="H8110" s="248"/>
      <c r="I8110" s="248"/>
      <c r="J8110" s="247"/>
      <c r="K8110" s="249"/>
    </row>
    <row r="8111" spans="1:11" s="90" customFormat="1" ht="12.75" customHeight="1" x14ac:dyDescent="0.2">
      <c r="A8111" s="247"/>
      <c r="B8111" s="316"/>
      <c r="C8111" s="247"/>
      <c r="D8111" s="317"/>
      <c r="E8111" s="318"/>
      <c r="F8111" s="247"/>
      <c r="G8111" s="247"/>
      <c r="H8111" s="248"/>
      <c r="I8111" s="248"/>
      <c r="J8111" s="247"/>
      <c r="K8111" s="249"/>
    </row>
    <row r="8112" spans="1:11" s="90" customFormat="1" ht="12.75" customHeight="1" x14ac:dyDescent="0.2">
      <c r="A8112" s="247"/>
      <c r="B8112" s="316"/>
      <c r="C8112" s="247"/>
      <c r="D8112" s="317"/>
      <c r="E8112" s="318"/>
      <c r="F8112" s="247"/>
      <c r="G8112" s="247"/>
      <c r="H8112" s="248"/>
      <c r="I8112" s="248"/>
      <c r="J8112" s="247"/>
      <c r="K8112" s="249"/>
    </row>
    <row r="8113" spans="1:11" s="90" customFormat="1" ht="12.75" customHeight="1" x14ac:dyDescent="0.2">
      <c r="A8113" s="247"/>
      <c r="B8113" s="316"/>
      <c r="C8113" s="247"/>
      <c r="D8113" s="317"/>
      <c r="E8113" s="318"/>
      <c r="F8113" s="247"/>
      <c r="G8113" s="247"/>
      <c r="H8113" s="248"/>
      <c r="I8113" s="248"/>
      <c r="J8113" s="247"/>
      <c r="K8113" s="249"/>
    </row>
    <row r="8114" spans="1:11" s="90" customFormat="1" ht="12.75" customHeight="1" x14ac:dyDescent="0.2">
      <c r="A8114" s="247"/>
      <c r="B8114" s="316"/>
      <c r="C8114" s="247"/>
      <c r="D8114" s="317"/>
      <c r="E8114" s="318"/>
      <c r="F8114" s="247"/>
      <c r="G8114" s="247"/>
      <c r="H8114" s="248"/>
      <c r="I8114" s="248"/>
      <c r="J8114" s="247"/>
      <c r="K8114" s="249"/>
    </row>
    <row r="8115" spans="1:11" s="90" customFormat="1" ht="12.75" customHeight="1" x14ac:dyDescent="0.2">
      <c r="A8115" s="247"/>
      <c r="B8115" s="316"/>
      <c r="C8115" s="247"/>
      <c r="D8115" s="317"/>
      <c r="E8115" s="318"/>
      <c r="F8115" s="247"/>
      <c r="G8115" s="247"/>
      <c r="H8115" s="248"/>
      <c r="I8115" s="248"/>
      <c r="J8115" s="247"/>
      <c r="K8115" s="249"/>
    </row>
    <row r="8116" spans="1:11" s="90" customFormat="1" ht="12.75" customHeight="1" x14ac:dyDescent="0.2">
      <c r="A8116" s="247"/>
      <c r="B8116" s="316"/>
      <c r="C8116" s="247"/>
      <c r="D8116" s="317"/>
      <c r="E8116" s="318"/>
      <c r="F8116" s="247"/>
      <c r="G8116" s="247"/>
      <c r="H8116" s="248"/>
      <c r="I8116" s="248"/>
      <c r="J8116" s="247"/>
      <c r="K8116" s="249"/>
    </row>
    <row r="8117" spans="1:11" s="90" customFormat="1" ht="12.75" customHeight="1" x14ac:dyDescent="0.2">
      <c r="A8117" s="247"/>
      <c r="B8117" s="316"/>
      <c r="C8117" s="247"/>
      <c r="D8117" s="317"/>
      <c r="E8117" s="318"/>
      <c r="F8117" s="247"/>
      <c r="G8117" s="247"/>
      <c r="H8117" s="248"/>
      <c r="I8117" s="248"/>
      <c r="J8117" s="247"/>
      <c r="K8117" s="249"/>
    </row>
    <row r="8118" spans="1:11" s="90" customFormat="1" ht="12.75" customHeight="1" x14ac:dyDescent="0.2">
      <c r="A8118" s="247"/>
      <c r="B8118" s="316"/>
      <c r="C8118" s="247"/>
      <c r="D8118" s="317"/>
      <c r="E8118" s="318"/>
      <c r="F8118" s="247"/>
      <c r="G8118" s="247"/>
      <c r="H8118" s="248"/>
      <c r="I8118" s="248"/>
      <c r="J8118" s="247"/>
      <c r="K8118" s="249"/>
    </row>
    <row r="8119" spans="1:11" s="90" customFormat="1" ht="12.75" customHeight="1" x14ac:dyDescent="0.2">
      <c r="A8119" s="247"/>
      <c r="B8119" s="316"/>
      <c r="C8119" s="247"/>
      <c r="D8119" s="317"/>
      <c r="E8119" s="318"/>
      <c r="F8119" s="247"/>
      <c r="G8119" s="247"/>
      <c r="H8119" s="248"/>
      <c r="I8119" s="248"/>
      <c r="J8119" s="247"/>
      <c r="K8119" s="249"/>
    </row>
    <row r="8120" spans="1:11" s="90" customFormat="1" ht="12.75" customHeight="1" x14ac:dyDescent="0.2">
      <c r="A8120" s="247"/>
      <c r="B8120" s="316"/>
      <c r="C8120" s="247"/>
      <c r="D8120" s="317"/>
      <c r="E8120" s="318"/>
      <c r="F8120" s="247"/>
      <c r="G8120" s="247"/>
      <c r="H8120" s="248"/>
      <c r="I8120" s="248"/>
      <c r="J8120" s="247"/>
      <c r="K8120" s="249"/>
    </row>
    <row r="8121" spans="1:11" s="90" customFormat="1" ht="12.75" customHeight="1" x14ac:dyDescent="0.2">
      <c r="A8121" s="247"/>
      <c r="B8121" s="316"/>
      <c r="C8121" s="247"/>
      <c r="D8121" s="317"/>
      <c r="E8121" s="318"/>
      <c r="F8121" s="247"/>
      <c r="G8121" s="247"/>
      <c r="H8121" s="248"/>
      <c r="I8121" s="248"/>
      <c r="J8121" s="247"/>
      <c r="K8121" s="249"/>
    </row>
    <row r="8122" spans="1:11" s="90" customFormat="1" ht="12.75" customHeight="1" x14ac:dyDescent="0.2">
      <c r="A8122" s="247"/>
      <c r="B8122" s="316"/>
      <c r="C8122" s="247"/>
      <c r="D8122" s="317"/>
      <c r="E8122" s="318"/>
      <c r="F8122" s="247"/>
      <c r="G8122" s="247"/>
      <c r="H8122" s="248"/>
      <c r="I8122" s="248"/>
      <c r="J8122" s="247"/>
      <c r="K8122" s="249"/>
    </row>
    <row r="8123" spans="1:11" s="90" customFormat="1" ht="12.75" customHeight="1" x14ac:dyDescent="0.2">
      <c r="A8123" s="247"/>
      <c r="B8123" s="316"/>
      <c r="C8123" s="247"/>
      <c r="D8123" s="317"/>
      <c r="E8123" s="318"/>
      <c r="F8123" s="247"/>
      <c r="G8123" s="247"/>
      <c r="H8123" s="248"/>
      <c r="I8123" s="248"/>
      <c r="J8123" s="247"/>
      <c r="K8123" s="249"/>
    </row>
    <row r="8124" spans="1:11" s="90" customFormat="1" ht="12.75" customHeight="1" x14ac:dyDescent="0.2">
      <c r="A8124" s="247"/>
      <c r="B8124" s="316"/>
      <c r="C8124" s="247"/>
      <c r="D8124" s="317"/>
      <c r="E8124" s="318"/>
      <c r="F8124" s="247"/>
      <c r="G8124" s="247"/>
      <c r="H8124" s="248"/>
      <c r="I8124" s="248"/>
      <c r="J8124" s="247"/>
      <c r="K8124" s="249"/>
    </row>
    <row r="8125" spans="1:11" s="90" customFormat="1" ht="12.75" customHeight="1" x14ac:dyDescent="0.2">
      <c r="A8125" s="247"/>
      <c r="B8125" s="316"/>
      <c r="C8125" s="247"/>
      <c r="D8125" s="317"/>
      <c r="E8125" s="318"/>
      <c r="F8125" s="247"/>
      <c r="G8125" s="247"/>
      <c r="H8125" s="248"/>
      <c r="I8125" s="248"/>
      <c r="J8125" s="247"/>
      <c r="K8125" s="249"/>
    </row>
    <row r="8126" spans="1:11" s="90" customFormat="1" ht="12.75" customHeight="1" x14ac:dyDescent="0.2">
      <c r="A8126" s="247"/>
      <c r="B8126" s="316"/>
      <c r="C8126" s="247"/>
      <c r="D8126" s="317"/>
      <c r="E8126" s="318"/>
      <c r="F8126" s="247"/>
      <c r="G8126" s="247"/>
      <c r="H8126" s="248"/>
      <c r="I8126" s="248"/>
      <c r="J8126" s="247"/>
      <c r="K8126" s="249"/>
    </row>
    <row r="8127" spans="1:11" s="90" customFormat="1" ht="12.75" customHeight="1" x14ac:dyDescent="0.2">
      <c r="A8127" s="247"/>
      <c r="B8127" s="316"/>
      <c r="C8127" s="247"/>
      <c r="D8127" s="317"/>
      <c r="E8127" s="318"/>
      <c r="F8127" s="247"/>
      <c r="G8127" s="247"/>
      <c r="H8127" s="248"/>
      <c r="I8127" s="248"/>
      <c r="J8127" s="247"/>
      <c r="K8127" s="249"/>
    </row>
    <row r="8128" spans="1:11" s="90" customFormat="1" ht="12.75" customHeight="1" x14ac:dyDescent="0.2">
      <c r="A8128" s="247"/>
      <c r="B8128" s="316"/>
      <c r="C8128" s="247"/>
      <c r="D8128" s="317"/>
      <c r="E8128" s="318"/>
      <c r="F8128" s="247"/>
      <c r="G8128" s="247"/>
      <c r="H8128" s="248"/>
      <c r="I8128" s="248"/>
      <c r="J8128" s="247"/>
      <c r="K8128" s="249"/>
    </row>
    <row r="8129" spans="1:11" s="90" customFormat="1" ht="12.75" customHeight="1" x14ac:dyDescent="0.2">
      <c r="A8129" s="247"/>
      <c r="B8129" s="316"/>
      <c r="C8129" s="247"/>
      <c r="D8129" s="317"/>
      <c r="E8129" s="318"/>
      <c r="F8129" s="247"/>
      <c r="G8129" s="247"/>
      <c r="H8129" s="248"/>
      <c r="I8129" s="248"/>
      <c r="J8129" s="247"/>
      <c r="K8129" s="249"/>
    </row>
    <row r="8130" spans="1:11" s="90" customFormat="1" ht="12.75" customHeight="1" x14ac:dyDescent="0.2">
      <c r="A8130" s="247"/>
      <c r="B8130" s="316"/>
      <c r="C8130" s="247"/>
      <c r="D8130" s="317"/>
      <c r="E8130" s="318"/>
      <c r="F8130" s="247"/>
      <c r="G8130" s="247"/>
      <c r="H8130" s="248"/>
      <c r="I8130" s="248"/>
      <c r="J8130" s="247"/>
      <c r="K8130" s="249"/>
    </row>
    <row r="8131" spans="1:11" s="90" customFormat="1" ht="12.75" customHeight="1" x14ac:dyDescent="0.2">
      <c r="A8131" s="247"/>
      <c r="B8131" s="316"/>
      <c r="C8131" s="247"/>
      <c r="D8131" s="317"/>
      <c r="E8131" s="318"/>
      <c r="F8131" s="247"/>
      <c r="G8131" s="247"/>
      <c r="H8131" s="248"/>
      <c r="I8131" s="248"/>
      <c r="J8131" s="247"/>
      <c r="K8131" s="249"/>
    </row>
    <row r="8132" spans="1:11" s="90" customFormat="1" ht="12.75" customHeight="1" x14ac:dyDescent="0.2">
      <c r="A8132" s="247"/>
      <c r="B8132" s="316"/>
      <c r="C8132" s="247"/>
      <c r="D8132" s="317"/>
      <c r="E8132" s="318"/>
      <c r="F8132" s="247"/>
      <c r="G8132" s="247"/>
      <c r="H8132" s="248"/>
      <c r="I8132" s="248"/>
      <c r="J8132" s="247"/>
      <c r="K8132" s="249"/>
    </row>
    <row r="8133" spans="1:11" s="90" customFormat="1" ht="12.75" customHeight="1" x14ac:dyDescent="0.2">
      <c r="A8133" s="247"/>
      <c r="B8133" s="316"/>
      <c r="C8133" s="247"/>
      <c r="D8133" s="317"/>
      <c r="E8133" s="318"/>
      <c r="F8133" s="247"/>
      <c r="G8133" s="247"/>
      <c r="H8133" s="248"/>
      <c r="I8133" s="248"/>
      <c r="J8133" s="247"/>
      <c r="K8133" s="249"/>
    </row>
    <row r="8134" spans="1:11" s="90" customFormat="1" ht="12.75" customHeight="1" x14ac:dyDescent="0.2">
      <c r="A8134" s="247"/>
      <c r="B8134" s="316"/>
      <c r="C8134" s="247"/>
      <c r="D8134" s="317"/>
      <c r="E8134" s="318"/>
      <c r="F8134" s="247"/>
      <c r="G8134" s="247"/>
      <c r="H8134" s="248"/>
      <c r="I8134" s="248"/>
      <c r="J8134" s="247"/>
      <c r="K8134" s="249"/>
    </row>
    <row r="8135" spans="1:11" s="90" customFormat="1" ht="12.75" customHeight="1" x14ac:dyDescent="0.2">
      <c r="A8135" s="247"/>
      <c r="B8135" s="316"/>
      <c r="C8135" s="247"/>
      <c r="D8135" s="317"/>
      <c r="E8135" s="318"/>
      <c r="F8135" s="247"/>
      <c r="G8135" s="247"/>
      <c r="H8135" s="248"/>
      <c r="I8135" s="248"/>
      <c r="J8135" s="247"/>
      <c r="K8135" s="249"/>
    </row>
    <row r="8136" spans="1:11" s="90" customFormat="1" ht="12.75" customHeight="1" x14ac:dyDescent="0.2">
      <c r="A8136" s="247"/>
      <c r="B8136" s="316"/>
      <c r="C8136" s="247"/>
      <c r="D8136" s="317"/>
      <c r="E8136" s="318"/>
      <c r="F8136" s="247"/>
      <c r="G8136" s="247"/>
      <c r="H8136" s="248"/>
      <c r="I8136" s="248"/>
      <c r="J8136" s="247"/>
      <c r="K8136" s="249"/>
    </row>
    <row r="8137" spans="1:11" s="90" customFormat="1" ht="12.75" customHeight="1" x14ac:dyDescent="0.2">
      <c r="A8137" s="247"/>
      <c r="B8137" s="316"/>
      <c r="C8137" s="247"/>
      <c r="D8137" s="317"/>
      <c r="E8137" s="318"/>
      <c r="F8137" s="247"/>
      <c r="G8137" s="247"/>
      <c r="H8137" s="248"/>
      <c r="I8137" s="248"/>
      <c r="J8137" s="247"/>
      <c r="K8137" s="249"/>
    </row>
    <row r="8138" spans="1:11" s="90" customFormat="1" ht="12.75" customHeight="1" x14ac:dyDescent="0.2">
      <c r="A8138" s="247"/>
      <c r="B8138" s="316"/>
      <c r="C8138" s="247"/>
      <c r="D8138" s="317"/>
      <c r="E8138" s="318"/>
      <c r="F8138" s="247"/>
      <c r="G8138" s="247"/>
      <c r="H8138" s="248"/>
      <c r="I8138" s="248"/>
      <c r="J8138" s="247"/>
      <c r="K8138" s="249"/>
    </row>
    <row r="8139" spans="1:11" s="90" customFormat="1" ht="12.75" customHeight="1" x14ac:dyDescent="0.2">
      <c r="A8139" s="247"/>
      <c r="B8139" s="316"/>
      <c r="C8139" s="247"/>
      <c r="D8139" s="317"/>
      <c r="E8139" s="318"/>
      <c r="F8139" s="247"/>
      <c r="G8139" s="247"/>
      <c r="H8139" s="248"/>
      <c r="I8139" s="248"/>
      <c r="J8139" s="247"/>
      <c r="K8139" s="249"/>
    </row>
    <row r="8140" spans="1:11" s="90" customFormat="1" ht="12.75" customHeight="1" x14ac:dyDescent="0.2">
      <c r="A8140" s="247"/>
      <c r="B8140" s="316"/>
      <c r="C8140" s="247"/>
      <c r="D8140" s="317"/>
      <c r="E8140" s="318"/>
      <c r="F8140" s="247"/>
      <c r="G8140" s="247"/>
      <c r="H8140" s="248"/>
      <c r="I8140" s="248"/>
      <c r="J8140" s="247"/>
      <c r="K8140" s="249"/>
    </row>
    <row r="8141" spans="1:11" s="90" customFormat="1" ht="12.75" customHeight="1" x14ac:dyDescent="0.2">
      <c r="A8141" s="247"/>
      <c r="B8141" s="316"/>
      <c r="C8141" s="247"/>
      <c r="D8141" s="317"/>
      <c r="E8141" s="318"/>
      <c r="F8141" s="247"/>
      <c r="G8141" s="247"/>
      <c r="H8141" s="248"/>
      <c r="I8141" s="248"/>
      <c r="J8141" s="247"/>
      <c r="K8141" s="249"/>
    </row>
    <row r="8142" spans="1:11" s="90" customFormat="1" ht="12.75" customHeight="1" x14ac:dyDescent="0.2">
      <c r="A8142" s="247"/>
      <c r="B8142" s="316"/>
      <c r="C8142" s="247"/>
      <c r="D8142" s="317"/>
      <c r="E8142" s="318"/>
      <c r="F8142" s="247"/>
      <c r="G8142" s="247"/>
      <c r="H8142" s="248"/>
      <c r="I8142" s="248"/>
      <c r="J8142" s="247"/>
      <c r="K8142" s="249"/>
    </row>
    <row r="8143" spans="1:11" s="90" customFormat="1" ht="12.75" customHeight="1" x14ac:dyDescent="0.2">
      <c r="A8143" s="247"/>
      <c r="B8143" s="316"/>
      <c r="C8143" s="247"/>
      <c r="D8143" s="317"/>
      <c r="E8143" s="318"/>
      <c r="F8143" s="247"/>
      <c r="G8143" s="247"/>
      <c r="H8143" s="248"/>
      <c r="I8143" s="248"/>
      <c r="J8143" s="247"/>
      <c r="K8143" s="249"/>
    </row>
    <row r="8144" spans="1:11" s="90" customFormat="1" ht="12.75" customHeight="1" x14ac:dyDescent="0.2">
      <c r="A8144" s="247"/>
      <c r="B8144" s="316"/>
      <c r="C8144" s="247"/>
      <c r="D8144" s="317"/>
      <c r="E8144" s="318"/>
      <c r="F8144" s="247"/>
      <c r="G8144" s="247"/>
      <c r="H8144" s="248"/>
      <c r="I8144" s="248"/>
      <c r="J8144" s="247"/>
      <c r="K8144" s="249"/>
    </row>
    <row r="8145" spans="1:11" s="90" customFormat="1" ht="12.75" customHeight="1" x14ac:dyDescent="0.2">
      <c r="A8145" s="247"/>
      <c r="B8145" s="316"/>
      <c r="C8145" s="247"/>
      <c r="D8145" s="317"/>
      <c r="E8145" s="318"/>
      <c r="F8145" s="247"/>
      <c r="G8145" s="247"/>
      <c r="H8145" s="248"/>
      <c r="I8145" s="248"/>
      <c r="J8145" s="247"/>
      <c r="K8145" s="249"/>
    </row>
    <row r="8146" spans="1:11" s="90" customFormat="1" ht="12.75" customHeight="1" x14ac:dyDescent="0.2">
      <c r="A8146" s="247"/>
      <c r="B8146" s="316"/>
      <c r="C8146" s="247"/>
      <c r="D8146" s="317"/>
      <c r="E8146" s="318"/>
      <c r="F8146" s="247"/>
      <c r="G8146" s="247"/>
      <c r="H8146" s="248"/>
      <c r="I8146" s="248"/>
      <c r="J8146" s="247"/>
      <c r="K8146" s="249"/>
    </row>
    <row r="8147" spans="1:11" s="90" customFormat="1" ht="12.75" customHeight="1" x14ac:dyDescent="0.2">
      <c r="A8147" s="247"/>
      <c r="B8147" s="316"/>
      <c r="C8147" s="247"/>
      <c r="D8147" s="317"/>
      <c r="E8147" s="318"/>
      <c r="F8147" s="247"/>
      <c r="G8147" s="247"/>
      <c r="H8147" s="248"/>
      <c r="I8147" s="248"/>
      <c r="J8147" s="247"/>
      <c r="K8147" s="249"/>
    </row>
    <row r="8148" spans="1:11" s="90" customFormat="1" ht="12.75" customHeight="1" x14ac:dyDescent="0.2">
      <c r="A8148" s="247"/>
      <c r="B8148" s="316"/>
      <c r="C8148" s="247"/>
      <c r="D8148" s="317"/>
      <c r="E8148" s="318"/>
      <c r="F8148" s="247"/>
      <c r="G8148" s="247"/>
      <c r="H8148" s="248"/>
      <c r="I8148" s="248"/>
      <c r="J8148" s="247"/>
      <c r="K8148" s="249"/>
    </row>
    <row r="8149" spans="1:11" s="90" customFormat="1" ht="12.75" customHeight="1" x14ac:dyDescent="0.2">
      <c r="A8149" s="247"/>
      <c r="B8149" s="316"/>
      <c r="C8149" s="247"/>
      <c r="D8149" s="317"/>
      <c r="E8149" s="318"/>
      <c r="F8149" s="247"/>
      <c r="G8149" s="247"/>
      <c r="H8149" s="248"/>
      <c r="I8149" s="248"/>
      <c r="J8149" s="247"/>
      <c r="K8149" s="249"/>
    </row>
    <row r="8150" spans="1:11" s="90" customFormat="1" ht="12.75" customHeight="1" x14ac:dyDescent="0.2">
      <c r="A8150" s="247"/>
      <c r="B8150" s="316"/>
      <c r="C8150" s="247"/>
      <c r="D8150" s="317"/>
      <c r="E8150" s="318"/>
      <c r="F8150" s="247"/>
      <c r="G8150" s="247"/>
      <c r="H8150" s="248"/>
      <c r="I8150" s="248"/>
      <c r="J8150" s="247"/>
      <c r="K8150" s="249"/>
    </row>
    <row r="8151" spans="1:11" s="90" customFormat="1" ht="12.75" customHeight="1" x14ac:dyDescent="0.2">
      <c r="A8151" s="247"/>
      <c r="B8151" s="316"/>
      <c r="C8151" s="247"/>
      <c r="D8151" s="317"/>
      <c r="E8151" s="318"/>
      <c r="F8151" s="247"/>
      <c r="G8151" s="247"/>
      <c r="H8151" s="248"/>
      <c r="I8151" s="248"/>
      <c r="J8151" s="247"/>
      <c r="K8151" s="249"/>
    </row>
    <row r="8152" spans="1:11" s="90" customFormat="1" ht="12.75" customHeight="1" x14ac:dyDescent="0.2">
      <c r="A8152" s="247"/>
      <c r="B8152" s="316"/>
      <c r="C8152" s="247"/>
      <c r="D8152" s="317"/>
      <c r="E8152" s="318"/>
      <c r="F8152" s="247"/>
      <c r="G8152" s="247"/>
      <c r="H8152" s="248"/>
      <c r="I8152" s="248"/>
      <c r="J8152" s="247"/>
      <c r="K8152" s="249"/>
    </row>
    <row r="8153" spans="1:11" s="90" customFormat="1" ht="12.75" customHeight="1" x14ac:dyDescent="0.2">
      <c r="A8153" s="247"/>
      <c r="B8153" s="316"/>
      <c r="C8153" s="247"/>
      <c r="D8153" s="317"/>
      <c r="E8153" s="318"/>
      <c r="F8153" s="247"/>
      <c r="G8153" s="247"/>
      <c r="H8153" s="248"/>
      <c r="I8153" s="248"/>
      <c r="J8153" s="247"/>
      <c r="K8153" s="249"/>
    </row>
    <row r="8154" spans="1:11" s="90" customFormat="1" ht="12.75" customHeight="1" x14ac:dyDescent="0.2">
      <c r="A8154" s="247"/>
      <c r="B8154" s="316"/>
      <c r="C8154" s="247"/>
      <c r="D8154" s="317"/>
      <c r="E8154" s="318"/>
      <c r="F8154" s="247"/>
      <c r="G8154" s="247"/>
      <c r="H8154" s="248"/>
      <c r="I8154" s="248"/>
      <c r="J8154" s="247"/>
      <c r="K8154" s="249"/>
    </row>
    <row r="8155" spans="1:11" s="90" customFormat="1" ht="12.75" customHeight="1" x14ac:dyDescent="0.2">
      <c r="A8155" s="247"/>
      <c r="B8155" s="316"/>
      <c r="C8155" s="247"/>
      <c r="D8155" s="317"/>
      <c r="E8155" s="318"/>
      <c r="F8155" s="247"/>
      <c r="G8155" s="247"/>
      <c r="H8155" s="248"/>
      <c r="I8155" s="248"/>
      <c r="J8155" s="247"/>
      <c r="K8155" s="249"/>
    </row>
    <row r="8156" spans="1:11" s="90" customFormat="1" ht="12.75" customHeight="1" x14ac:dyDescent="0.2">
      <c r="A8156" s="247"/>
      <c r="B8156" s="316"/>
      <c r="C8156" s="247"/>
      <c r="D8156" s="317"/>
      <c r="E8156" s="318"/>
      <c r="F8156" s="247"/>
      <c r="G8156" s="247"/>
      <c r="H8156" s="248"/>
      <c r="I8156" s="248"/>
      <c r="J8156" s="247"/>
      <c r="K8156" s="249"/>
    </row>
    <row r="8157" spans="1:11" s="90" customFormat="1" ht="12.75" customHeight="1" x14ac:dyDescent="0.2">
      <c r="A8157" s="247"/>
      <c r="B8157" s="316"/>
      <c r="C8157" s="247"/>
      <c r="D8157" s="317"/>
      <c r="E8157" s="318"/>
      <c r="F8157" s="247"/>
      <c r="G8157" s="247"/>
      <c r="H8157" s="248"/>
      <c r="I8157" s="248"/>
      <c r="J8157" s="247"/>
      <c r="K8157" s="249"/>
    </row>
    <row r="8158" spans="1:11" s="90" customFormat="1" ht="12.75" customHeight="1" x14ac:dyDescent="0.2">
      <c r="A8158" s="247"/>
      <c r="B8158" s="316"/>
      <c r="C8158" s="247"/>
      <c r="D8158" s="317"/>
      <c r="E8158" s="318"/>
      <c r="F8158" s="247"/>
      <c r="G8158" s="247"/>
      <c r="H8158" s="248"/>
      <c r="I8158" s="248"/>
      <c r="J8158" s="247"/>
      <c r="K8158" s="249"/>
    </row>
    <row r="8159" spans="1:11" s="90" customFormat="1" ht="12.75" customHeight="1" x14ac:dyDescent="0.2">
      <c r="A8159" s="247"/>
      <c r="B8159" s="316"/>
      <c r="C8159" s="247"/>
      <c r="D8159" s="317"/>
      <c r="E8159" s="318"/>
      <c r="F8159" s="247"/>
      <c r="G8159" s="247"/>
      <c r="H8159" s="248"/>
      <c r="I8159" s="248"/>
      <c r="J8159" s="247"/>
      <c r="K8159" s="249"/>
    </row>
    <row r="8160" spans="1:11" s="90" customFormat="1" ht="12.75" customHeight="1" x14ac:dyDescent="0.2">
      <c r="A8160" s="247"/>
      <c r="B8160" s="316"/>
      <c r="C8160" s="247"/>
      <c r="D8160" s="317"/>
      <c r="E8160" s="318"/>
      <c r="F8160" s="247"/>
      <c r="G8160" s="247"/>
      <c r="H8160" s="248"/>
      <c r="I8160" s="248"/>
      <c r="J8160" s="247"/>
      <c r="K8160" s="249"/>
    </row>
    <row r="8161" spans="1:11" s="90" customFormat="1" ht="12.75" customHeight="1" x14ac:dyDescent="0.2">
      <c r="A8161" s="247"/>
      <c r="B8161" s="316"/>
      <c r="C8161" s="247"/>
      <c r="D8161" s="317"/>
      <c r="E8161" s="318"/>
      <c r="F8161" s="247"/>
      <c r="G8161" s="247"/>
      <c r="H8161" s="248"/>
      <c r="I8161" s="248"/>
      <c r="J8161" s="247"/>
      <c r="K8161" s="249"/>
    </row>
    <row r="8162" spans="1:11" s="90" customFormat="1" ht="12.75" customHeight="1" x14ac:dyDescent="0.2">
      <c r="A8162" s="247"/>
      <c r="B8162" s="316"/>
      <c r="C8162" s="247"/>
      <c r="D8162" s="317"/>
      <c r="E8162" s="318"/>
      <c r="F8162" s="247"/>
      <c r="G8162" s="247"/>
      <c r="H8162" s="248"/>
      <c r="I8162" s="248"/>
      <c r="J8162" s="247"/>
      <c r="K8162" s="249"/>
    </row>
    <row r="8163" spans="1:11" s="90" customFormat="1" ht="12.75" customHeight="1" x14ac:dyDescent="0.2">
      <c r="A8163" s="247"/>
      <c r="B8163" s="316"/>
      <c r="C8163" s="247"/>
      <c r="D8163" s="317"/>
      <c r="E8163" s="318"/>
      <c r="F8163" s="247"/>
      <c r="G8163" s="247"/>
      <c r="H8163" s="248"/>
      <c r="I8163" s="248"/>
      <c r="J8163" s="247"/>
      <c r="K8163" s="249"/>
    </row>
    <row r="8164" spans="1:11" s="90" customFormat="1" ht="12.75" customHeight="1" x14ac:dyDescent="0.2">
      <c r="A8164" s="247"/>
      <c r="B8164" s="316"/>
      <c r="C8164" s="247"/>
      <c r="D8164" s="317"/>
      <c r="E8164" s="318"/>
      <c r="F8164" s="247"/>
      <c r="G8164" s="247"/>
      <c r="H8164" s="248"/>
      <c r="I8164" s="248"/>
      <c r="J8164" s="247"/>
      <c r="K8164" s="249"/>
    </row>
    <row r="8165" spans="1:11" s="90" customFormat="1" ht="12.75" customHeight="1" x14ac:dyDescent="0.2">
      <c r="A8165" s="247"/>
      <c r="B8165" s="316"/>
      <c r="C8165" s="247"/>
      <c r="D8165" s="317"/>
      <c r="E8165" s="318"/>
      <c r="F8165" s="247"/>
      <c r="G8165" s="247"/>
      <c r="H8165" s="248"/>
      <c r="I8165" s="248"/>
      <c r="J8165" s="247"/>
      <c r="K8165" s="249"/>
    </row>
    <row r="8166" spans="1:11" s="90" customFormat="1" ht="12.75" customHeight="1" x14ac:dyDescent="0.2">
      <c r="A8166" s="247"/>
      <c r="B8166" s="316"/>
      <c r="C8166" s="247"/>
      <c r="D8166" s="317"/>
      <c r="E8166" s="318"/>
      <c r="F8166" s="247"/>
      <c r="G8166" s="247"/>
      <c r="H8166" s="248"/>
      <c r="I8166" s="248"/>
      <c r="J8166" s="247"/>
      <c r="K8166" s="249"/>
    </row>
    <row r="8167" spans="1:11" s="90" customFormat="1" ht="12.75" customHeight="1" x14ac:dyDescent="0.2">
      <c r="A8167" s="247"/>
      <c r="B8167" s="316"/>
      <c r="C8167" s="247"/>
      <c r="D8167" s="317"/>
      <c r="E8167" s="318"/>
      <c r="F8167" s="247"/>
      <c r="G8167" s="247"/>
      <c r="H8167" s="248"/>
      <c r="I8167" s="248"/>
      <c r="J8167" s="247"/>
      <c r="K8167" s="249"/>
    </row>
    <row r="8168" spans="1:11" s="90" customFormat="1" ht="12.75" customHeight="1" x14ac:dyDescent="0.2">
      <c r="A8168" s="247"/>
      <c r="B8168" s="316"/>
      <c r="C8168" s="247"/>
      <c r="D8168" s="317"/>
      <c r="E8168" s="318"/>
      <c r="F8168" s="247"/>
      <c r="G8168" s="247"/>
      <c r="H8168" s="248"/>
      <c r="I8168" s="248"/>
      <c r="J8168" s="247"/>
      <c r="K8168" s="249"/>
    </row>
    <row r="8169" spans="1:11" s="90" customFormat="1" ht="12.75" customHeight="1" x14ac:dyDescent="0.2">
      <c r="A8169" s="247"/>
      <c r="B8169" s="316"/>
      <c r="C8169" s="247"/>
      <c r="D8169" s="317"/>
      <c r="E8169" s="318"/>
      <c r="F8169" s="247"/>
      <c r="G8169" s="247"/>
      <c r="H8169" s="248"/>
      <c r="I8169" s="248"/>
      <c r="J8169" s="247"/>
      <c r="K8169" s="249"/>
    </row>
    <row r="8170" spans="1:11" s="90" customFormat="1" ht="12.75" customHeight="1" x14ac:dyDescent="0.2">
      <c r="A8170" s="247"/>
      <c r="B8170" s="316"/>
      <c r="C8170" s="247"/>
      <c r="D8170" s="317"/>
      <c r="E8170" s="318"/>
      <c r="F8170" s="247"/>
      <c r="G8170" s="247"/>
      <c r="H8170" s="248"/>
      <c r="I8170" s="248"/>
      <c r="J8170" s="247"/>
      <c r="K8170" s="249"/>
    </row>
    <row r="8171" spans="1:11" s="90" customFormat="1" ht="12.75" customHeight="1" x14ac:dyDescent="0.2">
      <c r="A8171" s="247"/>
      <c r="B8171" s="316"/>
      <c r="C8171" s="247"/>
      <c r="D8171" s="317"/>
      <c r="E8171" s="318"/>
      <c r="F8171" s="247"/>
      <c r="G8171" s="247"/>
      <c r="H8171" s="248"/>
      <c r="I8171" s="248"/>
      <c r="J8171" s="247"/>
      <c r="K8171" s="249"/>
    </row>
    <row r="8172" spans="1:11" s="90" customFormat="1" ht="12.75" customHeight="1" x14ac:dyDescent="0.2">
      <c r="A8172" s="247"/>
      <c r="B8172" s="316"/>
      <c r="C8172" s="247"/>
      <c r="D8172" s="317"/>
      <c r="E8172" s="318"/>
      <c r="F8172" s="247"/>
      <c r="G8172" s="247"/>
      <c r="H8172" s="248"/>
      <c r="I8172" s="248"/>
      <c r="J8172" s="247"/>
      <c r="K8172" s="249"/>
    </row>
    <row r="8173" spans="1:11" s="90" customFormat="1" ht="12.75" customHeight="1" x14ac:dyDescent="0.2">
      <c r="A8173" s="247"/>
      <c r="B8173" s="316"/>
      <c r="C8173" s="247"/>
      <c r="D8173" s="317"/>
      <c r="E8173" s="318"/>
      <c r="F8173" s="247"/>
      <c r="G8173" s="247"/>
      <c r="H8173" s="248"/>
      <c r="I8173" s="248"/>
      <c r="J8173" s="247"/>
      <c r="K8173" s="249"/>
    </row>
    <row r="8174" spans="1:11" s="90" customFormat="1" ht="12.75" customHeight="1" x14ac:dyDescent="0.2">
      <c r="A8174" s="247"/>
      <c r="B8174" s="316"/>
      <c r="C8174" s="247"/>
      <c r="D8174" s="317"/>
      <c r="E8174" s="318"/>
      <c r="F8174" s="247"/>
      <c r="G8174" s="247"/>
      <c r="H8174" s="248"/>
      <c r="I8174" s="248"/>
      <c r="J8174" s="247"/>
      <c r="K8174" s="249"/>
    </row>
    <row r="8175" spans="1:11" s="90" customFormat="1" ht="12.75" customHeight="1" x14ac:dyDescent="0.2">
      <c r="A8175" s="247"/>
      <c r="B8175" s="316"/>
      <c r="C8175" s="247"/>
      <c r="D8175" s="317"/>
      <c r="E8175" s="318"/>
      <c r="F8175" s="247"/>
      <c r="G8175" s="247"/>
      <c r="H8175" s="248"/>
      <c r="I8175" s="248"/>
      <c r="J8175" s="247"/>
      <c r="K8175" s="249"/>
    </row>
    <row r="8176" spans="1:11" s="90" customFormat="1" ht="12.75" customHeight="1" x14ac:dyDescent="0.2">
      <c r="A8176" s="247"/>
      <c r="B8176" s="316"/>
      <c r="C8176" s="247"/>
      <c r="D8176" s="317"/>
      <c r="E8176" s="318"/>
      <c r="F8176" s="247"/>
      <c r="G8176" s="247"/>
      <c r="H8176" s="248"/>
      <c r="I8176" s="248"/>
      <c r="J8176" s="247"/>
      <c r="K8176" s="249"/>
    </row>
    <row r="8177" spans="1:11" s="90" customFormat="1" ht="12.75" customHeight="1" x14ac:dyDescent="0.2">
      <c r="A8177" s="247"/>
      <c r="B8177" s="316"/>
      <c r="C8177" s="247"/>
      <c r="D8177" s="317"/>
      <c r="E8177" s="318"/>
      <c r="F8177" s="247"/>
      <c r="G8177" s="247"/>
      <c r="H8177" s="248"/>
      <c r="I8177" s="248"/>
      <c r="J8177" s="247"/>
      <c r="K8177" s="249"/>
    </row>
    <row r="8178" spans="1:11" s="90" customFormat="1" ht="12.75" customHeight="1" x14ac:dyDescent="0.2">
      <c r="A8178" s="247"/>
      <c r="B8178" s="316"/>
      <c r="C8178" s="247"/>
      <c r="D8178" s="317"/>
      <c r="E8178" s="318"/>
      <c r="F8178" s="247"/>
      <c r="G8178" s="247"/>
      <c r="H8178" s="248"/>
      <c r="I8178" s="248"/>
      <c r="J8178" s="247"/>
      <c r="K8178" s="249"/>
    </row>
    <row r="8179" spans="1:11" s="90" customFormat="1" ht="12.75" customHeight="1" x14ac:dyDescent="0.2">
      <c r="A8179" s="247"/>
      <c r="B8179" s="316"/>
      <c r="C8179" s="247"/>
      <c r="D8179" s="317"/>
      <c r="E8179" s="318"/>
      <c r="F8179" s="247"/>
      <c r="G8179" s="247"/>
      <c r="H8179" s="248"/>
      <c r="I8179" s="248"/>
      <c r="J8179" s="247"/>
      <c r="K8179" s="249"/>
    </row>
    <row r="8180" spans="1:11" s="90" customFormat="1" ht="12.75" customHeight="1" x14ac:dyDescent="0.2">
      <c r="A8180" s="247"/>
      <c r="B8180" s="316"/>
      <c r="C8180" s="247"/>
      <c r="D8180" s="317"/>
      <c r="E8180" s="318"/>
      <c r="F8180" s="247"/>
      <c r="G8180" s="247"/>
      <c r="H8180" s="248"/>
      <c r="I8180" s="248"/>
      <c r="J8180" s="247"/>
      <c r="K8180" s="249"/>
    </row>
    <row r="8181" spans="1:11" s="90" customFormat="1" ht="12.75" customHeight="1" x14ac:dyDescent="0.2">
      <c r="A8181" s="247"/>
      <c r="B8181" s="316"/>
      <c r="C8181" s="247"/>
      <c r="D8181" s="317"/>
      <c r="E8181" s="318"/>
      <c r="F8181" s="247"/>
      <c r="G8181" s="247"/>
      <c r="H8181" s="248"/>
      <c r="I8181" s="248"/>
      <c r="J8181" s="247"/>
      <c r="K8181" s="249"/>
    </row>
    <row r="8182" spans="1:11" s="90" customFormat="1" ht="12.75" customHeight="1" x14ac:dyDescent="0.2">
      <c r="A8182" s="247"/>
      <c r="B8182" s="316"/>
      <c r="C8182" s="247"/>
      <c r="D8182" s="317"/>
      <c r="E8182" s="318"/>
      <c r="F8182" s="247"/>
      <c r="G8182" s="247"/>
      <c r="H8182" s="248"/>
      <c r="I8182" s="248"/>
      <c r="J8182" s="247"/>
      <c r="K8182" s="249"/>
    </row>
    <row r="8183" spans="1:11" s="90" customFormat="1" ht="12.75" customHeight="1" x14ac:dyDescent="0.2">
      <c r="A8183" s="247"/>
      <c r="B8183" s="316"/>
      <c r="C8183" s="247"/>
      <c r="D8183" s="317"/>
      <c r="E8183" s="318"/>
      <c r="F8183" s="247"/>
      <c r="G8183" s="247"/>
      <c r="H8183" s="248"/>
      <c r="I8183" s="248"/>
      <c r="J8183" s="247"/>
      <c r="K8183" s="249"/>
    </row>
    <row r="8184" spans="1:11" s="90" customFormat="1" ht="12.75" customHeight="1" x14ac:dyDescent="0.2">
      <c r="A8184" s="247"/>
      <c r="B8184" s="316"/>
      <c r="C8184" s="247"/>
      <c r="D8184" s="317"/>
      <c r="E8184" s="318"/>
      <c r="F8184" s="247"/>
      <c r="G8184" s="247"/>
      <c r="H8184" s="248"/>
      <c r="I8184" s="248"/>
      <c r="J8184" s="247"/>
      <c r="K8184" s="249"/>
    </row>
    <row r="8185" spans="1:11" s="90" customFormat="1" ht="12.75" customHeight="1" x14ac:dyDescent="0.2">
      <c r="A8185" s="247"/>
      <c r="B8185" s="316"/>
      <c r="C8185" s="247"/>
      <c r="D8185" s="317"/>
      <c r="E8185" s="318"/>
      <c r="F8185" s="247"/>
      <c r="G8185" s="247"/>
      <c r="H8185" s="248"/>
      <c r="I8185" s="248"/>
      <c r="J8185" s="247"/>
      <c r="K8185" s="249"/>
    </row>
    <row r="8186" spans="1:11" s="90" customFormat="1" ht="12.75" customHeight="1" x14ac:dyDescent="0.2">
      <c r="A8186" s="247"/>
      <c r="B8186" s="316"/>
      <c r="C8186" s="247"/>
      <c r="D8186" s="317"/>
      <c r="E8186" s="318"/>
      <c r="F8186" s="247"/>
      <c r="G8186" s="247"/>
      <c r="H8186" s="248"/>
      <c r="I8186" s="248"/>
      <c r="J8186" s="247"/>
      <c r="K8186" s="249"/>
    </row>
    <row r="8187" spans="1:11" s="90" customFormat="1" ht="12.75" customHeight="1" x14ac:dyDescent="0.2">
      <c r="A8187" s="247"/>
      <c r="B8187" s="316"/>
      <c r="C8187" s="247"/>
      <c r="D8187" s="317"/>
      <c r="E8187" s="318"/>
      <c r="F8187" s="247"/>
      <c r="G8187" s="247"/>
      <c r="H8187" s="248"/>
      <c r="I8187" s="248"/>
      <c r="J8187" s="247"/>
      <c r="K8187" s="249"/>
    </row>
    <row r="8188" spans="1:11" s="90" customFormat="1" ht="12.75" customHeight="1" x14ac:dyDescent="0.2">
      <c r="A8188" s="247"/>
      <c r="B8188" s="316"/>
      <c r="C8188" s="247"/>
      <c r="D8188" s="317"/>
      <c r="E8188" s="318"/>
      <c r="F8188" s="247"/>
      <c r="G8188" s="247"/>
      <c r="H8188" s="248"/>
      <c r="I8188" s="248"/>
      <c r="J8188" s="247"/>
      <c r="K8188" s="249"/>
    </row>
    <row r="8189" spans="1:11" s="90" customFormat="1" ht="12.75" customHeight="1" x14ac:dyDescent="0.2">
      <c r="A8189" s="247"/>
      <c r="B8189" s="316"/>
      <c r="C8189" s="247"/>
      <c r="D8189" s="317"/>
      <c r="E8189" s="318"/>
      <c r="F8189" s="247"/>
      <c r="G8189" s="247"/>
      <c r="H8189" s="248"/>
      <c r="I8189" s="248"/>
      <c r="J8189" s="247"/>
      <c r="K8189" s="249"/>
    </row>
    <row r="8190" spans="1:11" s="90" customFormat="1" ht="12.75" customHeight="1" x14ac:dyDescent="0.2">
      <c r="A8190" s="247"/>
      <c r="B8190" s="316"/>
      <c r="C8190" s="247"/>
      <c r="D8190" s="317"/>
      <c r="E8190" s="318"/>
      <c r="F8190" s="247"/>
      <c r="G8190" s="247"/>
      <c r="H8190" s="248"/>
      <c r="I8190" s="248"/>
      <c r="J8190" s="247"/>
      <c r="K8190" s="249"/>
    </row>
    <row r="8191" spans="1:11" s="90" customFormat="1" ht="12.75" customHeight="1" x14ac:dyDescent="0.2">
      <c r="A8191" s="247"/>
      <c r="B8191" s="316"/>
      <c r="C8191" s="247"/>
      <c r="D8191" s="317"/>
      <c r="E8191" s="318"/>
      <c r="F8191" s="247"/>
      <c r="G8191" s="247"/>
      <c r="H8191" s="248"/>
      <c r="I8191" s="248"/>
      <c r="J8191" s="247"/>
      <c r="K8191" s="249"/>
    </row>
    <row r="8192" spans="1:11" s="90" customFormat="1" ht="12.75" customHeight="1" x14ac:dyDescent="0.2">
      <c r="A8192" s="247"/>
      <c r="B8192" s="316"/>
      <c r="C8192" s="247"/>
      <c r="D8192" s="317"/>
      <c r="E8192" s="318"/>
      <c r="F8192" s="247"/>
      <c r="G8192" s="247"/>
      <c r="H8192" s="248"/>
      <c r="I8192" s="248"/>
      <c r="J8192" s="247"/>
      <c r="K8192" s="249"/>
    </row>
    <row r="8193" spans="1:11" s="90" customFormat="1" ht="12.75" customHeight="1" x14ac:dyDescent="0.2">
      <c r="A8193" s="247"/>
      <c r="B8193" s="316"/>
      <c r="C8193" s="247"/>
      <c r="D8193" s="317"/>
      <c r="E8193" s="318"/>
      <c r="F8193" s="247"/>
      <c r="G8193" s="247"/>
      <c r="H8193" s="248"/>
      <c r="I8193" s="248"/>
      <c r="J8193" s="247"/>
      <c r="K8193" s="249"/>
    </row>
    <row r="8194" spans="1:11" s="90" customFormat="1" ht="12.75" customHeight="1" x14ac:dyDescent="0.2">
      <c r="A8194" s="247"/>
      <c r="B8194" s="316"/>
      <c r="C8194" s="247"/>
      <c r="D8194" s="317"/>
      <c r="E8194" s="318"/>
      <c r="F8194" s="247"/>
      <c r="G8194" s="247"/>
      <c r="H8194" s="248"/>
      <c r="I8194" s="248"/>
      <c r="J8194" s="247"/>
      <c r="K8194" s="249"/>
    </row>
    <row r="8195" spans="1:11" s="90" customFormat="1" ht="12.75" customHeight="1" x14ac:dyDescent="0.2">
      <c r="A8195" s="247"/>
      <c r="B8195" s="316"/>
      <c r="C8195" s="247"/>
      <c r="D8195" s="317"/>
      <c r="E8195" s="318"/>
      <c r="F8195" s="247"/>
      <c r="G8195" s="247"/>
      <c r="H8195" s="248"/>
      <c r="I8195" s="248"/>
      <c r="J8195" s="247"/>
      <c r="K8195" s="249"/>
    </row>
    <row r="8196" spans="1:11" s="90" customFormat="1" ht="12.75" customHeight="1" x14ac:dyDescent="0.2">
      <c r="A8196" s="247"/>
      <c r="B8196" s="316"/>
      <c r="C8196" s="247"/>
      <c r="D8196" s="317"/>
      <c r="E8196" s="318"/>
      <c r="F8196" s="247"/>
      <c r="G8196" s="247"/>
      <c r="H8196" s="248"/>
      <c r="I8196" s="248"/>
      <c r="J8196" s="247"/>
      <c r="K8196" s="249"/>
    </row>
    <row r="8197" spans="1:11" s="90" customFormat="1" ht="12.75" customHeight="1" x14ac:dyDescent="0.2">
      <c r="A8197" s="247"/>
      <c r="B8197" s="316"/>
      <c r="C8197" s="247"/>
      <c r="D8197" s="317"/>
      <c r="E8197" s="318"/>
      <c r="F8197" s="247"/>
      <c r="G8197" s="247"/>
      <c r="H8197" s="248"/>
      <c r="I8197" s="248"/>
      <c r="J8197" s="247"/>
      <c r="K8197" s="249"/>
    </row>
    <row r="8198" spans="1:11" s="90" customFormat="1" ht="12.75" customHeight="1" x14ac:dyDescent="0.2">
      <c r="A8198" s="247"/>
      <c r="B8198" s="316"/>
      <c r="C8198" s="247"/>
      <c r="D8198" s="317"/>
      <c r="E8198" s="318"/>
      <c r="F8198" s="247"/>
      <c r="G8198" s="247"/>
      <c r="H8198" s="248"/>
      <c r="I8198" s="248"/>
      <c r="J8198" s="247"/>
      <c r="K8198" s="249"/>
    </row>
    <row r="8199" spans="1:11" s="90" customFormat="1" ht="12.75" customHeight="1" x14ac:dyDescent="0.2">
      <c r="A8199" s="247"/>
      <c r="B8199" s="316"/>
      <c r="C8199" s="247"/>
      <c r="D8199" s="317"/>
      <c r="E8199" s="318"/>
      <c r="F8199" s="247"/>
      <c r="G8199" s="247"/>
      <c r="H8199" s="248"/>
      <c r="I8199" s="248"/>
      <c r="J8199" s="247"/>
      <c r="K8199" s="249"/>
    </row>
    <row r="8200" spans="1:11" s="90" customFormat="1" ht="12.75" customHeight="1" x14ac:dyDescent="0.2">
      <c r="A8200" s="247"/>
      <c r="B8200" s="316"/>
      <c r="C8200" s="247"/>
      <c r="D8200" s="317"/>
      <c r="E8200" s="318"/>
      <c r="F8200" s="247"/>
      <c r="G8200" s="247"/>
      <c r="H8200" s="248"/>
      <c r="I8200" s="248"/>
      <c r="J8200" s="247"/>
      <c r="K8200" s="249"/>
    </row>
    <row r="8201" spans="1:11" s="90" customFormat="1" ht="12.75" customHeight="1" x14ac:dyDescent="0.2">
      <c r="A8201" s="247"/>
      <c r="B8201" s="316"/>
      <c r="C8201" s="247"/>
      <c r="D8201" s="317"/>
      <c r="E8201" s="318"/>
      <c r="F8201" s="247"/>
      <c r="G8201" s="247"/>
      <c r="H8201" s="248"/>
      <c r="I8201" s="248"/>
      <c r="J8201" s="247"/>
      <c r="K8201" s="249"/>
    </row>
    <row r="8202" spans="1:11" s="90" customFormat="1" ht="12.75" customHeight="1" x14ac:dyDescent="0.2">
      <c r="A8202" s="247"/>
      <c r="B8202" s="316"/>
      <c r="C8202" s="247"/>
      <c r="D8202" s="317"/>
      <c r="E8202" s="318"/>
      <c r="F8202" s="247"/>
      <c r="G8202" s="247"/>
      <c r="H8202" s="248"/>
      <c r="I8202" s="248"/>
      <c r="J8202" s="247"/>
      <c r="K8202" s="249"/>
    </row>
    <row r="8203" spans="1:11" s="90" customFormat="1" ht="12.75" customHeight="1" x14ac:dyDescent="0.2">
      <c r="A8203" s="247"/>
      <c r="B8203" s="316"/>
      <c r="C8203" s="247"/>
      <c r="D8203" s="317"/>
      <c r="E8203" s="318"/>
      <c r="F8203" s="247"/>
      <c r="G8203" s="247"/>
      <c r="H8203" s="248"/>
      <c r="I8203" s="248"/>
      <c r="J8203" s="247"/>
      <c r="K8203" s="249"/>
    </row>
    <row r="8204" spans="1:11" s="90" customFormat="1" ht="12.75" customHeight="1" x14ac:dyDescent="0.2">
      <c r="A8204" s="247"/>
      <c r="B8204" s="316"/>
      <c r="C8204" s="247"/>
      <c r="D8204" s="317"/>
      <c r="E8204" s="318"/>
      <c r="F8204" s="247"/>
      <c r="G8204" s="247"/>
      <c r="H8204" s="248"/>
      <c r="I8204" s="248"/>
      <c r="J8204" s="247"/>
      <c r="K8204" s="249"/>
    </row>
    <row r="8205" spans="1:11" s="90" customFormat="1" ht="12.75" customHeight="1" x14ac:dyDescent="0.2">
      <c r="A8205" s="247"/>
      <c r="B8205" s="316"/>
      <c r="C8205" s="247"/>
      <c r="D8205" s="317"/>
      <c r="E8205" s="318"/>
      <c r="F8205" s="247"/>
      <c r="G8205" s="247"/>
      <c r="H8205" s="248"/>
      <c r="I8205" s="248"/>
      <c r="J8205" s="247"/>
      <c r="K8205" s="249"/>
    </row>
    <row r="8206" spans="1:11" s="90" customFormat="1" ht="12.75" customHeight="1" x14ac:dyDescent="0.2">
      <c r="A8206" s="247"/>
      <c r="B8206" s="316"/>
      <c r="C8206" s="247"/>
      <c r="D8206" s="317"/>
      <c r="E8206" s="318"/>
      <c r="F8206" s="247"/>
      <c r="G8206" s="247"/>
      <c r="H8206" s="248"/>
      <c r="I8206" s="248"/>
      <c r="J8206" s="247"/>
      <c r="K8206" s="249"/>
    </row>
    <row r="8207" spans="1:11" s="90" customFormat="1" ht="12.75" customHeight="1" x14ac:dyDescent="0.2">
      <c r="A8207" s="247"/>
      <c r="B8207" s="316"/>
      <c r="C8207" s="247"/>
      <c r="D8207" s="317"/>
      <c r="E8207" s="318"/>
      <c r="F8207" s="247"/>
      <c r="G8207" s="247"/>
      <c r="H8207" s="248"/>
      <c r="I8207" s="248"/>
      <c r="J8207" s="247"/>
      <c r="K8207" s="249"/>
    </row>
    <row r="8208" spans="1:11" s="90" customFormat="1" ht="12.75" customHeight="1" x14ac:dyDescent="0.2">
      <c r="A8208" s="247"/>
      <c r="B8208" s="316"/>
      <c r="C8208" s="247"/>
      <c r="D8208" s="317"/>
      <c r="E8208" s="318"/>
      <c r="F8208" s="247"/>
      <c r="G8208" s="247"/>
      <c r="H8208" s="248"/>
      <c r="I8208" s="248"/>
      <c r="J8208" s="247"/>
      <c r="K8208" s="249"/>
    </row>
    <row r="8209" spans="1:11" s="90" customFormat="1" ht="12.75" customHeight="1" x14ac:dyDescent="0.2">
      <c r="A8209" s="247"/>
      <c r="B8209" s="316"/>
      <c r="C8209" s="247"/>
      <c r="D8209" s="317"/>
      <c r="E8209" s="318"/>
      <c r="F8209" s="247"/>
      <c r="G8209" s="247"/>
      <c r="H8209" s="248"/>
      <c r="I8209" s="248"/>
      <c r="J8209" s="247"/>
      <c r="K8209" s="249"/>
    </row>
    <row r="8210" spans="1:11" s="90" customFormat="1" ht="12.75" customHeight="1" x14ac:dyDescent="0.2">
      <c r="A8210" s="247"/>
      <c r="B8210" s="316"/>
      <c r="C8210" s="247"/>
      <c r="D8210" s="317"/>
      <c r="E8210" s="318"/>
      <c r="F8210" s="247"/>
      <c r="G8210" s="247"/>
      <c r="H8210" s="248"/>
      <c r="I8210" s="248"/>
      <c r="J8210" s="247"/>
      <c r="K8210" s="249"/>
    </row>
    <row r="8211" spans="1:11" s="90" customFormat="1" ht="12.75" customHeight="1" x14ac:dyDescent="0.2">
      <c r="A8211" s="247"/>
      <c r="B8211" s="316"/>
      <c r="C8211" s="247"/>
      <c r="D8211" s="317"/>
      <c r="E8211" s="318"/>
      <c r="F8211" s="247"/>
      <c r="G8211" s="247"/>
      <c r="H8211" s="248"/>
      <c r="I8211" s="248"/>
      <c r="J8211" s="247"/>
      <c r="K8211" s="249"/>
    </row>
    <row r="8212" spans="1:11" s="90" customFormat="1" ht="12.75" customHeight="1" x14ac:dyDescent="0.2">
      <c r="A8212" s="247"/>
      <c r="B8212" s="316"/>
      <c r="C8212" s="247"/>
      <c r="D8212" s="317"/>
      <c r="E8212" s="318"/>
      <c r="F8212" s="247"/>
      <c r="G8212" s="247"/>
      <c r="H8212" s="248"/>
      <c r="I8212" s="248"/>
      <c r="J8212" s="247"/>
      <c r="K8212" s="249"/>
    </row>
    <row r="8213" spans="1:11" s="90" customFormat="1" ht="12.75" customHeight="1" x14ac:dyDescent="0.2">
      <c r="A8213" s="247"/>
      <c r="B8213" s="316"/>
      <c r="C8213" s="247"/>
      <c r="D8213" s="317"/>
      <c r="E8213" s="318"/>
      <c r="F8213" s="247"/>
      <c r="G8213" s="247"/>
      <c r="H8213" s="248"/>
      <c r="I8213" s="248"/>
      <c r="J8213" s="247"/>
      <c r="K8213" s="249"/>
    </row>
    <row r="8214" spans="1:11" s="90" customFormat="1" ht="12.75" customHeight="1" x14ac:dyDescent="0.2">
      <c r="A8214" s="247"/>
      <c r="B8214" s="316"/>
      <c r="C8214" s="247"/>
      <c r="D8214" s="317"/>
      <c r="E8214" s="318"/>
      <c r="F8214" s="247"/>
      <c r="G8214" s="247"/>
      <c r="H8214" s="248"/>
      <c r="I8214" s="248"/>
      <c r="J8214" s="247"/>
      <c r="K8214" s="249"/>
    </row>
    <row r="8215" spans="1:11" s="90" customFormat="1" ht="12.75" customHeight="1" x14ac:dyDescent="0.2">
      <c r="A8215" s="247"/>
      <c r="B8215" s="316"/>
      <c r="C8215" s="247"/>
      <c r="D8215" s="317"/>
      <c r="E8215" s="318"/>
      <c r="F8215" s="247"/>
      <c r="G8215" s="247"/>
      <c r="H8215" s="248"/>
      <c r="I8215" s="248"/>
      <c r="J8215" s="247"/>
      <c r="K8215" s="249"/>
    </row>
    <row r="8216" spans="1:11" s="90" customFormat="1" ht="12.75" customHeight="1" x14ac:dyDescent="0.2">
      <c r="A8216" s="247"/>
      <c r="B8216" s="316"/>
      <c r="C8216" s="247"/>
      <c r="D8216" s="317"/>
      <c r="E8216" s="318"/>
      <c r="F8216" s="247"/>
      <c r="G8216" s="247"/>
      <c r="H8216" s="248"/>
      <c r="I8216" s="248"/>
      <c r="J8216" s="247"/>
      <c r="K8216" s="249"/>
    </row>
    <row r="8217" spans="1:11" s="90" customFormat="1" ht="12.75" customHeight="1" x14ac:dyDescent="0.2">
      <c r="A8217" s="247"/>
      <c r="B8217" s="316"/>
      <c r="C8217" s="247"/>
      <c r="D8217" s="317"/>
      <c r="E8217" s="318"/>
      <c r="F8217" s="247"/>
      <c r="G8217" s="247"/>
      <c r="H8217" s="248"/>
      <c r="I8217" s="248"/>
      <c r="J8217" s="247"/>
      <c r="K8217" s="249"/>
    </row>
    <row r="8218" spans="1:11" s="90" customFormat="1" ht="12.75" customHeight="1" x14ac:dyDescent="0.2">
      <c r="A8218" s="247"/>
      <c r="B8218" s="316"/>
      <c r="C8218" s="247"/>
      <c r="D8218" s="317"/>
      <c r="E8218" s="318"/>
      <c r="F8218" s="247"/>
      <c r="G8218" s="247"/>
      <c r="H8218" s="248"/>
      <c r="I8218" s="248"/>
      <c r="J8218" s="247"/>
      <c r="K8218" s="249"/>
    </row>
    <row r="8219" spans="1:11" s="90" customFormat="1" ht="12.75" customHeight="1" x14ac:dyDescent="0.2">
      <c r="A8219" s="247"/>
      <c r="B8219" s="316"/>
      <c r="C8219" s="247"/>
      <c r="D8219" s="317"/>
      <c r="E8219" s="318"/>
      <c r="F8219" s="247"/>
      <c r="G8219" s="247"/>
      <c r="H8219" s="248"/>
      <c r="I8219" s="248"/>
      <c r="J8219" s="247"/>
      <c r="K8219" s="249"/>
    </row>
    <row r="8220" spans="1:11" s="90" customFormat="1" ht="12.75" customHeight="1" x14ac:dyDescent="0.2">
      <c r="A8220" s="247"/>
      <c r="B8220" s="316"/>
      <c r="C8220" s="247"/>
      <c r="D8220" s="317"/>
      <c r="E8220" s="318"/>
      <c r="F8220" s="247"/>
      <c r="G8220" s="247"/>
      <c r="H8220" s="248"/>
      <c r="I8220" s="248"/>
      <c r="J8220" s="247"/>
      <c r="K8220" s="249"/>
    </row>
    <row r="8221" spans="1:11" s="90" customFormat="1" ht="12.75" customHeight="1" x14ac:dyDescent="0.2">
      <c r="A8221" s="247"/>
      <c r="B8221" s="316"/>
      <c r="C8221" s="247"/>
      <c r="D8221" s="317"/>
      <c r="E8221" s="318"/>
      <c r="F8221" s="247"/>
      <c r="G8221" s="247"/>
      <c r="H8221" s="248"/>
      <c r="I8221" s="248"/>
      <c r="J8221" s="247"/>
      <c r="K8221" s="249"/>
    </row>
    <row r="8222" spans="1:11" s="90" customFormat="1" ht="12.75" customHeight="1" x14ac:dyDescent="0.2">
      <c r="A8222" s="247"/>
      <c r="B8222" s="316"/>
      <c r="C8222" s="247"/>
      <c r="D8222" s="317"/>
      <c r="E8222" s="318"/>
      <c r="F8222" s="247"/>
      <c r="G8222" s="247"/>
      <c r="H8222" s="248"/>
      <c r="I8222" s="248"/>
      <c r="J8222" s="247"/>
      <c r="K8222" s="249"/>
    </row>
    <row r="8223" spans="1:11" s="90" customFormat="1" ht="12.75" customHeight="1" x14ac:dyDescent="0.2">
      <c r="A8223" s="247"/>
      <c r="B8223" s="316"/>
      <c r="C8223" s="247"/>
      <c r="D8223" s="317"/>
      <c r="E8223" s="318"/>
      <c r="F8223" s="247"/>
      <c r="G8223" s="247"/>
      <c r="H8223" s="248"/>
      <c r="I8223" s="248"/>
      <c r="J8223" s="247"/>
      <c r="K8223" s="249"/>
    </row>
    <row r="8224" spans="1:11" s="90" customFormat="1" ht="12.75" customHeight="1" x14ac:dyDescent="0.2">
      <c r="A8224" s="247"/>
      <c r="B8224" s="316"/>
      <c r="C8224" s="247"/>
      <c r="D8224" s="317"/>
      <c r="E8224" s="318"/>
      <c r="F8224" s="247"/>
      <c r="G8224" s="247"/>
      <c r="H8224" s="248"/>
      <c r="I8224" s="248"/>
      <c r="J8224" s="247"/>
      <c r="K8224" s="249"/>
    </row>
    <row r="8225" spans="1:11" s="90" customFormat="1" ht="12.75" customHeight="1" x14ac:dyDescent="0.2">
      <c r="A8225" s="247"/>
      <c r="B8225" s="316"/>
      <c r="C8225" s="247"/>
      <c r="D8225" s="317"/>
      <c r="E8225" s="318"/>
      <c r="F8225" s="247"/>
      <c r="G8225" s="247"/>
      <c r="H8225" s="248"/>
      <c r="I8225" s="248"/>
      <c r="J8225" s="247"/>
      <c r="K8225" s="249"/>
    </row>
    <row r="8226" spans="1:11" s="90" customFormat="1" ht="12.75" customHeight="1" x14ac:dyDescent="0.2">
      <c r="A8226" s="247"/>
      <c r="B8226" s="316"/>
      <c r="C8226" s="247"/>
      <c r="D8226" s="317"/>
      <c r="E8226" s="318"/>
      <c r="F8226" s="247"/>
      <c r="G8226" s="247"/>
      <c r="H8226" s="248"/>
      <c r="I8226" s="248"/>
      <c r="J8226" s="247"/>
      <c r="K8226" s="249"/>
    </row>
    <row r="8227" spans="1:11" s="90" customFormat="1" ht="12.75" customHeight="1" x14ac:dyDescent="0.2">
      <c r="A8227" s="247"/>
      <c r="B8227" s="316"/>
      <c r="C8227" s="247"/>
      <c r="D8227" s="317"/>
      <c r="E8227" s="318"/>
      <c r="F8227" s="247"/>
      <c r="G8227" s="247"/>
      <c r="H8227" s="248"/>
      <c r="I8227" s="248"/>
      <c r="J8227" s="247"/>
      <c r="K8227" s="249"/>
    </row>
    <row r="8228" spans="1:11" s="90" customFormat="1" ht="12.75" customHeight="1" x14ac:dyDescent="0.2">
      <c r="A8228" s="247"/>
      <c r="B8228" s="316"/>
      <c r="C8228" s="247"/>
      <c r="D8228" s="317"/>
      <c r="E8228" s="318"/>
      <c r="F8228" s="247"/>
      <c r="G8228" s="247"/>
      <c r="H8228" s="248"/>
      <c r="I8228" s="248"/>
      <c r="J8228" s="247"/>
      <c r="K8228" s="249"/>
    </row>
    <row r="8229" spans="1:11" s="90" customFormat="1" ht="12.75" customHeight="1" x14ac:dyDescent="0.2">
      <c r="A8229" s="247"/>
      <c r="B8229" s="316"/>
      <c r="C8229" s="247"/>
      <c r="D8229" s="317"/>
      <c r="E8229" s="318"/>
      <c r="F8229" s="247"/>
      <c r="G8229" s="247"/>
      <c r="H8229" s="248"/>
      <c r="I8229" s="248"/>
      <c r="J8229" s="247"/>
      <c r="K8229" s="249"/>
    </row>
    <row r="8230" spans="1:11" s="90" customFormat="1" ht="12.75" customHeight="1" x14ac:dyDescent="0.2">
      <c r="A8230" s="247"/>
      <c r="B8230" s="316"/>
      <c r="C8230" s="247"/>
      <c r="D8230" s="317"/>
      <c r="E8230" s="318"/>
      <c r="F8230" s="247"/>
      <c r="G8230" s="247"/>
      <c r="H8230" s="248"/>
      <c r="I8230" s="248"/>
      <c r="J8230" s="247"/>
      <c r="K8230" s="249"/>
    </row>
    <row r="8231" spans="1:11" s="90" customFormat="1" ht="12.75" customHeight="1" x14ac:dyDescent="0.2">
      <c r="A8231" s="247"/>
      <c r="B8231" s="316"/>
      <c r="C8231" s="247"/>
      <c r="D8231" s="317"/>
      <c r="E8231" s="318"/>
      <c r="F8231" s="247"/>
      <c r="G8231" s="247"/>
      <c r="H8231" s="248"/>
      <c r="I8231" s="248"/>
      <c r="J8231" s="247"/>
      <c r="K8231" s="249"/>
    </row>
    <row r="8232" spans="1:11" s="90" customFormat="1" ht="12.75" customHeight="1" x14ac:dyDescent="0.2">
      <c r="A8232" s="247"/>
      <c r="B8232" s="316"/>
      <c r="C8232" s="247"/>
      <c r="D8232" s="317"/>
      <c r="E8232" s="318"/>
      <c r="F8232" s="247"/>
      <c r="G8232" s="247"/>
      <c r="H8232" s="248"/>
      <c r="I8232" s="248"/>
      <c r="J8232" s="247"/>
      <c r="K8232" s="249"/>
    </row>
    <row r="8233" spans="1:11" s="90" customFormat="1" ht="12.75" customHeight="1" x14ac:dyDescent="0.2">
      <c r="A8233" s="247"/>
      <c r="B8233" s="316"/>
      <c r="C8233" s="247"/>
      <c r="D8233" s="317"/>
      <c r="E8233" s="318"/>
      <c r="F8233" s="247"/>
      <c r="G8233" s="247"/>
      <c r="H8233" s="248"/>
      <c r="I8233" s="248"/>
      <c r="J8233" s="247"/>
      <c r="K8233" s="249"/>
    </row>
    <row r="8234" spans="1:11" s="90" customFormat="1" ht="12.75" customHeight="1" x14ac:dyDescent="0.2">
      <c r="A8234" s="247"/>
      <c r="B8234" s="316"/>
      <c r="C8234" s="247"/>
      <c r="D8234" s="317"/>
      <c r="E8234" s="318"/>
      <c r="F8234" s="247"/>
      <c r="G8234" s="247"/>
      <c r="H8234" s="248"/>
      <c r="I8234" s="248"/>
      <c r="J8234" s="247"/>
      <c r="K8234" s="249"/>
    </row>
    <row r="8235" spans="1:11" s="90" customFormat="1" ht="12.75" customHeight="1" x14ac:dyDescent="0.2">
      <c r="A8235" s="247"/>
      <c r="B8235" s="316"/>
      <c r="C8235" s="247"/>
      <c r="D8235" s="317"/>
      <c r="E8235" s="318"/>
      <c r="F8235" s="247"/>
      <c r="G8235" s="247"/>
      <c r="H8235" s="248"/>
      <c r="I8235" s="248"/>
      <c r="J8235" s="247"/>
      <c r="K8235" s="249"/>
    </row>
    <row r="8236" spans="1:11" s="90" customFormat="1" ht="12.75" customHeight="1" x14ac:dyDescent="0.2">
      <c r="A8236" s="247"/>
      <c r="B8236" s="316"/>
      <c r="C8236" s="247"/>
      <c r="D8236" s="317"/>
      <c r="E8236" s="318"/>
      <c r="F8236" s="247"/>
      <c r="G8236" s="247"/>
      <c r="H8236" s="248"/>
      <c r="I8236" s="248"/>
      <c r="J8236" s="247"/>
      <c r="K8236" s="249"/>
    </row>
    <row r="8237" spans="1:11" s="90" customFormat="1" ht="12.75" customHeight="1" x14ac:dyDescent="0.2">
      <c r="A8237" s="247"/>
      <c r="B8237" s="316"/>
      <c r="C8237" s="247"/>
      <c r="D8237" s="317"/>
      <c r="E8237" s="318"/>
      <c r="F8237" s="247"/>
      <c r="G8237" s="247"/>
      <c r="H8237" s="248"/>
      <c r="I8237" s="248"/>
      <c r="J8237" s="247"/>
      <c r="K8237" s="249"/>
    </row>
    <row r="8238" spans="1:11" s="90" customFormat="1" ht="12.75" customHeight="1" x14ac:dyDescent="0.2">
      <c r="A8238" s="247"/>
      <c r="B8238" s="316"/>
      <c r="C8238" s="247"/>
      <c r="D8238" s="317"/>
      <c r="E8238" s="318"/>
      <c r="F8238" s="247"/>
      <c r="G8238" s="247"/>
      <c r="H8238" s="248"/>
      <c r="I8238" s="248"/>
      <c r="J8238" s="247"/>
      <c r="K8238" s="249"/>
    </row>
    <row r="8239" spans="1:11" s="90" customFormat="1" ht="12.75" customHeight="1" x14ac:dyDescent="0.2">
      <c r="A8239" s="247"/>
      <c r="B8239" s="316"/>
      <c r="C8239" s="247"/>
      <c r="D8239" s="317"/>
      <c r="E8239" s="318"/>
      <c r="F8239" s="247"/>
      <c r="G8239" s="247"/>
      <c r="H8239" s="248"/>
      <c r="I8239" s="248"/>
      <c r="J8239" s="247"/>
      <c r="K8239" s="249"/>
    </row>
    <row r="8240" spans="1:11" s="90" customFormat="1" ht="12.75" customHeight="1" x14ac:dyDescent="0.2">
      <c r="A8240" s="247"/>
      <c r="B8240" s="316"/>
      <c r="C8240" s="247"/>
      <c r="D8240" s="317"/>
      <c r="E8240" s="318"/>
      <c r="F8240" s="247"/>
      <c r="G8240" s="247"/>
      <c r="H8240" s="248"/>
      <c r="I8240" s="248"/>
      <c r="J8240" s="247"/>
      <c r="K8240" s="249"/>
    </row>
    <row r="8241" spans="1:11" s="90" customFormat="1" ht="12.75" customHeight="1" x14ac:dyDescent="0.2">
      <c r="A8241" s="247"/>
      <c r="B8241" s="316"/>
      <c r="C8241" s="247"/>
      <c r="D8241" s="317"/>
      <c r="E8241" s="318"/>
      <c r="F8241" s="247"/>
      <c r="G8241" s="247"/>
      <c r="H8241" s="248"/>
      <c r="I8241" s="248"/>
      <c r="J8241" s="247"/>
      <c r="K8241" s="249"/>
    </row>
    <row r="8242" spans="1:11" s="90" customFormat="1" ht="12.75" customHeight="1" x14ac:dyDescent="0.2">
      <c r="A8242" s="247"/>
      <c r="B8242" s="316"/>
      <c r="C8242" s="247"/>
      <c r="D8242" s="317"/>
      <c r="E8242" s="318"/>
      <c r="F8242" s="247"/>
      <c r="G8242" s="247"/>
      <c r="H8242" s="248"/>
      <c r="I8242" s="248"/>
      <c r="J8242" s="247"/>
      <c r="K8242" s="249"/>
    </row>
    <row r="8243" spans="1:11" s="90" customFormat="1" ht="12.75" customHeight="1" x14ac:dyDescent="0.2">
      <c r="A8243" s="247"/>
      <c r="B8243" s="316"/>
      <c r="C8243" s="247"/>
      <c r="D8243" s="317"/>
      <c r="E8243" s="318"/>
      <c r="F8243" s="247"/>
      <c r="G8243" s="247"/>
      <c r="H8243" s="248"/>
      <c r="I8243" s="248"/>
      <c r="J8243" s="247"/>
      <c r="K8243" s="249"/>
    </row>
    <row r="8244" spans="1:11" s="90" customFormat="1" ht="12.75" customHeight="1" x14ac:dyDescent="0.2">
      <c r="A8244" s="247"/>
      <c r="B8244" s="316"/>
      <c r="C8244" s="247"/>
      <c r="D8244" s="317"/>
      <c r="E8244" s="318"/>
      <c r="F8244" s="247"/>
      <c r="G8244" s="247"/>
      <c r="H8244" s="248"/>
      <c r="I8244" s="248"/>
      <c r="J8244" s="247"/>
      <c r="K8244" s="249"/>
    </row>
    <row r="8245" spans="1:11" s="90" customFormat="1" ht="12.75" customHeight="1" x14ac:dyDescent="0.2">
      <c r="A8245" s="247"/>
      <c r="B8245" s="316"/>
      <c r="C8245" s="247"/>
      <c r="D8245" s="317"/>
      <c r="E8245" s="318"/>
      <c r="F8245" s="247"/>
      <c r="G8245" s="247"/>
      <c r="H8245" s="248"/>
      <c r="I8245" s="248"/>
      <c r="J8245" s="247"/>
      <c r="K8245" s="249"/>
    </row>
    <row r="8246" spans="1:11" s="90" customFormat="1" ht="12.75" customHeight="1" x14ac:dyDescent="0.2">
      <c r="A8246" s="247"/>
      <c r="B8246" s="316"/>
      <c r="C8246" s="247"/>
      <c r="D8246" s="317"/>
      <c r="E8246" s="318"/>
      <c r="F8246" s="247"/>
      <c r="G8246" s="247"/>
      <c r="H8246" s="248"/>
      <c r="I8246" s="248"/>
      <c r="J8246" s="247"/>
      <c r="K8246" s="249"/>
    </row>
    <row r="8247" spans="1:11" s="90" customFormat="1" ht="12.75" customHeight="1" x14ac:dyDescent="0.2">
      <c r="A8247" s="247"/>
      <c r="B8247" s="316"/>
      <c r="C8247" s="247"/>
      <c r="D8247" s="317"/>
      <c r="E8247" s="318"/>
      <c r="F8247" s="247"/>
      <c r="G8247" s="247"/>
      <c r="H8247" s="248"/>
      <c r="I8247" s="248"/>
      <c r="J8247" s="247"/>
      <c r="K8247" s="249"/>
    </row>
    <row r="8248" spans="1:11" s="90" customFormat="1" ht="12.75" customHeight="1" x14ac:dyDescent="0.2">
      <c r="A8248" s="247"/>
      <c r="B8248" s="316"/>
      <c r="C8248" s="247"/>
      <c r="D8248" s="317"/>
      <c r="E8248" s="318"/>
      <c r="F8248" s="247"/>
      <c r="G8248" s="247"/>
      <c r="H8248" s="248"/>
      <c r="I8248" s="248"/>
      <c r="J8248" s="247"/>
      <c r="K8248" s="249"/>
    </row>
    <row r="8249" spans="1:11" s="90" customFormat="1" ht="12.75" customHeight="1" x14ac:dyDescent="0.2">
      <c r="A8249" s="247"/>
      <c r="B8249" s="316"/>
      <c r="C8249" s="247"/>
      <c r="D8249" s="317"/>
      <c r="E8249" s="318"/>
      <c r="F8249" s="247"/>
      <c r="G8249" s="247"/>
      <c r="H8249" s="248"/>
      <c r="I8249" s="248"/>
      <c r="J8249" s="247"/>
      <c r="K8249" s="249"/>
    </row>
    <row r="8250" spans="1:11" s="90" customFormat="1" ht="12.75" customHeight="1" x14ac:dyDescent="0.2">
      <c r="A8250" s="247"/>
      <c r="B8250" s="316"/>
      <c r="C8250" s="247"/>
      <c r="D8250" s="317"/>
      <c r="E8250" s="318"/>
      <c r="F8250" s="247"/>
      <c r="G8250" s="247"/>
      <c r="H8250" s="248"/>
      <c r="I8250" s="248"/>
      <c r="J8250" s="247"/>
      <c r="K8250" s="249"/>
    </row>
    <row r="8251" spans="1:11" s="90" customFormat="1" ht="12.75" customHeight="1" x14ac:dyDescent="0.2">
      <c r="A8251" s="247"/>
      <c r="B8251" s="316"/>
      <c r="C8251" s="247"/>
      <c r="D8251" s="317"/>
      <c r="E8251" s="318"/>
      <c r="F8251" s="247"/>
      <c r="G8251" s="247"/>
      <c r="H8251" s="248"/>
      <c r="I8251" s="248"/>
      <c r="J8251" s="247"/>
      <c r="K8251" s="249"/>
    </row>
    <row r="8252" spans="1:11" s="90" customFormat="1" ht="12.75" customHeight="1" x14ac:dyDescent="0.2">
      <c r="A8252" s="247"/>
      <c r="B8252" s="316"/>
      <c r="C8252" s="247"/>
      <c r="D8252" s="317"/>
      <c r="E8252" s="318"/>
      <c r="F8252" s="247"/>
      <c r="G8252" s="247"/>
      <c r="H8252" s="248"/>
      <c r="I8252" s="248"/>
      <c r="J8252" s="247"/>
      <c r="K8252" s="249"/>
    </row>
    <row r="8253" spans="1:11" s="90" customFormat="1" ht="12.75" customHeight="1" x14ac:dyDescent="0.2">
      <c r="A8253" s="247"/>
      <c r="B8253" s="316"/>
      <c r="C8253" s="247"/>
      <c r="D8253" s="317"/>
      <c r="E8253" s="318"/>
      <c r="F8253" s="247"/>
      <c r="G8253" s="247"/>
      <c r="H8253" s="248"/>
      <c r="I8253" s="248"/>
      <c r="J8253" s="247"/>
      <c r="K8253" s="249"/>
    </row>
    <row r="8254" spans="1:11" s="90" customFormat="1" ht="12.75" customHeight="1" x14ac:dyDescent="0.2">
      <c r="A8254" s="247"/>
      <c r="B8254" s="316"/>
      <c r="C8254" s="247"/>
      <c r="D8254" s="317"/>
      <c r="E8254" s="318"/>
      <c r="F8254" s="247"/>
      <c r="G8254" s="247"/>
      <c r="H8254" s="248"/>
      <c r="I8254" s="248"/>
      <c r="J8254" s="247"/>
      <c r="K8254" s="249"/>
    </row>
    <row r="8255" spans="1:11" s="90" customFormat="1" ht="12.75" customHeight="1" x14ac:dyDescent="0.2">
      <c r="A8255" s="247"/>
      <c r="B8255" s="316"/>
      <c r="C8255" s="247"/>
      <c r="D8255" s="317"/>
      <c r="E8255" s="318"/>
      <c r="F8255" s="247"/>
      <c r="G8255" s="247"/>
      <c r="H8255" s="248"/>
      <c r="I8255" s="248"/>
      <c r="J8255" s="247"/>
      <c r="K8255" s="249"/>
    </row>
    <row r="8256" spans="1:11" s="90" customFormat="1" ht="12.75" customHeight="1" x14ac:dyDescent="0.2">
      <c r="A8256" s="247"/>
      <c r="B8256" s="316"/>
      <c r="C8256" s="247"/>
      <c r="D8256" s="317"/>
      <c r="E8256" s="318"/>
      <c r="F8256" s="247"/>
      <c r="G8256" s="247"/>
      <c r="H8256" s="248"/>
      <c r="I8256" s="248"/>
      <c r="J8256" s="247"/>
      <c r="K8256" s="249"/>
    </row>
    <row r="8257" spans="1:11" s="90" customFormat="1" ht="12.75" customHeight="1" x14ac:dyDescent="0.2">
      <c r="A8257" s="247"/>
      <c r="B8257" s="316"/>
      <c r="C8257" s="247"/>
      <c r="D8257" s="317"/>
      <c r="E8257" s="318"/>
      <c r="F8257" s="247"/>
      <c r="G8257" s="247"/>
      <c r="H8257" s="248"/>
      <c r="I8257" s="248"/>
      <c r="J8257" s="247"/>
      <c r="K8257" s="249"/>
    </row>
    <row r="8258" spans="1:11" s="90" customFormat="1" ht="12.75" customHeight="1" x14ac:dyDescent="0.2">
      <c r="A8258" s="247"/>
      <c r="B8258" s="316"/>
      <c r="C8258" s="247"/>
      <c r="D8258" s="317"/>
      <c r="E8258" s="318"/>
      <c r="F8258" s="247"/>
      <c r="G8258" s="247"/>
      <c r="H8258" s="248"/>
      <c r="I8258" s="248"/>
      <c r="J8258" s="247"/>
      <c r="K8258" s="249"/>
    </row>
    <row r="8259" spans="1:11" s="90" customFormat="1" ht="12.75" customHeight="1" x14ac:dyDescent="0.2">
      <c r="A8259" s="247"/>
      <c r="B8259" s="316"/>
      <c r="C8259" s="247"/>
      <c r="D8259" s="317"/>
      <c r="E8259" s="318"/>
      <c r="F8259" s="247"/>
      <c r="G8259" s="247"/>
      <c r="H8259" s="248"/>
      <c r="I8259" s="248"/>
      <c r="J8259" s="247"/>
      <c r="K8259" s="249"/>
    </row>
    <row r="8260" spans="1:11" s="90" customFormat="1" ht="12.75" customHeight="1" x14ac:dyDescent="0.2">
      <c r="A8260" s="247"/>
      <c r="B8260" s="316"/>
      <c r="C8260" s="247"/>
      <c r="D8260" s="317"/>
      <c r="E8260" s="318"/>
      <c r="F8260" s="247"/>
      <c r="G8260" s="247"/>
      <c r="H8260" s="248"/>
      <c r="I8260" s="248"/>
      <c r="J8260" s="247"/>
      <c r="K8260" s="249"/>
    </row>
    <row r="8261" spans="1:11" s="90" customFormat="1" ht="12.75" customHeight="1" x14ac:dyDescent="0.2">
      <c r="A8261" s="247"/>
      <c r="B8261" s="316"/>
      <c r="C8261" s="247"/>
      <c r="D8261" s="317"/>
      <c r="E8261" s="318"/>
      <c r="F8261" s="247"/>
      <c r="G8261" s="247"/>
      <c r="H8261" s="248"/>
      <c r="I8261" s="248"/>
      <c r="J8261" s="247"/>
      <c r="K8261" s="249"/>
    </row>
    <row r="8262" spans="1:11" s="90" customFormat="1" ht="12.75" customHeight="1" x14ac:dyDescent="0.2">
      <c r="A8262" s="247"/>
      <c r="B8262" s="316"/>
      <c r="C8262" s="247"/>
      <c r="D8262" s="317"/>
      <c r="E8262" s="318"/>
      <c r="F8262" s="247"/>
      <c r="G8262" s="247"/>
      <c r="H8262" s="248"/>
      <c r="I8262" s="248"/>
      <c r="J8262" s="247"/>
      <c r="K8262" s="249"/>
    </row>
    <row r="8263" spans="1:11" s="90" customFormat="1" ht="12.75" customHeight="1" x14ac:dyDescent="0.2">
      <c r="A8263" s="247"/>
      <c r="B8263" s="316"/>
      <c r="C8263" s="247"/>
      <c r="D8263" s="317"/>
      <c r="E8263" s="318"/>
      <c r="F8263" s="247"/>
      <c r="G8263" s="247"/>
      <c r="H8263" s="248"/>
      <c r="I8263" s="248"/>
      <c r="J8263" s="247"/>
      <c r="K8263" s="249"/>
    </row>
    <row r="8264" spans="1:11" s="90" customFormat="1" ht="12.75" customHeight="1" x14ac:dyDescent="0.2">
      <c r="A8264" s="247"/>
      <c r="B8264" s="316"/>
      <c r="C8264" s="247"/>
      <c r="D8264" s="317"/>
      <c r="E8264" s="318"/>
      <c r="F8264" s="247"/>
      <c r="G8264" s="247"/>
      <c r="H8264" s="248"/>
      <c r="I8264" s="248"/>
      <c r="J8264" s="247"/>
      <c r="K8264" s="249"/>
    </row>
    <row r="8265" spans="1:11" s="90" customFormat="1" ht="12.75" customHeight="1" x14ac:dyDescent="0.2">
      <c r="A8265" s="247"/>
      <c r="B8265" s="316"/>
      <c r="C8265" s="247"/>
      <c r="D8265" s="317"/>
      <c r="E8265" s="318"/>
      <c r="F8265" s="247"/>
      <c r="G8265" s="247"/>
      <c r="H8265" s="248"/>
      <c r="I8265" s="248"/>
      <c r="J8265" s="247"/>
      <c r="K8265" s="249"/>
    </row>
    <row r="8266" spans="1:11" s="90" customFormat="1" ht="12.75" customHeight="1" x14ac:dyDescent="0.2">
      <c r="A8266" s="247"/>
      <c r="B8266" s="316"/>
      <c r="C8266" s="247"/>
      <c r="D8266" s="317"/>
      <c r="E8266" s="318"/>
      <c r="F8266" s="247"/>
      <c r="G8266" s="247"/>
      <c r="H8266" s="248"/>
      <c r="I8266" s="248"/>
      <c r="J8266" s="247"/>
      <c r="K8266" s="249"/>
    </row>
    <row r="8267" spans="1:11" s="90" customFormat="1" ht="12.75" customHeight="1" x14ac:dyDescent="0.2">
      <c r="A8267" s="247"/>
      <c r="B8267" s="316"/>
      <c r="C8267" s="247"/>
      <c r="D8267" s="317"/>
      <c r="E8267" s="318"/>
      <c r="F8267" s="247"/>
      <c r="G8267" s="247"/>
      <c r="H8267" s="248"/>
      <c r="I8267" s="248"/>
      <c r="J8267" s="247"/>
      <c r="K8267" s="249"/>
    </row>
    <row r="8268" spans="1:11" s="90" customFormat="1" ht="12.75" customHeight="1" x14ac:dyDescent="0.2">
      <c r="A8268" s="247"/>
      <c r="B8268" s="316"/>
      <c r="C8268" s="247"/>
      <c r="D8268" s="317"/>
      <c r="E8268" s="318"/>
      <c r="F8268" s="247"/>
      <c r="G8268" s="247"/>
      <c r="H8268" s="248"/>
      <c r="I8268" s="248"/>
      <c r="J8268" s="247"/>
      <c r="K8268" s="249"/>
    </row>
    <row r="8269" spans="1:11" s="90" customFormat="1" ht="12.75" customHeight="1" x14ac:dyDescent="0.2">
      <c r="A8269" s="247"/>
      <c r="B8269" s="316"/>
      <c r="C8269" s="247"/>
      <c r="D8269" s="317"/>
      <c r="E8269" s="318"/>
      <c r="F8269" s="247"/>
      <c r="G8269" s="247"/>
      <c r="H8269" s="248"/>
      <c r="I8269" s="248"/>
      <c r="J8269" s="247"/>
      <c r="K8269" s="249"/>
    </row>
    <row r="8270" spans="1:11" s="90" customFormat="1" ht="12.75" customHeight="1" x14ac:dyDescent="0.2">
      <c r="A8270" s="247"/>
      <c r="B8270" s="316"/>
      <c r="C8270" s="247"/>
      <c r="D8270" s="317"/>
      <c r="E8270" s="318"/>
      <c r="F8270" s="247"/>
      <c r="G8270" s="247"/>
      <c r="H8270" s="248"/>
      <c r="I8270" s="248"/>
      <c r="J8270" s="247"/>
      <c r="K8270" s="249"/>
    </row>
    <row r="8271" spans="1:11" s="90" customFormat="1" ht="12.75" customHeight="1" x14ac:dyDescent="0.2">
      <c r="A8271" s="247"/>
      <c r="B8271" s="316"/>
      <c r="C8271" s="247"/>
      <c r="D8271" s="317"/>
      <c r="E8271" s="318"/>
      <c r="F8271" s="247"/>
      <c r="G8271" s="247"/>
      <c r="H8271" s="248"/>
      <c r="I8271" s="248"/>
      <c r="J8271" s="247"/>
      <c r="K8271" s="249"/>
    </row>
    <row r="8272" spans="1:11" s="90" customFormat="1" ht="12.75" customHeight="1" x14ac:dyDescent="0.2">
      <c r="A8272" s="247"/>
      <c r="B8272" s="316"/>
      <c r="C8272" s="247"/>
      <c r="D8272" s="317"/>
      <c r="E8272" s="318"/>
      <c r="F8272" s="247"/>
      <c r="G8272" s="247"/>
      <c r="H8272" s="248"/>
      <c r="I8272" s="248"/>
      <c r="J8272" s="247"/>
      <c r="K8272" s="249"/>
    </row>
    <row r="8273" spans="1:11" s="90" customFormat="1" ht="12.75" customHeight="1" x14ac:dyDescent="0.2">
      <c r="A8273" s="247"/>
      <c r="B8273" s="316"/>
      <c r="C8273" s="247"/>
      <c r="D8273" s="317"/>
      <c r="E8273" s="318"/>
      <c r="F8273" s="247"/>
      <c r="G8273" s="247"/>
      <c r="H8273" s="248"/>
      <c r="I8273" s="248"/>
      <c r="J8273" s="247"/>
      <c r="K8273" s="249"/>
    </row>
    <row r="8274" spans="1:11" s="90" customFormat="1" ht="12.75" customHeight="1" x14ac:dyDescent="0.2">
      <c r="A8274" s="247"/>
      <c r="B8274" s="316"/>
      <c r="C8274" s="247"/>
      <c r="D8274" s="317"/>
      <c r="E8274" s="318"/>
      <c r="F8274" s="247"/>
      <c r="G8274" s="247"/>
      <c r="H8274" s="248"/>
      <c r="I8274" s="248"/>
      <c r="J8274" s="247"/>
      <c r="K8274" s="249"/>
    </row>
    <row r="8275" spans="1:11" s="90" customFormat="1" ht="12.75" customHeight="1" x14ac:dyDescent="0.2">
      <c r="A8275" s="247"/>
      <c r="B8275" s="316"/>
      <c r="C8275" s="247"/>
      <c r="D8275" s="317"/>
      <c r="E8275" s="318"/>
      <c r="F8275" s="247"/>
      <c r="G8275" s="247"/>
      <c r="H8275" s="248"/>
      <c r="I8275" s="248"/>
      <c r="J8275" s="247"/>
      <c r="K8275" s="249"/>
    </row>
    <row r="8276" spans="1:11" s="90" customFormat="1" ht="12.75" customHeight="1" x14ac:dyDescent="0.2">
      <c r="A8276" s="247"/>
      <c r="B8276" s="316"/>
      <c r="C8276" s="247"/>
      <c r="D8276" s="317"/>
      <c r="E8276" s="318"/>
      <c r="F8276" s="247"/>
      <c r="G8276" s="247"/>
      <c r="H8276" s="248"/>
      <c r="I8276" s="248"/>
      <c r="J8276" s="247"/>
      <c r="K8276" s="249"/>
    </row>
    <row r="8277" spans="1:11" s="90" customFormat="1" ht="12.75" customHeight="1" x14ac:dyDescent="0.2">
      <c r="A8277" s="247"/>
      <c r="B8277" s="316"/>
      <c r="C8277" s="247"/>
      <c r="D8277" s="317"/>
      <c r="E8277" s="318"/>
      <c r="F8277" s="247"/>
      <c r="G8277" s="247"/>
      <c r="H8277" s="248"/>
      <c r="I8277" s="248"/>
      <c r="J8277" s="247"/>
      <c r="K8277" s="249"/>
    </row>
    <row r="8278" spans="1:11" s="90" customFormat="1" ht="12.75" customHeight="1" x14ac:dyDescent="0.2">
      <c r="A8278" s="247"/>
      <c r="B8278" s="316"/>
      <c r="C8278" s="247"/>
      <c r="D8278" s="317"/>
      <c r="E8278" s="318"/>
      <c r="F8278" s="247"/>
      <c r="G8278" s="247"/>
      <c r="H8278" s="248"/>
      <c r="I8278" s="248"/>
      <c r="J8278" s="247"/>
      <c r="K8278" s="249"/>
    </row>
    <row r="8279" spans="1:11" s="90" customFormat="1" ht="12.75" customHeight="1" x14ac:dyDescent="0.2">
      <c r="A8279" s="247"/>
      <c r="B8279" s="316"/>
      <c r="C8279" s="247"/>
      <c r="D8279" s="317"/>
      <c r="E8279" s="318"/>
      <c r="F8279" s="247"/>
      <c r="G8279" s="247"/>
      <c r="H8279" s="248"/>
      <c r="I8279" s="248"/>
      <c r="J8279" s="247"/>
      <c r="K8279" s="249"/>
    </row>
    <row r="8280" spans="1:11" s="90" customFormat="1" ht="12.75" customHeight="1" x14ac:dyDescent="0.2">
      <c r="A8280" s="247"/>
      <c r="B8280" s="316"/>
      <c r="C8280" s="247"/>
      <c r="D8280" s="317"/>
      <c r="E8280" s="318"/>
      <c r="F8280" s="247"/>
      <c r="G8280" s="247"/>
      <c r="H8280" s="248"/>
      <c r="I8280" s="248"/>
      <c r="J8280" s="247"/>
      <c r="K8280" s="249"/>
    </row>
    <row r="8281" spans="1:11" s="90" customFormat="1" ht="12.75" customHeight="1" x14ac:dyDescent="0.2">
      <c r="A8281" s="247"/>
      <c r="B8281" s="316"/>
      <c r="C8281" s="247"/>
      <c r="D8281" s="317"/>
      <c r="E8281" s="318"/>
      <c r="F8281" s="247"/>
      <c r="G8281" s="247"/>
      <c r="H8281" s="248"/>
      <c r="I8281" s="248"/>
      <c r="J8281" s="247"/>
      <c r="K8281" s="249"/>
    </row>
    <row r="8282" spans="1:11" s="90" customFormat="1" ht="12.75" customHeight="1" x14ac:dyDescent="0.2">
      <c r="A8282" s="247"/>
      <c r="B8282" s="316"/>
      <c r="C8282" s="247"/>
      <c r="D8282" s="317"/>
      <c r="E8282" s="318"/>
      <c r="F8282" s="247"/>
      <c r="G8282" s="247"/>
      <c r="H8282" s="248"/>
      <c r="I8282" s="248"/>
      <c r="J8282" s="247"/>
      <c r="K8282" s="249"/>
    </row>
    <row r="8283" spans="1:11" s="90" customFormat="1" ht="12.75" customHeight="1" x14ac:dyDescent="0.2">
      <c r="A8283" s="247"/>
      <c r="B8283" s="316"/>
      <c r="C8283" s="247"/>
      <c r="D8283" s="317"/>
      <c r="E8283" s="318"/>
      <c r="F8283" s="247"/>
      <c r="G8283" s="247"/>
      <c r="H8283" s="248"/>
      <c r="I8283" s="248"/>
      <c r="J8283" s="247"/>
      <c r="K8283" s="249"/>
    </row>
    <row r="8284" spans="1:11" s="90" customFormat="1" ht="12.75" customHeight="1" x14ac:dyDescent="0.2">
      <c r="A8284" s="247"/>
      <c r="B8284" s="316"/>
      <c r="C8284" s="247"/>
      <c r="D8284" s="317"/>
      <c r="E8284" s="318"/>
      <c r="F8284" s="247"/>
      <c r="G8284" s="247"/>
      <c r="H8284" s="248"/>
      <c r="I8284" s="248"/>
      <c r="J8284" s="247"/>
      <c r="K8284" s="249"/>
    </row>
    <row r="8285" spans="1:11" s="90" customFormat="1" ht="12.75" customHeight="1" x14ac:dyDescent="0.2">
      <c r="A8285" s="247"/>
      <c r="B8285" s="316"/>
      <c r="C8285" s="247"/>
      <c r="D8285" s="317"/>
      <c r="E8285" s="318"/>
      <c r="F8285" s="247"/>
      <c r="G8285" s="247"/>
      <c r="H8285" s="248"/>
      <c r="I8285" s="248"/>
      <c r="J8285" s="247"/>
      <c r="K8285" s="249"/>
    </row>
    <row r="8286" spans="1:11" s="90" customFormat="1" ht="12.75" customHeight="1" x14ac:dyDescent="0.2">
      <c r="A8286" s="247"/>
      <c r="B8286" s="316"/>
      <c r="C8286" s="247"/>
      <c r="D8286" s="317"/>
      <c r="E8286" s="318"/>
      <c r="F8286" s="247"/>
      <c r="G8286" s="247"/>
      <c r="H8286" s="248"/>
      <c r="I8286" s="248"/>
      <c r="J8286" s="247"/>
      <c r="K8286" s="249"/>
    </row>
    <row r="8287" spans="1:11" s="90" customFormat="1" ht="12.75" customHeight="1" x14ac:dyDescent="0.2">
      <c r="A8287" s="247"/>
      <c r="B8287" s="316"/>
      <c r="C8287" s="247"/>
      <c r="D8287" s="317"/>
      <c r="E8287" s="318"/>
      <c r="F8287" s="247"/>
      <c r="G8287" s="247"/>
      <c r="H8287" s="248"/>
      <c r="I8287" s="248"/>
      <c r="J8287" s="247"/>
      <c r="K8287" s="249"/>
    </row>
    <row r="8288" spans="1:11" s="90" customFormat="1" ht="12.75" customHeight="1" x14ac:dyDescent="0.2">
      <c r="A8288" s="247"/>
      <c r="B8288" s="316"/>
      <c r="C8288" s="247"/>
      <c r="D8288" s="317"/>
      <c r="E8288" s="318"/>
      <c r="F8288" s="247"/>
      <c r="G8288" s="247"/>
      <c r="H8288" s="248"/>
      <c r="I8288" s="248"/>
      <c r="J8288" s="247"/>
      <c r="K8288" s="249"/>
    </row>
    <row r="8289" spans="1:11" s="90" customFormat="1" ht="12.75" customHeight="1" x14ac:dyDescent="0.2">
      <c r="A8289" s="247"/>
      <c r="B8289" s="316"/>
      <c r="C8289" s="247"/>
      <c r="D8289" s="317"/>
      <c r="E8289" s="318"/>
      <c r="F8289" s="247"/>
      <c r="G8289" s="247"/>
      <c r="H8289" s="248"/>
      <c r="I8289" s="248"/>
      <c r="J8289" s="247"/>
      <c r="K8289" s="249"/>
    </row>
    <row r="8290" spans="1:11" s="90" customFormat="1" ht="12.75" customHeight="1" x14ac:dyDescent="0.2">
      <c r="A8290" s="247"/>
      <c r="B8290" s="316"/>
      <c r="C8290" s="247"/>
      <c r="D8290" s="317"/>
      <c r="E8290" s="318"/>
      <c r="F8290" s="247"/>
      <c r="G8290" s="247"/>
      <c r="H8290" s="248"/>
      <c r="I8290" s="248"/>
      <c r="J8290" s="247"/>
      <c r="K8290" s="249"/>
    </row>
    <row r="8291" spans="1:11" s="90" customFormat="1" ht="12.75" customHeight="1" x14ac:dyDescent="0.2">
      <c r="A8291" s="247"/>
      <c r="B8291" s="316"/>
      <c r="C8291" s="247"/>
      <c r="D8291" s="317"/>
      <c r="E8291" s="318"/>
      <c r="F8291" s="247"/>
      <c r="G8291" s="247"/>
      <c r="H8291" s="248"/>
      <c r="I8291" s="248"/>
      <c r="J8291" s="247"/>
      <c r="K8291" s="249"/>
    </row>
    <row r="8292" spans="1:11" s="90" customFormat="1" ht="12.75" customHeight="1" x14ac:dyDescent="0.2">
      <c r="A8292" s="247"/>
      <c r="B8292" s="316"/>
      <c r="C8292" s="247"/>
      <c r="D8292" s="317"/>
      <c r="E8292" s="318"/>
      <c r="F8292" s="247"/>
      <c r="G8292" s="247"/>
      <c r="H8292" s="248"/>
      <c r="I8292" s="248"/>
      <c r="J8292" s="247"/>
      <c r="K8292" s="249"/>
    </row>
    <row r="8293" spans="1:11" s="90" customFormat="1" ht="12.75" customHeight="1" x14ac:dyDescent="0.2">
      <c r="A8293" s="247"/>
      <c r="B8293" s="316"/>
      <c r="C8293" s="247"/>
      <c r="D8293" s="317"/>
      <c r="E8293" s="318"/>
      <c r="F8293" s="247"/>
      <c r="G8293" s="247"/>
      <c r="H8293" s="248"/>
      <c r="I8293" s="248"/>
      <c r="J8293" s="247"/>
      <c r="K8293" s="249"/>
    </row>
    <row r="8294" spans="1:11" s="90" customFormat="1" ht="12.75" customHeight="1" x14ac:dyDescent="0.2">
      <c r="A8294" s="247"/>
      <c r="B8294" s="316"/>
      <c r="C8294" s="247"/>
      <c r="D8294" s="317"/>
      <c r="E8294" s="318"/>
      <c r="F8294" s="247"/>
      <c r="G8294" s="247"/>
      <c r="H8294" s="248"/>
      <c r="I8294" s="248"/>
      <c r="J8294" s="247"/>
      <c r="K8294" s="249"/>
    </row>
    <row r="8295" spans="1:11" s="90" customFormat="1" ht="12.75" customHeight="1" x14ac:dyDescent="0.2">
      <c r="A8295" s="247"/>
      <c r="B8295" s="316"/>
      <c r="C8295" s="247"/>
      <c r="D8295" s="317"/>
      <c r="E8295" s="318"/>
      <c r="F8295" s="247"/>
      <c r="G8295" s="247"/>
      <c r="H8295" s="248"/>
      <c r="I8295" s="248"/>
      <c r="J8295" s="247"/>
      <c r="K8295" s="249"/>
    </row>
    <row r="8296" spans="1:11" s="90" customFormat="1" ht="12.75" customHeight="1" x14ac:dyDescent="0.2">
      <c r="A8296" s="247"/>
      <c r="B8296" s="316"/>
      <c r="C8296" s="247"/>
      <c r="D8296" s="317"/>
      <c r="E8296" s="318"/>
      <c r="F8296" s="247"/>
      <c r="G8296" s="247"/>
      <c r="H8296" s="248"/>
      <c r="I8296" s="248"/>
      <c r="J8296" s="247"/>
      <c r="K8296" s="249"/>
    </row>
    <row r="8297" spans="1:11" s="90" customFormat="1" ht="12.75" customHeight="1" x14ac:dyDescent="0.2">
      <c r="A8297" s="247"/>
      <c r="B8297" s="316"/>
      <c r="C8297" s="247"/>
      <c r="D8297" s="317"/>
      <c r="E8297" s="318"/>
      <c r="F8297" s="247"/>
      <c r="G8297" s="247"/>
      <c r="H8297" s="248"/>
      <c r="I8297" s="248"/>
      <c r="J8297" s="247"/>
      <c r="K8297" s="249"/>
    </row>
    <row r="8298" spans="1:11" s="90" customFormat="1" ht="12.75" customHeight="1" x14ac:dyDescent="0.2">
      <c r="A8298" s="247"/>
      <c r="B8298" s="316"/>
      <c r="C8298" s="247"/>
      <c r="D8298" s="317"/>
      <c r="E8298" s="318"/>
      <c r="F8298" s="247"/>
      <c r="G8298" s="247"/>
      <c r="H8298" s="248"/>
      <c r="I8298" s="248"/>
      <c r="J8298" s="247"/>
      <c r="K8298" s="249"/>
    </row>
    <row r="8299" spans="1:11" s="90" customFormat="1" ht="12.75" customHeight="1" x14ac:dyDescent="0.2">
      <c r="A8299" s="247"/>
      <c r="B8299" s="316"/>
      <c r="C8299" s="247"/>
      <c r="D8299" s="317"/>
      <c r="E8299" s="318"/>
      <c r="F8299" s="247"/>
      <c r="G8299" s="247"/>
      <c r="H8299" s="248"/>
      <c r="I8299" s="248"/>
      <c r="J8299" s="247"/>
      <c r="K8299" s="249"/>
    </row>
    <row r="8300" spans="1:11" s="90" customFormat="1" ht="12.75" customHeight="1" x14ac:dyDescent="0.2">
      <c r="A8300" s="247"/>
      <c r="B8300" s="316"/>
      <c r="C8300" s="247"/>
      <c r="D8300" s="317"/>
      <c r="E8300" s="318"/>
      <c r="F8300" s="247"/>
      <c r="G8300" s="247"/>
      <c r="H8300" s="248"/>
      <c r="I8300" s="248"/>
      <c r="J8300" s="247"/>
      <c r="K8300" s="249"/>
    </row>
    <row r="8301" spans="1:11" s="90" customFormat="1" ht="12.75" customHeight="1" x14ac:dyDescent="0.2">
      <c r="A8301" s="247"/>
      <c r="B8301" s="316"/>
      <c r="C8301" s="247"/>
      <c r="D8301" s="317"/>
      <c r="E8301" s="318"/>
      <c r="F8301" s="247"/>
      <c r="G8301" s="247"/>
      <c r="H8301" s="248"/>
      <c r="I8301" s="248"/>
      <c r="J8301" s="247"/>
      <c r="K8301" s="249"/>
    </row>
    <row r="8302" spans="1:11" s="90" customFormat="1" ht="12.75" customHeight="1" x14ac:dyDescent="0.2">
      <c r="A8302" s="247"/>
      <c r="B8302" s="316"/>
      <c r="C8302" s="247"/>
      <c r="D8302" s="317"/>
      <c r="E8302" s="318"/>
      <c r="F8302" s="247"/>
      <c r="G8302" s="247"/>
      <c r="H8302" s="248"/>
      <c r="I8302" s="248"/>
      <c r="J8302" s="247"/>
      <c r="K8302" s="249"/>
    </row>
    <row r="8303" spans="1:11" s="90" customFormat="1" ht="12.75" customHeight="1" x14ac:dyDescent="0.2">
      <c r="A8303" s="247"/>
      <c r="B8303" s="316"/>
      <c r="C8303" s="247"/>
      <c r="D8303" s="317"/>
      <c r="E8303" s="318"/>
      <c r="F8303" s="247"/>
      <c r="G8303" s="247"/>
      <c r="H8303" s="248"/>
      <c r="I8303" s="248"/>
      <c r="J8303" s="247"/>
      <c r="K8303" s="249"/>
    </row>
    <row r="8304" spans="1:11" s="90" customFormat="1" ht="12.75" customHeight="1" x14ac:dyDescent="0.2">
      <c r="A8304" s="247"/>
      <c r="B8304" s="316"/>
      <c r="C8304" s="247"/>
      <c r="D8304" s="317"/>
      <c r="E8304" s="318"/>
      <c r="F8304" s="247"/>
      <c r="G8304" s="247"/>
      <c r="H8304" s="248"/>
      <c r="I8304" s="248"/>
      <c r="J8304" s="247"/>
      <c r="K8304" s="249"/>
    </row>
    <row r="8305" spans="1:11" s="90" customFormat="1" ht="12.75" customHeight="1" x14ac:dyDescent="0.2">
      <c r="A8305" s="247"/>
      <c r="B8305" s="316"/>
      <c r="C8305" s="247"/>
      <c r="D8305" s="317"/>
      <c r="E8305" s="318"/>
      <c r="F8305" s="247"/>
      <c r="G8305" s="247"/>
      <c r="H8305" s="248"/>
      <c r="I8305" s="248"/>
      <c r="J8305" s="247"/>
      <c r="K8305" s="249"/>
    </row>
    <row r="8306" spans="1:11" s="90" customFormat="1" ht="12.75" customHeight="1" x14ac:dyDescent="0.2">
      <c r="A8306" s="247"/>
      <c r="B8306" s="316"/>
      <c r="C8306" s="247"/>
      <c r="D8306" s="317"/>
      <c r="E8306" s="318"/>
      <c r="F8306" s="247"/>
      <c r="G8306" s="247"/>
      <c r="H8306" s="248"/>
      <c r="I8306" s="248"/>
      <c r="J8306" s="247"/>
      <c r="K8306" s="249"/>
    </row>
    <row r="8307" spans="1:11" s="90" customFormat="1" ht="12.75" customHeight="1" x14ac:dyDescent="0.2">
      <c r="A8307" s="247"/>
      <c r="B8307" s="316"/>
      <c r="C8307" s="247"/>
      <c r="D8307" s="317"/>
      <c r="E8307" s="318"/>
      <c r="F8307" s="247"/>
      <c r="G8307" s="247"/>
      <c r="H8307" s="248"/>
      <c r="I8307" s="248"/>
      <c r="J8307" s="247"/>
      <c r="K8307" s="249"/>
    </row>
    <row r="8308" spans="1:11" s="90" customFormat="1" ht="12.75" customHeight="1" x14ac:dyDescent="0.2">
      <c r="A8308" s="247"/>
      <c r="B8308" s="316"/>
      <c r="C8308" s="247"/>
      <c r="D8308" s="317"/>
      <c r="E8308" s="318"/>
      <c r="F8308" s="247"/>
      <c r="G8308" s="247"/>
      <c r="H8308" s="248"/>
      <c r="I8308" s="248"/>
      <c r="J8308" s="247"/>
      <c r="K8308" s="249"/>
    </row>
    <row r="8309" spans="1:11" s="90" customFormat="1" ht="12.75" customHeight="1" x14ac:dyDescent="0.2">
      <c r="A8309" s="247"/>
      <c r="B8309" s="316"/>
      <c r="C8309" s="247"/>
      <c r="D8309" s="317"/>
      <c r="E8309" s="318"/>
      <c r="F8309" s="247"/>
      <c r="G8309" s="247"/>
      <c r="H8309" s="248"/>
      <c r="I8309" s="248"/>
      <c r="J8309" s="247"/>
      <c r="K8309" s="249"/>
    </row>
    <row r="8310" spans="1:11" s="90" customFormat="1" ht="12.75" customHeight="1" x14ac:dyDescent="0.2">
      <c r="A8310" s="247"/>
      <c r="B8310" s="316"/>
      <c r="C8310" s="247"/>
      <c r="D8310" s="317"/>
      <c r="E8310" s="318"/>
      <c r="F8310" s="247"/>
      <c r="G8310" s="247"/>
      <c r="H8310" s="248"/>
      <c r="I8310" s="248"/>
      <c r="J8310" s="247"/>
      <c r="K8310" s="249"/>
    </row>
    <row r="8311" spans="1:11" s="90" customFormat="1" ht="12.75" customHeight="1" x14ac:dyDescent="0.2">
      <c r="A8311" s="247"/>
      <c r="B8311" s="316"/>
      <c r="C8311" s="247"/>
      <c r="D8311" s="317"/>
      <c r="E8311" s="318"/>
      <c r="F8311" s="247"/>
      <c r="G8311" s="247"/>
      <c r="H8311" s="248"/>
      <c r="I8311" s="248"/>
      <c r="J8311" s="247"/>
      <c r="K8311" s="249"/>
    </row>
    <row r="8312" spans="1:11" s="90" customFormat="1" ht="12.75" customHeight="1" x14ac:dyDescent="0.2">
      <c r="A8312" s="247"/>
      <c r="B8312" s="316"/>
      <c r="C8312" s="247"/>
      <c r="D8312" s="317"/>
      <c r="E8312" s="318"/>
      <c r="F8312" s="247"/>
      <c r="G8312" s="247"/>
      <c r="H8312" s="248"/>
      <c r="I8312" s="248"/>
      <c r="J8312" s="247"/>
      <c r="K8312" s="249"/>
    </row>
    <row r="8313" spans="1:11" s="90" customFormat="1" ht="12.75" customHeight="1" x14ac:dyDescent="0.2">
      <c r="A8313" s="247"/>
      <c r="B8313" s="316"/>
      <c r="C8313" s="247"/>
      <c r="D8313" s="317"/>
      <c r="E8313" s="318"/>
      <c r="F8313" s="247"/>
      <c r="G8313" s="247"/>
      <c r="H8313" s="248"/>
      <c r="I8313" s="248"/>
      <c r="J8313" s="247"/>
      <c r="K8313" s="249"/>
    </row>
    <row r="8314" spans="1:11" s="90" customFormat="1" ht="12.75" customHeight="1" x14ac:dyDescent="0.2">
      <c r="A8314" s="247"/>
      <c r="B8314" s="316"/>
      <c r="C8314" s="247"/>
      <c r="D8314" s="317"/>
      <c r="E8314" s="318"/>
      <c r="F8314" s="247"/>
      <c r="G8314" s="247"/>
      <c r="H8314" s="248"/>
      <c r="I8314" s="248"/>
      <c r="J8314" s="247"/>
      <c r="K8314" s="249"/>
    </row>
    <row r="8315" spans="1:11" s="90" customFormat="1" ht="12.75" customHeight="1" x14ac:dyDescent="0.2">
      <c r="A8315" s="247"/>
      <c r="B8315" s="316"/>
      <c r="C8315" s="247"/>
      <c r="D8315" s="317"/>
      <c r="E8315" s="318"/>
      <c r="F8315" s="247"/>
      <c r="G8315" s="247"/>
      <c r="H8315" s="248"/>
      <c r="I8315" s="248"/>
      <c r="J8315" s="247"/>
      <c r="K8315" s="249"/>
    </row>
    <row r="8316" spans="1:11" s="90" customFormat="1" ht="12.75" customHeight="1" x14ac:dyDescent="0.2">
      <c r="A8316" s="247"/>
      <c r="B8316" s="316"/>
      <c r="C8316" s="247"/>
      <c r="D8316" s="317"/>
      <c r="E8316" s="318"/>
      <c r="F8316" s="247"/>
      <c r="G8316" s="247"/>
      <c r="H8316" s="248"/>
      <c r="I8316" s="248"/>
      <c r="J8316" s="247"/>
      <c r="K8316" s="249"/>
    </row>
    <row r="8317" spans="1:11" s="90" customFormat="1" ht="12.75" customHeight="1" x14ac:dyDescent="0.2">
      <c r="A8317" s="247"/>
      <c r="B8317" s="316"/>
      <c r="C8317" s="247"/>
      <c r="D8317" s="317"/>
      <c r="E8317" s="318"/>
      <c r="F8317" s="247"/>
      <c r="G8317" s="247"/>
      <c r="H8317" s="248"/>
      <c r="I8317" s="248"/>
      <c r="J8317" s="247"/>
      <c r="K8317" s="249"/>
    </row>
    <row r="8318" spans="1:11" s="90" customFormat="1" ht="12.75" customHeight="1" x14ac:dyDescent="0.2">
      <c r="A8318" s="247"/>
      <c r="B8318" s="316"/>
      <c r="C8318" s="247"/>
      <c r="D8318" s="317"/>
      <c r="E8318" s="318"/>
      <c r="F8318" s="247"/>
      <c r="G8318" s="247"/>
      <c r="H8318" s="248"/>
      <c r="I8318" s="248"/>
      <c r="J8318" s="247"/>
      <c r="K8318" s="249"/>
    </row>
    <row r="8319" spans="1:11" s="90" customFormat="1" ht="12.75" customHeight="1" x14ac:dyDescent="0.2">
      <c r="A8319" s="247"/>
      <c r="B8319" s="316"/>
      <c r="C8319" s="247"/>
      <c r="D8319" s="317"/>
      <c r="E8319" s="318"/>
      <c r="F8319" s="247"/>
      <c r="G8319" s="247"/>
      <c r="H8319" s="248"/>
      <c r="I8319" s="248"/>
      <c r="J8319" s="247"/>
      <c r="K8319" s="249"/>
    </row>
    <row r="8320" spans="1:11" s="90" customFormat="1" ht="12.75" customHeight="1" x14ac:dyDescent="0.2">
      <c r="A8320" s="247"/>
      <c r="B8320" s="316"/>
      <c r="C8320" s="247"/>
      <c r="D8320" s="317"/>
      <c r="E8320" s="318"/>
      <c r="F8320" s="247"/>
      <c r="G8320" s="247"/>
      <c r="H8320" s="248"/>
      <c r="I8320" s="248"/>
      <c r="J8320" s="247"/>
      <c r="K8320" s="249"/>
    </row>
    <row r="8321" spans="1:11" s="90" customFormat="1" ht="12.75" customHeight="1" x14ac:dyDescent="0.2">
      <c r="A8321" s="247"/>
      <c r="B8321" s="316"/>
      <c r="C8321" s="247"/>
      <c r="D8321" s="317"/>
      <c r="E8321" s="318"/>
      <c r="F8321" s="247"/>
      <c r="G8321" s="247"/>
      <c r="H8321" s="248"/>
      <c r="I8321" s="248"/>
      <c r="J8321" s="247"/>
      <c r="K8321" s="249"/>
    </row>
    <row r="8322" spans="1:11" s="90" customFormat="1" ht="12.75" customHeight="1" x14ac:dyDescent="0.2">
      <c r="A8322" s="247"/>
      <c r="B8322" s="316"/>
      <c r="C8322" s="247"/>
      <c r="D8322" s="317"/>
      <c r="E8322" s="318"/>
      <c r="F8322" s="247"/>
      <c r="G8322" s="247"/>
      <c r="H8322" s="248"/>
      <c r="I8322" s="248"/>
      <c r="J8322" s="247"/>
      <c r="K8322" s="249"/>
    </row>
    <row r="8323" spans="1:11" s="90" customFormat="1" ht="12.75" customHeight="1" x14ac:dyDescent="0.2">
      <c r="A8323" s="247"/>
      <c r="B8323" s="316"/>
      <c r="C8323" s="247"/>
      <c r="D8323" s="317"/>
      <c r="E8323" s="318"/>
      <c r="F8323" s="247"/>
      <c r="G8323" s="247"/>
      <c r="H8323" s="248"/>
      <c r="I8323" s="248"/>
      <c r="J8323" s="247"/>
      <c r="K8323" s="249"/>
    </row>
    <row r="8324" spans="1:11" s="90" customFormat="1" ht="12.75" customHeight="1" x14ac:dyDescent="0.2">
      <c r="A8324" s="247"/>
      <c r="B8324" s="316"/>
      <c r="C8324" s="247"/>
      <c r="D8324" s="317"/>
      <c r="E8324" s="318"/>
      <c r="F8324" s="247"/>
      <c r="G8324" s="247"/>
      <c r="H8324" s="248"/>
      <c r="I8324" s="248"/>
      <c r="J8324" s="247"/>
      <c r="K8324" s="249"/>
    </row>
    <row r="8325" spans="1:11" s="90" customFormat="1" ht="12.75" customHeight="1" x14ac:dyDescent="0.2">
      <c r="A8325" s="247"/>
      <c r="B8325" s="316"/>
      <c r="C8325" s="247"/>
      <c r="D8325" s="317"/>
      <c r="E8325" s="318"/>
      <c r="F8325" s="247"/>
      <c r="G8325" s="247"/>
      <c r="H8325" s="248"/>
      <c r="I8325" s="248"/>
      <c r="J8325" s="247"/>
      <c r="K8325" s="249"/>
    </row>
    <row r="8326" spans="1:11" s="90" customFormat="1" ht="12.75" customHeight="1" x14ac:dyDescent="0.2">
      <c r="A8326" s="247"/>
      <c r="B8326" s="316"/>
      <c r="C8326" s="247"/>
      <c r="D8326" s="317"/>
      <c r="E8326" s="318"/>
      <c r="F8326" s="247"/>
      <c r="G8326" s="247"/>
      <c r="H8326" s="248"/>
      <c r="I8326" s="248"/>
      <c r="J8326" s="247"/>
      <c r="K8326" s="249"/>
    </row>
    <row r="8327" spans="1:11" s="90" customFormat="1" ht="12.75" customHeight="1" x14ac:dyDescent="0.2">
      <c r="A8327" s="247"/>
      <c r="B8327" s="316"/>
      <c r="C8327" s="247"/>
      <c r="D8327" s="317"/>
      <c r="E8327" s="318"/>
      <c r="F8327" s="247"/>
      <c r="G8327" s="247"/>
      <c r="H8327" s="248"/>
      <c r="I8327" s="248"/>
      <c r="J8327" s="247"/>
      <c r="K8327" s="249"/>
    </row>
    <row r="8328" spans="1:11" s="90" customFormat="1" ht="12.75" customHeight="1" x14ac:dyDescent="0.2">
      <c r="A8328" s="247"/>
      <c r="B8328" s="316"/>
      <c r="C8328" s="247"/>
      <c r="D8328" s="317"/>
      <c r="E8328" s="318"/>
      <c r="F8328" s="247"/>
      <c r="G8328" s="247"/>
      <c r="H8328" s="248"/>
      <c r="I8328" s="248"/>
      <c r="J8328" s="247"/>
      <c r="K8328" s="249"/>
    </row>
    <row r="8329" spans="1:11" s="90" customFormat="1" ht="12.75" customHeight="1" x14ac:dyDescent="0.2">
      <c r="A8329" s="247"/>
      <c r="B8329" s="316"/>
      <c r="C8329" s="247"/>
      <c r="D8329" s="317"/>
      <c r="E8329" s="318"/>
      <c r="F8329" s="247"/>
      <c r="G8329" s="247"/>
      <c r="H8329" s="248"/>
      <c r="I8329" s="248"/>
      <c r="J8329" s="247"/>
      <c r="K8329" s="249"/>
    </row>
    <row r="8330" spans="1:11" s="90" customFormat="1" ht="12.75" customHeight="1" x14ac:dyDescent="0.2">
      <c r="A8330" s="247"/>
      <c r="B8330" s="316"/>
      <c r="C8330" s="247"/>
      <c r="D8330" s="317"/>
      <c r="E8330" s="318"/>
      <c r="F8330" s="247"/>
      <c r="G8330" s="247"/>
      <c r="H8330" s="248"/>
      <c r="I8330" s="248"/>
      <c r="J8330" s="247"/>
      <c r="K8330" s="249"/>
    </row>
    <row r="8331" spans="1:11" s="90" customFormat="1" ht="12.75" customHeight="1" x14ac:dyDescent="0.2">
      <c r="A8331" s="247"/>
      <c r="B8331" s="316"/>
      <c r="C8331" s="247"/>
      <c r="D8331" s="317"/>
      <c r="E8331" s="318"/>
      <c r="F8331" s="247"/>
      <c r="G8331" s="247"/>
      <c r="H8331" s="248"/>
      <c r="I8331" s="248"/>
      <c r="J8331" s="247"/>
      <c r="K8331" s="249"/>
    </row>
    <row r="8332" spans="1:11" s="90" customFormat="1" ht="12.75" customHeight="1" x14ac:dyDescent="0.2">
      <c r="A8332" s="247"/>
      <c r="B8332" s="316"/>
      <c r="C8332" s="247"/>
      <c r="D8332" s="317"/>
      <c r="E8332" s="318"/>
      <c r="F8332" s="247"/>
      <c r="G8332" s="247"/>
      <c r="H8332" s="248"/>
      <c r="I8332" s="248"/>
      <c r="J8332" s="247"/>
      <c r="K8332" s="249"/>
    </row>
    <row r="8333" spans="1:11" s="90" customFormat="1" ht="12.75" customHeight="1" x14ac:dyDescent="0.2">
      <c r="A8333" s="247"/>
      <c r="B8333" s="316"/>
      <c r="C8333" s="247"/>
      <c r="D8333" s="317"/>
      <c r="E8333" s="318"/>
      <c r="F8333" s="247"/>
      <c r="G8333" s="247"/>
      <c r="H8333" s="248"/>
      <c r="I8333" s="248"/>
      <c r="J8333" s="247"/>
      <c r="K8333" s="249"/>
    </row>
    <row r="8334" spans="1:11" s="90" customFormat="1" ht="12.75" customHeight="1" x14ac:dyDescent="0.2">
      <c r="A8334" s="247"/>
      <c r="B8334" s="316"/>
      <c r="C8334" s="247"/>
      <c r="D8334" s="317"/>
      <c r="E8334" s="318"/>
      <c r="F8334" s="247"/>
      <c r="G8334" s="247"/>
      <c r="H8334" s="248"/>
      <c r="I8334" s="248"/>
      <c r="J8334" s="247"/>
      <c r="K8334" s="249"/>
    </row>
    <row r="8335" spans="1:11" s="90" customFormat="1" ht="12.75" customHeight="1" x14ac:dyDescent="0.2">
      <c r="A8335" s="247"/>
      <c r="B8335" s="316"/>
      <c r="C8335" s="247"/>
      <c r="D8335" s="317"/>
      <c r="E8335" s="318"/>
      <c r="F8335" s="247"/>
      <c r="G8335" s="247"/>
      <c r="H8335" s="248"/>
      <c r="I8335" s="248"/>
      <c r="J8335" s="247"/>
      <c r="K8335" s="249"/>
    </row>
    <row r="8336" spans="1:11" s="90" customFormat="1" ht="12.75" customHeight="1" x14ac:dyDescent="0.2">
      <c r="A8336" s="247"/>
      <c r="B8336" s="316"/>
      <c r="C8336" s="247"/>
      <c r="D8336" s="317"/>
      <c r="E8336" s="318"/>
      <c r="F8336" s="247"/>
      <c r="G8336" s="247"/>
      <c r="H8336" s="248"/>
      <c r="I8336" s="248"/>
      <c r="J8336" s="247"/>
      <c r="K8336" s="249"/>
    </row>
    <row r="8337" spans="1:11" s="90" customFormat="1" ht="12.75" customHeight="1" x14ac:dyDescent="0.2">
      <c r="A8337" s="247"/>
      <c r="B8337" s="316"/>
      <c r="C8337" s="247"/>
      <c r="D8337" s="317"/>
      <c r="E8337" s="318"/>
      <c r="F8337" s="247"/>
      <c r="G8337" s="247"/>
      <c r="H8337" s="248"/>
      <c r="I8337" s="248"/>
      <c r="J8337" s="247"/>
      <c r="K8337" s="249"/>
    </row>
    <row r="8338" spans="1:11" s="90" customFormat="1" ht="12.75" customHeight="1" x14ac:dyDescent="0.2">
      <c r="A8338" s="247"/>
      <c r="B8338" s="316"/>
      <c r="C8338" s="247"/>
      <c r="D8338" s="317"/>
      <c r="E8338" s="318"/>
      <c r="F8338" s="247"/>
      <c r="G8338" s="247"/>
      <c r="H8338" s="248"/>
      <c r="I8338" s="248"/>
      <c r="J8338" s="247"/>
      <c r="K8338" s="249"/>
    </row>
    <row r="8339" spans="1:11" s="90" customFormat="1" ht="12.75" customHeight="1" x14ac:dyDescent="0.2">
      <c r="A8339" s="247"/>
      <c r="B8339" s="316"/>
      <c r="C8339" s="247"/>
      <c r="D8339" s="317"/>
      <c r="E8339" s="318"/>
      <c r="F8339" s="247"/>
      <c r="G8339" s="247"/>
      <c r="H8339" s="248"/>
      <c r="I8339" s="248"/>
      <c r="J8339" s="247"/>
      <c r="K8339" s="249"/>
    </row>
    <row r="8340" spans="1:11" s="90" customFormat="1" ht="12.75" customHeight="1" x14ac:dyDescent="0.2">
      <c r="A8340" s="247"/>
      <c r="B8340" s="316"/>
      <c r="C8340" s="247"/>
      <c r="D8340" s="317"/>
      <c r="E8340" s="318"/>
      <c r="F8340" s="247"/>
      <c r="G8340" s="247"/>
      <c r="H8340" s="248"/>
      <c r="I8340" s="248"/>
      <c r="J8340" s="247"/>
      <c r="K8340" s="249"/>
    </row>
    <row r="8341" spans="1:11" s="90" customFormat="1" ht="12.75" customHeight="1" x14ac:dyDescent="0.2">
      <c r="A8341" s="247"/>
      <c r="B8341" s="316"/>
      <c r="C8341" s="247"/>
      <c r="D8341" s="317"/>
      <c r="E8341" s="318"/>
      <c r="F8341" s="247"/>
      <c r="G8341" s="247"/>
      <c r="H8341" s="248"/>
      <c r="I8341" s="248"/>
      <c r="J8341" s="247"/>
      <c r="K8341" s="249"/>
    </row>
    <row r="8342" spans="1:11" s="90" customFormat="1" ht="12.75" customHeight="1" x14ac:dyDescent="0.2">
      <c r="A8342" s="247"/>
      <c r="B8342" s="316"/>
      <c r="C8342" s="247"/>
      <c r="D8342" s="317"/>
      <c r="E8342" s="318"/>
      <c r="F8342" s="247"/>
      <c r="G8342" s="247"/>
      <c r="H8342" s="248"/>
      <c r="I8342" s="248"/>
      <c r="J8342" s="247"/>
      <c r="K8342" s="249"/>
    </row>
    <row r="8343" spans="1:11" s="90" customFormat="1" ht="12.75" customHeight="1" x14ac:dyDescent="0.2">
      <c r="A8343" s="247"/>
      <c r="B8343" s="316"/>
      <c r="C8343" s="247"/>
      <c r="D8343" s="317"/>
      <c r="E8343" s="318"/>
      <c r="F8343" s="247"/>
      <c r="G8343" s="247"/>
      <c r="H8343" s="248"/>
      <c r="I8343" s="248"/>
      <c r="J8343" s="247"/>
      <c r="K8343" s="249"/>
    </row>
    <row r="8344" spans="1:11" s="90" customFormat="1" ht="12.75" customHeight="1" x14ac:dyDescent="0.2">
      <c r="A8344" s="247"/>
      <c r="B8344" s="316"/>
      <c r="C8344" s="247"/>
      <c r="D8344" s="317"/>
      <c r="E8344" s="318"/>
      <c r="F8344" s="247"/>
      <c r="G8344" s="247"/>
      <c r="H8344" s="248"/>
      <c r="I8344" s="248"/>
      <c r="J8344" s="247"/>
      <c r="K8344" s="249"/>
    </row>
    <row r="8345" spans="1:11" s="90" customFormat="1" ht="12.75" customHeight="1" x14ac:dyDescent="0.2">
      <c r="A8345" s="247"/>
      <c r="B8345" s="316"/>
      <c r="C8345" s="247"/>
      <c r="D8345" s="317"/>
      <c r="E8345" s="318"/>
      <c r="F8345" s="247"/>
      <c r="G8345" s="247"/>
      <c r="H8345" s="248"/>
      <c r="I8345" s="248"/>
      <c r="J8345" s="247"/>
      <c r="K8345" s="249"/>
    </row>
    <row r="8346" spans="1:11" s="90" customFormat="1" ht="12.75" customHeight="1" x14ac:dyDescent="0.2">
      <c r="A8346" s="247"/>
      <c r="B8346" s="316"/>
      <c r="C8346" s="247"/>
      <c r="D8346" s="317"/>
      <c r="E8346" s="318"/>
      <c r="F8346" s="247"/>
      <c r="G8346" s="247"/>
      <c r="H8346" s="248"/>
      <c r="I8346" s="248"/>
      <c r="J8346" s="247"/>
      <c r="K8346" s="249"/>
    </row>
    <row r="8347" spans="1:11" s="90" customFormat="1" ht="12.75" customHeight="1" x14ac:dyDescent="0.2">
      <c r="A8347" s="247"/>
      <c r="B8347" s="316"/>
      <c r="C8347" s="247"/>
      <c r="D8347" s="317"/>
      <c r="E8347" s="318"/>
      <c r="F8347" s="247"/>
      <c r="G8347" s="247"/>
      <c r="H8347" s="248"/>
      <c r="I8347" s="248"/>
      <c r="J8347" s="247"/>
      <c r="K8347" s="249"/>
    </row>
    <row r="8348" spans="1:11" s="90" customFormat="1" ht="12.75" customHeight="1" x14ac:dyDescent="0.2">
      <c r="A8348" s="247"/>
      <c r="B8348" s="316"/>
      <c r="C8348" s="247"/>
      <c r="D8348" s="317"/>
      <c r="E8348" s="318"/>
      <c r="F8348" s="247"/>
      <c r="G8348" s="247"/>
      <c r="H8348" s="248"/>
      <c r="I8348" s="248"/>
      <c r="J8348" s="247"/>
      <c r="K8348" s="249"/>
    </row>
    <row r="8349" spans="1:11" s="90" customFormat="1" ht="12.75" customHeight="1" x14ac:dyDescent="0.2">
      <c r="A8349" s="247"/>
      <c r="B8349" s="316"/>
      <c r="C8349" s="247"/>
      <c r="D8349" s="317"/>
      <c r="E8349" s="318"/>
      <c r="F8349" s="247"/>
      <c r="G8349" s="247"/>
      <c r="H8349" s="248"/>
      <c r="I8349" s="248"/>
      <c r="J8349" s="247"/>
      <c r="K8349" s="249"/>
    </row>
    <row r="8350" spans="1:11" s="90" customFormat="1" ht="12.75" customHeight="1" x14ac:dyDescent="0.2">
      <c r="A8350" s="247"/>
      <c r="B8350" s="316"/>
      <c r="C8350" s="247"/>
      <c r="D8350" s="317"/>
      <c r="E8350" s="318"/>
      <c r="F8350" s="247"/>
      <c r="G8350" s="247"/>
      <c r="H8350" s="248"/>
      <c r="I8350" s="248"/>
      <c r="J8350" s="247"/>
      <c r="K8350" s="249"/>
    </row>
    <row r="8351" spans="1:11" s="90" customFormat="1" ht="12.75" customHeight="1" x14ac:dyDescent="0.2">
      <c r="A8351" s="247"/>
      <c r="B8351" s="316"/>
      <c r="C8351" s="247"/>
      <c r="D8351" s="317"/>
      <c r="E8351" s="318"/>
      <c r="F8351" s="247"/>
      <c r="G8351" s="247"/>
      <c r="H8351" s="248"/>
      <c r="I8351" s="248"/>
      <c r="J8351" s="247"/>
      <c r="K8351" s="249"/>
    </row>
    <row r="8352" spans="1:11" s="90" customFormat="1" ht="12.75" customHeight="1" x14ac:dyDescent="0.2">
      <c r="A8352" s="247"/>
      <c r="B8352" s="316"/>
      <c r="C8352" s="247"/>
      <c r="D8352" s="317"/>
      <c r="E8352" s="318"/>
      <c r="F8352" s="247"/>
      <c r="G8352" s="247"/>
      <c r="H8352" s="248"/>
      <c r="I8352" s="248"/>
      <c r="J8352" s="247"/>
      <c r="K8352" s="249"/>
    </row>
    <row r="8353" spans="1:11" s="90" customFormat="1" ht="12.75" customHeight="1" x14ac:dyDescent="0.2">
      <c r="A8353" s="247"/>
      <c r="B8353" s="316"/>
      <c r="C8353" s="247"/>
      <c r="D8353" s="317"/>
      <c r="E8353" s="318"/>
      <c r="F8353" s="247"/>
      <c r="G8353" s="247"/>
      <c r="H8353" s="248"/>
      <c r="I8353" s="248"/>
      <c r="J8353" s="247"/>
      <c r="K8353" s="249"/>
    </row>
    <row r="8354" spans="1:11" s="90" customFormat="1" ht="12.75" customHeight="1" x14ac:dyDescent="0.2">
      <c r="A8354" s="247"/>
      <c r="B8354" s="316"/>
      <c r="C8354" s="247"/>
      <c r="D8354" s="317"/>
      <c r="E8354" s="318"/>
      <c r="F8354" s="247"/>
      <c r="G8354" s="247"/>
      <c r="H8354" s="248"/>
      <c r="I8354" s="248"/>
      <c r="J8354" s="247"/>
      <c r="K8354" s="249"/>
    </row>
    <row r="8355" spans="1:11" s="90" customFormat="1" ht="12.75" customHeight="1" x14ac:dyDescent="0.2">
      <c r="A8355" s="247"/>
      <c r="B8355" s="316"/>
      <c r="C8355" s="247"/>
      <c r="D8355" s="317"/>
      <c r="E8355" s="318"/>
      <c r="F8355" s="247"/>
      <c r="G8355" s="247"/>
      <c r="H8355" s="248"/>
      <c r="I8355" s="248"/>
      <c r="J8355" s="247"/>
      <c r="K8355" s="249"/>
    </row>
    <row r="8356" spans="1:11" s="90" customFormat="1" ht="12.75" customHeight="1" x14ac:dyDescent="0.2">
      <c r="A8356" s="247"/>
      <c r="B8356" s="316"/>
      <c r="C8356" s="247"/>
      <c r="D8356" s="317"/>
      <c r="E8356" s="318"/>
      <c r="F8356" s="247"/>
      <c r="G8356" s="247"/>
      <c r="H8356" s="248"/>
      <c r="I8356" s="248"/>
      <c r="J8356" s="247"/>
      <c r="K8356" s="249"/>
    </row>
    <row r="8357" spans="1:11" s="90" customFormat="1" ht="12.75" customHeight="1" x14ac:dyDescent="0.2">
      <c r="A8357" s="247"/>
      <c r="B8357" s="316"/>
      <c r="C8357" s="247"/>
      <c r="D8357" s="317"/>
      <c r="E8357" s="318"/>
      <c r="F8357" s="247"/>
      <c r="G8357" s="247"/>
      <c r="H8357" s="248"/>
      <c r="I8357" s="248"/>
      <c r="J8357" s="247"/>
      <c r="K8357" s="249"/>
    </row>
    <row r="8358" spans="1:11" s="90" customFormat="1" ht="12.75" customHeight="1" x14ac:dyDescent="0.2">
      <c r="A8358" s="247"/>
      <c r="B8358" s="316"/>
      <c r="C8358" s="247"/>
      <c r="D8358" s="317"/>
      <c r="E8358" s="318"/>
      <c r="F8358" s="247"/>
      <c r="G8358" s="247"/>
      <c r="H8358" s="248"/>
      <c r="I8358" s="248"/>
      <c r="J8358" s="247"/>
      <c r="K8358" s="249"/>
    </row>
    <row r="8359" spans="1:11" s="90" customFormat="1" ht="12.75" customHeight="1" x14ac:dyDescent="0.2">
      <c r="A8359" s="247"/>
      <c r="B8359" s="316"/>
      <c r="C8359" s="247"/>
      <c r="D8359" s="317"/>
      <c r="E8359" s="318"/>
      <c r="F8359" s="247"/>
      <c r="G8359" s="247"/>
      <c r="H8359" s="248"/>
      <c r="I8359" s="248"/>
      <c r="J8359" s="247"/>
      <c r="K8359" s="249"/>
    </row>
    <row r="8360" spans="1:11" s="90" customFormat="1" ht="12.75" customHeight="1" x14ac:dyDescent="0.2">
      <c r="A8360" s="247"/>
      <c r="B8360" s="316"/>
      <c r="C8360" s="247"/>
      <c r="D8360" s="317"/>
      <c r="E8360" s="318"/>
      <c r="F8360" s="247"/>
      <c r="G8360" s="247"/>
      <c r="H8360" s="248"/>
      <c r="I8360" s="248"/>
      <c r="J8360" s="247"/>
      <c r="K8360" s="249"/>
    </row>
    <row r="8361" spans="1:11" s="90" customFormat="1" ht="12.75" customHeight="1" x14ac:dyDescent="0.2">
      <c r="A8361" s="247"/>
      <c r="B8361" s="316"/>
      <c r="C8361" s="247"/>
      <c r="D8361" s="317"/>
      <c r="E8361" s="318"/>
      <c r="F8361" s="247"/>
      <c r="G8361" s="247"/>
      <c r="H8361" s="248"/>
      <c r="I8361" s="248"/>
      <c r="J8361" s="247"/>
      <c r="K8361" s="249"/>
    </row>
    <row r="8362" spans="1:11" s="90" customFormat="1" ht="12.75" customHeight="1" x14ac:dyDescent="0.2">
      <c r="A8362" s="247"/>
      <c r="B8362" s="316"/>
      <c r="C8362" s="247"/>
      <c r="D8362" s="317"/>
      <c r="E8362" s="318"/>
      <c r="F8362" s="247"/>
      <c r="G8362" s="247"/>
      <c r="H8362" s="248"/>
      <c r="I8362" s="248"/>
      <c r="J8362" s="247"/>
      <c r="K8362" s="249"/>
    </row>
    <row r="8363" spans="1:11" s="90" customFormat="1" ht="12.75" customHeight="1" x14ac:dyDescent="0.2">
      <c r="A8363" s="247"/>
      <c r="B8363" s="316"/>
      <c r="C8363" s="247"/>
      <c r="D8363" s="317"/>
      <c r="E8363" s="318"/>
      <c r="F8363" s="247"/>
      <c r="G8363" s="247"/>
      <c r="H8363" s="248"/>
      <c r="I8363" s="248"/>
      <c r="J8363" s="247"/>
      <c r="K8363" s="249"/>
    </row>
    <row r="8364" spans="1:11" s="90" customFormat="1" ht="12.75" customHeight="1" x14ac:dyDescent="0.2">
      <c r="A8364" s="247"/>
      <c r="B8364" s="316"/>
      <c r="C8364" s="247"/>
      <c r="D8364" s="317"/>
      <c r="E8364" s="318"/>
      <c r="F8364" s="247"/>
      <c r="G8364" s="247"/>
      <c r="H8364" s="248"/>
      <c r="I8364" s="248"/>
      <c r="J8364" s="247"/>
      <c r="K8364" s="249"/>
    </row>
    <row r="8365" spans="1:11" s="90" customFormat="1" ht="12.75" customHeight="1" x14ac:dyDescent="0.2">
      <c r="A8365" s="247"/>
      <c r="B8365" s="316"/>
      <c r="C8365" s="247"/>
      <c r="D8365" s="317"/>
      <c r="E8365" s="318"/>
      <c r="F8365" s="247"/>
      <c r="G8365" s="247"/>
      <c r="H8365" s="248"/>
      <c r="I8365" s="248"/>
      <c r="J8365" s="247"/>
      <c r="K8365" s="249"/>
    </row>
    <row r="8366" spans="1:11" s="90" customFormat="1" ht="12.75" customHeight="1" x14ac:dyDescent="0.2">
      <c r="A8366" s="247"/>
      <c r="B8366" s="316"/>
      <c r="C8366" s="247"/>
      <c r="D8366" s="317"/>
      <c r="E8366" s="318"/>
      <c r="F8366" s="247"/>
      <c r="G8366" s="247"/>
      <c r="H8366" s="248"/>
      <c r="I8366" s="248"/>
      <c r="J8366" s="247"/>
      <c r="K8366" s="249"/>
    </row>
    <row r="8367" spans="1:11" s="90" customFormat="1" ht="12.75" customHeight="1" x14ac:dyDescent="0.2">
      <c r="A8367" s="247"/>
      <c r="B8367" s="316"/>
      <c r="C8367" s="247"/>
      <c r="D8367" s="317"/>
      <c r="E8367" s="318"/>
      <c r="F8367" s="247"/>
      <c r="G8367" s="247"/>
      <c r="H8367" s="248"/>
      <c r="I8367" s="248"/>
      <c r="J8367" s="247"/>
      <c r="K8367" s="249"/>
    </row>
    <row r="8368" spans="1:11" s="90" customFormat="1" ht="12.75" customHeight="1" x14ac:dyDescent="0.2">
      <c r="A8368" s="247"/>
      <c r="B8368" s="316"/>
      <c r="C8368" s="247"/>
      <c r="D8368" s="317"/>
      <c r="E8368" s="318"/>
      <c r="F8368" s="247"/>
      <c r="G8368" s="247"/>
      <c r="H8368" s="248"/>
      <c r="I8368" s="248"/>
      <c r="J8368" s="247"/>
      <c r="K8368" s="249"/>
    </row>
    <row r="8369" spans="1:11" s="90" customFormat="1" ht="12.75" customHeight="1" x14ac:dyDescent="0.2">
      <c r="A8369" s="247"/>
      <c r="B8369" s="316"/>
      <c r="C8369" s="247"/>
      <c r="D8369" s="317"/>
      <c r="E8369" s="318"/>
      <c r="F8369" s="247"/>
      <c r="G8369" s="247"/>
      <c r="H8369" s="248"/>
      <c r="I8369" s="248"/>
      <c r="J8369" s="247"/>
      <c r="K8369" s="249"/>
    </row>
    <row r="8370" spans="1:11" s="90" customFormat="1" ht="12.75" customHeight="1" x14ac:dyDescent="0.2">
      <c r="A8370" s="247"/>
      <c r="B8370" s="316"/>
      <c r="C8370" s="247"/>
      <c r="D8370" s="317"/>
      <c r="E8370" s="318"/>
      <c r="F8370" s="247"/>
      <c r="G8370" s="247"/>
      <c r="H8370" s="248"/>
      <c r="I8370" s="248"/>
      <c r="J8370" s="247"/>
      <c r="K8370" s="249"/>
    </row>
    <row r="8371" spans="1:11" s="90" customFormat="1" ht="12.75" customHeight="1" x14ac:dyDescent="0.2">
      <c r="A8371" s="247"/>
      <c r="B8371" s="316"/>
      <c r="C8371" s="247"/>
      <c r="D8371" s="317"/>
      <c r="E8371" s="318"/>
      <c r="F8371" s="247"/>
      <c r="G8371" s="247"/>
      <c r="H8371" s="248"/>
      <c r="I8371" s="248"/>
      <c r="J8371" s="247"/>
      <c r="K8371" s="249"/>
    </row>
    <row r="8372" spans="1:11" s="90" customFormat="1" ht="12.75" customHeight="1" x14ac:dyDescent="0.2">
      <c r="A8372" s="247"/>
      <c r="B8372" s="316"/>
      <c r="C8372" s="247"/>
      <c r="D8372" s="317"/>
      <c r="E8372" s="318"/>
      <c r="F8372" s="247"/>
      <c r="G8372" s="247"/>
      <c r="H8372" s="248"/>
      <c r="I8372" s="248"/>
      <c r="J8372" s="247"/>
      <c r="K8372" s="249"/>
    </row>
    <row r="8373" spans="1:11" s="90" customFormat="1" ht="12.75" customHeight="1" x14ac:dyDescent="0.2">
      <c r="A8373" s="247"/>
      <c r="B8373" s="316"/>
      <c r="C8373" s="247"/>
      <c r="D8373" s="317"/>
      <c r="E8373" s="318"/>
      <c r="F8373" s="247"/>
      <c r="G8373" s="247"/>
      <c r="H8373" s="248"/>
      <c r="I8373" s="248"/>
      <c r="J8373" s="247"/>
      <c r="K8373" s="249"/>
    </row>
    <row r="8374" spans="1:11" s="90" customFormat="1" ht="12.75" customHeight="1" x14ac:dyDescent="0.2">
      <c r="A8374" s="247"/>
      <c r="B8374" s="316"/>
      <c r="C8374" s="247"/>
      <c r="D8374" s="317"/>
      <c r="E8374" s="318"/>
      <c r="F8374" s="247"/>
      <c r="G8374" s="247"/>
      <c r="H8374" s="248"/>
      <c r="I8374" s="248"/>
      <c r="J8374" s="247"/>
      <c r="K8374" s="249"/>
    </row>
    <row r="8375" spans="1:11" s="90" customFormat="1" ht="12.75" customHeight="1" x14ac:dyDescent="0.2">
      <c r="A8375" s="247"/>
      <c r="B8375" s="316"/>
      <c r="C8375" s="247"/>
      <c r="D8375" s="317"/>
      <c r="E8375" s="318"/>
      <c r="F8375" s="247"/>
      <c r="G8375" s="247"/>
      <c r="H8375" s="248"/>
      <c r="I8375" s="248"/>
      <c r="J8375" s="247"/>
      <c r="K8375" s="249"/>
    </row>
    <row r="8376" spans="1:11" s="90" customFormat="1" ht="12.75" customHeight="1" x14ac:dyDescent="0.2">
      <c r="A8376" s="247"/>
      <c r="B8376" s="316"/>
      <c r="C8376" s="247"/>
      <c r="D8376" s="317"/>
      <c r="E8376" s="318"/>
      <c r="F8376" s="247"/>
      <c r="G8376" s="247"/>
      <c r="H8376" s="248"/>
      <c r="I8376" s="248"/>
      <c r="J8376" s="247"/>
      <c r="K8376" s="249"/>
    </row>
    <row r="8377" spans="1:11" s="90" customFormat="1" ht="12.75" customHeight="1" x14ac:dyDescent="0.2">
      <c r="A8377" s="247"/>
      <c r="B8377" s="316"/>
      <c r="C8377" s="247"/>
      <c r="D8377" s="317"/>
      <c r="E8377" s="318"/>
      <c r="F8377" s="247"/>
      <c r="G8377" s="247"/>
      <c r="H8377" s="248"/>
      <c r="I8377" s="248"/>
      <c r="J8377" s="247"/>
      <c r="K8377" s="249"/>
    </row>
    <row r="8378" spans="1:11" s="90" customFormat="1" ht="12.75" customHeight="1" x14ac:dyDescent="0.2">
      <c r="A8378" s="247"/>
      <c r="B8378" s="316"/>
      <c r="C8378" s="247"/>
      <c r="D8378" s="317"/>
      <c r="E8378" s="318"/>
      <c r="F8378" s="247"/>
      <c r="G8378" s="247"/>
      <c r="H8378" s="248"/>
      <c r="I8378" s="248"/>
      <c r="J8378" s="247"/>
      <c r="K8378" s="249"/>
    </row>
    <row r="8379" spans="1:11" s="90" customFormat="1" ht="12.75" customHeight="1" x14ac:dyDescent="0.2">
      <c r="A8379" s="247"/>
      <c r="B8379" s="316"/>
      <c r="C8379" s="247"/>
      <c r="D8379" s="317"/>
      <c r="E8379" s="318"/>
      <c r="F8379" s="247"/>
      <c r="G8379" s="247"/>
      <c r="H8379" s="248"/>
      <c r="I8379" s="248"/>
      <c r="J8379" s="247"/>
      <c r="K8379" s="249"/>
    </row>
    <row r="8380" spans="1:11" s="90" customFormat="1" ht="12.75" customHeight="1" x14ac:dyDescent="0.2">
      <c r="A8380" s="247"/>
      <c r="B8380" s="316"/>
      <c r="C8380" s="247"/>
      <c r="D8380" s="317"/>
      <c r="E8380" s="318"/>
      <c r="F8380" s="247"/>
      <c r="G8380" s="247"/>
      <c r="H8380" s="248"/>
      <c r="I8380" s="248"/>
      <c r="J8380" s="247"/>
      <c r="K8380" s="249"/>
    </row>
    <row r="8381" spans="1:11" s="90" customFormat="1" ht="12.75" customHeight="1" x14ac:dyDescent="0.2">
      <c r="A8381" s="247"/>
      <c r="B8381" s="316"/>
      <c r="C8381" s="247"/>
      <c r="D8381" s="317"/>
      <c r="E8381" s="318"/>
      <c r="F8381" s="247"/>
      <c r="G8381" s="247"/>
      <c r="H8381" s="248"/>
      <c r="I8381" s="248"/>
      <c r="J8381" s="247"/>
      <c r="K8381" s="249"/>
    </row>
    <row r="8382" spans="1:11" s="90" customFormat="1" ht="12.75" customHeight="1" x14ac:dyDescent="0.2">
      <c r="A8382" s="247"/>
      <c r="B8382" s="316"/>
      <c r="C8382" s="247"/>
      <c r="D8382" s="317"/>
      <c r="E8382" s="318"/>
      <c r="F8382" s="247"/>
      <c r="G8382" s="247"/>
      <c r="H8382" s="248"/>
      <c r="I8382" s="248"/>
      <c r="J8382" s="247"/>
      <c r="K8382" s="249"/>
    </row>
    <row r="8383" spans="1:11" s="90" customFormat="1" ht="12.75" customHeight="1" x14ac:dyDescent="0.2">
      <c r="A8383" s="247"/>
      <c r="B8383" s="316"/>
      <c r="C8383" s="247"/>
      <c r="D8383" s="317"/>
      <c r="E8383" s="318"/>
      <c r="F8383" s="247"/>
      <c r="G8383" s="247"/>
      <c r="H8383" s="248"/>
      <c r="I8383" s="248"/>
      <c r="J8383" s="247"/>
      <c r="K8383" s="249"/>
    </row>
    <row r="8384" spans="1:11" s="90" customFormat="1" ht="12.75" customHeight="1" x14ac:dyDescent="0.2">
      <c r="A8384" s="247"/>
      <c r="B8384" s="316"/>
      <c r="C8384" s="247"/>
      <c r="D8384" s="317"/>
      <c r="E8384" s="318"/>
      <c r="F8384" s="247"/>
      <c r="G8384" s="247"/>
      <c r="H8384" s="248"/>
      <c r="I8384" s="248"/>
      <c r="J8384" s="247"/>
      <c r="K8384" s="249"/>
    </row>
    <row r="8385" spans="1:11" s="90" customFormat="1" ht="12.75" customHeight="1" x14ac:dyDescent="0.2">
      <c r="A8385" s="247"/>
      <c r="B8385" s="316"/>
      <c r="C8385" s="247"/>
      <c r="D8385" s="317"/>
      <c r="E8385" s="318"/>
      <c r="F8385" s="247"/>
      <c r="G8385" s="247"/>
      <c r="H8385" s="248"/>
      <c r="I8385" s="248"/>
      <c r="J8385" s="247"/>
      <c r="K8385" s="249"/>
    </row>
    <row r="8386" spans="1:11" s="90" customFormat="1" ht="12.75" customHeight="1" x14ac:dyDescent="0.2">
      <c r="A8386" s="247"/>
      <c r="B8386" s="316"/>
      <c r="C8386" s="247"/>
      <c r="D8386" s="317"/>
      <c r="E8386" s="318"/>
      <c r="F8386" s="247"/>
      <c r="G8386" s="247"/>
      <c r="H8386" s="248"/>
      <c r="I8386" s="248"/>
      <c r="J8386" s="247"/>
      <c r="K8386" s="249"/>
    </row>
    <row r="8387" spans="1:11" s="90" customFormat="1" ht="12.75" customHeight="1" x14ac:dyDescent="0.2">
      <c r="A8387" s="247"/>
      <c r="B8387" s="316"/>
      <c r="C8387" s="247"/>
      <c r="D8387" s="317"/>
      <c r="E8387" s="318"/>
      <c r="F8387" s="247"/>
      <c r="G8387" s="247"/>
      <c r="H8387" s="248"/>
      <c r="I8387" s="248"/>
      <c r="J8387" s="247"/>
      <c r="K8387" s="249"/>
    </row>
    <row r="8388" spans="1:11" s="90" customFormat="1" ht="12.75" customHeight="1" x14ac:dyDescent="0.2">
      <c r="A8388" s="247"/>
      <c r="B8388" s="316"/>
      <c r="C8388" s="247"/>
      <c r="D8388" s="317"/>
      <c r="E8388" s="318"/>
      <c r="F8388" s="247"/>
      <c r="G8388" s="247"/>
      <c r="H8388" s="248"/>
      <c r="I8388" s="248"/>
      <c r="J8388" s="247"/>
      <c r="K8388" s="249"/>
    </row>
    <row r="8389" spans="1:11" s="90" customFormat="1" ht="12.75" customHeight="1" x14ac:dyDescent="0.2">
      <c r="A8389" s="247"/>
      <c r="B8389" s="316"/>
      <c r="C8389" s="247"/>
      <c r="D8389" s="317"/>
      <c r="E8389" s="318"/>
      <c r="F8389" s="247"/>
      <c r="G8389" s="247"/>
      <c r="H8389" s="248"/>
      <c r="I8389" s="248"/>
      <c r="J8389" s="247"/>
      <c r="K8389" s="249"/>
    </row>
    <row r="8390" spans="1:11" s="90" customFormat="1" ht="12.75" customHeight="1" x14ac:dyDescent="0.2">
      <c r="A8390" s="247"/>
      <c r="B8390" s="316"/>
      <c r="C8390" s="247"/>
      <c r="D8390" s="317"/>
      <c r="E8390" s="318"/>
      <c r="F8390" s="247"/>
      <c r="G8390" s="247"/>
      <c r="H8390" s="248"/>
      <c r="I8390" s="248"/>
      <c r="J8390" s="247"/>
      <c r="K8390" s="249"/>
    </row>
    <row r="8391" spans="1:11" s="90" customFormat="1" ht="12.75" customHeight="1" x14ac:dyDescent="0.2">
      <c r="A8391" s="247"/>
      <c r="B8391" s="316"/>
      <c r="C8391" s="247"/>
      <c r="D8391" s="317"/>
      <c r="E8391" s="318"/>
      <c r="F8391" s="247"/>
      <c r="G8391" s="247"/>
      <c r="H8391" s="248"/>
      <c r="I8391" s="248"/>
      <c r="J8391" s="247"/>
      <c r="K8391" s="249"/>
    </row>
    <row r="8392" spans="1:11" s="90" customFormat="1" ht="12.75" customHeight="1" x14ac:dyDescent="0.2">
      <c r="A8392" s="247"/>
      <c r="B8392" s="316"/>
      <c r="C8392" s="247"/>
      <c r="D8392" s="317"/>
      <c r="E8392" s="318"/>
      <c r="F8392" s="247"/>
      <c r="G8392" s="247"/>
      <c r="H8392" s="248"/>
      <c r="I8392" s="248"/>
      <c r="J8392" s="247"/>
      <c r="K8392" s="249"/>
    </row>
    <row r="8393" spans="1:11" s="90" customFormat="1" ht="12.75" customHeight="1" x14ac:dyDescent="0.2">
      <c r="A8393" s="247"/>
      <c r="B8393" s="316"/>
      <c r="C8393" s="247"/>
      <c r="D8393" s="317"/>
      <c r="E8393" s="318"/>
      <c r="F8393" s="247"/>
      <c r="G8393" s="247"/>
      <c r="H8393" s="248"/>
      <c r="I8393" s="248"/>
      <c r="J8393" s="247"/>
      <c r="K8393" s="249"/>
    </row>
    <row r="8394" spans="1:11" s="90" customFormat="1" ht="12.75" customHeight="1" x14ac:dyDescent="0.2">
      <c r="A8394" s="247"/>
      <c r="B8394" s="316"/>
      <c r="C8394" s="247"/>
      <c r="D8394" s="317"/>
      <c r="E8394" s="318"/>
      <c r="F8394" s="247"/>
      <c r="G8394" s="247"/>
      <c r="H8394" s="248"/>
      <c r="I8394" s="248"/>
      <c r="J8394" s="247"/>
      <c r="K8394" s="249"/>
    </row>
    <row r="8395" spans="1:11" s="90" customFormat="1" ht="12.75" customHeight="1" x14ac:dyDescent="0.2">
      <c r="A8395" s="247"/>
      <c r="B8395" s="316"/>
      <c r="C8395" s="247"/>
      <c r="D8395" s="317"/>
      <c r="E8395" s="318"/>
      <c r="F8395" s="247"/>
      <c r="G8395" s="247"/>
      <c r="H8395" s="248"/>
      <c r="I8395" s="248"/>
      <c r="J8395" s="247"/>
      <c r="K8395" s="249"/>
    </row>
    <row r="8396" spans="1:11" s="90" customFormat="1" ht="12.75" customHeight="1" x14ac:dyDescent="0.2">
      <c r="A8396" s="247"/>
      <c r="B8396" s="316"/>
      <c r="C8396" s="247"/>
      <c r="D8396" s="317"/>
      <c r="E8396" s="318"/>
      <c r="F8396" s="247"/>
      <c r="G8396" s="247"/>
      <c r="H8396" s="248"/>
      <c r="I8396" s="248"/>
      <c r="J8396" s="247"/>
      <c r="K8396" s="249"/>
    </row>
    <row r="8397" spans="1:11" s="90" customFormat="1" ht="12.75" customHeight="1" x14ac:dyDescent="0.2">
      <c r="A8397" s="247"/>
      <c r="B8397" s="316"/>
      <c r="C8397" s="247"/>
      <c r="D8397" s="317"/>
      <c r="E8397" s="318"/>
      <c r="F8397" s="247"/>
      <c r="G8397" s="247"/>
      <c r="H8397" s="248"/>
      <c r="I8397" s="248"/>
      <c r="J8397" s="247"/>
      <c r="K8397" s="249"/>
    </row>
    <row r="8398" spans="1:11" s="90" customFormat="1" ht="12.75" customHeight="1" x14ac:dyDescent="0.2">
      <c r="A8398" s="247"/>
      <c r="B8398" s="316"/>
      <c r="C8398" s="247"/>
      <c r="D8398" s="317"/>
      <c r="E8398" s="318"/>
      <c r="F8398" s="247"/>
      <c r="G8398" s="247"/>
      <c r="H8398" s="248"/>
      <c r="I8398" s="248"/>
      <c r="J8398" s="247"/>
      <c r="K8398" s="249"/>
    </row>
    <row r="8399" spans="1:11" s="90" customFormat="1" ht="12.75" customHeight="1" x14ac:dyDescent="0.2">
      <c r="A8399" s="247"/>
      <c r="B8399" s="316"/>
      <c r="C8399" s="247"/>
      <c r="D8399" s="317"/>
      <c r="E8399" s="318"/>
      <c r="F8399" s="247"/>
      <c r="G8399" s="247"/>
      <c r="H8399" s="248"/>
      <c r="I8399" s="248"/>
      <c r="J8399" s="247"/>
      <c r="K8399" s="249"/>
    </row>
    <row r="8400" spans="1:11" s="90" customFormat="1" ht="12.75" customHeight="1" x14ac:dyDescent="0.2">
      <c r="A8400" s="247"/>
      <c r="B8400" s="316"/>
      <c r="C8400" s="247"/>
      <c r="D8400" s="317"/>
      <c r="E8400" s="318"/>
      <c r="F8400" s="247"/>
      <c r="G8400" s="247"/>
      <c r="H8400" s="248"/>
      <c r="I8400" s="248"/>
      <c r="J8400" s="247"/>
      <c r="K8400" s="249"/>
    </row>
    <row r="8401" spans="1:11" s="90" customFormat="1" ht="12.75" customHeight="1" x14ac:dyDescent="0.2">
      <c r="A8401" s="247"/>
      <c r="B8401" s="316"/>
      <c r="C8401" s="247"/>
      <c r="D8401" s="317"/>
      <c r="E8401" s="318"/>
      <c r="F8401" s="247"/>
      <c r="G8401" s="247"/>
      <c r="H8401" s="248"/>
      <c r="I8401" s="248"/>
      <c r="J8401" s="247"/>
      <c r="K8401" s="249"/>
    </row>
    <row r="8402" spans="1:11" s="90" customFormat="1" ht="12.75" customHeight="1" x14ac:dyDescent="0.2">
      <c r="A8402" s="247"/>
      <c r="B8402" s="316"/>
      <c r="C8402" s="247"/>
      <c r="D8402" s="317"/>
      <c r="E8402" s="318"/>
      <c r="F8402" s="247"/>
      <c r="G8402" s="247"/>
      <c r="H8402" s="248"/>
      <c r="I8402" s="248"/>
      <c r="J8402" s="247"/>
      <c r="K8402" s="249"/>
    </row>
    <row r="8403" spans="1:11" s="90" customFormat="1" ht="12.75" customHeight="1" x14ac:dyDescent="0.2">
      <c r="A8403" s="247"/>
      <c r="B8403" s="316"/>
      <c r="C8403" s="247"/>
      <c r="D8403" s="317"/>
      <c r="E8403" s="318"/>
      <c r="F8403" s="247"/>
      <c r="G8403" s="247"/>
      <c r="H8403" s="248"/>
      <c r="I8403" s="248"/>
      <c r="J8403" s="247"/>
      <c r="K8403" s="249"/>
    </row>
    <row r="8404" spans="1:11" s="90" customFormat="1" ht="12.75" customHeight="1" x14ac:dyDescent="0.2">
      <c r="A8404" s="247"/>
      <c r="B8404" s="316"/>
      <c r="C8404" s="247"/>
      <c r="D8404" s="317"/>
      <c r="E8404" s="318"/>
      <c r="F8404" s="247"/>
      <c r="G8404" s="247"/>
      <c r="H8404" s="248"/>
      <c r="I8404" s="248"/>
      <c r="J8404" s="247"/>
      <c r="K8404" s="249"/>
    </row>
    <row r="8405" spans="1:11" s="90" customFormat="1" ht="12.75" customHeight="1" x14ac:dyDescent="0.2">
      <c r="A8405" s="247"/>
      <c r="B8405" s="316"/>
      <c r="C8405" s="247"/>
      <c r="D8405" s="317"/>
      <c r="E8405" s="318"/>
      <c r="F8405" s="247"/>
      <c r="G8405" s="247"/>
      <c r="H8405" s="248"/>
      <c r="I8405" s="248"/>
      <c r="J8405" s="247"/>
      <c r="K8405" s="249"/>
    </row>
    <row r="8406" spans="1:11" s="90" customFormat="1" ht="12.75" customHeight="1" x14ac:dyDescent="0.2">
      <c r="A8406" s="247"/>
      <c r="B8406" s="316"/>
      <c r="C8406" s="247"/>
      <c r="D8406" s="317"/>
      <c r="E8406" s="318"/>
      <c r="F8406" s="247"/>
      <c r="G8406" s="247"/>
      <c r="H8406" s="248"/>
      <c r="I8406" s="248"/>
      <c r="J8406" s="247"/>
      <c r="K8406" s="249"/>
    </row>
    <row r="8407" spans="1:11" s="90" customFormat="1" ht="12.75" customHeight="1" x14ac:dyDescent="0.2">
      <c r="A8407" s="247"/>
      <c r="B8407" s="316"/>
      <c r="C8407" s="247"/>
      <c r="D8407" s="317"/>
      <c r="E8407" s="318"/>
      <c r="F8407" s="247"/>
      <c r="G8407" s="247"/>
      <c r="H8407" s="248"/>
      <c r="I8407" s="248"/>
      <c r="J8407" s="247"/>
      <c r="K8407" s="249"/>
    </row>
    <row r="8408" spans="1:11" s="90" customFormat="1" ht="12.75" customHeight="1" x14ac:dyDescent="0.2">
      <c r="A8408" s="247"/>
      <c r="B8408" s="316"/>
      <c r="C8408" s="247"/>
      <c r="D8408" s="317"/>
      <c r="E8408" s="318"/>
      <c r="F8408" s="247"/>
      <c r="G8408" s="247"/>
      <c r="H8408" s="248"/>
      <c r="I8408" s="248"/>
      <c r="J8408" s="247"/>
      <c r="K8408" s="249"/>
    </row>
    <row r="8409" spans="1:11" s="90" customFormat="1" ht="12.75" customHeight="1" x14ac:dyDescent="0.2">
      <c r="A8409" s="247"/>
      <c r="B8409" s="316"/>
      <c r="C8409" s="247"/>
      <c r="D8409" s="317"/>
      <c r="E8409" s="318"/>
      <c r="F8409" s="247"/>
      <c r="G8409" s="247"/>
      <c r="H8409" s="248"/>
      <c r="I8409" s="248"/>
      <c r="J8409" s="247"/>
      <c r="K8409" s="249"/>
    </row>
    <row r="8410" spans="1:11" s="90" customFormat="1" ht="12.75" customHeight="1" x14ac:dyDescent="0.2">
      <c r="A8410" s="247"/>
      <c r="B8410" s="316"/>
      <c r="C8410" s="247"/>
      <c r="D8410" s="317"/>
      <c r="E8410" s="318"/>
      <c r="F8410" s="247"/>
      <c r="G8410" s="247"/>
      <c r="H8410" s="248"/>
      <c r="I8410" s="248"/>
      <c r="J8410" s="247"/>
      <c r="K8410" s="249"/>
    </row>
    <row r="8411" spans="1:11" s="90" customFormat="1" ht="12.75" customHeight="1" x14ac:dyDescent="0.2">
      <c r="A8411" s="247"/>
      <c r="B8411" s="316"/>
      <c r="C8411" s="247"/>
      <c r="D8411" s="317"/>
      <c r="E8411" s="318"/>
      <c r="F8411" s="247"/>
      <c r="G8411" s="247"/>
      <c r="H8411" s="248"/>
      <c r="I8411" s="248"/>
      <c r="J8411" s="247"/>
      <c r="K8411" s="249"/>
    </row>
    <row r="8412" spans="1:11" s="90" customFormat="1" ht="12.75" customHeight="1" x14ac:dyDescent="0.2">
      <c r="A8412" s="247"/>
      <c r="B8412" s="316"/>
      <c r="C8412" s="247"/>
      <c r="D8412" s="317"/>
      <c r="E8412" s="318"/>
      <c r="F8412" s="247"/>
      <c r="G8412" s="247"/>
      <c r="H8412" s="248"/>
      <c r="I8412" s="248"/>
      <c r="J8412" s="247"/>
      <c r="K8412" s="249"/>
    </row>
    <row r="8413" spans="1:11" s="90" customFormat="1" ht="12.75" customHeight="1" x14ac:dyDescent="0.2">
      <c r="A8413" s="247"/>
      <c r="B8413" s="316"/>
      <c r="C8413" s="247"/>
      <c r="D8413" s="317"/>
      <c r="E8413" s="318"/>
      <c r="F8413" s="247"/>
      <c r="G8413" s="247"/>
      <c r="H8413" s="248"/>
      <c r="I8413" s="248"/>
      <c r="J8413" s="247"/>
      <c r="K8413" s="249"/>
    </row>
    <row r="8414" spans="1:11" s="90" customFormat="1" ht="12.75" customHeight="1" x14ac:dyDescent="0.2">
      <c r="A8414" s="247"/>
      <c r="B8414" s="316"/>
      <c r="C8414" s="247"/>
      <c r="D8414" s="317"/>
      <c r="E8414" s="318"/>
      <c r="F8414" s="247"/>
      <c r="G8414" s="247"/>
      <c r="H8414" s="248"/>
      <c r="I8414" s="248"/>
      <c r="J8414" s="247"/>
      <c r="K8414" s="249"/>
    </row>
    <row r="8415" spans="1:11" s="90" customFormat="1" ht="12.75" customHeight="1" x14ac:dyDescent="0.2">
      <c r="A8415" s="247"/>
      <c r="B8415" s="316"/>
      <c r="C8415" s="247"/>
      <c r="D8415" s="317"/>
      <c r="E8415" s="318"/>
      <c r="F8415" s="247"/>
      <c r="G8415" s="247"/>
      <c r="H8415" s="248"/>
      <c r="I8415" s="248"/>
      <c r="J8415" s="247"/>
      <c r="K8415" s="249"/>
    </row>
    <row r="8416" spans="1:11" s="90" customFormat="1" ht="12.75" customHeight="1" x14ac:dyDescent="0.2">
      <c r="A8416" s="247"/>
      <c r="B8416" s="316"/>
      <c r="C8416" s="247"/>
      <c r="D8416" s="317"/>
      <c r="E8416" s="318"/>
      <c r="F8416" s="247"/>
      <c r="G8416" s="247"/>
      <c r="H8416" s="248"/>
      <c r="I8416" s="248"/>
      <c r="J8416" s="247"/>
      <c r="K8416" s="249"/>
    </row>
    <row r="8417" spans="1:11" s="90" customFormat="1" ht="12.75" customHeight="1" x14ac:dyDescent="0.2">
      <c r="A8417" s="247"/>
      <c r="B8417" s="316"/>
      <c r="C8417" s="247"/>
      <c r="D8417" s="317"/>
      <c r="E8417" s="318"/>
      <c r="F8417" s="247"/>
      <c r="G8417" s="247"/>
      <c r="H8417" s="248"/>
      <c r="I8417" s="248"/>
      <c r="J8417" s="247"/>
      <c r="K8417" s="249"/>
    </row>
    <row r="8418" spans="1:11" s="90" customFormat="1" ht="12.75" customHeight="1" x14ac:dyDescent="0.2">
      <c r="A8418" s="247"/>
      <c r="B8418" s="316"/>
      <c r="C8418" s="247"/>
      <c r="D8418" s="317"/>
      <c r="E8418" s="318"/>
      <c r="F8418" s="247"/>
      <c r="G8418" s="247"/>
      <c r="H8418" s="248"/>
      <c r="I8418" s="248"/>
      <c r="J8418" s="247"/>
      <c r="K8418" s="249"/>
    </row>
    <row r="8419" spans="1:11" s="90" customFormat="1" ht="12.75" customHeight="1" x14ac:dyDescent="0.2">
      <c r="A8419" s="247"/>
      <c r="B8419" s="316"/>
      <c r="C8419" s="247"/>
      <c r="D8419" s="317"/>
      <c r="E8419" s="318"/>
      <c r="F8419" s="247"/>
      <c r="G8419" s="247"/>
      <c r="H8419" s="248"/>
      <c r="I8419" s="248"/>
      <c r="J8419" s="247"/>
      <c r="K8419" s="249"/>
    </row>
    <row r="8420" spans="1:11" s="90" customFormat="1" ht="12.75" customHeight="1" x14ac:dyDescent="0.2">
      <c r="A8420" s="247"/>
      <c r="B8420" s="316"/>
      <c r="C8420" s="247"/>
      <c r="D8420" s="317"/>
      <c r="E8420" s="318"/>
      <c r="F8420" s="247"/>
      <c r="G8420" s="247"/>
      <c r="H8420" s="248"/>
      <c r="I8420" s="248"/>
      <c r="J8420" s="247"/>
      <c r="K8420" s="249"/>
    </row>
    <row r="8421" spans="1:11" s="90" customFormat="1" ht="12.75" customHeight="1" x14ac:dyDescent="0.2">
      <c r="A8421" s="247"/>
      <c r="B8421" s="316"/>
      <c r="C8421" s="247"/>
      <c r="D8421" s="317"/>
      <c r="E8421" s="318"/>
      <c r="F8421" s="247"/>
      <c r="G8421" s="247"/>
      <c r="H8421" s="248"/>
      <c r="I8421" s="248"/>
      <c r="J8421" s="247"/>
      <c r="K8421" s="249"/>
    </row>
    <row r="8422" spans="1:11" s="90" customFormat="1" ht="12.75" customHeight="1" x14ac:dyDescent="0.2">
      <c r="A8422" s="247"/>
      <c r="B8422" s="316"/>
      <c r="C8422" s="247"/>
      <c r="D8422" s="317"/>
      <c r="E8422" s="318"/>
      <c r="F8422" s="247"/>
      <c r="G8422" s="247"/>
      <c r="H8422" s="248"/>
      <c r="I8422" s="248"/>
      <c r="J8422" s="247"/>
      <c r="K8422" s="249"/>
    </row>
    <row r="8423" spans="1:11" s="90" customFormat="1" ht="12.75" customHeight="1" x14ac:dyDescent="0.2">
      <c r="A8423" s="247"/>
      <c r="B8423" s="316"/>
      <c r="C8423" s="247"/>
      <c r="D8423" s="317"/>
      <c r="E8423" s="318"/>
      <c r="F8423" s="247"/>
      <c r="G8423" s="247"/>
      <c r="H8423" s="248"/>
      <c r="I8423" s="248"/>
      <c r="J8423" s="247"/>
      <c r="K8423" s="249"/>
    </row>
    <row r="8424" spans="1:11" s="90" customFormat="1" ht="12.75" customHeight="1" x14ac:dyDescent="0.2">
      <c r="A8424" s="247"/>
      <c r="B8424" s="316"/>
      <c r="C8424" s="247"/>
      <c r="D8424" s="317"/>
      <c r="E8424" s="318"/>
      <c r="F8424" s="247"/>
      <c r="G8424" s="247"/>
      <c r="H8424" s="248"/>
      <c r="I8424" s="248"/>
      <c r="J8424" s="247"/>
      <c r="K8424" s="249"/>
    </row>
    <row r="8425" spans="1:11" s="90" customFormat="1" ht="12.75" customHeight="1" x14ac:dyDescent="0.2">
      <c r="A8425" s="247"/>
      <c r="B8425" s="316"/>
      <c r="C8425" s="247"/>
      <c r="D8425" s="317"/>
      <c r="E8425" s="318"/>
      <c r="F8425" s="247"/>
      <c r="G8425" s="247"/>
      <c r="H8425" s="248"/>
      <c r="I8425" s="248"/>
      <c r="J8425" s="247"/>
      <c r="K8425" s="249"/>
    </row>
    <row r="8426" spans="1:11" s="90" customFormat="1" ht="12.75" customHeight="1" x14ac:dyDescent="0.2">
      <c r="A8426" s="247"/>
      <c r="B8426" s="316"/>
      <c r="C8426" s="247"/>
      <c r="D8426" s="317"/>
      <c r="E8426" s="318"/>
      <c r="F8426" s="247"/>
      <c r="G8426" s="247"/>
      <c r="H8426" s="248"/>
      <c r="I8426" s="248"/>
      <c r="J8426" s="247"/>
      <c r="K8426" s="249"/>
    </row>
    <row r="8427" spans="1:11" s="90" customFormat="1" ht="12.75" customHeight="1" x14ac:dyDescent="0.2">
      <c r="A8427" s="247"/>
      <c r="B8427" s="316"/>
      <c r="C8427" s="247"/>
      <c r="D8427" s="317"/>
      <c r="E8427" s="318"/>
      <c r="F8427" s="247"/>
      <c r="G8427" s="247"/>
      <c r="H8427" s="248"/>
      <c r="I8427" s="248"/>
      <c r="J8427" s="247"/>
      <c r="K8427" s="249"/>
    </row>
    <row r="8428" spans="1:11" s="90" customFormat="1" ht="12.75" customHeight="1" x14ac:dyDescent="0.2">
      <c r="A8428" s="247"/>
      <c r="B8428" s="316"/>
      <c r="C8428" s="247"/>
      <c r="D8428" s="317"/>
      <c r="E8428" s="318"/>
      <c r="F8428" s="247"/>
      <c r="G8428" s="247"/>
      <c r="H8428" s="248"/>
      <c r="I8428" s="248"/>
      <c r="J8428" s="247"/>
      <c r="K8428" s="249"/>
    </row>
    <row r="8429" spans="1:11" s="90" customFormat="1" ht="12.75" customHeight="1" x14ac:dyDescent="0.2">
      <c r="A8429" s="247"/>
      <c r="B8429" s="316"/>
      <c r="C8429" s="247"/>
      <c r="D8429" s="317"/>
      <c r="E8429" s="318"/>
      <c r="F8429" s="247"/>
      <c r="G8429" s="247"/>
      <c r="H8429" s="248"/>
      <c r="I8429" s="248"/>
      <c r="J8429" s="247"/>
      <c r="K8429" s="249"/>
    </row>
    <row r="8430" spans="1:11" s="90" customFormat="1" ht="12.75" customHeight="1" x14ac:dyDescent="0.2">
      <c r="A8430" s="247"/>
      <c r="B8430" s="316"/>
      <c r="C8430" s="247"/>
      <c r="D8430" s="317"/>
      <c r="E8430" s="318"/>
      <c r="F8430" s="247"/>
      <c r="G8430" s="247"/>
      <c r="H8430" s="248"/>
      <c r="I8430" s="248"/>
      <c r="J8430" s="247"/>
      <c r="K8430" s="249"/>
    </row>
    <row r="8431" spans="1:11" s="90" customFormat="1" ht="12.75" customHeight="1" x14ac:dyDescent="0.2">
      <c r="A8431" s="247"/>
      <c r="B8431" s="316"/>
      <c r="C8431" s="247"/>
      <c r="D8431" s="317"/>
      <c r="E8431" s="318"/>
      <c r="F8431" s="247"/>
      <c r="G8431" s="247"/>
      <c r="H8431" s="248"/>
      <c r="I8431" s="248"/>
      <c r="J8431" s="247"/>
      <c r="K8431" s="249"/>
    </row>
    <row r="8432" spans="1:11" s="90" customFormat="1" ht="12.75" customHeight="1" x14ac:dyDescent="0.2">
      <c r="A8432" s="247"/>
      <c r="B8432" s="316"/>
      <c r="C8432" s="247"/>
      <c r="D8432" s="317"/>
      <c r="E8432" s="318"/>
      <c r="F8432" s="247"/>
      <c r="G8432" s="247"/>
      <c r="H8432" s="248"/>
      <c r="I8432" s="248"/>
      <c r="J8432" s="247"/>
      <c r="K8432" s="249"/>
    </row>
    <row r="8433" spans="1:11" s="90" customFormat="1" ht="12.75" customHeight="1" x14ac:dyDescent="0.2">
      <c r="A8433" s="247"/>
      <c r="B8433" s="316"/>
      <c r="C8433" s="247"/>
      <c r="D8433" s="317"/>
      <c r="E8433" s="318"/>
      <c r="F8433" s="247"/>
      <c r="G8433" s="247"/>
      <c r="H8433" s="248"/>
      <c r="I8433" s="248"/>
      <c r="J8433" s="247"/>
      <c r="K8433" s="249"/>
    </row>
    <row r="8434" spans="1:11" s="90" customFormat="1" ht="12.75" customHeight="1" x14ac:dyDescent="0.2">
      <c r="A8434" s="247"/>
      <c r="B8434" s="316"/>
      <c r="C8434" s="247"/>
      <c r="D8434" s="317"/>
      <c r="E8434" s="318"/>
      <c r="F8434" s="247"/>
      <c r="G8434" s="247"/>
      <c r="H8434" s="248"/>
      <c r="I8434" s="248"/>
      <c r="J8434" s="247"/>
      <c r="K8434" s="249"/>
    </row>
    <row r="8435" spans="1:11" s="90" customFormat="1" ht="12.75" customHeight="1" x14ac:dyDescent="0.2">
      <c r="A8435" s="247"/>
      <c r="B8435" s="316"/>
      <c r="C8435" s="247"/>
      <c r="D8435" s="317"/>
      <c r="E8435" s="318"/>
      <c r="F8435" s="247"/>
      <c r="G8435" s="247"/>
      <c r="H8435" s="248"/>
      <c r="I8435" s="248"/>
      <c r="J8435" s="247"/>
      <c r="K8435" s="249"/>
    </row>
    <row r="8436" spans="1:11" s="90" customFormat="1" ht="12.75" customHeight="1" x14ac:dyDescent="0.2">
      <c r="A8436" s="247"/>
      <c r="B8436" s="316"/>
      <c r="C8436" s="247"/>
      <c r="D8436" s="317"/>
      <c r="E8436" s="318"/>
      <c r="F8436" s="247"/>
      <c r="G8436" s="247"/>
      <c r="H8436" s="248"/>
      <c r="I8436" s="248"/>
      <c r="J8436" s="247"/>
      <c r="K8436" s="249"/>
    </row>
    <row r="8437" spans="1:11" s="90" customFormat="1" ht="12.75" customHeight="1" x14ac:dyDescent="0.2">
      <c r="A8437" s="247"/>
      <c r="B8437" s="316"/>
      <c r="C8437" s="247"/>
      <c r="D8437" s="317"/>
      <c r="E8437" s="318"/>
      <c r="F8437" s="247"/>
      <c r="G8437" s="247"/>
      <c r="H8437" s="248"/>
      <c r="I8437" s="248"/>
      <c r="J8437" s="247"/>
      <c r="K8437" s="249"/>
    </row>
    <row r="8438" spans="1:11" s="90" customFormat="1" ht="12.75" customHeight="1" x14ac:dyDescent="0.2">
      <c r="A8438" s="247"/>
      <c r="B8438" s="316"/>
      <c r="C8438" s="247"/>
      <c r="D8438" s="317"/>
      <c r="E8438" s="318"/>
      <c r="F8438" s="247"/>
      <c r="G8438" s="247"/>
      <c r="H8438" s="248"/>
      <c r="I8438" s="248"/>
      <c r="J8438" s="247"/>
      <c r="K8438" s="249"/>
    </row>
    <row r="8439" spans="1:11" s="90" customFormat="1" ht="12.75" customHeight="1" x14ac:dyDescent="0.2">
      <c r="A8439" s="247"/>
      <c r="B8439" s="316"/>
      <c r="C8439" s="247"/>
      <c r="D8439" s="317"/>
      <c r="E8439" s="318"/>
      <c r="F8439" s="247"/>
      <c r="G8439" s="247"/>
      <c r="H8439" s="248"/>
      <c r="I8439" s="248"/>
      <c r="J8439" s="247"/>
      <c r="K8439" s="249"/>
    </row>
    <row r="8440" spans="1:11" s="90" customFormat="1" ht="12.75" customHeight="1" x14ac:dyDescent="0.2">
      <c r="A8440" s="247"/>
      <c r="B8440" s="316"/>
      <c r="C8440" s="247"/>
      <c r="D8440" s="317"/>
      <c r="E8440" s="318"/>
      <c r="F8440" s="247"/>
      <c r="G8440" s="247"/>
      <c r="H8440" s="248"/>
      <c r="I8440" s="248"/>
      <c r="J8440" s="247"/>
      <c r="K8440" s="249"/>
    </row>
    <row r="8441" spans="1:11" s="90" customFormat="1" ht="12.75" customHeight="1" x14ac:dyDescent="0.2">
      <c r="A8441" s="247"/>
      <c r="B8441" s="316"/>
      <c r="C8441" s="247"/>
      <c r="D8441" s="317"/>
      <c r="E8441" s="318"/>
      <c r="F8441" s="247"/>
      <c r="G8441" s="247"/>
      <c r="H8441" s="248"/>
      <c r="I8441" s="248"/>
      <c r="J8441" s="247"/>
      <c r="K8441" s="249"/>
    </row>
    <row r="8442" spans="1:11" s="90" customFormat="1" ht="12.75" customHeight="1" x14ac:dyDescent="0.2">
      <c r="A8442" s="247"/>
      <c r="B8442" s="316"/>
      <c r="C8442" s="247"/>
      <c r="D8442" s="317"/>
      <c r="E8442" s="318"/>
      <c r="F8442" s="247"/>
      <c r="G8442" s="247"/>
      <c r="H8442" s="248"/>
      <c r="I8442" s="248"/>
      <c r="J8442" s="247"/>
      <c r="K8442" s="249"/>
    </row>
    <row r="8443" spans="1:11" s="90" customFormat="1" ht="12.75" customHeight="1" x14ac:dyDescent="0.2">
      <c r="A8443" s="247"/>
      <c r="B8443" s="316"/>
      <c r="C8443" s="247"/>
      <c r="D8443" s="317"/>
      <c r="E8443" s="318"/>
      <c r="F8443" s="247"/>
      <c r="G8443" s="247"/>
      <c r="H8443" s="248"/>
      <c r="I8443" s="248"/>
      <c r="J8443" s="247"/>
      <c r="K8443" s="249"/>
    </row>
    <row r="8444" spans="1:11" s="90" customFormat="1" ht="12.75" customHeight="1" x14ac:dyDescent="0.2">
      <c r="A8444" s="247"/>
      <c r="B8444" s="316"/>
      <c r="C8444" s="247"/>
      <c r="D8444" s="317"/>
      <c r="E8444" s="318"/>
      <c r="F8444" s="247"/>
      <c r="G8444" s="247"/>
      <c r="H8444" s="248"/>
      <c r="I8444" s="248"/>
      <c r="J8444" s="247"/>
      <c r="K8444" s="249"/>
    </row>
    <row r="8445" spans="1:11" s="90" customFormat="1" ht="12.75" customHeight="1" x14ac:dyDescent="0.2">
      <c r="A8445" s="247"/>
      <c r="B8445" s="316"/>
      <c r="C8445" s="247"/>
      <c r="D8445" s="317"/>
      <c r="E8445" s="318"/>
      <c r="F8445" s="247"/>
      <c r="G8445" s="247"/>
      <c r="H8445" s="248"/>
      <c r="I8445" s="248"/>
      <c r="J8445" s="247"/>
      <c r="K8445" s="249"/>
    </row>
    <row r="8446" spans="1:11" s="90" customFormat="1" ht="12.75" customHeight="1" x14ac:dyDescent="0.2">
      <c r="A8446" s="247"/>
      <c r="B8446" s="316"/>
      <c r="C8446" s="247"/>
      <c r="D8446" s="317"/>
      <c r="E8446" s="318"/>
      <c r="F8446" s="247"/>
      <c r="G8446" s="247"/>
      <c r="H8446" s="248"/>
      <c r="I8446" s="248"/>
      <c r="J8446" s="247"/>
      <c r="K8446" s="249"/>
    </row>
    <row r="8447" spans="1:11" s="90" customFormat="1" ht="12.75" customHeight="1" x14ac:dyDescent="0.2">
      <c r="A8447" s="247"/>
      <c r="B8447" s="316"/>
      <c r="C8447" s="247"/>
      <c r="D8447" s="317"/>
      <c r="E8447" s="318"/>
      <c r="F8447" s="247"/>
      <c r="G8447" s="247"/>
      <c r="H8447" s="248"/>
      <c r="I8447" s="248"/>
      <c r="J8447" s="247"/>
      <c r="K8447" s="249"/>
    </row>
    <row r="8448" spans="1:11" s="90" customFormat="1" ht="12.75" customHeight="1" x14ac:dyDescent="0.2">
      <c r="A8448" s="247"/>
      <c r="B8448" s="316"/>
      <c r="C8448" s="247"/>
      <c r="D8448" s="317"/>
      <c r="E8448" s="318"/>
      <c r="F8448" s="247"/>
      <c r="G8448" s="247"/>
      <c r="H8448" s="248"/>
      <c r="I8448" s="248"/>
      <c r="J8448" s="247"/>
      <c r="K8448" s="249"/>
    </row>
    <row r="8449" spans="1:11" s="90" customFormat="1" ht="12.75" customHeight="1" x14ac:dyDescent="0.2">
      <c r="A8449" s="247"/>
      <c r="B8449" s="316"/>
      <c r="C8449" s="247"/>
      <c r="D8449" s="317"/>
      <c r="E8449" s="318"/>
      <c r="F8449" s="247"/>
      <c r="G8449" s="247"/>
      <c r="H8449" s="248"/>
      <c r="I8449" s="248"/>
      <c r="J8449" s="247"/>
      <c r="K8449" s="249"/>
    </row>
    <row r="8450" spans="1:11" s="90" customFormat="1" ht="12.75" customHeight="1" x14ac:dyDescent="0.2">
      <c r="A8450" s="247"/>
      <c r="B8450" s="316"/>
      <c r="C8450" s="247"/>
      <c r="D8450" s="317"/>
      <c r="E8450" s="318"/>
      <c r="F8450" s="247"/>
      <c r="G8450" s="247"/>
      <c r="H8450" s="248"/>
      <c r="I8450" s="248"/>
      <c r="J8450" s="247"/>
      <c r="K8450" s="249"/>
    </row>
    <row r="8451" spans="1:11" s="90" customFormat="1" ht="12.75" customHeight="1" x14ac:dyDescent="0.2">
      <c r="A8451" s="247"/>
      <c r="B8451" s="316"/>
      <c r="C8451" s="247"/>
      <c r="D8451" s="317"/>
      <c r="E8451" s="318"/>
      <c r="F8451" s="247"/>
      <c r="G8451" s="247"/>
      <c r="H8451" s="248"/>
      <c r="I8451" s="248"/>
      <c r="J8451" s="247"/>
      <c r="K8451" s="249"/>
    </row>
    <row r="8452" spans="1:11" s="90" customFormat="1" ht="12.75" customHeight="1" x14ac:dyDescent="0.2">
      <c r="A8452" s="247"/>
      <c r="B8452" s="316"/>
      <c r="C8452" s="247"/>
      <c r="D8452" s="317"/>
      <c r="E8452" s="318"/>
      <c r="F8452" s="247"/>
      <c r="G8452" s="247"/>
      <c r="H8452" s="248"/>
      <c r="I8452" s="248"/>
      <c r="J8452" s="247"/>
      <c r="K8452" s="249"/>
    </row>
    <row r="8453" spans="1:11" s="90" customFormat="1" ht="12.75" customHeight="1" x14ac:dyDescent="0.2">
      <c r="A8453" s="247"/>
      <c r="B8453" s="316"/>
      <c r="C8453" s="247"/>
      <c r="D8453" s="317"/>
      <c r="E8453" s="318"/>
      <c r="F8453" s="247"/>
      <c r="G8453" s="247"/>
      <c r="H8453" s="248"/>
      <c r="I8453" s="248"/>
      <c r="J8453" s="247"/>
      <c r="K8453" s="249"/>
    </row>
    <row r="8454" spans="1:11" s="90" customFormat="1" ht="12.75" customHeight="1" x14ac:dyDescent="0.2">
      <c r="A8454" s="247"/>
      <c r="B8454" s="316"/>
      <c r="C8454" s="247"/>
      <c r="D8454" s="317"/>
      <c r="E8454" s="318"/>
      <c r="F8454" s="247"/>
      <c r="G8454" s="247"/>
      <c r="H8454" s="248"/>
      <c r="I8454" s="248"/>
      <c r="J8454" s="247"/>
      <c r="K8454" s="249"/>
    </row>
    <row r="8455" spans="1:11" s="90" customFormat="1" ht="12.75" customHeight="1" x14ac:dyDescent="0.2">
      <c r="A8455" s="247"/>
      <c r="B8455" s="316"/>
      <c r="C8455" s="247"/>
      <c r="D8455" s="317"/>
      <c r="E8455" s="318"/>
      <c r="F8455" s="247"/>
      <c r="G8455" s="247"/>
      <c r="H8455" s="248"/>
      <c r="I8455" s="248"/>
      <c r="J8455" s="247"/>
      <c r="K8455" s="249"/>
    </row>
    <row r="8456" spans="1:11" s="90" customFormat="1" ht="12.75" customHeight="1" x14ac:dyDescent="0.2">
      <c r="A8456" s="247"/>
      <c r="B8456" s="316"/>
      <c r="C8456" s="247"/>
      <c r="D8456" s="317"/>
      <c r="E8456" s="318"/>
      <c r="F8456" s="247"/>
      <c r="G8456" s="247"/>
      <c r="H8456" s="248"/>
      <c r="I8456" s="248"/>
      <c r="J8456" s="247"/>
      <c r="K8456" s="249"/>
    </row>
    <row r="8457" spans="1:11" s="90" customFormat="1" ht="12.75" customHeight="1" x14ac:dyDescent="0.2">
      <c r="A8457" s="247"/>
      <c r="B8457" s="316"/>
      <c r="C8457" s="247"/>
      <c r="D8457" s="317"/>
      <c r="E8457" s="318"/>
      <c r="F8457" s="247"/>
      <c r="G8457" s="247"/>
      <c r="H8457" s="248"/>
      <c r="I8457" s="248"/>
      <c r="J8457" s="247"/>
      <c r="K8457" s="249"/>
    </row>
    <row r="8458" spans="1:11" s="90" customFormat="1" ht="12.75" customHeight="1" x14ac:dyDescent="0.2">
      <c r="A8458" s="247"/>
      <c r="B8458" s="316"/>
      <c r="C8458" s="247"/>
      <c r="D8458" s="317"/>
      <c r="E8458" s="318"/>
      <c r="F8458" s="247"/>
      <c r="G8458" s="247"/>
      <c r="H8458" s="248"/>
      <c r="I8458" s="248"/>
      <c r="J8458" s="247"/>
      <c r="K8458" s="249"/>
    </row>
    <row r="8459" spans="1:11" s="90" customFormat="1" ht="12.75" customHeight="1" x14ac:dyDescent="0.2">
      <c r="A8459" s="247"/>
      <c r="B8459" s="316"/>
      <c r="C8459" s="247"/>
      <c r="D8459" s="317"/>
      <c r="E8459" s="318"/>
      <c r="F8459" s="247"/>
      <c r="G8459" s="247"/>
      <c r="H8459" s="248"/>
      <c r="I8459" s="248"/>
      <c r="J8459" s="247"/>
      <c r="K8459" s="249"/>
    </row>
    <row r="8460" spans="1:11" s="90" customFormat="1" ht="12.75" customHeight="1" x14ac:dyDescent="0.2">
      <c r="A8460" s="247"/>
      <c r="B8460" s="316"/>
      <c r="C8460" s="247"/>
      <c r="D8460" s="317"/>
      <c r="E8460" s="318"/>
      <c r="F8460" s="247"/>
      <c r="G8460" s="247"/>
      <c r="H8460" s="248"/>
      <c r="I8460" s="248"/>
      <c r="J8460" s="247"/>
      <c r="K8460" s="249"/>
    </row>
    <row r="8461" spans="1:11" s="90" customFormat="1" ht="12.75" customHeight="1" x14ac:dyDescent="0.2">
      <c r="A8461" s="247"/>
      <c r="B8461" s="316"/>
      <c r="C8461" s="247"/>
      <c r="D8461" s="317"/>
      <c r="E8461" s="318"/>
      <c r="F8461" s="247"/>
      <c r="G8461" s="247"/>
      <c r="H8461" s="248"/>
      <c r="I8461" s="248"/>
      <c r="J8461" s="247"/>
      <c r="K8461" s="249"/>
    </row>
    <row r="8462" spans="1:11" s="90" customFormat="1" ht="12.75" customHeight="1" x14ac:dyDescent="0.2">
      <c r="A8462" s="247"/>
      <c r="B8462" s="316"/>
      <c r="C8462" s="247"/>
      <c r="D8462" s="317"/>
      <c r="E8462" s="318"/>
      <c r="F8462" s="247"/>
      <c r="G8462" s="247"/>
      <c r="H8462" s="248"/>
      <c r="I8462" s="248"/>
      <c r="J8462" s="247"/>
      <c r="K8462" s="249"/>
    </row>
    <row r="8463" spans="1:11" s="90" customFormat="1" ht="12.75" customHeight="1" x14ac:dyDescent="0.2">
      <c r="A8463" s="247"/>
      <c r="B8463" s="316"/>
      <c r="C8463" s="247"/>
      <c r="D8463" s="317"/>
      <c r="E8463" s="318"/>
      <c r="F8463" s="247"/>
      <c r="G8463" s="247"/>
      <c r="H8463" s="248"/>
      <c r="I8463" s="248"/>
      <c r="J8463" s="247"/>
      <c r="K8463" s="249"/>
    </row>
    <row r="8464" spans="1:11" s="90" customFormat="1" ht="12.75" customHeight="1" x14ac:dyDescent="0.2">
      <c r="A8464" s="247"/>
      <c r="B8464" s="316"/>
      <c r="C8464" s="247"/>
      <c r="D8464" s="317"/>
      <c r="E8464" s="318"/>
      <c r="F8464" s="247"/>
      <c r="G8464" s="247"/>
      <c r="H8464" s="248"/>
      <c r="I8464" s="248"/>
      <c r="J8464" s="247"/>
      <c r="K8464" s="249"/>
    </row>
    <row r="8465" spans="1:11" s="90" customFormat="1" ht="12.75" customHeight="1" x14ac:dyDescent="0.2">
      <c r="A8465" s="247"/>
      <c r="B8465" s="316"/>
      <c r="C8465" s="247"/>
      <c r="D8465" s="317"/>
      <c r="E8465" s="318"/>
      <c r="F8465" s="247"/>
      <c r="G8465" s="247"/>
      <c r="H8465" s="248"/>
      <c r="I8465" s="248"/>
      <c r="J8465" s="247"/>
      <c r="K8465" s="249"/>
    </row>
    <row r="8466" spans="1:11" s="90" customFormat="1" ht="12.75" customHeight="1" x14ac:dyDescent="0.2">
      <c r="A8466" s="247"/>
      <c r="B8466" s="316"/>
      <c r="C8466" s="247"/>
      <c r="D8466" s="317"/>
      <c r="E8466" s="318"/>
      <c r="F8466" s="247"/>
      <c r="G8466" s="247"/>
      <c r="H8466" s="248"/>
      <c r="I8466" s="248"/>
      <c r="J8466" s="247"/>
      <c r="K8466" s="249"/>
    </row>
    <row r="8467" spans="1:11" s="90" customFormat="1" ht="12.75" customHeight="1" x14ac:dyDescent="0.2">
      <c r="A8467" s="247"/>
      <c r="B8467" s="316"/>
      <c r="C8467" s="247"/>
      <c r="D8467" s="317"/>
      <c r="E8467" s="318"/>
      <c r="F8467" s="247"/>
      <c r="G8467" s="247"/>
      <c r="H8467" s="248"/>
      <c r="I8467" s="248"/>
      <c r="J8467" s="247"/>
      <c r="K8467" s="249"/>
    </row>
    <row r="8468" spans="1:11" s="90" customFormat="1" ht="12.75" customHeight="1" x14ac:dyDescent="0.2">
      <c r="A8468" s="247"/>
      <c r="B8468" s="316"/>
      <c r="C8468" s="247"/>
      <c r="D8468" s="317"/>
      <c r="E8468" s="318"/>
      <c r="F8468" s="247"/>
      <c r="G8468" s="247"/>
      <c r="H8468" s="248"/>
      <c r="I8468" s="248"/>
      <c r="J8468" s="247"/>
      <c r="K8468" s="249"/>
    </row>
    <row r="8469" spans="1:11" s="90" customFormat="1" ht="12.75" customHeight="1" x14ac:dyDescent="0.2">
      <c r="A8469" s="247"/>
      <c r="B8469" s="316"/>
      <c r="C8469" s="247"/>
      <c r="D8469" s="317"/>
      <c r="E8469" s="318"/>
      <c r="F8469" s="247"/>
      <c r="G8469" s="247"/>
      <c r="H8469" s="248"/>
      <c r="I8469" s="248"/>
      <c r="J8469" s="247"/>
      <c r="K8469" s="249"/>
    </row>
    <row r="8470" spans="1:11" s="90" customFormat="1" ht="12.75" customHeight="1" x14ac:dyDescent="0.2">
      <c r="A8470" s="247"/>
      <c r="B8470" s="316"/>
      <c r="C8470" s="247"/>
      <c r="D8470" s="317"/>
      <c r="E8470" s="318"/>
      <c r="F8470" s="247"/>
      <c r="G8470" s="247"/>
      <c r="H8470" s="248"/>
      <c r="I8470" s="248"/>
      <c r="J8470" s="247"/>
      <c r="K8470" s="249"/>
    </row>
    <row r="8471" spans="1:11" s="90" customFormat="1" ht="12.75" customHeight="1" x14ac:dyDescent="0.2">
      <c r="A8471" s="247"/>
      <c r="B8471" s="316"/>
      <c r="C8471" s="247"/>
      <c r="D8471" s="317"/>
      <c r="E8471" s="318"/>
      <c r="F8471" s="247"/>
      <c r="G8471" s="247"/>
      <c r="H8471" s="248"/>
      <c r="I8471" s="248"/>
      <c r="J8471" s="247"/>
      <c r="K8471" s="249"/>
    </row>
    <row r="8472" spans="1:11" s="90" customFormat="1" ht="12.75" customHeight="1" x14ac:dyDescent="0.2">
      <c r="A8472" s="247"/>
      <c r="B8472" s="316"/>
      <c r="C8472" s="247"/>
      <c r="D8472" s="317"/>
      <c r="E8472" s="318"/>
      <c r="F8472" s="247"/>
      <c r="G8472" s="247"/>
      <c r="H8472" s="248"/>
      <c r="I8472" s="248"/>
      <c r="J8472" s="247"/>
      <c r="K8472" s="249"/>
    </row>
    <row r="8473" spans="1:11" s="90" customFormat="1" ht="12.75" customHeight="1" x14ac:dyDescent="0.2">
      <c r="A8473" s="247"/>
      <c r="B8473" s="316"/>
      <c r="C8473" s="247"/>
      <c r="D8473" s="317"/>
      <c r="E8473" s="318"/>
      <c r="F8473" s="247"/>
      <c r="G8473" s="247"/>
      <c r="H8473" s="248"/>
      <c r="I8473" s="248"/>
      <c r="J8473" s="247"/>
      <c r="K8473" s="249"/>
    </row>
    <row r="8474" spans="1:11" s="90" customFormat="1" ht="12.75" customHeight="1" x14ac:dyDescent="0.2">
      <c r="A8474" s="247"/>
      <c r="B8474" s="316"/>
      <c r="C8474" s="247"/>
      <c r="D8474" s="317"/>
      <c r="E8474" s="318"/>
      <c r="F8474" s="247"/>
      <c r="G8474" s="247"/>
      <c r="H8474" s="248"/>
      <c r="I8474" s="248"/>
      <c r="J8474" s="247"/>
      <c r="K8474" s="249"/>
    </row>
    <row r="8475" spans="1:11" s="90" customFormat="1" ht="12.75" customHeight="1" x14ac:dyDescent="0.2">
      <c r="A8475" s="247"/>
      <c r="B8475" s="316"/>
      <c r="C8475" s="247"/>
      <c r="D8475" s="317"/>
      <c r="E8475" s="318"/>
      <c r="F8475" s="247"/>
      <c r="G8475" s="247"/>
      <c r="H8475" s="248"/>
      <c r="I8475" s="248"/>
      <c r="J8475" s="247"/>
      <c r="K8475" s="249"/>
    </row>
    <row r="8476" spans="1:11" s="90" customFormat="1" ht="12.75" customHeight="1" x14ac:dyDescent="0.2">
      <c r="A8476" s="247"/>
      <c r="B8476" s="316"/>
      <c r="C8476" s="247"/>
      <c r="D8476" s="317"/>
      <c r="E8476" s="318"/>
      <c r="F8476" s="247"/>
      <c r="G8476" s="247"/>
      <c r="H8476" s="248"/>
      <c r="I8476" s="248"/>
      <c r="J8476" s="247"/>
      <c r="K8476" s="249"/>
    </row>
    <row r="8477" spans="1:11" s="90" customFormat="1" ht="12.75" customHeight="1" x14ac:dyDescent="0.2">
      <c r="A8477" s="247"/>
      <c r="B8477" s="316"/>
      <c r="C8477" s="247"/>
      <c r="D8477" s="317"/>
      <c r="E8477" s="318"/>
      <c r="F8477" s="247"/>
      <c r="G8477" s="247"/>
      <c r="H8477" s="248"/>
      <c r="I8477" s="248"/>
      <c r="J8477" s="247"/>
      <c r="K8477" s="249"/>
    </row>
    <row r="8478" spans="1:11" s="90" customFormat="1" ht="12.75" customHeight="1" x14ac:dyDescent="0.2">
      <c r="A8478" s="247"/>
      <c r="B8478" s="316"/>
      <c r="C8478" s="247"/>
      <c r="D8478" s="317"/>
      <c r="E8478" s="318"/>
      <c r="F8478" s="247"/>
      <c r="G8478" s="247"/>
      <c r="H8478" s="248"/>
      <c r="I8478" s="248"/>
      <c r="J8478" s="247"/>
      <c r="K8478" s="249"/>
    </row>
    <row r="8479" spans="1:11" s="90" customFormat="1" ht="12.75" customHeight="1" x14ac:dyDescent="0.2">
      <c r="A8479" s="247"/>
      <c r="B8479" s="316"/>
      <c r="C8479" s="247"/>
      <c r="D8479" s="317"/>
      <c r="E8479" s="318"/>
      <c r="F8479" s="247"/>
      <c r="G8479" s="247"/>
      <c r="H8479" s="248"/>
      <c r="I8479" s="248"/>
      <c r="J8479" s="247"/>
      <c r="K8479" s="249"/>
    </row>
    <row r="8480" spans="1:11" s="90" customFormat="1" ht="12.75" customHeight="1" x14ac:dyDescent="0.2">
      <c r="A8480" s="247"/>
      <c r="B8480" s="316"/>
      <c r="C8480" s="247"/>
      <c r="D8480" s="317"/>
      <c r="E8480" s="318"/>
      <c r="F8480" s="247"/>
      <c r="G8480" s="247"/>
      <c r="H8480" s="248"/>
      <c r="I8480" s="248"/>
      <c r="J8480" s="247"/>
      <c r="K8480" s="249"/>
    </row>
    <row r="8481" spans="1:11" s="90" customFormat="1" ht="12.75" customHeight="1" x14ac:dyDescent="0.2">
      <c r="A8481" s="247"/>
      <c r="B8481" s="316"/>
      <c r="C8481" s="247"/>
      <c r="D8481" s="317"/>
      <c r="E8481" s="318"/>
      <c r="F8481" s="247"/>
      <c r="G8481" s="247"/>
      <c r="H8481" s="248"/>
      <c r="I8481" s="248"/>
      <c r="J8481" s="247"/>
      <c r="K8481" s="249"/>
    </row>
    <row r="8482" spans="1:11" s="90" customFormat="1" ht="12.75" customHeight="1" x14ac:dyDescent="0.2">
      <c r="A8482" s="247"/>
      <c r="B8482" s="316"/>
      <c r="C8482" s="247"/>
      <c r="D8482" s="317"/>
      <c r="E8482" s="318"/>
      <c r="F8482" s="247"/>
      <c r="G8482" s="247"/>
      <c r="H8482" s="248"/>
      <c r="I8482" s="248"/>
      <c r="J8482" s="247"/>
      <c r="K8482" s="249"/>
    </row>
    <row r="8483" spans="1:11" s="90" customFormat="1" ht="12.75" customHeight="1" x14ac:dyDescent="0.2">
      <c r="A8483" s="247"/>
      <c r="B8483" s="316"/>
      <c r="C8483" s="247"/>
      <c r="D8483" s="317"/>
      <c r="E8483" s="318"/>
      <c r="F8483" s="247"/>
      <c r="G8483" s="247"/>
      <c r="H8483" s="248"/>
      <c r="I8483" s="248"/>
      <c r="J8483" s="247"/>
      <c r="K8483" s="249"/>
    </row>
    <row r="8484" spans="1:11" s="90" customFormat="1" ht="12.75" customHeight="1" x14ac:dyDescent="0.2">
      <c r="A8484" s="247"/>
      <c r="B8484" s="316"/>
      <c r="C8484" s="247"/>
      <c r="D8484" s="317"/>
      <c r="E8484" s="318"/>
      <c r="F8484" s="247"/>
      <c r="G8484" s="247"/>
      <c r="H8484" s="248"/>
      <c r="I8484" s="248"/>
      <c r="J8484" s="247"/>
      <c r="K8484" s="249"/>
    </row>
    <row r="8485" spans="1:11" s="90" customFormat="1" ht="12.75" customHeight="1" x14ac:dyDescent="0.2">
      <c r="A8485" s="247"/>
      <c r="B8485" s="316"/>
      <c r="C8485" s="247"/>
      <c r="D8485" s="317"/>
      <c r="E8485" s="318"/>
      <c r="F8485" s="247"/>
      <c r="G8485" s="247"/>
      <c r="H8485" s="248"/>
      <c r="I8485" s="248"/>
      <c r="J8485" s="247"/>
      <c r="K8485" s="249"/>
    </row>
    <row r="8486" spans="1:11" s="90" customFormat="1" ht="12.75" customHeight="1" x14ac:dyDescent="0.2">
      <c r="A8486" s="247"/>
      <c r="B8486" s="316"/>
      <c r="C8486" s="247"/>
      <c r="D8486" s="317"/>
      <c r="E8486" s="318"/>
      <c r="F8486" s="247"/>
      <c r="G8486" s="247"/>
      <c r="H8486" s="248"/>
      <c r="I8486" s="248"/>
      <c r="J8486" s="247"/>
      <c r="K8486" s="249"/>
    </row>
    <row r="8487" spans="1:11" s="90" customFormat="1" ht="12.75" customHeight="1" x14ac:dyDescent="0.2">
      <c r="A8487" s="247"/>
      <c r="B8487" s="316"/>
      <c r="C8487" s="247"/>
      <c r="D8487" s="317"/>
      <c r="E8487" s="318"/>
      <c r="F8487" s="247"/>
      <c r="G8487" s="247"/>
      <c r="H8487" s="248"/>
      <c r="I8487" s="248"/>
      <c r="J8487" s="247"/>
      <c r="K8487" s="249"/>
    </row>
    <row r="8488" spans="1:11" s="90" customFormat="1" ht="12.75" customHeight="1" x14ac:dyDescent="0.2">
      <c r="A8488" s="247"/>
      <c r="B8488" s="316"/>
      <c r="C8488" s="247"/>
      <c r="D8488" s="317"/>
      <c r="E8488" s="318"/>
      <c r="F8488" s="247"/>
      <c r="G8488" s="247"/>
      <c r="H8488" s="248"/>
      <c r="I8488" s="248"/>
      <c r="J8488" s="247"/>
      <c r="K8488" s="249"/>
    </row>
    <row r="8489" spans="1:11" s="90" customFormat="1" ht="12.75" customHeight="1" x14ac:dyDescent="0.2">
      <c r="A8489" s="247"/>
      <c r="B8489" s="316"/>
      <c r="C8489" s="247"/>
      <c r="D8489" s="317"/>
      <c r="E8489" s="318"/>
      <c r="F8489" s="247"/>
      <c r="G8489" s="247"/>
      <c r="H8489" s="248"/>
      <c r="I8489" s="248"/>
      <c r="J8489" s="247"/>
      <c r="K8489" s="249"/>
    </row>
    <row r="8490" spans="1:11" s="90" customFormat="1" ht="12.75" customHeight="1" x14ac:dyDescent="0.2">
      <c r="A8490" s="247"/>
      <c r="B8490" s="316"/>
      <c r="C8490" s="247"/>
      <c r="D8490" s="317"/>
      <c r="E8490" s="318"/>
      <c r="F8490" s="247"/>
      <c r="G8490" s="247"/>
      <c r="H8490" s="248"/>
      <c r="I8490" s="248"/>
      <c r="J8490" s="247"/>
      <c r="K8490" s="249"/>
    </row>
    <row r="8491" spans="1:11" s="90" customFormat="1" ht="12.75" customHeight="1" x14ac:dyDescent="0.2">
      <c r="A8491" s="247"/>
      <c r="B8491" s="316"/>
      <c r="C8491" s="247"/>
      <c r="D8491" s="317"/>
      <c r="E8491" s="318"/>
      <c r="F8491" s="247"/>
      <c r="G8491" s="247"/>
      <c r="H8491" s="248"/>
      <c r="I8491" s="248"/>
      <c r="J8491" s="247"/>
      <c r="K8491" s="249"/>
    </row>
    <row r="8492" spans="1:11" s="90" customFormat="1" ht="12.75" customHeight="1" x14ac:dyDescent="0.2">
      <c r="A8492" s="247"/>
      <c r="B8492" s="316"/>
      <c r="C8492" s="247"/>
      <c r="D8492" s="317"/>
      <c r="E8492" s="318"/>
      <c r="F8492" s="247"/>
      <c r="G8492" s="247"/>
      <c r="H8492" s="248"/>
      <c r="I8492" s="248"/>
      <c r="J8492" s="247"/>
      <c r="K8492" s="249"/>
    </row>
    <row r="8493" spans="1:11" s="90" customFormat="1" ht="12.75" customHeight="1" x14ac:dyDescent="0.2">
      <c r="A8493" s="247"/>
      <c r="B8493" s="316"/>
      <c r="C8493" s="247"/>
      <c r="D8493" s="317"/>
      <c r="E8493" s="318"/>
      <c r="F8493" s="247"/>
      <c r="G8493" s="247"/>
      <c r="H8493" s="248"/>
      <c r="I8493" s="248"/>
      <c r="J8493" s="247"/>
      <c r="K8493" s="249"/>
    </row>
    <row r="8494" spans="1:11" s="90" customFormat="1" ht="12.75" customHeight="1" x14ac:dyDescent="0.2">
      <c r="A8494" s="247"/>
      <c r="B8494" s="316"/>
      <c r="C8494" s="247"/>
      <c r="D8494" s="317"/>
      <c r="E8494" s="318"/>
      <c r="F8494" s="247"/>
      <c r="G8494" s="247"/>
      <c r="H8494" s="248"/>
      <c r="I8494" s="248"/>
      <c r="J8494" s="247"/>
      <c r="K8494" s="249"/>
    </row>
    <row r="8495" spans="1:11" s="90" customFormat="1" ht="12.75" customHeight="1" x14ac:dyDescent="0.2">
      <c r="A8495" s="247"/>
      <c r="B8495" s="316"/>
      <c r="C8495" s="247"/>
      <c r="D8495" s="317"/>
      <c r="E8495" s="318"/>
      <c r="F8495" s="247"/>
      <c r="G8495" s="247"/>
      <c r="H8495" s="248"/>
      <c r="I8495" s="248"/>
      <c r="J8495" s="247"/>
      <c r="K8495" s="249"/>
    </row>
    <row r="8496" spans="1:11" s="90" customFormat="1" ht="12.75" customHeight="1" x14ac:dyDescent="0.2">
      <c r="A8496" s="247"/>
      <c r="B8496" s="316"/>
      <c r="C8496" s="247"/>
      <c r="D8496" s="317"/>
      <c r="E8496" s="318"/>
      <c r="F8496" s="247"/>
      <c r="G8496" s="247"/>
      <c r="H8496" s="248"/>
      <c r="I8496" s="248"/>
      <c r="J8496" s="247"/>
      <c r="K8496" s="249"/>
    </row>
    <row r="8497" spans="1:11" s="90" customFormat="1" ht="12.75" customHeight="1" x14ac:dyDescent="0.2">
      <c r="A8497" s="247"/>
      <c r="B8497" s="316"/>
      <c r="C8497" s="247"/>
      <c r="D8497" s="317"/>
      <c r="E8497" s="318"/>
      <c r="F8497" s="247"/>
      <c r="G8497" s="247"/>
      <c r="H8497" s="248"/>
      <c r="I8497" s="248"/>
      <c r="J8497" s="247"/>
      <c r="K8497" s="249"/>
    </row>
    <row r="8498" spans="1:11" s="90" customFormat="1" ht="12.75" customHeight="1" x14ac:dyDescent="0.2">
      <c r="A8498" s="247"/>
      <c r="B8498" s="316"/>
      <c r="C8498" s="247"/>
      <c r="D8498" s="317"/>
      <c r="E8498" s="318"/>
      <c r="F8498" s="247"/>
      <c r="G8498" s="247"/>
      <c r="H8498" s="248"/>
      <c r="I8498" s="248"/>
      <c r="J8498" s="247"/>
      <c r="K8498" s="249"/>
    </row>
    <row r="8499" spans="1:11" s="90" customFormat="1" ht="12.75" customHeight="1" x14ac:dyDescent="0.2">
      <c r="A8499" s="247"/>
      <c r="B8499" s="316"/>
      <c r="C8499" s="247"/>
      <c r="D8499" s="317"/>
      <c r="E8499" s="318"/>
      <c r="F8499" s="247"/>
      <c r="G8499" s="247"/>
      <c r="H8499" s="248"/>
      <c r="I8499" s="248"/>
      <c r="J8499" s="247"/>
      <c r="K8499" s="249"/>
    </row>
    <row r="8500" spans="1:11" s="90" customFormat="1" ht="12.75" customHeight="1" x14ac:dyDescent="0.2">
      <c r="A8500" s="247"/>
      <c r="B8500" s="316"/>
      <c r="C8500" s="247"/>
      <c r="D8500" s="317"/>
      <c r="E8500" s="318"/>
      <c r="F8500" s="247"/>
      <c r="G8500" s="247"/>
      <c r="H8500" s="248"/>
      <c r="I8500" s="248"/>
      <c r="J8500" s="247"/>
      <c r="K8500" s="249"/>
    </row>
    <row r="8501" spans="1:11" s="90" customFormat="1" ht="12.75" customHeight="1" x14ac:dyDescent="0.2">
      <c r="A8501" s="247"/>
      <c r="B8501" s="316"/>
      <c r="C8501" s="247"/>
      <c r="D8501" s="317"/>
      <c r="E8501" s="318"/>
      <c r="F8501" s="247"/>
      <c r="G8501" s="247"/>
      <c r="H8501" s="248"/>
      <c r="I8501" s="248"/>
      <c r="J8501" s="247"/>
      <c r="K8501" s="249"/>
    </row>
    <row r="8502" spans="1:11" s="90" customFormat="1" ht="12.75" customHeight="1" x14ac:dyDescent="0.2">
      <c r="A8502" s="247"/>
      <c r="B8502" s="316"/>
      <c r="C8502" s="247"/>
      <c r="D8502" s="317"/>
      <c r="E8502" s="318"/>
      <c r="F8502" s="247"/>
      <c r="G8502" s="247"/>
      <c r="H8502" s="248"/>
      <c r="I8502" s="248"/>
      <c r="J8502" s="247"/>
      <c r="K8502" s="249"/>
    </row>
    <row r="8503" spans="1:11" s="90" customFormat="1" ht="12.75" customHeight="1" x14ac:dyDescent="0.2">
      <c r="A8503" s="247"/>
      <c r="B8503" s="316"/>
      <c r="C8503" s="247"/>
      <c r="D8503" s="317"/>
      <c r="E8503" s="318"/>
      <c r="F8503" s="247"/>
      <c r="G8503" s="247"/>
      <c r="H8503" s="248"/>
      <c r="I8503" s="248"/>
      <c r="J8503" s="247"/>
      <c r="K8503" s="249"/>
    </row>
    <row r="8504" spans="1:11" s="90" customFormat="1" ht="12.75" customHeight="1" x14ac:dyDescent="0.2">
      <c r="A8504" s="247"/>
      <c r="B8504" s="316"/>
      <c r="C8504" s="247"/>
      <c r="D8504" s="317"/>
      <c r="E8504" s="318"/>
      <c r="F8504" s="247"/>
      <c r="G8504" s="247"/>
      <c r="H8504" s="248"/>
      <c r="I8504" s="248"/>
      <c r="J8504" s="247"/>
      <c r="K8504" s="249"/>
    </row>
    <row r="8505" spans="1:11" s="90" customFormat="1" ht="12.75" customHeight="1" x14ac:dyDescent="0.2">
      <c r="A8505" s="247"/>
      <c r="B8505" s="316"/>
      <c r="C8505" s="247"/>
      <c r="D8505" s="317"/>
      <c r="E8505" s="318"/>
      <c r="F8505" s="247"/>
      <c r="G8505" s="247"/>
      <c r="H8505" s="248"/>
      <c r="I8505" s="248"/>
      <c r="J8505" s="247"/>
      <c r="K8505" s="249"/>
    </row>
    <row r="8506" spans="1:11" s="90" customFormat="1" ht="12.75" customHeight="1" x14ac:dyDescent="0.2">
      <c r="A8506" s="247"/>
      <c r="B8506" s="316"/>
      <c r="C8506" s="247"/>
      <c r="D8506" s="317"/>
      <c r="E8506" s="318"/>
      <c r="F8506" s="247"/>
      <c r="G8506" s="247"/>
      <c r="H8506" s="248"/>
      <c r="I8506" s="248"/>
      <c r="J8506" s="247"/>
      <c r="K8506" s="249"/>
    </row>
    <row r="8507" spans="1:11" s="90" customFormat="1" ht="12.75" customHeight="1" x14ac:dyDescent="0.2">
      <c r="A8507" s="247"/>
      <c r="B8507" s="316"/>
      <c r="C8507" s="247"/>
      <c r="D8507" s="317"/>
      <c r="E8507" s="318"/>
      <c r="F8507" s="247"/>
      <c r="G8507" s="247"/>
      <c r="H8507" s="248"/>
      <c r="I8507" s="248"/>
      <c r="J8507" s="247"/>
      <c r="K8507" s="249"/>
    </row>
    <row r="8508" spans="1:11" s="90" customFormat="1" ht="12.75" customHeight="1" x14ac:dyDescent="0.2">
      <c r="A8508" s="247"/>
      <c r="B8508" s="316"/>
      <c r="C8508" s="247"/>
      <c r="D8508" s="317"/>
      <c r="E8508" s="318"/>
      <c r="F8508" s="247"/>
      <c r="G8508" s="247"/>
      <c r="H8508" s="248"/>
      <c r="I8508" s="248"/>
      <c r="J8508" s="247"/>
      <c r="K8508" s="249"/>
    </row>
    <row r="8509" spans="1:11" s="90" customFormat="1" ht="12.75" customHeight="1" x14ac:dyDescent="0.2">
      <c r="A8509" s="247"/>
      <c r="B8509" s="316"/>
      <c r="C8509" s="247"/>
      <c r="D8509" s="317"/>
      <c r="E8509" s="318"/>
      <c r="F8509" s="247"/>
      <c r="G8509" s="247"/>
      <c r="H8509" s="248"/>
      <c r="I8509" s="248"/>
      <c r="J8509" s="247"/>
      <c r="K8509" s="249"/>
    </row>
    <row r="8510" spans="1:11" s="90" customFormat="1" ht="12.75" customHeight="1" x14ac:dyDescent="0.2">
      <c r="A8510" s="247"/>
      <c r="B8510" s="316"/>
      <c r="C8510" s="247"/>
      <c r="D8510" s="317"/>
      <c r="E8510" s="318"/>
      <c r="F8510" s="247"/>
      <c r="G8510" s="247"/>
      <c r="H8510" s="248"/>
      <c r="I8510" s="248"/>
      <c r="J8510" s="247"/>
      <c r="K8510" s="249"/>
    </row>
    <row r="8511" spans="1:11" s="90" customFormat="1" ht="12.75" customHeight="1" x14ac:dyDescent="0.2">
      <c r="A8511" s="247"/>
      <c r="B8511" s="316"/>
      <c r="C8511" s="247"/>
      <c r="D8511" s="317"/>
      <c r="E8511" s="318"/>
      <c r="F8511" s="247"/>
      <c r="G8511" s="247"/>
      <c r="H8511" s="248"/>
      <c r="I8511" s="248"/>
      <c r="J8511" s="247"/>
      <c r="K8511" s="249"/>
    </row>
    <row r="8512" spans="1:11" s="90" customFormat="1" ht="12.75" customHeight="1" x14ac:dyDescent="0.2">
      <c r="A8512" s="247"/>
      <c r="B8512" s="316"/>
      <c r="C8512" s="247"/>
      <c r="D8512" s="317"/>
      <c r="E8512" s="318"/>
      <c r="F8512" s="247"/>
      <c r="G8512" s="247"/>
      <c r="H8512" s="248"/>
      <c r="I8512" s="248"/>
      <c r="J8512" s="247"/>
      <c r="K8512" s="249"/>
    </row>
    <row r="8513" spans="1:11" s="90" customFormat="1" ht="12.75" customHeight="1" x14ac:dyDescent="0.2">
      <c r="A8513" s="247"/>
      <c r="B8513" s="316"/>
      <c r="C8513" s="247"/>
      <c r="D8513" s="317"/>
      <c r="E8513" s="318"/>
      <c r="F8513" s="247"/>
      <c r="G8513" s="247"/>
      <c r="H8513" s="248"/>
      <c r="I8513" s="248"/>
      <c r="J8513" s="247"/>
      <c r="K8513" s="249"/>
    </row>
    <row r="8514" spans="1:11" s="90" customFormat="1" ht="12.75" customHeight="1" x14ac:dyDescent="0.2">
      <c r="A8514" s="247"/>
      <c r="B8514" s="316"/>
      <c r="C8514" s="247"/>
      <c r="D8514" s="317"/>
      <c r="E8514" s="318"/>
      <c r="F8514" s="247"/>
      <c r="G8514" s="247"/>
      <c r="H8514" s="248"/>
      <c r="I8514" s="248"/>
      <c r="J8514" s="247"/>
      <c r="K8514" s="249"/>
    </row>
    <row r="8515" spans="1:11" s="90" customFormat="1" ht="12.75" customHeight="1" x14ac:dyDescent="0.2">
      <c r="A8515" s="247"/>
      <c r="B8515" s="316"/>
      <c r="C8515" s="247"/>
      <c r="D8515" s="317"/>
      <c r="E8515" s="318"/>
      <c r="F8515" s="247"/>
      <c r="G8515" s="247"/>
      <c r="H8515" s="248"/>
      <c r="I8515" s="248"/>
      <c r="J8515" s="247"/>
      <c r="K8515" s="249"/>
    </row>
    <row r="8516" spans="1:11" s="90" customFormat="1" ht="12.75" customHeight="1" x14ac:dyDescent="0.2">
      <c r="A8516" s="247"/>
      <c r="B8516" s="316"/>
      <c r="C8516" s="247"/>
      <c r="D8516" s="317"/>
      <c r="E8516" s="318"/>
      <c r="F8516" s="247"/>
      <c r="G8516" s="247"/>
      <c r="H8516" s="248"/>
      <c r="I8516" s="248"/>
      <c r="J8516" s="247"/>
      <c r="K8516" s="249"/>
    </row>
    <row r="8517" spans="1:11" s="90" customFormat="1" ht="12.75" customHeight="1" x14ac:dyDescent="0.2">
      <c r="A8517" s="247"/>
      <c r="B8517" s="316"/>
      <c r="C8517" s="247"/>
      <c r="D8517" s="317"/>
      <c r="E8517" s="318"/>
      <c r="F8517" s="247"/>
      <c r="G8517" s="247"/>
      <c r="H8517" s="248"/>
      <c r="I8517" s="248"/>
      <c r="J8517" s="247"/>
      <c r="K8517" s="249"/>
    </row>
    <row r="8518" spans="1:11" s="90" customFormat="1" ht="12.75" customHeight="1" x14ac:dyDescent="0.2">
      <c r="A8518" s="247"/>
      <c r="B8518" s="316"/>
      <c r="C8518" s="247"/>
      <c r="D8518" s="317"/>
      <c r="E8518" s="318"/>
      <c r="F8518" s="247"/>
      <c r="G8518" s="247"/>
      <c r="H8518" s="248"/>
      <c r="I8518" s="248"/>
      <c r="J8518" s="247"/>
      <c r="K8518" s="249"/>
    </row>
    <row r="8519" spans="1:11" s="90" customFormat="1" ht="12.75" customHeight="1" x14ac:dyDescent="0.2">
      <c r="A8519" s="247"/>
      <c r="B8519" s="316"/>
      <c r="C8519" s="247"/>
      <c r="D8519" s="317"/>
      <c r="E8519" s="318"/>
      <c r="F8519" s="247"/>
      <c r="G8519" s="247"/>
      <c r="H8519" s="248"/>
      <c r="I8519" s="248"/>
      <c r="J8519" s="247"/>
      <c r="K8519" s="249"/>
    </row>
    <row r="8520" spans="1:11" s="90" customFormat="1" ht="12.75" customHeight="1" x14ac:dyDescent="0.2">
      <c r="A8520" s="247"/>
      <c r="B8520" s="316"/>
      <c r="C8520" s="247"/>
      <c r="D8520" s="317"/>
      <c r="E8520" s="318"/>
      <c r="F8520" s="247"/>
      <c r="G8520" s="247"/>
      <c r="H8520" s="248"/>
      <c r="I8520" s="248"/>
      <c r="J8520" s="247"/>
      <c r="K8520" s="249"/>
    </row>
    <row r="8521" spans="1:11" s="90" customFormat="1" ht="12.75" customHeight="1" x14ac:dyDescent="0.2">
      <c r="A8521" s="247"/>
      <c r="B8521" s="316"/>
      <c r="C8521" s="247"/>
      <c r="D8521" s="317"/>
      <c r="E8521" s="318"/>
      <c r="F8521" s="247"/>
      <c r="G8521" s="247"/>
      <c r="H8521" s="248"/>
      <c r="I8521" s="248"/>
      <c r="J8521" s="247"/>
      <c r="K8521" s="249"/>
    </row>
    <row r="8522" spans="1:11" s="90" customFormat="1" ht="12.75" customHeight="1" x14ac:dyDescent="0.2">
      <c r="A8522" s="247"/>
      <c r="B8522" s="316"/>
      <c r="C8522" s="247"/>
      <c r="D8522" s="317"/>
      <c r="E8522" s="318"/>
      <c r="F8522" s="247"/>
      <c r="G8522" s="247"/>
      <c r="H8522" s="248"/>
      <c r="I8522" s="248"/>
      <c r="J8522" s="247"/>
      <c r="K8522" s="249"/>
    </row>
    <row r="8523" spans="1:11" s="90" customFormat="1" ht="12.75" customHeight="1" x14ac:dyDescent="0.2">
      <c r="A8523" s="247"/>
      <c r="B8523" s="316"/>
      <c r="C8523" s="247"/>
      <c r="D8523" s="317"/>
      <c r="E8523" s="318"/>
      <c r="F8523" s="247"/>
      <c r="G8523" s="247"/>
      <c r="H8523" s="248"/>
      <c r="I8523" s="248"/>
      <c r="J8523" s="247"/>
      <c r="K8523" s="249"/>
    </row>
    <row r="8524" spans="1:11" s="90" customFormat="1" ht="12.75" customHeight="1" x14ac:dyDescent="0.2">
      <c r="A8524" s="247"/>
      <c r="B8524" s="316"/>
      <c r="C8524" s="247"/>
      <c r="D8524" s="317"/>
      <c r="E8524" s="318"/>
      <c r="F8524" s="247"/>
      <c r="G8524" s="247"/>
      <c r="H8524" s="248"/>
      <c r="I8524" s="248"/>
      <c r="J8524" s="247"/>
      <c r="K8524" s="249"/>
    </row>
    <row r="8525" spans="1:11" s="90" customFormat="1" ht="12.75" customHeight="1" x14ac:dyDescent="0.2">
      <c r="A8525" s="247"/>
      <c r="B8525" s="316"/>
      <c r="C8525" s="247"/>
      <c r="D8525" s="317"/>
      <c r="E8525" s="318"/>
      <c r="F8525" s="247"/>
      <c r="G8525" s="247"/>
      <c r="H8525" s="248"/>
      <c r="I8525" s="248"/>
      <c r="J8525" s="247"/>
      <c r="K8525" s="249"/>
    </row>
    <row r="8526" spans="1:11" s="90" customFormat="1" ht="12.75" customHeight="1" x14ac:dyDescent="0.2">
      <c r="A8526" s="247"/>
      <c r="B8526" s="316"/>
      <c r="C8526" s="247"/>
      <c r="D8526" s="317"/>
      <c r="E8526" s="318"/>
      <c r="F8526" s="247"/>
      <c r="G8526" s="247"/>
      <c r="H8526" s="248"/>
      <c r="I8526" s="248"/>
      <c r="J8526" s="247"/>
      <c r="K8526" s="249"/>
    </row>
    <row r="8527" spans="1:11" s="90" customFormat="1" ht="12.75" customHeight="1" x14ac:dyDescent="0.2">
      <c r="A8527" s="247"/>
      <c r="B8527" s="316"/>
      <c r="C8527" s="247"/>
      <c r="D8527" s="317"/>
      <c r="E8527" s="318"/>
      <c r="F8527" s="247"/>
      <c r="G8527" s="247"/>
      <c r="H8527" s="248"/>
      <c r="I8527" s="248"/>
      <c r="J8527" s="247"/>
      <c r="K8527" s="249"/>
    </row>
    <row r="8528" spans="1:11" s="90" customFormat="1" ht="12.75" customHeight="1" x14ac:dyDescent="0.2">
      <c r="A8528" s="247"/>
      <c r="B8528" s="316"/>
      <c r="C8528" s="247"/>
      <c r="D8528" s="317"/>
      <c r="E8528" s="318"/>
      <c r="F8528" s="247"/>
      <c r="G8528" s="247"/>
      <c r="H8528" s="248"/>
      <c r="I8528" s="248"/>
      <c r="J8528" s="247"/>
      <c r="K8528" s="249"/>
    </row>
    <row r="8529" spans="1:11" s="90" customFormat="1" ht="12.75" customHeight="1" x14ac:dyDescent="0.2">
      <c r="A8529" s="247"/>
      <c r="B8529" s="316"/>
      <c r="C8529" s="247"/>
      <c r="D8529" s="317"/>
      <c r="E8529" s="318"/>
      <c r="F8529" s="247"/>
      <c r="G8529" s="247"/>
      <c r="H8529" s="248"/>
      <c r="I8529" s="248"/>
      <c r="J8529" s="247"/>
      <c r="K8529" s="249"/>
    </row>
    <row r="8530" spans="1:11" s="90" customFormat="1" ht="12.75" customHeight="1" x14ac:dyDescent="0.2">
      <c r="A8530" s="247"/>
      <c r="B8530" s="316"/>
      <c r="C8530" s="247"/>
      <c r="D8530" s="317"/>
      <c r="E8530" s="318"/>
      <c r="F8530" s="247"/>
      <c r="G8530" s="247"/>
      <c r="H8530" s="248"/>
      <c r="I8530" s="248"/>
      <c r="J8530" s="247"/>
      <c r="K8530" s="249"/>
    </row>
    <row r="8531" spans="1:11" s="90" customFormat="1" ht="12.75" customHeight="1" x14ac:dyDescent="0.2">
      <c r="A8531" s="247"/>
      <c r="B8531" s="316"/>
      <c r="C8531" s="247"/>
      <c r="D8531" s="317"/>
      <c r="E8531" s="318"/>
      <c r="F8531" s="247"/>
      <c r="G8531" s="247"/>
      <c r="H8531" s="248"/>
      <c r="I8531" s="248"/>
      <c r="J8531" s="247"/>
      <c r="K8531" s="249"/>
    </row>
    <row r="8532" spans="1:11" s="90" customFormat="1" ht="12.75" customHeight="1" x14ac:dyDescent="0.2">
      <c r="A8532" s="247"/>
      <c r="B8532" s="316"/>
      <c r="C8532" s="247"/>
      <c r="D8532" s="317"/>
      <c r="E8532" s="318"/>
      <c r="F8532" s="247"/>
      <c r="G8532" s="247"/>
      <c r="H8532" s="248"/>
      <c r="I8532" s="248"/>
      <c r="J8532" s="247"/>
      <c r="K8532" s="249"/>
    </row>
    <row r="8533" spans="1:11" s="90" customFormat="1" ht="12.75" customHeight="1" x14ac:dyDescent="0.2">
      <c r="A8533" s="247"/>
      <c r="B8533" s="316"/>
      <c r="C8533" s="247"/>
      <c r="D8533" s="317"/>
      <c r="E8533" s="318"/>
      <c r="F8533" s="247"/>
      <c r="G8533" s="247"/>
      <c r="H8533" s="248"/>
      <c r="I8533" s="248"/>
      <c r="J8533" s="247"/>
      <c r="K8533" s="249"/>
    </row>
    <row r="8534" spans="1:11" s="90" customFormat="1" ht="12.75" customHeight="1" x14ac:dyDescent="0.2">
      <c r="A8534" s="247"/>
      <c r="B8534" s="316"/>
      <c r="C8534" s="247"/>
      <c r="D8534" s="317"/>
      <c r="E8534" s="318"/>
      <c r="F8534" s="247"/>
      <c r="G8534" s="247"/>
      <c r="H8534" s="248"/>
      <c r="I8534" s="248"/>
      <c r="J8534" s="247"/>
      <c r="K8534" s="249"/>
    </row>
    <row r="8535" spans="1:11" s="90" customFormat="1" ht="12.75" customHeight="1" x14ac:dyDescent="0.2">
      <c r="A8535" s="247"/>
      <c r="B8535" s="316"/>
      <c r="C8535" s="247"/>
      <c r="D8535" s="317"/>
      <c r="E8535" s="318"/>
      <c r="F8535" s="247"/>
      <c r="G8535" s="247"/>
      <c r="H8535" s="248"/>
      <c r="I8535" s="248"/>
      <c r="J8535" s="247"/>
      <c r="K8535" s="249"/>
    </row>
    <row r="8536" spans="1:11" s="90" customFormat="1" ht="12.75" customHeight="1" x14ac:dyDescent="0.2">
      <c r="A8536" s="247"/>
      <c r="B8536" s="316"/>
      <c r="C8536" s="247"/>
      <c r="D8536" s="317"/>
      <c r="E8536" s="318"/>
      <c r="F8536" s="247"/>
      <c r="G8536" s="247"/>
      <c r="H8536" s="248"/>
      <c r="I8536" s="248"/>
      <c r="J8536" s="247"/>
      <c r="K8536" s="249"/>
    </row>
    <row r="8537" spans="1:11" s="90" customFormat="1" ht="12.75" customHeight="1" x14ac:dyDescent="0.2">
      <c r="A8537" s="247"/>
      <c r="B8537" s="316"/>
      <c r="C8537" s="247"/>
      <c r="D8537" s="317"/>
      <c r="E8537" s="318"/>
      <c r="F8537" s="247"/>
      <c r="G8537" s="247"/>
      <c r="H8537" s="248"/>
      <c r="I8537" s="248"/>
      <c r="J8537" s="247"/>
      <c r="K8537" s="249"/>
    </row>
    <row r="8538" spans="1:11" s="90" customFormat="1" ht="12.75" customHeight="1" x14ac:dyDescent="0.2">
      <c r="A8538" s="247"/>
      <c r="B8538" s="316"/>
      <c r="C8538" s="247"/>
      <c r="D8538" s="317"/>
      <c r="E8538" s="318"/>
      <c r="F8538" s="247"/>
      <c r="G8538" s="247"/>
      <c r="H8538" s="248"/>
      <c r="I8538" s="248"/>
      <c r="J8538" s="247"/>
      <c r="K8538" s="249"/>
    </row>
    <row r="8539" spans="1:11" s="90" customFormat="1" ht="12.75" customHeight="1" x14ac:dyDescent="0.2">
      <c r="A8539" s="247"/>
      <c r="B8539" s="316"/>
      <c r="C8539" s="247"/>
      <c r="D8539" s="317"/>
      <c r="E8539" s="318"/>
      <c r="F8539" s="247"/>
      <c r="G8539" s="247"/>
      <c r="H8539" s="248"/>
      <c r="I8539" s="248"/>
      <c r="J8539" s="247"/>
      <c r="K8539" s="249"/>
    </row>
    <row r="8540" spans="1:11" s="90" customFormat="1" ht="12.75" customHeight="1" x14ac:dyDescent="0.2">
      <c r="A8540" s="247"/>
      <c r="B8540" s="316"/>
      <c r="C8540" s="247"/>
      <c r="D8540" s="317"/>
      <c r="E8540" s="318"/>
      <c r="F8540" s="247"/>
      <c r="G8540" s="247"/>
      <c r="H8540" s="248"/>
      <c r="I8540" s="248"/>
      <c r="J8540" s="247"/>
      <c r="K8540" s="249"/>
    </row>
    <row r="8541" spans="1:11" s="90" customFormat="1" ht="12.75" customHeight="1" x14ac:dyDescent="0.2">
      <c r="A8541" s="247"/>
      <c r="B8541" s="316"/>
      <c r="C8541" s="247"/>
      <c r="D8541" s="317"/>
      <c r="E8541" s="318"/>
      <c r="F8541" s="247"/>
      <c r="G8541" s="247"/>
      <c r="H8541" s="248"/>
      <c r="I8541" s="248"/>
      <c r="J8541" s="247"/>
      <c r="K8541" s="249"/>
    </row>
    <row r="8542" spans="1:11" s="90" customFormat="1" ht="12.75" customHeight="1" x14ac:dyDescent="0.2">
      <c r="A8542" s="247"/>
      <c r="B8542" s="316"/>
      <c r="C8542" s="247"/>
      <c r="D8542" s="317"/>
      <c r="E8542" s="318"/>
      <c r="F8542" s="247"/>
      <c r="G8542" s="247"/>
      <c r="H8542" s="248"/>
      <c r="I8542" s="248"/>
      <c r="J8542" s="247"/>
      <c r="K8542" s="249"/>
    </row>
    <row r="8543" spans="1:11" s="90" customFormat="1" ht="12.75" customHeight="1" x14ac:dyDescent="0.2">
      <c r="A8543" s="247"/>
      <c r="B8543" s="316"/>
      <c r="C8543" s="247"/>
      <c r="D8543" s="317"/>
      <c r="E8543" s="318"/>
      <c r="F8543" s="247"/>
      <c r="G8543" s="247"/>
      <c r="H8543" s="248"/>
      <c r="I8543" s="248"/>
      <c r="J8543" s="247"/>
      <c r="K8543" s="249"/>
    </row>
    <row r="8544" spans="1:11" s="90" customFormat="1" ht="12.75" customHeight="1" x14ac:dyDescent="0.2">
      <c r="A8544" s="247"/>
      <c r="B8544" s="316"/>
      <c r="C8544" s="247"/>
      <c r="D8544" s="317"/>
      <c r="E8544" s="318"/>
      <c r="F8544" s="247"/>
      <c r="G8544" s="247"/>
      <c r="H8544" s="248"/>
      <c r="I8544" s="248"/>
      <c r="J8544" s="247"/>
      <c r="K8544" s="249"/>
    </row>
    <row r="8545" spans="1:11" s="90" customFormat="1" ht="12.75" customHeight="1" x14ac:dyDescent="0.2">
      <c r="A8545" s="247"/>
      <c r="B8545" s="316"/>
      <c r="C8545" s="247"/>
      <c r="D8545" s="317"/>
      <c r="E8545" s="318"/>
      <c r="F8545" s="247"/>
      <c r="G8545" s="247"/>
      <c r="H8545" s="248"/>
      <c r="I8545" s="248"/>
      <c r="J8545" s="247"/>
      <c r="K8545" s="249"/>
    </row>
    <row r="8546" spans="1:11" s="90" customFormat="1" ht="12.75" customHeight="1" x14ac:dyDescent="0.2">
      <c r="A8546" s="247"/>
      <c r="B8546" s="316"/>
      <c r="C8546" s="247"/>
      <c r="D8546" s="317"/>
      <c r="E8546" s="318"/>
      <c r="F8546" s="247"/>
      <c r="G8546" s="247"/>
      <c r="H8546" s="248"/>
      <c r="I8546" s="248"/>
      <c r="J8546" s="247"/>
      <c r="K8546" s="249"/>
    </row>
    <row r="8547" spans="1:11" s="90" customFormat="1" ht="12.75" customHeight="1" x14ac:dyDescent="0.2">
      <c r="A8547" s="247"/>
      <c r="B8547" s="316"/>
      <c r="C8547" s="247"/>
      <c r="D8547" s="317"/>
      <c r="E8547" s="318"/>
      <c r="F8547" s="247"/>
      <c r="G8547" s="247"/>
      <c r="H8547" s="248"/>
      <c r="I8547" s="248"/>
      <c r="J8547" s="247"/>
      <c r="K8547" s="249"/>
    </row>
    <row r="8548" spans="1:11" s="90" customFormat="1" ht="12.75" customHeight="1" x14ac:dyDescent="0.2">
      <c r="A8548" s="247"/>
      <c r="B8548" s="316"/>
      <c r="C8548" s="247"/>
      <c r="D8548" s="317"/>
      <c r="E8548" s="318"/>
      <c r="F8548" s="247"/>
      <c r="G8548" s="247"/>
      <c r="H8548" s="248"/>
      <c r="I8548" s="248"/>
      <c r="J8548" s="247"/>
      <c r="K8548" s="249"/>
    </row>
    <row r="8549" spans="1:11" s="90" customFormat="1" ht="12.75" customHeight="1" x14ac:dyDescent="0.2">
      <c r="A8549" s="247"/>
      <c r="B8549" s="316"/>
      <c r="C8549" s="247"/>
      <c r="D8549" s="317"/>
      <c r="E8549" s="318"/>
      <c r="F8549" s="247"/>
      <c r="G8549" s="247"/>
      <c r="H8549" s="248"/>
      <c r="I8549" s="248"/>
      <c r="J8549" s="247"/>
      <c r="K8549" s="249"/>
    </row>
    <row r="8550" spans="1:11" s="90" customFormat="1" ht="12.75" customHeight="1" x14ac:dyDescent="0.2">
      <c r="A8550" s="247"/>
      <c r="B8550" s="316"/>
      <c r="C8550" s="247"/>
      <c r="D8550" s="317"/>
      <c r="E8550" s="318"/>
      <c r="F8550" s="247"/>
      <c r="G8550" s="247"/>
      <c r="H8550" s="248"/>
      <c r="I8550" s="248"/>
      <c r="J8550" s="247"/>
      <c r="K8550" s="249"/>
    </row>
    <row r="8551" spans="1:11" s="90" customFormat="1" ht="12.75" customHeight="1" x14ac:dyDescent="0.2">
      <c r="A8551" s="247"/>
      <c r="B8551" s="316"/>
      <c r="C8551" s="247"/>
      <c r="D8551" s="317"/>
      <c r="E8551" s="318"/>
      <c r="F8551" s="247"/>
      <c r="G8551" s="247"/>
      <c r="H8551" s="248"/>
      <c r="I8551" s="248"/>
      <c r="J8551" s="247"/>
      <c r="K8551" s="249"/>
    </row>
    <row r="8552" spans="1:11" s="90" customFormat="1" ht="12.75" customHeight="1" x14ac:dyDescent="0.2">
      <c r="A8552" s="247"/>
      <c r="B8552" s="316"/>
      <c r="C8552" s="247"/>
      <c r="D8552" s="317"/>
      <c r="E8552" s="318"/>
      <c r="F8552" s="247"/>
      <c r="G8552" s="247"/>
      <c r="H8552" s="248"/>
      <c r="I8552" s="248"/>
      <c r="J8552" s="247"/>
      <c r="K8552" s="249"/>
    </row>
    <row r="8553" spans="1:11" s="90" customFormat="1" ht="12.75" customHeight="1" x14ac:dyDescent="0.2">
      <c r="A8553" s="247"/>
      <c r="B8553" s="316"/>
      <c r="C8553" s="247"/>
      <c r="D8553" s="317"/>
      <c r="E8553" s="318"/>
      <c r="F8553" s="247"/>
      <c r="G8553" s="247"/>
      <c r="H8553" s="248"/>
      <c r="I8553" s="248"/>
      <c r="J8553" s="247"/>
      <c r="K8553" s="249"/>
    </row>
    <row r="8554" spans="1:11" s="90" customFormat="1" ht="12.75" customHeight="1" x14ac:dyDescent="0.2">
      <c r="A8554" s="247"/>
      <c r="B8554" s="316"/>
      <c r="C8554" s="247"/>
      <c r="D8554" s="317"/>
      <c r="E8554" s="318"/>
      <c r="F8554" s="247"/>
      <c r="G8554" s="247"/>
      <c r="H8554" s="248"/>
      <c r="I8554" s="248"/>
      <c r="J8554" s="247"/>
      <c r="K8554" s="249"/>
    </row>
    <row r="8555" spans="1:11" s="90" customFormat="1" ht="12.75" customHeight="1" x14ac:dyDescent="0.2">
      <c r="A8555" s="247"/>
      <c r="B8555" s="316"/>
      <c r="C8555" s="247"/>
      <c r="D8555" s="317"/>
      <c r="E8555" s="318"/>
      <c r="F8555" s="247"/>
      <c r="G8555" s="247"/>
      <c r="H8555" s="248"/>
      <c r="I8555" s="248"/>
      <c r="J8555" s="247"/>
      <c r="K8555" s="249"/>
    </row>
    <row r="8556" spans="1:11" s="90" customFormat="1" ht="12.75" customHeight="1" x14ac:dyDescent="0.2">
      <c r="A8556" s="247"/>
      <c r="B8556" s="316"/>
      <c r="C8556" s="247"/>
      <c r="D8556" s="317"/>
      <c r="E8556" s="318"/>
      <c r="F8556" s="247"/>
      <c r="G8556" s="247"/>
      <c r="H8556" s="248"/>
      <c r="I8556" s="248"/>
      <c r="J8556" s="247"/>
      <c r="K8556" s="249"/>
    </row>
    <row r="8557" spans="1:11" s="90" customFormat="1" ht="12.75" customHeight="1" x14ac:dyDescent="0.2">
      <c r="A8557" s="247"/>
      <c r="B8557" s="316"/>
      <c r="C8557" s="247"/>
      <c r="D8557" s="317"/>
      <c r="E8557" s="318"/>
      <c r="F8557" s="247"/>
      <c r="G8557" s="247"/>
      <c r="H8557" s="248"/>
      <c r="I8557" s="248"/>
      <c r="J8557" s="247"/>
      <c r="K8557" s="249"/>
    </row>
    <row r="8558" spans="1:11" s="90" customFormat="1" ht="12.75" customHeight="1" x14ac:dyDescent="0.2">
      <c r="A8558" s="247"/>
      <c r="B8558" s="316"/>
      <c r="C8558" s="247"/>
      <c r="D8558" s="317"/>
      <c r="E8558" s="318"/>
      <c r="F8558" s="247"/>
      <c r="G8558" s="247"/>
      <c r="H8558" s="248"/>
      <c r="I8558" s="248"/>
      <c r="J8558" s="247"/>
      <c r="K8558" s="249"/>
    </row>
    <row r="8559" spans="1:11" s="90" customFormat="1" ht="12.75" customHeight="1" x14ac:dyDescent="0.2">
      <c r="A8559" s="247"/>
      <c r="B8559" s="316"/>
      <c r="C8559" s="247"/>
      <c r="D8559" s="317"/>
      <c r="E8559" s="318"/>
      <c r="F8559" s="247"/>
      <c r="G8559" s="247"/>
      <c r="H8559" s="248"/>
      <c r="I8559" s="248"/>
      <c r="J8559" s="247"/>
      <c r="K8559" s="249"/>
    </row>
    <row r="8560" spans="1:11" s="90" customFormat="1" ht="12.75" customHeight="1" x14ac:dyDescent="0.2">
      <c r="A8560" s="247"/>
      <c r="B8560" s="316"/>
      <c r="C8560" s="247"/>
      <c r="D8560" s="317"/>
      <c r="E8560" s="318"/>
      <c r="F8560" s="247"/>
      <c r="G8560" s="247"/>
      <c r="H8560" s="248"/>
      <c r="I8560" s="248"/>
      <c r="J8560" s="247"/>
      <c r="K8560" s="249"/>
    </row>
    <row r="8561" spans="1:11" s="90" customFormat="1" ht="12.75" customHeight="1" x14ac:dyDescent="0.2">
      <c r="A8561" s="247"/>
      <c r="B8561" s="316"/>
      <c r="C8561" s="247"/>
      <c r="D8561" s="317"/>
      <c r="E8561" s="318"/>
      <c r="F8561" s="247"/>
      <c r="G8561" s="247"/>
      <c r="H8561" s="248"/>
      <c r="I8561" s="248"/>
      <c r="J8561" s="247"/>
      <c r="K8561" s="249"/>
    </row>
    <row r="8562" spans="1:11" s="90" customFormat="1" ht="12.75" customHeight="1" x14ac:dyDescent="0.2">
      <c r="A8562" s="247"/>
      <c r="B8562" s="316"/>
      <c r="C8562" s="247"/>
      <c r="D8562" s="317"/>
      <c r="E8562" s="318"/>
      <c r="F8562" s="247"/>
      <c r="G8562" s="247"/>
      <c r="H8562" s="248"/>
      <c r="I8562" s="248"/>
      <c r="J8562" s="247"/>
      <c r="K8562" s="249"/>
    </row>
    <row r="8563" spans="1:11" s="90" customFormat="1" ht="12.75" customHeight="1" x14ac:dyDescent="0.2">
      <c r="A8563" s="247"/>
      <c r="B8563" s="316"/>
      <c r="C8563" s="247"/>
      <c r="D8563" s="317"/>
      <c r="E8563" s="318"/>
      <c r="F8563" s="247"/>
      <c r="G8563" s="247"/>
      <c r="H8563" s="248"/>
      <c r="I8563" s="248"/>
      <c r="J8563" s="247"/>
      <c r="K8563" s="249"/>
    </row>
    <row r="8564" spans="1:11" s="90" customFormat="1" ht="12.75" customHeight="1" x14ac:dyDescent="0.2">
      <c r="A8564" s="247"/>
      <c r="B8564" s="316"/>
      <c r="C8564" s="247"/>
      <c r="D8564" s="317"/>
      <c r="E8564" s="318"/>
      <c r="F8564" s="247"/>
      <c r="G8564" s="247"/>
      <c r="H8564" s="248"/>
      <c r="I8564" s="248"/>
      <c r="J8564" s="247"/>
      <c r="K8564" s="249"/>
    </row>
    <row r="8565" spans="1:11" s="90" customFormat="1" ht="12.75" customHeight="1" x14ac:dyDescent="0.2">
      <c r="A8565" s="247"/>
      <c r="B8565" s="316"/>
      <c r="C8565" s="247"/>
      <c r="D8565" s="317"/>
      <c r="E8565" s="318"/>
      <c r="F8565" s="247"/>
      <c r="G8565" s="247"/>
      <c r="H8565" s="248"/>
      <c r="I8565" s="248"/>
      <c r="J8565" s="247"/>
      <c r="K8565" s="249"/>
    </row>
    <row r="8566" spans="1:11" s="90" customFormat="1" ht="12.75" customHeight="1" x14ac:dyDescent="0.2">
      <c r="A8566" s="247"/>
      <c r="B8566" s="316"/>
      <c r="C8566" s="247"/>
      <c r="D8566" s="317"/>
      <c r="E8566" s="318"/>
      <c r="F8566" s="247"/>
      <c r="G8566" s="247"/>
      <c r="H8566" s="248"/>
      <c r="I8566" s="248"/>
      <c r="J8566" s="247"/>
      <c r="K8566" s="249"/>
    </row>
    <row r="8567" spans="1:11" s="90" customFormat="1" ht="12.75" customHeight="1" x14ac:dyDescent="0.2">
      <c r="A8567" s="247"/>
      <c r="B8567" s="316"/>
      <c r="C8567" s="247"/>
      <c r="D8567" s="317"/>
      <c r="E8567" s="318"/>
      <c r="F8567" s="247"/>
      <c r="G8567" s="247"/>
      <c r="H8567" s="248"/>
      <c r="I8567" s="248"/>
      <c r="J8567" s="247"/>
      <c r="K8567" s="249"/>
    </row>
    <row r="8568" spans="1:11" s="90" customFormat="1" ht="12.75" customHeight="1" x14ac:dyDescent="0.2">
      <c r="A8568" s="247"/>
      <c r="B8568" s="316"/>
      <c r="C8568" s="247"/>
      <c r="D8568" s="317"/>
      <c r="E8568" s="318"/>
      <c r="F8568" s="247"/>
      <c r="G8568" s="247"/>
      <c r="H8568" s="248"/>
      <c r="I8568" s="248"/>
      <c r="J8568" s="247"/>
      <c r="K8568" s="249"/>
    </row>
    <row r="8569" spans="1:11" s="90" customFormat="1" ht="12.75" customHeight="1" x14ac:dyDescent="0.2">
      <c r="A8569" s="247"/>
      <c r="B8569" s="316"/>
      <c r="C8569" s="247"/>
      <c r="D8569" s="317"/>
      <c r="E8569" s="318"/>
      <c r="F8569" s="247"/>
      <c r="G8569" s="247"/>
      <c r="H8569" s="248"/>
      <c r="I8569" s="248"/>
      <c r="J8569" s="247"/>
      <c r="K8569" s="249"/>
    </row>
    <row r="8570" spans="1:11" s="90" customFormat="1" ht="12.75" customHeight="1" x14ac:dyDescent="0.2">
      <c r="A8570" s="247"/>
      <c r="B8570" s="316"/>
      <c r="C8570" s="247"/>
      <c r="D8570" s="317"/>
      <c r="E8570" s="318"/>
      <c r="F8570" s="247"/>
      <c r="G8570" s="247"/>
      <c r="H8570" s="248"/>
      <c r="I8570" s="248"/>
      <c r="J8570" s="247"/>
      <c r="K8570" s="249"/>
    </row>
    <row r="8571" spans="1:11" s="90" customFormat="1" ht="12.75" customHeight="1" x14ac:dyDescent="0.2">
      <c r="A8571" s="247"/>
      <c r="B8571" s="316"/>
      <c r="C8571" s="247"/>
      <c r="D8571" s="317"/>
      <c r="E8571" s="318"/>
      <c r="F8571" s="247"/>
      <c r="G8571" s="247"/>
      <c r="H8571" s="248"/>
      <c r="I8571" s="248"/>
      <c r="J8571" s="247"/>
      <c r="K8571" s="249"/>
    </row>
    <row r="8572" spans="1:11" s="90" customFormat="1" ht="12.75" customHeight="1" x14ac:dyDescent="0.2">
      <c r="A8572" s="247"/>
      <c r="B8572" s="316"/>
      <c r="C8572" s="247"/>
      <c r="D8572" s="317"/>
      <c r="E8572" s="318"/>
      <c r="F8572" s="247"/>
      <c r="G8572" s="247"/>
      <c r="H8572" s="248"/>
      <c r="I8572" s="248"/>
      <c r="J8572" s="247"/>
      <c r="K8572" s="249"/>
    </row>
    <row r="8573" spans="1:11" s="90" customFormat="1" ht="12.75" customHeight="1" x14ac:dyDescent="0.2">
      <c r="A8573" s="247"/>
      <c r="B8573" s="316"/>
      <c r="C8573" s="247"/>
      <c r="D8573" s="317"/>
      <c r="E8573" s="318"/>
      <c r="F8573" s="247"/>
      <c r="G8573" s="247"/>
      <c r="H8573" s="248"/>
      <c r="I8573" s="248"/>
      <c r="J8573" s="247"/>
      <c r="K8573" s="249"/>
    </row>
    <row r="8574" spans="1:11" s="90" customFormat="1" ht="12.75" customHeight="1" x14ac:dyDescent="0.2">
      <c r="A8574" s="247"/>
      <c r="B8574" s="316"/>
      <c r="C8574" s="247"/>
      <c r="D8574" s="317"/>
      <c r="E8574" s="318"/>
      <c r="F8574" s="247"/>
      <c r="G8574" s="247"/>
      <c r="H8574" s="248"/>
      <c r="I8574" s="248"/>
      <c r="J8574" s="247"/>
      <c r="K8574" s="249"/>
    </row>
    <row r="8575" spans="1:11" s="90" customFormat="1" ht="12.75" customHeight="1" x14ac:dyDescent="0.2">
      <c r="A8575" s="247"/>
      <c r="B8575" s="316"/>
      <c r="C8575" s="247"/>
      <c r="D8575" s="317"/>
      <c r="E8575" s="318"/>
      <c r="F8575" s="247"/>
      <c r="G8575" s="247"/>
      <c r="H8575" s="248"/>
      <c r="I8575" s="248"/>
      <c r="J8575" s="247"/>
      <c r="K8575" s="249"/>
    </row>
    <row r="8576" spans="1:11" s="90" customFormat="1" ht="12.75" customHeight="1" x14ac:dyDescent="0.2">
      <c r="A8576" s="247"/>
      <c r="B8576" s="316"/>
      <c r="C8576" s="247"/>
      <c r="D8576" s="317"/>
      <c r="E8576" s="318"/>
      <c r="F8576" s="247"/>
      <c r="G8576" s="247"/>
      <c r="H8576" s="248"/>
      <c r="I8576" s="248"/>
      <c r="J8576" s="247"/>
      <c r="K8576" s="249"/>
    </row>
    <row r="8577" spans="1:11" s="90" customFormat="1" ht="12.75" customHeight="1" x14ac:dyDescent="0.2">
      <c r="A8577" s="247"/>
      <c r="B8577" s="316"/>
      <c r="C8577" s="247"/>
      <c r="D8577" s="317"/>
      <c r="E8577" s="318"/>
      <c r="F8577" s="247"/>
      <c r="G8577" s="247"/>
      <c r="H8577" s="248"/>
      <c r="I8577" s="248"/>
      <c r="J8577" s="247"/>
      <c r="K8577" s="249"/>
    </row>
    <row r="8578" spans="1:11" s="90" customFormat="1" ht="12.75" customHeight="1" x14ac:dyDescent="0.2">
      <c r="A8578" s="247"/>
      <c r="B8578" s="316"/>
      <c r="C8578" s="247"/>
      <c r="D8578" s="317"/>
      <c r="E8578" s="318"/>
      <c r="F8578" s="247"/>
      <c r="G8578" s="247"/>
      <c r="H8578" s="248"/>
      <c r="I8578" s="248"/>
      <c r="J8578" s="247"/>
      <c r="K8578" s="249"/>
    </row>
    <row r="8579" spans="1:11" s="90" customFormat="1" ht="12.75" customHeight="1" x14ac:dyDescent="0.2">
      <c r="A8579" s="247"/>
      <c r="B8579" s="316"/>
      <c r="C8579" s="247"/>
      <c r="D8579" s="317"/>
      <c r="E8579" s="318"/>
      <c r="F8579" s="247"/>
      <c r="G8579" s="247"/>
      <c r="H8579" s="248"/>
      <c r="I8579" s="248"/>
      <c r="J8579" s="247"/>
      <c r="K8579" s="249"/>
    </row>
    <row r="8580" spans="1:11" s="90" customFormat="1" ht="12.75" customHeight="1" x14ac:dyDescent="0.2">
      <c r="A8580" s="247"/>
      <c r="B8580" s="316"/>
      <c r="C8580" s="247"/>
      <c r="D8580" s="317"/>
      <c r="E8580" s="318"/>
      <c r="F8580" s="247"/>
      <c r="G8580" s="247"/>
      <c r="H8580" s="248"/>
      <c r="I8580" s="248"/>
      <c r="J8580" s="247"/>
      <c r="K8580" s="249"/>
    </row>
    <row r="8581" spans="1:11" s="90" customFormat="1" ht="12.75" customHeight="1" x14ac:dyDescent="0.2">
      <c r="A8581" s="247"/>
      <c r="B8581" s="316"/>
      <c r="C8581" s="247"/>
      <c r="D8581" s="317"/>
      <c r="E8581" s="318"/>
      <c r="F8581" s="247"/>
      <c r="G8581" s="247"/>
      <c r="H8581" s="248"/>
      <c r="I8581" s="248"/>
      <c r="J8581" s="247"/>
      <c r="K8581" s="249"/>
    </row>
    <row r="8582" spans="1:11" s="90" customFormat="1" ht="12.75" customHeight="1" x14ac:dyDescent="0.2">
      <c r="A8582" s="247"/>
      <c r="B8582" s="316"/>
      <c r="C8582" s="247"/>
      <c r="D8582" s="317"/>
      <c r="E8582" s="318"/>
      <c r="F8582" s="247"/>
      <c r="G8582" s="247"/>
      <c r="H8582" s="248"/>
      <c r="I8582" s="248"/>
      <c r="J8582" s="247"/>
      <c r="K8582" s="249"/>
    </row>
    <row r="8583" spans="1:11" s="90" customFormat="1" ht="12.75" customHeight="1" x14ac:dyDescent="0.2">
      <c r="A8583" s="247"/>
      <c r="B8583" s="316"/>
      <c r="C8583" s="247"/>
      <c r="D8583" s="317"/>
      <c r="E8583" s="318"/>
      <c r="F8583" s="247"/>
      <c r="G8583" s="247"/>
      <c r="H8583" s="248"/>
      <c r="I8583" s="248"/>
      <c r="J8583" s="247"/>
      <c r="K8583" s="249"/>
    </row>
    <row r="8584" spans="1:11" s="90" customFormat="1" ht="12.75" customHeight="1" x14ac:dyDescent="0.2">
      <c r="A8584" s="247"/>
      <c r="B8584" s="316"/>
      <c r="C8584" s="247"/>
      <c r="D8584" s="317"/>
      <c r="E8584" s="318"/>
      <c r="F8584" s="247"/>
      <c r="G8584" s="247"/>
      <c r="H8584" s="248"/>
      <c r="I8584" s="248"/>
      <c r="J8584" s="247"/>
      <c r="K8584" s="249"/>
    </row>
    <row r="8585" spans="1:11" s="90" customFormat="1" ht="12.75" customHeight="1" x14ac:dyDescent="0.2">
      <c r="A8585" s="247"/>
      <c r="B8585" s="316"/>
      <c r="C8585" s="247"/>
      <c r="D8585" s="317"/>
      <c r="E8585" s="318"/>
      <c r="F8585" s="247"/>
      <c r="G8585" s="247"/>
      <c r="H8585" s="248"/>
      <c r="I8585" s="248"/>
      <c r="J8585" s="247"/>
      <c r="K8585" s="249"/>
    </row>
    <row r="8586" spans="1:11" s="90" customFormat="1" ht="12.75" customHeight="1" x14ac:dyDescent="0.2">
      <c r="A8586" s="247"/>
      <c r="B8586" s="316"/>
      <c r="C8586" s="247"/>
      <c r="D8586" s="317"/>
      <c r="E8586" s="318"/>
      <c r="F8586" s="247"/>
      <c r="G8586" s="247"/>
      <c r="H8586" s="248"/>
      <c r="I8586" s="248"/>
      <c r="J8586" s="247"/>
      <c r="K8586" s="249"/>
    </row>
    <row r="8587" spans="1:11" s="90" customFormat="1" ht="12.75" customHeight="1" x14ac:dyDescent="0.2">
      <c r="A8587" s="247"/>
      <c r="B8587" s="316"/>
      <c r="C8587" s="247"/>
      <c r="D8587" s="317"/>
      <c r="E8587" s="318"/>
      <c r="F8587" s="247"/>
      <c r="G8587" s="247"/>
      <c r="H8587" s="248"/>
      <c r="I8587" s="248"/>
      <c r="J8587" s="247"/>
      <c r="K8587" s="249"/>
    </row>
    <row r="8588" spans="1:11" s="90" customFormat="1" ht="12.75" customHeight="1" x14ac:dyDescent="0.2">
      <c r="A8588" s="247"/>
      <c r="B8588" s="316"/>
      <c r="C8588" s="247"/>
      <c r="D8588" s="317"/>
      <c r="E8588" s="318"/>
      <c r="F8588" s="247"/>
      <c r="G8588" s="247"/>
      <c r="H8588" s="248"/>
      <c r="I8588" s="248"/>
      <c r="J8588" s="247"/>
      <c r="K8588" s="249"/>
    </row>
    <row r="8589" spans="1:11" s="90" customFormat="1" ht="12.75" customHeight="1" x14ac:dyDescent="0.2">
      <c r="A8589" s="247"/>
      <c r="B8589" s="316"/>
      <c r="C8589" s="247"/>
      <c r="D8589" s="317"/>
      <c r="E8589" s="318"/>
      <c r="F8589" s="247"/>
      <c r="G8589" s="247"/>
      <c r="H8589" s="248"/>
      <c r="I8589" s="248"/>
      <c r="J8589" s="247"/>
      <c r="K8589" s="249"/>
    </row>
    <row r="8590" spans="1:11" s="90" customFormat="1" ht="12.75" customHeight="1" x14ac:dyDescent="0.2">
      <c r="A8590" s="247"/>
      <c r="B8590" s="316"/>
      <c r="C8590" s="247"/>
      <c r="D8590" s="317"/>
      <c r="E8590" s="318"/>
      <c r="F8590" s="247"/>
      <c r="G8590" s="247"/>
      <c r="H8590" s="248"/>
      <c r="I8590" s="248"/>
      <c r="J8590" s="247"/>
      <c r="K8590" s="249"/>
    </row>
    <row r="8591" spans="1:11" s="90" customFormat="1" ht="12.75" customHeight="1" x14ac:dyDescent="0.2">
      <c r="A8591" s="247"/>
      <c r="B8591" s="316"/>
      <c r="C8591" s="247"/>
      <c r="D8591" s="317"/>
      <c r="E8591" s="318"/>
      <c r="F8591" s="247"/>
      <c r="G8591" s="247"/>
      <c r="H8591" s="248"/>
      <c r="I8591" s="248"/>
      <c r="J8591" s="247"/>
      <c r="K8591" s="249"/>
    </row>
    <row r="8592" spans="1:11" s="90" customFormat="1" ht="12.75" customHeight="1" x14ac:dyDescent="0.2">
      <c r="A8592" s="247"/>
      <c r="B8592" s="316"/>
      <c r="C8592" s="247"/>
      <c r="D8592" s="317"/>
      <c r="E8592" s="318"/>
      <c r="F8592" s="247"/>
      <c r="G8592" s="247"/>
      <c r="H8592" s="248"/>
      <c r="I8592" s="248"/>
      <c r="J8592" s="247"/>
      <c r="K8592" s="249"/>
    </row>
    <row r="8593" spans="1:11" s="90" customFormat="1" ht="12.75" customHeight="1" x14ac:dyDescent="0.2">
      <c r="A8593" s="247"/>
      <c r="B8593" s="316"/>
      <c r="C8593" s="247"/>
      <c r="D8593" s="317"/>
      <c r="E8593" s="318"/>
      <c r="F8593" s="247"/>
      <c r="G8593" s="247"/>
      <c r="H8593" s="248"/>
      <c r="I8593" s="248"/>
      <c r="J8593" s="247"/>
      <c r="K8593" s="249"/>
    </row>
    <row r="8594" spans="1:11" s="90" customFormat="1" ht="12.75" customHeight="1" x14ac:dyDescent="0.2">
      <c r="A8594" s="247"/>
      <c r="B8594" s="316"/>
      <c r="C8594" s="247"/>
      <c r="D8594" s="317"/>
      <c r="E8594" s="318"/>
      <c r="F8594" s="247"/>
      <c r="G8594" s="247"/>
      <c r="H8594" s="248"/>
      <c r="I8594" s="248"/>
      <c r="J8594" s="247"/>
      <c r="K8594" s="249"/>
    </row>
    <row r="8595" spans="1:11" s="90" customFormat="1" ht="12.75" customHeight="1" x14ac:dyDescent="0.2">
      <c r="A8595" s="247"/>
      <c r="B8595" s="316"/>
      <c r="C8595" s="247"/>
      <c r="D8595" s="317"/>
      <c r="E8595" s="318"/>
      <c r="F8595" s="247"/>
      <c r="G8595" s="247"/>
      <c r="H8595" s="248"/>
      <c r="I8595" s="248"/>
      <c r="J8595" s="247"/>
      <c r="K8595" s="249"/>
    </row>
    <row r="8596" spans="1:11" s="90" customFormat="1" ht="12.75" customHeight="1" x14ac:dyDescent="0.2">
      <c r="A8596" s="247"/>
      <c r="B8596" s="316"/>
      <c r="C8596" s="247"/>
      <c r="D8596" s="317"/>
      <c r="E8596" s="318"/>
      <c r="F8596" s="247"/>
      <c r="G8596" s="247"/>
      <c r="H8596" s="248"/>
      <c r="I8596" s="248"/>
      <c r="J8596" s="247"/>
      <c r="K8596" s="249"/>
    </row>
    <row r="8597" spans="1:11" s="90" customFormat="1" ht="12.75" customHeight="1" x14ac:dyDescent="0.2">
      <c r="A8597" s="247"/>
      <c r="B8597" s="316"/>
      <c r="C8597" s="247"/>
      <c r="D8597" s="317"/>
      <c r="E8597" s="318"/>
      <c r="F8597" s="247"/>
      <c r="G8597" s="247"/>
      <c r="H8597" s="248"/>
      <c r="I8597" s="248"/>
      <c r="J8597" s="247"/>
      <c r="K8597" s="249"/>
    </row>
    <row r="8598" spans="1:11" s="90" customFormat="1" ht="12.75" customHeight="1" x14ac:dyDescent="0.2">
      <c r="A8598" s="247"/>
      <c r="B8598" s="316"/>
      <c r="C8598" s="247"/>
      <c r="D8598" s="317"/>
      <c r="E8598" s="318"/>
      <c r="F8598" s="247"/>
      <c r="G8598" s="247"/>
      <c r="H8598" s="248"/>
      <c r="I8598" s="248"/>
      <c r="J8598" s="247"/>
      <c r="K8598" s="249"/>
    </row>
    <row r="8599" spans="1:11" s="90" customFormat="1" ht="12.75" customHeight="1" x14ac:dyDescent="0.2">
      <c r="A8599" s="247"/>
      <c r="B8599" s="316"/>
      <c r="C8599" s="247"/>
      <c r="D8599" s="317"/>
      <c r="E8599" s="318"/>
      <c r="F8599" s="247"/>
      <c r="G8599" s="247"/>
      <c r="H8599" s="248"/>
      <c r="I8599" s="248"/>
      <c r="J8599" s="247"/>
      <c r="K8599" s="249"/>
    </row>
    <row r="8600" spans="1:11" s="90" customFormat="1" ht="12.75" customHeight="1" x14ac:dyDescent="0.2">
      <c r="A8600" s="247"/>
      <c r="B8600" s="316"/>
      <c r="C8600" s="247"/>
      <c r="D8600" s="317"/>
      <c r="E8600" s="318"/>
      <c r="F8600" s="247"/>
      <c r="G8600" s="247"/>
      <c r="H8600" s="248"/>
      <c r="I8600" s="248"/>
      <c r="J8600" s="247"/>
      <c r="K8600" s="249"/>
    </row>
    <row r="8601" spans="1:11" s="90" customFormat="1" ht="12.75" customHeight="1" x14ac:dyDescent="0.2">
      <c r="A8601" s="247"/>
      <c r="B8601" s="316"/>
      <c r="C8601" s="247"/>
      <c r="D8601" s="317"/>
      <c r="E8601" s="318"/>
      <c r="F8601" s="247"/>
      <c r="G8601" s="247"/>
      <c r="H8601" s="248"/>
      <c r="I8601" s="248"/>
      <c r="J8601" s="247"/>
      <c r="K8601" s="249"/>
    </row>
    <row r="8602" spans="1:11" s="90" customFormat="1" ht="12.75" customHeight="1" x14ac:dyDescent="0.2">
      <c r="A8602" s="247"/>
      <c r="B8602" s="316"/>
      <c r="C8602" s="247"/>
      <c r="D8602" s="317"/>
      <c r="E8602" s="318"/>
      <c r="F8602" s="247"/>
      <c r="G8602" s="247"/>
      <c r="H8602" s="248"/>
      <c r="I8602" s="248"/>
      <c r="J8602" s="247"/>
      <c r="K8602" s="249"/>
    </row>
    <row r="8603" spans="1:11" s="90" customFormat="1" ht="12.75" customHeight="1" x14ac:dyDescent="0.2">
      <c r="A8603" s="247"/>
      <c r="B8603" s="316"/>
      <c r="C8603" s="247"/>
      <c r="D8603" s="317"/>
      <c r="E8603" s="318"/>
      <c r="F8603" s="247"/>
      <c r="G8603" s="247"/>
      <c r="H8603" s="248"/>
      <c r="I8603" s="248"/>
      <c r="J8603" s="247"/>
      <c r="K8603" s="249"/>
    </row>
    <row r="8604" spans="1:11" s="90" customFormat="1" ht="12.75" customHeight="1" x14ac:dyDescent="0.2">
      <c r="A8604" s="247"/>
      <c r="B8604" s="316"/>
      <c r="C8604" s="247"/>
      <c r="D8604" s="317"/>
      <c r="E8604" s="318"/>
      <c r="F8604" s="247"/>
      <c r="G8604" s="247"/>
      <c r="H8604" s="248"/>
      <c r="I8604" s="248"/>
      <c r="J8604" s="247"/>
      <c r="K8604" s="249"/>
    </row>
    <row r="8605" spans="1:11" s="90" customFormat="1" ht="12.75" customHeight="1" x14ac:dyDescent="0.2">
      <c r="A8605" s="247"/>
      <c r="B8605" s="316"/>
      <c r="C8605" s="247"/>
      <c r="D8605" s="317"/>
      <c r="E8605" s="318"/>
      <c r="F8605" s="247"/>
      <c r="G8605" s="247"/>
      <c r="H8605" s="248"/>
      <c r="I8605" s="248"/>
      <c r="J8605" s="247"/>
      <c r="K8605" s="249"/>
    </row>
    <row r="8606" spans="1:11" s="90" customFormat="1" ht="12.75" customHeight="1" x14ac:dyDescent="0.2">
      <c r="A8606" s="247"/>
      <c r="B8606" s="316"/>
      <c r="C8606" s="247"/>
      <c r="D8606" s="317"/>
      <c r="E8606" s="318"/>
      <c r="F8606" s="247"/>
      <c r="G8606" s="247"/>
      <c r="H8606" s="248"/>
      <c r="I8606" s="248"/>
      <c r="J8606" s="247"/>
      <c r="K8606" s="249"/>
    </row>
    <row r="8607" spans="1:11" s="90" customFormat="1" ht="12.75" customHeight="1" x14ac:dyDescent="0.2">
      <c r="A8607" s="247"/>
      <c r="B8607" s="316"/>
      <c r="C8607" s="247"/>
      <c r="D8607" s="317"/>
      <c r="E8607" s="318"/>
      <c r="F8607" s="247"/>
      <c r="G8607" s="247"/>
      <c r="H8607" s="248"/>
      <c r="I8607" s="248"/>
      <c r="J8607" s="247"/>
      <c r="K8607" s="249"/>
    </row>
    <row r="8608" spans="1:11" s="90" customFormat="1" ht="12.75" customHeight="1" x14ac:dyDescent="0.2">
      <c r="A8608" s="247"/>
      <c r="B8608" s="316"/>
      <c r="C8608" s="247"/>
      <c r="D8608" s="317"/>
      <c r="E8608" s="318"/>
      <c r="F8608" s="247"/>
      <c r="G8608" s="247"/>
      <c r="H8608" s="248"/>
      <c r="I8608" s="248"/>
      <c r="J8608" s="247"/>
      <c r="K8608" s="249"/>
    </row>
    <row r="8609" spans="1:11" s="90" customFormat="1" ht="12.75" customHeight="1" x14ac:dyDescent="0.2">
      <c r="A8609" s="247"/>
      <c r="B8609" s="316"/>
      <c r="C8609" s="247"/>
      <c r="D8609" s="317"/>
      <c r="E8609" s="318"/>
      <c r="F8609" s="247"/>
      <c r="G8609" s="247"/>
      <c r="H8609" s="248"/>
      <c r="I8609" s="248"/>
      <c r="J8609" s="247"/>
      <c r="K8609" s="249"/>
    </row>
    <row r="8610" spans="1:11" s="90" customFormat="1" ht="12.75" customHeight="1" x14ac:dyDescent="0.2">
      <c r="A8610" s="247"/>
      <c r="B8610" s="316"/>
      <c r="C8610" s="247"/>
      <c r="D8610" s="317"/>
      <c r="E8610" s="318"/>
      <c r="F8610" s="247"/>
      <c r="G8610" s="247"/>
      <c r="H8610" s="248"/>
      <c r="I8610" s="248"/>
      <c r="J8610" s="247"/>
      <c r="K8610" s="249"/>
    </row>
    <row r="8611" spans="1:11" s="90" customFormat="1" ht="12.75" customHeight="1" x14ac:dyDescent="0.2">
      <c r="A8611" s="247"/>
      <c r="B8611" s="316"/>
      <c r="C8611" s="247"/>
      <c r="D8611" s="317"/>
      <c r="E8611" s="318"/>
      <c r="F8611" s="247"/>
      <c r="G8611" s="247"/>
      <c r="H8611" s="248"/>
      <c r="I8611" s="248"/>
      <c r="J8611" s="247"/>
      <c r="K8611" s="249"/>
    </row>
    <row r="8612" spans="1:11" s="90" customFormat="1" ht="12.75" customHeight="1" x14ac:dyDescent="0.2">
      <c r="A8612" s="247"/>
      <c r="B8612" s="316"/>
      <c r="C8612" s="247"/>
      <c r="D8612" s="317"/>
      <c r="E8612" s="318"/>
      <c r="F8612" s="247"/>
      <c r="G8612" s="247"/>
      <c r="H8612" s="248"/>
      <c r="I8612" s="248"/>
      <c r="J8612" s="247"/>
      <c r="K8612" s="249"/>
    </row>
    <row r="8613" spans="1:11" s="90" customFormat="1" ht="12.75" customHeight="1" x14ac:dyDescent="0.2">
      <c r="A8613" s="247"/>
      <c r="B8613" s="316"/>
      <c r="C8613" s="247"/>
      <c r="D8613" s="317"/>
      <c r="E8613" s="318"/>
      <c r="F8613" s="247"/>
      <c r="G8613" s="247"/>
      <c r="H8613" s="248"/>
      <c r="I8613" s="248"/>
      <c r="J8613" s="247"/>
      <c r="K8613" s="249"/>
    </row>
    <row r="8614" spans="1:11" s="90" customFormat="1" ht="12.75" customHeight="1" x14ac:dyDescent="0.2">
      <c r="A8614" s="247"/>
      <c r="B8614" s="316"/>
      <c r="C8614" s="247"/>
      <c r="D8614" s="317"/>
      <c r="E8614" s="318"/>
      <c r="F8614" s="247"/>
      <c r="G8614" s="247"/>
      <c r="H8614" s="248"/>
      <c r="I8614" s="248"/>
      <c r="J8614" s="247"/>
      <c r="K8614" s="249"/>
    </row>
    <row r="8615" spans="1:11" s="90" customFormat="1" ht="12.75" customHeight="1" x14ac:dyDescent="0.2">
      <c r="A8615" s="247"/>
      <c r="B8615" s="316"/>
      <c r="C8615" s="247"/>
      <c r="D8615" s="317"/>
      <c r="E8615" s="318"/>
      <c r="F8615" s="247"/>
      <c r="G8615" s="247"/>
      <c r="H8615" s="248"/>
      <c r="I8615" s="248"/>
      <c r="J8615" s="247"/>
      <c r="K8615" s="249"/>
    </row>
    <row r="8616" spans="1:11" s="90" customFormat="1" ht="12.75" customHeight="1" x14ac:dyDescent="0.2">
      <c r="A8616" s="247"/>
      <c r="B8616" s="316"/>
      <c r="C8616" s="247"/>
      <c r="D8616" s="317"/>
      <c r="E8616" s="318"/>
      <c r="F8616" s="247"/>
      <c r="G8616" s="247"/>
      <c r="H8616" s="248"/>
      <c r="I8616" s="248"/>
      <c r="J8616" s="247"/>
      <c r="K8616" s="249"/>
    </row>
    <row r="8617" spans="1:11" s="90" customFormat="1" ht="12.75" customHeight="1" x14ac:dyDescent="0.2">
      <c r="A8617" s="247"/>
      <c r="B8617" s="316"/>
      <c r="C8617" s="247"/>
      <c r="D8617" s="317"/>
      <c r="E8617" s="318"/>
      <c r="F8617" s="247"/>
      <c r="G8617" s="247"/>
      <c r="H8617" s="248"/>
      <c r="I8617" s="248"/>
      <c r="J8617" s="247"/>
      <c r="K8617" s="249"/>
    </row>
    <row r="8618" spans="1:11" s="90" customFormat="1" ht="12.75" customHeight="1" x14ac:dyDescent="0.2">
      <c r="A8618" s="247"/>
      <c r="B8618" s="316"/>
      <c r="C8618" s="247"/>
      <c r="D8618" s="317"/>
      <c r="E8618" s="318"/>
      <c r="F8618" s="247"/>
      <c r="G8618" s="247"/>
      <c r="H8618" s="248"/>
      <c r="I8618" s="248"/>
      <c r="J8618" s="247"/>
      <c r="K8618" s="249"/>
    </row>
    <row r="8619" spans="1:11" s="90" customFormat="1" ht="12.75" customHeight="1" x14ac:dyDescent="0.2">
      <c r="A8619" s="247"/>
      <c r="B8619" s="316"/>
      <c r="C8619" s="247"/>
      <c r="D8619" s="317"/>
      <c r="E8619" s="318"/>
      <c r="F8619" s="247"/>
      <c r="G8619" s="247"/>
      <c r="H8619" s="248"/>
      <c r="I8619" s="248"/>
      <c r="J8619" s="247"/>
      <c r="K8619" s="249"/>
    </row>
    <row r="8620" spans="1:11" s="90" customFormat="1" ht="12.75" customHeight="1" x14ac:dyDescent="0.2">
      <c r="A8620" s="247"/>
      <c r="B8620" s="316"/>
      <c r="C8620" s="247"/>
      <c r="D8620" s="317"/>
      <c r="E8620" s="318"/>
      <c r="F8620" s="247"/>
      <c r="G8620" s="247"/>
      <c r="H8620" s="248"/>
      <c r="I8620" s="248"/>
      <c r="J8620" s="247"/>
      <c r="K8620" s="249"/>
    </row>
    <row r="8621" spans="1:11" s="90" customFormat="1" ht="12.75" customHeight="1" x14ac:dyDescent="0.2">
      <c r="A8621" s="247"/>
      <c r="B8621" s="316"/>
      <c r="C8621" s="247"/>
      <c r="D8621" s="317"/>
      <c r="E8621" s="318"/>
      <c r="F8621" s="247"/>
      <c r="G8621" s="247"/>
      <c r="H8621" s="248"/>
      <c r="I8621" s="248"/>
      <c r="J8621" s="247"/>
      <c r="K8621" s="249"/>
    </row>
    <row r="8622" spans="1:11" s="90" customFormat="1" ht="12.75" customHeight="1" x14ac:dyDescent="0.2">
      <c r="A8622" s="247"/>
      <c r="B8622" s="316"/>
      <c r="C8622" s="247"/>
      <c r="D8622" s="317"/>
      <c r="E8622" s="318"/>
      <c r="F8622" s="247"/>
      <c r="G8622" s="247"/>
      <c r="H8622" s="248"/>
      <c r="I8622" s="248"/>
      <c r="J8622" s="247"/>
      <c r="K8622" s="249"/>
    </row>
    <row r="8623" spans="1:11" s="90" customFormat="1" ht="12.75" customHeight="1" x14ac:dyDescent="0.2">
      <c r="A8623" s="247"/>
      <c r="B8623" s="316"/>
      <c r="C8623" s="247"/>
      <c r="D8623" s="317"/>
      <c r="E8623" s="318"/>
      <c r="F8623" s="247"/>
      <c r="G8623" s="247"/>
      <c r="H8623" s="248"/>
      <c r="I8623" s="248"/>
      <c r="J8623" s="247"/>
      <c r="K8623" s="249"/>
    </row>
    <row r="8624" spans="1:11" s="90" customFormat="1" ht="12.75" customHeight="1" x14ac:dyDescent="0.2">
      <c r="A8624" s="247"/>
      <c r="B8624" s="316"/>
      <c r="C8624" s="247"/>
      <c r="D8624" s="317"/>
      <c r="E8624" s="318"/>
      <c r="F8624" s="247"/>
      <c r="G8624" s="247"/>
      <c r="H8624" s="248"/>
      <c r="I8624" s="248"/>
      <c r="J8624" s="247"/>
      <c r="K8624" s="249"/>
    </row>
    <row r="8625" spans="1:11" s="90" customFormat="1" ht="12.75" customHeight="1" x14ac:dyDescent="0.2">
      <c r="A8625" s="247"/>
      <c r="B8625" s="316"/>
      <c r="C8625" s="247"/>
      <c r="D8625" s="317"/>
      <c r="E8625" s="318"/>
      <c r="F8625" s="247"/>
      <c r="G8625" s="247"/>
      <c r="H8625" s="248"/>
      <c r="I8625" s="248"/>
      <c r="J8625" s="247"/>
      <c r="K8625" s="249"/>
    </row>
    <row r="8626" spans="1:11" s="90" customFormat="1" ht="12.75" customHeight="1" x14ac:dyDescent="0.2">
      <c r="A8626" s="247"/>
      <c r="B8626" s="316"/>
      <c r="C8626" s="247"/>
      <c r="D8626" s="317"/>
      <c r="E8626" s="318"/>
      <c r="F8626" s="247"/>
      <c r="G8626" s="247"/>
      <c r="H8626" s="248"/>
      <c r="I8626" s="248"/>
      <c r="J8626" s="247"/>
      <c r="K8626" s="249"/>
    </row>
    <row r="8627" spans="1:11" s="90" customFormat="1" ht="12.75" customHeight="1" x14ac:dyDescent="0.2">
      <c r="A8627" s="247"/>
      <c r="B8627" s="316"/>
      <c r="C8627" s="247"/>
      <c r="D8627" s="317"/>
      <c r="E8627" s="318"/>
      <c r="F8627" s="247"/>
      <c r="G8627" s="247"/>
      <c r="H8627" s="248"/>
      <c r="I8627" s="248"/>
      <c r="J8627" s="247"/>
      <c r="K8627" s="249"/>
    </row>
    <row r="8628" spans="1:11" s="90" customFormat="1" ht="12.75" customHeight="1" x14ac:dyDescent="0.2">
      <c r="A8628" s="247"/>
      <c r="B8628" s="316"/>
      <c r="C8628" s="247"/>
      <c r="D8628" s="317"/>
      <c r="E8628" s="318"/>
      <c r="F8628" s="247"/>
      <c r="G8628" s="247"/>
      <c r="H8628" s="248"/>
      <c r="I8628" s="248"/>
      <c r="J8628" s="247"/>
      <c r="K8628" s="249"/>
    </row>
    <row r="8629" spans="1:11" s="90" customFormat="1" ht="12.75" customHeight="1" x14ac:dyDescent="0.2">
      <c r="A8629" s="247"/>
      <c r="B8629" s="316"/>
      <c r="C8629" s="247"/>
      <c r="D8629" s="317"/>
      <c r="E8629" s="318"/>
      <c r="F8629" s="247"/>
      <c r="G8629" s="247"/>
      <c r="H8629" s="248"/>
      <c r="I8629" s="248"/>
      <c r="J8629" s="247"/>
      <c r="K8629" s="249"/>
    </row>
    <row r="8630" spans="1:11" s="90" customFormat="1" ht="12.75" customHeight="1" x14ac:dyDescent="0.2">
      <c r="A8630" s="247"/>
      <c r="B8630" s="316"/>
      <c r="C8630" s="247"/>
      <c r="D8630" s="317"/>
      <c r="E8630" s="318"/>
      <c r="F8630" s="247"/>
      <c r="G8630" s="247"/>
      <c r="H8630" s="248"/>
      <c r="I8630" s="248"/>
      <c r="J8630" s="247"/>
      <c r="K8630" s="249"/>
    </row>
    <row r="8631" spans="1:11" s="90" customFormat="1" ht="12.75" customHeight="1" x14ac:dyDescent="0.2">
      <c r="A8631" s="247"/>
      <c r="B8631" s="316"/>
      <c r="C8631" s="247"/>
      <c r="D8631" s="317"/>
      <c r="E8631" s="318"/>
      <c r="F8631" s="247"/>
      <c r="G8631" s="247"/>
      <c r="H8631" s="248"/>
      <c r="I8631" s="248"/>
      <c r="J8631" s="247"/>
      <c r="K8631" s="249"/>
    </row>
    <row r="8632" spans="1:11" s="90" customFormat="1" ht="12.75" customHeight="1" x14ac:dyDescent="0.2">
      <c r="A8632" s="247"/>
      <c r="B8632" s="316"/>
      <c r="C8632" s="247"/>
      <c r="D8632" s="317"/>
      <c r="E8632" s="318"/>
      <c r="F8632" s="247"/>
      <c r="G8632" s="247"/>
      <c r="H8632" s="248"/>
      <c r="I8632" s="248"/>
      <c r="J8632" s="247"/>
      <c r="K8632" s="249"/>
    </row>
    <row r="8633" spans="1:11" s="90" customFormat="1" ht="12.75" customHeight="1" x14ac:dyDescent="0.2">
      <c r="A8633" s="247"/>
      <c r="B8633" s="316"/>
      <c r="C8633" s="247"/>
      <c r="D8633" s="317"/>
      <c r="E8633" s="318"/>
      <c r="F8633" s="247"/>
      <c r="G8633" s="247"/>
      <c r="H8633" s="248"/>
      <c r="I8633" s="248"/>
      <c r="J8633" s="247"/>
      <c r="K8633" s="249"/>
    </row>
    <row r="8634" spans="1:11" s="90" customFormat="1" ht="12.75" customHeight="1" x14ac:dyDescent="0.2">
      <c r="A8634" s="247"/>
      <c r="B8634" s="316"/>
      <c r="C8634" s="247"/>
      <c r="D8634" s="317"/>
      <c r="E8634" s="318"/>
      <c r="F8634" s="247"/>
      <c r="G8634" s="247"/>
      <c r="H8634" s="248"/>
      <c r="I8634" s="248"/>
      <c r="J8634" s="247"/>
      <c r="K8634" s="249"/>
    </row>
    <row r="8635" spans="1:11" s="90" customFormat="1" ht="12.75" customHeight="1" x14ac:dyDescent="0.2">
      <c r="A8635" s="247"/>
      <c r="B8635" s="316"/>
      <c r="C8635" s="247"/>
      <c r="D8635" s="317"/>
      <c r="E8635" s="318"/>
      <c r="F8635" s="247"/>
      <c r="G8635" s="247"/>
      <c r="H8635" s="248"/>
      <c r="I8635" s="248"/>
      <c r="J8635" s="247"/>
      <c r="K8635" s="249"/>
    </row>
    <row r="8636" spans="1:11" s="90" customFormat="1" ht="12.75" customHeight="1" x14ac:dyDescent="0.2">
      <c r="A8636" s="247"/>
      <c r="B8636" s="316"/>
      <c r="C8636" s="247"/>
      <c r="D8636" s="317"/>
      <c r="E8636" s="318"/>
      <c r="F8636" s="247"/>
      <c r="G8636" s="247"/>
      <c r="H8636" s="248"/>
      <c r="I8636" s="248"/>
      <c r="J8636" s="247"/>
      <c r="K8636" s="249"/>
    </row>
    <row r="8637" spans="1:11" s="90" customFormat="1" ht="12.75" customHeight="1" x14ac:dyDescent="0.2">
      <c r="A8637" s="247"/>
      <c r="B8637" s="316"/>
      <c r="C8637" s="247"/>
      <c r="D8637" s="317"/>
      <c r="E8637" s="318"/>
      <c r="F8637" s="247"/>
      <c r="G8637" s="247"/>
      <c r="H8637" s="248"/>
      <c r="I8637" s="248"/>
      <c r="J8637" s="247"/>
      <c r="K8637" s="249"/>
    </row>
    <row r="8638" spans="1:11" s="90" customFormat="1" ht="12.75" customHeight="1" x14ac:dyDescent="0.2">
      <c r="A8638" s="247"/>
      <c r="B8638" s="316"/>
      <c r="C8638" s="247"/>
      <c r="D8638" s="317"/>
      <c r="E8638" s="318"/>
      <c r="F8638" s="247"/>
      <c r="G8638" s="247"/>
      <c r="H8638" s="248"/>
      <c r="I8638" s="248"/>
      <c r="J8638" s="247"/>
      <c r="K8638" s="249"/>
    </row>
    <row r="8639" spans="1:11" s="90" customFormat="1" ht="12.75" customHeight="1" x14ac:dyDescent="0.2">
      <c r="A8639" s="247"/>
      <c r="B8639" s="316"/>
      <c r="C8639" s="247"/>
      <c r="D8639" s="317"/>
      <c r="E8639" s="318"/>
      <c r="F8639" s="247"/>
      <c r="G8639" s="247"/>
      <c r="H8639" s="248"/>
      <c r="I8639" s="248"/>
      <c r="J8639" s="247"/>
      <c r="K8639" s="249"/>
    </row>
    <row r="8640" spans="1:11" s="90" customFormat="1" ht="12.75" customHeight="1" x14ac:dyDescent="0.2">
      <c r="A8640" s="247"/>
      <c r="B8640" s="316"/>
      <c r="C8640" s="247"/>
      <c r="D8640" s="317"/>
      <c r="E8640" s="318"/>
      <c r="F8640" s="247"/>
      <c r="G8640" s="247"/>
      <c r="H8640" s="248"/>
      <c r="I8640" s="248"/>
      <c r="J8640" s="247"/>
      <c r="K8640" s="249"/>
    </row>
    <row r="8641" spans="1:11" s="90" customFormat="1" ht="12.75" customHeight="1" x14ac:dyDescent="0.2">
      <c r="A8641" s="247"/>
      <c r="B8641" s="316"/>
      <c r="C8641" s="247"/>
      <c r="D8641" s="317"/>
      <c r="E8641" s="318"/>
      <c r="F8641" s="247"/>
      <c r="G8641" s="247"/>
      <c r="H8641" s="248"/>
      <c r="I8641" s="248"/>
      <c r="J8641" s="247"/>
      <c r="K8641" s="249"/>
    </row>
    <row r="8642" spans="1:11" s="90" customFormat="1" ht="12.75" customHeight="1" x14ac:dyDescent="0.2">
      <c r="A8642" s="247"/>
      <c r="B8642" s="316"/>
      <c r="C8642" s="247"/>
      <c r="D8642" s="317"/>
      <c r="E8642" s="318"/>
      <c r="F8642" s="247"/>
      <c r="G8642" s="247"/>
      <c r="H8642" s="248"/>
      <c r="I8642" s="248"/>
      <c r="J8642" s="247"/>
      <c r="K8642" s="249"/>
    </row>
    <row r="8643" spans="1:11" s="90" customFormat="1" ht="12.75" customHeight="1" x14ac:dyDescent="0.2">
      <c r="A8643" s="247"/>
      <c r="B8643" s="316"/>
      <c r="C8643" s="247"/>
      <c r="D8643" s="317"/>
      <c r="E8643" s="318"/>
      <c r="F8643" s="247"/>
      <c r="G8643" s="247"/>
      <c r="H8643" s="248"/>
      <c r="I8643" s="248"/>
      <c r="J8643" s="247"/>
      <c r="K8643" s="249"/>
    </row>
    <row r="8644" spans="1:11" s="90" customFormat="1" ht="12.75" customHeight="1" x14ac:dyDescent="0.2">
      <c r="A8644" s="247"/>
      <c r="B8644" s="316"/>
      <c r="C8644" s="247"/>
      <c r="D8644" s="317"/>
      <c r="E8644" s="318"/>
      <c r="F8644" s="247"/>
      <c r="G8644" s="247"/>
      <c r="H8644" s="248"/>
      <c r="I8644" s="248"/>
      <c r="J8644" s="247"/>
      <c r="K8644" s="249"/>
    </row>
    <row r="8645" spans="1:11" s="90" customFormat="1" ht="12.75" customHeight="1" x14ac:dyDescent="0.2">
      <c r="A8645" s="247"/>
      <c r="B8645" s="316"/>
      <c r="C8645" s="247"/>
      <c r="D8645" s="317"/>
      <c r="E8645" s="318"/>
      <c r="F8645" s="247"/>
      <c r="G8645" s="247"/>
      <c r="H8645" s="248"/>
      <c r="I8645" s="248"/>
      <c r="J8645" s="247"/>
      <c r="K8645" s="249"/>
    </row>
    <row r="8646" spans="1:11" s="90" customFormat="1" ht="12.75" customHeight="1" x14ac:dyDescent="0.2">
      <c r="A8646" s="247"/>
      <c r="B8646" s="316"/>
      <c r="C8646" s="247"/>
      <c r="D8646" s="317"/>
      <c r="E8646" s="318"/>
      <c r="F8646" s="247"/>
      <c r="G8646" s="247"/>
      <c r="H8646" s="248"/>
      <c r="I8646" s="248"/>
      <c r="J8646" s="247"/>
      <c r="K8646" s="249"/>
    </row>
    <row r="8647" spans="1:11" s="90" customFormat="1" ht="12.75" customHeight="1" x14ac:dyDescent="0.2">
      <c r="A8647" s="247"/>
      <c r="B8647" s="316"/>
      <c r="C8647" s="247"/>
      <c r="D8647" s="317"/>
      <c r="E8647" s="318"/>
      <c r="F8647" s="247"/>
      <c r="G8647" s="247"/>
      <c r="H8647" s="248"/>
      <c r="I8647" s="248"/>
      <c r="J8647" s="247"/>
      <c r="K8647" s="249"/>
    </row>
    <row r="8648" spans="1:11" s="90" customFormat="1" ht="12.75" customHeight="1" x14ac:dyDescent="0.2">
      <c r="A8648" s="247"/>
      <c r="B8648" s="316"/>
      <c r="C8648" s="247"/>
      <c r="D8648" s="317"/>
      <c r="E8648" s="318"/>
      <c r="F8648" s="247"/>
      <c r="G8648" s="247"/>
      <c r="H8648" s="248"/>
      <c r="I8648" s="248"/>
      <c r="J8648" s="247"/>
      <c r="K8648" s="249"/>
    </row>
    <row r="8649" spans="1:11" s="90" customFormat="1" ht="12.75" customHeight="1" x14ac:dyDescent="0.2">
      <c r="A8649" s="247"/>
      <c r="B8649" s="316"/>
      <c r="C8649" s="247"/>
      <c r="D8649" s="317"/>
      <c r="E8649" s="318"/>
      <c r="F8649" s="247"/>
      <c r="G8649" s="247"/>
      <c r="H8649" s="248"/>
      <c r="I8649" s="248"/>
      <c r="J8649" s="247"/>
      <c r="K8649" s="249"/>
    </row>
    <row r="8650" spans="1:11" s="90" customFormat="1" ht="12.75" customHeight="1" x14ac:dyDescent="0.2">
      <c r="A8650" s="247"/>
      <c r="B8650" s="316"/>
      <c r="C8650" s="247"/>
      <c r="D8650" s="317"/>
      <c r="E8650" s="318"/>
      <c r="F8650" s="247"/>
      <c r="G8650" s="247"/>
      <c r="H8650" s="248"/>
      <c r="I8650" s="248"/>
      <c r="J8650" s="247"/>
      <c r="K8650" s="249"/>
    </row>
    <row r="8651" spans="1:11" s="90" customFormat="1" ht="12.75" customHeight="1" x14ac:dyDescent="0.2">
      <c r="A8651" s="247"/>
      <c r="B8651" s="316"/>
      <c r="C8651" s="247"/>
      <c r="D8651" s="317"/>
      <c r="E8651" s="318"/>
      <c r="F8651" s="247"/>
      <c r="G8651" s="247"/>
      <c r="H8651" s="248"/>
      <c r="I8651" s="248"/>
      <c r="J8651" s="247"/>
      <c r="K8651" s="249"/>
    </row>
    <row r="8652" spans="1:11" s="90" customFormat="1" ht="12.75" customHeight="1" x14ac:dyDescent="0.2">
      <c r="A8652" s="247"/>
      <c r="B8652" s="316"/>
      <c r="C8652" s="247"/>
      <c r="D8652" s="317"/>
      <c r="E8652" s="318"/>
      <c r="F8652" s="247"/>
      <c r="G8652" s="247"/>
      <c r="H8652" s="248"/>
      <c r="I8652" s="248"/>
      <c r="J8652" s="247"/>
      <c r="K8652" s="249"/>
    </row>
    <row r="8653" spans="1:11" s="90" customFormat="1" ht="12.75" customHeight="1" x14ac:dyDescent="0.2">
      <c r="A8653" s="247"/>
      <c r="B8653" s="316"/>
      <c r="C8653" s="247"/>
      <c r="D8653" s="317"/>
      <c r="E8653" s="318"/>
      <c r="F8653" s="247"/>
      <c r="G8653" s="247"/>
      <c r="H8653" s="248"/>
      <c r="I8653" s="248"/>
      <c r="J8653" s="247"/>
      <c r="K8653" s="249"/>
    </row>
    <row r="8654" spans="1:11" s="90" customFormat="1" ht="12.75" customHeight="1" x14ac:dyDescent="0.2">
      <c r="A8654" s="247"/>
      <c r="B8654" s="316"/>
      <c r="C8654" s="247"/>
      <c r="D8654" s="317"/>
      <c r="E8654" s="318"/>
      <c r="F8654" s="247"/>
      <c r="G8654" s="247"/>
      <c r="H8654" s="248"/>
      <c r="I8654" s="248"/>
      <c r="J8654" s="247"/>
      <c r="K8654" s="249"/>
    </row>
    <row r="8655" spans="1:11" s="90" customFormat="1" ht="12.75" customHeight="1" x14ac:dyDescent="0.2">
      <c r="A8655" s="247"/>
      <c r="B8655" s="316"/>
      <c r="C8655" s="247"/>
      <c r="D8655" s="317"/>
      <c r="E8655" s="318"/>
      <c r="F8655" s="247"/>
      <c r="G8655" s="247"/>
      <c r="H8655" s="248"/>
      <c r="I8655" s="248"/>
      <c r="J8655" s="247"/>
      <c r="K8655" s="249"/>
    </row>
    <row r="8656" spans="1:11" s="90" customFormat="1" ht="12.75" customHeight="1" x14ac:dyDescent="0.2">
      <c r="A8656" s="247"/>
      <c r="B8656" s="316"/>
      <c r="C8656" s="247"/>
      <c r="D8656" s="317"/>
      <c r="E8656" s="318"/>
      <c r="F8656" s="247"/>
      <c r="G8656" s="247"/>
      <c r="H8656" s="248"/>
      <c r="I8656" s="248"/>
      <c r="J8656" s="247"/>
      <c r="K8656" s="249"/>
    </row>
    <row r="8657" spans="1:11" s="90" customFormat="1" ht="12.75" customHeight="1" x14ac:dyDescent="0.2">
      <c r="A8657" s="247"/>
      <c r="B8657" s="316"/>
      <c r="C8657" s="247"/>
      <c r="D8657" s="317"/>
      <c r="E8657" s="318"/>
      <c r="F8657" s="247"/>
      <c r="G8657" s="247"/>
      <c r="H8657" s="248"/>
      <c r="I8657" s="248"/>
      <c r="J8657" s="247"/>
      <c r="K8657" s="249"/>
    </row>
    <row r="8658" spans="1:11" s="90" customFormat="1" ht="12.75" customHeight="1" x14ac:dyDescent="0.2">
      <c r="A8658" s="247"/>
      <c r="B8658" s="316"/>
      <c r="C8658" s="247"/>
      <c r="D8658" s="317"/>
      <c r="E8658" s="318"/>
      <c r="F8658" s="247"/>
      <c r="G8658" s="247"/>
      <c r="H8658" s="248"/>
      <c r="I8658" s="248"/>
      <c r="J8658" s="247"/>
      <c r="K8658" s="249"/>
    </row>
    <row r="8659" spans="1:11" s="90" customFormat="1" ht="12.75" customHeight="1" x14ac:dyDescent="0.2">
      <c r="A8659" s="247"/>
      <c r="B8659" s="316"/>
      <c r="C8659" s="247"/>
      <c r="D8659" s="317"/>
      <c r="E8659" s="318"/>
      <c r="F8659" s="247"/>
      <c r="G8659" s="247"/>
      <c r="H8659" s="248"/>
      <c r="I8659" s="248"/>
      <c r="J8659" s="247"/>
      <c r="K8659" s="249"/>
    </row>
    <row r="8660" spans="1:11" s="90" customFormat="1" ht="12.75" customHeight="1" x14ac:dyDescent="0.2">
      <c r="A8660" s="247"/>
      <c r="B8660" s="316"/>
      <c r="C8660" s="247"/>
      <c r="D8660" s="317"/>
      <c r="E8660" s="318"/>
      <c r="F8660" s="247"/>
      <c r="G8660" s="247"/>
      <c r="H8660" s="248"/>
      <c r="I8660" s="248"/>
      <c r="J8660" s="247"/>
      <c r="K8660" s="249"/>
    </row>
    <row r="8661" spans="1:11" s="90" customFormat="1" ht="12.75" customHeight="1" x14ac:dyDescent="0.2">
      <c r="A8661" s="247"/>
      <c r="B8661" s="316"/>
      <c r="C8661" s="247"/>
      <c r="D8661" s="317"/>
      <c r="E8661" s="318"/>
      <c r="F8661" s="247"/>
      <c r="G8661" s="247"/>
      <c r="H8661" s="248"/>
      <c r="I8661" s="248"/>
      <c r="J8661" s="247"/>
      <c r="K8661" s="249"/>
    </row>
    <row r="8662" spans="1:11" s="90" customFormat="1" ht="12.75" customHeight="1" x14ac:dyDescent="0.2">
      <c r="A8662" s="247"/>
      <c r="B8662" s="316"/>
      <c r="C8662" s="247"/>
      <c r="D8662" s="317"/>
      <c r="E8662" s="318"/>
      <c r="F8662" s="247"/>
      <c r="G8662" s="247"/>
      <c r="H8662" s="248"/>
      <c r="I8662" s="248"/>
      <c r="J8662" s="247"/>
      <c r="K8662" s="249"/>
    </row>
    <row r="8663" spans="1:11" s="90" customFormat="1" ht="12.75" customHeight="1" x14ac:dyDescent="0.2">
      <c r="A8663" s="247"/>
      <c r="B8663" s="316"/>
      <c r="C8663" s="247"/>
      <c r="D8663" s="317"/>
      <c r="E8663" s="318"/>
      <c r="F8663" s="247"/>
      <c r="G8663" s="247"/>
      <c r="H8663" s="248"/>
      <c r="I8663" s="248"/>
      <c r="J8663" s="247"/>
      <c r="K8663" s="249"/>
    </row>
    <row r="8664" spans="1:11" s="90" customFormat="1" ht="12.75" customHeight="1" x14ac:dyDescent="0.2">
      <c r="A8664" s="247"/>
      <c r="B8664" s="316"/>
      <c r="C8664" s="247"/>
      <c r="D8664" s="317"/>
      <c r="E8664" s="318"/>
      <c r="F8664" s="247"/>
      <c r="G8664" s="247"/>
      <c r="H8664" s="248"/>
      <c r="I8664" s="248"/>
      <c r="J8664" s="247"/>
      <c r="K8664" s="249"/>
    </row>
    <row r="8665" spans="1:11" s="90" customFormat="1" ht="12.75" customHeight="1" x14ac:dyDescent="0.2">
      <c r="A8665" s="247"/>
      <c r="B8665" s="316"/>
      <c r="C8665" s="247"/>
      <c r="D8665" s="317"/>
      <c r="E8665" s="318"/>
      <c r="F8665" s="247"/>
      <c r="G8665" s="247"/>
      <c r="H8665" s="248"/>
      <c r="I8665" s="248"/>
      <c r="J8665" s="247"/>
      <c r="K8665" s="249"/>
    </row>
    <row r="8666" spans="1:11" s="90" customFormat="1" ht="12.75" customHeight="1" x14ac:dyDescent="0.2">
      <c r="A8666" s="247"/>
      <c r="B8666" s="316"/>
      <c r="C8666" s="247"/>
      <c r="D8666" s="317"/>
      <c r="E8666" s="318"/>
      <c r="F8666" s="247"/>
      <c r="G8666" s="247"/>
      <c r="H8666" s="248"/>
      <c r="I8666" s="248"/>
      <c r="J8666" s="247"/>
      <c r="K8666" s="249"/>
    </row>
    <row r="8667" spans="1:11" s="90" customFormat="1" ht="12.75" customHeight="1" x14ac:dyDescent="0.2">
      <c r="A8667" s="247"/>
      <c r="B8667" s="316"/>
      <c r="C8667" s="247"/>
      <c r="D8667" s="317"/>
      <c r="E8667" s="318"/>
      <c r="F8667" s="247"/>
      <c r="G8667" s="247"/>
      <c r="H8667" s="248"/>
      <c r="I8667" s="248"/>
      <c r="J8667" s="247"/>
      <c r="K8667" s="249"/>
    </row>
    <row r="8668" spans="1:11" s="90" customFormat="1" ht="12.75" customHeight="1" x14ac:dyDescent="0.2">
      <c r="A8668" s="247"/>
      <c r="B8668" s="316"/>
      <c r="C8668" s="247"/>
      <c r="D8668" s="317"/>
      <c r="E8668" s="318"/>
      <c r="F8668" s="247"/>
      <c r="G8668" s="247"/>
      <c r="H8668" s="248"/>
      <c r="I8668" s="248"/>
      <c r="J8668" s="247"/>
      <c r="K8668" s="249"/>
    </row>
    <row r="8669" spans="1:11" s="90" customFormat="1" ht="12.75" customHeight="1" x14ac:dyDescent="0.2">
      <c r="A8669" s="247"/>
      <c r="B8669" s="316"/>
      <c r="C8669" s="247"/>
      <c r="D8669" s="317"/>
      <c r="E8669" s="318"/>
      <c r="F8669" s="247"/>
      <c r="G8669" s="247"/>
      <c r="H8669" s="248"/>
      <c r="I8669" s="248"/>
      <c r="J8669" s="247"/>
      <c r="K8669" s="249"/>
    </row>
    <row r="8670" spans="1:11" s="90" customFormat="1" ht="12.75" customHeight="1" x14ac:dyDescent="0.2">
      <c r="A8670" s="247"/>
      <c r="B8670" s="316"/>
      <c r="C8670" s="247"/>
      <c r="D8670" s="317"/>
      <c r="E8670" s="318"/>
      <c r="F8670" s="247"/>
      <c r="G8670" s="247"/>
      <c r="H8670" s="248"/>
      <c r="I8670" s="248"/>
      <c r="J8670" s="247"/>
      <c r="K8670" s="249"/>
    </row>
    <row r="8671" spans="1:11" s="90" customFormat="1" ht="12.75" customHeight="1" x14ac:dyDescent="0.2">
      <c r="A8671" s="247"/>
      <c r="B8671" s="316"/>
      <c r="C8671" s="247"/>
      <c r="D8671" s="317"/>
      <c r="E8671" s="318"/>
      <c r="F8671" s="247"/>
      <c r="G8671" s="247"/>
      <c r="H8671" s="248"/>
      <c r="I8671" s="248"/>
      <c r="J8671" s="247"/>
      <c r="K8671" s="249"/>
    </row>
    <row r="8672" spans="1:11" s="90" customFormat="1" ht="12.75" customHeight="1" x14ac:dyDescent="0.2">
      <c r="A8672" s="247"/>
      <c r="B8672" s="316"/>
      <c r="C8672" s="247"/>
      <c r="D8672" s="317"/>
      <c r="E8672" s="318"/>
      <c r="F8672" s="247"/>
      <c r="G8672" s="247"/>
      <c r="H8672" s="248"/>
      <c r="I8672" s="248"/>
      <c r="J8672" s="247"/>
      <c r="K8672" s="249"/>
    </row>
    <row r="8673" spans="1:11" s="90" customFormat="1" ht="12.75" customHeight="1" x14ac:dyDescent="0.2">
      <c r="A8673" s="247"/>
      <c r="B8673" s="316"/>
      <c r="C8673" s="247"/>
      <c r="D8673" s="317"/>
      <c r="E8673" s="318"/>
      <c r="F8673" s="247"/>
      <c r="G8673" s="247"/>
      <c r="H8673" s="248"/>
      <c r="I8673" s="248"/>
      <c r="J8673" s="247"/>
      <c r="K8673" s="249"/>
    </row>
    <row r="8674" spans="1:11" s="90" customFormat="1" ht="12.75" customHeight="1" x14ac:dyDescent="0.2">
      <c r="A8674" s="247"/>
      <c r="B8674" s="316"/>
      <c r="C8674" s="247"/>
      <c r="D8674" s="317"/>
      <c r="E8674" s="318"/>
      <c r="F8674" s="247"/>
      <c r="G8674" s="247"/>
      <c r="H8674" s="248"/>
      <c r="I8674" s="248"/>
      <c r="J8674" s="247"/>
      <c r="K8674" s="249"/>
    </row>
    <row r="8675" spans="1:11" s="90" customFormat="1" ht="12.75" customHeight="1" x14ac:dyDescent="0.2">
      <c r="A8675" s="247"/>
      <c r="B8675" s="316"/>
      <c r="C8675" s="247"/>
      <c r="D8675" s="317"/>
      <c r="E8675" s="318"/>
      <c r="F8675" s="247"/>
      <c r="G8675" s="247"/>
      <c r="H8675" s="248"/>
      <c r="I8675" s="248"/>
      <c r="J8675" s="247"/>
      <c r="K8675" s="249"/>
    </row>
    <row r="8676" spans="1:11" s="90" customFormat="1" ht="12.75" customHeight="1" x14ac:dyDescent="0.2">
      <c r="A8676" s="247"/>
      <c r="B8676" s="316"/>
      <c r="C8676" s="247"/>
      <c r="D8676" s="317"/>
      <c r="E8676" s="318"/>
      <c r="F8676" s="247"/>
      <c r="G8676" s="247"/>
      <c r="H8676" s="248"/>
      <c r="I8676" s="248"/>
      <c r="J8676" s="247"/>
      <c r="K8676" s="249"/>
    </row>
    <row r="8677" spans="1:11" s="90" customFormat="1" ht="12.75" customHeight="1" x14ac:dyDescent="0.2">
      <c r="A8677" s="247"/>
      <c r="B8677" s="316"/>
      <c r="C8677" s="247"/>
      <c r="D8677" s="317"/>
      <c r="E8677" s="318"/>
      <c r="F8677" s="247"/>
      <c r="G8677" s="247"/>
      <c r="H8677" s="248"/>
      <c r="I8677" s="248"/>
      <c r="J8677" s="247"/>
      <c r="K8677" s="249"/>
    </row>
    <row r="8678" spans="1:11" s="90" customFormat="1" ht="12.75" customHeight="1" x14ac:dyDescent="0.2">
      <c r="A8678" s="247"/>
      <c r="B8678" s="316"/>
      <c r="C8678" s="247"/>
      <c r="D8678" s="317"/>
      <c r="E8678" s="318"/>
      <c r="F8678" s="247"/>
      <c r="G8678" s="247"/>
      <c r="H8678" s="248"/>
      <c r="I8678" s="248"/>
      <c r="J8678" s="247"/>
      <c r="K8678" s="249"/>
    </row>
    <row r="8679" spans="1:11" s="90" customFormat="1" ht="12.75" customHeight="1" x14ac:dyDescent="0.2">
      <c r="A8679" s="247"/>
      <c r="B8679" s="316"/>
      <c r="C8679" s="247"/>
      <c r="D8679" s="317"/>
      <c r="E8679" s="318"/>
      <c r="F8679" s="247"/>
      <c r="G8679" s="247"/>
      <c r="H8679" s="248"/>
      <c r="I8679" s="248"/>
      <c r="J8679" s="247"/>
      <c r="K8679" s="249"/>
    </row>
    <row r="8680" spans="1:11" s="90" customFormat="1" ht="12.75" customHeight="1" x14ac:dyDescent="0.2">
      <c r="A8680" s="247"/>
      <c r="B8680" s="316"/>
      <c r="C8680" s="247"/>
      <c r="D8680" s="317"/>
      <c r="E8680" s="318"/>
      <c r="F8680" s="247"/>
      <c r="G8680" s="247"/>
      <c r="H8680" s="248"/>
      <c r="I8680" s="248"/>
      <c r="J8680" s="247"/>
      <c r="K8680" s="249"/>
    </row>
    <row r="8681" spans="1:11" s="90" customFormat="1" ht="12.75" customHeight="1" x14ac:dyDescent="0.2">
      <c r="A8681" s="247"/>
      <c r="B8681" s="316"/>
      <c r="C8681" s="247"/>
      <c r="D8681" s="317"/>
      <c r="E8681" s="318"/>
      <c r="F8681" s="247"/>
      <c r="G8681" s="247"/>
      <c r="H8681" s="248"/>
      <c r="I8681" s="248"/>
      <c r="J8681" s="247"/>
      <c r="K8681" s="249"/>
    </row>
    <row r="8682" spans="1:11" s="90" customFormat="1" ht="12.75" customHeight="1" x14ac:dyDescent="0.2">
      <c r="A8682" s="247"/>
      <c r="B8682" s="316"/>
      <c r="C8682" s="247"/>
      <c r="D8682" s="317"/>
      <c r="E8682" s="318"/>
      <c r="F8682" s="247"/>
      <c r="G8682" s="247"/>
      <c r="H8682" s="248"/>
      <c r="I8682" s="248"/>
      <c r="J8682" s="247"/>
      <c r="K8682" s="249"/>
    </row>
    <row r="8683" spans="1:11" s="90" customFormat="1" ht="12.75" customHeight="1" x14ac:dyDescent="0.2">
      <c r="A8683" s="247"/>
      <c r="B8683" s="316"/>
      <c r="C8683" s="247"/>
      <c r="D8683" s="317"/>
      <c r="E8683" s="318"/>
      <c r="F8683" s="247"/>
      <c r="G8683" s="247"/>
      <c r="H8683" s="248"/>
      <c r="I8683" s="248"/>
      <c r="J8683" s="247"/>
      <c r="K8683" s="249"/>
    </row>
    <row r="8684" spans="1:11" s="90" customFormat="1" ht="12.75" customHeight="1" x14ac:dyDescent="0.2">
      <c r="A8684" s="247"/>
      <c r="B8684" s="316"/>
      <c r="C8684" s="247"/>
      <c r="D8684" s="317"/>
      <c r="E8684" s="318"/>
      <c r="F8684" s="247"/>
      <c r="G8684" s="247"/>
      <c r="H8684" s="248"/>
      <c r="I8684" s="248"/>
      <c r="J8684" s="247"/>
      <c r="K8684" s="249"/>
    </row>
    <row r="8685" spans="1:11" s="90" customFormat="1" ht="12.75" customHeight="1" x14ac:dyDescent="0.2">
      <c r="A8685" s="247"/>
      <c r="B8685" s="316"/>
      <c r="C8685" s="247"/>
      <c r="D8685" s="317"/>
      <c r="E8685" s="318"/>
      <c r="F8685" s="247"/>
      <c r="G8685" s="247"/>
      <c r="H8685" s="248"/>
      <c r="I8685" s="248"/>
      <c r="J8685" s="247"/>
      <c r="K8685" s="249"/>
    </row>
    <row r="8686" spans="1:11" s="90" customFormat="1" ht="12.75" customHeight="1" x14ac:dyDescent="0.2">
      <c r="A8686" s="247"/>
      <c r="B8686" s="316"/>
      <c r="C8686" s="247"/>
      <c r="D8686" s="317"/>
      <c r="E8686" s="318"/>
      <c r="F8686" s="247"/>
      <c r="G8686" s="247"/>
      <c r="H8686" s="248"/>
      <c r="I8686" s="248"/>
      <c r="J8686" s="247"/>
      <c r="K8686" s="249"/>
    </row>
    <row r="8687" spans="1:11" s="90" customFormat="1" ht="12.75" customHeight="1" x14ac:dyDescent="0.2">
      <c r="A8687" s="247"/>
      <c r="B8687" s="316"/>
      <c r="C8687" s="247"/>
      <c r="D8687" s="317"/>
      <c r="E8687" s="318"/>
      <c r="F8687" s="247"/>
      <c r="G8687" s="247"/>
      <c r="H8687" s="248"/>
      <c r="I8687" s="248"/>
      <c r="J8687" s="247"/>
      <c r="K8687" s="249"/>
    </row>
    <row r="8688" spans="1:11" s="90" customFormat="1" ht="12.75" customHeight="1" x14ac:dyDescent="0.2">
      <c r="A8688" s="247"/>
      <c r="B8688" s="316"/>
      <c r="C8688" s="247"/>
      <c r="D8688" s="317"/>
      <c r="E8688" s="318"/>
      <c r="F8688" s="247"/>
      <c r="G8688" s="247"/>
      <c r="H8688" s="248"/>
      <c r="I8688" s="248"/>
      <c r="J8688" s="247"/>
      <c r="K8688" s="249"/>
    </row>
    <row r="8689" spans="1:11" s="90" customFormat="1" ht="12.75" customHeight="1" x14ac:dyDescent="0.2">
      <c r="A8689" s="247"/>
      <c r="B8689" s="316"/>
      <c r="C8689" s="247"/>
      <c r="D8689" s="317"/>
      <c r="E8689" s="318"/>
      <c r="F8689" s="247"/>
      <c r="G8689" s="247"/>
      <c r="H8689" s="248"/>
      <c r="I8689" s="248"/>
      <c r="J8689" s="247"/>
      <c r="K8689" s="249"/>
    </row>
    <row r="8690" spans="1:11" s="90" customFormat="1" ht="12.75" customHeight="1" x14ac:dyDescent="0.2">
      <c r="A8690" s="247"/>
      <c r="B8690" s="316"/>
      <c r="C8690" s="247"/>
      <c r="D8690" s="317"/>
      <c r="E8690" s="318"/>
      <c r="F8690" s="247"/>
      <c r="G8690" s="247"/>
      <c r="H8690" s="248"/>
      <c r="I8690" s="248"/>
      <c r="J8690" s="247"/>
      <c r="K8690" s="249"/>
    </row>
    <row r="8691" spans="1:11" s="90" customFormat="1" ht="12.75" customHeight="1" x14ac:dyDescent="0.2">
      <c r="A8691" s="247"/>
      <c r="B8691" s="316"/>
      <c r="C8691" s="247"/>
      <c r="D8691" s="317"/>
      <c r="E8691" s="318"/>
      <c r="F8691" s="247"/>
      <c r="G8691" s="247"/>
      <c r="H8691" s="248"/>
      <c r="I8691" s="248"/>
      <c r="J8691" s="247"/>
      <c r="K8691" s="249"/>
    </row>
    <row r="8692" spans="1:11" s="90" customFormat="1" ht="12.75" customHeight="1" x14ac:dyDescent="0.2">
      <c r="A8692" s="247"/>
      <c r="B8692" s="316"/>
      <c r="C8692" s="247"/>
      <c r="D8692" s="317"/>
      <c r="E8692" s="318"/>
      <c r="F8692" s="247"/>
      <c r="G8692" s="247"/>
      <c r="H8692" s="248"/>
      <c r="I8692" s="248"/>
      <c r="J8692" s="247"/>
      <c r="K8692" s="249"/>
    </row>
    <row r="8693" spans="1:11" s="90" customFormat="1" ht="12.75" customHeight="1" x14ac:dyDescent="0.2">
      <c r="A8693" s="247"/>
      <c r="B8693" s="316"/>
      <c r="C8693" s="247"/>
      <c r="D8693" s="317"/>
      <c r="E8693" s="318"/>
      <c r="F8693" s="247"/>
      <c r="G8693" s="247"/>
      <c r="H8693" s="248"/>
      <c r="I8693" s="248"/>
      <c r="J8693" s="247"/>
      <c r="K8693" s="249"/>
    </row>
    <row r="8694" spans="1:11" s="90" customFormat="1" ht="12.75" customHeight="1" x14ac:dyDescent="0.2">
      <c r="A8694" s="247"/>
      <c r="B8694" s="316"/>
      <c r="C8694" s="247"/>
      <c r="D8694" s="317"/>
      <c r="E8694" s="318"/>
      <c r="F8694" s="247"/>
      <c r="G8694" s="247"/>
      <c r="H8694" s="248"/>
      <c r="I8694" s="248"/>
      <c r="J8694" s="247"/>
      <c r="K8694" s="249"/>
    </row>
    <row r="8695" spans="1:11" s="90" customFormat="1" ht="12.75" customHeight="1" x14ac:dyDescent="0.2">
      <c r="A8695" s="247"/>
      <c r="B8695" s="316"/>
      <c r="C8695" s="247"/>
      <c r="D8695" s="317"/>
      <c r="E8695" s="318"/>
      <c r="F8695" s="247"/>
      <c r="G8695" s="247"/>
      <c r="H8695" s="248"/>
      <c r="I8695" s="248"/>
      <c r="J8695" s="247"/>
      <c r="K8695" s="249"/>
    </row>
    <row r="8696" spans="1:11" s="90" customFormat="1" ht="12.75" customHeight="1" x14ac:dyDescent="0.2">
      <c r="A8696" s="247"/>
      <c r="B8696" s="316"/>
      <c r="C8696" s="247"/>
      <c r="D8696" s="317"/>
      <c r="E8696" s="318"/>
      <c r="F8696" s="247"/>
      <c r="G8696" s="247"/>
      <c r="H8696" s="248"/>
      <c r="I8696" s="248"/>
      <c r="J8696" s="247"/>
      <c r="K8696" s="249"/>
    </row>
    <row r="8697" spans="1:11" s="90" customFormat="1" ht="12.75" customHeight="1" x14ac:dyDescent="0.2">
      <c r="A8697" s="247"/>
      <c r="B8697" s="316"/>
      <c r="C8697" s="247"/>
      <c r="D8697" s="317"/>
      <c r="E8697" s="318"/>
      <c r="F8697" s="247"/>
      <c r="G8697" s="247"/>
      <c r="H8697" s="248"/>
      <c r="I8697" s="248"/>
      <c r="J8697" s="247"/>
      <c r="K8697" s="249"/>
    </row>
    <row r="8698" spans="1:11" s="90" customFormat="1" ht="12.75" customHeight="1" x14ac:dyDescent="0.2">
      <c r="A8698" s="247"/>
      <c r="B8698" s="316"/>
      <c r="C8698" s="247"/>
      <c r="D8698" s="317"/>
      <c r="E8698" s="318"/>
      <c r="F8698" s="247"/>
      <c r="G8698" s="247"/>
      <c r="H8698" s="248"/>
      <c r="I8698" s="248"/>
      <c r="J8698" s="247"/>
      <c r="K8698" s="249"/>
    </row>
    <row r="8699" spans="1:11" s="90" customFormat="1" ht="12.75" customHeight="1" x14ac:dyDescent="0.2">
      <c r="A8699" s="247"/>
      <c r="B8699" s="316"/>
      <c r="C8699" s="247"/>
      <c r="D8699" s="317"/>
      <c r="E8699" s="318"/>
      <c r="F8699" s="247"/>
      <c r="G8699" s="247"/>
      <c r="H8699" s="248"/>
      <c r="I8699" s="248"/>
      <c r="J8699" s="247"/>
      <c r="K8699" s="249"/>
    </row>
    <row r="8700" spans="1:11" s="90" customFormat="1" ht="12.75" customHeight="1" x14ac:dyDescent="0.2">
      <c r="A8700" s="247"/>
      <c r="B8700" s="316"/>
      <c r="C8700" s="247"/>
      <c r="D8700" s="317"/>
      <c r="E8700" s="318"/>
      <c r="F8700" s="247"/>
      <c r="G8700" s="247"/>
      <c r="H8700" s="248"/>
      <c r="I8700" s="248"/>
      <c r="J8700" s="247"/>
      <c r="K8700" s="249"/>
    </row>
    <row r="8701" spans="1:11" s="90" customFormat="1" ht="12.75" customHeight="1" x14ac:dyDescent="0.2">
      <c r="A8701" s="247"/>
      <c r="B8701" s="316"/>
      <c r="C8701" s="247"/>
      <c r="D8701" s="317"/>
      <c r="E8701" s="318"/>
      <c r="F8701" s="247"/>
      <c r="G8701" s="247"/>
      <c r="H8701" s="248"/>
      <c r="I8701" s="248"/>
      <c r="J8701" s="247"/>
      <c r="K8701" s="249"/>
    </row>
    <row r="8702" spans="1:11" s="90" customFormat="1" ht="12.75" customHeight="1" x14ac:dyDescent="0.2">
      <c r="A8702" s="247"/>
      <c r="B8702" s="316"/>
      <c r="C8702" s="247"/>
      <c r="D8702" s="317"/>
      <c r="E8702" s="318"/>
      <c r="F8702" s="247"/>
      <c r="G8702" s="247"/>
      <c r="H8702" s="248"/>
      <c r="I8702" s="248"/>
      <c r="J8702" s="247"/>
      <c r="K8702" s="249"/>
    </row>
    <row r="8703" spans="1:11" s="90" customFormat="1" ht="12.75" customHeight="1" x14ac:dyDescent="0.2">
      <c r="A8703" s="247"/>
      <c r="B8703" s="316"/>
      <c r="C8703" s="247"/>
      <c r="D8703" s="317"/>
      <c r="E8703" s="318"/>
      <c r="F8703" s="247"/>
      <c r="G8703" s="247"/>
      <c r="H8703" s="248"/>
      <c r="I8703" s="248"/>
      <c r="J8703" s="247"/>
      <c r="K8703" s="249"/>
    </row>
    <row r="8704" spans="1:11" s="90" customFormat="1" ht="12.75" customHeight="1" x14ac:dyDescent="0.2">
      <c r="A8704" s="247"/>
      <c r="B8704" s="316"/>
      <c r="C8704" s="247"/>
      <c r="D8704" s="317"/>
      <c r="E8704" s="318"/>
      <c r="F8704" s="247"/>
      <c r="G8704" s="247"/>
      <c r="H8704" s="248"/>
      <c r="I8704" s="248"/>
      <c r="J8704" s="247"/>
      <c r="K8704" s="249"/>
    </row>
    <row r="8705" spans="1:11" s="90" customFormat="1" ht="12.75" customHeight="1" x14ac:dyDescent="0.2">
      <c r="A8705" s="247"/>
      <c r="B8705" s="316"/>
      <c r="C8705" s="247"/>
      <c r="D8705" s="317"/>
      <c r="E8705" s="318"/>
      <c r="F8705" s="247"/>
      <c r="G8705" s="247"/>
      <c r="H8705" s="248"/>
      <c r="I8705" s="248"/>
      <c r="J8705" s="247"/>
      <c r="K8705" s="249"/>
    </row>
    <row r="8706" spans="1:11" s="90" customFormat="1" ht="12.75" customHeight="1" x14ac:dyDescent="0.2">
      <c r="A8706" s="247"/>
      <c r="B8706" s="316"/>
      <c r="C8706" s="247"/>
      <c r="D8706" s="317"/>
      <c r="E8706" s="318"/>
      <c r="F8706" s="247"/>
      <c r="G8706" s="247"/>
      <c r="H8706" s="248"/>
      <c r="I8706" s="248"/>
      <c r="J8706" s="247"/>
      <c r="K8706" s="249"/>
    </row>
    <row r="8707" spans="1:11" s="90" customFormat="1" ht="12.75" customHeight="1" x14ac:dyDescent="0.2">
      <c r="A8707" s="247"/>
      <c r="B8707" s="316"/>
      <c r="C8707" s="247"/>
      <c r="D8707" s="317"/>
      <c r="E8707" s="318"/>
      <c r="F8707" s="247"/>
      <c r="G8707" s="247"/>
      <c r="H8707" s="248"/>
      <c r="I8707" s="248"/>
      <c r="J8707" s="247"/>
      <c r="K8707" s="249"/>
    </row>
    <row r="8708" spans="1:11" s="90" customFormat="1" ht="12.75" customHeight="1" x14ac:dyDescent="0.2">
      <c r="A8708" s="247"/>
      <c r="B8708" s="316"/>
      <c r="C8708" s="247"/>
      <c r="D8708" s="317"/>
      <c r="E8708" s="318"/>
      <c r="F8708" s="247"/>
      <c r="G8708" s="247"/>
      <c r="H8708" s="248"/>
      <c r="I8708" s="248"/>
      <c r="J8708" s="247"/>
      <c r="K8708" s="249"/>
    </row>
    <row r="8709" spans="1:11" s="90" customFormat="1" ht="12.75" customHeight="1" x14ac:dyDescent="0.2">
      <c r="A8709" s="247"/>
      <c r="B8709" s="316"/>
      <c r="C8709" s="247"/>
      <c r="D8709" s="317"/>
      <c r="E8709" s="318"/>
      <c r="F8709" s="247"/>
      <c r="G8709" s="247"/>
      <c r="H8709" s="248"/>
      <c r="I8709" s="248"/>
      <c r="J8709" s="247"/>
      <c r="K8709" s="249"/>
    </row>
    <row r="8710" spans="1:11" s="90" customFormat="1" ht="12.75" customHeight="1" x14ac:dyDescent="0.2">
      <c r="A8710" s="247"/>
      <c r="B8710" s="316"/>
      <c r="C8710" s="247"/>
      <c r="D8710" s="317"/>
      <c r="E8710" s="318"/>
      <c r="F8710" s="247"/>
      <c r="G8710" s="247"/>
      <c r="H8710" s="248"/>
      <c r="I8710" s="248"/>
      <c r="J8710" s="247"/>
      <c r="K8710" s="249"/>
    </row>
    <row r="8711" spans="1:11" s="90" customFormat="1" ht="12.75" customHeight="1" x14ac:dyDescent="0.2">
      <c r="A8711" s="247"/>
      <c r="B8711" s="316"/>
      <c r="C8711" s="247"/>
      <c r="D8711" s="317"/>
      <c r="E8711" s="318"/>
      <c r="F8711" s="247"/>
      <c r="G8711" s="247"/>
      <c r="H8711" s="248"/>
      <c r="I8711" s="248"/>
      <c r="J8711" s="247"/>
      <c r="K8711" s="249"/>
    </row>
    <row r="8712" spans="1:11" s="90" customFormat="1" ht="12.75" customHeight="1" x14ac:dyDescent="0.2">
      <c r="A8712" s="247"/>
      <c r="B8712" s="316"/>
      <c r="C8712" s="247"/>
      <c r="D8712" s="317"/>
      <c r="E8712" s="318"/>
      <c r="F8712" s="247"/>
      <c r="G8712" s="247"/>
      <c r="H8712" s="248"/>
      <c r="I8712" s="248"/>
      <c r="J8712" s="247"/>
      <c r="K8712" s="249"/>
    </row>
    <row r="8713" spans="1:11" s="90" customFormat="1" ht="12.75" customHeight="1" x14ac:dyDescent="0.2">
      <c r="A8713" s="247"/>
      <c r="B8713" s="316"/>
      <c r="C8713" s="247"/>
      <c r="D8713" s="317"/>
      <c r="E8713" s="318"/>
      <c r="F8713" s="247"/>
      <c r="G8713" s="247"/>
      <c r="H8713" s="248"/>
      <c r="I8713" s="248"/>
      <c r="J8713" s="247"/>
      <c r="K8713" s="249"/>
    </row>
    <row r="8714" spans="1:11" s="90" customFormat="1" ht="12.75" customHeight="1" x14ac:dyDescent="0.2">
      <c r="A8714" s="247"/>
      <c r="B8714" s="316"/>
      <c r="C8714" s="247"/>
      <c r="D8714" s="317"/>
      <c r="E8714" s="318"/>
      <c r="F8714" s="247"/>
      <c r="G8714" s="247"/>
      <c r="H8714" s="248"/>
      <c r="I8714" s="248"/>
      <c r="J8714" s="247"/>
      <c r="K8714" s="249"/>
    </row>
    <row r="8715" spans="1:11" s="90" customFormat="1" ht="12.75" customHeight="1" x14ac:dyDescent="0.2">
      <c r="A8715" s="247"/>
      <c r="B8715" s="316"/>
      <c r="C8715" s="247"/>
      <c r="D8715" s="317"/>
      <c r="E8715" s="318"/>
      <c r="F8715" s="247"/>
      <c r="G8715" s="247"/>
      <c r="H8715" s="248"/>
      <c r="I8715" s="248"/>
      <c r="J8715" s="247"/>
      <c r="K8715" s="249"/>
    </row>
    <row r="8716" spans="1:11" s="90" customFormat="1" ht="12.75" customHeight="1" x14ac:dyDescent="0.2">
      <c r="A8716" s="247"/>
      <c r="B8716" s="316"/>
      <c r="C8716" s="247"/>
      <c r="D8716" s="317"/>
      <c r="E8716" s="318"/>
      <c r="F8716" s="247"/>
      <c r="G8716" s="247"/>
      <c r="H8716" s="248"/>
      <c r="I8716" s="248"/>
      <c r="J8716" s="247"/>
      <c r="K8716" s="249"/>
    </row>
    <row r="8717" spans="1:11" s="90" customFormat="1" ht="12.75" customHeight="1" x14ac:dyDescent="0.2">
      <c r="A8717" s="247"/>
      <c r="B8717" s="316"/>
      <c r="C8717" s="247"/>
      <c r="D8717" s="317"/>
      <c r="E8717" s="318"/>
      <c r="F8717" s="247"/>
      <c r="G8717" s="247"/>
      <c r="H8717" s="248"/>
      <c r="I8717" s="248"/>
      <c r="J8717" s="247"/>
      <c r="K8717" s="249"/>
    </row>
    <row r="8718" spans="1:11" s="90" customFormat="1" ht="12.75" customHeight="1" x14ac:dyDescent="0.2">
      <c r="A8718" s="247"/>
      <c r="B8718" s="316"/>
      <c r="C8718" s="247"/>
      <c r="D8718" s="317"/>
      <c r="E8718" s="318"/>
      <c r="F8718" s="247"/>
      <c r="G8718" s="247"/>
      <c r="H8718" s="248"/>
      <c r="I8718" s="248"/>
      <c r="J8718" s="247"/>
      <c r="K8718" s="249"/>
    </row>
    <row r="8719" spans="1:11" s="90" customFormat="1" ht="12.75" customHeight="1" x14ac:dyDescent="0.2">
      <c r="A8719" s="247"/>
      <c r="B8719" s="316"/>
      <c r="C8719" s="247"/>
      <c r="D8719" s="317"/>
      <c r="E8719" s="318"/>
      <c r="F8719" s="247"/>
      <c r="G8719" s="247"/>
      <c r="H8719" s="248"/>
      <c r="I8719" s="248"/>
      <c r="J8719" s="247"/>
      <c r="K8719" s="249"/>
    </row>
    <row r="8720" spans="1:11" s="90" customFormat="1" ht="12.75" customHeight="1" x14ac:dyDescent="0.2">
      <c r="A8720" s="247"/>
      <c r="B8720" s="316"/>
      <c r="C8720" s="247"/>
      <c r="D8720" s="317"/>
      <c r="E8720" s="318"/>
      <c r="F8720" s="247"/>
      <c r="G8720" s="247"/>
      <c r="H8720" s="248"/>
      <c r="I8720" s="248"/>
      <c r="J8720" s="247"/>
      <c r="K8720" s="249"/>
    </row>
    <row r="8721" spans="1:11" s="90" customFormat="1" ht="12.75" customHeight="1" x14ac:dyDescent="0.2">
      <c r="A8721" s="247"/>
      <c r="B8721" s="316"/>
      <c r="C8721" s="247"/>
      <c r="D8721" s="317"/>
      <c r="E8721" s="318"/>
      <c r="F8721" s="247"/>
      <c r="G8721" s="247"/>
      <c r="H8721" s="248"/>
      <c r="I8721" s="248"/>
      <c r="J8721" s="247"/>
      <c r="K8721" s="249"/>
    </row>
    <row r="8722" spans="1:11" s="90" customFormat="1" ht="12.75" customHeight="1" x14ac:dyDescent="0.2">
      <c r="A8722" s="247"/>
      <c r="B8722" s="316"/>
      <c r="C8722" s="247"/>
      <c r="D8722" s="317"/>
      <c r="E8722" s="318"/>
      <c r="F8722" s="247"/>
      <c r="G8722" s="247"/>
      <c r="H8722" s="248"/>
      <c r="I8722" s="248"/>
      <c r="J8722" s="247"/>
      <c r="K8722" s="249"/>
    </row>
    <row r="8723" spans="1:11" s="90" customFormat="1" ht="12.75" customHeight="1" x14ac:dyDescent="0.2">
      <c r="A8723" s="247"/>
      <c r="B8723" s="316"/>
      <c r="C8723" s="247"/>
      <c r="D8723" s="317"/>
      <c r="E8723" s="318"/>
      <c r="F8723" s="247"/>
      <c r="G8723" s="247"/>
      <c r="H8723" s="248"/>
      <c r="I8723" s="248"/>
      <c r="J8723" s="247"/>
      <c r="K8723" s="249"/>
    </row>
    <row r="8724" spans="1:11" s="90" customFormat="1" ht="12.75" customHeight="1" x14ac:dyDescent="0.2">
      <c r="A8724" s="247"/>
      <c r="B8724" s="316"/>
      <c r="C8724" s="247"/>
      <c r="D8724" s="317"/>
      <c r="E8724" s="318"/>
      <c r="F8724" s="247"/>
      <c r="G8724" s="247"/>
      <c r="H8724" s="248"/>
      <c r="I8724" s="248"/>
      <c r="J8724" s="247"/>
      <c r="K8724" s="249"/>
    </row>
    <row r="8725" spans="1:11" s="90" customFormat="1" ht="12.75" customHeight="1" x14ac:dyDescent="0.2">
      <c r="A8725" s="247"/>
      <c r="B8725" s="316"/>
      <c r="C8725" s="247"/>
      <c r="D8725" s="317"/>
      <c r="E8725" s="318"/>
      <c r="F8725" s="247"/>
      <c r="G8725" s="247"/>
      <c r="H8725" s="248"/>
      <c r="I8725" s="248"/>
      <c r="J8725" s="247"/>
      <c r="K8725" s="249"/>
    </row>
    <row r="8726" spans="1:11" s="90" customFormat="1" ht="12.75" customHeight="1" x14ac:dyDescent="0.2">
      <c r="A8726" s="247"/>
      <c r="B8726" s="316"/>
      <c r="C8726" s="247"/>
      <c r="D8726" s="317"/>
      <c r="E8726" s="318"/>
      <c r="F8726" s="247"/>
      <c r="G8726" s="247"/>
      <c r="H8726" s="248"/>
      <c r="I8726" s="248"/>
      <c r="J8726" s="247"/>
      <c r="K8726" s="249"/>
    </row>
    <row r="8727" spans="1:11" s="90" customFormat="1" ht="12.75" customHeight="1" x14ac:dyDescent="0.2">
      <c r="A8727" s="247"/>
      <c r="B8727" s="316"/>
      <c r="C8727" s="247"/>
      <c r="D8727" s="317"/>
      <c r="E8727" s="318"/>
      <c r="F8727" s="247"/>
      <c r="G8727" s="247"/>
      <c r="H8727" s="248"/>
      <c r="I8727" s="248"/>
      <c r="J8727" s="247"/>
      <c r="K8727" s="249"/>
    </row>
    <row r="8728" spans="1:11" s="90" customFormat="1" ht="12.75" customHeight="1" x14ac:dyDescent="0.2">
      <c r="A8728" s="247"/>
      <c r="B8728" s="316"/>
      <c r="C8728" s="247"/>
      <c r="D8728" s="317"/>
      <c r="E8728" s="318"/>
      <c r="F8728" s="247"/>
      <c r="G8728" s="247"/>
      <c r="H8728" s="248"/>
      <c r="I8728" s="248"/>
      <c r="J8728" s="247"/>
      <c r="K8728" s="249"/>
    </row>
    <row r="8729" spans="1:11" s="90" customFormat="1" ht="12.75" customHeight="1" x14ac:dyDescent="0.2">
      <c r="A8729" s="247"/>
      <c r="B8729" s="316"/>
      <c r="C8729" s="247"/>
      <c r="D8729" s="317"/>
      <c r="E8729" s="318"/>
      <c r="F8729" s="247"/>
      <c r="G8729" s="247"/>
      <c r="H8729" s="248"/>
      <c r="I8729" s="248"/>
      <c r="J8729" s="247"/>
      <c r="K8729" s="249"/>
    </row>
    <row r="8730" spans="1:11" s="90" customFormat="1" ht="12.75" customHeight="1" x14ac:dyDescent="0.2">
      <c r="A8730" s="247"/>
      <c r="B8730" s="316"/>
      <c r="C8730" s="247"/>
      <c r="D8730" s="317"/>
      <c r="E8730" s="318"/>
      <c r="F8730" s="247"/>
      <c r="G8730" s="247"/>
      <c r="H8730" s="248"/>
      <c r="I8730" s="248"/>
      <c r="J8730" s="247"/>
      <c r="K8730" s="249"/>
    </row>
    <row r="8731" spans="1:11" s="90" customFormat="1" ht="12.75" customHeight="1" x14ac:dyDescent="0.2">
      <c r="A8731" s="247"/>
      <c r="B8731" s="316"/>
      <c r="C8731" s="247"/>
      <c r="D8731" s="317"/>
      <c r="E8731" s="318"/>
      <c r="F8731" s="247"/>
      <c r="G8731" s="247"/>
      <c r="H8731" s="248"/>
      <c r="I8731" s="248"/>
      <c r="J8731" s="247"/>
      <c r="K8731" s="249"/>
    </row>
    <row r="8732" spans="1:11" s="90" customFormat="1" ht="12.75" customHeight="1" x14ac:dyDescent="0.2">
      <c r="A8732" s="247"/>
      <c r="B8732" s="316"/>
      <c r="C8732" s="247"/>
      <c r="D8732" s="317"/>
      <c r="E8732" s="318"/>
      <c r="F8732" s="247"/>
      <c r="G8732" s="247"/>
      <c r="H8732" s="248"/>
      <c r="I8732" s="248"/>
      <c r="J8732" s="247"/>
      <c r="K8732" s="249"/>
    </row>
    <row r="8733" spans="1:11" s="90" customFormat="1" ht="12.75" customHeight="1" x14ac:dyDescent="0.2">
      <c r="A8733" s="247"/>
      <c r="B8733" s="316"/>
      <c r="C8733" s="247"/>
      <c r="D8733" s="317"/>
      <c r="E8733" s="318"/>
      <c r="F8733" s="247"/>
      <c r="G8733" s="247"/>
      <c r="H8733" s="248"/>
      <c r="I8733" s="248"/>
      <c r="J8733" s="247"/>
      <c r="K8733" s="249"/>
    </row>
    <row r="8734" spans="1:11" s="90" customFormat="1" ht="12.75" customHeight="1" x14ac:dyDescent="0.2">
      <c r="A8734" s="247"/>
      <c r="B8734" s="316"/>
      <c r="C8734" s="247"/>
      <c r="D8734" s="317"/>
      <c r="E8734" s="318"/>
      <c r="F8734" s="247"/>
      <c r="G8734" s="247"/>
      <c r="H8734" s="248"/>
      <c r="I8734" s="248"/>
      <c r="J8734" s="247"/>
      <c r="K8734" s="249"/>
    </row>
    <row r="8735" spans="1:11" s="90" customFormat="1" ht="12.75" customHeight="1" x14ac:dyDescent="0.2">
      <c r="A8735" s="247"/>
      <c r="B8735" s="316"/>
      <c r="C8735" s="247"/>
      <c r="D8735" s="317"/>
      <c r="E8735" s="318"/>
      <c r="F8735" s="247"/>
      <c r="G8735" s="247"/>
      <c r="H8735" s="248"/>
      <c r="I8735" s="248"/>
      <c r="J8735" s="247"/>
      <c r="K8735" s="249"/>
    </row>
    <row r="8736" spans="1:11" s="90" customFormat="1" ht="12.75" customHeight="1" x14ac:dyDescent="0.2">
      <c r="A8736" s="247"/>
      <c r="B8736" s="316"/>
      <c r="C8736" s="247"/>
      <c r="D8736" s="317"/>
      <c r="E8736" s="318"/>
      <c r="F8736" s="247"/>
      <c r="G8736" s="247"/>
      <c r="H8736" s="248"/>
      <c r="I8736" s="248"/>
      <c r="J8736" s="247"/>
      <c r="K8736" s="249"/>
    </row>
    <row r="8737" spans="1:11" s="90" customFormat="1" ht="12.75" customHeight="1" x14ac:dyDescent="0.2">
      <c r="A8737" s="247"/>
      <c r="B8737" s="316"/>
      <c r="C8737" s="247"/>
      <c r="D8737" s="317"/>
      <c r="E8737" s="318"/>
      <c r="F8737" s="247"/>
      <c r="G8737" s="247"/>
      <c r="H8737" s="248"/>
      <c r="I8737" s="248"/>
      <c r="J8737" s="247"/>
      <c r="K8737" s="249"/>
    </row>
    <row r="8738" spans="1:11" s="90" customFormat="1" ht="12.75" customHeight="1" x14ac:dyDescent="0.2">
      <c r="A8738" s="247"/>
      <c r="B8738" s="316"/>
      <c r="C8738" s="247"/>
      <c r="D8738" s="317"/>
      <c r="E8738" s="318"/>
      <c r="F8738" s="247"/>
      <c r="G8738" s="247"/>
      <c r="H8738" s="248"/>
      <c r="I8738" s="248"/>
      <c r="J8738" s="247"/>
      <c r="K8738" s="249"/>
    </row>
    <row r="8739" spans="1:11" s="90" customFormat="1" ht="12.75" customHeight="1" x14ac:dyDescent="0.2">
      <c r="A8739" s="247"/>
      <c r="B8739" s="316"/>
      <c r="C8739" s="247"/>
      <c r="D8739" s="317"/>
      <c r="E8739" s="318"/>
      <c r="F8739" s="247"/>
      <c r="G8739" s="247"/>
      <c r="H8739" s="248"/>
      <c r="I8739" s="248"/>
      <c r="J8739" s="247"/>
      <c r="K8739" s="249"/>
    </row>
    <row r="8740" spans="1:11" s="90" customFormat="1" ht="12.75" customHeight="1" x14ac:dyDescent="0.2">
      <c r="A8740" s="247"/>
      <c r="B8740" s="316"/>
      <c r="C8740" s="247"/>
      <c r="D8740" s="317"/>
      <c r="E8740" s="318"/>
      <c r="F8740" s="247"/>
      <c r="G8740" s="247"/>
      <c r="H8740" s="248"/>
      <c r="I8740" s="248"/>
      <c r="J8740" s="247"/>
      <c r="K8740" s="249"/>
    </row>
    <row r="8741" spans="1:11" s="90" customFormat="1" ht="12.75" customHeight="1" x14ac:dyDescent="0.2">
      <c r="A8741" s="247"/>
      <c r="B8741" s="316"/>
      <c r="C8741" s="247"/>
      <c r="D8741" s="317"/>
      <c r="E8741" s="318"/>
      <c r="F8741" s="247"/>
      <c r="G8741" s="247"/>
      <c r="H8741" s="248"/>
      <c r="I8741" s="248"/>
      <c r="J8741" s="247"/>
      <c r="K8741" s="249"/>
    </row>
    <row r="8742" spans="1:11" s="90" customFormat="1" ht="12.75" customHeight="1" x14ac:dyDescent="0.2">
      <c r="A8742" s="247"/>
      <c r="B8742" s="316"/>
      <c r="C8742" s="247"/>
      <c r="D8742" s="317"/>
      <c r="E8742" s="318"/>
      <c r="F8742" s="247"/>
      <c r="G8742" s="247"/>
      <c r="H8742" s="248"/>
      <c r="I8742" s="248"/>
      <c r="J8742" s="247"/>
      <c r="K8742" s="249"/>
    </row>
    <row r="8743" spans="1:11" s="90" customFormat="1" ht="12.75" customHeight="1" x14ac:dyDescent="0.2">
      <c r="A8743" s="247"/>
      <c r="B8743" s="316"/>
      <c r="C8743" s="247"/>
      <c r="D8743" s="317"/>
      <c r="E8743" s="318"/>
      <c r="F8743" s="247"/>
      <c r="G8743" s="247"/>
      <c r="H8743" s="248"/>
      <c r="I8743" s="248"/>
      <c r="J8743" s="247"/>
      <c r="K8743" s="249"/>
    </row>
    <row r="8744" spans="1:11" s="90" customFormat="1" ht="12.75" customHeight="1" x14ac:dyDescent="0.2">
      <c r="A8744" s="247"/>
      <c r="B8744" s="316"/>
      <c r="C8744" s="247"/>
      <c r="D8744" s="317"/>
      <c r="E8744" s="318"/>
      <c r="F8744" s="247"/>
      <c r="G8744" s="247"/>
      <c r="H8744" s="248"/>
      <c r="I8744" s="248"/>
      <c r="J8744" s="247"/>
      <c r="K8744" s="249"/>
    </row>
    <row r="8745" spans="1:11" s="90" customFormat="1" ht="12.75" customHeight="1" x14ac:dyDescent="0.2">
      <c r="A8745" s="247"/>
      <c r="B8745" s="316"/>
      <c r="C8745" s="247"/>
      <c r="D8745" s="317"/>
      <c r="E8745" s="318"/>
      <c r="F8745" s="247"/>
      <c r="G8745" s="247"/>
      <c r="H8745" s="248"/>
      <c r="I8745" s="248"/>
      <c r="J8745" s="247"/>
      <c r="K8745" s="249"/>
    </row>
    <row r="8746" spans="1:11" s="90" customFormat="1" ht="12.75" customHeight="1" x14ac:dyDescent="0.2">
      <c r="A8746" s="247"/>
      <c r="B8746" s="316"/>
      <c r="C8746" s="247"/>
      <c r="D8746" s="317"/>
      <c r="E8746" s="318"/>
      <c r="F8746" s="247"/>
      <c r="G8746" s="247"/>
      <c r="H8746" s="248"/>
      <c r="I8746" s="248"/>
      <c r="J8746" s="247"/>
      <c r="K8746" s="249"/>
    </row>
    <row r="8747" spans="1:11" s="90" customFormat="1" ht="12.75" customHeight="1" x14ac:dyDescent="0.2">
      <c r="A8747" s="247"/>
      <c r="B8747" s="316"/>
      <c r="C8747" s="247"/>
      <c r="D8747" s="317"/>
      <c r="E8747" s="318"/>
      <c r="F8747" s="247"/>
      <c r="G8747" s="247"/>
      <c r="H8747" s="248"/>
      <c r="I8747" s="248"/>
      <c r="J8747" s="247"/>
      <c r="K8747" s="249"/>
    </row>
    <row r="8748" spans="1:11" s="90" customFormat="1" ht="12.75" customHeight="1" x14ac:dyDescent="0.2">
      <c r="A8748" s="247"/>
      <c r="B8748" s="316"/>
      <c r="C8748" s="247"/>
      <c r="D8748" s="317"/>
      <c r="E8748" s="318"/>
      <c r="F8748" s="247"/>
      <c r="G8748" s="247"/>
      <c r="H8748" s="248"/>
      <c r="I8748" s="248"/>
      <c r="J8748" s="247"/>
      <c r="K8748" s="249"/>
    </row>
    <row r="8749" spans="1:11" s="90" customFormat="1" ht="12.75" customHeight="1" x14ac:dyDescent="0.2">
      <c r="A8749" s="247"/>
      <c r="B8749" s="316"/>
      <c r="C8749" s="247"/>
      <c r="D8749" s="317"/>
      <c r="E8749" s="318"/>
      <c r="F8749" s="247"/>
      <c r="G8749" s="247"/>
      <c r="H8749" s="248"/>
      <c r="I8749" s="248"/>
      <c r="J8749" s="247"/>
      <c r="K8749" s="249"/>
    </row>
    <row r="8750" spans="1:11" s="90" customFormat="1" ht="12.75" customHeight="1" x14ac:dyDescent="0.2">
      <c r="A8750" s="247"/>
      <c r="B8750" s="316"/>
      <c r="C8750" s="247"/>
      <c r="D8750" s="317"/>
      <c r="E8750" s="318"/>
      <c r="F8750" s="247"/>
      <c r="G8750" s="247"/>
      <c r="H8750" s="248"/>
      <c r="I8750" s="248"/>
      <c r="J8750" s="247"/>
      <c r="K8750" s="249"/>
    </row>
    <row r="8751" spans="1:11" s="90" customFormat="1" ht="12.75" customHeight="1" x14ac:dyDescent="0.2">
      <c r="A8751" s="247"/>
      <c r="B8751" s="316"/>
      <c r="C8751" s="247"/>
      <c r="D8751" s="317"/>
      <c r="E8751" s="318"/>
      <c r="F8751" s="247"/>
      <c r="G8751" s="247"/>
      <c r="H8751" s="248"/>
      <c r="I8751" s="248"/>
      <c r="J8751" s="247"/>
      <c r="K8751" s="249"/>
    </row>
    <row r="8752" spans="1:11" s="90" customFormat="1" ht="12.75" customHeight="1" x14ac:dyDescent="0.2">
      <c r="A8752" s="247"/>
      <c r="B8752" s="316"/>
      <c r="C8752" s="247"/>
      <c r="D8752" s="317"/>
      <c r="E8752" s="318"/>
      <c r="F8752" s="247"/>
      <c r="G8752" s="247"/>
      <c r="H8752" s="248"/>
      <c r="I8752" s="248"/>
      <c r="J8752" s="247"/>
      <c r="K8752" s="249"/>
    </row>
    <row r="8753" spans="1:11" s="90" customFormat="1" ht="12.75" customHeight="1" x14ac:dyDescent="0.2">
      <c r="A8753" s="247"/>
      <c r="B8753" s="316"/>
      <c r="C8753" s="247"/>
      <c r="D8753" s="317"/>
      <c r="E8753" s="318"/>
      <c r="F8753" s="247"/>
      <c r="G8753" s="247"/>
      <c r="H8753" s="248"/>
      <c r="I8753" s="248"/>
      <c r="J8753" s="247"/>
      <c r="K8753" s="249"/>
    </row>
    <row r="8754" spans="1:11" s="90" customFormat="1" ht="12.75" customHeight="1" x14ac:dyDescent="0.2">
      <c r="A8754" s="247"/>
      <c r="B8754" s="316"/>
      <c r="C8754" s="247"/>
      <c r="D8754" s="317"/>
      <c r="E8754" s="318"/>
      <c r="F8754" s="247"/>
      <c r="G8754" s="247"/>
      <c r="H8754" s="248"/>
      <c r="I8754" s="248"/>
      <c r="J8754" s="247"/>
      <c r="K8754" s="249"/>
    </row>
    <row r="8755" spans="1:11" s="90" customFormat="1" ht="12.75" customHeight="1" x14ac:dyDescent="0.2">
      <c r="A8755" s="247"/>
      <c r="B8755" s="316"/>
      <c r="C8755" s="247"/>
      <c r="D8755" s="317"/>
      <c r="E8755" s="318"/>
      <c r="F8755" s="247"/>
      <c r="G8755" s="247"/>
      <c r="H8755" s="248"/>
      <c r="I8755" s="248"/>
      <c r="J8755" s="247"/>
      <c r="K8755" s="249"/>
    </row>
    <row r="8756" spans="1:11" s="90" customFormat="1" ht="12.75" customHeight="1" x14ac:dyDescent="0.2">
      <c r="A8756" s="247"/>
      <c r="B8756" s="316"/>
      <c r="C8756" s="247"/>
      <c r="D8756" s="317"/>
      <c r="E8756" s="318"/>
      <c r="F8756" s="247"/>
      <c r="G8756" s="247"/>
      <c r="H8756" s="248"/>
      <c r="I8756" s="248"/>
      <c r="J8756" s="247"/>
      <c r="K8756" s="249"/>
    </row>
    <row r="8757" spans="1:11" s="90" customFormat="1" ht="12.75" customHeight="1" x14ac:dyDescent="0.2">
      <c r="A8757" s="247"/>
      <c r="B8757" s="316"/>
      <c r="C8757" s="247"/>
      <c r="D8757" s="317"/>
      <c r="E8757" s="318"/>
      <c r="F8757" s="247"/>
      <c r="G8757" s="247"/>
      <c r="H8757" s="248"/>
      <c r="I8757" s="248"/>
      <c r="J8757" s="247"/>
      <c r="K8757" s="249"/>
    </row>
    <row r="8758" spans="1:11" s="90" customFormat="1" ht="12.75" customHeight="1" x14ac:dyDescent="0.2">
      <c r="A8758" s="247"/>
      <c r="B8758" s="316"/>
      <c r="C8758" s="247"/>
      <c r="D8758" s="317"/>
      <c r="E8758" s="318"/>
      <c r="F8758" s="247"/>
      <c r="G8758" s="247"/>
      <c r="H8758" s="248"/>
      <c r="I8758" s="248"/>
      <c r="J8758" s="247"/>
      <c r="K8758" s="249"/>
    </row>
    <row r="8759" spans="1:11" s="90" customFormat="1" ht="12.75" customHeight="1" x14ac:dyDescent="0.2">
      <c r="A8759" s="247"/>
      <c r="B8759" s="316"/>
      <c r="C8759" s="247"/>
      <c r="D8759" s="317"/>
      <c r="E8759" s="318"/>
      <c r="F8759" s="247"/>
      <c r="G8759" s="247"/>
      <c r="H8759" s="248"/>
      <c r="I8759" s="248"/>
      <c r="J8759" s="247"/>
      <c r="K8759" s="249"/>
    </row>
    <row r="8760" spans="1:11" s="90" customFormat="1" ht="12.75" customHeight="1" x14ac:dyDescent="0.2">
      <c r="A8760" s="247"/>
      <c r="B8760" s="316"/>
      <c r="C8760" s="247"/>
      <c r="D8760" s="317"/>
      <c r="E8760" s="318"/>
      <c r="F8760" s="247"/>
      <c r="G8760" s="247"/>
      <c r="H8760" s="248"/>
      <c r="I8760" s="248"/>
      <c r="J8760" s="247"/>
      <c r="K8760" s="249"/>
    </row>
    <row r="8761" spans="1:11" s="90" customFormat="1" ht="12.75" customHeight="1" x14ac:dyDescent="0.2">
      <c r="A8761" s="247"/>
      <c r="B8761" s="316"/>
      <c r="C8761" s="247"/>
      <c r="D8761" s="317"/>
      <c r="E8761" s="318"/>
      <c r="F8761" s="247"/>
      <c r="G8761" s="247"/>
      <c r="H8761" s="248"/>
      <c r="I8761" s="248"/>
      <c r="J8761" s="247"/>
      <c r="K8761" s="249"/>
    </row>
    <row r="8762" spans="1:11" s="90" customFormat="1" ht="12.75" customHeight="1" x14ac:dyDescent="0.2">
      <c r="A8762" s="247"/>
      <c r="B8762" s="316"/>
      <c r="C8762" s="247"/>
      <c r="D8762" s="317"/>
      <c r="E8762" s="318"/>
      <c r="F8762" s="247"/>
      <c r="G8762" s="247"/>
      <c r="H8762" s="248"/>
      <c r="I8762" s="248"/>
      <c r="J8762" s="247"/>
      <c r="K8762" s="249"/>
    </row>
    <row r="8763" spans="1:11" s="90" customFormat="1" ht="12.75" customHeight="1" x14ac:dyDescent="0.2">
      <c r="A8763" s="247"/>
      <c r="B8763" s="316"/>
      <c r="C8763" s="247"/>
      <c r="D8763" s="317"/>
      <c r="E8763" s="318"/>
      <c r="F8763" s="247"/>
      <c r="G8763" s="247"/>
      <c r="H8763" s="248"/>
      <c r="I8763" s="248"/>
      <c r="J8763" s="247"/>
      <c r="K8763" s="249"/>
    </row>
    <row r="8764" spans="1:11" s="90" customFormat="1" ht="12.75" customHeight="1" x14ac:dyDescent="0.2">
      <c r="A8764" s="247"/>
      <c r="B8764" s="316"/>
      <c r="C8764" s="247"/>
      <c r="D8764" s="317"/>
      <c r="E8764" s="318"/>
      <c r="F8764" s="247"/>
      <c r="G8764" s="247"/>
      <c r="H8764" s="248"/>
      <c r="I8764" s="248"/>
      <c r="J8764" s="247"/>
      <c r="K8764" s="249"/>
    </row>
    <row r="8765" spans="1:11" s="90" customFormat="1" ht="12.75" customHeight="1" x14ac:dyDescent="0.2">
      <c r="A8765" s="247"/>
      <c r="B8765" s="316"/>
      <c r="C8765" s="247"/>
      <c r="D8765" s="317"/>
      <c r="E8765" s="318"/>
      <c r="F8765" s="247"/>
      <c r="G8765" s="247"/>
      <c r="H8765" s="248"/>
      <c r="I8765" s="248"/>
      <c r="J8765" s="247"/>
      <c r="K8765" s="249"/>
    </row>
    <row r="8766" spans="1:11" s="90" customFormat="1" ht="12.75" customHeight="1" x14ac:dyDescent="0.2">
      <c r="A8766" s="247"/>
      <c r="B8766" s="316"/>
      <c r="C8766" s="247"/>
      <c r="D8766" s="317"/>
      <c r="E8766" s="318"/>
      <c r="F8766" s="247"/>
      <c r="G8766" s="247"/>
      <c r="H8766" s="248"/>
      <c r="I8766" s="248"/>
      <c r="J8766" s="247"/>
      <c r="K8766" s="249"/>
    </row>
    <row r="8767" spans="1:11" s="90" customFormat="1" ht="12.75" customHeight="1" x14ac:dyDescent="0.2">
      <c r="A8767" s="247"/>
      <c r="B8767" s="316"/>
      <c r="C8767" s="247"/>
      <c r="D8767" s="317"/>
      <c r="E8767" s="318"/>
      <c r="F8767" s="247"/>
      <c r="G8767" s="247"/>
      <c r="H8767" s="248"/>
      <c r="I8767" s="248"/>
      <c r="J8767" s="247"/>
      <c r="K8767" s="249"/>
    </row>
    <row r="8768" spans="1:11" s="90" customFormat="1" ht="12.75" customHeight="1" x14ac:dyDescent="0.2">
      <c r="A8768" s="247"/>
      <c r="B8768" s="316"/>
      <c r="C8768" s="247"/>
      <c r="D8768" s="317"/>
      <c r="E8768" s="318"/>
      <c r="F8768" s="247"/>
      <c r="G8768" s="247"/>
      <c r="H8768" s="248"/>
      <c r="I8768" s="248"/>
      <c r="J8768" s="247"/>
      <c r="K8768" s="249"/>
    </row>
    <row r="8769" spans="1:11" s="90" customFormat="1" ht="12.75" customHeight="1" x14ac:dyDescent="0.2">
      <c r="A8769" s="247"/>
      <c r="B8769" s="316"/>
      <c r="C8769" s="247"/>
      <c r="D8769" s="317"/>
      <c r="E8769" s="318"/>
      <c r="F8769" s="247"/>
      <c r="G8769" s="247"/>
      <c r="H8769" s="248"/>
      <c r="I8769" s="248"/>
      <c r="J8769" s="247"/>
      <c r="K8769" s="249"/>
    </row>
    <row r="8770" spans="1:11" s="90" customFormat="1" ht="12.75" customHeight="1" x14ac:dyDescent="0.2">
      <c r="A8770" s="247"/>
      <c r="B8770" s="316"/>
      <c r="C8770" s="247"/>
      <c r="D8770" s="317"/>
      <c r="E8770" s="318"/>
      <c r="F8770" s="247"/>
      <c r="G8770" s="247"/>
      <c r="H8770" s="248"/>
      <c r="I8770" s="248"/>
      <c r="J8770" s="247"/>
      <c r="K8770" s="249"/>
    </row>
    <row r="8771" spans="1:11" s="90" customFormat="1" ht="12.75" customHeight="1" x14ac:dyDescent="0.2">
      <c r="A8771" s="247"/>
      <c r="B8771" s="316"/>
      <c r="C8771" s="247"/>
      <c r="D8771" s="317"/>
      <c r="E8771" s="318"/>
      <c r="F8771" s="247"/>
      <c r="G8771" s="247"/>
      <c r="H8771" s="248"/>
      <c r="I8771" s="248"/>
      <c r="J8771" s="247"/>
      <c r="K8771" s="249"/>
    </row>
    <row r="8772" spans="1:11" s="90" customFormat="1" ht="12.75" customHeight="1" x14ac:dyDescent="0.2">
      <c r="A8772" s="247"/>
      <c r="B8772" s="316"/>
      <c r="C8772" s="247"/>
      <c r="D8772" s="317"/>
      <c r="E8772" s="318"/>
      <c r="F8772" s="247"/>
      <c r="G8772" s="247"/>
      <c r="H8772" s="248"/>
      <c r="I8772" s="248"/>
      <c r="J8772" s="247"/>
      <c r="K8772" s="249"/>
    </row>
    <row r="8773" spans="1:11" s="90" customFormat="1" ht="12.75" customHeight="1" x14ac:dyDescent="0.2">
      <c r="A8773" s="247"/>
      <c r="B8773" s="316"/>
      <c r="C8773" s="247"/>
      <c r="D8773" s="317"/>
      <c r="E8773" s="318"/>
      <c r="F8773" s="247"/>
      <c r="G8773" s="247"/>
      <c r="H8773" s="248"/>
      <c r="I8773" s="248"/>
      <c r="J8773" s="247"/>
      <c r="K8773" s="249"/>
    </row>
    <row r="8774" spans="1:11" s="90" customFormat="1" ht="12.75" customHeight="1" x14ac:dyDescent="0.2">
      <c r="A8774" s="247"/>
      <c r="B8774" s="316"/>
      <c r="C8774" s="247"/>
      <c r="D8774" s="317"/>
      <c r="E8774" s="318"/>
      <c r="F8774" s="247"/>
      <c r="G8774" s="247"/>
      <c r="H8774" s="248"/>
      <c r="I8774" s="248"/>
      <c r="J8774" s="247"/>
      <c r="K8774" s="249"/>
    </row>
    <row r="8775" spans="1:11" s="90" customFormat="1" ht="12.75" customHeight="1" x14ac:dyDescent="0.2">
      <c r="A8775" s="247"/>
      <c r="B8775" s="316"/>
      <c r="C8775" s="247"/>
      <c r="D8775" s="317"/>
      <c r="E8775" s="318"/>
      <c r="F8775" s="247"/>
      <c r="G8775" s="247"/>
      <c r="H8775" s="248"/>
      <c r="I8775" s="248"/>
      <c r="J8775" s="247"/>
      <c r="K8775" s="249"/>
    </row>
    <row r="8776" spans="1:11" s="90" customFormat="1" ht="12.75" customHeight="1" x14ac:dyDescent="0.2">
      <c r="A8776" s="247"/>
      <c r="B8776" s="316"/>
      <c r="C8776" s="247"/>
      <c r="D8776" s="317"/>
      <c r="E8776" s="318"/>
      <c r="F8776" s="247"/>
      <c r="G8776" s="247"/>
      <c r="H8776" s="248"/>
      <c r="I8776" s="248"/>
      <c r="J8776" s="247"/>
      <c r="K8776" s="249"/>
    </row>
    <row r="8777" spans="1:11" s="90" customFormat="1" ht="12.75" customHeight="1" x14ac:dyDescent="0.2">
      <c r="A8777" s="247"/>
      <c r="B8777" s="316"/>
      <c r="C8777" s="247"/>
      <c r="D8777" s="317"/>
      <c r="E8777" s="318"/>
      <c r="F8777" s="247"/>
      <c r="G8777" s="247"/>
      <c r="H8777" s="248"/>
      <c r="I8777" s="248"/>
      <c r="J8777" s="247"/>
      <c r="K8777" s="249"/>
    </row>
    <row r="8778" spans="1:11" s="90" customFormat="1" ht="12.75" customHeight="1" x14ac:dyDescent="0.2">
      <c r="A8778" s="247"/>
      <c r="B8778" s="316"/>
      <c r="C8778" s="247"/>
      <c r="D8778" s="317"/>
      <c r="E8778" s="318"/>
      <c r="F8778" s="247"/>
      <c r="G8778" s="247"/>
      <c r="H8778" s="248"/>
      <c r="I8778" s="248"/>
      <c r="J8778" s="247"/>
      <c r="K8778" s="249"/>
    </row>
    <row r="8779" spans="1:11" s="90" customFormat="1" ht="12.75" customHeight="1" x14ac:dyDescent="0.2">
      <c r="A8779" s="247"/>
      <c r="B8779" s="316"/>
      <c r="C8779" s="247"/>
      <c r="D8779" s="317"/>
      <c r="E8779" s="318"/>
      <c r="F8779" s="247"/>
      <c r="G8779" s="247"/>
      <c r="H8779" s="248"/>
      <c r="I8779" s="248"/>
      <c r="J8779" s="247"/>
      <c r="K8779" s="249"/>
    </row>
    <row r="8780" spans="1:11" s="90" customFormat="1" ht="12.75" customHeight="1" x14ac:dyDescent="0.2">
      <c r="A8780" s="247"/>
      <c r="B8780" s="316"/>
      <c r="C8780" s="247"/>
      <c r="D8780" s="317"/>
      <c r="E8780" s="318"/>
      <c r="F8780" s="247"/>
      <c r="G8780" s="247"/>
      <c r="H8780" s="248"/>
      <c r="I8780" s="248"/>
      <c r="J8780" s="247"/>
      <c r="K8780" s="249"/>
    </row>
    <row r="8781" spans="1:11" s="90" customFormat="1" ht="12.75" customHeight="1" x14ac:dyDescent="0.2">
      <c r="A8781" s="247"/>
      <c r="B8781" s="316"/>
      <c r="C8781" s="247"/>
      <c r="D8781" s="317"/>
      <c r="E8781" s="318"/>
      <c r="F8781" s="247"/>
      <c r="G8781" s="247"/>
      <c r="H8781" s="248"/>
      <c r="I8781" s="248"/>
      <c r="J8781" s="247"/>
      <c r="K8781" s="249"/>
    </row>
    <row r="8782" spans="1:11" s="90" customFormat="1" ht="12.75" customHeight="1" x14ac:dyDescent="0.2">
      <c r="A8782" s="247"/>
      <c r="B8782" s="316"/>
      <c r="C8782" s="247"/>
      <c r="D8782" s="317"/>
      <c r="E8782" s="318"/>
      <c r="F8782" s="247"/>
      <c r="G8782" s="247"/>
      <c r="H8782" s="248"/>
      <c r="I8782" s="248"/>
      <c r="J8782" s="247"/>
      <c r="K8782" s="249"/>
    </row>
    <row r="8783" spans="1:11" s="90" customFormat="1" ht="12.75" customHeight="1" x14ac:dyDescent="0.2">
      <c r="A8783" s="247"/>
      <c r="B8783" s="316"/>
      <c r="C8783" s="247"/>
      <c r="D8783" s="317"/>
      <c r="E8783" s="318"/>
      <c r="F8783" s="247"/>
      <c r="G8783" s="247"/>
      <c r="H8783" s="248"/>
      <c r="I8783" s="248"/>
      <c r="J8783" s="247"/>
      <c r="K8783" s="249"/>
    </row>
    <row r="8784" spans="1:11" s="90" customFormat="1" ht="12.75" customHeight="1" x14ac:dyDescent="0.2">
      <c r="A8784" s="247"/>
      <c r="B8784" s="316"/>
      <c r="C8784" s="247"/>
      <c r="D8784" s="317"/>
      <c r="E8784" s="318"/>
      <c r="F8784" s="247"/>
      <c r="G8784" s="247"/>
      <c r="H8784" s="248"/>
      <c r="I8784" s="248"/>
      <c r="J8784" s="247"/>
      <c r="K8784" s="249"/>
    </row>
    <row r="8785" spans="1:11" s="90" customFormat="1" ht="12.75" customHeight="1" x14ac:dyDescent="0.2">
      <c r="A8785" s="247"/>
      <c r="B8785" s="316"/>
      <c r="C8785" s="247"/>
      <c r="D8785" s="317"/>
      <c r="E8785" s="318"/>
      <c r="F8785" s="247"/>
      <c r="G8785" s="247"/>
      <c r="H8785" s="248"/>
      <c r="I8785" s="248"/>
      <c r="J8785" s="247"/>
      <c r="K8785" s="249"/>
    </row>
    <row r="8786" spans="1:11" s="90" customFormat="1" ht="12.75" customHeight="1" x14ac:dyDescent="0.2">
      <c r="A8786" s="247"/>
      <c r="B8786" s="316"/>
      <c r="C8786" s="247"/>
      <c r="D8786" s="317"/>
      <c r="E8786" s="318"/>
      <c r="F8786" s="247"/>
      <c r="G8786" s="247"/>
      <c r="H8786" s="248"/>
      <c r="I8786" s="248"/>
      <c r="J8786" s="247"/>
      <c r="K8786" s="249"/>
    </row>
    <row r="8787" spans="1:11" s="90" customFormat="1" ht="12.75" customHeight="1" x14ac:dyDescent="0.2">
      <c r="A8787" s="247"/>
      <c r="B8787" s="316"/>
      <c r="C8787" s="247"/>
      <c r="D8787" s="317"/>
      <c r="E8787" s="318"/>
      <c r="F8787" s="247"/>
      <c r="G8787" s="247"/>
      <c r="H8787" s="248"/>
      <c r="I8787" s="248"/>
      <c r="J8787" s="247"/>
      <c r="K8787" s="249"/>
    </row>
    <row r="8788" spans="1:11" s="90" customFormat="1" ht="12.75" customHeight="1" x14ac:dyDescent="0.2">
      <c r="A8788" s="247"/>
      <c r="B8788" s="316"/>
      <c r="C8788" s="247"/>
      <c r="D8788" s="317"/>
      <c r="E8788" s="318"/>
      <c r="F8788" s="247"/>
      <c r="G8788" s="247"/>
      <c r="H8788" s="248"/>
      <c r="I8788" s="248"/>
      <c r="J8788" s="247"/>
      <c r="K8788" s="249"/>
    </row>
    <row r="8789" spans="1:11" s="90" customFormat="1" ht="12.75" customHeight="1" x14ac:dyDescent="0.2">
      <c r="A8789" s="247"/>
      <c r="B8789" s="316"/>
      <c r="C8789" s="247"/>
      <c r="D8789" s="317"/>
      <c r="E8789" s="318"/>
      <c r="F8789" s="247"/>
      <c r="G8789" s="247"/>
      <c r="H8789" s="248"/>
      <c r="I8789" s="248"/>
      <c r="J8789" s="247"/>
      <c r="K8789" s="249"/>
    </row>
    <row r="8790" spans="1:11" s="90" customFormat="1" ht="12.75" customHeight="1" x14ac:dyDescent="0.2">
      <c r="A8790" s="247"/>
      <c r="B8790" s="316"/>
      <c r="C8790" s="247"/>
      <c r="D8790" s="317"/>
      <c r="E8790" s="318"/>
      <c r="F8790" s="247"/>
      <c r="G8790" s="247"/>
      <c r="H8790" s="248"/>
      <c r="I8790" s="248"/>
      <c r="J8790" s="247"/>
      <c r="K8790" s="249"/>
    </row>
    <row r="8791" spans="1:11" s="90" customFormat="1" ht="12.75" customHeight="1" x14ac:dyDescent="0.2">
      <c r="A8791" s="247"/>
      <c r="B8791" s="316"/>
      <c r="C8791" s="247"/>
      <c r="D8791" s="317"/>
      <c r="E8791" s="318"/>
      <c r="F8791" s="247"/>
      <c r="G8791" s="247"/>
      <c r="H8791" s="248"/>
      <c r="I8791" s="248"/>
      <c r="J8791" s="247"/>
      <c r="K8791" s="249"/>
    </row>
    <row r="8792" spans="1:11" s="90" customFormat="1" ht="12.75" customHeight="1" x14ac:dyDescent="0.2">
      <c r="A8792" s="247"/>
      <c r="B8792" s="316"/>
      <c r="C8792" s="247"/>
      <c r="D8792" s="317"/>
      <c r="E8792" s="318"/>
      <c r="F8792" s="247"/>
      <c r="G8792" s="247"/>
      <c r="H8792" s="248"/>
      <c r="I8792" s="248"/>
      <c r="J8792" s="247"/>
      <c r="K8792" s="249"/>
    </row>
    <row r="8793" spans="1:11" s="90" customFormat="1" ht="12.75" customHeight="1" x14ac:dyDescent="0.2">
      <c r="A8793" s="247"/>
      <c r="B8793" s="316"/>
      <c r="C8793" s="247"/>
      <c r="D8793" s="317"/>
      <c r="E8793" s="318"/>
      <c r="F8793" s="247"/>
      <c r="G8793" s="247"/>
      <c r="H8793" s="248"/>
      <c r="I8793" s="248"/>
      <c r="J8793" s="247"/>
      <c r="K8793" s="249"/>
    </row>
    <row r="8794" spans="1:11" s="90" customFormat="1" ht="12.75" customHeight="1" x14ac:dyDescent="0.2">
      <c r="A8794" s="247"/>
      <c r="B8794" s="316"/>
      <c r="C8794" s="247"/>
      <c r="D8794" s="317"/>
      <c r="E8794" s="318"/>
      <c r="F8794" s="247"/>
      <c r="G8794" s="247"/>
      <c r="H8794" s="248"/>
      <c r="I8794" s="248"/>
      <c r="J8794" s="247"/>
      <c r="K8794" s="249"/>
    </row>
    <row r="8795" spans="1:11" s="90" customFormat="1" ht="12.75" customHeight="1" x14ac:dyDescent="0.2">
      <c r="A8795" s="247"/>
      <c r="B8795" s="316"/>
      <c r="C8795" s="247"/>
      <c r="D8795" s="317"/>
      <c r="E8795" s="318"/>
      <c r="F8795" s="247"/>
      <c r="G8795" s="247"/>
      <c r="H8795" s="248"/>
      <c r="I8795" s="248"/>
      <c r="J8795" s="247"/>
      <c r="K8795" s="249"/>
    </row>
    <row r="8796" spans="1:11" s="90" customFormat="1" ht="12.75" customHeight="1" x14ac:dyDescent="0.2">
      <c r="A8796" s="247"/>
      <c r="B8796" s="316"/>
      <c r="C8796" s="247"/>
      <c r="D8796" s="317"/>
      <c r="E8796" s="318"/>
      <c r="F8796" s="247"/>
      <c r="G8796" s="247"/>
      <c r="H8796" s="248"/>
      <c r="I8796" s="248"/>
      <c r="J8796" s="247"/>
      <c r="K8796" s="249"/>
    </row>
    <row r="8797" spans="1:11" s="90" customFormat="1" ht="12.75" customHeight="1" x14ac:dyDescent="0.2">
      <c r="A8797" s="247"/>
      <c r="B8797" s="316"/>
      <c r="C8797" s="247"/>
      <c r="D8797" s="317"/>
      <c r="E8797" s="318"/>
      <c r="F8797" s="247"/>
      <c r="G8797" s="247"/>
      <c r="H8797" s="248"/>
      <c r="I8797" s="248"/>
      <c r="J8797" s="247"/>
      <c r="K8797" s="249"/>
    </row>
    <row r="8798" spans="1:11" s="90" customFormat="1" ht="12.75" customHeight="1" x14ac:dyDescent="0.2">
      <c r="A8798" s="247"/>
      <c r="B8798" s="316"/>
      <c r="C8798" s="247"/>
      <c r="D8798" s="317"/>
      <c r="E8798" s="318"/>
      <c r="F8798" s="247"/>
      <c r="G8798" s="247"/>
      <c r="H8798" s="248"/>
      <c r="I8798" s="248"/>
      <c r="J8798" s="247"/>
      <c r="K8798" s="249"/>
    </row>
    <row r="8799" spans="1:11" s="90" customFormat="1" ht="12.75" customHeight="1" x14ac:dyDescent="0.2">
      <c r="A8799" s="247"/>
      <c r="B8799" s="316"/>
      <c r="C8799" s="247"/>
      <c r="D8799" s="317"/>
      <c r="E8799" s="318"/>
      <c r="F8799" s="247"/>
      <c r="G8799" s="247"/>
      <c r="H8799" s="248"/>
      <c r="I8799" s="248"/>
      <c r="J8799" s="247"/>
      <c r="K8799" s="249"/>
    </row>
    <row r="8800" spans="1:11" s="90" customFormat="1" ht="12.75" customHeight="1" x14ac:dyDescent="0.2">
      <c r="A8800" s="247"/>
      <c r="B8800" s="316"/>
      <c r="C8800" s="247"/>
      <c r="D8800" s="317"/>
      <c r="E8800" s="318"/>
      <c r="F8800" s="247"/>
      <c r="G8800" s="247"/>
      <c r="H8800" s="248"/>
      <c r="I8800" s="248"/>
      <c r="J8800" s="247"/>
      <c r="K8800" s="249"/>
    </row>
    <row r="8801" spans="1:11" s="90" customFormat="1" ht="12.75" customHeight="1" x14ac:dyDescent="0.2">
      <c r="A8801" s="247"/>
      <c r="B8801" s="316"/>
      <c r="C8801" s="247"/>
      <c r="D8801" s="317"/>
      <c r="E8801" s="318"/>
      <c r="F8801" s="247"/>
      <c r="G8801" s="247"/>
      <c r="H8801" s="248"/>
      <c r="I8801" s="248"/>
      <c r="J8801" s="247"/>
      <c r="K8801" s="249"/>
    </row>
    <row r="8802" spans="1:11" s="90" customFormat="1" ht="12.75" customHeight="1" x14ac:dyDescent="0.2">
      <c r="A8802" s="247"/>
      <c r="B8802" s="316"/>
      <c r="C8802" s="247"/>
      <c r="D8802" s="317"/>
      <c r="E8802" s="318"/>
      <c r="F8802" s="247"/>
      <c r="G8802" s="247"/>
      <c r="H8802" s="248"/>
      <c r="I8802" s="248"/>
      <c r="J8802" s="247"/>
      <c r="K8802" s="249"/>
    </row>
    <row r="8803" spans="1:11" s="90" customFormat="1" ht="12.75" customHeight="1" x14ac:dyDescent="0.2">
      <c r="A8803" s="247"/>
      <c r="B8803" s="316"/>
      <c r="C8803" s="247"/>
      <c r="D8803" s="317"/>
      <c r="E8803" s="318"/>
      <c r="F8803" s="247"/>
      <c r="G8803" s="247"/>
      <c r="H8803" s="248"/>
      <c r="I8803" s="248"/>
      <c r="J8803" s="247"/>
      <c r="K8803" s="249"/>
    </row>
    <row r="8804" spans="1:11" s="90" customFormat="1" ht="12.75" customHeight="1" x14ac:dyDescent="0.2">
      <c r="A8804" s="247"/>
      <c r="B8804" s="316"/>
      <c r="C8804" s="247"/>
      <c r="D8804" s="317"/>
      <c r="E8804" s="318"/>
      <c r="F8804" s="247"/>
      <c r="G8804" s="247"/>
      <c r="H8804" s="248"/>
      <c r="I8804" s="248"/>
      <c r="J8804" s="247"/>
      <c r="K8804" s="249"/>
    </row>
    <row r="8805" spans="1:11" s="90" customFormat="1" ht="12.75" customHeight="1" x14ac:dyDescent="0.2">
      <c r="A8805" s="247"/>
      <c r="B8805" s="316"/>
      <c r="C8805" s="247"/>
      <c r="D8805" s="317"/>
      <c r="E8805" s="318"/>
      <c r="F8805" s="247"/>
      <c r="G8805" s="247"/>
      <c r="H8805" s="248"/>
      <c r="I8805" s="248"/>
      <c r="J8805" s="247"/>
      <c r="K8805" s="249"/>
    </row>
    <row r="8806" spans="1:11" s="90" customFormat="1" ht="12.75" customHeight="1" x14ac:dyDescent="0.2">
      <c r="A8806" s="247"/>
      <c r="B8806" s="316"/>
      <c r="C8806" s="247"/>
      <c r="D8806" s="317"/>
      <c r="E8806" s="318"/>
      <c r="F8806" s="247"/>
      <c r="G8806" s="247"/>
      <c r="H8806" s="248"/>
      <c r="I8806" s="248"/>
      <c r="J8806" s="247"/>
      <c r="K8806" s="249"/>
    </row>
    <row r="8807" spans="1:11" s="90" customFormat="1" ht="12.75" customHeight="1" x14ac:dyDescent="0.2">
      <c r="A8807" s="247"/>
      <c r="B8807" s="316"/>
      <c r="C8807" s="247"/>
      <c r="D8807" s="317"/>
      <c r="E8807" s="318"/>
      <c r="F8807" s="247"/>
      <c r="G8807" s="247"/>
      <c r="H8807" s="248"/>
      <c r="I8807" s="248"/>
      <c r="J8807" s="247"/>
      <c r="K8807" s="249"/>
    </row>
    <row r="8808" spans="1:11" s="90" customFormat="1" ht="12.75" customHeight="1" x14ac:dyDescent="0.2">
      <c r="A8808" s="247"/>
      <c r="B8808" s="316"/>
      <c r="C8808" s="247"/>
      <c r="D8808" s="317"/>
      <c r="E8808" s="318"/>
      <c r="F8808" s="247"/>
      <c r="G8808" s="247"/>
      <c r="H8808" s="248"/>
      <c r="I8808" s="248"/>
      <c r="J8808" s="247"/>
      <c r="K8808" s="249"/>
    </row>
    <row r="8809" spans="1:11" s="90" customFormat="1" ht="12.75" customHeight="1" x14ac:dyDescent="0.2">
      <c r="A8809" s="247"/>
      <c r="B8809" s="316"/>
      <c r="C8809" s="247"/>
      <c r="D8809" s="317"/>
      <c r="E8809" s="318"/>
      <c r="F8809" s="247"/>
      <c r="G8809" s="247"/>
      <c r="H8809" s="248"/>
      <c r="I8809" s="248"/>
      <c r="J8809" s="247"/>
      <c r="K8809" s="249"/>
    </row>
    <row r="8810" spans="1:11" s="90" customFormat="1" ht="12.75" customHeight="1" x14ac:dyDescent="0.2">
      <c r="A8810" s="247"/>
      <c r="B8810" s="316"/>
      <c r="C8810" s="247"/>
      <c r="D8810" s="317"/>
      <c r="E8810" s="318"/>
      <c r="F8810" s="247"/>
      <c r="G8810" s="247"/>
      <c r="H8810" s="248"/>
      <c r="I8810" s="248"/>
      <c r="J8810" s="247"/>
      <c r="K8810" s="249"/>
    </row>
    <row r="8811" spans="1:11" s="90" customFormat="1" ht="12.75" customHeight="1" x14ac:dyDescent="0.2">
      <c r="A8811" s="247"/>
      <c r="B8811" s="316"/>
      <c r="C8811" s="247"/>
      <c r="D8811" s="317"/>
      <c r="E8811" s="318"/>
      <c r="F8811" s="247"/>
      <c r="G8811" s="247"/>
      <c r="H8811" s="248"/>
      <c r="I8811" s="248"/>
      <c r="J8811" s="247"/>
      <c r="K8811" s="249"/>
    </row>
    <row r="8812" spans="1:11" s="90" customFormat="1" ht="12.75" customHeight="1" x14ac:dyDescent="0.2">
      <c r="A8812" s="247"/>
      <c r="B8812" s="316"/>
      <c r="C8812" s="247"/>
      <c r="D8812" s="317"/>
      <c r="E8812" s="318"/>
      <c r="F8812" s="247"/>
      <c r="G8812" s="247"/>
      <c r="H8812" s="248"/>
      <c r="I8812" s="248"/>
      <c r="J8812" s="247"/>
      <c r="K8812" s="249"/>
    </row>
    <row r="8813" spans="1:11" s="90" customFormat="1" ht="12.75" customHeight="1" x14ac:dyDescent="0.2">
      <c r="A8813" s="247"/>
      <c r="B8813" s="316"/>
      <c r="C8813" s="247"/>
      <c r="D8813" s="317"/>
      <c r="E8813" s="318"/>
      <c r="F8813" s="247"/>
      <c r="G8813" s="247"/>
      <c r="H8813" s="248"/>
      <c r="I8813" s="248"/>
      <c r="J8813" s="247"/>
      <c r="K8813" s="249"/>
    </row>
    <row r="8814" spans="1:11" s="90" customFormat="1" ht="12.75" customHeight="1" x14ac:dyDescent="0.2">
      <c r="A8814" s="247"/>
      <c r="B8814" s="316"/>
      <c r="C8814" s="247"/>
      <c r="D8814" s="317"/>
      <c r="E8814" s="318"/>
      <c r="F8814" s="247"/>
      <c r="G8814" s="247"/>
      <c r="H8814" s="248"/>
      <c r="I8814" s="248"/>
      <c r="J8814" s="247"/>
      <c r="K8814" s="249"/>
    </row>
    <row r="8815" spans="1:11" s="90" customFormat="1" ht="12.75" customHeight="1" x14ac:dyDescent="0.2">
      <c r="A8815" s="247"/>
      <c r="B8815" s="316"/>
      <c r="C8815" s="247"/>
      <c r="D8815" s="317"/>
      <c r="E8815" s="318"/>
      <c r="F8815" s="247"/>
      <c r="G8815" s="247"/>
      <c r="H8815" s="248"/>
      <c r="I8815" s="248"/>
      <c r="J8815" s="247"/>
      <c r="K8815" s="249"/>
    </row>
    <row r="8816" spans="1:11" s="90" customFormat="1" ht="12.75" customHeight="1" x14ac:dyDescent="0.2">
      <c r="A8816" s="247"/>
      <c r="B8816" s="316"/>
      <c r="C8816" s="247"/>
      <c r="D8816" s="317"/>
      <c r="E8816" s="318"/>
      <c r="F8816" s="247"/>
      <c r="G8816" s="247"/>
      <c r="H8816" s="248"/>
      <c r="I8816" s="248"/>
      <c r="J8816" s="247"/>
      <c r="K8816" s="249"/>
    </row>
    <row r="8817" spans="1:11" s="90" customFormat="1" ht="12.75" customHeight="1" x14ac:dyDescent="0.2">
      <c r="A8817" s="247"/>
      <c r="B8817" s="316"/>
      <c r="C8817" s="247"/>
      <c r="D8817" s="317"/>
      <c r="E8817" s="318"/>
      <c r="F8817" s="247"/>
      <c r="G8817" s="247"/>
      <c r="H8817" s="248"/>
      <c r="I8817" s="248"/>
      <c r="J8817" s="247"/>
      <c r="K8817" s="249"/>
    </row>
    <row r="8818" spans="1:11" s="90" customFormat="1" ht="12.75" customHeight="1" x14ac:dyDescent="0.2">
      <c r="A8818" s="247"/>
      <c r="B8818" s="316"/>
      <c r="C8818" s="247"/>
      <c r="D8818" s="317"/>
      <c r="E8818" s="318"/>
      <c r="F8818" s="247"/>
      <c r="G8818" s="247"/>
      <c r="H8818" s="248"/>
      <c r="I8818" s="248"/>
      <c r="J8818" s="247"/>
      <c r="K8818" s="249"/>
    </row>
    <row r="8819" spans="1:11" s="90" customFormat="1" ht="12.75" customHeight="1" x14ac:dyDescent="0.2">
      <c r="A8819" s="247"/>
      <c r="B8819" s="316"/>
      <c r="C8819" s="247"/>
      <c r="D8819" s="317"/>
      <c r="E8819" s="318"/>
      <c r="F8819" s="247"/>
      <c r="G8819" s="247"/>
      <c r="H8819" s="248"/>
      <c r="I8819" s="248"/>
      <c r="J8819" s="247"/>
      <c r="K8819" s="249"/>
    </row>
    <row r="8820" spans="1:11" s="90" customFormat="1" ht="12.75" customHeight="1" x14ac:dyDescent="0.2">
      <c r="A8820" s="247"/>
      <c r="B8820" s="316"/>
      <c r="C8820" s="247"/>
      <c r="D8820" s="317"/>
      <c r="E8820" s="318"/>
      <c r="F8820" s="247"/>
      <c r="G8820" s="247"/>
      <c r="H8820" s="248"/>
      <c r="I8820" s="248"/>
      <c r="J8820" s="247"/>
      <c r="K8820" s="249"/>
    </row>
    <row r="8821" spans="1:11" s="90" customFormat="1" ht="12.75" customHeight="1" x14ac:dyDescent="0.2">
      <c r="A8821" s="247"/>
      <c r="B8821" s="316"/>
      <c r="C8821" s="247"/>
      <c r="D8821" s="317"/>
      <c r="E8821" s="318"/>
      <c r="F8821" s="247"/>
      <c r="G8821" s="247"/>
      <c r="H8821" s="248"/>
      <c r="I8821" s="248"/>
      <c r="J8821" s="247"/>
      <c r="K8821" s="249"/>
    </row>
    <row r="8822" spans="1:11" s="90" customFormat="1" ht="12.75" customHeight="1" x14ac:dyDescent="0.2">
      <c r="A8822" s="247"/>
      <c r="B8822" s="316"/>
      <c r="C8822" s="247"/>
      <c r="D8822" s="317"/>
      <c r="E8822" s="318"/>
      <c r="F8822" s="247"/>
      <c r="G8822" s="247"/>
      <c r="H8822" s="248"/>
      <c r="I8822" s="248"/>
      <c r="J8822" s="247"/>
      <c r="K8822" s="249"/>
    </row>
    <row r="8823" spans="1:11" s="90" customFormat="1" ht="12.75" customHeight="1" x14ac:dyDescent="0.2">
      <c r="A8823" s="247"/>
      <c r="B8823" s="316"/>
      <c r="C8823" s="247"/>
      <c r="D8823" s="317"/>
      <c r="E8823" s="318"/>
      <c r="F8823" s="247"/>
      <c r="G8823" s="247"/>
      <c r="H8823" s="248"/>
      <c r="I8823" s="248"/>
      <c r="J8823" s="247"/>
      <c r="K8823" s="249"/>
    </row>
    <row r="8824" spans="1:11" s="90" customFormat="1" ht="12.75" customHeight="1" x14ac:dyDescent="0.2">
      <c r="A8824" s="247"/>
      <c r="B8824" s="316"/>
      <c r="C8824" s="247"/>
      <c r="D8824" s="317"/>
      <c r="E8824" s="318"/>
      <c r="F8824" s="247"/>
      <c r="G8824" s="247"/>
      <c r="H8824" s="248"/>
      <c r="I8824" s="248"/>
      <c r="J8824" s="247"/>
      <c r="K8824" s="249"/>
    </row>
    <row r="8825" spans="1:11" s="90" customFormat="1" ht="12.75" customHeight="1" x14ac:dyDescent="0.2">
      <c r="A8825" s="247"/>
      <c r="B8825" s="316"/>
      <c r="C8825" s="247"/>
      <c r="D8825" s="317"/>
      <c r="E8825" s="318"/>
      <c r="F8825" s="247"/>
      <c r="G8825" s="247"/>
      <c r="H8825" s="248"/>
      <c r="I8825" s="248"/>
      <c r="J8825" s="247"/>
      <c r="K8825" s="249"/>
    </row>
    <row r="8826" spans="1:11" s="90" customFormat="1" ht="12.75" customHeight="1" x14ac:dyDescent="0.2">
      <c r="A8826" s="247"/>
      <c r="B8826" s="316"/>
      <c r="C8826" s="247"/>
      <c r="D8826" s="317"/>
      <c r="E8826" s="318"/>
      <c r="F8826" s="247"/>
      <c r="G8826" s="247"/>
      <c r="H8826" s="248"/>
      <c r="I8826" s="248"/>
      <c r="J8826" s="247"/>
      <c r="K8826" s="249"/>
    </row>
    <row r="8827" spans="1:11" s="90" customFormat="1" ht="12.75" customHeight="1" x14ac:dyDescent="0.2">
      <c r="A8827" s="247"/>
      <c r="B8827" s="316"/>
      <c r="C8827" s="247"/>
      <c r="D8827" s="317"/>
      <c r="E8827" s="318"/>
      <c r="F8827" s="247"/>
      <c r="G8827" s="247"/>
      <c r="H8827" s="248"/>
      <c r="I8827" s="248"/>
      <c r="J8827" s="247"/>
      <c r="K8827" s="249"/>
    </row>
    <row r="8828" spans="1:11" s="90" customFormat="1" ht="12.75" customHeight="1" x14ac:dyDescent="0.2">
      <c r="A8828" s="247"/>
      <c r="B8828" s="316"/>
      <c r="C8828" s="247"/>
      <c r="D8828" s="317"/>
      <c r="E8828" s="318"/>
      <c r="F8828" s="247"/>
      <c r="G8828" s="247"/>
      <c r="H8828" s="248"/>
      <c r="I8828" s="248"/>
      <c r="J8828" s="247"/>
      <c r="K8828" s="249"/>
    </row>
    <row r="8829" spans="1:11" s="90" customFormat="1" ht="12.75" customHeight="1" x14ac:dyDescent="0.2">
      <c r="A8829" s="247"/>
      <c r="B8829" s="316"/>
      <c r="C8829" s="247"/>
      <c r="D8829" s="317"/>
      <c r="E8829" s="318"/>
      <c r="F8829" s="247"/>
      <c r="G8829" s="247"/>
      <c r="H8829" s="248"/>
      <c r="I8829" s="248"/>
      <c r="J8829" s="247"/>
      <c r="K8829" s="249"/>
    </row>
    <row r="8830" spans="1:11" s="90" customFormat="1" ht="12.75" customHeight="1" x14ac:dyDescent="0.2">
      <c r="A8830" s="247"/>
      <c r="B8830" s="316"/>
      <c r="C8830" s="247"/>
      <c r="D8830" s="317"/>
      <c r="E8830" s="318"/>
      <c r="F8830" s="247"/>
      <c r="G8830" s="247"/>
      <c r="H8830" s="248"/>
      <c r="I8830" s="248"/>
      <c r="J8830" s="247"/>
      <c r="K8830" s="249"/>
    </row>
    <row r="8831" spans="1:11" s="90" customFormat="1" ht="12.75" customHeight="1" x14ac:dyDescent="0.2">
      <c r="A8831" s="247"/>
      <c r="B8831" s="316"/>
      <c r="C8831" s="247"/>
      <c r="D8831" s="317"/>
      <c r="E8831" s="318"/>
      <c r="F8831" s="247"/>
      <c r="G8831" s="247"/>
      <c r="H8831" s="248"/>
      <c r="I8831" s="248"/>
      <c r="J8831" s="247"/>
      <c r="K8831" s="249"/>
    </row>
    <row r="8832" spans="1:11" s="90" customFormat="1" ht="12.75" customHeight="1" x14ac:dyDescent="0.2">
      <c r="A8832" s="247"/>
      <c r="B8832" s="316"/>
      <c r="C8832" s="247"/>
      <c r="D8832" s="317"/>
      <c r="E8832" s="318"/>
      <c r="F8832" s="247"/>
      <c r="G8832" s="247"/>
      <c r="H8832" s="248"/>
      <c r="I8832" s="248"/>
      <c r="J8832" s="247"/>
      <c r="K8832" s="249"/>
    </row>
    <row r="8833" spans="1:11" s="90" customFormat="1" ht="12.75" customHeight="1" x14ac:dyDescent="0.2">
      <c r="A8833" s="247"/>
      <c r="B8833" s="316"/>
      <c r="C8833" s="247"/>
      <c r="D8833" s="317"/>
      <c r="E8833" s="318"/>
      <c r="F8833" s="247"/>
      <c r="G8833" s="247"/>
      <c r="H8833" s="248"/>
      <c r="I8833" s="248"/>
      <c r="J8833" s="247"/>
      <c r="K8833" s="249"/>
    </row>
    <row r="8834" spans="1:11" s="90" customFormat="1" ht="12.75" customHeight="1" x14ac:dyDescent="0.2">
      <c r="A8834" s="247"/>
      <c r="B8834" s="316"/>
      <c r="C8834" s="247"/>
      <c r="D8834" s="317"/>
      <c r="E8834" s="318"/>
      <c r="F8834" s="247"/>
      <c r="G8834" s="247"/>
      <c r="H8834" s="248"/>
      <c r="I8834" s="248"/>
      <c r="J8834" s="247"/>
      <c r="K8834" s="249"/>
    </row>
    <row r="8835" spans="1:11" s="90" customFormat="1" ht="12.75" customHeight="1" x14ac:dyDescent="0.2">
      <c r="A8835" s="247"/>
      <c r="B8835" s="316"/>
      <c r="C8835" s="247"/>
      <c r="D8835" s="317"/>
      <c r="E8835" s="318"/>
      <c r="F8835" s="247"/>
      <c r="G8835" s="247"/>
      <c r="H8835" s="248"/>
      <c r="I8835" s="248"/>
      <c r="J8835" s="247"/>
      <c r="K8835" s="249"/>
    </row>
    <row r="8836" spans="1:11" s="90" customFormat="1" ht="12.75" customHeight="1" x14ac:dyDescent="0.2">
      <c r="A8836" s="247"/>
      <c r="B8836" s="316"/>
      <c r="C8836" s="247"/>
      <c r="D8836" s="317"/>
      <c r="E8836" s="318"/>
      <c r="F8836" s="247"/>
      <c r="G8836" s="247"/>
      <c r="H8836" s="248"/>
      <c r="I8836" s="248"/>
      <c r="J8836" s="247"/>
      <c r="K8836" s="249"/>
    </row>
    <row r="8837" spans="1:11" s="90" customFormat="1" ht="12.75" customHeight="1" x14ac:dyDescent="0.2">
      <c r="A8837" s="247"/>
      <c r="B8837" s="316"/>
      <c r="C8837" s="247"/>
      <c r="D8837" s="317"/>
      <c r="E8837" s="318"/>
      <c r="F8837" s="247"/>
      <c r="G8837" s="247"/>
      <c r="H8837" s="248"/>
      <c r="I8837" s="248"/>
      <c r="J8837" s="247"/>
      <c r="K8837" s="249"/>
    </row>
    <row r="8838" spans="1:11" s="90" customFormat="1" ht="12.75" customHeight="1" x14ac:dyDescent="0.2">
      <c r="A8838" s="247"/>
      <c r="B8838" s="316"/>
      <c r="C8838" s="247"/>
      <c r="D8838" s="317"/>
      <c r="E8838" s="318"/>
      <c r="F8838" s="247"/>
      <c r="G8838" s="247"/>
      <c r="H8838" s="248"/>
      <c r="I8838" s="248"/>
      <c r="J8838" s="247"/>
      <c r="K8838" s="249"/>
    </row>
    <row r="8839" spans="1:11" s="90" customFormat="1" ht="12.75" customHeight="1" x14ac:dyDescent="0.2">
      <c r="A8839" s="247"/>
      <c r="B8839" s="316"/>
      <c r="C8839" s="247"/>
      <c r="D8839" s="317"/>
      <c r="E8839" s="318"/>
      <c r="F8839" s="247"/>
      <c r="G8839" s="247"/>
      <c r="H8839" s="248"/>
      <c r="I8839" s="248"/>
      <c r="J8839" s="247"/>
      <c r="K8839" s="249"/>
    </row>
    <row r="8840" spans="1:11" s="90" customFormat="1" ht="12.75" customHeight="1" x14ac:dyDescent="0.2">
      <c r="A8840" s="247"/>
      <c r="B8840" s="316"/>
      <c r="C8840" s="247"/>
      <c r="D8840" s="317"/>
      <c r="E8840" s="318"/>
      <c r="F8840" s="247"/>
      <c r="G8840" s="247"/>
      <c r="H8840" s="248"/>
      <c r="I8840" s="248"/>
      <c r="J8840" s="247"/>
      <c r="K8840" s="249"/>
    </row>
    <row r="8841" spans="1:11" s="90" customFormat="1" ht="12.75" customHeight="1" x14ac:dyDescent="0.2">
      <c r="A8841" s="247"/>
      <c r="B8841" s="316"/>
      <c r="C8841" s="247"/>
      <c r="D8841" s="317"/>
      <c r="E8841" s="318"/>
      <c r="F8841" s="247"/>
      <c r="G8841" s="247"/>
      <c r="H8841" s="248"/>
      <c r="I8841" s="248"/>
      <c r="J8841" s="247"/>
      <c r="K8841" s="249"/>
    </row>
    <row r="8842" spans="1:11" s="90" customFormat="1" ht="12.75" customHeight="1" x14ac:dyDescent="0.2">
      <c r="A8842" s="247"/>
      <c r="B8842" s="316"/>
      <c r="C8842" s="247"/>
      <c r="D8842" s="317"/>
      <c r="E8842" s="318"/>
      <c r="F8842" s="247"/>
      <c r="G8842" s="247"/>
      <c r="H8842" s="248"/>
      <c r="I8842" s="248"/>
      <c r="J8842" s="247"/>
      <c r="K8842" s="249"/>
    </row>
    <row r="8843" spans="1:11" s="90" customFormat="1" ht="12.75" customHeight="1" x14ac:dyDescent="0.2">
      <c r="A8843" s="247"/>
      <c r="B8843" s="316"/>
      <c r="C8843" s="247"/>
      <c r="D8843" s="317"/>
      <c r="E8843" s="318"/>
      <c r="F8843" s="247"/>
      <c r="G8843" s="247"/>
      <c r="H8843" s="248"/>
      <c r="I8843" s="248"/>
      <c r="J8843" s="247"/>
      <c r="K8843" s="249"/>
    </row>
    <row r="8844" spans="1:11" s="90" customFormat="1" ht="12.75" customHeight="1" x14ac:dyDescent="0.2">
      <c r="A8844" s="247"/>
      <c r="B8844" s="316"/>
      <c r="C8844" s="247"/>
      <c r="D8844" s="317"/>
      <c r="E8844" s="318"/>
      <c r="F8844" s="247"/>
      <c r="G8844" s="247"/>
      <c r="H8844" s="248"/>
      <c r="I8844" s="248"/>
      <c r="J8844" s="247"/>
      <c r="K8844" s="249"/>
    </row>
    <row r="8845" spans="1:11" s="90" customFormat="1" ht="12.75" customHeight="1" x14ac:dyDescent="0.2">
      <c r="A8845" s="247"/>
      <c r="B8845" s="316"/>
      <c r="C8845" s="247"/>
      <c r="D8845" s="317"/>
      <c r="E8845" s="318"/>
      <c r="F8845" s="247"/>
      <c r="G8845" s="247"/>
      <c r="H8845" s="248"/>
      <c r="I8845" s="248"/>
      <c r="J8845" s="247"/>
      <c r="K8845" s="249"/>
    </row>
    <row r="8846" spans="1:11" s="90" customFormat="1" ht="12.75" customHeight="1" x14ac:dyDescent="0.2">
      <c r="A8846" s="247"/>
      <c r="B8846" s="316"/>
      <c r="C8846" s="247"/>
      <c r="D8846" s="317"/>
      <c r="E8846" s="318"/>
      <c r="F8846" s="247"/>
      <c r="G8846" s="247"/>
      <c r="H8846" s="248"/>
      <c r="I8846" s="248"/>
      <c r="J8846" s="247"/>
      <c r="K8846" s="249"/>
    </row>
    <row r="8847" spans="1:11" s="90" customFormat="1" ht="12.75" customHeight="1" x14ac:dyDescent="0.2">
      <c r="A8847" s="247"/>
      <c r="B8847" s="316"/>
      <c r="C8847" s="247"/>
      <c r="D8847" s="317"/>
      <c r="E8847" s="318"/>
      <c r="F8847" s="247"/>
      <c r="G8847" s="247"/>
      <c r="H8847" s="248"/>
      <c r="I8847" s="248"/>
      <c r="J8847" s="247"/>
      <c r="K8847" s="249"/>
    </row>
    <row r="8848" spans="1:11" s="90" customFormat="1" ht="12.75" customHeight="1" x14ac:dyDescent="0.2">
      <c r="A8848" s="247"/>
      <c r="B8848" s="316"/>
      <c r="C8848" s="247"/>
      <c r="D8848" s="317"/>
      <c r="E8848" s="318"/>
      <c r="F8848" s="247"/>
      <c r="G8848" s="247"/>
      <c r="H8848" s="248"/>
      <c r="I8848" s="248"/>
      <c r="J8848" s="247"/>
      <c r="K8848" s="249"/>
    </row>
    <row r="8849" spans="1:11" s="90" customFormat="1" ht="12.75" customHeight="1" x14ac:dyDescent="0.2">
      <c r="A8849" s="247"/>
      <c r="B8849" s="316"/>
      <c r="C8849" s="247"/>
      <c r="D8849" s="317"/>
      <c r="E8849" s="318"/>
      <c r="F8849" s="247"/>
      <c r="G8849" s="247"/>
      <c r="H8849" s="248"/>
      <c r="I8849" s="248"/>
      <c r="J8849" s="247"/>
      <c r="K8849" s="249"/>
    </row>
    <row r="8850" spans="1:11" s="90" customFormat="1" ht="12.75" customHeight="1" x14ac:dyDescent="0.2">
      <c r="A8850" s="247"/>
      <c r="B8850" s="316"/>
      <c r="C8850" s="247"/>
      <c r="D8850" s="317"/>
      <c r="E8850" s="318"/>
      <c r="F8850" s="247"/>
      <c r="G8850" s="247"/>
      <c r="H8850" s="248"/>
      <c r="I8850" s="248"/>
      <c r="J8850" s="247"/>
      <c r="K8850" s="249"/>
    </row>
    <row r="8851" spans="1:11" s="90" customFormat="1" ht="12.75" customHeight="1" x14ac:dyDescent="0.2">
      <c r="A8851" s="247"/>
      <c r="B8851" s="316"/>
      <c r="C8851" s="247"/>
      <c r="D8851" s="317"/>
      <c r="E8851" s="318"/>
      <c r="F8851" s="247"/>
      <c r="G8851" s="247"/>
      <c r="H8851" s="248"/>
      <c r="I8851" s="248"/>
      <c r="J8851" s="247"/>
      <c r="K8851" s="249"/>
    </row>
    <row r="8852" spans="1:11" s="90" customFormat="1" ht="12.75" customHeight="1" x14ac:dyDescent="0.2">
      <c r="A8852" s="247"/>
      <c r="B8852" s="316"/>
      <c r="C8852" s="247"/>
      <c r="D8852" s="317"/>
      <c r="E8852" s="318"/>
      <c r="F8852" s="247"/>
      <c r="G8852" s="247"/>
      <c r="H8852" s="248"/>
      <c r="I8852" s="248"/>
      <c r="J8852" s="247"/>
      <c r="K8852" s="249"/>
    </row>
    <row r="8853" spans="1:11" s="90" customFormat="1" ht="12.75" customHeight="1" x14ac:dyDescent="0.2">
      <c r="A8853" s="247"/>
      <c r="B8853" s="316"/>
      <c r="C8853" s="247"/>
      <c r="D8853" s="317"/>
      <c r="E8853" s="318"/>
      <c r="F8853" s="247"/>
      <c r="G8853" s="247"/>
      <c r="H8853" s="248"/>
      <c r="I8853" s="248"/>
      <c r="J8853" s="247"/>
      <c r="K8853" s="249"/>
    </row>
    <row r="8854" spans="1:11" s="90" customFormat="1" ht="12.75" customHeight="1" x14ac:dyDescent="0.2">
      <c r="A8854" s="247"/>
      <c r="B8854" s="316"/>
      <c r="C8854" s="247"/>
      <c r="D8854" s="317"/>
      <c r="E8854" s="318"/>
      <c r="F8854" s="247"/>
      <c r="G8854" s="247"/>
      <c r="H8854" s="248"/>
      <c r="I8854" s="248"/>
      <c r="J8854" s="247"/>
      <c r="K8854" s="249"/>
    </row>
    <row r="8855" spans="1:11" s="90" customFormat="1" ht="12.75" customHeight="1" x14ac:dyDescent="0.2">
      <c r="A8855" s="247"/>
      <c r="B8855" s="316"/>
      <c r="C8855" s="247"/>
      <c r="D8855" s="317"/>
      <c r="E8855" s="318"/>
      <c r="F8855" s="247"/>
      <c r="G8855" s="247"/>
      <c r="H8855" s="248"/>
      <c r="I8855" s="248"/>
      <c r="J8855" s="247"/>
      <c r="K8855" s="249"/>
    </row>
    <row r="8856" spans="1:11" s="90" customFormat="1" ht="12.75" customHeight="1" x14ac:dyDescent="0.2">
      <c r="A8856" s="247"/>
      <c r="B8856" s="316"/>
      <c r="C8856" s="247"/>
      <c r="D8856" s="317"/>
      <c r="E8856" s="318"/>
      <c r="F8856" s="247"/>
      <c r="G8856" s="247"/>
      <c r="H8856" s="248"/>
      <c r="I8856" s="248"/>
      <c r="J8856" s="247"/>
      <c r="K8856" s="249"/>
    </row>
    <row r="8857" spans="1:11" s="90" customFormat="1" ht="12.75" customHeight="1" x14ac:dyDescent="0.2">
      <c r="A8857" s="247"/>
      <c r="B8857" s="316"/>
      <c r="C8857" s="247"/>
      <c r="D8857" s="317"/>
      <c r="E8857" s="318"/>
      <c r="F8857" s="247"/>
      <c r="G8857" s="247"/>
      <c r="H8857" s="248"/>
      <c r="I8857" s="248"/>
      <c r="J8857" s="247"/>
      <c r="K8857" s="249"/>
    </row>
    <row r="8858" spans="1:11" s="90" customFormat="1" ht="12.75" customHeight="1" x14ac:dyDescent="0.2">
      <c r="A8858" s="247"/>
      <c r="B8858" s="316"/>
      <c r="C8858" s="247"/>
      <c r="D8858" s="317"/>
      <c r="E8858" s="318"/>
      <c r="F8858" s="247"/>
      <c r="G8858" s="247"/>
      <c r="H8858" s="248"/>
      <c r="I8858" s="248"/>
      <c r="J8858" s="247"/>
      <c r="K8858" s="249"/>
    </row>
    <row r="8859" spans="1:11" s="90" customFormat="1" ht="12.75" customHeight="1" x14ac:dyDescent="0.2">
      <c r="A8859" s="247"/>
      <c r="B8859" s="316"/>
      <c r="C8859" s="247"/>
      <c r="D8859" s="317"/>
      <c r="E8859" s="318"/>
      <c r="F8859" s="247"/>
      <c r="G8859" s="247"/>
      <c r="H8859" s="248"/>
      <c r="I8859" s="248"/>
      <c r="J8859" s="247"/>
      <c r="K8859" s="249"/>
    </row>
    <row r="8860" spans="1:11" s="90" customFormat="1" ht="12.75" customHeight="1" x14ac:dyDescent="0.2">
      <c r="A8860" s="247"/>
      <c r="B8860" s="316"/>
      <c r="C8860" s="247"/>
      <c r="D8860" s="317"/>
      <c r="E8860" s="318"/>
      <c r="F8860" s="247"/>
      <c r="G8860" s="247"/>
      <c r="H8860" s="248"/>
      <c r="I8860" s="248"/>
      <c r="J8860" s="247"/>
      <c r="K8860" s="249"/>
    </row>
    <row r="8861" spans="1:11" s="90" customFormat="1" ht="12.75" customHeight="1" x14ac:dyDescent="0.2">
      <c r="A8861" s="247"/>
      <c r="B8861" s="316"/>
      <c r="C8861" s="247"/>
      <c r="D8861" s="317"/>
      <c r="E8861" s="318"/>
      <c r="F8861" s="247"/>
      <c r="G8861" s="247"/>
      <c r="H8861" s="248"/>
      <c r="I8861" s="248"/>
      <c r="J8861" s="247"/>
      <c r="K8861" s="249"/>
    </row>
    <row r="8862" spans="1:11" s="90" customFormat="1" ht="12.75" customHeight="1" x14ac:dyDescent="0.2">
      <c r="A8862" s="247"/>
      <c r="B8862" s="316"/>
      <c r="C8862" s="247"/>
      <c r="D8862" s="317"/>
      <c r="E8862" s="318"/>
      <c r="F8862" s="247"/>
      <c r="G8862" s="247"/>
      <c r="H8862" s="248"/>
      <c r="I8862" s="248"/>
      <c r="J8862" s="247"/>
      <c r="K8862" s="249"/>
    </row>
    <row r="8863" spans="1:11" s="90" customFormat="1" ht="12.75" customHeight="1" x14ac:dyDescent="0.2">
      <c r="A8863" s="247"/>
      <c r="B8863" s="316"/>
      <c r="C8863" s="247"/>
      <c r="D8863" s="317"/>
      <c r="E8863" s="318"/>
      <c r="F8863" s="247"/>
      <c r="G8863" s="247"/>
      <c r="H8863" s="248"/>
      <c r="I8863" s="248"/>
      <c r="J8863" s="247"/>
      <c r="K8863" s="249"/>
    </row>
    <row r="8864" spans="1:11" s="90" customFormat="1" ht="12.75" customHeight="1" x14ac:dyDescent="0.2">
      <c r="A8864" s="247"/>
      <c r="B8864" s="316"/>
      <c r="C8864" s="247"/>
      <c r="D8864" s="317"/>
      <c r="E8864" s="318"/>
      <c r="F8864" s="247"/>
      <c r="G8864" s="247"/>
      <c r="H8864" s="248"/>
      <c r="I8864" s="248"/>
      <c r="J8864" s="247"/>
      <c r="K8864" s="249"/>
    </row>
    <row r="8865" spans="1:11" s="90" customFormat="1" ht="12.75" customHeight="1" x14ac:dyDescent="0.2">
      <c r="A8865" s="247"/>
      <c r="B8865" s="316"/>
      <c r="C8865" s="247"/>
      <c r="D8865" s="317"/>
      <c r="E8865" s="318"/>
      <c r="F8865" s="247"/>
      <c r="G8865" s="247"/>
      <c r="H8865" s="248"/>
      <c r="I8865" s="248"/>
      <c r="J8865" s="247"/>
      <c r="K8865" s="249"/>
    </row>
    <row r="8866" spans="1:11" s="90" customFormat="1" ht="12.75" customHeight="1" x14ac:dyDescent="0.2">
      <c r="A8866" s="247"/>
      <c r="B8866" s="316"/>
      <c r="C8866" s="247"/>
      <c r="D8866" s="317"/>
      <c r="E8866" s="318"/>
      <c r="F8866" s="247"/>
      <c r="G8866" s="247"/>
      <c r="H8866" s="248"/>
      <c r="I8866" s="248"/>
      <c r="J8866" s="247"/>
      <c r="K8866" s="249"/>
    </row>
    <row r="8867" spans="1:11" s="90" customFormat="1" ht="12.75" customHeight="1" x14ac:dyDescent="0.2">
      <c r="A8867" s="247"/>
      <c r="B8867" s="316"/>
      <c r="C8867" s="247"/>
      <c r="D8867" s="317"/>
      <c r="E8867" s="318"/>
      <c r="F8867" s="247"/>
      <c r="G8867" s="247"/>
      <c r="H8867" s="248"/>
      <c r="I8867" s="248"/>
      <c r="J8867" s="247"/>
      <c r="K8867" s="249"/>
    </row>
    <row r="8868" spans="1:11" s="90" customFormat="1" ht="12.75" customHeight="1" x14ac:dyDescent="0.2">
      <c r="A8868" s="247"/>
      <c r="B8868" s="316"/>
      <c r="C8868" s="247"/>
      <c r="D8868" s="317"/>
      <c r="E8868" s="318"/>
      <c r="F8868" s="247"/>
      <c r="G8868" s="247"/>
      <c r="H8868" s="248"/>
      <c r="I8868" s="248"/>
      <c r="J8868" s="247"/>
      <c r="K8868" s="249"/>
    </row>
    <row r="8869" spans="1:11" s="90" customFormat="1" ht="12.75" customHeight="1" x14ac:dyDescent="0.2">
      <c r="A8869" s="247"/>
      <c r="B8869" s="316"/>
      <c r="C8869" s="247"/>
      <c r="D8869" s="317"/>
      <c r="E8869" s="318"/>
      <c r="F8869" s="247"/>
      <c r="G8869" s="247"/>
      <c r="H8869" s="248"/>
      <c r="I8869" s="248"/>
      <c r="J8869" s="247"/>
      <c r="K8869" s="249"/>
    </row>
    <row r="8870" spans="1:11" s="90" customFormat="1" ht="12.75" customHeight="1" x14ac:dyDescent="0.2">
      <c r="A8870" s="247"/>
      <c r="B8870" s="316"/>
      <c r="C8870" s="247"/>
      <c r="D8870" s="317"/>
      <c r="E8870" s="318"/>
      <c r="F8870" s="247"/>
      <c r="G8870" s="247"/>
      <c r="H8870" s="248"/>
      <c r="I8870" s="248"/>
      <c r="J8870" s="247"/>
      <c r="K8870" s="249"/>
    </row>
    <row r="8871" spans="1:11" s="90" customFormat="1" ht="12.75" customHeight="1" x14ac:dyDescent="0.2">
      <c r="A8871" s="247"/>
      <c r="B8871" s="316"/>
      <c r="C8871" s="247"/>
      <c r="D8871" s="317"/>
      <c r="E8871" s="318"/>
      <c r="F8871" s="247"/>
      <c r="G8871" s="247"/>
      <c r="H8871" s="248"/>
      <c r="I8871" s="248"/>
      <c r="J8871" s="247"/>
      <c r="K8871" s="249"/>
    </row>
    <row r="8872" spans="1:11" s="90" customFormat="1" ht="12.75" customHeight="1" x14ac:dyDescent="0.2">
      <c r="A8872" s="247"/>
      <c r="B8872" s="316"/>
      <c r="C8872" s="247"/>
      <c r="D8872" s="317"/>
      <c r="E8872" s="318"/>
      <c r="F8872" s="247"/>
      <c r="G8872" s="247"/>
      <c r="H8872" s="248"/>
      <c r="I8872" s="248"/>
      <c r="J8872" s="247"/>
      <c r="K8872" s="249"/>
    </row>
    <row r="8873" spans="1:11" s="90" customFormat="1" ht="12.75" customHeight="1" x14ac:dyDescent="0.2">
      <c r="A8873" s="247"/>
      <c r="B8873" s="316"/>
      <c r="C8873" s="247"/>
      <c r="D8873" s="317"/>
      <c r="E8873" s="318"/>
      <c r="F8873" s="247"/>
      <c r="G8873" s="247"/>
      <c r="H8873" s="248"/>
      <c r="I8873" s="248"/>
      <c r="J8873" s="247"/>
      <c r="K8873" s="249"/>
    </row>
    <row r="8874" spans="1:11" s="90" customFormat="1" ht="12.75" customHeight="1" x14ac:dyDescent="0.2">
      <c r="A8874" s="247"/>
      <c r="B8874" s="316"/>
      <c r="C8874" s="247"/>
      <c r="D8874" s="317"/>
      <c r="E8874" s="318"/>
      <c r="F8874" s="247"/>
      <c r="G8874" s="247"/>
      <c r="H8874" s="248"/>
      <c r="I8874" s="248"/>
      <c r="J8874" s="247"/>
      <c r="K8874" s="249"/>
    </row>
    <row r="8875" spans="1:11" s="90" customFormat="1" ht="12.75" customHeight="1" x14ac:dyDescent="0.2">
      <c r="A8875" s="247"/>
      <c r="B8875" s="316"/>
      <c r="C8875" s="247"/>
      <c r="D8875" s="317"/>
      <c r="E8875" s="318"/>
      <c r="F8875" s="247"/>
      <c r="G8875" s="247"/>
      <c r="H8875" s="248"/>
      <c r="I8875" s="248"/>
      <c r="J8875" s="247"/>
      <c r="K8875" s="249"/>
    </row>
    <row r="8876" spans="1:11" s="90" customFormat="1" ht="12.75" customHeight="1" x14ac:dyDescent="0.2">
      <c r="A8876" s="247"/>
      <c r="B8876" s="316"/>
      <c r="C8876" s="247"/>
      <c r="D8876" s="317"/>
      <c r="E8876" s="318"/>
      <c r="F8876" s="247"/>
      <c r="G8876" s="247"/>
      <c r="H8876" s="248"/>
      <c r="I8876" s="248"/>
      <c r="J8876" s="247"/>
      <c r="K8876" s="249"/>
    </row>
    <row r="8877" spans="1:11" s="90" customFormat="1" ht="12.75" customHeight="1" x14ac:dyDescent="0.2">
      <c r="A8877" s="247"/>
      <c r="B8877" s="316"/>
      <c r="C8877" s="247"/>
      <c r="D8877" s="317"/>
      <c r="E8877" s="318"/>
      <c r="F8877" s="247"/>
      <c r="G8877" s="247"/>
      <c r="H8877" s="248"/>
      <c r="I8877" s="248"/>
      <c r="J8877" s="247"/>
      <c r="K8877" s="249"/>
    </row>
    <row r="8878" spans="1:11" s="90" customFormat="1" ht="12.75" customHeight="1" x14ac:dyDescent="0.2">
      <c r="A8878" s="247"/>
      <c r="B8878" s="316"/>
      <c r="C8878" s="247"/>
      <c r="D8878" s="317"/>
      <c r="E8878" s="318"/>
      <c r="F8878" s="247"/>
      <c r="G8878" s="247"/>
      <c r="H8878" s="248"/>
      <c r="I8878" s="248"/>
      <c r="J8878" s="247"/>
      <c r="K8878" s="249"/>
    </row>
    <row r="8879" spans="1:11" s="90" customFormat="1" ht="12.75" customHeight="1" x14ac:dyDescent="0.2">
      <c r="A8879" s="247"/>
      <c r="B8879" s="316"/>
      <c r="C8879" s="247"/>
      <c r="D8879" s="317"/>
      <c r="E8879" s="318"/>
      <c r="F8879" s="247"/>
      <c r="G8879" s="247"/>
      <c r="H8879" s="248"/>
      <c r="I8879" s="248"/>
      <c r="J8879" s="247"/>
      <c r="K8879" s="249"/>
    </row>
    <row r="8880" spans="1:11" s="90" customFormat="1" ht="12.75" customHeight="1" x14ac:dyDescent="0.2">
      <c r="A8880" s="247"/>
      <c r="B8880" s="316"/>
      <c r="C8880" s="247"/>
      <c r="D8880" s="317"/>
      <c r="E8880" s="318"/>
      <c r="F8880" s="247"/>
      <c r="G8880" s="247"/>
      <c r="H8880" s="248"/>
      <c r="I8880" s="248"/>
      <c r="J8880" s="247"/>
      <c r="K8880" s="249"/>
    </row>
    <row r="8881" spans="1:11" s="90" customFormat="1" ht="12.75" customHeight="1" x14ac:dyDescent="0.2">
      <c r="A8881" s="247"/>
      <c r="B8881" s="316"/>
      <c r="C8881" s="247"/>
      <c r="D8881" s="317"/>
      <c r="E8881" s="318"/>
      <c r="F8881" s="247"/>
      <c r="G8881" s="247"/>
      <c r="H8881" s="248"/>
      <c r="I8881" s="248"/>
      <c r="J8881" s="247"/>
      <c r="K8881" s="249"/>
    </row>
    <row r="8882" spans="1:11" s="90" customFormat="1" ht="12.75" customHeight="1" x14ac:dyDescent="0.2">
      <c r="A8882" s="247"/>
      <c r="B8882" s="316"/>
      <c r="C8882" s="247"/>
      <c r="D8882" s="317"/>
      <c r="E8882" s="318"/>
      <c r="F8882" s="247"/>
      <c r="G8882" s="247"/>
      <c r="H8882" s="248"/>
      <c r="I8882" s="248"/>
      <c r="J8882" s="247"/>
      <c r="K8882" s="249"/>
    </row>
    <row r="8883" spans="1:11" s="90" customFormat="1" ht="12.75" customHeight="1" x14ac:dyDescent="0.2">
      <c r="A8883" s="247"/>
      <c r="B8883" s="316"/>
      <c r="C8883" s="247"/>
      <c r="D8883" s="317"/>
      <c r="E8883" s="318"/>
      <c r="F8883" s="247"/>
      <c r="G8883" s="247"/>
      <c r="H8883" s="248"/>
      <c r="I8883" s="248"/>
      <c r="J8883" s="247"/>
      <c r="K8883" s="249"/>
    </row>
    <row r="8884" spans="1:11" s="90" customFormat="1" ht="12.75" customHeight="1" x14ac:dyDescent="0.2">
      <c r="A8884" s="247"/>
      <c r="B8884" s="316"/>
      <c r="C8884" s="247"/>
      <c r="D8884" s="317"/>
      <c r="E8884" s="318"/>
      <c r="F8884" s="247"/>
      <c r="G8884" s="247"/>
      <c r="H8884" s="248"/>
      <c r="I8884" s="248"/>
      <c r="J8884" s="247"/>
      <c r="K8884" s="249"/>
    </row>
    <row r="8885" spans="1:11" s="90" customFormat="1" ht="12.75" customHeight="1" x14ac:dyDescent="0.2">
      <c r="A8885" s="247"/>
      <c r="B8885" s="316"/>
      <c r="C8885" s="247"/>
      <c r="D8885" s="317"/>
      <c r="E8885" s="318"/>
      <c r="F8885" s="247"/>
      <c r="G8885" s="247"/>
      <c r="H8885" s="248"/>
      <c r="I8885" s="248"/>
      <c r="J8885" s="247"/>
      <c r="K8885" s="249"/>
    </row>
    <row r="8886" spans="1:11" s="90" customFormat="1" ht="12.75" customHeight="1" x14ac:dyDescent="0.2">
      <c r="A8886" s="247"/>
      <c r="B8886" s="316"/>
      <c r="C8886" s="247"/>
      <c r="D8886" s="317"/>
      <c r="E8886" s="318"/>
      <c r="F8886" s="247"/>
      <c r="G8886" s="247"/>
      <c r="H8886" s="248"/>
      <c r="I8886" s="248"/>
      <c r="J8886" s="247"/>
      <c r="K8886" s="249"/>
    </row>
    <row r="8887" spans="1:11" s="90" customFormat="1" ht="12.75" customHeight="1" x14ac:dyDescent="0.2">
      <c r="A8887" s="247"/>
      <c r="B8887" s="316"/>
      <c r="C8887" s="247"/>
      <c r="D8887" s="317"/>
      <c r="E8887" s="318"/>
      <c r="F8887" s="247"/>
      <c r="G8887" s="247"/>
      <c r="H8887" s="248"/>
      <c r="I8887" s="248"/>
      <c r="J8887" s="247"/>
      <c r="K8887" s="249"/>
    </row>
    <row r="8888" spans="1:11" s="90" customFormat="1" ht="12.75" customHeight="1" x14ac:dyDescent="0.2">
      <c r="A8888" s="247"/>
      <c r="B8888" s="316"/>
      <c r="C8888" s="247"/>
      <c r="D8888" s="317"/>
      <c r="E8888" s="318"/>
      <c r="F8888" s="247"/>
      <c r="G8888" s="247"/>
      <c r="H8888" s="248"/>
      <c r="I8888" s="248"/>
      <c r="J8888" s="247"/>
      <c r="K8888" s="249"/>
    </row>
    <row r="8889" spans="1:11" s="90" customFormat="1" ht="12.75" customHeight="1" x14ac:dyDescent="0.2">
      <c r="A8889" s="247"/>
      <c r="B8889" s="316"/>
      <c r="C8889" s="247"/>
      <c r="D8889" s="317"/>
      <c r="E8889" s="318"/>
      <c r="F8889" s="247"/>
      <c r="G8889" s="247"/>
      <c r="H8889" s="248"/>
      <c r="I8889" s="248"/>
      <c r="J8889" s="247"/>
      <c r="K8889" s="249"/>
    </row>
    <row r="8890" spans="1:11" s="90" customFormat="1" ht="12.75" customHeight="1" x14ac:dyDescent="0.2">
      <c r="A8890" s="247"/>
      <c r="B8890" s="316"/>
      <c r="C8890" s="247"/>
      <c r="D8890" s="317"/>
      <c r="E8890" s="318"/>
      <c r="F8890" s="247"/>
      <c r="G8890" s="247"/>
      <c r="H8890" s="248"/>
      <c r="I8890" s="248"/>
      <c r="J8890" s="247"/>
      <c r="K8890" s="249"/>
    </row>
    <row r="8891" spans="1:11" s="90" customFormat="1" ht="12.75" customHeight="1" x14ac:dyDescent="0.2">
      <c r="A8891" s="247"/>
      <c r="B8891" s="316"/>
      <c r="C8891" s="247"/>
      <c r="D8891" s="317"/>
      <c r="E8891" s="318"/>
      <c r="F8891" s="247"/>
      <c r="G8891" s="247"/>
      <c r="H8891" s="248"/>
      <c r="I8891" s="248"/>
      <c r="J8891" s="247"/>
      <c r="K8891" s="249"/>
    </row>
    <row r="8892" spans="1:11" s="90" customFormat="1" ht="12.75" customHeight="1" x14ac:dyDescent="0.2">
      <c r="A8892" s="247"/>
      <c r="B8892" s="316"/>
      <c r="C8892" s="247"/>
      <c r="D8892" s="317"/>
      <c r="E8892" s="318"/>
      <c r="F8892" s="247"/>
      <c r="G8892" s="247"/>
      <c r="H8892" s="248"/>
      <c r="I8892" s="248"/>
      <c r="J8892" s="247"/>
      <c r="K8892" s="249"/>
    </row>
    <row r="8893" spans="1:11" s="90" customFormat="1" ht="12.75" customHeight="1" x14ac:dyDescent="0.2">
      <c r="A8893" s="247"/>
      <c r="B8893" s="316"/>
      <c r="C8893" s="247"/>
      <c r="D8893" s="317"/>
      <c r="E8893" s="318"/>
      <c r="F8893" s="247"/>
      <c r="G8893" s="247"/>
      <c r="H8893" s="248"/>
      <c r="I8893" s="248"/>
      <c r="J8893" s="247"/>
      <c r="K8893" s="249"/>
    </row>
    <row r="8894" spans="1:11" s="90" customFormat="1" ht="12.75" customHeight="1" x14ac:dyDescent="0.2">
      <c r="A8894" s="247"/>
      <c r="B8894" s="316"/>
      <c r="C8894" s="247"/>
      <c r="D8894" s="317"/>
      <c r="E8894" s="318"/>
      <c r="F8894" s="247"/>
      <c r="G8894" s="247"/>
      <c r="H8894" s="248"/>
      <c r="I8894" s="248"/>
      <c r="J8894" s="247"/>
      <c r="K8894" s="249"/>
    </row>
    <row r="8895" spans="1:11" s="90" customFormat="1" ht="12.75" customHeight="1" x14ac:dyDescent="0.2">
      <c r="A8895" s="247"/>
      <c r="B8895" s="316"/>
      <c r="C8895" s="247"/>
      <c r="D8895" s="317"/>
      <c r="E8895" s="318"/>
      <c r="F8895" s="247"/>
      <c r="G8895" s="247"/>
      <c r="H8895" s="248"/>
      <c r="I8895" s="248"/>
      <c r="J8895" s="247"/>
      <c r="K8895" s="249"/>
    </row>
    <row r="8896" spans="1:11" s="90" customFormat="1" ht="12.75" customHeight="1" x14ac:dyDescent="0.2">
      <c r="A8896" s="247"/>
      <c r="B8896" s="316"/>
      <c r="C8896" s="247"/>
      <c r="D8896" s="317"/>
      <c r="E8896" s="318"/>
      <c r="F8896" s="247"/>
      <c r="G8896" s="247"/>
      <c r="H8896" s="248"/>
      <c r="I8896" s="248"/>
      <c r="J8896" s="247"/>
      <c r="K8896" s="249"/>
    </row>
    <row r="8897" spans="1:11" s="90" customFormat="1" ht="12.75" customHeight="1" x14ac:dyDescent="0.2">
      <c r="A8897" s="247"/>
      <c r="B8897" s="316"/>
      <c r="C8897" s="247"/>
      <c r="D8897" s="317"/>
      <c r="E8897" s="318"/>
      <c r="F8897" s="247"/>
      <c r="G8897" s="247"/>
      <c r="H8897" s="248"/>
      <c r="I8897" s="248"/>
      <c r="J8897" s="247"/>
      <c r="K8897" s="249"/>
    </row>
    <row r="8898" spans="1:11" s="90" customFormat="1" ht="12.75" customHeight="1" x14ac:dyDescent="0.2">
      <c r="A8898" s="247"/>
      <c r="B8898" s="316"/>
      <c r="C8898" s="247"/>
      <c r="D8898" s="317"/>
      <c r="E8898" s="318"/>
      <c r="F8898" s="247"/>
      <c r="G8898" s="247"/>
      <c r="H8898" s="248"/>
      <c r="I8898" s="248"/>
      <c r="J8898" s="247"/>
      <c r="K8898" s="249"/>
    </row>
    <row r="8899" spans="1:11" s="90" customFormat="1" ht="12.75" customHeight="1" x14ac:dyDescent="0.2">
      <c r="A8899" s="247"/>
      <c r="B8899" s="316"/>
      <c r="C8899" s="247"/>
      <c r="D8899" s="317"/>
      <c r="E8899" s="318"/>
      <c r="F8899" s="247"/>
      <c r="G8899" s="247"/>
      <c r="H8899" s="248"/>
      <c r="I8899" s="248"/>
      <c r="J8899" s="247"/>
      <c r="K8899" s="249"/>
    </row>
    <row r="8900" spans="1:11" s="90" customFormat="1" ht="12.75" customHeight="1" x14ac:dyDescent="0.2">
      <c r="A8900" s="247"/>
      <c r="B8900" s="316"/>
      <c r="C8900" s="247"/>
      <c r="D8900" s="317"/>
      <c r="E8900" s="318"/>
      <c r="F8900" s="247"/>
      <c r="G8900" s="247"/>
      <c r="H8900" s="248"/>
      <c r="I8900" s="248"/>
      <c r="J8900" s="247"/>
      <c r="K8900" s="249"/>
    </row>
    <row r="8901" spans="1:11" s="90" customFormat="1" ht="12.75" customHeight="1" x14ac:dyDescent="0.2">
      <c r="A8901" s="247"/>
      <c r="B8901" s="316"/>
      <c r="C8901" s="247"/>
      <c r="D8901" s="317"/>
      <c r="E8901" s="318"/>
      <c r="F8901" s="247"/>
      <c r="G8901" s="247"/>
      <c r="H8901" s="248"/>
      <c r="I8901" s="248"/>
      <c r="J8901" s="247"/>
      <c r="K8901" s="249"/>
    </row>
    <row r="8902" spans="1:11" s="90" customFormat="1" ht="12.75" customHeight="1" x14ac:dyDescent="0.2">
      <c r="A8902" s="247"/>
      <c r="B8902" s="316"/>
      <c r="C8902" s="247"/>
      <c r="D8902" s="317"/>
      <c r="E8902" s="318"/>
      <c r="F8902" s="247"/>
      <c r="G8902" s="247"/>
      <c r="H8902" s="248"/>
      <c r="I8902" s="248"/>
      <c r="J8902" s="247"/>
      <c r="K8902" s="249"/>
    </row>
    <row r="8903" spans="1:11" s="90" customFormat="1" ht="12.75" customHeight="1" x14ac:dyDescent="0.2">
      <c r="A8903" s="247"/>
      <c r="B8903" s="316"/>
      <c r="C8903" s="247"/>
      <c r="D8903" s="317"/>
      <c r="E8903" s="318"/>
      <c r="F8903" s="247"/>
      <c r="G8903" s="247"/>
      <c r="H8903" s="248"/>
      <c r="I8903" s="248"/>
      <c r="J8903" s="247"/>
      <c r="K8903" s="249"/>
    </row>
    <row r="8904" spans="1:11" s="90" customFormat="1" ht="12.75" customHeight="1" x14ac:dyDescent="0.2">
      <c r="A8904" s="247"/>
      <c r="B8904" s="316"/>
      <c r="C8904" s="247"/>
      <c r="D8904" s="317"/>
      <c r="E8904" s="318"/>
      <c r="F8904" s="247"/>
      <c r="G8904" s="247"/>
      <c r="H8904" s="248"/>
      <c r="I8904" s="248"/>
      <c r="J8904" s="247"/>
      <c r="K8904" s="249"/>
    </row>
    <row r="8905" spans="1:11" s="90" customFormat="1" ht="12.75" customHeight="1" x14ac:dyDescent="0.2">
      <c r="A8905" s="247"/>
      <c r="B8905" s="316"/>
      <c r="C8905" s="247"/>
      <c r="D8905" s="317"/>
      <c r="E8905" s="318"/>
      <c r="F8905" s="247"/>
      <c r="G8905" s="247"/>
      <c r="H8905" s="248"/>
      <c r="I8905" s="248"/>
      <c r="J8905" s="247"/>
      <c r="K8905" s="249"/>
    </row>
    <row r="8906" spans="1:11" s="90" customFormat="1" ht="12.75" customHeight="1" x14ac:dyDescent="0.2">
      <c r="A8906" s="247"/>
      <c r="B8906" s="316"/>
      <c r="C8906" s="247"/>
      <c r="D8906" s="317"/>
      <c r="E8906" s="318"/>
      <c r="F8906" s="247"/>
      <c r="G8906" s="247"/>
      <c r="H8906" s="248"/>
      <c r="I8906" s="248"/>
      <c r="J8906" s="247"/>
      <c r="K8906" s="249"/>
    </row>
    <row r="8907" spans="1:11" s="90" customFormat="1" ht="12.75" customHeight="1" x14ac:dyDescent="0.2">
      <c r="A8907" s="247"/>
      <c r="B8907" s="316"/>
      <c r="C8907" s="247"/>
      <c r="D8907" s="317"/>
      <c r="E8907" s="318"/>
      <c r="F8907" s="247"/>
      <c r="G8907" s="247"/>
      <c r="H8907" s="248"/>
      <c r="I8907" s="248"/>
      <c r="J8907" s="247"/>
      <c r="K8907" s="249"/>
    </row>
    <row r="8908" spans="1:11" s="90" customFormat="1" ht="12.75" customHeight="1" x14ac:dyDescent="0.2">
      <c r="A8908" s="247"/>
      <c r="B8908" s="316"/>
      <c r="C8908" s="247"/>
      <c r="D8908" s="317"/>
      <c r="E8908" s="318"/>
      <c r="F8908" s="247"/>
      <c r="G8908" s="247"/>
      <c r="H8908" s="248"/>
      <c r="I8908" s="248"/>
      <c r="J8908" s="247"/>
      <c r="K8908" s="249"/>
    </row>
    <row r="8909" spans="1:11" s="90" customFormat="1" ht="12.75" customHeight="1" x14ac:dyDescent="0.2">
      <c r="A8909" s="247"/>
      <c r="B8909" s="316"/>
      <c r="C8909" s="247"/>
      <c r="D8909" s="317"/>
      <c r="E8909" s="318"/>
      <c r="F8909" s="247"/>
      <c r="G8909" s="247"/>
      <c r="H8909" s="248"/>
      <c r="I8909" s="248"/>
      <c r="J8909" s="247"/>
      <c r="K8909" s="249"/>
    </row>
    <row r="8910" spans="1:11" s="90" customFormat="1" ht="12.75" customHeight="1" x14ac:dyDescent="0.2">
      <c r="A8910" s="247"/>
      <c r="B8910" s="316"/>
      <c r="C8910" s="247"/>
      <c r="D8910" s="317"/>
      <c r="E8910" s="318"/>
      <c r="F8910" s="247"/>
      <c r="G8910" s="247"/>
      <c r="H8910" s="248"/>
      <c r="I8910" s="248"/>
      <c r="J8910" s="247"/>
      <c r="K8910" s="249"/>
    </row>
    <row r="8911" spans="1:11" s="90" customFormat="1" ht="12.75" customHeight="1" x14ac:dyDescent="0.2">
      <c r="A8911" s="247"/>
      <c r="B8911" s="316"/>
      <c r="C8911" s="247"/>
      <c r="D8911" s="317"/>
      <c r="E8911" s="318"/>
      <c r="F8911" s="247"/>
      <c r="G8911" s="247"/>
      <c r="H8911" s="248"/>
      <c r="I8911" s="248"/>
      <c r="J8911" s="247"/>
      <c r="K8911" s="249"/>
    </row>
    <row r="8912" spans="1:11" s="90" customFormat="1" ht="12.75" customHeight="1" x14ac:dyDescent="0.2">
      <c r="A8912" s="247"/>
      <c r="B8912" s="316"/>
      <c r="C8912" s="247"/>
      <c r="D8912" s="317"/>
      <c r="E8912" s="318"/>
      <c r="F8912" s="247"/>
      <c r="G8912" s="247"/>
      <c r="H8912" s="248"/>
      <c r="I8912" s="248"/>
      <c r="J8912" s="247"/>
      <c r="K8912" s="249"/>
    </row>
    <row r="8913" spans="1:11" s="90" customFormat="1" ht="12.75" customHeight="1" x14ac:dyDescent="0.2">
      <c r="A8913" s="247"/>
      <c r="B8913" s="316"/>
      <c r="C8913" s="247"/>
      <c r="D8913" s="317"/>
      <c r="E8913" s="318"/>
      <c r="F8913" s="247"/>
      <c r="G8913" s="247"/>
      <c r="H8913" s="248"/>
      <c r="I8913" s="248"/>
      <c r="J8913" s="247"/>
      <c r="K8913" s="249"/>
    </row>
    <row r="8914" spans="1:11" s="90" customFormat="1" ht="12.75" customHeight="1" x14ac:dyDescent="0.2">
      <c r="A8914" s="247"/>
      <c r="B8914" s="316"/>
      <c r="C8914" s="247"/>
      <c r="D8914" s="317"/>
      <c r="E8914" s="318"/>
      <c r="F8914" s="247"/>
      <c r="G8914" s="247"/>
      <c r="H8914" s="248"/>
      <c r="I8914" s="248"/>
      <c r="J8914" s="247"/>
      <c r="K8914" s="249"/>
    </row>
    <row r="8915" spans="1:11" s="90" customFormat="1" ht="12.75" customHeight="1" x14ac:dyDescent="0.2">
      <c r="A8915" s="247"/>
      <c r="B8915" s="316"/>
      <c r="C8915" s="247"/>
      <c r="D8915" s="317"/>
      <c r="E8915" s="318"/>
      <c r="F8915" s="247"/>
      <c r="G8915" s="247"/>
      <c r="H8915" s="248"/>
      <c r="I8915" s="248"/>
      <c r="J8915" s="247"/>
      <c r="K8915" s="249"/>
    </row>
    <row r="8916" spans="1:11" s="90" customFormat="1" ht="12.75" customHeight="1" x14ac:dyDescent="0.2">
      <c r="A8916" s="247"/>
      <c r="B8916" s="316"/>
      <c r="C8916" s="247"/>
      <c r="D8916" s="317"/>
      <c r="E8916" s="318"/>
      <c r="F8916" s="247"/>
      <c r="G8916" s="247"/>
      <c r="H8916" s="248"/>
      <c r="I8916" s="248"/>
      <c r="J8916" s="247"/>
      <c r="K8916" s="249"/>
    </row>
    <row r="8917" spans="1:11" s="90" customFormat="1" ht="12.75" customHeight="1" x14ac:dyDescent="0.2">
      <c r="A8917" s="247"/>
      <c r="B8917" s="316"/>
      <c r="C8917" s="247"/>
      <c r="D8917" s="317"/>
      <c r="E8917" s="318"/>
      <c r="F8917" s="247"/>
      <c r="G8917" s="247"/>
      <c r="H8917" s="248"/>
      <c r="I8917" s="248"/>
      <c r="J8917" s="247"/>
      <c r="K8917" s="249"/>
    </row>
    <row r="8918" spans="1:11" s="90" customFormat="1" ht="12.75" customHeight="1" x14ac:dyDescent="0.2">
      <c r="A8918" s="247"/>
      <c r="B8918" s="316"/>
      <c r="C8918" s="247"/>
      <c r="D8918" s="317"/>
      <c r="E8918" s="318"/>
      <c r="F8918" s="247"/>
      <c r="G8918" s="247"/>
      <c r="H8918" s="248"/>
      <c r="I8918" s="248"/>
      <c r="J8918" s="247"/>
      <c r="K8918" s="249"/>
    </row>
    <row r="8919" spans="1:11" s="90" customFormat="1" ht="12.75" customHeight="1" x14ac:dyDescent="0.2">
      <c r="A8919" s="247"/>
      <c r="B8919" s="316"/>
      <c r="C8919" s="247"/>
      <c r="D8919" s="317"/>
      <c r="E8919" s="318"/>
      <c r="F8919" s="247"/>
      <c r="G8919" s="247"/>
      <c r="H8919" s="248"/>
      <c r="I8919" s="248"/>
      <c r="J8919" s="247"/>
      <c r="K8919" s="249"/>
    </row>
    <row r="8920" spans="1:11" s="90" customFormat="1" ht="12.75" customHeight="1" x14ac:dyDescent="0.2">
      <c r="A8920" s="247"/>
      <c r="B8920" s="316"/>
      <c r="C8920" s="247"/>
      <c r="D8920" s="317"/>
      <c r="E8920" s="318"/>
      <c r="F8920" s="247"/>
      <c r="G8920" s="247"/>
      <c r="H8920" s="248"/>
      <c r="I8920" s="248"/>
      <c r="J8920" s="247"/>
      <c r="K8920" s="249"/>
    </row>
    <row r="8921" spans="1:11" s="90" customFormat="1" ht="12.75" customHeight="1" x14ac:dyDescent="0.2">
      <c r="A8921" s="247"/>
      <c r="B8921" s="316"/>
      <c r="C8921" s="247"/>
      <c r="D8921" s="317"/>
      <c r="E8921" s="318"/>
      <c r="F8921" s="247"/>
      <c r="G8921" s="247"/>
      <c r="H8921" s="248"/>
      <c r="I8921" s="248"/>
      <c r="J8921" s="247"/>
      <c r="K8921" s="249"/>
    </row>
    <row r="8922" spans="1:11" s="90" customFormat="1" ht="12.75" customHeight="1" x14ac:dyDescent="0.2">
      <c r="A8922" s="247"/>
      <c r="B8922" s="316"/>
      <c r="C8922" s="247"/>
      <c r="D8922" s="317"/>
      <c r="E8922" s="318"/>
      <c r="F8922" s="247"/>
      <c r="G8922" s="247"/>
      <c r="H8922" s="248"/>
      <c r="I8922" s="248"/>
      <c r="J8922" s="247"/>
      <c r="K8922" s="249"/>
    </row>
    <row r="8923" spans="1:11" s="90" customFormat="1" ht="12.75" customHeight="1" x14ac:dyDescent="0.2">
      <c r="A8923" s="247"/>
      <c r="B8923" s="316"/>
      <c r="C8923" s="247"/>
      <c r="D8923" s="317"/>
      <c r="E8923" s="318"/>
      <c r="F8923" s="247"/>
      <c r="G8923" s="247"/>
      <c r="H8923" s="248"/>
      <c r="I8923" s="248"/>
      <c r="J8923" s="247"/>
      <c r="K8923" s="249"/>
    </row>
    <row r="8924" spans="1:11" s="90" customFormat="1" ht="12.75" customHeight="1" x14ac:dyDescent="0.2">
      <c r="A8924" s="247"/>
      <c r="B8924" s="316"/>
      <c r="C8924" s="247"/>
      <c r="D8924" s="317"/>
      <c r="E8924" s="318"/>
      <c r="F8924" s="247"/>
      <c r="G8924" s="247"/>
      <c r="H8924" s="248"/>
      <c r="I8924" s="248"/>
      <c r="J8924" s="247"/>
      <c r="K8924" s="249"/>
    </row>
    <row r="8925" spans="1:11" s="90" customFormat="1" ht="12.75" customHeight="1" x14ac:dyDescent="0.2">
      <c r="A8925" s="247"/>
      <c r="B8925" s="316"/>
      <c r="C8925" s="247"/>
      <c r="D8925" s="317"/>
      <c r="E8925" s="318"/>
      <c r="F8925" s="247"/>
      <c r="G8925" s="247"/>
      <c r="H8925" s="248"/>
      <c r="I8925" s="248"/>
      <c r="J8925" s="247"/>
      <c r="K8925" s="249"/>
    </row>
    <row r="8926" spans="1:11" s="90" customFormat="1" ht="12.75" customHeight="1" x14ac:dyDescent="0.2">
      <c r="A8926" s="247"/>
      <c r="B8926" s="316"/>
      <c r="C8926" s="247"/>
      <c r="D8926" s="317"/>
      <c r="E8926" s="318"/>
      <c r="F8926" s="247"/>
      <c r="G8926" s="247"/>
      <c r="H8926" s="248"/>
      <c r="I8926" s="248"/>
      <c r="J8926" s="247"/>
      <c r="K8926" s="249"/>
    </row>
    <row r="8927" spans="1:11" s="90" customFormat="1" ht="12.75" customHeight="1" x14ac:dyDescent="0.2">
      <c r="A8927" s="247"/>
      <c r="B8927" s="316"/>
      <c r="C8927" s="247"/>
      <c r="D8927" s="317"/>
      <c r="E8927" s="318"/>
      <c r="F8927" s="247"/>
      <c r="G8927" s="247"/>
      <c r="H8927" s="248"/>
      <c r="I8927" s="248"/>
      <c r="J8927" s="247"/>
      <c r="K8927" s="249"/>
    </row>
    <row r="8928" spans="1:11" s="90" customFormat="1" ht="12.75" customHeight="1" x14ac:dyDescent="0.2">
      <c r="A8928" s="247"/>
      <c r="B8928" s="316"/>
      <c r="C8928" s="247"/>
      <c r="D8928" s="317"/>
      <c r="E8928" s="318"/>
      <c r="F8928" s="247"/>
      <c r="G8928" s="247"/>
      <c r="H8928" s="248"/>
      <c r="I8928" s="248"/>
      <c r="J8928" s="247"/>
      <c r="K8928" s="249"/>
    </row>
    <row r="8929" spans="1:11" s="90" customFormat="1" ht="12.75" customHeight="1" x14ac:dyDescent="0.2">
      <c r="A8929" s="247"/>
      <c r="B8929" s="316"/>
      <c r="C8929" s="247"/>
      <c r="D8929" s="317"/>
      <c r="E8929" s="318"/>
      <c r="F8929" s="247"/>
      <c r="G8929" s="247"/>
      <c r="H8929" s="248"/>
      <c r="I8929" s="248"/>
      <c r="J8929" s="247"/>
      <c r="K8929" s="249"/>
    </row>
    <row r="8930" spans="1:11" s="90" customFormat="1" ht="12.75" customHeight="1" x14ac:dyDescent="0.2">
      <c r="A8930" s="247"/>
      <c r="B8930" s="316"/>
      <c r="C8930" s="247"/>
      <c r="D8930" s="317"/>
      <c r="E8930" s="318"/>
      <c r="F8930" s="247"/>
      <c r="G8930" s="247"/>
      <c r="H8930" s="248"/>
      <c r="I8930" s="248"/>
      <c r="J8930" s="247"/>
      <c r="K8930" s="249"/>
    </row>
    <row r="8931" spans="1:11" s="90" customFormat="1" ht="12.75" customHeight="1" x14ac:dyDescent="0.2">
      <c r="A8931" s="247"/>
      <c r="B8931" s="316"/>
      <c r="C8931" s="247"/>
      <c r="D8931" s="317"/>
      <c r="E8931" s="318"/>
      <c r="F8931" s="247"/>
      <c r="G8931" s="247"/>
      <c r="H8931" s="248"/>
      <c r="I8931" s="248"/>
      <c r="J8931" s="247"/>
      <c r="K8931" s="249"/>
    </row>
    <row r="8932" spans="1:11" s="90" customFormat="1" ht="12.75" customHeight="1" x14ac:dyDescent="0.2">
      <c r="A8932" s="247"/>
      <c r="B8932" s="316"/>
      <c r="C8932" s="247"/>
      <c r="D8932" s="317"/>
      <c r="E8932" s="318"/>
      <c r="F8932" s="247"/>
      <c r="G8932" s="247"/>
      <c r="H8932" s="248"/>
      <c r="I8932" s="248"/>
      <c r="J8932" s="247"/>
      <c r="K8932" s="249"/>
    </row>
    <row r="8933" spans="1:11" s="90" customFormat="1" ht="12.75" customHeight="1" x14ac:dyDescent="0.2">
      <c r="A8933" s="247"/>
      <c r="B8933" s="316"/>
      <c r="C8933" s="247"/>
      <c r="D8933" s="317"/>
      <c r="E8933" s="318"/>
      <c r="F8933" s="247"/>
      <c r="G8933" s="247"/>
      <c r="H8933" s="248"/>
      <c r="I8933" s="248"/>
      <c r="J8933" s="247"/>
      <c r="K8933" s="249"/>
    </row>
    <row r="8934" spans="1:11" s="90" customFormat="1" ht="12.75" customHeight="1" x14ac:dyDescent="0.2">
      <c r="A8934" s="247"/>
      <c r="B8934" s="316"/>
      <c r="C8934" s="247"/>
      <c r="D8934" s="317"/>
      <c r="E8934" s="318"/>
      <c r="F8934" s="247"/>
      <c r="G8934" s="247"/>
      <c r="H8934" s="248"/>
      <c r="I8934" s="248"/>
      <c r="J8934" s="247"/>
      <c r="K8934" s="249"/>
    </row>
    <row r="8935" spans="1:11" s="90" customFormat="1" ht="12.75" customHeight="1" x14ac:dyDescent="0.2">
      <c r="A8935" s="247"/>
      <c r="B8935" s="316"/>
      <c r="C8935" s="247"/>
      <c r="D8935" s="317"/>
      <c r="E8935" s="318"/>
      <c r="F8935" s="247"/>
      <c r="G8935" s="247"/>
      <c r="H8935" s="248"/>
      <c r="I8935" s="248"/>
      <c r="J8935" s="247"/>
      <c r="K8935" s="249"/>
    </row>
    <row r="8936" spans="1:11" s="90" customFormat="1" ht="12.75" customHeight="1" x14ac:dyDescent="0.2">
      <c r="A8936" s="247"/>
      <c r="B8936" s="316"/>
      <c r="C8936" s="247"/>
      <c r="D8936" s="317"/>
      <c r="E8936" s="318"/>
      <c r="F8936" s="247"/>
      <c r="G8936" s="247"/>
      <c r="H8936" s="248"/>
      <c r="I8936" s="248"/>
      <c r="J8936" s="247"/>
      <c r="K8936" s="249"/>
    </row>
    <row r="8937" spans="1:11" s="90" customFormat="1" ht="12.75" customHeight="1" x14ac:dyDescent="0.2">
      <c r="A8937" s="247"/>
      <c r="B8937" s="316"/>
      <c r="C8937" s="247"/>
      <c r="D8937" s="317"/>
      <c r="E8937" s="318"/>
      <c r="F8937" s="247"/>
      <c r="G8937" s="247"/>
      <c r="H8937" s="248"/>
      <c r="I8937" s="248"/>
      <c r="J8937" s="247"/>
      <c r="K8937" s="249"/>
    </row>
    <row r="8938" spans="1:11" s="90" customFormat="1" ht="12.75" customHeight="1" x14ac:dyDescent="0.2">
      <c r="A8938" s="247"/>
      <c r="B8938" s="316"/>
      <c r="C8938" s="247"/>
      <c r="D8938" s="317"/>
      <c r="E8938" s="318"/>
      <c r="F8938" s="247"/>
      <c r="G8938" s="247"/>
      <c r="H8938" s="248"/>
      <c r="I8938" s="248"/>
      <c r="J8938" s="247"/>
      <c r="K8938" s="249"/>
    </row>
    <row r="8939" spans="1:11" s="90" customFormat="1" ht="12.75" customHeight="1" x14ac:dyDescent="0.2">
      <c r="A8939" s="247"/>
      <c r="B8939" s="316"/>
      <c r="C8939" s="247"/>
      <c r="D8939" s="317"/>
      <c r="E8939" s="318"/>
      <c r="F8939" s="247"/>
      <c r="G8939" s="247"/>
      <c r="H8939" s="248"/>
      <c r="I8939" s="248"/>
      <c r="J8939" s="247"/>
      <c r="K8939" s="249"/>
    </row>
    <row r="8940" spans="1:11" s="90" customFormat="1" ht="12.75" customHeight="1" x14ac:dyDescent="0.2">
      <c r="A8940" s="247"/>
      <c r="B8940" s="316"/>
      <c r="C8940" s="247"/>
      <c r="D8940" s="317"/>
      <c r="E8940" s="318"/>
      <c r="F8940" s="247"/>
      <c r="G8940" s="247"/>
      <c r="H8940" s="248"/>
      <c r="I8940" s="248"/>
      <c r="J8940" s="247"/>
      <c r="K8940" s="249"/>
    </row>
    <row r="8941" spans="1:11" s="90" customFormat="1" ht="12.75" customHeight="1" x14ac:dyDescent="0.2">
      <c r="A8941" s="247"/>
      <c r="B8941" s="316"/>
      <c r="C8941" s="247"/>
      <c r="D8941" s="317"/>
      <c r="E8941" s="318"/>
      <c r="F8941" s="247"/>
      <c r="G8941" s="247"/>
      <c r="H8941" s="248"/>
      <c r="I8941" s="248"/>
      <c r="J8941" s="247"/>
      <c r="K8941" s="249"/>
    </row>
    <row r="8942" spans="1:11" s="90" customFormat="1" ht="12.75" customHeight="1" x14ac:dyDescent="0.2">
      <c r="A8942" s="247"/>
      <c r="B8942" s="316"/>
      <c r="C8942" s="247"/>
      <c r="D8942" s="317"/>
      <c r="E8942" s="318"/>
      <c r="F8942" s="247"/>
      <c r="G8942" s="247"/>
      <c r="H8942" s="248"/>
      <c r="I8942" s="248"/>
      <c r="J8942" s="247"/>
      <c r="K8942" s="249"/>
    </row>
    <row r="8943" spans="1:11" s="90" customFormat="1" ht="12.75" customHeight="1" x14ac:dyDescent="0.2">
      <c r="A8943" s="247"/>
      <c r="B8943" s="316"/>
      <c r="C8943" s="247"/>
      <c r="D8943" s="317"/>
      <c r="E8943" s="318"/>
      <c r="F8943" s="247"/>
      <c r="G8943" s="247"/>
      <c r="H8943" s="248"/>
      <c r="I8943" s="248"/>
      <c r="J8943" s="247"/>
      <c r="K8943" s="249"/>
    </row>
    <row r="8944" spans="1:11" s="90" customFormat="1" ht="12.75" customHeight="1" x14ac:dyDescent="0.2">
      <c r="A8944" s="247"/>
      <c r="B8944" s="316"/>
      <c r="C8944" s="247"/>
      <c r="D8944" s="317"/>
      <c r="E8944" s="318"/>
      <c r="F8944" s="247"/>
      <c r="G8944" s="247"/>
      <c r="H8944" s="248"/>
      <c r="I8944" s="248"/>
      <c r="J8944" s="247"/>
      <c r="K8944" s="249"/>
    </row>
    <row r="8945" spans="1:11" s="90" customFormat="1" ht="12.75" customHeight="1" x14ac:dyDescent="0.2">
      <c r="A8945" s="247"/>
      <c r="B8945" s="316"/>
      <c r="C8945" s="247"/>
      <c r="D8945" s="317"/>
      <c r="E8945" s="318"/>
      <c r="F8945" s="247"/>
      <c r="G8945" s="247"/>
      <c r="H8945" s="248"/>
      <c r="I8945" s="248"/>
      <c r="J8945" s="247"/>
      <c r="K8945" s="249"/>
    </row>
    <row r="8946" spans="1:11" s="90" customFormat="1" ht="12.75" customHeight="1" x14ac:dyDescent="0.2">
      <c r="A8946" s="247"/>
      <c r="B8946" s="316"/>
      <c r="C8946" s="247"/>
      <c r="D8946" s="317"/>
      <c r="E8946" s="318"/>
      <c r="F8946" s="247"/>
      <c r="G8946" s="247"/>
      <c r="H8946" s="248"/>
      <c r="I8946" s="248"/>
      <c r="J8946" s="247"/>
      <c r="K8946" s="249"/>
    </row>
    <row r="8947" spans="1:11" s="90" customFormat="1" ht="12.75" customHeight="1" x14ac:dyDescent="0.2">
      <c r="A8947" s="247"/>
      <c r="B8947" s="316"/>
      <c r="C8947" s="247"/>
      <c r="D8947" s="317"/>
      <c r="E8947" s="318"/>
      <c r="F8947" s="247"/>
      <c r="G8947" s="247"/>
      <c r="H8947" s="248"/>
      <c r="I8947" s="248"/>
      <c r="J8947" s="247"/>
      <c r="K8947" s="249"/>
    </row>
    <row r="8948" spans="1:11" s="90" customFormat="1" ht="12.75" customHeight="1" x14ac:dyDescent="0.2">
      <c r="A8948" s="247"/>
      <c r="B8948" s="316"/>
      <c r="C8948" s="247"/>
      <c r="D8948" s="317"/>
      <c r="E8948" s="318"/>
      <c r="F8948" s="247"/>
      <c r="G8948" s="247"/>
      <c r="H8948" s="248"/>
      <c r="I8948" s="248"/>
      <c r="J8948" s="247"/>
      <c r="K8948" s="249"/>
    </row>
    <row r="8949" spans="1:11" s="90" customFormat="1" ht="12.75" customHeight="1" x14ac:dyDescent="0.2">
      <c r="A8949" s="247"/>
      <c r="B8949" s="316"/>
      <c r="C8949" s="247"/>
      <c r="D8949" s="317"/>
      <c r="E8949" s="318"/>
      <c r="F8949" s="247"/>
      <c r="G8949" s="247"/>
      <c r="H8949" s="248"/>
      <c r="I8949" s="248"/>
      <c r="J8949" s="247"/>
      <c r="K8949" s="249"/>
    </row>
    <row r="8950" spans="1:11" s="90" customFormat="1" ht="12.75" customHeight="1" x14ac:dyDescent="0.2">
      <c r="A8950" s="247"/>
      <c r="B8950" s="316"/>
      <c r="C8950" s="247"/>
      <c r="D8950" s="317"/>
      <c r="E8950" s="318"/>
      <c r="F8950" s="247"/>
      <c r="G8950" s="247"/>
      <c r="H8950" s="248"/>
      <c r="I8950" s="248"/>
      <c r="J8950" s="247"/>
      <c r="K8950" s="249"/>
    </row>
    <row r="8951" spans="1:11" s="90" customFormat="1" ht="12.75" customHeight="1" x14ac:dyDescent="0.2">
      <c r="A8951" s="247"/>
      <c r="B8951" s="316"/>
      <c r="C8951" s="247"/>
      <c r="D8951" s="317"/>
      <c r="E8951" s="318"/>
      <c r="F8951" s="247"/>
      <c r="G8951" s="247"/>
      <c r="H8951" s="248"/>
      <c r="I8951" s="248"/>
      <c r="J8951" s="247"/>
      <c r="K8951" s="249"/>
    </row>
    <row r="8952" spans="1:11" s="90" customFormat="1" ht="12.75" customHeight="1" x14ac:dyDescent="0.2">
      <c r="A8952" s="247"/>
      <c r="B8952" s="316"/>
      <c r="C8952" s="247"/>
      <c r="D8952" s="317"/>
      <c r="E8952" s="318"/>
      <c r="F8952" s="247"/>
      <c r="G8952" s="247"/>
      <c r="H8952" s="248"/>
      <c r="I8952" s="248"/>
      <c r="J8952" s="247"/>
      <c r="K8952" s="249"/>
    </row>
    <row r="8953" spans="1:11" s="90" customFormat="1" ht="12.75" customHeight="1" x14ac:dyDescent="0.2">
      <c r="A8953" s="247"/>
      <c r="B8953" s="316"/>
      <c r="C8953" s="247"/>
      <c r="D8953" s="317"/>
      <c r="E8953" s="318"/>
      <c r="F8953" s="247"/>
      <c r="G8953" s="247"/>
      <c r="H8953" s="248"/>
      <c r="I8953" s="248"/>
      <c r="J8953" s="247"/>
      <c r="K8953" s="249"/>
    </row>
    <row r="8954" spans="1:11" s="90" customFormat="1" ht="12.75" customHeight="1" x14ac:dyDescent="0.2">
      <c r="A8954" s="247"/>
      <c r="B8954" s="316"/>
      <c r="C8954" s="247"/>
      <c r="D8954" s="317"/>
      <c r="E8954" s="318"/>
      <c r="F8954" s="247"/>
      <c r="G8954" s="247"/>
      <c r="H8954" s="248"/>
      <c r="I8954" s="248"/>
      <c r="J8954" s="247"/>
      <c r="K8954" s="249"/>
    </row>
    <row r="8955" spans="1:11" s="90" customFormat="1" ht="12.75" customHeight="1" x14ac:dyDescent="0.2">
      <c r="A8955" s="247"/>
      <c r="B8955" s="316"/>
      <c r="C8955" s="247"/>
      <c r="D8955" s="317"/>
      <c r="E8955" s="318"/>
      <c r="F8955" s="247"/>
      <c r="G8955" s="247"/>
      <c r="H8955" s="248"/>
      <c r="I8955" s="248"/>
      <c r="J8955" s="247"/>
      <c r="K8955" s="249"/>
    </row>
    <row r="8956" spans="1:11" s="90" customFormat="1" ht="12.75" customHeight="1" x14ac:dyDescent="0.2">
      <c r="A8956" s="247"/>
      <c r="B8956" s="316"/>
      <c r="C8956" s="247"/>
      <c r="D8956" s="317"/>
      <c r="E8956" s="318"/>
      <c r="F8956" s="247"/>
      <c r="G8956" s="247"/>
      <c r="H8956" s="248"/>
      <c r="I8956" s="248"/>
      <c r="J8956" s="247"/>
      <c r="K8956" s="249"/>
    </row>
    <row r="8957" spans="1:11" s="90" customFormat="1" ht="12.75" customHeight="1" x14ac:dyDescent="0.2">
      <c r="A8957" s="247"/>
      <c r="B8957" s="316"/>
      <c r="C8957" s="247"/>
      <c r="D8957" s="317"/>
      <c r="E8957" s="318"/>
      <c r="F8957" s="247"/>
      <c r="G8957" s="247"/>
      <c r="H8957" s="248"/>
      <c r="I8957" s="248"/>
      <c r="J8957" s="247"/>
      <c r="K8957" s="249"/>
    </row>
    <row r="8958" spans="1:11" s="90" customFormat="1" ht="12.75" customHeight="1" x14ac:dyDescent="0.2">
      <c r="A8958" s="247"/>
      <c r="B8958" s="316"/>
      <c r="C8958" s="247"/>
      <c r="D8958" s="317"/>
      <c r="E8958" s="318"/>
      <c r="F8958" s="247"/>
      <c r="G8958" s="247"/>
      <c r="H8958" s="248"/>
      <c r="I8958" s="248"/>
      <c r="J8958" s="247"/>
      <c r="K8958" s="249"/>
    </row>
    <row r="8959" spans="1:11" s="90" customFormat="1" ht="12.75" customHeight="1" x14ac:dyDescent="0.2">
      <c r="A8959" s="247"/>
      <c r="B8959" s="316"/>
      <c r="C8959" s="247"/>
      <c r="D8959" s="317"/>
      <c r="E8959" s="318"/>
      <c r="F8959" s="247"/>
      <c r="G8959" s="247"/>
      <c r="H8959" s="248"/>
      <c r="I8959" s="248"/>
      <c r="J8959" s="247"/>
      <c r="K8959" s="249"/>
    </row>
    <row r="8960" spans="1:11" s="90" customFormat="1" ht="12.75" customHeight="1" x14ac:dyDescent="0.2">
      <c r="A8960" s="247"/>
      <c r="B8960" s="316"/>
      <c r="C8960" s="247"/>
      <c r="D8960" s="317"/>
      <c r="E8960" s="318"/>
      <c r="F8960" s="247"/>
      <c r="G8960" s="247"/>
      <c r="H8960" s="248"/>
      <c r="I8960" s="248"/>
      <c r="J8960" s="247"/>
      <c r="K8960" s="249"/>
    </row>
    <row r="8961" spans="1:11" s="90" customFormat="1" ht="12.75" customHeight="1" x14ac:dyDescent="0.2">
      <c r="A8961" s="247"/>
      <c r="B8961" s="316"/>
      <c r="C8961" s="247"/>
      <c r="D8961" s="317"/>
      <c r="E8961" s="318"/>
      <c r="F8961" s="247"/>
      <c r="G8961" s="247"/>
      <c r="H8961" s="248"/>
      <c r="I8961" s="248"/>
      <c r="J8961" s="247"/>
      <c r="K8961" s="249"/>
    </row>
    <row r="8962" spans="1:11" s="90" customFormat="1" ht="12.75" customHeight="1" x14ac:dyDescent="0.2">
      <c r="A8962" s="247"/>
      <c r="B8962" s="316"/>
      <c r="C8962" s="247"/>
      <c r="D8962" s="317"/>
      <c r="E8962" s="318"/>
      <c r="F8962" s="247"/>
      <c r="G8962" s="247"/>
      <c r="H8962" s="248"/>
      <c r="I8962" s="248"/>
      <c r="J8962" s="247"/>
      <c r="K8962" s="249"/>
    </row>
    <row r="8963" spans="1:11" s="90" customFormat="1" ht="12.75" customHeight="1" x14ac:dyDescent="0.2">
      <c r="A8963" s="247"/>
      <c r="B8963" s="316"/>
      <c r="C8963" s="247"/>
      <c r="D8963" s="317"/>
      <c r="E8963" s="318"/>
      <c r="F8963" s="247"/>
      <c r="G8963" s="247"/>
      <c r="H8963" s="248"/>
      <c r="I8963" s="248"/>
      <c r="J8963" s="247"/>
      <c r="K8963" s="249"/>
    </row>
    <row r="8964" spans="1:11" s="90" customFormat="1" ht="12.75" customHeight="1" x14ac:dyDescent="0.2">
      <c r="A8964" s="247"/>
      <c r="B8964" s="316"/>
      <c r="C8964" s="247"/>
      <c r="D8964" s="317"/>
      <c r="E8964" s="318"/>
      <c r="F8964" s="247"/>
      <c r="G8964" s="247"/>
      <c r="H8964" s="248"/>
      <c r="I8964" s="248"/>
      <c r="J8964" s="247"/>
      <c r="K8964" s="249"/>
    </row>
    <row r="8965" spans="1:11" s="90" customFormat="1" ht="12.75" customHeight="1" x14ac:dyDescent="0.2">
      <c r="A8965" s="247"/>
      <c r="B8965" s="316"/>
      <c r="C8965" s="247"/>
      <c r="D8965" s="317"/>
      <c r="E8965" s="318"/>
      <c r="F8965" s="247"/>
      <c r="G8965" s="247"/>
      <c r="H8965" s="248"/>
      <c r="I8965" s="248"/>
      <c r="J8965" s="247"/>
      <c r="K8965" s="249"/>
    </row>
    <row r="8966" spans="1:11" s="90" customFormat="1" ht="12.75" customHeight="1" x14ac:dyDescent="0.2">
      <c r="A8966" s="247"/>
      <c r="B8966" s="316"/>
      <c r="C8966" s="247"/>
      <c r="D8966" s="317"/>
      <c r="E8966" s="318"/>
      <c r="F8966" s="247"/>
      <c r="G8966" s="247"/>
      <c r="H8966" s="248"/>
      <c r="I8966" s="248"/>
      <c r="J8966" s="247"/>
      <c r="K8966" s="249"/>
    </row>
    <row r="8967" spans="1:11" s="90" customFormat="1" ht="12.75" customHeight="1" x14ac:dyDescent="0.2">
      <c r="A8967" s="247"/>
      <c r="B8967" s="316"/>
      <c r="C8967" s="247"/>
      <c r="D8967" s="317"/>
      <c r="E8967" s="318"/>
      <c r="F8967" s="247"/>
      <c r="G8967" s="247"/>
      <c r="H8967" s="248"/>
      <c r="I8967" s="248"/>
      <c r="J8967" s="247"/>
      <c r="K8967" s="249"/>
    </row>
    <row r="8968" spans="1:11" s="90" customFormat="1" ht="12.75" customHeight="1" x14ac:dyDescent="0.2">
      <c r="A8968" s="247"/>
      <c r="B8968" s="316"/>
      <c r="C8968" s="247"/>
      <c r="D8968" s="317"/>
      <c r="E8968" s="318"/>
      <c r="F8968" s="247"/>
      <c r="G8968" s="247"/>
      <c r="H8968" s="248"/>
      <c r="I8968" s="248"/>
      <c r="J8968" s="247"/>
      <c r="K8968" s="249"/>
    </row>
    <row r="8969" spans="1:11" s="90" customFormat="1" ht="12.75" customHeight="1" x14ac:dyDescent="0.2">
      <c r="A8969" s="247"/>
      <c r="B8969" s="316"/>
      <c r="C8969" s="247"/>
      <c r="D8969" s="317"/>
      <c r="E8969" s="318"/>
      <c r="F8969" s="247"/>
      <c r="G8969" s="247"/>
      <c r="H8969" s="248"/>
      <c r="I8969" s="248"/>
      <c r="J8969" s="247"/>
      <c r="K8969" s="249"/>
    </row>
    <row r="8970" spans="1:11" s="90" customFormat="1" ht="12.75" customHeight="1" x14ac:dyDescent="0.2">
      <c r="A8970" s="247"/>
      <c r="B8970" s="316"/>
      <c r="C8970" s="247"/>
      <c r="D8970" s="317"/>
      <c r="E8970" s="318"/>
      <c r="F8970" s="247"/>
      <c r="G8970" s="247"/>
      <c r="H8970" s="248"/>
      <c r="I8970" s="248"/>
      <c r="J8970" s="247"/>
      <c r="K8970" s="249"/>
    </row>
    <row r="8971" spans="1:11" s="90" customFormat="1" ht="12.75" customHeight="1" x14ac:dyDescent="0.2">
      <c r="A8971" s="247"/>
      <c r="B8971" s="316"/>
      <c r="C8971" s="247"/>
      <c r="D8971" s="317"/>
      <c r="E8971" s="318"/>
      <c r="F8971" s="247"/>
      <c r="G8971" s="247"/>
      <c r="H8971" s="248"/>
      <c r="I8971" s="248"/>
      <c r="J8971" s="247"/>
      <c r="K8971" s="249"/>
    </row>
    <row r="8972" spans="1:11" s="90" customFormat="1" ht="12.75" customHeight="1" x14ac:dyDescent="0.2">
      <c r="A8972" s="247"/>
      <c r="B8972" s="316"/>
      <c r="C8972" s="247"/>
      <c r="D8972" s="317"/>
      <c r="E8972" s="318"/>
      <c r="F8972" s="247"/>
      <c r="G8972" s="247"/>
      <c r="H8972" s="248"/>
      <c r="I8972" s="248"/>
      <c r="J8972" s="247"/>
      <c r="K8972" s="249"/>
    </row>
    <row r="8973" spans="1:11" s="90" customFormat="1" ht="12.75" customHeight="1" x14ac:dyDescent="0.2">
      <c r="A8973" s="247"/>
      <c r="B8973" s="316"/>
      <c r="C8973" s="247"/>
      <c r="D8973" s="317"/>
      <c r="E8973" s="318"/>
      <c r="F8973" s="247"/>
      <c r="G8973" s="247"/>
      <c r="H8973" s="248"/>
      <c r="I8973" s="248"/>
      <c r="J8973" s="247"/>
      <c r="K8973" s="249"/>
    </row>
    <row r="8974" spans="1:11" s="90" customFormat="1" ht="12.75" customHeight="1" x14ac:dyDescent="0.2">
      <c r="A8974" s="247"/>
      <c r="B8974" s="316"/>
      <c r="C8974" s="247"/>
      <c r="D8974" s="317"/>
      <c r="E8974" s="318"/>
      <c r="F8974" s="247"/>
      <c r="G8974" s="247"/>
      <c r="H8974" s="248"/>
      <c r="I8974" s="248"/>
      <c r="J8974" s="247"/>
      <c r="K8974" s="249"/>
    </row>
    <row r="8975" spans="1:11" s="90" customFormat="1" ht="12.75" customHeight="1" x14ac:dyDescent="0.2">
      <c r="A8975" s="247"/>
      <c r="B8975" s="316"/>
      <c r="C8975" s="247"/>
      <c r="D8975" s="317"/>
      <c r="E8975" s="318"/>
      <c r="F8975" s="247"/>
      <c r="G8975" s="247"/>
      <c r="H8975" s="248"/>
      <c r="I8975" s="248"/>
      <c r="J8975" s="247"/>
      <c r="K8975" s="249"/>
    </row>
    <row r="8976" spans="1:11" s="90" customFormat="1" ht="12.75" customHeight="1" x14ac:dyDescent="0.2">
      <c r="A8976" s="247"/>
      <c r="B8976" s="316"/>
      <c r="C8976" s="247"/>
      <c r="D8976" s="317"/>
      <c r="E8976" s="318"/>
      <c r="F8976" s="247"/>
      <c r="G8976" s="247"/>
      <c r="H8976" s="248"/>
      <c r="I8976" s="248"/>
      <c r="J8976" s="247"/>
      <c r="K8976" s="249"/>
    </row>
    <row r="8977" spans="1:11" s="90" customFormat="1" ht="12.75" customHeight="1" x14ac:dyDescent="0.2">
      <c r="A8977" s="247"/>
      <c r="B8977" s="316"/>
      <c r="C8977" s="247"/>
      <c r="D8977" s="317"/>
      <c r="E8977" s="318"/>
      <c r="F8977" s="247"/>
      <c r="G8977" s="247"/>
      <c r="H8977" s="248"/>
      <c r="I8977" s="248"/>
      <c r="J8977" s="247"/>
      <c r="K8977" s="249"/>
    </row>
    <row r="8978" spans="1:11" s="90" customFormat="1" ht="12.75" customHeight="1" x14ac:dyDescent="0.2">
      <c r="A8978" s="247"/>
      <c r="B8978" s="316"/>
      <c r="C8978" s="247"/>
      <c r="D8978" s="317"/>
      <c r="E8978" s="318"/>
      <c r="F8978" s="247"/>
      <c r="G8978" s="247"/>
      <c r="H8978" s="248"/>
      <c r="I8978" s="248"/>
      <c r="J8978" s="247"/>
      <c r="K8978" s="249"/>
    </row>
    <row r="8979" spans="1:11" s="90" customFormat="1" ht="12.75" customHeight="1" x14ac:dyDescent="0.2">
      <c r="A8979" s="247"/>
      <c r="B8979" s="316"/>
      <c r="C8979" s="247"/>
      <c r="D8979" s="317"/>
      <c r="E8979" s="318"/>
      <c r="F8979" s="247"/>
      <c r="G8979" s="247"/>
      <c r="H8979" s="248"/>
      <c r="I8979" s="248"/>
      <c r="J8979" s="247"/>
      <c r="K8979" s="249"/>
    </row>
    <row r="8980" spans="1:11" s="90" customFormat="1" ht="12.75" customHeight="1" x14ac:dyDescent="0.2">
      <c r="A8980" s="247"/>
      <c r="B8980" s="316"/>
      <c r="C8980" s="247"/>
      <c r="D8980" s="317"/>
      <c r="E8980" s="318"/>
      <c r="F8980" s="247"/>
      <c r="G8980" s="247"/>
      <c r="H8980" s="248"/>
      <c r="I8980" s="248"/>
      <c r="J8980" s="247"/>
      <c r="K8980" s="249"/>
    </row>
    <row r="8981" spans="1:11" s="90" customFormat="1" ht="12.75" customHeight="1" x14ac:dyDescent="0.2">
      <c r="A8981" s="247"/>
      <c r="B8981" s="316"/>
      <c r="C8981" s="247"/>
      <c r="D8981" s="317"/>
      <c r="E8981" s="318"/>
      <c r="F8981" s="247"/>
      <c r="G8981" s="247"/>
      <c r="H8981" s="248"/>
      <c r="I8981" s="248"/>
      <c r="J8981" s="247"/>
      <c r="K8981" s="249"/>
    </row>
    <row r="8982" spans="1:11" s="90" customFormat="1" ht="12.75" customHeight="1" x14ac:dyDescent="0.2">
      <c r="A8982" s="247"/>
      <c r="B8982" s="316"/>
      <c r="C8982" s="247"/>
      <c r="D8982" s="317"/>
      <c r="E8982" s="318"/>
      <c r="F8982" s="247"/>
      <c r="G8982" s="247"/>
      <c r="H8982" s="248"/>
      <c r="I8982" s="248"/>
      <c r="J8982" s="247"/>
      <c r="K8982" s="249"/>
    </row>
    <row r="8983" spans="1:11" s="90" customFormat="1" ht="12.75" customHeight="1" x14ac:dyDescent="0.2">
      <c r="A8983" s="247"/>
      <c r="B8983" s="316"/>
      <c r="C8983" s="247"/>
      <c r="D8983" s="317"/>
      <c r="E8983" s="318"/>
      <c r="F8983" s="247"/>
      <c r="G8983" s="247"/>
      <c r="H8983" s="248"/>
      <c r="I8983" s="248"/>
      <c r="J8983" s="247"/>
      <c r="K8983" s="249"/>
    </row>
    <row r="8984" spans="1:11" s="90" customFormat="1" ht="12.75" customHeight="1" x14ac:dyDescent="0.2">
      <c r="A8984" s="247"/>
      <c r="B8984" s="316"/>
      <c r="C8984" s="247"/>
      <c r="D8984" s="317"/>
      <c r="E8984" s="318"/>
      <c r="F8984" s="247"/>
      <c r="G8984" s="247"/>
      <c r="H8984" s="248"/>
      <c r="I8984" s="248"/>
      <c r="J8984" s="247"/>
      <c r="K8984" s="249"/>
    </row>
    <row r="8985" spans="1:11" s="90" customFormat="1" ht="12.75" customHeight="1" x14ac:dyDescent="0.2">
      <c r="A8985" s="247"/>
      <c r="B8985" s="316"/>
      <c r="C8985" s="247"/>
      <c r="D8985" s="317"/>
      <c r="E8985" s="318"/>
      <c r="F8985" s="247"/>
      <c r="G8985" s="247"/>
      <c r="H8985" s="248"/>
      <c r="I8985" s="248"/>
      <c r="J8985" s="247"/>
      <c r="K8985" s="249"/>
    </row>
    <row r="8986" spans="1:11" s="90" customFormat="1" ht="12.75" customHeight="1" x14ac:dyDescent="0.2">
      <c r="A8986" s="247"/>
      <c r="B8986" s="316"/>
      <c r="C8986" s="247"/>
      <c r="D8986" s="317"/>
      <c r="E8986" s="318"/>
      <c r="F8986" s="247"/>
      <c r="G8986" s="247"/>
      <c r="H8986" s="248"/>
      <c r="I8986" s="248"/>
      <c r="J8986" s="247"/>
      <c r="K8986" s="249"/>
    </row>
    <row r="8987" spans="1:11" s="90" customFormat="1" ht="12.75" customHeight="1" x14ac:dyDescent="0.2">
      <c r="A8987" s="247"/>
      <c r="B8987" s="316"/>
      <c r="C8987" s="247"/>
      <c r="D8987" s="317"/>
      <c r="E8987" s="318"/>
      <c r="F8987" s="247"/>
      <c r="G8987" s="247"/>
      <c r="H8987" s="248"/>
      <c r="I8987" s="248"/>
      <c r="J8987" s="247"/>
      <c r="K8987" s="249"/>
    </row>
    <row r="8988" spans="1:11" s="90" customFormat="1" ht="12.75" customHeight="1" x14ac:dyDescent="0.2">
      <c r="A8988" s="247"/>
      <c r="B8988" s="316"/>
      <c r="C8988" s="247"/>
      <c r="D8988" s="317"/>
      <c r="E8988" s="318"/>
      <c r="F8988" s="247"/>
      <c r="G8988" s="247"/>
      <c r="H8988" s="248"/>
      <c r="I8988" s="248"/>
      <c r="J8988" s="247"/>
      <c r="K8988" s="249"/>
    </row>
    <row r="8989" spans="1:11" s="90" customFormat="1" ht="12.75" customHeight="1" x14ac:dyDescent="0.2">
      <c r="A8989" s="247"/>
      <c r="B8989" s="316"/>
      <c r="C8989" s="247"/>
      <c r="D8989" s="317"/>
      <c r="E8989" s="318"/>
      <c r="F8989" s="247"/>
      <c r="G8989" s="247"/>
      <c r="H8989" s="248"/>
      <c r="I8989" s="248"/>
      <c r="J8989" s="247"/>
      <c r="K8989" s="249"/>
    </row>
    <row r="8990" spans="1:11" s="90" customFormat="1" ht="12.75" customHeight="1" x14ac:dyDescent="0.2">
      <c r="A8990" s="247"/>
      <c r="B8990" s="316"/>
      <c r="C8990" s="247"/>
      <c r="D8990" s="317"/>
      <c r="E8990" s="318"/>
      <c r="F8990" s="247"/>
      <c r="G8990" s="247"/>
      <c r="H8990" s="248"/>
      <c r="I8990" s="248"/>
      <c r="J8990" s="247"/>
      <c r="K8990" s="249"/>
    </row>
    <row r="8991" spans="1:11" s="90" customFormat="1" ht="12.75" customHeight="1" x14ac:dyDescent="0.2">
      <c r="A8991" s="247"/>
      <c r="B8991" s="316"/>
      <c r="C8991" s="247"/>
      <c r="D8991" s="317"/>
      <c r="E8991" s="318"/>
      <c r="F8991" s="247"/>
      <c r="G8991" s="247"/>
      <c r="H8991" s="248"/>
      <c r="I8991" s="248"/>
      <c r="J8991" s="247"/>
      <c r="K8991" s="249"/>
    </row>
    <row r="8992" spans="1:11" s="90" customFormat="1" ht="12.75" customHeight="1" x14ac:dyDescent="0.2">
      <c r="A8992" s="247"/>
      <c r="B8992" s="316"/>
      <c r="C8992" s="247"/>
      <c r="D8992" s="317"/>
      <c r="E8992" s="318"/>
      <c r="F8992" s="247"/>
      <c r="G8992" s="247"/>
      <c r="H8992" s="248"/>
      <c r="I8992" s="248"/>
      <c r="J8992" s="247"/>
      <c r="K8992" s="249"/>
    </row>
    <row r="8993" spans="1:11" s="90" customFormat="1" ht="12.75" customHeight="1" x14ac:dyDescent="0.2">
      <c r="A8993" s="247"/>
      <c r="B8993" s="316"/>
      <c r="C8993" s="247"/>
      <c r="D8993" s="317"/>
      <c r="E8993" s="318"/>
      <c r="F8993" s="247"/>
      <c r="G8993" s="247"/>
      <c r="H8993" s="248"/>
      <c r="I8993" s="248"/>
      <c r="J8993" s="247"/>
      <c r="K8993" s="249"/>
    </row>
    <row r="8994" spans="1:11" s="90" customFormat="1" ht="12.75" customHeight="1" x14ac:dyDescent="0.2">
      <c r="A8994" s="247"/>
      <c r="B8994" s="316"/>
      <c r="C8994" s="247"/>
      <c r="D8994" s="317"/>
      <c r="E8994" s="318"/>
      <c r="F8994" s="247"/>
      <c r="G8994" s="247"/>
      <c r="H8994" s="248"/>
      <c r="I8994" s="248"/>
      <c r="J8994" s="247"/>
      <c r="K8994" s="249"/>
    </row>
    <row r="8995" spans="1:11" s="90" customFormat="1" ht="12.75" customHeight="1" x14ac:dyDescent="0.2">
      <c r="A8995" s="247"/>
      <c r="B8995" s="316"/>
      <c r="C8995" s="247"/>
      <c r="D8995" s="317"/>
      <c r="E8995" s="318"/>
      <c r="F8995" s="247"/>
      <c r="G8995" s="247"/>
      <c r="H8995" s="248"/>
      <c r="I8995" s="248"/>
      <c r="J8995" s="247"/>
      <c r="K8995" s="249"/>
    </row>
    <row r="8996" spans="1:11" s="90" customFormat="1" ht="12.75" customHeight="1" x14ac:dyDescent="0.2">
      <c r="A8996" s="247"/>
      <c r="B8996" s="316"/>
      <c r="C8996" s="247"/>
      <c r="D8996" s="317"/>
      <c r="E8996" s="318"/>
      <c r="F8996" s="247"/>
      <c r="G8996" s="247"/>
      <c r="H8996" s="248"/>
      <c r="I8996" s="248"/>
      <c r="J8996" s="247"/>
      <c r="K8996" s="249"/>
    </row>
    <row r="8997" spans="1:11" s="90" customFormat="1" ht="12.75" customHeight="1" x14ac:dyDescent="0.2">
      <c r="A8997" s="247"/>
      <c r="B8997" s="316"/>
      <c r="C8997" s="247"/>
      <c r="D8997" s="317"/>
      <c r="E8997" s="318"/>
      <c r="F8997" s="247"/>
      <c r="G8997" s="247"/>
      <c r="H8997" s="248"/>
      <c r="I8997" s="248"/>
      <c r="J8997" s="247"/>
      <c r="K8997" s="249"/>
    </row>
    <row r="8998" spans="1:11" s="90" customFormat="1" ht="12.75" customHeight="1" x14ac:dyDescent="0.2">
      <c r="A8998" s="247"/>
      <c r="B8998" s="316"/>
      <c r="C8998" s="247"/>
      <c r="D8998" s="317"/>
      <c r="E8998" s="318"/>
      <c r="F8998" s="247"/>
      <c r="G8998" s="247"/>
      <c r="H8998" s="248"/>
      <c r="I8998" s="248"/>
      <c r="J8998" s="247"/>
      <c r="K8998" s="249"/>
    </row>
    <row r="8999" spans="1:11" s="90" customFormat="1" ht="12.75" customHeight="1" x14ac:dyDescent="0.2">
      <c r="A8999" s="247"/>
      <c r="B8999" s="316"/>
      <c r="C8999" s="247"/>
      <c r="D8999" s="317"/>
      <c r="E8999" s="318"/>
      <c r="F8999" s="247"/>
      <c r="G8999" s="247"/>
      <c r="H8999" s="248"/>
      <c r="I8999" s="248"/>
      <c r="J8999" s="247"/>
      <c r="K8999" s="249"/>
    </row>
    <row r="9000" spans="1:11" s="90" customFormat="1" ht="12.75" customHeight="1" x14ac:dyDescent="0.2">
      <c r="A9000" s="247"/>
      <c r="B9000" s="316"/>
      <c r="C9000" s="247"/>
      <c r="D9000" s="317"/>
      <c r="E9000" s="318"/>
      <c r="F9000" s="247"/>
      <c r="G9000" s="247"/>
      <c r="H9000" s="248"/>
      <c r="I9000" s="248"/>
      <c r="J9000" s="247"/>
      <c r="K9000" s="249"/>
    </row>
    <row r="9001" spans="1:11" s="90" customFormat="1" ht="12.75" customHeight="1" x14ac:dyDescent="0.2">
      <c r="A9001" s="247"/>
      <c r="B9001" s="316"/>
      <c r="C9001" s="247"/>
      <c r="D9001" s="317"/>
      <c r="E9001" s="318"/>
      <c r="F9001" s="247"/>
      <c r="G9001" s="247"/>
      <c r="H9001" s="248"/>
      <c r="I9001" s="248"/>
      <c r="J9001" s="247"/>
      <c r="K9001" s="249"/>
    </row>
    <row r="9002" spans="1:11" s="90" customFormat="1" ht="12.75" customHeight="1" x14ac:dyDescent="0.2">
      <c r="A9002" s="247"/>
      <c r="B9002" s="316"/>
      <c r="C9002" s="247"/>
      <c r="D9002" s="317"/>
      <c r="E9002" s="318"/>
      <c r="F9002" s="247"/>
      <c r="G9002" s="247"/>
      <c r="H9002" s="248"/>
      <c r="I9002" s="248"/>
      <c r="J9002" s="247"/>
      <c r="K9002" s="249"/>
    </row>
    <row r="9003" spans="1:11" s="90" customFormat="1" ht="12.75" customHeight="1" x14ac:dyDescent="0.2">
      <c r="A9003" s="247"/>
      <c r="B9003" s="316"/>
      <c r="C9003" s="247"/>
      <c r="D9003" s="317"/>
      <c r="E9003" s="318"/>
      <c r="F9003" s="247"/>
      <c r="G9003" s="247"/>
      <c r="H9003" s="248"/>
      <c r="I9003" s="248"/>
      <c r="J9003" s="247"/>
      <c r="K9003" s="249"/>
    </row>
    <row r="9004" spans="1:11" s="90" customFormat="1" ht="12.75" customHeight="1" x14ac:dyDescent="0.2">
      <c r="A9004" s="247"/>
      <c r="B9004" s="316"/>
      <c r="C9004" s="247"/>
      <c r="D9004" s="317"/>
      <c r="E9004" s="318"/>
      <c r="F9004" s="247"/>
      <c r="G9004" s="247"/>
      <c r="H9004" s="248"/>
      <c r="I9004" s="248"/>
      <c r="J9004" s="247"/>
      <c r="K9004" s="249"/>
    </row>
    <row r="9005" spans="1:11" s="90" customFormat="1" ht="12.75" customHeight="1" x14ac:dyDescent="0.2">
      <c r="A9005" s="247"/>
      <c r="B9005" s="316"/>
      <c r="C9005" s="247"/>
      <c r="D9005" s="317"/>
      <c r="E9005" s="318"/>
      <c r="F9005" s="247"/>
      <c r="G9005" s="247"/>
      <c r="H9005" s="248"/>
      <c r="I9005" s="248"/>
      <c r="J9005" s="247"/>
      <c r="K9005" s="249"/>
    </row>
    <row r="9006" spans="1:11" s="90" customFormat="1" ht="12.75" customHeight="1" x14ac:dyDescent="0.2">
      <c r="A9006" s="247"/>
      <c r="B9006" s="316"/>
      <c r="C9006" s="247"/>
      <c r="D9006" s="317"/>
      <c r="E9006" s="318"/>
      <c r="F9006" s="247"/>
      <c r="G9006" s="247"/>
      <c r="H9006" s="248"/>
      <c r="I9006" s="248"/>
      <c r="J9006" s="247"/>
      <c r="K9006" s="249"/>
    </row>
    <row r="9007" spans="1:11" s="90" customFormat="1" ht="12.75" customHeight="1" x14ac:dyDescent="0.2">
      <c r="A9007" s="247"/>
      <c r="B9007" s="316"/>
      <c r="C9007" s="247"/>
      <c r="D9007" s="317"/>
      <c r="E9007" s="318"/>
      <c r="F9007" s="247"/>
      <c r="G9007" s="247"/>
      <c r="H9007" s="248"/>
      <c r="I9007" s="248"/>
      <c r="J9007" s="247"/>
      <c r="K9007" s="249"/>
    </row>
    <row r="9008" spans="1:11" s="90" customFormat="1" ht="12.75" customHeight="1" x14ac:dyDescent="0.2">
      <c r="A9008" s="247"/>
      <c r="B9008" s="316"/>
      <c r="C9008" s="247"/>
      <c r="D9008" s="317"/>
      <c r="E9008" s="318"/>
      <c r="F9008" s="247"/>
      <c r="G9008" s="247"/>
      <c r="H9008" s="248"/>
      <c r="I9008" s="248"/>
      <c r="J9008" s="247"/>
      <c r="K9008" s="249"/>
    </row>
    <row r="9009" spans="1:11" s="90" customFormat="1" ht="12.75" customHeight="1" x14ac:dyDescent="0.2">
      <c r="A9009" s="247"/>
      <c r="B9009" s="316"/>
      <c r="C9009" s="247"/>
      <c r="D9009" s="317"/>
      <c r="E9009" s="318"/>
      <c r="F9009" s="247"/>
      <c r="G9009" s="247"/>
      <c r="H9009" s="248"/>
      <c r="I9009" s="248"/>
      <c r="J9009" s="247"/>
      <c r="K9009" s="249"/>
    </row>
    <row r="9010" spans="1:11" s="90" customFormat="1" ht="12.75" customHeight="1" x14ac:dyDescent="0.2">
      <c r="A9010" s="247"/>
      <c r="B9010" s="316"/>
      <c r="C9010" s="247"/>
      <c r="D9010" s="317"/>
      <c r="E9010" s="318"/>
      <c r="F9010" s="247"/>
      <c r="G9010" s="247"/>
      <c r="H9010" s="248"/>
      <c r="I9010" s="248"/>
      <c r="J9010" s="247"/>
      <c r="K9010" s="249"/>
    </row>
    <row r="9011" spans="1:11" s="90" customFormat="1" ht="12.75" customHeight="1" x14ac:dyDescent="0.2">
      <c r="A9011" s="247"/>
      <c r="B9011" s="316"/>
      <c r="C9011" s="247"/>
      <c r="D9011" s="317"/>
      <c r="E9011" s="318"/>
      <c r="F9011" s="247"/>
      <c r="G9011" s="247"/>
      <c r="H9011" s="248"/>
      <c r="I9011" s="248"/>
      <c r="J9011" s="247"/>
      <c r="K9011" s="249"/>
    </row>
    <row r="9012" spans="1:11" s="90" customFormat="1" ht="12.75" customHeight="1" x14ac:dyDescent="0.2">
      <c r="A9012" s="247"/>
      <c r="B9012" s="316"/>
      <c r="C9012" s="247"/>
      <c r="D9012" s="317"/>
      <c r="E9012" s="318"/>
      <c r="F9012" s="247"/>
      <c r="G9012" s="247"/>
      <c r="H9012" s="248"/>
      <c r="I9012" s="248"/>
      <c r="J9012" s="247"/>
      <c r="K9012" s="249"/>
    </row>
    <row r="9013" spans="1:11" s="90" customFormat="1" ht="12.75" customHeight="1" x14ac:dyDescent="0.2">
      <c r="A9013" s="247"/>
      <c r="B9013" s="316"/>
      <c r="C9013" s="247"/>
      <c r="D9013" s="317"/>
      <c r="E9013" s="318"/>
      <c r="F9013" s="247"/>
      <c r="G9013" s="247"/>
      <c r="H9013" s="248"/>
      <c r="I9013" s="248"/>
      <c r="J9013" s="247"/>
      <c r="K9013" s="249"/>
    </row>
    <row r="9014" spans="1:11" s="90" customFormat="1" ht="12.75" customHeight="1" x14ac:dyDescent="0.2">
      <c r="A9014" s="247"/>
      <c r="B9014" s="316"/>
      <c r="C9014" s="247"/>
      <c r="D9014" s="317"/>
      <c r="E9014" s="318"/>
      <c r="F9014" s="247"/>
      <c r="G9014" s="247"/>
      <c r="H9014" s="248"/>
      <c r="I9014" s="248"/>
      <c r="J9014" s="247"/>
      <c r="K9014" s="249"/>
    </row>
    <row r="9015" spans="1:11" s="90" customFormat="1" ht="12.75" customHeight="1" x14ac:dyDescent="0.2">
      <c r="A9015" s="247"/>
      <c r="B9015" s="316"/>
      <c r="C9015" s="247"/>
      <c r="D9015" s="317"/>
      <c r="E9015" s="318"/>
      <c r="F9015" s="247"/>
      <c r="G9015" s="247"/>
      <c r="H9015" s="248"/>
      <c r="I9015" s="248"/>
      <c r="J9015" s="247"/>
      <c r="K9015" s="249"/>
    </row>
    <row r="9016" spans="1:11" s="90" customFormat="1" ht="12.75" customHeight="1" x14ac:dyDescent="0.2">
      <c r="A9016" s="247"/>
      <c r="B9016" s="316"/>
      <c r="C9016" s="247"/>
      <c r="D9016" s="317"/>
      <c r="E9016" s="318"/>
      <c r="F9016" s="247"/>
      <c r="G9016" s="247"/>
      <c r="H9016" s="248"/>
      <c r="I9016" s="248"/>
      <c r="J9016" s="247"/>
      <c r="K9016" s="249"/>
    </row>
    <row r="9017" spans="1:11" s="90" customFormat="1" ht="12.75" customHeight="1" x14ac:dyDescent="0.2">
      <c r="A9017" s="247"/>
      <c r="B9017" s="316"/>
      <c r="C9017" s="247"/>
      <c r="D9017" s="317"/>
      <c r="E9017" s="318"/>
      <c r="F9017" s="247"/>
      <c r="G9017" s="247"/>
      <c r="H9017" s="248"/>
      <c r="I9017" s="248"/>
      <c r="J9017" s="247"/>
      <c r="K9017" s="249"/>
    </row>
    <row r="9018" spans="1:11" s="90" customFormat="1" ht="12.75" customHeight="1" x14ac:dyDescent="0.2">
      <c r="A9018" s="247"/>
      <c r="B9018" s="316"/>
      <c r="C9018" s="247"/>
      <c r="D9018" s="317"/>
      <c r="E9018" s="318"/>
      <c r="F9018" s="247"/>
      <c r="G9018" s="247"/>
      <c r="H9018" s="248"/>
      <c r="I9018" s="248"/>
      <c r="J9018" s="247"/>
      <c r="K9018" s="249"/>
    </row>
    <row r="9019" spans="1:11" s="90" customFormat="1" ht="12.75" customHeight="1" x14ac:dyDescent="0.2">
      <c r="A9019" s="247"/>
      <c r="B9019" s="316"/>
      <c r="C9019" s="247"/>
      <c r="D9019" s="317"/>
      <c r="E9019" s="318"/>
      <c r="F9019" s="247"/>
      <c r="G9019" s="247"/>
      <c r="H9019" s="248"/>
      <c r="I9019" s="248"/>
      <c r="J9019" s="247"/>
      <c r="K9019" s="249"/>
    </row>
    <row r="9020" spans="1:11" s="90" customFormat="1" ht="12.75" customHeight="1" x14ac:dyDescent="0.2">
      <c r="A9020" s="247"/>
      <c r="B9020" s="316"/>
      <c r="C9020" s="247"/>
      <c r="D9020" s="317"/>
      <c r="E9020" s="318"/>
      <c r="F9020" s="247"/>
      <c r="G9020" s="247"/>
      <c r="H9020" s="248"/>
      <c r="I9020" s="248"/>
      <c r="J9020" s="247"/>
      <c r="K9020" s="249"/>
    </row>
    <row r="9021" spans="1:11" s="90" customFormat="1" ht="12.75" customHeight="1" x14ac:dyDescent="0.2">
      <c r="A9021" s="247"/>
      <c r="B9021" s="316"/>
      <c r="C9021" s="247"/>
      <c r="D9021" s="317"/>
      <c r="E9021" s="318"/>
      <c r="F9021" s="247"/>
      <c r="G9021" s="247"/>
      <c r="H9021" s="248"/>
      <c r="I9021" s="248"/>
      <c r="J9021" s="247"/>
      <c r="K9021" s="249"/>
    </row>
    <row r="9022" spans="1:11" s="90" customFormat="1" ht="12.75" customHeight="1" x14ac:dyDescent="0.2">
      <c r="A9022" s="247"/>
      <c r="B9022" s="316"/>
      <c r="C9022" s="247"/>
      <c r="D9022" s="317"/>
      <c r="E9022" s="318"/>
      <c r="F9022" s="247"/>
      <c r="G9022" s="247"/>
      <c r="H9022" s="248"/>
      <c r="I9022" s="248"/>
      <c r="J9022" s="247"/>
      <c r="K9022" s="249"/>
    </row>
    <row r="9023" spans="1:11" s="90" customFormat="1" ht="12.75" customHeight="1" x14ac:dyDescent="0.2">
      <c r="A9023" s="247"/>
      <c r="B9023" s="316"/>
      <c r="C9023" s="247"/>
      <c r="D9023" s="317"/>
      <c r="E9023" s="318"/>
      <c r="F9023" s="247"/>
      <c r="G9023" s="247"/>
      <c r="H9023" s="248"/>
      <c r="I9023" s="248"/>
      <c r="J9023" s="247"/>
      <c r="K9023" s="249"/>
    </row>
    <row r="9024" spans="1:11" s="90" customFormat="1" ht="12.75" customHeight="1" x14ac:dyDescent="0.2">
      <c r="A9024" s="247"/>
      <c r="B9024" s="316"/>
      <c r="C9024" s="247"/>
      <c r="D9024" s="317"/>
      <c r="E9024" s="318"/>
      <c r="F9024" s="247"/>
      <c r="G9024" s="247"/>
      <c r="H9024" s="248"/>
      <c r="I9024" s="248"/>
      <c r="J9024" s="247"/>
      <c r="K9024" s="249"/>
    </row>
    <row r="9025" spans="1:11" s="90" customFormat="1" ht="12.75" customHeight="1" x14ac:dyDescent="0.2">
      <c r="A9025" s="247"/>
      <c r="B9025" s="316"/>
      <c r="C9025" s="247"/>
      <c r="D9025" s="317"/>
      <c r="E9025" s="318"/>
      <c r="F9025" s="247"/>
      <c r="G9025" s="247"/>
      <c r="H9025" s="248"/>
      <c r="I9025" s="248"/>
      <c r="J9025" s="247"/>
      <c r="K9025" s="249"/>
    </row>
    <row r="9026" spans="1:11" s="90" customFormat="1" ht="12.75" customHeight="1" x14ac:dyDescent="0.2">
      <c r="A9026" s="247"/>
      <c r="B9026" s="316"/>
      <c r="C9026" s="247"/>
      <c r="D9026" s="317"/>
      <c r="E9026" s="318"/>
      <c r="F9026" s="247"/>
      <c r="G9026" s="247"/>
      <c r="H9026" s="248"/>
      <c r="I9026" s="248"/>
      <c r="J9026" s="247"/>
      <c r="K9026" s="249"/>
    </row>
    <row r="9027" spans="1:11" s="90" customFormat="1" ht="12.75" customHeight="1" x14ac:dyDescent="0.2">
      <c r="A9027" s="247"/>
      <c r="B9027" s="316"/>
      <c r="C9027" s="247"/>
      <c r="D9027" s="317"/>
      <c r="E9027" s="318"/>
      <c r="F9027" s="247"/>
      <c r="G9027" s="247"/>
      <c r="H9027" s="248"/>
      <c r="I9027" s="248"/>
      <c r="J9027" s="247"/>
      <c r="K9027" s="249"/>
    </row>
    <row r="9028" spans="1:11" s="90" customFormat="1" ht="12.75" customHeight="1" x14ac:dyDescent="0.2">
      <c r="A9028" s="247"/>
      <c r="B9028" s="316"/>
      <c r="C9028" s="247"/>
      <c r="D9028" s="317"/>
      <c r="E9028" s="318"/>
      <c r="F9028" s="247"/>
      <c r="G9028" s="247"/>
      <c r="H9028" s="248"/>
      <c r="I9028" s="248"/>
      <c r="J9028" s="247"/>
      <c r="K9028" s="249"/>
    </row>
    <row r="9029" spans="1:11" s="90" customFormat="1" ht="12.75" customHeight="1" x14ac:dyDescent="0.2">
      <c r="A9029" s="247"/>
      <c r="B9029" s="316"/>
      <c r="C9029" s="247"/>
      <c r="D9029" s="317"/>
      <c r="E9029" s="318"/>
      <c r="F9029" s="247"/>
      <c r="G9029" s="247"/>
      <c r="H9029" s="248"/>
      <c r="I9029" s="248"/>
      <c r="J9029" s="247"/>
      <c r="K9029" s="249"/>
    </row>
    <row r="9030" spans="1:11" s="90" customFormat="1" ht="12.75" customHeight="1" x14ac:dyDescent="0.2">
      <c r="A9030" s="247"/>
      <c r="B9030" s="316"/>
      <c r="C9030" s="247"/>
      <c r="D9030" s="317"/>
      <c r="E9030" s="318"/>
      <c r="F9030" s="247"/>
      <c r="G9030" s="247"/>
      <c r="H9030" s="248"/>
      <c r="I9030" s="248"/>
      <c r="J9030" s="247"/>
      <c r="K9030" s="249"/>
    </row>
    <row r="9031" spans="1:11" s="90" customFormat="1" ht="12.75" customHeight="1" x14ac:dyDescent="0.2">
      <c r="A9031" s="247"/>
      <c r="B9031" s="316"/>
      <c r="C9031" s="247"/>
      <c r="D9031" s="317"/>
      <c r="E9031" s="318"/>
      <c r="F9031" s="247"/>
      <c r="G9031" s="247"/>
      <c r="H9031" s="248"/>
      <c r="I9031" s="248"/>
      <c r="J9031" s="247"/>
      <c r="K9031" s="249"/>
    </row>
    <row r="9032" spans="1:11" s="90" customFormat="1" ht="12.75" customHeight="1" x14ac:dyDescent="0.2">
      <c r="A9032" s="247"/>
      <c r="B9032" s="316"/>
      <c r="C9032" s="247"/>
      <c r="D9032" s="317"/>
      <c r="E9032" s="318"/>
      <c r="F9032" s="247"/>
      <c r="G9032" s="247"/>
      <c r="H9032" s="248"/>
      <c r="I9032" s="248"/>
      <c r="J9032" s="247"/>
      <c r="K9032" s="249"/>
    </row>
    <row r="9033" spans="1:11" s="90" customFormat="1" ht="12.75" customHeight="1" x14ac:dyDescent="0.2">
      <c r="A9033" s="247"/>
      <c r="B9033" s="316"/>
      <c r="C9033" s="247"/>
      <c r="D9033" s="317"/>
      <c r="E9033" s="318"/>
      <c r="F9033" s="247"/>
      <c r="G9033" s="247"/>
      <c r="H9033" s="248"/>
      <c r="I9033" s="248"/>
      <c r="J9033" s="247"/>
      <c r="K9033" s="249"/>
    </row>
    <row r="9034" spans="1:11" s="90" customFormat="1" ht="12.75" customHeight="1" x14ac:dyDescent="0.2">
      <c r="A9034" s="247"/>
      <c r="B9034" s="316"/>
      <c r="C9034" s="247"/>
      <c r="D9034" s="317"/>
      <c r="E9034" s="318"/>
      <c r="F9034" s="247"/>
      <c r="G9034" s="247"/>
      <c r="H9034" s="248"/>
      <c r="I9034" s="248"/>
      <c r="J9034" s="247"/>
      <c r="K9034" s="249"/>
    </row>
    <row r="9035" spans="1:11" s="90" customFormat="1" ht="12.75" customHeight="1" x14ac:dyDescent="0.2">
      <c r="A9035" s="247"/>
      <c r="B9035" s="316"/>
      <c r="C9035" s="247"/>
      <c r="D9035" s="317"/>
      <c r="E9035" s="318"/>
      <c r="F9035" s="247"/>
      <c r="G9035" s="247"/>
      <c r="H9035" s="248"/>
      <c r="I9035" s="248"/>
      <c r="J9035" s="247"/>
      <c r="K9035" s="249"/>
    </row>
    <row r="9036" spans="1:11" s="90" customFormat="1" ht="12.75" customHeight="1" x14ac:dyDescent="0.2">
      <c r="A9036" s="247"/>
      <c r="B9036" s="316"/>
      <c r="C9036" s="247"/>
      <c r="D9036" s="317"/>
      <c r="E9036" s="318"/>
      <c r="F9036" s="247"/>
      <c r="G9036" s="247"/>
      <c r="H9036" s="248"/>
      <c r="I9036" s="248"/>
      <c r="J9036" s="247"/>
      <c r="K9036" s="249"/>
    </row>
    <row r="9037" spans="1:11" s="90" customFormat="1" ht="12.75" customHeight="1" x14ac:dyDescent="0.2">
      <c r="A9037" s="247"/>
      <c r="B9037" s="316"/>
      <c r="C9037" s="247"/>
      <c r="D9037" s="317"/>
      <c r="E9037" s="318"/>
      <c r="F9037" s="247"/>
      <c r="G9037" s="247"/>
      <c r="H9037" s="248"/>
      <c r="I9037" s="248"/>
      <c r="J9037" s="247"/>
      <c r="K9037" s="249"/>
    </row>
    <row r="9038" spans="1:11" s="90" customFormat="1" ht="12.75" customHeight="1" x14ac:dyDescent="0.2">
      <c r="A9038" s="247"/>
      <c r="B9038" s="316"/>
      <c r="C9038" s="247"/>
      <c r="D9038" s="317"/>
      <c r="E9038" s="318"/>
      <c r="F9038" s="247"/>
      <c r="G9038" s="247"/>
      <c r="H9038" s="248"/>
      <c r="I9038" s="248"/>
      <c r="J9038" s="247"/>
      <c r="K9038" s="249"/>
    </row>
    <row r="9039" spans="1:11" s="90" customFormat="1" ht="12.75" customHeight="1" x14ac:dyDescent="0.2">
      <c r="A9039" s="247"/>
      <c r="B9039" s="316"/>
      <c r="C9039" s="247"/>
      <c r="D9039" s="317"/>
      <c r="E9039" s="318"/>
      <c r="F9039" s="247"/>
      <c r="G9039" s="247"/>
      <c r="H9039" s="248"/>
      <c r="I9039" s="248"/>
      <c r="J9039" s="247"/>
      <c r="K9039" s="249"/>
    </row>
    <row r="9040" spans="1:11" s="90" customFormat="1" ht="12.75" customHeight="1" x14ac:dyDescent="0.2">
      <c r="A9040" s="247"/>
      <c r="B9040" s="316"/>
      <c r="C9040" s="247"/>
      <c r="D9040" s="317"/>
      <c r="E9040" s="318"/>
      <c r="F9040" s="247"/>
      <c r="G9040" s="247"/>
      <c r="H9040" s="248"/>
      <c r="I9040" s="248"/>
      <c r="J9040" s="247"/>
      <c r="K9040" s="249"/>
    </row>
    <row r="9041" spans="1:11" s="90" customFormat="1" ht="12.75" customHeight="1" x14ac:dyDescent="0.2">
      <c r="A9041" s="247"/>
      <c r="B9041" s="316"/>
      <c r="C9041" s="247"/>
      <c r="D9041" s="317"/>
      <c r="E9041" s="318"/>
      <c r="F9041" s="247"/>
      <c r="G9041" s="247"/>
      <c r="H9041" s="248"/>
      <c r="I9041" s="248"/>
      <c r="J9041" s="247"/>
      <c r="K9041" s="249"/>
    </row>
    <row r="9042" spans="1:11" s="90" customFormat="1" ht="12.75" customHeight="1" x14ac:dyDescent="0.2">
      <c r="A9042" s="247"/>
      <c r="B9042" s="316"/>
      <c r="C9042" s="247"/>
      <c r="D9042" s="317"/>
      <c r="E9042" s="318"/>
      <c r="F9042" s="247"/>
      <c r="G9042" s="247"/>
      <c r="H9042" s="248"/>
      <c r="I9042" s="248"/>
      <c r="J9042" s="247"/>
      <c r="K9042" s="249"/>
    </row>
    <row r="9043" spans="1:11" s="90" customFormat="1" ht="12.75" customHeight="1" x14ac:dyDescent="0.2">
      <c r="A9043" s="247"/>
      <c r="B9043" s="316"/>
      <c r="C9043" s="247"/>
      <c r="D9043" s="317"/>
      <c r="E9043" s="318"/>
      <c r="F9043" s="247"/>
      <c r="G9043" s="247"/>
      <c r="H9043" s="248"/>
      <c r="I9043" s="248"/>
      <c r="J9043" s="247"/>
      <c r="K9043" s="249"/>
    </row>
    <row r="9044" spans="1:11" s="90" customFormat="1" ht="12.75" customHeight="1" x14ac:dyDescent="0.2">
      <c r="A9044" s="247"/>
      <c r="B9044" s="316"/>
      <c r="C9044" s="247"/>
      <c r="D9044" s="317"/>
      <c r="E9044" s="318"/>
      <c r="F9044" s="247"/>
      <c r="G9044" s="247"/>
      <c r="H9044" s="248"/>
      <c r="I9044" s="248"/>
      <c r="J9044" s="247"/>
      <c r="K9044" s="249"/>
    </row>
    <row r="9045" spans="1:11" s="90" customFormat="1" ht="12.75" customHeight="1" x14ac:dyDescent="0.2">
      <c r="A9045" s="247"/>
      <c r="B9045" s="316"/>
      <c r="C9045" s="247"/>
      <c r="D9045" s="317"/>
      <c r="E9045" s="318"/>
      <c r="F9045" s="247"/>
      <c r="G9045" s="247"/>
      <c r="H9045" s="248"/>
      <c r="I9045" s="248"/>
      <c r="J9045" s="247"/>
      <c r="K9045" s="249"/>
    </row>
    <row r="9046" spans="1:11" s="90" customFormat="1" ht="12.75" customHeight="1" x14ac:dyDescent="0.2">
      <c r="A9046" s="247"/>
      <c r="B9046" s="316"/>
      <c r="C9046" s="247"/>
      <c r="D9046" s="317"/>
      <c r="E9046" s="318"/>
      <c r="F9046" s="247"/>
      <c r="G9046" s="247"/>
      <c r="H9046" s="248"/>
      <c r="I9046" s="248"/>
      <c r="J9046" s="247"/>
      <c r="K9046" s="249"/>
    </row>
    <row r="9047" spans="1:11" s="90" customFormat="1" ht="12.75" customHeight="1" x14ac:dyDescent="0.2">
      <c r="A9047" s="247"/>
      <c r="B9047" s="316"/>
      <c r="C9047" s="247"/>
      <c r="D9047" s="317"/>
      <c r="E9047" s="318"/>
      <c r="F9047" s="247"/>
      <c r="G9047" s="247"/>
      <c r="H9047" s="248"/>
      <c r="I9047" s="248"/>
      <c r="J9047" s="247"/>
      <c r="K9047" s="249"/>
    </row>
    <row r="9048" spans="1:11" s="90" customFormat="1" ht="12.75" customHeight="1" x14ac:dyDescent="0.2">
      <c r="A9048" s="247"/>
      <c r="B9048" s="316"/>
      <c r="C9048" s="247"/>
      <c r="D9048" s="317"/>
      <c r="E9048" s="318"/>
      <c r="F9048" s="247"/>
      <c r="G9048" s="247"/>
      <c r="H9048" s="248"/>
      <c r="I9048" s="248"/>
      <c r="J9048" s="247"/>
      <c r="K9048" s="249"/>
    </row>
    <row r="9049" spans="1:11" s="90" customFormat="1" ht="12.75" customHeight="1" x14ac:dyDescent="0.2">
      <c r="A9049" s="247"/>
      <c r="B9049" s="316"/>
      <c r="C9049" s="247"/>
      <c r="D9049" s="317"/>
      <c r="E9049" s="318"/>
      <c r="F9049" s="247"/>
      <c r="G9049" s="247"/>
      <c r="H9049" s="248"/>
      <c r="I9049" s="248"/>
      <c r="J9049" s="247"/>
      <c r="K9049" s="249"/>
    </row>
    <row r="9050" spans="1:11" s="90" customFormat="1" ht="12.75" customHeight="1" x14ac:dyDescent="0.2">
      <c r="A9050" s="247"/>
      <c r="B9050" s="316"/>
      <c r="C9050" s="247"/>
      <c r="D9050" s="317"/>
      <c r="E9050" s="318"/>
      <c r="F9050" s="247"/>
      <c r="G9050" s="247"/>
      <c r="H9050" s="248"/>
      <c r="I9050" s="248"/>
      <c r="J9050" s="247"/>
      <c r="K9050" s="249"/>
    </row>
    <row r="9051" spans="1:11" s="90" customFormat="1" ht="12.75" customHeight="1" x14ac:dyDescent="0.2">
      <c r="A9051" s="247"/>
      <c r="B9051" s="316"/>
      <c r="C9051" s="247"/>
      <c r="D9051" s="317"/>
      <c r="E9051" s="318"/>
      <c r="F9051" s="247"/>
      <c r="G9051" s="247"/>
      <c r="H9051" s="248"/>
      <c r="I9051" s="248"/>
      <c r="J9051" s="247"/>
      <c r="K9051" s="249"/>
    </row>
    <row r="9052" spans="1:11" s="90" customFormat="1" ht="12.75" customHeight="1" x14ac:dyDescent="0.2">
      <c r="A9052" s="247"/>
      <c r="B9052" s="316"/>
      <c r="C9052" s="247"/>
      <c r="D9052" s="317"/>
      <c r="E9052" s="318"/>
      <c r="F9052" s="247"/>
      <c r="G9052" s="247"/>
      <c r="H9052" s="248"/>
      <c r="I9052" s="248"/>
      <c r="J9052" s="247"/>
      <c r="K9052" s="249"/>
    </row>
    <row r="9053" spans="1:11" s="90" customFormat="1" ht="12.75" customHeight="1" x14ac:dyDescent="0.2">
      <c r="A9053" s="247"/>
      <c r="B9053" s="316"/>
      <c r="C9053" s="247"/>
      <c r="D9053" s="317"/>
      <c r="E9053" s="318"/>
      <c r="F9053" s="247"/>
      <c r="G9053" s="247"/>
      <c r="H9053" s="248"/>
      <c r="I9053" s="248"/>
      <c r="J9053" s="247"/>
      <c r="K9053" s="249"/>
    </row>
    <row r="9054" spans="1:11" s="90" customFormat="1" ht="12.75" customHeight="1" x14ac:dyDescent="0.2">
      <c r="A9054" s="247"/>
      <c r="B9054" s="316"/>
      <c r="C9054" s="247"/>
      <c r="D9054" s="317"/>
      <c r="E9054" s="318"/>
      <c r="F9054" s="247"/>
      <c r="G9054" s="247"/>
      <c r="H9054" s="248"/>
      <c r="I9054" s="248"/>
      <c r="J9054" s="247"/>
      <c r="K9054" s="249"/>
    </row>
    <row r="9055" spans="1:11" s="90" customFormat="1" ht="12.75" customHeight="1" x14ac:dyDescent="0.2">
      <c r="A9055" s="247"/>
      <c r="B9055" s="316"/>
      <c r="C9055" s="247"/>
      <c r="D9055" s="317"/>
      <c r="E9055" s="318"/>
      <c r="F9055" s="247"/>
      <c r="G9055" s="247"/>
      <c r="H9055" s="248"/>
      <c r="I9055" s="248"/>
      <c r="J9055" s="247"/>
      <c r="K9055" s="249"/>
    </row>
    <row r="9056" spans="1:11" s="90" customFormat="1" ht="12.75" customHeight="1" x14ac:dyDescent="0.2">
      <c r="A9056" s="247"/>
      <c r="B9056" s="316"/>
      <c r="C9056" s="247"/>
      <c r="D9056" s="317"/>
      <c r="E9056" s="318"/>
      <c r="F9056" s="247"/>
      <c r="G9056" s="247"/>
      <c r="H9056" s="248"/>
      <c r="I9056" s="248"/>
      <c r="J9056" s="247"/>
      <c r="K9056" s="249"/>
    </row>
    <row r="9057" spans="1:11" s="90" customFormat="1" ht="12.75" customHeight="1" x14ac:dyDescent="0.2">
      <c r="A9057" s="247"/>
      <c r="B9057" s="316"/>
      <c r="C9057" s="247"/>
      <c r="D9057" s="317"/>
      <c r="E9057" s="318"/>
      <c r="F9057" s="247"/>
      <c r="G9057" s="247"/>
      <c r="H9057" s="248"/>
      <c r="I9057" s="248"/>
      <c r="J9057" s="247"/>
      <c r="K9057" s="249"/>
    </row>
    <row r="9058" spans="1:11" s="90" customFormat="1" ht="12.75" customHeight="1" x14ac:dyDescent="0.2">
      <c r="A9058" s="247"/>
      <c r="B9058" s="316"/>
      <c r="C9058" s="247"/>
      <c r="D9058" s="317"/>
      <c r="E9058" s="318"/>
      <c r="F9058" s="247"/>
      <c r="G9058" s="247"/>
      <c r="H9058" s="248"/>
      <c r="I9058" s="248"/>
      <c r="J9058" s="247"/>
      <c r="K9058" s="249"/>
    </row>
    <row r="9059" spans="1:11" s="90" customFormat="1" ht="12.75" customHeight="1" x14ac:dyDescent="0.2">
      <c r="A9059" s="247"/>
      <c r="B9059" s="316"/>
      <c r="C9059" s="247"/>
      <c r="D9059" s="317"/>
      <c r="E9059" s="318"/>
      <c r="F9059" s="247"/>
      <c r="G9059" s="247"/>
      <c r="H9059" s="248"/>
      <c r="I9059" s="248"/>
      <c r="J9059" s="247"/>
      <c r="K9059" s="249"/>
    </row>
    <row r="9060" spans="1:11" s="90" customFormat="1" ht="12.75" customHeight="1" x14ac:dyDescent="0.2">
      <c r="A9060" s="247"/>
      <c r="B9060" s="316"/>
      <c r="C9060" s="247"/>
      <c r="D9060" s="317"/>
      <c r="E9060" s="318"/>
      <c r="F9060" s="247"/>
      <c r="G9060" s="247"/>
      <c r="H9060" s="248"/>
      <c r="I9060" s="248"/>
      <c r="J9060" s="247"/>
      <c r="K9060" s="249"/>
    </row>
    <row r="9061" spans="1:11" s="90" customFormat="1" ht="12.75" customHeight="1" x14ac:dyDescent="0.2">
      <c r="A9061" s="247"/>
      <c r="B9061" s="316"/>
      <c r="C9061" s="247"/>
      <c r="D9061" s="317"/>
      <c r="E9061" s="318"/>
      <c r="F9061" s="247"/>
      <c r="G9061" s="247"/>
      <c r="H9061" s="248"/>
      <c r="I9061" s="248"/>
      <c r="J9061" s="247"/>
      <c r="K9061" s="249"/>
    </row>
    <row r="9062" spans="1:11" s="90" customFormat="1" ht="12.75" customHeight="1" x14ac:dyDescent="0.2">
      <c r="A9062" s="247"/>
      <c r="B9062" s="316"/>
      <c r="C9062" s="247"/>
      <c r="D9062" s="317"/>
      <c r="E9062" s="318"/>
      <c r="F9062" s="247"/>
      <c r="G9062" s="247"/>
      <c r="H9062" s="248"/>
      <c r="I9062" s="248"/>
      <c r="J9062" s="247"/>
      <c r="K9062" s="249"/>
    </row>
    <row r="9063" spans="1:11" s="90" customFormat="1" ht="12.75" customHeight="1" x14ac:dyDescent="0.2">
      <c r="A9063" s="247"/>
      <c r="B9063" s="316"/>
      <c r="C9063" s="247"/>
      <c r="D9063" s="317"/>
      <c r="E9063" s="318"/>
      <c r="F9063" s="247"/>
      <c r="G9063" s="247"/>
      <c r="H9063" s="248"/>
      <c r="I9063" s="248"/>
      <c r="J9063" s="247"/>
      <c r="K9063" s="249"/>
    </row>
    <row r="9064" spans="1:11" s="90" customFormat="1" ht="12.75" customHeight="1" x14ac:dyDescent="0.2">
      <c r="A9064" s="247"/>
      <c r="B9064" s="316"/>
      <c r="C9064" s="247"/>
      <c r="D9064" s="317"/>
      <c r="E9064" s="318"/>
      <c r="F9064" s="247"/>
      <c r="G9064" s="247"/>
      <c r="H9064" s="248"/>
      <c r="I9064" s="248"/>
      <c r="J9064" s="247"/>
      <c r="K9064" s="249"/>
    </row>
    <row r="9065" spans="1:11" s="90" customFormat="1" ht="12.75" customHeight="1" x14ac:dyDescent="0.2">
      <c r="A9065" s="247"/>
      <c r="B9065" s="316"/>
      <c r="C9065" s="247"/>
      <c r="D9065" s="317"/>
      <c r="E9065" s="318"/>
      <c r="F9065" s="247"/>
      <c r="G9065" s="247"/>
      <c r="H9065" s="248"/>
      <c r="I9065" s="248"/>
      <c r="J9065" s="247"/>
      <c r="K9065" s="249"/>
    </row>
    <row r="9066" spans="1:11" s="90" customFormat="1" ht="12.75" customHeight="1" x14ac:dyDescent="0.2">
      <c r="A9066" s="247"/>
      <c r="B9066" s="316"/>
      <c r="C9066" s="247"/>
      <c r="D9066" s="317"/>
      <c r="E9066" s="318"/>
      <c r="F9066" s="247"/>
      <c r="G9066" s="247"/>
      <c r="H9066" s="248"/>
      <c r="I9066" s="248"/>
      <c r="J9066" s="247"/>
      <c r="K9066" s="249"/>
    </row>
    <row r="9067" spans="1:11" s="90" customFormat="1" ht="12.75" customHeight="1" x14ac:dyDescent="0.2">
      <c r="A9067" s="247"/>
      <c r="B9067" s="316"/>
      <c r="C9067" s="247"/>
      <c r="D9067" s="317"/>
      <c r="E9067" s="318"/>
      <c r="F9067" s="247"/>
      <c r="G9067" s="247"/>
      <c r="H9067" s="248"/>
      <c r="I9067" s="248"/>
      <c r="J9067" s="247"/>
      <c r="K9067" s="249"/>
    </row>
    <row r="9068" spans="1:11" s="90" customFormat="1" ht="12.75" customHeight="1" x14ac:dyDescent="0.2">
      <c r="A9068" s="247"/>
      <c r="B9068" s="316"/>
      <c r="C9068" s="247"/>
      <c r="D9068" s="317"/>
      <c r="E9068" s="318"/>
      <c r="F9068" s="247"/>
      <c r="G9068" s="247"/>
      <c r="H9068" s="248"/>
      <c r="I9068" s="248"/>
      <c r="J9068" s="247"/>
      <c r="K9068" s="249"/>
    </row>
    <row r="9069" spans="1:11" s="90" customFormat="1" ht="12.75" customHeight="1" x14ac:dyDescent="0.2">
      <c r="A9069" s="247"/>
      <c r="B9069" s="316"/>
      <c r="C9069" s="247"/>
      <c r="D9069" s="317"/>
      <c r="E9069" s="318"/>
      <c r="F9069" s="247"/>
      <c r="G9069" s="247"/>
      <c r="H9069" s="248"/>
      <c r="I9069" s="248"/>
      <c r="J9069" s="247"/>
      <c r="K9069" s="249"/>
    </row>
    <row r="9070" spans="1:11" s="90" customFormat="1" ht="12.75" customHeight="1" x14ac:dyDescent="0.2">
      <c r="A9070" s="247"/>
      <c r="B9070" s="316"/>
      <c r="C9070" s="247"/>
      <c r="D9070" s="317"/>
      <c r="E9070" s="318"/>
      <c r="F9070" s="247"/>
      <c r="G9070" s="247"/>
      <c r="H9070" s="248"/>
      <c r="I9070" s="248"/>
      <c r="J9070" s="247"/>
      <c r="K9070" s="249"/>
    </row>
    <row r="9071" spans="1:11" s="90" customFormat="1" ht="12.75" customHeight="1" x14ac:dyDescent="0.2">
      <c r="A9071" s="247"/>
      <c r="B9071" s="316"/>
      <c r="C9071" s="247"/>
      <c r="D9071" s="317"/>
      <c r="E9071" s="318"/>
      <c r="F9071" s="247"/>
      <c r="G9071" s="247"/>
      <c r="H9071" s="248"/>
      <c r="I9071" s="248"/>
      <c r="J9071" s="247"/>
      <c r="K9071" s="249"/>
    </row>
    <row r="9072" spans="1:11" s="90" customFormat="1" ht="12.75" customHeight="1" x14ac:dyDescent="0.2">
      <c r="A9072" s="247"/>
      <c r="B9072" s="316"/>
      <c r="C9072" s="247"/>
      <c r="D9072" s="317"/>
      <c r="E9072" s="318"/>
      <c r="F9072" s="247"/>
      <c r="G9072" s="247"/>
      <c r="H9072" s="248"/>
      <c r="I9072" s="248"/>
      <c r="J9072" s="247"/>
      <c r="K9072" s="249"/>
    </row>
    <row r="9073" spans="1:11" s="90" customFormat="1" ht="12.75" customHeight="1" x14ac:dyDescent="0.2">
      <c r="A9073" s="247"/>
      <c r="B9073" s="316"/>
      <c r="C9073" s="247"/>
      <c r="D9073" s="317"/>
      <c r="E9073" s="318"/>
      <c r="F9073" s="247"/>
      <c r="G9073" s="247"/>
      <c r="H9073" s="248"/>
      <c r="I9073" s="248"/>
      <c r="J9073" s="247"/>
      <c r="K9073" s="249"/>
    </row>
    <row r="9074" spans="1:11" s="90" customFormat="1" ht="12.75" customHeight="1" x14ac:dyDescent="0.2">
      <c r="A9074" s="247"/>
      <c r="B9074" s="316"/>
      <c r="C9074" s="247"/>
      <c r="D9074" s="317"/>
      <c r="E9074" s="318"/>
      <c r="F9074" s="247"/>
      <c r="G9074" s="247"/>
      <c r="H9074" s="248"/>
      <c r="I9074" s="248"/>
      <c r="J9074" s="247"/>
      <c r="K9074" s="249"/>
    </row>
    <row r="9075" spans="1:11" s="90" customFormat="1" ht="12.75" customHeight="1" x14ac:dyDescent="0.2">
      <c r="A9075" s="247"/>
      <c r="B9075" s="316"/>
      <c r="C9075" s="247"/>
      <c r="D9075" s="317"/>
      <c r="E9075" s="318"/>
      <c r="F9075" s="247"/>
      <c r="G9075" s="247"/>
      <c r="H9075" s="248"/>
      <c r="I9075" s="248"/>
      <c r="J9075" s="247"/>
      <c r="K9075" s="249"/>
    </row>
    <row r="9076" spans="1:11" s="90" customFormat="1" ht="12.75" customHeight="1" x14ac:dyDescent="0.2">
      <c r="A9076" s="247"/>
      <c r="B9076" s="316"/>
      <c r="C9076" s="247"/>
      <c r="D9076" s="317"/>
      <c r="E9076" s="318"/>
      <c r="F9076" s="247"/>
      <c r="G9076" s="247"/>
      <c r="H9076" s="248"/>
      <c r="I9076" s="248"/>
      <c r="J9076" s="247"/>
      <c r="K9076" s="249"/>
    </row>
    <row r="9077" spans="1:11" s="90" customFormat="1" ht="12.75" customHeight="1" x14ac:dyDescent="0.2">
      <c r="A9077" s="247"/>
      <c r="B9077" s="316"/>
      <c r="C9077" s="247"/>
      <c r="D9077" s="317"/>
      <c r="E9077" s="318"/>
      <c r="F9077" s="247"/>
      <c r="G9077" s="247"/>
      <c r="H9077" s="248"/>
      <c r="I9077" s="248"/>
      <c r="J9077" s="247"/>
      <c r="K9077" s="249"/>
    </row>
    <row r="9078" spans="1:11" s="90" customFormat="1" ht="12.75" customHeight="1" x14ac:dyDescent="0.2">
      <c r="A9078" s="247"/>
      <c r="B9078" s="316"/>
      <c r="C9078" s="247"/>
      <c r="D9078" s="317"/>
      <c r="E9078" s="318"/>
      <c r="F9078" s="247"/>
      <c r="G9078" s="247"/>
      <c r="H9078" s="248"/>
      <c r="I9078" s="248"/>
      <c r="J9078" s="247"/>
      <c r="K9078" s="249"/>
    </row>
    <row r="9079" spans="1:11" s="90" customFormat="1" ht="12.75" customHeight="1" x14ac:dyDescent="0.2">
      <c r="A9079" s="247"/>
      <c r="B9079" s="316"/>
      <c r="C9079" s="247"/>
      <c r="D9079" s="317"/>
      <c r="E9079" s="318"/>
      <c r="F9079" s="247"/>
      <c r="G9079" s="247"/>
      <c r="H9079" s="248"/>
      <c r="I9079" s="248"/>
      <c r="J9079" s="247"/>
      <c r="K9079" s="249"/>
    </row>
    <row r="9080" spans="1:11" s="90" customFormat="1" ht="12.75" customHeight="1" x14ac:dyDescent="0.2">
      <c r="A9080" s="247"/>
      <c r="B9080" s="316"/>
      <c r="C9080" s="247"/>
      <c r="D9080" s="317"/>
      <c r="E9080" s="318"/>
      <c r="F9080" s="247"/>
      <c r="G9080" s="247"/>
      <c r="H9080" s="248"/>
      <c r="I9080" s="248"/>
      <c r="J9080" s="247"/>
      <c r="K9080" s="249"/>
    </row>
    <row r="9081" spans="1:11" s="90" customFormat="1" ht="12.75" customHeight="1" x14ac:dyDescent="0.2">
      <c r="A9081" s="247"/>
      <c r="B9081" s="316"/>
      <c r="C9081" s="247"/>
      <c r="D9081" s="317"/>
      <c r="E9081" s="318"/>
      <c r="F9081" s="247"/>
      <c r="G9081" s="247"/>
      <c r="H9081" s="248"/>
      <c r="I9081" s="248"/>
      <c r="J9081" s="247"/>
      <c r="K9081" s="249"/>
    </row>
    <row r="9082" spans="1:11" s="90" customFormat="1" ht="12.75" customHeight="1" x14ac:dyDescent="0.2">
      <c r="A9082" s="247"/>
      <c r="B9082" s="316"/>
      <c r="C9082" s="247"/>
      <c r="D9082" s="317"/>
      <c r="E9082" s="318"/>
      <c r="F9082" s="247"/>
      <c r="G9082" s="247"/>
      <c r="H9082" s="248"/>
      <c r="I9082" s="248"/>
      <c r="J9082" s="247"/>
      <c r="K9082" s="249"/>
    </row>
    <row r="9083" spans="1:11" s="90" customFormat="1" ht="12.75" customHeight="1" x14ac:dyDescent="0.2">
      <c r="A9083" s="247"/>
      <c r="B9083" s="316"/>
      <c r="C9083" s="247"/>
      <c r="D9083" s="317"/>
      <c r="E9083" s="318"/>
      <c r="F9083" s="247"/>
      <c r="G9083" s="247"/>
      <c r="H9083" s="248"/>
      <c r="I9083" s="248"/>
      <c r="J9083" s="247"/>
      <c r="K9083" s="249"/>
    </row>
    <row r="9084" spans="1:11" s="90" customFormat="1" ht="12.75" customHeight="1" x14ac:dyDescent="0.2">
      <c r="A9084" s="247"/>
      <c r="B9084" s="316"/>
      <c r="C9084" s="247"/>
      <c r="D9084" s="317"/>
      <c r="E9084" s="318"/>
      <c r="F9084" s="247"/>
      <c r="G9084" s="247"/>
      <c r="H9084" s="248"/>
      <c r="I9084" s="248"/>
      <c r="J9084" s="247"/>
      <c r="K9084" s="249"/>
    </row>
    <row r="9085" spans="1:11" s="90" customFormat="1" ht="12.75" customHeight="1" x14ac:dyDescent="0.2">
      <c r="A9085" s="247"/>
      <c r="B9085" s="316"/>
      <c r="C9085" s="247"/>
      <c r="D9085" s="317"/>
      <c r="E9085" s="318"/>
      <c r="F9085" s="247"/>
      <c r="G9085" s="247"/>
      <c r="H9085" s="248"/>
      <c r="I9085" s="248"/>
      <c r="J9085" s="247"/>
      <c r="K9085" s="249"/>
    </row>
    <row r="9086" spans="1:11" s="90" customFormat="1" ht="12.75" customHeight="1" x14ac:dyDescent="0.2">
      <c r="A9086" s="247"/>
      <c r="B9086" s="316"/>
      <c r="C9086" s="247"/>
      <c r="D9086" s="317"/>
      <c r="E9086" s="318"/>
      <c r="F9086" s="247"/>
      <c r="G9086" s="247"/>
      <c r="H9086" s="248"/>
      <c r="I9086" s="248"/>
      <c r="J9086" s="247"/>
      <c r="K9086" s="249"/>
    </row>
    <row r="9087" spans="1:11" s="90" customFormat="1" ht="12.75" customHeight="1" x14ac:dyDescent="0.2">
      <c r="A9087" s="247"/>
      <c r="B9087" s="316"/>
      <c r="C9087" s="247"/>
      <c r="D9087" s="317"/>
      <c r="E9087" s="318"/>
      <c r="F9087" s="247"/>
      <c r="G9087" s="247"/>
      <c r="H9087" s="248"/>
      <c r="I9087" s="248"/>
      <c r="J9087" s="247"/>
      <c r="K9087" s="249"/>
    </row>
    <row r="9088" spans="1:11" s="90" customFormat="1" ht="12.75" customHeight="1" x14ac:dyDescent="0.2">
      <c r="A9088" s="247"/>
      <c r="B9088" s="316"/>
      <c r="C9088" s="247"/>
      <c r="D9088" s="317"/>
      <c r="E9088" s="318"/>
      <c r="F9088" s="247"/>
      <c r="G9088" s="247"/>
      <c r="H9088" s="248"/>
      <c r="I9088" s="248"/>
      <c r="J9088" s="247"/>
      <c r="K9088" s="249"/>
    </row>
    <row r="9089" spans="1:11" s="90" customFormat="1" ht="12.75" customHeight="1" x14ac:dyDescent="0.2">
      <c r="A9089" s="247"/>
      <c r="B9089" s="316"/>
      <c r="C9089" s="247"/>
      <c r="D9089" s="317"/>
      <c r="E9089" s="318"/>
      <c r="F9089" s="247"/>
      <c r="G9089" s="247"/>
      <c r="H9089" s="248"/>
      <c r="I9089" s="248"/>
      <c r="J9089" s="247"/>
      <c r="K9089" s="249"/>
    </row>
    <row r="9090" spans="1:11" s="90" customFormat="1" ht="12.75" customHeight="1" x14ac:dyDescent="0.2">
      <c r="A9090" s="247"/>
      <c r="B9090" s="316"/>
      <c r="C9090" s="247"/>
      <c r="D9090" s="317"/>
      <c r="E9090" s="318"/>
      <c r="F9090" s="247"/>
      <c r="G9090" s="247"/>
      <c r="H9090" s="248"/>
      <c r="I9090" s="248"/>
      <c r="J9090" s="247"/>
      <c r="K9090" s="249"/>
    </row>
    <row r="9091" spans="1:11" s="90" customFormat="1" ht="12.75" customHeight="1" x14ac:dyDescent="0.2">
      <c r="A9091" s="247"/>
      <c r="B9091" s="316"/>
      <c r="C9091" s="247"/>
      <c r="D9091" s="317"/>
      <c r="E9091" s="318"/>
      <c r="F9091" s="247"/>
      <c r="G9091" s="247"/>
      <c r="H9091" s="248"/>
      <c r="I9091" s="248"/>
      <c r="J9091" s="247"/>
      <c r="K9091" s="249"/>
    </row>
    <row r="9092" spans="1:11" s="90" customFormat="1" ht="12.75" customHeight="1" x14ac:dyDescent="0.2">
      <c r="A9092" s="247"/>
      <c r="B9092" s="316"/>
      <c r="C9092" s="247"/>
      <c r="D9092" s="317"/>
      <c r="E9092" s="318"/>
      <c r="F9092" s="247"/>
      <c r="G9092" s="247"/>
      <c r="H9092" s="248"/>
      <c r="I9092" s="248"/>
      <c r="J9092" s="247"/>
      <c r="K9092" s="249"/>
    </row>
    <row r="9093" spans="1:11" s="90" customFormat="1" ht="12.75" customHeight="1" x14ac:dyDescent="0.2">
      <c r="A9093" s="247"/>
      <c r="B9093" s="316"/>
      <c r="C9093" s="247"/>
      <c r="D9093" s="317"/>
      <c r="E9093" s="318"/>
      <c r="F9093" s="247"/>
      <c r="G9093" s="247"/>
      <c r="H9093" s="248"/>
      <c r="I9093" s="248"/>
      <c r="J9093" s="247"/>
      <c r="K9093" s="249"/>
    </row>
    <row r="9094" spans="1:11" s="90" customFormat="1" ht="12.75" customHeight="1" x14ac:dyDescent="0.2">
      <c r="A9094" s="247"/>
      <c r="B9094" s="316"/>
      <c r="C9094" s="247"/>
      <c r="D9094" s="317"/>
      <c r="E9094" s="318"/>
      <c r="F9094" s="247"/>
      <c r="G9094" s="247"/>
      <c r="H9094" s="248"/>
      <c r="I9094" s="248"/>
      <c r="J9094" s="247"/>
      <c r="K9094" s="249"/>
    </row>
    <row r="9095" spans="1:11" s="90" customFormat="1" ht="12.75" customHeight="1" x14ac:dyDescent="0.2">
      <c r="A9095" s="247"/>
      <c r="B9095" s="316"/>
      <c r="C9095" s="247"/>
      <c r="D9095" s="317"/>
      <c r="E9095" s="318"/>
      <c r="F9095" s="247"/>
      <c r="G9095" s="247"/>
      <c r="H9095" s="248"/>
      <c r="I9095" s="248"/>
      <c r="J9095" s="247"/>
      <c r="K9095" s="249"/>
    </row>
    <row r="9096" spans="1:11" s="90" customFormat="1" ht="12.75" customHeight="1" x14ac:dyDescent="0.2">
      <c r="A9096" s="247"/>
      <c r="B9096" s="316"/>
      <c r="C9096" s="247"/>
      <c r="D9096" s="317"/>
      <c r="E9096" s="318"/>
      <c r="F9096" s="247"/>
      <c r="G9096" s="247"/>
      <c r="H9096" s="248"/>
      <c r="I9096" s="248"/>
      <c r="J9096" s="247"/>
      <c r="K9096" s="249"/>
    </row>
    <row r="9097" spans="1:11" s="90" customFormat="1" ht="12.75" customHeight="1" x14ac:dyDescent="0.2">
      <c r="A9097" s="247"/>
      <c r="B9097" s="316"/>
      <c r="C9097" s="247"/>
      <c r="D9097" s="317"/>
      <c r="E9097" s="318"/>
      <c r="F9097" s="247"/>
      <c r="G9097" s="247"/>
      <c r="H9097" s="248"/>
      <c r="I9097" s="248"/>
      <c r="J9097" s="247"/>
      <c r="K9097" s="249"/>
    </row>
    <row r="9098" spans="1:11" s="90" customFormat="1" ht="12.75" customHeight="1" x14ac:dyDescent="0.2">
      <c r="A9098" s="247"/>
      <c r="B9098" s="316"/>
      <c r="C9098" s="247"/>
      <c r="D9098" s="317"/>
      <c r="E9098" s="318"/>
      <c r="F9098" s="247"/>
      <c r="G9098" s="247"/>
      <c r="H9098" s="248"/>
      <c r="I9098" s="248"/>
      <c r="J9098" s="247"/>
      <c r="K9098" s="249"/>
    </row>
    <row r="9099" spans="1:11" s="90" customFormat="1" ht="12.75" customHeight="1" x14ac:dyDescent="0.2">
      <c r="A9099" s="247"/>
      <c r="B9099" s="316"/>
      <c r="C9099" s="247"/>
      <c r="D9099" s="317"/>
      <c r="E9099" s="318"/>
      <c r="F9099" s="247"/>
      <c r="G9099" s="247"/>
      <c r="H9099" s="248"/>
      <c r="I9099" s="248"/>
      <c r="J9099" s="247"/>
      <c r="K9099" s="249"/>
    </row>
    <row r="9100" spans="1:11" s="90" customFormat="1" ht="12.75" customHeight="1" x14ac:dyDescent="0.2">
      <c r="A9100" s="247"/>
      <c r="B9100" s="316"/>
      <c r="C9100" s="247"/>
      <c r="D9100" s="317"/>
      <c r="E9100" s="318"/>
      <c r="F9100" s="247"/>
      <c r="G9100" s="247"/>
      <c r="H9100" s="248"/>
      <c r="I9100" s="248"/>
      <c r="J9100" s="247"/>
      <c r="K9100" s="249"/>
    </row>
    <row r="9101" spans="1:11" s="90" customFormat="1" ht="12.75" customHeight="1" x14ac:dyDescent="0.2">
      <c r="A9101" s="247"/>
      <c r="B9101" s="316"/>
      <c r="C9101" s="247"/>
      <c r="D9101" s="317"/>
      <c r="E9101" s="318"/>
      <c r="F9101" s="247"/>
      <c r="G9101" s="247"/>
      <c r="H9101" s="248"/>
      <c r="I9101" s="248"/>
      <c r="J9101" s="247"/>
      <c r="K9101" s="249"/>
    </row>
    <row r="9102" spans="1:11" s="90" customFormat="1" ht="12.75" customHeight="1" x14ac:dyDescent="0.2">
      <c r="A9102" s="247"/>
      <c r="B9102" s="316"/>
      <c r="C9102" s="247"/>
      <c r="D9102" s="317"/>
      <c r="E9102" s="318"/>
      <c r="F9102" s="247"/>
      <c r="G9102" s="247"/>
      <c r="H9102" s="248"/>
      <c r="I9102" s="248"/>
      <c r="J9102" s="247"/>
      <c r="K9102" s="249"/>
    </row>
    <row r="9103" spans="1:11" s="90" customFormat="1" ht="12.75" customHeight="1" x14ac:dyDescent="0.2">
      <c r="A9103" s="247"/>
      <c r="B9103" s="316"/>
      <c r="C9103" s="247"/>
      <c r="D9103" s="317"/>
      <c r="E9103" s="318"/>
      <c r="F9103" s="247"/>
      <c r="G9103" s="247"/>
      <c r="H9103" s="248"/>
      <c r="I9103" s="248"/>
      <c r="J9103" s="247"/>
      <c r="K9103" s="249"/>
    </row>
    <row r="9104" spans="1:11" s="90" customFormat="1" ht="12.75" customHeight="1" x14ac:dyDescent="0.2">
      <c r="A9104" s="247"/>
      <c r="B9104" s="316"/>
      <c r="C9104" s="247"/>
      <c r="D9104" s="317"/>
      <c r="E9104" s="318"/>
      <c r="F9104" s="247"/>
      <c r="G9104" s="247"/>
      <c r="H9104" s="248"/>
      <c r="I9104" s="248"/>
      <c r="J9104" s="247"/>
      <c r="K9104" s="249"/>
    </row>
    <row r="9105" spans="1:11" s="90" customFormat="1" ht="12.75" customHeight="1" x14ac:dyDescent="0.2">
      <c r="A9105" s="247"/>
      <c r="B9105" s="316"/>
      <c r="C9105" s="247"/>
      <c r="D9105" s="317"/>
      <c r="E9105" s="318"/>
      <c r="F9105" s="247"/>
      <c r="G9105" s="247"/>
      <c r="H9105" s="248"/>
      <c r="I9105" s="248"/>
      <c r="J9105" s="247"/>
      <c r="K9105" s="249"/>
    </row>
    <row r="9106" spans="1:11" s="90" customFormat="1" ht="12.75" customHeight="1" x14ac:dyDescent="0.2">
      <c r="A9106" s="247"/>
      <c r="B9106" s="316"/>
      <c r="C9106" s="247"/>
      <c r="D9106" s="317"/>
      <c r="E9106" s="318"/>
      <c r="F9106" s="247"/>
      <c r="G9106" s="247"/>
      <c r="H9106" s="248"/>
      <c r="I9106" s="248"/>
      <c r="J9106" s="247"/>
      <c r="K9106" s="249"/>
    </row>
    <row r="9107" spans="1:11" s="90" customFormat="1" ht="12.75" customHeight="1" x14ac:dyDescent="0.2">
      <c r="A9107" s="247"/>
      <c r="B9107" s="316"/>
      <c r="C9107" s="247"/>
      <c r="D9107" s="317"/>
      <c r="E9107" s="318"/>
      <c r="F9107" s="247"/>
      <c r="G9107" s="247"/>
      <c r="H9107" s="248"/>
      <c r="I9107" s="248"/>
      <c r="J9107" s="247"/>
      <c r="K9107" s="249"/>
    </row>
    <row r="9108" spans="1:11" s="90" customFormat="1" ht="12.75" customHeight="1" x14ac:dyDescent="0.2">
      <c r="A9108" s="247"/>
      <c r="B9108" s="316"/>
      <c r="C9108" s="247"/>
      <c r="D9108" s="317"/>
      <c r="E9108" s="318"/>
      <c r="F9108" s="247"/>
      <c r="G9108" s="247"/>
      <c r="H9108" s="248"/>
      <c r="I9108" s="248"/>
      <c r="J9108" s="247"/>
      <c r="K9108" s="249"/>
    </row>
    <row r="9109" spans="1:11" s="90" customFormat="1" ht="12.75" customHeight="1" x14ac:dyDescent="0.2">
      <c r="A9109" s="247"/>
      <c r="B9109" s="316"/>
      <c r="C9109" s="247"/>
      <c r="D9109" s="317"/>
      <c r="E9109" s="318"/>
      <c r="F9109" s="247"/>
      <c r="G9109" s="247"/>
      <c r="H9109" s="248"/>
      <c r="I9109" s="248"/>
      <c r="J9109" s="247"/>
      <c r="K9109" s="249"/>
    </row>
    <row r="9110" spans="1:11" s="90" customFormat="1" ht="12.75" customHeight="1" x14ac:dyDescent="0.2">
      <c r="A9110" s="247"/>
      <c r="B9110" s="316"/>
      <c r="C9110" s="247"/>
      <c r="D9110" s="317"/>
      <c r="E9110" s="318"/>
      <c r="F9110" s="247"/>
      <c r="G9110" s="247"/>
      <c r="H9110" s="248"/>
      <c r="I9110" s="248"/>
      <c r="J9110" s="247"/>
      <c r="K9110" s="249"/>
    </row>
    <row r="9111" spans="1:11" s="90" customFormat="1" ht="12.75" customHeight="1" x14ac:dyDescent="0.2">
      <c r="A9111" s="247"/>
      <c r="B9111" s="316"/>
      <c r="C9111" s="247"/>
      <c r="D9111" s="317"/>
      <c r="E9111" s="318"/>
      <c r="F9111" s="247"/>
      <c r="G9111" s="247"/>
      <c r="H9111" s="248"/>
      <c r="I9111" s="248"/>
      <c r="J9111" s="247"/>
      <c r="K9111" s="249"/>
    </row>
    <row r="9112" spans="1:11" s="90" customFormat="1" ht="12.75" customHeight="1" x14ac:dyDescent="0.2">
      <c r="A9112" s="247"/>
      <c r="B9112" s="316"/>
      <c r="C9112" s="247"/>
      <c r="D9112" s="317"/>
      <c r="E9112" s="318"/>
      <c r="F9112" s="247"/>
      <c r="G9112" s="247"/>
      <c r="H9112" s="248"/>
      <c r="I9112" s="248"/>
      <c r="J9112" s="247"/>
      <c r="K9112" s="249"/>
    </row>
    <row r="9113" spans="1:11" s="90" customFormat="1" ht="12.75" customHeight="1" x14ac:dyDescent="0.2">
      <c r="A9113" s="247"/>
      <c r="B9113" s="316"/>
      <c r="C9113" s="247"/>
      <c r="D9113" s="317"/>
      <c r="E9113" s="318"/>
      <c r="F9113" s="247"/>
      <c r="G9113" s="247"/>
      <c r="H9113" s="248"/>
      <c r="I9113" s="248"/>
      <c r="J9113" s="247"/>
      <c r="K9113" s="249"/>
    </row>
    <row r="9114" spans="1:11" s="90" customFormat="1" ht="12.75" customHeight="1" x14ac:dyDescent="0.2">
      <c r="A9114" s="247"/>
      <c r="B9114" s="316"/>
      <c r="C9114" s="247"/>
      <c r="D9114" s="317"/>
      <c r="E9114" s="318"/>
      <c r="F9114" s="247"/>
      <c r="G9114" s="247"/>
      <c r="H9114" s="248"/>
      <c r="I9114" s="248"/>
      <c r="J9114" s="247"/>
      <c r="K9114" s="249"/>
    </row>
    <row r="9115" spans="1:11" s="90" customFormat="1" ht="12.75" customHeight="1" x14ac:dyDescent="0.2">
      <c r="A9115" s="247"/>
      <c r="B9115" s="316"/>
      <c r="C9115" s="247"/>
      <c r="D9115" s="317"/>
      <c r="E9115" s="318"/>
      <c r="F9115" s="247"/>
      <c r="G9115" s="247"/>
      <c r="H9115" s="248"/>
      <c r="I9115" s="248"/>
      <c r="J9115" s="247"/>
      <c r="K9115" s="249"/>
    </row>
    <row r="9116" spans="1:11" s="90" customFormat="1" ht="12.75" customHeight="1" x14ac:dyDescent="0.2">
      <c r="A9116" s="247"/>
      <c r="B9116" s="316"/>
      <c r="C9116" s="247"/>
      <c r="D9116" s="317"/>
      <c r="E9116" s="318"/>
      <c r="F9116" s="247"/>
      <c r="G9116" s="247"/>
      <c r="H9116" s="248"/>
      <c r="I9116" s="248"/>
      <c r="J9116" s="247"/>
      <c r="K9116" s="249"/>
    </row>
    <row r="9117" spans="1:11" s="90" customFormat="1" ht="12.75" customHeight="1" x14ac:dyDescent="0.2">
      <c r="A9117" s="247"/>
      <c r="B9117" s="316"/>
      <c r="C9117" s="247"/>
      <c r="D9117" s="317"/>
      <c r="E9117" s="318"/>
      <c r="F9117" s="247"/>
      <c r="G9117" s="247"/>
      <c r="H9117" s="248"/>
      <c r="I9117" s="248"/>
      <c r="J9117" s="247"/>
      <c r="K9117" s="249"/>
    </row>
    <row r="9118" spans="1:11" s="90" customFormat="1" ht="12.75" customHeight="1" x14ac:dyDescent="0.2">
      <c r="A9118" s="247"/>
      <c r="B9118" s="316"/>
      <c r="C9118" s="247"/>
      <c r="D9118" s="317"/>
      <c r="E9118" s="318"/>
      <c r="F9118" s="247"/>
      <c r="G9118" s="247"/>
      <c r="H9118" s="248"/>
      <c r="I9118" s="248"/>
      <c r="J9118" s="247"/>
      <c r="K9118" s="249"/>
    </row>
    <row r="9119" spans="1:11" s="90" customFormat="1" ht="12.75" customHeight="1" x14ac:dyDescent="0.2">
      <c r="A9119" s="247"/>
      <c r="B9119" s="316"/>
      <c r="C9119" s="247"/>
      <c r="D9119" s="317"/>
      <c r="E9119" s="318"/>
      <c r="F9119" s="247"/>
      <c r="G9119" s="247"/>
      <c r="H9119" s="248"/>
      <c r="I9119" s="248"/>
      <c r="J9119" s="247"/>
      <c r="K9119" s="249"/>
    </row>
    <row r="9120" spans="1:11" s="90" customFormat="1" ht="12.75" customHeight="1" x14ac:dyDescent="0.2">
      <c r="A9120" s="247"/>
      <c r="B9120" s="316"/>
      <c r="C9120" s="247"/>
      <c r="D9120" s="317"/>
      <c r="E9120" s="318"/>
      <c r="F9120" s="247"/>
      <c r="G9120" s="247"/>
      <c r="H9120" s="248"/>
      <c r="I9120" s="248"/>
      <c r="J9120" s="247"/>
      <c r="K9120" s="249"/>
    </row>
    <row r="9121" spans="1:11" s="90" customFormat="1" ht="12.75" customHeight="1" x14ac:dyDescent="0.2">
      <c r="A9121" s="247"/>
      <c r="B9121" s="316"/>
      <c r="C9121" s="247"/>
      <c r="D9121" s="317"/>
      <c r="E9121" s="318"/>
      <c r="F9121" s="247"/>
      <c r="G9121" s="247"/>
      <c r="H9121" s="248"/>
      <c r="I9121" s="248"/>
      <c r="J9121" s="247"/>
      <c r="K9121" s="249"/>
    </row>
    <row r="9122" spans="1:11" s="90" customFormat="1" ht="12.75" customHeight="1" x14ac:dyDescent="0.2">
      <c r="A9122" s="247"/>
      <c r="B9122" s="316"/>
      <c r="C9122" s="247"/>
      <c r="D9122" s="317"/>
      <c r="E9122" s="318"/>
      <c r="F9122" s="247"/>
      <c r="G9122" s="247"/>
      <c r="H9122" s="248"/>
      <c r="I9122" s="248"/>
      <c r="J9122" s="247"/>
      <c r="K9122" s="249"/>
    </row>
    <row r="9123" spans="1:11" s="90" customFormat="1" ht="12.75" customHeight="1" x14ac:dyDescent="0.2">
      <c r="A9123" s="247"/>
      <c r="B9123" s="316"/>
      <c r="C9123" s="247"/>
      <c r="D9123" s="317"/>
      <c r="E9123" s="318"/>
      <c r="F9123" s="247"/>
      <c r="G9123" s="247"/>
      <c r="H9123" s="248"/>
      <c r="I9123" s="248"/>
      <c r="J9123" s="247"/>
      <c r="K9123" s="249"/>
    </row>
    <row r="9124" spans="1:11" s="90" customFormat="1" ht="12.75" customHeight="1" x14ac:dyDescent="0.2">
      <c r="A9124" s="247"/>
      <c r="B9124" s="316"/>
      <c r="C9124" s="247"/>
      <c r="D9124" s="317"/>
      <c r="E9124" s="318"/>
      <c r="F9124" s="247"/>
      <c r="G9124" s="247"/>
      <c r="H9124" s="248"/>
      <c r="I9124" s="248"/>
      <c r="J9124" s="247"/>
      <c r="K9124" s="249"/>
    </row>
    <row r="9125" spans="1:11" s="90" customFormat="1" ht="12.75" customHeight="1" x14ac:dyDescent="0.2">
      <c r="A9125" s="247"/>
      <c r="B9125" s="316"/>
      <c r="C9125" s="247"/>
      <c r="D9125" s="317"/>
      <c r="E9125" s="318"/>
      <c r="F9125" s="247"/>
      <c r="G9125" s="247"/>
      <c r="H9125" s="248"/>
      <c r="I9125" s="248"/>
      <c r="J9125" s="247"/>
      <c r="K9125" s="249"/>
    </row>
    <row r="9126" spans="1:11" s="90" customFormat="1" ht="12.75" customHeight="1" x14ac:dyDescent="0.2">
      <c r="A9126" s="247"/>
      <c r="B9126" s="316"/>
      <c r="C9126" s="247"/>
      <c r="D9126" s="317"/>
      <c r="E9126" s="318"/>
      <c r="F9126" s="247"/>
      <c r="G9126" s="247"/>
      <c r="H9126" s="248"/>
      <c r="I9126" s="248"/>
      <c r="J9126" s="247"/>
      <c r="K9126" s="249"/>
    </row>
    <row r="9127" spans="1:11" s="90" customFormat="1" ht="12.75" customHeight="1" x14ac:dyDescent="0.2">
      <c r="A9127" s="247"/>
      <c r="B9127" s="316"/>
      <c r="C9127" s="247"/>
      <c r="D9127" s="317"/>
      <c r="E9127" s="318"/>
      <c r="F9127" s="247"/>
      <c r="G9127" s="247"/>
      <c r="H9127" s="248"/>
      <c r="I9127" s="248"/>
      <c r="J9127" s="247"/>
      <c r="K9127" s="249"/>
    </row>
    <row r="9128" spans="1:11" s="90" customFormat="1" ht="12.75" customHeight="1" x14ac:dyDescent="0.2">
      <c r="A9128" s="247"/>
      <c r="B9128" s="316"/>
      <c r="C9128" s="247"/>
      <c r="D9128" s="317"/>
      <c r="E9128" s="318"/>
      <c r="F9128" s="247"/>
      <c r="G9128" s="247"/>
      <c r="H9128" s="248"/>
      <c r="I9128" s="248"/>
      <c r="J9128" s="247"/>
      <c r="K9128" s="249"/>
    </row>
    <row r="9129" spans="1:11" s="90" customFormat="1" ht="12.75" customHeight="1" x14ac:dyDescent="0.2">
      <c r="A9129" s="247"/>
      <c r="B9129" s="316"/>
      <c r="C9129" s="247"/>
      <c r="D9129" s="317"/>
      <c r="E9129" s="318"/>
      <c r="F9129" s="247"/>
      <c r="G9129" s="247"/>
      <c r="H9129" s="248"/>
      <c r="I9129" s="248"/>
      <c r="J9129" s="247"/>
      <c r="K9129" s="249"/>
    </row>
    <row r="9130" spans="1:11" s="90" customFormat="1" ht="12.75" customHeight="1" x14ac:dyDescent="0.2">
      <c r="A9130" s="247"/>
      <c r="B9130" s="316"/>
      <c r="C9130" s="247"/>
      <c r="D9130" s="317"/>
      <c r="E9130" s="318"/>
      <c r="F9130" s="247"/>
      <c r="G9130" s="247"/>
      <c r="H9130" s="248"/>
      <c r="I9130" s="248"/>
      <c r="J9130" s="247"/>
      <c r="K9130" s="249"/>
    </row>
    <row r="9131" spans="1:11" s="90" customFormat="1" ht="12.75" customHeight="1" x14ac:dyDescent="0.2">
      <c r="A9131" s="247"/>
      <c r="B9131" s="316"/>
      <c r="C9131" s="247"/>
      <c r="D9131" s="317"/>
      <c r="E9131" s="318"/>
      <c r="F9131" s="247"/>
      <c r="G9131" s="247"/>
      <c r="H9131" s="248"/>
      <c r="I9131" s="248"/>
      <c r="J9131" s="247"/>
      <c r="K9131" s="249"/>
    </row>
    <row r="9132" spans="1:11" s="90" customFormat="1" ht="12.75" customHeight="1" x14ac:dyDescent="0.2">
      <c r="A9132" s="247"/>
      <c r="B9132" s="316"/>
      <c r="C9132" s="247"/>
      <c r="D9132" s="317"/>
      <c r="E9132" s="318"/>
      <c r="F9132" s="247"/>
      <c r="G9132" s="247"/>
      <c r="H9132" s="248"/>
      <c r="I9132" s="248"/>
      <c r="J9132" s="247"/>
      <c r="K9132" s="249"/>
    </row>
    <row r="9133" spans="1:11" s="90" customFormat="1" ht="12.75" customHeight="1" x14ac:dyDescent="0.2">
      <c r="A9133" s="247"/>
      <c r="B9133" s="316"/>
      <c r="C9133" s="247"/>
      <c r="D9133" s="317"/>
      <c r="E9133" s="318"/>
      <c r="F9133" s="247"/>
      <c r="G9133" s="247"/>
      <c r="H9133" s="248"/>
      <c r="I9133" s="248"/>
      <c r="J9133" s="247"/>
      <c r="K9133" s="249"/>
    </row>
    <row r="9134" spans="1:11" s="90" customFormat="1" ht="12.75" customHeight="1" x14ac:dyDescent="0.2">
      <c r="A9134" s="247"/>
      <c r="B9134" s="316"/>
      <c r="C9134" s="247"/>
      <c r="D9134" s="317"/>
      <c r="E9134" s="318"/>
      <c r="F9134" s="247"/>
      <c r="G9134" s="247"/>
      <c r="H9134" s="248"/>
      <c r="I9134" s="248"/>
      <c r="J9134" s="247"/>
      <c r="K9134" s="249"/>
    </row>
    <row r="9135" spans="1:11" s="90" customFormat="1" ht="12.75" customHeight="1" x14ac:dyDescent="0.2">
      <c r="A9135" s="247"/>
      <c r="B9135" s="316"/>
      <c r="C9135" s="247"/>
      <c r="D9135" s="317"/>
      <c r="E9135" s="318"/>
      <c r="F9135" s="247"/>
      <c r="G9135" s="247"/>
      <c r="H9135" s="248"/>
      <c r="I9135" s="248"/>
      <c r="J9135" s="247"/>
      <c r="K9135" s="249"/>
    </row>
    <row r="9136" spans="1:11" s="90" customFormat="1" ht="12.75" customHeight="1" x14ac:dyDescent="0.2">
      <c r="A9136" s="247"/>
      <c r="B9136" s="316"/>
      <c r="C9136" s="247"/>
      <c r="D9136" s="317"/>
      <c r="E9136" s="318"/>
      <c r="F9136" s="247"/>
      <c r="G9136" s="247"/>
      <c r="H9136" s="248"/>
      <c r="I9136" s="248"/>
      <c r="J9136" s="247"/>
      <c r="K9136" s="249"/>
    </row>
    <row r="9137" spans="1:11" s="90" customFormat="1" ht="12.75" customHeight="1" x14ac:dyDescent="0.2">
      <c r="A9137" s="247"/>
      <c r="B9137" s="316"/>
      <c r="C9137" s="247"/>
      <c r="D9137" s="317"/>
      <c r="E9137" s="318"/>
      <c r="F9137" s="247"/>
      <c r="G9137" s="247"/>
      <c r="H9137" s="248"/>
      <c r="I9137" s="248"/>
      <c r="J9137" s="247"/>
      <c r="K9137" s="249"/>
    </row>
    <row r="9138" spans="1:11" s="90" customFormat="1" ht="12.75" customHeight="1" x14ac:dyDescent="0.2">
      <c r="A9138" s="247"/>
      <c r="B9138" s="316"/>
      <c r="C9138" s="247"/>
      <c r="D9138" s="317"/>
      <c r="E9138" s="318"/>
      <c r="F9138" s="247"/>
      <c r="G9138" s="247"/>
      <c r="H9138" s="248"/>
      <c r="I9138" s="248"/>
      <c r="J9138" s="247"/>
      <c r="K9138" s="249"/>
    </row>
    <row r="9139" spans="1:11" s="90" customFormat="1" ht="12.75" customHeight="1" x14ac:dyDescent="0.2">
      <c r="A9139" s="247"/>
      <c r="B9139" s="316"/>
      <c r="C9139" s="247"/>
      <c r="D9139" s="317"/>
      <c r="E9139" s="318"/>
      <c r="F9139" s="247"/>
      <c r="G9139" s="247"/>
      <c r="H9139" s="248"/>
      <c r="I9139" s="248"/>
      <c r="J9139" s="247"/>
      <c r="K9139" s="249"/>
    </row>
    <row r="9140" spans="1:11" s="90" customFormat="1" ht="12.75" customHeight="1" x14ac:dyDescent="0.2">
      <c r="A9140" s="247"/>
      <c r="B9140" s="316"/>
      <c r="C9140" s="247"/>
      <c r="D9140" s="317"/>
      <c r="E9140" s="318"/>
      <c r="F9140" s="247"/>
      <c r="G9140" s="247"/>
      <c r="H9140" s="248"/>
      <c r="I9140" s="248"/>
      <c r="J9140" s="247"/>
      <c r="K9140" s="249"/>
    </row>
    <row r="9141" spans="1:11" s="90" customFormat="1" ht="12.75" customHeight="1" x14ac:dyDescent="0.2">
      <c r="A9141" s="247"/>
      <c r="B9141" s="316"/>
      <c r="C9141" s="247"/>
      <c r="D9141" s="317"/>
      <c r="E9141" s="318"/>
      <c r="F9141" s="247"/>
      <c r="G9141" s="247"/>
      <c r="H9141" s="248"/>
      <c r="I9141" s="248"/>
      <c r="J9141" s="247"/>
      <c r="K9141" s="249"/>
    </row>
    <row r="9142" spans="1:11" s="90" customFormat="1" ht="12.75" customHeight="1" x14ac:dyDescent="0.2">
      <c r="A9142" s="247"/>
      <c r="B9142" s="316"/>
      <c r="C9142" s="247"/>
      <c r="D9142" s="317"/>
      <c r="E9142" s="318"/>
      <c r="F9142" s="247"/>
      <c r="G9142" s="247"/>
      <c r="H9142" s="248"/>
      <c r="I9142" s="248"/>
      <c r="J9142" s="247"/>
      <c r="K9142" s="249"/>
    </row>
    <row r="9143" spans="1:11" s="90" customFormat="1" ht="12.75" customHeight="1" x14ac:dyDescent="0.2">
      <c r="A9143" s="247"/>
      <c r="B9143" s="316"/>
      <c r="C9143" s="247"/>
      <c r="D9143" s="317"/>
      <c r="E9143" s="318"/>
      <c r="F9143" s="247"/>
      <c r="G9143" s="247"/>
      <c r="H9143" s="248"/>
      <c r="I9143" s="248"/>
      <c r="J9143" s="247"/>
      <c r="K9143" s="249"/>
    </row>
    <row r="9144" spans="1:11" s="90" customFormat="1" ht="12.75" customHeight="1" x14ac:dyDescent="0.2">
      <c r="A9144" s="247"/>
      <c r="B9144" s="316"/>
      <c r="C9144" s="247"/>
      <c r="D9144" s="317"/>
      <c r="E9144" s="318"/>
      <c r="F9144" s="247"/>
      <c r="G9144" s="247"/>
      <c r="H9144" s="248"/>
      <c r="I9144" s="248"/>
      <c r="J9144" s="247"/>
      <c r="K9144" s="249"/>
    </row>
    <row r="9145" spans="1:11" s="90" customFormat="1" ht="12.75" customHeight="1" x14ac:dyDescent="0.2">
      <c r="A9145" s="247"/>
      <c r="B9145" s="316"/>
      <c r="C9145" s="247"/>
      <c r="D9145" s="317"/>
      <c r="E9145" s="318"/>
      <c r="F9145" s="247"/>
      <c r="G9145" s="247"/>
      <c r="H9145" s="248"/>
      <c r="I9145" s="248"/>
      <c r="J9145" s="247"/>
      <c r="K9145" s="249"/>
    </row>
    <row r="9146" spans="1:11" s="90" customFormat="1" ht="12.75" customHeight="1" x14ac:dyDescent="0.2">
      <c r="A9146" s="247"/>
      <c r="B9146" s="316"/>
      <c r="C9146" s="247"/>
      <c r="D9146" s="317"/>
      <c r="E9146" s="318"/>
      <c r="F9146" s="247"/>
      <c r="G9146" s="247"/>
      <c r="H9146" s="248"/>
      <c r="I9146" s="248"/>
      <c r="J9146" s="247"/>
      <c r="K9146" s="249"/>
    </row>
    <row r="9147" spans="1:11" s="90" customFormat="1" ht="12.75" customHeight="1" x14ac:dyDescent="0.2">
      <c r="A9147" s="247"/>
      <c r="B9147" s="316"/>
      <c r="C9147" s="247"/>
      <c r="D9147" s="317"/>
      <c r="E9147" s="318"/>
      <c r="F9147" s="247"/>
      <c r="G9147" s="247"/>
      <c r="H9147" s="248"/>
      <c r="I9147" s="248"/>
      <c r="J9147" s="247"/>
      <c r="K9147" s="249"/>
    </row>
    <row r="9148" spans="1:11" s="90" customFormat="1" ht="12.75" customHeight="1" x14ac:dyDescent="0.2">
      <c r="A9148" s="247"/>
      <c r="B9148" s="316"/>
      <c r="C9148" s="247"/>
      <c r="D9148" s="317"/>
      <c r="E9148" s="318"/>
      <c r="F9148" s="247"/>
      <c r="G9148" s="247"/>
      <c r="H9148" s="248"/>
      <c r="I9148" s="248"/>
      <c r="J9148" s="247"/>
      <c r="K9148" s="249"/>
    </row>
    <row r="9149" spans="1:11" s="90" customFormat="1" ht="12.75" customHeight="1" x14ac:dyDescent="0.2">
      <c r="A9149" s="247"/>
      <c r="B9149" s="316"/>
      <c r="C9149" s="247"/>
      <c r="D9149" s="317"/>
      <c r="E9149" s="318"/>
      <c r="F9149" s="247"/>
      <c r="G9149" s="247"/>
      <c r="H9149" s="248"/>
      <c r="I9149" s="248"/>
      <c r="J9149" s="247"/>
      <c r="K9149" s="249"/>
    </row>
    <row r="9150" spans="1:11" s="90" customFormat="1" ht="12.75" customHeight="1" x14ac:dyDescent="0.2">
      <c r="A9150" s="247"/>
      <c r="B9150" s="316"/>
      <c r="C9150" s="247"/>
      <c r="D9150" s="317"/>
      <c r="E9150" s="318"/>
      <c r="F9150" s="247"/>
      <c r="G9150" s="247"/>
      <c r="H9150" s="248"/>
      <c r="I9150" s="248"/>
      <c r="J9150" s="247"/>
      <c r="K9150" s="249"/>
    </row>
    <row r="9151" spans="1:11" s="90" customFormat="1" ht="12.75" customHeight="1" x14ac:dyDescent="0.2">
      <c r="A9151" s="247"/>
      <c r="B9151" s="316"/>
      <c r="C9151" s="247"/>
      <c r="D9151" s="317"/>
      <c r="E9151" s="318"/>
      <c r="F9151" s="247"/>
      <c r="G9151" s="247"/>
      <c r="H9151" s="248"/>
      <c r="I9151" s="248"/>
      <c r="J9151" s="247"/>
      <c r="K9151" s="249"/>
    </row>
    <row r="9152" spans="1:11" s="90" customFormat="1" ht="12.75" customHeight="1" x14ac:dyDescent="0.2">
      <c r="A9152" s="247"/>
      <c r="B9152" s="316"/>
      <c r="C9152" s="247"/>
      <c r="D9152" s="317"/>
      <c r="E9152" s="318"/>
      <c r="F9152" s="247"/>
      <c r="G9152" s="247"/>
      <c r="H9152" s="248"/>
      <c r="I9152" s="248"/>
      <c r="J9152" s="247"/>
      <c r="K9152" s="249"/>
    </row>
    <row r="9153" spans="1:11" s="90" customFormat="1" ht="12.75" customHeight="1" x14ac:dyDescent="0.2">
      <c r="A9153" s="247"/>
      <c r="B9153" s="316"/>
      <c r="C9153" s="247"/>
      <c r="D9153" s="317"/>
      <c r="E9153" s="318"/>
      <c r="F9153" s="247"/>
      <c r="G9153" s="247"/>
      <c r="H9153" s="248"/>
      <c r="I9153" s="248"/>
      <c r="J9153" s="247"/>
      <c r="K9153" s="249"/>
    </row>
    <row r="9154" spans="1:11" s="90" customFormat="1" ht="12.75" customHeight="1" x14ac:dyDescent="0.2">
      <c r="A9154" s="247"/>
      <c r="B9154" s="316"/>
      <c r="C9154" s="247"/>
      <c r="D9154" s="317"/>
      <c r="E9154" s="318"/>
      <c r="F9154" s="247"/>
      <c r="G9154" s="247"/>
      <c r="H9154" s="248"/>
      <c r="I9154" s="248"/>
      <c r="J9154" s="247"/>
      <c r="K9154" s="249"/>
    </row>
    <row r="9155" spans="1:11" s="90" customFormat="1" ht="12.75" customHeight="1" x14ac:dyDescent="0.2">
      <c r="A9155" s="247"/>
      <c r="B9155" s="316"/>
      <c r="C9155" s="247"/>
      <c r="D9155" s="317"/>
      <c r="E9155" s="318"/>
      <c r="F9155" s="247"/>
      <c r="G9155" s="247"/>
      <c r="H9155" s="248"/>
      <c r="I9155" s="248"/>
      <c r="J9155" s="247"/>
      <c r="K9155" s="249"/>
    </row>
    <row r="9156" spans="1:11" s="90" customFormat="1" ht="12.75" customHeight="1" x14ac:dyDescent="0.2">
      <c r="A9156" s="247"/>
      <c r="B9156" s="316"/>
      <c r="C9156" s="247"/>
      <c r="D9156" s="317"/>
      <c r="E9156" s="318"/>
      <c r="F9156" s="247"/>
      <c r="G9156" s="247"/>
      <c r="H9156" s="248"/>
      <c r="I9156" s="248"/>
      <c r="J9156" s="247"/>
      <c r="K9156" s="249"/>
    </row>
    <row r="9157" spans="1:11" s="90" customFormat="1" ht="12.75" customHeight="1" x14ac:dyDescent="0.2">
      <c r="A9157" s="247"/>
      <c r="B9157" s="316"/>
      <c r="C9157" s="247"/>
      <c r="D9157" s="317"/>
      <c r="E9157" s="318"/>
      <c r="F9157" s="247"/>
      <c r="G9157" s="247"/>
      <c r="H9157" s="248"/>
      <c r="I9157" s="248"/>
      <c r="J9157" s="247"/>
      <c r="K9157" s="249"/>
    </row>
    <row r="9158" spans="1:11" s="90" customFormat="1" ht="12.75" customHeight="1" x14ac:dyDescent="0.2">
      <c r="A9158" s="247"/>
      <c r="B9158" s="316"/>
      <c r="C9158" s="247"/>
      <c r="D9158" s="317"/>
      <c r="E9158" s="318"/>
      <c r="F9158" s="247"/>
      <c r="G9158" s="247"/>
      <c r="H9158" s="248"/>
      <c r="I9158" s="248"/>
      <c r="J9158" s="247"/>
      <c r="K9158" s="249"/>
    </row>
    <row r="9159" spans="1:11" s="90" customFormat="1" ht="12.75" customHeight="1" x14ac:dyDescent="0.2">
      <c r="A9159" s="247"/>
      <c r="B9159" s="316"/>
      <c r="C9159" s="247"/>
      <c r="D9159" s="317"/>
      <c r="E9159" s="318"/>
      <c r="F9159" s="247"/>
      <c r="G9159" s="247"/>
      <c r="H9159" s="248"/>
      <c r="I9159" s="248"/>
      <c r="J9159" s="247"/>
      <c r="K9159" s="249"/>
    </row>
    <row r="9160" spans="1:11" s="90" customFormat="1" ht="12.75" customHeight="1" x14ac:dyDescent="0.2">
      <c r="A9160" s="247"/>
      <c r="B9160" s="316"/>
      <c r="C9160" s="247"/>
      <c r="D9160" s="317"/>
      <c r="E9160" s="318"/>
      <c r="F9160" s="247"/>
      <c r="G9160" s="247"/>
      <c r="H9160" s="248"/>
      <c r="I9160" s="248"/>
      <c r="J9160" s="247"/>
      <c r="K9160" s="249"/>
    </row>
    <row r="9161" spans="1:11" s="90" customFormat="1" ht="12.75" customHeight="1" x14ac:dyDescent="0.2">
      <c r="A9161" s="247"/>
      <c r="B9161" s="316"/>
      <c r="C9161" s="247"/>
      <c r="D9161" s="317"/>
      <c r="E9161" s="318"/>
      <c r="F9161" s="247"/>
      <c r="G9161" s="247"/>
      <c r="H9161" s="248"/>
      <c r="I9161" s="248"/>
      <c r="J9161" s="247"/>
      <c r="K9161" s="249"/>
    </row>
    <row r="9162" spans="1:11" s="90" customFormat="1" ht="12.75" customHeight="1" x14ac:dyDescent="0.2">
      <c r="A9162" s="247"/>
      <c r="B9162" s="316"/>
      <c r="C9162" s="247"/>
      <c r="D9162" s="317"/>
      <c r="E9162" s="318"/>
      <c r="F9162" s="247"/>
      <c r="G9162" s="247"/>
      <c r="H9162" s="248"/>
      <c r="I9162" s="248"/>
      <c r="J9162" s="247"/>
      <c r="K9162" s="249"/>
    </row>
    <row r="9163" spans="1:11" s="90" customFormat="1" ht="12.75" customHeight="1" x14ac:dyDescent="0.2">
      <c r="A9163" s="247"/>
      <c r="B9163" s="316"/>
      <c r="C9163" s="247"/>
      <c r="D9163" s="317"/>
      <c r="E9163" s="318"/>
      <c r="F9163" s="247"/>
      <c r="G9163" s="247"/>
      <c r="H9163" s="248"/>
      <c r="I9163" s="248"/>
      <c r="J9163" s="247"/>
      <c r="K9163" s="249"/>
    </row>
    <row r="9164" spans="1:11" s="90" customFormat="1" ht="12.75" customHeight="1" x14ac:dyDescent="0.2">
      <c r="A9164" s="247"/>
      <c r="B9164" s="316"/>
      <c r="C9164" s="247"/>
      <c r="D9164" s="317"/>
      <c r="E9164" s="318"/>
      <c r="F9164" s="247"/>
      <c r="G9164" s="247"/>
      <c r="H9164" s="248"/>
      <c r="I9164" s="248"/>
      <c r="J9164" s="247"/>
      <c r="K9164" s="249"/>
    </row>
    <row r="9165" spans="1:11" s="90" customFormat="1" ht="12.75" customHeight="1" x14ac:dyDescent="0.2">
      <c r="A9165" s="247"/>
      <c r="B9165" s="316"/>
      <c r="C9165" s="247"/>
      <c r="D9165" s="317"/>
      <c r="E9165" s="318"/>
      <c r="F9165" s="247"/>
      <c r="G9165" s="247"/>
      <c r="H9165" s="248"/>
      <c r="I9165" s="248"/>
      <c r="J9165" s="247"/>
      <c r="K9165" s="249"/>
    </row>
    <row r="9166" spans="1:11" s="90" customFormat="1" ht="12.75" customHeight="1" x14ac:dyDescent="0.2">
      <c r="A9166" s="247"/>
      <c r="B9166" s="316"/>
      <c r="C9166" s="247"/>
      <c r="D9166" s="317"/>
      <c r="E9166" s="318"/>
      <c r="F9166" s="247"/>
      <c r="G9166" s="247"/>
      <c r="H9166" s="248"/>
      <c r="I9166" s="248"/>
      <c r="J9166" s="247"/>
      <c r="K9166" s="249"/>
    </row>
    <row r="9167" spans="1:11" s="90" customFormat="1" ht="12.75" customHeight="1" x14ac:dyDescent="0.2">
      <c r="A9167" s="247"/>
      <c r="B9167" s="316"/>
      <c r="C9167" s="247"/>
      <c r="D9167" s="317"/>
      <c r="E9167" s="318"/>
      <c r="F9167" s="247"/>
      <c r="G9167" s="247"/>
      <c r="H9167" s="248"/>
      <c r="I9167" s="248"/>
      <c r="J9167" s="247"/>
      <c r="K9167" s="249"/>
    </row>
    <row r="9168" spans="1:11" s="90" customFormat="1" ht="12.75" customHeight="1" x14ac:dyDescent="0.2">
      <c r="A9168" s="247"/>
      <c r="B9168" s="316"/>
      <c r="C9168" s="247"/>
      <c r="D9168" s="317"/>
      <c r="E9168" s="318"/>
      <c r="F9168" s="247"/>
      <c r="G9168" s="247"/>
      <c r="H9168" s="248"/>
      <c r="I9168" s="248"/>
      <c r="J9168" s="247"/>
      <c r="K9168" s="249"/>
    </row>
    <row r="9169" spans="1:11" s="90" customFormat="1" ht="12.75" customHeight="1" x14ac:dyDescent="0.2">
      <c r="A9169" s="247"/>
      <c r="B9169" s="316"/>
      <c r="C9169" s="247"/>
      <c r="D9169" s="317"/>
      <c r="E9169" s="318"/>
      <c r="F9169" s="247"/>
      <c r="G9169" s="247"/>
      <c r="H9169" s="248"/>
      <c r="I9169" s="248"/>
      <c r="J9169" s="247"/>
      <c r="K9169" s="249"/>
    </row>
    <row r="9170" spans="1:11" s="90" customFormat="1" ht="12.75" customHeight="1" x14ac:dyDescent="0.2">
      <c r="A9170" s="247"/>
      <c r="B9170" s="316"/>
      <c r="C9170" s="247"/>
      <c r="D9170" s="317"/>
      <c r="E9170" s="318"/>
      <c r="F9170" s="247"/>
      <c r="G9170" s="247"/>
      <c r="H9170" s="248"/>
      <c r="I9170" s="248"/>
      <c r="J9170" s="247"/>
      <c r="K9170" s="249"/>
    </row>
    <row r="9171" spans="1:11" s="90" customFormat="1" ht="12.75" customHeight="1" x14ac:dyDescent="0.2">
      <c r="A9171" s="247"/>
      <c r="B9171" s="316"/>
      <c r="C9171" s="247"/>
      <c r="D9171" s="317"/>
      <c r="E9171" s="318"/>
      <c r="F9171" s="247"/>
      <c r="G9171" s="247"/>
      <c r="H9171" s="248"/>
      <c r="I9171" s="248"/>
      <c r="J9171" s="247"/>
      <c r="K9171" s="249"/>
    </row>
    <row r="9172" spans="1:11" s="90" customFormat="1" ht="12.75" customHeight="1" x14ac:dyDescent="0.2">
      <c r="A9172" s="247"/>
      <c r="B9172" s="316"/>
      <c r="C9172" s="247"/>
      <c r="D9172" s="317"/>
      <c r="E9172" s="318"/>
      <c r="F9172" s="247"/>
      <c r="G9172" s="247"/>
      <c r="H9172" s="248"/>
      <c r="I9172" s="248"/>
      <c r="J9172" s="247"/>
      <c r="K9172" s="249"/>
    </row>
    <row r="9173" spans="1:11" s="90" customFormat="1" ht="12.75" customHeight="1" x14ac:dyDescent="0.2">
      <c r="A9173" s="247"/>
      <c r="B9173" s="316"/>
      <c r="C9173" s="247"/>
      <c r="D9173" s="317"/>
      <c r="E9173" s="318"/>
      <c r="F9173" s="247"/>
      <c r="G9173" s="247"/>
      <c r="H9173" s="248"/>
      <c r="I9173" s="248"/>
      <c r="J9173" s="247"/>
      <c r="K9173" s="249"/>
    </row>
    <row r="9174" spans="1:11" s="90" customFormat="1" ht="12.75" customHeight="1" x14ac:dyDescent="0.2">
      <c r="A9174" s="247"/>
      <c r="B9174" s="316"/>
      <c r="C9174" s="247"/>
      <c r="D9174" s="317"/>
      <c r="E9174" s="318"/>
      <c r="F9174" s="247"/>
      <c r="G9174" s="247"/>
      <c r="H9174" s="248"/>
      <c r="I9174" s="248"/>
      <c r="J9174" s="247"/>
      <c r="K9174" s="249"/>
    </row>
    <row r="9175" spans="1:11" s="90" customFormat="1" ht="12.75" customHeight="1" x14ac:dyDescent="0.2">
      <c r="A9175" s="247"/>
      <c r="B9175" s="316"/>
      <c r="C9175" s="247"/>
      <c r="D9175" s="317"/>
      <c r="E9175" s="318"/>
      <c r="F9175" s="247"/>
      <c r="G9175" s="247"/>
      <c r="H9175" s="248"/>
      <c r="I9175" s="248"/>
      <c r="J9175" s="247"/>
      <c r="K9175" s="249"/>
    </row>
    <row r="9176" spans="1:11" s="90" customFormat="1" ht="12.75" customHeight="1" x14ac:dyDescent="0.2">
      <c r="A9176" s="247"/>
      <c r="B9176" s="316"/>
      <c r="C9176" s="247"/>
      <c r="D9176" s="317"/>
      <c r="E9176" s="318"/>
      <c r="F9176" s="247"/>
      <c r="G9176" s="247"/>
      <c r="H9176" s="248"/>
      <c r="I9176" s="248"/>
      <c r="J9176" s="247"/>
      <c r="K9176" s="249"/>
    </row>
    <row r="9177" spans="1:11" s="90" customFormat="1" ht="12.75" customHeight="1" x14ac:dyDescent="0.2">
      <c r="A9177" s="247"/>
      <c r="B9177" s="316"/>
      <c r="C9177" s="247"/>
      <c r="D9177" s="317"/>
      <c r="E9177" s="318"/>
      <c r="F9177" s="247"/>
      <c r="G9177" s="247"/>
      <c r="H9177" s="248"/>
      <c r="I9177" s="248"/>
      <c r="J9177" s="247"/>
      <c r="K9177" s="249"/>
    </row>
    <row r="9178" spans="1:11" s="90" customFormat="1" ht="12.75" customHeight="1" x14ac:dyDescent="0.2">
      <c r="A9178" s="247"/>
      <c r="B9178" s="316"/>
      <c r="C9178" s="247"/>
      <c r="D9178" s="317"/>
      <c r="E9178" s="318"/>
      <c r="F9178" s="247"/>
      <c r="G9178" s="247"/>
      <c r="H9178" s="248"/>
      <c r="I9178" s="248"/>
      <c r="J9178" s="247"/>
      <c r="K9178" s="249"/>
    </row>
    <row r="9179" spans="1:11" s="90" customFormat="1" ht="12.75" customHeight="1" x14ac:dyDescent="0.2">
      <c r="A9179" s="247"/>
      <c r="B9179" s="316"/>
      <c r="C9179" s="247"/>
      <c r="D9179" s="317"/>
      <c r="E9179" s="318"/>
      <c r="F9179" s="247"/>
      <c r="G9179" s="247"/>
      <c r="H9179" s="248"/>
      <c r="I9179" s="248"/>
      <c r="J9179" s="247"/>
      <c r="K9179" s="249"/>
    </row>
    <row r="9180" spans="1:11" s="90" customFormat="1" ht="12.75" customHeight="1" x14ac:dyDescent="0.2">
      <c r="A9180" s="247"/>
      <c r="B9180" s="316"/>
      <c r="C9180" s="247"/>
      <c r="D9180" s="317"/>
      <c r="E9180" s="318"/>
      <c r="F9180" s="247"/>
      <c r="G9180" s="247"/>
      <c r="H9180" s="248"/>
      <c r="I9180" s="248"/>
      <c r="J9180" s="247"/>
      <c r="K9180" s="249"/>
    </row>
    <row r="9181" spans="1:11" s="90" customFormat="1" ht="12.75" customHeight="1" x14ac:dyDescent="0.2">
      <c r="A9181" s="247"/>
      <c r="B9181" s="316"/>
      <c r="C9181" s="247"/>
      <c r="D9181" s="317"/>
      <c r="E9181" s="318"/>
      <c r="F9181" s="247"/>
      <c r="G9181" s="247"/>
      <c r="H9181" s="248"/>
      <c r="I9181" s="248"/>
      <c r="J9181" s="247"/>
      <c r="K9181" s="249"/>
    </row>
    <row r="9182" spans="1:11" s="90" customFormat="1" ht="12.75" customHeight="1" x14ac:dyDescent="0.2">
      <c r="A9182" s="247"/>
      <c r="B9182" s="316"/>
      <c r="C9182" s="247"/>
      <c r="D9182" s="317"/>
      <c r="E9182" s="318"/>
      <c r="F9182" s="247"/>
      <c r="G9182" s="247"/>
      <c r="H9182" s="248"/>
      <c r="I9182" s="248"/>
      <c r="J9182" s="247"/>
      <c r="K9182" s="249"/>
    </row>
    <row r="9183" spans="1:11" s="90" customFormat="1" ht="12.75" customHeight="1" x14ac:dyDescent="0.2">
      <c r="A9183" s="247"/>
      <c r="B9183" s="316"/>
      <c r="C9183" s="247"/>
      <c r="D9183" s="317"/>
      <c r="E9183" s="318"/>
      <c r="F9183" s="247"/>
      <c r="G9183" s="247"/>
      <c r="H9183" s="248"/>
      <c r="I9183" s="248"/>
      <c r="J9183" s="247"/>
      <c r="K9183" s="249"/>
    </row>
    <row r="9184" spans="1:11" s="90" customFormat="1" ht="12.75" customHeight="1" x14ac:dyDescent="0.2">
      <c r="A9184" s="247"/>
      <c r="B9184" s="316"/>
      <c r="C9184" s="247"/>
      <c r="D9184" s="317"/>
      <c r="E9184" s="318"/>
      <c r="F9184" s="247"/>
      <c r="G9184" s="247"/>
      <c r="H9184" s="248"/>
      <c r="I9184" s="248"/>
      <c r="J9184" s="247"/>
      <c r="K9184" s="249"/>
    </row>
    <row r="9185" spans="1:11" s="90" customFormat="1" ht="12.75" customHeight="1" x14ac:dyDescent="0.2">
      <c r="A9185" s="247"/>
      <c r="B9185" s="316"/>
      <c r="C9185" s="247"/>
      <c r="D9185" s="317"/>
      <c r="E9185" s="318"/>
      <c r="F9185" s="247"/>
      <c r="G9185" s="247"/>
      <c r="H9185" s="248"/>
      <c r="I9185" s="248"/>
      <c r="J9185" s="247"/>
      <c r="K9185" s="249"/>
    </row>
    <row r="9186" spans="1:11" s="90" customFormat="1" ht="12.75" customHeight="1" x14ac:dyDescent="0.2">
      <c r="A9186" s="247"/>
      <c r="B9186" s="316"/>
      <c r="C9186" s="247"/>
      <c r="D9186" s="317"/>
      <c r="E9186" s="318"/>
      <c r="F9186" s="247"/>
      <c r="G9186" s="247"/>
      <c r="H9186" s="248"/>
      <c r="I9186" s="248"/>
      <c r="J9186" s="247"/>
      <c r="K9186" s="249"/>
    </row>
    <row r="9187" spans="1:11" s="90" customFormat="1" ht="12.75" customHeight="1" x14ac:dyDescent="0.2">
      <c r="A9187" s="247"/>
      <c r="B9187" s="316"/>
      <c r="C9187" s="247"/>
      <c r="D9187" s="317"/>
      <c r="E9187" s="318"/>
      <c r="F9187" s="247"/>
      <c r="G9187" s="247"/>
      <c r="H9187" s="248"/>
      <c r="I9187" s="248"/>
      <c r="J9187" s="247"/>
      <c r="K9187" s="249"/>
    </row>
    <row r="9188" spans="1:11" s="90" customFormat="1" ht="12.75" customHeight="1" x14ac:dyDescent="0.2">
      <c r="A9188" s="247"/>
      <c r="B9188" s="316"/>
      <c r="C9188" s="247"/>
      <c r="D9188" s="317"/>
      <c r="E9188" s="318"/>
      <c r="F9188" s="247"/>
      <c r="G9188" s="247"/>
      <c r="H9188" s="248"/>
      <c r="I9188" s="248"/>
      <c r="J9188" s="247"/>
      <c r="K9188" s="249"/>
    </row>
    <row r="9189" spans="1:11" s="90" customFormat="1" ht="12.75" customHeight="1" x14ac:dyDescent="0.2">
      <c r="A9189" s="247"/>
      <c r="B9189" s="316"/>
      <c r="C9189" s="247"/>
      <c r="D9189" s="317"/>
      <c r="E9189" s="318"/>
      <c r="F9189" s="247"/>
      <c r="G9189" s="247"/>
      <c r="H9189" s="248"/>
      <c r="I9189" s="248"/>
      <c r="J9189" s="247"/>
      <c r="K9189" s="249"/>
    </row>
    <row r="9190" spans="1:11" s="90" customFormat="1" ht="12.75" customHeight="1" x14ac:dyDescent="0.2">
      <c r="A9190" s="247"/>
      <c r="B9190" s="316"/>
      <c r="C9190" s="247"/>
      <c r="D9190" s="317"/>
      <c r="E9190" s="318"/>
      <c r="F9190" s="247"/>
      <c r="G9190" s="247"/>
      <c r="H9190" s="248"/>
      <c r="I9190" s="248"/>
      <c r="J9190" s="247"/>
      <c r="K9190" s="249"/>
    </row>
    <row r="9191" spans="1:11" s="90" customFormat="1" ht="12.75" customHeight="1" x14ac:dyDescent="0.2">
      <c r="A9191" s="247"/>
      <c r="B9191" s="316"/>
      <c r="C9191" s="247"/>
      <c r="D9191" s="317"/>
      <c r="E9191" s="318"/>
      <c r="F9191" s="247"/>
      <c r="G9191" s="247"/>
      <c r="H9191" s="248"/>
      <c r="I9191" s="248"/>
      <c r="J9191" s="247"/>
      <c r="K9191" s="249"/>
    </row>
    <row r="9192" spans="1:11" s="90" customFormat="1" ht="12.75" customHeight="1" x14ac:dyDescent="0.2">
      <c r="A9192" s="247"/>
      <c r="B9192" s="316"/>
      <c r="C9192" s="247"/>
      <c r="D9192" s="317"/>
      <c r="E9192" s="318"/>
      <c r="F9192" s="247"/>
      <c r="G9192" s="247"/>
      <c r="H9192" s="248"/>
      <c r="I9192" s="248"/>
      <c r="J9192" s="247"/>
      <c r="K9192" s="249"/>
    </row>
    <row r="9193" spans="1:11" s="90" customFormat="1" ht="12.75" customHeight="1" x14ac:dyDescent="0.2">
      <c r="A9193" s="247"/>
      <c r="B9193" s="316"/>
      <c r="C9193" s="247"/>
      <c r="D9193" s="317"/>
      <c r="E9193" s="318"/>
      <c r="F9193" s="247"/>
      <c r="G9193" s="247"/>
      <c r="H9193" s="248"/>
      <c r="I9193" s="248"/>
      <c r="J9193" s="247"/>
      <c r="K9193" s="249"/>
    </row>
    <row r="9194" spans="1:11" s="90" customFormat="1" ht="12.75" customHeight="1" x14ac:dyDescent="0.2">
      <c r="A9194" s="247"/>
      <c r="B9194" s="316"/>
      <c r="C9194" s="247"/>
      <c r="D9194" s="317"/>
      <c r="E9194" s="318"/>
      <c r="F9194" s="247"/>
      <c r="G9194" s="247"/>
      <c r="H9194" s="248"/>
      <c r="I9194" s="248"/>
      <c r="J9194" s="247"/>
      <c r="K9194" s="249"/>
    </row>
    <row r="9195" spans="1:11" s="90" customFormat="1" ht="12.75" customHeight="1" x14ac:dyDescent="0.2">
      <c r="A9195" s="247"/>
      <c r="B9195" s="316"/>
      <c r="C9195" s="247"/>
      <c r="D9195" s="317"/>
      <c r="E9195" s="318"/>
      <c r="F9195" s="247"/>
      <c r="G9195" s="247"/>
      <c r="H9195" s="248"/>
      <c r="I9195" s="248"/>
      <c r="J9195" s="247"/>
      <c r="K9195" s="249"/>
    </row>
    <row r="9196" spans="1:11" s="90" customFormat="1" ht="12.75" customHeight="1" x14ac:dyDescent="0.2">
      <c r="A9196" s="247"/>
      <c r="B9196" s="316"/>
      <c r="C9196" s="247"/>
      <c r="D9196" s="317"/>
      <c r="E9196" s="318"/>
      <c r="F9196" s="247"/>
      <c r="G9196" s="247"/>
      <c r="H9196" s="248"/>
      <c r="I9196" s="248"/>
      <c r="J9196" s="247"/>
      <c r="K9196" s="249"/>
    </row>
    <row r="9197" spans="1:11" s="90" customFormat="1" ht="12.75" customHeight="1" x14ac:dyDescent="0.2">
      <c r="A9197" s="247"/>
      <c r="B9197" s="316"/>
      <c r="C9197" s="247"/>
      <c r="D9197" s="317"/>
      <c r="E9197" s="318"/>
      <c r="F9197" s="247"/>
      <c r="G9197" s="247"/>
      <c r="H9197" s="248"/>
      <c r="I9197" s="248"/>
      <c r="J9197" s="247"/>
      <c r="K9197" s="249"/>
    </row>
    <row r="9198" spans="1:11" s="90" customFormat="1" ht="12.75" customHeight="1" x14ac:dyDescent="0.2">
      <c r="A9198" s="247"/>
      <c r="B9198" s="316"/>
      <c r="C9198" s="247"/>
      <c r="D9198" s="317"/>
      <c r="E9198" s="318"/>
      <c r="F9198" s="247"/>
      <c r="G9198" s="247"/>
      <c r="H9198" s="248"/>
      <c r="I9198" s="248"/>
      <c r="J9198" s="247"/>
      <c r="K9198" s="249"/>
    </row>
    <row r="9199" spans="1:11" s="90" customFormat="1" ht="12.75" customHeight="1" x14ac:dyDescent="0.2">
      <c r="A9199" s="247"/>
      <c r="B9199" s="316"/>
      <c r="C9199" s="247"/>
      <c r="D9199" s="317"/>
      <c r="E9199" s="318"/>
      <c r="F9199" s="247"/>
      <c r="G9199" s="247"/>
      <c r="H9199" s="248"/>
      <c r="I9199" s="248"/>
      <c r="J9199" s="247"/>
      <c r="K9199" s="249"/>
    </row>
    <row r="9200" spans="1:11" s="90" customFormat="1" ht="12.75" customHeight="1" x14ac:dyDescent="0.2">
      <c r="A9200" s="247"/>
      <c r="B9200" s="316"/>
      <c r="C9200" s="247"/>
      <c r="D9200" s="317"/>
      <c r="E9200" s="318"/>
      <c r="F9200" s="247"/>
      <c r="G9200" s="247"/>
      <c r="H9200" s="248"/>
      <c r="I9200" s="248"/>
      <c r="J9200" s="247"/>
      <c r="K9200" s="249"/>
    </row>
    <row r="9201" spans="1:11" s="90" customFormat="1" ht="12.75" customHeight="1" x14ac:dyDescent="0.2">
      <c r="A9201" s="247"/>
      <c r="B9201" s="316"/>
      <c r="C9201" s="247"/>
      <c r="D9201" s="317"/>
      <c r="E9201" s="318"/>
      <c r="F9201" s="247"/>
      <c r="G9201" s="247"/>
      <c r="H9201" s="248"/>
      <c r="I9201" s="248"/>
      <c r="J9201" s="247"/>
      <c r="K9201" s="249"/>
    </row>
    <row r="9202" spans="1:11" s="90" customFormat="1" ht="12.75" customHeight="1" x14ac:dyDescent="0.2">
      <c r="A9202" s="247"/>
      <c r="B9202" s="316"/>
      <c r="C9202" s="247"/>
      <c r="D9202" s="317"/>
      <c r="E9202" s="318"/>
      <c r="F9202" s="247"/>
      <c r="G9202" s="247"/>
      <c r="H9202" s="248"/>
      <c r="I9202" s="248"/>
      <c r="J9202" s="247"/>
      <c r="K9202" s="249"/>
    </row>
    <row r="9203" spans="1:11" s="90" customFormat="1" ht="12.75" customHeight="1" x14ac:dyDescent="0.2">
      <c r="A9203" s="247"/>
      <c r="B9203" s="316"/>
      <c r="C9203" s="247"/>
      <c r="D9203" s="317"/>
      <c r="E9203" s="318"/>
      <c r="F9203" s="247"/>
      <c r="G9203" s="247"/>
      <c r="H9203" s="248"/>
      <c r="I9203" s="248"/>
      <c r="J9203" s="247"/>
      <c r="K9203" s="249"/>
    </row>
    <row r="9204" spans="1:11" s="90" customFormat="1" ht="12.75" customHeight="1" x14ac:dyDescent="0.2">
      <c r="A9204" s="247"/>
      <c r="B9204" s="316"/>
      <c r="C9204" s="247"/>
      <c r="D9204" s="317"/>
      <c r="E9204" s="318"/>
      <c r="F9204" s="247"/>
      <c r="G9204" s="247"/>
      <c r="H9204" s="248"/>
      <c r="I9204" s="248"/>
      <c r="J9204" s="247"/>
      <c r="K9204" s="249"/>
    </row>
    <row r="9205" spans="1:11" s="90" customFormat="1" ht="12.75" customHeight="1" x14ac:dyDescent="0.2">
      <c r="A9205" s="247"/>
      <c r="B9205" s="316"/>
      <c r="C9205" s="247"/>
      <c r="D9205" s="317"/>
      <c r="E9205" s="318"/>
      <c r="F9205" s="247"/>
      <c r="G9205" s="247"/>
      <c r="H9205" s="248"/>
      <c r="I9205" s="248"/>
      <c r="J9205" s="247"/>
      <c r="K9205" s="249"/>
    </row>
    <row r="9206" spans="1:11" s="90" customFormat="1" ht="12.75" customHeight="1" x14ac:dyDescent="0.2">
      <c r="A9206" s="247"/>
      <c r="B9206" s="316"/>
      <c r="C9206" s="247"/>
      <c r="D9206" s="317"/>
      <c r="E9206" s="318"/>
      <c r="F9206" s="247"/>
      <c r="G9206" s="247"/>
      <c r="H9206" s="248"/>
      <c r="I9206" s="248"/>
      <c r="J9206" s="247"/>
      <c r="K9206" s="249"/>
    </row>
    <row r="9207" spans="1:11" s="90" customFormat="1" ht="12.75" customHeight="1" x14ac:dyDescent="0.2">
      <c r="A9207" s="247"/>
      <c r="B9207" s="316"/>
      <c r="C9207" s="247"/>
      <c r="D9207" s="317"/>
      <c r="E9207" s="318"/>
      <c r="F9207" s="247"/>
      <c r="G9207" s="247"/>
      <c r="H9207" s="248"/>
      <c r="I9207" s="248"/>
      <c r="J9207" s="247"/>
      <c r="K9207" s="249"/>
    </row>
    <row r="9208" spans="1:11" s="90" customFormat="1" ht="12.75" customHeight="1" x14ac:dyDescent="0.2">
      <c r="A9208" s="247"/>
      <c r="B9208" s="316"/>
      <c r="C9208" s="247"/>
      <c r="D9208" s="317"/>
      <c r="E9208" s="318"/>
      <c r="F9208" s="247"/>
      <c r="G9208" s="247"/>
      <c r="H9208" s="248"/>
      <c r="I9208" s="248"/>
      <c r="J9208" s="247"/>
      <c r="K9208" s="249"/>
    </row>
    <row r="9209" spans="1:11" s="90" customFormat="1" ht="12.75" customHeight="1" x14ac:dyDescent="0.2">
      <c r="A9209" s="247"/>
      <c r="B9209" s="316"/>
      <c r="C9209" s="247"/>
      <c r="D9209" s="317"/>
      <c r="E9209" s="318"/>
      <c r="F9209" s="247"/>
      <c r="G9209" s="247"/>
      <c r="H9209" s="248"/>
      <c r="I9209" s="248"/>
      <c r="J9209" s="247"/>
      <c r="K9209" s="249"/>
    </row>
    <row r="9210" spans="1:11" s="90" customFormat="1" ht="12.75" customHeight="1" x14ac:dyDescent="0.2">
      <c r="A9210" s="247"/>
      <c r="B9210" s="316"/>
      <c r="C9210" s="247"/>
      <c r="D9210" s="317"/>
      <c r="E9210" s="318"/>
      <c r="F9210" s="247"/>
      <c r="G9210" s="247"/>
      <c r="H9210" s="248"/>
      <c r="I9210" s="248"/>
      <c r="J9210" s="247"/>
      <c r="K9210" s="249"/>
    </row>
    <row r="9211" spans="1:11" s="90" customFormat="1" ht="12.75" customHeight="1" x14ac:dyDescent="0.2">
      <c r="A9211" s="247"/>
      <c r="B9211" s="316"/>
      <c r="C9211" s="247"/>
      <c r="D9211" s="317"/>
      <c r="E9211" s="318"/>
      <c r="F9211" s="247"/>
      <c r="G9211" s="247"/>
      <c r="H9211" s="248"/>
      <c r="I9211" s="248"/>
      <c r="J9211" s="247"/>
      <c r="K9211" s="249"/>
    </row>
    <row r="9212" spans="1:11" s="90" customFormat="1" ht="12.75" customHeight="1" x14ac:dyDescent="0.2">
      <c r="A9212" s="247"/>
      <c r="B9212" s="316"/>
      <c r="C9212" s="247"/>
      <c r="D9212" s="317"/>
      <c r="E9212" s="318"/>
      <c r="F9212" s="247"/>
      <c r="G9212" s="247"/>
      <c r="H9212" s="248"/>
      <c r="I9212" s="248"/>
      <c r="J9212" s="247"/>
      <c r="K9212" s="249"/>
    </row>
    <row r="9213" spans="1:11" s="90" customFormat="1" ht="12.75" customHeight="1" x14ac:dyDescent="0.2">
      <c r="A9213" s="247"/>
      <c r="B9213" s="316"/>
      <c r="C9213" s="247"/>
      <c r="D9213" s="317"/>
      <c r="E9213" s="318"/>
      <c r="F9213" s="247"/>
      <c r="G9213" s="247"/>
      <c r="H9213" s="248"/>
      <c r="I9213" s="248"/>
      <c r="J9213" s="247"/>
      <c r="K9213" s="249"/>
    </row>
    <row r="9214" spans="1:11" s="90" customFormat="1" ht="12.75" customHeight="1" x14ac:dyDescent="0.2">
      <c r="A9214" s="247"/>
      <c r="B9214" s="316"/>
      <c r="C9214" s="247"/>
      <c r="D9214" s="317"/>
      <c r="E9214" s="318"/>
      <c r="F9214" s="247"/>
      <c r="G9214" s="247"/>
      <c r="H9214" s="248"/>
      <c r="I9214" s="248"/>
      <c r="J9214" s="247"/>
      <c r="K9214" s="249"/>
    </row>
    <row r="9215" spans="1:11" s="90" customFormat="1" ht="12.75" customHeight="1" x14ac:dyDescent="0.2">
      <c r="A9215" s="247"/>
      <c r="B9215" s="316"/>
      <c r="C9215" s="247"/>
      <c r="D9215" s="317"/>
      <c r="E9215" s="318"/>
      <c r="F9215" s="247"/>
      <c r="G9215" s="247"/>
      <c r="H9215" s="248"/>
      <c r="I9215" s="248"/>
      <c r="J9215" s="247"/>
      <c r="K9215" s="249"/>
    </row>
    <row r="9216" spans="1:11" s="90" customFormat="1" ht="12.75" customHeight="1" x14ac:dyDescent="0.2">
      <c r="A9216" s="247"/>
      <c r="B9216" s="316"/>
      <c r="C9216" s="247"/>
      <c r="D9216" s="317"/>
      <c r="E9216" s="318"/>
      <c r="F9216" s="247"/>
      <c r="G9216" s="247"/>
      <c r="H9216" s="248"/>
      <c r="I9216" s="248"/>
      <c r="J9216" s="247"/>
      <c r="K9216" s="249"/>
    </row>
    <row r="9217" spans="1:11" s="90" customFormat="1" ht="12.75" customHeight="1" x14ac:dyDescent="0.2">
      <c r="A9217" s="247"/>
      <c r="B9217" s="316"/>
      <c r="C9217" s="247"/>
      <c r="D9217" s="317"/>
      <c r="E9217" s="318"/>
      <c r="F9217" s="247"/>
      <c r="G9217" s="247"/>
      <c r="H9217" s="248"/>
      <c r="I9217" s="248"/>
      <c r="J9217" s="247"/>
      <c r="K9217" s="249"/>
    </row>
    <row r="9218" spans="1:11" s="90" customFormat="1" ht="12.75" customHeight="1" x14ac:dyDescent="0.2">
      <c r="A9218" s="247"/>
      <c r="B9218" s="316"/>
      <c r="C9218" s="247"/>
      <c r="D9218" s="317"/>
      <c r="E9218" s="318"/>
      <c r="F9218" s="247"/>
      <c r="G9218" s="247"/>
      <c r="H9218" s="248"/>
      <c r="I9218" s="248"/>
      <c r="J9218" s="247"/>
      <c r="K9218" s="249"/>
    </row>
    <row r="9219" spans="1:11" s="90" customFormat="1" ht="12.75" customHeight="1" x14ac:dyDescent="0.2">
      <c r="A9219" s="247"/>
      <c r="B9219" s="316"/>
      <c r="C9219" s="247"/>
      <c r="D9219" s="317"/>
      <c r="E9219" s="318"/>
      <c r="F9219" s="247"/>
      <c r="G9219" s="247"/>
      <c r="H9219" s="248"/>
      <c r="I9219" s="248"/>
      <c r="J9219" s="247"/>
      <c r="K9219" s="249"/>
    </row>
    <row r="9220" spans="1:11" s="90" customFormat="1" ht="12.75" customHeight="1" x14ac:dyDescent="0.2">
      <c r="A9220" s="247"/>
      <c r="B9220" s="316"/>
      <c r="C9220" s="247"/>
      <c r="D9220" s="317"/>
      <c r="E9220" s="318"/>
      <c r="F9220" s="247"/>
      <c r="G9220" s="247"/>
      <c r="H9220" s="248"/>
      <c r="I9220" s="248"/>
      <c r="J9220" s="247"/>
      <c r="K9220" s="249"/>
    </row>
    <row r="9221" spans="1:11" s="90" customFormat="1" ht="12.75" customHeight="1" x14ac:dyDescent="0.2">
      <c r="A9221" s="247"/>
      <c r="B9221" s="316"/>
      <c r="C9221" s="247"/>
      <c r="D9221" s="317"/>
      <c r="E9221" s="318"/>
      <c r="F9221" s="247"/>
      <c r="G9221" s="247"/>
      <c r="H9221" s="248"/>
      <c r="I9221" s="248"/>
      <c r="J9221" s="247"/>
      <c r="K9221" s="249"/>
    </row>
    <row r="9222" spans="1:11" s="90" customFormat="1" ht="12.75" customHeight="1" x14ac:dyDescent="0.2">
      <c r="A9222" s="247"/>
      <c r="B9222" s="316"/>
      <c r="C9222" s="247"/>
      <c r="D9222" s="317"/>
      <c r="E9222" s="318"/>
      <c r="F9222" s="247"/>
      <c r="G9222" s="247"/>
      <c r="H9222" s="248"/>
      <c r="I9222" s="248"/>
      <c r="J9222" s="247"/>
      <c r="K9222" s="249"/>
    </row>
    <row r="9223" spans="1:11" s="90" customFormat="1" ht="12.75" customHeight="1" x14ac:dyDescent="0.2">
      <c r="A9223" s="247"/>
      <c r="B9223" s="316"/>
      <c r="C9223" s="247"/>
      <c r="D9223" s="317"/>
      <c r="E9223" s="318"/>
      <c r="F9223" s="247"/>
      <c r="G9223" s="247"/>
      <c r="H9223" s="248"/>
      <c r="I9223" s="248"/>
      <c r="J9223" s="247"/>
      <c r="K9223" s="249"/>
    </row>
    <row r="9224" spans="1:11" s="90" customFormat="1" ht="12.75" customHeight="1" x14ac:dyDescent="0.2">
      <c r="A9224" s="247"/>
      <c r="B9224" s="316"/>
      <c r="C9224" s="247"/>
      <c r="D9224" s="317"/>
      <c r="E9224" s="318"/>
      <c r="F9224" s="247"/>
      <c r="G9224" s="247"/>
      <c r="H9224" s="248"/>
      <c r="I9224" s="248"/>
      <c r="J9224" s="247"/>
      <c r="K9224" s="249"/>
    </row>
    <row r="9225" spans="1:11" s="90" customFormat="1" ht="12.75" customHeight="1" x14ac:dyDescent="0.2">
      <c r="A9225" s="247"/>
      <c r="B9225" s="316"/>
      <c r="C9225" s="247"/>
      <c r="D9225" s="317"/>
      <c r="E9225" s="318"/>
      <c r="F9225" s="247"/>
      <c r="G9225" s="247"/>
      <c r="H9225" s="248"/>
      <c r="I9225" s="248"/>
      <c r="J9225" s="247"/>
      <c r="K9225" s="249"/>
    </row>
    <row r="9226" spans="1:11" s="90" customFormat="1" ht="12.75" customHeight="1" x14ac:dyDescent="0.2">
      <c r="A9226" s="247"/>
      <c r="B9226" s="316"/>
      <c r="C9226" s="247"/>
      <c r="D9226" s="317"/>
      <c r="E9226" s="318"/>
      <c r="F9226" s="247"/>
      <c r="G9226" s="247"/>
      <c r="H9226" s="248"/>
      <c r="I9226" s="248"/>
      <c r="J9226" s="247"/>
      <c r="K9226" s="249"/>
    </row>
    <row r="9227" spans="1:11" s="90" customFormat="1" ht="12.75" customHeight="1" x14ac:dyDescent="0.2">
      <c r="A9227" s="247"/>
      <c r="B9227" s="316"/>
      <c r="C9227" s="247"/>
      <c r="D9227" s="317"/>
      <c r="E9227" s="318"/>
      <c r="F9227" s="247"/>
      <c r="G9227" s="247"/>
      <c r="H9227" s="248"/>
      <c r="I9227" s="248"/>
      <c r="J9227" s="247"/>
      <c r="K9227" s="249"/>
    </row>
    <row r="9228" spans="1:11" s="90" customFormat="1" ht="12.75" customHeight="1" x14ac:dyDescent="0.2">
      <c r="A9228" s="247"/>
      <c r="B9228" s="316"/>
      <c r="C9228" s="247"/>
      <c r="D9228" s="317"/>
      <c r="E9228" s="318"/>
      <c r="F9228" s="247"/>
      <c r="G9228" s="247"/>
      <c r="H9228" s="248"/>
      <c r="I9228" s="248"/>
      <c r="J9228" s="247"/>
      <c r="K9228" s="249"/>
    </row>
    <row r="9229" spans="1:11" s="90" customFormat="1" ht="12.75" customHeight="1" x14ac:dyDescent="0.2">
      <c r="A9229" s="247"/>
      <c r="B9229" s="316"/>
      <c r="C9229" s="247"/>
      <c r="D9229" s="317"/>
      <c r="E9229" s="318"/>
      <c r="F9229" s="247"/>
      <c r="G9229" s="247"/>
      <c r="H9229" s="248"/>
      <c r="I9229" s="248"/>
      <c r="J9229" s="247"/>
      <c r="K9229" s="249"/>
    </row>
    <row r="9230" spans="1:11" s="90" customFormat="1" ht="12.75" customHeight="1" x14ac:dyDescent="0.2">
      <c r="A9230" s="247"/>
      <c r="B9230" s="316"/>
      <c r="C9230" s="247"/>
      <c r="D9230" s="317"/>
      <c r="E9230" s="318"/>
      <c r="F9230" s="247"/>
      <c r="G9230" s="247"/>
      <c r="H9230" s="248"/>
      <c r="I9230" s="248"/>
      <c r="J9230" s="247"/>
      <c r="K9230" s="249"/>
    </row>
    <row r="9231" spans="1:11" s="90" customFormat="1" ht="12.75" customHeight="1" x14ac:dyDescent="0.2">
      <c r="A9231" s="247"/>
      <c r="B9231" s="316"/>
      <c r="C9231" s="247"/>
      <c r="D9231" s="317"/>
      <c r="E9231" s="318"/>
      <c r="F9231" s="247"/>
      <c r="G9231" s="247"/>
      <c r="H9231" s="248"/>
      <c r="I9231" s="248"/>
      <c r="J9231" s="247"/>
      <c r="K9231" s="249"/>
    </row>
    <row r="9232" spans="1:11" s="90" customFormat="1" ht="12.75" customHeight="1" x14ac:dyDescent="0.2">
      <c r="A9232" s="247"/>
      <c r="B9232" s="316"/>
      <c r="C9232" s="247"/>
      <c r="D9232" s="317"/>
      <c r="E9232" s="318"/>
      <c r="F9232" s="247"/>
      <c r="G9232" s="247"/>
      <c r="H9232" s="248"/>
      <c r="I9232" s="248"/>
      <c r="J9232" s="247"/>
      <c r="K9232" s="249"/>
    </row>
    <row r="9233" spans="1:11" s="90" customFormat="1" ht="12.75" customHeight="1" x14ac:dyDescent="0.2">
      <c r="A9233" s="247"/>
      <c r="B9233" s="316"/>
      <c r="C9233" s="247"/>
      <c r="D9233" s="317"/>
      <c r="E9233" s="318"/>
      <c r="F9233" s="247"/>
      <c r="G9233" s="247"/>
      <c r="H9233" s="248"/>
      <c r="I9233" s="248"/>
      <c r="J9233" s="247"/>
      <c r="K9233" s="249"/>
    </row>
    <row r="9234" spans="1:11" s="90" customFormat="1" ht="12.75" customHeight="1" x14ac:dyDescent="0.2">
      <c r="A9234" s="247"/>
      <c r="B9234" s="316"/>
      <c r="C9234" s="247"/>
      <c r="D9234" s="317"/>
      <c r="E9234" s="318"/>
      <c r="F9234" s="247"/>
      <c r="G9234" s="247"/>
      <c r="H9234" s="248"/>
      <c r="I9234" s="248"/>
      <c r="J9234" s="247"/>
      <c r="K9234" s="249"/>
    </row>
    <row r="9235" spans="1:11" s="90" customFormat="1" ht="12.75" customHeight="1" x14ac:dyDescent="0.2">
      <c r="A9235" s="247"/>
      <c r="B9235" s="316"/>
      <c r="C9235" s="247"/>
      <c r="D9235" s="317"/>
      <c r="E9235" s="318"/>
      <c r="F9235" s="247"/>
      <c r="G9235" s="247"/>
      <c r="H9235" s="248"/>
      <c r="I9235" s="248"/>
      <c r="J9235" s="247"/>
      <c r="K9235" s="249"/>
    </row>
    <row r="9236" spans="1:11" s="90" customFormat="1" ht="12.75" customHeight="1" x14ac:dyDescent="0.2">
      <c r="A9236" s="247"/>
      <c r="B9236" s="316"/>
      <c r="C9236" s="247"/>
      <c r="D9236" s="317"/>
      <c r="E9236" s="318"/>
      <c r="F9236" s="247"/>
      <c r="G9236" s="247"/>
      <c r="H9236" s="248"/>
      <c r="I9236" s="248"/>
      <c r="J9236" s="247"/>
      <c r="K9236" s="249"/>
    </row>
    <row r="9237" spans="1:11" s="90" customFormat="1" ht="12.75" customHeight="1" x14ac:dyDescent="0.2">
      <c r="A9237" s="247"/>
      <c r="B9237" s="316"/>
      <c r="C9237" s="247"/>
      <c r="D9237" s="317"/>
      <c r="E9237" s="318"/>
      <c r="F9237" s="247"/>
      <c r="G9237" s="247"/>
      <c r="H9237" s="248"/>
      <c r="I9237" s="248"/>
      <c r="J9237" s="247"/>
      <c r="K9237" s="249"/>
    </row>
    <row r="9238" spans="1:11" s="90" customFormat="1" ht="12.75" customHeight="1" x14ac:dyDescent="0.2">
      <c r="A9238" s="247"/>
      <c r="B9238" s="316"/>
      <c r="C9238" s="247"/>
      <c r="D9238" s="317"/>
      <c r="E9238" s="318"/>
      <c r="F9238" s="247"/>
      <c r="G9238" s="247"/>
      <c r="H9238" s="248"/>
      <c r="I9238" s="248"/>
      <c r="J9238" s="247"/>
      <c r="K9238" s="249"/>
    </row>
    <row r="9239" spans="1:11" s="90" customFormat="1" ht="12.75" customHeight="1" x14ac:dyDescent="0.2">
      <c r="A9239" s="247"/>
      <c r="B9239" s="316"/>
      <c r="C9239" s="247"/>
      <c r="D9239" s="317"/>
      <c r="E9239" s="318"/>
      <c r="F9239" s="247"/>
      <c r="G9239" s="247"/>
      <c r="H9239" s="248"/>
      <c r="I9239" s="248"/>
      <c r="J9239" s="247"/>
      <c r="K9239" s="249"/>
    </row>
    <row r="9240" spans="1:11" s="90" customFormat="1" ht="12.75" customHeight="1" x14ac:dyDescent="0.2">
      <c r="A9240" s="247"/>
      <c r="B9240" s="316"/>
      <c r="C9240" s="247"/>
      <c r="D9240" s="317"/>
      <c r="E9240" s="318"/>
      <c r="F9240" s="247"/>
      <c r="G9240" s="247"/>
      <c r="H9240" s="248"/>
      <c r="I9240" s="248"/>
      <c r="J9240" s="247"/>
      <c r="K9240" s="249"/>
    </row>
    <row r="9241" spans="1:11" s="90" customFormat="1" ht="12.75" customHeight="1" x14ac:dyDescent="0.2">
      <c r="A9241" s="247"/>
      <c r="B9241" s="316"/>
      <c r="C9241" s="247"/>
      <c r="D9241" s="317"/>
      <c r="E9241" s="318"/>
      <c r="F9241" s="247"/>
      <c r="G9241" s="247"/>
      <c r="H9241" s="248"/>
      <c r="I9241" s="248"/>
      <c r="J9241" s="247"/>
      <c r="K9241" s="249"/>
    </row>
    <row r="9242" spans="1:11" s="90" customFormat="1" ht="12.75" customHeight="1" x14ac:dyDescent="0.2">
      <c r="A9242" s="247"/>
      <c r="B9242" s="316"/>
      <c r="C9242" s="247"/>
      <c r="D9242" s="317"/>
      <c r="E9242" s="318"/>
      <c r="F9242" s="247"/>
      <c r="G9242" s="247"/>
      <c r="H9242" s="248"/>
      <c r="I9242" s="248"/>
      <c r="J9242" s="247"/>
      <c r="K9242" s="249"/>
    </row>
    <row r="9243" spans="1:11" s="90" customFormat="1" ht="12.75" customHeight="1" x14ac:dyDescent="0.2">
      <c r="A9243" s="247"/>
      <c r="B9243" s="316"/>
      <c r="C9243" s="247"/>
      <c r="D9243" s="317"/>
      <c r="E9243" s="318"/>
      <c r="F9243" s="247"/>
      <c r="G9243" s="247"/>
      <c r="H9243" s="248"/>
      <c r="I9243" s="248"/>
      <c r="J9243" s="247"/>
      <c r="K9243" s="249"/>
    </row>
    <row r="9244" spans="1:11" s="90" customFormat="1" ht="12.75" customHeight="1" x14ac:dyDescent="0.2">
      <c r="A9244" s="247"/>
      <c r="B9244" s="316"/>
      <c r="C9244" s="247"/>
      <c r="D9244" s="317"/>
      <c r="E9244" s="318"/>
      <c r="F9244" s="247"/>
      <c r="G9244" s="247"/>
      <c r="H9244" s="248"/>
      <c r="I9244" s="248"/>
      <c r="J9244" s="247"/>
      <c r="K9244" s="249"/>
    </row>
    <row r="9245" spans="1:11" s="90" customFormat="1" ht="12.75" customHeight="1" x14ac:dyDescent="0.2">
      <c r="A9245" s="247"/>
      <c r="B9245" s="316"/>
      <c r="C9245" s="247"/>
      <c r="D9245" s="317"/>
      <c r="E9245" s="318"/>
      <c r="F9245" s="247"/>
      <c r="G9245" s="247"/>
      <c r="H9245" s="248"/>
      <c r="I9245" s="248"/>
      <c r="J9245" s="247"/>
      <c r="K9245" s="249"/>
    </row>
    <row r="9246" spans="1:11" s="90" customFormat="1" ht="12.75" customHeight="1" x14ac:dyDescent="0.2">
      <c r="A9246" s="247"/>
      <c r="B9246" s="316"/>
      <c r="C9246" s="247"/>
      <c r="D9246" s="317"/>
      <c r="E9246" s="318"/>
      <c r="F9246" s="247"/>
      <c r="G9246" s="247"/>
      <c r="H9246" s="248"/>
      <c r="I9246" s="248"/>
      <c r="J9246" s="247"/>
      <c r="K9246" s="249"/>
    </row>
    <row r="9247" spans="1:11" s="90" customFormat="1" ht="12.75" customHeight="1" x14ac:dyDescent="0.2">
      <c r="A9247" s="247"/>
      <c r="B9247" s="316"/>
      <c r="C9247" s="247"/>
      <c r="D9247" s="317"/>
      <c r="E9247" s="318"/>
      <c r="F9247" s="247"/>
      <c r="G9247" s="247"/>
      <c r="H9247" s="248"/>
      <c r="I9247" s="248"/>
      <c r="J9247" s="247"/>
      <c r="K9247" s="249"/>
    </row>
    <row r="9248" spans="1:11" s="90" customFormat="1" ht="12.75" customHeight="1" x14ac:dyDescent="0.2">
      <c r="A9248" s="247"/>
      <c r="B9248" s="316"/>
      <c r="C9248" s="247"/>
      <c r="D9248" s="317"/>
      <c r="E9248" s="318"/>
      <c r="F9248" s="247"/>
      <c r="G9248" s="247"/>
      <c r="H9248" s="248"/>
      <c r="I9248" s="248"/>
      <c r="J9248" s="247"/>
      <c r="K9248" s="249"/>
    </row>
    <row r="9249" spans="1:11" s="90" customFormat="1" ht="12.75" customHeight="1" x14ac:dyDescent="0.2">
      <c r="A9249" s="247"/>
      <c r="B9249" s="316"/>
      <c r="C9249" s="247"/>
      <c r="D9249" s="317"/>
      <c r="E9249" s="318"/>
      <c r="F9249" s="247"/>
      <c r="G9249" s="247"/>
      <c r="H9249" s="248"/>
      <c r="I9249" s="248"/>
      <c r="J9249" s="247"/>
      <c r="K9249" s="249"/>
    </row>
    <row r="9250" spans="1:11" s="90" customFormat="1" ht="12.75" customHeight="1" x14ac:dyDescent="0.2">
      <c r="A9250" s="247"/>
      <c r="B9250" s="316"/>
      <c r="C9250" s="247"/>
      <c r="D9250" s="317"/>
      <c r="E9250" s="318"/>
      <c r="F9250" s="247"/>
      <c r="G9250" s="247"/>
      <c r="H9250" s="248"/>
      <c r="I9250" s="248"/>
      <c r="J9250" s="247"/>
      <c r="K9250" s="249"/>
    </row>
    <row r="9251" spans="1:11" s="90" customFormat="1" ht="12.75" customHeight="1" x14ac:dyDescent="0.2">
      <c r="A9251" s="247"/>
      <c r="B9251" s="316"/>
      <c r="C9251" s="247"/>
      <c r="D9251" s="317"/>
      <c r="E9251" s="318"/>
      <c r="F9251" s="247"/>
      <c r="G9251" s="247"/>
      <c r="H9251" s="248"/>
      <c r="I9251" s="248"/>
      <c r="J9251" s="247"/>
      <c r="K9251" s="249"/>
    </row>
    <row r="9252" spans="1:11" s="90" customFormat="1" ht="12.75" customHeight="1" x14ac:dyDescent="0.2">
      <c r="A9252" s="247"/>
      <c r="B9252" s="316"/>
      <c r="C9252" s="247"/>
      <c r="D9252" s="317"/>
      <c r="E9252" s="318"/>
      <c r="F9252" s="247"/>
      <c r="G9252" s="247"/>
      <c r="H9252" s="248"/>
      <c r="I9252" s="248"/>
      <c r="J9252" s="247"/>
      <c r="K9252" s="249"/>
    </row>
    <row r="9253" spans="1:11" s="90" customFormat="1" ht="12.75" customHeight="1" x14ac:dyDescent="0.2">
      <c r="A9253" s="247"/>
      <c r="B9253" s="316"/>
      <c r="C9253" s="247"/>
      <c r="D9253" s="317"/>
      <c r="E9253" s="318"/>
      <c r="F9253" s="247"/>
      <c r="G9253" s="247"/>
      <c r="H9253" s="248"/>
      <c r="I9253" s="248"/>
      <c r="J9253" s="247"/>
      <c r="K9253" s="249"/>
    </row>
    <row r="9254" spans="1:11" s="90" customFormat="1" ht="12.75" customHeight="1" x14ac:dyDescent="0.2">
      <c r="A9254" s="247"/>
      <c r="B9254" s="316"/>
      <c r="C9254" s="247"/>
      <c r="D9254" s="317"/>
      <c r="E9254" s="318"/>
      <c r="F9254" s="247"/>
      <c r="G9254" s="247"/>
      <c r="H9254" s="248"/>
      <c r="I9254" s="248"/>
      <c r="J9254" s="247"/>
      <c r="K9254" s="249"/>
    </row>
    <row r="9255" spans="1:11" s="90" customFormat="1" ht="12.75" customHeight="1" x14ac:dyDescent="0.2">
      <c r="A9255" s="247"/>
      <c r="B9255" s="316"/>
      <c r="C9255" s="247"/>
      <c r="D9255" s="317"/>
      <c r="E9255" s="318"/>
      <c r="F9255" s="247"/>
      <c r="G9255" s="247"/>
      <c r="H9255" s="248"/>
      <c r="I9255" s="248"/>
      <c r="J9255" s="247"/>
      <c r="K9255" s="249"/>
    </row>
    <row r="9256" spans="1:11" s="90" customFormat="1" ht="12.75" customHeight="1" x14ac:dyDescent="0.2">
      <c r="A9256" s="247"/>
      <c r="B9256" s="316"/>
      <c r="C9256" s="247"/>
      <c r="D9256" s="317"/>
      <c r="E9256" s="318"/>
      <c r="F9256" s="247"/>
      <c r="G9256" s="247"/>
      <c r="H9256" s="248"/>
      <c r="I9256" s="248"/>
      <c r="J9256" s="247"/>
      <c r="K9256" s="249"/>
    </row>
    <row r="9257" spans="1:11" s="90" customFormat="1" ht="12.75" customHeight="1" x14ac:dyDescent="0.2">
      <c r="A9257" s="247"/>
      <c r="B9257" s="316"/>
      <c r="C9257" s="247"/>
      <c r="D9257" s="317"/>
      <c r="E9257" s="318"/>
      <c r="F9257" s="247"/>
      <c r="G9257" s="247"/>
      <c r="H9257" s="248"/>
      <c r="I9257" s="248"/>
      <c r="J9257" s="247"/>
      <c r="K9257" s="249"/>
    </row>
    <row r="9258" spans="1:11" s="90" customFormat="1" ht="12.75" customHeight="1" x14ac:dyDescent="0.2">
      <c r="A9258" s="247"/>
      <c r="B9258" s="316"/>
      <c r="C9258" s="247"/>
      <c r="D9258" s="317"/>
      <c r="E9258" s="318"/>
      <c r="F9258" s="247"/>
      <c r="G9258" s="247"/>
      <c r="H9258" s="248"/>
      <c r="I9258" s="248"/>
      <c r="J9258" s="247"/>
      <c r="K9258" s="249"/>
    </row>
    <row r="9259" spans="1:11" s="90" customFormat="1" ht="12.75" customHeight="1" x14ac:dyDescent="0.2">
      <c r="A9259" s="247"/>
      <c r="B9259" s="316"/>
      <c r="C9259" s="247"/>
      <c r="D9259" s="317"/>
      <c r="E9259" s="318"/>
      <c r="F9259" s="247"/>
      <c r="G9259" s="247"/>
      <c r="H9259" s="248"/>
      <c r="I9259" s="248"/>
      <c r="J9259" s="247"/>
      <c r="K9259" s="249"/>
    </row>
    <row r="9260" spans="1:11" s="90" customFormat="1" ht="12.75" customHeight="1" x14ac:dyDescent="0.2">
      <c r="A9260" s="247"/>
      <c r="B9260" s="316"/>
      <c r="C9260" s="247"/>
      <c r="D9260" s="317"/>
      <c r="E9260" s="318"/>
      <c r="F9260" s="247"/>
      <c r="G9260" s="247"/>
      <c r="H9260" s="248"/>
      <c r="I9260" s="248"/>
      <c r="J9260" s="247"/>
      <c r="K9260" s="249"/>
    </row>
    <row r="9261" spans="1:11" s="90" customFormat="1" ht="12.75" customHeight="1" x14ac:dyDescent="0.2">
      <c r="A9261" s="247"/>
      <c r="B9261" s="316"/>
      <c r="C9261" s="247"/>
      <c r="D9261" s="317"/>
      <c r="E9261" s="318"/>
      <c r="F9261" s="247"/>
      <c r="G9261" s="247"/>
      <c r="H9261" s="248"/>
      <c r="I9261" s="248"/>
      <c r="J9261" s="247"/>
      <c r="K9261" s="249"/>
    </row>
    <row r="9262" spans="1:11" s="90" customFormat="1" ht="12.75" customHeight="1" x14ac:dyDescent="0.2">
      <c r="A9262" s="247"/>
      <c r="B9262" s="316"/>
      <c r="C9262" s="247"/>
      <c r="D9262" s="317"/>
      <c r="E9262" s="318"/>
      <c r="F9262" s="247"/>
      <c r="G9262" s="247"/>
      <c r="H9262" s="248"/>
      <c r="I9262" s="248"/>
      <c r="J9262" s="247"/>
      <c r="K9262" s="249"/>
    </row>
    <row r="9263" spans="1:11" s="90" customFormat="1" ht="12.75" customHeight="1" x14ac:dyDescent="0.2">
      <c r="A9263" s="247"/>
      <c r="B9263" s="316"/>
      <c r="C9263" s="247"/>
      <c r="D9263" s="317"/>
      <c r="E9263" s="318"/>
      <c r="F9263" s="247"/>
      <c r="G9263" s="247"/>
      <c r="H9263" s="248"/>
      <c r="I9263" s="248"/>
      <c r="J9263" s="247"/>
      <c r="K9263" s="249"/>
    </row>
    <row r="9264" spans="1:11" s="90" customFormat="1" ht="12.75" customHeight="1" x14ac:dyDescent="0.2">
      <c r="A9264" s="247"/>
      <c r="B9264" s="316"/>
      <c r="C9264" s="247"/>
      <c r="D9264" s="317"/>
      <c r="E9264" s="318"/>
      <c r="F9264" s="247"/>
      <c r="G9264" s="247"/>
      <c r="H9264" s="248"/>
      <c r="I9264" s="248"/>
      <c r="J9264" s="247"/>
      <c r="K9264" s="249"/>
    </row>
    <row r="9265" spans="1:11" s="90" customFormat="1" ht="12.75" customHeight="1" x14ac:dyDescent="0.2">
      <c r="A9265" s="247"/>
      <c r="B9265" s="316"/>
      <c r="C9265" s="247"/>
      <c r="D9265" s="317"/>
      <c r="E9265" s="318"/>
      <c r="F9265" s="247"/>
      <c r="G9265" s="247"/>
      <c r="H9265" s="248"/>
      <c r="I9265" s="248"/>
      <c r="J9265" s="247"/>
      <c r="K9265" s="249"/>
    </row>
    <row r="9266" spans="1:11" s="90" customFormat="1" ht="12.75" customHeight="1" x14ac:dyDescent="0.2">
      <c r="A9266" s="247"/>
      <c r="B9266" s="316"/>
      <c r="C9266" s="247"/>
      <c r="D9266" s="317"/>
      <c r="E9266" s="318"/>
      <c r="F9266" s="247"/>
      <c r="G9266" s="247"/>
      <c r="H9266" s="248"/>
      <c r="I9266" s="248"/>
      <c r="J9266" s="247"/>
      <c r="K9266" s="249"/>
    </row>
    <row r="9267" spans="1:11" s="90" customFormat="1" ht="12.75" customHeight="1" x14ac:dyDescent="0.2">
      <c r="A9267" s="247"/>
      <c r="B9267" s="316"/>
      <c r="C9267" s="247"/>
      <c r="D9267" s="317"/>
      <c r="E9267" s="318"/>
      <c r="F9267" s="247"/>
      <c r="G9267" s="247"/>
      <c r="H9267" s="248"/>
      <c r="I9267" s="248"/>
      <c r="J9267" s="247"/>
      <c r="K9267" s="249"/>
    </row>
    <row r="9268" spans="1:11" s="90" customFormat="1" ht="12.75" customHeight="1" x14ac:dyDescent="0.2">
      <c r="A9268" s="247"/>
      <c r="B9268" s="316"/>
      <c r="C9268" s="247"/>
      <c r="D9268" s="317"/>
      <c r="E9268" s="318"/>
      <c r="F9268" s="247"/>
      <c r="G9268" s="247"/>
      <c r="H9268" s="248"/>
      <c r="I9268" s="248"/>
      <c r="J9268" s="247"/>
      <c r="K9268" s="249"/>
    </row>
    <row r="9269" spans="1:11" s="90" customFormat="1" ht="12.75" customHeight="1" x14ac:dyDescent="0.2">
      <c r="A9269" s="247"/>
      <c r="B9269" s="316"/>
      <c r="C9269" s="247"/>
      <c r="D9269" s="317"/>
      <c r="E9269" s="318"/>
      <c r="F9269" s="247"/>
      <c r="G9269" s="247"/>
      <c r="H9269" s="248"/>
      <c r="I9269" s="248"/>
      <c r="J9269" s="247"/>
      <c r="K9269" s="249"/>
    </row>
    <row r="9270" spans="1:11" s="90" customFormat="1" ht="12.75" customHeight="1" x14ac:dyDescent="0.2">
      <c r="A9270" s="247"/>
      <c r="B9270" s="316"/>
      <c r="C9270" s="247"/>
      <c r="D9270" s="317"/>
      <c r="E9270" s="318"/>
      <c r="F9270" s="247"/>
      <c r="G9270" s="247"/>
      <c r="H9270" s="248"/>
      <c r="I9270" s="248"/>
      <c r="J9270" s="247"/>
      <c r="K9270" s="249"/>
    </row>
    <row r="9271" spans="1:11" s="90" customFormat="1" ht="12.75" customHeight="1" x14ac:dyDescent="0.2">
      <c r="A9271" s="247"/>
      <c r="B9271" s="316"/>
      <c r="C9271" s="247"/>
      <c r="D9271" s="317"/>
      <c r="E9271" s="318"/>
      <c r="F9271" s="247"/>
      <c r="G9271" s="247"/>
      <c r="H9271" s="248"/>
      <c r="I9271" s="248"/>
      <c r="J9271" s="247"/>
      <c r="K9271" s="249"/>
    </row>
    <row r="9272" spans="1:11" s="90" customFormat="1" ht="12.75" customHeight="1" x14ac:dyDescent="0.2">
      <c r="A9272" s="247"/>
      <c r="B9272" s="316"/>
      <c r="C9272" s="247"/>
      <c r="D9272" s="317"/>
      <c r="E9272" s="318"/>
      <c r="F9272" s="247"/>
      <c r="G9272" s="247"/>
      <c r="H9272" s="248"/>
      <c r="I9272" s="248"/>
      <c r="J9272" s="247"/>
      <c r="K9272" s="249"/>
    </row>
    <row r="9273" spans="1:11" s="90" customFormat="1" ht="12.75" customHeight="1" x14ac:dyDescent="0.2">
      <c r="A9273" s="247"/>
      <c r="B9273" s="316"/>
      <c r="C9273" s="247"/>
      <c r="D9273" s="317"/>
      <c r="E9273" s="318"/>
      <c r="F9273" s="247"/>
      <c r="G9273" s="247"/>
      <c r="H9273" s="248"/>
      <c r="I9273" s="248"/>
      <c r="J9273" s="247"/>
      <c r="K9273" s="249"/>
    </row>
    <row r="9274" spans="1:11" s="90" customFormat="1" ht="12.75" customHeight="1" x14ac:dyDescent="0.2">
      <c r="A9274" s="247"/>
      <c r="B9274" s="316"/>
      <c r="C9274" s="247"/>
      <c r="D9274" s="317"/>
      <c r="E9274" s="318"/>
      <c r="F9274" s="247"/>
      <c r="G9274" s="247"/>
      <c r="H9274" s="248"/>
      <c r="I9274" s="248"/>
      <c r="J9274" s="247"/>
      <c r="K9274" s="249"/>
    </row>
    <row r="9275" spans="1:11" s="90" customFormat="1" ht="12.75" customHeight="1" x14ac:dyDescent="0.2">
      <c r="A9275" s="247"/>
      <c r="B9275" s="316"/>
      <c r="C9275" s="247"/>
      <c r="D9275" s="317"/>
      <c r="E9275" s="318"/>
      <c r="F9275" s="247"/>
      <c r="G9275" s="247"/>
      <c r="H9275" s="248"/>
      <c r="I9275" s="248"/>
      <c r="J9275" s="247"/>
      <c r="K9275" s="249"/>
    </row>
    <row r="9276" spans="1:11" s="90" customFormat="1" ht="12.75" customHeight="1" x14ac:dyDescent="0.2">
      <c r="A9276" s="247"/>
      <c r="B9276" s="316"/>
      <c r="C9276" s="247"/>
      <c r="D9276" s="317"/>
      <c r="E9276" s="318"/>
      <c r="F9276" s="247"/>
      <c r="G9276" s="247"/>
      <c r="H9276" s="248"/>
      <c r="I9276" s="248"/>
      <c r="J9276" s="247"/>
      <c r="K9276" s="249"/>
    </row>
    <row r="9277" spans="1:11" s="90" customFormat="1" ht="12.75" customHeight="1" x14ac:dyDescent="0.2">
      <c r="A9277" s="247"/>
      <c r="B9277" s="316"/>
      <c r="C9277" s="247"/>
      <c r="D9277" s="317"/>
      <c r="E9277" s="318"/>
      <c r="F9277" s="247"/>
      <c r="G9277" s="247"/>
      <c r="H9277" s="248"/>
      <c r="I9277" s="248"/>
      <c r="J9277" s="247"/>
      <c r="K9277" s="249"/>
    </row>
    <row r="9278" spans="1:11" s="90" customFormat="1" ht="12.75" customHeight="1" x14ac:dyDescent="0.2">
      <c r="A9278" s="247"/>
      <c r="B9278" s="316"/>
      <c r="C9278" s="247"/>
      <c r="D9278" s="317"/>
      <c r="E9278" s="318"/>
      <c r="F9278" s="247"/>
      <c r="G9278" s="247"/>
      <c r="H9278" s="248"/>
      <c r="I9278" s="248"/>
      <c r="J9278" s="247"/>
      <c r="K9278" s="249"/>
    </row>
    <row r="9279" spans="1:11" s="90" customFormat="1" ht="12.75" customHeight="1" x14ac:dyDescent="0.2">
      <c r="A9279" s="247"/>
      <c r="B9279" s="316"/>
      <c r="C9279" s="247"/>
      <c r="D9279" s="317"/>
      <c r="E9279" s="318"/>
      <c r="F9279" s="247"/>
      <c r="G9279" s="247"/>
      <c r="H9279" s="248"/>
      <c r="I9279" s="248"/>
      <c r="J9279" s="247"/>
      <c r="K9279" s="249"/>
    </row>
    <row r="9280" spans="1:11" s="90" customFormat="1" ht="12.75" customHeight="1" x14ac:dyDescent="0.2">
      <c r="A9280" s="247"/>
      <c r="B9280" s="316"/>
      <c r="C9280" s="247"/>
      <c r="D9280" s="317"/>
      <c r="E9280" s="318"/>
      <c r="F9280" s="247"/>
      <c r="G9280" s="247"/>
      <c r="H9280" s="248"/>
      <c r="I9280" s="248"/>
      <c r="J9280" s="247"/>
      <c r="K9280" s="249"/>
    </row>
    <row r="9281" spans="1:11" s="90" customFormat="1" ht="12.75" customHeight="1" x14ac:dyDescent="0.2">
      <c r="A9281" s="247"/>
      <c r="B9281" s="316"/>
      <c r="C9281" s="247"/>
      <c r="D9281" s="317"/>
      <c r="E9281" s="318"/>
      <c r="F9281" s="247"/>
      <c r="G9281" s="247"/>
      <c r="H9281" s="248"/>
      <c r="I9281" s="248"/>
      <c r="J9281" s="247"/>
      <c r="K9281" s="249"/>
    </row>
    <row r="9282" spans="1:11" s="90" customFormat="1" ht="12.75" customHeight="1" x14ac:dyDescent="0.2">
      <c r="A9282" s="247"/>
      <c r="B9282" s="316"/>
      <c r="C9282" s="247"/>
      <c r="D9282" s="317"/>
      <c r="E9282" s="318"/>
      <c r="F9282" s="247"/>
      <c r="G9282" s="247"/>
      <c r="H9282" s="248"/>
      <c r="I9282" s="248"/>
      <c r="J9282" s="247"/>
      <c r="K9282" s="249"/>
    </row>
    <row r="9283" spans="1:11" s="90" customFormat="1" ht="12.75" customHeight="1" x14ac:dyDescent="0.2">
      <c r="A9283" s="247"/>
      <c r="B9283" s="316"/>
      <c r="C9283" s="247"/>
      <c r="D9283" s="317"/>
      <c r="E9283" s="318"/>
      <c r="F9283" s="247"/>
      <c r="G9283" s="247"/>
      <c r="H9283" s="248"/>
      <c r="I9283" s="248"/>
      <c r="J9283" s="247"/>
      <c r="K9283" s="249"/>
    </row>
    <row r="9284" spans="1:11" s="90" customFormat="1" ht="12.75" customHeight="1" x14ac:dyDescent="0.2">
      <c r="A9284" s="247"/>
      <c r="B9284" s="316"/>
      <c r="C9284" s="247"/>
      <c r="D9284" s="317"/>
      <c r="E9284" s="318"/>
      <c r="F9284" s="247"/>
      <c r="G9284" s="247"/>
      <c r="H9284" s="248"/>
      <c r="I9284" s="248"/>
      <c r="J9284" s="247"/>
      <c r="K9284" s="249"/>
    </row>
    <row r="9285" spans="1:11" s="90" customFormat="1" ht="12.75" customHeight="1" x14ac:dyDescent="0.2">
      <c r="A9285" s="247"/>
      <c r="B9285" s="316"/>
      <c r="C9285" s="247"/>
      <c r="D9285" s="317"/>
      <c r="E9285" s="318"/>
      <c r="F9285" s="247"/>
      <c r="G9285" s="247"/>
      <c r="H9285" s="248"/>
      <c r="I9285" s="248"/>
      <c r="J9285" s="247"/>
      <c r="K9285" s="249"/>
    </row>
    <row r="9286" spans="1:11" s="90" customFormat="1" ht="12.75" customHeight="1" x14ac:dyDescent="0.2">
      <c r="A9286" s="247"/>
      <c r="B9286" s="316"/>
      <c r="C9286" s="247"/>
      <c r="D9286" s="317"/>
      <c r="E9286" s="318"/>
      <c r="F9286" s="247"/>
      <c r="G9286" s="247"/>
      <c r="H9286" s="248"/>
      <c r="I9286" s="248"/>
      <c r="J9286" s="247"/>
      <c r="K9286" s="249"/>
    </row>
    <row r="9287" spans="1:11" s="90" customFormat="1" ht="12.75" customHeight="1" x14ac:dyDescent="0.2">
      <c r="A9287" s="247"/>
      <c r="B9287" s="316"/>
      <c r="C9287" s="247"/>
      <c r="D9287" s="317"/>
      <c r="E9287" s="318"/>
      <c r="F9287" s="247"/>
      <c r="G9287" s="247"/>
      <c r="H9287" s="248"/>
      <c r="I9287" s="248"/>
      <c r="J9287" s="247"/>
      <c r="K9287" s="249"/>
    </row>
    <row r="9288" spans="1:11" s="90" customFormat="1" ht="12.75" customHeight="1" x14ac:dyDescent="0.2">
      <c r="A9288" s="247"/>
      <c r="B9288" s="316"/>
      <c r="C9288" s="247"/>
      <c r="D9288" s="317"/>
      <c r="E9288" s="318"/>
      <c r="F9288" s="247"/>
      <c r="G9288" s="247"/>
      <c r="H9288" s="248"/>
      <c r="I9288" s="248"/>
      <c r="J9288" s="247"/>
      <c r="K9288" s="249"/>
    </row>
    <row r="9289" spans="1:11" s="90" customFormat="1" ht="12.75" customHeight="1" x14ac:dyDescent="0.2">
      <c r="A9289" s="247"/>
      <c r="B9289" s="316"/>
      <c r="C9289" s="247"/>
      <c r="D9289" s="317"/>
      <c r="E9289" s="318"/>
      <c r="F9289" s="247"/>
      <c r="G9289" s="247"/>
      <c r="H9289" s="248"/>
      <c r="I9289" s="248"/>
      <c r="J9289" s="247"/>
      <c r="K9289" s="249"/>
    </row>
    <row r="9290" spans="1:11" s="90" customFormat="1" ht="12.75" customHeight="1" x14ac:dyDescent="0.2">
      <c r="A9290" s="247"/>
      <c r="B9290" s="316"/>
      <c r="C9290" s="247"/>
      <c r="D9290" s="317"/>
      <c r="E9290" s="318"/>
      <c r="F9290" s="247"/>
      <c r="G9290" s="247"/>
      <c r="H9290" s="248"/>
      <c r="I9290" s="248"/>
      <c r="J9290" s="247"/>
      <c r="K9290" s="249"/>
    </row>
    <row r="9291" spans="1:11" s="90" customFormat="1" ht="12.75" customHeight="1" x14ac:dyDescent="0.2">
      <c r="A9291" s="247"/>
      <c r="B9291" s="316"/>
      <c r="C9291" s="247"/>
      <c r="D9291" s="317"/>
      <c r="E9291" s="318"/>
      <c r="F9291" s="247"/>
      <c r="G9291" s="247"/>
      <c r="H9291" s="248"/>
      <c r="I9291" s="248"/>
      <c r="J9291" s="247"/>
      <c r="K9291" s="249"/>
    </row>
    <row r="9292" spans="1:11" s="90" customFormat="1" ht="12.75" customHeight="1" x14ac:dyDescent="0.2">
      <c r="A9292" s="247"/>
      <c r="B9292" s="316"/>
      <c r="C9292" s="247"/>
      <c r="D9292" s="317"/>
      <c r="E9292" s="318"/>
      <c r="F9292" s="247"/>
      <c r="G9292" s="247"/>
      <c r="H9292" s="248"/>
      <c r="I9292" s="248"/>
      <c r="J9292" s="247"/>
      <c r="K9292" s="249"/>
    </row>
    <row r="9293" spans="1:11" s="90" customFormat="1" ht="12.75" customHeight="1" x14ac:dyDescent="0.2">
      <c r="A9293" s="247"/>
      <c r="B9293" s="316"/>
      <c r="C9293" s="247"/>
      <c r="D9293" s="317"/>
      <c r="E9293" s="318"/>
      <c r="F9293" s="247"/>
      <c r="G9293" s="247"/>
      <c r="H9293" s="248"/>
      <c r="I9293" s="248"/>
      <c r="J9293" s="247"/>
      <c r="K9293" s="249"/>
    </row>
    <row r="9294" spans="1:11" s="90" customFormat="1" ht="12.75" customHeight="1" x14ac:dyDescent="0.2">
      <c r="A9294" s="247"/>
      <c r="B9294" s="316"/>
      <c r="C9294" s="247"/>
      <c r="D9294" s="317"/>
      <c r="E9294" s="318"/>
      <c r="F9294" s="247"/>
      <c r="G9294" s="247"/>
      <c r="H9294" s="248"/>
      <c r="I9294" s="248"/>
      <c r="J9294" s="247"/>
      <c r="K9294" s="249"/>
    </row>
    <row r="9295" spans="1:11" s="90" customFormat="1" ht="12.75" customHeight="1" x14ac:dyDescent="0.2">
      <c r="A9295" s="247"/>
      <c r="B9295" s="316"/>
      <c r="C9295" s="247"/>
      <c r="D9295" s="317"/>
      <c r="E9295" s="318"/>
      <c r="F9295" s="247"/>
      <c r="G9295" s="247"/>
      <c r="H9295" s="248"/>
      <c r="I9295" s="248"/>
      <c r="J9295" s="247"/>
      <c r="K9295" s="249"/>
    </row>
    <row r="9296" spans="1:11" s="90" customFormat="1" ht="12.75" customHeight="1" x14ac:dyDescent="0.2">
      <c r="A9296" s="247"/>
      <c r="B9296" s="316"/>
      <c r="C9296" s="247"/>
      <c r="D9296" s="317"/>
      <c r="E9296" s="318"/>
      <c r="F9296" s="247"/>
      <c r="G9296" s="247"/>
      <c r="H9296" s="248"/>
      <c r="I9296" s="248"/>
      <c r="J9296" s="247"/>
      <c r="K9296" s="249"/>
    </row>
    <row r="9297" spans="1:11" s="90" customFormat="1" ht="12.75" customHeight="1" x14ac:dyDescent="0.2">
      <c r="A9297" s="247"/>
      <c r="B9297" s="316"/>
      <c r="C9297" s="247"/>
      <c r="D9297" s="317"/>
      <c r="E9297" s="318"/>
      <c r="F9297" s="247"/>
      <c r="G9297" s="247"/>
      <c r="H9297" s="248"/>
      <c r="I9297" s="248"/>
      <c r="J9297" s="247"/>
      <c r="K9297" s="249"/>
    </row>
    <row r="9298" spans="1:11" s="90" customFormat="1" ht="12.75" customHeight="1" x14ac:dyDescent="0.2">
      <c r="A9298" s="247"/>
      <c r="B9298" s="316"/>
      <c r="C9298" s="247"/>
      <c r="D9298" s="317"/>
      <c r="E9298" s="318"/>
      <c r="F9298" s="247"/>
      <c r="G9298" s="247"/>
      <c r="H9298" s="248"/>
      <c r="I9298" s="248"/>
      <c r="J9298" s="247"/>
      <c r="K9298" s="249"/>
    </row>
    <row r="9299" spans="1:11" s="90" customFormat="1" ht="12.75" customHeight="1" x14ac:dyDescent="0.2">
      <c r="A9299" s="247"/>
      <c r="B9299" s="316"/>
      <c r="C9299" s="247"/>
      <c r="D9299" s="317"/>
      <c r="E9299" s="318"/>
      <c r="F9299" s="247"/>
      <c r="G9299" s="247"/>
      <c r="H9299" s="248"/>
      <c r="I9299" s="248"/>
      <c r="J9299" s="247"/>
      <c r="K9299" s="249"/>
    </row>
    <row r="9300" spans="1:11" s="90" customFormat="1" ht="12.75" customHeight="1" x14ac:dyDescent="0.2">
      <c r="A9300" s="247"/>
      <c r="B9300" s="316"/>
      <c r="C9300" s="247"/>
      <c r="D9300" s="317"/>
      <c r="E9300" s="318"/>
      <c r="F9300" s="247"/>
      <c r="G9300" s="247"/>
      <c r="H9300" s="248"/>
      <c r="I9300" s="248"/>
      <c r="J9300" s="247"/>
      <c r="K9300" s="249"/>
    </row>
    <row r="9301" spans="1:11" s="90" customFormat="1" ht="12.75" customHeight="1" x14ac:dyDescent="0.2">
      <c r="A9301" s="247"/>
      <c r="B9301" s="316"/>
      <c r="C9301" s="247"/>
      <c r="D9301" s="317"/>
      <c r="E9301" s="318"/>
      <c r="F9301" s="247"/>
      <c r="G9301" s="247"/>
      <c r="H9301" s="248"/>
      <c r="I9301" s="248"/>
      <c r="J9301" s="247"/>
      <c r="K9301" s="249"/>
    </row>
    <row r="9302" spans="1:11" s="90" customFormat="1" ht="12.75" customHeight="1" x14ac:dyDescent="0.2">
      <c r="A9302" s="247"/>
      <c r="B9302" s="316"/>
      <c r="C9302" s="247"/>
      <c r="D9302" s="317"/>
      <c r="E9302" s="318"/>
      <c r="F9302" s="247"/>
      <c r="G9302" s="247"/>
      <c r="H9302" s="248"/>
      <c r="I9302" s="248"/>
      <c r="J9302" s="247"/>
      <c r="K9302" s="249"/>
    </row>
    <row r="9303" spans="1:11" s="90" customFormat="1" ht="12.75" customHeight="1" x14ac:dyDescent="0.2">
      <c r="A9303" s="247"/>
      <c r="B9303" s="316"/>
      <c r="C9303" s="247"/>
      <c r="D9303" s="317"/>
      <c r="E9303" s="318"/>
      <c r="F9303" s="247"/>
      <c r="G9303" s="247"/>
      <c r="H9303" s="248"/>
      <c r="I9303" s="248"/>
      <c r="J9303" s="247"/>
      <c r="K9303" s="249"/>
    </row>
    <row r="9304" spans="1:11" s="90" customFormat="1" ht="12.75" customHeight="1" x14ac:dyDescent="0.2">
      <c r="A9304" s="247"/>
      <c r="B9304" s="316"/>
      <c r="C9304" s="247"/>
      <c r="D9304" s="317"/>
      <c r="E9304" s="318"/>
      <c r="F9304" s="247"/>
      <c r="G9304" s="247"/>
      <c r="H9304" s="248"/>
      <c r="I9304" s="248"/>
      <c r="J9304" s="247"/>
      <c r="K9304" s="249"/>
    </row>
    <row r="9305" spans="1:11" s="90" customFormat="1" ht="12.75" customHeight="1" x14ac:dyDescent="0.2">
      <c r="A9305" s="247"/>
      <c r="B9305" s="316"/>
      <c r="C9305" s="247"/>
      <c r="D9305" s="317"/>
      <c r="E9305" s="318"/>
      <c r="F9305" s="247"/>
      <c r="G9305" s="247"/>
      <c r="H9305" s="248"/>
      <c r="I9305" s="248"/>
      <c r="J9305" s="247"/>
      <c r="K9305" s="249"/>
    </row>
    <row r="9306" spans="1:11" s="90" customFormat="1" ht="12.75" customHeight="1" x14ac:dyDescent="0.2">
      <c r="A9306" s="247"/>
      <c r="B9306" s="316"/>
      <c r="C9306" s="247"/>
      <c r="D9306" s="317"/>
      <c r="E9306" s="318"/>
      <c r="F9306" s="247"/>
      <c r="G9306" s="247"/>
      <c r="H9306" s="248"/>
      <c r="I9306" s="248"/>
      <c r="J9306" s="247"/>
      <c r="K9306" s="249"/>
    </row>
    <row r="9307" spans="1:11" s="90" customFormat="1" ht="12.75" customHeight="1" x14ac:dyDescent="0.2">
      <c r="A9307" s="247"/>
      <c r="B9307" s="316"/>
      <c r="C9307" s="247"/>
      <c r="D9307" s="317"/>
      <c r="E9307" s="318"/>
      <c r="F9307" s="247"/>
      <c r="G9307" s="247"/>
      <c r="H9307" s="248"/>
      <c r="I9307" s="248"/>
      <c r="J9307" s="247"/>
      <c r="K9307" s="249"/>
    </row>
    <row r="9308" spans="1:11" s="90" customFormat="1" ht="12.75" customHeight="1" x14ac:dyDescent="0.2">
      <c r="A9308" s="247"/>
      <c r="B9308" s="316"/>
      <c r="C9308" s="247"/>
      <c r="D9308" s="317"/>
      <c r="E9308" s="318"/>
      <c r="F9308" s="247"/>
      <c r="G9308" s="247"/>
      <c r="H9308" s="248"/>
      <c r="I9308" s="248"/>
      <c r="J9308" s="247"/>
      <c r="K9308" s="249"/>
    </row>
    <row r="9309" spans="1:11" s="90" customFormat="1" ht="12.75" customHeight="1" x14ac:dyDescent="0.2">
      <c r="A9309" s="247"/>
      <c r="B9309" s="316"/>
      <c r="C9309" s="247"/>
      <c r="D9309" s="317"/>
      <c r="E9309" s="318"/>
      <c r="F9309" s="247"/>
      <c r="G9309" s="247"/>
      <c r="H9309" s="248"/>
      <c r="I9309" s="248"/>
      <c r="J9309" s="247"/>
      <c r="K9309" s="249"/>
    </row>
    <row r="9310" spans="1:11" s="90" customFormat="1" ht="12.75" customHeight="1" x14ac:dyDescent="0.2">
      <c r="A9310" s="247"/>
      <c r="B9310" s="316"/>
      <c r="C9310" s="247"/>
      <c r="D9310" s="317"/>
      <c r="E9310" s="318"/>
      <c r="F9310" s="247"/>
      <c r="G9310" s="247"/>
      <c r="H9310" s="248"/>
      <c r="I9310" s="248"/>
      <c r="J9310" s="247"/>
      <c r="K9310" s="249"/>
    </row>
    <row r="9311" spans="1:11" s="90" customFormat="1" ht="12.75" customHeight="1" x14ac:dyDescent="0.2">
      <c r="A9311" s="247"/>
      <c r="B9311" s="316"/>
      <c r="C9311" s="247"/>
      <c r="D9311" s="317"/>
      <c r="E9311" s="318"/>
      <c r="F9311" s="247"/>
      <c r="G9311" s="247"/>
      <c r="H9311" s="248"/>
      <c r="I9311" s="248"/>
      <c r="J9311" s="247"/>
      <c r="K9311" s="249"/>
    </row>
    <row r="9312" spans="1:11" s="90" customFormat="1" ht="12.75" customHeight="1" x14ac:dyDescent="0.2">
      <c r="A9312" s="247"/>
      <c r="B9312" s="316"/>
      <c r="C9312" s="247"/>
      <c r="D9312" s="317"/>
      <c r="E9312" s="318"/>
      <c r="F9312" s="247"/>
      <c r="G9312" s="247"/>
      <c r="H9312" s="248"/>
      <c r="I9312" s="248"/>
      <c r="J9312" s="247"/>
      <c r="K9312" s="249"/>
    </row>
    <row r="9313" spans="1:11" s="90" customFormat="1" ht="12.75" customHeight="1" x14ac:dyDescent="0.2">
      <c r="A9313" s="247"/>
      <c r="B9313" s="316"/>
      <c r="C9313" s="247"/>
      <c r="D9313" s="317"/>
      <c r="E9313" s="318"/>
      <c r="F9313" s="247"/>
      <c r="G9313" s="247"/>
      <c r="H9313" s="248"/>
      <c r="I9313" s="248"/>
      <c r="J9313" s="247"/>
      <c r="K9313" s="249"/>
    </row>
    <row r="9314" spans="1:11" s="90" customFormat="1" ht="12.75" customHeight="1" x14ac:dyDescent="0.2">
      <c r="A9314" s="247"/>
      <c r="B9314" s="316"/>
      <c r="C9314" s="247"/>
      <c r="D9314" s="317"/>
      <c r="E9314" s="318"/>
      <c r="F9314" s="247"/>
      <c r="G9314" s="247"/>
      <c r="H9314" s="248"/>
      <c r="I9314" s="248"/>
      <c r="J9314" s="247"/>
      <c r="K9314" s="249"/>
    </row>
    <row r="9315" spans="1:11" s="90" customFormat="1" ht="12.75" customHeight="1" x14ac:dyDescent="0.2">
      <c r="A9315" s="247"/>
      <c r="B9315" s="316"/>
      <c r="C9315" s="247"/>
      <c r="D9315" s="317"/>
      <c r="E9315" s="318"/>
      <c r="F9315" s="247"/>
      <c r="G9315" s="247"/>
      <c r="H9315" s="248"/>
      <c r="I9315" s="248"/>
      <c r="J9315" s="247"/>
      <c r="K9315" s="249"/>
    </row>
    <row r="9316" spans="1:11" s="90" customFormat="1" ht="12.75" customHeight="1" x14ac:dyDescent="0.2">
      <c r="A9316" s="247"/>
      <c r="B9316" s="316"/>
      <c r="C9316" s="247"/>
      <c r="D9316" s="317"/>
      <c r="E9316" s="318"/>
      <c r="F9316" s="247"/>
      <c r="G9316" s="247"/>
      <c r="H9316" s="248"/>
      <c r="I9316" s="248"/>
      <c r="J9316" s="247"/>
      <c r="K9316" s="249"/>
    </row>
    <row r="9317" spans="1:11" s="90" customFormat="1" ht="12.75" customHeight="1" x14ac:dyDescent="0.2">
      <c r="A9317" s="247"/>
      <c r="B9317" s="316"/>
      <c r="C9317" s="247"/>
      <c r="D9317" s="317"/>
      <c r="E9317" s="318"/>
      <c r="F9317" s="247"/>
      <c r="G9317" s="247"/>
      <c r="H9317" s="248"/>
      <c r="I9317" s="248"/>
      <c r="J9317" s="247"/>
      <c r="K9317" s="249"/>
    </row>
    <row r="9318" spans="1:11" s="90" customFormat="1" ht="12.75" customHeight="1" x14ac:dyDescent="0.2">
      <c r="A9318" s="247"/>
      <c r="B9318" s="316"/>
      <c r="C9318" s="247"/>
      <c r="D9318" s="317"/>
      <c r="E9318" s="318"/>
      <c r="F9318" s="247"/>
      <c r="G9318" s="247"/>
      <c r="H9318" s="248"/>
      <c r="I9318" s="248"/>
      <c r="J9318" s="247"/>
      <c r="K9318" s="249"/>
    </row>
    <row r="9319" spans="1:11" s="90" customFormat="1" ht="12.75" customHeight="1" x14ac:dyDescent="0.2">
      <c r="A9319" s="247"/>
      <c r="B9319" s="316"/>
      <c r="C9319" s="247"/>
      <c r="D9319" s="317"/>
      <c r="E9319" s="318"/>
      <c r="F9319" s="247"/>
      <c r="G9319" s="247"/>
      <c r="H9319" s="248"/>
      <c r="I9319" s="248"/>
      <c r="J9319" s="247"/>
      <c r="K9319" s="249"/>
    </row>
    <row r="9320" spans="1:11" s="90" customFormat="1" ht="12.75" customHeight="1" x14ac:dyDescent="0.2">
      <c r="A9320" s="247"/>
      <c r="B9320" s="316"/>
      <c r="C9320" s="247"/>
      <c r="D9320" s="317"/>
      <c r="E9320" s="318"/>
      <c r="F9320" s="247"/>
      <c r="G9320" s="247"/>
      <c r="H9320" s="248"/>
      <c r="I9320" s="248"/>
      <c r="J9320" s="247"/>
      <c r="K9320" s="249"/>
    </row>
    <row r="9321" spans="1:11" s="90" customFormat="1" ht="12.75" customHeight="1" x14ac:dyDescent="0.2">
      <c r="A9321" s="247"/>
      <c r="B9321" s="316"/>
      <c r="C9321" s="247"/>
      <c r="D9321" s="317"/>
      <c r="E9321" s="318"/>
      <c r="F9321" s="247"/>
      <c r="G9321" s="247"/>
      <c r="H9321" s="248"/>
      <c r="I9321" s="248"/>
      <c r="J9321" s="247"/>
      <c r="K9321" s="249"/>
    </row>
    <row r="9322" spans="1:11" s="90" customFormat="1" ht="12.75" customHeight="1" x14ac:dyDescent="0.2">
      <c r="A9322" s="247"/>
      <c r="B9322" s="316"/>
      <c r="C9322" s="247"/>
      <c r="D9322" s="317"/>
      <c r="E9322" s="318"/>
      <c r="F9322" s="247"/>
      <c r="G9322" s="247"/>
      <c r="H9322" s="248"/>
      <c r="I9322" s="248"/>
      <c r="J9322" s="247"/>
      <c r="K9322" s="249"/>
    </row>
    <row r="9323" spans="1:11" s="90" customFormat="1" ht="12.75" customHeight="1" x14ac:dyDescent="0.2">
      <c r="A9323" s="247"/>
      <c r="B9323" s="316"/>
      <c r="C9323" s="247"/>
      <c r="D9323" s="317"/>
      <c r="E9323" s="318"/>
      <c r="F9323" s="247"/>
      <c r="G9323" s="247"/>
      <c r="H9323" s="248"/>
      <c r="I9323" s="248"/>
      <c r="J9323" s="247"/>
      <c r="K9323" s="249"/>
    </row>
    <row r="9324" spans="1:11" s="90" customFormat="1" ht="12.75" customHeight="1" x14ac:dyDescent="0.2">
      <c r="A9324" s="247"/>
      <c r="B9324" s="316"/>
      <c r="C9324" s="247"/>
      <c r="D9324" s="317"/>
      <c r="E9324" s="318"/>
      <c r="F9324" s="247"/>
      <c r="G9324" s="247"/>
      <c r="H9324" s="248"/>
      <c r="I9324" s="248"/>
      <c r="J9324" s="247"/>
      <c r="K9324" s="249"/>
    </row>
    <row r="9325" spans="1:11" s="90" customFormat="1" ht="12.75" customHeight="1" x14ac:dyDescent="0.2">
      <c r="A9325" s="247"/>
      <c r="B9325" s="316"/>
      <c r="C9325" s="247"/>
      <c r="D9325" s="317"/>
      <c r="E9325" s="318"/>
      <c r="F9325" s="247"/>
      <c r="G9325" s="247"/>
      <c r="H9325" s="248"/>
      <c r="I9325" s="248"/>
      <c r="J9325" s="247"/>
      <c r="K9325" s="249"/>
    </row>
    <row r="9326" spans="1:11" s="90" customFormat="1" ht="12.75" customHeight="1" x14ac:dyDescent="0.2">
      <c r="A9326" s="247"/>
      <c r="B9326" s="316"/>
      <c r="C9326" s="247"/>
      <c r="D9326" s="317"/>
      <c r="E9326" s="318"/>
      <c r="F9326" s="247"/>
      <c r="G9326" s="247"/>
      <c r="H9326" s="248"/>
      <c r="I9326" s="248"/>
      <c r="J9326" s="247"/>
      <c r="K9326" s="249"/>
    </row>
    <row r="9327" spans="1:11" s="90" customFormat="1" ht="12.75" customHeight="1" x14ac:dyDescent="0.2">
      <c r="A9327" s="247"/>
      <c r="B9327" s="316"/>
      <c r="C9327" s="247"/>
      <c r="D9327" s="317"/>
      <c r="E9327" s="318"/>
      <c r="F9327" s="247"/>
      <c r="G9327" s="247"/>
      <c r="H9327" s="248"/>
      <c r="I9327" s="248"/>
      <c r="J9327" s="247"/>
      <c r="K9327" s="249"/>
    </row>
    <row r="9328" spans="1:11" s="90" customFormat="1" ht="12.75" customHeight="1" x14ac:dyDescent="0.2">
      <c r="A9328" s="247"/>
      <c r="B9328" s="316"/>
      <c r="C9328" s="247"/>
      <c r="D9328" s="317"/>
      <c r="E9328" s="318"/>
      <c r="F9328" s="247"/>
      <c r="G9328" s="247"/>
      <c r="H9328" s="248"/>
      <c r="I9328" s="248"/>
      <c r="J9328" s="247"/>
      <c r="K9328" s="249"/>
    </row>
    <row r="9329" spans="1:11" s="90" customFormat="1" ht="12.75" customHeight="1" x14ac:dyDescent="0.2">
      <c r="A9329" s="247"/>
      <c r="B9329" s="316"/>
      <c r="C9329" s="247"/>
      <c r="D9329" s="317"/>
      <c r="E9329" s="318"/>
      <c r="F9329" s="247"/>
      <c r="G9329" s="247"/>
      <c r="H9329" s="248"/>
      <c r="I9329" s="248"/>
      <c r="J9329" s="247"/>
      <c r="K9329" s="249"/>
    </row>
    <row r="9330" spans="1:11" s="90" customFormat="1" ht="12.75" customHeight="1" x14ac:dyDescent="0.2">
      <c r="A9330" s="247"/>
      <c r="B9330" s="316"/>
      <c r="C9330" s="247"/>
      <c r="D9330" s="317"/>
      <c r="E9330" s="318"/>
      <c r="F9330" s="247"/>
      <c r="G9330" s="247"/>
      <c r="H9330" s="248"/>
      <c r="I9330" s="248"/>
      <c r="J9330" s="247"/>
      <c r="K9330" s="249"/>
    </row>
    <row r="9331" spans="1:11" s="90" customFormat="1" ht="12.75" customHeight="1" x14ac:dyDescent="0.2">
      <c r="A9331" s="247"/>
      <c r="B9331" s="316"/>
      <c r="C9331" s="247"/>
      <c r="D9331" s="317"/>
      <c r="E9331" s="318"/>
      <c r="F9331" s="247"/>
      <c r="G9331" s="247"/>
      <c r="H9331" s="248"/>
      <c r="I9331" s="248"/>
      <c r="J9331" s="247"/>
      <c r="K9331" s="249"/>
    </row>
    <row r="9332" spans="1:11" s="90" customFormat="1" ht="12.75" customHeight="1" x14ac:dyDescent="0.2">
      <c r="A9332" s="247"/>
      <c r="B9332" s="316"/>
      <c r="C9332" s="247"/>
      <c r="D9332" s="317"/>
      <c r="E9332" s="318"/>
      <c r="F9332" s="247"/>
      <c r="G9332" s="247"/>
      <c r="H9332" s="248"/>
      <c r="I9332" s="248"/>
      <c r="J9332" s="247"/>
      <c r="K9332" s="249"/>
    </row>
    <row r="9333" spans="1:11" s="90" customFormat="1" ht="12.75" customHeight="1" x14ac:dyDescent="0.2">
      <c r="A9333" s="247"/>
      <c r="B9333" s="316"/>
      <c r="C9333" s="247"/>
      <c r="D9333" s="317"/>
      <c r="E9333" s="318"/>
      <c r="F9333" s="247"/>
      <c r="G9333" s="247"/>
      <c r="H9333" s="248"/>
      <c r="I9333" s="248"/>
      <c r="J9333" s="247"/>
      <c r="K9333" s="249"/>
    </row>
    <row r="9334" spans="1:11" s="90" customFormat="1" ht="12.75" customHeight="1" x14ac:dyDescent="0.2">
      <c r="A9334" s="247"/>
      <c r="B9334" s="316"/>
      <c r="C9334" s="247"/>
      <c r="D9334" s="317"/>
      <c r="E9334" s="318"/>
      <c r="F9334" s="247"/>
      <c r="G9334" s="247"/>
      <c r="H9334" s="248"/>
      <c r="I9334" s="248"/>
      <c r="J9334" s="247"/>
      <c r="K9334" s="249"/>
    </row>
    <row r="9335" spans="1:11" s="90" customFormat="1" ht="12.75" customHeight="1" x14ac:dyDescent="0.2">
      <c r="A9335" s="247"/>
      <c r="B9335" s="316"/>
      <c r="C9335" s="247"/>
      <c r="D9335" s="317"/>
      <c r="E9335" s="318"/>
      <c r="F9335" s="247"/>
      <c r="G9335" s="247"/>
      <c r="H9335" s="248"/>
      <c r="I9335" s="248"/>
      <c r="J9335" s="247"/>
      <c r="K9335" s="249"/>
    </row>
    <row r="9336" spans="1:11" s="90" customFormat="1" ht="12.75" customHeight="1" x14ac:dyDescent="0.2">
      <c r="A9336" s="247"/>
      <c r="B9336" s="316"/>
      <c r="C9336" s="247"/>
      <c r="D9336" s="317"/>
      <c r="E9336" s="318"/>
      <c r="F9336" s="247"/>
      <c r="G9336" s="247"/>
      <c r="H9336" s="248"/>
      <c r="I9336" s="248"/>
      <c r="J9336" s="247"/>
      <c r="K9336" s="249"/>
    </row>
    <row r="9337" spans="1:11" s="90" customFormat="1" ht="12.75" customHeight="1" x14ac:dyDescent="0.2">
      <c r="A9337" s="247"/>
      <c r="B9337" s="316"/>
      <c r="C9337" s="247"/>
      <c r="D9337" s="317"/>
      <c r="E9337" s="318"/>
      <c r="F9337" s="247"/>
      <c r="G9337" s="247"/>
      <c r="H9337" s="248"/>
      <c r="I9337" s="248"/>
      <c r="J9337" s="247"/>
      <c r="K9337" s="249"/>
    </row>
    <row r="9338" spans="1:11" s="90" customFormat="1" ht="12.75" customHeight="1" x14ac:dyDescent="0.2">
      <c r="A9338" s="247"/>
      <c r="B9338" s="316"/>
      <c r="C9338" s="247"/>
      <c r="D9338" s="317"/>
      <c r="E9338" s="318"/>
      <c r="F9338" s="247"/>
      <c r="G9338" s="247"/>
      <c r="H9338" s="248"/>
      <c r="I9338" s="248"/>
      <c r="J9338" s="247"/>
      <c r="K9338" s="249"/>
    </row>
    <row r="9339" spans="1:11" s="90" customFormat="1" ht="12.75" customHeight="1" x14ac:dyDescent="0.2">
      <c r="A9339" s="247"/>
      <c r="B9339" s="316"/>
      <c r="C9339" s="247"/>
      <c r="D9339" s="317"/>
      <c r="E9339" s="318"/>
      <c r="F9339" s="247"/>
      <c r="G9339" s="247"/>
      <c r="H9339" s="248"/>
      <c r="I9339" s="248"/>
      <c r="J9339" s="247"/>
      <c r="K9339" s="249"/>
    </row>
    <row r="9340" spans="1:11" s="90" customFormat="1" ht="12.75" customHeight="1" x14ac:dyDescent="0.2">
      <c r="A9340" s="247"/>
      <c r="B9340" s="316"/>
      <c r="C9340" s="247"/>
      <c r="D9340" s="317"/>
      <c r="E9340" s="318"/>
      <c r="F9340" s="247"/>
      <c r="G9340" s="247"/>
      <c r="H9340" s="248"/>
      <c r="I9340" s="248"/>
      <c r="J9340" s="247"/>
      <c r="K9340" s="249"/>
    </row>
    <row r="9341" spans="1:11" s="90" customFormat="1" ht="12.75" customHeight="1" x14ac:dyDescent="0.2">
      <c r="A9341" s="247"/>
      <c r="B9341" s="316"/>
      <c r="C9341" s="247"/>
      <c r="D9341" s="317"/>
      <c r="E9341" s="318"/>
      <c r="F9341" s="247"/>
      <c r="G9341" s="247"/>
      <c r="H9341" s="248"/>
      <c r="I9341" s="248"/>
      <c r="J9341" s="247"/>
      <c r="K9341" s="249"/>
    </row>
    <row r="9342" spans="1:11" s="90" customFormat="1" ht="12.75" customHeight="1" x14ac:dyDescent="0.2">
      <c r="A9342" s="247"/>
      <c r="B9342" s="316"/>
      <c r="C9342" s="247"/>
      <c r="D9342" s="317"/>
      <c r="E9342" s="318"/>
      <c r="F9342" s="247"/>
      <c r="G9342" s="247"/>
      <c r="H9342" s="248"/>
      <c r="I9342" s="248"/>
      <c r="J9342" s="247"/>
      <c r="K9342" s="249"/>
    </row>
    <row r="9343" spans="1:11" s="90" customFormat="1" ht="12.75" customHeight="1" x14ac:dyDescent="0.2">
      <c r="A9343" s="247"/>
      <c r="B9343" s="316"/>
      <c r="C9343" s="247"/>
      <c r="D9343" s="317"/>
      <c r="E9343" s="318"/>
      <c r="F9343" s="247"/>
      <c r="G9343" s="247"/>
      <c r="H9343" s="248"/>
      <c r="I9343" s="248"/>
      <c r="J9343" s="247"/>
      <c r="K9343" s="249"/>
    </row>
    <row r="9344" spans="1:11" s="90" customFormat="1" ht="12.75" customHeight="1" x14ac:dyDescent="0.2">
      <c r="A9344" s="247"/>
      <c r="B9344" s="316"/>
      <c r="C9344" s="247"/>
      <c r="D9344" s="317"/>
      <c r="E9344" s="318"/>
      <c r="F9344" s="247"/>
      <c r="G9344" s="247"/>
      <c r="H9344" s="248"/>
      <c r="I9344" s="248"/>
      <c r="J9344" s="247"/>
      <c r="K9344" s="249"/>
    </row>
    <row r="9345" spans="1:11" s="90" customFormat="1" ht="12.75" customHeight="1" x14ac:dyDescent="0.2">
      <c r="A9345" s="247"/>
      <c r="B9345" s="316"/>
      <c r="C9345" s="247"/>
      <c r="D9345" s="317"/>
      <c r="E9345" s="318"/>
      <c r="F9345" s="247"/>
      <c r="G9345" s="247"/>
      <c r="H9345" s="248"/>
      <c r="I9345" s="248"/>
      <c r="J9345" s="247"/>
      <c r="K9345" s="249"/>
    </row>
    <row r="9346" spans="1:11" s="90" customFormat="1" ht="12.75" customHeight="1" x14ac:dyDescent="0.2">
      <c r="A9346" s="247"/>
      <c r="B9346" s="316"/>
      <c r="C9346" s="247"/>
      <c r="D9346" s="317"/>
      <c r="E9346" s="318"/>
      <c r="F9346" s="247"/>
      <c r="G9346" s="247"/>
      <c r="H9346" s="248"/>
      <c r="I9346" s="248"/>
      <c r="J9346" s="247"/>
      <c r="K9346" s="249"/>
    </row>
    <row r="9347" spans="1:11" s="90" customFormat="1" ht="12.75" customHeight="1" x14ac:dyDescent="0.2">
      <c r="A9347" s="247"/>
      <c r="B9347" s="316"/>
      <c r="C9347" s="247"/>
      <c r="D9347" s="317"/>
      <c r="E9347" s="318"/>
      <c r="F9347" s="247"/>
      <c r="G9347" s="247"/>
      <c r="H9347" s="248"/>
      <c r="I9347" s="248"/>
      <c r="J9347" s="247"/>
      <c r="K9347" s="249"/>
    </row>
    <row r="9348" spans="1:11" s="90" customFormat="1" ht="12.75" customHeight="1" x14ac:dyDescent="0.2">
      <c r="A9348" s="247"/>
      <c r="B9348" s="316"/>
      <c r="C9348" s="247"/>
      <c r="D9348" s="317"/>
      <c r="E9348" s="318"/>
      <c r="F9348" s="247"/>
      <c r="G9348" s="247"/>
      <c r="H9348" s="248"/>
      <c r="I9348" s="248"/>
      <c r="J9348" s="247"/>
      <c r="K9348" s="249"/>
    </row>
    <row r="9349" spans="1:11" s="90" customFormat="1" ht="12.75" customHeight="1" x14ac:dyDescent="0.2">
      <c r="A9349" s="247"/>
      <c r="B9349" s="316"/>
      <c r="C9349" s="247"/>
      <c r="D9349" s="317"/>
      <c r="E9349" s="318"/>
      <c r="F9349" s="247"/>
      <c r="G9349" s="247"/>
      <c r="H9349" s="248"/>
      <c r="I9349" s="248"/>
      <c r="J9349" s="247"/>
      <c r="K9349" s="249"/>
    </row>
    <row r="9350" spans="1:11" s="90" customFormat="1" ht="12.75" customHeight="1" x14ac:dyDescent="0.2">
      <c r="A9350" s="247"/>
      <c r="B9350" s="316"/>
      <c r="C9350" s="247"/>
      <c r="D9350" s="317"/>
      <c r="E9350" s="318"/>
      <c r="F9350" s="247"/>
      <c r="G9350" s="247"/>
      <c r="H9350" s="248"/>
      <c r="I9350" s="248"/>
      <c r="J9350" s="247"/>
      <c r="K9350" s="249"/>
    </row>
    <row r="9351" spans="1:11" s="90" customFormat="1" ht="12.75" customHeight="1" x14ac:dyDescent="0.2">
      <c r="A9351" s="247"/>
      <c r="B9351" s="316"/>
      <c r="C9351" s="247"/>
      <c r="D9351" s="317"/>
      <c r="E9351" s="318"/>
      <c r="F9351" s="247"/>
      <c r="G9351" s="247"/>
      <c r="H9351" s="248"/>
      <c r="I9351" s="248"/>
      <c r="J9351" s="247"/>
      <c r="K9351" s="249"/>
    </row>
    <row r="9352" spans="1:11" s="90" customFormat="1" ht="12.75" customHeight="1" x14ac:dyDescent="0.2">
      <c r="A9352" s="247"/>
      <c r="B9352" s="316"/>
      <c r="C9352" s="247"/>
      <c r="D9352" s="317"/>
      <c r="E9352" s="318"/>
      <c r="F9352" s="247"/>
      <c r="G9352" s="247"/>
      <c r="H9352" s="248"/>
      <c r="I9352" s="248"/>
      <c r="J9352" s="247"/>
      <c r="K9352" s="249"/>
    </row>
    <row r="9353" spans="1:11" s="90" customFormat="1" ht="12.75" customHeight="1" x14ac:dyDescent="0.2">
      <c r="A9353" s="247"/>
      <c r="B9353" s="316"/>
      <c r="C9353" s="247"/>
      <c r="D9353" s="317"/>
      <c r="E9353" s="318"/>
      <c r="F9353" s="247"/>
      <c r="G9353" s="247"/>
      <c r="H9353" s="248"/>
      <c r="I9353" s="248"/>
      <c r="J9353" s="247"/>
      <c r="K9353" s="249"/>
    </row>
    <row r="9354" spans="1:11" s="90" customFormat="1" ht="12.75" customHeight="1" x14ac:dyDescent="0.2">
      <c r="A9354" s="247"/>
      <c r="B9354" s="316"/>
      <c r="C9354" s="247"/>
      <c r="D9354" s="317"/>
      <c r="E9354" s="318"/>
      <c r="F9354" s="247"/>
      <c r="G9354" s="247"/>
      <c r="H9354" s="248"/>
      <c r="I9354" s="248"/>
      <c r="J9354" s="247"/>
      <c r="K9354" s="249"/>
    </row>
    <row r="9355" spans="1:11" s="90" customFormat="1" ht="12.75" customHeight="1" x14ac:dyDescent="0.2">
      <c r="A9355" s="247"/>
      <c r="B9355" s="316"/>
      <c r="C9355" s="247"/>
      <c r="D9355" s="317"/>
      <c r="E9355" s="318"/>
      <c r="F9355" s="247"/>
      <c r="G9355" s="247"/>
      <c r="H9355" s="248"/>
      <c r="I9355" s="248"/>
      <c r="J9355" s="247"/>
      <c r="K9355" s="249"/>
    </row>
    <row r="9356" spans="1:11" s="90" customFormat="1" ht="12.75" customHeight="1" x14ac:dyDescent="0.2">
      <c r="A9356" s="247"/>
      <c r="B9356" s="316"/>
      <c r="C9356" s="247"/>
      <c r="D9356" s="317"/>
      <c r="E9356" s="318"/>
      <c r="F9356" s="247"/>
      <c r="G9356" s="247"/>
      <c r="H9356" s="248"/>
      <c r="I9356" s="248"/>
      <c r="J9356" s="247"/>
      <c r="K9356" s="249"/>
    </row>
    <row r="9357" spans="1:11" s="90" customFormat="1" ht="12.75" customHeight="1" x14ac:dyDescent="0.2">
      <c r="A9357" s="247"/>
      <c r="B9357" s="316"/>
      <c r="C9357" s="247"/>
      <c r="D9357" s="317"/>
      <c r="E9357" s="318"/>
      <c r="F9357" s="247"/>
      <c r="G9357" s="247"/>
      <c r="H9357" s="248"/>
      <c r="I9357" s="248"/>
      <c r="J9357" s="247"/>
      <c r="K9357" s="249"/>
    </row>
    <row r="9358" spans="1:11" s="90" customFormat="1" ht="12.75" customHeight="1" x14ac:dyDescent="0.2">
      <c r="A9358" s="247"/>
      <c r="B9358" s="316"/>
      <c r="C9358" s="247"/>
      <c r="D9358" s="317"/>
      <c r="E9358" s="318"/>
      <c r="F9358" s="247"/>
      <c r="G9358" s="247"/>
      <c r="H9358" s="248"/>
      <c r="I9358" s="248"/>
      <c r="J9358" s="247"/>
      <c r="K9358" s="249"/>
    </row>
    <row r="9359" spans="1:11" s="90" customFormat="1" ht="12.75" customHeight="1" x14ac:dyDescent="0.2">
      <c r="A9359" s="247"/>
      <c r="B9359" s="316"/>
      <c r="C9359" s="247"/>
      <c r="D9359" s="317"/>
      <c r="E9359" s="318"/>
      <c r="F9359" s="247"/>
      <c r="G9359" s="247"/>
      <c r="H9359" s="248"/>
      <c r="I9359" s="248"/>
      <c r="J9359" s="247"/>
      <c r="K9359" s="249"/>
    </row>
    <row r="9360" spans="1:11" s="90" customFormat="1" ht="12.75" customHeight="1" x14ac:dyDescent="0.2">
      <c r="A9360" s="247"/>
      <c r="B9360" s="316"/>
      <c r="C9360" s="247"/>
      <c r="D9360" s="317"/>
      <c r="E9360" s="318"/>
      <c r="F9360" s="247"/>
      <c r="G9360" s="247"/>
      <c r="H9360" s="248"/>
      <c r="I9360" s="248"/>
      <c r="J9360" s="247"/>
      <c r="K9360" s="249"/>
    </row>
    <row r="9361" spans="1:11" s="90" customFormat="1" ht="12.75" customHeight="1" x14ac:dyDescent="0.2">
      <c r="A9361" s="247"/>
      <c r="B9361" s="316"/>
      <c r="C9361" s="247"/>
      <c r="D9361" s="317"/>
      <c r="E9361" s="318"/>
      <c r="F9361" s="247"/>
      <c r="G9361" s="247"/>
      <c r="H9361" s="248"/>
      <c r="I9361" s="248"/>
      <c r="J9361" s="247"/>
      <c r="K9361" s="249"/>
    </row>
    <row r="9362" spans="1:11" s="90" customFormat="1" ht="12.75" customHeight="1" x14ac:dyDescent="0.2">
      <c r="A9362" s="247"/>
      <c r="B9362" s="316"/>
      <c r="C9362" s="247"/>
      <c r="D9362" s="317"/>
      <c r="E9362" s="318"/>
      <c r="F9362" s="247"/>
      <c r="G9362" s="247"/>
      <c r="H9362" s="248"/>
      <c r="I9362" s="248"/>
      <c r="J9362" s="247"/>
      <c r="K9362" s="249"/>
    </row>
    <row r="9363" spans="1:11" s="90" customFormat="1" ht="12.75" customHeight="1" x14ac:dyDescent="0.2">
      <c r="A9363" s="247"/>
      <c r="B9363" s="316"/>
      <c r="C9363" s="247"/>
      <c r="D9363" s="317"/>
      <c r="E9363" s="318"/>
      <c r="F9363" s="247"/>
      <c r="G9363" s="247"/>
      <c r="H9363" s="248"/>
      <c r="I9363" s="248"/>
      <c r="J9363" s="247"/>
      <c r="K9363" s="249"/>
    </row>
    <row r="9364" spans="1:11" s="90" customFormat="1" ht="12.75" customHeight="1" x14ac:dyDescent="0.2">
      <c r="A9364" s="247"/>
      <c r="B9364" s="316"/>
      <c r="C9364" s="247"/>
      <c r="D9364" s="317"/>
      <c r="E9364" s="318"/>
      <c r="F9364" s="247"/>
      <c r="G9364" s="247"/>
      <c r="H9364" s="248"/>
      <c r="I9364" s="248"/>
      <c r="J9364" s="247"/>
      <c r="K9364" s="249"/>
    </row>
    <row r="9365" spans="1:11" s="90" customFormat="1" ht="12.75" customHeight="1" x14ac:dyDescent="0.2">
      <c r="A9365" s="247"/>
      <c r="B9365" s="316"/>
      <c r="C9365" s="247"/>
      <c r="D9365" s="317"/>
      <c r="E9365" s="318"/>
      <c r="F9365" s="247"/>
      <c r="G9365" s="247"/>
      <c r="H9365" s="248"/>
      <c r="I9365" s="248"/>
      <c r="J9365" s="247"/>
      <c r="K9365" s="249"/>
    </row>
    <row r="9366" spans="1:11" s="90" customFormat="1" ht="12.75" customHeight="1" x14ac:dyDescent="0.2">
      <c r="A9366" s="247"/>
      <c r="B9366" s="316"/>
      <c r="C9366" s="247"/>
      <c r="D9366" s="317"/>
      <c r="E9366" s="318"/>
      <c r="F9366" s="247"/>
      <c r="G9366" s="247"/>
      <c r="H9366" s="248"/>
      <c r="I9366" s="248"/>
      <c r="J9366" s="247"/>
      <c r="K9366" s="249"/>
    </row>
    <row r="9367" spans="1:11" s="90" customFormat="1" ht="12.75" customHeight="1" x14ac:dyDescent="0.2">
      <c r="A9367" s="247"/>
      <c r="B9367" s="316"/>
      <c r="C9367" s="247"/>
      <c r="D9367" s="317"/>
      <c r="E9367" s="318"/>
      <c r="F9367" s="247"/>
      <c r="G9367" s="247"/>
      <c r="H9367" s="248"/>
      <c r="I9367" s="248"/>
      <c r="J9367" s="247"/>
      <c r="K9367" s="249"/>
    </row>
    <row r="9368" spans="1:11" s="90" customFormat="1" ht="12.75" customHeight="1" x14ac:dyDescent="0.2">
      <c r="A9368" s="247"/>
      <c r="B9368" s="316"/>
      <c r="C9368" s="247"/>
      <c r="D9368" s="317"/>
      <c r="E9368" s="318"/>
      <c r="F9368" s="247"/>
      <c r="G9368" s="247"/>
      <c r="H9368" s="248"/>
      <c r="I9368" s="248"/>
      <c r="J9368" s="247"/>
      <c r="K9368" s="249"/>
    </row>
    <row r="9369" spans="1:11" s="90" customFormat="1" ht="12.75" customHeight="1" x14ac:dyDescent="0.2">
      <c r="A9369" s="247"/>
      <c r="B9369" s="316"/>
      <c r="C9369" s="247"/>
      <c r="D9369" s="317"/>
      <c r="E9369" s="318"/>
      <c r="F9369" s="247"/>
      <c r="G9369" s="247"/>
      <c r="H9369" s="248"/>
      <c r="I9369" s="248"/>
      <c r="J9369" s="247"/>
      <c r="K9369" s="249"/>
    </row>
    <row r="9370" spans="1:11" s="90" customFormat="1" ht="12.75" customHeight="1" x14ac:dyDescent="0.2">
      <c r="A9370" s="247"/>
      <c r="B9370" s="316"/>
      <c r="C9370" s="247"/>
      <c r="D9370" s="317"/>
      <c r="E9370" s="318"/>
      <c r="F9370" s="247"/>
      <c r="G9370" s="247"/>
      <c r="H9370" s="248"/>
      <c r="I9370" s="248"/>
      <c r="J9370" s="247"/>
      <c r="K9370" s="249"/>
    </row>
    <row r="9371" spans="1:11" s="90" customFormat="1" ht="12.75" customHeight="1" x14ac:dyDescent="0.2">
      <c r="A9371" s="247"/>
      <c r="B9371" s="316"/>
      <c r="C9371" s="247"/>
      <c r="D9371" s="317"/>
      <c r="E9371" s="318"/>
      <c r="F9371" s="247"/>
      <c r="G9371" s="247"/>
      <c r="H9371" s="248"/>
      <c r="I9371" s="248"/>
      <c r="J9371" s="247"/>
      <c r="K9371" s="249"/>
    </row>
    <row r="9372" spans="1:11" s="90" customFormat="1" ht="12.75" customHeight="1" x14ac:dyDescent="0.2">
      <c r="A9372" s="247"/>
      <c r="B9372" s="316"/>
      <c r="C9372" s="247"/>
      <c r="D9372" s="317"/>
      <c r="E9372" s="318"/>
      <c r="F9372" s="247"/>
      <c r="G9372" s="247"/>
      <c r="H9372" s="248"/>
      <c r="I9372" s="248"/>
      <c r="J9372" s="247"/>
      <c r="K9372" s="249"/>
    </row>
    <row r="9373" spans="1:11" s="90" customFormat="1" ht="12.75" customHeight="1" x14ac:dyDescent="0.2">
      <c r="A9373" s="247"/>
      <c r="B9373" s="316"/>
      <c r="C9373" s="247"/>
      <c r="D9373" s="317"/>
      <c r="E9373" s="318"/>
      <c r="F9373" s="247"/>
      <c r="G9373" s="247"/>
      <c r="H9373" s="248"/>
      <c r="I9373" s="248"/>
      <c r="J9373" s="247"/>
      <c r="K9373" s="249"/>
    </row>
    <row r="9374" spans="1:11" s="90" customFormat="1" ht="12.75" customHeight="1" x14ac:dyDescent="0.2">
      <c r="A9374" s="247"/>
      <c r="B9374" s="316"/>
      <c r="C9374" s="247"/>
      <c r="D9374" s="317"/>
      <c r="E9374" s="318"/>
      <c r="F9374" s="247"/>
      <c r="G9374" s="247"/>
      <c r="H9374" s="248"/>
      <c r="I9374" s="248"/>
      <c r="J9374" s="247"/>
      <c r="K9374" s="249"/>
    </row>
    <row r="9375" spans="1:11" s="90" customFormat="1" ht="12.75" customHeight="1" x14ac:dyDescent="0.2">
      <c r="A9375" s="247"/>
      <c r="B9375" s="316"/>
      <c r="C9375" s="247"/>
      <c r="D9375" s="317"/>
      <c r="E9375" s="318"/>
      <c r="F9375" s="247"/>
      <c r="G9375" s="247"/>
      <c r="H9375" s="248"/>
      <c r="I9375" s="248"/>
      <c r="J9375" s="247"/>
      <c r="K9375" s="249"/>
    </row>
    <row r="9376" spans="1:11" s="90" customFormat="1" ht="12.75" customHeight="1" x14ac:dyDescent="0.2">
      <c r="A9376" s="247"/>
      <c r="B9376" s="316"/>
      <c r="C9376" s="247"/>
      <c r="D9376" s="317"/>
      <c r="E9376" s="318"/>
      <c r="F9376" s="247"/>
      <c r="G9376" s="247"/>
      <c r="H9376" s="248"/>
      <c r="I9376" s="248"/>
      <c r="J9376" s="247"/>
      <c r="K9376" s="249"/>
    </row>
    <row r="9377" spans="1:11" s="90" customFormat="1" ht="12.75" customHeight="1" x14ac:dyDescent="0.2">
      <c r="A9377" s="247"/>
      <c r="B9377" s="316"/>
      <c r="C9377" s="247"/>
      <c r="D9377" s="317"/>
      <c r="E9377" s="318"/>
      <c r="F9377" s="247"/>
      <c r="G9377" s="247"/>
      <c r="H9377" s="248"/>
      <c r="I9377" s="248"/>
      <c r="J9377" s="247"/>
      <c r="K9377" s="249"/>
    </row>
    <row r="9378" spans="1:11" s="90" customFormat="1" ht="12.75" customHeight="1" x14ac:dyDescent="0.2">
      <c r="A9378" s="247"/>
      <c r="B9378" s="316"/>
      <c r="C9378" s="247"/>
      <c r="D9378" s="317"/>
      <c r="E9378" s="318"/>
      <c r="F9378" s="247"/>
      <c r="G9378" s="247"/>
      <c r="H9378" s="248"/>
      <c r="I9378" s="248"/>
      <c r="J9378" s="247"/>
      <c r="K9378" s="249"/>
    </row>
    <row r="9379" spans="1:11" s="90" customFormat="1" ht="12.75" customHeight="1" x14ac:dyDescent="0.2">
      <c r="A9379" s="247"/>
      <c r="B9379" s="316"/>
      <c r="C9379" s="247"/>
      <c r="D9379" s="317"/>
      <c r="E9379" s="318"/>
      <c r="F9379" s="247"/>
      <c r="G9379" s="247"/>
      <c r="H9379" s="248"/>
      <c r="I9379" s="248"/>
      <c r="J9379" s="247"/>
      <c r="K9379" s="249"/>
    </row>
    <row r="9380" spans="1:11" s="90" customFormat="1" ht="12.75" customHeight="1" x14ac:dyDescent="0.2">
      <c r="A9380" s="247"/>
      <c r="B9380" s="316"/>
      <c r="C9380" s="247"/>
      <c r="D9380" s="317"/>
      <c r="E9380" s="318"/>
      <c r="F9380" s="247"/>
      <c r="G9380" s="247"/>
      <c r="H9380" s="248"/>
      <c r="I9380" s="248"/>
      <c r="J9380" s="247"/>
      <c r="K9380" s="249"/>
    </row>
    <row r="9381" spans="1:11" s="90" customFormat="1" ht="12.75" customHeight="1" x14ac:dyDescent="0.2">
      <c r="A9381" s="247"/>
      <c r="B9381" s="316"/>
      <c r="C9381" s="247"/>
      <c r="D9381" s="317"/>
      <c r="E9381" s="318"/>
      <c r="F9381" s="247"/>
      <c r="G9381" s="247"/>
      <c r="H9381" s="248"/>
      <c r="I9381" s="248"/>
      <c r="J9381" s="247"/>
      <c r="K9381" s="249"/>
    </row>
    <row r="9382" spans="1:11" s="90" customFormat="1" ht="12.75" customHeight="1" x14ac:dyDescent="0.2">
      <c r="A9382" s="247"/>
      <c r="B9382" s="316"/>
      <c r="C9382" s="247"/>
      <c r="D9382" s="317"/>
      <c r="E9382" s="318"/>
      <c r="F9382" s="247"/>
      <c r="G9382" s="247"/>
      <c r="H9382" s="248"/>
      <c r="I9382" s="248"/>
      <c r="J9382" s="247"/>
      <c r="K9382" s="249"/>
    </row>
    <row r="9383" spans="1:11" s="90" customFormat="1" ht="12.75" customHeight="1" x14ac:dyDescent="0.2">
      <c r="A9383" s="247"/>
      <c r="B9383" s="316"/>
      <c r="C9383" s="247"/>
      <c r="D9383" s="317"/>
      <c r="E9383" s="318"/>
      <c r="F9383" s="247"/>
      <c r="G9383" s="247"/>
      <c r="H9383" s="248"/>
      <c r="I9383" s="248"/>
      <c r="J9383" s="247"/>
      <c r="K9383" s="249"/>
    </row>
    <row r="9384" spans="1:11" s="90" customFormat="1" ht="12.75" customHeight="1" x14ac:dyDescent="0.2">
      <c r="A9384" s="247"/>
      <c r="B9384" s="316"/>
      <c r="C9384" s="247"/>
      <c r="D9384" s="317"/>
      <c r="E9384" s="318"/>
      <c r="F9384" s="247"/>
      <c r="G9384" s="247"/>
      <c r="H9384" s="248"/>
      <c r="I9384" s="248"/>
      <c r="J9384" s="247"/>
      <c r="K9384" s="249"/>
    </row>
    <row r="9385" spans="1:11" s="90" customFormat="1" ht="12.75" customHeight="1" x14ac:dyDescent="0.2">
      <c r="A9385" s="247"/>
      <c r="B9385" s="316"/>
      <c r="C9385" s="247"/>
      <c r="D9385" s="317"/>
      <c r="E9385" s="318"/>
      <c r="F9385" s="247"/>
      <c r="G9385" s="247"/>
      <c r="H9385" s="248"/>
      <c r="I9385" s="248"/>
      <c r="J9385" s="247"/>
      <c r="K9385" s="249"/>
    </row>
    <row r="9386" spans="1:11" s="90" customFormat="1" ht="12.75" customHeight="1" x14ac:dyDescent="0.2">
      <c r="A9386" s="247"/>
      <c r="B9386" s="316"/>
      <c r="C9386" s="247"/>
      <c r="D9386" s="317"/>
      <c r="E9386" s="318"/>
      <c r="F9386" s="247"/>
      <c r="G9386" s="247"/>
      <c r="H9386" s="248"/>
      <c r="I9386" s="248"/>
      <c r="J9386" s="247"/>
      <c r="K9386" s="249"/>
    </row>
    <row r="9387" spans="1:11" s="90" customFormat="1" ht="12.75" customHeight="1" x14ac:dyDescent="0.2">
      <c r="A9387" s="247"/>
      <c r="B9387" s="316"/>
      <c r="C9387" s="247"/>
      <c r="D9387" s="317"/>
      <c r="E9387" s="318"/>
      <c r="F9387" s="247"/>
      <c r="G9387" s="247"/>
      <c r="H9387" s="248"/>
      <c r="I9387" s="248"/>
      <c r="J9387" s="247"/>
      <c r="K9387" s="249"/>
    </row>
    <row r="9388" spans="1:11" s="90" customFormat="1" ht="12.75" customHeight="1" x14ac:dyDescent="0.2">
      <c r="A9388" s="247"/>
      <c r="B9388" s="316"/>
      <c r="C9388" s="247"/>
      <c r="D9388" s="317"/>
      <c r="E9388" s="318"/>
      <c r="F9388" s="247"/>
      <c r="G9388" s="247"/>
      <c r="H9388" s="248"/>
      <c r="I9388" s="248"/>
      <c r="J9388" s="247"/>
      <c r="K9388" s="249"/>
    </row>
    <row r="9389" spans="1:11" s="90" customFormat="1" ht="12.75" customHeight="1" x14ac:dyDescent="0.2">
      <c r="A9389" s="247"/>
      <c r="B9389" s="316"/>
      <c r="C9389" s="247"/>
      <c r="D9389" s="317"/>
      <c r="E9389" s="318"/>
      <c r="F9389" s="247"/>
      <c r="G9389" s="247"/>
      <c r="H9389" s="248"/>
      <c r="I9389" s="248"/>
      <c r="J9389" s="247"/>
      <c r="K9389" s="249"/>
    </row>
    <row r="9390" spans="1:11" s="90" customFormat="1" ht="12.75" customHeight="1" x14ac:dyDescent="0.2">
      <c r="A9390" s="247"/>
      <c r="B9390" s="316"/>
      <c r="C9390" s="247"/>
      <c r="D9390" s="317"/>
      <c r="E9390" s="318"/>
      <c r="F9390" s="247"/>
      <c r="G9390" s="247"/>
      <c r="H9390" s="248"/>
      <c r="I9390" s="248"/>
      <c r="J9390" s="247"/>
      <c r="K9390" s="249"/>
    </row>
    <row r="9391" spans="1:11" s="90" customFormat="1" ht="12.75" customHeight="1" x14ac:dyDescent="0.2">
      <c r="A9391" s="247"/>
      <c r="B9391" s="316"/>
      <c r="C9391" s="247"/>
      <c r="D9391" s="317"/>
      <c r="E9391" s="318"/>
      <c r="F9391" s="247"/>
      <c r="G9391" s="247"/>
      <c r="H9391" s="248"/>
      <c r="I9391" s="248"/>
      <c r="J9391" s="247"/>
      <c r="K9391" s="249"/>
    </row>
    <row r="9392" spans="1:11" s="90" customFormat="1" ht="12.75" customHeight="1" x14ac:dyDescent="0.2">
      <c r="A9392" s="247"/>
      <c r="B9392" s="316"/>
      <c r="C9392" s="247"/>
      <c r="D9392" s="317"/>
      <c r="E9392" s="318"/>
      <c r="F9392" s="247"/>
      <c r="G9392" s="247"/>
      <c r="H9392" s="248"/>
      <c r="I9392" s="248"/>
      <c r="J9392" s="247"/>
      <c r="K9392" s="249"/>
    </row>
    <row r="9393" spans="1:11" s="90" customFormat="1" ht="12.75" customHeight="1" x14ac:dyDescent="0.2">
      <c r="A9393" s="247"/>
      <c r="B9393" s="316"/>
      <c r="C9393" s="247"/>
      <c r="D9393" s="317"/>
      <c r="E9393" s="318"/>
      <c r="F9393" s="247"/>
      <c r="G9393" s="247"/>
      <c r="H9393" s="248"/>
      <c r="I9393" s="248"/>
      <c r="J9393" s="247"/>
      <c r="K9393" s="249"/>
    </row>
    <row r="9394" spans="1:11" s="90" customFormat="1" ht="12.75" customHeight="1" x14ac:dyDescent="0.2">
      <c r="A9394" s="247"/>
      <c r="B9394" s="316"/>
      <c r="C9394" s="247"/>
      <c r="D9394" s="317"/>
      <c r="E9394" s="318"/>
      <c r="F9394" s="247"/>
      <c r="G9394" s="247"/>
      <c r="H9394" s="248"/>
      <c r="I9394" s="248"/>
      <c r="J9394" s="247"/>
      <c r="K9394" s="249"/>
    </row>
    <row r="9395" spans="1:11" s="90" customFormat="1" ht="12.75" customHeight="1" x14ac:dyDescent="0.2">
      <c r="A9395" s="247"/>
      <c r="B9395" s="316"/>
      <c r="C9395" s="247"/>
      <c r="D9395" s="317"/>
      <c r="E9395" s="318"/>
      <c r="F9395" s="247"/>
      <c r="G9395" s="247"/>
      <c r="H9395" s="248"/>
      <c r="I9395" s="248"/>
      <c r="J9395" s="247"/>
      <c r="K9395" s="249"/>
    </row>
    <row r="9396" spans="1:11" s="90" customFormat="1" ht="12.75" customHeight="1" x14ac:dyDescent="0.2">
      <c r="A9396" s="247"/>
      <c r="B9396" s="316"/>
      <c r="C9396" s="247"/>
      <c r="D9396" s="317"/>
      <c r="E9396" s="318"/>
      <c r="F9396" s="247"/>
      <c r="G9396" s="247"/>
      <c r="H9396" s="248"/>
      <c r="I9396" s="248"/>
      <c r="J9396" s="247"/>
      <c r="K9396" s="249"/>
    </row>
    <row r="9397" spans="1:11" s="90" customFormat="1" ht="12.75" customHeight="1" x14ac:dyDescent="0.2">
      <c r="A9397" s="247"/>
      <c r="B9397" s="316"/>
      <c r="C9397" s="247"/>
      <c r="D9397" s="317"/>
      <c r="E9397" s="318"/>
      <c r="F9397" s="247"/>
      <c r="G9397" s="247"/>
      <c r="H9397" s="248"/>
      <c r="I9397" s="248"/>
      <c r="J9397" s="247"/>
      <c r="K9397" s="249"/>
    </row>
    <row r="9398" spans="1:11" s="90" customFormat="1" ht="12.75" customHeight="1" x14ac:dyDescent="0.2">
      <c r="A9398" s="247"/>
      <c r="B9398" s="316"/>
      <c r="C9398" s="247"/>
      <c r="D9398" s="317"/>
      <c r="E9398" s="318"/>
      <c r="F9398" s="247"/>
      <c r="G9398" s="247"/>
      <c r="H9398" s="248"/>
      <c r="I9398" s="248"/>
      <c r="J9398" s="247"/>
      <c r="K9398" s="249"/>
    </row>
    <row r="9399" spans="1:11" s="90" customFormat="1" ht="12.75" customHeight="1" x14ac:dyDescent="0.2">
      <c r="A9399" s="247"/>
      <c r="B9399" s="316"/>
      <c r="C9399" s="247"/>
      <c r="D9399" s="317"/>
      <c r="E9399" s="318"/>
      <c r="F9399" s="247"/>
      <c r="G9399" s="247"/>
      <c r="H9399" s="248"/>
      <c r="I9399" s="248"/>
      <c r="J9399" s="247"/>
      <c r="K9399" s="249"/>
    </row>
    <row r="9400" spans="1:11" s="90" customFormat="1" ht="12.75" customHeight="1" x14ac:dyDescent="0.2">
      <c r="A9400" s="247"/>
      <c r="B9400" s="316"/>
      <c r="C9400" s="247"/>
      <c r="D9400" s="317"/>
      <c r="E9400" s="318"/>
      <c r="F9400" s="247"/>
      <c r="G9400" s="247"/>
      <c r="H9400" s="248"/>
      <c r="I9400" s="248"/>
      <c r="J9400" s="247"/>
      <c r="K9400" s="249"/>
    </row>
    <row r="9401" spans="1:11" s="90" customFormat="1" ht="12.75" customHeight="1" x14ac:dyDescent="0.2">
      <c r="A9401" s="247"/>
      <c r="B9401" s="316"/>
      <c r="C9401" s="247"/>
      <c r="D9401" s="317"/>
      <c r="E9401" s="318"/>
      <c r="F9401" s="247"/>
      <c r="G9401" s="247"/>
      <c r="H9401" s="248"/>
      <c r="I9401" s="248"/>
      <c r="J9401" s="247"/>
      <c r="K9401" s="249"/>
    </row>
    <row r="9402" spans="1:11" s="90" customFormat="1" ht="12.75" customHeight="1" x14ac:dyDescent="0.2">
      <c r="A9402" s="247"/>
      <c r="B9402" s="316"/>
      <c r="C9402" s="247"/>
      <c r="D9402" s="317"/>
      <c r="E9402" s="318"/>
      <c r="F9402" s="247"/>
      <c r="G9402" s="247"/>
      <c r="H9402" s="248"/>
      <c r="I9402" s="248"/>
      <c r="J9402" s="247"/>
      <c r="K9402" s="249"/>
    </row>
    <row r="9403" spans="1:11" s="90" customFormat="1" ht="12.75" customHeight="1" x14ac:dyDescent="0.2">
      <c r="A9403" s="247"/>
      <c r="B9403" s="316"/>
      <c r="C9403" s="247"/>
      <c r="D9403" s="317"/>
      <c r="E9403" s="318"/>
      <c r="F9403" s="247"/>
      <c r="G9403" s="247"/>
      <c r="H9403" s="248"/>
      <c r="I9403" s="248"/>
      <c r="J9403" s="247"/>
      <c r="K9403" s="249"/>
    </row>
    <row r="9404" spans="1:11" s="90" customFormat="1" ht="12.75" customHeight="1" x14ac:dyDescent="0.2">
      <c r="A9404" s="247"/>
      <c r="B9404" s="316"/>
      <c r="C9404" s="247"/>
      <c r="D9404" s="317"/>
      <c r="E9404" s="318"/>
      <c r="F9404" s="247"/>
      <c r="G9404" s="247"/>
      <c r="H9404" s="248"/>
      <c r="I9404" s="248"/>
      <c r="J9404" s="247"/>
      <c r="K9404" s="249"/>
    </row>
    <row r="9405" spans="1:11" s="90" customFormat="1" ht="12.75" customHeight="1" x14ac:dyDescent="0.2">
      <c r="A9405" s="247"/>
      <c r="B9405" s="316"/>
      <c r="C9405" s="247"/>
      <c r="D9405" s="317"/>
      <c r="E9405" s="318"/>
      <c r="F9405" s="247"/>
      <c r="G9405" s="247"/>
      <c r="H9405" s="248"/>
      <c r="I9405" s="248"/>
      <c r="J9405" s="247"/>
      <c r="K9405" s="249"/>
    </row>
    <row r="9406" spans="1:11" s="90" customFormat="1" ht="12.75" customHeight="1" x14ac:dyDescent="0.2">
      <c r="A9406" s="247"/>
      <c r="B9406" s="316"/>
      <c r="C9406" s="247"/>
      <c r="D9406" s="317"/>
      <c r="E9406" s="318"/>
      <c r="F9406" s="247"/>
      <c r="G9406" s="247"/>
      <c r="H9406" s="248"/>
      <c r="I9406" s="248"/>
      <c r="J9406" s="247"/>
      <c r="K9406" s="249"/>
    </row>
    <row r="9407" spans="1:11" s="90" customFormat="1" ht="12.75" customHeight="1" x14ac:dyDescent="0.2">
      <c r="A9407" s="247"/>
      <c r="B9407" s="316"/>
      <c r="C9407" s="247"/>
      <c r="D9407" s="317"/>
      <c r="E9407" s="318"/>
      <c r="F9407" s="247"/>
      <c r="G9407" s="247"/>
      <c r="H9407" s="248"/>
      <c r="I9407" s="248"/>
      <c r="J9407" s="247"/>
      <c r="K9407" s="249"/>
    </row>
    <row r="9408" spans="1:11" s="90" customFormat="1" ht="12.75" customHeight="1" x14ac:dyDescent="0.2">
      <c r="A9408" s="247"/>
      <c r="B9408" s="316"/>
      <c r="C9408" s="247"/>
      <c r="D9408" s="317"/>
      <c r="E9408" s="318"/>
      <c r="F9408" s="247"/>
      <c r="G9408" s="247"/>
      <c r="H9408" s="248"/>
      <c r="I9408" s="248"/>
      <c r="J9408" s="247"/>
      <c r="K9408" s="249"/>
    </row>
    <row r="9409" spans="1:11" s="90" customFormat="1" ht="12.75" customHeight="1" x14ac:dyDescent="0.2">
      <c r="A9409" s="247"/>
      <c r="B9409" s="316"/>
      <c r="C9409" s="247"/>
      <c r="D9409" s="317"/>
      <c r="E9409" s="318"/>
      <c r="F9409" s="247"/>
      <c r="G9409" s="247"/>
      <c r="H9409" s="248"/>
      <c r="I9409" s="248"/>
      <c r="J9409" s="247"/>
      <c r="K9409" s="249"/>
    </row>
    <row r="9410" spans="1:11" s="90" customFormat="1" ht="12.75" customHeight="1" x14ac:dyDescent="0.2">
      <c r="A9410" s="247"/>
      <c r="B9410" s="316"/>
      <c r="C9410" s="247"/>
      <c r="D9410" s="317"/>
      <c r="E9410" s="318"/>
      <c r="F9410" s="247"/>
      <c r="G9410" s="247"/>
      <c r="H9410" s="248"/>
      <c r="I9410" s="248"/>
      <c r="J9410" s="247"/>
      <c r="K9410" s="249"/>
    </row>
    <row r="9411" spans="1:11" s="90" customFormat="1" ht="12.75" customHeight="1" x14ac:dyDescent="0.2">
      <c r="A9411" s="247"/>
      <c r="B9411" s="316"/>
      <c r="C9411" s="247"/>
      <c r="D9411" s="317"/>
      <c r="E9411" s="318"/>
      <c r="F9411" s="247"/>
      <c r="G9411" s="247"/>
      <c r="H9411" s="248"/>
      <c r="I9411" s="248"/>
      <c r="J9411" s="247"/>
      <c r="K9411" s="249"/>
    </row>
    <row r="9412" spans="1:11" s="90" customFormat="1" ht="12.75" customHeight="1" x14ac:dyDescent="0.2">
      <c r="A9412" s="247"/>
      <c r="B9412" s="316"/>
      <c r="C9412" s="247"/>
      <c r="D9412" s="317"/>
      <c r="E9412" s="318"/>
      <c r="F9412" s="247"/>
      <c r="G9412" s="247"/>
      <c r="H9412" s="248"/>
      <c r="I9412" s="248"/>
      <c r="J9412" s="247"/>
      <c r="K9412" s="249"/>
    </row>
    <row r="9413" spans="1:11" s="90" customFormat="1" ht="12.75" customHeight="1" x14ac:dyDescent="0.2">
      <c r="A9413" s="247"/>
      <c r="B9413" s="316"/>
      <c r="C9413" s="247"/>
      <c r="D9413" s="317"/>
      <c r="E9413" s="318"/>
      <c r="F9413" s="247"/>
      <c r="G9413" s="247"/>
      <c r="H9413" s="248"/>
      <c r="I9413" s="248"/>
      <c r="J9413" s="247"/>
      <c r="K9413" s="249"/>
    </row>
    <row r="9414" spans="1:11" s="90" customFormat="1" ht="12.75" customHeight="1" x14ac:dyDescent="0.2">
      <c r="A9414" s="247"/>
      <c r="B9414" s="316"/>
      <c r="C9414" s="247"/>
      <c r="D9414" s="317"/>
      <c r="E9414" s="318"/>
      <c r="F9414" s="247"/>
      <c r="G9414" s="247"/>
      <c r="H9414" s="248"/>
      <c r="I9414" s="248"/>
      <c r="J9414" s="247"/>
      <c r="K9414" s="249"/>
    </row>
    <row r="9415" spans="1:11" s="90" customFormat="1" ht="12.75" customHeight="1" x14ac:dyDescent="0.2">
      <c r="A9415" s="247"/>
      <c r="B9415" s="316"/>
      <c r="C9415" s="247"/>
      <c r="D9415" s="317"/>
      <c r="E9415" s="318"/>
      <c r="F9415" s="247"/>
      <c r="G9415" s="247"/>
      <c r="H9415" s="248"/>
      <c r="I9415" s="248"/>
      <c r="J9415" s="247"/>
      <c r="K9415" s="249"/>
    </row>
    <row r="9416" spans="1:11" s="90" customFormat="1" ht="12.75" customHeight="1" x14ac:dyDescent="0.2">
      <c r="A9416" s="247"/>
      <c r="B9416" s="316"/>
      <c r="C9416" s="247"/>
      <c r="D9416" s="317"/>
      <c r="E9416" s="318"/>
      <c r="F9416" s="247"/>
      <c r="G9416" s="247"/>
      <c r="H9416" s="248"/>
      <c r="I9416" s="248"/>
      <c r="J9416" s="247"/>
      <c r="K9416" s="249"/>
    </row>
    <row r="9417" spans="1:11" s="90" customFormat="1" ht="12.75" customHeight="1" x14ac:dyDescent="0.2">
      <c r="A9417" s="247"/>
      <c r="B9417" s="316"/>
      <c r="C9417" s="247"/>
      <c r="D9417" s="317"/>
      <c r="E9417" s="318"/>
      <c r="F9417" s="247"/>
      <c r="G9417" s="247"/>
      <c r="H9417" s="248"/>
      <c r="I9417" s="248"/>
      <c r="J9417" s="247"/>
      <c r="K9417" s="249"/>
    </row>
    <row r="9418" spans="1:11" s="90" customFormat="1" ht="12.75" customHeight="1" x14ac:dyDescent="0.2">
      <c r="A9418" s="247"/>
      <c r="B9418" s="316"/>
      <c r="C9418" s="247"/>
      <c r="D9418" s="317"/>
      <c r="E9418" s="318"/>
      <c r="F9418" s="247"/>
      <c r="G9418" s="247"/>
      <c r="H9418" s="248"/>
      <c r="I9418" s="248"/>
      <c r="J9418" s="247"/>
      <c r="K9418" s="249"/>
    </row>
    <row r="9419" spans="1:11" s="90" customFormat="1" ht="12.75" customHeight="1" x14ac:dyDescent="0.2">
      <c r="A9419" s="247"/>
      <c r="B9419" s="316"/>
      <c r="C9419" s="247"/>
      <c r="D9419" s="317"/>
      <c r="E9419" s="318"/>
      <c r="F9419" s="247"/>
      <c r="G9419" s="247"/>
      <c r="H9419" s="248"/>
      <c r="I9419" s="248"/>
      <c r="J9419" s="247"/>
      <c r="K9419" s="249"/>
    </row>
    <row r="9420" spans="1:11" s="90" customFormat="1" ht="12.75" customHeight="1" x14ac:dyDescent="0.2">
      <c r="A9420" s="247"/>
      <c r="B9420" s="316"/>
      <c r="C9420" s="247"/>
      <c r="D9420" s="317"/>
      <c r="E9420" s="318"/>
      <c r="F9420" s="247"/>
      <c r="G9420" s="247"/>
      <c r="H9420" s="248"/>
      <c r="I9420" s="248"/>
      <c r="J9420" s="247"/>
      <c r="K9420" s="249"/>
    </row>
    <row r="9421" spans="1:11" s="90" customFormat="1" ht="12.75" customHeight="1" x14ac:dyDescent="0.2">
      <c r="A9421" s="247"/>
      <c r="B9421" s="316"/>
      <c r="C9421" s="247"/>
      <c r="D9421" s="317"/>
      <c r="E9421" s="318"/>
      <c r="F9421" s="247"/>
      <c r="G9421" s="247"/>
      <c r="H9421" s="248"/>
      <c r="I9421" s="248"/>
      <c r="J9421" s="247"/>
      <c r="K9421" s="249"/>
    </row>
    <row r="9422" spans="1:11" s="90" customFormat="1" ht="12.75" customHeight="1" x14ac:dyDescent="0.2">
      <c r="A9422" s="247"/>
      <c r="B9422" s="316"/>
      <c r="C9422" s="247"/>
      <c r="D9422" s="317"/>
      <c r="E9422" s="318"/>
      <c r="F9422" s="247"/>
      <c r="G9422" s="247"/>
      <c r="H9422" s="248"/>
      <c r="I9422" s="248"/>
      <c r="J9422" s="247"/>
      <c r="K9422" s="249"/>
    </row>
    <row r="9423" spans="1:11" s="90" customFormat="1" ht="12.75" customHeight="1" x14ac:dyDescent="0.2">
      <c r="A9423" s="247"/>
      <c r="B9423" s="316"/>
      <c r="C9423" s="247"/>
      <c r="D9423" s="317"/>
      <c r="E9423" s="318"/>
      <c r="F9423" s="247"/>
      <c r="G9423" s="247"/>
      <c r="H9423" s="248"/>
      <c r="I9423" s="248"/>
      <c r="J9423" s="247"/>
      <c r="K9423" s="249"/>
    </row>
    <row r="9424" spans="1:11" s="90" customFormat="1" ht="12.75" customHeight="1" x14ac:dyDescent="0.2">
      <c r="A9424" s="247"/>
      <c r="B9424" s="316"/>
      <c r="C9424" s="247"/>
      <c r="D9424" s="317"/>
      <c r="E9424" s="318"/>
      <c r="F9424" s="247"/>
      <c r="G9424" s="247"/>
      <c r="H9424" s="248"/>
      <c r="I9424" s="248"/>
      <c r="J9424" s="247"/>
      <c r="K9424" s="249"/>
    </row>
    <row r="9425" spans="1:11" s="90" customFormat="1" ht="12.75" customHeight="1" x14ac:dyDescent="0.2">
      <c r="A9425" s="247"/>
      <c r="B9425" s="316"/>
      <c r="C9425" s="247"/>
      <c r="D9425" s="317"/>
      <c r="E9425" s="318"/>
      <c r="F9425" s="247"/>
      <c r="G9425" s="247"/>
      <c r="H9425" s="248"/>
      <c r="I9425" s="248"/>
      <c r="J9425" s="247"/>
      <c r="K9425" s="249"/>
    </row>
    <row r="9426" spans="1:11" s="90" customFormat="1" ht="12.75" customHeight="1" x14ac:dyDescent="0.2">
      <c r="A9426" s="247"/>
      <c r="B9426" s="316"/>
      <c r="C9426" s="247"/>
      <c r="D9426" s="317"/>
      <c r="E9426" s="318"/>
      <c r="F9426" s="247"/>
      <c r="G9426" s="247"/>
      <c r="H9426" s="248"/>
      <c r="I9426" s="248"/>
      <c r="J9426" s="247"/>
      <c r="K9426" s="249"/>
    </row>
    <row r="9427" spans="1:11" s="90" customFormat="1" ht="12.75" customHeight="1" x14ac:dyDescent="0.2">
      <c r="A9427" s="247"/>
      <c r="B9427" s="316"/>
      <c r="C9427" s="247"/>
      <c r="D9427" s="317"/>
      <c r="E9427" s="318"/>
      <c r="F9427" s="247"/>
      <c r="G9427" s="247"/>
      <c r="H9427" s="248"/>
      <c r="I9427" s="248"/>
      <c r="J9427" s="247"/>
      <c r="K9427" s="249"/>
    </row>
    <row r="9428" spans="1:11" s="90" customFormat="1" ht="12.75" customHeight="1" x14ac:dyDescent="0.2">
      <c r="A9428" s="247"/>
      <c r="B9428" s="316"/>
      <c r="C9428" s="247"/>
      <c r="D9428" s="317"/>
      <c r="E9428" s="318"/>
      <c r="F9428" s="247"/>
      <c r="G9428" s="247"/>
      <c r="H9428" s="248"/>
      <c r="I9428" s="248"/>
      <c r="J9428" s="247"/>
      <c r="K9428" s="249"/>
    </row>
    <row r="9429" spans="1:11" s="90" customFormat="1" ht="12.75" customHeight="1" x14ac:dyDescent="0.2">
      <c r="A9429" s="247"/>
      <c r="B9429" s="316"/>
      <c r="C9429" s="247"/>
      <c r="D9429" s="317"/>
      <c r="E9429" s="318"/>
      <c r="F9429" s="247"/>
      <c r="G9429" s="247"/>
      <c r="H9429" s="248"/>
      <c r="I9429" s="248"/>
      <c r="J9429" s="247"/>
      <c r="K9429" s="249"/>
    </row>
    <row r="9430" spans="1:11" s="90" customFormat="1" ht="12.75" customHeight="1" x14ac:dyDescent="0.2">
      <c r="A9430" s="247"/>
      <c r="B9430" s="316"/>
      <c r="C9430" s="247"/>
      <c r="D9430" s="317"/>
      <c r="E9430" s="318"/>
      <c r="F9430" s="247"/>
      <c r="G9430" s="247"/>
      <c r="H9430" s="248"/>
      <c r="I9430" s="248"/>
      <c r="J9430" s="247"/>
      <c r="K9430" s="249"/>
    </row>
    <row r="9431" spans="1:11" s="90" customFormat="1" ht="12.75" customHeight="1" x14ac:dyDescent="0.2">
      <c r="A9431" s="247"/>
      <c r="B9431" s="316"/>
      <c r="C9431" s="247"/>
      <c r="D9431" s="317"/>
      <c r="E9431" s="318"/>
      <c r="F9431" s="247"/>
      <c r="G9431" s="247"/>
      <c r="H9431" s="248"/>
      <c r="I9431" s="248"/>
      <c r="J9431" s="247"/>
      <c r="K9431" s="249"/>
    </row>
    <row r="9432" spans="1:11" s="90" customFormat="1" ht="12.75" customHeight="1" x14ac:dyDescent="0.2">
      <c r="A9432" s="247"/>
      <c r="B9432" s="316"/>
      <c r="C9432" s="247"/>
      <c r="D9432" s="317"/>
      <c r="E9432" s="318"/>
      <c r="F9432" s="247"/>
      <c r="G9432" s="247"/>
      <c r="H9432" s="248"/>
      <c r="I9432" s="248"/>
      <c r="J9432" s="247"/>
      <c r="K9432" s="249"/>
    </row>
    <row r="9433" spans="1:11" s="90" customFormat="1" ht="12.75" customHeight="1" x14ac:dyDescent="0.2">
      <c r="A9433" s="247"/>
      <c r="B9433" s="316"/>
      <c r="C9433" s="247"/>
      <c r="D9433" s="317"/>
      <c r="E9433" s="318"/>
      <c r="F9433" s="247"/>
      <c r="G9433" s="247"/>
      <c r="H9433" s="248"/>
      <c r="I9433" s="248"/>
      <c r="J9433" s="247"/>
      <c r="K9433" s="249"/>
    </row>
    <row r="9434" spans="1:11" s="90" customFormat="1" ht="12.75" customHeight="1" x14ac:dyDescent="0.2">
      <c r="A9434" s="247"/>
      <c r="B9434" s="316"/>
      <c r="C9434" s="247"/>
      <c r="D9434" s="317"/>
      <c r="E9434" s="318"/>
      <c r="F9434" s="247"/>
      <c r="G9434" s="247"/>
      <c r="H9434" s="248"/>
      <c r="I9434" s="248"/>
      <c r="J9434" s="247"/>
      <c r="K9434" s="249"/>
    </row>
    <row r="9435" spans="1:11" s="90" customFormat="1" ht="12.75" customHeight="1" x14ac:dyDescent="0.2">
      <c r="A9435" s="247"/>
      <c r="B9435" s="316"/>
      <c r="C9435" s="247"/>
      <c r="D9435" s="317"/>
      <c r="E9435" s="318"/>
      <c r="F9435" s="247"/>
      <c r="G9435" s="247"/>
      <c r="H9435" s="248"/>
      <c r="I9435" s="248"/>
      <c r="J9435" s="247"/>
      <c r="K9435" s="249"/>
    </row>
    <row r="9436" spans="1:11" s="90" customFormat="1" ht="12.75" customHeight="1" x14ac:dyDescent="0.2">
      <c r="A9436" s="247"/>
      <c r="B9436" s="316"/>
      <c r="C9436" s="247"/>
      <c r="D9436" s="317"/>
      <c r="E9436" s="318"/>
      <c r="F9436" s="247"/>
      <c r="G9436" s="247"/>
      <c r="H9436" s="248"/>
      <c r="I9436" s="248"/>
      <c r="J9436" s="247"/>
      <c r="K9436" s="249"/>
    </row>
    <row r="9437" spans="1:11" s="90" customFormat="1" ht="12.75" customHeight="1" x14ac:dyDescent="0.2">
      <c r="A9437" s="247"/>
      <c r="B9437" s="316"/>
      <c r="C9437" s="247"/>
      <c r="D9437" s="317"/>
      <c r="E9437" s="318"/>
      <c r="F9437" s="247"/>
      <c r="G9437" s="247"/>
      <c r="H9437" s="248"/>
      <c r="I9437" s="248"/>
      <c r="J9437" s="247"/>
      <c r="K9437" s="249"/>
    </row>
    <row r="9438" spans="1:11" s="90" customFormat="1" ht="12.75" customHeight="1" x14ac:dyDescent="0.2">
      <c r="A9438" s="247"/>
      <c r="B9438" s="316"/>
      <c r="C9438" s="247"/>
      <c r="D9438" s="317"/>
      <c r="E9438" s="318"/>
      <c r="F9438" s="247"/>
      <c r="G9438" s="247"/>
      <c r="H9438" s="248"/>
      <c r="I9438" s="248"/>
      <c r="J9438" s="247"/>
      <c r="K9438" s="249"/>
    </row>
    <row r="9439" spans="1:11" s="90" customFormat="1" ht="12.75" customHeight="1" x14ac:dyDescent="0.2">
      <c r="A9439" s="247"/>
      <c r="B9439" s="316"/>
      <c r="C9439" s="247"/>
      <c r="D9439" s="317"/>
      <c r="E9439" s="318"/>
      <c r="F9439" s="247"/>
      <c r="G9439" s="247"/>
      <c r="H9439" s="248"/>
      <c r="I9439" s="248"/>
      <c r="J9439" s="247"/>
      <c r="K9439" s="249"/>
    </row>
    <row r="9440" spans="1:11" s="90" customFormat="1" ht="12.75" customHeight="1" x14ac:dyDescent="0.2">
      <c r="A9440" s="247"/>
      <c r="B9440" s="316"/>
      <c r="C9440" s="247"/>
      <c r="D9440" s="317"/>
      <c r="E9440" s="318"/>
      <c r="F9440" s="247"/>
      <c r="G9440" s="247"/>
      <c r="H9440" s="248"/>
      <c r="I9440" s="248"/>
      <c r="J9440" s="247"/>
      <c r="K9440" s="249"/>
    </row>
    <row r="9441" spans="1:11" s="90" customFormat="1" ht="12.75" customHeight="1" x14ac:dyDescent="0.2">
      <c r="A9441" s="247"/>
      <c r="B9441" s="316"/>
      <c r="C9441" s="247"/>
      <c r="D9441" s="317"/>
      <c r="E9441" s="318"/>
      <c r="F9441" s="247"/>
      <c r="G9441" s="247"/>
      <c r="H9441" s="248"/>
      <c r="I9441" s="248"/>
      <c r="J9441" s="247"/>
      <c r="K9441" s="249"/>
    </row>
    <row r="9442" spans="1:11" s="90" customFormat="1" ht="12.75" customHeight="1" x14ac:dyDescent="0.2">
      <c r="A9442" s="247"/>
      <c r="B9442" s="316"/>
      <c r="C9442" s="247"/>
      <c r="D9442" s="317"/>
      <c r="E9442" s="318"/>
      <c r="F9442" s="247"/>
      <c r="G9442" s="247"/>
      <c r="H9442" s="248"/>
      <c r="I9442" s="248"/>
      <c r="J9442" s="247"/>
      <c r="K9442" s="249"/>
    </row>
    <row r="9443" spans="1:11" s="90" customFormat="1" ht="12.75" customHeight="1" x14ac:dyDescent="0.2">
      <c r="A9443" s="247"/>
      <c r="B9443" s="316"/>
      <c r="C9443" s="247"/>
      <c r="D9443" s="317"/>
      <c r="E9443" s="318"/>
      <c r="F9443" s="247"/>
      <c r="G9443" s="247"/>
      <c r="H9443" s="248"/>
      <c r="I9443" s="248"/>
      <c r="J9443" s="247"/>
      <c r="K9443" s="249"/>
    </row>
    <row r="9444" spans="1:11" s="90" customFormat="1" ht="12.75" customHeight="1" x14ac:dyDescent="0.2">
      <c r="A9444" s="247"/>
      <c r="B9444" s="316"/>
      <c r="C9444" s="247"/>
      <c r="D9444" s="317"/>
      <c r="E9444" s="318"/>
      <c r="F9444" s="247"/>
      <c r="G9444" s="247"/>
      <c r="H9444" s="248"/>
      <c r="I9444" s="248"/>
      <c r="J9444" s="247"/>
      <c r="K9444" s="249"/>
    </row>
    <row r="9445" spans="1:11" s="90" customFormat="1" ht="12.75" customHeight="1" x14ac:dyDescent="0.2">
      <c r="A9445" s="247"/>
      <c r="B9445" s="316"/>
      <c r="C9445" s="247"/>
      <c r="D9445" s="317"/>
      <c r="E9445" s="318"/>
      <c r="F9445" s="247"/>
      <c r="G9445" s="247"/>
      <c r="H9445" s="248"/>
      <c r="I9445" s="248"/>
      <c r="J9445" s="247"/>
      <c r="K9445" s="249"/>
    </row>
    <row r="9446" spans="1:11" s="90" customFormat="1" ht="12.75" customHeight="1" x14ac:dyDescent="0.2">
      <c r="A9446" s="247"/>
      <c r="B9446" s="316"/>
      <c r="C9446" s="247"/>
      <c r="D9446" s="317"/>
      <c r="E9446" s="318"/>
      <c r="F9446" s="247"/>
      <c r="G9446" s="247"/>
      <c r="H9446" s="248"/>
      <c r="I9446" s="248"/>
      <c r="J9446" s="247"/>
      <c r="K9446" s="249"/>
    </row>
    <row r="9447" spans="1:11" s="90" customFormat="1" ht="12.75" customHeight="1" x14ac:dyDescent="0.2">
      <c r="A9447" s="247"/>
      <c r="B9447" s="316"/>
      <c r="C9447" s="247"/>
      <c r="D9447" s="317"/>
      <c r="E9447" s="318"/>
      <c r="F9447" s="247"/>
      <c r="G9447" s="247"/>
      <c r="H9447" s="248"/>
      <c r="I9447" s="248"/>
      <c r="J9447" s="247"/>
      <c r="K9447" s="249"/>
    </row>
    <row r="9448" spans="1:11" s="90" customFormat="1" ht="12.75" customHeight="1" x14ac:dyDescent="0.2">
      <c r="A9448" s="247"/>
      <c r="B9448" s="316"/>
      <c r="C9448" s="247"/>
      <c r="D9448" s="317"/>
      <c r="E9448" s="318"/>
      <c r="F9448" s="247"/>
      <c r="G9448" s="247"/>
      <c r="H9448" s="248"/>
      <c r="I9448" s="248"/>
      <c r="J9448" s="247"/>
      <c r="K9448" s="249"/>
    </row>
    <row r="9449" spans="1:11" s="90" customFormat="1" ht="12.75" customHeight="1" x14ac:dyDescent="0.2">
      <c r="A9449" s="247"/>
      <c r="B9449" s="316"/>
      <c r="C9449" s="247"/>
      <c r="D9449" s="317"/>
      <c r="E9449" s="318"/>
      <c r="F9449" s="247"/>
      <c r="G9449" s="247"/>
      <c r="H9449" s="248"/>
      <c r="I9449" s="248"/>
      <c r="J9449" s="247"/>
      <c r="K9449" s="249"/>
    </row>
    <row r="9450" spans="1:11" s="90" customFormat="1" ht="12.75" customHeight="1" x14ac:dyDescent="0.2">
      <c r="A9450" s="247"/>
      <c r="B9450" s="316"/>
      <c r="C9450" s="247"/>
      <c r="D9450" s="317"/>
      <c r="E9450" s="318"/>
      <c r="F9450" s="247"/>
      <c r="G9450" s="247"/>
      <c r="H9450" s="248"/>
      <c r="I9450" s="248"/>
      <c r="J9450" s="247"/>
      <c r="K9450" s="249"/>
    </row>
    <row r="9451" spans="1:11" s="90" customFormat="1" ht="12.75" customHeight="1" x14ac:dyDescent="0.2">
      <c r="A9451" s="247"/>
      <c r="B9451" s="316"/>
      <c r="C9451" s="247"/>
      <c r="D9451" s="317"/>
      <c r="E9451" s="318"/>
      <c r="F9451" s="247"/>
      <c r="G9451" s="247"/>
      <c r="H9451" s="248"/>
      <c r="I9451" s="248"/>
      <c r="J9451" s="247"/>
      <c r="K9451" s="249"/>
    </row>
    <row r="9452" spans="1:11" s="90" customFormat="1" ht="12.75" customHeight="1" x14ac:dyDescent="0.2">
      <c r="A9452" s="247"/>
      <c r="B9452" s="316"/>
      <c r="C9452" s="247"/>
      <c r="D9452" s="317"/>
      <c r="E9452" s="318"/>
      <c r="F9452" s="247"/>
      <c r="G9452" s="247"/>
      <c r="H9452" s="248"/>
      <c r="I9452" s="248"/>
      <c r="J9452" s="247"/>
      <c r="K9452" s="249"/>
    </row>
    <row r="9453" spans="1:11" s="90" customFormat="1" ht="12.75" customHeight="1" x14ac:dyDescent="0.2">
      <c r="A9453" s="247"/>
      <c r="B9453" s="316"/>
      <c r="C9453" s="247"/>
      <c r="D9453" s="317"/>
      <c r="E9453" s="318"/>
      <c r="F9453" s="247"/>
      <c r="G9453" s="247"/>
      <c r="H9453" s="248"/>
      <c r="I9453" s="248"/>
      <c r="J9453" s="247"/>
      <c r="K9453" s="249"/>
    </row>
    <row r="9454" spans="1:11" s="90" customFormat="1" ht="12.75" customHeight="1" x14ac:dyDescent="0.2">
      <c r="A9454" s="247"/>
      <c r="B9454" s="316"/>
      <c r="C9454" s="247"/>
      <c r="D9454" s="317"/>
      <c r="E9454" s="318"/>
      <c r="F9454" s="247"/>
      <c r="G9454" s="247"/>
      <c r="H9454" s="248"/>
      <c r="I9454" s="248"/>
      <c r="J9454" s="247"/>
      <c r="K9454" s="249"/>
    </row>
    <row r="9455" spans="1:11" s="90" customFormat="1" ht="12.75" customHeight="1" x14ac:dyDescent="0.2">
      <c r="A9455" s="247"/>
      <c r="B9455" s="316"/>
      <c r="C9455" s="247"/>
      <c r="D9455" s="317"/>
      <c r="E9455" s="318"/>
      <c r="F9455" s="247"/>
      <c r="G9455" s="247"/>
      <c r="H9455" s="248"/>
      <c r="I9455" s="248"/>
      <c r="J9455" s="247"/>
      <c r="K9455" s="249"/>
    </row>
    <row r="9456" spans="1:11" s="90" customFormat="1" ht="12.75" customHeight="1" x14ac:dyDescent="0.2">
      <c r="A9456" s="247"/>
      <c r="B9456" s="316"/>
      <c r="C9456" s="247"/>
      <c r="D9456" s="317"/>
      <c r="E9456" s="318"/>
      <c r="F9456" s="247"/>
      <c r="G9456" s="247"/>
      <c r="H9456" s="248"/>
      <c r="I9456" s="248"/>
      <c r="J9456" s="247"/>
      <c r="K9456" s="249"/>
    </row>
    <row r="9457" spans="1:11" s="90" customFormat="1" ht="12.75" customHeight="1" x14ac:dyDescent="0.2">
      <c r="A9457" s="247"/>
      <c r="B9457" s="316"/>
      <c r="C9457" s="247"/>
      <c r="D9457" s="317"/>
      <c r="E9457" s="318"/>
      <c r="F9457" s="247"/>
      <c r="G9457" s="247"/>
      <c r="H9457" s="248"/>
      <c r="I9457" s="248"/>
      <c r="J9457" s="247"/>
      <c r="K9457" s="249"/>
    </row>
    <row r="9458" spans="1:11" s="90" customFormat="1" ht="12.75" customHeight="1" x14ac:dyDescent="0.2">
      <c r="A9458" s="247"/>
      <c r="B9458" s="316"/>
      <c r="C9458" s="247"/>
      <c r="D9458" s="317"/>
      <c r="E9458" s="318"/>
      <c r="F9458" s="247"/>
      <c r="G9458" s="247"/>
      <c r="H9458" s="248"/>
      <c r="I9458" s="248"/>
      <c r="J9458" s="247"/>
      <c r="K9458" s="249"/>
    </row>
    <row r="9459" spans="1:11" s="90" customFormat="1" ht="12.75" customHeight="1" x14ac:dyDescent="0.2">
      <c r="A9459" s="247"/>
      <c r="B9459" s="316"/>
      <c r="C9459" s="247"/>
      <c r="D9459" s="317"/>
      <c r="E9459" s="318"/>
      <c r="F9459" s="247"/>
      <c r="G9459" s="247"/>
      <c r="H9459" s="248"/>
      <c r="I9459" s="248"/>
      <c r="J9459" s="247"/>
      <c r="K9459" s="249"/>
    </row>
    <row r="9460" spans="1:11" s="90" customFormat="1" ht="12.75" customHeight="1" x14ac:dyDescent="0.2">
      <c r="A9460" s="247"/>
      <c r="B9460" s="316"/>
      <c r="C9460" s="247"/>
      <c r="D9460" s="317"/>
      <c r="E9460" s="318"/>
      <c r="F9460" s="247"/>
      <c r="G9460" s="247"/>
      <c r="H9460" s="248"/>
      <c r="I9460" s="248"/>
      <c r="J9460" s="247"/>
      <c r="K9460" s="249"/>
    </row>
    <row r="9461" spans="1:11" s="90" customFormat="1" ht="12.75" customHeight="1" x14ac:dyDescent="0.2">
      <c r="A9461" s="247"/>
      <c r="B9461" s="316"/>
      <c r="C9461" s="247"/>
      <c r="D9461" s="317"/>
      <c r="E9461" s="318"/>
      <c r="F9461" s="247"/>
      <c r="G9461" s="247"/>
      <c r="H9461" s="248"/>
      <c r="I9461" s="248"/>
      <c r="J9461" s="247"/>
      <c r="K9461" s="249"/>
    </row>
    <row r="9462" spans="1:11" s="90" customFormat="1" ht="12.75" customHeight="1" x14ac:dyDescent="0.2">
      <c r="A9462" s="247"/>
      <c r="B9462" s="316"/>
      <c r="C9462" s="247"/>
      <c r="D9462" s="317"/>
      <c r="E9462" s="318"/>
      <c r="F9462" s="247"/>
      <c r="G9462" s="247"/>
      <c r="H9462" s="248"/>
      <c r="I9462" s="248"/>
      <c r="J9462" s="247"/>
      <c r="K9462" s="249"/>
    </row>
    <row r="9463" spans="1:11" s="90" customFormat="1" ht="12.75" customHeight="1" x14ac:dyDescent="0.2">
      <c r="A9463" s="247"/>
      <c r="B9463" s="316"/>
      <c r="C9463" s="247"/>
      <c r="D9463" s="317"/>
      <c r="E9463" s="318"/>
      <c r="F9463" s="247"/>
      <c r="G9463" s="247"/>
      <c r="H9463" s="248"/>
      <c r="I9463" s="248"/>
      <c r="J9463" s="247"/>
      <c r="K9463" s="249"/>
    </row>
    <row r="9464" spans="1:11" s="90" customFormat="1" ht="12.75" customHeight="1" x14ac:dyDescent="0.2">
      <c r="A9464" s="247"/>
      <c r="B9464" s="316"/>
      <c r="C9464" s="247"/>
      <c r="D9464" s="317"/>
      <c r="E9464" s="318"/>
      <c r="F9464" s="247"/>
      <c r="G9464" s="247"/>
      <c r="H9464" s="248"/>
      <c r="I9464" s="248"/>
      <c r="J9464" s="247"/>
      <c r="K9464" s="249"/>
    </row>
    <row r="9465" spans="1:11" s="90" customFormat="1" ht="12.75" customHeight="1" x14ac:dyDescent="0.2">
      <c r="A9465" s="247"/>
      <c r="B9465" s="316"/>
      <c r="C9465" s="247"/>
      <c r="D9465" s="317"/>
      <c r="E9465" s="318"/>
      <c r="F9465" s="247"/>
      <c r="G9465" s="247"/>
      <c r="H9465" s="248"/>
      <c r="I9465" s="248"/>
      <c r="J9465" s="247"/>
      <c r="K9465" s="249"/>
    </row>
    <row r="9466" spans="1:11" s="90" customFormat="1" ht="12.75" customHeight="1" x14ac:dyDescent="0.2">
      <c r="A9466" s="247"/>
      <c r="B9466" s="316"/>
      <c r="C9466" s="247"/>
      <c r="D9466" s="317"/>
      <c r="E9466" s="318"/>
      <c r="F9466" s="247"/>
      <c r="G9466" s="247"/>
      <c r="H9466" s="248"/>
      <c r="I9466" s="248"/>
      <c r="J9466" s="247"/>
      <c r="K9466" s="249"/>
    </row>
    <row r="9467" spans="1:11" s="90" customFormat="1" ht="12.75" customHeight="1" x14ac:dyDescent="0.2">
      <c r="A9467" s="247"/>
      <c r="B9467" s="316"/>
      <c r="C9467" s="247"/>
      <c r="D9467" s="317"/>
      <c r="E9467" s="318"/>
      <c r="F9467" s="247"/>
      <c r="G9467" s="247"/>
      <c r="H9467" s="248"/>
      <c r="I9467" s="248"/>
      <c r="J9467" s="247"/>
      <c r="K9467" s="249"/>
    </row>
    <row r="9468" spans="1:11" s="90" customFormat="1" ht="12.75" customHeight="1" x14ac:dyDescent="0.2">
      <c r="A9468" s="247"/>
      <c r="B9468" s="316"/>
      <c r="C9468" s="247"/>
      <c r="D9468" s="317"/>
      <c r="E9468" s="318"/>
      <c r="F9468" s="247"/>
      <c r="G9468" s="247"/>
      <c r="H9468" s="248"/>
      <c r="I9468" s="248"/>
      <c r="J9468" s="247"/>
      <c r="K9468" s="249"/>
    </row>
    <row r="9469" spans="1:11" s="90" customFormat="1" ht="12.75" customHeight="1" x14ac:dyDescent="0.2">
      <c r="A9469" s="247"/>
      <c r="B9469" s="316"/>
      <c r="C9469" s="247"/>
      <c r="D9469" s="317"/>
      <c r="E9469" s="318"/>
      <c r="F9469" s="247"/>
      <c r="G9469" s="247"/>
      <c r="H9469" s="248"/>
      <c r="I9469" s="248"/>
      <c r="J9469" s="247"/>
      <c r="K9469" s="249"/>
    </row>
    <row r="9470" spans="1:11" s="90" customFormat="1" ht="12.75" customHeight="1" x14ac:dyDescent="0.2">
      <c r="A9470" s="247"/>
      <c r="B9470" s="316"/>
      <c r="C9470" s="247"/>
      <c r="D9470" s="317"/>
      <c r="E9470" s="318"/>
      <c r="F9470" s="247"/>
      <c r="G9470" s="247"/>
      <c r="H9470" s="248"/>
      <c r="I9470" s="248"/>
      <c r="J9470" s="247"/>
      <c r="K9470" s="249"/>
    </row>
    <row r="9471" spans="1:11" s="90" customFormat="1" ht="12.75" customHeight="1" x14ac:dyDescent="0.2">
      <c r="A9471" s="247"/>
      <c r="B9471" s="316"/>
      <c r="C9471" s="247"/>
      <c r="D9471" s="317"/>
      <c r="E9471" s="318"/>
      <c r="F9471" s="247"/>
      <c r="G9471" s="247"/>
      <c r="H9471" s="248"/>
      <c r="I9471" s="248"/>
      <c r="J9471" s="247"/>
      <c r="K9471" s="249"/>
    </row>
    <row r="9472" spans="1:11" s="90" customFormat="1" ht="12.75" customHeight="1" x14ac:dyDescent="0.2">
      <c r="A9472" s="247"/>
      <c r="B9472" s="316"/>
      <c r="C9472" s="247"/>
      <c r="D9472" s="317"/>
      <c r="E9472" s="318"/>
      <c r="F9472" s="247"/>
      <c r="G9472" s="247"/>
      <c r="H9472" s="248"/>
      <c r="I9472" s="248"/>
      <c r="J9472" s="247"/>
      <c r="K9472" s="249"/>
    </row>
    <row r="9473" spans="1:11" s="90" customFormat="1" ht="12.75" customHeight="1" x14ac:dyDescent="0.2">
      <c r="A9473" s="247"/>
      <c r="B9473" s="316"/>
      <c r="C9473" s="247"/>
      <c r="D9473" s="317"/>
      <c r="E9473" s="318"/>
      <c r="F9473" s="247"/>
      <c r="G9473" s="247"/>
      <c r="H9473" s="248"/>
      <c r="I9473" s="248"/>
      <c r="J9473" s="247"/>
      <c r="K9473" s="249"/>
    </row>
    <row r="9474" spans="1:11" s="90" customFormat="1" ht="12.75" customHeight="1" x14ac:dyDescent="0.2">
      <c r="A9474" s="247"/>
      <c r="B9474" s="316"/>
      <c r="C9474" s="247"/>
      <c r="D9474" s="317"/>
      <c r="E9474" s="318"/>
      <c r="F9474" s="247"/>
      <c r="G9474" s="247"/>
      <c r="H9474" s="248"/>
      <c r="I9474" s="248"/>
      <c r="J9474" s="247"/>
      <c r="K9474" s="249"/>
    </row>
    <row r="9475" spans="1:11" s="90" customFormat="1" ht="12.75" customHeight="1" x14ac:dyDescent="0.2">
      <c r="A9475" s="247"/>
      <c r="B9475" s="316"/>
      <c r="C9475" s="247"/>
      <c r="D9475" s="317"/>
      <c r="E9475" s="318"/>
      <c r="F9475" s="247"/>
      <c r="G9475" s="247"/>
      <c r="H9475" s="248"/>
      <c r="I9475" s="248"/>
      <c r="J9475" s="247"/>
      <c r="K9475" s="249"/>
    </row>
    <row r="9476" spans="1:11" s="90" customFormat="1" ht="12.75" customHeight="1" x14ac:dyDescent="0.2">
      <c r="A9476" s="247"/>
      <c r="B9476" s="316"/>
      <c r="C9476" s="247"/>
      <c r="D9476" s="317"/>
      <c r="E9476" s="318"/>
      <c r="F9476" s="247"/>
      <c r="G9476" s="247"/>
      <c r="H9476" s="248"/>
      <c r="I9476" s="248"/>
      <c r="J9476" s="247"/>
      <c r="K9476" s="249"/>
    </row>
    <row r="9477" spans="1:11" s="90" customFormat="1" ht="12.75" customHeight="1" x14ac:dyDescent="0.2">
      <c r="A9477" s="247"/>
      <c r="B9477" s="316"/>
      <c r="C9477" s="247"/>
      <c r="D9477" s="317"/>
      <c r="E9477" s="318"/>
      <c r="F9477" s="247"/>
      <c r="G9477" s="247"/>
      <c r="H9477" s="248"/>
      <c r="I9477" s="248"/>
      <c r="J9477" s="247"/>
      <c r="K9477" s="249"/>
    </row>
    <row r="9478" spans="1:11" s="90" customFormat="1" ht="12.75" customHeight="1" x14ac:dyDescent="0.2">
      <c r="A9478" s="247"/>
      <c r="B9478" s="316"/>
      <c r="C9478" s="247"/>
      <c r="D9478" s="317"/>
      <c r="E9478" s="318"/>
      <c r="F9478" s="247"/>
      <c r="G9478" s="247"/>
      <c r="H9478" s="248"/>
      <c r="I9478" s="248"/>
      <c r="J9478" s="247"/>
      <c r="K9478" s="249"/>
    </row>
    <row r="9479" spans="1:11" s="90" customFormat="1" ht="12.75" customHeight="1" x14ac:dyDescent="0.2">
      <c r="A9479" s="247"/>
      <c r="B9479" s="316"/>
      <c r="C9479" s="247"/>
      <c r="D9479" s="317"/>
      <c r="E9479" s="318"/>
      <c r="F9479" s="247"/>
      <c r="G9479" s="247"/>
      <c r="H9479" s="248"/>
      <c r="I9479" s="248"/>
      <c r="J9479" s="247"/>
      <c r="K9479" s="249"/>
    </row>
    <row r="9480" spans="1:11" s="90" customFormat="1" ht="12.75" customHeight="1" x14ac:dyDescent="0.2">
      <c r="A9480" s="247"/>
      <c r="B9480" s="316"/>
      <c r="C9480" s="247"/>
      <c r="D9480" s="317"/>
      <c r="E9480" s="318"/>
      <c r="F9480" s="247"/>
      <c r="G9480" s="247"/>
      <c r="H9480" s="248"/>
      <c r="I9480" s="248"/>
      <c r="J9480" s="247"/>
      <c r="K9480" s="249"/>
    </row>
    <row r="9481" spans="1:11" s="90" customFormat="1" ht="12.75" customHeight="1" x14ac:dyDescent="0.2">
      <c r="A9481" s="247"/>
      <c r="B9481" s="316"/>
      <c r="C9481" s="247"/>
      <c r="D9481" s="317"/>
      <c r="E9481" s="318"/>
      <c r="F9481" s="247"/>
      <c r="G9481" s="247"/>
      <c r="H9481" s="248"/>
      <c r="I9481" s="248"/>
      <c r="J9481" s="247"/>
      <c r="K9481" s="249"/>
    </row>
    <row r="9482" spans="1:11" s="90" customFormat="1" ht="12.75" customHeight="1" x14ac:dyDescent="0.2">
      <c r="A9482" s="247"/>
      <c r="B9482" s="316"/>
      <c r="C9482" s="247"/>
      <c r="D9482" s="317"/>
      <c r="E9482" s="318"/>
      <c r="F9482" s="247"/>
      <c r="G9482" s="247"/>
      <c r="H9482" s="248"/>
      <c r="I9482" s="248"/>
      <c r="J9482" s="247"/>
      <c r="K9482" s="249"/>
    </row>
    <row r="9483" spans="1:11" s="90" customFormat="1" ht="12.75" customHeight="1" x14ac:dyDescent="0.2">
      <c r="A9483" s="247"/>
      <c r="B9483" s="316"/>
      <c r="C9483" s="247"/>
      <c r="D9483" s="317"/>
      <c r="E9483" s="318"/>
      <c r="F9483" s="247"/>
      <c r="G9483" s="247"/>
      <c r="H9483" s="248"/>
      <c r="I9483" s="248"/>
      <c r="J9483" s="247"/>
      <c r="K9483" s="249"/>
    </row>
    <row r="9484" spans="1:11" s="90" customFormat="1" ht="12.75" customHeight="1" x14ac:dyDescent="0.2">
      <c r="A9484" s="247"/>
      <c r="B9484" s="316"/>
      <c r="C9484" s="247"/>
      <c r="D9484" s="317"/>
      <c r="E9484" s="318"/>
      <c r="F9484" s="247"/>
      <c r="G9484" s="247"/>
      <c r="H9484" s="248"/>
      <c r="I9484" s="248"/>
      <c r="J9484" s="247"/>
      <c r="K9484" s="249"/>
    </row>
    <row r="9485" spans="1:11" s="90" customFormat="1" ht="12.75" customHeight="1" x14ac:dyDescent="0.2">
      <c r="A9485" s="247"/>
      <c r="B9485" s="316"/>
      <c r="C9485" s="247"/>
      <c r="D9485" s="317"/>
      <c r="E9485" s="318"/>
      <c r="F9485" s="247"/>
      <c r="G9485" s="247"/>
      <c r="H9485" s="248"/>
      <c r="I9485" s="248"/>
      <c r="J9485" s="247"/>
      <c r="K9485" s="249"/>
    </row>
    <row r="9486" spans="1:11" s="90" customFormat="1" ht="12.75" customHeight="1" x14ac:dyDescent="0.2">
      <c r="A9486" s="247"/>
      <c r="B9486" s="316"/>
      <c r="C9486" s="247"/>
      <c r="D9486" s="317"/>
      <c r="E9486" s="318"/>
      <c r="F9486" s="247"/>
      <c r="G9486" s="247"/>
      <c r="H9486" s="248"/>
      <c r="I9486" s="248"/>
      <c r="J9486" s="247"/>
      <c r="K9486" s="249"/>
    </row>
    <row r="9487" spans="1:11" s="90" customFormat="1" ht="12.75" customHeight="1" x14ac:dyDescent="0.2">
      <c r="A9487" s="247"/>
      <c r="B9487" s="316"/>
      <c r="C9487" s="247"/>
      <c r="D9487" s="317"/>
      <c r="E9487" s="318"/>
      <c r="F9487" s="247"/>
      <c r="G9487" s="247"/>
      <c r="H9487" s="248"/>
      <c r="I9487" s="248"/>
      <c r="J9487" s="247"/>
      <c r="K9487" s="249"/>
    </row>
    <row r="9488" spans="1:11" s="90" customFormat="1" ht="12.75" customHeight="1" x14ac:dyDescent="0.2">
      <c r="A9488" s="247"/>
      <c r="B9488" s="316"/>
      <c r="C9488" s="247"/>
      <c r="D9488" s="317"/>
      <c r="E9488" s="318"/>
      <c r="F9488" s="247"/>
      <c r="G9488" s="247"/>
      <c r="H9488" s="248"/>
      <c r="I9488" s="248"/>
      <c r="J9488" s="247"/>
      <c r="K9488" s="249"/>
    </row>
    <row r="9489" spans="1:11" s="90" customFormat="1" ht="12.75" customHeight="1" x14ac:dyDescent="0.2">
      <c r="A9489" s="247"/>
      <c r="B9489" s="316"/>
      <c r="C9489" s="247"/>
      <c r="D9489" s="317"/>
      <c r="E9489" s="318"/>
      <c r="F9489" s="247"/>
      <c r="G9489" s="247"/>
      <c r="H9489" s="248"/>
      <c r="I9489" s="248"/>
      <c r="J9489" s="247"/>
      <c r="K9489" s="249"/>
    </row>
    <row r="9490" spans="1:11" s="90" customFormat="1" ht="12.75" customHeight="1" x14ac:dyDescent="0.2">
      <c r="A9490" s="247"/>
      <c r="B9490" s="316"/>
      <c r="C9490" s="247"/>
      <c r="D9490" s="317"/>
      <c r="E9490" s="318"/>
      <c r="F9490" s="247"/>
      <c r="G9490" s="247"/>
      <c r="H9490" s="248"/>
      <c r="I9490" s="248"/>
      <c r="J9490" s="247"/>
      <c r="K9490" s="249"/>
    </row>
    <row r="9491" spans="1:11" s="90" customFormat="1" ht="12.75" customHeight="1" x14ac:dyDescent="0.2">
      <c r="A9491" s="247"/>
      <c r="B9491" s="316"/>
      <c r="C9491" s="247"/>
      <c r="D9491" s="317"/>
      <c r="E9491" s="318"/>
      <c r="F9491" s="247"/>
      <c r="G9491" s="247"/>
      <c r="H9491" s="248"/>
      <c r="I9491" s="248"/>
      <c r="J9491" s="247"/>
      <c r="K9491" s="249"/>
    </row>
    <row r="9492" spans="1:11" s="90" customFormat="1" ht="12.75" customHeight="1" x14ac:dyDescent="0.2">
      <c r="A9492" s="247"/>
      <c r="B9492" s="316"/>
      <c r="C9492" s="247"/>
      <c r="D9492" s="317"/>
      <c r="E9492" s="318"/>
      <c r="F9492" s="247"/>
      <c r="G9492" s="247"/>
      <c r="H9492" s="248"/>
      <c r="I9492" s="248"/>
      <c r="J9492" s="247"/>
      <c r="K9492" s="249"/>
    </row>
    <row r="9493" spans="1:11" s="90" customFormat="1" ht="12.75" customHeight="1" x14ac:dyDescent="0.2">
      <c r="A9493" s="247"/>
      <c r="B9493" s="316"/>
      <c r="C9493" s="247"/>
      <c r="D9493" s="317"/>
      <c r="E9493" s="318"/>
      <c r="F9493" s="247"/>
      <c r="G9493" s="247"/>
      <c r="H9493" s="248"/>
      <c r="I9493" s="248"/>
      <c r="J9493" s="247"/>
      <c r="K9493" s="249"/>
    </row>
    <row r="9494" spans="1:11" s="90" customFormat="1" ht="12.75" customHeight="1" x14ac:dyDescent="0.2">
      <c r="A9494" s="247"/>
      <c r="B9494" s="316"/>
      <c r="C9494" s="247"/>
      <c r="D9494" s="317"/>
      <c r="E9494" s="318"/>
      <c r="F9494" s="247"/>
      <c r="G9494" s="247"/>
      <c r="H9494" s="248"/>
      <c r="I9494" s="248"/>
      <c r="J9494" s="247"/>
      <c r="K9494" s="249"/>
    </row>
    <row r="9495" spans="1:11" s="90" customFormat="1" ht="12.75" customHeight="1" x14ac:dyDescent="0.2">
      <c r="A9495" s="247"/>
      <c r="B9495" s="316"/>
      <c r="C9495" s="247"/>
      <c r="D9495" s="317"/>
      <c r="E9495" s="318"/>
      <c r="F9495" s="247"/>
      <c r="G9495" s="247"/>
      <c r="H9495" s="248"/>
      <c r="I9495" s="248"/>
      <c r="J9495" s="247"/>
      <c r="K9495" s="249"/>
    </row>
    <row r="9496" spans="1:11" s="90" customFormat="1" ht="12.75" customHeight="1" x14ac:dyDescent="0.2">
      <c r="A9496" s="247"/>
      <c r="B9496" s="316"/>
      <c r="C9496" s="247"/>
      <c r="D9496" s="317"/>
      <c r="E9496" s="318"/>
      <c r="F9496" s="247"/>
      <c r="G9496" s="247"/>
      <c r="H9496" s="248"/>
      <c r="I9496" s="248"/>
      <c r="J9496" s="247"/>
      <c r="K9496" s="249"/>
    </row>
    <row r="9497" spans="1:11" s="90" customFormat="1" ht="12.75" customHeight="1" x14ac:dyDescent="0.2">
      <c r="A9497" s="247"/>
      <c r="B9497" s="316"/>
      <c r="C9497" s="247"/>
      <c r="D9497" s="317"/>
      <c r="E9497" s="318"/>
      <c r="F9497" s="247"/>
      <c r="G9497" s="247"/>
      <c r="H9497" s="248"/>
      <c r="I9497" s="248"/>
      <c r="J9497" s="247"/>
      <c r="K9497" s="249"/>
    </row>
    <row r="9498" spans="1:11" s="90" customFormat="1" ht="12.75" customHeight="1" x14ac:dyDescent="0.2">
      <c r="A9498" s="247"/>
      <c r="B9498" s="316"/>
      <c r="C9498" s="247"/>
      <c r="D9498" s="317"/>
      <c r="E9498" s="318"/>
      <c r="F9498" s="247"/>
      <c r="G9498" s="247"/>
      <c r="H9498" s="248"/>
      <c r="I9498" s="248"/>
      <c r="J9498" s="247"/>
      <c r="K9498" s="249"/>
    </row>
    <row r="9499" spans="1:11" s="90" customFormat="1" ht="12.75" customHeight="1" x14ac:dyDescent="0.2">
      <c r="A9499" s="247"/>
      <c r="B9499" s="316"/>
      <c r="C9499" s="247"/>
      <c r="D9499" s="317"/>
      <c r="E9499" s="318"/>
      <c r="F9499" s="247"/>
      <c r="G9499" s="247"/>
      <c r="H9499" s="248"/>
      <c r="I9499" s="248"/>
      <c r="J9499" s="247"/>
      <c r="K9499" s="249"/>
    </row>
    <row r="9500" spans="1:11" s="90" customFormat="1" ht="12.75" customHeight="1" x14ac:dyDescent="0.2">
      <c r="A9500" s="247"/>
      <c r="B9500" s="316"/>
      <c r="C9500" s="247"/>
      <c r="D9500" s="317"/>
      <c r="E9500" s="318"/>
      <c r="F9500" s="247"/>
      <c r="G9500" s="247"/>
      <c r="H9500" s="248"/>
      <c r="I9500" s="248"/>
      <c r="J9500" s="247"/>
      <c r="K9500" s="249"/>
    </row>
    <row r="9501" spans="1:11" s="90" customFormat="1" ht="12.75" customHeight="1" x14ac:dyDescent="0.2">
      <c r="A9501" s="247"/>
      <c r="B9501" s="316"/>
      <c r="C9501" s="247"/>
      <c r="D9501" s="317"/>
      <c r="E9501" s="318"/>
      <c r="F9501" s="247"/>
      <c r="G9501" s="247"/>
      <c r="H9501" s="248"/>
      <c r="I9501" s="248"/>
      <c r="J9501" s="247"/>
      <c r="K9501" s="249"/>
    </row>
    <row r="9502" spans="1:11" s="90" customFormat="1" ht="12.75" customHeight="1" x14ac:dyDescent="0.2">
      <c r="A9502" s="247"/>
      <c r="B9502" s="316"/>
      <c r="C9502" s="247"/>
      <c r="D9502" s="317"/>
      <c r="E9502" s="318"/>
      <c r="F9502" s="247"/>
      <c r="G9502" s="247"/>
      <c r="H9502" s="248"/>
      <c r="I9502" s="248"/>
      <c r="J9502" s="247"/>
      <c r="K9502" s="249"/>
    </row>
    <row r="9503" spans="1:11" s="90" customFormat="1" ht="12.75" customHeight="1" x14ac:dyDescent="0.2">
      <c r="A9503" s="247"/>
      <c r="B9503" s="316"/>
      <c r="C9503" s="247"/>
      <c r="D9503" s="317"/>
      <c r="E9503" s="318"/>
      <c r="F9503" s="247"/>
      <c r="G9503" s="247"/>
      <c r="H9503" s="248"/>
      <c r="I9503" s="248"/>
      <c r="J9503" s="247"/>
      <c r="K9503" s="249"/>
    </row>
    <row r="9504" spans="1:11" s="90" customFormat="1" ht="12.75" customHeight="1" x14ac:dyDescent="0.2">
      <c r="A9504" s="247"/>
      <c r="B9504" s="316"/>
      <c r="C9504" s="247"/>
      <c r="D9504" s="317"/>
      <c r="E9504" s="318"/>
      <c r="F9504" s="247"/>
      <c r="G9504" s="247"/>
      <c r="H9504" s="248"/>
      <c r="I9504" s="248"/>
      <c r="J9504" s="247"/>
      <c r="K9504" s="249"/>
    </row>
    <row r="9505" spans="1:11" s="90" customFormat="1" ht="12.75" customHeight="1" x14ac:dyDescent="0.2">
      <c r="A9505" s="247"/>
      <c r="B9505" s="316"/>
      <c r="C9505" s="247"/>
      <c r="D9505" s="317"/>
      <c r="E9505" s="318"/>
      <c r="F9505" s="247"/>
      <c r="G9505" s="247"/>
      <c r="H9505" s="248"/>
      <c r="I9505" s="248"/>
      <c r="J9505" s="247"/>
      <c r="K9505" s="249"/>
    </row>
    <row r="9506" spans="1:11" s="90" customFormat="1" ht="12.75" customHeight="1" x14ac:dyDescent="0.2">
      <c r="A9506" s="247"/>
      <c r="B9506" s="316"/>
      <c r="C9506" s="247"/>
      <c r="D9506" s="317"/>
      <c r="E9506" s="318"/>
      <c r="F9506" s="247"/>
      <c r="G9506" s="247"/>
      <c r="H9506" s="248"/>
      <c r="I9506" s="248"/>
      <c r="J9506" s="247"/>
      <c r="K9506" s="249"/>
    </row>
    <row r="9507" spans="1:11" s="90" customFormat="1" ht="12.75" customHeight="1" x14ac:dyDescent="0.2">
      <c r="A9507" s="247"/>
      <c r="B9507" s="316"/>
      <c r="C9507" s="247"/>
      <c r="D9507" s="317"/>
      <c r="E9507" s="318"/>
      <c r="F9507" s="247"/>
      <c r="G9507" s="247"/>
      <c r="H9507" s="248"/>
      <c r="I9507" s="248"/>
      <c r="J9507" s="247"/>
      <c r="K9507" s="249"/>
    </row>
    <row r="9508" spans="1:11" s="90" customFormat="1" ht="12.75" customHeight="1" x14ac:dyDescent="0.2">
      <c r="A9508" s="247"/>
      <c r="B9508" s="316"/>
      <c r="C9508" s="247"/>
      <c r="D9508" s="317"/>
      <c r="E9508" s="318"/>
      <c r="F9508" s="247"/>
      <c r="G9508" s="247"/>
      <c r="H9508" s="248"/>
      <c r="I9508" s="248"/>
      <c r="J9508" s="247"/>
      <c r="K9508" s="249"/>
    </row>
    <row r="9509" spans="1:11" s="90" customFormat="1" ht="12.75" customHeight="1" x14ac:dyDescent="0.2">
      <c r="A9509" s="247"/>
      <c r="B9509" s="316"/>
      <c r="C9509" s="247"/>
      <c r="D9509" s="317"/>
      <c r="E9509" s="318"/>
      <c r="F9509" s="247"/>
      <c r="G9509" s="247"/>
      <c r="H9509" s="248"/>
      <c r="I9509" s="248"/>
      <c r="J9509" s="247"/>
      <c r="K9509" s="249"/>
    </row>
    <row r="9510" spans="1:11" s="90" customFormat="1" ht="12.75" customHeight="1" x14ac:dyDescent="0.2">
      <c r="A9510" s="247"/>
      <c r="B9510" s="316"/>
      <c r="C9510" s="247"/>
      <c r="D9510" s="317"/>
      <c r="E9510" s="318"/>
      <c r="F9510" s="247"/>
      <c r="G9510" s="247"/>
      <c r="H9510" s="248"/>
      <c r="I9510" s="248"/>
      <c r="J9510" s="247"/>
      <c r="K9510" s="249"/>
    </row>
    <row r="9511" spans="1:11" s="90" customFormat="1" ht="12.75" customHeight="1" x14ac:dyDescent="0.2">
      <c r="A9511" s="247"/>
      <c r="B9511" s="316"/>
      <c r="C9511" s="247"/>
      <c r="D9511" s="317"/>
      <c r="E9511" s="318"/>
      <c r="F9511" s="247"/>
      <c r="G9511" s="247"/>
      <c r="H9511" s="248"/>
      <c r="I9511" s="248"/>
      <c r="J9511" s="247"/>
      <c r="K9511" s="249"/>
    </row>
    <row r="9512" spans="1:11" s="90" customFormat="1" ht="12.75" customHeight="1" x14ac:dyDescent="0.2">
      <c r="A9512" s="247"/>
      <c r="B9512" s="316"/>
      <c r="C9512" s="247"/>
      <c r="D9512" s="317"/>
      <c r="E9512" s="318"/>
      <c r="F9512" s="247"/>
      <c r="G9512" s="247"/>
      <c r="H9512" s="248"/>
      <c r="I9512" s="248"/>
      <c r="J9512" s="247"/>
      <c r="K9512" s="249"/>
    </row>
    <row r="9513" spans="1:11" s="90" customFormat="1" ht="12.75" customHeight="1" x14ac:dyDescent="0.2">
      <c r="A9513" s="247"/>
      <c r="B9513" s="316"/>
      <c r="C9513" s="247"/>
      <c r="D9513" s="317"/>
      <c r="E9513" s="318"/>
      <c r="F9513" s="247"/>
      <c r="G9513" s="247"/>
      <c r="H9513" s="248"/>
      <c r="I9513" s="248"/>
      <c r="J9513" s="247"/>
      <c r="K9513" s="249"/>
    </row>
    <row r="9514" spans="1:11" s="90" customFormat="1" ht="12.75" customHeight="1" x14ac:dyDescent="0.2">
      <c r="A9514" s="247"/>
      <c r="B9514" s="316"/>
      <c r="C9514" s="247"/>
      <c r="D9514" s="317"/>
      <c r="E9514" s="318"/>
      <c r="F9514" s="247"/>
      <c r="G9514" s="247"/>
      <c r="H9514" s="248"/>
      <c r="I9514" s="248"/>
      <c r="J9514" s="247"/>
      <c r="K9514" s="249"/>
    </row>
    <row r="9515" spans="1:11" s="90" customFormat="1" ht="12.75" customHeight="1" x14ac:dyDescent="0.2">
      <c r="A9515" s="247"/>
      <c r="B9515" s="316"/>
      <c r="C9515" s="247"/>
      <c r="D9515" s="317"/>
      <c r="E9515" s="318"/>
      <c r="F9515" s="247"/>
      <c r="G9515" s="247"/>
      <c r="H9515" s="248"/>
      <c r="I9515" s="248"/>
      <c r="J9515" s="247"/>
      <c r="K9515" s="249"/>
    </row>
    <row r="9516" spans="1:11" s="90" customFormat="1" ht="12.75" customHeight="1" x14ac:dyDescent="0.2">
      <c r="A9516" s="247"/>
      <c r="B9516" s="316"/>
      <c r="C9516" s="247"/>
      <c r="D9516" s="317"/>
      <c r="E9516" s="318"/>
      <c r="F9516" s="247"/>
      <c r="G9516" s="247"/>
      <c r="H9516" s="248"/>
      <c r="I9516" s="248"/>
      <c r="J9516" s="247"/>
      <c r="K9516" s="249"/>
    </row>
    <row r="9517" spans="1:11" s="90" customFormat="1" ht="12.75" customHeight="1" x14ac:dyDescent="0.2">
      <c r="A9517" s="247"/>
      <c r="B9517" s="316"/>
      <c r="C9517" s="247"/>
      <c r="D9517" s="317"/>
      <c r="E9517" s="318"/>
      <c r="F9517" s="247"/>
      <c r="G9517" s="247"/>
      <c r="H9517" s="248"/>
      <c r="I9517" s="248"/>
      <c r="J9517" s="247"/>
      <c r="K9517" s="249"/>
    </row>
    <row r="9518" spans="1:11" s="90" customFormat="1" ht="12.75" customHeight="1" x14ac:dyDescent="0.2">
      <c r="A9518" s="247"/>
      <c r="B9518" s="316"/>
      <c r="C9518" s="247"/>
      <c r="D9518" s="317"/>
      <c r="E9518" s="318"/>
      <c r="F9518" s="247"/>
      <c r="G9518" s="247"/>
      <c r="H9518" s="248"/>
      <c r="I9518" s="248"/>
      <c r="J9518" s="247"/>
      <c r="K9518" s="249"/>
    </row>
    <row r="9519" spans="1:11" s="90" customFormat="1" ht="12.75" customHeight="1" x14ac:dyDescent="0.2">
      <c r="A9519" s="247"/>
      <c r="B9519" s="316"/>
      <c r="C9519" s="247"/>
      <c r="D9519" s="317"/>
      <c r="E9519" s="318"/>
      <c r="F9519" s="247"/>
      <c r="G9519" s="247"/>
      <c r="H9519" s="248"/>
      <c r="I9519" s="248"/>
      <c r="J9519" s="247"/>
      <c r="K9519" s="249"/>
    </row>
    <row r="9520" spans="1:11" s="90" customFormat="1" ht="12.75" customHeight="1" x14ac:dyDescent="0.2">
      <c r="A9520" s="247"/>
      <c r="B9520" s="316"/>
      <c r="C9520" s="247"/>
      <c r="D9520" s="317"/>
      <c r="E9520" s="318"/>
      <c r="F9520" s="247"/>
      <c r="G9520" s="247"/>
      <c r="H9520" s="248"/>
      <c r="I9520" s="248"/>
      <c r="J9520" s="247"/>
      <c r="K9520" s="249"/>
    </row>
    <row r="9521" spans="1:11" s="90" customFormat="1" ht="12.75" customHeight="1" x14ac:dyDescent="0.2">
      <c r="A9521" s="247"/>
      <c r="B9521" s="316"/>
      <c r="C9521" s="247"/>
      <c r="D9521" s="317"/>
      <c r="E9521" s="318"/>
      <c r="F9521" s="247"/>
      <c r="G9521" s="247"/>
      <c r="H9521" s="248"/>
      <c r="I9521" s="248"/>
      <c r="J9521" s="247"/>
      <c r="K9521" s="249"/>
    </row>
    <row r="9522" spans="1:11" s="90" customFormat="1" ht="12.75" customHeight="1" x14ac:dyDescent="0.2">
      <c r="A9522" s="247"/>
      <c r="B9522" s="316"/>
      <c r="C9522" s="247"/>
      <c r="D9522" s="317"/>
      <c r="E9522" s="318"/>
      <c r="F9522" s="247"/>
      <c r="G9522" s="247"/>
      <c r="H9522" s="248"/>
      <c r="I9522" s="248"/>
      <c r="J9522" s="247"/>
      <c r="K9522" s="249"/>
    </row>
    <row r="9523" spans="1:11" s="90" customFormat="1" ht="12.75" customHeight="1" x14ac:dyDescent="0.2">
      <c r="A9523" s="247"/>
      <c r="B9523" s="316"/>
      <c r="C9523" s="247"/>
      <c r="D9523" s="317"/>
      <c r="E9523" s="318"/>
      <c r="F9523" s="247"/>
      <c r="G9523" s="247"/>
      <c r="H9523" s="248"/>
      <c r="I9523" s="248"/>
      <c r="J9523" s="247"/>
      <c r="K9523" s="249"/>
    </row>
    <row r="9524" spans="1:11" s="90" customFormat="1" ht="12.75" customHeight="1" x14ac:dyDescent="0.2">
      <c r="A9524" s="247"/>
      <c r="B9524" s="316"/>
      <c r="C9524" s="247"/>
      <c r="D9524" s="317"/>
      <c r="E9524" s="318"/>
      <c r="F9524" s="247"/>
      <c r="G9524" s="247"/>
      <c r="H9524" s="248"/>
      <c r="I9524" s="248"/>
      <c r="J9524" s="247"/>
      <c r="K9524" s="249"/>
    </row>
    <row r="9525" spans="1:11" s="90" customFormat="1" ht="12.75" customHeight="1" x14ac:dyDescent="0.2">
      <c r="A9525" s="247"/>
      <c r="B9525" s="316"/>
      <c r="C9525" s="247"/>
      <c r="D9525" s="317"/>
      <c r="E9525" s="318"/>
      <c r="F9525" s="247"/>
      <c r="G9525" s="247"/>
      <c r="H9525" s="248"/>
      <c r="I9525" s="248"/>
      <c r="J9525" s="247"/>
      <c r="K9525" s="249"/>
    </row>
    <row r="9526" spans="1:11" s="90" customFormat="1" ht="12.75" customHeight="1" x14ac:dyDescent="0.2">
      <c r="A9526" s="247"/>
      <c r="B9526" s="316"/>
      <c r="C9526" s="247"/>
      <c r="D9526" s="317"/>
      <c r="E9526" s="318"/>
      <c r="F9526" s="247"/>
      <c r="G9526" s="247"/>
      <c r="H9526" s="248"/>
      <c r="I9526" s="248"/>
      <c r="J9526" s="247"/>
      <c r="K9526" s="249"/>
    </row>
    <row r="9527" spans="1:11" s="90" customFormat="1" ht="12.75" customHeight="1" x14ac:dyDescent="0.2">
      <c r="A9527" s="247"/>
      <c r="B9527" s="316"/>
      <c r="C9527" s="247"/>
      <c r="D9527" s="317"/>
      <c r="E9527" s="318"/>
      <c r="F9527" s="247"/>
      <c r="G9527" s="247"/>
      <c r="H9527" s="248"/>
      <c r="I9527" s="248"/>
      <c r="J9527" s="247"/>
      <c r="K9527" s="249"/>
    </row>
    <row r="9528" spans="1:11" s="90" customFormat="1" ht="12.75" customHeight="1" x14ac:dyDescent="0.2">
      <c r="A9528" s="247"/>
      <c r="B9528" s="316"/>
      <c r="C9528" s="247"/>
      <c r="D9528" s="317"/>
      <c r="E9528" s="318"/>
      <c r="F9528" s="247"/>
      <c r="G9528" s="247"/>
      <c r="H9528" s="248"/>
      <c r="I9528" s="248"/>
      <c r="J9528" s="247"/>
      <c r="K9528" s="249"/>
    </row>
    <row r="9529" spans="1:11" s="90" customFormat="1" ht="12.75" customHeight="1" x14ac:dyDescent="0.2">
      <c r="A9529" s="247"/>
      <c r="B9529" s="316"/>
      <c r="C9529" s="247"/>
      <c r="D9529" s="317"/>
      <c r="E9529" s="318"/>
      <c r="F9529" s="247"/>
      <c r="G9529" s="247"/>
      <c r="H9529" s="248"/>
      <c r="I9529" s="248"/>
      <c r="J9529" s="247"/>
      <c r="K9529" s="249"/>
    </row>
    <row r="9530" spans="1:11" s="90" customFormat="1" ht="12.75" customHeight="1" x14ac:dyDescent="0.2">
      <c r="A9530" s="247"/>
      <c r="B9530" s="316"/>
      <c r="C9530" s="247"/>
      <c r="D9530" s="317"/>
      <c r="E9530" s="318"/>
      <c r="F9530" s="247"/>
      <c r="G9530" s="247"/>
      <c r="H9530" s="248"/>
      <c r="I9530" s="248"/>
      <c r="J9530" s="247"/>
      <c r="K9530" s="249"/>
    </row>
    <row r="9531" spans="1:11" s="90" customFormat="1" ht="12.75" customHeight="1" x14ac:dyDescent="0.2">
      <c r="A9531" s="247"/>
      <c r="B9531" s="316"/>
      <c r="C9531" s="247"/>
      <c r="D9531" s="317"/>
      <c r="E9531" s="318"/>
      <c r="F9531" s="247"/>
      <c r="G9531" s="247"/>
      <c r="H9531" s="248"/>
      <c r="I9531" s="248"/>
      <c r="J9531" s="247"/>
      <c r="K9531" s="249"/>
    </row>
    <row r="9532" spans="1:11" s="90" customFormat="1" ht="12.75" customHeight="1" x14ac:dyDescent="0.2">
      <c r="A9532" s="247"/>
      <c r="B9532" s="316"/>
      <c r="C9532" s="247"/>
      <c r="D9532" s="317"/>
      <c r="E9532" s="318"/>
      <c r="F9532" s="247"/>
      <c r="G9532" s="247"/>
      <c r="H9532" s="248"/>
      <c r="I9532" s="248"/>
      <c r="J9532" s="247"/>
      <c r="K9532" s="249"/>
    </row>
    <row r="9533" spans="1:11" s="90" customFormat="1" ht="12.75" customHeight="1" x14ac:dyDescent="0.2">
      <c r="A9533" s="247"/>
      <c r="B9533" s="316"/>
      <c r="C9533" s="247"/>
      <c r="D9533" s="317"/>
      <c r="E9533" s="318"/>
      <c r="F9533" s="247"/>
      <c r="G9533" s="247"/>
      <c r="H9533" s="248"/>
      <c r="I9533" s="248"/>
      <c r="J9533" s="247"/>
      <c r="K9533" s="249"/>
    </row>
    <row r="9534" spans="1:11" s="90" customFormat="1" ht="12.75" customHeight="1" x14ac:dyDescent="0.2">
      <c r="A9534" s="247"/>
      <c r="B9534" s="316"/>
      <c r="C9534" s="247"/>
      <c r="D9534" s="317"/>
      <c r="E9534" s="318"/>
      <c r="F9534" s="247"/>
      <c r="G9534" s="247"/>
      <c r="H9534" s="248"/>
      <c r="I9534" s="248"/>
      <c r="J9534" s="247"/>
      <c r="K9534" s="249"/>
    </row>
    <row r="9535" spans="1:11" s="90" customFormat="1" ht="12.75" customHeight="1" x14ac:dyDescent="0.2">
      <c r="A9535" s="247"/>
      <c r="B9535" s="316"/>
      <c r="C9535" s="247"/>
      <c r="D9535" s="317"/>
      <c r="E9535" s="318"/>
      <c r="F9535" s="247"/>
      <c r="G9535" s="247"/>
      <c r="H9535" s="248"/>
      <c r="I9535" s="248"/>
      <c r="J9535" s="247"/>
      <c r="K9535" s="249"/>
    </row>
    <row r="9536" spans="1:11" s="90" customFormat="1" ht="12.75" customHeight="1" x14ac:dyDescent="0.2">
      <c r="A9536" s="247"/>
      <c r="B9536" s="316"/>
      <c r="C9536" s="247"/>
      <c r="D9536" s="317"/>
      <c r="E9536" s="318"/>
      <c r="F9536" s="247"/>
      <c r="G9536" s="247"/>
      <c r="H9536" s="248"/>
      <c r="I9536" s="248"/>
      <c r="J9536" s="247"/>
      <c r="K9536" s="249"/>
    </row>
    <row r="9537" spans="1:11" s="90" customFormat="1" ht="12.75" customHeight="1" x14ac:dyDescent="0.2">
      <c r="A9537" s="247"/>
      <c r="B9537" s="316"/>
      <c r="C9537" s="247"/>
      <c r="D9537" s="317"/>
      <c r="E9537" s="318"/>
      <c r="F9537" s="247"/>
      <c r="G9537" s="247"/>
      <c r="H9537" s="248"/>
      <c r="I9537" s="248"/>
      <c r="J9537" s="247"/>
      <c r="K9537" s="249"/>
    </row>
    <row r="9538" spans="1:11" s="90" customFormat="1" ht="12.75" customHeight="1" x14ac:dyDescent="0.2">
      <c r="A9538" s="247"/>
      <c r="B9538" s="316"/>
      <c r="C9538" s="247"/>
      <c r="D9538" s="317"/>
      <c r="E9538" s="318"/>
      <c r="F9538" s="247"/>
      <c r="G9538" s="247"/>
      <c r="H9538" s="248"/>
      <c r="I9538" s="248"/>
      <c r="J9538" s="247"/>
      <c r="K9538" s="249"/>
    </row>
    <row r="9539" spans="1:11" s="90" customFormat="1" ht="12.75" customHeight="1" x14ac:dyDescent="0.2">
      <c r="A9539" s="247"/>
      <c r="B9539" s="316"/>
      <c r="C9539" s="247"/>
      <c r="D9539" s="317"/>
      <c r="E9539" s="318"/>
      <c r="F9539" s="247"/>
      <c r="G9539" s="247"/>
      <c r="H9539" s="248"/>
      <c r="I9539" s="248"/>
      <c r="J9539" s="247"/>
      <c r="K9539" s="249"/>
    </row>
    <row r="9540" spans="1:11" s="90" customFormat="1" ht="12.75" customHeight="1" x14ac:dyDescent="0.2">
      <c r="A9540" s="247"/>
      <c r="B9540" s="316"/>
      <c r="C9540" s="247"/>
      <c r="D9540" s="317"/>
      <c r="E9540" s="318"/>
      <c r="F9540" s="247"/>
      <c r="G9540" s="247"/>
      <c r="H9540" s="248"/>
      <c r="I9540" s="248"/>
      <c r="J9540" s="247"/>
      <c r="K9540" s="249"/>
    </row>
    <row r="9541" spans="1:11" s="90" customFormat="1" ht="12.75" customHeight="1" x14ac:dyDescent="0.2">
      <c r="A9541" s="247"/>
      <c r="B9541" s="316"/>
      <c r="C9541" s="247"/>
      <c r="D9541" s="317"/>
      <c r="E9541" s="318"/>
      <c r="F9541" s="247"/>
      <c r="G9541" s="247"/>
      <c r="H9541" s="248"/>
      <c r="I9541" s="248"/>
      <c r="J9541" s="247"/>
      <c r="K9541" s="249"/>
    </row>
    <row r="9542" spans="1:11" s="90" customFormat="1" ht="12.75" customHeight="1" x14ac:dyDescent="0.2">
      <c r="A9542" s="247"/>
      <c r="B9542" s="316"/>
      <c r="C9542" s="247"/>
      <c r="D9542" s="317"/>
      <c r="E9542" s="318"/>
      <c r="F9542" s="247"/>
      <c r="G9542" s="247"/>
      <c r="H9542" s="248"/>
      <c r="I9542" s="248"/>
      <c r="J9542" s="247"/>
      <c r="K9542" s="249"/>
    </row>
    <row r="9543" spans="1:11" s="90" customFormat="1" ht="12.75" customHeight="1" x14ac:dyDescent="0.2">
      <c r="A9543" s="247"/>
      <c r="B9543" s="316"/>
      <c r="C9543" s="247"/>
      <c r="D9543" s="317"/>
      <c r="E9543" s="318"/>
      <c r="F9543" s="247"/>
      <c r="G9543" s="247"/>
      <c r="H9543" s="248"/>
      <c r="I9543" s="248"/>
      <c r="J9543" s="247"/>
      <c r="K9543" s="249"/>
    </row>
    <row r="9544" spans="1:11" s="90" customFormat="1" ht="12.75" customHeight="1" x14ac:dyDescent="0.2">
      <c r="A9544" s="247"/>
      <c r="B9544" s="316"/>
      <c r="C9544" s="247"/>
      <c r="D9544" s="317"/>
      <c r="E9544" s="318"/>
      <c r="F9544" s="247"/>
      <c r="G9544" s="247"/>
      <c r="H9544" s="248"/>
      <c r="I9544" s="248"/>
      <c r="J9544" s="247"/>
      <c r="K9544" s="249"/>
    </row>
    <row r="9545" spans="1:11" s="90" customFormat="1" ht="12.75" customHeight="1" x14ac:dyDescent="0.2">
      <c r="A9545" s="247"/>
      <c r="B9545" s="316"/>
      <c r="C9545" s="247"/>
      <c r="D9545" s="317"/>
      <c r="E9545" s="318"/>
      <c r="F9545" s="247"/>
      <c r="G9545" s="247"/>
      <c r="H9545" s="248"/>
      <c r="I9545" s="248"/>
      <c r="J9545" s="247"/>
      <c r="K9545" s="249"/>
    </row>
    <row r="9546" spans="1:11" s="90" customFormat="1" ht="12.75" customHeight="1" x14ac:dyDescent="0.2">
      <c r="A9546" s="247"/>
      <c r="B9546" s="316"/>
      <c r="C9546" s="247"/>
      <c r="D9546" s="317"/>
      <c r="E9546" s="318"/>
      <c r="F9546" s="247"/>
      <c r="G9546" s="247"/>
      <c r="H9546" s="248"/>
      <c r="I9546" s="248"/>
      <c r="J9546" s="247"/>
      <c r="K9546" s="249"/>
    </row>
    <row r="9547" spans="1:11" s="90" customFormat="1" ht="12.75" customHeight="1" x14ac:dyDescent="0.2">
      <c r="A9547" s="247"/>
      <c r="B9547" s="316"/>
      <c r="C9547" s="247"/>
      <c r="D9547" s="317"/>
      <c r="E9547" s="318"/>
      <c r="F9547" s="247"/>
      <c r="G9547" s="247"/>
      <c r="H9547" s="248"/>
      <c r="I9547" s="248"/>
      <c r="J9547" s="247"/>
      <c r="K9547" s="249"/>
    </row>
    <row r="9548" spans="1:11" s="90" customFormat="1" ht="12.75" customHeight="1" x14ac:dyDescent="0.2">
      <c r="A9548" s="247"/>
      <c r="B9548" s="316"/>
      <c r="C9548" s="247"/>
      <c r="D9548" s="317"/>
      <c r="E9548" s="318"/>
      <c r="F9548" s="247"/>
      <c r="G9548" s="247"/>
      <c r="H9548" s="248"/>
      <c r="I9548" s="248"/>
      <c r="J9548" s="247"/>
      <c r="K9548" s="249"/>
    </row>
    <row r="9549" spans="1:11" s="90" customFormat="1" ht="12.75" customHeight="1" x14ac:dyDescent="0.2">
      <c r="A9549" s="247"/>
      <c r="B9549" s="316"/>
      <c r="C9549" s="247"/>
      <c r="D9549" s="317"/>
      <c r="E9549" s="318"/>
      <c r="F9549" s="247"/>
      <c r="G9549" s="247"/>
      <c r="H9549" s="248"/>
      <c r="I9549" s="248"/>
      <c r="J9549" s="247"/>
      <c r="K9549" s="249"/>
    </row>
    <row r="9550" spans="1:11" s="90" customFormat="1" ht="12.75" customHeight="1" x14ac:dyDescent="0.2">
      <c r="A9550" s="247"/>
      <c r="B9550" s="316"/>
      <c r="C9550" s="247"/>
      <c r="D9550" s="317"/>
      <c r="E9550" s="318"/>
      <c r="F9550" s="247"/>
      <c r="G9550" s="247"/>
      <c r="H9550" s="248"/>
      <c r="I9550" s="248"/>
      <c r="J9550" s="247"/>
      <c r="K9550" s="249"/>
    </row>
    <row r="9551" spans="1:11" s="90" customFormat="1" ht="12.75" customHeight="1" x14ac:dyDescent="0.2">
      <c r="A9551" s="247"/>
      <c r="B9551" s="316"/>
      <c r="C9551" s="247"/>
      <c r="D9551" s="317"/>
      <c r="E9551" s="318"/>
      <c r="F9551" s="247"/>
      <c r="G9551" s="247"/>
      <c r="H9551" s="248"/>
      <c r="I9551" s="248"/>
      <c r="J9551" s="247"/>
      <c r="K9551" s="249"/>
    </row>
    <row r="9552" spans="1:11" s="90" customFormat="1" ht="12.75" customHeight="1" x14ac:dyDescent="0.2">
      <c r="A9552" s="247"/>
      <c r="B9552" s="316"/>
      <c r="C9552" s="247"/>
      <c r="D9552" s="317"/>
      <c r="E9552" s="318"/>
      <c r="F9552" s="247"/>
      <c r="G9552" s="247"/>
      <c r="H9552" s="248"/>
      <c r="I9552" s="248"/>
      <c r="J9552" s="247"/>
      <c r="K9552" s="249"/>
    </row>
    <row r="9553" spans="1:11" s="90" customFormat="1" ht="12.75" customHeight="1" x14ac:dyDescent="0.2">
      <c r="A9553" s="247"/>
      <c r="B9553" s="316"/>
      <c r="C9553" s="247"/>
      <c r="D9553" s="317"/>
      <c r="E9553" s="318"/>
      <c r="F9553" s="247"/>
      <c r="G9553" s="247"/>
      <c r="H9553" s="248"/>
      <c r="I9553" s="248"/>
      <c r="J9553" s="247"/>
      <c r="K9553" s="249"/>
    </row>
    <row r="9554" spans="1:11" s="90" customFormat="1" ht="12.75" customHeight="1" x14ac:dyDescent="0.2">
      <c r="A9554" s="247"/>
      <c r="B9554" s="316"/>
      <c r="C9554" s="247"/>
      <c r="D9554" s="317"/>
      <c r="E9554" s="318"/>
      <c r="F9554" s="247"/>
      <c r="G9554" s="247"/>
      <c r="H9554" s="248"/>
      <c r="I9554" s="248"/>
      <c r="J9554" s="247"/>
      <c r="K9554" s="249"/>
    </row>
    <row r="9555" spans="1:11" s="90" customFormat="1" ht="12.75" customHeight="1" x14ac:dyDescent="0.2">
      <c r="A9555" s="247"/>
      <c r="B9555" s="316"/>
      <c r="C9555" s="247"/>
      <c r="D9555" s="317"/>
      <c r="E9555" s="318"/>
      <c r="F9555" s="247"/>
      <c r="G9555" s="247"/>
      <c r="H9555" s="248"/>
      <c r="I9555" s="248"/>
      <c r="J9555" s="247"/>
      <c r="K9555" s="249"/>
    </row>
    <row r="9556" spans="1:11" s="90" customFormat="1" ht="12.75" customHeight="1" x14ac:dyDescent="0.2">
      <c r="A9556" s="247"/>
      <c r="B9556" s="316"/>
      <c r="C9556" s="247"/>
      <c r="D9556" s="317"/>
      <c r="E9556" s="318"/>
      <c r="F9556" s="247"/>
      <c r="G9556" s="247"/>
      <c r="H9556" s="248"/>
      <c r="I9556" s="248"/>
      <c r="J9556" s="247"/>
      <c r="K9556" s="249"/>
    </row>
    <row r="9557" spans="1:11" s="90" customFormat="1" ht="12.75" customHeight="1" x14ac:dyDescent="0.2">
      <c r="A9557" s="247"/>
      <c r="B9557" s="316"/>
      <c r="C9557" s="247"/>
      <c r="D9557" s="317"/>
      <c r="E9557" s="318"/>
      <c r="F9557" s="247"/>
      <c r="G9557" s="247"/>
      <c r="H9557" s="248"/>
      <c r="I9557" s="248"/>
      <c r="J9557" s="247"/>
      <c r="K9557" s="249"/>
    </row>
    <row r="9558" spans="1:11" s="90" customFormat="1" ht="12.75" customHeight="1" x14ac:dyDescent="0.2">
      <c r="A9558" s="247"/>
      <c r="B9558" s="316"/>
      <c r="C9558" s="247"/>
      <c r="D9558" s="317"/>
      <c r="E9558" s="318"/>
      <c r="F9558" s="247"/>
      <c r="G9558" s="247"/>
      <c r="H9558" s="248"/>
      <c r="I9558" s="248"/>
      <c r="J9558" s="247"/>
      <c r="K9558" s="249"/>
    </row>
    <row r="9559" spans="1:11" s="90" customFormat="1" ht="12.75" customHeight="1" x14ac:dyDescent="0.2">
      <c r="A9559" s="247"/>
      <c r="B9559" s="316"/>
      <c r="C9559" s="247"/>
      <c r="D9559" s="317"/>
      <c r="E9559" s="318"/>
      <c r="F9559" s="247"/>
      <c r="G9559" s="247"/>
      <c r="H9559" s="248"/>
      <c r="I9559" s="248"/>
      <c r="J9559" s="247"/>
      <c r="K9559" s="249"/>
    </row>
    <row r="9560" spans="1:11" s="90" customFormat="1" ht="12.75" customHeight="1" x14ac:dyDescent="0.2">
      <c r="A9560" s="247"/>
      <c r="B9560" s="316"/>
      <c r="C9560" s="247"/>
      <c r="D9560" s="317"/>
      <c r="E9560" s="318"/>
      <c r="F9560" s="247"/>
      <c r="G9560" s="247"/>
      <c r="H9560" s="248"/>
      <c r="I9560" s="248"/>
      <c r="J9560" s="247"/>
      <c r="K9560" s="249"/>
    </row>
    <row r="9561" spans="1:11" s="90" customFormat="1" ht="12.75" customHeight="1" x14ac:dyDescent="0.2">
      <c r="A9561" s="247"/>
      <c r="B9561" s="316"/>
      <c r="C9561" s="247"/>
      <c r="D9561" s="317"/>
      <c r="E9561" s="318"/>
      <c r="F9561" s="247"/>
      <c r="G9561" s="247"/>
      <c r="H9561" s="248"/>
      <c r="I9561" s="248"/>
      <c r="J9561" s="247"/>
      <c r="K9561" s="249"/>
    </row>
    <row r="9562" spans="1:11" s="90" customFormat="1" ht="12.75" customHeight="1" x14ac:dyDescent="0.2">
      <c r="A9562" s="247"/>
      <c r="B9562" s="316"/>
      <c r="C9562" s="247"/>
      <c r="D9562" s="317"/>
      <c r="E9562" s="318"/>
      <c r="F9562" s="247"/>
      <c r="G9562" s="247"/>
      <c r="H9562" s="248"/>
      <c r="I9562" s="248"/>
      <c r="J9562" s="247"/>
      <c r="K9562" s="249"/>
    </row>
    <row r="9563" spans="1:11" s="90" customFormat="1" ht="12.75" customHeight="1" x14ac:dyDescent="0.2">
      <c r="A9563" s="247"/>
      <c r="B9563" s="316"/>
      <c r="C9563" s="247"/>
      <c r="D9563" s="317"/>
      <c r="E9563" s="318"/>
      <c r="F9563" s="247"/>
      <c r="G9563" s="247"/>
      <c r="H9563" s="248"/>
      <c r="I9563" s="248"/>
      <c r="J9563" s="247"/>
      <c r="K9563" s="249"/>
    </row>
    <row r="9564" spans="1:11" s="90" customFormat="1" ht="12.75" customHeight="1" x14ac:dyDescent="0.2">
      <c r="A9564" s="247"/>
      <c r="B9564" s="316"/>
      <c r="C9564" s="247"/>
      <c r="D9564" s="317"/>
      <c r="E9564" s="318"/>
      <c r="F9564" s="247"/>
      <c r="G9564" s="247"/>
      <c r="H9564" s="248"/>
      <c r="I9564" s="248"/>
      <c r="J9564" s="247"/>
      <c r="K9564" s="249"/>
    </row>
    <row r="9565" spans="1:11" s="90" customFormat="1" ht="12.75" customHeight="1" x14ac:dyDescent="0.2">
      <c r="A9565" s="247"/>
      <c r="B9565" s="316"/>
      <c r="C9565" s="247"/>
      <c r="D9565" s="317"/>
      <c r="E9565" s="318"/>
      <c r="F9565" s="247"/>
      <c r="G9565" s="247"/>
      <c r="H9565" s="248"/>
      <c r="I9565" s="248"/>
      <c r="J9565" s="247"/>
      <c r="K9565" s="249"/>
    </row>
    <row r="9566" spans="1:11" s="90" customFormat="1" ht="12.75" customHeight="1" x14ac:dyDescent="0.2">
      <c r="A9566" s="247"/>
      <c r="B9566" s="316"/>
      <c r="C9566" s="247"/>
      <c r="D9566" s="317"/>
      <c r="E9566" s="318"/>
      <c r="F9566" s="247"/>
      <c r="G9566" s="247"/>
      <c r="H9566" s="248"/>
      <c r="I9566" s="248"/>
      <c r="J9566" s="247"/>
      <c r="K9566" s="249"/>
    </row>
    <row r="9567" spans="1:11" s="90" customFormat="1" ht="12.75" customHeight="1" x14ac:dyDescent="0.2">
      <c r="A9567" s="247"/>
      <c r="B9567" s="316"/>
      <c r="C9567" s="247"/>
      <c r="D9567" s="317"/>
      <c r="E9567" s="318"/>
      <c r="F9567" s="247"/>
      <c r="G9567" s="247"/>
      <c r="H9567" s="248"/>
      <c r="I9567" s="248"/>
      <c r="J9567" s="247"/>
      <c r="K9567" s="249"/>
    </row>
    <row r="9568" spans="1:11" s="90" customFormat="1" ht="12.75" customHeight="1" x14ac:dyDescent="0.2">
      <c r="A9568" s="247"/>
      <c r="B9568" s="316"/>
      <c r="C9568" s="247"/>
      <c r="D9568" s="317"/>
      <c r="E9568" s="318"/>
      <c r="F9568" s="247"/>
      <c r="G9568" s="247"/>
      <c r="H9568" s="248"/>
      <c r="I9568" s="248"/>
      <c r="J9568" s="247"/>
      <c r="K9568" s="249"/>
    </row>
    <row r="9569" spans="1:11" s="90" customFormat="1" ht="12.75" customHeight="1" x14ac:dyDescent="0.2">
      <c r="A9569" s="247"/>
      <c r="B9569" s="316"/>
      <c r="C9569" s="247"/>
      <c r="D9569" s="317"/>
      <c r="E9569" s="318"/>
      <c r="F9569" s="247"/>
      <c r="G9569" s="247"/>
      <c r="H9569" s="248"/>
      <c r="I9569" s="248"/>
      <c r="J9569" s="247"/>
      <c r="K9569" s="249"/>
    </row>
    <row r="9570" spans="1:11" s="90" customFormat="1" ht="12.75" customHeight="1" x14ac:dyDescent="0.2">
      <c r="A9570" s="247"/>
      <c r="B9570" s="316"/>
      <c r="C9570" s="247"/>
      <c r="D9570" s="317"/>
      <c r="E9570" s="318"/>
      <c r="F9570" s="247"/>
      <c r="G9570" s="247"/>
      <c r="H9570" s="248"/>
      <c r="I9570" s="248"/>
      <c r="J9570" s="247"/>
      <c r="K9570" s="249"/>
    </row>
    <row r="9571" spans="1:11" s="90" customFormat="1" ht="12.75" customHeight="1" x14ac:dyDescent="0.2">
      <c r="A9571" s="247"/>
      <c r="B9571" s="316"/>
      <c r="C9571" s="247"/>
      <c r="D9571" s="317"/>
      <c r="E9571" s="318"/>
      <c r="F9571" s="247"/>
      <c r="G9571" s="247"/>
      <c r="H9571" s="248"/>
      <c r="I9571" s="248"/>
      <c r="J9571" s="247"/>
      <c r="K9571" s="249"/>
    </row>
    <row r="9572" spans="1:11" s="90" customFormat="1" ht="12.75" customHeight="1" x14ac:dyDescent="0.2">
      <c r="A9572" s="247"/>
      <c r="B9572" s="316"/>
      <c r="C9572" s="247"/>
      <c r="D9572" s="317"/>
      <c r="E9572" s="318"/>
      <c r="F9572" s="247"/>
      <c r="G9572" s="247"/>
      <c r="H9572" s="248"/>
      <c r="I9572" s="248"/>
      <c r="J9572" s="247"/>
      <c r="K9572" s="249"/>
    </row>
    <row r="9573" spans="1:11" s="90" customFormat="1" ht="12.75" customHeight="1" x14ac:dyDescent="0.2">
      <c r="A9573" s="247"/>
      <c r="B9573" s="316"/>
      <c r="C9573" s="247"/>
      <c r="D9573" s="317"/>
      <c r="E9573" s="318"/>
      <c r="F9573" s="247"/>
      <c r="G9573" s="247"/>
      <c r="H9573" s="248"/>
      <c r="I9573" s="248"/>
      <c r="J9573" s="247"/>
      <c r="K9573" s="249"/>
    </row>
    <row r="9574" spans="1:11" s="90" customFormat="1" ht="12.75" customHeight="1" x14ac:dyDescent="0.2">
      <c r="A9574" s="247"/>
      <c r="B9574" s="316"/>
      <c r="C9574" s="247"/>
      <c r="D9574" s="317"/>
      <c r="E9574" s="318"/>
      <c r="F9574" s="247"/>
      <c r="G9574" s="247"/>
      <c r="H9574" s="248"/>
      <c r="I9574" s="248"/>
      <c r="J9574" s="247"/>
      <c r="K9574" s="249"/>
    </row>
    <row r="9575" spans="1:11" s="90" customFormat="1" ht="12.75" customHeight="1" x14ac:dyDescent="0.2">
      <c r="A9575" s="247"/>
      <c r="B9575" s="316"/>
      <c r="C9575" s="247"/>
      <c r="D9575" s="317"/>
      <c r="E9575" s="318"/>
      <c r="F9575" s="247"/>
      <c r="G9575" s="247"/>
      <c r="H9575" s="248"/>
      <c r="I9575" s="248"/>
      <c r="J9575" s="247"/>
      <c r="K9575" s="249"/>
    </row>
    <row r="9576" spans="1:11" s="90" customFormat="1" ht="12.75" customHeight="1" x14ac:dyDescent="0.2">
      <c r="A9576" s="247"/>
      <c r="B9576" s="316"/>
      <c r="C9576" s="247"/>
      <c r="D9576" s="317"/>
      <c r="E9576" s="318"/>
      <c r="F9576" s="247"/>
      <c r="G9576" s="247"/>
      <c r="H9576" s="248"/>
      <c r="I9576" s="248"/>
      <c r="J9576" s="247"/>
      <c r="K9576" s="249"/>
    </row>
    <row r="9577" spans="1:11" s="90" customFormat="1" ht="12.75" customHeight="1" x14ac:dyDescent="0.2">
      <c r="A9577" s="247"/>
      <c r="B9577" s="316"/>
      <c r="C9577" s="247"/>
      <c r="D9577" s="317"/>
      <c r="E9577" s="318"/>
      <c r="F9577" s="247"/>
      <c r="G9577" s="247"/>
      <c r="H9577" s="248"/>
      <c r="I9577" s="248"/>
      <c r="J9577" s="247"/>
      <c r="K9577" s="249"/>
    </row>
    <row r="9578" spans="1:11" s="90" customFormat="1" ht="12.75" customHeight="1" x14ac:dyDescent="0.2">
      <c r="A9578" s="247"/>
      <c r="B9578" s="316"/>
      <c r="C9578" s="247"/>
      <c r="D9578" s="317"/>
      <c r="E9578" s="318"/>
      <c r="F9578" s="247"/>
      <c r="G9578" s="247"/>
      <c r="H9578" s="248"/>
      <c r="I9578" s="248"/>
      <c r="J9578" s="247"/>
      <c r="K9578" s="249"/>
    </row>
    <row r="9579" spans="1:11" s="90" customFormat="1" ht="12.75" customHeight="1" x14ac:dyDescent="0.2">
      <c r="A9579" s="247"/>
      <c r="B9579" s="316"/>
      <c r="C9579" s="247"/>
      <c r="D9579" s="317"/>
      <c r="E9579" s="318"/>
      <c r="F9579" s="247"/>
      <c r="G9579" s="247"/>
      <c r="H9579" s="248"/>
      <c r="I9579" s="248"/>
      <c r="J9579" s="247"/>
      <c r="K9579" s="249"/>
    </row>
    <row r="9580" spans="1:11" s="90" customFormat="1" ht="12.75" customHeight="1" x14ac:dyDescent="0.2">
      <c r="A9580" s="247"/>
      <c r="B9580" s="316"/>
      <c r="C9580" s="247"/>
      <c r="D9580" s="317"/>
      <c r="E9580" s="318"/>
      <c r="F9580" s="247"/>
      <c r="G9580" s="247"/>
      <c r="H9580" s="248"/>
      <c r="I9580" s="248"/>
      <c r="J9580" s="247"/>
      <c r="K9580" s="249"/>
    </row>
    <row r="9581" spans="1:11" s="90" customFormat="1" ht="12.75" customHeight="1" x14ac:dyDescent="0.2">
      <c r="A9581" s="247"/>
      <c r="B9581" s="316"/>
      <c r="C9581" s="247"/>
      <c r="D9581" s="317"/>
      <c r="E9581" s="318"/>
      <c r="F9581" s="247"/>
      <c r="G9581" s="247"/>
      <c r="H9581" s="248"/>
      <c r="I9581" s="248"/>
      <c r="J9581" s="247"/>
      <c r="K9581" s="249"/>
    </row>
    <row r="9582" spans="1:11" s="90" customFormat="1" ht="12.75" customHeight="1" x14ac:dyDescent="0.2">
      <c r="A9582" s="247"/>
      <c r="B9582" s="316"/>
      <c r="C9582" s="247"/>
      <c r="D9582" s="317"/>
      <c r="E9582" s="318"/>
      <c r="F9582" s="247"/>
      <c r="G9582" s="247"/>
      <c r="H9582" s="248"/>
      <c r="I9582" s="248"/>
      <c r="J9582" s="247"/>
      <c r="K9582" s="249"/>
    </row>
    <row r="9583" spans="1:11" s="90" customFormat="1" ht="12.75" customHeight="1" x14ac:dyDescent="0.2">
      <c r="A9583" s="247"/>
      <c r="B9583" s="316"/>
      <c r="C9583" s="247"/>
      <c r="D9583" s="317"/>
      <c r="E9583" s="318"/>
      <c r="F9583" s="247"/>
      <c r="G9583" s="247"/>
      <c r="H9583" s="248"/>
      <c r="I9583" s="248"/>
      <c r="J9583" s="247"/>
      <c r="K9583" s="249"/>
    </row>
    <row r="9584" spans="1:11" s="90" customFormat="1" ht="12.75" customHeight="1" x14ac:dyDescent="0.2">
      <c r="A9584" s="247"/>
      <c r="B9584" s="316"/>
      <c r="C9584" s="247"/>
      <c r="D9584" s="317"/>
      <c r="E9584" s="318"/>
      <c r="F9584" s="247"/>
      <c r="G9584" s="247"/>
      <c r="H9584" s="248"/>
      <c r="I9584" s="248"/>
      <c r="J9584" s="247"/>
      <c r="K9584" s="249"/>
    </row>
    <row r="9585" spans="1:11" s="90" customFormat="1" ht="12.75" customHeight="1" x14ac:dyDescent="0.2">
      <c r="A9585" s="247"/>
      <c r="B9585" s="316"/>
      <c r="C9585" s="247"/>
      <c r="D9585" s="317"/>
      <c r="E9585" s="318"/>
      <c r="F9585" s="247"/>
      <c r="G9585" s="247"/>
      <c r="H9585" s="248"/>
      <c r="I9585" s="248"/>
      <c r="J9585" s="247"/>
      <c r="K9585" s="249"/>
    </row>
    <row r="9586" spans="1:11" s="90" customFormat="1" ht="12.75" customHeight="1" x14ac:dyDescent="0.2">
      <c r="A9586" s="247"/>
      <c r="B9586" s="316"/>
      <c r="C9586" s="247"/>
      <c r="D9586" s="317"/>
      <c r="E9586" s="318"/>
      <c r="F9586" s="247"/>
      <c r="G9586" s="247"/>
      <c r="H9586" s="248"/>
      <c r="I9586" s="248"/>
      <c r="J9586" s="247"/>
      <c r="K9586" s="249"/>
    </row>
    <row r="9587" spans="1:11" s="90" customFormat="1" ht="12.75" customHeight="1" x14ac:dyDescent="0.2">
      <c r="A9587" s="247"/>
      <c r="B9587" s="316"/>
      <c r="C9587" s="247"/>
      <c r="D9587" s="317"/>
      <c r="E9587" s="318"/>
      <c r="F9587" s="247"/>
      <c r="G9587" s="247"/>
      <c r="H9587" s="248"/>
      <c r="I9587" s="248"/>
      <c r="J9587" s="247"/>
      <c r="K9587" s="249"/>
    </row>
    <row r="9588" spans="1:11" s="90" customFormat="1" ht="12.75" customHeight="1" x14ac:dyDescent="0.2">
      <c r="A9588" s="247"/>
      <c r="B9588" s="316"/>
      <c r="C9588" s="247"/>
      <c r="D9588" s="317"/>
      <c r="E9588" s="318"/>
      <c r="F9588" s="247"/>
      <c r="G9588" s="247"/>
      <c r="H9588" s="248"/>
      <c r="I9588" s="248"/>
      <c r="J9588" s="247"/>
      <c r="K9588" s="249"/>
    </row>
    <row r="9589" spans="1:11" s="90" customFormat="1" ht="12.75" customHeight="1" x14ac:dyDescent="0.2">
      <c r="A9589" s="247"/>
      <c r="B9589" s="316"/>
      <c r="C9589" s="247"/>
      <c r="D9589" s="317"/>
      <c r="E9589" s="318"/>
      <c r="F9589" s="247"/>
      <c r="G9589" s="247"/>
      <c r="H9589" s="248"/>
      <c r="I9589" s="248"/>
      <c r="J9589" s="247"/>
      <c r="K9589" s="249"/>
    </row>
    <row r="9590" spans="1:11" s="90" customFormat="1" ht="12.75" customHeight="1" x14ac:dyDescent="0.2">
      <c r="A9590" s="247"/>
      <c r="B9590" s="316"/>
      <c r="C9590" s="247"/>
      <c r="D9590" s="317"/>
      <c r="E9590" s="318"/>
      <c r="F9590" s="247"/>
      <c r="G9590" s="247"/>
      <c r="H9590" s="248"/>
      <c r="I9590" s="248"/>
      <c r="J9590" s="247"/>
      <c r="K9590" s="249"/>
    </row>
    <row r="9591" spans="1:11" s="90" customFormat="1" ht="12.75" customHeight="1" x14ac:dyDescent="0.2">
      <c r="A9591" s="247"/>
      <c r="B9591" s="316"/>
      <c r="C9591" s="247"/>
      <c r="D9591" s="317"/>
      <c r="E9591" s="318"/>
      <c r="F9591" s="247"/>
      <c r="G9591" s="247"/>
      <c r="H9591" s="248"/>
      <c r="I9591" s="248"/>
      <c r="J9591" s="247"/>
      <c r="K9591" s="249"/>
    </row>
    <row r="9592" spans="1:11" s="90" customFormat="1" ht="12.75" customHeight="1" x14ac:dyDescent="0.2">
      <c r="A9592" s="247"/>
      <c r="B9592" s="316"/>
      <c r="C9592" s="247"/>
      <c r="D9592" s="317"/>
      <c r="E9592" s="318"/>
      <c r="F9592" s="247"/>
      <c r="G9592" s="247"/>
      <c r="H9592" s="248"/>
      <c r="I9592" s="248"/>
      <c r="J9592" s="247"/>
      <c r="K9592" s="249"/>
    </row>
    <row r="9593" spans="1:11" s="90" customFormat="1" ht="12.75" customHeight="1" x14ac:dyDescent="0.2">
      <c r="A9593" s="247"/>
      <c r="B9593" s="316"/>
      <c r="C9593" s="247"/>
      <c r="D9593" s="317"/>
      <c r="E9593" s="318"/>
      <c r="F9593" s="247"/>
      <c r="G9593" s="247"/>
      <c r="H9593" s="248"/>
      <c r="I9593" s="248"/>
      <c r="J9593" s="247"/>
      <c r="K9593" s="249"/>
    </row>
    <row r="9594" spans="1:11" s="90" customFormat="1" ht="12.75" customHeight="1" x14ac:dyDescent="0.2">
      <c r="A9594" s="247"/>
      <c r="B9594" s="316"/>
      <c r="C9594" s="247"/>
      <c r="D9594" s="317"/>
      <c r="E9594" s="318"/>
      <c r="F9594" s="247"/>
      <c r="G9594" s="247"/>
      <c r="H9594" s="248"/>
      <c r="I9594" s="248"/>
      <c r="J9594" s="247"/>
      <c r="K9594" s="249"/>
    </row>
    <row r="9595" spans="1:11" s="90" customFormat="1" ht="12.75" customHeight="1" x14ac:dyDescent="0.2">
      <c r="A9595" s="247"/>
      <c r="B9595" s="316"/>
      <c r="C9595" s="247"/>
      <c r="D9595" s="317"/>
      <c r="E9595" s="318"/>
      <c r="F9595" s="247"/>
      <c r="G9595" s="247"/>
      <c r="H9595" s="248"/>
      <c r="I9595" s="248"/>
      <c r="J9595" s="247"/>
      <c r="K9595" s="249"/>
    </row>
    <row r="9596" spans="1:11" s="90" customFormat="1" ht="12.75" customHeight="1" x14ac:dyDescent="0.2">
      <c r="A9596" s="247"/>
      <c r="B9596" s="316"/>
      <c r="C9596" s="247"/>
      <c r="D9596" s="317"/>
      <c r="E9596" s="318"/>
      <c r="F9596" s="247"/>
      <c r="G9596" s="247"/>
      <c r="H9596" s="248"/>
      <c r="I9596" s="248"/>
      <c r="J9596" s="247"/>
      <c r="K9596" s="249"/>
    </row>
    <row r="9597" spans="1:11" s="90" customFormat="1" ht="12.75" customHeight="1" x14ac:dyDescent="0.2">
      <c r="A9597" s="247"/>
      <c r="B9597" s="316"/>
      <c r="C9597" s="247"/>
      <c r="D9597" s="317"/>
      <c r="E9597" s="318"/>
      <c r="F9597" s="247"/>
      <c r="G9597" s="247"/>
      <c r="H9597" s="248"/>
      <c r="I9597" s="248"/>
      <c r="J9597" s="247"/>
      <c r="K9597" s="249"/>
    </row>
    <row r="9598" spans="1:11" s="90" customFormat="1" ht="12.75" customHeight="1" x14ac:dyDescent="0.2">
      <c r="A9598" s="247"/>
      <c r="B9598" s="316"/>
      <c r="C9598" s="247"/>
      <c r="D9598" s="317"/>
      <c r="E9598" s="318"/>
      <c r="F9598" s="247"/>
      <c r="G9598" s="247"/>
      <c r="H9598" s="248"/>
      <c r="I9598" s="248"/>
      <c r="J9598" s="247"/>
      <c r="K9598" s="249"/>
    </row>
    <row r="9599" spans="1:11" s="90" customFormat="1" ht="12.75" customHeight="1" x14ac:dyDescent="0.2">
      <c r="A9599" s="247"/>
      <c r="B9599" s="316"/>
      <c r="C9599" s="247"/>
      <c r="D9599" s="317"/>
      <c r="E9599" s="318"/>
      <c r="F9599" s="247"/>
      <c r="G9599" s="247"/>
      <c r="H9599" s="248"/>
      <c r="I9599" s="248"/>
      <c r="J9599" s="247"/>
      <c r="K9599" s="249"/>
    </row>
    <row r="9600" spans="1:11" s="90" customFormat="1" ht="12.75" customHeight="1" x14ac:dyDescent="0.2">
      <c r="A9600" s="247"/>
      <c r="B9600" s="316"/>
      <c r="C9600" s="247"/>
      <c r="D9600" s="317"/>
      <c r="E9600" s="318"/>
      <c r="F9600" s="247"/>
      <c r="G9600" s="247"/>
      <c r="H9600" s="248"/>
      <c r="I9600" s="248"/>
      <c r="J9600" s="247"/>
      <c r="K9600" s="249"/>
    </row>
    <row r="9601" spans="1:11" s="90" customFormat="1" ht="12.75" customHeight="1" x14ac:dyDescent="0.2">
      <c r="A9601" s="247"/>
      <c r="B9601" s="316"/>
      <c r="C9601" s="247"/>
      <c r="D9601" s="317"/>
      <c r="E9601" s="318"/>
      <c r="F9601" s="247"/>
      <c r="G9601" s="247"/>
      <c r="H9601" s="248"/>
      <c r="I9601" s="248"/>
      <c r="J9601" s="247"/>
      <c r="K9601" s="249"/>
    </row>
    <row r="9602" spans="1:11" s="90" customFormat="1" ht="12.75" customHeight="1" x14ac:dyDescent="0.2">
      <c r="A9602" s="247"/>
      <c r="B9602" s="316"/>
      <c r="C9602" s="247"/>
      <c r="D9602" s="317"/>
      <c r="E9602" s="318"/>
      <c r="F9602" s="247"/>
      <c r="G9602" s="247"/>
      <c r="H9602" s="248"/>
      <c r="I9602" s="248"/>
      <c r="J9602" s="247"/>
      <c r="K9602" s="249"/>
    </row>
    <row r="9603" spans="1:11" s="90" customFormat="1" ht="12.75" customHeight="1" x14ac:dyDescent="0.2">
      <c r="A9603" s="247"/>
      <c r="B9603" s="316"/>
      <c r="C9603" s="247"/>
      <c r="D9603" s="317"/>
      <c r="E9603" s="318"/>
      <c r="F9603" s="247"/>
      <c r="G9603" s="247"/>
      <c r="H9603" s="248"/>
      <c r="I9603" s="248"/>
      <c r="J9603" s="247"/>
      <c r="K9603" s="249"/>
    </row>
    <row r="9604" spans="1:11" s="90" customFormat="1" ht="12.75" customHeight="1" x14ac:dyDescent="0.2">
      <c r="A9604" s="247"/>
      <c r="B9604" s="316"/>
      <c r="C9604" s="247"/>
      <c r="D9604" s="317"/>
      <c r="E9604" s="318"/>
      <c r="F9604" s="247"/>
      <c r="G9604" s="247"/>
      <c r="H9604" s="248"/>
      <c r="I9604" s="248"/>
      <c r="J9604" s="247"/>
      <c r="K9604" s="249"/>
    </row>
    <row r="9605" spans="1:11" s="90" customFormat="1" ht="12.75" customHeight="1" x14ac:dyDescent="0.2">
      <c r="A9605" s="247"/>
      <c r="B9605" s="316"/>
      <c r="C9605" s="247"/>
      <c r="D9605" s="317"/>
      <c r="E9605" s="318"/>
      <c r="F9605" s="247"/>
      <c r="G9605" s="247"/>
      <c r="H9605" s="248"/>
      <c r="I9605" s="248"/>
      <c r="J9605" s="247"/>
      <c r="K9605" s="249"/>
    </row>
    <row r="9606" spans="1:11" s="90" customFormat="1" ht="12.75" customHeight="1" x14ac:dyDescent="0.2">
      <c r="A9606" s="247"/>
      <c r="B9606" s="316"/>
      <c r="C9606" s="247"/>
      <c r="D9606" s="317"/>
      <c r="E9606" s="318"/>
      <c r="F9606" s="247"/>
      <c r="G9606" s="247"/>
      <c r="H9606" s="248"/>
      <c r="I9606" s="248"/>
      <c r="J9606" s="247"/>
      <c r="K9606" s="249"/>
    </row>
    <row r="9607" spans="1:11" s="90" customFormat="1" ht="12.75" customHeight="1" x14ac:dyDescent="0.2">
      <c r="A9607" s="247"/>
      <c r="B9607" s="316"/>
      <c r="C9607" s="247"/>
      <c r="D9607" s="317"/>
      <c r="E9607" s="318"/>
      <c r="F9607" s="247"/>
      <c r="G9607" s="247"/>
      <c r="H9607" s="248"/>
      <c r="I9607" s="248"/>
      <c r="J9607" s="247"/>
      <c r="K9607" s="249"/>
    </row>
    <row r="9608" spans="1:11" s="90" customFormat="1" ht="12.75" customHeight="1" x14ac:dyDescent="0.2">
      <c r="A9608" s="247"/>
      <c r="B9608" s="316"/>
      <c r="C9608" s="247"/>
      <c r="D9608" s="317"/>
      <c r="E9608" s="318"/>
      <c r="F9608" s="247"/>
      <c r="G9608" s="247"/>
      <c r="H9608" s="248"/>
      <c r="I9608" s="248"/>
      <c r="J9608" s="247"/>
      <c r="K9608" s="249"/>
    </row>
    <row r="9609" spans="1:11" s="90" customFormat="1" ht="12.75" customHeight="1" x14ac:dyDescent="0.2">
      <c r="A9609" s="247"/>
      <c r="B9609" s="316"/>
      <c r="C9609" s="247"/>
      <c r="D9609" s="317"/>
      <c r="E9609" s="318"/>
      <c r="F9609" s="247"/>
      <c r="G9609" s="247"/>
      <c r="H9609" s="248"/>
      <c r="I9609" s="248"/>
      <c r="J9609" s="247"/>
      <c r="K9609" s="249"/>
    </row>
    <row r="9610" spans="1:11" s="90" customFormat="1" ht="12.75" customHeight="1" x14ac:dyDescent="0.2">
      <c r="A9610" s="247"/>
      <c r="B9610" s="316"/>
      <c r="C9610" s="247"/>
      <c r="D9610" s="317"/>
      <c r="E9610" s="318"/>
      <c r="F9610" s="247"/>
      <c r="G9610" s="247"/>
      <c r="H9610" s="248"/>
      <c r="I9610" s="248"/>
      <c r="J9610" s="247"/>
      <c r="K9610" s="249"/>
    </row>
    <row r="9611" spans="1:11" s="90" customFormat="1" ht="12.75" customHeight="1" x14ac:dyDescent="0.2">
      <c r="A9611" s="247"/>
      <c r="B9611" s="316"/>
      <c r="C9611" s="247"/>
      <c r="D9611" s="317"/>
      <c r="E9611" s="318"/>
      <c r="F9611" s="247"/>
      <c r="G9611" s="247"/>
      <c r="H9611" s="248"/>
      <c r="I9611" s="248"/>
      <c r="J9611" s="247"/>
      <c r="K9611" s="249"/>
    </row>
    <row r="9612" spans="1:11" s="90" customFormat="1" ht="12.75" customHeight="1" x14ac:dyDescent="0.2">
      <c r="A9612" s="247"/>
      <c r="B9612" s="316"/>
      <c r="C9612" s="247"/>
      <c r="D9612" s="317"/>
      <c r="E9612" s="318"/>
      <c r="F9612" s="247"/>
      <c r="G9612" s="247"/>
      <c r="H9612" s="248"/>
      <c r="I9612" s="248"/>
      <c r="J9612" s="247"/>
      <c r="K9612" s="249"/>
    </row>
    <row r="9613" spans="1:11" s="90" customFormat="1" ht="12.75" customHeight="1" x14ac:dyDescent="0.2">
      <c r="A9613" s="247"/>
      <c r="B9613" s="316"/>
      <c r="C9613" s="247"/>
      <c r="D9613" s="317"/>
      <c r="E9613" s="318"/>
      <c r="F9613" s="247"/>
      <c r="G9613" s="247"/>
      <c r="H9613" s="248"/>
      <c r="I9613" s="248"/>
      <c r="J9613" s="247"/>
      <c r="K9613" s="249"/>
    </row>
    <row r="9614" spans="1:11" s="90" customFormat="1" ht="12.75" customHeight="1" x14ac:dyDescent="0.2">
      <c r="A9614" s="247"/>
      <c r="B9614" s="316"/>
      <c r="C9614" s="247"/>
      <c r="D9614" s="317"/>
      <c r="E9614" s="318"/>
      <c r="F9614" s="247"/>
      <c r="G9614" s="247"/>
      <c r="H9614" s="248"/>
      <c r="I9614" s="248"/>
      <c r="J9614" s="247"/>
      <c r="K9614" s="249"/>
    </row>
    <row r="9615" spans="1:11" s="90" customFormat="1" ht="12.75" customHeight="1" x14ac:dyDescent="0.2">
      <c r="A9615" s="247"/>
      <c r="B9615" s="316"/>
      <c r="C9615" s="247"/>
      <c r="D9615" s="317"/>
      <c r="E9615" s="318"/>
      <c r="F9615" s="247"/>
      <c r="G9615" s="247"/>
      <c r="H9615" s="248"/>
      <c r="I9615" s="248"/>
      <c r="J9615" s="247"/>
      <c r="K9615" s="249"/>
    </row>
    <row r="9616" spans="1:11" s="90" customFormat="1" ht="12.75" customHeight="1" x14ac:dyDescent="0.2">
      <c r="A9616" s="247"/>
      <c r="B9616" s="316"/>
      <c r="C9616" s="247"/>
      <c r="D9616" s="317"/>
      <c r="E9616" s="318"/>
      <c r="F9616" s="247"/>
      <c r="G9616" s="247"/>
      <c r="H9616" s="248"/>
      <c r="I9616" s="248"/>
      <c r="J9616" s="247"/>
      <c r="K9616" s="249"/>
    </row>
    <row r="9617" spans="1:11" s="90" customFormat="1" ht="12.75" customHeight="1" x14ac:dyDescent="0.2">
      <c r="A9617" s="247"/>
      <c r="B9617" s="316"/>
      <c r="C9617" s="247"/>
      <c r="D9617" s="317"/>
      <c r="E9617" s="318"/>
      <c r="F9617" s="247"/>
      <c r="G9617" s="247"/>
      <c r="H9617" s="248"/>
      <c r="I9617" s="248"/>
      <c r="J9617" s="247"/>
      <c r="K9617" s="249"/>
    </row>
    <row r="9618" spans="1:11" s="90" customFormat="1" ht="12.75" customHeight="1" x14ac:dyDescent="0.2">
      <c r="A9618" s="247"/>
      <c r="B9618" s="316"/>
      <c r="C9618" s="247"/>
      <c r="D9618" s="317"/>
      <c r="E9618" s="318"/>
      <c r="F9618" s="247"/>
      <c r="G9618" s="247"/>
      <c r="H9618" s="248"/>
      <c r="I9618" s="248"/>
      <c r="J9618" s="247"/>
      <c r="K9618" s="249"/>
    </row>
    <row r="9619" spans="1:11" s="90" customFormat="1" ht="12.75" customHeight="1" x14ac:dyDescent="0.2">
      <c r="A9619" s="247"/>
      <c r="B9619" s="316"/>
      <c r="C9619" s="247"/>
      <c r="D9619" s="317"/>
      <c r="E9619" s="318"/>
      <c r="F9619" s="247"/>
      <c r="G9619" s="247"/>
      <c r="H9619" s="248"/>
      <c r="I9619" s="248"/>
      <c r="J9619" s="247"/>
      <c r="K9619" s="249"/>
    </row>
    <row r="9620" spans="1:11" s="90" customFormat="1" ht="12.75" customHeight="1" x14ac:dyDescent="0.2">
      <c r="A9620" s="247"/>
      <c r="B9620" s="316"/>
      <c r="C9620" s="247"/>
      <c r="D9620" s="317"/>
      <c r="E9620" s="318"/>
      <c r="F9620" s="247"/>
      <c r="G9620" s="247"/>
      <c r="H9620" s="248"/>
      <c r="I9620" s="248"/>
      <c r="J9620" s="247"/>
      <c r="K9620" s="249"/>
    </row>
    <row r="9621" spans="1:11" s="90" customFormat="1" ht="12.75" customHeight="1" x14ac:dyDescent="0.2">
      <c r="A9621" s="247"/>
      <c r="B9621" s="316"/>
      <c r="C9621" s="247"/>
      <c r="D9621" s="317"/>
      <c r="E9621" s="318"/>
      <c r="F9621" s="247"/>
      <c r="G9621" s="247"/>
      <c r="H9621" s="248"/>
      <c r="I9621" s="248"/>
      <c r="J9621" s="247"/>
      <c r="K9621" s="249"/>
    </row>
    <row r="9622" spans="1:11" s="90" customFormat="1" ht="12.75" customHeight="1" x14ac:dyDescent="0.2">
      <c r="A9622" s="247"/>
      <c r="B9622" s="316"/>
      <c r="C9622" s="247"/>
      <c r="D9622" s="317"/>
      <c r="E9622" s="318"/>
      <c r="F9622" s="247"/>
      <c r="G9622" s="247"/>
      <c r="H9622" s="248"/>
      <c r="I9622" s="248"/>
      <c r="J9622" s="247"/>
      <c r="K9622" s="249"/>
    </row>
    <row r="9623" spans="1:11" s="90" customFormat="1" ht="12.75" customHeight="1" x14ac:dyDescent="0.2">
      <c r="A9623" s="247"/>
      <c r="B9623" s="316"/>
      <c r="C9623" s="247"/>
      <c r="D9623" s="317"/>
      <c r="E9623" s="318"/>
      <c r="F9623" s="247"/>
      <c r="G9623" s="247"/>
      <c r="H9623" s="248"/>
      <c r="I9623" s="248"/>
      <c r="J9623" s="247"/>
      <c r="K9623" s="249"/>
    </row>
    <row r="9624" spans="1:11" s="90" customFormat="1" ht="12.75" customHeight="1" x14ac:dyDescent="0.2">
      <c r="A9624" s="247"/>
      <c r="B9624" s="316"/>
      <c r="C9624" s="247"/>
      <c r="D9624" s="317"/>
      <c r="E9624" s="318"/>
      <c r="F9624" s="247"/>
      <c r="G9624" s="247"/>
      <c r="H9624" s="248"/>
      <c r="I9624" s="248"/>
      <c r="J9624" s="247"/>
      <c r="K9624" s="249"/>
    </row>
    <row r="9625" spans="1:11" s="90" customFormat="1" ht="12.75" customHeight="1" x14ac:dyDescent="0.2">
      <c r="A9625" s="247"/>
      <c r="B9625" s="316"/>
      <c r="C9625" s="247"/>
      <c r="D9625" s="317"/>
      <c r="E9625" s="318"/>
      <c r="F9625" s="247"/>
      <c r="G9625" s="247"/>
      <c r="H9625" s="248"/>
      <c r="I9625" s="248"/>
      <c r="J9625" s="247"/>
      <c r="K9625" s="249"/>
    </row>
    <row r="9626" spans="1:11" s="90" customFormat="1" ht="12.75" customHeight="1" x14ac:dyDescent="0.2">
      <c r="A9626" s="247"/>
      <c r="B9626" s="316"/>
      <c r="C9626" s="247"/>
      <c r="D9626" s="317"/>
      <c r="E9626" s="318"/>
      <c r="F9626" s="247"/>
      <c r="G9626" s="247"/>
      <c r="H9626" s="248"/>
      <c r="I9626" s="248"/>
      <c r="J9626" s="247"/>
      <c r="K9626" s="249"/>
    </row>
    <row r="9627" spans="1:11" s="90" customFormat="1" ht="12.75" customHeight="1" x14ac:dyDescent="0.2">
      <c r="A9627" s="247"/>
      <c r="B9627" s="316"/>
      <c r="C9627" s="247"/>
      <c r="D9627" s="317"/>
      <c r="E9627" s="318"/>
      <c r="F9627" s="247"/>
      <c r="G9627" s="247"/>
      <c r="H9627" s="248"/>
      <c r="I9627" s="248"/>
      <c r="J9627" s="247"/>
      <c r="K9627" s="249"/>
    </row>
    <row r="9628" spans="1:11" s="90" customFormat="1" ht="12.75" customHeight="1" x14ac:dyDescent="0.2">
      <c r="A9628" s="247"/>
      <c r="B9628" s="316"/>
      <c r="C9628" s="247"/>
      <c r="D9628" s="317"/>
      <c r="E9628" s="318"/>
      <c r="F9628" s="247"/>
      <c r="G9628" s="247"/>
      <c r="H9628" s="248"/>
      <c r="I9628" s="248"/>
      <c r="J9628" s="247"/>
      <c r="K9628" s="249"/>
    </row>
    <row r="9629" spans="1:11" s="90" customFormat="1" ht="12.75" customHeight="1" x14ac:dyDescent="0.2">
      <c r="A9629" s="247"/>
      <c r="B9629" s="316"/>
      <c r="C9629" s="247"/>
      <c r="D9629" s="317"/>
      <c r="E9629" s="318"/>
      <c r="F9629" s="247"/>
      <c r="G9629" s="247"/>
      <c r="H9629" s="248"/>
      <c r="I9629" s="248"/>
      <c r="J9629" s="247"/>
      <c r="K9629" s="249"/>
    </row>
    <row r="9630" spans="1:11" s="90" customFormat="1" ht="12.75" customHeight="1" x14ac:dyDescent="0.2">
      <c r="A9630" s="247"/>
      <c r="B9630" s="316"/>
      <c r="C9630" s="247"/>
      <c r="D9630" s="317"/>
      <c r="E9630" s="318"/>
      <c r="F9630" s="247"/>
      <c r="G9630" s="247"/>
      <c r="H9630" s="248"/>
      <c r="I9630" s="248"/>
      <c r="J9630" s="247"/>
      <c r="K9630" s="249"/>
    </row>
    <row r="9631" spans="1:11" s="90" customFormat="1" ht="12.75" customHeight="1" x14ac:dyDescent="0.2">
      <c r="A9631" s="247"/>
      <c r="B9631" s="316"/>
      <c r="C9631" s="247"/>
      <c r="D9631" s="317"/>
      <c r="E9631" s="318"/>
      <c r="F9631" s="247"/>
      <c r="G9631" s="247"/>
      <c r="H9631" s="248"/>
      <c r="I9631" s="248"/>
      <c r="J9631" s="247"/>
      <c r="K9631" s="249"/>
    </row>
    <row r="9632" spans="1:11" s="90" customFormat="1" ht="12.75" customHeight="1" x14ac:dyDescent="0.2">
      <c r="A9632" s="247"/>
      <c r="B9632" s="316"/>
      <c r="C9632" s="247"/>
      <c r="D9632" s="317"/>
      <c r="E9632" s="318"/>
      <c r="F9632" s="247"/>
      <c r="G9632" s="247"/>
      <c r="H9632" s="248"/>
      <c r="I9632" s="248"/>
      <c r="J9632" s="247"/>
      <c r="K9632" s="249"/>
    </row>
    <row r="9633" spans="1:11" s="90" customFormat="1" ht="12.75" customHeight="1" x14ac:dyDescent="0.2">
      <c r="A9633" s="247"/>
      <c r="B9633" s="316"/>
      <c r="C9633" s="247"/>
      <c r="D9633" s="317"/>
      <c r="E9633" s="318"/>
      <c r="F9633" s="247"/>
      <c r="G9633" s="247"/>
      <c r="H9633" s="248"/>
      <c r="I9633" s="248"/>
      <c r="J9633" s="247"/>
      <c r="K9633" s="249"/>
    </row>
    <row r="9634" spans="1:11" s="90" customFormat="1" ht="12.75" customHeight="1" x14ac:dyDescent="0.2">
      <c r="A9634" s="247"/>
      <c r="B9634" s="316"/>
      <c r="C9634" s="247"/>
      <c r="D9634" s="317"/>
      <c r="E9634" s="318"/>
      <c r="F9634" s="247"/>
      <c r="G9634" s="247"/>
      <c r="H9634" s="248"/>
      <c r="I9634" s="248"/>
      <c r="J9634" s="247"/>
      <c r="K9634" s="249"/>
    </row>
    <row r="9635" spans="1:11" s="90" customFormat="1" ht="12.75" customHeight="1" x14ac:dyDescent="0.2">
      <c r="A9635" s="247"/>
      <c r="B9635" s="316"/>
      <c r="C9635" s="247"/>
      <c r="D9635" s="317"/>
      <c r="E9635" s="318"/>
      <c r="F9635" s="247"/>
      <c r="G9635" s="247"/>
      <c r="H9635" s="248"/>
      <c r="I9635" s="248"/>
      <c r="J9635" s="247"/>
      <c r="K9635" s="249"/>
    </row>
    <row r="9636" spans="1:11" s="90" customFormat="1" ht="12.75" customHeight="1" x14ac:dyDescent="0.2">
      <c r="A9636" s="247"/>
      <c r="B9636" s="316"/>
      <c r="C9636" s="247"/>
      <c r="D9636" s="317"/>
      <c r="E9636" s="318"/>
      <c r="F9636" s="247"/>
      <c r="G9636" s="247"/>
      <c r="H9636" s="248"/>
      <c r="I9636" s="248"/>
      <c r="J9636" s="247"/>
      <c r="K9636" s="249"/>
    </row>
    <row r="9637" spans="1:11" s="90" customFormat="1" ht="12.75" customHeight="1" x14ac:dyDescent="0.2">
      <c r="A9637" s="247"/>
      <c r="B9637" s="316"/>
      <c r="C9637" s="247"/>
      <c r="D9637" s="317"/>
      <c r="E9637" s="318"/>
      <c r="F9637" s="247"/>
      <c r="G9637" s="247"/>
      <c r="H9637" s="248"/>
      <c r="I9637" s="248"/>
      <c r="J9637" s="247"/>
      <c r="K9637" s="249"/>
    </row>
    <row r="9638" spans="1:11" s="90" customFormat="1" ht="12.75" customHeight="1" x14ac:dyDescent="0.2">
      <c r="A9638" s="247"/>
      <c r="B9638" s="316"/>
      <c r="C9638" s="247"/>
      <c r="D9638" s="317"/>
      <c r="E9638" s="318"/>
      <c r="F9638" s="247"/>
      <c r="G9638" s="247"/>
      <c r="H9638" s="248"/>
      <c r="I9638" s="248"/>
      <c r="J9638" s="247"/>
      <c r="K9638" s="249"/>
    </row>
    <row r="9639" spans="1:11" s="90" customFormat="1" ht="12.75" customHeight="1" x14ac:dyDescent="0.2">
      <c r="A9639" s="247"/>
      <c r="B9639" s="316"/>
      <c r="C9639" s="247"/>
      <c r="D9639" s="317"/>
      <c r="E9639" s="318"/>
      <c r="F9639" s="247"/>
      <c r="G9639" s="247"/>
      <c r="H9639" s="248"/>
      <c r="I9639" s="248"/>
      <c r="J9639" s="247"/>
      <c r="K9639" s="249"/>
    </row>
    <row r="9640" spans="1:11" s="90" customFormat="1" ht="12.75" customHeight="1" x14ac:dyDescent="0.2">
      <c r="A9640" s="247"/>
      <c r="B9640" s="316"/>
      <c r="C9640" s="247"/>
      <c r="D9640" s="317"/>
      <c r="E9640" s="318"/>
      <c r="F9640" s="247"/>
      <c r="G9640" s="247"/>
      <c r="H9640" s="248"/>
      <c r="I9640" s="248"/>
      <c r="J9640" s="247"/>
      <c r="K9640" s="249"/>
    </row>
    <row r="9641" spans="1:11" s="90" customFormat="1" ht="12.75" customHeight="1" x14ac:dyDescent="0.2">
      <c r="A9641" s="247"/>
      <c r="B9641" s="316"/>
      <c r="C9641" s="247"/>
      <c r="D9641" s="317"/>
      <c r="E9641" s="318"/>
      <c r="F9641" s="247"/>
      <c r="G9641" s="247"/>
      <c r="H9641" s="248"/>
      <c r="I9641" s="248"/>
      <c r="J9641" s="247"/>
      <c r="K9641" s="249"/>
    </row>
    <row r="9642" spans="1:11" s="90" customFormat="1" ht="12.75" customHeight="1" x14ac:dyDescent="0.2">
      <c r="A9642" s="247"/>
      <c r="B9642" s="316"/>
      <c r="C9642" s="247"/>
      <c r="D9642" s="317"/>
      <c r="E9642" s="318"/>
      <c r="F9642" s="247"/>
      <c r="G9642" s="247"/>
      <c r="H9642" s="248"/>
      <c r="I9642" s="248"/>
      <c r="J9642" s="247"/>
      <c r="K9642" s="249"/>
    </row>
    <row r="9643" spans="1:11" s="90" customFormat="1" ht="12.75" customHeight="1" x14ac:dyDescent="0.2">
      <c r="A9643" s="247"/>
      <c r="B9643" s="316"/>
      <c r="C9643" s="247"/>
      <c r="D9643" s="317"/>
      <c r="E9643" s="318"/>
      <c r="F9643" s="247"/>
      <c r="G9643" s="247"/>
      <c r="H9643" s="248"/>
      <c r="I9643" s="248"/>
      <c r="J9643" s="247"/>
      <c r="K9643" s="249"/>
    </row>
    <row r="9644" spans="1:11" s="90" customFormat="1" ht="12.75" customHeight="1" x14ac:dyDescent="0.2">
      <c r="A9644" s="247"/>
      <c r="B9644" s="316"/>
      <c r="C9644" s="247"/>
      <c r="D9644" s="317"/>
      <c r="E9644" s="318"/>
      <c r="F9644" s="247"/>
      <c r="G9644" s="247"/>
      <c r="H9644" s="248"/>
      <c r="I9644" s="248"/>
      <c r="J9644" s="247"/>
      <c r="K9644" s="249"/>
    </row>
    <row r="9645" spans="1:11" s="90" customFormat="1" ht="12.75" customHeight="1" x14ac:dyDescent="0.2">
      <c r="A9645" s="247"/>
      <c r="B9645" s="316"/>
      <c r="C9645" s="247"/>
      <c r="D9645" s="317"/>
      <c r="E9645" s="318"/>
      <c r="F9645" s="247"/>
      <c r="G9645" s="247"/>
      <c r="H9645" s="248"/>
      <c r="I9645" s="248"/>
      <c r="J9645" s="247"/>
      <c r="K9645" s="249"/>
    </row>
    <row r="9646" spans="1:11" s="90" customFormat="1" ht="12.75" customHeight="1" x14ac:dyDescent="0.2">
      <c r="A9646" s="247"/>
      <c r="B9646" s="316"/>
      <c r="C9646" s="247"/>
      <c r="D9646" s="317"/>
      <c r="E9646" s="318"/>
      <c r="F9646" s="247"/>
      <c r="G9646" s="247"/>
      <c r="H9646" s="248"/>
      <c r="I9646" s="248"/>
      <c r="J9646" s="247"/>
      <c r="K9646" s="249"/>
    </row>
    <row r="9647" spans="1:11" s="90" customFormat="1" ht="12.75" customHeight="1" x14ac:dyDescent="0.2">
      <c r="A9647" s="247"/>
      <c r="B9647" s="316"/>
      <c r="C9647" s="247"/>
      <c r="D9647" s="317"/>
      <c r="E9647" s="318"/>
      <c r="F9647" s="247"/>
      <c r="G9647" s="247"/>
      <c r="H9647" s="248"/>
      <c r="I9647" s="248"/>
      <c r="J9647" s="247"/>
      <c r="K9647" s="249"/>
    </row>
    <row r="9648" spans="1:11" s="90" customFormat="1" ht="12.75" customHeight="1" x14ac:dyDescent="0.2">
      <c r="A9648" s="247"/>
      <c r="B9648" s="316"/>
      <c r="C9648" s="247"/>
      <c r="D9648" s="317"/>
      <c r="E9648" s="318"/>
      <c r="F9648" s="247"/>
      <c r="G9648" s="247"/>
      <c r="H9648" s="248"/>
      <c r="I9648" s="248"/>
      <c r="J9648" s="247"/>
      <c r="K9648" s="249"/>
    </row>
    <row r="9649" spans="1:11" s="90" customFormat="1" ht="12.75" customHeight="1" x14ac:dyDescent="0.2">
      <c r="A9649" s="247"/>
      <c r="B9649" s="316"/>
      <c r="C9649" s="247"/>
      <c r="D9649" s="317"/>
      <c r="E9649" s="318"/>
      <c r="F9649" s="247"/>
      <c r="G9649" s="247"/>
      <c r="H9649" s="248"/>
      <c r="I9649" s="248"/>
      <c r="J9649" s="247"/>
      <c r="K9649" s="249"/>
    </row>
    <row r="9650" spans="1:11" s="90" customFormat="1" ht="12.75" customHeight="1" x14ac:dyDescent="0.2">
      <c r="A9650" s="247"/>
      <c r="B9650" s="316"/>
      <c r="C9650" s="247"/>
      <c r="D9650" s="317"/>
      <c r="E9650" s="318"/>
      <c r="F9650" s="247"/>
      <c r="G9650" s="247"/>
      <c r="H9650" s="248"/>
      <c r="I9650" s="248"/>
      <c r="J9650" s="247"/>
      <c r="K9650" s="249"/>
    </row>
    <row r="9651" spans="1:11" s="90" customFormat="1" ht="12.75" customHeight="1" x14ac:dyDescent="0.2">
      <c r="A9651" s="247"/>
      <c r="B9651" s="316"/>
      <c r="C9651" s="247"/>
      <c r="D9651" s="317"/>
      <c r="E9651" s="318"/>
      <c r="F9651" s="247"/>
      <c r="G9651" s="247"/>
      <c r="H9651" s="248"/>
      <c r="I9651" s="248"/>
      <c r="J9651" s="247"/>
      <c r="K9651" s="249"/>
    </row>
    <row r="9652" spans="1:11" s="90" customFormat="1" ht="12.75" customHeight="1" x14ac:dyDescent="0.2">
      <c r="A9652" s="247"/>
      <c r="B9652" s="316"/>
      <c r="C9652" s="247"/>
      <c r="D9652" s="317"/>
      <c r="E9652" s="318"/>
      <c r="F9652" s="247"/>
      <c r="G9652" s="247"/>
      <c r="H9652" s="248"/>
      <c r="I9652" s="248"/>
      <c r="J9652" s="247"/>
      <c r="K9652" s="249"/>
    </row>
    <row r="9653" spans="1:11" s="90" customFormat="1" ht="12.75" customHeight="1" x14ac:dyDescent="0.2">
      <c r="A9653" s="247"/>
      <c r="B9653" s="316"/>
      <c r="C9653" s="247"/>
      <c r="D9653" s="317"/>
      <c r="E9653" s="318"/>
      <c r="F9653" s="247"/>
      <c r="G9653" s="247"/>
      <c r="H9653" s="248"/>
      <c r="I9653" s="248"/>
      <c r="J9653" s="247"/>
      <c r="K9653" s="249"/>
    </row>
    <row r="9654" spans="1:11" s="90" customFormat="1" ht="12.75" customHeight="1" x14ac:dyDescent="0.2">
      <c r="A9654" s="247"/>
      <c r="B9654" s="316"/>
      <c r="C9654" s="247"/>
      <c r="D9654" s="317"/>
      <c r="E9654" s="318"/>
      <c r="F9654" s="247"/>
      <c r="G9654" s="247"/>
      <c r="H9654" s="248"/>
      <c r="I9654" s="248"/>
      <c r="J9654" s="247"/>
      <c r="K9654" s="249"/>
    </row>
    <row r="9655" spans="1:11" s="90" customFormat="1" ht="12.75" customHeight="1" x14ac:dyDescent="0.2">
      <c r="A9655" s="247"/>
      <c r="B9655" s="316"/>
      <c r="C9655" s="247"/>
      <c r="D9655" s="317"/>
      <c r="E9655" s="318"/>
      <c r="F9655" s="247"/>
      <c r="G9655" s="247"/>
      <c r="H9655" s="248"/>
      <c r="I9655" s="248"/>
      <c r="J9655" s="247"/>
      <c r="K9655" s="249"/>
    </row>
    <row r="9656" spans="1:11" s="90" customFormat="1" ht="12.75" customHeight="1" x14ac:dyDescent="0.2">
      <c r="A9656" s="247"/>
      <c r="B9656" s="316"/>
      <c r="C9656" s="247"/>
      <c r="D9656" s="317"/>
      <c r="E9656" s="318"/>
      <c r="F9656" s="247"/>
      <c r="G9656" s="247"/>
      <c r="H9656" s="248"/>
      <c r="I9656" s="248"/>
      <c r="J9656" s="247"/>
      <c r="K9656" s="249"/>
    </row>
    <row r="9657" spans="1:11" s="90" customFormat="1" ht="12.75" customHeight="1" x14ac:dyDescent="0.2">
      <c r="A9657" s="247"/>
      <c r="B9657" s="316"/>
      <c r="C9657" s="247"/>
      <c r="D9657" s="317"/>
      <c r="E9657" s="318"/>
      <c r="F9657" s="247"/>
      <c r="G9657" s="247"/>
      <c r="H9657" s="248"/>
      <c r="I9657" s="248"/>
      <c r="J9657" s="247"/>
      <c r="K9657" s="249"/>
    </row>
    <row r="9658" spans="1:11" s="90" customFormat="1" ht="12.75" customHeight="1" x14ac:dyDescent="0.2">
      <c r="A9658" s="247"/>
      <c r="B9658" s="316"/>
      <c r="C9658" s="247"/>
      <c r="D9658" s="317"/>
      <c r="E9658" s="318"/>
      <c r="F9658" s="247"/>
      <c r="G9658" s="247"/>
      <c r="H9658" s="248"/>
      <c r="I9658" s="248"/>
      <c r="J9658" s="247"/>
      <c r="K9658" s="249"/>
    </row>
    <row r="9659" spans="1:11" s="90" customFormat="1" ht="12.75" customHeight="1" x14ac:dyDescent="0.2">
      <c r="A9659" s="247"/>
      <c r="B9659" s="316"/>
      <c r="C9659" s="247"/>
      <c r="D9659" s="317"/>
      <c r="E9659" s="318"/>
      <c r="F9659" s="247"/>
      <c r="G9659" s="247"/>
      <c r="H9659" s="248"/>
      <c r="I9659" s="248"/>
      <c r="J9659" s="247"/>
      <c r="K9659" s="249"/>
    </row>
    <row r="9660" spans="1:11" s="90" customFormat="1" ht="12.75" customHeight="1" x14ac:dyDescent="0.2">
      <c r="A9660" s="247"/>
      <c r="B9660" s="316"/>
      <c r="C9660" s="247"/>
      <c r="D9660" s="317"/>
      <c r="E9660" s="318"/>
      <c r="F9660" s="247"/>
      <c r="G9660" s="247"/>
      <c r="H9660" s="248"/>
      <c r="I9660" s="248"/>
      <c r="J9660" s="247"/>
      <c r="K9660" s="249"/>
    </row>
    <row r="9661" spans="1:11" s="90" customFormat="1" ht="12.75" customHeight="1" x14ac:dyDescent="0.2">
      <c r="A9661" s="247"/>
      <c r="B9661" s="316"/>
      <c r="C9661" s="247"/>
      <c r="D9661" s="317"/>
      <c r="E9661" s="318"/>
      <c r="F9661" s="247"/>
      <c r="G9661" s="247"/>
      <c r="H9661" s="248"/>
      <c r="I9661" s="248"/>
      <c r="J9661" s="247"/>
      <c r="K9661" s="249"/>
    </row>
    <row r="9662" spans="1:11" s="90" customFormat="1" ht="12.75" customHeight="1" x14ac:dyDescent="0.2">
      <c r="A9662" s="247"/>
      <c r="B9662" s="316"/>
      <c r="C9662" s="247"/>
      <c r="D9662" s="317"/>
      <c r="E9662" s="318"/>
      <c r="F9662" s="247"/>
      <c r="G9662" s="247"/>
      <c r="H9662" s="248"/>
      <c r="I9662" s="248"/>
      <c r="J9662" s="247"/>
      <c r="K9662" s="249"/>
    </row>
    <row r="9663" spans="1:11" s="90" customFormat="1" ht="12.75" customHeight="1" x14ac:dyDescent="0.2">
      <c r="A9663" s="247"/>
      <c r="B9663" s="316"/>
      <c r="C9663" s="247"/>
      <c r="D9663" s="317"/>
      <c r="E9663" s="318"/>
      <c r="F9663" s="247"/>
      <c r="G9663" s="247"/>
      <c r="H9663" s="248"/>
      <c r="I9663" s="248"/>
      <c r="J9663" s="247"/>
      <c r="K9663" s="249"/>
    </row>
    <row r="9664" spans="1:11" s="90" customFormat="1" ht="12.75" customHeight="1" x14ac:dyDescent="0.2">
      <c r="A9664" s="247"/>
      <c r="B9664" s="316"/>
      <c r="C9664" s="247"/>
      <c r="D9664" s="317"/>
      <c r="E9664" s="318"/>
      <c r="F9664" s="247"/>
      <c r="G9664" s="247"/>
      <c r="H9664" s="248"/>
      <c r="I9664" s="248"/>
      <c r="J9664" s="247"/>
      <c r="K9664" s="249"/>
    </row>
    <row r="9665" spans="1:11" s="90" customFormat="1" ht="12.75" customHeight="1" x14ac:dyDescent="0.2">
      <c r="A9665" s="247"/>
      <c r="B9665" s="316"/>
      <c r="C9665" s="247"/>
      <c r="D9665" s="317"/>
      <c r="E9665" s="318"/>
      <c r="F9665" s="247"/>
      <c r="G9665" s="247"/>
      <c r="H9665" s="248"/>
      <c r="I9665" s="248"/>
      <c r="J9665" s="247"/>
      <c r="K9665" s="249"/>
    </row>
    <row r="9666" spans="1:11" s="90" customFormat="1" ht="12.75" customHeight="1" x14ac:dyDescent="0.2">
      <c r="A9666" s="247"/>
      <c r="B9666" s="316"/>
      <c r="C9666" s="247"/>
      <c r="D9666" s="317"/>
      <c r="E9666" s="318"/>
      <c r="F9666" s="247"/>
      <c r="G9666" s="247"/>
      <c r="H9666" s="248"/>
      <c r="I9666" s="248"/>
      <c r="J9666" s="247"/>
      <c r="K9666" s="249"/>
    </row>
    <row r="9667" spans="1:11" s="90" customFormat="1" ht="12.75" customHeight="1" x14ac:dyDescent="0.2">
      <c r="A9667" s="247"/>
      <c r="B9667" s="316"/>
      <c r="C9667" s="247"/>
      <c r="D9667" s="317"/>
      <c r="E9667" s="318"/>
      <c r="F9667" s="247"/>
      <c r="G9667" s="247"/>
      <c r="H9667" s="248"/>
      <c r="I9667" s="248"/>
      <c r="J9667" s="247"/>
      <c r="K9667" s="249"/>
    </row>
    <row r="9668" spans="1:11" s="90" customFormat="1" ht="12.75" customHeight="1" x14ac:dyDescent="0.2">
      <c r="A9668" s="247"/>
      <c r="B9668" s="316"/>
      <c r="C9668" s="247"/>
      <c r="D9668" s="317"/>
      <c r="E9668" s="318"/>
      <c r="F9668" s="247"/>
      <c r="G9668" s="247"/>
      <c r="H9668" s="248"/>
      <c r="I9668" s="248"/>
      <c r="J9668" s="247"/>
      <c r="K9668" s="249"/>
    </row>
    <row r="9669" spans="1:11" s="90" customFormat="1" ht="12.75" customHeight="1" x14ac:dyDescent="0.2">
      <c r="A9669" s="247"/>
      <c r="B9669" s="316"/>
      <c r="C9669" s="247"/>
      <c r="D9669" s="317"/>
      <c r="E9669" s="318"/>
      <c r="F9669" s="247"/>
      <c r="G9669" s="247"/>
      <c r="H9669" s="248"/>
      <c r="I9669" s="248"/>
      <c r="J9669" s="247"/>
      <c r="K9669" s="249"/>
    </row>
    <row r="9670" spans="1:11" s="90" customFormat="1" ht="12.75" customHeight="1" x14ac:dyDescent="0.2">
      <c r="A9670" s="247"/>
      <c r="B9670" s="316"/>
      <c r="C9670" s="247"/>
      <c r="D9670" s="317"/>
      <c r="E9670" s="318"/>
      <c r="F9670" s="247"/>
      <c r="G9670" s="247"/>
      <c r="H9670" s="248"/>
      <c r="I9670" s="248"/>
      <c r="J9670" s="247"/>
      <c r="K9670" s="249"/>
    </row>
    <row r="9671" spans="1:11" s="90" customFormat="1" ht="12.75" customHeight="1" x14ac:dyDescent="0.2">
      <c r="A9671" s="247"/>
      <c r="B9671" s="316"/>
      <c r="C9671" s="247"/>
      <c r="D9671" s="317"/>
      <c r="E9671" s="318"/>
      <c r="F9671" s="247"/>
      <c r="G9671" s="247"/>
      <c r="H9671" s="248"/>
      <c r="I9671" s="248"/>
      <c r="J9671" s="247"/>
      <c r="K9671" s="249"/>
    </row>
    <row r="9672" spans="1:11" s="90" customFormat="1" ht="12.75" customHeight="1" x14ac:dyDescent="0.2">
      <c r="A9672" s="247"/>
      <c r="B9672" s="316"/>
      <c r="C9672" s="247"/>
      <c r="D9672" s="317"/>
      <c r="E9672" s="318"/>
      <c r="F9672" s="247"/>
      <c r="G9672" s="247"/>
      <c r="H9672" s="248"/>
      <c r="I9672" s="248"/>
      <c r="J9672" s="247"/>
      <c r="K9672" s="249"/>
    </row>
    <row r="9673" spans="1:11" s="90" customFormat="1" ht="12.75" customHeight="1" x14ac:dyDescent="0.2">
      <c r="A9673" s="247"/>
      <c r="B9673" s="316"/>
      <c r="C9673" s="247"/>
      <c r="D9673" s="317"/>
      <c r="E9673" s="318"/>
      <c r="F9673" s="247"/>
      <c r="G9673" s="247"/>
      <c r="H9673" s="248"/>
      <c r="I9673" s="248"/>
      <c r="J9673" s="247"/>
      <c r="K9673" s="249"/>
    </row>
    <row r="9674" spans="1:11" s="90" customFormat="1" ht="12.75" customHeight="1" x14ac:dyDescent="0.2">
      <c r="A9674" s="247"/>
      <c r="B9674" s="316"/>
      <c r="C9674" s="247"/>
      <c r="D9674" s="317"/>
      <c r="E9674" s="318"/>
      <c r="F9674" s="247"/>
      <c r="G9674" s="247"/>
      <c r="H9674" s="248"/>
      <c r="I9674" s="248"/>
      <c r="J9674" s="247"/>
      <c r="K9674" s="249"/>
    </row>
    <row r="9675" spans="1:11" s="90" customFormat="1" ht="12.75" customHeight="1" x14ac:dyDescent="0.2">
      <c r="A9675" s="247"/>
      <c r="B9675" s="316"/>
      <c r="C9675" s="247"/>
      <c r="D9675" s="317"/>
      <c r="E9675" s="318"/>
      <c r="F9675" s="247"/>
      <c r="G9675" s="247"/>
      <c r="H9675" s="248"/>
      <c r="I9675" s="248"/>
      <c r="J9675" s="247"/>
      <c r="K9675" s="249"/>
    </row>
    <row r="9676" spans="1:11" s="90" customFormat="1" ht="12.75" customHeight="1" x14ac:dyDescent="0.2">
      <c r="A9676" s="247"/>
      <c r="B9676" s="316"/>
      <c r="C9676" s="247"/>
      <c r="D9676" s="317"/>
      <c r="E9676" s="318"/>
      <c r="F9676" s="247"/>
      <c r="G9676" s="247"/>
      <c r="H9676" s="248"/>
      <c r="I9676" s="248"/>
      <c r="J9676" s="247"/>
      <c r="K9676" s="249"/>
    </row>
    <row r="9677" spans="1:11" s="90" customFormat="1" ht="12.75" customHeight="1" x14ac:dyDescent="0.2">
      <c r="A9677" s="247"/>
      <c r="B9677" s="316"/>
      <c r="C9677" s="247"/>
      <c r="D9677" s="317"/>
      <c r="E9677" s="318"/>
      <c r="F9677" s="247"/>
      <c r="G9677" s="247"/>
      <c r="H9677" s="248"/>
      <c r="I9677" s="248"/>
      <c r="J9677" s="247"/>
      <c r="K9677" s="249"/>
    </row>
    <row r="9678" spans="1:11" s="90" customFormat="1" ht="12.75" customHeight="1" x14ac:dyDescent="0.2">
      <c r="A9678" s="247"/>
      <c r="B9678" s="316"/>
      <c r="C9678" s="247"/>
      <c r="D9678" s="317"/>
      <c r="E9678" s="318"/>
      <c r="F9678" s="247"/>
      <c r="G9678" s="247"/>
      <c r="H9678" s="248"/>
      <c r="I9678" s="248"/>
      <c r="J9678" s="247"/>
      <c r="K9678" s="249"/>
    </row>
    <row r="9679" spans="1:11" s="90" customFormat="1" ht="12.75" customHeight="1" x14ac:dyDescent="0.2">
      <c r="A9679" s="247"/>
      <c r="B9679" s="316"/>
      <c r="C9679" s="247"/>
      <c r="D9679" s="317"/>
      <c r="E9679" s="318"/>
      <c r="F9679" s="247"/>
      <c r="G9679" s="247"/>
      <c r="H9679" s="248"/>
      <c r="I9679" s="248"/>
      <c r="J9679" s="247"/>
      <c r="K9679" s="249"/>
    </row>
    <row r="9680" spans="1:11" s="90" customFormat="1" ht="12.75" customHeight="1" x14ac:dyDescent="0.2">
      <c r="A9680" s="247"/>
      <c r="B9680" s="316"/>
      <c r="C9680" s="247"/>
      <c r="D9680" s="317"/>
      <c r="E9680" s="318"/>
      <c r="F9680" s="247"/>
      <c r="G9680" s="247"/>
      <c r="H9680" s="248"/>
      <c r="I9680" s="248"/>
      <c r="J9680" s="247"/>
      <c r="K9680" s="249"/>
    </row>
    <row r="9681" spans="1:11" s="90" customFormat="1" ht="12.75" customHeight="1" x14ac:dyDescent="0.2">
      <c r="A9681" s="247"/>
      <c r="B9681" s="316"/>
      <c r="C9681" s="247"/>
      <c r="D9681" s="317"/>
      <c r="E9681" s="318"/>
      <c r="F9681" s="247"/>
      <c r="G9681" s="247"/>
      <c r="H9681" s="248"/>
      <c r="I9681" s="248"/>
      <c r="J9681" s="247"/>
      <c r="K9681" s="249"/>
    </row>
    <row r="9682" spans="1:11" s="90" customFormat="1" ht="12.75" customHeight="1" x14ac:dyDescent="0.2">
      <c r="A9682" s="247"/>
      <c r="B9682" s="316"/>
      <c r="C9682" s="247"/>
      <c r="D9682" s="317"/>
      <c r="E9682" s="318"/>
      <c r="F9682" s="247"/>
      <c r="G9682" s="247"/>
      <c r="H9682" s="248"/>
      <c r="I9682" s="248"/>
      <c r="J9682" s="247"/>
      <c r="K9682" s="249"/>
    </row>
    <row r="9683" spans="1:11" s="90" customFormat="1" ht="12.75" customHeight="1" x14ac:dyDescent="0.2">
      <c r="A9683" s="247"/>
      <c r="B9683" s="316"/>
      <c r="C9683" s="247"/>
      <c r="D9683" s="317"/>
      <c r="E9683" s="318"/>
      <c r="F9683" s="247"/>
      <c r="G9683" s="247"/>
      <c r="H9683" s="248"/>
      <c r="I9683" s="248"/>
      <c r="J9683" s="247"/>
      <c r="K9683" s="249"/>
    </row>
    <row r="9684" spans="1:11" s="90" customFormat="1" ht="12.75" customHeight="1" x14ac:dyDescent="0.2">
      <c r="A9684" s="247"/>
      <c r="B9684" s="316"/>
      <c r="C9684" s="247"/>
      <c r="D9684" s="317"/>
      <c r="E9684" s="318"/>
      <c r="F9684" s="247"/>
      <c r="G9684" s="247"/>
      <c r="H9684" s="248"/>
      <c r="I9684" s="248"/>
      <c r="J9684" s="247"/>
      <c r="K9684" s="249"/>
    </row>
    <row r="9685" spans="1:11" s="90" customFormat="1" ht="12.75" customHeight="1" x14ac:dyDescent="0.2">
      <c r="A9685" s="247"/>
      <c r="B9685" s="316"/>
      <c r="C9685" s="247"/>
      <c r="D9685" s="317"/>
      <c r="E9685" s="318"/>
      <c r="F9685" s="247"/>
      <c r="G9685" s="247"/>
      <c r="H9685" s="248"/>
      <c r="I9685" s="248"/>
      <c r="J9685" s="247"/>
      <c r="K9685" s="249"/>
    </row>
    <row r="9686" spans="1:11" s="90" customFormat="1" ht="12.75" customHeight="1" x14ac:dyDescent="0.2">
      <c r="A9686" s="247"/>
      <c r="B9686" s="316"/>
      <c r="C9686" s="247"/>
      <c r="D9686" s="317"/>
      <c r="E9686" s="318"/>
      <c r="F9686" s="247"/>
      <c r="G9686" s="247"/>
      <c r="H9686" s="248"/>
      <c r="I9686" s="248"/>
      <c r="J9686" s="247"/>
      <c r="K9686" s="249"/>
    </row>
    <row r="9687" spans="1:11" s="90" customFormat="1" ht="12.75" customHeight="1" x14ac:dyDescent="0.2">
      <c r="A9687" s="247"/>
      <c r="B9687" s="316"/>
      <c r="C9687" s="247"/>
      <c r="D9687" s="317"/>
      <c r="E9687" s="318"/>
      <c r="F9687" s="247"/>
      <c r="G9687" s="247"/>
      <c r="H9687" s="248"/>
      <c r="I9687" s="248"/>
      <c r="J9687" s="247"/>
      <c r="K9687" s="249"/>
    </row>
    <row r="9688" spans="1:11" s="90" customFormat="1" ht="12.75" customHeight="1" x14ac:dyDescent="0.2">
      <c r="A9688" s="247"/>
      <c r="B9688" s="316"/>
      <c r="C9688" s="247"/>
      <c r="D9688" s="317"/>
      <c r="E9688" s="318"/>
      <c r="F9688" s="247"/>
      <c r="G9688" s="247"/>
      <c r="H9688" s="248"/>
      <c r="I9688" s="248"/>
      <c r="J9688" s="247"/>
      <c r="K9688" s="249"/>
    </row>
    <row r="9689" spans="1:11" s="90" customFormat="1" ht="12.75" customHeight="1" x14ac:dyDescent="0.2">
      <c r="A9689" s="247"/>
      <c r="B9689" s="316"/>
      <c r="C9689" s="247"/>
      <c r="D9689" s="317"/>
      <c r="E9689" s="318"/>
      <c r="F9689" s="247"/>
      <c r="G9689" s="247"/>
      <c r="H9689" s="248"/>
      <c r="I9689" s="248"/>
      <c r="J9689" s="247"/>
      <c r="K9689" s="249"/>
    </row>
    <row r="9690" spans="1:11" s="90" customFormat="1" ht="12.75" customHeight="1" x14ac:dyDescent="0.2">
      <c r="A9690" s="247"/>
      <c r="B9690" s="316"/>
      <c r="C9690" s="247"/>
      <c r="D9690" s="317"/>
      <c r="E9690" s="318"/>
      <c r="F9690" s="247"/>
      <c r="G9690" s="247"/>
      <c r="H9690" s="248"/>
      <c r="I9690" s="248"/>
      <c r="J9690" s="247"/>
      <c r="K9690" s="249"/>
    </row>
    <row r="9691" spans="1:11" s="90" customFormat="1" ht="12.75" customHeight="1" x14ac:dyDescent="0.2">
      <c r="A9691" s="247"/>
      <c r="B9691" s="316"/>
      <c r="C9691" s="247"/>
      <c r="D9691" s="317"/>
      <c r="E9691" s="318"/>
      <c r="F9691" s="247"/>
      <c r="G9691" s="247"/>
      <c r="H9691" s="248"/>
      <c r="I9691" s="248"/>
      <c r="J9691" s="247"/>
      <c r="K9691" s="249"/>
    </row>
    <row r="9692" spans="1:11" s="90" customFormat="1" ht="12.75" customHeight="1" x14ac:dyDescent="0.2">
      <c r="A9692" s="247"/>
      <c r="B9692" s="316"/>
      <c r="C9692" s="247"/>
      <c r="D9692" s="317"/>
      <c r="E9692" s="318"/>
      <c r="F9692" s="247"/>
      <c r="G9692" s="247"/>
      <c r="H9692" s="248"/>
      <c r="I9692" s="248"/>
      <c r="J9692" s="247"/>
      <c r="K9692" s="249"/>
    </row>
    <row r="9693" spans="1:11" s="90" customFormat="1" ht="12.75" customHeight="1" x14ac:dyDescent="0.2">
      <c r="A9693" s="247"/>
      <c r="B9693" s="316"/>
      <c r="C9693" s="247"/>
      <c r="D9693" s="317"/>
      <c r="E9693" s="318"/>
      <c r="F9693" s="247"/>
      <c r="G9693" s="247"/>
      <c r="H9693" s="248"/>
      <c r="I9693" s="248"/>
      <c r="J9693" s="247"/>
      <c r="K9693" s="249"/>
    </row>
    <row r="9694" spans="1:11" s="90" customFormat="1" ht="12.75" customHeight="1" x14ac:dyDescent="0.2">
      <c r="A9694" s="247"/>
      <c r="B9694" s="316"/>
      <c r="C9694" s="247"/>
      <c r="D9694" s="317"/>
      <c r="E9694" s="318"/>
      <c r="F9694" s="247"/>
      <c r="G9694" s="247"/>
      <c r="H9694" s="248"/>
      <c r="I9694" s="248"/>
      <c r="J9694" s="247"/>
      <c r="K9694" s="249"/>
    </row>
    <row r="9695" spans="1:11" s="90" customFormat="1" ht="12.75" customHeight="1" x14ac:dyDescent="0.2">
      <c r="A9695" s="247"/>
      <c r="B9695" s="316"/>
      <c r="C9695" s="247"/>
      <c r="D9695" s="317"/>
      <c r="E9695" s="318"/>
      <c r="F9695" s="247"/>
      <c r="G9695" s="247"/>
      <c r="H9695" s="248"/>
      <c r="I9695" s="248"/>
      <c r="J9695" s="247"/>
      <c r="K9695" s="249"/>
    </row>
    <row r="9696" spans="1:11" s="90" customFormat="1" ht="12.75" customHeight="1" x14ac:dyDescent="0.2">
      <c r="A9696" s="247"/>
      <c r="B9696" s="316"/>
      <c r="C9696" s="247"/>
      <c r="D9696" s="317"/>
      <c r="E9696" s="318"/>
      <c r="F9696" s="247"/>
      <c r="G9696" s="247"/>
      <c r="H9696" s="248"/>
      <c r="I9696" s="248"/>
      <c r="J9696" s="247"/>
      <c r="K9696" s="249"/>
    </row>
    <row r="9697" spans="1:11" s="90" customFormat="1" ht="12.75" customHeight="1" x14ac:dyDescent="0.2">
      <c r="A9697" s="247"/>
      <c r="B9697" s="316"/>
      <c r="C9697" s="247"/>
      <c r="D9697" s="317"/>
      <c r="E9697" s="318"/>
      <c r="F9697" s="247"/>
      <c r="G9697" s="247"/>
      <c r="H9697" s="248"/>
      <c r="I9697" s="248"/>
      <c r="J9697" s="247"/>
      <c r="K9697" s="249"/>
    </row>
    <row r="9698" spans="1:11" s="90" customFormat="1" ht="12.75" customHeight="1" x14ac:dyDescent="0.2">
      <c r="A9698" s="247"/>
      <c r="B9698" s="316"/>
      <c r="C9698" s="247"/>
      <c r="D9698" s="317"/>
      <c r="E9698" s="318"/>
      <c r="F9698" s="247"/>
      <c r="G9698" s="247"/>
      <c r="H9698" s="248"/>
      <c r="I9698" s="248"/>
      <c r="J9698" s="247"/>
      <c r="K9698" s="249"/>
    </row>
    <row r="9699" spans="1:11" s="90" customFormat="1" ht="12.75" customHeight="1" x14ac:dyDescent="0.2">
      <c r="A9699" s="247"/>
      <c r="B9699" s="316"/>
      <c r="C9699" s="247"/>
      <c r="D9699" s="317"/>
      <c r="E9699" s="318"/>
      <c r="F9699" s="247"/>
      <c r="G9699" s="247"/>
      <c r="H9699" s="248"/>
      <c r="I9699" s="248"/>
      <c r="J9699" s="247"/>
      <c r="K9699" s="249"/>
    </row>
    <row r="9700" spans="1:11" s="90" customFormat="1" ht="12.75" customHeight="1" x14ac:dyDescent="0.2">
      <c r="A9700" s="247"/>
      <c r="B9700" s="316"/>
      <c r="C9700" s="247"/>
      <c r="D9700" s="317"/>
      <c r="E9700" s="318"/>
      <c r="F9700" s="247"/>
      <c r="G9700" s="247"/>
      <c r="H9700" s="248"/>
      <c r="I9700" s="248"/>
      <c r="J9700" s="247"/>
      <c r="K9700" s="249"/>
    </row>
    <row r="9701" spans="1:11" s="90" customFormat="1" ht="12.75" customHeight="1" x14ac:dyDescent="0.2">
      <c r="A9701" s="247"/>
      <c r="B9701" s="316"/>
      <c r="C9701" s="247"/>
      <c r="D9701" s="317"/>
      <c r="E9701" s="318"/>
      <c r="F9701" s="247"/>
      <c r="G9701" s="247"/>
      <c r="H9701" s="248"/>
      <c r="I9701" s="248"/>
      <c r="J9701" s="247"/>
      <c r="K9701" s="249"/>
    </row>
    <row r="9702" spans="1:11" s="90" customFormat="1" ht="12.75" customHeight="1" x14ac:dyDescent="0.2">
      <c r="A9702" s="247"/>
      <c r="B9702" s="316"/>
      <c r="C9702" s="247"/>
      <c r="D9702" s="317"/>
      <c r="E9702" s="318"/>
      <c r="F9702" s="247"/>
      <c r="G9702" s="247"/>
      <c r="H9702" s="248"/>
      <c r="I9702" s="248"/>
      <c r="J9702" s="247"/>
      <c r="K9702" s="249"/>
    </row>
    <row r="9703" spans="1:11" s="90" customFormat="1" ht="12.75" customHeight="1" x14ac:dyDescent="0.2">
      <c r="A9703" s="247"/>
      <c r="B9703" s="316"/>
      <c r="C9703" s="247"/>
      <c r="D9703" s="317"/>
      <c r="E9703" s="318"/>
      <c r="F9703" s="247"/>
      <c r="G9703" s="247"/>
      <c r="H9703" s="248"/>
      <c r="I9703" s="248"/>
      <c r="J9703" s="247"/>
      <c r="K9703" s="249"/>
    </row>
    <row r="9704" spans="1:11" s="90" customFormat="1" ht="12.75" customHeight="1" x14ac:dyDescent="0.2">
      <c r="A9704" s="247"/>
      <c r="B9704" s="316"/>
      <c r="C9704" s="247"/>
      <c r="D9704" s="317"/>
      <c r="E9704" s="318"/>
      <c r="F9704" s="247"/>
      <c r="G9704" s="247"/>
      <c r="H9704" s="248"/>
      <c r="I9704" s="248"/>
      <c r="J9704" s="247"/>
      <c r="K9704" s="249"/>
    </row>
    <row r="9705" spans="1:11" s="90" customFormat="1" ht="12.75" customHeight="1" x14ac:dyDescent="0.2">
      <c r="A9705" s="247"/>
      <c r="B9705" s="316"/>
      <c r="C9705" s="247"/>
      <c r="D9705" s="317"/>
      <c r="E9705" s="318"/>
      <c r="F9705" s="247"/>
      <c r="G9705" s="247"/>
      <c r="H9705" s="248"/>
      <c r="I9705" s="248"/>
      <c r="J9705" s="247"/>
      <c r="K9705" s="249"/>
    </row>
    <row r="9706" spans="1:11" s="90" customFormat="1" ht="12.75" customHeight="1" x14ac:dyDescent="0.2">
      <c r="A9706" s="247"/>
      <c r="B9706" s="316"/>
      <c r="C9706" s="247"/>
      <c r="D9706" s="317"/>
      <c r="E9706" s="318"/>
      <c r="F9706" s="247"/>
      <c r="G9706" s="247"/>
      <c r="H9706" s="248"/>
      <c r="I9706" s="248"/>
      <c r="J9706" s="247"/>
      <c r="K9706" s="249"/>
    </row>
    <row r="9707" spans="1:11" s="90" customFormat="1" ht="12.75" customHeight="1" x14ac:dyDescent="0.2">
      <c r="A9707" s="247"/>
      <c r="B9707" s="316"/>
      <c r="C9707" s="247"/>
      <c r="D9707" s="317"/>
      <c r="E9707" s="318"/>
      <c r="F9707" s="247"/>
      <c r="G9707" s="247"/>
      <c r="H9707" s="248"/>
      <c r="I9707" s="248"/>
      <c r="J9707" s="247"/>
      <c r="K9707" s="249"/>
    </row>
    <row r="9708" spans="1:11" s="90" customFormat="1" ht="12.75" customHeight="1" x14ac:dyDescent="0.2">
      <c r="A9708" s="247"/>
      <c r="B9708" s="316"/>
      <c r="C9708" s="247"/>
      <c r="D9708" s="317"/>
      <c r="E9708" s="318"/>
      <c r="F9708" s="247"/>
      <c r="G9708" s="247"/>
      <c r="H9708" s="248"/>
      <c r="I9708" s="248"/>
      <c r="J9708" s="247"/>
      <c r="K9708" s="249"/>
    </row>
    <row r="9709" spans="1:11" s="90" customFormat="1" ht="12.75" customHeight="1" x14ac:dyDescent="0.2">
      <c r="A9709" s="247"/>
      <c r="B9709" s="316"/>
      <c r="C9709" s="247"/>
      <c r="D9709" s="317"/>
      <c r="E9709" s="318"/>
      <c r="F9709" s="247"/>
      <c r="G9709" s="247"/>
      <c r="H9709" s="248"/>
      <c r="I9709" s="248"/>
      <c r="J9709" s="247"/>
      <c r="K9709" s="249"/>
    </row>
    <row r="9710" spans="1:11" s="90" customFormat="1" ht="12.75" customHeight="1" x14ac:dyDescent="0.2">
      <c r="A9710" s="247"/>
      <c r="B9710" s="316"/>
      <c r="C9710" s="247"/>
      <c r="D9710" s="317"/>
      <c r="E9710" s="318"/>
      <c r="F9710" s="247"/>
      <c r="G9710" s="247"/>
      <c r="H9710" s="248"/>
      <c r="I9710" s="248"/>
      <c r="J9710" s="247"/>
      <c r="K9710" s="249"/>
    </row>
    <row r="9711" spans="1:11" s="90" customFormat="1" ht="12.75" customHeight="1" x14ac:dyDescent="0.2">
      <c r="A9711" s="247"/>
      <c r="B9711" s="316"/>
      <c r="C9711" s="247"/>
      <c r="D9711" s="317"/>
      <c r="E9711" s="318"/>
      <c r="F9711" s="247"/>
      <c r="G9711" s="247"/>
      <c r="H9711" s="248"/>
      <c r="I9711" s="248"/>
      <c r="J9711" s="247"/>
      <c r="K9711" s="249"/>
    </row>
    <row r="9712" spans="1:11" s="90" customFormat="1" ht="12.75" customHeight="1" x14ac:dyDescent="0.2">
      <c r="A9712" s="247"/>
      <c r="B9712" s="316"/>
      <c r="C9712" s="247"/>
      <c r="D9712" s="317"/>
      <c r="E9712" s="318"/>
      <c r="F9712" s="247"/>
      <c r="G9712" s="247"/>
      <c r="H9712" s="248"/>
      <c r="I9712" s="248"/>
      <c r="J9712" s="247"/>
      <c r="K9712" s="249"/>
    </row>
    <row r="9713" spans="1:11" s="90" customFormat="1" ht="12.75" customHeight="1" x14ac:dyDescent="0.2">
      <c r="A9713" s="247"/>
      <c r="B9713" s="316"/>
      <c r="C9713" s="247"/>
      <c r="D9713" s="317"/>
      <c r="E9713" s="318"/>
      <c r="F9713" s="247"/>
      <c r="G9713" s="247"/>
      <c r="H9713" s="248"/>
      <c r="I9713" s="248"/>
      <c r="J9713" s="247"/>
      <c r="K9713" s="249"/>
    </row>
    <row r="9714" spans="1:11" s="90" customFormat="1" ht="12.75" customHeight="1" x14ac:dyDescent="0.2">
      <c r="A9714" s="247"/>
      <c r="B9714" s="316"/>
      <c r="C9714" s="247"/>
      <c r="D9714" s="317"/>
      <c r="E9714" s="318"/>
      <c r="F9714" s="247"/>
      <c r="G9714" s="247"/>
      <c r="H9714" s="248"/>
      <c r="I9714" s="248"/>
      <c r="J9714" s="247"/>
      <c r="K9714" s="249"/>
    </row>
    <row r="9715" spans="1:11" s="90" customFormat="1" ht="12.75" customHeight="1" x14ac:dyDescent="0.2">
      <c r="A9715" s="247"/>
      <c r="B9715" s="316"/>
      <c r="C9715" s="247"/>
      <c r="D9715" s="317"/>
      <c r="E9715" s="318"/>
      <c r="F9715" s="247"/>
      <c r="G9715" s="247"/>
      <c r="H9715" s="248"/>
      <c r="I9715" s="248"/>
      <c r="J9715" s="247"/>
      <c r="K9715" s="249"/>
    </row>
    <row r="9716" spans="1:11" s="90" customFormat="1" ht="12.75" customHeight="1" x14ac:dyDescent="0.2">
      <c r="A9716" s="247"/>
      <c r="B9716" s="316"/>
      <c r="C9716" s="247"/>
      <c r="D9716" s="317"/>
      <c r="E9716" s="318"/>
      <c r="F9716" s="247"/>
      <c r="G9716" s="247"/>
      <c r="H9716" s="248"/>
      <c r="I9716" s="248"/>
      <c r="J9716" s="247"/>
      <c r="K9716" s="249"/>
    </row>
    <row r="9717" spans="1:11" s="90" customFormat="1" ht="12.75" customHeight="1" x14ac:dyDescent="0.2">
      <c r="A9717" s="247"/>
      <c r="B9717" s="316"/>
      <c r="C9717" s="247"/>
      <c r="D9717" s="317"/>
      <c r="E9717" s="318"/>
      <c r="F9717" s="247"/>
      <c r="G9717" s="247"/>
      <c r="H9717" s="248"/>
      <c r="I9717" s="248"/>
      <c r="J9717" s="247"/>
      <c r="K9717" s="249"/>
    </row>
    <row r="9718" spans="1:11" s="90" customFormat="1" ht="12.75" customHeight="1" x14ac:dyDescent="0.2">
      <c r="A9718" s="247"/>
      <c r="B9718" s="316"/>
      <c r="C9718" s="247"/>
      <c r="D9718" s="317"/>
      <c r="E9718" s="318"/>
      <c r="F9718" s="247"/>
      <c r="G9718" s="247"/>
      <c r="H9718" s="248"/>
      <c r="I9718" s="248"/>
      <c r="J9718" s="247"/>
      <c r="K9718" s="249"/>
    </row>
    <row r="9719" spans="1:11" s="90" customFormat="1" ht="12.75" customHeight="1" x14ac:dyDescent="0.2">
      <c r="A9719" s="247"/>
      <c r="B9719" s="316"/>
      <c r="C9719" s="247"/>
      <c r="D9719" s="317"/>
      <c r="E9719" s="318"/>
      <c r="F9719" s="247"/>
      <c r="G9719" s="247"/>
      <c r="H9719" s="248"/>
      <c r="I9719" s="248"/>
      <c r="J9719" s="247"/>
      <c r="K9719" s="249"/>
    </row>
    <row r="9720" spans="1:11" s="90" customFormat="1" ht="12.75" customHeight="1" x14ac:dyDescent="0.2">
      <c r="A9720" s="247"/>
      <c r="B9720" s="316"/>
      <c r="C9720" s="247"/>
      <c r="D9720" s="317"/>
      <c r="E9720" s="318"/>
      <c r="F9720" s="247"/>
      <c r="G9720" s="247"/>
      <c r="H9720" s="248"/>
      <c r="I9720" s="248"/>
      <c r="J9720" s="247"/>
      <c r="K9720" s="249"/>
    </row>
    <row r="9721" spans="1:11" s="90" customFormat="1" ht="12.75" customHeight="1" x14ac:dyDescent="0.2">
      <c r="A9721" s="247"/>
      <c r="B9721" s="316"/>
      <c r="C9721" s="247"/>
      <c r="D9721" s="317"/>
      <c r="E9721" s="318"/>
      <c r="F9721" s="247"/>
      <c r="G9721" s="247"/>
      <c r="H9721" s="248"/>
      <c r="I9721" s="248"/>
      <c r="J9721" s="247"/>
      <c r="K9721" s="249"/>
    </row>
    <row r="9722" spans="1:11" s="90" customFormat="1" ht="12.75" customHeight="1" x14ac:dyDescent="0.2">
      <c r="A9722" s="247"/>
      <c r="B9722" s="316"/>
      <c r="C9722" s="247"/>
      <c r="D9722" s="317"/>
      <c r="E9722" s="318"/>
      <c r="F9722" s="247"/>
      <c r="G9722" s="247"/>
      <c r="H9722" s="248"/>
      <c r="I9722" s="248"/>
      <c r="J9722" s="247"/>
      <c r="K9722" s="249"/>
    </row>
    <row r="9723" spans="1:11" s="90" customFormat="1" ht="12.75" customHeight="1" x14ac:dyDescent="0.2">
      <c r="A9723" s="247"/>
      <c r="B9723" s="316"/>
      <c r="C9723" s="247"/>
      <c r="D9723" s="317"/>
      <c r="E9723" s="318"/>
      <c r="F9723" s="247"/>
      <c r="G9723" s="247"/>
      <c r="H9723" s="248"/>
      <c r="I9723" s="248"/>
      <c r="J9723" s="247"/>
      <c r="K9723" s="249"/>
    </row>
    <row r="9724" spans="1:11" s="90" customFormat="1" ht="12.75" customHeight="1" x14ac:dyDescent="0.2">
      <c r="A9724" s="247"/>
      <c r="B9724" s="316"/>
      <c r="C9724" s="247"/>
      <c r="D9724" s="317"/>
      <c r="E9724" s="318"/>
      <c r="F9724" s="247"/>
      <c r="G9724" s="247"/>
      <c r="H9724" s="248"/>
      <c r="I9724" s="248"/>
      <c r="J9724" s="247"/>
      <c r="K9724" s="249"/>
    </row>
    <row r="9725" spans="1:11" s="90" customFormat="1" ht="12.75" customHeight="1" x14ac:dyDescent="0.2">
      <c r="A9725" s="247"/>
      <c r="B9725" s="316"/>
      <c r="C9725" s="247"/>
      <c r="D9725" s="317"/>
      <c r="E9725" s="318"/>
      <c r="F9725" s="247"/>
      <c r="G9725" s="247"/>
      <c r="H9725" s="248"/>
      <c r="I9725" s="248"/>
      <c r="J9725" s="247"/>
      <c r="K9725" s="249"/>
    </row>
    <row r="9726" spans="1:11" s="90" customFormat="1" ht="12.75" customHeight="1" x14ac:dyDescent="0.2">
      <c r="A9726" s="247"/>
      <c r="B9726" s="316"/>
      <c r="C9726" s="247"/>
      <c r="D9726" s="317"/>
      <c r="E9726" s="318"/>
      <c r="F9726" s="247"/>
      <c r="G9726" s="247"/>
      <c r="H9726" s="248"/>
      <c r="I9726" s="248"/>
      <c r="J9726" s="247"/>
      <c r="K9726" s="249"/>
    </row>
    <row r="9727" spans="1:11" s="90" customFormat="1" ht="12.75" customHeight="1" x14ac:dyDescent="0.2">
      <c r="A9727" s="247"/>
      <c r="B9727" s="316"/>
      <c r="C9727" s="247"/>
      <c r="D9727" s="317"/>
      <c r="E9727" s="318"/>
      <c r="F9727" s="247"/>
      <c r="G9727" s="247"/>
      <c r="H9727" s="248"/>
      <c r="I9727" s="248"/>
      <c r="J9727" s="247"/>
      <c r="K9727" s="249"/>
    </row>
    <row r="9728" spans="1:11" s="90" customFormat="1" ht="12.75" customHeight="1" x14ac:dyDescent="0.2">
      <c r="A9728" s="247"/>
      <c r="B9728" s="316"/>
      <c r="C9728" s="247"/>
      <c r="D9728" s="317"/>
      <c r="E9728" s="318"/>
      <c r="F9728" s="247"/>
      <c r="G9728" s="247"/>
      <c r="H9728" s="248"/>
      <c r="I9728" s="248"/>
      <c r="J9728" s="247"/>
      <c r="K9728" s="249"/>
    </row>
    <row r="9729" spans="1:11" s="90" customFormat="1" ht="12.75" customHeight="1" x14ac:dyDescent="0.2">
      <c r="A9729" s="247"/>
      <c r="B9729" s="316"/>
      <c r="C9729" s="247"/>
      <c r="D9729" s="317"/>
      <c r="E9729" s="318"/>
      <c r="F9729" s="247"/>
      <c r="G9729" s="247"/>
      <c r="H9729" s="248"/>
      <c r="I9729" s="248"/>
      <c r="J9729" s="247"/>
      <c r="K9729" s="249"/>
    </row>
    <row r="9730" spans="1:11" s="90" customFormat="1" ht="12.75" customHeight="1" x14ac:dyDescent="0.2">
      <c r="A9730" s="247"/>
      <c r="B9730" s="316"/>
      <c r="C9730" s="247"/>
      <c r="D9730" s="317"/>
      <c r="E9730" s="318"/>
      <c r="F9730" s="247"/>
      <c r="G9730" s="247"/>
      <c r="H9730" s="248"/>
      <c r="I9730" s="248"/>
      <c r="J9730" s="247"/>
      <c r="K9730" s="249"/>
    </row>
    <row r="9731" spans="1:11" s="90" customFormat="1" ht="12.75" customHeight="1" x14ac:dyDescent="0.2">
      <c r="A9731" s="247"/>
      <c r="B9731" s="316"/>
      <c r="C9731" s="247"/>
      <c r="D9731" s="317"/>
      <c r="E9731" s="318"/>
      <c r="F9731" s="247"/>
      <c r="G9731" s="247"/>
      <c r="H9731" s="248"/>
      <c r="I9731" s="248"/>
      <c r="J9731" s="247"/>
      <c r="K9731" s="249"/>
    </row>
    <row r="9732" spans="1:11" s="90" customFormat="1" ht="12.75" customHeight="1" x14ac:dyDescent="0.2">
      <c r="A9732" s="247"/>
      <c r="B9732" s="316"/>
      <c r="C9732" s="247"/>
      <c r="D9732" s="317"/>
      <c r="E9732" s="318"/>
      <c r="F9732" s="247"/>
      <c r="G9732" s="247"/>
      <c r="H9732" s="248"/>
      <c r="I9732" s="248"/>
      <c r="J9732" s="247"/>
      <c r="K9732" s="249"/>
    </row>
    <row r="9733" spans="1:11" s="90" customFormat="1" ht="12.75" customHeight="1" x14ac:dyDescent="0.2">
      <c r="A9733" s="247"/>
      <c r="B9733" s="316"/>
      <c r="C9733" s="247"/>
      <c r="D9733" s="317"/>
      <c r="E9733" s="318"/>
      <c r="F9733" s="247"/>
      <c r="G9733" s="247"/>
      <c r="H9733" s="248"/>
      <c r="I9733" s="248"/>
      <c r="J9733" s="247"/>
      <c r="K9733" s="249"/>
    </row>
    <row r="9734" spans="1:11" s="90" customFormat="1" ht="12.75" customHeight="1" x14ac:dyDescent="0.2">
      <c r="A9734" s="247"/>
      <c r="B9734" s="316"/>
      <c r="C9734" s="247"/>
      <c r="D9734" s="317"/>
      <c r="E9734" s="318"/>
      <c r="F9734" s="247"/>
      <c r="G9734" s="247"/>
      <c r="H9734" s="248"/>
      <c r="I9734" s="248"/>
      <c r="J9734" s="247"/>
      <c r="K9734" s="249"/>
    </row>
    <row r="9735" spans="1:11" s="90" customFormat="1" ht="12.75" customHeight="1" x14ac:dyDescent="0.2">
      <c r="A9735" s="247"/>
      <c r="B9735" s="316"/>
      <c r="C9735" s="247"/>
      <c r="D9735" s="317"/>
      <c r="E9735" s="318"/>
      <c r="F9735" s="247"/>
      <c r="G9735" s="247"/>
      <c r="H9735" s="248"/>
      <c r="I9735" s="248"/>
      <c r="J9735" s="247"/>
      <c r="K9735" s="249"/>
    </row>
    <row r="9736" spans="1:11" s="90" customFormat="1" ht="12.75" customHeight="1" x14ac:dyDescent="0.2">
      <c r="A9736" s="247"/>
      <c r="B9736" s="316"/>
      <c r="C9736" s="247"/>
      <c r="D9736" s="317"/>
      <c r="E9736" s="318"/>
      <c r="F9736" s="247"/>
      <c r="G9736" s="247"/>
      <c r="H9736" s="248"/>
      <c r="I9736" s="248"/>
      <c r="J9736" s="247"/>
      <c r="K9736" s="249"/>
    </row>
    <row r="9737" spans="1:11" s="90" customFormat="1" ht="12.75" customHeight="1" x14ac:dyDescent="0.2">
      <c r="A9737" s="247"/>
      <c r="B9737" s="316"/>
      <c r="C9737" s="247"/>
      <c r="D9737" s="317"/>
      <c r="E9737" s="318"/>
      <c r="F9737" s="247"/>
      <c r="G9737" s="247"/>
      <c r="H9737" s="248"/>
      <c r="I9737" s="248"/>
      <c r="J9737" s="247"/>
      <c r="K9737" s="249"/>
    </row>
    <row r="9738" spans="1:11" s="90" customFormat="1" ht="12.75" customHeight="1" x14ac:dyDescent="0.2">
      <c r="A9738" s="247"/>
      <c r="B9738" s="316"/>
      <c r="C9738" s="247"/>
      <c r="D9738" s="317"/>
      <c r="E9738" s="318"/>
      <c r="F9738" s="247"/>
      <c r="G9738" s="247"/>
      <c r="H9738" s="248"/>
      <c r="I9738" s="248"/>
      <c r="J9738" s="247"/>
      <c r="K9738" s="249"/>
    </row>
    <row r="9739" spans="1:11" s="90" customFormat="1" ht="12.75" customHeight="1" x14ac:dyDescent="0.2">
      <c r="A9739" s="247"/>
      <c r="B9739" s="316"/>
      <c r="C9739" s="247"/>
      <c r="D9739" s="317"/>
      <c r="E9739" s="318"/>
      <c r="F9739" s="247"/>
      <c r="G9739" s="247"/>
      <c r="H9739" s="248"/>
      <c r="I9739" s="248"/>
      <c r="J9739" s="247"/>
      <c r="K9739" s="249"/>
    </row>
    <row r="9740" spans="1:11" s="90" customFormat="1" ht="12.75" customHeight="1" x14ac:dyDescent="0.2">
      <c r="A9740" s="247"/>
      <c r="B9740" s="316"/>
      <c r="C9740" s="247"/>
      <c r="D9740" s="317"/>
      <c r="E9740" s="318"/>
      <c r="F9740" s="247"/>
      <c r="G9740" s="247"/>
      <c r="H9740" s="248"/>
      <c r="I9740" s="248"/>
      <c r="J9740" s="247"/>
      <c r="K9740" s="249"/>
    </row>
    <row r="9741" spans="1:11" s="90" customFormat="1" ht="12.75" customHeight="1" x14ac:dyDescent="0.2">
      <c r="A9741" s="247"/>
      <c r="B9741" s="316"/>
      <c r="C9741" s="247"/>
      <c r="D9741" s="317"/>
      <c r="E9741" s="318"/>
      <c r="F9741" s="247"/>
      <c r="G9741" s="247"/>
      <c r="H9741" s="248"/>
      <c r="I9741" s="248"/>
      <c r="J9741" s="247"/>
      <c r="K9741" s="249"/>
    </row>
    <row r="9742" spans="1:11" s="90" customFormat="1" ht="12.75" customHeight="1" x14ac:dyDescent="0.2">
      <c r="A9742" s="247"/>
      <c r="B9742" s="316"/>
      <c r="C9742" s="247"/>
      <c r="D9742" s="317"/>
      <c r="E9742" s="318"/>
      <c r="F9742" s="247"/>
      <c r="G9742" s="247"/>
      <c r="H9742" s="248"/>
      <c r="I9742" s="248"/>
      <c r="J9742" s="247"/>
      <c r="K9742" s="249"/>
    </row>
    <row r="9743" spans="1:11" s="90" customFormat="1" ht="12.75" customHeight="1" x14ac:dyDescent="0.2">
      <c r="A9743" s="247"/>
      <c r="B9743" s="316"/>
      <c r="C9743" s="247"/>
      <c r="D9743" s="317"/>
      <c r="E9743" s="318"/>
      <c r="F9743" s="247"/>
      <c r="G9743" s="247"/>
      <c r="H9743" s="248"/>
      <c r="I9743" s="248"/>
      <c r="J9743" s="247"/>
      <c r="K9743" s="249"/>
    </row>
    <row r="9744" spans="1:11" s="90" customFormat="1" ht="12.75" customHeight="1" x14ac:dyDescent="0.2">
      <c r="A9744" s="247"/>
      <c r="B9744" s="316"/>
      <c r="C9744" s="247"/>
      <c r="D9744" s="317"/>
      <c r="E9744" s="318"/>
      <c r="F9744" s="247"/>
      <c r="G9744" s="247"/>
      <c r="H9744" s="248"/>
      <c r="I9744" s="248"/>
      <c r="J9744" s="247"/>
      <c r="K9744" s="249"/>
    </row>
    <row r="9745" spans="1:11" s="90" customFormat="1" ht="12.75" customHeight="1" x14ac:dyDescent="0.2">
      <c r="A9745" s="247"/>
      <c r="B9745" s="316"/>
      <c r="C9745" s="247"/>
      <c r="D9745" s="317"/>
      <c r="E9745" s="318"/>
      <c r="F9745" s="247"/>
      <c r="G9745" s="247"/>
      <c r="H9745" s="248"/>
      <c r="I9745" s="248"/>
      <c r="J9745" s="247"/>
      <c r="K9745" s="249"/>
    </row>
    <row r="9746" spans="1:11" s="90" customFormat="1" ht="12.75" customHeight="1" x14ac:dyDescent="0.2">
      <c r="A9746" s="247"/>
      <c r="B9746" s="316"/>
      <c r="C9746" s="247"/>
      <c r="D9746" s="317"/>
      <c r="E9746" s="318"/>
      <c r="F9746" s="247"/>
      <c r="G9746" s="247"/>
      <c r="H9746" s="248"/>
      <c r="I9746" s="248"/>
      <c r="J9746" s="247"/>
      <c r="K9746" s="249"/>
    </row>
    <row r="9747" spans="1:11" s="90" customFormat="1" ht="12.75" customHeight="1" x14ac:dyDescent="0.2">
      <c r="A9747" s="247"/>
      <c r="B9747" s="316"/>
      <c r="C9747" s="247"/>
      <c r="D9747" s="317"/>
      <c r="E9747" s="318"/>
      <c r="F9747" s="247"/>
      <c r="G9747" s="247"/>
      <c r="H9747" s="248"/>
      <c r="I9747" s="248"/>
      <c r="J9747" s="247"/>
      <c r="K9747" s="249"/>
    </row>
    <row r="9748" spans="1:11" s="90" customFormat="1" ht="12.75" customHeight="1" x14ac:dyDescent="0.2">
      <c r="A9748" s="247"/>
      <c r="B9748" s="316"/>
      <c r="C9748" s="247"/>
      <c r="D9748" s="317"/>
      <c r="E9748" s="318"/>
      <c r="F9748" s="247"/>
      <c r="G9748" s="247"/>
      <c r="H9748" s="248"/>
      <c r="I9748" s="248"/>
      <c r="J9748" s="247"/>
      <c r="K9748" s="249"/>
    </row>
    <row r="9749" spans="1:11" s="90" customFormat="1" ht="12.75" customHeight="1" x14ac:dyDescent="0.2">
      <c r="A9749" s="247"/>
      <c r="B9749" s="316"/>
      <c r="C9749" s="247"/>
      <c r="D9749" s="317"/>
      <c r="E9749" s="318"/>
      <c r="F9749" s="247"/>
      <c r="G9749" s="247"/>
      <c r="H9749" s="248"/>
      <c r="I9749" s="248"/>
      <c r="J9749" s="247"/>
      <c r="K9749" s="249"/>
    </row>
    <row r="9750" spans="1:11" s="90" customFormat="1" ht="12.75" customHeight="1" x14ac:dyDescent="0.2">
      <c r="A9750" s="247"/>
      <c r="B9750" s="316"/>
      <c r="C9750" s="247"/>
      <c r="D9750" s="317"/>
      <c r="E9750" s="318"/>
      <c r="F9750" s="247"/>
      <c r="G9750" s="247"/>
      <c r="H9750" s="248"/>
      <c r="I9750" s="248"/>
      <c r="J9750" s="247"/>
      <c r="K9750" s="249"/>
    </row>
    <row r="9751" spans="1:11" s="90" customFormat="1" ht="12.75" customHeight="1" x14ac:dyDescent="0.2">
      <c r="A9751" s="247"/>
      <c r="B9751" s="316"/>
      <c r="C9751" s="247"/>
      <c r="D9751" s="317"/>
      <c r="E9751" s="318"/>
      <c r="F9751" s="247"/>
      <c r="G9751" s="247"/>
      <c r="H9751" s="248"/>
      <c r="I9751" s="248"/>
      <c r="J9751" s="247"/>
      <c r="K9751" s="249"/>
    </row>
    <row r="9752" spans="1:11" s="90" customFormat="1" ht="12.75" customHeight="1" x14ac:dyDescent="0.2">
      <c r="A9752" s="247"/>
      <c r="B9752" s="316"/>
      <c r="C9752" s="247"/>
      <c r="D9752" s="317"/>
      <c r="E9752" s="318"/>
      <c r="F9752" s="247"/>
      <c r="G9752" s="247"/>
      <c r="H9752" s="248"/>
      <c r="I9752" s="248"/>
      <c r="J9752" s="247"/>
      <c r="K9752" s="249"/>
    </row>
    <row r="9753" spans="1:11" s="90" customFormat="1" ht="12.75" customHeight="1" x14ac:dyDescent="0.2">
      <c r="A9753" s="247"/>
      <c r="B9753" s="316"/>
      <c r="C9753" s="247"/>
      <c r="D9753" s="317"/>
      <c r="E9753" s="318"/>
      <c r="F9753" s="247"/>
      <c r="G9753" s="247"/>
      <c r="H9753" s="248"/>
      <c r="I9753" s="248"/>
      <c r="J9753" s="247"/>
      <c r="K9753" s="249"/>
    </row>
    <row r="9754" spans="1:11" s="90" customFormat="1" ht="12.75" customHeight="1" x14ac:dyDescent="0.2">
      <c r="A9754" s="247"/>
      <c r="B9754" s="316"/>
      <c r="C9754" s="247"/>
      <c r="D9754" s="317"/>
      <c r="E9754" s="318"/>
      <c r="F9754" s="247"/>
      <c r="G9754" s="247"/>
      <c r="H9754" s="248"/>
      <c r="I9754" s="248"/>
      <c r="J9754" s="247"/>
      <c r="K9754" s="249"/>
    </row>
    <row r="9755" spans="1:11" s="90" customFormat="1" ht="12.75" customHeight="1" x14ac:dyDescent="0.2">
      <c r="A9755" s="247"/>
      <c r="B9755" s="316"/>
      <c r="C9755" s="247"/>
      <c r="D9755" s="317"/>
      <c r="E9755" s="318"/>
      <c r="F9755" s="247"/>
      <c r="G9755" s="247"/>
      <c r="H9755" s="248"/>
      <c r="I9755" s="248"/>
      <c r="J9755" s="247"/>
      <c r="K9755" s="249"/>
    </row>
    <row r="9756" spans="1:11" s="90" customFormat="1" ht="12.75" customHeight="1" x14ac:dyDescent="0.2">
      <c r="A9756" s="247"/>
      <c r="B9756" s="316"/>
      <c r="C9756" s="247"/>
      <c r="D9756" s="317"/>
      <c r="E9756" s="318"/>
      <c r="F9756" s="247"/>
      <c r="G9756" s="247"/>
      <c r="H9756" s="248"/>
      <c r="I9756" s="248"/>
      <c r="J9756" s="247"/>
      <c r="K9756" s="249"/>
    </row>
    <row r="9757" spans="1:11" s="90" customFormat="1" ht="12.75" customHeight="1" x14ac:dyDescent="0.2">
      <c r="A9757" s="247"/>
      <c r="B9757" s="316"/>
      <c r="C9757" s="247"/>
      <c r="D9757" s="317"/>
      <c r="E9757" s="318"/>
      <c r="F9757" s="247"/>
      <c r="G9757" s="247"/>
      <c r="H9757" s="248"/>
      <c r="I9757" s="248"/>
      <c r="J9757" s="247"/>
      <c r="K9757" s="249"/>
    </row>
    <row r="9758" spans="1:11" s="90" customFormat="1" ht="12.75" customHeight="1" x14ac:dyDescent="0.2">
      <c r="A9758" s="247"/>
      <c r="B9758" s="316"/>
      <c r="C9758" s="247"/>
      <c r="D9758" s="317"/>
      <c r="E9758" s="318"/>
      <c r="F9758" s="247"/>
      <c r="G9758" s="247"/>
      <c r="H9758" s="248"/>
      <c r="I9758" s="248"/>
      <c r="J9758" s="247"/>
      <c r="K9758" s="249"/>
    </row>
    <row r="9759" spans="1:11" s="90" customFormat="1" ht="12.75" customHeight="1" x14ac:dyDescent="0.2">
      <c r="A9759" s="247"/>
      <c r="B9759" s="316"/>
      <c r="C9759" s="247"/>
      <c r="D9759" s="317"/>
      <c r="E9759" s="318"/>
      <c r="F9759" s="247"/>
      <c r="G9759" s="247"/>
      <c r="H9759" s="248"/>
      <c r="I9759" s="248"/>
      <c r="J9759" s="247"/>
      <c r="K9759" s="249"/>
    </row>
    <row r="9760" spans="1:11" s="90" customFormat="1" ht="12.75" customHeight="1" x14ac:dyDescent="0.2">
      <c r="A9760" s="247"/>
      <c r="B9760" s="316"/>
      <c r="C9760" s="247"/>
      <c r="D9760" s="317"/>
      <c r="E9760" s="318"/>
      <c r="F9760" s="247"/>
      <c r="G9760" s="247"/>
      <c r="H9760" s="248"/>
      <c r="I9760" s="248"/>
      <c r="J9760" s="247"/>
      <c r="K9760" s="249"/>
    </row>
    <row r="9761" spans="1:11" s="90" customFormat="1" ht="12.75" customHeight="1" x14ac:dyDescent="0.2">
      <c r="A9761" s="247"/>
      <c r="B9761" s="316"/>
      <c r="C9761" s="247"/>
      <c r="D9761" s="317"/>
      <c r="E9761" s="318"/>
      <c r="F9761" s="247"/>
      <c r="G9761" s="247"/>
      <c r="H9761" s="248"/>
      <c r="I9761" s="248"/>
      <c r="J9761" s="247"/>
      <c r="K9761" s="249"/>
    </row>
    <row r="9762" spans="1:11" s="90" customFormat="1" ht="12.75" customHeight="1" x14ac:dyDescent="0.2">
      <c r="A9762" s="247"/>
      <c r="B9762" s="316"/>
      <c r="C9762" s="247"/>
      <c r="D9762" s="317"/>
      <c r="E9762" s="318"/>
      <c r="F9762" s="247"/>
      <c r="G9762" s="247"/>
      <c r="H9762" s="248"/>
      <c r="I9762" s="248"/>
      <c r="J9762" s="247"/>
      <c r="K9762" s="249"/>
    </row>
    <row r="9763" spans="1:11" s="90" customFormat="1" ht="12.75" customHeight="1" x14ac:dyDescent="0.2">
      <c r="A9763" s="247"/>
      <c r="B9763" s="316"/>
      <c r="C9763" s="247"/>
      <c r="D9763" s="317"/>
      <c r="E9763" s="318"/>
      <c r="F9763" s="247"/>
      <c r="G9763" s="247"/>
      <c r="H9763" s="248"/>
      <c r="I9763" s="248"/>
      <c r="J9763" s="247"/>
      <c r="K9763" s="249"/>
    </row>
    <row r="9764" spans="1:11" s="90" customFormat="1" ht="12.75" customHeight="1" x14ac:dyDescent="0.2">
      <c r="A9764" s="247"/>
      <c r="B9764" s="316"/>
      <c r="C9764" s="247"/>
      <c r="D9764" s="317"/>
      <c r="E9764" s="318"/>
      <c r="F9764" s="247"/>
      <c r="G9764" s="247"/>
      <c r="H9764" s="248"/>
      <c r="I9764" s="248"/>
      <c r="J9764" s="247"/>
      <c r="K9764" s="249"/>
    </row>
    <row r="9765" spans="1:11" s="90" customFormat="1" ht="12.75" customHeight="1" x14ac:dyDescent="0.2">
      <c r="A9765" s="247"/>
      <c r="B9765" s="316"/>
      <c r="C9765" s="247"/>
      <c r="D9765" s="317"/>
      <c r="E9765" s="318"/>
      <c r="F9765" s="247"/>
      <c r="G9765" s="247"/>
      <c r="H9765" s="248"/>
      <c r="I9765" s="248"/>
      <c r="J9765" s="247"/>
      <c r="K9765" s="249"/>
    </row>
    <row r="9766" spans="1:11" s="90" customFormat="1" ht="12.75" customHeight="1" x14ac:dyDescent="0.2">
      <c r="A9766" s="247"/>
      <c r="B9766" s="316"/>
      <c r="C9766" s="247"/>
      <c r="D9766" s="317"/>
      <c r="E9766" s="318"/>
      <c r="F9766" s="247"/>
      <c r="G9766" s="247"/>
      <c r="H9766" s="248"/>
      <c r="I9766" s="248"/>
      <c r="J9766" s="247"/>
      <c r="K9766" s="249"/>
    </row>
    <row r="9767" spans="1:11" s="90" customFormat="1" ht="12.75" customHeight="1" x14ac:dyDescent="0.2">
      <c r="A9767" s="247"/>
      <c r="B9767" s="316"/>
      <c r="C9767" s="247"/>
      <c r="D9767" s="317"/>
      <c r="E9767" s="318"/>
      <c r="F9767" s="247"/>
      <c r="G9767" s="247"/>
      <c r="H9767" s="248"/>
      <c r="I9767" s="248"/>
      <c r="J9767" s="247"/>
      <c r="K9767" s="249"/>
    </row>
    <row r="9768" spans="1:11" s="90" customFormat="1" ht="12.75" customHeight="1" x14ac:dyDescent="0.2">
      <c r="A9768" s="247"/>
      <c r="B9768" s="316"/>
      <c r="C9768" s="247"/>
      <c r="D9768" s="317"/>
      <c r="E9768" s="318"/>
      <c r="F9768" s="247"/>
      <c r="G9768" s="247"/>
      <c r="H9768" s="248"/>
      <c r="I9768" s="248"/>
      <c r="J9768" s="247"/>
      <c r="K9768" s="249"/>
    </row>
    <row r="9769" spans="1:11" s="90" customFormat="1" ht="12.75" customHeight="1" x14ac:dyDescent="0.2">
      <c r="A9769" s="247"/>
      <c r="B9769" s="316"/>
      <c r="C9769" s="247"/>
      <c r="D9769" s="317"/>
      <c r="E9769" s="318"/>
      <c r="F9769" s="247"/>
      <c r="G9769" s="247"/>
      <c r="H9769" s="248"/>
      <c r="I9769" s="248"/>
      <c r="J9769" s="247"/>
      <c r="K9769" s="249"/>
    </row>
    <row r="9770" spans="1:11" s="90" customFormat="1" ht="12.75" customHeight="1" x14ac:dyDescent="0.2">
      <c r="A9770" s="247"/>
      <c r="B9770" s="316"/>
      <c r="C9770" s="247"/>
      <c r="D9770" s="317"/>
      <c r="E9770" s="318"/>
      <c r="F9770" s="247"/>
      <c r="G9770" s="247"/>
      <c r="H9770" s="248"/>
      <c r="I9770" s="248"/>
      <c r="J9770" s="247"/>
      <c r="K9770" s="249"/>
    </row>
    <row r="9771" spans="1:11" s="90" customFormat="1" ht="12.75" customHeight="1" x14ac:dyDescent="0.2">
      <c r="A9771" s="247"/>
      <c r="B9771" s="316"/>
      <c r="C9771" s="247"/>
      <c r="D9771" s="317"/>
      <c r="E9771" s="318"/>
      <c r="F9771" s="247"/>
      <c r="G9771" s="247"/>
      <c r="H9771" s="248"/>
      <c r="I9771" s="248"/>
      <c r="J9771" s="247"/>
      <c r="K9771" s="249"/>
    </row>
    <row r="9772" spans="1:11" s="90" customFormat="1" ht="12.75" customHeight="1" x14ac:dyDescent="0.2">
      <c r="A9772" s="247"/>
      <c r="B9772" s="316"/>
      <c r="C9772" s="247"/>
      <c r="D9772" s="317"/>
      <c r="E9772" s="318"/>
      <c r="F9772" s="247"/>
      <c r="G9772" s="247"/>
      <c r="H9772" s="248"/>
      <c r="I9772" s="248"/>
      <c r="J9772" s="247"/>
      <c r="K9772" s="249"/>
    </row>
    <row r="9773" spans="1:11" s="90" customFormat="1" ht="12.75" customHeight="1" x14ac:dyDescent="0.2">
      <c r="A9773" s="247"/>
      <c r="B9773" s="316"/>
      <c r="C9773" s="247"/>
      <c r="D9773" s="317"/>
      <c r="E9773" s="318"/>
      <c r="F9773" s="247"/>
      <c r="G9773" s="247"/>
      <c r="H9773" s="248"/>
      <c r="I9773" s="248"/>
      <c r="J9773" s="247"/>
      <c r="K9773" s="249"/>
    </row>
    <row r="9774" spans="1:11" s="90" customFormat="1" ht="12.75" customHeight="1" x14ac:dyDescent="0.2">
      <c r="A9774" s="247"/>
      <c r="B9774" s="316"/>
      <c r="C9774" s="247"/>
      <c r="D9774" s="317"/>
      <c r="E9774" s="318"/>
      <c r="F9774" s="247"/>
      <c r="G9774" s="247"/>
      <c r="H9774" s="248"/>
      <c r="I9774" s="248"/>
      <c r="J9774" s="247"/>
      <c r="K9774" s="249"/>
    </row>
    <row r="9775" spans="1:11" s="90" customFormat="1" ht="12.75" customHeight="1" x14ac:dyDescent="0.2">
      <c r="A9775" s="247"/>
      <c r="B9775" s="316"/>
      <c r="C9775" s="247"/>
      <c r="D9775" s="317"/>
      <c r="E9775" s="318"/>
      <c r="F9775" s="247"/>
      <c r="G9775" s="247"/>
      <c r="H9775" s="248"/>
      <c r="I9775" s="248"/>
      <c r="J9775" s="247"/>
      <c r="K9775" s="249"/>
    </row>
    <row r="9776" spans="1:11" s="90" customFormat="1" ht="12.75" customHeight="1" x14ac:dyDescent="0.2">
      <c r="A9776" s="247"/>
      <c r="B9776" s="316"/>
      <c r="C9776" s="247"/>
      <c r="D9776" s="317"/>
      <c r="E9776" s="318"/>
      <c r="F9776" s="247"/>
      <c r="G9776" s="247"/>
      <c r="H9776" s="248"/>
      <c r="I9776" s="248"/>
      <c r="J9776" s="247"/>
      <c r="K9776" s="249"/>
    </row>
    <row r="9777" spans="1:11" s="90" customFormat="1" ht="12.75" customHeight="1" x14ac:dyDescent="0.2">
      <c r="A9777" s="247"/>
      <c r="B9777" s="316"/>
      <c r="C9777" s="247"/>
      <c r="D9777" s="317"/>
      <c r="E9777" s="318"/>
      <c r="F9777" s="247"/>
      <c r="G9777" s="247"/>
      <c r="H9777" s="248"/>
      <c r="I9777" s="248"/>
      <c r="J9777" s="247"/>
      <c r="K9777" s="249"/>
    </row>
    <row r="9778" spans="1:11" s="90" customFormat="1" ht="12.75" customHeight="1" x14ac:dyDescent="0.2">
      <c r="A9778" s="247"/>
      <c r="B9778" s="316"/>
      <c r="C9778" s="247"/>
      <c r="D9778" s="317"/>
      <c r="E9778" s="318"/>
      <c r="F9778" s="247"/>
      <c r="G9778" s="247"/>
      <c r="H9778" s="248"/>
      <c r="I9778" s="248"/>
      <c r="J9778" s="247"/>
      <c r="K9778" s="249"/>
    </row>
    <row r="9779" spans="1:11" s="90" customFormat="1" ht="12.75" customHeight="1" x14ac:dyDescent="0.2">
      <c r="A9779" s="247"/>
      <c r="B9779" s="316"/>
      <c r="C9779" s="247"/>
      <c r="D9779" s="317"/>
      <c r="E9779" s="318"/>
      <c r="F9779" s="247"/>
      <c r="G9779" s="247"/>
      <c r="H9779" s="248"/>
      <c r="I9779" s="248"/>
      <c r="J9779" s="247"/>
      <c r="K9779" s="249"/>
    </row>
    <row r="9780" spans="1:11" s="90" customFormat="1" ht="12.75" customHeight="1" x14ac:dyDescent="0.2">
      <c r="A9780" s="247"/>
      <c r="B9780" s="316"/>
      <c r="C9780" s="247"/>
      <c r="D9780" s="317"/>
      <c r="E9780" s="318"/>
      <c r="F9780" s="247"/>
      <c r="G9780" s="247"/>
      <c r="H9780" s="248"/>
      <c r="I9780" s="248"/>
      <c r="J9780" s="247"/>
      <c r="K9780" s="249"/>
    </row>
    <row r="9781" spans="1:11" s="90" customFormat="1" ht="12.75" customHeight="1" x14ac:dyDescent="0.2">
      <c r="A9781" s="247"/>
      <c r="B9781" s="316"/>
      <c r="C9781" s="247"/>
      <c r="D9781" s="317"/>
      <c r="E9781" s="318"/>
      <c r="F9781" s="247"/>
      <c r="G9781" s="247"/>
      <c r="H9781" s="248"/>
      <c r="I9781" s="248"/>
      <c r="J9781" s="247"/>
      <c r="K9781" s="249"/>
    </row>
    <row r="9782" spans="1:11" s="90" customFormat="1" ht="12.75" customHeight="1" x14ac:dyDescent="0.2">
      <c r="A9782" s="247"/>
      <c r="B9782" s="316"/>
      <c r="C9782" s="247"/>
      <c r="D9782" s="317"/>
      <c r="E9782" s="318"/>
      <c r="F9782" s="247"/>
      <c r="G9782" s="247"/>
      <c r="H9782" s="248"/>
      <c r="I9782" s="248"/>
      <c r="J9782" s="247"/>
      <c r="K9782" s="249"/>
    </row>
    <row r="9783" spans="1:11" s="90" customFormat="1" ht="12.75" customHeight="1" x14ac:dyDescent="0.2">
      <c r="A9783" s="247"/>
      <c r="B9783" s="316"/>
      <c r="C9783" s="247"/>
      <c r="D9783" s="317"/>
      <c r="E9783" s="318"/>
      <c r="F9783" s="247"/>
      <c r="G9783" s="247"/>
      <c r="H9783" s="248"/>
      <c r="I9783" s="248"/>
      <c r="J9783" s="247"/>
      <c r="K9783" s="249"/>
    </row>
    <row r="9784" spans="1:11" s="90" customFormat="1" ht="12.75" customHeight="1" x14ac:dyDescent="0.2">
      <c r="A9784" s="247"/>
      <c r="B9784" s="316"/>
      <c r="C9784" s="247"/>
      <c r="D9784" s="317"/>
      <c r="E9784" s="318"/>
      <c r="F9784" s="247"/>
      <c r="G9784" s="247"/>
      <c r="H9784" s="248"/>
      <c r="I9784" s="248"/>
      <c r="J9784" s="247"/>
      <c r="K9784" s="249"/>
    </row>
    <row r="9785" spans="1:11" s="90" customFormat="1" ht="12.75" customHeight="1" x14ac:dyDescent="0.2">
      <c r="A9785" s="247"/>
      <c r="B9785" s="316"/>
      <c r="C9785" s="247"/>
      <c r="D9785" s="317"/>
      <c r="E9785" s="318"/>
      <c r="F9785" s="247"/>
      <c r="G9785" s="247"/>
      <c r="H9785" s="248"/>
      <c r="I9785" s="248"/>
      <c r="J9785" s="247"/>
      <c r="K9785" s="249"/>
    </row>
    <row r="9786" spans="1:11" s="90" customFormat="1" ht="12.75" customHeight="1" x14ac:dyDescent="0.2">
      <c r="A9786" s="247"/>
      <c r="B9786" s="316"/>
      <c r="C9786" s="247"/>
      <c r="D9786" s="317"/>
      <c r="E9786" s="318"/>
      <c r="F9786" s="247"/>
      <c r="G9786" s="247"/>
      <c r="H9786" s="248"/>
      <c r="I9786" s="248"/>
      <c r="J9786" s="247"/>
      <c r="K9786" s="249"/>
    </row>
    <row r="9787" spans="1:11" s="90" customFormat="1" ht="12.75" customHeight="1" x14ac:dyDescent="0.2">
      <c r="A9787" s="247"/>
      <c r="B9787" s="316"/>
      <c r="C9787" s="247"/>
      <c r="D9787" s="317"/>
      <c r="E9787" s="318"/>
      <c r="F9787" s="247"/>
      <c r="G9787" s="247"/>
      <c r="H9787" s="248"/>
      <c r="I9787" s="248"/>
      <c r="J9787" s="247"/>
      <c r="K9787" s="249"/>
    </row>
    <row r="9788" spans="1:11" s="90" customFormat="1" ht="12.75" customHeight="1" x14ac:dyDescent="0.2">
      <c r="A9788" s="247"/>
      <c r="B9788" s="316"/>
      <c r="C9788" s="247"/>
      <c r="D9788" s="317"/>
      <c r="E9788" s="318"/>
      <c r="F9788" s="247"/>
      <c r="G9788" s="247"/>
      <c r="H9788" s="248"/>
      <c r="I9788" s="248"/>
      <c r="J9788" s="247"/>
      <c r="K9788" s="249"/>
    </row>
    <row r="9789" spans="1:11" s="90" customFormat="1" ht="12.75" customHeight="1" x14ac:dyDescent="0.2">
      <c r="A9789" s="247"/>
      <c r="B9789" s="316"/>
      <c r="C9789" s="247"/>
      <c r="D9789" s="317"/>
      <c r="E9789" s="318"/>
      <c r="F9789" s="247"/>
      <c r="G9789" s="247"/>
      <c r="H9789" s="248"/>
      <c r="I9789" s="248"/>
      <c r="J9789" s="247"/>
      <c r="K9789" s="249"/>
    </row>
    <row r="9790" spans="1:11" s="90" customFormat="1" ht="12.75" customHeight="1" x14ac:dyDescent="0.2">
      <c r="A9790" s="247"/>
      <c r="B9790" s="316"/>
      <c r="C9790" s="247"/>
      <c r="D9790" s="317"/>
      <c r="E9790" s="318"/>
      <c r="F9790" s="247"/>
      <c r="G9790" s="247"/>
      <c r="H9790" s="248"/>
      <c r="I9790" s="248"/>
      <c r="J9790" s="247"/>
      <c r="K9790" s="249"/>
    </row>
    <row r="9791" spans="1:11" s="90" customFormat="1" ht="12.75" customHeight="1" x14ac:dyDescent="0.2">
      <c r="A9791" s="247"/>
      <c r="B9791" s="316"/>
      <c r="C9791" s="247"/>
      <c r="D9791" s="317"/>
      <c r="E9791" s="318"/>
      <c r="F9791" s="247"/>
      <c r="G9791" s="247"/>
      <c r="H9791" s="248"/>
      <c r="I9791" s="248"/>
      <c r="J9791" s="247"/>
      <c r="K9791" s="249"/>
    </row>
    <row r="9792" spans="1:11" s="90" customFormat="1" ht="12.75" customHeight="1" x14ac:dyDescent="0.2">
      <c r="A9792" s="247"/>
      <c r="B9792" s="316"/>
      <c r="C9792" s="247"/>
      <c r="D9792" s="317"/>
      <c r="E9792" s="318"/>
      <c r="F9792" s="247"/>
      <c r="G9792" s="247"/>
      <c r="H9792" s="248"/>
      <c r="I9792" s="248"/>
      <c r="J9792" s="247"/>
      <c r="K9792" s="249"/>
    </row>
    <row r="9793" spans="1:11" s="90" customFormat="1" ht="12.75" customHeight="1" x14ac:dyDescent="0.2">
      <c r="A9793" s="247"/>
      <c r="B9793" s="316"/>
      <c r="C9793" s="247"/>
      <c r="D9793" s="317"/>
      <c r="E9793" s="318"/>
      <c r="F9793" s="247"/>
      <c r="G9793" s="247"/>
      <c r="H9793" s="248"/>
      <c r="I9793" s="248"/>
      <c r="J9793" s="247"/>
      <c r="K9793" s="249"/>
    </row>
    <row r="9794" spans="1:11" s="90" customFormat="1" ht="12.75" customHeight="1" x14ac:dyDescent="0.2">
      <c r="A9794" s="247"/>
      <c r="B9794" s="316"/>
      <c r="C9794" s="247"/>
      <c r="D9794" s="317"/>
      <c r="E9794" s="318"/>
      <c r="F9794" s="247"/>
      <c r="G9794" s="247"/>
      <c r="H9794" s="248"/>
      <c r="I9794" s="248"/>
      <c r="J9794" s="247"/>
      <c r="K9794" s="249"/>
    </row>
    <row r="9795" spans="1:11" s="90" customFormat="1" ht="12.75" customHeight="1" x14ac:dyDescent="0.2">
      <c r="A9795" s="247"/>
      <c r="B9795" s="316"/>
      <c r="C9795" s="247"/>
      <c r="D9795" s="317"/>
      <c r="E9795" s="318"/>
      <c r="F9795" s="247"/>
      <c r="G9795" s="247"/>
      <c r="H9795" s="248"/>
      <c r="I9795" s="248"/>
      <c r="J9795" s="247"/>
      <c r="K9795" s="249"/>
    </row>
    <row r="9796" spans="1:11" s="90" customFormat="1" ht="12.75" customHeight="1" x14ac:dyDescent="0.2">
      <c r="A9796" s="247"/>
      <c r="B9796" s="316"/>
      <c r="C9796" s="247"/>
      <c r="D9796" s="317"/>
      <c r="E9796" s="318"/>
      <c r="F9796" s="247"/>
      <c r="G9796" s="247"/>
      <c r="H9796" s="248"/>
      <c r="I9796" s="248"/>
      <c r="J9796" s="247"/>
      <c r="K9796" s="249"/>
    </row>
    <row r="9797" spans="1:11" s="90" customFormat="1" ht="12.75" customHeight="1" x14ac:dyDescent="0.2">
      <c r="A9797" s="247"/>
      <c r="B9797" s="316"/>
      <c r="C9797" s="247"/>
      <c r="D9797" s="317"/>
      <c r="E9797" s="318"/>
      <c r="F9797" s="247"/>
      <c r="G9797" s="247"/>
      <c r="H9797" s="248"/>
      <c r="I9797" s="248"/>
      <c r="J9797" s="247"/>
      <c r="K9797" s="249"/>
    </row>
    <row r="9798" spans="1:11" s="90" customFormat="1" ht="12.75" customHeight="1" x14ac:dyDescent="0.2">
      <c r="A9798" s="247"/>
      <c r="B9798" s="316"/>
      <c r="C9798" s="247"/>
      <c r="D9798" s="317"/>
      <c r="E9798" s="318"/>
      <c r="F9798" s="247"/>
      <c r="G9798" s="247"/>
      <c r="H9798" s="248"/>
      <c r="I9798" s="248"/>
      <c r="J9798" s="247"/>
      <c r="K9798" s="249"/>
    </row>
    <row r="9799" spans="1:11" s="90" customFormat="1" ht="12.75" customHeight="1" x14ac:dyDescent="0.2">
      <c r="A9799" s="247"/>
      <c r="B9799" s="316"/>
      <c r="C9799" s="247"/>
      <c r="D9799" s="317"/>
      <c r="E9799" s="318"/>
      <c r="F9799" s="247"/>
      <c r="G9799" s="247"/>
      <c r="H9799" s="248"/>
      <c r="I9799" s="248"/>
      <c r="J9799" s="247"/>
      <c r="K9799" s="249"/>
    </row>
    <row r="9800" spans="1:11" s="90" customFormat="1" ht="12.75" customHeight="1" x14ac:dyDescent="0.2">
      <c r="A9800" s="247"/>
      <c r="B9800" s="316"/>
      <c r="C9800" s="247"/>
      <c r="D9800" s="317"/>
      <c r="E9800" s="318"/>
      <c r="F9800" s="247"/>
      <c r="G9800" s="247"/>
      <c r="H9800" s="248"/>
      <c r="I9800" s="248"/>
      <c r="J9800" s="247"/>
      <c r="K9800" s="249"/>
    </row>
    <row r="9801" spans="1:11" s="90" customFormat="1" ht="12.75" customHeight="1" x14ac:dyDescent="0.2">
      <c r="A9801" s="247"/>
      <c r="B9801" s="316"/>
      <c r="C9801" s="247"/>
      <c r="D9801" s="317"/>
      <c r="E9801" s="318"/>
      <c r="F9801" s="247"/>
      <c r="G9801" s="247"/>
      <c r="H9801" s="248"/>
      <c r="I9801" s="248"/>
      <c r="J9801" s="247"/>
      <c r="K9801" s="249"/>
    </row>
    <row r="9802" spans="1:11" s="90" customFormat="1" ht="12.75" customHeight="1" x14ac:dyDescent="0.2">
      <c r="A9802" s="247"/>
      <c r="B9802" s="316"/>
      <c r="C9802" s="247"/>
      <c r="D9802" s="317"/>
      <c r="E9802" s="318"/>
      <c r="F9802" s="247"/>
      <c r="G9802" s="247"/>
      <c r="H9802" s="248"/>
      <c r="I9802" s="248"/>
      <c r="J9802" s="247"/>
      <c r="K9802" s="249"/>
    </row>
    <row r="9803" spans="1:11" s="90" customFormat="1" ht="12.75" customHeight="1" x14ac:dyDescent="0.2">
      <c r="A9803" s="247"/>
      <c r="B9803" s="316"/>
      <c r="C9803" s="247"/>
      <c r="D9803" s="317"/>
      <c r="E9803" s="318"/>
      <c r="F9803" s="247"/>
      <c r="G9803" s="247"/>
      <c r="H9803" s="248"/>
      <c r="I9803" s="248"/>
      <c r="J9803" s="247"/>
      <c r="K9803" s="249"/>
    </row>
    <row r="9804" spans="1:11" s="90" customFormat="1" ht="12.75" customHeight="1" x14ac:dyDescent="0.2">
      <c r="A9804" s="247"/>
      <c r="B9804" s="316"/>
      <c r="C9804" s="247"/>
      <c r="D9804" s="317"/>
      <c r="E9804" s="318"/>
      <c r="F9804" s="247"/>
      <c r="G9804" s="247"/>
      <c r="H9804" s="248"/>
      <c r="I9804" s="248"/>
      <c r="J9804" s="247"/>
      <c r="K9804" s="249"/>
    </row>
    <row r="9805" spans="1:11" s="90" customFormat="1" ht="12.75" customHeight="1" x14ac:dyDescent="0.2">
      <c r="A9805" s="247"/>
      <c r="B9805" s="316"/>
      <c r="C9805" s="247"/>
      <c r="D9805" s="317"/>
      <c r="E9805" s="318"/>
      <c r="F9805" s="247"/>
      <c r="G9805" s="247"/>
      <c r="H9805" s="248"/>
      <c r="I9805" s="248"/>
      <c r="J9805" s="247"/>
      <c r="K9805" s="249"/>
    </row>
    <row r="9806" spans="1:11" s="90" customFormat="1" ht="12.75" customHeight="1" x14ac:dyDescent="0.2">
      <c r="A9806" s="247"/>
      <c r="B9806" s="316"/>
      <c r="C9806" s="247"/>
      <c r="D9806" s="317"/>
      <c r="E9806" s="318"/>
      <c r="F9806" s="247"/>
      <c r="G9806" s="247"/>
      <c r="H9806" s="248"/>
      <c r="I9806" s="248"/>
      <c r="J9806" s="247"/>
      <c r="K9806" s="249"/>
    </row>
    <row r="9807" spans="1:11" s="90" customFormat="1" ht="12.75" customHeight="1" x14ac:dyDescent="0.2">
      <c r="A9807" s="247"/>
      <c r="B9807" s="316"/>
      <c r="C9807" s="247"/>
      <c r="D9807" s="317"/>
      <c r="E9807" s="318"/>
      <c r="F9807" s="247"/>
      <c r="G9807" s="247"/>
      <c r="H9807" s="248"/>
      <c r="I9807" s="248"/>
      <c r="J9807" s="247"/>
      <c r="K9807" s="249"/>
    </row>
    <row r="9808" spans="1:11" s="90" customFormat="1" ht="12.75" customHeight="1" x14ac:dyDescent="0.2">
      <c r="A9808" s="247"/>
      <c r="B9808" s="316"/>
      <c r="C9808" s="247"/>
      <c r="D9808" s="317"/>
      <c r="E9808" s="318"/>
      <c r="F9808" s="247"/>
      <c r="G9808" s="247"/>
      <c r="H9808" s="248"/>
      <c r="I9808" s="248"/>
      <c r="J9808" s="247"/>
      <c r="K9808" s="249"/>
    </row>
    <row r="9809" spans="1:11" s="90" customFormat="1" ht="12.75" customHeight="1" x14ac:dyDescent="0.2">
      <c r="A9809" s="247"/>
      <c r="B9809" s="316"/>
      <c r="C9809" s="247"/>
      <c r="D9809" s="317"/>
      <c r="E9809" s="318"/>
      <c r="F9809" s="247"/>
      <c r="G9809" s="247"/>
      <c r="H9809" s="248"/>
      <c r="I9809" s="248"/>
      <c r="J9809" s="247"/>
      <c r="K9809" s="249"/>
    </row>
    <row r="9810" spans="1:11" s="90" customFormat="1" ht="12.75" customHeight="1" x14ac:dyDescent="0.2">
      <c r="A9810" s="247"/>
      <c r="B9810" s="316"/>
      <c r="C9810" s="247"/>
      <c r="D9810" s="317"/>
      <c r="E9810" s="318"/>
      <c r="F9810" s="247"/>
      <c r="G9810" s="247"/>
      <c r="H9810" s="248"/>
      <c r="I9810" s="248"/>
      <c r="J9810" s="247"/>
      <c r="K9810" s="249"/>
    </row>
    <row r="9811" spans="1:11" s="90" customFormat="1" ht="12.75" customHeight="1" x14ac:dyDescent="0.2">
      <c r="A9811" s="247"/>
      <c r="B9811" s="316"/>
      <c r="C9811" s="247"/>
      <c r="D9811" s="317"/>
      <c r="E9811" s="318"/>
      <c r="F9811" s="247"/>
      <c r="G9811" s="247"/>
      <c r="H9811" s="248"/>
      <c r="I9811" s="248"/>
      <c r="J9811" s="247"/>
      <c r="K9811" s="249"/>
    </row>
    <row r="9812" spans="1:11" s="90" customFormat="1" ht="12.75" customHeight="1" x14ac:dyDescent="0.2">
      <c r="A9812" s="247"/>
      <c r="B9812" s="316"/>
      <c r="C9812" s="247"/>
      <c r="D9812" s="317"/>
      <c r="E9812" s="318"/>
      <c r="F9812" s="247"/>
      <c r="G9812" s="247"/>
      <c r="H9812" s="248"/>
      <c r="I9812" s="248"/>
      <c r="J9812" s="247"/>
      <c r="K9812" s="249"/>
    </row>
    <row r="9813" spans="1:11" s="90" customFormat="1" ht="12.75" customHeight="1" x14ac:dyDescent="0.2">
      <c r="A9813" s="247"/>
      <c r="B9813" s="316"/>
      <c r="C9813" s="247"/>
      <c r="D9813" s="317"/>
      <c r="E9813" s="318"/>
      <c r="F9813" s="247"/>
      <c r="G9813" s="247"/>
      <c r="H9813" s="248"/>
      <c r="I9813" s="248"/>
      <c r="J9813" s="247"/>
      <c r="K9813" s="249"/>
    </row>
    <row r="9814" spans="1:11" s="90" customFormat="1" ht="12.75" customHeight="1" x14ac:dyDescent="0.2">
      <c r="A9814" s="247"/>
      <c r="B9814" s="316"/>
      <c r="C9814" s="247"/>
      <c r="D9814" s="317"/>
      <c r="E9814" s="318"/>
      <c r="F9814" s="247"/>
      <c r="G9814" s="247"/>
      <c r="H9814" s="248"/>
      <c r="I9814" s="248"/>
      <c r="J9814" s="247"/>
      <c r="K9814" s="249"/>
    </row>
    <row r="9815" spans="1:11" s="90" customFormat="1" ht="12.75" customHeight="1" x14ac:dyDescent="0.2">
      <c r="A9815" s="247"/>
      <c r="B9815" s="316"/>
      <c r="C9815" s="247"/>
      <c r="D9815" s="317"/>
      <c r="E9815" s="318"/>
      <c r="F9815" s="247"/>
      <c r="G9815" s="247"/>
      <c r="H9815" s="248"/>
      <c r="I9815" s="248"/>
      <c r="J9815" s="247"/>
      <c r="K9815" s="249"/>
    </row>
    <row r="9816" spans="1:11" s="90" customFormat="1" ht="12.75" customHeight="1" x14ac:dyDescent="0.2">
      <c r="A9816" s="247"/>
      <c r="B9816" s="316"/>
      <c r="C9816" s="247"/>
      <c r="D9816" s="317"/>
      <c r="E9816" s="318"/>
      <c r="F9816" s="247"/>
      <c r="G9816" s="247"/>
      <c r="H9816" s="248"/>
      <c r="I9816" s="248"/>
      <c r="J9816" s="247"/>
      <c r="K9816" s="249"/>
    </row>
    <row r="9817" spans="1:11" s="90" customFormat="1" ht="12.75" customHeight="1" x14ac:dyDescent="0.2">
      <c r="A9817" s="247"/>
      <c r="B9817" s="316"/>
      <c r="C9817" s="247"/>
      <c r="D9817" s="317"/>
      <c r="E9817" s="318"/>
      <c r="F9817" s="247"/>
      <c r="G9817" s="247"/>
      <c r="H9817" s="248"/>
      <c r="I9817" s="248"/>
      <c r="J9817" s="247"/>
      <c r="K9817" s="249"/>
    </row>
    <row r="9818" spans="1:11" s="90" customFormat="1" ht="12.75" customHeight="1" x14ac:dyDescent="0.2">
      <c r="A9818" s="247"/>
      <c r="B9818" s="316"/>
      <c r="C9818" s="247"/>
      <c r="D9818" s="317"/>
      <c r="E9818" s="318"/>
      <c r="F9818" s="247"/>
      <c r="G9818" s="247"/>
      <c r="H9818" s="248"/>
      <c r="I9818" s="248"/>
      <c r="J9818" s="247"/>
      <c r="K9818" s="249"/>
    </row>
    <row r="9819" spans="1:11" s="90" customFormat="1" ht="12.75" customHeight="1" x14ac:dyDescent="0.2">
      <c r="A9819" s="247"/>
      <c r="B9819" s="316"/>
      <c r="C9819" s="247"/>
      <c r="D9819" s="317"/>
      <c r="E9819" s="318"/>
      <c r="F9819" s="247"/>
      <c r="G9819" s="247"/>
      <c r="H9819" s="248"/>
      <c r="I9819" s="248"/>
      <c r="J9819" s="247"/>
      <c r="K9819" s="249"/>
    </row>
    <row r="9820" spans="1:11" s="90" customFormat="1" ht="12.75" customHeight="1" x14ac:dyDescent="0.2">
      <c r="A9820" s="247"/>
      <c r="B9820" s="316"/>
      <c r="C9820" s="247"/>
      <c r="D9820" s="317"/>
      <c r="E9820" s="318"/>
      <c r="F9820" s="247"/>
      <c r="G9820" s="247"/>
      <c r="H9820" s="248"/>
      <c r="I9820" s="248"/>
      <c r="J9820" s="247"/>
      <c r="K9820" s="249"/>
    </row>
    <row r="9821" spans="1:11" s="90" customFormat="1" ht="12.75" customHeight="1" x14ac:dyDescent="0.2">
      <c r="A9821" s="247"/>
      <c r="B9821" s="316"/>
      <c r="C9821" s="247"/>
      <c r="D9821" s="317"/>
      <c r="E9821" s="318"/>
      <c r="F9821" s="247"/>
      <c r="G9821" s="247"/>
      <c r="H9821" s="248"/>
      <c r="I9821" s="248"/>
      <c r="J9821" s="247"/>
      <c r="K9821" s="249"/>
    </row>
    <row r="9822" spans="1:11" s="90" customFormat="1" ht="12.75" customHeight="1" x14ac:dyDescent="0.2">
      <c r="A9822" s="247"/>
      <c r="B9822" s="316"/>
      <c r="C9822" s="247"/>
      <c r="D9822" s="317"/>
      <c r="E9822" s="318"/>
      <c r="F9822" s="247"/>
      <c r="G9822" s="247"/>
      <c r="H9822" s="248"/>
      <c r="I9822" s="248"/>
      <c r="J9822" s="247"/>
      <c r="K9822" s="249"/>
    </row>
    <row r="9823" spans="1:11" s="90" customFormat="1" ht="12.75" customHeight="1" x14ac:dyDescent="0.2">
      <c r="A9823" s="247"/>
      <c r="B9823" s="316"/>
      <c r="C9823" s="247"/>
      <c r="D9823" s="317"/>
      <c r="E9823" s="318"/>
      <c r="F9823" s="247"/>
      <c r="G9823" s="247"/>
      <c r="H9823" s="248"/>
      <c r="I9823" s="248"/>
      <c r="J9823" s="247"/>
      <c r="K9823" s="249"/>
    </row>
    <row r="9824" spans="1:11" s="90" customFormat="1" ht="12.75" customHeight="1" x14ac:dyDescent="0.2">
      <c r="A9824" s="247"/>
      <c r="B9824" s="316"/>
      <c r="C9824" s="247"/>
      <c r="D9824" s="317"/>
      <c r="E9824" s="318"/>
      <c r="F9824" s="247"/>
      <c r="G9824" s="247"/>
      <c r="H9824" s="248"/>
      <c r="I9824" s="248"/>
      <c r="J9824" s="247"/>
      <c r="K9824" s="249"/>
    </row>
    <row r="9825" spans="1:11" s="90" customFormat="1" ht="12.75" customHeight="1" x14ac:dyDescent="0.2">
      <c r="A9825" s="247"/>
      <c r="B9825" s="316"/>
      <c r="C9825" s="247"/>
      <c r="D9825" s="317"/>
      <c r="E9825" s="318"/>
      <c r="F9825" s="247"/>
      <c r="G9825" s="247"/>
      <c r="H9825" s="248"/>
      <c r="I9825" s="248"/>
      <c r="J9825" s="247"/>
      <c r="K9825" s="249"/>
    </row>
    <row r="9826" spans="1:11" s="90" customFormat="1" ht="12.75" customHeight="1" x14ac:dyDescent="0.2">
      <c r="A9826" s="247"/>
      <c r="B9826" s="316"/>
      <c r="C9826" s="247"/>
      <c r="D9826" s="317"/>
      <c r="E9826" s="318"/>
      <c r="F9826" s="247"/>
      <c r="G9826" s="247"/>
      <c r="H9826" s="248"/>
      <c r="I9826" s="248"/>
      <c r="J9826" s="247"/>
      <c r="K9826" s="249"/>
    </row>
    <row r="9827" spans="1:11" s="90" customFormat="1" ht="12.75" customHeight="1" x14ac:dyDescent="0.2">
      <c r="A9827" s="247"/>
      <c r="B9827" s="316"/>
      <c r="C9827" s="247"/>
      <c r="D9827" s="317"/>
      <c r="E9827" s="318"/>
      <c r="F9827" s="247"/>
      <c r="G9827" s="247"/>
      <c r="H9827" s="248"/>
      <c r="I9827" s="248"/>
      <c r="J9827" s="247"/>
      <c r="K9827" s="249"/>
    </row>
    <row r="9828" spans="1:11" s="90" customFormat="1" ht="12.75" customHeight="1" x14ac:dyDescent="0.2">
      <c r="A9828" s="247"/>
      <c r="B9828" s="316"/>
      <c r="C9828" s="247"/>
      <c r="D9828" s="317"/>
      <c r="E9828" s="318"/>
      <c r="F9828" s="247"/>
      <c r="G9828" s="247"/>
      <c r="H9828" s="248"/>
      <c r="I9828" s="248"/>
      <c r="J9828" s="247"/>
      <c r="K9828" s="249"/>
    </row>
    <row r="9829" spans="1:11" s="90" customFormat="1" ht="12.75" customHeight="1" x14ac:dyDescent="0.2">
      <c r="A9829" s="247"/>
      <c r="B9829" s="316"/>
      <c r="C9829" s="247"/>
      <c r="D9829" s="317"/>
      <c r="E9829" s="318"/>
      <c r="F9829" s="247"/>
      <c r="G9829" s="247"/>
      <c r="H9829" s="248"/>
      <c r="I9829" s="248"/>
      <c r="J9829" s="247"/>
      <c r="K9829" s="249"/>
    </row>
    <row r="9830" spans="1:11" s="90" customFormat="1" ht="12.75" customHeight="1" x14ac:dyDescent="0.2">
      <c r="A9830" s="247"/>
      <c r="B9830" s="316"/>
      <c r="C9830" s="247"/>
      <c r="D9830" s="317"/>
      <c r="E9830" s="318"/>
      <c r="F9830" s="247"/>
      <c r="G9830" s="247"/>
      <c r="H9830" s="248"/>
      <c r="I9830" s="248"/>
      <c r="J9830" s="247"/>
      <c r="K9830" s="249"/>
    </row>
    <row r="9831" spans="1:11" s="90" customFormat="1" ht="12.75" customHeight="1" x14ac:dyDescent="0.2">
      <c r="A9831" s="247"/>
      <c r="B9831" s="316"/>
      <c r="C9831" s="247"/>
      <c r="D9831" s="317"/>
      <c r="E9831" s="318"/>
      <c r="F9831" s="247"/>
      <c r="G9831" s="247"/>
      <c r="H9831" s="248"/>
      <c r="I9831" s="248"/>
      <c r="J9831" s="247"/>
      <c r="K9831" s="249"/>
    </row>
    <row r="9832" spans="1:11" s="90" customFormat="1" ht="12.75" customHeight="1" x14ac:dyDescent="0.2">
      <c r="A9832" s="247"/>
      <c r="B9832" s="316"/>
      <c r="C9832" s="247"/>
      <c r="D9832" s="317"/>
      <c r="E9832" s="318"/>
      <c r="F9832" s="247"/>
      <c r="G9832" s="247"/>
      <c r="H9832" s="248"/>
      <c r="I9832" s="248"/>
      <c r="J9832" s="247"/>
      <c r="K9832" s="249"/>
    </row>
    <row r="9833" spans="1:11" s="90" customFormat="1" ht="12.75" customHeight="1" x14ac:dyDescent="0.2">
      <c r="A9833" s="247"/>
      <c r="B9833" s="316"/>
      <c r="C9833" s="247"/>
      <c r="D9833" s="317"/>
      <c r="E9833" s="318"/>
      <c r="F9833" s="247"/>
      <c r="G9833" s="247"/>
      <c r="H9833" s="248"/>
      <c r="I9833" s="248"/>
      <c r="J9833" s="247"/>
      <c r="K9833" s="249"/>
    </row>
    <row r="9834" spans="1:11" s="90" customFormat="1" ht="12.75" customHeight="1" x14ac:dyDescent="0.2">
      <c r="A9834" s="247"/>
      <c r="B9834" s="316"/>
      <c r="C9834" s="247"/>
      <c r="D9834" s="317"/>
      <c r="E9834" s="318"/>
      <c r="F9834" s="247"/>
      <c r="G9834" s="247"/>
      <c r="H9834" s="248"/>
      <c r="I9834" s="248"/>
      <c r="J9834" s="247"/>
      <c r="K9834" s="249"/>
    </row>
    <row r="9835" spans="1:11" s="90" customFormat="1" ht="12.75" customHeight="1" x14ac:dyDescent="0.2">
      <c r="A9835" s="247"/>
      <c r="B9835" s="316"/>
      <c r="C9835" s="247"/>
      <c r="D9835" s="317"/>
      <c r="E9835" s="318"/>
      <c r="F9835" s="247"/>
      <c r="G9835" s="247"/>
      <c r="H9835" s="248"/>
      <c r="I9835" s="248"/>
      <c r="J9835" s="247"/>
      <c r="K9835" s="249"/>
    </row>
    <row r="9836" spans="1:11" s="90" customFormat="1" ht="12.75" customHeight="1" x14ac:dyDescent="0.2">
      <c r="A9836" s="247"/>
      <c r="B9836" s="316"/>
      <c r="C9836" s="247"/>
      <c r="D9836" s="317"/>
      <c r="E9836" s="318"/>
      <c r="F9836" s="247"/>
      <c r="G9836" s="247"/>
      <c r="H9836" s="248"/>
      <c r="I9836" s="248"/>
      <c r="J9836" s="247"/>
      <c r="K9836" s="249"/>
    </row>
    <row r="9837" spans="1:11" s="90" customFormat="1" ht="12.75" customHeight="1" x14ac:dyDescent="0.2">
      <c r="A9837" s="247"/>
      <c r="B9837" s="316"/>
      <c r="C9837" s="247"/>
      <c r="D9837" s="317"/>
      <c r="E9837" s="318"/>
      <c r="F9837" s="247"/>
      <c r="G9837" s="247"/>
      <c r="H9837" s="248"/>
      <c r="I9837" s="248"/>
      <c r="J9837" s="247"/>
      <c r="K9837" s="249"/>
    </row>
    <row r="9838" spans="1:11" s="90" customFormat="1" ht="12.75" customHeight="1" x14ac:dyDescent="0.2">
      <c r="A9838" s="247"/>
      <c r="B9838" s="316"/>
      <c r="C9838" s="247"/>
      <c r="D9838" s="317"/>
      <c r="E9838" s="318"/>
      <c r="F9838" s="247"/>
      <c r="G9838" s="247"/>
      <c r="H9838" s="248"/>
      <c r="I9838" s="248"/>
      <c r="J9838" s="247"/>
      <c r="K9838" s="249"/>
    </row>
    <row r="9839" spans="1:11" s="90" customFormat="1" ht="12.75" customHeight="1" x14ac:dyDescent="0.2">
      <c r="A9839" s="247"/>
      <c r="B9839" s="316"/>
      <c r="C9839" s="247"/>
      <c r="D9839" s="317"/>
      <c r="E9839" s="318"/>
      <c r="F9839" s="247"/>
      <c r="G9839" s="247"/>
      <c r="H9839" s="248"/>
      <c r="I9839" s="248"/>
      <c r="J9839" s="247"/>
      <c r="K9839" s="249"/>
    </row>
    <row r="9840" spans="1:11" s="90" customFormat="1" ht="12.75" customHeight="1" x14ac:dyDescent="0.2">
      <c r="A9840" s="247"/>
      <c r="B9840" s="316"/>
      <c r="C9840" s="247"/>
      <c r="D9840" s="317"/>
      <c r="E9840" s="318"/>
      <c r="F9840" s="247"/>
      <c r="G9840" s="247"/>
      <c r="H9840" s="248"/>
      <c r="I9840" s="248"/>
      <c r="J9840" s="247"/>
      <c r="K9840" s="249"/>
    </row>
    <row r="9841" spans="1:11" s="90" customFormat="1" ht="12.75" customHeight="1" x14ac:dyDescent="0.2">
      <c r="A9841" s="247"/>
      <c r="B9841" s="316"/>
      <c r="C9841" s="247"/>
      <c r="D9841" s="317"/>
      <c r="E9841" s="318"/>
      <c r="F9841" s="247"/>
      <c r="G9841" s="247"/>
      <c r="H9841" s="248"/>
      <c r="I9841" s="248"/>
      <c r="J9841" s="247"/>
      <c r="K9841" s="249"/>
    </row>
    <row r="9842" spans="1:11" s="90" customFormat="1" ht="12.75" customHeight="1" x14ac:dyDescent="0.2">
      <c r="A9842" s="247"/>
      <c r="B9842" s="316"/>
      <c r="C9842" s="247"/>
      <c r="D9842" s="317"/>
      <c r="E9842" s="318"/>
      <c r="F9842" s="247"/>
      <c r="G9842" s="247"/>
      <c r="H9842" s="248"/>
      <c r="I9842" s="248"/>
      <c r="J9842" s="247"/>
      <c r="K9842" s="249"/>
    </row>
    <row r="9843" spans="1:11" s="90" customFormat="1" ht="12.75" customHeight="1" x14ac:dyDescent="0.2">
      <c r="A9843" s="247"/>
      <c r="B9843" s="316"/>
      <c r="C9843" s="247"/>
      <c r="D9843" s="317"/>
      <c r="E9843" s="318"/>
      <c r="F9843" s="247"/>
      <c r="G9843" s="247"/>
      <c r="H9843" s="248"/>
      <c r="I9843" s="248"/>
      <c r="J9843" s="247"/>
      <c r="K9843" s="249"/>
    </row>
    <row r="9844" spans="1:11" s="90" customFormat="1" ht="12.75" customHeight="1" x14ac:dyDescent="0.2">
      <c r="A9844" s="247"/>
      <c r="B9844" s="316"/>
      <c r="C9844" s="247"/>
      <c r="D9844" s="317"/>
      <c r="E9844" s="318"/>
      <c r="F9844" s="247"/>
      <c r="G9844" s="247"/>
      <c r="H9844" s="248"/>
      <c r="I9844" s="248"/>
      <c r="J9844" s="247"/>
      <c r="K9844" s="249"/>
    </row>
    <row r="9845" spans="1:11" s="90" customFormat="1" ht="12.75" customHeight="1" x14ac:dyDescent="0.2">
      <c r="A9845" s="247"/>
      <c r="B9845" s="316"/>
      <c r="C9845" s="247"/>
      <c r="D9845" s="317"/>
      <c r="E9845" s="318"/>
      <c r="F9845" s="247"/>
      <c r="G9845" s="247"/>
      <c r="H9845" s="248"/>
      <c r="I9845" s="248"/>
      <c r="J9845" s="247"/>
      <c r="K9845" s="249"/>
    </row>
    <row r="9846" spans="1:11" s="90" customFormat="1" ht="12.75" customHeight="1" x14ac:dyDescent="0.2">
      <c r="A9846" s="247"/>
      <c r="B9846" s="316"/>
      <c r="C9846" s="247"/>
      <c r="D9846" s="317"/>
      <c r="E9846" s="318"/>
      <c r="F9846" s="247"/>
      <c r="G9846" s="247"/>
      <c r="H9846" s="248"/>
      <c r="I9846" s="248"/>
      <c r="J9846" s="247"/>
      <c r="K9846" s="249"/>
    </row>
    <row r="9847" spans="1:11" s="90" customFormat="1" ht="12.75" customHeight="1" x14ac:dyDescent="0.2">
      <c r="A9847" s="247"/>
      <c r="B9847" s="316"/>
      <c r="C9847" s="247"/>
      <c r="D9847" s="317"/>
      <c r="E9847" s="318"/>
      <c r="F9847" s="247"/>
      <c r="G9847" s="247"/>
      <c r="H9847" s="248"/>
      <c r="I9847" s="248"/>
      <c r="J9847" s="247"/>
      <c r="K9847" s="249"/>
    </row>
    <row r="9848" spans="1:11" s="90" customFormat="1" ht="12.75" customHeight="1" x14ac:dyDescent="0.2">
      <c r="A9848" s="247"/>
      <c r="B9848" s="316"/>
      <c r="C9848" s="247"/>
      <c r="D9848" s="317"/>
      <c r="E9848" s="318"/>
      <c r="F9848" s="247"/>
      <c r="G9848" s="247"/>
      <c r="H9848" s="248"/>
      <c r="I9848" s="248"/>
      <c r="J9848" s="247"/>
      <c r="K9848" s="249"/>
    </row>
    <row r="9849" spans="1:11" s="90" customFormat="1" ht="12.75" customHeight="1" x14ac:dyDescent="0.2">
      <c r="A9849" s="247"/>
      <c r="B9849" s="316"/>
      <c r="C9849" s="247"/>
      <c r="D9849" s="317"/>
      <c r="E9849" s="318"/>
      <c r="F9849" s="247"/>
      <c r="G9849" s="247"/>
      <c r="H9849" s="248"/>
      <c r="I9849" s="248"/>
      <c r="J9849" s="247"/>
      <c r="K9849" s="249"/>
    </row>
    <row r="9850" spans="1:11" s="90" customFormat="1" ht="12.75" customHeight="1" x14ac:dyDescent="0.2">
      <c r="A9850" s="247"/>
      <c r="B9850" s="316"/>
      <c r="C9850" s="247"/>
      <c r="D9850" s="317"/>
      <c r="E9850" s="318"/>
      <c r="F9850" s="247"/>
      <c r="G9850" s="247"/>
      <c r="H9850" s="248"/>
      <c r="I9850" s="248"/>
      <c r="J9850" s="247"/>
      <c r="K9850" s="249"/>
    </row>
    <row r="9851" spans="1:11" s="90" customFormat="1" ht="12.75" customHeight="1" x14ac:dyDescent="0.2">
      <c r="A9851" s="247"/>
      <c r="B9851" s="316"/>
      <c r="C9851" s="247"/>
      <c r="D9851" s="317"/>
      <c r="E9851" s="318"/>
      <c r="F9851" s="247"/>
      <c r="G9851" s="247"/>
      <c r="H9851" s="248"/>
      <c r="I9851" s="248"/>
      <c r="J9851" s="247"/>
      <c r="K9851" s="249"/>
    </row>
    <row r="9852" spans="1:11" s="90" customFormat="1" ht="12.75" customHeight="1" x14ac:dyDescent="0.2">
      <c r="A9852" s="247"/>
      <c r="B9852" s="316"/>
      <c r="C9852" s="247"/>
      <c r="D9852" s="317"/>
      <c r="E9852" s="318"/>
      <c r="F9852" s="247"/>
      <c r="G9852" s="247"/>
      <c r="H9852" s="248"/>
      <c r="I9852" s="248"/>
      <c r="J9852" s="247"/>
      <c r="K9852" s="249"/>
    </row>
    <row r="9853" spans="1:11" s="90" customFormat="1" ht="12.75" customHeight="1" x14ac:dyDescent="0.2">
      <c r="A9853" s="247"/>
      <c r="B9853" s="316"/>
      <c r="C9853" s="247"/>
      <c r="D9853" s="317"/>
      <c r="E9853" s="318"/>
      <c r="F9853" s="247"/>
      <c r="G9853" s="247"/>
      <c r="H9853" s="248"/>
      <c r="I9853" s="248"/>
      <c r="J9853" s="247"/>
      <c r="K9853" s="249"/>
    </row>
    <row r="9854" spans="1:11" s="90" customFormat="1" ht="12.75" customHeight="1" x14ac:dyDescent="0.2">
      <c r="A9854" s="247"/>
      <c r="B9854" s="316"/>
      <c r="C9854" s="247"/>
      <c r="D9854" s="317"/>
      <c r="E9854" s="318"/>
      <c r="F9854" s="247"/>
      <c r="G9854" s="247"/>
      <c r="H9854" s="248"/>
      <c r="I9854" s="248"/>
      <c r="J9854" s="247"/>
      <c r="K9854" s="249"/>
    </row>
    <row r="9855" spans="1:11" s="90" customFormat="1" ht="12.75" customHeight="1" x14ac:dyDescent="0.2">
      <c r="A9855" s="247"/>
      <c r="B9855" s="316"/>
      <c r="C9855" s="247"/>
      <c r="D9855" s="317"/>
      <c r="E9855" s="318"/>
      <c r="F9855" s="247"/>
      <c r="G9855" s="247"/>
      <c r="H9855" s="248"/>
      <c r="I9855" s="248"/>
      <c r="J9855" s="247"/>
      <c r="K9855" s="249"/>
    </row>
    <row r="9856" spans="1:11" s="90" customFormat="1" ht="12.75" customHeight="1" x14ac:dyDescent="0.2">
      <c r="A9856" s="247"/>
      <c r="B9856" s="316"/>
      <c r="C9856" s="247"/>
      <c r="D9856" s="317"/>
      <c r="E9856" s="318"/>
      <c r="F9856" s="247"/>
      <c r="G9856" s="247"/>
      <c r="H9856" s="248"/>
      <c r="I9856" s="248"/>
      <c r="J9856" s="247"/>
      <c r="K9856" s="249"/>
    </row>
    <row r="9857" spans="1:11" s="90" customFormat="1" ht="12.75" customHeight="1" x14ac:dyDescent="0.2">
      <c r="A9857" s="247"/>
      <c r="B9857" s="316"/>
      <c r="C9857" s="247"/>
      <c r="D9857" s="317"/>
      <c r="E9857" s="318"/>
      <c r="F9857" s="247"/>
      <c r="G9857" s="247"/>
      <c r="H9857" s="248"/>
      <c r="I9857" s="248"/>
      <c r="J9857" s="247"/>
      <c r="K9857" s="249"/>
    </row>
    <row r="9858" spans="1:11" s="90" customFormat="1" ht="12.75" customHeight="1" x14ac:dyDescent="0.2">
      <c r="A9858" s="247"/>
      <c r="B9858" s="316"/>
      <c r="C9858" s="247"/>
      <c r="D9858" s="317"/>
      <c r="E9858" s="318"/>
      <c r="F9858" s="247"/>
      <c r="G9858" s="247"/>
      <c r="H9858" s="248"/>
      <c r="I9858" s="248"/>
      <c r="J9858" s="247"/>
      <c r="K9858" s="249"/>
    </row>
    <row r="9859" spans="1:11" s="90" customFormat="1" ht="12.75" customHeight="1" x14ac:dyDescent="0.2">
      <c r="A9859" s="247"/>
      <c r="B9859" s="316"/>
      <c r="C9859" s="247"/>
      <c r="D9859" s="317"/>
      <c r="E9859" s="318"/>
      <c r="F9859" s="247"/>
      <c r="G9859" s="247"/>
      <c r="H9859" s="248"/>
      <c r="I9859" s="248"/>
      <c r="J9859" s="247"/>
      <c r="K9859" s="249"/>
    </row>
    <row r="9860" spans="1:11" s="90" customFormat="1" ht="12.75" customHeight="1" x14ac:dyDescent="0.2">
      <c r="A9860" s="247"/>
      <c r="B9860" s="316"/>
      <c r="C9860" s="247"/>
      <c r="D9860" s="317"/>
      <c r="E9860" s="318"/>
      <c r="F9860" s="247"/>
      <c r="G9860" s="247"/>
      <c r="H9860" s="248"/>
      <c r="I9860" s="248"/>
      <c r="J9860" s="247"/>
      <c r="K9860" s="249"/>
    </row>
    <row r="9861" spans="1:11" s="90" customFormat="1" ht="12.75" customHeight="1" x14ac:dyDescent="0.2">
      <c r="A9861" s="247"/>
      <c r="B9861" s="316"/>
      <c r="C9861" s="247"/>
      <c r="D9861" s="317"/>
      <c r="E9861" s="318"/>
      <c r="F9861" s="247"/>
      <c r="G9861" s="247"/>
      <c r="H9861" s="248"/>
      <c r="I9861" s="248"/>
      <c r="J9861" s="247"/>
      <c r="K9861" s="249"/>
    </row>
    <row r="9862" spans="1:11" s="90" customFormat="1" ht="12.75" customHeight="1" x14ac:dyDescent="0.2">
      <c r="A9862" s="247"/>
      <c r="B9862" s="316"/>
      <c r="C9862" s="247"/>
      <c r="D9862" s="317"/>
      <c r="E9862" s="318"/>
      <c r="F9862" s="247"/>
      <c r="G9862" s="247"/>
      <c r="H9862" s="248"/>
      <c r="I9862" s="248"/>
      <c r="J9862" s="247"/>
      <c r="K9862" s="249"/>
    </row>
    <row r="9863" spans="1:11" s="90" customFormat="1" ht="12.75" customHeight="1" x14ac:dyDescent="0.2">
      <c r="A9863" s="247"/>
      <c r="B9863" s="316"/>
      <c r="C9863" s="247"/>
      <c r="D9863" s="317"/>
      <c r="E9863" s="318"/>
      <c r="F9863" s="247"/>
      <c r="G9863" s="247"/>
      <c r="H9863" s="248"/>
      <c r="I9863" s="248"/>
      <c r="J9863" s="247"/>
      <c r="K9863" s="249"/>
    </row>
    <row r="9864" spans="1:11" s="90" customFormat="1" ht="12.75" customHeight="1" x14ac:dyDescent="0.2">
      <c r="A9864" s="247"/>
      <c r="B9864" s="316"/>
      <c r="C9864" s="247"/>
      <c r="D9864" s="317"/>
      <c r="E9864" s="318"/>
      <c r="F9864" s="247"/>
      <c r="G9864" s="247"/>
      <c r="H9864" s="248"/>
      <c r="I9864" s="248"/>
      <c r="J9864" s="247"/>
      <c r="K9864" s="249"/>
    </row>
    <row r="9865" spans="1:11" s="90" customFormat="1" ht="12.75" customHeight="1" x14ac:dyDescent="0.2">
      <c r="A9865" s="247"/>
      <c r="B9865" s="316"/>
      <c r="C9865" s="247"/>
      <c r="D9865" s="317"/>
      <c r="E9865" s="318"/>
      <c r="F9865" s="247"/>
      <c r="G9865" s="247"/>
      <c r="H9865" s="248"/>
      <c r="I9865" s="248"/>
      <c r="J9865" s="247"/>
      <c r="K9865" s="249"/>
    </row>
    <row r="9866" spans="1:11" s="90" customFormat="1" ht="12.75" customHeight="1" x14ac:dyDescent="0.2">
      <c r="A9866" s="247"/>
      <c r="B9866" s="316"/>
      <c r="C9866" s="247"/>
      <c r="D9866" s="317"/>
      <c r="E9866" s="318"/>
      <c r="F9866" s="247"/>
      <c r="G9866" s="247"/>
      <c r="H9866" s="248"/>
      <c r="I9866" s="248"/>
      <c r="J9866" s="247"/>
      <c r="K9866" s="249"/>
    </row>
    <row r="9867" spans="1:11" s="90" customFormat="1" ht="12.75" customHeight="1" x14ac:dyDescent="0.2">
      <c r="A9867" s="247"/>
      <c r="B9867" s="316"/>
      <c r="C9867" s="247"/>
      <c r="D9867" s="317"/>
      <c r="E9867" s="318"/>
      <c r="F9867" s="247"/>
      <c r="G9867" s="247"/>
      <c r="H9867" s="248"/>
      <c r="I9867" s="248"/>
      <c r="J9867" s="247"/>
      <c r="K9867" s="249"/>
    </row>
    <row r="9868" spans="1:11" s="90" customFormat="1" ht="12.75" customHeight="1" x14ac:dyDescent="0.2">
      <c r="A9868" s="247"/>
      <c r="B9868" s="316"/>
      <c r="C9868" s="247"/>
      <c r="D9868" s="317"/>
      <c r="E9868" s="318"/>
      <c r="F9868" s="247"/>
      <c r="G9868" s="247"/>
      <c r="H9868" s="248"/>
      <c r="I9868" s="248"/>
      <c r="J9868" s="247"/>
      <c r="K9868" s="249"/>
    </row>
    <row r="9869" spans="1:11" s="90" customFormat="1" ht="12.75" customHeight="1" x14ac:dyDescent="0.2">
      <c r="A9869" s="247"/>
      <c r="B9869" s="316"/>
      <c r="C9869" s="247"/>
      <c r="D9869" s="317"/>
      <c r="E9869" s="318"/>
      <c r="F9869" s="247"/>
      <c r="G9869" s="247"/>
      <c r="H9869" s="248"/>
      <c r="I9869" s="248"/>
      <c r="J9869" s="247"/>
      <c r="K9869" s="249"/>
    </row>
    <row r="9870" spans="1:11" s="90" customFormat="1" ht="12.75" customHeight="1" x14ac:dyDescent="0.2">
      <c r="A9870" s="247"/>
      <c r="B9870" s="316"/>
      <c r="C9870" s="247"/>
      <c r="D9870" s="317"/>
      <c r="E9870" s="318"/>
      <c r="F9870" s="247"/>
      <c r="G9870" s="247"/>
      <c r="H9870" s="248"/>
      <c r="I9870" s="248"/>
      <c r="J9870" s="247"/>
      <c r="K9870" s="249"/>
    </row>
    <row r="9871" spans="1:11" s="90" customFormat="1" ht="12.75" customHeight="1" x14ac:dyDescent="0.2">
      <c r="A9871" s="247"/>
      <c r="B9871" s="316"/>
      <c r="C9871" s="247"/>
      <c r="D9871" s="317"/>
      <c r="E9871" s="318"/>
      <c r="F9871" s="247"/>
      <c r="G9871" s="247"/>
      <c r="H9871" s="248"/>
      <c r="I9871" s="248"/>
      <c r="J9871" s="247"/>
      <c r="K9871" s="249"/>
    </row>
    <row r="9872" spans="1:11" s="90" customFormat="1" ht="12.75" customHeight="1" x14ac:dyDescent="0.2">
      <c r="A9872" s="247"/>
      <c r="B9872" s="316"/>
      <c r="C9872" s="247"/>
      <c r="D9872" s="317"/>
      <c r="E9872" s="318"/>
      <c r="F9872" s="247"/>
      <c r="G9872" s="247"/>
      <c r="H9872" s="248"/>
      <c r="I9872" s="248"/>
      <c r="J9872" s="247"/>
      <c r="K9872" s="249"/>
    </row>
    <row r="9873" spans="1:11" s="90" customFormat="1" ht="12.75" customHeight="1" x14ac:dyDescent="0.2">
      <c r="A9873" s="247"/>
      <c r="B9873" s="316"/>
      <c r="C9873" s="247"/>
      <c r="D9873" s="317"/>
      <c r="E9873" s="318"/>
      <c r="F9873" s="247"/>
      <c r="G9873" s="247"/>
      <c r="H9873" s="248"/>
      <c r="I9873" s="248"/>
      <c r="J9873" s="247"/>
      <c r="K9873" s="249"/>
    </row>
    <row r="9874" spans="1:11" s="90" customFormat="1" ht="12.75" customHeight="1" x14ac:dyDescent="0.2">
      <c r="A9874" s="247"/>
      <c r="B9874" s="316"/>
      <c r="C9874" s="247"/>
      <c r="D9874" s="317"/>
      <c r="E9874" s="318"/>
      <c r="F9874" s="247"/>
      <c r="G9874" s="247"/>
      <c r="H9874" s="248"/>
      <c r="I9874" s="248"/>
      <c r="J9874" s="247"/>
      <c r="K9874" s="249"/>
    </row>
    <row r="9875" spans="1:11" s="90" customFormat="1" ht="12.75" customHeight="1" x14ac:dyDescent="0.2">
      <c r="A9875" s="247"/>
      <c r="B9875" s="316"/>
      <c r="C9875" s="247"/>
      <c r="D9875" s="317"/>
      <c r="E9875" s="318"/>
      <c r="F9875" s="247"/>
      <c r="G9875" s="247"/>
      <c r="H9875" s="248"/>
      <c r="I9875" s="248"/>
      <c r="J9875" s="247"/>
      <c r="K9875" s="249"/>
    </row>
    <row r="9876" spans="1:11" s="90" customFormat="1" ht="12.75" customHeight="1" x14ac:dyDescent="0.2">
      <c r="A9876" s="247"/>
      <c r="B9876" s="316"/>
      <c r="C9876" s="247"/>
      <c r="D9876" s="317"/>
      <c r="E9876" s="318"/>
      <c r="F9876" s="247"/>
      <c r="G9876" s="247"/>
      <c r="H9876" s="248"/>
      <c r="I9876" s="248"/>
      <c r="J9876" s="247"/>
      <c r="K9876" s="249"/>
    </row>
    <row r="9877" spans="1:11" s="90" customFormat="1" ht="12.75" customHeight="1" x14ac:dyDescent="0.2">
      <c r="A9877" s="247"/>
      <c r="B9877" s="316"/>
      <c r="C9877" s="247"/>
      <c r="D9877" s="317"/>
      <c r="E9877" s="318"/>
      <c r="F9877" s="247"/>
      <c r="G9877" s="247"/>
      <c r="H9877" s="248"/>
      <c r="I9877" s="248"/>
      <c r="J9877" s="247"/>
      <c r="K9877" s="249"/>
    </row>
    <row r="9878" spans="1:11" s="90" customFormat="1" ht="12.75" customHeight="1" x14ac:dyDescent="0.2">
      <c r="A9878" s="247"/>
      <c r="B9878" s="316"/>
      <c r="C9878" s="247"/>
      <c r="D9878" s="317"/>
      <c r="E9878" s="318"/>
      <c r="F9878" s="247"/>
      <c r="G9878" s="247"/>
      <c r="H9878" s="248"/>
      <c r="I9878" s="248"/>
      <c r="J9878" s="247"/>
      <c r="K9878" s="249"/>
    </row>
    <row r="9879" spans="1:11" s="90" customFormat="1" ht="12.75" customHeight="1" x14ac:dyDescent="0.2">
      <c r="A9879" s="247"/>
      <c r="B9879" s="316"/>
      <c r="C9879" s="247"/>
      <c r="D9879" s="317"/>
      <c r="E9879" s="318"/>
      <c r="F9879" s="247"/>
      <c r="G9879" s="247"/>
      <c r="H9879" s="248"/>
      <c r="I9879" s="248"/>
      <c r="J9879" s="247"/>
      <c r="K9879" s="249"/>
    </row>
    <row r="9880" spans="1:11" s="90" customFormat="1" ht="12.75" customHeight="1" x14ac:dyDescent="0.2">
      <c r="A9880" s="247"/>
      <c r="B9880" s="316"/>
      <c r="C9880" s="247"/>
      <c r="D9880" s="317"/>
      <c r="E9880" s="318"/>
      <c r="F9880" s="247"/>
      <c r="G9880" s="247"/>
      <c r="H9880" s="248"/>
      <c r="I9880" s="248"/>
      <c r="J9880" s="247"/>
      <c r="K9880" s="249"/>
    </row>
    <row r="9881" spans="1:11" s="90" customFormat="1" ht="12.75" customHeight="1" x14ac:dyDescent="0.2">
      <c r="A9881" s="247"/>
      <c r="B9881" s="316"/>
      <c r="C9881" s="247"/>
      <c r="D9881" s="317"/>
      <c r="E9881" s="318"/>
      <c r="F9881" s="247"/>
      <c r="G9881" s="247"/>
      <c r="H9881" s="248"/>
      <c r="I9881" s="248"/>
      <c r="J9881" s="247"/>
      <c r="K9881" s="249"/>
    </row>
    <row r="9882" spans="1:11" s="90" customFormat="1" ht="12.75" customHeight="1" x14ac:dyDescent="0.2">
      <c r="A9882" s="247"/>
      <c r="B9882" s="316"/>
      <c r="C9882" s="247"/>
      <c r="D9882" s="317"/>
      <c r="E9882" s="318"/>
      <c r="F9882" s="247"/>
      <c r="G9882" s="247"/>
      <c r="H9882" s="248"/>
      <c r="I9882" s="248"/>
      <c r="J9882" s="247"/>
      <c r="K9882" s="249"/>
    </row>
    <row r="9883" spans="1:11" s="90" customFormat="1" ht="12.75" customHeight="1" x14ac:dyDescent="0.2">
      <c r="A9883" s="247"/>
      <c r="B9883" s="316"/>
      <c r="C9883" s="247"/>
      <c r="D9883" s="317"/>
      <c r="E9883" s="318"/>
      <c r="F9883" s="247"/>
      <c r="G9883" s="247"/>
      <c r="H9883" s="248"/>
      <c r="I9883" s="248"/>
      <c r="J9883" s="247"/>
      <c r="K9883" s="249"/>
    </row>
    <row r="9884" spans="1:11" s="90" customFormat="1" ht="12.75" customHeight="1" x14ac:dyDescent="0.2">
      <c r="A9884" s="247"/>
      <c r="B9884" s="316"/>
      <c r="C9884" s="247"/>
      <c r="D9884" s="317"/>
      <c r="E9884" s="318"/>
      <c r="F9884" s="247"/>
      <c r="G9884" s="247"/>
      <c r="H9884" s="248"/>
      <c r="I9884" s="248"/>
      <c r="J9884" s="247"/>
      <c r="K9884" s="249"/>
    </row>
    <row r="9885" spans="1:11" s="90" customFormat="1" ht="12.75" customHeight="1" x14ac:dyDescent="0.2">
      <c r="A9885" s="247"/>
      <c r="B9885" s="316"/>
      <c r="C9885" s="247"/>
      <c r="D9885" s="317"/>
      <c r="E9885" s="318"/>
      <c r="F9885" s="247"/>
      <c r="G9885" s="247"/>
      <c r="H9885" s="248"/>
      <c r="I9885" s="248"/>
      <c r="J9885" s="247"/>
      <c r="K9885" s="249"/>
    </row>
    <row r="9886" spans="1:11" s="90" customFormat="1" ht="12.75" customHeight="1" x14ac:dyDescent="0.2">
      <c r="A9886" s="247"/>
      <c r="B9886" s="316"/>
      <c r="C9886" s="247"/>
      <c r="D9886" s="317"/>
      <c r="E9886" s="318"/>
      <c r="F9886" s="247"/>
      <c r="G9886" s="247"/>
      <c r="H9886" s="248"/>
      <c r="I9886" s="248"/>
      <c r="J9886" s="247"/>
      <c r="K9886" s="249"/>
    </row>
    <row r="9887" spans="1:11" s="90" customFormat="1" ht="12.75" customHeight="1" x14ac:dyDescent="0.2">
      <c r="A9887" s="247"/>
      <c r="B9887" s="316"/>
      <c r="C9887" s="247"/>
      <c r="D9887" s="317"/>
      <c r="E9887" s="318"/>
      <c r="F9887" s="247"/>
      <c r="G9887" s="247"/>
      <c r="H9887" s="248"/>
      <c r="I9887" s="248"/>
      <c r="J9887" s="247"/>
      <c r="K9887" s="249"/>
    </row>
    <row r="9888" spans="1:11" s="90" customFormat="1" ht="12.75" customHeight="1" x14ac:dyDescent="0.2">
      <c r="A9888" s="247"/>
      <c r="B9888" s="316"/>
      <c r="C9888" s="247"/>
      <c r="D9888" s="317"/>
      <c r="E9888" s="318"/>
      <c r="F9888" s="247"/>
      <c r="G9888" s="247"/>
      <c r="H9888" s="248"/>
      <c r="I9888" s="248"/>
      <c r="J9888" s="247"/>
      <c r="K9888" s="249"/>
    </row>
    <row r="9889" spans="1:11" s="90" customFormat="1" ht="12.75" customHeight="1" x14ac:dyDescent="0.2">
      <c r="A9889" s="247"/>
      <c r="B9889" s="316"/>
      <c r="C9889" s="247"/>
      <c r="D9889" s="317"/>
      <c r="E9889" s="318"/>
      <c r="F9889" s="247"/>
      <c r="G9889" s="247"/>
      <c r="H9889" s="248"/>
      <c r="I9889" s="248"/>
      <c r="J9889" s="247"/>
      <c r="K9889" s="249"/>
    </row>
    <row r="9890" spans="1:11" s="90" customFormat="1" ht="12.75" customHeight="1" x14ac:dyDescent="0.2">
      <c r="A9890" s="247"/>
      <c r="B9890" s="316"/>
      <c r="C9890" s="247"/>
      <c r="D9890" s="317"/>
      <c r="E9890" s="318"/>
      <c r="F9890" s="247"/>
      <c r="G9890" s="247"/>
      <c r="H9890" s="248"/>
      <c r="I9890" s="248"/>
      <c r="J9890" s="247"/>
      <c r="K9890" s="249"/>
    </row>
    <row r="9891" spans="1:11" s="90" customFormat="1" ht="12.75" customHeight="1" x14ac:dyDescent="0.2">
      <c r="A9891" s="247"/>
      <c r="B9891" s="316"/>
      <c r="C9891" s="247"/>
      <c r="D9891" s="317"/>
      <c r="E9891" s="318"/>
      <c r="F9891" s="247"/>
      <c r="G9891" s="247"/>
      <c r="H9891" s="248"/>
      <c r="I9891" s="248"/>
      <c r="J9891" s="247"/>
      <c r="K9891" s="249"/>
    </row>
    <row r="9892" spans="1:11" s="90" customFormat="1" ht="12.75" customHeight="1" x14ac:dyDescent="0.2">
      <c r="A9892" s="247"/>
      <c r="B9892" s="316"/>
      <c r="C9892" s="247"/>
      <c r="D9892" s="317"/>
      <c r="E9892" s="318"/>
      <c r="F9892" s="247"/>
      <c r="G9892" s="247"/>
      <c r="H9892" s="248"/>
      <c r="I9892" s="248"/>
      <c r="J9892" s="247"/>
      <c r="K9892" s="249"/>
    </row>
    <row r="9893" spans="1:11" s="90" customFormat="1" ht="12.75" customHeight="1" x14ac:dyDescent="0.2">
      <c r="A9893" s="247"/>
      <c r="B9893" s="316"/>
      <c r="C9893" s="247"/>
      <c r="D9893" s="317"/>
      <c r="E9893" s="318"/>
      <c r="F9893" s="247"/>
      <c r="G9893" s="247"/>
      <c r="H9893" s="248"/>
      <c r="I9893" s="248"/>
      <c r="J9893" s="247"/>
      <c r="K9893" s="249"/>
    </row>
    <row r="9894" spans="1:11" s="90" customFormat="1" ht="12.75" customHeight="1" x14ac:dyDescent="0.2">
      <c r="A9894" s="247"/>
      <c r="B9894" s="316"/>
      <c r="C9894" s="247"/>
      <c r="D9894" s="317"/>
      <c r="E9894" s="318"/>
      <c r="F9894" s="247"/>
      <c r="G9894" s="247"/>
      <c r="H9894" s="248"/>
      <c r="I9894" s="248"/>
      <c r="J9894" s="247"/>
      <c r="K9894" s="249"/>
    </row>
    <row r="9895" spans="1:11" s="90" customFormat="1" ht="12.75" customHeight="1" x14ac:dyDescent="0.2">
      <c r="A9895" s="247"/>
      <c r="B9895" s="316"/>
      <c r="C9895" s="247"/>
      <c r="D9895" s="317"/>
      <c r="E9895" s="318"/>
      <c r="F9895" s="247"/>
      <c r="G9895" s="247"/>
      <c r="H9895" s="248"/>
      <c r="I9895" s="248"/>
      <c r="J9895" s="247"/>
      <c r="K9895" s="249"/>
    </row>
    <row r="9896" spans="1:11" s="90" customFormat="1" ht="12.75" customHeight="1" x14ac:dyDescent="0.2">
      <c r="A9896" s="247"/>
      <c r="B9896" s="316"/>
      <c r="C9896" s="247"/>
      <c r="D9896" s="317"/>
      <c r="E9896" s="318"/>
      <c r="F9896" s="247"/>
      <c r="G9896" s="247"/>
      <c r="H9896" s="248"/>
      <c r="I9896" s="248"/>
      <c r="J9896" s="247"/>
      <c r="K9896" s="249"/>
    </row>
    <row r="9897" spans="1:11" s="90" customFormat="1" ht="12.75" customHeight="1" x14ac:dyDescent="0.2">
      <c r="A9897" s="247"/>
      <c r="B9897" s="316"/>
      <c r="C9897" s="247"/>
      <c r="D9897" s="317"/>
      <c r="E9897" s="318"/>
      <c r="F9897" s="247"/>
      <c r="G9897" s="247"/>
      <c r="H9897" s="248"/>
      <c r="I9897" s="248"/>
      <c r="J9897" s="247"/>
      <c r="K9897" s="249"/>
    </row>
    <row r="9898" spans="1:11" s="90" customFormat="1" ht="12.75" customHeight="1" x14ac:dyDescent="0.2">
      <c r="A9898" s="247"/>
      <c r="B9898" s="316"/>
      <c r="C9898" s="247"/>
      <c r="D9898" s="317"/>
      <c r="E9898" s="318"/>
      <c r="F9898" s="247"/>
      <c r="G9898" s="247"/>
      <c r="H9898" s="248"/>
      <c r="I9898" s="248"/>
      <c r="J9898" s="247"/>
      <c r="K9898" s="249"/>
    </row>
    <row r="9899" spans="1:11" s="90" customFormat="1" ht="12.75" customHeight="1" x14ac:dyDescent="0.2">
      <c r="A9899" s="247"/>
      <c r="B9899" s="316"/>
      <c r="C9899" s="247"/>
      <c r="D9899" s="317"/>
      <c r="E9899" s="318"/>
      <c r="F9899" s="247"/>
      <c r="G9899" s="247"/>
      <c r="H9899" s="248"/>
      <c r="I9899" s="248"/>
      <c r="J9899" s="247"/>
      <c r="K9899" s="249"/>
    </row>
    <row r="9900" spans="1:11" s="90" customFormat="1" ht="12.75" customHeight="1" x14ac:dyDescent="0.2">
      <c r="A9900" s="247"/>
      <c r="B9900" s="316"/>
      <c r="C9900" s="247"/>
      <c r="D9900" s="317"/>
      <c r="E9900" s="318"/>
      <c r="F9900" s="247"/>
      <c r="G9900" s="247"/>
      <c r="H9900" s="248"/>
      <c r="I9900" s="248"/>
      <c r="J9900" s="247"/>
      <c r="K9900" s="249"/>
    </row>
    <row r="9901" spans="1:11" s="90" customFormat="1" ht="12.75" customHeight="1" x14ac:dyDescent="0.2">
      <c r="A9901" s="247"/>
      <c r="B9901" s="316"/>
      <c r="C9901" s="247"/>
      <c r="D9901" s="317"/>
      <c r="E9901" s="318"/>
      <c r="F9901" s="247"/>
      <c r="G9901" s="247"/>
      <c r="H9901" s="248"/>
      <c r="I9901" s="248"/>
      <c r="J9901" s="247"/>
      <c r="K9901" s="249"/>
    </row>
    <row r="9902" spans="1:11" s="90" customFormat="1" ht="12.75" customHeight="1" x14ac:dyDescent="0.2">
      <c r="A9902" s="247"/>
      <c r="B9902" s="316"/>
      <c r="C9902" s="247"/>
      <c r="D9902" s="317"/>
      <c r="E9902" s="318"/>
      <c r="F9902" s="247"/>
      <c r="G9902" s="247"/>
      <c r="H9902" s="248"/>
      <c r="I9902" s="248"/>
      <c r="J9902" s="247"/>
      <c r="K9902" s="249"/>
    </row>
    <row r="9903" spans="1:11" s="90" customFormat="1" ht="12.75" customHeight="1" x14ac:dyDescent="0.2">
      <c r="A9903" s="247"/>
      <c r="B9903" s="316"/>
      <c r="C9903" s="247"/>
      <c r="D9903" s="317"/>
      <c r="E9903" s="318"/>
      <c r="F9903" s="247"/>
      <c r="G9903" s="247"/>
      <c r="H9903" s="248"/>
      <c r="I9903" s="248"/>
      <c r="J9903" s="247"/>
      <c r="K9903" s="249"/>
    </row>
    <row r="9904" spans="1:11" s="90" customFormat="1" ht="12.75" customHeight="1" x14ac:dyDescent="0.2">
      <c r="A9904" s="247"/>
      <c r="B9904" s="316"/>
      <c r="C9904" s="247"/>
      <c r="D9904" s="317"/>
      <c r="E9904" s="318"/>
      <c r="F9904" s="247"/>
      <c r="G9904" s="247"/>
      <c r="H9904" s="248"/>
      <c r="I9904" s="248"/>
      <c r="J9904" s="247"/>
      <c r="K9904" s="249"/>
    </row>
    <row r="9905" spans="1:11" s="90" customFormat="1" ht="12.75" customHeight="1" x14ac:dyDescent="0.2">
      <c r="A9905" s="247"/>
      <c r="B9905" s="316"/>
      <c r="C9905" s="247"/>
      <c r="D9905" s="317"/>
      <c r="E9905" s="318"/>
      <c r="F9905" s="247"/>
      <c r="G9905" s="247"/>
      <c r="H9905" s="248"/>
      <c r="I9905" s="248"/>
      <c r="J9905" s="247"/>
      <c r="K9905" s="249"/>
    </row>
    <row r="9906" spans="1:11" s="90" customFormat="1" ht="12.75" customHeight="1" x14ac:dyDescent="0.2">
      <c r="A9906" s="247"/>
      <c r="B9906" s="316"/>
      <c r="C9906" s="247"/>
      <c r="D9906" s="317"/>
      <c r="E9906" s="318"/>
      <c r="F9906" s="247"/>
      <c r="G9906" s="247"/>
      <c r="H9906" s="248"/>
      <c r="I9906" s="248"/>
      <c r="J9906" s="247"/>
      <c r="K9906" s="249"/>
    </row>
    <row r="9907" spans="1:11" s="90" customFormat="1" ht="12.75" customHeight="1" x14ac:dyDescent="0.2">
      <c r="A9907" s="247"/>
      <c r="B9907" s="316"/>
      <c r="C9907" s="247"/>
      <c r="D9907" s="317"/>
      <c r="E9907" s="318"/>
      <c r="F9907" s="247"/>
      <c r="G9907" s="247"/>
      <c r="H9907" s="248"/>
      <c r="I9907" s="248"/>
      <c r="J9907" s="247"/>
      <c r="K9907" s="249"/>
    </row>
    <row r="9908" spans="1:11" s="90" customFormat="1" ht="12.75" customHeight="1" x14ac:dyDescent="0.2">
      <c r="A9908" s="247"/>
      <c r="B9908" s="316"/>
      <c r="C9908" s="247"/>
      <c r="D9908" s="317"/>
      <c r="E9908" s="318"/>
      <c r="F9908" s="247"/>
      <c r="G9908" s="247"/>
      <c r="H9908" s="248"/>
      <c r="I9908" s="248"/>
      <c r="J9908" s="247"/>
      <c r="K9908" s="249"/>
    </row>
    <row r="9909" spans="1:11" s="90" customFormat="1" ht="12.75" customHeight="1" x14ac:dyDescent="0.2">
      <c r="A9909" s="247"/>
      <c r="B9909" s="316"/>
      <c r="C9909" s="247"/>
      <c r="D9909" s="317"/>
      <c r="E9909" s="318"/>
      <c r="F9909" s="247"/>
      <c r="G9909" s="247"/>
      <c r="H9909" s="248"/>
      <c r="I9909" s="248"/>
      <c r="J9909" s="247"/>
      <c r="K9909" s="249"/>
    </row>
    <row r="9910" spans="1:11" s="90" customFormat="1" ht="12.75" customHeight="1" x14ac:dyDescent="0.2">
      <c r="A9910" s="247"/>
      <c r="B9910" s="316"/>
      <c r="C9910" s="247"/>
      <c r="D9910" s="317"/>
      <c r="E9910" s="318"/>
      <c r="F9910" s="247"/>
      <c r="G9910" s="247"/>
      <c r="H9910" s="248"/>
      <c r="I9910" s="248"/>
      <c r="J9910" s="247"/>
      <c r="K9910" s="249"/>
    </row>
    <row r="9911" spans="1:11" s="90" customFormat="1" ht="12.75" customHeight="1" x14ac:dyDescent="0.2">
      <c r="A9911" s="247"/>
      <c r="B9911" s="316"/>
      <c r="C9911" s="247"/>
      <c r="D9911" s="317"/>
      <c r="E9911" s="318"/>
      <c r="F9911" s="247"/>
      <c r="G9911" s="247"/>
      <c r="H9911" s="248"/>
      <c r="I9911" s="248"/>
      <c r="J9911" s="247"/>
      <c r="K9911" s="249"/>
    </row>
    <row r="9912" spans="1:11" s="90" customFormat="1" ht="12.75" customHeight="1" x14ac:dyDescent="0.2">
      <c r="A9912" s="247"/>
      <c r="B9912" s="316"/>
      <c r="C9912" s="247"/>
      <c r="D9912" s="317"/>
      <c r="E9912" s="318"/>
      <c r="F9912" s="247"/>
      <c r="G9912" s="247"/>
      <c r="H9912" s="248"/>
      <c r="I9912" s="248"/>
      <c r="J9912" s="247"/>
      <c r="K9912" s="249"/>
    </row>
    <row r="9913" spans="1:11" s="90" customFormat="1" ht="12.75" customHeight="1" x14ac:dyDescent="0.2">
      <c r="A9913" s="247"/>
      <c r="B9913" s="316"/>
      <c r="C9913" s="247"/>
      <c r="D9913" s="317"/>
      <c r="E9913" s="318"/>
      <c r="F9913" s="247"/>
      <c r="G9913" s="247"/>
      <c r="H9913" s="248"/>
      <c r="I9913" s="248"/>
      <c r="J9913" s="247"/>
      <c r="K9913" s="249"/>
    </row>
    <row r="9914" spans="1:11" s="90" customFormat="1" ht="12.75" customHeight="1" x14ac:dyDescent="0.2">
      <c r="A9914" s="247"/>
      <c r="B9914" s="316"/>
      <c r="C9914" s="247"/>
      <c r="D9914" s="317"/>
      <c r="E9914" s="318"/>
      <c r="F9914" s="247"/>
      <c r="G9914" s="247"/>
      <c r="H9914" s="248"/>
      <c r="I9914" s="248"/>
      <c r="J9914" s="247"/>
      <c r="K9914" s="249"/>
    </row>
    <row r="9915" spans="1:11" s="90" customFormat="1" ht="12.75" customHeight="1" x14ac:dyDescent="0.2">
      <c r="A9915" s="247"/>
      <c r="B9915" s="316"/>
      <c r="C9915" s="247"/>
      <c r="D9915" s="317"/>
      <c r="E9915" s="318"/>
      <c r="F9915" s="247"/>
      <c r="G9915" s="247"/>
      <c r="H9915" s="248"/>
      <c r="I9915" s="248"/>
      <c r="J9915" s="247"/>
      <c r="K9915" s="249"/>
    </row>
    <row r="9916" spans="1:11" s="90" customFormat="1" ht="12.75" customHeight="1" x14ac:dyDescent="0.2">
      <c r="A9916" s="247"/>
      <c r="B9916" s="316"/>
      <c r="C9916" s="247"/>
      <c r="D9916" s="317"/>
      <c r="E9916" s="318"/>
      <c r="F9916" s="247"/>
      <c r="G9916" s="247"/>
      <c r="H9916" s="248"/>
      <c r="I9916" s="248"/>
      <c r="J9916" s="247"/>
      <c r="K9916" s="249"/>
    </row>
    <row r="9917" spans="1:11" s="90" customFormat="1" ht="12.75" customHeight="1" x14ac:dyDescent="0.2">
      <c r="A9917" s="247"/>
      <c r="B9917" s="316"/>
      <c r="C9917" s="247"/>
      <c r="D9917" s="317"/>
      <c r="E9917" s="318"/>
      <c r="F9917" s="247"/>
      <c r="G9917" s="247"/>
      <c r="H9917" s="248"/>
      <c r="I9917" s="248"/>
      <c r="J9917" s="247"/>
      <c r="K9917" s="249"/>
    </row>
    <row r="9918" spans="1:11" s="90" customFormat="1" ht="12.75" customHeight="1" x14ac:dyDescent="0.2">
      <c r="A9918" s="247"/>
      <c r="B9918" s="316"/>
      <c r="C9918" s="247"/>
      <c r="D9918" s="317"/>
      <c r="E9918" s="318"/>
      <c r="F9918" s="247"/>
      <c r="G9918" s="247"/>
      <c r="H9918" s="248"/>
      <c r="I9918" s="248"/>
      <c r="J9918" s="247"/>
      <c r="K9918" s="249"/>
    </row>
    <row r="9919" spans="1:11" s="90" customFormat="1" ht="12.75" customHeight="1" x14ac:dyDescent="0.2">
      <c r="A9919" s="247"/>
      <c r="B9919" s="316"/>
      <c r="C9919" s="247"/>
      <c r="D9919" s="317"/>
      <c r="E9919" s="318"/>
      <c r="F9919" s="247"/>
      <c r="G9919" s="247"/>
      <c r="H9919" s="248"/>
      <c r="I9919" s="248"/>
      <c r="J9919" s="247"/>
      <c r="K9919" s="249"/>
    </row>
    <row r="9920" spans="1:11" s="90" customFormat="1" ht="12.75" customHeight="1" x14ac:dyDescent="0.2">
      <c r="A9920" s="247"/>
      <c r="B9920" s="316"/>
      <c r="C9920" s="247"/>
      <c r="D9920" s="317"/>
      <c r="E9920" s="318"/>
      <c r="F9920" s="247"/>
      <c r="G9920" s="247"/>
      <c r="H9920" s="248"/>
      <c r="I9920" s="248"/>
      <c r="J9920" s="247"/>
      <c r="K9920" s="249"/>
    </row>
    <row r="9921" spans="1:11" s="90" customFormat="1" ht="12.75" customHeight="1" x14ac:dyDescent="0.2">
      <c r="A9921" s="247"/>
      <c r="B9921" s="316"/>
      <c r="C9921" s="247"/>
      <c r="D9921" s="317"/>
      <c r="E9921" s="318"/>
      <c r="F9921" s="247"/>
      <c r="G9921" s="247"/>
      <c r="H9921" s="248"/>
      <c r="I9921" s="248"/>
      <c r="J9921" s="247"/>
      <c r="K9921" s="249"/>
    </row>
    <row r="9922" spans="1:11" s="90" customFormat="1" ht="12.75" customHeight="1" x14ac:dyDescent="0.2">
      <c r="A9922" s="247"/>
      <c r="B9922" s="316"/>
      <c r="C9922" s="247"/>
      <c r="D9922" s="317"/>
      <c r="E9922" s="318"/>
      <c r="F9922" s="247"/>
      <c r="G9922" s="247"/>
      <c r="H9922" s="248"/>
      <c r="I9922" s="248"/>
      <c r="J9922" s="247"/>
      <c r="K9922" s="249"/>
    </row>
    <row r="9923" spans="1:11" s="90" customFormat="1" ht="12.75" customHeight="1" x14ac:dyDescent="0.2">
      <c r="A9923" s="247"/>
      <c r="B9923" s="316"/>
      <c r="C9923" s="247"/>
      <c r="D9923" s="317"/>
      <c r="E9923" s="318"/>
      <c r="F9923" s="247"/>
      <c r="G9923" s="247"/>
      <c r="H9923" s="248"/>
      <c r="I9923" s="248"/>
      <c r="J9923" s="247"/>
      <c r="K9923" s="249"/>
    </row>
    <row r="9924" spans="1:11" s="90" customFormat="1" ht="12.75" customHeight="1" x14ac:dyDescent="0.2">
      <c r="A9924" s="247"/>
      <c r="B9924" s="316"/>
      <c r="C9924" s="247"/>
      <c r="D9924" s="317"/>
      <c r="E9924" s="318"/>
      <c r="F9924" s="247"/>
      <c r="G9924" s="247"/>
      <c r="H9924" s="248"/>
      <c r="I9924" s="248"/>
      <c r="J9924" s="247"/>
      <c r="K9924" s="249"/>
    </row>
    <row r="9925" spans="1:11" s="90" customFormat="1" ht="12.75" customHeight="1" x14ac:dyDescent="0.2">
      <c r="A9925" s="247"/>
      <c r="B9925" s="316"/>
      <c r="C9925" s="247"/>
      <c r="D9925" s="317"/>
      <c r="E9925" s="318"/>
      <c r="F9925" s="247"/>
      <c r="G9925" s="247"/>
      <c r="H9925" s="248"/>
      <c r="I9925" s="248"/>
      <c r="J9925" s="247"/>
      <c r="K9925" s="249"/>
    </row>
    <row r="9926" spans="1:11" s="90" customFormat="1" ht="12.75" customHeight="1" x14ac:dyDescent="0.2">
      <c r="A9926" s="247"/>
      <c r="B9926" s="316"/>
      <c r="C9926" s="247"/>
      <c r="D9926" s="317"/>
      <c r="E9926" s="318"/>
      <c r="F9926" s="247"/>
      <c r="G9926" s="247"/>
      <c r="H9926" s="248"/>
      <c r="I9926" s="248"/>
      <c r="J9926" s="247"/>
      <c r="K9926" s="249"/>
    </row>
    <row r="9927" spans="1:11" s="90" customFormat="1" ht="12.75" customHeight="1" x14ac:dyDescent="0.2">
      <c r="A9927" s="247"/>
      <c r="B9927" s="316"/>
      <c r="C9927" s="247"/>
      <c r="D9927" s="317"/>
      <c r="E9927" s="318"/>
      <c r="F9927" s="247"/>
      <c r="G9927" s="247"/>
      <c r="H9927" s="248"/>
      <c r="I9927" s="248"/>
      <c r="J9927" s="247"/>
      <c r="K9927" s="249"/>
    </row>
    <row r="9928" spans="1:11" s="90" customFormat="1" ht="12.75" customHeight="1" x14ac:dyDescent="0.2">
      <c r="A9928" s="247"/>
      <c r="B9928" s="316"/>
      <c r="C9928" s="247"/>
      <c r="D9928" s="317"/>
      <c r="E9928" s="318"/>
      <c r="F9928" s="247"/>
      <c r="G9928" s="247"/>
      <c r="H9928" s="248"/>
      <c r="I9928" s="248"/>
      <c r="J9928" s="247"/>
      <c r="K9928" s="249"/>
    </row>
    <row r="9929" spans="1:11" s="90" customFormat="1" ht="12.75" customHeight="1" x14ac:dyDescent="0.2">
      <c r="A9929" s="247"/>
      <c r="B9929" s="316"/>
      <c r="C9929" s="247"/>
      <c r="D9929" s="317"/>
      <c r="E9929" s="318"/>
      <c r="F9929" s="247"/>
      <c r="G9929" s="247"/>
      <c r="H9929" s="248"/>
      <c r="I9929" s="248"/>
      <c r="J9929" s="247"/>
      <c r="K9929" s="249"/>
    </row>
    <row r="9930" spans="1:11" s="90" customFormat="1" ht="12.75" customHeight="1" x14ac:dyDescent="0.2">
      <c r="A9930" s="247"/>
      <c r="B9930" s="316"/>
      <c r="C9930" s="247"/>
      <c r="D9930" s="317"/>
      <c r="E9930" s="318"/>
      <c r="F9930" s="247"/>
      <c r="G9930" s="247"/>
      <c r="H9930" s="248"/>
      <c r="I9930" s="248"/>
      <c r="J9930" s="247"/>
      <c r="K9930" s="249"/>
    </row>
    <row r="9931" spans="1:11" s="90" customFormat="1" ht="12.75" customHeight="1" x14ac:dyDescent="0.2">
      <c r="A9931" s="247"/>
      <c r="B9931" s="316"/>
      <c r="C9931" s="247"/>
      <c r="D9931" s="317"/>
      <c r="E9931" s="318"/>
      <c r="F9931" s="247"/>
      <c r="G9931" s="247"/>
      <c r="H9931" s="248"/>
      <c r="I9931" s="248"/>
      <c r="J9931" s="247"/>
      <c r="K9931" s="249"/>
    </row>
    <row r="9932" spans="1:11" s="90" customFormat="1" ht="12.75" customHeight="1" x14ac:dyDescent="0.2">
      <c r="A9932" s="247"/>
      <c r="B9932" s="316"/>
      <c r="C9932" s="247"/>
      <c r="D9932" s="317"/>
      <c r="E9932" s="318"/>
      <c r="F9932" s="247"/>
      <c r="G9932" s="247"/>
      <c r="H9932" s="248"/>
      <c r="I9932" s="248"/>
      <c r="J9932" s="247"/>
      <c r="K9932" s="249"/>
    </row>
    <row r="9933" spans="1:11" s="90" customFormat="1" ht="12.75" customHeight="1" x14ac:dyDescent="0.2">
      <c r="A9933" s="247"/>
      <c r="B9933" s="316"/>
      <c r="C9933" s="247"/>
      <c r="D9933" s="317"/>
      <c r="E9933" s="318"/>
      <c r="F9933" s="247"/>
      <c r="G9933" s="247"/>
      <c r="H9933" s="248"/>
      <c r="I9933" s="248"/>
      <c r="J9933" s="247"/>
      <c r="K9933" s="249"/>
    </row>
    <row r="9934" spans="1:11" s="90" customFormat="1" ht="12.75" customHeight="1" x14ac:dyDescent="0.2">
      <c r="A9934" s="247"/>
      <c r="B9934" s="316"/>
      <c r="C9934" s="247"/>
      <c r="D9934" s="317"/>
      <c r="E9934" s="318"/>
      <c r="F9934" s="247"/>
      <c r="G9934" s="247"/>
      <c r="H9934" s="248"/>
      <c r="I9934" s="248"/>
      <c r="J9934" s="247"/>
      <c r="K9934" s="249"/>
    </row>
    <row r="9935" spans="1:11" s="90" customFormat="1" ht="12.75" customHeight="1" x14ac:dyDescent="0.2">
      <c r="A9935" s="247"/>
      <c r="B9935" s="316"/>
      <c r="C9935" s="247"/>
      <c r="D9935" s="317"/>
      <c r="E9935" s="318"/>
      <c r="F9935" s="247"/>
      <c r="G9935" s="247"/>
      <c r="H9935" s="248"/>
      <c r="I9935" s="248"/>
      <c r="J9935" s="247"/>
      <c r="K9935" s="249"/>
    </row>
    <row r="9936" spans="1:11" s="90" customFormat="1" ht="12.75" customHeight="1" x14ac:dyDescent="0.2">
      <c r="A9936" s="247"/>
      <c r="B9936" s="316"/>
      <c r="C9936" s="247"/>
      <c r="D9936" s="317"/>
      <c r="E9936" s="318"/>
      <c r="F9936" s="247"/>
      <c r="G9936" s="247"/>
      <c r="H9936" s="248"/>
      <c r="I9936" s="248"/>
      <c r="J9936" s="247"/>
      <c r="K9936" s="249"/>
    </row>
    <row r="9937" spans="1:11" s="90" customFormat="1" ht="12.75" customHeight="1" x14ac:dyDescent="0.2">
      <c r="A9937" s="247"/>
      <c r="B9937" s="316"/>
      <c r="C9937" s="247"/>
      <c r="D9937" s="317"/>
      <c r="E9937" s="318"/>
      <c r="F9937" s="247"/>
      <c r="G9937" s="247"/>
      <c r="H9937" s="248"/>
      <c r="I9937" s="248"/>
      <c r="J9937" s="247"/>
      <c r="K9937" s="249"/>
    </row>
    <row r="9938" spans="1:11" s="90" customFormat="1" ht="12.75" customHeight="1" x14ac:dyDescent="0.2">
      <c r="A9938" s="247"/>
      <c r="B9938" s="316"/>
      <c r="C9938" s="247"/>
      <c r="D9938" s="317"/>
      <c r="E9938" s="318"/>
      <c r="F9938" s="247"/>
      <c r="G9938" s="247"/>
      <c r="H9938" s="248"/>
      <c r="I9938" s="248"/>
      <c r="J9938" s="247"/>
      <c r="K9938" s="249"/>
    </row>
    <row r="9939" spans="1:11" s="90" customFormat="1" ht="12.75" customHeight="1" x14ac:dyDescent="0.2">
      <c r="A9939" s="247"/>
      <c r="B9939" s="316"/>
      <c r="C9939" s="247"/>
      <c r="D9939" s="317"/>
      <c r="E9939" s="318"/>
      <c r="F9939" s="247"/>
      <c r="G9939" s="247"/>
      <c r="H9939" s="248"/>
      <c r="I9939" s="248"/>
      <c r="J9939" s="247"/>
      <c r="K9939" s="249"/>
    </row>
    <row r="9940" spans="1:11" s="90" customFormat="1" ht="12.75" customHeight="1" x14ac:dyDescent="0.2">
      <c r="A9940" s="247"/>
      <c r="B9940" s="316"/>
      <c r="C9940" s="247"/>
      <c r="D9940" s="317"/>
      <c r="E9940" s="318"/>
      <c r="F9940" s="247"/>
      <c r="G9940" s="247"/>
      <c r="H9940" s="248"/>
      <c r="I9940" s="248"/>
      <c r="J9940" s="247"/>
      <c r="K9940" s="249"/>
    </row>
    <row r="9941" spans="1:11" s="90" customFormat="1" ht="12.75" customHeight="1" x14ac:dyDescent="0.2">
      <c r="A9941" s="247"/>
      <c r="B9941" s="316"/>
      <c r="C9941" s="247"/>
      <c r="D9941" s="317"/>
      <c r="E9941" s="318"/>
      <c r="F9941" s="247"/>
      <c r="G9941" s="247"/>
      <c r="H9941" s="248"/>
      <c r="I9941" s="248"/>
      <c r="J9941" s="247"/>
      <c r="K9941" s="249"/>
    </row>
    <row r="9942" spans="1:11" s="90" customFormat="1" ht="12.75" customHeight="1" x14ac:dyDescent="0.2">
      <c r="A9942" s="247"/>
      <c r="B9942" s="316"/>
      <c r="C9942" s="247"/>
      <c r="D9942" s="317"/>
      <c r="E9942" s="318"/>
      <c r="F9942" s="247"/>
      <c r="G9942" s="247"/>
      <c r="H9942" s="248"/>
      <c r="I9942" s="248"/>
      <c r="J9942" s="247"/>
      <c r="K9942" s="249"/>
    </row>
    <row r="9943" spans="1:11" s="90" customFormat="1" ht="12.75" customHeight="1" x14ac:dyDescent="0.2">
      <c r="A9943" s="247"/>
      <c r="B9943" s="316"/>
      <c r="C9943" s="247"/>
      <c r="D9943" s="317"/>
      <c r="E9943" s="318"/>
      <c r="F9943" s="247"/>
      <c r="G9943" s="247"/>
      <c r="H9943" s="248"/>
      <c r="I9943" s="248"/>
      <c r="J9943" s="247"/>
      <c r="K9943" s="249"/>
    </row>
    <row r="9944" spans="1:11" s="90" customFormat="1" ht="12.75" customHeight="1" x14ac:dyDescent="0.2">
      <c r="A9944" s="247"/>
      <c r="B9944" s="316"/>
      <c r="C9944" s="247"/>
      <c r="D9944" s="317"/>
      <c r="E9944" s="318"/>
      <c r="F9944" s="247"/>
      <c r="G9944" s="247"/>
      <c r="H9944" s="248"/>
      <c r="I9944" s="248"/>
      <c r="J9944" s="247"/>
      <c r="K9944" s="249"/>
    </row>
    <row r="9945" spans="1:11" s="90" customFormat="1" ht="12.75" customHeight="1" x14ac:dyDescent="0.2">
      <c r="A9945" s="247"/>
      <c r="B9945" s="316"/>
      <c r="C9945" s="247"/>
      <c r="D9945" s="317"/>
      <c r="E9945" s="318"/>
      <c r="F9945" s="247"/>
      <c r="G9945" s="247"/>
      <c r="H9945" s="248"/>
      <c r="I9945" s="248"/>
      <c r="J9945" s="247"/>
      <c r="K9945" s="249"/>
    </row>
    <row r="9946" spans="1:11" s="90" customFormat="1" ht="12.75" customHeight="1" x14ac:dyDescent="0.2">
      <c r="A9946" s="247"/>
      <c r="B9946" s="316"/>
      <c r="C9946" s="247"/>
      <c r="D9946" s="317"/>
      <c r="E9946" s="318"/>
      <c r="F9946" s="247"/>
      <c r="G9946" s="247"/>
      <c r="H9946" s="248"/>
      <c r="I9946" s="248"/>
      <c r="J9946" s="247"/>
      <c r="K9946" s="249"/>
    </row>
    <row r="9947" spans="1:11" s="90" customFormat="1" ht="12.75" customHeight="1" x14ac:dyDescent="0.2">
      <c r="A9947" s="247"/>
      <c r="B9947" s="316"/>
      <c r="C9947" s="247"/>
      <c r="D9947" s="317"/>
      <c r="E9947" s="318"/>
      <c r="F9947" s="247"/>
      <c r="G9947" s="247"/>
      <c r="H9947" s="248"/>
      <c r="I9947" s="248"/>
      <c r="J9947" s="247"/>
      <c r="K9947" s="249"/>
    </row>
    <row r="9948" spans="1:11" s="90" customFormat="1" ht="12.75" customHeight="1" x14ac:dyDescent="0.2">
      <c r="A9948" s="247"/>
      <c r="B9948" s="316"/>
      <c r="C9948" s="247"/>
      <c r="D9948" s="317"/>
      <c r="E9948" s="318"/>
      <c r="F9948" s="247"/>
      <c r="G9948" s="247"/>
      <c r="H9948" s="248"/>
      <c r="I9948" s="248"/>
      <c r="J9948" s="247"/>
      <c r="K9948" s="249"/>
    </row>
    <row r="9949" spans="1:11" s="90" customFormat="1" ht="12.75" customHeight="1" x14ac:dyDescent="0.2">
      <c r="A9949" s="247"/>
      <c r="B9949" s="316"/>
      <c r="C9949" s="247"/>
      <c r="D9949" s="317"/>
      <c r="E9949" s="318"/>
      <c r="F9949" s="247"/>
      <c r="G9949" s="247"/>
      <c r="H9949" s="248"/>
      <c r="I9949" s="248"/>
      <c r="J9949" s="247"/>
      <c r="K9949" s="249"/>
    </row>
    <row r="9950" spans="1:11" s="90" customFormat="1" ht="12.75" customHeight="1" x14ac:dyDescent="0.2">
      <c r="A9950" s="247"/>
      <c r="B9950" s="316"/>
      <c r="C9950" s="247"/>
      <c r="D9950" s="317"/>
      <c r="E9950" s="318"/>
      <c r="F9950" s="247"/>
      <c r="G9950" s="247"/>
      <c r="H9950" s="248"/>
      <c r="I9950" s="248"/>
      <c r="J9950" s="247"/>
      <c r="K9950" s="249"/>
    </row>
    <row r="9951" spans="1:11" s="90" customFormat="1" ht="12.75" customHeight="1" x14ac:dyDescent="0.2">
      <c r="A9951" s="247"/>
      <c r="B9951" s="316"/>
      <c r="C9951" s="247"/>
      <c r="D9951" s="317"/>
      <c r="E9951" s="318"/>
      <c r="F9951" s="247"/>
      <c r="G9951" s="247"/>
      <c r="H9951" s="248"/>
      <c r="I9951" s="248"/>
      <c r="J9951" s="247"/>
      <c r="K9951" s="249"/>
    </row>
    <row r="9952" spans="1:11" s="90" customFormat="1" ht="12.75" customHeight="1" x14ac:dyDescent="0.2">
      <c r="A9952" s="247"/>
      <c r="B9952" s="316"/>
      <c r="C9952" s="247"/>
      <c r="D9952" s="317"/>
      <c r="E9952" s="318"/>
      <c r="F9952" s="247"/>
      <c r="G9952" s="247"/>
      <c r="H9952" s="248"/>
      <c r="I9952" s="248"/>
      <c r="J9952" s="247"/>
      <c r="K9952" s="249"/>
    </row>
    <row r="9953" spans="1:11" s="90" customFormat="1" ht="12.75" customHeight="1" x14ac:dyDescent="0.2">
      <c r="A9953" s="247"/>
      <c r="B9953" s="316"/>
      <c r="C9953" s="247"/>
      <c r="D9953" s="317"/>
      <c r="E9953" s="318"/>
      <c r="F9953" s="247"/>
      <c r="G9953" s="247"/>
      <c r="H9953" s="248"/>
      <c r="I9953" s="248"/>
      <c r="J9953" s="247"/>
      <c r="K9953" s="249"/>
    </row>
    <row r="9954" spans="1:11" s="90" customFormat="1" ht="12.75" customHeight="1" x14ac:dyDescent="0.2">
      <c r="A9954" s="247"/>
      <c r="B9954" s="316"/>
      <c r="C9954" s="247"/>
      <c r="D9954" s="317"/>
      <c r="E9954" s="318"/>
      <c r="F9954" s="247"/>
      <c r="G9954" s="247"/>
      <c r="H9954" s="248"/>
      <c r="I9954" s="248"/>
      <c r="J9954" s="247"/>
      <c r="K9954" s="249"/>
    </row>
    <row r="9955" spans="1:11" s="90" customFormat="1" ht="12.75" customHeight="1" x14ac:dyDescent="0.2">
      <c r="A9955" s="247"/>
      <c r="B9955" s="316"/>
      <c r="C9955" s="247"/>
      <c r="D9955" s="317"/>
      <c r="E9955" s="318"/>
      <c r="F9955" s="247"/>
      <c r="G9955" s="247"/>
      <c r="H9955" s="248"/>
      <c r="I9955" s="248"/>
      <c r="J9955" s="247"/>
      <c r="K9955" s="249"/>
    </row>
    <row r="9956" spans="1:11" s="90" customFormat="1" ht="12.75" customHeight="1" x14ac:dyDescent="0.2">
      <c r="A9956" s="247"/>
      <c r="B9956" s="316"/>
      <c r="C9956" s="247"/>
      <c r="D9956" s="317"/>
      <c r="E9956" s="318"/>
      <c r="F9956" s="247"/>
      <c r="G9956" s="247"/>
      <c r="H9956" s="248"/>
      <c r="I9956" s="248"/>
      <c r="J9956" s="247"/>
      <c r="K9956" s="249"/>
    </row>
    <row r="9957" spans="1:11" s="90" customFormat="1" ht="12.75" customHeight="1" x14ac:dyDescent="0.2">
      <c r="A9957" s="247"/>
      <c r="B9957" s="316"/>
      <c r="C9957" s="247"/>
      <c r="D9957" s="317"/>
      <c r="E9957" s="318"/>
      <c r="F9957" s="247"/>
      <c r="G9957" s="247"/>
      <c r="H9957" s="248"/>
      <c r="I9957" s="248"/>
      <c r="J9957" s="247"/>
      <c r="K9957" s="249"/>
    </row>
    <row r="9958" spans="1:11" s="90" customFormat="1" ht="12.75" customHeight="1" x14ac:dyDescent="0.2">
      <c r="A9958" s="247"/>
      <c r="B9958" s="316"/>
      <c r="C9958" s="247"/>
      <c r="D9958" s="317"/>
      <c r="E9958" s="318"/>
      <c r="F9958" s="247"/>
      <c r="G9958" s="247"/>
      <c r="H9958" s="248"/>
      <c r="I9958" s="248"/>
      <c r="J9958" s="247"/>
      <c r="K9958" s="249"/>
    </row>
    <row r="9959" spans="1:11" s="90" customFormat="1" ht="12.75" customHeight="1" x14ac:dyDescent="0.2">
      <c r="A9959" s="247"/>
      <c r="B9959" s="316"/>
      <c r="C9959" s="247"/>
      <c r="D9959" s="317"/>
      <c r="E9959" s="318"/>
      <c r="F9959" s="247"/>
      <c r="G9959" s="247"/>
      <c r="H9959" s="248"/>
      <c r="I9959" s="248"/>
      <c r="J9959" s="247"/>
      <c r="K9959" s="249"/>
    </row>
    <row r="9960" spans="1:11" s="90" customFormat="1" ht="12.75" customHeight="1" x14ac:dyDescent="0.2">
      <c r="A9960" s="247"/>
      <c r="B9960" s="316"/>
      <c r="C9960" s="247"/>
      <c r="D9960" s="317"/>
      <c r="E9960" s="318"/>
      <c r="F9960" s="247"/>
      <c r="G9960" s="247"/>
      <c r="H9960" s="248"/>
      <c r="I9960" s="248"/>
      <c r="J9960" s="247"/>
      <c r="K9960" s="249"/>
    </row>
    <row r="9961" spans="1:11" s="90" customFormat="1" ht="12.75" customHeight="1" x14ac:dyDescent="0.2">
      <c r="A9961" s="247"/>
      <c r="B9961" s="316"/>
      <c r="C9961" s="247"/>
      <c r="D9961" s="317"/>
      <c r="E9961" s="318"/>
      <c r="F9961" s="247"/>
      <c r="G9961" s="247"/>
      <c r="H9961" s="248"/>
      <c r="I9961" s="248"/>
      <c r="J9961" s="247"/>
      <c r="K9961" s="249"/>
    </row>
    <row r="9962" spans="1:11" s="90" customFormat="1" ht="12.75" customHeight="1" x14ac:dyDescent="0.2">
      <c r="A9962" s="247"/>
      <c r="B9962" s="316"/>
      <c r="C9962" s="247"/>
      <c r="D9962" s="317"/>
      <c r="E9962" s="318"/>
      <c r="F9962" s="247"/>
      <c r="G9962" s="247"/>
      <c r="H9962" s="248"/>
      <c r="I9962" s="248"/>
      <c r="J9962" s="247"/>
      <c r="K9962" s="249"/>
    </row>
    <row r="9963" spans="1:11" s="90" customFormat="1" ht="12.75" customHeight="1" x14ac:dyDescent="0.2">
      <c r="A9963" s="247"/>
      <c r="B9963" s="316"/>
      <c r="C9963" s="247"/>
      <c r="D9963" s="317"/>
      <c r="E9963" s="318"/>
      <c r="F9963" s="247"/>
      <c r="G9963" s="247"/>
      <c r="H9963" s="248"/>
      <c r="I9963" s="248"/>
      <c r="J9963" s="247"/>
      <c r="K9963" s="249"/>
    </row>
    <row r="9964" spans="1:11" s="90" customFormat="1" ht="12.75" customHeight="1" x14ac:dyDescent="0.2">
      <c r="A9964" s="247"/>
      <c r="B9964" s="316"/>
      <c r="C9964" s="247"/>
      <c r="D9964" s="317"/>
      <c r="E9964" s="318"/>
      <c r="F9964" s="247"/>
      <c r="G9964" s="247"/>
      <c r="H9964" s="248"/>
      <c r="I9964" s="248"/>
      <c r="J9964" s="247"/>
      <c r="K9964" s="249"/>
    </row>
    <row r="9965" spans="1:11" s="90" customFormat="1" ht="12.75" customHeight="1" x14ac:dyDescent="0.2">
      <c r="A9965" s="247"/>
      <c r="B9965" s="316"/>
      <c r="C9965" s="247"/>
      <c r="D9965" s="317"/>
      <c r="E9965" s="318"/>
      <c r="F9965" s="247"/>
      <c r="G9965" s="247"/>
      <c r="H9965" s="248"/>
      <c r="I9965" s="248"/>
      <c r="J9965" s="247"/>
      <c r="K9965" s="249"/>
    </row>
    <row r="9966" spans="1:11" s="90" customFormat="1" ht="12.75" customHeight="1" x14ac:dyDescent="0.2">
      <c r="A9966" s="247"/>
      <c r="B9966" s="316"/>
      <c r="C9966" s="247"/>
      <c r="D9966" s="317"/>
      <c r="E9966" s="318"/>
      <c r="F9966" s="247"/>
      <c r="G9966" s="247"/>
      <c r="H9966" s="248"/>
      <c r="I9966" s="248"/>
      <c r="J9966" s="247"/>
      <c r="K9966" s="249"/>
    </row>
    <row r="9967" spans="1:11" s="90" customFormat="1" ht="12.75" customHeight="1" x14ac:dyDescent="0.2">
      <c r="A9967" s="247"/>
      <c r="B9967" s="316"/>
      <c r="C9967" s="247"/>
      <c r="D9967" s="317"/>
      <c r="E9967" s="318"/>
      <c r="F9967" s="247"/>
      <c r="G9967" s="247"/>
      <c r="H9967" s="248"/>
      <c r="I9967" s="248"/>
      <c r="J9967" s="247"/>
      <c r="K9967" s="249"/>
    </row>
    <row r="9968" spans="1:11" s="90" customFormat="1" ht="12.75" customHeight="1" x14ac:dyDescent="0.2">
      <c r="A9968" s="247"/>
      <c r="B9968" s="316"/>
      <c r="C9968" s="247"/>
      <c r="D9968" s="317"/>
      <c r="E9968" s="318"/>
      <c r="F9968" s="247"/>
      <c r="G9968" s="247"/>
      <c r="H9968" s="248"/>
      <c r="I9968" s="248"/>
      <c r="J9968" s="247"/>
      <c r="K9968" s="249"/>
    </row>
    <row r="9969" spans="1:11" s="90" customFormat="1" ht="12.75" customHeight="1" x14ac:dyDescent="0.2">
      <c r="A9969" s="247"/>
      <c r="B9969" s="316"/>
      <c r="C9969" s="247"/>
      <c r="D9969" s="317"/>
      <c r="E9969" s="318"/>
      <c r="F9969" s="247"/>
      <c r="G9969" s="247"/>
      <c r="H9969" s="248"/>
      <c r="I9969" s="248"/>
      <c r="J9969" s="247"/>
      <c r="K9969" s="249"/>
    </row>
    <row r="9970" spans="1:11" s="90" customFormat="1" ht="12.75" customHeight="1" x14ac:dyDescent="0.2">
      <c r="A9970" s="247"/>
      <c r="B9970" s="316"/>
      <c r="C9970" s="247"/>
      <c r="D9970" s="317"/>
      <c r="E9970" s="318"/>
      <c r="F9970" s="247"/>
      <c r="G9970" s="247"/>
      <c r="H9970" s="248"/>
      <c r="I9970" s="248"/>
      <c r="J9970" s="247"/>
      <c r="K9970" s="249"/>
    </row>
    <row r="9971" spans="1:11" s="90" customFormat="1" ht="12.75" customHeight="1" x14ac:dyDescent="0.2">
      <c r="A9971" s="247"/>
      <c r="B9971" s="316"/>
      <c r="C9971" s="247"/>
      <c r="D9971" s="317"/>
      <c r="E9971" s="318"/>
      <c r="F9971" s="247"/>
      <c r="G9971" s="247"/>
      <c r="H9971" s="248"/>
      <c r="I9971" s="248"/>
      <c r="J9971" s="247"/>
      <c r="K9971" s="249"/>
    </row>
    <row r="9972" spans="1:11" s="90" customFormat="1" ht="12.75" customHeight="1" x14ac:dyDescent="0.2">
      <c r="A9972" s="247"/>
      <c r="B9972" s="316"/>
      <c r="C9972" s="247"/>
      <c r="D9972" s="317"/>
      <c r="E9972" s="318"/>
      <c r="F9972" s="247"/>
      <c r="G9972" s="247"/>
      <c r="H9972" s="248"/>
      <c r="I9972" s="248"/>
      <c r="J9972" s="247"/>
      <c r="K9972" s="249"/>
    </row>
    <row r="9973" spans="1:11" s="90" customFormat="1" ht="12.75" customHeight="1" x14ac:dyDescent="0.2">
      <c r="A9973" s="247"/>
      <c r="B9973" s="316"/>
      <c r="C9973" s="247"/>
      <c r="D9973" s="317"/>
      <c r="E9973" s="318"/>
      <c r="F9973" s="247"/>
      <c r="G9973" s="247"/>
      <c r="H9973" s="248"/>
      <c r="I9973" s="248"/>
      <c r="J9973" s="247"/>
      <c r="K9973" s="249"/>
    </row>
    <row r="9974" spans="1:11" s="90" customFormat="1" ht="12.75" customHeight="1" x14ac:dyDescent="0.2">
      <c r="A9974" s="247"/>
      <c r="B9974" s="316"/>
      <c r="C9974" s="247"/>
      <c r="D9974" s="317"/>
      <c r="E9974" s="318"/>
      <c r="F9974" s="247"/>
      <c r="G9974" s="247"/>
      <c r="H9974" s="248"/>
      <c r="I9974" s="248"/>
      <c r="J9974" s="247"/>
      <c r="K9974" s="249"/>
    </row>
    <row r="9975" spans="1:11" s="90" customFormat="1" ht="12.75" customHeight="1" x14ac:dyDescent="0.2">
      <c r="A9975" s="247"/>
      <c r="B9975" s="316"/>
      <c r="C9975" s="247"/>
      <c r="D9975" s="317"/>
      <c r="E9975" s="318"/>
      <c r="F9975" s="247"/>
      <c r="G9975" s="247"/>
      <c r="H9975" s="248"/>
      <c r="I9975" s="248"/>
      <c r="J9975" s="247"/>
      <c r="K9975" s="249"/>
    </row>
    <row r="9976" spans="1:11" s="90" customFormat="1" ht="12.75" customHeight="1" x14ac:dyDescent="0.2">
      <c r="A9976" s="247"/>
      <c r="B9976" s="316"/>
      <c r="C9976" s="247"/>
      <c r="D9976" s="317"/>
      <c r="E9976" s="318"/>
      <c r="F9976" s="247"/>
      <c r="G9976" s="247"/>
      <c r="H9976" s="248"/>
      <c r="I9976" s="248"/>
      <c r="J9976" s="247"/>
      <c r="K9976" s="249"/>
    </row>
    <row r="9977" spans="1:11" s="90" customFormat="1" ht="12.75" customHeight="1" x14ac:dyDescent="0.2">
      <c r="A9977" s="247"/>
      <c r="B9977" s="316"/>
      <c r="C9977" s="247"/>
      <c r="D9977" s="317"/>
      <c r="E9977" s="318"/>
      <c r="F9977" s="247"/>
      <c r="G9977" s="247"/>
      <c r="H9977" s="248"/>
      <c r="I9977" s="248"/>
      <c r="J9977" s="247"/>
      <c r="K9977" s="249"/>
    </row>
    <row r="9978" spans="1:11" s="90" customFormat="1" ht="12.75" customHeight="1" x14ac:dyDescent="0.2">
      <c r="A9978" s="247"/>
      <c r="B9978" s="316"/>
      <c r="C9978" s="247"/>
      <c r="D9978" s="317"/>
      <c r="E9978" s="318"/>
      <c r="F9978" s="247"/>
      <c r="G9978" s="247"/>
      <c r="H9978" s="248"/>
      <c r="I9978" s="248"/>
      <c r="J9978" s="247"/>
      <c r="K9978" s="249"/>
    </row>
    <row r="9979" spans="1:11" s="90" customFormat="1" ht="12.75" customHeight="1" x14ac:dyDescent="0.2">
      <c r="A9979" s="247"/>
      <c r="B9979" s="316"/>
      <c r="C9979" s="247"/>
      <c r="D9979" s="317"/>
      <c r="E9979" s="318"/>
      <c r="F9979" s="247"/>
      <c r="G9979" s="247"/>
      <c r="H9979" s="248"/>
      <c r="I9979" s="248"/>
      <c r="J9979" s="247"/>
      <c r="K9979" s="249"/>
    </row>
    <row r="9980" spans="1:11" s="90" customFormat="1" ht="12.75" customHeight="1" x14ac:dyDescent="0.2">
      <c r="A9980" s="247"/>
      <c r="B9980" s="316"/>
      <c r="C9980" s="247"/>
      <c r="D9980" s="317"/>
      <c r="E9980" s="318"/>
      <c r="F9980" s="247"/>
      <c r="G9980" s="247"/>
      <c r="H9980" s="248"/>
      <c r="I9980" s="248"/>
      <c r="J9980" s="247"/>
      <c r="K9980" s="249"/>
    </row>
    <row r="9981" spans="1:11" s="90" customFormat="1" ht="12.75" customHeight="1" x14ac:dyDescent="0.2">
      <c r="A9981" s="247"/>
      <c r="B9981" s="316"/>
      <c r="C9981" s="247"/>
      <c r="D9981" s="317"/>
      <c r="E9981" s="318"/>
      <c r="F9981" s="247"/>
      <c r="G9981" s="247"/>
      <c r="H9981" s="248"/>
      <c r="I9981" s="248"/>
      <c r="J9981" s="247"/>
      <c r="K9981" s="249"/>
    </row>
    <row r="9982" spans="1:11" s="90" customFormat="1" ht="12.75" customHeight="1" x14ac:dyDescent="0.2">
      <c r="A9982" s="247"/>
      <c r="B9982" s="316"/>
      <c r="C9982" s="247"/>
      <c r="D9982" s="317"/>
      <c r="E9982" s="318"/>
      <c r="F9982" s="247"/>
      <c r="G9982" s="247"/>
      <c r="H9982" s="248"/>
      <c r="I9982" s="248"/>
      <c r="J9982" s="247"/>
      <c r="K9982" s="249"/>
    </row>
    <row r="9983" spans="1:11" s="90" customFormat="1" ht="12.75" customHeight="1" x14ac:dyDescent="0.2">
      <c r="A9983" s="247"/>
      <c r="B9983" s="316"/>
      <c r="C9983" s="247"/>
      <c r="D9983" s="317"/>
      <c r="E9983" s="318"/>
      <c r="F9983" s="247"/>
      <c r="G9983" s="247"/>
      <c r="H9983" s="248"/>
      <c r="I9983" s="248"/>
      <c r="J9983" s="247"/>
      <c r="K9983" s="249"/>
    </row>
    <row r="9984" spans="1:11" s="90" customFormat="1" ht="12.75" customHeight="1" x14ac:dyDescent="0.2">
      <c r="A9984" s="247"/>
      <c r="B9984" s="316"/>
      <c r="C9984" s="247"/>
      <c r="D9984" s="317"/>
      <c r="E9984" s="318"/>
      <c r="F9984" s="247"/>
      <c r="G9984" s="247"/>
      <c r="H9984" s="248"/>
      <c r="I9984" s="248"/>
      <c r="J9984" s="247"/>
      <c r="K9984" s="249"/>
    </row>
    <row r="9985" spans="1:11" s="90" customFormat="1" ht="12.75" customHeight="1" x14ac:dyDescent="0.2">
      <c r="A9985" s="247"/>
      <c r="B9985" s="316"/>
      <c r="C9985" s="247"/>
      <c r="D9985" s="317"/>
      <c r="E9985" s="318"/>
      <c r="F9985" s="247"/>
      <c r="G9985" s="247"/>
      <c r="H9985" s="248"/>
      <c r="I9985" s="248"/>
      <c r="J9985" s="247"/>
      <c r="K9985" s="249"/>
    </row>
    <row r="9986" spans="1:11" s="90" customFormat="1" ht="12.75" customHeight="1" x14ac:dyDescent="0.2">
      <c r="A9986" s="247"/>
      <c r="B9986" s="316"/>
      <c r="C9986" s="247"/>
      <c r="D9986" s="317"/>
      <c r="E9986" s="318"/>
      <c r="F9986" s="247"/>
      <c r="G9986" s="247"/>
      <c r="H9986" s="248"/>
      <c r="I9986" s="248"/>
      <c r="J9986" s="247"/>
      <c r="K9986" s="249"/>
    </row>
    <row r="9987" spans="1:11" s="90" customFormat="1" ht="12.75" customHeight="1" x14ac:dyDescent="0.2">
      <c r="A9987" s="247"/>
      <c r="B9987" s="316"/>
      <c r="C9987" s="247"/>
      <c r="D9987" s="317"/>
      <c r="E9987" s="318"/>
      <c r="F9987" s="247"/>
      <c r="G9987" s="247"/>
      <c r="H9987" s="248"/>
      <c r="I9987" s="248"/>
      <c r="J9987" s="247"/>
      <c r="K9987" s="249"/>
    </row>
    <row r="9988" spans="1:11" s="90" customFormat="1" ht="12.75" customHeight="1" x14ac:dyDescent="0.2">
      <c r="A9988" s="247"/>
      <c r="B9988" s="316"/>
      <c r="C9988" s="247"/>
      <c r="D9988" s="317"/>
      <c r="E9988" s="318"/>
      <c r="F9988" s="247"/>
      <c r="G9988" s="247"/>
      <c r="H9988" s="248"/>
      <c r="I9988" s="248"/>
      <c r="J9988" s="247"/>
      <c r="K9988" s="249"/>
    </row>
    <row r="9989" spans="1:11" s="90" customFormat="1" ht="12.75" customHeight="1" x14ac:dyDescent="0.2">
      <c r="A9989" s="247"/>
      <c r="B9989" s="316"/>
      <c r="C9989" s="247"/>
      <c r="D9989" s="317"/>
      <c r="E9989" s="318"/>
      <c r="F9989" s="247"/>
      <c r="G9989" s="247"/>
      <c r="H9989" s="248"/>
      <c r="I9989" s="248"/>
      <c r="J9989" s="247"/>
      <c r="K9989" s="249"/>
    </row>
    <row r="9990" spans="1:11" s="90" customFormat="1" ht="12.75" customHeight="1" x14ac:dyDescent="0.2">
      <c r="A9990" s="247"/>
      <c r="B9990" s="316"/>
      <c r="C9990" s="247"/>
      <c r="D9990" s="317"/>
      <c r="E9990" s="318"/>
      <c r="F9990" s="247"/>
      <c r="G9990" s="247"/>
      <c r="H9990" s="248"/>
      <c r="I9990" s="248"/>
      <c r="J9990" s="247"/>
      <c r="K9990" s="249"/>
    </row>
    <row r="9991" spans="1:11" s="90" customFormat="1" ht="12.75" customHeight="1" x14ac:dyDescent="0.2">
      <c r="A9991" s="247"/>
      <c r="B9991" s="316"/>
      <c r="C9991" s="247"/>
      <c r="D9991" s="317"/>
      <c r="E9991" s="318"/>
      <c r="F9991" s="247"/>
      <c r="G9991" s="247"/>
      <c r="H9991" s="248"/>
      <c r="I9991" s="248"/>
      <c r="J9991" s="247"/>
      <c r="K9991" s="249"/>
    </row>
    <row r="9992" spans="1:11" s="90" customFormat="1" ht="12.75" customHeight="1" x14ac:dyDescent="0.2">
      <c r="A9992" s="247"/>
      <c r="B9992" s="316"/>
      <c r="C9992" s="247"/>
      <c r="D9992" s="317"/>
      <c r="E9992" s="318"/>
      <c r="F9992" s="247"/>
      <c r="G9992" s="247"/>
      <c r="H9992" s="248"/>
      <c r="I9992" s="248"/>
      <c r="J9992" s="247"/>
      <c r="K9992" s="249"/>
    </row>
    <row r="9993" spans="1:11" s="90" customFormat="1" ht="12.75" customHeight="1" x14ac:dyDescent="0.2">
      <c r="A9993" s="247"/>
      <c r="B9993" s="316"/>
      <c r="C9993" s="247"/>
      <c r="D9993" s="317"/>
      <c r="E9993" s="318"/>
      <c r="F9993" s="247"/>
      <c r="G9993" s="247"/>
      <c r="H9993" s="248"/>
      <c r="I9993" s="248"/>
      <c r="J9993" s="247"/>
      <c r="K9993" s="249"/>
    </row>
    <row r="9994" spans="1:11" s="90" customFormat="1" ht="12.75" customHeight="1" x14ac:dyDescent="0.2">
      <c r="A9994" s="247"/>
      <c r="B9994" s="316"/>
      <c r="C9994" s="247"/>
      <c r="D9994" s="317"/>
      <c r="E9994" s="318"/>
      <c r="F9994" s="247"/>
      <c r="G9994" s="247"/>
      <c r="H9994" s="248"/>
      <c r="I9994" s="248"/>
      <c r="J9994" s="247"/>
      <c r="K9994" s="249"/>
    </row>
    <row r="9995" spans="1:11" s="90" customFormat="1" ht="12.75" customHeight="1" x14ac:dyDescent="0.2">
      <c r="A9995" s="247"/>
      <c r="B9995" s="316"/>
      <c r="C9995" s="247"/>
      <c r="D9995" s="317"/>
      <c r="E9995" s="318"/>
      <c r="F9995" s="247"/>
      <c r="G9995" s="247"/>
      <c r="H9995" s="248"/>
      <c r="I9995" s="248"/>
      <c r="J9995" s="247"/>
      <c r="K9995" s="249"/>
    </row>
    <row r="9996" spans="1:11" s="90" customFormat="1" ht="12.75" customHeight="1" x14ac:dyDescent="0.2">
      <c r="A9996" s="247"/>
      <c r="B9996" s="316"/>
      <c r="C9996" s="247"/>
      <c r="D9996" s="317"/>
      <c r="E9996" s="318"/>
      <c r="F9996" s="247"/>
      <c r="G9996" s="247"/>
      <c r="H9996" s="248"/>
      <c r="I9996" s="248"/>
      <c r="J9996" s="247"/>
      <c r="K9996" s="249"/>
    </row>
    <row r="9997" spans="1:11" s="90" customFormat="1" ht="12.75" customHeight="1" x14ac:dyDescent="0.2">
      <c r="A9997" s="247"/>
      <c r="B9997" s="316"/>
      <c r="C9997" s="247"/>
      <c r="D9997" s="317"/>
      <c r="E9997" s="318"/>
      <c r="F9997" s="247"/>
      <c r="G9997" s="247"/>
      <c r="H9997" s="248"/>
      <c r="I9997" s="248"/>
      <c r="J9997" s="247"/>
      <c r="K9997" s="249"/>
    </row>
    <row r="9998" spans="1:11" s="90" customFormat="1" ht="12.75" customHeight="1" x14ac:dyDescent="0.2">
      <c r="A9998" s="247"/>
      <c r="B9998" s="316"/>
      <c r="C9998" s="247"/>
      <c r="D9998" s="317"/>
      <c r="E9998" s="318"/>
      <c r="F9998" s="247"/>
      <c r="G9998" s="247"/>
      <c r="H9998" s="248"/>
      <c r="I9998" s="248"/>
      <c r="J9998" s="247"/>
      <c r="K9998" s="249"/>
    </row>
    <row r="9999" spans="1:11" s="90" customFormat="1" ht="12.75" customHeight="1" x14ac:dyDescent="0.2">
      <c r="A9999" s="247"/>
      <c r="B9999" s="316"/>
      <c r="C9999" s="247"/>
      <c r="D9999" s="317"/>
      <c r="E9999" s="318"/>
      <c r="F9999" s="247"/>
      <c r="G9999" s="247"/>
      <c r="H9999" s="248"/>
      <c r="I9999" s="248"/>
      <c r="J9999" s="247"/>
      <c r="K9999" s="249"/>
    </row>
    <row r="10000" spans="1:11" s="90" customFormat="1" ht="12.75" customHeight="1" x14ac:dyDescent="0.2">
      <c r="A10000" s="247"/>
      <c r="B10000" s="316"/>
      <c r="C10000" s="247"/>
      <c r="D10000" s="317"/>
      <c r="E10000" s="318"/>
      <c r="F10000" s="247"/>
      <c r="G10000" s="247"/>
      <c r="H10000" s="248"/>
      <c r="I10000" s="248"/>
      <c r="J10000" s="247"/>
      <c r="K10000" s="249"/>
    </row>
    <row r="10001" spans="1:11" s="90" customFormat="1" ht="12.75" customHeight="1" x14ac:dyDescent="0.2">
      <c r="A10001" s="247"/>
      <c r="B10001" s="316"/>
      <c r="C10001" s="247"/>
      <c r="D10001" s="317"/>
      <c r="E10001" s="318"/>
      <c r="F10001" s="247"/>
      <c r="G10001" s="247"/>
      <c r="H10001" s="248"/>
      <c r="I10001" s="248"/>
      <c r="J10001" s="247"/>
      <c r="K10001" s="249"/>
    </row>
    <row r="10002" spans="1:11" s="90" customFormat="1" ht="12.75" customHeight="1" x14ac:dyDescent="0.2">
      <c r="A10002" s="247"/>
      <c r="B10002" s="316"/>
      <c r="C10002" s="247"/>
      <c r="D10002" s="317"/>
      <c r="E10002" s="318"/>
      <c r="F10002" s="247"/>
      <c r="G10002" s="247"/>
      <c r="H10002" s="248"/>
      <c r="I10002" s="248"/>
      <c r="J10002" s="247"/>
      <c r="K10002" s="249"/>
    </row>
    <row r="10003" spans="1:11" s="90" customFormat="1" ht="12.75" customHeight="1" x14ac:dyDescent="0.2">
      <c r="A10003" s="247"/>
      <c r="B10003" s="316"/>
      <c r="C10003" s="247"/>
      <c r="D10003" s="317"/>
      <c r="E10003" s="318"/>
      <c r="F10003" s="247"/>
      <c r="G10003" s="247"/>
      <c r="H10003" s="248"/>
      <c r="I10003" s="248"/>
      <c r="J10003" s="247"/>
      <c r="K10003" s="249"/>
    </row>
    <row r="10004" spans="1:11" s="90" customFormat="1" ht="12.75" customHeight="1" x14ac:dyDescent="0.2">
      <c r="A10004" s="247"/>
      <c r="B10004" s="316"/>
      <c r="C10004" s="247"/>
      <c r="D10004" s="317"/>
      <c r="E10004" s="318"/>
      <c r="F10004" s="247"/>
      <c r="G10004" s="247"/>
      <c r="H10004" s="248"/>
      <c r="I10004" s="248"/>
      <c r="J10004" s="247"/>
      <c r="K10004" s="249"/>
    </row>
    <row r="10005" spans="1:11" s="90" customFormat="1" ht="12.75" customHeight="1" x14ac:dyDescent="0.2">
      <c r="A10005" s="247"/>
      <c r="B10005" s="316"/>
      <c r="C10005" s="247"/>
      <c r="D10005" s="317"/>
      <c r="E10005" s="318"/>
      <c r="F10005" s="247"/>
      <c r="G10005" s="247"/>
      <c r="H10005" s="248"/>
      <c r="I10005" s="248"/>
      <c r="J10005" s="247"/>
      <c r="K10005" s="249"/>
    </row>
    <row r="10006" spans="1:11" s="90" customFormat="1" ht="12.75" customHeight="1" x14ac:dyDescent="0.2">
      <c r="A10006" s="247"/>
      <c r="B10006" s="316"/>
      <c r="C10006" s="247"/>
      <c r="D10006" s="317"/>
      <c r="E10006" s="318"/>
      <c r="F10006" s="247"/>
      <c r="G10006" s="247"/>
      <c r="H10006" s="248"/>
      <c r="I10006" s="248"/>
      <c r="J10006" s="247"/>
      <c r="K10006" s="249"/>
    </row>
    <row r="10007" spans="1:11" s="90" customFormat="1" ht="12.75" customHeight="1" x14ac:dyDescent="0.2">
      <c r="A10007" s="247"/>
      <c r="B10007" s="316"/>
      <c r="C10007" s="247"/>
      <c r="D10007" s="317"/>
      <c r="E10007" s="318"/>
      <c r="F10007" s="247"/>
      <c r="G10007" s="247"/>
      <c r="H10007" s="248"/>
      <c r="I10007" s="248"/>
      <c r="J10007" s="247"/>
      <c r="K10007" s="249"/>
    </row>
    <row r="10008" spans="1:11" s="90" customFormat="1" ht="12.75" customHeight="1" x14ac:dyDescent="0.2">
      <c r="A10008" s="247"/>
      <c r="B10008" s="316"/>
      <c r="C10008" s="247"/>
      <c r="D10008" s="317"/>
      <c r="E10008" s="318"/>
      <c r="F10008" s="247"/>
      <c r="G10008" s="247"/>
      <c r="H10008" s="248"/>
      <c r="I10008" s="248"/>
      <c r="J10008" s="247"/>
      <c r="K10008" s="249"/>
    </row>
    <row r="10009" spans="1:11" s="90" customFormat="1" ht="12.75" customHeight="1" x14ac:dyDescent="0.2">
      <c r="A10009" s="247"/>
      <c r="B10009" s="316"/>
      <c r="C10009" s="247"/>
      <c r="D10009" s="317"/>
      <c r="E10009" s="318"/>
      <c r="F10009" s="247"/>
      <c r="G10009" s="247"/>
      <c r="H10009" s="248"/>
      <c r="I10009" s="248"/>
      <c r="J10009" s="247"/>
      <c r="K10009" s="249"/>
    </row>
    <row r="10010" spans="1:11" s="90" customFormat="1" ht="12.75" customHeight="1" x14ac:dyDescent="0.2">
      <c r="A10010" s="247"/>
      <c r="B10010" s="316"/>
      <c r="C10010" s="247"/>
      <c r="D10010" s="317"/>
      <c r="E10010" s="318"/>
      <c r="F10010" s="247"/>
      <c r="G10010" s="247"/>
      <c r="H10010" s="248"/>
      <c r="I10010" s="248"/>
      <c r="J10010" s="247"/>
      <c r="K10010" s="249"/>
    </row>
    <row r="10011" spans="1:11" s="90" customFormat="1" ht="12.75" customHeight="1" x14ac:dyDescent="0.2">
      <c r="A10011" s="247"/>
      <c r="B10011" s="247"/>
      <c r="C10011" s="247"/>
      <c r="D10011" s="290"/>
      <c r="E10011" s="250"/>
      <c r="F10011" s="247"/>
      <c r="G10011" s="247"/>
      <c r="H10011" s="248"/>
      <c r="I10011" s="248"/>
      <c r="J10011" s="247"/>
      <c r="K10011" s="249"/>
    </row>
    <row r="10012" spans="1:11" s="90" customFormat="1" ht="12.75" customHeight="1" x14ac:dyDescent="0.2">
      <c r="A10012" s="247"/>
      <c r="B10012" s="247"/>
      <c r="C10012" s="247"/>
      <c r="D10012" s="290"/>
      <c r="E10012" s="250"/>
      <c r="F10012" s="247"/>
      <c r="G10012" s="247"/>
      <c r="H10012" s="248"/>
      <c r="I10012" s="248"/>
      <c r="J10012" s="247"/>
      <c r="K10012" s="249"/>
    </row>
    <row r="10013" spans="1:11" s="90" customFormat="1" ht="12.75" customHeight="1" x14ac:dyDescent="0.2">
      <c r="A10013" s="247"/>
      <c r="B10013" s="247"/>
      <c r="C10013" s="247"/>
      <c r="D10013" s="290"/>
      <c r="E10013" s="250"/>
      <c r="F10013" s="247"/>
      <c r="G10013" s="247"/>
      <c r="H10013" s="248"/>
      <c r="I10013" s="248"/>
      <c r="J10013" s="247"/>
      <c r="K10013" s="249"/>
    </row>
    <row r="10014" spans="1:11" s="90" customFormat="1" ht="12.75" customHeight="1" x14ac:dyDescent="0.2">
      <c r="A10014" s="247"/>
      <c r="B10014" s="247"/>
      <c r="C10014" s="247"/>
      <c r="D10014" s="290"/>
      <c r="E10014" s="250"/>
      <c r="F10014" s="247"/>
      <c r="G10014" s="247"/>
      <c r="H10014" s="248"/>
      <c r="I10014" s="248"/>
      <c r="J10014" s="247"/>
      <c r="K10014" s="249"/>
    </row>
    <row r="10015" spans="1:11" s="90" customFormat="1" ht="12.75" customHeight="1" x14ac:dyDescent="0.2">
      <c r="A10015" s="247"/>
      <c r="B10015" s="247"/>
      <c r="C10015" s="247"/>
      <c r="D10015" s="290"/>
      <c r="E10015" s="250"/>
      <c r="F10015" s="247"/>
      <c r="G10015" s="247"/>
      <c r="H10015" s="248"/>
      <c r="I10015" s="248"/>
      <c r="J10015" s="247"/>
      <c r="K10015" s="249"/>
    </row>
    <row r="10016" spans="1:11" s="90" customFormat="1" ht="12.75" customHeight="1" x14ac:dyDescent="0.2">
      <c r="A10016" s="247"/>
      <c r="B10016" s="251"/>
      <c r="C10016" s="247"/>
      <c r="D10016" s="277"/>
      <c r="E10016" s="250"/>
      <c r="F10016" s="247"/>
      <c r="G10016" s="247"/>
      <c r="H10016" s="248"/>
      <c r="I10016" s="248"/>
      <c r="J10016" s="247"/>
      <c r="K10016" s="249"/>
    </row>
    <row r="10017" spans="1:11" s="90" customFormat="1" ht="12.75" customHeight="1" x14ac:dyDescent="0.2">
      <c r="A10017" s="247"/>
      <c r="B10017" s="251"/>
      <c r="C10017" s="247"/>
      <c r="D10017" s="277"/>
      <c r="E10017" s="250"/>
      <c r="F10017" s="247"/>
      <c r="G10017" s="247"/>
      <c r="H10017" s="248"/>
      <c r="I10017" s="248"/>
      <c r="J10017" s="247"/>
      <c r="K10017" s="249"/>
    </row>
    <row r="10018" spans="1:11" s="90" customFormat="1" ht="12.75" customHeight="1" x14ac:dyDescent="0.2">
      <c r="A10018" s="247"/>
      <c r="B10018" s="251"/>
      <c r="C10018" s="247"/>
      <c r="D10018" s="277"/>
      <c r="E10018" s="250"/>
      <c r="F10018" s="247"/>
      <c r="G10018" s="247"/>
      <c r="H10018" s="248"/>
      <c r="I10018" s="248"/>
      <c r="J10018" s="247"/>
      <c r="K10018" s="249"/>
    </row>
    <row r="10019" spans="1:11" s="90" customFormat="1" ht="12.75" customHeight="1" x14ac:dyDescent="0.2">
      <c r="A10019" s="247"/>
      <c r="B10019" s="251"/>
      <c r="C10019" s="247"/>
      <c r="D10019" s="277"/>
      <c r="E10019" s="250"/>
      <c r="F10019" s="247"/>
      <c r="G10019" s="247"/>
      <c r="H10019" s="248"/>
      <c r="I10019" s="248"/>
      <c r="J10019" s="247"/>
      <c r="K10019" s="249"/>
    </row>
    <row r="10020" spans="1:11" s="90" customFormat="1" ht="12.75" customHeight="1" x14ac:dyDescent="0.2">
      <c r="A10020" s="247"/>
      <c r="B10020" s="251"/>
      <c r="C10020" s="247"/>
      <c r="D10020" s="277"/>
      <c r="E10020" s="250"/>
      <c r="F10020" s="247"/>
      <c r="G10020" s="247"/>
      <c r="H10020" s="248"/>
      <c r="I10020" s="248"/>
      <c r="J10020" s="247"/>
      <c r="K10020" s="249"/>
    </row>
    <row r="10021" spans="1:11" s="90" customFormat="1" ht="12.75" customHeight="1" x14ac:dyDescent="0.2">
      <c r="A10021" s="247"/>
      <c r="B10021" s="251"/>
      <c r="C10021" s="247"/>
      <c r="D10021" s="277"/>
      <c r="E10021" s="250"/>
      <c r="F10021" s="247"/>
      <c r="G10021" s="247"/>
      <c r="H10021" s="248"/>
      <c r="I10021" s="248"/>
      <c r="J10021" s="247"/>
      <c r="K10021" s="249"/>
    </row>
    <row r="10022" spans="1:11" s="90" customFormat="1" ht="12.75" customHeight="1" x14ac:dyDescent="0.2">
      <c r="A10022" s="247"/>
      <c r="B10022" s="251"/>
      <c r="C10022" s="247"/>
      <c r="D10022" s="277"/>
      <c r="E10022" s="250"/>
      <c r="F10022" s="247"/>
      <c r="G10022" s="247"/>
      <c r="H10022" s="248"/>
      <c r="I10022" s="248"/>
      <c r="J10022" s="247"/>
      <c r="K10022" s="249"/>
    </row>
    <row r="10023" spans="1:11" s="90" customFormat="1" ht="12.75" customHeight="1" x14ac:dyDescent="0.2">
      <c r="A10023" s="247"/>
      <c r="B10023" s="251"/>
      <c r="C10023" s="247"/>
      <c r="D10023" s="277"/>
      <c r="E10023" s="250"/>
      <c r="F10023" s="247"/>
      <c r="G10023" s="247"/>
      <c r="H10023" s="248"/>
      <c r="I10023" s="248"/>
      <c r="J10023" s="247"/>
      <c r="K10023" s="249"/>
    </row>
    <row r="10024" spans="1:11" s="90" customFormat="1" ht="12.75" customHeight="1" x14ac:dyDescent="0.2">
      <c r="A10024" s="247"/>
      <c r="B10024" s="251"/>
      <c r="C10024" s="248"/>
      <c r="D10024" s="277"/>
      <c r="E10024" s="250"/>
      <c r="F10024" s="247"/>
      <c r="G10024" s="252"/>
      <c r="H10024" s="248"/>
      <c r="I10024" s="248"/>
      <c r="J10024" s="247"/>
      <c r="K10024" s="249"/>
    </row>
    <row r="10025" spans="1:11" s="90" customFormat="1" ht="12.75" customHeight="1" x14ac:dyDescent="0.2">
      <c r="A10025" s="247"/>
      <c r="B10025" s="251"/>
      <c r="C10025" s="248"/>
      <c r="D10025" s="277"/>
      <c r="E10025" s="250"/>
      <c r="F10025" s="247"/>
      <c r="G10025" s="252"/>
      <c r="H10025" s="248"/>
      <c r="I10025" s="248"/>
      <c r="J10025" s="247"/>
      <c r="K10025" s="249"/>
    </row>
    <row r="10026" spans="1:11" s="90" customFormat="1" ht="12.75" customHeight="1" x14ac:dyDescent="0.2">
      <c r="A10026" s="247"/>
      <c r="B10026" s="251"/>
      <c r="C10026" s="248"/>
      <c r="D10026" s="277"/>
      <c r="E10026" s="250"/>
      <c r="F10026" s="247"/>
      <c r="G10026" s="252"/>
      <c r="H10026" s="248"/>
      <c r="I10026" s="248"/>
      <c r="J10026" s="247"/>
      <c r="K10026" s="249"/>
    </row>
    <row r="10027" spans="1:11" s="90" customFormat="1" ht="12.75" customHeight="1" x14ac:dyDescent="0.2">
      <c r="A10027" s="247"/>
      <c r="B10027" s="251"/>
      <c r="C10027" s="248"/>
      <c r="D10027" s="277"/>
      <c r="E10027" s="250"/>
      <c r="F10027" s="247"/>
      <c r="G10027" s="252"/>
      <c r="H10027" s="248"/>
      <c r="I10027" s="248"/>
      <c r="J10027" s="247"/>
      <c r="K10027" s="249"/>
    </row>
    <row r="10028" spans="1:11" s="90" customFormat="1" ht="12.75" customHeight="1" x14ac:dyDescent="0.2">
      <c r="A10028" s="247"/>
      <c r="B10028" s="251"/>
      <c r="C10028" s="248"/>
      <c r="D10028" s="277"/>
      <c r="E10028" s="250"/>
      <c r="F10028" s="247"/>
      <c r="G10028" s="252"/>
      <c r="H10028" s="248"/>
      <c r="I10028" s="248"/>
      <c r="J10028" s="247"/>
      <c r="K10028" s="249"/>
    </row>
    <row r="10029" spans="1:11" s="90" customFormat="1" ht="12.75" customHeight="1" x14ac:dyDescent="0.2">
      <c r="A10029" s="247"/>
      <c r="B10029" s="251"/>
      <c r="C10029" s="248"/>
      <c r="D10029" s="277"/>
      <c r="E10029" s="250"/>
      <c r="F10029" s="247"/>
      <c r="G10029" s="252"/>
      <c r="H10029" s="248"/>
      <c r="I10029" s="248"/>
      <c r="J10029" s="247"/>
      <c r="K10029" s="249"/>
    </row>
    <row r="10030" spans="1:11" s="90" customFormat="1" ht="12.75" customHeight="1" x14ac:dyDescent="0.2">
      <c r="A10030" s="247"/>
      <c r="B10030" s="251"/>
      <c r="C10030" s="248"/>
      <c r="D10030" s="277"/>
      <c r="E10030" s="250"/>
      <c r="F10030" s="247"/>
      <c r="G10030" s="252"/>
      <c r="H10030" s="248"/>
      <c r="I10030" s="248"/>
      <c r="J10030" s="247"/>
      <c r="K10030" s="249"/>
    </row>
    <row r="10031" spans="1:11" s="90" customFormat="1" ht="12.75" customHeight="1" x14ac:dyDescent="0.2">
      <c r="A10031" s="247"/>
      <c r="B10031" s="251"/>
      <c r="C10031" s="248"/>
      <c r="D10031" s="277"/>
      <c r="E10031" s="250"/>
      <c r="F10031" s="247"/>
      <c r="G10031" s="252"/>
      <c r="H10031" s="248"/>
      <c r="I10031" s="248"/>
      <c r="J10031" s="247"/>
      <c r="K10031" s="249"/>
    </row>
    <row r="10032" spans="1:11" s="90" customFormat="1" ht="12.75" customHeight="1" x14ac:dyDescent="0.2">
      <c r="A10032" s="247"/>
      <c r="B10032" s="251"/>
      <c r="C10032" s="248"/>
      <c r="D10032" s="277"/>
      <c r="E10032" s="250"/>
      <c r="F10032" s="247"/>
      <c r="G10032" s="252"/>
      <c r="H10032" s="248"/>
      <c r="I10032" s="248"/>
      <c r="J10032" s="247"/>
      <c r="K10032" s="249"/>
    </row>
    <row r="10033" spans="1:11" s="90" customFormat="1" ht="12.75" customHeight="1" x14ac:dyDescent="0.2">
      <c r="A10033" s="247"/>
      <c r="B10033" s="251"/>
      <c r="C10033" s="248"/>
      <c r="D10033" s="277"/>
      <c r="E10033" s="250"/>
      <c r="F10033" s="247"/>
      <c r="G10033" s="252"/>
      <c r="H10033" s="248"/>
      <c r="I10033" s="248"/>
      <c r="J10033" s="247"/>
      <c r="K10033" s="249"/>
    </row>
    <row r="10034" spans="1:11" s="90" customFormat="1" ht="12.75" customHeight="1" x14ac:dyDescent="0.2">
      <c r="A10034" s="247"/>
      <c r="B10034" s="251"/>
      <c r="C10034" s="248"/>
      <c r="D10034" s="277"/>
      <c r="E10034" s="250"/>
      <c r="F10034" s="247"/>
      <c r="G10034" s="252"/>
      <c r="H10034" s="248"/>
      <c r="I10034" s="248"/>
      <c r="J10034" s="247"/>
      <c r="K10034" s="249"/>
    </row>
    <row r="10035" spans="1:11" s="90" customFormat="1" ht="12.75" customHeight="1" x14ac:dyDescent="0.2">
      <c r="A10035" s="247"/>
      <c r="B10035" s="251"/>
      <c r="C10035" s="248"/>
      <c r="D10035" s="277"/>
      <c r="E10035" s="250"/>
      <c r="F10035" s="247"/>
      <c r="G10035" s="252"/>
      <c r="H10035" s="248"/>
      <c r="I10035" s="248"/>
      <c r="J10035" s="247"/>
      <c r="K10035" s="249"/>
    </row>
    <row r="10036" spans="1:11" s="90" customFormat="1" ht="12.75" customHeight="1" x14ac:dyDescent="0.2">
      <c r="A10036" s="247"/>
      <c r="B10036" s="251"/>
      <c r="C10036" s="248"/>
      <c r="D10036" s="277"/>
      <c r="E10036" s="250"/>
      <c r="F10036" s="247"/>
      <c r="G10036" s="252"/>
      <c r="H10036" s="248"/>
      <c r="I10036" s="248"/>
      <c r="J10036" s="247"/>
      <c r="K10036" s="249"/>
    </row>
    <row r="10037" spans="1:11" s="90" customFormat="1" ht="12.75" customHeight="1" x14ac:dyDescent="0.2">
      <c r="A10037" s="247"/>
      <c r="B10037" s="251"/>
      <c r="C10037" s="248"/>
      <c r="D10037" s="277"/>
      <c r="E10037" s="250"/>
      <c r="F10037" s="247"/>
      <c r="G10037" s="252"/>
      <c r="H10037" s="248"/>
      <c r="I10037" s="248"/>
      <c r="J10037" s="247"/>
      <c r="K10037" s="249"/>
    </row>
    <row r="10038" spans="1:11" s="90" customFormat="1" ht="12.75" customHeight="1" x14ac:dyDescent="0.2">
      <c r="A10038" s="247"/>
      <c r="B10038" s="251"/>
      <c r="C10038" s="248"/>
      <c r="D10038" s="277"/>
      <c r="E10038" s="250"/>
      <c r="F10038" s="247"/>
      <c r="G10038" s="252"/>
      <c r="H10038" s="248"/>
      <c r="I10038" s="248"/>
      <c r="J10038" s="247"/>
      <c r="K10038" s="249"/>
    </row>
    <row r="10039" spans="1:11" s="90" customFormat="1" ht="12.75" customHeight="1" x14ac:dyDescent="0.2">
      <c r="A10039" s="247"/>
      <c r="B10039" s="251"/>
      <c r="C10039" s="248"/>
      <c r="D10039" s="277"/>
      <c r="E10039" s="250"/>
      <c r="F10039" s="247"/>
      <c r="G10039" s="252"/>
      <c r="H10039" s="248"/>
      <c r="I10039" s="248"/>
      <c r="J10039" s="247"/>
      <c r="K10039" s="249"/>
    </row>
    <row r="10040" spans="1:11" s="90" customFormat="1" ht="12.75" customHeight="1" x14ac:dyDescent="0.2">
      <c r="A10040" s="247"/>
      <c r="B10040" s="251"/>
      <c r="C10040" s="248"/>
      <c r="D10040" s="277"/>
      <c r="E10040" s="250"/>
      <c r="F10040" s="247"/>
      <c r="G10040" s="252"/>
      <c r="H10040" s="248"/>
      <c r="I10040" s="248"/>
      <c r="J10040" s="247"/>
      <c r="K10040" s="249"/>
    </row>
    <row r="10041" spans="1:11" s="90" customFormat="1" ht="12.75" customHeight="1" x14ac:dyDescent="0.2">
      <c r="A10041" s="247"/>
      <c r="B10041" s="251"/>
      <c r="C10041" s="248"/>
      <c r="D10041" s="277"/>
      <c r="E10041" s="250"/>
      <c r="F10041" s="247"/>
      <c r="G10041" s="252"/>
      <c r="H10041" s="248"/>
      <c r="I10041" s="248"/>
      <c r="J10041" s="247"/>
      <c r="K10041" s="249"/>
    </row>
    <row r="10042" spans="1:11" s="90" customFormat="1" ht="12.75" customHeight="1" x14ac:dyDescent="0.2">
      <c r="A10042" s="247"/>
      <c r="B10042" s="251"/>
      <c r="C10042" s="248"/>
      <c r="D10042" s="277"/>
      <c r="E10042" s="250"/>
      <c r="F10042" s="247"/>
      <c r="G10042" s="252"/>
      <c r="H10042" s="248"/>
      <c r="I10042" s="248"/>
      <c r="J10042" s="247"/>
      <c r="K10042" s="249"/>
    </row>
    <row r="10043" spans="1:11" s="90" customFormat="1" ht="12.75" customHeight="1" x14ac:dyDescent="0.2">
      <c r="A10043" s="247"/>
      <c r="B10043" s="251"/>
      <c r="C10043" s="248"/>
      <c r="D10043" s="277"/>
      <c r="E10043" s="250"/>
      <c r="F10043" s="247"/>
      <c r="G10043" s="252"/>
      <c r="H10043" s="248"/>
      <c r="I10043" s="248"/>
      <c r="J10043" s="247"/>
      <c r="K10043" s="249"/>
    </row>
    <row r="10044" spans="1:11" s="90" customFormat="1" ht="12.75" customHeight="1" x14ac:dyDescent="0.2">
      <c r="A10044" s="247"/>
      <c r="B10044" s="251"/>
      <c r="C10044" s="248"/>
      <c r="D10044" s="277"/>
      <c r="E10044" s="250"/>
      <c r="F10044" s="247"/>
      <c r="G10044" s="252"/>
      <c r="H10044" s="248"/>
      <c r="I10044" s="248"/>
      <c r="J10044" s="247"/>
      <c r="K10044" s="249"/>
    </row>
    <row r="10045" spans="1:11" s="90" customFormat="1" ht="12.75" customHeight="1" x14ac:dyDescent="0.2">
      <c r="A10045" s="247"/>
      <c r="B10045" s="251"/>
      <c r="C10045" s="247"/>
      <c r="D10045" s="277"/>
      <c r="E10045" s="250"/>
      <c r="F10045" s="247"/>
      <c r="G10045" s="247"/>
      <c r="H10045" s="248"/>
      <c r="I10045" s="248"/>
      <c r="J10045" s="247"/>
      <c r="K10045" s="249"/>
    </row>
    <row r="10046" spans="1:11" s="90" customFormat="1" ht="12.75" customHeight="1" x14ac:dyDescent="0.2">
      <c r="A10046" s="247"/>
      <c r="B10046" s="251"/>
      <c r="C10046" s="247"/>
      <c r="D10046" s="277"/>
      <c r="E10046" s="250"/>
      <c r="F10046" s="247"/>
      <c r="G10046" s="247"/>
      <c r="H10046" s="248"/>
      <c r="I10046" s="248"/>
      <c r="J10046" s="247"/>
      <c r="K10046" s="249"/>
    </row>
    <row r="10047" spans="1:11" s="90" customFormat="1" ht="12.75" customHeight="1" x14ac:dyDescent="0.2">
      <c r="A10047" s="247"/>
      <c r="B10047" s="251"/>
      <c r="C10047" s="247"/>
      <c r="D10047" s="277"/>
      <c r="E10047" s="250"/>
      <c r="F10047" s="247"/>
      <c r="G10047" s="247"/>
      <c r="H10047" s="248"/>
      <c r="I10047" s="248"/>
      <c r="J10047" s="247"/>
      <c r="K10047" s="249"/>
    </row>
    <row r="10048" spans="1:11" s="90" customFormat="1" ht="12.75" customHeight="1" x14ac:dyDescent="0.2">
      <c r="A10048" s="247"/>
      <c r="B10048" s="247"/>
      <c r="C10048" s="247"/>
      <c r="D10048" s="277"/>
      <c r="E10048" s="250"/>
      <c r="F10048" s="247"/>
      <c r="G10048" s="247"/>
      <c r="H10048" s="248"/>
      <c r="I10048" s="248"/>
      <c r="J10048" s="247"/>
      <c r="K10048" s="249"/>
    </row>
    <row r="10049" spans="1:11" s="90" customFormat="1" ht="12.75" customHeight="1" x14ac:dyDescent="0.2">
      <c r="A10049" s="247"/>
      <c r="B10049" s="251"/>
      <c r="C10049" s="247"/>
      <c r="D10049" s="277"/>
      <c r="E10049" s="250"/>
      <c r="F10049" s="247"/>
      <c r="G10049" s="247"/>
      <c r="H10049" s="248"/>
      <c r="I10049" s="248"/>
      <c r="J10049" s="247"/>
      <c r="K10049" s="249"/>
    </row>
    <row r="10050" spans="1:11" s="90" customFormat="1" ht="12.75" customHeight="1" x14ac:dyDescent="0.2">
      <c r="A10050" s="247"/>
      <c r="B10050" s="247"/>
      <c r="C10050" s="247"/>
      <c r="D10050" s="277"/>
      <c r="E10050" s="250"/>
      <c r="F10050" s="247"/>
      <c r="G10050" s="247"/>
      <c r="H10050" s="248"/>
      <c r="I10050" s="248"/>
      <c r="J10050" s="247"/>
      <c r="K10050" s="249"/>
    </row>
    <row r="10051" spans="1:11" s="90" customFormat="1" ht="12.75" customHeight="1" x14ac:dyDescent="0.2">
      <c r="A10051" s="247"/>
      <c r="B10051" s="247"/>
      <c r="C10051" s="247"/>
      <c r="D10051" s="277"/>
      <c r="E10051" s="250"/>
      <c r="F10051" s="247"/>
      <c r="G10051" s="247"/>
      <c r="H10051" s="248"/>
      <c r="I10051" s="248"/>
      <c r="J10051" s="247"/>
      <c r="K10051" s="249"/>
    </row>
    <row r="10052" spans="1:11" s="90" customFormat="1" ht="12.75" customHeight="1" x14ac:dyDescent="0.2">
      <c r="A10052" s="247"/>
      <c r="B10052" s="247"/>
      <c r="C10052" s="247"/>
      <c r="D10052" s="277"/>
      <c r="E10052" s="250"/>
      <c r="F10052" s="247"/>
      <c r="G10052" s="247"/>
      <c r="H10052" s="248"/>
      <c r="I10052" s="248"/>
      <c r="J10052" s="247"/>
      <c r="K10052" s="249"/>
    </row>
    <row r="10053" spans="1:11" s="90" customFormat="1" ht="12.75" customHeight="1" x14ac:dyDescent="0.2">
      <c r="A10053" s="247"/>
      <c r="B10053" s="251"/>
      <c r="C10053" s="247"/>
      <c r="D10053" s="277"/>
      <c r="E10053" s="250"/>
      <c r="F10053" s="247"/>
      <c r="G10053" s="247"/>
      <c r="H10053" s="248"/>
      <c r="I10053" s="248"/>
      <c r="J10053" s="247"/>
      <c r="K10053" s="249"/>
    </row>
    <row r="10054" spans="1:11" s="90" customFormat="1" ht="12.75" customHeight="1" x14ac:dyDescent="0.2">
      <c r="A10054" s="247"/>
      <c r="B10054" s="251"/>
      <c r="C10054" s="247"/>
      <c r="D10054" s="277"/>
      <c r="E10054" s="250"/>
      <c r="F10054" s="247"/>
      <c r="G10054" s="247"/>
      <c r="H10054" s="248"/>
      <c r="I10054" s="248"/>
      <c r="J10054" s="247"/>
      <c r="K10054" s="249"/>
    </row>
    <row r="10055" spans="1:11" s="90" customFormat="1" ht="12.75" customHeight="1" x14ac:dyDescent="0.2">
      <c r="A10055" s="247"/>
      <c r="B10055" s="251"/>
      <c r="C10055" s="247"/>
      <c r="D10055" s="277"/>
      <c r="E10055" s="250"/>
      <c r="F10055" s="247"/>
      <c r="G10055" s="247"/>
      <c r="H10055" s="248"/>
      <c r="I10055" s="248"/>
      <c r="J10055" s="247"/>
      <c r="K10055" s="249"/>
    </row>
    <row r="10056" spans="1:11" s="90" customFormat="1" ht="12.75" customHeight="1" x14ac:dyDescent="0.2">
      <c r="A10056" s="247"/>
      <c r="B10056" s="251"/>
      <c r="C10056" s="247"/>
      <c r="D10056" s="277"/>
      <c r="E10056" s="250"/>
      <c r="F10056" s="247"/>
      <c r="G10056" s="247"/>
      <c r="H10056" s="248"/>
      <c r="I10056" s="248"/>
      <c r="J10056" s="247"/>
      <c r="K10056" s="249"/>
    </row>
    <row r="10057" spans="1:11" s="90" customFormat="1" ht="12.75" customHeight="1" x14ac:dyDescent="0.2">
      <c r="A10057" s="247"/>
      <c r="B10057" s="251"/>
      <c r="C10057" s="247"/>
      <c r="D10057" s="277"/>
      <c r="E10057" s="250"/>
      <c r="F10057" s="247"/>
      <c r="G10057" s="247"/>
      <c r="H10057" s="248"/>
      <c r="I10057" s="248"/>
      <c r="J10057" s="247"/>
      <c r="K10057" s="249"/>
    </row>
    <row r="10058" spans="1:11" s="90" customFormat="1" ht="12.75" customHeight="1" x14ac:dyDescent="0.2">
      <c r="A10058" s="247"/>
      <c r="B10058" s="247"/>
      <c r="C10058" s="247"/>
      <c r="D10058" s="277"/>
      <c r="E10058" s="250"/>
      <c r="F10058" s="247"/>
      <c r="G10058" s="247"/>
      <c r="H10058" s="248"/>
      <c r="I10058" s="248"/>
      <c r="J10058" s="247"/>
      <c r="K10058" s="249"/>
    </row>
    <row r="10059" spans="1:11" s="90" customFormat="1" ht="12.75" customHeight="1" x14ac:dyDescent="0.2">
      <c r="A10059" s="247"/>
      <c r="B10059" s="251"/>
      <c r="C10059" s="247"/>
      <c r="D10059" s="277"/>
      <c r="E10059" s="250"/>
      <c r="F10059" s="247"/>
      <c r="G10059" s="247"/>
      <c r="H10059" s="248"/>
      <c r="I10059" s="248"/>
      <c r="J10059" s="247"/>
      <c r="K10059" s="249"/>
    </row>
    <row r="10060" spans="1:11" s="90" customFormat="1" ht="12.75" customHeight="1" x14ac:dyDescent="0.2">
      <c r="A10060" s="247"/>
      <c r="B10060" s="251"/>
      <c r="C10060" s="247"/>
      <c r="D10060" s="277"/>
      <c r="E10060" s="250"/>
      <c r="F10060" s="247"/>
      <c r="G10060" s="247"/>
      <c r="H10060" s="248"/>
      <c r="I10060" s="248"/>
      <c r="J10060" s="247"/>
      <c r="K10060" s="249"/>
    </row>
    <row r="10061" spans="1:11" s="90" customFormat="1" ht="12.75" customHeight="1" x14ac:dyDescent="0.2">
      <c r="A10061" s="247"/>
      <c r="B10061" s="251"/>
      <c r="C10061" s="248"/>
      <c r="D10061" s="277"/>
      <c r="E10061" s="250"/>
      <c r="F10061" s="247"/>
      <c r="G10061" s="252"/>
      <c r="H10061" s="248"/>
      <c r="I10061" s="248"/>
      <c r="J10061" s="247"/>
      <c r="K10061" s="249"/>
    </row>
    <row r="10062" spans="1:11" s="90" customFormat="1" ht="12.75" customHeight="1" x14ac:dyDescent="0.2">
      <c r="A10062" s="247"/>
      <c r="B10062" s="251"/>
      <c r="C10062" s="248"/>
      <c r="D10062" s="277"/>
      <c r="E10062" s="250"/>
      <c r="F10062" s="247"/>
      <c r="G10062" s="252"/>
      <c r="H10062" s="248"/>
      <c r="I10062" s="248"/>
      <c r="J10062" s="247"/>
      <c r="K10062" s="249"/>
    </row>
    <row r="10063" spans="1:11" s="90" customFormat="1" ht="12.75" customHeight="1" x14ac:dyDescent="0.2">
      <c r="A10063" s="247"/>
      <c r="B10063" s="251"/>
      <c r="C10063" s="248"/>
      <c r="D10063" s="277"/>
      <c r="E10063" s="250"/>
      <c r="F10063" s="247"/>
      <c r="G10063" s="252"/>
      <c r="H10063" s="248"/>
      <c r="I10063" s="248"/>
      <c r="J10063" s="247"/>
      <c r="K10063" s="249"/>
    </row>
    <row r="10064" spans="1:11" s="90" customFormat="1" ht="12.75" customHeight="1" x14ac:dyDescent="0.2">
      <c r="A10064" s="247"/>
      <c r="B10064" s="251"/>
      <c r="C10064" s="248"/>
      <c r="D10064" s="277"/>
      <c r="E10064" s="250"/>
      <c r="F10064" s="247"/>
      <c r="G10064" s="252"/>
      <c r="H10064" s="248"/>
      <c r="I10064" s="248"/>
      <c r="J10064" s="247"/>
      <c r="K10064" s="249"/>
    </row>
    <row r="10065" spans="1:11" s="90" customFormat="1" ht="12.75" customHeight="1" x14ac:dyDescent="0.2">
      <c r="A10065" s="247"/>
      <c r="B10065" s="251"/>
      <c r="C10065" s="248"/>
      <c r="D10065" s="277"/>
      <c r="E10065" s="250"/>
      <c r="F10065" s="247"/>
      <c r="G10065" s="252"/>
      <c r="H10065" s="248"/>
      <c r="I10065" s="248"/>
      <c r="J10065" s="247"/>
      <c r="K10065" s="249"/>
    </row>
    <row r="10066" spans="1:11" s="90" customFormat="1" ht="12.75" customHeight="1" x14ac:dyDescent="0.2">
      <c r="A10066" s="247"/>
      <c r="B10066" s="251"/>
      <c r="C10066" s="248"/>
      <c r="D10066" s="277"/>
      <c r="E10066" s="250"/>
      <c r="F10066" s="247"/>
      <c r="G10066" s="252"/>
      <c r="H10066" s="248"/>
      <c r="I10066" s="248"/>
      <c r="J10066" s="247"/>
      <c r="K10066" s="249"/>
    </row>
    <row r="10067" spans="1:11" s="90" customFormat="1" ht="12.75" customHeight="1" x14ac:dyDescent="0.2">
      <c r="A10067" s="247"/>
      <c r="B10067" s="251"/>
      <c r="C10067" s="248"/>
      <c r="D10067" s="277"/>
      <c r="E10067" s="250"/>
      <c r="F10067" s="247"/>
      <c r="G10067" s="252"/>
      <c r="H10067" s="248"/>
      <c r="I10067" s="248"/>
      <c r="J10067" s="247"/>
      <c r="K10067" s="249"/>
    </row>
    <row r="10068" spans="1:11" s="90" customFormat="1" ht="12.75" customHeight="1" x14ac:dyDescent="0.2">
      <c r="A10068" s="247"/>
      <c r="B10068" s="251"/>
      <c r="C10068" s="248"/>
      <c r="D10068" s="277"/>
      <c r="E10068" s="250"/>
      <c r="F10068" s="247"/>
      <c r="G10068" s="252"/>
      <c r="H10068" s="248"/>
      <c r="I10068" s="248"/>
      <c r="J10068" s="247"/>
      <c r="K10068" s="249"/>
    </row>
    <row r="10069" spans="1:11" s="90" customFormat="1" ht="12.75" customHeight="1" x14ac:dyDescent="0.2">
      <c r="A10069" s="247"/>
      <c r="B10069" s="251"/>
      <c r="C10069" s="248"/>
      <c r="D10069" s="277"/>
      <c r="E10069" s="250"/>
      <c r="F10069" s="247"/>
      <c r="G10069" s="252"/>
      <c r="H10069" s="248"/>
      <c r="I10069" s="248"/>
      <c r="J10069" s="247"/>
      <c r="K10069" s="249"/>
    </row>
    <row r="10070" spans="1:11" s="90" customFormat="1" ht="12.75" customHeight="1" x14ac:dyDescent="0.2">
      <c r="A10070" s="247"/>
      <c r="B10070" s="251"/>
      <c r="C10070" s="248"/>
      <c r="D10070" s="277"/>
      <c r="E10070" s="250"/>
      <c r="F10070" s="247"/>
      <c r="G10070" s="252"/>
      <c r="H10070" s="248"/>
      <c r="I10070" s="248"/>
      <c r="J10070" s="247"/>
      <c r="K10070" s="249"/>
    </row>
    <row r="10071" spans="1:11" s="90" customFormat="1" ht="12.75" customHeight="1" x14ac:dyDescent="0.2">
      <c r="A10071" s="247"/>
      <c r="B10071" s="251"/>
      <c r="C10071" s="248"/>
      <c r="D10071" s="277"/>
      <c r="E10071" s="250"/>
      <c r="F10071" s="247"/>
      <c r="G10071" s="252"/>
      <c r="H10071" s="248"/>
      <c r="I10071" s="248"/>
      <c r="J10071" s="247"/>
      <c r="K10071" s="249"/>
    </row>
    <row r="10072" spans="1:11" s="90" customFormat="1" ht="12.75" customHeight="1" x14ac:dyDescent="0.2">
      <c r="A10072" s="247"/>
      <c r="B10072" s="251"/>
      <c r="C10072" s="248"/>
      <c r="D10072" s="277"/>
      <c r="E10072" s="250"/>
      <c r="F10072" s="247"/>
      <c r="G10072" s="252"/>
      <c r="H10072" s="248"/>
      <c r="I10072" s="248"/>
      <c r="J10072" s="247"/>
      <c r="K10072" s="249"/>
    </row>
    <row r="10073" spans="1:11" s="90" customFormat="1" ht="12.75" customHeight="1" x14ac:dyDescent="0.2">
      <c r="A10073" s="247"/>
      <c r="B10073" s="251"/>
      <c r="C10073" s="248"/>
      <c r="D10073" s="277"/>
      <c r="E10073" s="250"/>
      <c r="F10073" s="247"/>
      <c r="G10073" s="252"/>
      <c r="H10073" s="248"/>
      <c r="I10073" s="248"/>
      <c r="J10073" s="247"/>
      <c r="K10073" s="249"/>
    </row>
    <row r="10074" spans="1:11" s="90" customFormat="1" ht="12.75" customHeight="1" x14ac:dyDescent="0.2">
      <c r="A10074" s="247"/>
      <c r="B10074" s="251"/>
      <c r="C10074" s="248"/>
      <c r="D10074" s="277"/>
      <c r="E10074" s="250"/>
      <c r="F10074" s="247"/>
      <c r="G10074" s="252"/>
      <c r="H10074" s="248"/>
      <c r="I10074" s="248"/>
      <c r="J10074" s="247"/>
      <c r="K10074" s="249"/>
    </row>
    <row r="10075" spans="1:11" s="90" customFormat="1" ht="12.75" customHeight="1" x14ac:dyDescent="0.2">
      <c r="A10075" s="247"/>
      <c r="B10075" s="251"/>
      <c r="C10075" s="248"/>
      <c r="D10075" s="277"/>
      <c r="E10075" s="250"/>
      <c r="F10075" s="247"/>
      <c r="G10075" s="252"/>
      <c r="H10075" s="248"/>
      <c r="I10075" s="248"/>
      <c r="J10075" s="247"/>
      <c r="K10075" s="249"/>
    </row>
    <row r="10076" spans="1:11" s="90" customFormat="1" ht="12.75" customHeight="1" x14ac:dyDescent="0.2">
      <c r="A10076" s="247"/>
      <c r="B10076" s="251"/>
      <c r="C10076" s="248"/>
      <c r="D10076" s="277"/>
      <c r="E10076" s="250"/>
      <c r="F10076" s="247"/>
      <c r="G10076" s="252"/>
      <c r="H10076" s="248"/>
      <c r="I10076" s="248"/>
      <c r="J10076" s="247"/>
      <c r="K10076" s="249"/>
    </row>
    <row r="10077" spans="1:11" s="90" customFormat="1" ht="12.75" customHeight="1" x14ac:dyDescent="0.2">
      <c r="A10077" s="247"/>
      <c r="B10077" s="251"/>
      <c r="C10077" s="248"/>
      <c r="D10077" s="277"/>
      <c r="E10077" s="250"/>
      <c r="F10077" s="247"/>
      <c r="G10077" s="252"/>
      <c r="H10077" s="248"/>
      <c r="I10077" s="248"/>
      <c r="J10077" s="247"/>
      <c r="K10077" s="249"/>
    </row>
    <row r="10078" spans="1:11" s="90" customFormat="1" ht="12.75" customHeight="1" x14ac:dyDescent="0.2">
      <c r="A10078" s="247"/>
      <c r="B10078" s="247"/>
      <c r="C10078" s="247"/>
      <c r="D10078" s="277"/>
      <c r="E10078" s="250"/>
      <c r="F10078" s="247"/>
      <c r="G10078" s="247"/>
      <c r="H10078" s="248"/>
      <c r="I10078" s="248"/>
      <c r="J10078" s="247"/>
      <c r="K10078" s="249"/>
    </row>
    <row r="10079" spans="1:11" s="90" customFormat="1" ht="12.75" customHeight="1" x14ac:dyDescent="0.2">
      <c r="A10079" s="247"/>
      <c r="B10079" s="251"/>
      <c r="C10079" s="248"/>
      <c r="D10079" s="277"/>
      <c r="E10079" s="250"/>
      <c r="F10079" s="247"/>
      <c r="G10079" s="252"/>
      <c r="H10079" s="248"/>
      <c r="I10079" s="248"/>
      <c r="J10079" s="247"/>
      <c r="K10079" s="249"/>
    </row>
    <row r="10080" spans="1:11" s="90" customFormat="1" ht="12.75" customHeight="1" x14ac:dyDescent="0.2">
      <c r="A10080" s="247"/>
      <c r="B10080" s="251"/>
      <c r="C10080" s="248"/>
      <c r="D10080" s="277"/>
      <c r="E10080" s="250"/>
      <c r="F10080" s="247"/>
      <c r="G10080" s="252"/>
      <c r="H10080" s="248"/>
      <c r="I10080" s="248"/>
      <c r="J10080" s="247"/>
      <c r="K10080" s="249"/>
    </row>
    <row r="10081" spans="1:11" s="90" customFormat="1" ht="12.75" customHeight="1" x14ac:dyDescent="0.2">
      <c r="A10081" s="247"/>
      <c r="B10081" s="251"/>
      <c r="C10081" s="247"/>
      <c r="D10081" s="277"/>
      <c r="E10081" s="250"/>
      <c r="F10081" s="247"/>
      <c r="G10081" s="247"/>
      <c r="H10081" s="248"/>
      <c r="I10081" s="248"/>
      <c r="J10081" s="247"/>
      <c r="K10081" s="249"/>
    </row>
    <row r="10082" spans="1:11" s="90" customFormat="1" ht="12.75" customHeight="1" x14ac:dyDescent="0.2">
      <c r="A10082" s="247"/>
      <c r="B10082" s="251"/>
      <c r="C10082" s="247"/>
      <c r="D10082" s="277"/>
      <c r="E10082" s="250"/>
      <c r="F10082" s="247"/>
      <c r="G10082" s="247"/>
      <c r="H10082" s="248"/>
      <c r="I10082" s="248"/>
      <c r="J10082" s="247"/>
      <c r="K10082" s="249"/>
    </row>
    <row r="10083" spans="1:11" s="90" customFormat="1" ht="12.75" customHeight="1" x14ac:dyDescent="0.2">
      <c r="A10083" s="247"/>
      <c r="B10083" s="251"/>
      <c r="C10083" s="247"/>
      <c r="D10083" s="277"/>
      <c r="E10083" s="250"/>
      <c r="F10083" s="247"/>
      <c r="G10083" s="247"/>
      <c r="H10083" s="248"/>
      <c r="I10083" s="248"/>
      <c r="J10083" s="247"/>
      <c r="K10083" s="249"/>
    </row>
    <row r="10084" spans="1:11" s="90" customFormat="1" ht="12.75" customHeight="1" x14ac:dyDescent="0.2">
      <c r="A10084" s="247"/>
      <c r="B10084" s="251"/>
      <c r="C10084" s="247"/>
      <c r="D10084" s="277"/>
      <c r="E10084" s="250"/>
      <c r="F10084" s="247"/>
      <c r="G10084" s="247"/>
      <c r="H10084" s="248"/>
      <c r="I10084" s="248"/>
      <c r="J10084" s="247"/>
      <c r="K10084" s="249"/>
    </row>
    <row r="10085" spans="1:11" s="90" customFormat="1" ht="12.75" customHeight="1" x14ac:dyDescent="0.2">
      <c r="A10085" s="247"/>
      <c r="B10085" s="251"/>
      <c r="C10085" s="248"/>
      <c r="D10085" s="277"/>
      <c r="E10085" s="250"/>
      <c r="F10085" s="247"/>
      <c r="G10085" s="252"/>
      <c r="H10085" s="248"/>
      <c r="I10085" s="248"/>
      <c r="J10085" s="247"/>
      <c r="K10085" s="249"/>
    </row>
    <row r="10086" spans="1:11" s="90" customFormat="1" ht="12.75" customHeight="1" x14ac:dyDescent="0.2">
      <c r="A10086" s="247"/>
      <c r="B10086" s="251"/>
      <c r="C10086" s="248"/>
      <c r="D10086" s="277"/>
      <c r="E10086" s="250"/>
      <c r="F10086" s="247"/>
      <c r="G10086" s="252"/>
      <c r="H10086" s="248"/>
      <c r="I10086" s="248"/>
      <c r="J10086" s="247"/>
      <c r="K10086" s="249"/>
    </row>
    <row r="10087" spans="1:11" s="90" customFormat="1" ht="12.75" customHeight="1" x14ac:dyDescent="0.2">
      <c r="A10087" s="247"/>
      <c r="B10087" s="247"/>
      <c r="C10087" s="247"/>
      <c r="D10087" s="277"/>
      <c r="E10087" s="250"/>
      <c r="F10087" s="247"/>
      <c r="G10087" s="247"/>
      <c r="H10087" s="248"/>
      <c r="I10087" s="248"/>
      <c r="J10087" s="247"/>
      <c r="K10087" s="249"/>
    </row>
    <row r="10088" spans="1:11" s="90" customFormat="1" ht="12.75" customHeight="1" x14ac:dyDescent="0.2">
      <c r="A10088" s="247"/>
      <c r="B10088" s="247"/>
      <c r="C10088" s="247"/>
      <c r="D10088" s="277"/>
      <c r="E10088" s="250"/>
      <c r="F10088" s="247"/>
      <c r="G10088" s="247"/>
      <c r="H10088" s="248"/>
      <c r="I10088" s="248"/>
      <c r="J10088" s="247"/>
      <c r="K10088" s="249"/>
    </row>
    <row r="10089" spans="1:11" s="90" customFormat="1" ht="12.75" customHeight="1" x14ac:dyDescent="0.2">
      <c r="A10089" s="247"/>
      <c r="B10089" s="247"/>
      <c r="C10089" s="247"/>
      <c r="D10089" s="277"/>
      <c r="E10089" s="250"/>
      <c r="F10089" s="247"/>
      <c r="G10089" s="247"/>
      <c r="H10089" s="248"/>
      <c r="I10089" s="248"/>
      <c r="J10089" s="247"/>
      <c r="K10089" s="249"/>
    </row>
    <row r="10090" spans="1:11" s="90" customFormat="1" ht="12.75" customHeight="1" x14ac:dyDescent="0.2">
      <c r="A10090" s="247"/>
      <c r="B10090" s="251"/>
      <c r="C10090" s="247"/>
      <c r="D10090" s="277"/>
      <c r="E10090" s="250"/>
      <c r="F10090" s="247"/>
      <c r="G10090" s="247"/>
      <c r="H10090" s="248"/>
      <c r="I10090" s="248"/>
      <c r="J10090" s="247"/>
      <c r="K10090" s="249"/>
    </row>
    <row r="10091" spans="1:11" s="90" customFormat="1" ht="12.75" customHeight="1" x14ac:dyDescent="0.2">
      <c r="A10091" s="247"/>
      <c r="B10091" s="251"/>
      <c r="C10091" s="247"/>
      <c r="D10091" s="277"/>
      <c r="E10091" s="250"/>
      <c r="F10091" s="247"/>
      <c r="G10091" s="247"/>
      <c r="H10091" s="248"/>
      <c r="I10091" s="248"/>
      <c r="J10091" s="247"/>
      <c r="K10091" s="249"/>
    </row>
    <row r="10092" spans="1:11" s="90" customFormat="1" ht="12.75" customHeight="1" x14ac:dyDescent="0.2">
      <c r="A10092" s="247"/>
      <c r="B10092" s="251"/>
      <c r="C10092" s="247"/>
      <c r="D10092" s="277"/>
      <c r="E10092" s="250"/>
      <c r="F10092" s="247"/>
      <c r="G10092" s="247"/>
      <c r="H10092" s="248"/>
      <c r="I10092" s="248"/>
      <c r="J10092" s="247"/>
      <c r="K10092" s="249"/>
    </row>
    <row r="10093" spans="1:11" s="90" customFormat="1" ht="12.75" customHeight="1" x14ac:dyDescent="0.2">
      <c r="A10093" s="247"/>
      <c r="B10093" s="251"/>
      <c r="C10093" s="247"/>
      <c r="D10093" s="277"/>
      <c r="E10093" s="250"/>
      <c r="F10093" s="247"/>
      <c r="G10093" s="247"/>
      <c r="H10093" s="248"/>
      <c r="I10093" s="248"/>
      <c r="J10093" s="247"/>
      <c r="K10093" s="249"/>
    </row>
    <row r="10094" spans="1:11" s="90" customFormat="1" ht="12.75" customHeight="1" x14ac:dyDescent="0.2">
      <c r="A10094" s="247"/>
      <c r="B10094" s="251"/>
      <c r="C10094" s="247"/>
      <c r="D10094" s="277"/>
      <c r="E10094" s="250"/>
      <c r="F10094" s="247"/>
      <c r="G10094" s="247"/>
      <c r="H10094" s="248"/>
      <c r="I10094" s="248"/>
      <c r="J10094" s="247"/>
      <c r="K10094" s="249"/>
    </row>
    <row r="10095" spans="1:11" s="90" customFormat="1" ht="12.75" customHeight="1" x14ac:dyDescent="0.2">
      <c r="A10095" s="247"/>
      <c r="B10095" s="247"/>
      <c r="C10095" s="247"/>
      <c r="D10095" s="277"/>
      <c r="E10095" s="250"/>
      <c r="F10095" s="247"/>
      <c r="G10095" s="247"/>
      <c r="H10095" s="248"/>
      <c r="I10095" s="248"/>
      <c r="J10095" s="247"/>
      <c r="K10095" s="249"/>
    </row>
    <row r="10096" spans="1:11" s="90" customFormat="1" ht="12.75" customHeight="1" x14ac:dyDescent="0.2">
      <c r="A10096" s="247"/>
      <c r="B10096" s="251"/>
      <c r="C10096" s="248"/>
      <c r="D10096" s="277"/>
      <c r="E10096" s="250"/>
      <c r="F10096" s="247"/>
      <c r="G10096" s="252"/>
      <c r="H10096" s="248"/>
      <c r="I10096" s="248"/>
      <c r="J10096" s="247"/>
      <c r="K10096" s="249"/>
    </row>
    <row r="10097" spans="1:11" s="90" customFormat="1" ht="12.75" customHeight="1" x14ac:dyDescent="0.2">
      <c r="A10097" s="247"/>
      <c r="B10097" s="251"/>
      <c r="C10097" s="248"/>
      <c r="D10097" s="277"/>
      <c r="E10097" s="250"/>
      <c r="F10097" s="247"/>
      <c r="G10097" s="252"/>
      <c r="H10097" s="248"/>
      <c r="I10097" s="248"/>
      <c r="J10097" s="247"/>
      <c r="K10097" s="249"/>
    </row>
    <row r="10098" spans="1:11" s="90" customFormat="1" ht="12.75" customHeight="1" x14ac:dyDescent="0.2">
      <c r="A10098" s="247"/>
      <c r="B10098" s="247"/>
      <c r="C10098" s="247"/>
      <c r="D10098" s="277"/>
      <c r="E10098" s="250"/>
      <c r="F10098" s="247"/>
      <c r="G10098" s="247"/>
      <c r="H10098" s="248"/>
      <c r="I10098" s="248"/>
      <c r="J10098" s="247"/>
      <c r="K10098" s="249"/>
    </row>
    <row r="10099" spans="1:11" s="90" customFormat="1" ht="12.75" customHeight="1" x14ac:dyDescent="0.2">
      <c r="A10099" s="247"/>
      <c r="B10099" s="247"/>
      <c r="C10099" s="247"/>
      <c r="D10099" s="277"/>
      <c r="E10099" s="250"/>
      <c r="F10099" s="247"/>
      <c r="G10099" s="247"/>
      <c r="H10099" s="248"/>
      <c r="I10099" s="248"/>
      <c r="J10099" s="247"/>
      <c r="K10099" s="249"/>
    </row>
    <row r="10100" spans="1:11" s="90" customFormat="1" ht="12.75" customHeight="1" x14ac:dyDescent="0.2">
      <c r="A10100" s="247"/>
      <c r="B10100" s="247"/>
      <c r="C10100" s="247"/>
      <c r="D10100" s="277"/>
      <c r="E10100" s="250"/>
      <c r="F10100" s="247"/>
      <c r="G10100" s="247"/>
      <c r="H10100" s="248"/>
      <c r="I10100" s="248"/>
      <c r="J10100" s="247"/>
      <c r="K10100" s="249"/>
    </row>
    <row r="10101" spans="1:11" s="90" customFormat="1" ht="12.75" customHeight="1" x14ac:dyDescent="0.2">
      <c r="A10101" s="247"/>
      <c r="B10101" s="247"/>
      <c r="C10101" s="247"/>
      <c r="D10101" s="277"/>
      <c r="E10101" s="250"/>
      <c r="F10101" s="247"/>
      <c r="G10101" s="247"/>
      <c r="H10101" s="248"/>
      <c r="I10101" s="248"/>
      <c r="J10101" s="247"/>
      <c r="K10101" s="249"/>
    </row>
    <row r="10102" spans="1:11" s="90" customFormat="1" ht="12.75" customHeight="1" x14ac:dyDescent="0.2">
      <c r="A10102" s="247"/>
      <c r="B10102" s="247"/>
      <c r="C10102" s="247"/>
      <c r="D10102" s="277"/>
      <c r="E10102" s="250"/>
      <c r="F10102" s="247"/>
      <c r="G10102" s="247"/>
      <c r="H10102" s="248"/>
      <c r="I10102" s="248"/>
      <c r="J10102" s="247"/>
      <c r="K10102" s="249"/>
    </row>
    <row r="10103" spans="1:11" s="90" customFormat="1" ht="12.75" customHeight="1" x14ac:dyDescent="0.2">
      <c r="A10103" s="247"/>
      <c r="B10103" s="251"/>
      <c r="C10103" s="248"/>
      <c r="D10103" s="277"/>
      <c r="E10103" s="250"/>
      <c r="F10103" s="247"/>
      <c r="G10103" s="252"/>
      <c r="H10103" s="248"/>
      <c r="I10103" s="248"/>
      <c r="J10103" s="247"/>
      <c r="K10103" s="249"/>
    </row>
    <row r="10104" spans="1:11" s="90" customFormat="1" ht="12.75" customHeight="1" x14ac:dyDescent="0.2">
      <c r="A10104" s="247"/>
      <c r="B10104" s="251"/>
      <c r="C10104" s="248"/>
      <c r="D10104" s="277"/>
      <c r="E10104" s="250"/>
      <c r="F10104" s="247"/>
      <c r="G10104" s="252"/>
      <c r="H10104" s="248"/>
      <c r="I10104" s="248"/>
      <c r="J10104" s="247"/>
      <c r="K10104" s="249"/>
    </row>
    <row r="10105" spans="1:11" s="90" customFormat="1" ht="12.75" customHeight="1" x14ac:dyDescent="0.2">
      <c r="A10105" s="247"/>
      <c r="B10105" s="251"/>
      <c r="C10105" s="248"/>
      <c r="D10105" s="277"/>
      <c r="E10105" s="250"/>
      <c r="F10105" s="247"/>
      <c r="G10105" s="252"/>
      <c r="H10105" s="248"/>
      <c r="I10105" s="248"/>
      <c r="J10105" s="247"/>
      <c r="K10105" s="249"/>
    </row>
    <row r="10106" spans="1:11" s="90" customFormat="1" ht="12.75" customHeight="1" x14ac:dyDescent="0.2">
      <c r="A10106" s="247"/>
      <c r="B10106" s="251"/>
      <c r="C10106" s="248"/>
      <c r="D10106" s="277"/>
      <c r="E10106" s="250"/>
      <c r="F10106" s="247"/>
      <c r="G10106" s="252"/>
      <c r="H10106" s="248"/>
      <c r="I10106" s="248"/>
      <c r="J10106" s="247"/>
      <c r="K10106" s="249"/>
    </row>
    <row r="10107" spans="1:11" s="90" customFormat="1" ht="12.75" customHeight="1" x14ac:dyDescent="0.2">
      <c r="A10107" s="247"/>
      <c r="B10107" s="251"/>
      <c r="C10107" s="248"/>
      <c r="D10107" s="277"/>
      <c r="E10107" s="250"/>
      <c r="F10107" s="247"/>
      <c r="G10107" s="252"/>
      <c r="H10107" s="248"/>
      <c r="I10107" s="248"/>
      <c r="J10107" s="247"/>
      <c r="K10107" s="249"/>
    </row>
    <row r="10108" spans="1:11" s="90" customFormat="1" ht="12.75" customHeight="1" x14ac:dyDescent="0.2">
      <c r="A10108" s="247"/>
      <c r="B10108" s="251"/>
      <c r="C10108" s="247"/>
      <c r="D10108" s="277"/>
      <c r="E10108" s="250"/>
      <c r="F10108" s="247"/>
      <c r="G10108" s="247"/>
      <c r="H10108" s="248"/>
      <c r="I10108" s="248"/>
      <c r="J10108" s="247"/>
      <c r="K10108" s="249"/>
    </row>
    <row r="10109" spans="1:11" s="90" customFormat="1" ht="12.75" customHeight="1" x14ac:dyDescent="0.2">
      <c r="A10109" s="247"/>
      <c r="B10109" s="251"/>
      <c r="C10109" s="248"/>
      <c r="D10109" s="277"/>
      <c r="E10109" s="250"/>
      <c r="F10109" s="247"/>
      <c r="G10109" s="252"/>
      <c r="H10109" s="248"/>
      <c r="I10109" s="248"/>
      <c r="J10109" s="247"/>
      <c r="K10109" s="249"/>
    </row>
    <row r="10110" spans="1:11" s="90" customFormat="1" ht="12.75" customHeight="1" x14ac:dyDescent="0.2">
      <c r="A10110" s="247"/>
      <c r="B10110" s="251"/>
      <c r="C10110" s="248"/>
      <c r="D10110" s="277"/>
      <c r="E10110" s="250"/>
      <c r="F10110" s="247"/>
      <c r="G10110" s="252"/>
      <c r="H10110" s="248"/>
      <c r="I10110" s="248"/>
      <c r="J10110" s="247"/>
      <c r="K10110" s="249"/>
    </row>
    <row r="10111" spans="1:11" s="90" customFormat="1" ht="12.75" customHeight="1" x14ac:dyDescent="0.2">
      <c r="A10111" s="247"/>
      <c r="B10111" s="251"/>
      <c r="C10111" s="248"/>
      <c r="D10111" s="277"/>
      <c r="E10111" s="250"/>
      <c r="F10111" s="247"/>
      <c r="G10111" s="252"/>
      <c r="H10111" s="248"/>
      <c r="I10111" s="248"/>
      <c r="J10111" s="247"/>
      <c r="K10111" s="249"/>
    </row>
    <row r="10112" spans="1:11" s="90" customFormat="1" ht="12.75" customHeight="1" x14ac:dyDescent="0.2">
      <c r="A10112" s="247"/>
      <c r="B10112" s="251"/>
      <c r="C10112" s="248"/>
      <c r="D10112" s="277"/>
      <c r="E10112" s="250"/>
      <c r="F10112" s="247"/>
      <c r="G10112" s="252"/>
      <c r="H10112" s="248"/>
      <c r="I10112" s="248"/>
      <c r="J10112" s="247"/>
      <c r="K10112" s="249"/>
    </row>
    <row r="10113" spans="1:11" s="90" customFormat="1" ht="12.75" customHeight="1" x14ac:dyDescent="0.2">
      <c r="A10113" s="247"/>
      <c r="B10113" s="251"/>
      <c r="C10113" s="248"/>
      <c r="D10113" s="277"/>
      <c r="E10113" s="250"/>
      <c r="F10113" s="247"/>
      <c r="G10113" s="252"/>
      <c r="H10113" s="248"/>
      <c r="I10113" s="248"/>
      <c r="J10113" s="247"/>
      <c r="K10113" s="249"/>
    </row>
    <row r="10114" spans="1:11" s="90" customFormat="1" ht="12.75" customHeight="1" x14ac:dyDescent="0.2">
      <c r="A10114" s="247"/>
      <c r="B10114" s="251"/>
      <c r="C10114" s="248"/>
      <c r="D10114" s="277"/>
      <c r="E10114" s="250"/>
      <c r="F10114" s="247"/>
      <c r="G10114" s="252"/>
      <c r="H10114" s="248"/>
      <c r="I10114" s="248"/>
      <c r="J10114" s="247"/>
      <c r="K10114" s="249"/>
    </row>
    <row r="10115" spans="1:11" s="90" customFormat="1" ht="12.75" customHeight="1" x14ac:dyDescent="0.2">
      <c r="A10115" s="247"/>
      <c r="B10115" s="251"/>
      <c r="C10115" s="248"/>
      <c r="D10115" s="277"/>
      <c r="E10115" s="250"/>
      <c r="F10115" s="247"/>
      <c r="G10115" s="252"/>
      <c r="H10115" s="248"/>
      <c r="I10115" s="248"/>
      <c r="J10115" s="247"/>
      <c r="K10115" s="249"/>
    </row>
    <row r="10116" spans="1:11" s="90" customFormat="1" ht="12.75" customHeight="1" x14ac:dyDescent="0.2">
      <c r="A10116" s="247"/>
      <c r="B10116" s="251"/>
      <c r="C10116" s="248"/>
      <c r="D10116" s="277"/>
      <c r="E10116" s="250"/>
      <c r="F10116" s="247"/>
      <c r="G10116" s="252"/>
      <c r="H10116" s="248"/>
      <c r="I10116" s="248"/>
      <c r="J10116" s="247"/>
      <c r="K10116" s="249"/>
    </row>
    <row r="10117" spans="1:11" s="90" customFormat="1" ht="12.75" customHeight="1" x14ac:dyDescent="0.2">
      <c r="A10117" s="247"/>
      <c r="B10117" s="251"/>
      <c r="C10117" s="248"/>
      <c r="D10117" s="277"/>
      <c r="E10117" s="250"/>
      <c r="F10117" s="247"/>
      <c r="G10117" s="252"/>
      <c r="H10117" s="248"/>
      <c r="I10117" s="248"/>
      <c r="J10117" s="247"/>
      <c r="K10117" s="249"/>
    </row>
    <row r="10118" spans="1:11" s="90" customFormat="1" ht="12.75" customHeight="1" x14ac:dyDescent="0.2">
      <c r="A10118" s="247"/>
      <c r="B10118" s="251"/>
      <c r="C10118" s="248"/>
      <c r="D10118" s="277"/>
      <c r="E10118" s="250"/>
      <c r="F10118" s="247"/>
      <c r="G10118" s="252"/>
      <c r="H10118" s="248"/>
      <c r="I10118" s="248"/>
      <c r="J10118" s="247"/>
      <c r="K10118" s="249"/>
    </row>
    <row r="10119" spans="1:11" s="90" customFormat="1" ht="12.75" customHeight="1" x14ac:dyDescent="0.2">
      <c r="A10119" s="247"/>
      <c r="B10119" s="251"/>
      <c r="C10119" s="248"/>
      <c r="D10119" s="277"/>
      <c r="E10119" s="250"/>
      <c r="F10119" s="247"/>
      <c r="G10119" s="252"/>
      <c r="H10119" s="248"/>
      <c r="I10119" s="248"/>
      <c r="J10119" s="247"/>
      <c r="K10119" s="249"/>
    </row>
    <row r="10120" spans="1:11" s="90" customFormat="1" ht="12.75" customHeight="1" x14ac:dyDescent="0.2">
      <c r="A10120" s="247"/>
      <c r="B10120" s="251"/>
      <c r="C10120" s="248"/>
      <c r="D10120" s="277"/>
      <c r="E10120" s="250"/>
      <c r="F10120" s="247"/>
      <c r="G10120" s="252"/>
      <c r="H10120" s="248"/>
      <c r="I10120" s="248"/>
      <c r="J10120" s="247"/>
      <c r="K10120" s="249"/>
    </row>
    <row r="10121" spans="1:11" s="90" customFormat="1" ht="12.75" customHeight="1" x14ac:dyDescent="0.2">
      <c r="A10121" s="247"/>
      <c r="B10121" s="251"/>
      <c r="C10121" s="248"/>
      <c r="D10121" s="277"/>
      <c r="E10121" s="250"/>
      <c r="F10121" s="247"/>
      <c r="G10121" s="252"/>
      <c r="H10121" s="248"/>
      <c r="I10121" s="248"/>
      <c r="J10121" s="247"/>
      <c r="K10121" s="249"/>
    </row>
    <row r="10122" spans="1:11" s="90" customFormat="1" ht="12.75" customHeight="1" x14ac:dyDescent="0.2">
      <c r="A10122" s="247"/>
      <c r="B10122" s="251"/>
      <c r="C10122" s="248"/>
      <c r="D10122" s="277"/>
      <c r="E10122" s="250"/>
      <c r="F10122" s="247"/>
      <c r="G10122" s="252"/>
      <c r="H10122" s="248"/>
      <c r="I10122" s="248"/>
      <c r="J10122" s="247"/>
      <c r="K10122" s="249"/>
    </row>
    <row r="10123" spans="1:11" s="90" customFormat="1" ht="12.75" customHeight="1" x14ac:dyDescent="0.2">
      <c r="A10123" s="247"/>
      <c r="B10123" s="251"/>
      <c r="C10123" s="248"/>
      <c r="D10123" s="277"/>
      <c r="E10123" s="250"/>
      <c r="F10123" s="247"/>
      <c r="G10123" s="252"/>
      <c r="H10123" s="248"/>
      <c r="I10123" s="248"/>
      <c r="J10123" s="247"/>
      <c r="K10123" s="249"/>
    </row>
    <row r="10124" spans="1:11" s="90" customFormat="1" ht="12.75" customHeight="1" x14ac:dyDescent="0.2">
      <c r="A10124" s="247"/>
      <c r="B10124" s="251"/>
      <c r="C10124" s="248"/>
      <c r="D10124" s="277"/>
      <c r="E10124" s="250"/>
      <c r="F10124" s="247"/>
      <c r="G10124" s="252"/>
      <c r="H10124" s="248"/>
      <c r="I10124" s="248"/>
      <c r="J10124" s="247"/>
      <c r="K10124" s="249"/>
    </row>
    <row r="10125" spans="1:11" s="90" customFormat="1" ht="12.75" customHeight="1" x14ac:dyDescent="0.2">
      <c r="A10125" s="247"/>
      <c r="B10125" s="251"/>
      <c r="C10125" s="248"/>
      <c r="D10125" s="277"/>
      <c r="E10125" s="250"/>
      <c r="F10125" s="247"/>
      <c r="G10125" s="252"/>
      <c r="H10125" s="248"/>
      <c r="I10125" s="248"/>
      <c r="J10125" s="247"/>
      <c r="K10125" s="249"/>
    </row>
    <row r="10126" spans="1:11" s="90" customFormat="1" ht="12.75" customHeight="1" x14ac:dyDescent="0.2">
      <c r="A10126" s="247"/>
      <c r="B10126" s="251"/>
      <c r="C10126" s="248"/>
      <c r="D10126" s="277"/>
      <c r="E10126" s="250"/>
      <c r="F10126" s="247"/>
      <c r="G10126" s="252"/>
      <c r="H10126" s="248"/>
      <c r="I10126" s="248"/>
      <c r="J10126" s="247"/>
      <c r="K10126" s="249"/>
    </row>
    <row r="10127" spans="1:11" s="90" customFormat="1" ht="12.75" customHeight="1" x14ac:dyDescent="0.2">
      <c r="A10127" s="247"/>
      <c r="B10127" s="251"/>
      <c r="C10127" s="248"/>
      <c r="D10127" s="277"/>
      <c r="E10127" s="250"/>
      <c r="F10127" s="247"/>
      <c r="G10127" s="252"/>
      <c r="H10127" s="248"/>
      <c r="I10127" s="248"/>
      <c r="J10127" s="247"/>
      <c r="K10127" s="249"/>
    </row>
    <row r="10128" spans="1:11" s="90" customFormat="1" ht="12.75" customHeight="1" x14ac:dyDescent="0.2">
      <c r="A10128" s="247"/>
      <c r="B10128" s="251"/>
      <c r="C10128" s="248"/>
      <c r="D10128" s="277"/>
      <c r="E10128" s="250"/>
      <c r="F10128" s="247"/>
      <c r="G10128" s="252"/>
      <c r="H10128" s="248"/>
      <c r="I10128" s="248"/>
      <c r="J10128" s="247"/>
      <c r="K10128" s="249"/>
    </row>
    <row r="10129" spans="1:11" s="90" customFormat="1" ht="12.75" customHeight="1" x14ac:dyDescent="0.2">
      <c r="A10129" s="247"/>
      <c r="B10129" s="251"/>
      <c r="C10129" s="248"/>
      <c r="D10129" s="277"/>
      <c r="E10129" s="250"/>
      <c r="F10129" s="247"/>
      <c r="G10129" s="252"/>
      <c r="H10129" s="248"/>
      <c r="I10129" s="248"/>
      <c r="J10129" s="247"/>
      <c r="K10129" s="249"/>
    </row>
    <row r="10130" spans="1:11" s="90" customFormat="1" ht="12.75" customHeight="1" x14ac:dyDescent="0.2">
      <c r="A10130" s="247"/>
      <c r="B10130" s="251"/>
      <c r="C10130" s="248"/>
      <c r="D10130" s="277"/>
      <c r="E10130" s="250"/>
      <c r="F10130" s="247"/>
      <c r="G10130" s="252"/>
      <c r="H10130" s="248"/>
      <c r="I10130" s="248"/>
      <c r="J10130" s="247"/>
      <c r="K10130" s="249"/>
    </row>
    <row r="10131" spans="1:11" s="90" customFormat="1" ht="12.75" customHeight="1" x14ac:dyDescent="0.2">
      <c r="A10131" s="247"/>
      <c r="B10131" s="251"/>
      <c r="C10131" s="248"/>
      <c r="D10131" s="277"/>
      <c r="E10131" s="250"/>
      <c r="F10131" s="247"/>
      <c r="G10131" s="252"/>
      <c r="H10131" s="248"/>
      <c r="I10131" s="248"/>
      <c r="J10131" s="247"/>
      <c r="K10131" s="249"/>
    </row>
    <row r="10132" spans="1:11" s="90" customFormat="1" ht="12.75" customHeight="1" x14ac:dyDescent="0.2">
      <c r="A10132" s="247"/>
      <c r="B10132" s="251"/>
      <c r="C10132" s="248"/>
      <c r="D10132" s="277"/>
      <c r="E10132" s="250"/>
      <c r="F10132" s="247"/>
      <c r="G10132" s="252"/>
      <c r="H10132" s="248"/>
      <c r="I10132" s="248"/>
      <c r="J10132" s="247"/>
      <c r="K10132" s="249"/>
    </row>
    <row r="10133" spans="1:11" s="90" customFormat="1" ht="12.75" customHeight="1" x14ac:dyDescent="0.2">
      <c r="A10133" s="247"/>
      <c r="B10133" s="251"/>
      <c r="C10133" s="248"/>
      <c r="D10133" s="277"/>
      <c r="E10133" s="250"/>
      <c r="F10133" s="247"/>
      <c r="G10133" s="252"/>
      <c r="H10133" s="248"/>
      <c r="I10133" s="248"/>
      <c r="J10133" s="247"/>
      <c r="K10133" s="249"/>
    </row>
    <row r="10134" spans="1:11" s="90" customFormat="1" ht="12.75" customHeight="1" x14ac:dyDescent="0.2">
      <c r="A10134" s="247"/>
      <c r="B10134" s="251"/>
      <c r="C10134" s="248"/>
      <c r="D10134" s="277"/>
      <c r="E10134" s="250"/>
      <c r="F10134" s="247"/>
      <c r="G10134" s="252"/>
      <c r="H10134" s="248"/>
      <c r="I10134" s="248"/>
      <c r="J10134" s="247"/>
      <c r="K10134" s="249"/>
    </row>
    <row r="10135" spans="1:11" s="90" customFormat="1" ht="12.75" customHeight="1" x14ac:dyDescent="0.2">
      <c r="A10135" s="247"/>
      <c r="B10135" s="251"/>
      <c r="C10135" s="248"/>
      <c r="D10135" s="277"/>
      <c r="E10135" s="250"/>
      <c r="F10135" s="247"/>
      <c r="G10135" s="252"/>
      <c r="H10135" s="248"/>
      <c r="I10135" s="248"/>
      <c r="J10135" s="247"/>
      <c r="K10135" s="249"/>
    </row>
    <row r="10136" spans="1:11" s="90" customFormat="1" ht="12.75" customHeight="1" x14ac:dyDescent="0.2">
      <c r="A10136" s="247"/>
      <c r="B10136" s="251"/>
      <c r="C10136" s="248"/>
      <c r="D10136" s="277"/>
      <c r="E10136" s="250"/>
      <c r="F10136" s="247"/>
      <c r="G10136" s="252"/>
      <c r="H10136" s="248"/>
      <c r="I10136" s="248"/>
      <c r="J10136" s="247"/>
      <c r="K10136" s="249"/>
    </row>
    <row r="10137" spans="1:11" s="90" customFormat="1" ht="12.75" customHeight="1" x14ac:dyDescent="0.2">
      <c r="A10137" s="247"/>
      <c r="B10137" s="251"/>
      <c r="C10137" s="248"/>
      <c r="D10137" s="277"/>
      <c r="E10137" s="250"/>
      <c r="F10137" s="247"/>
      <c r="G10137" s="252"/>
      <c r="H10137" s="248"/>
      <c r="I10137" s="248"/>
      <c r="J10137" s="247"/>
      <c r="K10137" s="249"/>
    </row>
    <row r="10138" spans="1:11" s="90" customFormat="1" ht="12.75" customHeight="1" x14ac:dyDescent="0.2">
      <c r="A10138" s="247"/>
      <c r="B10138" s="251"/>
      <c r="C10138" s="248"/>
      <c r="D10138" s="277"/>
      <c r="E10138" s="250"/>
      <c r="F10138" s="247"/>
      <c r="G10138" s="252"/>
      <c r="H10138" s="248"/>
      <c r="I10138" s="248"/>
      <c r="J10138" s="247"/>
      <c r="K10138" s="249"/>
    </row>
    <row r="10139" spans="1:11" s="90" customFormat="1" ht="12.75" customHeight="1" x14ac:dyDescent="0.2">
      <c r="A10139" s="247"/>
      <c r="B10139" s="251"/>
      <c r="C10139" s="248"/>
      <c r="D10139" s="277"/>
      <c r="E10139" s="250"/>
      <c r="F10139" s="247"/>
      <c r="G10139" s="252"/>
      <c r="H10139" s="248"/>
      <c r="I10139" s="248"/>
      <c r="J10139" s="247"/>
      <c r="K10139" s="249"/>
    </row>
    <row r="10140" spans="1:11" s="90" customFormat="1" ht="12.75" customHeight="1" x14ac:dyDescent="0.2">
      <c r="A10140" s="247"/>
      <c r="B10140" s="251"/>
      <c r="C10140" s="248"/>
      <c r="D10140" s="277"/>
      <c r="E10140" s="250"/>
      <c r="F10140" s="247"/>
      <c r="G10140" s="252"/>
      <c r="H10140" s="248"/>
      <c r="I10140" s="248"/>
      <c r="J10140" s="247"/>
      <c r="K10140" s="249"/>
    </row>
    <row r="10141" spans="1:11" s="90" customFormat="1" ht="12.75" customHeight="1" x14ac:dyDescent="0.2">
      <c r="A10141" s="247"/>
      <c r="B10141" s="251"/>
      <c r="C10141" s="248"/>
      <c r="D10141" s="277"/>
      <c r="E10141" s="250"/>
      <c r="F10141" s="247"/>
      <c r="G10141" s="252"/>
      <c r="H10141" s="248"/>
      <c r="I10141" s="248"/>
      <c r="J10141" s="247"/>
      <c r="K10141" s="249"/>
    </row>
    <row r="10142" spans="1:11" s="90" customFormat="1" ht="12.75" customHeight="1" x14ac:dyDescent="0.2">
      <c r="A10142" s="247"/>
      <c r="B10142" s="251"/>
      <c r="C10142" s="248"/>
      <c r="D10142" s="277"/>
      <c r="E10142" s="250"/>
      <c r="F10142" s="247"/>
      <c r="G10142" s="252"/>
      <c r="H10142" s="248"/>
      <c r="I10142" s="248"/>
      <c r="J10142" s="247"/>
      <c r="K10142" s="249"/>
    </row>
    <row r="10143" spans="1:11" s="90" customFormat="1" ht="12.75" customHeight="1" x14ac:dyDescent="0.2">
      <c r="A10143" s="247"/>
      <c r="B10143" s="251"/>
      <c r="C10143" s="248"/>
      <c r="D10143" s="277"/>
      <c r="E10143" s="250"/>
      <c r="F10143" s="247"/>
      <c r="G10143" s="252"/>
      <c r="H10143" s="248"/>
      <c r="I10143" s="248"/>
      <c r="J10143" s="247"/>
      <c r="K10143" s="249"/>
    </row>
    <row r="10144" spans="1:11" s="90" customFormat="1" ht="12.75" customHeight="1" x14ac:dyDescent="0.2">
      <c r="A10144" s="247"/>
      <c r="B10144" s="251"/>
      <c r="C10144" s="248"/>
      <c r="D10144" s="277"/>
      <c r="E10144" s="250"/>
      <c r="F10144" s="247"/>
      <c r="G10144" s="252"/>
      <c r="H10144" s="248"/>
      <c r="I10144" s="248"/>
      <c r="J10144" s="247"/>
      <c r="K10144" s="249"/>
    </row>
    <row r="10145" spans="1:11" s="90" customFormat="1" ht="12.75" customHeight="1" x14ac:dyDescent="0.2">
      <c r="A10145" s="247"/>
      <c r="B10145" s="251"/>
      <c r="C10145" s="248"/>
      <c r="D10145" s="277"/>
      <c r="E10145" s="250"/>
      <c r="F10145" s="247"/>
      <c r="G10145" s="252"/>
      <c r="H10145" s="248"/>
      <c r="I10145" s="248"/>
      <c r="J10145" s="247"/>
      <c r="K10145" s="249"/>
    </row>
    <row r="10146" spans="1:11" s="90" customFormat="1" ht="12.75" customHeight="1" x14ac:dyDescent="0.2">
      <c r="A10146" s="247"/>
      <c r="B10146" s="251"/>
      <c r="C10146" s="248"/>
      <c r="D10146" s="277"/>
      <c r="E10146" s="250"/>
      <c r="F10146" s="247"/>
      <c r="G10146" s="252"/>
      <c r="H10146" s="248"/>
      <c r="I10146" s="248"/>
      <c r="J10146" s="247"/>
      <c r="K10146" s="249"/>
    </row>
    <row r="10147" spans="1:11" s="90" customFormat="1" ht="12.75" customHeight="1" x14ac:dyDescent="0.2">
      <c r="A10147" s="247"/>
      <c r="B10147" s="251"/>
      <c r="C10147" s="248"/>
      <c r="D10147" s="277"/>
      <c r="E10147" s="250"/>
      <c r="F10147" s="247"/>
      <c r="G10147" s="252"/>
      <c r="H10147" s="248"/>
      <c r="I10147" s="248"/>
      <c r="J10147" s="247"/>
      <c r="K10147" s="249"/>
    </row>
    <row r="10148" spans="1:11" s="90" customFormat="1" ht="12.75" customHeight="1" x14ac:dyDescent="0.2">
      <c r="A10148" s="247"/>
      <c r="B10148" s="251"/>
      <c r="C10148" s="248"/>
      <c r="D10148" s="277"/>
      <c r="E10148" s="250"/>
      <c r="F10148" s="247"/>
      <c r="G10148" s="252"/>
      <c r="H10148" s="248"/>
      <c r="I10148" s="248"/>
      <c r="J10148" s="247"/>
      <c r="K10148" s="249"/>
    </row>
    <row r="10149" spans="1:11" s="90" customFormat="1" ht="12.75" customHeight="1" x14ac:dyDescent="0.2">
      <c r="A10149" s="247"/>
      <c r="B10149" s="251"/>
      <c r="C10149" s="248"/>
      <c r="D10149" s="277"/>
      <c r="E10149" s="250"/>
      <c r="F10149" s="247"/>
      <c r="G10149" s="252"/>
      <c r="H10149" s="248"/>
      <c r="I10149" s="248"/>
      <c r="J10149" s="247"/>
      <c r="K10149" s="249"/>
    </row>
    <row r="10150" spans="1:11" s="90" customFormat="1" ht="12.75" customHeight="1" x14ac:dyDescent="0.2">
      <c r="A10150" s="247"/>
      <c r="B10150" s="251"/>
      <c r="C10150" s="248"/>
      <c r="D10150" s="277"/>
      <c r="E10150" s="250"/>
      <c r="F10150" s="247"/>
      <c r="G10150" s="252"/>
      <c r="H10150" s="248"/>
      <c r="I10150" s="248"/>
      <c r="J10150" s="247"/>
      <c r="K10150" s="249"/>
    </row>
    <row r="10151" spans="1:11" s="90" customFormat="1" ht="12.75" customHeight="1" x14ac:dyDescent="0.2">
      <c r="A10151" s="247"/>
      <c r="B10151" s="251"/>
      <c r="C10151" s="248"/>
      <c r="D10151" s="277"/>
      <c r="E10151" s="250"/>
      <c r="F10151" s="247"/>
      <c r="G10151" s="252"/>
      <c r="H10151" s="248"/>
      <c r="I10151" s="248"/>
      <c r="J10151" s="247"/>
      <c r="K10151" s="249"/>
    </row>
    <row r="10152" spans="1:11" s="90" customFormat="1" ht="12.75" customHeight="1" x14ac:dyDescent="0.2">
      <c r="A10152" s="247"/>
      <c r="B10152" s="251"/>
      <c r="C10152" s="248"/>
      <c r="D10152" s="277"/>
      <c r="E10152" s="250"/>
      <c r="F10152" s="247"/>
      <c r="G10152" s="252"/>
      <c r="H10152" s="248"/>
      <c r="I10152" s="248"/>
      <c r="J10152" s="247"/>
      <c r="K10152" s="249"/>
    </row>
    <row r="10153" spans="1:11" s="90" customFormat="1" ht="12.75" customHeight="1" x14ac:dyDescent="0.2">
      <c r="A10153" s="247"/>
      <c r="B10153" s="251"/>
      <c r="C10153" s="248"/>
      <c r="D10153" s="277"/>
      <c r="E10153" s="250"/>
      <c r="F10153" s="247"/>
      <c r="G10153" s="252"/>
      <c r="H10153" s="248"/>
      <c r="I10153" s="248"/>
      <c r="J10153" s="247"/>
      <c r="K10153" s="249"/>
    </row>
    <row r="10154" spans="1:11" s="90" customFormat="1" ht="12.75" customHeight="1" x14ac:dyDescent="0.2">
      <c r="A10154" s="247"/>
      <c r="B10154" s="251"/>
      <c r="C10154" s="248"/>
      <c r="D10154" s="277"/>
      <c r="E10154" s="250"/>
      <c r="F10154" s="247"/>
      <c r="G10154" s="252"/>
      <c r="H10154" s="248"/>
      <c r="I10154" s="248"/>
      <c r="J10154" s="247"/>
      <c r="K10154" s="249"/>
    </row>
    <row r="10155" spans="1:11" s="90" customFormat="1" ht="12.75" customHeight="1" x14ac:dyDescent="0.2">
      <c r="A10155" s="247"/>
      <c r="B10155" s="251"/>
      <c r="C10155" s="248"/>
      <c r="D10155" s="277"/>
      <c r="E10155" s="250"/>
      <c r="F10155" s="247"/>
      <c r="G10155" s="252"/>
      <c r="H10155" s="248"/>
      <c r="I10155" s="248"/>
      <c r="J10155" s="247"/>
      <c r="K10155" s="249"/>
    </row>
    <row r="10156" spans="1:11" s="90" customFormat="1" ht="12.75" customHeight="1" x14ac:dyDescent="0.2">
      <c r="A10156" s="247"/>
      <c r="B10156" s="251"/>
      <c r="C10156" s="248"/>
      <c r="D10156" s="277"/>
      <c r="E10156" s="250"/>
      <c r="F10156" s="247"/>
      <c r="G10156" s="252"/>
      <c r="H10156" s="248"/>
      <c r="I10156" s="248"/>
      <c r="J10156" s="247"/>
      <c r="K10156" s="249"/>
    </row>
    <row r="10157" spans="1:11" s="90" customFormat="1" ht="12.75" customHeight="1" x14ac:dyDescent="0.2">
      <c r="A10157" s="247"/>
      <c r="B10157" s="251"/>
      <c r="C10157" s="248"/>
      <c r="D10157" s="277"/>
      <c r="E10157" s="250"/>
      <c r="F10157" s="247"/>
      <c r="G10157" s="252"/>
      <c r="H10157" s="248"/>
      <c r="I10157" s="248"/>
      <c r="J10157" s="247"/>
      <c r="K10157" s="249"/>
    </row>
    <row r="10158" spans="1:11" s="90" customFormat="1" ht="12.75" customHeight="1" x14ac:dyDescent="0.2">
      <c r="A10158" s="247"/>
      <c r="B10158" s="251"/>
      <c r="C10158" s="248"/>
      <c r="D10158" s="277"/>
      <c r="E10158" s="250"/>
      <c r="F10158" s="247"/>
      <c r="G10158" s="252"/>
      <c r="H10158" s="248"/>
      <c r="I10158" s="248"/>
      <c r="J10158" s="247"/>
      <c r="K10158" s="249"/>
    </row>
    <row r="10159" spans="1:11" s="90" customFormat="1" ht="12.75" customHeight="1" x14ac:dyDescent="0.2">
      <c r="A10159" s="247"/>
      <c r="B10159" s="251"/>
      <c r="C10159" s="248"/>
      <c r="D10159" s="277"/>
      <c r="E10159" s="250"/>
      <c r="F10159" s="247"/>
      <c r="G10159" s="252"/>
      <c r="H10159" s="248"/>
      <c r="I10159" s="248"/>
      <c r="J10159" s="247"/>
      <c r="K10159" s="249"/>
    </row>
    <row r="10160" spans="1:11" s="90" customFormat="1" ht="12.75" customHeight="1" x14ac:dyDescent="0.2">
      <c r="A10160" s="247"/>
      <c r="B10160" s="251"/>
      <c r="C10160" s="248"/>
      <c r="D10160" s="277"/>
      <c r="E10160" s="250"/>
      <c r="F10160" s="247"/>
      <c r="G10160" s="252"/>
      <c r="H10160" s="248"/>
      <c r="I10160" s="248"/>
      <c r="J10160" s="247"/>
      <c r="K10160" s="249"/>
    </row>
    <row r="10161" spans="1:11" s="90" customFormat="1" ht="12.75" customHeight="1" x14ac:dyDescent="0.2">
      <c r="A10161" s="247"/>
      <c r="B10161" s="251"/>
      <c r="C10161" s="248"/>
      <c r="D10161" s="277"/>
      <c r="E10161" s="250"/>
      <c r="F10161" s="247"/>
      <c r="G10161" s="252"/>
      <c r="H10161" s="248"/>
      <c r="I10161" s="248"/>
      <c r="J10161" s="247"/>
      <c r="K10161" s="249"/>
    </row>
    <row r="10162" spans="1:11" s="90" customFormat="1" ht="12.75" customHeight="1" x14ac:dyDescent="0.2">
      <c r="A10162" s="247"/>
      <c r="B10162" s="251"/>
      <c r="C10162" s="248"/>
      <c r="D10162" s="277"/>
      <c r="E10162" s="250"/>
      <c r="F10162" s="247"/>
      <c r="G10162" s="252"/>
      <c r="H10162" s="248"/>
      <c r="I10162" s="248"/>
      <c r="J10162" s="247"/>
      <c r="K10162" s="249"/>
    </row>
    <row r="10163" spans="1:11" s="90" customFormat="1" ht="12.75" customHeight="1" x14ac:dyDescent="0.2">
      <c r="A10163" s="247"/>
      <c r="B10163" s="251"/>
      <c r="C10163" s="248"/>
      <c r="D10163" s="277"/>
      <c r="E10163" s="250"/>
      <c r="F10163" s="247"/>
      <c r="G10163" s="252"/>
      <c r="H10163" s="248"/>
      <c r="I10163" s="248"/>
      <c r="J10163" s="247"/>
      <c r="K10163" s="249"/>
    </row>
    <row r="10164" spans="1:11" s="90" customFormat="1" ht="12.75" customHeight="1" x14ac:dyDescent="0.2">
      <c r="A10164" s="247"/>
      <c r="B10164" s="251"/>
      <c r="C10164" s="248"/>
      <c r="D10164" s="277"/>
      <c r="E10164" s="250"/>
      <c r="F10164" s="247"/>
      <c r="G10164" s="252"/>
      <c r="H10164" s="248"/>
      <c r="I10164" s="248"/>
      <c r="J10164" s="247"/>
      <c r="K10164" s="249"/>
    </row>
    <row r="10165" spans="1:11" s="90" customFormat="1" ht="12.75" customHeight="1" x14ac:dyDescent="0.2">
      <c r="A10165" s="247"/>
      <c r="B10165" s="251"/>
      <c r="C10165" s="248"/>
      <c r="D10165" s="277"/>
      <c r="E10165" s="250"/>
      <c r="F10165" s="247"/>
      <c r="G10165" s="252"/>
      <c r="H10165" s="248"/>
      <c r="I10165" s="248"/>
      <c r="J10165" s="247"/>
      <c r="K10165" s="249"/>
    </row>
    <row r="10166" spans="1:11" s="90" customFormat="1" ht="12.75" customHeight="1" x14ac:dyDescent="0.2">
      <c r="A10166" s="247"/>
      <c r="B10166" s="251"/>
      <c r="C10166" s="248"/>
      <c r="D10166" s="277"/>
      <c r="E10166" s="250"/>
      <c r="F10166" s="247"/>
      <c r="G10166" s="252"/>
      <c r="H10166" s="248"/>
      <c r="I10166" s="248"/>
      <c r="J10166" s="247"/>
      <c r="K10166" s="249"/>
    </row>
    <row r="10167" spans="1:11" s="90" customFormat="1" ht="12.75" customHeight="1" x14ac:dyDescent="0.2">
      <c r="A10167" s="247"/>
      <c r="B10167" s="251"/>
      <c r="C10167" s="248"/>
      <c r="D10167" s="277"/>
      <c r="E10167" s="250"/>
      <c r="F10167" s="247"/>
      <c r="G10167" s="252"/>
      <c r="H10167" s="248"/>
      <c r="I10167" s="248"/>
      <c r="J10167" s="247"/>
      <c r="K10167" s="249"/>
    </row>
    <row r="10168" spans="1:11" s="90" customFormat="1" ht="12.75" customHeight="1" x14ac:dyDescent="0.2">
      <c r="A10168" s="247"/>
      <c r="B10168" s="251"/>
      <c r="C10168" s="248"/>
      <c r="D10168" s="277"/>
      <c r="E10168" s="250"/>
      <c r="F10168" s="247"/>
      <c r="G10168" s="252"/>
      <c r="H10168" s="248"/>
      <c r="I10168" s="248"/>
      <c r="J10168" s="247"/>
      <c r="K10168" s="249"/>
    </row>
    <row r="10169" spans="1:11" s="90" customFormat="1" ht="12.75" customHeight="1" x14ac:dyDescent="0.2">
      <c r="A10169" s="247"/>
      <c r="B10169" s="251"/>
      <c r="C10169" s="248"/>
      <c r="D10169" s="277"/>
      <c r="E10169" s="250"/>
      <c r="F10169" s="247"/>
      <c r="G10169" s="252"/>
      <c r="H10169" s="248"/>
      <c r="I10169" s="248"/>
      <c r="J10169" s="247"/>
      <c r="K10169" s="249"/>
    </row>
    <row r="10170" spans="1:11" s="90" customFormat="1" ht="12.75" customHeight="1" x14ac:dyDescent="0.2">
      <c r="A10170" s="247"/>
      <c r="B10170" s="251"/>
      <c r="C10170" s="248"/>
      <c r="D10170" s="277"/>
      <c r="E10170" s="250"/>
      <c r="F10170" s="247"/>
      <c r="G10170" s="252"/>
      <c r="H10170" s="248"/>
      <c r="I10170" s="248"/>
      <c r="J10170" s="247"/>
      <c r="K10170" s="249"/>
    </row>
    <row r="10171" spans="1:11" s="90" customFormat="1" ht="12.75" customHeight="1" x14ac:dyDescent="0.2">
      <c r="A10171" s="247"/>
      <c r="B10171" s="251"/>
      <c r="C10171" s="248"/>
      <c r="D10171" s="277"/>
      <c r="E10171" s="250"/>
      <c r="F10171" s="247"/>
      <c r="G10171" s="252"/>
      <c r="H10171" s="248"/>
      <c r="I10171" s="248"/>
      <c r="J10171" s="247"/>
      <c r="K10171" s="249"/>
    </row>
    <row r="10172" spans="1:11" s="90" customFormat="1" ht="12.75" customHeight="1" x14ac:dyDescent="0.2">
      <c r="A10172" s="247"/>
      <c r="B10172" s="251"/>
      <c r="C10172" s="248"/>
      <c r="D10172" s="277"/>
      <c r="E10172" s="250"/>
      <c r="F10172" s="247"/>
      <c r="G10172" s="252"/>
      <c r="H10172" s="248"/>
      <c r="I10172" s="248"/>
      <c r="J10172" s="247"/>
      <c r="K10172" s="249"/>
    </row>
    <row r="10173" spans="1:11" s="90" customFormat="1" ht="12.75" customHeight="1" x14ac:dyDescent="0.2">
      <c r="A10173" s="247"/>
      <c r="B10173" s="251"/>
      <c r="C10173" s="248"/>
      <c r="D10173" s="277"/>
      <c r="E10173" s="250"/>
      <c r="F10173" s="247"/>
      <c r="G10173" s="252"/>
      <c r="H10173" s="248"/>
      <c r="I10173" s="248"/>
      <c r="J10173" s="247"/>
      <c r="K10173" s="249"/>
    </row>
    <row r="10174" spans="1:11" s="90" customFormat="1" ht="12.75" customHeight="1" x14ac:dyDescent="0.2">
      <c r="A10174" s="247"/>
      <c r="B10174" s="251"/>
      <c r="C10174" s="248"/>
      <c r="D10174" s="277"/>
      <c r="E10174" s="250"/>
      <c r="F10174" s="247"/>
      <c r="G10174" s="252"/>
      <c r="H10174" s="248"/>
      <c r="I10174" s="248"/>
      <c r="J10174" s="247"/>
      <c r="K10174" s="249"/>
    </row>
    <row r="10175" spans="1:11" s="90" customFormat="1" ht="12.75" customHeight="1" x14ac:dyDescent="0.2">
      <c r="A10175" s="247"/>
      <c r="B10175" s="251"/>
      <c r="C10175" s="248"/>
      <c r="D10175" s="277"/>
      <c r="E10175" s="250"/>
      <c r="F10175" s="247"/>
      <c r="G10175" s="252"/>
      <c r="H10175" s="248"/>
      <c r="I10175" s="248"/>
      <c r="J10175" s="247"/>
      <c r="K10175" s="249"/>
    </row>
    <row r="10176" spans="1:11" s="90" customFormat="1" ht="12.75" customHeight="1" x14ac:dyDescent="0.2">
      <c r="A10176" s="247"/>
      <c r="B10176" s="251"/>
      <c r="C10176" s="248"/>
      <c r="D10176" s="277"/>
      <c r="E10176" s="250"/>
      <c r="F10176" s="247"/>
      <c r="G10176" s="252"/>
      <c r="H10176" s="248"/>
      <c r="I10176" s="248"/>
      <c r="J10176" s="247"/>
      <c r="K10176" s="249"/>
    </row>
    <row r="10177" spans="1:11" s="90" customFormat="1" ht="12.75" customHeight="1" x14ac:dyDescent="0.2">
      <c r="A10177" s="247"/>
      <c r="B10177" s="251"/>
      <c r="C10177" s="248"/>
      <c r="D10177" s="277"/>
      <c r="E10177" s="250"/>
      <c r="F10177" s="247"/>
      <c r="G10177" s="252"/>
      <c r="H10177" s="248"/>
      <c r="I10177" s="248"/>
      <c r="J10177" s="247"/>
      <c r="K10177" s="249"/>
    </row>
    <row r="10178" spans="1:11" s="90" customFormat="1" ht="12.75" customHeight="1" x14ac:dyDescent="0.2">
      <c r="A10178" s="247"/>
      <c r="B10178" s="251"/>
      <c r="C10178" s="248"/>
      <c r="D10178" s="277"/>
      <c r="E10178" s="250"/>
      <c r="F10178" s="247"/>
      <c r="G10178" s="252"/>
      <c r="H10178" s="248"/>
      <c r="I10178" s="248"/>
      <c r="J10178" s="247"/>
      <c r="K10178" s="249"/>
    </row>
    <row r="10179" spans="1:11" s="90" customFormat="1" ht="12.75" customHeight="1" x14ac:dyDescent="0.2">
      <c r="A10179" s="247"/>
      <c r="B10179" s="251"/>
      <c r="C10179" s="248"/>
      <c r="D10179" s="277"/>
      <c r="E10179" s="250"/>
      <c r="F10179" s="247"/>
      <c r="G10179" s="252"/>
      <c r="H10179" s="248"/>
      <c r="I10179" s="248"/>
      <c r="J10179" s="247"/>
      <c r="K10179" s="249"/>
    </row>
    <row r="10180" spans="1:11" s="90" customFormat="1" ht="12.75" customHeight="1" x14ac:dyDescent="0.2">
      <c r="A10180" s="247"/>
      <c r="B10180" s="251"/>
      <c r="C10180" s="248"/>
      <c r="D10180" s="277"/>
      <c r="E10180" s="250"/>
      <c r="F10180" s="247"/>
      <c r="G10180" s="252"/>
      <c r="H10180" s="248"/>
      <c r="I10180" s="248"/>
      <c r="J10180" s="247"/>
      <c r="K10180" s="249"/>
    </row>
    <row r="10181" spans="1:11" s="90" customFormat="1" ht="12.75" customHeight="1" x14ac:dyDescent="0.2">
      <c r="A10181" s="247"/>
      <c r="B10181" s="251"/>
      <c r="C10181" s="248"/>
      <c r="D10181" s="277"/>
      <c r="E10181" s="250"/>
      <c r="F10181" s="247"/>
      <c r="G10181" s="252"/>
      <c r="H10181" s="248"/>
      <c r="I10181" s="248"/>
      <c r="J10181" s="247"/>
      <c r="K10181" s="249"/>
    </row>
    <row r="10182" spans="1:11" s="90" customFormat="1" ht="12.75" customHeight="1" x14ac:dyDescent="0.2">
      <c r="A10182" s="247"/>
      <c r="B10182" s="251"/>
      <c r="C10182" s="248"/>
      <c r="D10182" s="277"/>
      <c r="E10182" s="250"/>
      <c r="F10182" s="247"/>
      <c r="G10182" s="252"/>
      <c r="H10182" s="248"/>
      <c r="I10182" s="248"/>
      <c r="J10182" s="247"/>
      <c r="K10182" s="249"/>
    </row>
    <row r="10183" spans="1:11" s="90" customFormat="1" ht="12.75" customHeight="1" x14ac:dyDescent="0.2">
      <c r="A10183" s="247"/>
      <c r="B10183" s="251"/>
      <c r="C10183" s="248"/>
      <c r="D10183" s="277"/>
      <c r="E10183" s="250"/>
      <c r="F10183" s="247"/>
      <c r="G10183" s="252"/>
      <c r="H10183" s="248"/>
      <c r="I10183" s="248"/>
      <c r="J10183" s="247"/>
      <c r="K10183" s="249"/>
    </row>
    <row r="10184" spans="1:11" s="90" customFormat="1" ht="12.75" customHeight="1" x14ac:dyDescent="0.2">
      <c r="A10184" s="247"/>
      <c r="B10184" s="251"/>
      <c r="C10184" s="248"/>
      <c r="D10184" s="277"/>
      <c r="E10184" s="250"/>
      <c r="F10184" s="247"/>
      <c r="G10184" s="252"/>
      <c r="H10184" s="248"/>
      <c r="I10184" s="248"/>
      <c r="J10184" s="247"/>
      <c r="K10184" s="249"/>
    </row>
    <row r="10185" spans="1:11" s="90" customFormat="1" ht="12.75" customHeight="1" x14ac:dyDescent="0.2">
      <c r="A10185" s="247"/>
      <c r="B10185" s="251"/>
      <c r="C10185" s="248"/>
      <c r="D10185" s="277"/>
      <c r="E10185" s="250"/>
      <c r="F10185" s="247"/>
      <c r="G10185" s="252"/>
      <c r="H10185" s="248"/>
      <c r="I10185" s="248"/>
      <c r="J10185" s="247"/>
      <c r="K10185" s="249"/>
    </row>
    <row r="10186" spans="1:11" s="90" customFormat="1" ht="12.75" customHeight="1" x14ac:dyDescent="0.2">
      <c r="A10186" s="247"/>
      <c r="B10186" s="251"/>
      <c r="C10186" s="248"/>
      <c r="D10186" s="277"/>
      <c r="E10186" s="250"/>
      <c r="F10186" s="247"/>
      <c r="G10186" s="252"/>
      <c r="H10186" s="248"/>
      <c r="I10186" s="248"/>
      <c r="J10186" s="247"/>
      <c r="K10186" s="249"/>
    </row>
    <row r="10187" spans="1:11" s="90" customFormat="1" ht="12.75" customHeight="1" x14ac:dyDescent="0.2">
      <c r="A10187" s="247"/>
      <c r="B10187" s="251"/>
      <c r="C10187" s="248"/>
      <c r="D10187" s="277"/>
      <c r="E10187" s="250"/>
      <c r="F10187" s="247"/>
      <c r="G10187" s="252"/>
      <c r="H10187" s="248"/>
      <c r="I10187" s="248"/>
      <c r="J10187" s="247"/>
      <c r="K10187" s="249"/>
    </row>
    <row r="10188" spans="1:11" s="90" customFormat="1" ht="12.75" customHeight="1" x14ac:dyDescent="0.2">
      <c r="A10188" s="247"/>
      <c r="B10188" s="251"/>
      <c r="C10188" s="248"/>
      <c r="D10188" s="277"/>
      <c r="E10188" s="250"/>
      <c r="F10188" s="247"/>
      <c r="G10188" s="252"/>
      <c r="H10188" s="248"/>
      <c r="I10188" s="248"/>
      <c r="J10188" s="247"/>
      <c r="K10188" s="249"/>
    </row>
    <row r="10189" spans="1:11" s="90" customFormat="1" ht="12.75" customHeight="1" x14ac:dyDescent="0.2">
      <c r="A10189" s="247"/>
      <c r="B10189" s="251"/>
      <c r="C10189" s="248"/>
      <c r="D10189" s="277"/>
      <c r="E10189" s="250"/>
      <c r="F10189" s="247"/>
      <c r="G10189" s="252"/>
      <c r="H10189" s="248"/>
      <c r="I10189" s="248"/>
      <c r="J10189" s="247"/>
      <c r="K10189" s="249"/>
    </row>
    <row r="10190" spans="1:11" s="90" customFormat="1" ht="12.75" customHeight="1" x14ac:dyDescent="0.2">
      <c r="A10190" s="247"/>
      <c r="B10190" s="251"/>
      <c r="C10190" s="248"/>
      <c r="D10190" s="277"/>
      <c r="E10190" s="250"/>
      <c r="F10190" s="247"/>
      <c r="G10190" s="252"/>
      <c r="H10190" s="248"/>
      <c r="I10190" s="248"/>
      <c r="J10190" s="247"/>
      <c r="K10190" s="249"/>
    </row>
    <row r="10191" spans="1:11" s="90" customFormat="1" ht="12.75" customHeight="1" x14ac:dyDescent="0.2">
      <c r="A10191" s="247"/>
      <c r="B10191" s="251"/>
      <c r="C10191" s="248"/>
      <c r="D10191" s="277"/>
      <c r="E10191" s="250"/>
      <c r="F10191" s="247"/>
      <c r="G10191" s="252"/>
      <c r="H10191" s="248"/>
      <c r="I10191" s="248"/>
      <c r="J10191" s="247"/>
      <c r="K10191" s="249"/>
    </row>
    <row r="10192" spans="1:11" s="90" customFormat="1" ht="12.75" customHeight="1" x14ac:dyDescent="0.2">
      <c r="A10192" s="247"/>
      <c r="B10192" s="251"/>
      <c r="C10192" s="248"/>
      <c r="D10192" s="277"/>
      <c r="E10192" s="250"/>
      <c r="F10192" s="247"/>
      <c r="G10192" s="252"/>
      <c r="H10192" s="248"/>
      <c r="I10192" s="248"/>
      <c r="J10192" s="247"/>
      <c r="K10192" s="249"/>
    </row>
    <row r="10193" spans="1:11" s="90" customFormat="1" ht="12.75" customHeight="1" x14ac:dyDescent="0.2">
      <c r="A10193" s="247"/>
      <c r="B10193" s="251"/>
      <c r="C10193" s="248"/>
      <c r="D10193" s="277"/>
      <c r="E10193" s="250"/>
      <c r="F10193" s="247"/>
      <c r="G10193" s="252"/>
      <c r="H10193" s="248"/>
      <c r="I10193" s="248"/>
      <c r="J10193" s="247"/>
      <c r="K10193" s="249"/>
    </row>
    <row r="10194" spans="1:11" s="90" customFormat="1" ht="12.75" customHeight="1" x14ac:dyDescent="0.2">
      <c r="A10194" s="247"/>
      <c r="B10194" s="251"/>
      <c r="C10194" s="248"/>
      <c r="D10194" s="277"/>
      <c r="E10194" s="250"/>
      <c r="F10194" s="247"/>
      <c r="G10194" s="252"/>
      <c r="H10194" s="248"/>
      <c r="I10194" s="248"/>
      <c r="J10194" s="247"/>
      <c r="K10194" s="249"/>
    </row>
    <row r="10195" spans="1:11" s="90" customFormat="1" ht="12.75" customHeight="1" x14ac:dyDescent="0.2">
      <c r="A10195" s="247"/>
      <c r="B10195" s="251"/>
      <c r="C10195" s="248"/>
      <c r="D10195" s="277"/>
      <c r="E10195" s="250"/>
      <c r="F10195" s="247"/>
      <c r="G10195" s="252"/>
      <c r="H10195" s="248"/>
      <c r="I10195" s="248"/>
      <c r="J10195" s="247"/>
      <c r="K10195" s="249"/>
    </row>
    <row r="10196" spans="1:11" s="90" customFormat="1" ht="12.75" customHeight="1" x14ac:dyDescent="0.2">
      <c r="A10196" s="247"/>
      <c r="B10196" s="251"/>
      <c r="C10196" s="248"/>
      <c r="D10196" s="277"/>
      <c r="E10196" s="250"/>
      <c r="F10196" s="247"/>
      <c r="G10196" s="252"/>
      <c r="H10196" s="248"/>
      <c r="I10196" s="248"/>
      <c r="J10196" s="247"/>
      <c r="K10196" s="249"/>
    </row>
    <row r="10197" spans="1:11" s="90" customFormat="1" ht="12.75" customHeight="1" x14ac:dyDescent="0.2">
      <c r="A10197" s="247"/>
      <c r="B10197" s="251"/>
      <c r="C10197" s="248"/>
      <c r="D10197" s="277"/>
      <c r="E10197" s="250"/>
      <c r="F10197" s="247"/>
      <c r="G10197" s="252"/>
      <c r="H10197" s="248"/>
      <c r="I10197" s="248"/>
      <c r="J10197" s="247"/>
      <c r="K10197" s="249"/>
    </row>
    <row r="10198" spans="1:11" s="90" customFormat="1" ht="12.75" customHeight="1" x14ac:dyDescent="0.2">
      <c r="A10198" s="247"/>
      <c r="B10198" s="251"/>
      <c r="C10198" s="248"/>
      <c r="D10198" s="277"/>
      <c r="E10198" s="250"/>
      <c r="F10198" s="247"/>
      <c r="G10198" s="252"/>
      <c r="H10198" s="248"/>
      <c r="I10198" s="248"/>
      <c r="J10198" s="247"/>
      <c r="K10198" s="249"/>
    </row>
    <row r="10199" spans="1:11" s="90" customFormat="1" ht="12.75" customHeight="1" x14ac:dyDescent="0.2">
      <c r="A10199" s="247"/>
      <c r="B10199" s="251"/>
      <c r="C10199" s="248"/>
      <c r="D10199" s="277"/>
      <c r="E10199" s="250"/>
      <c r="F10199" s="247"/>
      <c r="G10199" s="252"/>
      <c r="H10199" s="248"/>
      <c r="I10199" s="248"/>
      <c r="J10199" s="247"/>
      <c r="K10199" s="249"/>
    </row>
    <row r="10200" spans="1:11" s="90" customFormat="1" ht="12.75" customHeight="1" x14ac:dyDescent="0.2">
      <c r="A10200" s="247"/>
      <c r="B10200" s="251"/>
      <c r="C10200" s="248"/>
      <c r="D10200" s="277"/>
      <c r="E10200" s="250"/>
      <c r="F10200" s="247"/>
      <c r="G10200" s="252"/>
      <c r="H10200" s="248"/>
      <c r="I10200" s="248"/>
      <c r="J10200" s="247"/>
      <c r="K10200" s="249"/>
    </row>
    <row r="10201" spans="1:11" s="90" customFormat="1" ht="12.75" customHeight="1" x14ac:dyDescent="0.2">
      <c r="A10201" s="247"/>
      <c r="B10201" s="251"/>
      <c r="C10201" s="248"/>
      <c r="D10201" s="277"/>
      <c r="E10201" s="250"/>
      <c r="F10201" s="247"/>
      <c r="G10201" s="252"/>
      <c r="H10201" s="248"/>
      <c r="I10201" s="248"/>
      <c r="J10201" s="247"/>
      <c r="K10201" s="249"/>
    </row>
    <row r="10202" spans="1:11" s="90" customFormat="1" ht="12.75" customHeight="1" x14ac:dyDescent="0.2">
      <c r="A10202" s="247"/>
      <c r="B10202" s="251"/>
      <c r="C10202" s="248"/>
      <c r="D10202" s="277"/>
      <c r="E10202" s="250"/>
      <c r="F10202" s="247"/>
      <c r="G10202" s="252"/>
      <c r="H10202" s="248"/>
      <c r="I10202" s="248"/>
      <c r="J10202" s="247"/>
      <c r="K10202" s="249"/>
    </row>
    <row r="10203" spans="1:11" s="90" customFormat="1" ht="12.75" customHeight="1" x14ac:dyDescent="0.2">
      <c r="A10203" s="247"/>
      <c r="B10203" s="251"/>
      <c r="C10203" s="248"/>
      <c r="D10203" s="277"/>
      <c r="E10203" s="250"/>
      <c r="F10203" s="247"/>
      <c r="G10203" s="252"/>
      <c r="H10203" s="248"/>
      <c r="I10203" s="248"/>
      <c r="J10203" s="247"/>
      <c r="K10203" s="249"/>
    </row>
    <row r="10204" spans="1:11" s="90" customFormat="1" ht="12.75" customHeight="1" x14ac:dyDescent="0.2">
      <c r="A10204" s="247"/>
      <c r="B10204" s="251"/>
      <c r="C10204" s="248"/>
      <c r="D10204" s="277"/>
      <c r="E10204" s="250"/>
      <c r="F10204" s="247"/>
      <c r="G10204" s="252"/>
      <c r="H10204" s="248"/>
      <c r="I10204" s="248"/>
      <c r="J10204" s="247"/>
      <c r="K10204" s="249"/>
    </row>
    <row r="10205" spans="1:11" s="90" customFormat="1" ht="12.75" customHeight="1" x14ac:dyDescent="0.2">
      <c r="A10205" s="247"/>
      <c r="B10205" s="251"/>
      <c r="C10205" s="248"/>
      <c r="D10205" s="277"/>
      <c r="E10205" s="250"/>
      <c r="F10205" s="247"/>
      <c r="G10205" s="252"/>
      <c r="H10205" s="248"/>
      <c r="I10205" s="248"/>
      <c r="J10205" s="247"/>
      <c r="K10205" s="249"/>
    </row>
    <row r="10206" spans="1:11" s="90" customFormat="1" ht="12.75" customHeight="1" x14ac:dyDescent="0.2">
      <c r="A10206" s="247"/>
      <c r="B10206" s="251"/>
      <c r="C10206" s="248"/>
      <c r="D10206" s="277"/>
      <c r="E10206" s="250"/>
      <c r="F10206" s="247"/>
      <c r="G10206" s="252"/>
      <c r="H10206" s="248"/>
      <c r="I10206" s="248"/>
      <c r="J10206" s="247"/>
      <c r="K10206" s="249"/>
    </row>
    <row r="10207" spans="1:11" s="90" customFormat="1" ht="12.75" customHeight="1" x14ac:dyDescent="0.2">
      <c r="A10207" s="247"/>
      <c r="B10207" s="251"/>
      <c r="C10207" s="248"/>
      <c r="D10207" s="277"/>
      <c r="E10207" s="250"/>
      <c r="F10207" s="247"/>
      <c r="G10207" s="252"/>
      <c r="H10207" s="248"/>
      <c r="I10207" s="248"/>
      <c r="J10207" s="247"/>
      <c r="K10207" s="249"/>
    </row>
    <row r="10208" spans="1:11" s="90" customFormat="1" ht="12.75" customHeight="1" x14ac:dyDescent="0.2">
      <c r="A10208" s="247"/>
      <c r="B10208" s="251"/>
      <c r="C10208" s="248"/>
      <c r="D10208" s="277"/>
      <c r="E10208" s="250"/>
      <c r="F10208" s="247"/>
      <c r="G10208" s="252"/>
      <c r="H10208" s="248"/>
      <c r="I10208" s="248"/>
      <c r="J10208" s="247"/>
      <c r="K10208" s="249"/>
    </row>
    <row r="10209" spans="1:11" s="90" customFormat="1" ht="12.75" customHeight="1" x14ac:dyDescent="0.2">
      <c r="A10209" s="247"/>
      <c r="B10209" s="251"/>
      <c r="C10209" s="248"/>
      <c r="D10209" s="277"/>
      <c r="E10209" s="250"/>
      <c r="F10209" s="247"/>
      <c r="G10209" s="252"/>
      <c r="H10209" s="248"/>
      <c r="I10209" s="248"/>
      <c r="J10209" s="247"/>
      <c r="K10209" s="249"/>
    </row>
    <row r="10210" spans="1:11" s="90" customFormat="1" ht="12.75" customHeight="1" x14ac:dyDescent="0.2">
      <c r="A10210" s="247"/>
      <c r="B10210" s="251"/>
      <c r="C10210" s="248"/>
      <c r="D10210" s="277"/>
      <c r="E10210" s="250"/>
      <c r="F10210" s="247"/>
      <c r="G10210" s="252"/>
      <c r="H10210" s="248"/>
      <c r="I10210" s="248"/>
      <c r="J10210" s="247"/>
      <c r="K10210" s="249"/>
    </row>
    <row r="10211" spans="1:11" s="90" customFormat="1" ht="12.75" customHeight="1" x14ac:dyDescent="0.2">
      <c r="A10211" s="247"/>
      <c r="B10211" s="251"/>
      <c r="C10211" s="248"/>
      <c r="D10211" s="277"/>
      <c r="E10211" s="250"/>
      <c r="F10211" s="247"/>
      <c r="G10211" s="252"/>
      <c r="H10211" s="248"/>
      <c r="I10211" s="248"/>
      <c r="J10211" s="247"/>
      <c r="K10211" s="249"/>
    </row>
    <row r="10212" spans="1:11" s="90" customFormat="1" ht="12.75" customHeight="1" x14ac:dyDescent="0.2">
      <c r="A10212" s="247"/>
      <c r="B10212" s="251"/>
      <c r="C10212" s="248"/>
      <c r="D10212" s="277"/>
      <c r="E10212" s="250"/>
      <c r="F10212" s="247"/>
      <c r="G10212" s="252"/>
      <c r="H10212" s="248"/>
      <c r="I10212" s="248"/>
      <c r="J10212" s="247"/>
      <c r="K10212" s="249"/>
    </row>
    <row r="10213" spans="1:11" s="90" customFormat="1" ht="12.75" customHeight="1" x14ac:dyDescent="0.2">
      <c r="A10213" s="247"/>
      <c r="B10213" s="251"/>
      <c r="C10213" s="248"/>
      <c r="D10213" s="277"/>
      <c r="E10213" s="250"/>
      <c r="F10213" s="247"/>
      <c r="G10213" s="252"/>
      <c r="H10213" s="248"/>
      <c r="I10213" s="248"/>
      <c r="J10213" s="247"/>
      <c r="K10213" s="249"/>
    </row>
    <row r="10214" spans="1:11" s="90" customFormat="1" ht="12.75" customHeight="1" x14ac:dyDescent="0.2">
      <c r="A10214" s="247"/>
      <c r="B10214" s="251"/>
      <c r="C10214" s="248"/>
      <c r="D10214" s="277"/>
      <c r="E10214" s="250"/>
      <c r="F10214" s="247"/>
      <c r="G10214" s="252"/>
      <c r="H10214" s="248"/>
      <c r="I10214" s="248"/>
      <c r="J10214" s="247"/>
      <c r="K10214" s="249"/>
    </row>
    <row r="10215" spans="1:11" s="90" customFormat="1" ht="12.75" customHeight="1" x14ac:dyDescent="0.2">
      <c r="A10215" s="247"/>
      <c r="B10215" s="251"/>
      <c r="C10215" s="248"/>
      <c r="D10215" s="277"/>
      <c r="E10215" s="250"/>
      <c r="F10215" s="247"/>
      <c r="G10215" s="252"/>
      <c r="H10215" s="248"/>
      <c r="I10215" s="248"/>
      <c r="J10215" s="247"/>
      <c r="K10215" s="249"/>
    </row>
    <row r="10216" spans="1:11" s="90" customFormat="1" ht="12.75" customHeight="1" x14ac:dyDescent="0.2">
      <c r="A10216" s="247"/>
      <c r="B10216" s="251"/>
      <c r="C10216" s="248"/>
      <c r="D10216" s="277"/>
      <c r="E10216" s="250"/>
      <c r="F10216" s="247"/>
      <c r="G10216" s="252"/>
      <c r="H10216" s="248"/>
      <c r="I10216" s="248"/>
      <c r="J10216" s="247"/>
      <c r="K10216" s="249"/>
    </row>
    <row r="10217" spans="1:11" s="90" customFormat="1" ht="12.75" customHeight="1" x14ac:dyDescent="0.2">
      <c r="A10217" s="247"/>
      <c r="B10217" s="251"/>
      <c r="C10217" s="248"/>
      <c r="D10217" s="277"/>
      <c r="E10217" s="250"/>
      <c r="F10217" s="247"/>
      <c r="G10217" s="252"/>
      <c r="H10217" s="248"/>
      <c r="I10217" s="248"/>
      <c r="J10217" s="247"/>
      <c r="K10217" s="249"/>
    </row>
    <row r="10218" spans="1:11" s="90" customFormat="1" ht="12.75" customHeight="1" x14ac:dyDescent="0.2">
      <c r="A10218" s="247"/>
      <c r="B10218" s="251"/>
      <c r="C10218" s="248"/>
      <c r="D10218" s="277"/>
      <c r="E10218" s="250"/>
      <c r="F10218" s="247"/>
      <c r="G10218" s="252"/>
      <c r="H10218" s="248"/>
      <c r="I10218" s="248"/>
      <c r="J10218" s="247"/>
      <c r="K10218" s="249"/>
    </row>
    <row r="10219" spans="1:11" s="90" customFormat="1" ht="12.75" customHeight="1" x14ac:dyDescent="0.2">
      <c r="A10219" s="247"/>
      <c r="B10219" s="251"/>
      <c r="C10219" s="248"/>
      <c r="D10219" s="277"/>
      <c r="E10219" s="250"/>
      <c r="F10219" s="247"/>
      <c r="G10219" s="252"/>
      <c r="H10219" s="248"/>
      <c r="I10219" s="248"/>
      <c r="J10219" s="247"/>
      <c r="K10219" s="249"/>
    </row>
    <row r="10220" spans="1:11" s="90" customFormat="1" ht="12.75" customHeight="1" x14ac:dyDescent="0.2">
      <c r="A10220" s="247"/>
      <c r="B10220" s="251"/>
      <c r="C10220" s="248"/>
      <c r="D10220" s="277"/>
      <c r="E10220" s="250"/>
      <c r="F10220" s="247"/>
      <c r="G10220" s="252"/>
      <c r="H10220" s="248"/>
      <c r="I10220" s="248"/>
      <c r="J10220" s="247"/>
      <c r="K10220" s="249"/>
    </row>
    <row r="10221" spans="1:11" s="90" customFormat="1" ht="12.75" customHeight="1" x14ac:dyDescent="0.2">
      <c r="A10221" s="247"/>
      <c r="B10221" s="251"/>
      <c r="C10221" s="248"/>
      <c r="D10221" s="277"/>
      <c r="E10221" s="250"/>
      <c r="F10221" s="247"/>
      <c r="G10221" s="252"/>
      <c r="H10221" s="248"/>
      <c r="I10221" s="248"/>
      <c r="J10221" s="247"/>
      <c r="K10221" s="249"/>
    </row>
    <row r="10222" spans="1:11" s="90" customFormat="1" ht="12.75" customHeight="1" x14ac:dyDescent="0.2">
      <c r="A10222" s="247"/>
      <c r="B10222" s="251"/>
      <c r="C10222" s="248"/>
      <c r="D10222" s="277"/>
      <c r="E10222" s="250"/>
      <c r="F10222" s="247"/>
      <c r="G10222" s="252"/>
      <c r="H10222" s="248"/>
      <c r="I10222" s="248"/>
      <c r="J10222" s="247"/>
      <c r="K10222" s="249"/>
    </row>
    <row r="10223" spans="1:11" s="90" customFormat="1" ht="12.75" customHeight="1" x14ac:dyDescent="0.2">
      <c r="A10223" s="247"/>
      <c r="B10223" s="251"/>
      <c r="C10223" s="248"/>
      <c r="D10223" s="277"/>
      <c r="E10223" s="250"/>
      <c r="F10223" s="247"/>
      <c r="G10223" s="252"/>
      <c r="H10223" s="248"/>
      <c r="I10223" s="248"/>
      <c r="J10223" s="247"/>
      <c r="K10223" s="249"/>
    </row>
    <row r="10224" spans="1:11" s="90" customFormat="1" ht="12.75" customHeight="1" x14ac:dyDescent="0.2">
      <c r="A10224" s="247"/>
      <c r="B10224" s="251"/>
      <c r="C10224" s="248"/>
      <c r="D10224" s="277"/>
      <c r="E10224" s="250"/>
      <c r="F10224" s="247"/>
      <c r="G10224" s="252"/>
      <c r="H10224" s="248"/>
      <c r="I10224" s="248"/>
      <c r="J10224" s="247"/>
      <c r="K10224" s="249"/>
    </row>
    <row r="10225" spans="1:11" s="90" customFormat="1" ht="12.75" customHeight="1" x14ac:dyDescent="0.2">
      <c r="A10225" s="247"/>
      <c r="B10225" s="251"/>
      <c r="C10225" s="248"/>
      <c r="D10225" s="277"/>
      <c r="E10225" s="250"/>
      <c r="F10225" s="247"/>
      <c r="G10225" s="252"/>
      <c r="H10225" s="248"/>
      <c r="I10225" s="248"/>
      <c r="J10225" s="247"/>
      <c r="K10225" s="249"/>
    </row>
    <row r="10226" spans="1:11" s="90" customFormat="1" ht="12.75" customHeight="1" x14ac:dyDescent="0.2">
      <c r="A10226" s="247"/>
      <c r="B10226" s="251"/>
      <c r="C10226" s="248"/>
      <c r="D10226" s="277"/>
      <c r="E10226" s="250"/>
      <c r="F10226" s="247"/>
      <c r="G10226" s="252"/>
      <c r="H10226" s="248"/>
      <c r="I10226" s="248"/>
      <c r="J10226" s="247"/>
      <c r="K10226" s="249"/>
    </row>
    <row r="10227" spans="1:11" s="90" customFormat="1" ht="12.75" customHeight="1" x14ac:dyDescent="0.2">
      <c r="A10227" s="247"/>
      <c r="B10227" s="251"/>
      <c r="C10227" s="248"/>
      <c r="D10227" s="277"/>
      <c r="E10227" s="250"/>
      <c r="F10227" s="247"/>
      <c r="G10227" s="252"/>
      <c r="H10227" s="248"/>
      <c r="I10227" s="248"/>
      <c r="J10227" s="247"/>
      <c r="K10227" s="249"/>
    </row>
    <row r="10228" spans="1:11" s="90" customFormat="1" ht="12.75" customHeight="1" x14ac:dyDescent="0.2">
      <c r="A10228" s="247"/>
      <c r="B10228" s="251"/>
      <c r="C10228" s="248"/>
      <c r="D10228" s="277"/>
      <c r="E10228" s="250"/>
      <c r="F10228" s="247"/>
      <c r="G10228" s="252"/>
      <c r="H10228" s="248"/>
      <c r="I10228" s="248"/>
      <c r="J10228" s="247"/>
      <c r="K10228" s="249"/>
    </row>
    <row r="10229" spans="1:11" s="90" customFormat="1" ht="12.75" customHeight="1" x14ac:dyDescent="0.2">
      <c r="A10229" s="247"/>
      <c r="B10229" s="251"/>
      <c r="C10229" s="248"/>
      <c r="D10229" s="277"/>
      <c r="E10229" s="250"/>
      <c r="F10229" s="247"/>
      <c r="G10229" s="252"/>
      <c r="H10229" s="248"/>
      <c r="I10229" s="248"/>
      <c r="J10229" s="247"/>
      <c r="K10229" s="249"/>
    </row>
    <row r="10230" spans="1:11" s="90" customFormat="1" ht="12.75" customHeight="1" x14ac:dyDescent="0.2">
      <c r="A10230" s="247"/>
      <c r="B10230" s="251"/>
      <c r="C10230" s="248"/>
      <c r="D10230" s="277"/>
      <c r="E10230" s="250"/>
      <c r="F10230" s="247"/>
      <c r="G10230" s="252"/>
      <c r="H10230" s="248"/>
      <c r="I10230" s="248"/>
      <c r="J10230" s="247"/>
      <c r="K10230" s="249"/>
    </row>
    <row r="10231" spans="1:11" s="90" customFormat="1" ht="12.75" customHeight="1" x14ac:dyDescent="0.2">
      <c r="A10231" s="247"/>
      <c r="B10231" s="251"/>
      <c r="C10231" s="248"/>
      <c r="D10231" s="277"/>
      <c r="E10231" s="250"/>
      <c r="F10231" s="247"/>
      <c r="G10231" s="252"/>
      <c r="H10231" s="248"/>
      <c r="I10231" s="248"/>
      <c r="J10231" s="247"/>
      <c r="K10231" s="249"/>
    </row>
    <row r="10232" spans="1:11" s="90" customFormat="1" ht="12.75" customHeight="1" x14ac:dyDescent="0.2">
      <c r="A10232" s="247"/>
      <c r="B10232" s="251"/>
      <c r="C10232" s="248"/>
      <c r="D10232" s="277"/>
      <c r="E10232" s="250"/>
      <c r="F10232" s="247"/>
      <c r="G10232" s="252"/>
      <c r="H10232" s="248"/>
      <c r="I10232" s="248"/>
      <c r="J10232" s="247"/>
      <c r="K10232" s="249"/>
    </row>
    <row r="10233" spans="1:11" s="90" customFormat="1" ht="12.75" customHeight="1" x14ac:dyDescent="0.2">
      <c r="A10233" s="247"/>
      <c r="B10233" s="251"/>
      <c r="C10233" s="248"/>
      <c r="D10233" s="277"/>
      <c r="E10233" s="250"/>
      <c r="F10233" s="247"/>
      <c r="G10233" s="252"/>
      <c r="H10233" s="248"/>
      <c r="I10233" s="248"/>
      <c r="J10233" s="247"/>
      <c r="K10233" s="249"/>
    </row>
    <row r="10234" spans="1:11" s="90" customFormat="1" ht="12.75" customHeight="1" x14ac:dyDescent="0.2">
      <c r="A10234" s="247"/>
      <c r="B10234" s="251"/>
      <c r="C10234" s="248"/>
      <c r="D10234" s="277"/>
      <c r="E10234" s="250"/>
      <c r="F10234" s="247"/>
      <c r="G10234" s="252"/>
      <c r="H10234" s="248"/>
      <c r="I10234" s="248"/>
      <c r="J10234" s="247"/>
      <c r="K10234" s="249"/>
    </row>
    <row r="10235" spans="1:11" s="90" customFormat="1" ht="12.75" customHeight="1" x14ac:dyDescent="0.2">
      <c r="A10235" s="247"/>
      <c r="B10235" s="251"/>
      <c r="C10235" s="248"/>
      <c r="D10235" s="277"/>
      <c r="E10235" s="250"/>
      <c r="F10235" s="247"/>
      <c r="G10235" s="252"/>
      <c r="H10235" s="248"/>
      <c r="I10235" s="248"/>
      <c r="J10235" s="247"/>
      <c r="K10235" s="249"/>
    </row>
    <row r="10236" spans="1:11" s="90" customFormat="1" ht="12.75" customHeight="1" x14ac:dyDescent="0.2">
      <c r="A10236" s="247"/>
      <c r="B10236" s="251"/>
      <c r="C10236" s="248"/>
      <c r="D10236" s="277"/>
      <c r="E10236" s="250"/>
      <c r="F10236" s="247"/>
      <c r="G10236" s="252"/>
      <c r="H10236" s="248"/>
      <c r="I10236" s="248"/>
      <c r="J10236" s="247"/>
      <c r="K10236" s="249"/>
    </row>
    <row r="10237" spans="1:11" s="90" customFormat="1" ht="12.75" customHeight="1" x14ac:dyDescent="0.2">
      <c r="A10237" s="247"/>
      <c r="B10237" s="251"/>
      <c r="C10237" s="248"/>
      <c r="D10237" s="277"/>
      <c r="E10237" s="250"/>
      <c r="F10237" s="247"/>
      <c r="G10237" s="252"/>
      <c r="H10237" s="248"/>
      <c r="I10237" s="248"/>
      <c r="J10237" s="247"/>
      <c r="K10237" s="249"/>
    </row>
    <row r="10238" spans="1:11" s="90" customFormat="1" ht="12.75" customHeight="1" x14ac:dyDescent="0.2">
      <c r="A10238" s="247"/>
      <c r="B10238" s="251"/>
      <c r="C10238" s="248"/>
      <c r="D10238" s="277"/>
      <c r="E10238" s="250"/>
      <c r="F10238" s="247"/>
      <c r="G10238" s="252"/>
      <c r="H10238" s="248"/>
      <c r="I10238" s="248"/>
      <c r="J10238" s="247"/>
      <c r="K10238" s="249"/>
    </row>
    <row r="10239" spans="1:11" s="90" customFormat="1" ht="12.75" customHeight="1" x14ac:dyDescent="0.2">
      <c r="A10239" s="247"/>
      <c r="B10239" s="251"/>
      <c r="C10239" s="248"/>
      <c r="D10239" s="277"/>
      <c r="E10239" s="250"/>
      <c r="F10239" s="247"/>
      <c r="G10239" s="252"/>
      <c r="H10239" s="248"/>
      <c r="I10239" s="248"/>
      <c r="J10239" s="247"/>
      <c r="K10239" s="249"/>
    </row>
    <row r="10240" spans="1:11" s="90" customFormat="1" ht="12.75" customHeight="1" x14ac:dyDescent="0.2">
      <c r="A10240" s="247"/>
      <c r="B10240" s="251"/>
      <c r="C10240" s="248"/>
      <c r="D10240" s="277"/>
      <c r="E10240" s="250"/>
      <c r="F10240" s="247"/>
      <c r="G10240" s="252"/>
      <c r="H10240" s="248"/>
      <c r="I10240" s="248"/>
      <c r="J10240" s="247"/>
      <c r="K10240" s="249"/>
    </row>
    <row r="10241" spans="1:11" s="90" customFormat="1" ht="12.75" customHeight="1" x14ac:dyDescent="0.2">
      <c r="A10241" s="247"/>
      <c r="B10241" s="251"/>
      <c r="C10241" s="248"/>
      <c r="D10241" s="277"/>
      <c r="E10241" s="250"/>
      <c r="F10241" s="247"/>
      <c r="G10241" s="252"/>
      <c r="H10241" s="248"/>
      <c r="I10241" s="248"/>
      <c r="J10241" s="247"/>
      <c r="K10241" s="249"/>
    </row>
    <row r="10242" spans="1:11" s="90" customFormat="1" ht="12.75" customHeight="1" x14ac:dyDescent="0.2">
      <c r="A10242" s="247"/>
      <c r="B10242" s="251"/>
      <c r="C10242" s="248"/>
      <c r="D10242" s="277"/>
      <c r="E10242" s="250"/>
      <c r="F10242" s="247"/>
      <c r="G10242" s="252"/>
      <c r="H10242" s="248"/>
      <c r="I10242" s="248"/>
      <c r="J10242" s="247"/>
      <c r="K10242" s="249"/>
    </row>
    <row r="10243" spans="1:11" s="90" customFormat="1" ht="12.75" customHeight="1" x14ac:dyDescent="0.2">
      <c r="A10243" s="247"/>
      <c r="B10243" s="251"/>
      <c r="C10243" s="248"/>
      <c r="D10243" s="277"/>
      <c r="E10243" s="250"/>
      <c r="F10243" s="247"/>
      <c r="G10243" s="252"/>
      <c r="H10243" s="248"/>
      <c r="I10243" s="248"/>
      <c r="J10243" s="247"/>
      <c r="K10243" s="249"/>
    </row>
    <row r="10244" spans="1:11" s="90" customFormat="1" ht="12.75" customHeight="1" x14ac:dyDescent="0.2">
      <c r="A10244" s="247"/>
      <c r="B10244" s="251"/>
      <c r="C10244" s="248"/>
      <c r="D10244" s="277"/>
      <c r="E10244" s="250"/>
      <c r="F10244" s="247"/>
      <c r="G10244" s="252"/>
      <c r="H10244" s="248"/>
      <c r="I10244" s="248"/>
      <c r="J10244" s="247"/>
      <c r="K10244" s="249"/>
    </row>
    <row r="10245" spans="1:11" s="90" customFormat="1" ht="12.75" customHeight="1" x14ac:dyDescent="0.2">
      <c r="A10245" s="247"/>
      <c r="B10245" s="251"/>
      <c r="C10245" s="248"/>
      <c r="D10245" s="277"/>
      <c r="E10245" s="250"/>
      <c r="F10245" s="247"/>
      <c r="G10245" s="252"/>
      <c r="H10245" s="248"/>
      <c r="I10245" s="248"/>
      <c r="J10245" s="247"/>
      <c r="K10245" s="249"/>
    </row>
    <row r="10246" spans="1:11" s="90" customFormat="1" ht="12.75" customHeight="1" x14ac:dyDescent="0.2">
      <c r="A10246" s="247"/>
      <c r="B10246" s="251"/>
      <c r="C10246" s="248"/>
      <c r="D10246" s="277"/>
      <c r="E10246" s="250"/>
      <c r="F10246" s="247"/>
      <c r="G10246" s="252"/>
      <c r="H10246" s="248"/>
      <c r="I10246" s="248"/>
      <c r="J10246" s="247"/>
      <c r="K10246" s="249"/>
    </row>
    <row r="10247" spans="1:11" s="90" customFormat="1" ht="12.75" customHeight="1" x14ac:dyDescent="0.2">
      <c r="A10247" s="247"/>
      <c r="B10247" s="251"/>
      <c r="C10247" s="248"/>
      <c r="D10247" s="277"/>
      <c r="E10247" s="250"/>
      <c r="F10247" s="247"/>
      <c r="G10247" s="252"/>
      <c r="H10247" s="248"/>
      <c r="I10247" s="248"/>
      <c r="J10247" s="247"/>
      <c r="K10247" s="249"/>
    </row>
    <row r="10248" spans="1:11" s="90" customFormat="1" ht="12.75" customHeight="1" x14ac:dyDescent="0.2">
      <c r="A10248" s="247"/>
      <c r="B10248" s="251"/>
      <c r="C10248" s="248"/>
      <c r="D10248" s="277"/>
      <c r="E10248" s="250"/>
      <c r="F10248" s="247"/>
      <c r="G10248" s="252"/>
      <c r="H10248" s="248"/>
      <c r="I10248" s="248"/>
      <c r="J10248" s="247"/>
      <c r="K10248" s="249"/>
    </row>
    <row r="10249" spans="1:11" s="90" customFormat="1" ht="12.75" customHeight="1" x14ac:dyDescent="0.2">
      <c r="A10249" s="247"/>
      <c r="B10249" s="251"/>
      <c r="C10249" s="248"/>
      <c r="D10249" s="277"/>
      <c r="E10249" s="250"/>
      <c r="F10249" s="247"/>
      <c r="G10249" s="252"/>
      <c r="H10249" s="248"/>
      <c r="I10249" s="248"/>
      <c r="J10249" s="247"/>
      <c r="K10249" s="249"/>
    </row>
    <row r="10250" spans="1:11" s="90" customFormat="1" ht="12.75" customHeight="1" x14ac:dyDescent="0.2">
      <c r="A10250" s="247"/>
      <c r="B10250" s="251"/>
      <c r="C10250" s="248"/>
      <c r="D10250" s="277"/>
      <c r="E10250" s="250"/>
      <c r="F10250" s="247"/>
      <c r="G10250" s="252"/>
      <c r="H10250" s="248"/>
      <c r="I10250" s="248"/>
      <c r="J10250" s="247"/>
      <c r="K10250" s="249"/>
    </row>
    <row r="10251" spans="1:11" s="90" customFormat="1" ht="12.75" customHeight="1" x14ac:dyDescent="0.2">
      <c r="A10251" s="247"/>
      <c r="B10251" s="251"/>
      <c r="C10251" s="248"/>
      <c r="D10251" s="248"/>
      <c r="E10251" s="250"/>
      <c r="F10251" s="247"/>
      <c r="G10251" s="252"/>
      <c r="H10251" s="248"/>
      <c r="I10251" s="248"/>
      <c r="J10251" s="247"/>
      <c r="K10251" s="249"/>
    </row>
    <row r="10252" spans="1:11" s="90" customFormat="1" ht="12.75" customHeight="1" x14ac:dyDescent="0.2">
      <c r="A10252" s="247"/>
      <c r="B10252" s="251"/>
      <c r="C10252" s="248"/>
      <c r="D10252" s="248"/>
      <c r="E10252" s="250"/>
      <c r="F10252" s="247"/>
      <c r="G10252" s="252"/>
      <c r="H10252" s="248"/>
      <c r="I10252" s="248"/>
      <c r="J10252" s="247"/>
      <c r="K10252" s="249"/>
    </row>
    <row r="10253" spans="1:11" s="90" customFormat="1" ht="12.75" customHeight="1" x14ac:dyDescent="0.2">
      <c r="A10253" s="247"/>
      <c r="B10253" s="251"/>
      <c r="C10253" s="248"/>
      <c r="D10253" s="248"/>
      <c r="E10253" s="250"/>
      <c r="F10253" s="247"/>
      <c r="G10253" s="252"/>
      <c r="H10253" s="248"/>
      <c r="I10253" s="248"/>
      <c r="J10253" s="247"/>
      <c r="K10253" s="249"/>
    </row>
    <row r="10254" spans="1:11" s="90" customFormat="1" ht="12.75" customHeight="1" x14ac:dyDescent="0.2">
      <c r="A10254" s="247"/>
      <c r="B10254" s="251"/>
      <c r="C10254" s="248"/>
      <c r="D10254" s="248"/>
      <c r="E10254" s="250"/>
      <c r="F10254" s="247"/>
      <c r="G10254" s="252"/>
      <c r="H10254" s="248"/>
      <c r="I10254" s="248"/>
      <c r="J10254" s="247"/>
      <c r="K10254" s="249"/>
    </row>
    <row r="10255" spans="1:11" s="90" customFormat="1" ht="12.75" customHeight="1" x14ac:dyDescent="0.2">
      <c r="A10255" s="247"/>
      <c r="B10255" s="251"/>
      <c r="C10255" s="248"/>
      <c r="D10255" s="248"/>
      <c r="E10255" s="250"/>
      <c r="F10255" s="247"/>
      <c r="G10255" s="252"/>
      <c r="H10255" s="248"/>
      <c r="I10255" s="248"/>
      <c r="J10255" s="247"/>
      <c r="K10255" s="249"/>
    </row>
    <row r="10256" spans="1:11" s="90" customFormat="1" ht="12.75" customHeight="1" x14ac:dyDescent="0.2">
      <c r="A10256" s="247"/>
      <c r="B10256" s="251"/>
      <c r="C10256" s="248"/>
      <c r="D10256" s="248"/>
      <c r="E10256" s="250"/>
      <c r="F10256" s="247"/>
      <c r="G10256" s="252"/>
      <c r="H10256" s="248"/>
      <c r="I10256" s="248"/>
      <c r="J10256" s="247"/>
      <c r="K10256" s="249"/>
    </row>
    <row r="10257" spans="1:11" s="90" customFormat="1" ht="12.75" customHeight="1" x14ac:dyDescent="0.2">
      <c r="A10257" s="247"/>
      <c r="B10257" s="251"/>
      <c r="C10257" s="248"/>
      <c r="D10257" s="248"/>
      <c r="E10257" s="250"/>
      <c r="F10257" s="247"/>
      <c r="G10257" s="252"/>
      <c r="H10257" s="248"/>
      <c r="I10257" s="248"/>
      <c r="J10257" s="247"/>
      <c r="K10257" s="249"/>
    </row>
    <row r="10258" spans="1:11" s="90" customFormat="1" ht="12.75" customHeight="1" x14ac:dyDescent="0.2">
      <c r="A10258" s="247"/>
      <c r="B10258" s="251"/>
      <c r="C10258" s="248"/>
      <c r="D10258" s="248"/>
      <c r="E10258" s="250"/>
      <c r="F10258" s="247"/>
      <c r="G10258" s="252"/>
      <c r="H10258" s="248"/>
      <c r="I10258" s="248"/>
      <c r="J10258" s="247"/>
      <c r="K10258" s="249"/>
    </row>
    <row r="10259" spans="1:11" s="90" customFormat="1" ht="12.75" customHeight="1" x14ac:dyDescent="0.2">
      <c r="A10259" s="247"/>
      <c r="B10259" s="251"/>
      <c r="C10259" s="248"/>
      <c r="D10259" s="248"/>
      <c r="E10259" s="250"/>
      <c r="F10259" s="247"/>
      <c r="G10259" s="252"/>
      <c r="H10259" s="248"/>
      <c r="I10259" s="248"/>
      <c r="J10259" s="247"/>
      <c r="K10259" s="249"/>
    </row>
    <row r="10260" spans="1:11" s="90" customFormat="1" ht="12.75" customHeight="1" x14ac:dyDescent="0.2">
      <c r="A10260" s="247"/>
      <c r="B10260" s="251"/>
      <c r="C10260" s="248"/>
      <c r="D10260" s="248"/>
      <c r="E10260" s="250"/>
      <c r="F10260" s="247"/>
      <c r="G10260" s="252"/>
      <c r="H10260" s="248"/>
      <c r="I10260" s="248"/>
      <c r="J10260" s="247"/>
      <c r="K10260" s="249"/>
    </row>
    <row r="10261" spans="1:11" s="90" customFormat="1" ht="12.75" customHeight="1" x14ac:dyDescent="0.2">
      <c r="A10261" s="247"/>
      <c r="B10261" s="251"/>
      <c r="C10261" s="248"/>
      <c r="D10261" s="248"/>
      <c r="E10261" s="250"/>
      <c r="F10261" s="247"/>
      <c r="G10261" s="252"/>
      <c r="H10261" s="248"/>
      <c r="I10261" s="248"/>
      <c r="J10261" s="247"/>
      <c r="K10261" s="249"/>
    </row>
    <row r="10262" spans="1:11" s="90" customFormat="1" ht="12.75" customHeight="1" x14ac:dyDescent="0.2">
      <c r="A10262" s="247"/>
      <c r="B10262" s="251"/>
      <c r="C10262" s="248"/>
      <c r="D10262" s="248"/>
      <c r="E10262" s="250"/>
      <c r="F10262" s="247"/>
      <c r="G10262" s="252"/>
      <c r="H10262" s="248"/>
      <c r="I10262" s="248"/>
      <c r="J10262" s="247"/>
      <c r="K10262" s="249"/>
    </row>
    <row r="10263" spans="1:11" s="90" customFormat="1" ht="12.75" customHeight="1" x14ac:dyDescent="0.2">
      <c r="A10263" s="247"/>
      <c r="B10263" s="251"/>
      <c r="C10263" s="248"/>
      <c r="D10263" s="248"/>
      <c r="E10263" s="250"/>
      <c r="F10263" s="247"/>
      <c r="G10263" s="252"/>
      <c r="H10263" s="248"/>
      <c r="I10263" s="248"/>
      <c r="J10263" s="247"/>
      <c r="K10263" s="249"/>
    </row>
    <row r="10264" spans="1:11" s="90" customFormat="1" ht="12.75" customHeight="1" x14ac:dyDescent="0.2">
      <c r="A10264" s="247"/>
      <c r="B10264" s="251"/>
      <c r="C10264" s="248"/>
      <c r="D10264" s="248"/>
      <c r="E10264" s="250"/>
      <c r="F10264" s="247"/>
      <c r="G10264" s="252"/>
      <c r="H10264" s="248"/>
      <c r="I10264" s="248"/>
      <c r="J10264" s="247"/>
      <c r="K10264" s="249"/>
    </row>
    <row r="10265" spans="1:11" s="90" customFormat="1" ht="12.75" customHeight="1" x14ac:dyDescent="0.2">
      <c r="A10265" s="247"/>
      <c r="B10265" s="251"/>
      <c r="C10265" s="248"/>
      <c r="D10265" s="248"/>
      <c r="E10265" s="250"/>
      <c r="F10265" s="247"/>
      <c r="G10265" s="252"/>
      <c r="H10265" s="248"/>
      <c r="I10265" s="248"/>
      <c r="J10265" s="247"/>
      <c r="K10265" s="249"/>
    </row>
    <row r="10266" spans="1:11" s="90" customFormat="1" ht="12.75" customHeight="1" x14ac:dyDescent="0.2">
      <c r="A10266" s="247"/>
      <c r="B10266" s="251"/>
      <c r="C10266" s="248"/>
      <c r="D10266" s="248"/>
      <c r="E10266" s="250"/>
      <c r="F10266" s="247"/>
      <c r="G10266" s="252"/>
      <c r="H10266" s="248"/>
      <c r="I10266" s="248"/>
      <c r="J10266" s="247"/>
      <c r="K10266" s="249"/>
    </row>
    <row r="10267" spans="1:11" s="90" customFormat="1" ht="12.75" customHeight="1" x14ac:dyDescent="0.2">
      <c r="A10267" s="247"/>
      <c r="B10267" s="251"/>
      <c r="C10267" s="248"/>
      <c r="D10267" s="248"/>
      <c r="E10267" s="250"/>
      <c r="F10267" s="247"/>
      <c r="G10267" s="252"/>
      <c r="H10267" s="248"/>
      <c r="I10267" s="248"/>
      <c r="J10267" s="247"/>
      <c r="K10267" s="249"/>
    </row>
    <row r="10268" spans="1:11" s="90" customFormat="1" ht="12.75" customHeight="1" x14ac:dyDescent="0.2">
      <c r="A10268" s="247"/>
      <c r="B10268" s="251"/>
      <c r="C10268" s="248"/>
      <c r="D10268" s="248"/>
      <c r="E10268" s="250"/>
      <c r="F10268" s="247"/>
      <c r="G10268" s="252"/>
      <c r="H10268" s="248"/>
      <c r="I10268" s="248"/>
      <c r="J10268" s="247"/>
      <c r="K10268" s="249"/>
    </row>
    <row r="10269" spans="1:11" s="90" customFormat="1" ht="12.75" customHeight="1" x14ac:dyDescent="0.2">
      <c r="A10269" s="247"/>
      <c r="B10269" s="251"/>
      <c r="C10269" s="248"/>
      <c r="D10269" s="248"/>
      <c r="E10269" s="250"/>
      <c r="F10269" s="247"/>
      <c r="G10269" s="252"/>
      <c r="H10269" s="248"/>
      <c r="I10269" s="248"/>
      <c r="J10269" s="247"/>
      <c r="K10269" s="249"/>
    </row>
    <row r="10270" spans="1:11" s="90" customFormat="1" ht="12.75" customHeight="1" x14ac:dyDescent="0.2">
      <c r="A10270" s="247"/>
      <c r="B10270" s="251"/>
      <c r="C10270" s="248"/>
      <c r="D10270" s="248"/>
      <c r="E10270" s="250"/>
      <c r="F10270" s="247"/>
      <c r="G10270" s="252"/>
      <c r="H10270" s="248"/>
      <c r="I10270" s="248"/>
      <c r="J10270" s="247"/>
      <c r="K10270" s="249"/>
    </row>
    <row r="10271" spans="1:11" s="90" customFormat="1" ht="12.75" customHeight="1" x14ac:dyDescent="0.2">
      <c r="A10271" s="247"/>
      <c r="B10271" s="251"/>
      <c r="C10271" s="248"/>
      <c r="D10271" s="248"/>
      <c r="E10271" s="250"/>
      <c r="F10271" s="247"/>
      <c r="G10271" s="252"/>
      <c r="H10271" s="248"/>
      <c r="I10271" s="248"/>
      <c r="J10271" s="247"/>
      <c r="K10271" s="249"/>
    </row>
    <row r="10272" spans="1:11" s="90" customFormat="1" ht="12.75" customHeight="1" x14ac:dyDescent="0.2">
      <c r="A10272" s="247"/>
      <c r="B10272" s="251"/>
      <c r="C10272" s="248"/>
      <c r="D10272" s="248"/>
      <c r="E10272" s="250"/>
      <c r="F10272" s="247"/>
      <c r="G10272" s="252"/>
      <c r="H10272" s="248"/>
      <c r="I10272" s="248"/>
      <c r="J10272" s="247"/>
      <c r="K10272" s="249"/>
    </row>
    <row r="10273" spans="1:11" s="90" customFormat="1" ht="12.75" customHeight="1" x14ac:dyDescent="0.2">
      <c r="A10273" s="247"/>
      <c r="B10273" s="251"/>
      <c r="C10273" s="248"/>
      <c r="D10273" s="248"/>
      <c r="E10273" s="250"/>
      <c r="F10273" s="247"/>
      <c r="G10273" s="252"/>
      <c r="H10273" s="248"/>
      <c r="I10273" s="248"/>
      <c r="J10273" s="247"/>
      <c r="K10273" s="249"/>
    </row>
    <row r="10274" spans="1:11" s="90" customFormat="1" ht="12.75" customHeight="1" x14ac:dyDescent="0.2">
      <c r="A10274" s="247"/>
      <c r="B10274" s="251"/>
      <c r="C10274" s="248"/>
      <c r="D10274" s="248"/>
      <c r="E10274" s="250"/>
      <c r="F10274" s="247"/>
      <c r="G10274" s="252"/>
      <c r="H10274" s="248"/>
      <c r="I10274" s="248"/>
      <c r="J10274" s="247"/>
      <c r="K10274" s="249"/>
    </row>
    <row r="10275" spans="1:11" s="90" customFormat="1" ht="12.75" customHeight="1" x14ac:dyDescent="0.2">
      <c r="A10275" s="247"/>
      <c r="B10275" s="251"/>
      <c r="C10275" s="248"/>
      <c r="D10275" s="248"/>
      <c r="E10275" s="250"/>
      <c r="F10275" s="247"/>
      <c r="G10275" s="252"/>
      <c r="H10275" s="248"/>
      <c r="I10275" s="248"/>
      <c r="J10275" s="247"/>
      <c r="K10275" s="249"/>
    </row>
    <row r="10276" spans="1:11" s="90" customFormat="1" ht="12.75" customHeight="1" x14ac:dyDescent="0.2">
      <c r="A10276" s="247"/>
      <c r="B10276" s="251"/>
      <c r="C10276" s="248"/>
      <c r="D10276" s="248"/>
      <c r="E10276" s="250"/>
      <c r="F10276" s="247"/>
      <c r="G10276" s="252"/>
      <c r="H10276" s="248"/>
      <c r="I10276" s="248"/>
      <c r="J10276" s="247"/>
      <c r="K10276" s="249"/>
    </row>
    <row r="10277" spans="1:11" s="90" customFormat="1" ht="12.75" customHeight="1" x14ac:dyDescent="0.2">
      <c r="A10277" s="247"/>
      <c r="B10277" s="251"/>
      <c r="C10277" s="248"/>
      <c r="D10277" s="248"/>
      <c r="E10277" s="250"/>
      <c r="F10277" s="247"/>
      <c r="G10277" s="252"/>
      <c r="H10277" s="248"/>
      <c r="I10277" s="248"/>
      <c r="J10277" s="247"/>
      <c r="K10277" s="249"/>
    </row>
    <row r="10278" spans="1:11" s="90" customFormat="1" ht="12.75" customHeight="1" x14ac:dyDescent="0.2">
      <c r="A10278" s="247"/>
      <c r="B10278" s="251"/>
      <c r="C10278" s="248"/>
      <c r="D10278" s="248"/>
      <c r="E10278" s="250"/>
      <c r="F10278" s="247"/>
      <c r="G10278" s="252"/>
      <c r="H10278" s="248"/>
      <c r="I10278" s="248"/>
      <c r="J10278" s="247"/>
      <c r="K10278" s="249"/>
    </row>
    <row r="10279" spans="1:11" s="90" customFormat="1" ht="12.75" customHeight="1" x14ac:dyDescent="0.2">
      <c r="A10279" s="247"/>
      <c r="B10279" s="251"/>
      <c r="C10279" s="248"/>
      <c r="D10279" s="248"/>
      <c r="E10279" s="250"/>
      <c r="F10279" s="247"/>
      <c r="G10279" s="252"/>
      <c r="H10279" s="248"/>
      <c r="I10279" s="248"/>
      <c r="J10279" s="247"/>
      <c r="K10279" s="249"/>
    </row>
    <row r="10280" spans="1:11" s="90" customFormat="1" ht="12.75" customHeight="1" x14ac:dyDescent="0.2">
      <c r="A10280" s="247"/>
      <c r="B10280" s="251"/>
      <c r="C10280" s="248"/>
      <c r="D10280" s="248"/>
      <c r="E10280" s="250"/>
      <c r="F10280" s="247"/>
      <c r="G10280" s="252"/>
      <c r="H10280" s="248"/>
      <c r="I10280" s="248"/>
      <c r="J10280" s="247"/>
      <c r="K10280" s="249"/>
    </row>
    <row r="10281" spans="1:11" s="90" customFormat="1" ht="12.75" customHeight="1" x14ac:dyDescent="0.2">
      <c r="A10281" s="247"/>
      <c r="B10281" s="251"/>
      <c r="C10281" s="248"/>
      <c r="D10281" s="248"/>
      <c r="E10281" s="250"/>
      <c r="F10281" s="247"/>
      <c r="G10281" s="252"/>
      <c r="H10281" s="248"/>
      <c r="I10281" s="248"/>
      <c r="J10281" s="247"/>
      <c r="K10281" s="249"/>
    </row>
    <row r="10282" spans="1:11" s="90" customFormat="1" ht="12.75" customHeight="1" x14ac:dyDescent="0.2">
      <c r="A10282" s="247"/>
      <c r="B10282" s="251"/>
      <c r="C10282" s="248"/>
      <c r="D10282" s="248"/>
      <c r="E10282" s="250"/>
      <c r="F10282" s="247"/>
      <c r="G10282" s="252"/>
      <c r="H10282" s="248"/>
      <c r="I10282" s="248"/>
      <c r="J10282" s="247"/>
      <c r="K10282" s="249"/>
    </row>
    <row r="10283" spans="1:11" s="90" customFormat="1" ht="12.75" customHeight="1" x14ac:dyDescent="0.2">
      <c r="A10283" s="247"/>
      <c r="B10283" s="251"/>
      <c r="C10283" s="248"/>
      <c r="D10283" s="248"/>
      <c r="E10283" s="250"/>
      <c r="F10283" s="247"/>
      <c r="G10283" s="252"/>
      <c r="H10283" s="248"/>
      <c r="I10283" s="248"/>
      <c r="J10283" s="247"/>
      <c r="K10283" s="249"/>
    </row>
    <row r="10284" spans="1:11" s="90" customFormat="1" ht="12.75" customHeight="1" x14ac:dyDescent="0.2">
      <c r="A10284" s="247"/>
      <c r="B10284" s="251"/>
      <c r="C10284" s="248"/>
      <c r="D10284" s="248"/>
      <c r="E10284" s="250"/>
      <c r="F10284" s="247"/>
      <c r="G10284" s="252"/>
      <c r="H10284" s="248"/>
      <c r="I10284" s="248"/>
      <c r="J10284" s="247"/>
      <c r="K10284" s="249"/>
    </row>
    <row r="10285" spans="1:11" s="90" customFormat="1" ht="12.75" customHeight="1" x14ac:dyDescent="0.2">
      <c r="A10285" s="247"/>
      <c r="B10285" s="251"/>
      <c r="C10285" s="248"/>
      <c r="D10285" s="248"/>
      <c r="E10285" s="250"/>
      <c r="F10285" s="247"/>
      <c r="G10285" s="252"/>
      <c r="H10285" s="248"/>
      <c r="I10285" s="248"/>
      <c r="J10285" s="247"/>
      <c r="K10285" s="249"/>
    </row>
    <row r="10286" spans="1:11" s="90" customFormat="1" ht="12.75" customHeight="1" x14ac:dyDescent="0.2">
      <c r="A10286" s="247"/>
      <c r="B10286" s="251"/>
      <c r="C10286" s="248"/>
      <c r="D10286" s="248"/>
      <c r="E10286" s="250"/>
      <c r="F10286" s="247"/>
      <c r="G10286" s="252"/>
      <c r="H10286" s="248"/>
      <c r="I10286" s="248"/>
      <c r="J10286" s="247"/>
      <c r="K10286" s="249"/>
    </row>
    <row r="10287" spans="1:11" s="90" customFormat="1" ht="12.75" customHeight="1" x14ac:dyDescent="0.2">
      <c r="A10287" s="247"/>
      <c r="B10287" s="251"/>
      <c r="C10287" s="248"/>
      <c r="D10287" s="248"/>
      <c r="E10287" s="250"/>
      <c r="F10287" s="247"/>
      <c r="G10287" s="252"/>
      <c r="H10287" s="248"/>
      <c r="I10287" s="248"/>
      <c r="J10287" s="247"/>
      <c r="K10287" s="249"/>
    </row>
    <row r="10288" spans="1:11" s="90" customFormat="1" ht="12.75" customHeight="1" x14ac:dyDescent="0.2">
      <c r="A10288" s="247"/>
      <c r="B10288" s="251"/>
      <c r="C10288" s="248"/>
      <c r="D10288" s="248"/>
      <c r="E10288" s="250"/>
      <c r="F10288" s="247"/>
      <c r="G10288" s="252"/>
      <c r="H10288" s="248"/>
      <c r="I10288" s="248"/>
      <c r="J10288" s="247"/>
      <c r="K10288" s="249"/>
    </row>
    <row r="10289" spans="1:11" s="90" customFormat="1" ht="12.75" customHeight="1" x14ac:dyDescent="0.2">
      <c r="A10289" s="247"/>
      <c r="B10289" s="251"/>
      <c r="C10289" s="248"/>
      <c r="D10289" s="248"/>
      <c r="E10289" s="250"/>
      <c r="F10289" s="247"/>
      <c r="G10289" s="252"/>
      <c r="H10289" s="248"/>
      <c r="I10289" s="248"/>
      <c r="J10289" s="247"/>
      <c r="K10289" s="249"/>
    </row>
    <row r="10290" spans="1:11" s="90" customFormat="1" ht="12.75" customHeight="1" x14ac:dyDescent="0.2">
      <c r="A10290" s="247"/>
      <c r="B10290" s="251"/>
      <c r="C10290" s="248"/>
      <c r="D10290" s="248"/>
      <c r="E10290" s="250"/>
      <c r="F10290" s="247"/>
      <c r="G10290" s="252"/>
      <c r="H10290" s="248"/>
      <c r="I10290" s="248"/>
      <c r="J10290" s="247"/>
      <c r="K10290" s="249"/>
    </row>
    <row r="10291" spans="1:11" s="90" customFormat="1" ht="12.75" customHeight="1" x14ac:dyDescent="0.2">
      <c r="A10291" s="247"/>
      <c r="B10291" s="251"/>
      <c r="C10291" s="248"/>
      <c r="D10291" s="248"/>
      <c r="E10291" s="250"/>
      <c r="F10291" s="247"/>
      <c r="G10291" s="252"/>
      <c r="H10291" s="248"/>
      <c r="I10291" s="248"/>
      <c r="J10291" s="247"/>
      <c r="K10291" s="249"/>
    </row>
    <row r="10292" spans="1:11" s="90" customFormat="1" ht="12.75" customHeight="1" x14ac:dyDescent="0.2">
      <c r="A10292" s="247"/>
      <c r="B10292" s="251"/>
      <c r="C10292" s="248"/>
      <c r="D10292" s="248"/>
      <c r="E10292" s="250"/>
      <c r="F10292" s="247"/>
      <c r="G10292" s="252"/>
      <c r="H10292" s="248"/>
      <c r="I10292" s="248"/>
      <c r="J10292" s="247"/>
      <c r="K10292" s="249"/>
    </row>
    <row r="10293" spans="1:11" s="90" customFormat="1" ht="12.75" customHeight="1" x14ac:dyDescent="0.2">
      <c r="A10293" s="247"/>
      <c r="B10293" s="251"/>
      <c r="C10293" s="248"/>
      <c r="D10293" s="248"/>
      <c r="E10293" s="250"/>
      <c r="F10293" s="247"/>
      <c r="G10293" s="252"/>
      <c r="H10293" s="248"/>
      <c r="I10293" s="248"/>
      <c r="J10293" s="247"/>
      <c r="K10293" s="249"/>
    </row>
    <row r="10294" spans="1:11" s="90" customFormat="1" ht="12.75" customHeight="1" x14ac:dyDescent="0.2">
      <c r="A10294" s="247"/>
      <c r="B10294" s="251"/>
      <c r="C10294" s="248"/>
      <c r="D10294" s="248"/>
      <c r="E10294" s="250"/>
      <c r="F10294" s="247"/>
      <c r="G10294" s="252"/>
      <c r="H10294" s="248"/>
      <c r="I10294" s="248"/>
      <c r="J10294" s="247"/>
      <c r="K10294" s="249"/>
    </row>
    <row r="10295" spans="1:11" s="90" customFormat="1" ht="12.75" customHeight="1" x14ac:dyDescent="0.2">
      <c r="A10295" s="247"/>
      <c r="B10295" s="251"/>
      <c r="C10295" s="248"/>
      <c r="D10295" s="248"/>
      <c r="E10295" s="250"/>
      <c r="F10295" s="247"/>
      <c r="G10295" s="252"/>
      <c r="H10295" s="248"/>
      <c r="I10295" s="248"/>
      <c r="J10295" s="247"/>
      <c r="K10295" s="249"/>
    </row>
    <row r="10296" spans="1:11" s="90" customFormat="1" ht="12.75" customHeight="1" x14ac:dyDescent="0.2">
      <c r="A10296" s="247"/>
      <c r="B10296" s="251"/>
      <c r="C10296" s="248"/>
      <c r="D10296" s="248"/>
      <c r="E10296" s="250"/>
      <c r="F10296" s="247"/>
      <c r="G10296" s="252"/>
      <c r="H10296" s="248"/>
      <c r="I10296" s="248"/>
      <c r="J10296" s="247"/>
      <c r="K10296" s="249"/>
    </row>
    <row r="10297" spans="1:11" s="90" customFormat="1" ht="12.75" customHeight="1" x14ac:dyDescent="0.2">
      <c r="A10297" s="247"/>
      <c r="B10297" s="251"/>
      <c r="C10297" s="248"/>
      <c r="D10297" s="248"/>
      <c r="E10297" s="250"/>
      <c r="F10297" s="247"/>
      <c r="G10297" s="252"/>
      <c r="H10297" s="248"/>
      <c r="I10297" s="248"/>
      <c r="J10297" s="247"/>
      <c r="K10297" s="249"/>
    </row>
    <row r="10298" spans="1:11" s="90" customFormat="1" ht="12.75" customHeight="1" x14ac:dyDescent="0.2">
      <c r="A10298" s="247"/>
      <c r="B10298" s="251"/>
      <c r="C10298" s="248"/>
      <c r="D10298" s="248"/>
      <c r="E10298" s="250"/>
      <c r="F10298" s="247"/>
      <c r="G10298" s="252"/>
      <c r="H10298" s="248"/>
      <c r="I10298" s="248"/>
      <c r="J10298" s="247"/>
      <c r="K10298" s="249"/>
    </row>
    <row r="10299" spans="1:11" s="90" customFormat="1" ht="12.75" customHeight="1" x14ac:dyDescent="0.2">
      <c r="A10299" s="247"/>
      <c r="B10299" s="251"/>
      <c r="C10299" s="248"/>
      <c r="D10299" s="248"/>
      <c r="E10299" s="250"/>
      <c r="F10299" s="247"/>
      <c r="G10299" s="252"/>
      <c r="H10299" s="248"/>
      <c r="I10299" s="248"/>
      <c r="J10299" s="247"/>
      <c r="K10299" s="249"/>
    </row>
    <row r="10300" spans="1:11" s="90" customFormat="1" ht="12.75" customHeight="1" x14ac:dyDescent="0.2">
      <c r="A10300" s="247"/>
      <c r="B10300" s="251"/>
      <c r="C10300" s="248"/>
      <c r="D10300" s="248"/>
      <c r="E10300" s="250"/>
      <c r="F10300" s="247"/>
      <c r="G10300" s="252"/>
      <c r="H10300" s="248"/>
      <c r="I10300" s="248"/>
      <c r="J10300" s="247"/>
      <c r="K10300" s="249"/>
    </row>
    <row r="10301" spans="1:11" s="90" customFormat="1" ht="12.75" customHeight="1" x14ac:dyDescent="0.2">
      <c r="A10301" s="247"/>
      <c r="B10301" s="251"/>
      <c r="C10301" s="248"/>
      <c r="D10301" s="248"/>
      <c r="E10301" s="250"/>
      <c r="F10301" s="247"/>
      <c r="G10301" s="252"/>
      <c r="H10301" s="248"/>
      <c r="I10301" s="248"/>
      <c r="J10301" s="247"/>
      <c r="K10301" s="249"/>
    </row>
    <row r="10302" spans="1:11" s="90" customFormat="1" ht="12.75" customHeight="1" x14ac:dyDescent="0.2">
      <c r="A10302" s="247"/>
      <c r="B10302" s="251"/>
      <c r="C10302" s="248"/>
      <c r="D10302" s="248"/>
      <c r="E10302" s="250"/>
      <c r="F10302" s="247"/>
      <c r="G10302" s="252"/>
      <c r="H10302" s="248"/>
      <c r="I10302" s="248"/>
      <c r="J10302" s="247"/>
      <c r="K10302" s="249"/>
    </row>
    <row r="10303" spans="1:11" s="90" customFormat="1" ht="12.75" customHeight="1" x14ac:dyDescent="0.2">
      <c r="A10303" s="247"/>
      <c r="B10303" s="251"/>
      <c r="C10303" s="248"/>
      <c r="D10303" s="248"/>
      <c r="E10303" s="250"/>
      <c r="F10303" s="247"/>
      <c r="G10303" s="252"/>
      <c r="H10303" s="248"/>
      <c r="I10303" s="248"/>
      <c r="J10303" s="247"/>
      <c r="K10303" s="249"/>
    </row>
    <row r="10304" spans="1:11" s="90" customFormat="1" ht="12.75" customHeight="1" x14ac:dyDescent="0.2">
      <c r="A10304" s="247"/>
      <c r="B10304" s="251"/>
      <c r="C10304" s="248"/>
      <c r="D10304" s="248"/>
      <c r="E10304" s="250"/>
      <c r="F10304" s="247"/>
      <c r="G10304" s="252"/>
      <c r="H10304" s="248"/>
      <c r="I10304" s="248"/>
      <c r="J10304" s="247"/>
      <c r="K10304" s="249"/>
    </row>
    <row r="10305" spans="1:11" s="90" customFormat="1" ht="12.75" customHeight="1" x14ac:dyDescent="0.2">
      <c r="A10305" s="247"/>
      <c r="B10305" s="251"/>
      <c r="C10305" s="248"/>
      <c r="D10305" s="248"/>
      <c r="E10305" s="250"/>
      <c r="F10305" s="247"/>
      <c r="G10305" s="252"/>
      <c r="H10305" s="248"/>
      <c r="I10305" s="248"/>
      <c r="J10305" s="247"/>
      <c r="K10305" s="249"/>
    </row>
    <row r="10306" spans="1:11" s="90" customFormat="1" ht="12.75" customHeight="1" x14ac:dyDescent="0.2">
      <c r="A10306" s="247"/>
      <c r="B10306" s="251"/>
      <c r="C10306" s="248"/>
      <c r="D10306" s="248"/>
      <c r="E10306" s="250"/>
      <c r="F10306" s="247"/>
      <c r="G10306" s="252"/>
      <c r="H10306" s="248"/>
      <c r="I10306" s="248"/>
      <c r="J10306" s="247"/>
      <c r="K10306" s="249"/>
    </row>
    <row r="10307" spans="1:11" s="90" customFormat="1" ht="12.75" customHeight="1" x14ac:dyDescent="0.2">
      <c r="A10307" s="247"/>
      <c r="B10307" s="251"/>
      <c r="C10307" s="248"/>
      <c r="D10307" s="248"/>
      <c r="E10307" s="250"/>
      <c r="F10307" s="247"/>
      <c r="G10307" s="252"/>
      <c r="H10307" s="248"/>
      <c r="I10307" s="248"/>
      <c r="J10307" s="247"/>
      <c r="K10307" s="249"/>
    </row>
    <row r="10308" spans="1:11" s="90" customFormat="1" ht="12.75" customHeight="1" x14ac:dyDescent="0.2">
      <c r="A10308" s="247"/>
      <c r="B10308" s="251"/>
      <c r="C10308" s="248"/>
      <c r="D10308" s="248"/>
      <c r="E10308" s="250"/>
      <c r="F10308" s="247"/>
      <c r="G10308" s="252"/>
      <c r="H10308" s="248"/>
      <c r="I10308" s="248"/>
      <c r="J10308" s="247"/>
      <c r="K10308" s="249"/>
    </row>
    <row r="10309" spans="1:11" s="90" customFormat="1" ht="12.75" customHeight="1" x14ac:dyDescent="0.2">
      <c r="A10309" s="247"/>
      <c r="B10309" s="251"/>
      <c r="C10309" s="248"/>
      <c r="D10309" s="248"/>
      <c r="E10309" s="250"/>
      <c r="F10309" s="247"/>
      <c r="G10309" s="252"/>
      <c r="H10309" s="248"/>
      <c r="I10309" s="248"/>
      <c r="J10309" s="247"/>
      <c r="K10309" s="249"/>
    </row>
    <row r="10310" spans="1:11" s="90" customFormat="1" ht="12.75" customHeight="1" x14ac:dyDescent="0.2">
      <c r="A10310" s="247"/>
      <c r="B10310" s="251"/>
      <c r="C10310" s="248"/>
      <c r="D10310" s="248"/>
      <c r="E10310" s="250"/>
      <c r="F10310" s="247"/>
      <c r="G10310" s="252"/>
      <c r="H10310" s="248"/>
      <c r="I10310" s="248"/>
      <c r="J10310" s="247"/>
      <c r="K10310" s="249"/>
    </row>
    <row r="10311" spans="1:11" s="90" customFormat="1" ht="12.75" customHeight="1" x14ac:dyDescent="0.2">
      <c r="A10311" s="247"/>
      <c r="B10311" s="251"/>
      <c r="C10311" s="248"/>
      <c r="D10311" s="248"/>
      <c r="E10311" s="250"/>
      <c r="F10311" s="247"/>
      <c r="G10311" s="252"/>
      <c r="H10311" s="248"/>
      <c r="I10311" s="248"/>
      <c r="J10311" s="247"/>
      <c r="K10311" s="249"/>
    </row>
    <row r="10312" spans="1:11" s="90" customFormat="1" ht="12.75" customHeight="1" x14ac:dyDescent="0.2">
      <c r="A10312" s="247"/>
      <c r="B10312" s="251"/>
      <c r="C10312" s="248"/>
      <c r="D10312" s="248"/>
      <c r="E10312" s="250"/>
      <c r="F10312" s="247"/>
      <c r="G10312" s="252"/>
      <c r="H10312" s="248"/>
      <c r="I10312" s="248"/>
      <c r="J10312" s="247"/>
      <c r="K10312" s="249"/>
    </row>
    <row r="10313" spans="1:11" s="90" customFormat="1" ht="12.75" customHeight="1" x14ac:dyDescent="0.2">
      <c r="A10313" s="247"/>
      <c r="B10313" s="251"/>
      <c r="C10313" s="248"/>
      <c r="D10313" s="248"/>
      <c r="E10313" s="250"/>
      <c r="F10313" s="247"/>
      <c r="G10313" s="252"/>
      <c r="H10313" s="248"/>
      <c r="I10313" s="248"/>
      <c r="J10313" s="247"/>
      <c r="K10313" s="249"/>
    </row>
    <row r="10314" spans="1:11" s="90" customFormat="1" ht="12.75" customHeight="1" x14ac:dyDescent="0.2">
      <c r="A10314" s="247"/>
      <c r="B10314" s="251"/>
      <c r="C10314" s="248"/>
      <c r="D10314" s="248"/>
      <c r="E10314" s="250"/>
      <c r="F10314" s="247"/>
      <c r="G10314" s="252"/>
      <c r="H10314" s="248"/>
      <c r="I10314" s="248"/>
      <c r="J10314" s="247"/>
      <c r="K10314" s="249"/>
    </row>
    <row r="10315" spans="1:11" s="90" customFormat="1" ht="12.75" customHeight="1" x14ac:dyDescent="0.2">
      <c r="A10315" s="247"/>
      <c r="B10315" s="251"/>
      <c r="C10315" s="248"/>
      <c r="D10315" s="248"/>
      <c r="E10315" s="250"/>
      <c r="F10315" s="247"/>
      <c r="G10315" s="252"/>
      <c r="H10315" s="248"/>
      <c r="I10315" s="248"/>
      <c r="J10315" s="247"/>
      <c r="K10315" s="249"/>
    </row>
    <row r="10316" spans="1:11" s="90" customFormat="1" ht="12.75" customHeight="1" x14ac:dyDescent="0.2">
      <c r="A10316" s="247"/>
      <c r="B10316" s="251"/>
      <c r="C10316" s="248"/>
      <c r="D10316" s="248"/>
      <c r="E10316" s="250"/>
      <c r="F10316" s="247"/>
      <c r="G10316" s="252"/>
      <c r="H10316" s="248"/>
      <c r="I10316" s="248"/>
      <c r="J10316" s="247"/>
      <c r="K10316" s="249"/>
    </row>
    <row r="10317" spans="1:11" s="90" customFormat="1" ht="12.75" customHeight="1" x14ac:dyDescent="0.2">
      <c r="A10317" s="247"/>
      <c r="B10317" s="251"/>
      <c r="C10317" s="248"/>
      <c r="D10317" s="248"/>
      <c r="E10317" s="250"/>
      <c r="F10317" s="247"/>
      <c r="G10317" s="252"/>
      <c r="H10317" s="248"/>
      <c r="I10317" s="248"/>
      <c r="J10317" s="247"/>
      <c r="K10317" s="249"/>
    </row>
    <row r="10318" spans="1:11" s="90" customFormat="1" ht="12.75" customHeight="1" x14ac:dyDescent="0.2">
      <c r="A10318" s="247"/>
      <c r="B10318" s="251"/>
      <c r="C10318" s="248"/>
      <c r="D10318" s="248"/>
      <c r="E10318" s="250"/>
      <c r="F10318" s="247"/>
      <c r="G10318" s="252"/>
      <c r="H10318" s="248"/>
      <c r="I10318" s="248"/>
      <c r="J10318" s="247"/>
      <c r="K10318" s="249"/>
    </row>
    <row r="10319" spans="1:11" s="90" customFormat="1" ht="12.75" customHeight="1" x14ac:dyDescent="0.2">
      <c r="A10319" s="247"/>
      <c r="B10319" s="251"/>
      <c r="C10319" s="248"/>
      <c r="D10319" s="248"/>
      <c r="E10319" s="250"/>
      <c r="F10319" s="247"/>
      <c r="G10319" s="252"/>
      <c r="H10319" s="248"/>
      <c r="I10319" s="248"/>
      <c r="J10319" s="247"/>
      <c r="K10319" s="249"/>
    </row>
    <row r="10320" spans="1:11" s="90" customFormat="1" ht="12.75" customHeight="1" x14ac:dyDescent="0.2">
      <c r="A10320" s="247"/>
      <c r="B10320" s="251"/>
      <c r="C10320" s="248"/>
      <c r="D10320" s="248"/>
      <c r="E10320" s="250"/>
      <c r="F10320" s="247"/>
      <c r="G10320" s="252"/>
      <c r="H10320" s="248"/>
      <c r="I10320" s="248"/>
      <c r="J10320" s="247"/>
      <c r="K10320" s="249"/>
    </row>
    <row r="10321" spans="1:11" s="90" customFormat="1" ht="12.75" customHeight="1" x14ac:dyDescent="0.2">
      <c r="A10321" s="247"/>
      <c r="B10321" s="251"/>
      <c r="C10321" s="248"/>
      <c r="D10321" s="248"/>
      <c r="E10321" s="250"/>
      <c r="F10321" s="247"/>
      <c r="G10321" s="252"/>
      <c r="H10321" s="248"/>
      <c r="I10321" s="248"/>
      <c r="J10321" s="247"/>
      <c r="K10321" s="249"/>
    </row>
    <row r="10322" spans="1:11" s="90" customFormat="1" ht="12.75" customHeight="1" x14ac:dyDescent="0.2">
      <c r="A10322" s="247"/>
      <c r="B10322" s="251"/>
      <c r="C10322" s="248"/>
      <c r="D10322" s="248"/>
      <c r="E10322" s="250"/>
      <c r="F10322" s="247"/>
      <c r="G10322" s="252"/>
      <c r="H10322" s="248"/>
      <c r="I10322" s="248"/>
      <c r="J10322" s="247"/>
      <c r="K10322" s="249"/>
    </row>
    <row r="10323" spans="1:11" s="90" customFormat="1" ht="12.75" customHeight="1" x14ac:dyDescent="0.2">
      <c r="A10323" s="247"/>
      <c r="B10323" s="251"/>
      <c r="C10323" s="248"/>
      <c r="D10323" s="248"/>
      <c r="E10323" s="250"/>
      <c r="F10323" s="247"/>
      <c r="G10323" s="252"/>
      <c r="H10323" s="248"/>
      <c r="I10323" s="248"/>
      <c r="J10323" s="247"/>
      <c r="K10323" s="249"/>
    </row>
    <row r="10324" spans="1:11" s="90" customFormat="1" ht="12.75" customHeight="1" x14ac:dyDescent="0.2">
      <c r="A10324" s="247"/>
      <c r="B10324" s="251"/>
      <c r="C10324" s="248"/>
      <c r="D10324" s="248"/>
      <c r="E10324" s="250"/>
      <c r="F10324" s="247"/>
      <c r="G10324" s="252"/>
      <c r="H10324" s="248"/>
      <c r="I10324" s="248"/>
      <c r="J10324" s="247"/>
      <c r="K10324" s="249"/>
    </row>
    <row r="10325" spans="1:11" s="90" customFormat="1" ht="12.75" customHeight="1" x14ac:dyDescent="0.2">
      <c r="A10325" s="247"/>
      <c r="B10325" s="251"/>
      <c r="C10325" s="248"/>
      <c r="D10325" s="248"/>
      <c r="E10325" s="250"/>
      <c r="F10325" s="247"/>
      <c r="G10325" s="252"/>
      <c r="H10325" s="248"/>
      <c r="I10325" s="248"/>
      <c r="J10325" s="247"/>
      <c r="K10325" s="249"/>
    </row>
    <row r="10326" spans="1:11" s="90" customFormat="1" ht="12.75" customHeight="1" x14ac:dyDescent="0.2">
      <c r="A10326" s="247"/>
      <c r="B10326" s="251"/>
      <c r="C10326" s="248"/>
      <c r="D10326" s="248"/>
      <c r="E10326" s="250"/>
      <c r="F10326" s="247"/>
      <c r="G10326" s="252"/>
      <c r="H10326" s="248"/>
      <c r="I10326" s="248"/>
      <c r="J10326" s="247"/>
      <c r="K10326" s="249"/>
    </row>
    <row r="10327" spans="1:11" s="90" customFormat="1" ht="12.75" customHeight="1" x14ac:dyDescent="0.2">
      <c r="A10327" s="247"/>
      <c r="B10327" s="251"/>
      <c r="C10327" s="248"/>
      <c r="D10327" s="248"/>
      <c r="E10327" s="250"/>
      <c r="F10327" s="247"/>
      <c r="G10327" s="252"/>
      <c r="H10327" s="248"/>
      <c r="I10327" s="248"/>
      <c r="J10327" s="247"/>
      <c r="K10327" s="249"/>
    </row>
    <row r="10328" spans="1:11" s="90" customFormat="1" ht="12.75" customHeight="1" x14ac:dyDescent="0.2">
      <c r="A10328" s="247"/>
      <c r="B10328" s="251"/>
      <c r="C10328" s="248"/>
      <c r="D10328" s="248"/>
      <c r="E10328" s="250"/>
      <c r="F10328" s="247"/>
      <c r="G10328" s="252"/>
      <c r="H10328" s="248"/>
      <c r="I10328" s="248"/>
      <c r="J10328" s="247"/>
      <c r="K10328" s="249"/>
    </row>
    <row r="10329" spans="1:11" s="90" customFormat="1" ht="12.75" customHeight="1" x14ac:dyDescent="0.2">
      <c r="A10329" s="247"/>
      <c r="B10329" s="251"/>
      <c r="C10329" s="248"/>
      <c r="D10329" s="248"/>
      <c r="E10329" s="250"/>
      <c r="F10329" s="247"/>
      <c r="G10329" s="252"/>
      <c r="H10329" s="248"/>
      <c r="I10329" s="248"/>
      <c r="J10329" s="247"/>
      <c r="K10329" s="249"/>
    </row>
    <row r="10330" spans="1:11" s="90" customFormat="1" ht="12.75" customHeight="1" x14ac:dyDescent="0.2">
      <c r="A10330" s="247"/>
      <c r="B10330" s="251"/>
      <c r="C10330" s="248"/>
      <c r="D10330" s="248"/>
      <c r="E10330" s="250"/>
      <c r="F10330" s="247"/>
      <c r="G10330" s="252"/>
      <c r="H10330" s="248"/>
      <c r="I10330" s="248"/>
      <c r="J10330" s="247"/>
      <c r="K10330" s="249"/>
    </row>
    <row r="10331" spans="1:11" s="90" customFormat="1" ht="12.75" customHeight="1" x14ac:dyDescent="0.2">
      <c r="A10331" s="247"/>
      <c r="B10331" s="251"/>
      <c r="C10331" s="248"/>
      <c r="D10331" s="248"/>
      <c r="E10331" s="250"/>
      <c r="F10331" s="247"/>
      <c r="G10331" s="252"/>
      <c r="H10331" s="248"/>
      <c r="I10331" s="248"/>
      <c r="J10331" s="247"/>
      <c r="K10331" s="249"/>
    </row>
    <row r="10332" spans="1:11" s="90" customFormat="1" ht="12.75" customHeight="1" x14ac:dyDescent="0.2">
      <c r="A10332" s="247"/>
      <c r="B10332" s="251"/>
      <c r="C10332" s="248"/>
      <c r="D10332" s="248"/>
      <c r="E10332" s="250"/>
      <c r="F10332" s="247"/>
      <c r="G10332" s="252"/>
      <c r="H10332" s="248"/>
      <c r="I10332" s="248"/>
      <c r="J10332" s="247"/>
      <c r="K10332" s="249"/>
    </row>
    <row r="10333" spans="1:11" s="90" customFormat="1" ht="12.75" customHeight="1" x14ac:dyDescent="0.2">
      <c r="A10333" s="247"/>
      <c r="B10333" s="251"/>
      <c r="C10333" s="248"/>
      <c r="D10333" s="248"/>
      <c r="E10333" s="250"/>
      <c r="F10333" s="247"/>
      <c r="G10333" s="252"/>
      <c r="H10333" s="248"/>
      <c r="I10333" s="248"/>
      <c r="J10333" s="247"/>
      <c r="K10333" s="249"/>
    </row>
    <row r="10334" spans="1:11" s="90" customFormat="1" ht="12.75" customHeight="1" x14ac:dyDescent="0.2">
      <c r="A10334" s="247"/>
      <c r="B10334" s="251"/>
      <c r="C10334" s="248"/>
      <c r="D10334" s="248"/>
      <c r="E10334" s="250"/>
      <c r="F10334" s="247"/>
      <c r="G10334" s="252"/>
      <c r="H10334" s="248"/>
      <c r="I10334" s="248"/>
      <c r="J10334" s="247"/>
      <c r="K10334" s="249"/>
    </row>
    <row r="10335" spans="1:11" s="90" customFormat="1" ht="12.75" customHeight="1" x14ac:dyDescent="0.2">
      <c r="A10335" s="247"/>
      <c r="B10335" s="251"/>
      <c r="C10335" s="248"/>
      <c r="D10335" s="248"/>
      <c r="E10335" s="250"/>
      <c r="F10335" s="247"/>
      <c r="G10335" s="252"/>
      <c r="H10335" s="248"/>
      <c r="I10335" s="248"/>
      <c r="J10335" s="247"/>
      <c r="K10335" s="249"/>
    </row>
    <row r="10336" spans="1:11" s="90" customFormat="1" ht="12.75" customHeight="1" x14ac:dyDescent="0.2">
      <c r="A10336" s="247"/>
      <c r="B10336" s="251"/>
      <c r="C10336" s="248"/>
      <c r="D10336" s="248"/>
      <c r="E10336" s="250"/>
      <c r="F10336" s="247"/>
      <c r="G10336" s="252"/>
      <c r="H10336" s="248"/>
      <c r="I10336" s="248"/>
      <c r="J10336" s="247"/>
      <c r="K10336" s="249"/>
    </row>
    <row r="10337" spans="1:11" s="90" customFormat="1" ht="12.75" customHeight="1" x14ac:dyDescent="0.2">
      <c r="A10337" s="247"/>
      <c r="B10337" s="251"/>
      <c r="C10337" s="248"/>
      <c r="D10337" s="248"/>
      <c r="E10337" s="250"/>
      <c r="F10337" s="247"/>
      <c r="G10337" s="252"/>
      <c r="H10337" s="248"/>
      <c r="I10337" s="248"/>
      <c r="J10337" s="247"/>
      <c r="K10337" s="249"/>
    </row>
    <row r="10338" spans="1:11" s="90" customFormat="1" ht="12.75" customHeight="1" x14ac:dyDescent="0.2">
      <c r="A10338" s="247"/>
      <c r="B10338" s="251"/>
      <c r="C10338" s="248"/>
      <c r="D10338" s="248"/>
      <c r="E10338" s="250"/>
      <c r="F10338" s="247"/>
      <c r="G10338" s="252"/>
      <c r="H10338" s="248"/>
      <c r="I10338" s="248"/>
      <c r="J10338" s="247"/>
      <c r="K10338" s="249"/>
    </row>
    <row r="10339" spans="1:11" s="90" customFormat="1" ht="12.75" customHeight="1" x14ac:dyDescent="0.2">
      <c r="A10339" s="247"/>
      <c r="B10339" s="251"/>
      <c r="C10339" s="248"/>
      <c r="D10339" s="248"/>
      <c r="E10339" s="250"/>
      <c r="F10339" s="247"/>
      <c r="G10339" s="252"/>
      <c r="H10339" s="248"/>
      <c r="I10339" s="248"/>
      <c r="J10339" s="247"/>
      <c r="K10339" s="249"/>
    </row>
    <row r="10340" spans="1:11" s="90" customFormat="1" ht="12.75" customHeight="1" x14ac:dyDescent="0.2">
      <c r="A10340" s="247"/>
      <c r="B10340" s="251"/>
      <c r="C10340" s="248"/>
      <c r="D10340" s="248"/>
      <c r="E10340" s="250"/>
      <c r="F10340" s="247"/>
      <c r="G10340" s="252"/>
      <c r="H10340" s="248"/>
      <c r="I10340" s="248"/>
      <c r="J10340" s="247"/>
      <c r="K10340" s="249"/>
    </row>
    <row r="10341" spans="1:11" s="90" customFormat="1" ht="12.75" customHeight="1" x14ac:dyDescent="0.2">
      <c r="A10341" s="247"/>
      <c r="B10341" s="251"/>
      <c r="C10341" s="248"/>
      <c r="D10341" s="248"/>
      <c r="E10341" s="250"/>
      <c r="F10341" s="247"/>
      <c r="G10341" s="252"/>
      <c r="H10341" s="248"/>
      <c r="I10341" s="248"/>
      <c r="J10341" s="247"/>
      <c r="K10341" s="249"/>
    </row>
    <row r="10342" spans="1:11" s="90" customFormat="1" ht="12.75" customHeight="1" x14ac:dyDescent="0.2">
      <c r="A10342" s="247"/>
      <c r="B10342" s="251"/>
      <c r="C10342" s="248"/>
      <c r="D10342" s="248"/>
      <c r="E10342" s="250"/>
      <c r="F10342" s="247"/>
      <c r="G10342" s="252"/>
      <c r="H10342" s="248"/>
      <c r="I10342" s="248"/>
      <c r="J10342" s="247"/>
      <c r="K10342" s="249"/>
    </row>
    <row r="10343" spans="1:11" s="90" customFormat="1" ht="12.75" customHeight="1" x14ac:dyDescent="0.2">
      <c r="A10343" s="247"/>
      <c r="B10343" s="251"/>
      <c r="C10343" s="248"/>
      <c r="D10343" s="248"/>
      <c r="E10343" s="250"/>
      <c r="F10343" s="247"/>
      <c r="G10343" s="252"/>
      <c r="H10343" s="248"/>
      <c r="I10343" s="248"/>
      <c r="J10343" s="247"/>
      <c r="K10343" s="249"/>
    </row>
    <row r="10344" spans="1:11" s="90" customFormat="1" ht="12.75" customHeight="1" x14ac:dyDescent="0.2">
      <c r="A10344" s="247"/>
      <c r="B10344" s="251"/>
      <c r="C10344" s="248"/>
      <c r="D10344" s="248"/>
      <c r="E10344" s="250"/>
      <c r="F10344" s="247"/>
      <c r="G10344" s="252"/>
      <c r="H10344" s="248"/>
      <c r="I10344" s="248"/>
      <c r="J10344" s="247"/>
      <c r="K10344" s="249"/>
    </row>
    <row r="10345" spans="1:11" s="90" customFormat="1" ht="12.75" customHeight="1" x14ac:dyDescent="0.2">
      <c r="A10345" s="247"/>
      <c r="B10345" s="251"/>
      <c r="C10345" s="248"/>
      <c r="D10345" s="248"/>
      <c r="E10345" s="250"/>
      <c r="F10345" s="247"/>
      <c r="G10345" s="252"/>
      <c r="H10345" s="248"/>
      <c r="I10345" s="248"/>
      <c r="J10345" s="247"/>
      <c r="K10345" s="249"/>
    </row>
    <row r="10346" spans="1:11" s="90" customFormat="1" ht="12.75" customHeight="1" x14ac:dyDescent="0.2">
      <c r="A10346" s="247"/>
      <c r="B10346" s="251"/>
      <c r="C10346" s="248"/>
      <c r="D10346" s="248"/>
      <c r="E10346" s="250"/>
      <c r="F10346" s="247"/>
      <c r="G10346" s="252"/>
      <c r="H10346" s="248"/>
      <c r="I10346" s="248"/>
      <c r="J10346" s="247"/>
      <c r="K10346" s="249"/>
    </row>
    <row r="10347" spans="1:11" s="90" customFormat="1" ht="12.75" customHeight="1" x14ac:dyDescent="0.2">
      <c r="A10347" s="247"/>
      <c r="B10347" s="251"/>
      <c r="C10347" s="248"/>
      <c r="D10347" s="248"/>
      <c r="E10347" s="250"/>
      <c r="F10347" s="247"/>
      <c r="G10347" s="252"/>
      <c r="H10347" s="248"/>
      <c r="I10347" s="248"/>
      <c r="J10347" s="247"/>
      <c r="K10347" s="249"/>
    </row>
    <row r="10348" spans="1:11" s="90" customFormat="1" ht="12.75" customHeight="1" x14ac:dyDescent="0.2">
      <c r="A10348" s="247"/>
      <c r="B10348" s="251"/>
      <c r="C10348" s="248"/>
      <c r="D10348" s="248"/>
      <c r="E10348" s="250"/>
      <c r="F10348" s="247"/>
      <c r="G10348" s="252"/>
      <c r="H10348" s="248"/>
      <c r="I10348" s="248"/>
      <c r="J10348" s="247"/>
      <c r="K10348" s="249"/>
    </row>
    <row r="10349" spans="1:11" s="90" customFormat="1" ht="12.75" customHeight="1" x14ac:dyDescent="0.2">
      <c r="A10349" s="247"/>
      <c r="B10349" s="251"/>
      <c r="C10349" s="248"/>
      <c r="D10349" s="248"/>
      <c r="E10349" s="250"/>
      <c r="F10349" s="247"/>
      <c r="G10349" s="252"/>
      <c r="H10349" s="248"/>
      <c r="I10349" s="248"/>
      <c r="J10349" s="247"/>
      <c r="K10349" s="249"/>
    </row>
    <row r="10350" spans="1:11" s="90" customFormat="1" ht="12.75" customHeight="1" x14ac:dyDescent="0.2">
      <c r="A10350" s="247"/>
      <c r="B10350" s="251"/>
      <c r="C10350" s="248"/>
      <c r="D10350" s="248"/>
      <c r="E10350" s="250"/>
      <c r="F10350" s="247"/>
      <c r="G10350" s="252"/>
      <c r="H10350" s="248"/>
      <c r="I10350" s="248"/>
      <c r="J10350" s="247"/>
      <c r="K10350" s="249"/>
    </row>
    <row r="10351" spans="1:11" s="90" customFormat="1" ht="12.75" customHeight="1" x14ac:dyDescent="0.2">
      <c r="A10351" s="247"/>
      <c r="B10351" s="251"/>
      <c r="C10351" s="248"/>
      <c r="D10351" s="248"/>
      <c r="E10351" s="250"/>
      <c r="F10351" s="247"/>
      <c r="G10351" s="252"/>
      <c r="H10351" s="248"/>
      <c r="I10351" s="248"/>
      <c r="J10351" s="247"/>
      <c r="K10351" s="249"/>
    </row>
    <row r="10352" spans="1:11" s="90" customFormat="1" ht="12.75" customHeight="1" x14ac:dyDescent="0.2">
      <c r="A10352" s="247"/>
      <c r="B10352" s="251"/>
      <c r="C10352" s="248"/>
      <c r="D10352" s="248"/>
      <c r="E10352" s="250"/>
      <c r="F10352" s="247"/>
      <c r="G10352" s="252"/>
      <c r="H10352" s="248"/>
      <c r="I10352" s="248"/>
      <c r="J10352" s="247"/>
      <c r="K10352" s="249"/>
    </row>
    <row r="10353" spans="1:11" s="90" customFormat="1" ht="12.75" customHeight="1" x14ac:dyDescent="0.2">
      <c r="A10353" s="247"/>
      <c r="B10353" s="251"/>
      <c r="C10353" s="248"/>
      <c r="D10353" s="248"/>
      <c r="E10353" s="250"/>
      <c r="F10353" s="247"/>
      <c r="G10353" s="252"/>
      <c r="H10353" s="248"/>
      <c r="I10353" s="248"/>
      <c r="J10353" s="247"/>
      <c r="K10353" s="249"/>
    </row>
    <row r="10354" spans="1:11" s="90" customFormat="1" ht="12.75" customHeight="1" x14ac:dyDescent="0.2">
      <c r="A10354" s="247"/>
      <c r="B10354" s="251"/>
      <c r="C10354" s="248"/>
      <c r="D10354" s="248"/>
      <c r="E10354" s="250"/>
      <c r="F10354" s="247"/>
      <c r="G10354" s="252"/>
      <c r="H10354" s="248"/>
      <c r="I10354" s="248"/>
      <c r="J10354" s="247"/>
      <c r="K10354" s="249"/>
    </row>
    <row r="10355" spans="1:11" s="90" customFormat="1" ht="12.75" customHeight="1" x14ac:dyDescent="0.2">
      <c r="A10355" s="247"/>
      <c r="B10355" s="251"/>
      <c r="C10355" s="248"/>
      <c r="D10355" s="248"/>
      <c r="E10355" s="250"/>
      <c r="F10355" s="247"/>
      <c r="G10355" s="252"/>
      <c r="H10355" s="248"/>
      <c r="I10355" s="248"/>
      <c r="J10355" s="247"/>
      <c r="K10355" s="249"/>
    </row>
    <row r="10356" spans="1:11" s="90" customFormat="1" ht="12.75" customHeight="1" x14ac:dyDescent="0.2">
      <c r="A10356" s="247"/>
      <c r="B10356" s="251"/>
      <c r="C10356" s="248"/>
      <c r="D10356" s="248"/>
      <c r="E10356" s="250"/>
      <c r="F10356" s="247"/>
      <c r="G10356" s="252"/>
      <c r="H10356" s="248"/>
      <c r="I10356" s="248"/>
      <c r="J10356" s="247"/>
      <c r="K10356" s="249"/>
    </row>
    <row r="10357" spans="1:11" s="90" customFormat="1" ht="12.75" customHeight="1" x14ac:dyDescent="0.2">
      <c r="A10357" s="247"/>
      <c r="B10357" s="251"/>
      <c r="C10357" s="248"/>
      <c r="D10357" s="248"/>
      <c r="E10357" s="250"/>
      <c r="F10357" s="247"/>
      <c r="G10357" s="252"/>
      <c r="H10357" s="248"/>
      <c r="I10357" s="248"/>
      <c r="J10357" s="247"/>
      <c r="K10357" s="249"/>
    </row>
    <row r="10358" spans="1:11" s="90" customFormat="1" ht="12.75" customHeight="1" x14ac:dyDescent="0.2">
      <c r="A10358" s="247"/>
      <c r="B10358" s="251"/>
      <c r="C10358" s="248"/>
      <c r="D10358" s="248"/>
      <c r="E10358" s="250"/>
      <c r="F10358" s="247"/>
      <c r="G10358" s="252"/>
      <c r="H10358" s="248"/>
      <c r="I10358" s="248"/>
      <c r="J10358" s="247"/>
      <c r="K10358" s="249"/>
    </row>
    <row r="10359" spans="1:11" s="90" customFormat="1" ht="12.75" customHeight="1" x14ac:dyDescent="0.2">
      <c r="A10359" s="247"/>
      <c r="B10359" s="251"/>
      <c r="C10359" s="248"/>
      <c r="D10359" s="248"/>
      <c r="E10359" s="250"/>
      <c r="F10359" s="247"/>
      <c r="G10359" s="252"/>
      <c r="H10359" s="248"/>
      <c r="I10359" s="248"/>
      <c r="J10359" s="247"/>
      <c r="K10359" s="249"/>
    </row>
    <row r="10360" spans="1:11" s="90" customFormat="1" ht="12.75" customHeight="1" x14ac:dyDescent="0.2">
      <c r="A10360" s="247"/>
      <c r="B10360" s="251"/>
      <c r="C10360" s="248"/>
      <c r="D10360" s="248"/>
      <c r="E10360" s="250"/>
      <c r="F10360" s="247"/>
      <c r="G10360" s="252"/>
      <c r="H10360" s="248"/>
      <c r="I10360" s="248"/>
      <c r="J10360" s="247"/>
      <c r="K10360" s="249"/>
    </row>
    <row r="10361" spans="1:11" s="90" customFormat="1" ht="12.75" customHeight="1" x14ac:dyDescent="0.2">
      <c r="A10361" s="247"/>
      <c r="B10361" s="251"/>
      <c r="C10361" s="248"/>
      <c r="D10361" s="248"/>
      <c r="E10361" s="250"/>
      <c r="F10361" s="247"/>
      <c r="G10361" s="252"/>
      <c r="H10361" s="248"/>
      <c r="I10361" s="248"/>
      <c r="J10361" s="247"/>
      <c r="K10361" s="249"/>
    </row>
    <row r="10362" spans="1:11" s="90" customFormat="1" ht="12.75" customHeight="1" x14ac:dyDescent="0.2">
      <c r="A10362" s="247"/>
      <c r="B10362" s="251"/>
      <c r="C10362" s="248"/>
      <c r="D10362" s="248"/>
      <c r="E10362" s="250"/>
      <c r="F10362" s="247"/>
      <c r="G10362" s="252"/>
      <c r="H10362" s="248"/>
      <c r="I10362" s="248"/>
      <c r="J10362" s="247"/>
      <c r="K10362" s="249"/>
    </row>
    <row r="10363" spans="1:11" s="90" customFormat="1" ht="12.75" customHeight="1" x14ac:dyDescent="0.2">
      <c r="A10363" s="247"/>
      <c r="B10363" s="251"/>
      <c r="C10363" s="248"/>
      <c r="D10363" s="248"/>
      <c r="E10363" s="250"/>
      <c r="F10363" s="247"/>
      <c r="G10363" s="252"/>
      <c r="H10363" s="248"/>
      <c r="I10363" s="248"/>
      <c r="J10363" s="247"/>
      <c r="K10363" s="249"/>
    </row>
    <row r="10364" spans="1:11" s="90" customFormat="1" ht="12.75" customHeight="1" x14ac:dyDescent="0.2">
      <c r="A10364" s="247"/>
      <c r="B10364" s="251"/>
      <c r="C10364" s="248"/>
      <c r="D10364" s="248"/>
      <c r="E10364" s="250"/>
      <c r="F10364" s="247"/>
      <c r="G10364" s="252"/>
      <c r="H10364" s="248"/>
      <c r="I10364" s="248"/>
      <c r="J10364" s="247"/>
      <c r="K10364" s="249"/>
    </row>
    <row r="10365" spans="1:11" s="90" customFormat="1" ht="12.75" customHeight="1" x14ac:dyDescent="0.2">
      <c r="A10365" s="247"/>
      <c r="B10365" s="251"/>
      <c r="C10365" s="248"/>
      <c r="D10365" s="248"/>
      <c r="E10365" s="250"/>
      <c r="F10365" s="247"/>
      <c r="G10365" s="252"/>
      <c r="H10365" s="248"/>
      <c r="I10365" s="248"/>
      <c r="J10365" s="247"/>
      <c r="K10365" s="249"/>
    </row>
    <row r="10366" spans="1:11" s="90" customFormat="1" ht="12.75" customHeight="1" x14ac:dyDescent="0.2">
      <c r="A10366" s="247"/>
      <c r="B10366" s="251"/>
      <c r="C10366" s="248"/>
      <c r="D10366" s="248"/>
      <c r="E10366" s="250"/>
      <c r="F10366" s="247"/>
      <c r="G10366" s="252"/>
      <c r="H10366" s="248"/>
      <c r="I10366" s="248"/>
      <c r="J10366" s="247"/>
      <c r="K10366" s="249"/>
    </row>
    <row r="10367" spans="1:11" s="90" customFormat="1" ht="12.75" customHeight="1" x14ac:dyDescent="0.2">
      <c r="A10367" s="247"/>
      <c r="B10367" s="251"/>
      <c r="C10367" s="248"/>
      <c r="D10367" s="248"/>
      <c r="E10367" s="250"/>
      <c r="F10367" s="247"/>
      <c r="G10367" s="252"/>
      <c r="H10367" s="248"/>
      <c r="I10367" s="248"/>
      <c r="J10367" s="247"/>
      <c r="K10367" s="249"/>
    </row>
    <row r="10368" spans="1:11" s="90" customFormat="1" ht="12.75" customHeight="1" x14ac:dyDescent="0.2">
      <c r="A10368" s="247"/>
      <c r="B10368" s="251"/>
      <c r="C10368" s="248"/>
      <c r="D10368" s="248"/>
      <c r="E10368" s="250"/>
      <c r="F10368" s="247"/>
      <c r="G10368" s="252"/>
      <c r="H10368" s="248"/>
      <c r="I10368" s="248"/>
      <c r="J10368" s="247"/>
      <c r="K10368" s="249"/>
    </row>
    <row r="10369" spans="1:11" s="90" customFormat="1" ht="12.75" customHeight="1" x14ac:dyDescent="0.2">
      <c r="A10369" s="247"/>
      <c r="B10369" s="251"/>
      <c r="C10369" s="248"/>
      <c r="D10369" s="248"/>
      <c r="E10369" s="250"/>
      <c r="F10369" s="247"/>
      <c r="G10369" s="252"/>
      <c r="H10369" s="248"/>
      <c r="I10369" s="248"/>
      <c r="J10369" s="247"/>
      <c r="K10369" s="249"/>
    </row>
    <row r="10370" spans="1:11" s="90" customFormat="1" ht="12.75" customHeight="1" x14ac:dyDescent="0.2">
      <c r="A10370" s="247"/>
      <c r="B10370" s="251"/>
      <c r="C10370" s="248"/>
      <c r="D10370" s="248"/>
      <c r="E10370" s="250"/>
      <c r="F10370" s="247"/>
      <c r="G10370" s="252"/>
      <c r="H10370" s="248"/>
      <c r="I10370" s="248"/>
      <c r="J10370" s="247"/>
      <c r="K10370" s="249"/>
    </row>
    <row r="10371" spans="1:11" s="90" customFormat="1" ht="12.75" customHeight="1" x14ac:dyDescent="0.2">
      <c r="A10371" s="247"/>
      <c r="B10371" s="251"/>
      <c r="C10371" s="248"/>
      <c r="D10371" s="248"/>
      <c r="E10371" s="250"/>
      <c r="F10371" s="247"/>
      <c r="G10371" s="252"/>
      <c r="H10371" s="248"/>
      <c r="I10371" s="248"/>
      <c r="J10371" s="247"/>
      <c r="K10371" s="249"/>
    </row>
    <row r="10372" spans="1:11" s="90" customFormat="1" ht="12.75" customHeight="1" x14ac:dyDescent="0.2">
      <c r="A10372" s="247"/>
      <c r="B10372" s="251"/>
      <c r="C10372" s="248"/>
      <c r="D10372" s="248"/>
      <c r="E10372" s="250"/>
      <c r="F10372" s="247"/>
      <c r="G10372" s="252"/>
      <c r="H10372" s="248"/>
      <c r="I10372" s="248"/>
      <c r="J10372" s="247"/>
      <c r="K10372" s="249"/>
    </row>
    <row r="10373" spans="1:11" s="90" customFormat="1" ht="12.75" customHeight="1" x14ac:dyDescent="0.2">
      <c r="A10373" s="247"/>
      <c r="B10373" s="251"/>
      <c r="C10373" s="248"/>
      <c r="D10373" s="248"/>
      <c r="E10373" s="250"/>
      <c r="F10373" s="247"/>
      <c r="G10373" s="252"/>
      <c r="H10373" s="248"/>
      <c r="I10373" s="248"/>
      <c r="J10373" s="247"/>
      <c r="K10373" s="249"/>
    </row>
    <row r="10374" spans="1:11" s="90" customFormat="1" ht="12.75" customHeight="1" x14ac:dyDescent="0.2">
      <c r="A10374" s="247"/>
      <c r="B10374" s="251"/>
      <c r="C10374" s="248"/>
      <c r="D10374" s="248"/>
      <c r="E10374" s="250"/>
      <c r="F10374" s="247"/>
      <c r="G10374" s="252"/>
      <c r="H10374" s="248"/>
      <c r="I10374" s="248"/>
      <c r="J10374" s="247"/>
      <c r="K10374" s="249"/>
    </row>
    <row r="10375" spans="1:11" s="90" customFormat="1" ht="12.75" customHeight="1" x14ac:dyDescent="0.2">
      <c r="A10375" s="247"/>
      <c r="B10375" s="251"/>
      <c r="C10375" s="248"/>
      <c r="D10375" s="248"/>
      <c r="E10375" s="250"/>
      <c r="F10375" s="247"/>
      <c r="G10375" s="252"/>
      <c r="H10375" s="248"/>
      <c r="I10375" s="248"/>
      <c r="J10375" s="247"/>
      <c r="K10375" s="249"/>
    </row>
    <row r="10376" spans="1:11" s="90" customFormat="1" ht="12.75" customHeight="1" x14ac:dyDescent="0.2">
      <c r="A10376" s="247"/>
      <c r="B10376" s="251"/>
      <c r="C10376" s="248"/>
      <c r="D10376" s="248"/>
      <c r="E10376" s="250"/>
      <c r="F10376" s="247"/>
      <c r="G10376" s="252"/>
      <c r="H10376" s="248"/>
      <c r="I10376" s="248"/>
      <c r="J10376" s="247"/>
      <c r="K10376" s="249"/>
    </row>
    <row r="10377" spans="1:11" s="90" customFormat="1" ht="12.75" customHeight="1" x14ac:dyDescent="0.2">
      <c r="A10377" s="247"/>
      <c r="B10377" s="251"/>
      <c r="C10377" s="248"/>
      <c r="D10377" s="248"/>
      <c r="E10377" s="250"/>
      <c r="F10377" s="247"/>
      <c r="G10377" s="252"/>
      <c r="H10377" s="248"/>
      <c r="I10377" s="248"/>
      <c r="J10377" s="247"/>
      <c r="K10377" s="249"/>
    </row>
    <row r="10378" spans="1:11" s="90" customFormat="1" ht="12.75" customHeight="1" x14ac:dyDescent="0.2">
      <c r="A10378" s="247"/>
      <c r="B10378" s="251"/>
      <c r="C10378" s="248"/>
      <c r="D10378" s="248"/>
      <c r="E10378" s="250"/>
      <c r="F10378" s="247"/>
      <c r="G10378" s="252"/>
      <c r="H10378" s="248"/>
      <c r="I10378" s="248"/>
      <c r="J10378" s="247"/>
      <c r="K10378" s="249"/>
    </row>
    <row r="10379" spans="1:11" s="90" customFormat="1" ht="12.75" customHeight="1" x14ac:dyDescent="0.2">
      <c r="A10379" s="247"/>
      <c r="B10379" s="251"/>
      <c r="C10379" s="248"/>
      <c r="D10379" s="248"/>
      <c r="E10379" s="250"/>
      <c r="F10379" s="247"/>
      <c r="G10379" s="252"/>
      <c r="H10379" s="248"/>
      <c r="I10379" s="248"/>
      <c r="J10379" s="247"/>
      <c r="K10379" s="249"/>
    </row>
    <row r="10380" spans="1:11" s="90" customFormat="1" ht="12.75" customHeight="1" x14ac:dyDescent="0.2">
      <c r="A10380" s="247"/>
      <c r="B10380" s="251"/>
      <c r="C10380" s="248"/>
      <c r="D10380" s="248"/>
      <c r="E10380" s="250"/>
      <c r="F10380" s="247"/>
      <c r="G10380" s="252"/>
      <c r="H10380" s="248"/>
      <c r="I10380" s="248"/>
      <c r="J10380" s="247"/>
      <c r="K10380" s="249"/>
    </row>
    <row r="10381" spans="1:11" s="90" customFormat="1" ht="12.75" customHeight="1" x14ac:dyDescent="0.2">
      <c r="A10381" s="247"/>
      <c r="B10381" s="251"/>
      <c r="C10381" s="248"/>
      <c r="D10381" s="248"/>
      <c r="E10381" s="250"/>
      <c r="F10381" s="247"/>
      <c r="G10381" s="252"/>
      <c r="H10381" s="248"/>
      <c r="I10381" s="248"/>
      <c r="J10381" s="247"/>
      <c r="K10381" s="249"/>
    </row>
    <row r="10382" spans="1:11" s="90" customFormat="1" ht="12.75" customHeight="1" x14ac:dyDescent="0.2">
      <c r="A10382" s="247"/>
      <c r="B10382" s="251"/>
      <c r="C10382" s="248"/>
      <c r="D10382" s="248"/>
      <c r="E10382" s="250"/>
      <c r="F10382" s="247"/>
      <c r="G10382" s="252"/>
      <c r="H10382" s="248"/>
      <c r="I10382" s="248"/>
      <c r="J10382" s="247"/>
      <c r="K10382" s="249"/>
    </row>
    <row r="10383" spans="1:11" s="90" customFormat="1" ht="12.75" customHeight="1" x14ac:dyDescent="0.2">
      <c r="A10383" s="247"/>
      <c r="B10383" s="251"/>
      <c r="C10383" s="248"/>
      <c r="D10383" s="248"/>
      <c r="E10383" s="250"/>
      <c r="F10383" s="247"/>
      <c r="G10383" s="252"/>
      <c r="H10383" s="248"/>
      <c r="I10383" s="248"/>
      <c r="J10383" s="247"/>
      <c r="K10383" s="249"/>
    </row>
    <row r="10384" spans="1:11" s="90" customFormat="1" ht="12.75" customHeight="1" x14ac:dyDescent="0.2">
      <c r="A10384" s="247"/>
      <c r="B10384" s="251"/>
      <c r="C10384" s="248"/>
      <c r="D10384" s="248"/>
      <c r="E10384" s="250"/>
      <c r="F10384" s="247"/>
      <c r="G10384" s="252"/>
      <c r="H10384" s="248"/>
      <c r="I10384" s="248"/>
      <c r="J10384" s="247"/>
      <c r="K10384" s="249"/>
    </row>
    <row r="10385" spans="1:11" s="90" customFormat="1" ht="12.75" customHeight="1" x14ac:dyDescent="0.2">
      <c r="A10385" s="247"/>
      <c r="B10385" s="251"/>
      <c r="C10385" s="248"/>
      <c r="D10385" s="248"/>
      <c r="E10385" s="250"/>
      <c r="F10385" s="247"/>
      <c r="G10385" s="252"/>
      <c r="H10385" s="248"/>
      <c r="I10385" s="248"/>
      <c r="J10385" s="247"/>
      <c r="K10385" s="249"/>
    </row>
    <row r="10386" spans="1:11" s="90" customFormat="1" ht="12.75" customHeight="1" x14ac:dyDescent="0.2">
      <c r="A10386" s="247"/>
      <c r="B10386" s="251"/>
      <c r="C10386" s="248"/>
      <c r="D10386" s="248"/>
      <c r="E10386" s="250"/>
      <c r="F10386" s="247"/>
      <c r="G10386" s="252"/>
      <c r="H10386" s="248"/>
      <c r="I10386" s="248"/>
      <c r="J10386" s="247"/>
      <c r="K10386" s="249"/>
    </row>
    <row r="10387" spans="1:11" s="90" customFormat="1" ht="12.75" customHeight="1" x14ac:dyDescent="0.2">
      <c r="A10387" s="247"/>
      <c r="B10387" s="251"/>
      <c r="C10387" s="248"/>
      <c r="D10387" s="248"/>
      <c r="E10387" s="250"/>
      <c r="F10387" s="247"/>
      <c r="G10387" s="252"/>
      <c r="H10387" s="248"/>
      <c r="I10387" s="248"/>
      <c r="J10387" s="247"/>
      <c r="K10387" s="249"/>
    </row>
    <row r="10388" spans="1:11" s="90" customFormat="1" ht="12.75" customHeight="1" x14ac:dyDescent="0.2">
      <c r="A10388" s="247"/>
      <c r="B10388" s="251"/>
      <c r="C10388" s="248"/>
      <c r="D10388" s="248"/>
      <c r="E10388" s="250"/>
      <c r="F10388" s="247"/>
      <c r="G10388" s="252"/>
      <c r="H10388" s="248"/>
      <c r="I10388" s="248"/>
      <c r="J10388" s="247"/>
      <c r="K10388" s="249"/>
    </row>
    <row r="10389" spans="1:11" s="90" customFormat="1" ht="12.75" customHeight="1" x14ac:dyDescent="0.2">
      <c r="A10389" s="247"/>
      <c r="B10389" s="251"/>
      <c r="C10389" s="248"/>
      <c r="D10389" s="248"/>
      <c r="E10389" s="250"/>
      <c r="F10389" s="247"/>
      <c r="G10389" s="252"/>
      <c r="H10389" s="248"/>
      <c r="I10389" s="248"/>
      <c r="J10389" s="247"/>
      <c r="K10389" s="249"/>
    </row>
    <row r="10390" spans="1:11" s="90" customFormat="1" ht="12.75" customHeight="1" x14ac:dyDescent="0.2">
      <c r="A10390" s="247"/>
      <c r="B10390" s="251"/>
      <c r="C10390" s="248"/>
      <c r="D10390" s="248"/>
      <c r="E10390" s="250"/>
      <c r="F10390" s="247"/>
      <c r="G10390" s="252"/>
      <c r="H10390" s="248"/>
      <c r="I10390" s="248"/>
      <c r="J10390" s="247"/>
      <c r="K10390" s="249"/>
    </row>
    <row r="10391" spans="1:11" s="90" customFormat="1" ht="12.75" customHeight="1" x14ac:dyDescent="0.2">
      <c r="A10391" s="247"/>
      <c r="B10391" s="251"/>
      <c r="C10391" s="248"/>
      <c r="D10391" s="248"/>
      <c r="E10391" s="250"/>
      <c r="F10391" s="247"/>
      <c r="G10391" s="252"/>
      <c r="H10391" s="248"/>
      <c r="I10391" s="248"/>
      <c r="J10391" s="247"/>
      <c r="K10391" s="249"/>
    </row>
    <row r="10392" spans="1:11" s="90" customFormat="1" ht="12.75" customHeight="1" x14ac:dyDescent="0.2">
      <c r="A10392" s="247"/>
      <c r="B10392" s="251"/>
      <c r="C10392" s="248"/>
      <c r="D10392" s="248"/>
      <c r="E10392" s="250"/>
      <c r="F10392" s="247"/>
      <c r="G10392" s="252"/>
      <c r="H10392" s="248"/>
      <c r="I10392" s="248"/>
      <c r="J10392" s="247"/>
      <c r="K10392" s="249"/>
    </row>
    <row r="10393" spans="1:11" s="90" customFormat="1" ht="12.75" customHeight="1" x14ac:dyDescent="0.2">
      <c r="A10393" s="247"/>
      <c r="B10393" s="251"/>
      <c r="C10393" s="248"/>
      <c r="D10393" s="248"/>
      <c r="E10393" s="250"/>
      <c r="F10393" s="247"/>
      <c r="G10393" s="252"/>
      <c r="H10393" s="248"/>
      <c r="I10393" s="248"/>
      <c r="J10393" s="247"/>
      <c r="K10393" s="249"/>
    </row>
    <row r="10394" spans="1:11" s="90" customFormat="1" ht="12.75" customHeight="1" x14ac:dyDescent="0.2">
      <c r="A10394" s="247"/>
      <c r="B10394" s="251"/>
      <c r="C10394" s="248"/>
      <c r="D10394" s="248"/>
      <c r="E10394" s="250"/>
      <c r="F10394" s="247"/>
      <c r="G10394" s="252"/>
      <c r="H10394" s="248"/>
      <c r="I10394" s="248"/>
      <c r="J10394" s="247"/>
      <c r="K10394" s="249"/>
    </row>
    <row r="10395" spans="1:11" s="90" customFormat="1" ht="12.75" customHeight="1" x14ac:dyDescent="0.2">
      <c r="A10395" s="247"/>
      <c r="B10395" s="251"/>
      <c r="C10395" s="248"/>
      <c r="D10395" s="248"/>
      <c r="E10395" s="250"/>
      <c r="F10395" s="247"/>
      <c r="G10395" s="252"/>
      <c r="H10395" s="248"/>
      <c r="I10395" s="248"/>
      <c r="J10395" s="247"/>
      <c r="K10395" s="249"/>
    </row>
    <row r="10396" spans="1:11" s="90" customFormat="1" ht="12.75" customHeight="1" x14ac:dyDescent="0.2">
      <c r="A10396" s="247"/>
      <c r="B10396" s="251"/>
      <c r="C10396" s="248"/>
      <c r="D10396" s="248"/>
      <c r="E10396" s="250"/>
      <c r="F10396" s="247"/>
      <c r="G10396" s="252"/>
      <c r="H10396" s="248"/>
      <c r="I10396" s="248"/>
      <c r="J10396" s="247"/>
      <c r="K10396" s="249"/>
    </row>
    <row r="10397" spans="1:11" s="90" customFormat="1" ht="12.75" customHeight="1" x14ac:dyDescent="0.2">
      <c r="A10397" s="247"/>
      <c r="B10397" s="251"/>
      <c r="C10397" s="248"/>
      <c r="D10397" s="248"/>
      <c r="E10397" s="250"/>
      <c r="F10397" s="247"/>
      <c r="G10397" s="252"/>
      <c r="H10397" s="248"/>
      <c r="I10397" s="248"/>
      <c r="J10397" s="247"/>
      <c r="K10397" s="249"/>
    </row>
    <row r="10398" spans="1:11" s="90" customFormat="1" ht="12.75" customHeight="1" x14ac:dyDescent="0.2">
      <c r="A10398" s="247"/>
      <c r="B10398" s="251"/>
      <c r="C10398" s="248"/>
      <c r="D10398" s="248"/>
      <c r="E10398" s="250"/>
      <c r="F10398" s="247"/>
      <c r="G10398" s="252"/>
      <c r="H10398" s="248"/>
      <c r="I10398" s="248"/>
      <c r="J10398" s="247"/>
      <c r="K10398" s="249"/>
    </row>
    <row r="10399" spans="1:11" s="90" customFormat="1" ht="12.75" customHeight="1" x14ac:dyDescent="0.2">
      <c r="A10399" s="247"/>
      <c r="B10399" s="251"/>
      <c r="C10399" s="248"/>
      <c r="D10399" s="248"/>
      <c r="E10399" s="250"/>
      <c r="F10399" s="247"/>
      <c r="G10399" s="252"/>
      <c r="H10399" s="248"/>
      <c r="I10399" s="248"/>
      <c r="J10399" s="247"/>
      <c r="K10399" s="249"/>
    </row>
    <row r="10400" spans="1:11" s="90" customFormat="1" ht="12.75" customHeight="1" x14ac:dyDescent="0.2">
      <c r="A10400" s="247"/>
      <c r="B10400" s="251"/>
      <c r="C10400" s="248"/>
      <c r="D10400" s="248"/>
      <c r="E10400" s="250"/>
      <c r="F10400" s="247"/>
      <c r="G10400" s="252"/>
      <c r="H10400" s="248"/>
      <c r="I10400" s="248"/>
      <c r="J10400" s="247"/>
      <c r="K10400" s="249"/>
    </row>
    <row r="10401" spans="1:11" s="90" customFormat="1" ht="12.75" customHeight="1" x14ac:dyDescent="0.2">
      <c r="A10401" s="247"/>
      <c r="B10401" s="251"/>
      <c r="C10401" s="248"/>
      <c r="D10401" s="248"/>
      <c r="E10401" s="250"/>
      <c r="F10401" s="247"/>
      <c r="G10401" s="252"/>
      <c r="H10401" s="248"/>
      <c r="I10401" s="248"/>
      <c r="J10401" s="247"/>
      <c r="K10401" s="249"/>
    </row>
    <row r="10402" spans="1:11" s="90" customFormat="1" ht="12.75" customHeight="1" x14ac:dyDescent="0.2">
      <c r="A10402" s="247"/>
      <c r="B10402" s="251"/>
      <c r="C10402" s="248"/>
      <c r="D10402" s="248"/>
      <c r="E10402" s="250"/>
      <c r="F10402" s="247"/>
      <c r="G10402" s="252"/>
      <c r="H10402" s="248"/>
      <c r="I10402" s="248"/>
      <c r="J10402" s="247"/>
      <c r="K10402" s="249"/>
    </row>
    <row r="10403" spans="1:11" s="90" customFormat="1" ht="12.75" customHeight="1" x14ac:dyDescent="0.2">
      <c r="A10403" s="247"/>
      <c r="B10403" s="251"/>
      <c r="C10403" s="248"/>
      <c r="D10403" s="248"/>
      <c r="E10403" s="250"/>
      <c r="F10403" s="247"/>
      <c r="G10403" s="252"/>
      <c r="H10403" s="248"/>
      <c r="I10403" s="248"/>
      <c r="J10403" s="247"/>
      <c r="K10403" s="249"/>
    </row>
    <row r="10404" spans="1:11" s="90" customFormat="1" ht="12.75" customHeight="1" x14ac:dyDescent="0.2">
      <c r="A10404" s="247"/>
      <c r="B10404" s="251"/>
      <c r="C10404" s="248"/>
      <c r="D10404" s="248"/>
      <c r="E10404" s="250"/>
      <c r="F10404" s="247"/>
      <c r="G10404" s="252"/>
      <c r="H10404" s="248"/>
      <c r="I10404" s="248"/>
      <c r="J10404" s="247"/>
      <c r="K10404" s="249"/>
    </row>
    <row r="10405" spans="1:11" s="90" customFormat="1" ht="12.75" customHeight="1" x14ac:dyDescent="0.2">
      <c r="A10405" s="247"/>
      <c r="B10405" s="251"/>
      <c r="C10405" s="248"/>
      <c r="D10405" s="248"/>
      <c r="E10405" s="250"/>
      <c r="F10405" s="247"/>
      <c r="G10405" s="252"/>
      <c r="H10405" s="248"/>
      <c r="I10405" s="248"/>
      <c r="J10405" s="247"/>
      <c r="K10405" s="249"/>
    </row>
    <row r="10406" spans="1:11" s="90" customFormat="1" ht="12.75" customHeight="1" x14ac:dyDescent="0.2">
      <c r="A10406" s="247"/>
      <c r="B10406" s="251"/>
      <c r="C10406" s="248"/>
      <c r="D10406" s="248"/>
      <c r="E10406" s="250"/>
      <c r="F10406" s="247"/>
      <c r="G10406" s="252"/>
      <c r="H10406" s="248"/>
      <c r="I10406" s="248"/>
      <c r="J10406" s="247"/>
      <c r="K10406" s="249"/>
    </row>
    <row r="10407" spans="1:11" s="90" customFormat="1" ht="12.75" customHeight="1" x14ac:dyDescent="0.2">
      <c r="A10407" s="247"/>
      <c r="B10407" s="251"/>
      <c r="C10407" s="248"/>
      <c r="D10407" s="248"/>
      <c r="E10407" s="250"/>
      <c r="F10407" s="247"/>
      <c r="G10407" s="252"/>
      <c r="H10407" s="248"/>
      <c r="I10407" s="248"/>
      <c r="J10407" s="247"/>
      <c r="K10407" s="249"/>
    </row>
    <row r="10408" spans="1:11" s="90" customFormat="1" ht="12.75" customHeight="1" x14ac:dyDescent="0.2">
      <c r="A10408" s="247"/>
      <c r="B10408" s="251"/>
      <c r="C10408" s="248"/>
      <c r="D10408" s="248"/>
      <c r="E10408" s="250"/>
      <c r="F10408" s="247"/>
      <c r="G10408" s="252"/>
      <c r="H10408" s="248"/>
      <c r="I10408" s="248"/>
      <c r="J10408" s="247"/>
      <c r="K10408" s="249"/>
    </row>
    <row r="10409" spans="1:11" s="90" customFormat="1" ht="12.75" customHeight="1" x14ac:dyDescent="0.2">
      <c r="A10409" s="247"/>
      <c r="B10409" s="251"/>
      <c r="C10409" s="248"/>
      <c r="D10409" s="248"/>
      <c r="E10409" s="250"/>
      <c r="F10409" s="247"/>
      <c r="G10409" s="252"/>
      <c r="H10409" s="248"/>
      <c r="I10409" s="248"/>
      <c r="J10409" s="247"/>
      <c r="K10409" s="249"/>
    </row>
    <row r="10410" spans="1:11" s="90" customFormat="1" ht="12.75" customHeight="1" x14ac:dyDescent="0.2">
      <c r="A10410" s="247"/>
      <c r="B10410" s="251"/>
      <c r="C10410" s="248"/>
      <c r="D10410" s="248"/>
      <c r="E10410" s="250"/>
      <c r="F10410" s="247"/>
      <c r="G10410" s="252"/>
      <c r="H10410" s="248"/>
      <c r="I10410" s="248"/>
      <c r="J10410" s="247"/>
      <c r="K10410" s="249"/>
    </row>
    <row r="10411" spans="1:11" s="90" customFormat="1" ht="12.75" customHeight="1" x14ac:dyDescent="0.2">
      <c r="A10411" s="247"/>
      <c r="B10411" s="251"/>
      <c r="C10411" s="248"/>
      <c r="D10411" s="248"/>
      <c r="E10411" s="250"/>
      <c r="F10411" s="247"/>
      <c r="G10411" s="252"/>
      <c r="H10411" s="248"/>
      <c r="I10411" s="248"/>
      <c r="J10411" s="247"/>
      <c r="K10411" s="249"/>
    </row>
    <row r="10412" spans="1:11" s="90" customFormat="1" ht="12.75" customHeight="1" x14ac:dyDescent="0.2">
      <c r="A10412" s="247"/>
      <c r="B10412" s="251"/>
      <c r="C10412" s="248"/>
      <c r="D10412" s="248"/>
      <c r="E10412" s="250"/>
      <c r="F10412" s="247"/>
      <c r="G10412" s="252"/>
      <c r="H10412" s="248"/>
      <c r="I10412" s="248"/>
      <c r="J10412" s="247"/>
      <c r="K10412" s="249"/>
    </row>
    <row r="10413" spans="1:11" s="90" customFormat="1" ht="12.75" customHeight="1" x14ac:dyDescent="0.2">
      <c r="A10413" s="247"/>
      <c r="B10413" s="251"/>
      <c r="C10413" s="248"/>
      <c r="D10413" s="248"/>
      <c r="E10413" s="250"/>
      <c r="F10413" s="247"/>
      <c r="G10413" s="252"/>
      <c r="H10413" s="248"/>
      <c r="I10413" s="248"/>
      <c r="J10413" s="247"/>
      <c r="K10413" s="249"/>
    </row>
    <row r="10414" spans="1:11" s="90" customFormat="1" ht="12.75" customHeight="1" x14ac:dyDescent="0.2">
      <c r="A10414" s="247"/>
      <c r="B10414" s="251"/>
      <c r="C10414" s="248"/>
      <c r="D10414" s="248"/>
      <c r="E10414" s="250"/>
      <c r="F10414" s="247"/>
      <c r="G10414" s="252"/>
      <c r="H10414" s="248"/>
      <c r="I10414" s="248"/>
      <c r="J10414" s="247"/>
      <c r="K10414" s="249"/>
    </row>
    <row r="10415" spans="1:11" s="90" customFormat="1" ht="12.75" customHeight="1" x14ac:dyDescent="0.2">
      <c r="A10415" s="247"/>
      <c r="B10415" s="251"/>
      <c r="C10415" s="248"/>
      <c r="D10415" s="248"/>
      <c r="E10415" s="250"/>
      <c r="F10415" s="247"/>
      <c r="G10415" s="252"/>
      <c r="H10415" s="248"/>
      <c r="I10415" s="248"/>
      <c r="J10415" s="247"/>
      <c r="K10415" s="249"/>
    </row>
    <row r="10416" spans="1:11" s="90" customFormat="1" ht="12.75" customHeight="1" x14ac:dyDescent="0.2">
      <c r="A10416" s="247"/>
      <c r="B10416" s="251"/>
      <c r="C10416" s="248"/>
      <c r="D10416" s="248"/>
      <c r="E10416" s="250"/>
      <c r="F10416" s="247"/>
      <c r="G10416" s="252"/>
      <c r="H10416" s="248"/>
      <c r="I10416" s="248"/>
      <c r="J10416" s="247"/>
      <c r="K10416" s="249"/>
    </row>
    <row r="10417" spans="1:11" s="90" customFormat="1" ht="12.75" customHeight="1" x14ac:dyDescent="0.2">
      <c r="A10417" s="247"/>
      <c r="B10417" s="251"/>
      <c r="C10417" s="248"/>
      <c r="D10417" s="248"/>
      <c r="E10417" s="250"/>
      <c r="F10417" s="247"/>
      <c r="G10417" s="252"/>
      <c r="H10417" s="248"/>
      <c r="I10417" s="248"/>
      <c r="J10417" s="247"/>
      <c r="K10417" s="249"/>
    </row>
    <row r="10418" spans="1:11" s="90" customFormat="1" ht="12.75" customHeight="1" x14ac:dyDescent="0.2">
      <c r="A10418" s="247"/>
      <c r="B10418" s="251"/>
      <c r="C10418" s="248"/>
      <c r="D10418" s="248"/>
      <c r="E10418" s="250"/>
      <c r="F10418" s="247"/>
      <c r="G10418" s="252"/>
      <c r="H10418" s="248"/>
      <c r="I10418" s="248"/>
      <c r="J10418" s="247"/>
      <c r="K10418" s="249"/>
    </row>
    <row r="10419" spans="1:11" s="90" customFormat="1" ht="12.75" customHeight="1" x14ac:dyDescent="0.2">
      <c r="A10419" s="247"/>
      <c r="B10419" s="251"/>
      <c r="C10419" s="248"/>
      <c r="D10419" s="248"/>
      <c r="E10419" s="250"/>
      <c r="F10419" s="247"/>
      <c r="G10419" s="252"/>
      <c r="H10419" s="248"/>
      <c r="I10419" s="248"/>
      <c r="J10419" s="247"/>
      <c r="K10419" s="249"/>
    </row>
    <row r="10420" spans="1:11" s="90" customFormat="1" ht="12.75" customHeight="1" x14ac:dyDescent="0.2">
      <c r="A10420" s="247"/>
      <c r="B10420" s="251"/>
      <c r="C10420" s="248"/>
      <c r="D10420" s="248"/>
      <c r="E10420" s="250"/>
      <c r="F10420" s="247"/>
      <c r="G10420" s="252"/>
      <c r="H10420" s="248"/>
      <c r="I10420" s="248"/>
      <c r="J10420" s="247"/>
      <c r="K10420" s="249"/>
    </row>
    <row r="10421" spans="1:11" s="90" customFormat="1" ht="12.75" customHeight="1" x14ac:dyDescent="0.2">
      <c r="A10421" s="247"/>
      <c r="B10421" s="251"/>
      <c r="C10421" s="248"/>
      <c r="D10421" s="248"/>
      <c r="E10421" s="250"/>
      <c r="F10421" s="247"/>
      <c r="G10421" s="252"/>
      <c r="H10421" s="248"/>
      <c r="I10421" s="248"/>
      <c r="J10421" s="247"/>
      <c r="K10421" s="249"/>
    </row>
    <row r="10422" spans="1:11" s="90" customFormat="1" ht="12.75" customHeight="1" x14ac:dyDescent="0.2">
      <c r="A10422" s="247"/>
      <c r="B10422" s="251"/>
      <c r="C10422" s="248"/>
      <c r="D10422" s="248"/>
      <c r="E10422" s="250"/>
      <c r="F10422" s="247"/>
      <c r="G10422" s="252"/>
      <c r="H10422" s="248"/>
      <c r="I10422" s="248"/>
      <c r="J10422" s="247"/>
      <c r="K10422" s="249"/>
    </row>
    <row r="10423" spans="1:11" s="90" customFormat="1" ht="12.75" customHeight="1" x14ac:dyDescent="0.2">
      <c r="A10423" s="247"/>
      <c r="B10423" s="251"/>
      <c r="C10423" s="248"/>
      <c r="D10423" s="248"/>
      <c r="E10423" s="250"/>
      <c r="F10423" s="247"/>
      <c r="G10423" s="252"/>
      <c r="H10423" s="248"/>
      <c r="I10423" s="248"/>
      <c r="J10423" s="247"/>
      <c r="K10423" s="249"/>
    </row>
    <row r="10424" spans="1:11" s="90" customFormat="1" ht="12.75" customHeight="1" x14ac:dyDescent="0.2">
      <c r="A10424" s="247"/>
      <c r="B10424" s="251"/>
      <c r="C10424" s="248"/>
      <c r="D10424" s="248"/>
      <c r="E10424" s="250"/>
      <c r="F10424" s="247"/>
      <c r="G10424" s="252"/>
      <c r="H10424" s="248"/>
      <c r="I10424" s="248"/>
      <c r="J10424" s="247"/>
      <c r="K10424" s="249"/>
    </row>
    <row r="10425" spans="1:11" s="90" customFormat="1" ht="12.75" customHeight="1" x14ac:dyDescent="0.2">
      <c r="A10425" s="247"/>
      <c r="B10425" s="251"/>
      <c r="C10425" s="248"/>
      <c r="D10425" s="248"/>
      <c r="E10425" s="250"/>
      <c r="F10425" s="247"/>
      <c r="G10425" s="252"/>
      <c r="H10425" s="248"/>
      <c r="I10425" s="248"/>
      <c r="J10425" s="247"/>
      <c r="K10425" s="249"/>
    </row>
    <row r="10426" spans="1:11" s="90" customFormat="1" ht="12.75" customHeight="1" x14ac:dyDescent="0.2">
      <c r="A10426" s="247"/>
      <c r="B10426" s="251"/>
      <c r="C10426" s="248"/>
      <c r="D10426" s="248"/>
      <c r="E10426" s="250"/>
      <c r="F10426" s="247"/>
      <c r="G10426" s="252"/>
      <c r="H10426" s="248"/>
      <c r="I10426" s="248"/>
      <c r="J10426" s="247"/>
      <c r="K10426" s="249"/>
    </row>
    <row r="10427" spans="1:11" s="90" customFormat="1" ht="12.75" customHeight="1" x14ac:dyDescent="0.2">
      <c r="A10427" s="247"/>
      <c r="B10427" s="251"/>
      <c r="C10427" s="248"/>
      <c r="D10427" s="248"/>
      <c r="E10427" s="250"/>
      <c r="F10427" s="247"/>
      <c r="G10427" s="252"/>
      <c r="H10427" s="248"/>
      <c r="I10427" s="248"/>
      <c r="J10427" s="247"/>
      <c r="K10427" s="249"/>
    </row>
    <row r="10428" spans="1:11" s="90" customFormat="1" ht="12.75" customHeight="1" x14ac:dyDescent="0.2">
      <c r="A10428" s="247"/>
      <c r="B10428" s="251"/>
      <c r="C10428" s="248"/>
      <c r="D10428" s="248"/>
      <c r="E10428" s="250"/>
      <c r="F10428" s="247"/>
      <c r="G10428" s="252"/>
      <c r="H10428" s="248"/>
      <c r="I10428" s="248"/>
      <c r="J10428" s="247"/>
      <c r="K10428" s="249"/>
    </row>
    <row r="10429" spans="1:11" s="90" customFormat="1" ht="12.75" customHeight="1" x14ac:dyDescent="0.2">
      <c r="A10429" s="247"/>
      <c r="B10429" s="251"/>
      <c r="C10429" s="248"/>
      <c r="D10429" s="248"/>
      <c r="E10429" s="250"/>
      <c r="F10429" s="247"/>
      <c r="G10429" s="252"/>
      <c r="H10429" s="248"/>
      <c r="I10429" s="248"/>
      <c r="J10429" s="247"/>
      <c r="K10429" s="249"/>
    </row>
    <row r="10430" spans="1:11" s="90" customFormat="1" ht="12.75" customHeight="1" x14ac:dyDescent="0.2">
      <c r="A10430" s="247"/>
      <c r="B10430" s="251"/>
      <c r="C10430" s="248"/>
      <c r="D10430" s="248"/>
      <c r="E10430" s="250"/>
      <c r="F10430" s="247"/>
      <c r="G10430" s="252"/>
      <c r="H10430" s="248"/>
      <c r="I10430" s="248"/>
      <c r="J10430" s="247"/>
      <c r="K10430" s="249"/>
    </row>
    <row r="10431" spans="1:11" s="90" customFormat="1" ht="12.75" customHeight="1" x14ac:dyDescent="0.2">
      <c r="A10431" s="247"/>
      <c r="B10431" s="251"/>
      <c r="C10431" s="248"/>
      <c r="D10431" s="248"/>
      <c r="E10431" s="250"/>
      <c r="F10431" s="247"/>
      <c r="G10431" s="252"/>
      <c r="H10431" s="248"/>
      <c r="I10431" s="248"/>
      <c r="J10431" s="247"/>
      <c r="K10431" s="249"/>
    </row>
    <row r="10432" spans="1:11" s="90" customFormat="1" ht="12.75" customHeight="1" x14ac:dyDescent="0.2">
      <c r="A10432" s="247"/>
      <c r="B10432" s="251"/>
      <c r="C10432" s="248"/>
      <c r="D10432" s="248"/>
      <c r="E10432" s="250"/>
      <c r="F10432" s="247"/>
      <c r="G10432" s="252"/>
      <c r="H10432" s="248"/>
      <c r="I10432" s="248"/>
      <c r="J10432" s="247"/>
      <c r="K10432" s="249"/>
    </row>
    <row r="10433" spans="1:11" s="90" customFormat="1" ht="12.75" customHeight="1" x14ac:dyDescent="0.2">
      <c r="A10433" s="247"/>
      <c r="B10433" s="251"/>
      <c r="C10433" s="248"/>
      <c r="D10433" s="248"/>
      <c r="E10433" s="250"/>
      <c r="F10433" s="247"/>
      <c r="G10433" s="252"/>
      <c r="H10433" s="248"/>
      <c r="I10433" s="248"/>
      <c r="J10433" s="247"/>
      <c r="K10433" s="249"/>
    </row>
    <row r="10434" spans="1:11" s="90" customFormat="1" ht="12.75" customHeight="1" x14ac:dyDescent="0.2">
      <c r="A10434" s="247"/>
      <c r="B10434" s="251"/>
      <c r="C10434" s="248"/>
      <c r="D10434" s="248"/>
      <c r="E10434" s="250"/>
      <c r="F10434" s="247"/>
      <c r="G10434" s="252"/>
      <c r="H10434" s="248"/>
      <c r="I10434" s="248"/>
      <c r="J10434" s="247"/>
      <c r="K10434" s="249"/>
    </row>
    <row r="10435" spans="1:11" s="90" customFormat="1" ht="12.75" customHeight="1" x14ac:dyDescent="0.2">
      <c r="A10435" s="247"/>
      <c r="B10435" s="251"/>
      <c r="C10435" s="248"/>
      <c r="D10435" s="248"/>
      <c r="E10435" s="250"/>
      <c r="F10435" s="247"/>
      <c r="G10435" s="252"/>
      <c r="H10435" s="248"/>
      <c r="I10435" s="248"/>
      <c r="J10435" s="247"/>
      <c r="K10435" s="249"/>
    </row>
    <row r="10436" spans="1:11" s="90" customFormat="1" ht="12.75" customHeight="1" x14ac:dyDescent="0.2">
      <c r="A10436" s="247"/>
      <c r="B10436" s="251"/>
      <c r="C10436" s="248"/>
      <c r="D10436" s="248"/>
      <c r="E10436" s="250"/>
      <c r="F10436" s="247"/>
      <c r="G10436" s="252"/>
      <c r="H10436" s="248"/>
      <c r="I10436" s="248"/>
      <c r="J10436" s="247"/>
      <c r="K10436" s="249"/>
    </row>
    <row r="10437" spans="1:11" s="90" customFormat="1" ht="12.75" customHeight="1" x14ac:dyDescent="0.2">
      <c r="A10437" s="247"/>
      <c r="B10437" s="251"/>
      <c r="C10437" s="248"/>
      <c r="D10437" s="248"/>
      <c r="E10437" s="250"/>
      <c r="F10437" s="247"/>
      <c r="G10437" s="252"/>
      <c r="H10437" s="248"/>
      <c r="I10437" s="248"/>
      <c r="J10437" s="247"/>
      <c r="K10437" s="249"/>
    </row>
    <row r="10438" spans="1:11" s="90" customFormat="1" ht="12.75" customHeight="1" x14ac:dyDescent="0.2">
      <c r="A10438" s="247"/>
      <c r="B10438" s="251"/>
      <c r="C10438" s="248"/>
      <c r="D10438" s="248"/>
      <c r="E10438" s="250"/>
      <c r="F10438" s="247"/>
      <c r="G10438" s="252"/>
      <c r="H10438" s="248"/>
      <c r="I10438" s="248"/>
      <c r="J10438" s="247"/>
      <c r="K10438" s="249"/>
    </row>
    <row r="10439" spans="1:11" s="90" customFormat="1" ht="12.75" customHeight="1" x14ac:dyDescent="0.2">
      <c r="A10439" s="247"/>
      <c r="B10439" s="251"/>
      <c r="C10439" s="248"/>
      <c r="D10439" s="248"/>
      <c r="E10439" s="250"/>
      <c r="F10439" s="247"/>
      <c r="G10439" s="252"/>
      <c r="H10439" s="248"/>
      <c r="I10439" s="248"/>
      <c r="J10439" s="247"/>
      <c r="K10439" s="249"/>
    </row>
    <row r="10440" spans="1:11" s="90" customFormat="1" ht="12.75" customHeight="1" x14ac:dyDescent="0.2">
      <c r="A10440" s="247"/>
      <c r="B10440" s="251"/>
      <c r="C10440" s="248"/>
      <c r="D10440" s="248"/>
      <c r="E10440" s="250"/>
      <c r="F10440" s="247"/>
      <c r="G10440" s="252"/>
      <c r="H10440" s="248"/>
      <c r="I10440" s="248"/>
      <c r="J10440" s="247"/>
      <c r="K10440" s="249"/>
    </row>
    <row r="10441" spans="1:11" s="90" customFormat="1" ht="12.75" customHeight="1" x14ac:dyDescent="0.2">
      <c r="A10441" s="247"/>
      <c r="B10441" s="251"/>
      <c r="C10441" s="248"/>
      <c r="D10441" s="248"/>
      <c r="E10441" s="250"/>
      <c r="F10441" s="247"/>
      <c r="G10441" s="252"/>
      <c r="H10441" s="248"/>
      <c r="I10441" s="248"/>
      <c r="J10441" s="247"/>
      <c r="K10441" s="249"/>
    </row>
    <row r="10442" spans="1:11" s="90" customFormat="1" ht="12.75" customHeight="1" x14ac:dyDescent="0.2">
      <c r="A10442" s="247"/>
      <c r="B10442" s="251"/>
      <c r="C10442" s="248"/>
      <c r="D10442" s="248"/>
      <c r="E10442" s="250"/>
      <c r="F10442" s="247"/>
      <c r="G10442" s="252"/>
      <c r="H10442" s="248"/>
      <c r="I10442" s="248"/>
      <c r="J10442" s="247"/>
      <c r="K10442" s="249"/>
    </row>
    <row r="10443" spans="1:11" s="90" customFormat="1" ht="12.75" customHeight="1" x14ac:dyDescent="0.2">
      <c r="A10443" s="247"/>
      <c r="B10443" s="251"/>
      <c r="C10443" s="248"/>
      <c r="D10443" s="248"/>
      <c r="E10443" s="250"/>
      <c r="F10443" s="247"/>
      <c r="G10443" s="252"/>
      <c r="H10443" s="248"/>
      <c r="I10443" s="248"/>
      <c r="J10443" s="247"/>
      <c r="K10443" s="249"/>
    </row>
    <row r="10444" spans="1:11" s="90" customFormat="1" ht="12.75" customHeight="1" x14ac:dyDescent="0.2">
      <c r="A10444" s="247"/>
      <c r="B10444" s="251"/>
      <c r="C10444" s="248"/>
      <c r="D10444" s="248"/>
      <c r="E10444" s="250"/>
      <c r="F10444" s="247"/>
      <c r="G10444" s="252"/>
      <c r="H10444" s="248"/>
      <c r="I10444" s="248"/>
      <c r="J10444" s="247"/>
      <c r="K10444" s="249"/>
    </row>
    <row r="10445" spans="1:11" s="90" customFormat="1" ht="12.75" customHeight="1" x14ac:dyDescent="0.2">
      <c r="A10445" s="247"/>
      <c r="B10445" s="251"/>
      <c r="C10445" s="248"/>
      <c r="D10445" s="248"/>
      <c r="E10445" s="250"/>
      <c r="F10445" s="247"/>
      <c r="G10445" s="252"/>
      <c r="H10445" s="248"/>
      <c r="I10445" s="248"/>
      <c r="J10445" s="247"/>
      <c r="K10445" s="249"/>
    </row>
    <row r="10446" spans="1:11" s="90" customFormat="1" ht="12.75" customHeight="1" x14ac:dyDescent="0.2">
      <c r="A10446" s="247"/>
      <c r="B10446" s="251"/>
      <c r="C10446" s="248"/>
      <c r="D10446" s="248"/>
      <c r="E10446" s="250"/>
      <c r="F10446" s="247"/>
      <c r="G10446" s="252"/>
      <c r="H10446" s="248"/>
      <c r="I10446" s="248"/>
      <c r="J10446" s="247"/>
      <c r="K10446" s="249"/>
    </row>
    <row r="10447" spans="1:11" s="90" customFormat="1" ht="12.75" customHeight="1" x14ac:dyDescent="0.2">
      <c r="A10447" s="247"/>
      <c r="B10447" s="251"/>
      <c r="C10447" s="248"/>
      <c r="D10447" s="248"/>
      <c r="E10447" s="250"/>
      <c r="F10447" s="247"/>
      <c r="G10447" s="252"/>
      <c r="H10447" s="248"/>
      <c r="I10447" s="248"/>
      <c r="J10447" s="247"/>
      <c r="K10447" s="249"/>
    </row>
    <row r="10448" spans="1:11" s="90" customFormat="1" ht="12.75" customHeight="1" x14ac:dyDescent="0.2">
      <c r="A10448" s="247"/>
      <c r="B10448" s="251"/>
      <c r="C10448" s="248"/>
      <c r="D10448" s="248"/>
      <c r="E10448" s="250"/>
      <c r="F10448" s="247"/>
      <c r="G10448" s="252"/>
      <c r="H10448" s="248"/>
      <c r="I10448" s="248"/>
      <c r="J10448" s="247"/>
      <c r="K10448" s="249"/>
    </row>
    <row r="10449" spans="1:11" s="90" customFormat="1" ht="12.75" customHeight="1" x14ac:dyDescent="0.2">
      <c r="A10449" s="247"/>
      <c r="B10449" s="251"/>
      <c r="C10449" s="248"/>
      <c r="D10449" s="248"/>
      <c r="E10449" s="250"/>
      <c r="F10449" s="247"/>
      <c r="G10449" s="252"/>
      <c r="H10449" s="248"/>
      <c r="I10449" s="248"/>
      <c r="J10449" s="247"/>
      <c r="K10449" s="249"/>
    </row>
    <row r="10450" spans="1:11" s="90" customFormat="1" ht="12.75" customHeight="1" x14ac:dyDescent="0.2">
      <c r="A10450" s="247"/>
      <c r="B10450" s="251"/>
      <c r="C10450" s="248"/>
      <c r="D10450" s="248"/>
      <c r="E10450" s="250"/>
      <c r="F10450" s="247"/>
      <c r="G10450" s="252"/>
      <c r="H10450" s="248"/>
      <c r="I10450" s="248"/>
      <c r="J10450" s="247"/>
      <c r="K10450" s="249"/>
    </row>
    <row r="10451" spans="1:11" s="90" customFormat="1" ht="12.75" customHeight="1" x14ac:dyDescent="0.2">
      <c r="A10451" s="247"/>
      <c r="B10451" s="251"/>
      <c r="C10451" s="248"/>
      <c r="D10451" s="248"/>
      <c r="E10451" s="250"/>
      <c r="F10451" s="247"/>
      <c r="G10451" s="252"/>
      <c r="H10451" s="248"/>
      <c r="I10451" s="248"/>
      <c r="J10451" s="247"/>
      <c r="K10451" s="249"/>
    </row>
    <row r="10452" spans="1:11" s="90" customFormat="1" ht="12.75" customHeight="1" x14ac:dyDescent="0.2">
      <c r="A10452" s="247"/>
      <c r="B10452" s="251"/>
      <c r="C10452" s="248"/>
      <c r="D10452" s="248"/>
      <c r="E10452" s="250"/>
      <c r="F10452" s="247"/>
      <c r="G10452" s="252"/>
      <c r="H10452" s="248"/>
      <c r="I10452" s="248"/>
      <c r="J10452" s="247"/>
      <c r="K10452" s="249"/>
    </row>
    <row r="10453" spans="1:11" s="90" customFormat="1" ht="12.75" customHeight="1" x14ac:dyDescent="0.2">
      <c r="A10453" s="247"/>
      <c r="B10453" s="251"/>
      <c r="C10453" s="248"/>
      <c r="D10453" s="248"/>
      <c r="E10453" s="250"/>
      <c r="F10453" s="247"/>
      <c r="G10453" s="252"/>
      <c r="H10453" s="248"/>
      <c r="I10453" s="248"/>
      <c r="J10453" s="247"/>
      <c r="K10453" s="249"/>
    </row>
    <row r="10454" spans="1:11" s="90" customFormat="1" ht="12.75" customHeight="1" x14ac:dyDescent="0.2">
      <c r="A10454" s="247"/>
      <c r="B10454" s="251"/>
      <c r="C10454" s="248"/>
      <c r="D10454" s="248"/>
      <c r="E10454" s="250"/>
      <c r="F10454" s="247"/>
      <c r="G10454" s="252"/>
      <c r="H10454" s="248"/>
      <c r="I10454" s="248"/>
      <c r="J10454" s="247"/>
      <c r="K10454" s="249"/>
    </row>
    <row r="10455" spans="1:11" s="90" customFormat="1" ht="12.75" customHeight="1" x14ac:dyDescent="0.2">
      <c r="A10455" s="247"/>
      <c r="B10455" s="251"/>
      <c r="C10455" s="248"/>
      <c r="D10455" s="248"/>
      <c r="E10455" s="250"/>
      <c r="F10455" s="247"/>
      <c r="G10455" s="252"/>
      <c r="H10455" s="248"/>
      <c r="I10455" s="248"/>
      <c r="J10455" s="247"/>
      <c r="K10455" s="249"/>
    </row>
    <row r="10456" spans="1:11" s="90" customFormat="1" ht="12.75" customHeight="1" x14ac:dyDescent="0.2">
      <c r="A10456" s="247"/>
      <c r="B10456" s="251"/>
      <c r="C10456" s="248"/>
      <c r="D10456" s="248"/>
      <c r="E10456" s="250"/>
      <c r="F10456" s="247"/>
      <c r="G10456" s="252"/>
      <c r="H10456" s="248"/>
      <c r="I10456" s="248"/>
      <c r="J10456" s="247"/>
      <c r="K10456" s="249"/>
    </row>
    <row r="10457" spans="1:11" s="90" customFormat="1" ht="12.75" customHeight="1" x14ac:dyDescent="0.2">
      <c r="A10457" s="247"/>
      <c r="B10457" s="251"/>
      <c r="C10457" s="248"/>
      <c r="D10457" s="248"/>
      <c r="E10457" s="250"/>
      <c r="F10457" s="247"/>
      <c r="G10457" s="252"/>
      <c r="H10457" s="248"/>
      <c r="I10457" s="248"/>
      <c r="J10457" s="247"/>
      <c r="K10457" s="249"/>
    </row>
    <row r="10458" spans="1:11" s="90" customFormat="1" ht="12.75" customHeight="1" x14ac:dyDescent="0.2">
      <c r="A10458" s="247"/>
      <c r="B10458" s="251"/>
      <c r="C10458" s="248"/>
      <c r="D10458" s="248"/>
      <c r="E10458" s="250"/>
      <c r="F10458" s="247"/>
      <c r="G10458" s="252"/>
      <c r="H10458" s="248"/>
      <c r="I10458" s="248"/>
      <c r="J10458" s="247"/>
      <c r="K10458" s="249"/>
    </row>
    <row r="10459" spans="1:11" s="90" customFormat="1" ht="12.75" customHeight="1" x14ac:dyDescent="0.2">
      <c r="A10459" s="247"/>
      <c r="B10459" s="251"/>
      <c r="C10459" s="248"/>
      <c r="D10459" s="248"/>
      <c r="E10459" s="250"/>
      <c r="F10459" s="247"/>
      <c r="G10459" s="252"/>
      <c r="H10459" s="248"/>
      <c r="I10459" s="248"/>
      <c r="J10459" s="247"/>
      <c r="K10459" s="249"/>
    </row>
    <row r="10460" spans="1:11" s="90" customFormat="1" ht="12.75" customHeight="1" x14ac:dyDescent="0.2">
      <c r="A10460" s="247"/>
      <c r="B10460" s="251"/>
      <c r="C10460" s="248"/>
      <c r="D10460" s="248"/>
      <c r="E10460" s="250"/>
      <c r="F10460" s="247"/>
      <c r="G10460" s="252"/>
      <c r="H10460" s="248"/>
      <c r="I10460" s="248"/>
      <c r="J10460" s="247"/>
      <c r="K10460" s="249"/>
    </row>
    <row r="10461" spans="1:11" s="90" customFormat="1" ht="12.75" customHeight="1" x14ac:dyDescent="0.2">
      <c r="A10461" s="247"/>
      <c r="B10461" s="251"/>
      <c r="C10461" s="248"/>
      <c r="D10461" s="248"/>
      <c r="E10461" s="250"/>
      <c r="F10461" s="247"/>
      <c r="G10461" s="252"/>
      <c r="H10461" s="248"/>
      <c r="I10461" s="248"/>
      <c r="J10461" s="247"/>
      <c r="K10461" s="249"/>
    </row>
    <row r="10462" spans="1:11" s="90" customFormat="1" ht="12.75" customHeight="1" x14ac:dyDescent="0.2">
      <c r="A10462" s="247"/>
      <c r="B10462" s="251"/>
      <c r="C10462" s="248"/>
      <c r="D10462" s="248"/>
      <c r="E10462" s="250"/>
      <c r="F10462" s="247"/>
      <c r="G10462" s="252"/>
      <c r="H10462" s="248"/>
      <c r="I10462" s="248"/>
      <c r="J10462" s="247"/>
      <c r="K10462" s="249"/>
    </row>
    <row r="10463" spans="1:11" s="90" customFormat="1" ht="12.75" customHeight="1" x14ac:dyDescent="0.2">
      <c r="A10463" s="247"/>
      <c r="B10463" s="251"/>
      <c r="C10463" s="248"/>
      <c r="D10463" s="248"/>
      <c r="E10463" s="250"/>
      <c r="F10463" s="247"/>
      <c r="G10463" s="252"/>
      <c r="H10463" s="248"/>
      <c r="I10463" s="248"/>
      <c r="J10463" s="247"/>
      <c r="K10463" s="249"/>
    </row>
    <row r="10464" spans="1:11" s="90" customFormat="1" ht="12.75" customHeight="1" x14ac:dyDescent="0.2">
      <c r="A10464" s="247"/>
      <c r="B10464" s="251"/>
      <c r="C10464" s="248"/>
      <c r="D10464" s="248"/>
      <c r="E10464" s="250"/>
      <c r="F10464" s="247"/>
      <c r="G10464" s="252"/>
      <c r="H10464" s="248"/>
      <c r="I10464" s="248"/>
      <c r="J10464" s="247"/>
      <c r="K10464" s="249"/>
    </row>
    <row r="10465" spans="1:11" s="90" customFormat="1" ht="12.75" customHeight="1" x14ac:dyDescent="0.2">
      <c r="A10465" s="247"/>
      <c r="B10465" s="251"/>
      <c r="C10465" s="248"/>
      <c r="D10465" s="248"/>
      <c r="E10465" s="250"/>
      <c r="F10465" s="247"/>
      <c r="G10465" s="252"/>
      <c r="H10465" s="248"/>
      <c r="I10465" s="248"/>
      <c r="J10465" s="247"/>
      <c r="K10465" s="249"/>
    </row>
    <row r="10466" spans="1:11" s="90" customFormat="1" ht="12.75" customHeight="1" x14ac:dyDescent="0.2">
      <c r="A10466" s="247"/>
      <c r="B10466" s="251"/>
      <c r="C10466" s="248"/>
      <c r="D10466" s="248"/>
      <c r="E10466" s="250"/>
      <c r="F10466" s="247"/>
      <c r="G10466" s="252"/>
      <c r="H10466" s="248"/>
      <c r="I10466" s="248"/>
      <c r="J10466" s="247"/>
      <c r="K10466" s="249"/>
    </row>
    <row r="10467" spans="1:11" s="90" customFormat="1" ht="12.75" customHeight="1" x14ac:dyDescent="0.2">
      <c r="A10467" s="247"/>
      <c r="B10467" s="251"/>
      <c r="C10467" s="248"/>
      <c r="D10467" s="248"/>
      <c r="E10467" s="250"/>
      <c r="F10467" s="247"/>
      <c r="G10467" s="252"/>
      <c r="H10467" s="248"/>
      <c r="I10467" s="248"/>
      <c r="J10467" s="247"/>
      <c r="K10467" s="249"/>
    </row>
    <row r="10468" spans="1:11" s="90" customFormat="1" ht="12.75" customHeight="1" x14ac:dyDescent="0.2">
      <c r="A10468" s="247"/>
      <c r="B10468" s="251"/>
      <c r="C10468" s="248"/>
      <c r="D10468" s="248"/>
      <c r="E10468" s="250"/>
      <c r="F10468" s="247"/>
      <c r="G10468" s="252"/>
      <c r="H10468" s="248"/>
      <c r="I10468" s="248"/>
      <c r="J10468" s="247"/>
      <c r="K10468" s="249"/>
    </row>
    <row r="10469" spans="1:11" s="90" customFormat="1" ht="12.75" customHeight="1" x14ac:dyDescent="0.2">
      <c r="A10469" s="247"/>
      <c r="B10469" s="251"/>
      <c r="C10469" s="248"/>
      <c r="D10469" s="248"/>
      <c r="E10469" s="250"/>
      <c r="F10469" s="247"/>
      <c r="G10469" s="252"/>
      <c r="H10469" s="248"/>
      <c r="I10469" s="248"/>
      <c r="J10469" s="247"/>
      <c r="K10469" s="249"/>
    </row>
    <row r="10470" spans="1:11" s="90" customFormat="1" ht="12.75" customHeight="1" x14ac:dyDescent="0.2">
      <c r="A10470" s="247"/>
      <c r="B10470" s="251"/>
      <c r="C10470" s="248"/>
      <c r="D10470" s="248"/>
      <c r="E10470" s="250"/>
      <c r="F10470" s="247"/>
      <c r="G10470" s="252"/>
      <c r="H10470" s="248"/>
      <c r="I10470" s="248"/>
      <c r="J10470" s="247"/>
      <c r="K10470" s="249"/>
    </row>
    <row r="10471" spans="1:11" s="90" customFormat="1" ht="12.75" customHeight="1" x14ac:dyDescent="0.2">
      <c r="A10471" s="247"/>
      <c r="B10471" s="251"/>
      <c r="C10471" s="248"/>
      <c r="D10471" s="248"/>
      <c r="E10471" s="250"/>
      <c r="F10471" s="247"/>
      <c r="G10471" s="252"/>
      <c r="H10471" s="248"/>
      <c r="I10471" s="248"/>
      <c r="J10471" s="247"/>
      <c r="K10471" s="249"/>
    </row>
    <row r="10472" spans="1:11" s="90" customFormat="1" ht="12.75" customHeight="1" x14ac:dyDescent="0.2">
      <c r="A10472" s="247"/>
      <c r="B10472" s="251"/>
      <c r="C10472" s="248"/>
      <c r="D10472" s="248"/>
      <c r="E10472" s="250"/>
      <c r="F10472" s="247"/>
      <c r="G10472" s="252"/>
      <c r="H10472" s="248"/>
      <c r="I10472" s="248"/>
      <c r="J10472" s="247"/>
      <c r="K10472" s="249"/>
    </row>
    <row r="10473" spans="1:11" s="90" customFormat="1" ht="12.75" customHeight="1" x14ac:dyDescent="0.2">
      <c r="A10473" s="247"/>
      <c r="B10473" s="251"/>
      <c r="C10473" s="248"/>
      <c r="D10473" s="248"/>
      <c r="E10473" s="250"/>
      <c r="F10473" s="247"/>
      <c r="G10473" s="252"/>
      <c r="H10473" s="248"/>
      <c r="I10473" s="248"/>
      <c r="J10473" s="247"/>
      <c r="K10473" s="249"/>
    </row>
    <row r="10474" spans="1:11" s="90" customFormat="1" ht="12.75" customHeight="1" x14ac:dyDescent="0.2">
      <c r="A10474" s="247"/>
      <c r="B10474" s="251"/>
      <c r="C10474" s="248"/>
      <c r="D10474" s="248"/>
      <c r="E10474" s="250"/>
      <c r="F10474" s="247"/>
      <c r="G10474" s="252"/>
      <c r="H10474" s="248"/>
      <c r="I10474" s="248"/>
      <c r="J10474" s="247"/>
      <c r="K10474" s="249"/>
    </row>
    <row r="10475" spans="1:11" s="90" customFormat="1" ht="12.75" customHeight="1" x14ac:dyDescent="0.2">
      <c r="A10475" s="247"/>
      <c r="B10475" s="251"/>
      <c r="C10475" s="248"/>
      <c r="D10475" s="248"/>
      <c r="E10475" s="250"/>
      <c r="F10475" s="247"/>
      <c r="G10475" s="252"/>
      <c r="H10475" s="248"/>
      <c r="I10475" s="248"/>
      <c r="J10475" s="247"/>
      <c r="K10475" s="249"/>
    </row>
    <row r="10476" spans="1:11" s="90" customFormat="1" ht="12.75" customHeight="1" x14ac:dyDescent="0.2">
      <c r="A10476" s="247"/>
      <c r="B10476" s="251"/>
      <c r="C10476" s="248"/>
      <c r="D10476" s="248"/>
      <c r="E10476" s="250"/>
      <c r="F10476" s="247"/>
      <c r="G10476" s="252"/>
      <c r="H10476" s="248"/>
      <c r="I10476" s="248"/>
      <c r="J10476" s="247"/>
      <c r="K10476" s="249"/>
    </row>
    <row r="10477" spans="1:11" s="90" customFormat="1" ht="12.75" customHeight="1" x14ac:dyDescent="0.2">
      <c r="A10477" s="247"/>
      <c r="B10477" s="251"/>
      <c r="C10477" s="248"/>
      <c r="D10477" s="248"/>
      <c r="E10477" s="250"/>
      <c r="F10477" s="247"/>
      <c r="G10477" s="252"/>
      <c r="H10477" s="248"/>
      <c r="I10477" s="248"/>
      <c r="J10477" s="247"/>
      <c r="K10477" s="249"/>
    </row>
    <row r="10478" spans="1:11" s="90" customFormat="1" ht="12.75" customHeight="1" x14ac:dyDescent="0.2">
      <c r="A10478" s="247"/>
      <c r="B10478" s="251"/>
      <c r="C10478" s="248"/>
      <c r="D10478" s="248"/>
      <c r="E10478" s="250"/>
      <c r="F10478" s="247"/>
      <c r="G10478" s="252"/>
      <c r="H10478" s="248"/>
      <c r="I10478" s="248"/>
      <c r="J10478" s="247"/>
      <c r="K10478" s="249"/>
    </row>
    <row r="10479" spans="1:11" s="90" customFormat="1" ht="12.75" customHeight="1" x14ac:dyDescent="0.2">
      <c r="A10479" s="247"/>
      <c r="B10479" s="251"/>
      <c r="C10479" s="248"/>
      <c r="D10479" s="248"/>
      <c r="E10479" s="250"/>
      <c r="F10479" s="247"/>
      <c r="G10479" s="252"/>
      <c r="H10479" s="248"/>
      <c r="I10479" s="248"/>
      <c r="J10479" s="247"/>
      <c r="K10479" s="249"/>
    </row>
    <row r="10480" spans="1:11" s="90" customFormat="1" ht="12.75" customHeight="1" x14ac:dyDescent="0.2">
      <c r="A10480" s="247"/>
      <c r="B10480" s="251"/>
      <c r="C10480" s="248"/>
      <c r="D10480" s="248"/>
      <c r="E10480" s="250"/>
      <c r="F10480" s="247"/>
      <c r="G10480" s="252"/>
      <c r="H10480" s="248"/>
      <c r="I10480" s="248"/>
      <c r="J10480" s="247"/>
      <c r="K10480" s="249"/>
    </row>
    <row r="10481" spans="1:11" s="90" customFormat="1" ht="12.75" customHeight="1" x14ac:dyDescent="0.2">
      <c r="A10481" s="247"/>
      <c r="B10481" s="251"/>
      <c r="C10481" s="248"/>
      <c r="D10481" s="248"/>
      <c r="E10481" s="250"/>
      <c r="F10481" s="247"/>
      <c r="G10481" s="252"/>
      <c r="H10481" s="248"/>
      <c r="I10481" s="248"/>
      <c r="J10481" s="247"/>
      <c r="K10481" s="249"/>
    </row>
    <row r="10482" spans="1:11" s="90" customFormat="1" ht="12.75" customHeight="1" x14ac:dyDescent="0.2">
      <c r="A10482" s="247"/>
      <c r="B10482" s="251"/>
      <c r="C10482" s="248"/>
      <c r="D10482" s="248"/>
      <c r="E10482" s="250"/>
      <c r="F10482" s="247"/>
      <c r="G10482" s="252"/>
      <c r="H10482" s="248"/>
      <c r="I10482" s="248"/>
      <c r="J10482" s="247"/>
      <c r="K10482" s="249"/>
    </row>
    <row r="10483" spans="1:11" s="90" customFormat="1" ht="12.75" customHeight="1" x14ac:dyDescent="0.2">
      <c r="A10483" s="247"/>
      <c r="B10483" s="251"/>
      <c r="C10483" s="248"/>
      <c r="D10483" s="248"/>
      <c r="E10483" s="250"/>
      <c r="F10483" s="247"/>
      <c r="G10483" s="252"/>
      <c r="H10483" s="248"/>
      <c r="I10483" s="248"/>
      <c r="J10483" s="247"/>
      <c r="K10483" s="249"/>
    </row>
    <row r="10484" spans="1:11" s="90" customFormat="1" ht="12.75" customHeight="1" x14ac:dyDescent="0.2">
      <c r="A10484" s="247"/>
      <c r="B10484" s="251"/>
      <c r="C10484" s="248"/>
      <c r="D10484" s="248"/>
      <c r="E10484" s="250"/>
      <c r="F10484" s="247"/>
      <c r="G10484" s="252"/>
      <c r="H10484" s="248"/>
      <c r="I10484" s="248"/>
      <c r="J10484" s="247"/>
      <c r="K10484" s="249"/>
    </row>
    <row r="10485" spans="1:11" s="90" customFormat="1" ht="12.75" customHeight="1" x14ac:dyDescent="0.2">
      <c r="A10485" s="247"/>
      <c r="B10485" s="251"/>
      <c r="C10485" s="248"/>
      <c r="D10485" s="248"/>
      <c r="E10485" s="250"/>
      <c r="F10485" s="247"/>
      <c r="G10485" s="252"/>
      <c r="H10485" s="248"/>
      <c r="I10485" s="248"/>
      <c r="J10485" s="247"/>
      <c r="K10485" s="249"/>
    </row>
    <row r="10486" spans="1:11" s="90" customFormat="1" ht="12.75" customHeight="1" x14ac:dyDescent="0.2">
      <c r="A10486" s="247"/>
      <c r="B10486" s="251"/>
      <c r="C10486" s="248"/>
      <c r="D10486" s="248"/>
      <c r="E10486" s="250"/>
      <c r="F10486" s="247"/>
      <c r="G10486" s="252"/>
      <c r="H10486" s="248"/>
      <c r="I10486" s="248"/>
      <c r="J10486" s="247"/>
      <c r="K10486" s="249"/>
    </row>
    <row r="10487" spans="1:11" s="90" customFormat="1" ht="12.75" customHeight="1" x14ac:dyDescent="0.2">
      <c r="A10487" s="247"/>
      <c r="B10487" s="251"/>
      <c r="C10487" s="248"/>
      <c r="D10487" s="248"/>
      <c r="E10487" s="250"/>
      <c r="F10487" s="247"/>
      <c r="G10487" s="252"/>
      <c r="H10487" s="248"/>
      <c r="I10487" s="248"/>
      <c r="J10487" s="247"/>
      <c r="K10487" s="249"/>
    </row>
    <row r="10488" spans="1:11" s="90" customFormat="1" ht="12.75" customHeight="1" x14ac:dyDescent="0.2">
      <c r="A10488" s="247"/>
      <c r="B10488" s="251"/>
      <c r="C10488" s="248"/>
      <c r="D10488" s="248"/>
      <c r="E10488" s="250"/>
      <c r="F10488" s="247"/>
      <c r="G10488" s="252"/>
      <c r="H10488" s="248"/>
      <c r="I10488" s="248"/>
      <c r="J10488" s="247"/>
      <c r="K10488" s="249"/>
    </row>
    <row r="10489" spans="1:11" s="90" customFormat="1" ht="12.75" customHeight="1" x14ac:dyDescent="0.2">
      <c r="A10489" s="247"/>
      <c r="B10489" s="251"/>
      <c r="C10489" s="248"/>
      <c r="D10489" s="248"/>
      <c r="E10489" s="250"/>
      <c r="F10489" s="247"/>
      <c r="G10489" s="252"/>
      <c r="H10489" s="248"/>
      <c r="I10489" s="248"/>
      <c r="J10489" s="247"/>
      <c r="K10489" s="249"/>
    </row>
    <row r="10490" spans="1:11" s="90" customFormat="1" ht="12.75" customHeight="1" x14ac:dyDescent="0.2">
      <c r="A10490" s="247"/>
      <c r="B10490" s="251"/>
      <c r="C10490" s="248"/>
      <c r="D10490" s="248"/>
      <c r="E10490" s="250"/>
      <c r="F10490" s="247"/>
      <c r="G10490" s="252"/>
      <c r="H10490" s="248"/>
      <c r="I10490" s="248"/>
      <c r="J10490" s="247"/>
      <c r="K10490" s="249"/>
    </row>
    <row r="10491" spans="1:11" s="90" customFormat="1" ht="12.75" customHeight="1" x14ac:dyDescent="0.2">
      <c r="A10491" s="247"/>
      <c r="B10491" s="251"/>
      <c r="C10491" s="248"/>
      <c r="D10491" s="248"/>
      <c r="E10491" s="250"/>
      <c r="F10491" s="247"/>
      <c r="G10491" s="252"/>
      <c r="H10491" s="248"/>
      <c r="I10491" s="248"/>
      <c r="J10491" s="247"/>
      <c r="K10491" s="249"/>
    </row>
    <row r="10492" spans="1:11" s="90" customFormat="1" ht="12.75" customHeight="1" x14ac:dyDescent="0.2">
      <c r="A10492" s="247"/>
      <c r="B10492" s="251"/>
      <c r="C10492" s="248"/>
      <c r="D10492" s="248"/>
      <c r="E10492" s="250"/>
      <c r="F10492" s="247"/>
      <c r="G10492" s="252"/>
      <c r="H10492" s="248"/>
      <c r="I10492" s="248"/>
      <c r="J10492" s="247"/>
      <c r="K10492" s="249"/>
    </row>
    <row r="10493" spans="1:11" s="90" customFormat="1" ht="12.75" customHeight="1" x14ac:dyDescent="0.2">
      <c r="A10493" s="247"/>
      <c r="B10493" s="251"/>
      <c r="C10493" s="248"/>
      <c r="D10493" s="248"/>
      <c r="E10493" s="250"/>
      <c r="F10493" s="247"/>
      <c r="G10493" s="252"/>
      <c r="H10493" s="248"/>
      <c r="I10493" s="248"/>
      <c r="J10493" s="247"/>
      <c r="K10493" s="249"/>
    </row>
    <row r="10494" spans="1:11" s="90" customFormat="1" ht="12.75" customHeight="1" x14ac:dyDescent="0.2">
      <c r="A10494" s="247"/>
      <c r="B10494" s="251"/>
      <c r="C10494" s="248"/>
      <c r="D10494" s="248"/>
      <c r="E10494" s="250"/>
      <c r="F10494" s="247"/>
      <c r="G10494" s="252"/>
      <c r="H10494" s="248"/>
      <c r="I10494" s="248"/>
      <c r="J10494" s="247"/>
      <c r="K10494" s="249"/>
    </row>
    <row r="10495" spans="1:11" s="90" customFormat="1" ht="12.75" customHeight="1" x14ac:dyDescent="0.2">
      <c r="A10495" s="247"/>
      <c r="B10495" s="251"/>
      <c r="C10495" s="248"/>
      <c r="D10495" s="248"/>
      <c r="E10495" s="250"/>
      <c r="F10495" s="247"/>
      <c r="G10495" s="252"/>
      <c r="H10495" s="248"/>
      <c r="I10495" s="248"/>
      <c r="J10495" s="247"/>
      <c r="K10495" s="249"/>
    </row>
    <row r="10496" spans="1:11" s="90" customFormat="1" ht="12.75" customHeight="1" x14ac:dyDescent="0.2">
      <c r="A10496" s="247"/>
      <c r="B10496" s="251"/>
      <c r="C10496" s="248"/>
      <c r="D10496" s="248"/>
      <c r="E10496" s="250"/>
      <c r="F10496" s="247"/>
      <c r="G10496" s="252"/>
      <c r="H10496" s="248"/>
      <c r="I10496" s="248"/>
      <c r="J10496" s="247"/>
      <c r="K10496" s="249"/>
    </row>
    <row r="10497" spans="1:11" s="90" customFormat="1" ht="12.75" customHeight="1" x14ac:dyDescent="0.2">
      <c r="A10497" s="247"/>
      <c r="B10497" s="251"/>
      <c r="C10497" s="248"/>
      <c r="D10497" s="248"/>
      <c r="E10497" s="250"/>
      <c r="F10497" s="247"/>
      <c r="G10497" s="252"/>
      <c r="H10497" s="248"/>
      <c r="I10497" s="248"/>
      <c r="J10497" s="247"/>
      <c r="K10497" s="249"/>
    </row>
    <row r="10498" spans="1:11" s="90" customFormat="1" ht="12.75" customHeight="1" x14ac:dyDescent="0.2">
      <c r="A10498" s="247"/>
      <c r="B10498" s="251"/>
      <c r="C10498" s="248"/>
      <c r="D10498" s="248"/>
      <c r="E10498" s="250"/>
      <c r="F10498" s="247"/>
      <c r="G10498" s="252"/>
      <c r="H10498" s="248"/>
      <c r="I10498" s="248"/>
      <c r="J10498" s="247"/>
      <c r="K10498" s="249"/>
    </row>
    <row r="10499" spans="1:11" s="90" customFormat="1" ht="12.75" customHeight="1" x14ac:dyDescent="0.2">
      <c r="A10499" s="247"/>
      <c r="B10499" s="251"/>
      <c r="C10499" s="248"/>
      <c r="D10499" s="248"/>
      <c r="E10499" s="250"/>
      <c r="F10499" s="247"/>
      <c r="G10499" s="252"/>
      <c r="H10499" s="248"/>
      <c r="I10499" s="248"/>
      <c r="J10499" s="247"/>
      <c r="K10499" s="249"/>
    </row>
    <row r="10500" spans="1:11" s="90" customFormat="1" ht="12.75" customHeight="1" x14ac:dyDescent="0.2">
      <c r="A10500" s="247"/>
      <c r="B10500" s="251"/>
      <c r="C10500" s="248"/>
      <c r="D10500" s="248"/>
      <c r="E10500" s="250"/>
      <c r="F10500" s="247"/>
      <c r="G10500" s="252"/>
      <c r="H10500" s="248"/>
      <c r="I10500" s="248"/>
      <c r="J10500" s="247"/>
      <c r="K10500" s="249"/>
    </row>
    <row r="10501" spans="1:11" s="90" customFormat="1" ht="12.75" customHeight="1" x14ac:dyDescent="0.2">
      <c r="A10501" s="247"/>
      <c r="B10501" s="251"/>
      <c r="C10501" s="248"/>
      <c r="D10501" s="248"/>
      <c r="E10501" s="250"/>
      <c r="F10501" s="247"/>
      <c r="G10501" s="252"/>
      <c r="H10501" s="248"/>
      <c r="I10501" s="248"/>
      <c r="J10501" s="247"/>
      <c r="K10501" s="249"/>
    </row>
    <row r="10502" spans="1:11" s="90" customFormat="1" ht="12.75" customHeight="1" x14ac:dyDescent="0.2">
      <c r="A10502" s="247"/>
      <c r="B10502" s="251"/>
      <c r="C10502" s="248"/>
      <c r="D10502" s="248"/>
      <c r="E10502" s="250"/>
      <c r="F10502" s="247"/>
      <c r="G10502" s="252"/>
      <c r="H10502" s="248"/>
      <c r="I10502" s="248"/>
      <c r="J10502" s="247"/>
      <c r="K10502" s="249"/>
    </row>
    <row r="10503" spans="1:11" s="90" customFormat="1" ht="12.75" customHeight="1" x14ac:dyDescent="0.2">
      <c r="A10503" s="247"/>
      <c r="B10503" s="251"/>
      <c r="C10503" s="248"/>
      <c r="D10503" s="248"/>
      <c r="E10503" s="250"/>
      <c r="F10503" s="247"/>
      <c r="G10503" s="252"/>
      <c r="H10503" s="248"/>
      <c r="I10503" s="248"/>
      <c r="J10503" s="247"/>
      <c r="K10503" s="249"/>
    </row>
    <row r="10504" spans="1:11" s="90" customFormat="1" ht="12.75" customHeight="1" x14ac:dyDescent="0.2">
      <c r="A10504" s="247"/>
      <c r="B10504" s="251"/>
      <c r="C10504" s="248"/>
      <c r="D10504" s="248"/>
      <c r="E10504" s="250"/>
      <c r="F10504" s="247"/>
      <c r="G10504" s="252"/>
      <c r="H10504" s="248"/>
      <c r="I10504" s="248"/>
      <c r="J10504" s="247"/>
      <c r="K10504" s="249"/>
    </row>
    <row r="10505" spans="1:11" s="90" customFormat="1" ht="12.75" customHeight="1" x14ac:dyDescent="0.2">
      <c r="A10505" s="247"/>
      <c r="B10505" s="251"/>
      <c r="C10505" s="248"/>
      <c r="D10505" s="248"/>
      <c r="E10505" s="250"/>
      <c r="F10505" s="247"/>
      <c r="G10505" s="252"/>
      <c r="H10505" s="248"/>
      <c r="I10505" s="248"/>
      <c r="J10505" s="247"/>
      <c r="K10505" s="249"/>
    </row>
    <row r="10506" spans="1:11" s="90" customFormat="1" ht="12.75" customHeight="1" x14ac:dyDescent="0.2">
      <c r="A10506" s="247"/>
      <c r="B10506" s="251"/>
      <c r="C10506" s="248"/>
      <c r="D10506" s="248"/>
      <c r="E10506" s="250"/>
      <c r="F10506" s="247"/>
      <c r="G10506" s="252"/>
      <c r="H10506" s="248"/>
      <c r="I10506" s="248"/>
      <c r="J10506" s="247"/>
      <c r="K10506" s="249"/>
    </row>
    <row r="10507" spans="1:11" s="90" customFormat="1" ht="12.75" customHeight="1" x14ac:dyDescent="0.2">
      <c r="A10507" s="247"/>
      <c r="B10507" s="251"/>
      <c r="C10507" s="248"/>
      <c r="D10507" s="248"/>
      <c r="E10507" s="250"/>
      <c r="F10507" s="247"/>
      <c r="G10507" s="252"/>
      <c r="H10507" s="248"/>
      <c r="I10507" s="248"/>
      <c r="J10507" s="247"/>
      <c r="K10507" s="249"/>
    </row>
    <row r="10508" spans="1:11" s="90" customFormat="1" ht="12.75" customHeight="1" x14ac:dyDescent="0.2">
      <c r="A10508" s="247"/>
      <c r="B10508" s="251"/>
      <c r="C10508" s="248"/>
      <c r="D10508" s="248"/>
      <c r="E10508" s="250"/>
      <c r="F10508" s="247"/>
      <c r="G10508" s="252"/>
      <c r="H10508" s="248"/>
      <c r="I10508" s="248"/>
      <c r="J10508" s="247"/>
      <c r="K10508" s="249"/>
    </row>
    <row r="10509" spans="1:11" s="90" customFormat="1" ht="12.75" customHeight="1" x14ac:dyDescent="0.2">
      <c r="A10509" s="247"/>
      <c r="B10509" s="251"/>
      <c r="C10509" s="248"/>
      <c r="D10509" s="248"/>
      <c r="E10509" s="250"/>
      <c r="F10509" s="247"/>
      <c r="G10509" s="252"/>
      <c r="H10509" s="248"/>
      <c r="I10509" s="248"/>
      <c r="J10509" s="247"/>
      <c r="K10509" s="249"/>
    </row>
    <row r="10510" spans="1:11" s="90" customFormat="1" ht="12.75" customHeight="1" x14ac:dyDescent="0.2">
      <c r="A10510" s="247"/>
      <c r="B10510" s="251"/>
      <c r="C10510" s="248"/>
      <c r="D10510" s="248"/>
      <c r="E10510" s="250"/>
      <c r="F10510" s="247"/>
      <c r="G10510" s="252"/>
      <c r="H10510" s="248"/>
      <c r="I10510" s="248"/>
      <c r="J10510" s="247"/>
      <c r="K10510" s="249"/>
    </row>
    <row r="10511" spans="1:11" s="90" customFormat="1" ht="12.75" customHeight="1" x14ac:dyDescent="0.2">
      <c r="A10511" s="247"/>
      <c r="B10511" s="251"/>
      <c r="C10511" s="248"/>
      <c r="D10511" s="248"/>
      <c r="E10511" s="250"/>
      <c r="F10511" s="247"/>
      <c r="G10511" s="252"/>
      <c r="H10511" s="248"/>
      <c r="I10511" s="248"/>
      <c r="J10511" s="247"/>
      <c r="K10511" s="249"/>
    </row>
    <row r="10512" spans="1:11" s="90" customFormat="1" ht="12.75" customHeight="1" x14ac:dyDescent="0.2">
      <c r="A10512" s="247"/>
      <c r="B10512" s="251"/>
      <c r="C10512" s="248"/>
      <c r="D10512" s="248"/>
      <c r="E10512" s="250"/>
      <c r="F10512" s="247"/>
      <c r="G10512" s="252"/>
      <c r="H10512" s="248"/>
      <c r="I10512" s="248"/>
      <c r="J10512" s="247"/>
      <c r="K10512" s="249"/>
    </row>
    <row r="10513" spans="1:11" s="90" customFormat="1" ht="12.75" customHeight="1" x14ac:dyDescent="0.2">
      <c r="A10513" s="247"/>
      <c r="B10513" s="251"/>
      <c r="C10513" s="248"/>
      <c r="D10513" s="248"/>
      <c r="E10513" s="250"/>
      <c r="F10513" s="247"/>
      <c r="G10513" s="252"/>
      <c r="H10513" s="248"/>
      <c r="I10513" s="248"/>
      <c r="J10513" s="247"/>
      <c r="K10513" s="249"/>
    </row>
    <row r="10514" spans="1:11" s="90" customFormat="1" ht="12.75" customHeight="1" x14ac:dyDescent="0.2">
      <c r="A10514" s="247"/>
      <c r="B10514" s="251"/>
      <c r="C10514" s="248"/>
      <c r="D10514" s="248"/>
      <c r="E10514" s="250"/>
      <c r="F10514" s="247"/>
      <c r="G10514" s="252"/>
      <c r="H10514" s="248"/>
      <c r="I10514" s="248"/>
      <c r="J10514" s="247"/>
      <c r="K10514" s="249"/>
    </row>
    <row r="10515" spans="1:11" s="90" customFormat="1" ht="12.75" customHeight="1" x14ac:dyDescent="0.2">
      <c r="A10515" s="247"/>
      <c r="B10515" s="251"/>
      <c r="C10515" s="248"/>
      <c r="D10515" s="248"/>
      <c r="E10515" s="250"/>
      <c r="F10515" s="247"/>
      <c r="G10515" s="252"/>
      <c r="H10515" s="248"/>
      <c r="I10515" s="248"/>
      <c r="J10515" s="247"/>
      <c r="K10515" s="249"/>
    </row>
    <row r="10516" spans="1:11" s="90" customFormat="1" ht="12.75" customHeight="1" x14ac:dyDescent="0.2">
      <c r="A10516" s="247"/>
      <c r="B10516" s="251"/>
      <c r="C10516" s="248"/>
      <c r="D10516" s="248"/>
      <c r="E10516" s="250"/>
      <c r="F10516" s="247"/>
      <c r="G10516" s="252"/>
      <c r="H10516" s="248"/>
      <c r="I10516" s="248"/>
      <c r="J10516" s="247"/>
      <c r="K10516" s="249"/>
    </row>
    <row r="10517" spans="1:11" s="90" customFormat="1" ht="12.75" customHeight="1" x14ac:dyDescent="0.2">
      <c r="A10517" s="247"/>
      <c r="B10517" s="251"/>
      <c r="C10517" s="248"/>
      <c r="D10517" s="248"/>
      <c r="E10517" s="250"/>
      <c r="F10517" s="247"/>
      <c r="G10517" s="252"/>
      <c r="H10517" s="248"/>
      <c r="I10517" s="248"/>
      <c r="J10517" s="247"/>
      <c r="K10517" s="249"/>
    </row>
    <row r="10518" spans="1:11" s="90" customFormat="1" ht="12.75" customHeight="1" x14ac:dyDescent="0.2">
      <c r="A10518" s="247"/>
      <c r="B10518" s="251"/>
      <c r="C10518" s="248"/>
      <c r="D10518" s="248"/>
      <c r="E10518" s="250"/>
      <c r="F10518" s="247"/>
      <c r="G10518" s="252"/>
      <c r="H10518" s="248"/>
      <c r="I10518" s="248"/>
      <c r="J10518" s="247"/>
      <c r="K10518" s="249"/>
    </row>
    <row r="10519" spans="1:11" s="90" customFormat="1" ht="12.75" customHeight="1" x14ac:dyDescent="0.2">
      <c r="A10519" s="247"/>
      <c r="B10519" s="251"/>
      <c r="C10519" s="248"/>
      <c r="D10519" s="248"/>
      <c r="E10519" s="250"/>
      <c r="F10519" s="247"/>
      <c r="G10519" s="252"/>
      <c r="H10519" s="248"/>
      <c r="I10519" s="248"/>
      <c r="J10519" s="247"/>
      <c r="K10519" s="249"/>
    </row>
    <row r="10520" spans="1:11" s="90" customFormat="1" ht="12.75" customHeight="1" x14ac:dyDescent="0.2">
      <c r="A10520" s="247"/>
      <c r="B10520" s="251"/>
      <c r="C10520" s="248"/>
      <c r="D10520" s="248"/>
      <c r="E10520" s="250"/>
      <c r="F10520" s="247"/>
      <c r="G10520" s="252"/>
      <c r="H10520" s="248"/>
      <c r="I10520" s="248"/>
      <c r="J10520" s="247"/>
      <c r="K10520" s="249"/>
    </row>
    <row r="10521" spans="1:11" s="90" customFormat="1" ht="12.75" customHeight="1" x14ac:dyDescent="0.2">
      <c r="A10521" s="247"/>
      <c r="B10521" s="251"/>
      <c r="C10521" s="248"/>
      <c r="D10521" s="248"/>
      <c r="E10521" s="250"/>
      <c r="F10521" s="247"/>
      <c r="G10521" s="252"/>
      <c r="H10521" s="248"/>
      <c r="I10521" s="248"/>
      <c r="J10521" s="247"/>
      <c r="K10521" s="249"/>
    </row>
    <row r="10522" spans="1:11" s="90" customFormat="1" ht="12.75" customHeight="1" x14ac:dyDescent="0.2">
      <c r="A10522" s="247"/>
      <c r="B10522" s="251"/>
      <c r="C10522" s="248"/>
      <c r="D10522" s="248"/>
      <c r="E10522" s="250"/>
      <c r="F10522" s="247"/>
      <c r="G10522" s="252"/>
      <c r="H10522" s="248"/>
      <c r="I10522" s="248"/>
      <c r="J10522" s="247"/>
      <c r="K10522" s="249"/>
    </row>
    <row r="10523" spans="1:11" s="90" customFormat="1" ht="12.75" customHeight="1" x14ac:dyDescent="0.2">
      <c r="A10523" s="247"/>
      <c r="B10523" s="251"/>
      <c r="C10523" s="248"/>
      <c r="D10523" s="248"/>
      <c r="E10523" s="250"/>
      <c r="F10523" s="247"/>
      <c r="G10523" s="252"/>
      <c r="H10523" s="248"/>
      <c r="I10523" s="248"/>
      <c r="J10523" s="247"/>
      <c r="K10523" s="249"/>
    </row>
    <row r="10524" spans="1:11" s="90" customFormat="1" ht="12.75" customHeight="1" x14ac:dyDescent="0.2">
      <c r="A10524" s="247"/>
      <c r="B10524" s="251"/>
      <c r="C10524" s="248"/>
      <c r="D10524" s="248"/>
      <c r="E10524" s="250"/>
      <c r="F10524" s="247"/>
      <c r="G10524" s="252"/>
      <c r="H10524" s="248"/>
      <c r="I10524" s="248"/>
      <c r="J10524" s="247"/>
      <c r="K10524" s="249"/>
    </row>
    <row r="10525" spans="1:11" s="90" customFormat="1" ht="12.75" customHeight="1" x14ac:dyDescent="0.2">
      <c r="A10525" s="247"/>
      <c r="B10525" s="251"/>
      <c r="C10525" s="248"/>
      <c r="D10525" s="248"/>
      <c r="E10525" s="250"/>
      <c r="F10525" s="247"/>
      <c r="G10525" s="252"/>
      <c r="H10525" s="248"/>
      <c r="I10525" s="248"/>
      <c r="J10525" s="247"/>
      <c r="K10525" s="249"/>
    </row>
    <row r="10526" spans="1:11" s="90" customFormat="1" ht="12.75" customHeight="1" x14ac:dyDescent="0.2">
      <c r="A10526" s="247"/>
      <c r="B10526" s="251"/>
      <c r="C10526" s="248"/>
      <c r="D10526" s="248"/>
      <c r="E10526" s="250"/>
      <c r="F10526" s="247"/>
      <c r="G10526" s="252"/>
      <c r="H10526" s="248"/>
      <c r="I10526" s="248"/>
      <c r="J10526" s="247"/>
      <c r="K10526" s="249"/>
    </row>
    <row r="10527" spans="1:11" s="90" customFormat="1" ht="12.75" customHeight="1" x14ac:dyDescent="0.2">
      <c r="A10527" s="247"/>
      <c r="B10527" s="251"/>
      <c r="C10527" s="248"/>
      <c r="D10527" s="248"/>
      <c r="E10527" s="250"/>
      <c r="F10527" s="247"/>
      <c r="G10527" s="252"/>
      <c r="H10527" s="248"/>
      <c r="I10527" s="248"/>
      <c r="J10527" s="247"/>
      <c r="K10527" s="249"/>
    </row>
    <row r="10528" spans="1:11" s="90" customFormat="1" ht="12.75" customHeight="1" x14ac:dyDescent="0.2">
      <c r="A10528" s="247"/>
      <c r="B10528" s="251"/>
      <c r="C10528" s="248"/>
      <c r="D10528" s="248"/>
      <c r="E10528" s="250"/>
      <c r="F10528" s="247"/>
      <c r="G10528" s="252"/>
      <c r="H10528" s="248"/>
      <c r="I10528" s="248"/>
      <c r="J10528" s="247"/>
      <c r="K10528" s="249"/>
    </row>
    <row r="10529" spans="1:11" s="90" customFormat="1" ht="12.75" customHeight="1" x14ac:dyDescent="0.2">
      <c r="A10529" s="247"/>
      <c r="B10529" s="251"/>
      <c r="C10529" s="248"/>
      <c r="D10529" s="248"/>
      <c r="E10529" s="250"/>
      <c r="F10529" s="247"/>
      <c r="G10529" s="252"/>
      <c r="H10529" s="248"/>
      <c r="I10529" s="248"/>
      <c r="J10529" s="247"/>
      <c r="K10529" s="249"/>
    </row>
    <row r="10530" spans="1:11" s="90" customFormat="1" ht="12.75" customHeight="1" x14ac:dyDescent="0.2">
      <c r="A10530" s="247"/>
      <c r="B10530" s="251"/>
      <c r="C10530" s="248"/>
      <c r="D10530" s="248"/>
      <c r="E10530" s="250"/>
      <c r="F10530" s="247"/>
      <c r="G10530" s="252"/>
      <c r="H10530" s="248"/>
      <c r="I10530" s="248"/>
      <c r="J10530" s="247"/>
      <c r="K10530" s="249"/>
    </row>
    <row r="10531" spans="1:11" s="90" customFormat="1" ht="12.75" customHeight="1" x14ac:dyDescent="0.2">
      <c r="A10531" s="247"/>
      <c r="B10531" s="251"/>
      <c r="C10531" s="248"/>
      <c r="D10531" s="248"/>
      <c r="E10531" s="250"/>
      <c r="F10531" s="247"/>
      <c r="G10531" s="252"/>
      <c r="H10531" s="248"/>
      <c r="I10531" s="248"/>
      <c r="J10531" s="247"/>
      <c r="K10531" s="249"/>
    </row>
    <row r="10532" spans="1:11" s="90" customFormat="1" ht="12.75" customHeight="1" x14ac:dyDescent="0.2">
      <c r="A10532" s="247"/>
      <c r="B10532" s="251"/>
      <c r="C10532" s="248"/>
      <c r="D10532" s="248"/>
      <c r="E10532" s="250"/>
      <c r="F10532" s="247"/>
      <c r="G10532" s="252"/>
      <c r="H10532" s="248"/>
      <c r="I10532" s="248"/>
      <c r="J10532" s="247"/>
      <c r="K10532" s="249"/>
    </row>
    <row r="10533" spans="1:11" s="90" customFormat="1" ht="12.75" customHeight="1" x14ac:dyDescent="0.2">
      <c r="A10533" s="247"/>
      <c r="B10533" s="251"/>
      <c r="C10533" s="248"/>
      <c r="D10533" s="248"/>
      <c r="E10533" s="250"/>
      <c r="F10533" s="247"/>
      <c r="G10533" s="252"/>
      <c r="H10533" s="248"/>
      <c r="I10533" s="248"/>
      <c r="J10533" s="247"/>
      <c r="K10533" s="249"/>
    </row>
    <row r="10534" spans="1:11" s="90" customFormat="1" ht="12.75" customHeight="1" x14ac:dyDescent="0.2">
      <c r="A10534" s="247"/>
      <c r="B10534" s="251"/>
      <c r="C10534" s="248"/>
      <c r="D10534" s="248"/>
      <c r="E10534" s="250"/>
      <c r="F10534" s="247"/>
      <c r="G10534" s="252"/>
      <c r="H10534" s="248"/>
      <c r="I10534" s="248"/>
      <c r="J10534" s="247"/>
      <c r="K10534" s="249"/>
    </row>
    <row r="10535" spans="1:11" s="90" customFormat="1" ht="12.75" customHeight="1" x14ac:dyDescent="0.2">
      <c r="A10535" s="247"/>
      <c r="B10535" s="251"/>
      <c r="C10535" s="248"/>
      <c r="D10535" s="248"/>
      <c r="E10535" s="250"/>
      <c r="F10535" s="247"/>
      <c r="G10535" s="252"/>
      <c r="H10535" s="248"/>
      <c r="I10535" s="248"/>
      <c r="J10535" s="247"/>
      <c r="K10535" s="249"/>
    </row>
    <row r="10536" spans="1:11" s="90" customFormat="1" ht="12.75" customHeight="1" x14ac:dyDescent="0.2">
      <c r="A10536" s="247"/>
      <c r="B10536" s="251"/>
      <c r="C10536" s="248"/>
      <c r="D10536" s="248"/>
      <c r="E10536" s="250"/>
      <c r="F10536" s="247"/>
      <c r="G10536" s="252"/>
      <c r="H10536" s="248"/>
      <c r="I10536" s="248"/>
      <c r="J10536" s="247"/>
      <c r="K10536" s="249"/>
    </row>
    <row r="10537" spans="1:11" s="90" customFormat="1" ht="12.75" customHeight="1" x14ac:dyDescent="0.2">
      <c r="A10537" s="247"/>
      <c r="B10537" s="251"/>
      <c r="C10537" s="248"/>
      <c r="D10537" s="248"/>
      <c r="E10537" s="250"/>
      <c r="F10537" s="247"/>
      <c r="G10537" s="252"/>
      <c r="H10537" s="248"/>
      <c r="I10537" s="248"/>
      <c r="J10537" s="247"/>
      <c r="K10537" s="249"/>
    </row>
    <row r="10538" spans="1:11" s="90" customFormat="1" ht="12.75" customHeight="1" x14ac:dyDescent="0.2">
      <c r="A10538" s="247"/>
      <c r="B10538" s="251"/>
      <c r="C10538" s="248"/>
      <c r="D10538" s="248"/>
      <c r="E10538" s="250"/>
      <c r="F10538" s="247"/>
      <c r="G10538" s="252"/>
      <c r="H10538" s="248"/>
      <c r="I10538" s="248"/>
      <c r="J10538" s="247"/>
      <c r="K10538" s="249"/>
    </row>
    <row r="10539" spans="1:11" s="90" customFormat="1" ht="12.75" customHeight="1" x14ac:dyDescent="0.2">
      <c r="A10539" s="247"/>
      <c r="B10539" s="251"/>
      <c r="C10539" s="248"/>
      <c r="D10539" s="248"/>
      <c r="E10539" s="250"/>
      <c r="F10539" s="247"/>
      <c r="G10539" s="252"/>
      <c r="H10539" s="248"/>
      <c r="I10539" s="248"/>
      <c r="J10539" s="247"/>
      <c r="K10539" s="249"/>
    </row>
    <row r="10540" spans="1:11" s="90" customFormat="1" ht="12.75" customHeight="1" x14ac:dyDescent="0.2">
      <c r="A10540" s="247"/>
      <c r="B10540" s="251"/>
      <c r="C10540" s="248"/>
      <c r="D10540" s="248"/>
      <c r="E10540" s="250"/>
      <c r="F10540" s="247"/>
      <c r="G10540" s="252"/>
      <c r="H10540" s="248"/>
      <c r="I10540" s="248"/>
      <c r="J10540" s="247"/>
      <c r="K10540" s="249"/>
    </row>
    <row r="10541" spans="1:11" s="90" customFormat="1" ht="12.75" customHeight="1" x14ac:dyDescent="0.2">
      <c r="A10541" s="247"/>
      <c r="B10541" s="251"/>
      <c r="C10541" s="248"/>
      <c r="D10541" s="248"/>
      <c r="E10541" s="250"/>
      <c r="F10541" s="247"/>
      <c r="G10541" s="252"/>
      <c r="H10541" s="248"/>
      <c r="I10541" s="248"/>
      <c r="J10541" s="247"/>
      <c r="K10541" s="249"/>
    </row>
    <row r="10542" spans="1:11" s="90" customFormat="1" ht="12.75" customHeight="1" x14ac:dyDescent="0.2">
      <c r="A10542" s="247"/>
      <c r="B10542" s="251"/>
      <c r="C10542" s="248"/>
      <c r="D10542" s="248"/>
      <c r="E10542" s="250"/>
      <c r="F10542" s="247"/>
      <c r="G10542" s="252"/>
      <c r="H10542" s="248"/>
      <c r="I10542" s="248"/>
      <c r="J10542" s="247"/>
      <c r="K10542" s="249"/>
    </row>
    <row r="10543" spans="1:11" s="90" customFormat="1" ht="12.75" customHeight="1" x14ac:dyDescent="0.2">
      <c r="A10543" s="247"/>
      <c r="B10543" s="251"/>
      <c r="C10543" s="248"/>
      <c r="D10543" s="248"/>
      <c r="E10543" s="250"/>
      <c r="F10543" s="247"/>
      <c r="G10543" s="252"/>
      <c r="H10543" s="248"/>
      <c r="I10543" s="248"/>
      <c r="J10543" s="247"/>
      <c r="K10543" s="249"/>
    </row>
    <row r="10544" spans="1:11" s="90" customFormat="1" ht="12.75" customHeight="1" x14ac:dyDescent="0.2">
      <c r="A10544" s="247"/>
      <c r="B10544" s="251"/>
      <c r="C10544" s="248"/>
      <c r="D10544" s="248"/>
      <c r="E10544" s="250"/>
      <c r="F10544" s="247"/>
      <c r="G10544" s="252"/>
      <c r="H10544" s="248"/>
      <c r="I10544" s="248"/>
      <c r="J10544" s="247"/>
      <c r="K10544" s="249"/>
    </row>
    <row r="10545" spans="1:11" s="90" customFormat="1" ht="12.75" customHeight="1" x14ac:dyDescent="0.2">
      <c r="A10545" s="247"/>
      <c r="B10545" s="251"/>
      <c r="C10545" s="248"/>
      <c r="D10545" s="248"/>
      <c r="E10545" s="250"/>
      <c r="F10545" s="247"/>
      <c r="G10545" s="252"/>
      <c r="H10545" s="248"/>
      <c r="I10545" s="248"/>
      <c r="J10545" s="247"/>
      <c r="K10545" s="249"/>
    </row>
    <row r="10546" spans="1:11" s="90" customFormat="1" ht="12.75" customHeight="1" x14ac:dyDescent="0.2">
      <c r="A10546" s="247"/>
      <c r="B10546" s="251"/>
      <c r="C10546" s="248"/>
      <c r="D10546" s="248"/>
      <c r="E10546" s="250"/>
      <c r="F10546" s="247"/>
      <c r="G10546" s="252"/>
      <c r="H10546" s="248"/>
      <c r="I10546" s="248"/>
      <c r="J10546" s="247"/>
      <c r="K10546" s="249"/>
    </row>
    <row r="10547" spans="1:11" s="90" customFormat="1" ht="12.75" customHeight="1" x14ac:dyDescent="0.2">
      <c r="A10547" s="247"/>
      <c r="B10547" s="251"/>
      <c r="C10547" s="248"/>
      <c r="D10547" s="248"/>
      <c r="E10547" s="250"/>
      <c r="F10547" s="247"/>
      <c r="G10547" s="252"/>
      <c r="H10547" s="248"/>
      <c r="I10547" s="248"/>
      <c r="J10547" s="247"/>
      <c r="K10547" s="249"/>
    </row>
    <row r="10548" spans="1:11" s="90" customFormat="1" ht="12.75" customHeight="1" x14ac:dyDescent="0.2">
      <c r="A10548" s="247"/>
      <c r="B10548" s="251"/>
      <c r="C10548" s="248"/>
      <c r="D10548" s="248"/>
      <c r="E10548" s="250"/>
      <c r="F10548" s="247"/>
      <c r="G10548" s="252"/>
      <c r="H10548" s="248"/>
      <c r="I10548" s="248"/>
      <c r="J10548" s="247"/>
      <c r="K10548" s="249"/>
    </row>
    <row r="10549" spans="1:11" s="90" customFormat="1" ht="12.75" customHeight="1" x14ac:dyDescent="0.2">
      <c r="A10549" s="247"/>
      <c r="B10549" s="251"/>
      <c r="C10549" s="248"/>
      <c r="D10549" s="248"/>
      <c r="E10549" s="250"/>
      <c r="F10549" s="247"/>
      <c r="G10549" s="252"/>
      <c r="H10549" s="248"/>
      <c r="I10549" s="248"/>
      <c r="J10549" s="247"/>
      <c r="K10549" s="249"/>
    </row>
    <row r="10550" spans="1:11" s="90" customFormat="1" ht="12.75" customHeight="1" x14ac:dyDescent="0.2">
      <c r="A10550" s="247"/>
      <c r="B10550" s="251"/>
      <c r="C10550" s="248"/>
      <c r="D10550" s="248"/>
      <c r="E10550" s="250"/>
      <c r="F10550" s="247"/>
      <c r="G10550" s="252"/>
      <c r="H10550" s="248"/>
      <c r="I10550" s="248"/>
      <c r="J10550" s="247"/>
      <c r="K10550" s="249"/>
    </row>
    <row r="10551" spans="1:11" s="90" customFormat="1" ht="12.75" customHeight="1" x14ac:dyDescent="0.2">
      <c r="A10551" s="247"/>
      <c r="B10551" s="251"/>
      <c r="C10551" s="248"/>
      <c r="D10551" s="248"/>
      <c r="E10551" s="250"/>
      <c r="F10551" s="247"/>
      <c r="G10551" s="252"/>
      <c r="H10551" s="248"/>
      <c r="I10551" s="248"/>
      <c r="J10551" s="247"/>
      <c r="K10551" s="249"/>
    </row>
    <row r="10552" spans="1:11" s="90" customFormat="1" ht="12.75" customHeight="1" x14ac:dyDescent="0.2">
      <c r="A10552" s="247"/>
      <c r="B10552" s="251"/>
      <c r="C10552" s="248"/>
      <c r="D10552" s="248"/>
      <c r="E10552" s="250"/>
      <c r="F10552" s="247"/>
      <c r="G10552" s="252"/>
      <c r="H10552" s="248"/>
      <c r="I10552" s="248"/>
      <c r="J10552" s="247"/>
      <c r="K10552" s="249"/>
    </row>
    <row r="10553" spans="1:11" s="90" customFormat="1" ht="12.75" customHeight="1" x14ac:dyDescent="0.2">
      <c r="A10553" s="247"/>
      <c r="B10553" s="251"/>
      <c r="C10553" s="248"/>
      <c r="D10553" s="248"/>
      <c r="E10553" s="250"/>
      <c r="F10553" s="247"/>
      <c r="G10553" s="252"/>
      <c r="H10553" s="248"/>
      <c r="I10553" s="248"/>
      <c r="J10553" s="247"/>
      <c r="K10553" s="249"/>
    </row>
    <row r="10554" spans="1:11" s="90" customFormat="1" ht="12.75" customHeight="1" x14ac:dyDescent="0.2">
      <c r="A10554" s="247"/>
      <c r="B10554" s="251"/>
      <c r="C10554" s="248"/>
      <c r="D10554" s="248"/>
      <c r="E10554" s="250"/>
      <c r="F10554" s="247"/>
      <c r="G10554" s="252"/>
      <c r="H10554" s="248"/>
      <c r="I10554" s="248"/>
      <c r="J10554" s="247"/>
      <c r="K10554" s="249"/>
    </row>
    <row r="10555" spans="1:11" s="90" customFormat="1" ht="12.75" customHeight="1" x14ac:dyDescent="0.2">
      <c r="A10555" s="247"/>
      <c r="B10555" s="251"/>
      <c r="C10555" s="248"/>
      <c r="D10555" s="248"/>
      <c r="E10555" s="250"/>
      <c r="F10555" s="247"/>
      <c r="G10555" s="252"/>
      <c r="H10555" s="248"/>
      <c r="I10555" s="248"/>
      <c r="J10555" s="247"/>
      <c r="K10555" s="249"/>
    </row>
    <row r="10556" spans="1:11" s="90" customFormat="1" ht="12.75" customHeight="1" x14ac:dyDescent="0.2">
      <c r="A10556" s="247"/>
      <c r="B10556" s="251"/>
      <c r="C10556" s="248"/>
      <c r="D10556" s="248"/>
      <c r="E10556" s="250"/>
      <c r="F10556" s="247"/>
      <c r="G10556" s="252"/>
      <c r="H10556" s="248"/>
      <c r="I10556" s="248"/>
      <c r="J10556" s="247"/>
      <c r="K10556" s="249"/>
    </row>
    <row r="10557" spans="1:11" s="90" customFormat="1" ht="12.75" customHeight="1" x14ac:dyDescent="0.2">
      <c r="A10557" s="247"/>
      <c r="B10557" s="251"/>
      <c r="C10557" s="248"/>
      <c r="D10557" s="248"/>
      <c r="E10557" s="250"/>
      <c r="F10557" s="247"/>
      <c r="G10557" s="252"/>
      <c r="H10557" s="248"/>
      <c r="I10557" s="248"/>
      <c r="J10557" s="247"/>
      <c r="K10557" s="249"/>
    </row>
    <row r="10558" spans="1:11" s="90" customFormat="1" ht="12.75" customHeight="1" x14ac:dyDescent="0.2">
      <c r="A10558" s="247"/>
      <c r="B10558" s="251"/>
      <c r="C10558" s="248"/>
      <c r="D10558" s="248"/>
      <c r="E10558" s="250"/>
      <c r="F10558" s="247"/>
      <c r="G10558" s="252"/>
      <c r="H10558" s="248"/>
      <c r="I10558" s="248"/>
      <c r="J10558" s="247"/>
      <c r="K10558" s="249"/>
    </row>
    <row r="10559" spans="1:11" s="90" customFormat="1" ht="12.75" customHeight="1" x14ac:dyDescent="0.2">
      <c r="A10559" s="247"/>
      <c r="B10559" s="251"/>
      <c r="C10559" s="248"/>
      <c r="D10559" s="248"/>
      <c r="E10559" s="250"/>
      <c r="F10559" s="247"/>
      <c r="G10559" s="252"/>
      <c r="H10559" s="248"/>
      <c r="I10559" s="248"/>
      <c r="J10559" s="247"/>
      <c r="K10559" s="249"/>
    </row>
    <row r="10560" spans="1:11" s="90" customFormat="1" ht="12.75" customHeight="1" x14ac:dyDescent="0.2">
      <c r="A10560" s="247"/>
      <c r="B10560" s="251"/>
      <c r="C10560" s="248"/>
      <c r="D10560" s="248"/>
      <c r="E10560" s="250"/>
      <c r="F10560" s="247"/>
      <c r="G10560" s="252"/>
      <c r="H10560" s="248"/>
      <c r="I10560" s="248"/>
      <c r="J10560" s="247"/>
      <c r="K10560" s="249"/>
    </row>
    <row r="10561" spans="1:11" s="90" customFormat="1" ht="12.75" customHeight="1" x14ac:dyDescent="0.2">
      <c r="A10561" s="247"/>
      <c r="B10561" s="251"/>
      <c r="C10561" s="248"/>
      <c r="D10561" s="248"/>
      <c r="E10561" s="250"/>
      <c r="F10561" s="247"/>
      <c r="G10561" s="252"/>
      <c r="H10561" s="248"/>
      <c r="I10561" s="248"/>
      <c r="J10561" s="247"/>
      <c r="K10561" s="249"/>
    </row>
    <row r="10562" spans="1:11" s="90" customFormat="1" ht="12.75" customHeight="1" x14ac:dyDescent="0.2">
      <c r="A10562" s="247"/>
      <c r="B10562" s="251"/>
      <c r="C10562" s="248"/>
      <c r="D10562" s="248"/>
      <c r="E10562" s="250"/>
      <c r="F10562" s="247"/>
      <c r="G10562" s="252"/>
      <c r="H10562" s="248"/>
      <c r="I10562" s="248"/>
      <c r="J10562" s="247"/>
      <c r="K10562" s="249"/>
    </row>
    <row r="10563" spans="1:11" s="90" customFormat="1" ht="12.75" customHeight="1" x14ac:dyDescent="0.2">
      <c r="A10563" s="247"/>
      <c r="B10563" s="251"/>
      <c r="C10563" s="248"/>
      <c r="D10563" s="248"/>
      <c r="E10563" s="250"/>
      <c r="F10563" s="247"/>
      <c r="G10563" s="252"/>
      <c r="H10563" s="248"/>
      <c r="I10563" s="248"/>
      <c r="J10563" s="247"/>
      <c r="K10563" s="249"/>
    </row>
    <row r="10564" spans="1:11" s="90" customFormat="1" ht="12.75" customHeight="1" x14ac:dyDescent="0.2">
      <c r="A10564" s="247"/>
      <c r="B10564" s="251"/>
      <c r="C10564" s="248"/>
      <c r="D10564" s="248"/>
      <c r="E10564" s="250"/>
      <c r="F10564" s="247"/>
      <c r="G10564" s="252"/>
      <c r="H10564" s="248"/>
      <c r="I10564" s="248"/>
      <c r="J10564" s="247"/>
      <c r="K10564" s="249"/>
    </row>
    <row r="10565" spans="1:11" s="90" customFormat="1" ht="12.75" customHeight="1" x14ac:dyDescent="0.2">
      <c r="A10565" s="247"/>
      <c r="B10565" s="251"/>
      <c r="C10565" s="248"/>
      <c r="D10565" s="248"/>
      <c r="E10565" s="250"/>
      <c r="F10565" s="247"/>
      <c r="G10565" s="252"/>
      <c r="H10565" s="248"/>
      <c r="I10565" s="248"/>
      <c r="J10565" s="247"/>
      <c r="K10565" s="249"/>
    </row>
    <row r="10566" spans="1:11" s="90" customFormat="1" ht="12.75" customHeight="1" x14ac:dyDescent="0.2">
      <c r="A10566" s="247"/>
      <c r="B10566" s="251"/>
      <c r="C10566" s="248"/>
      <c r="D10566" s="248"/>
      <c r="E10566" s="250"/>
      <c r="F10566" s="247"/>
      <c r="G10566" s="252"/>
      <c r="H10566" s="248"/>
      <c r="I10566" s="248"/>
      <c r="J10566" s="247"/>
      <c r="K10566" s="249"/>
    </row>
    <row r="10567" spans="1:11" s="90" customFormat="1" ht="12.75" customHeight="1" x14ac:dyDescent="0.2">
      <c r="A10567" s="247"/>
      <c r="B10567" s="251"/>
      <c r="C10567" s="248"/>
      <c r="D10567" s="248"/>
      <c r="E10567" s="250"/>
      <c r="F10567" s="247"/>
      <c r="G10567" s="252"/>
      <c r="H10567" s="248"/>
      <c r="I10567" s="248"/>
      <c r="J10567" s="247"/>
      <c r="K10567" s="249"/>
    </row>
    <row r="10568" spans="1:11" s="90" customFormat="1" ht="12.75" customHeight="1" x14ac:dyDescent="0.2">
      <c r="A10568" s="247"/>
      <c r="B10568" s="251"/>
      <c r="C10568" s="248"/>
      <c r="D10568" s="248"/>
      <c r="E10568" s="250"/>
      <c r="F10568" s="247"/>
      <c r="G10568" s="252"/>
      <c r="H10568" s="248"/>
      <c r="I10568" s="248"/>
      <c r="J10568" s="247"/>
      <c r="K10568" s="249"/>
    </row>
    <row r="10569" spans="1:11" s="90" customFormat="1" ht="12.75" customHeight="1" x14ac:dyDescent="0.2">
      <c r="A10569" s="247"/>
      <c r="B10569" s="251"/>
      <c r="C10569" s="248"/>
      <c r="D10569" s="248"/>
      <c r="E10569" s="250"/>
      <c r="F10569" s="247"/>
      <c r="G10569" s="252"/>
      <c r="H10569" s="248"/>
      <c r="I10569" s="248"/>
      <c r="J10569" s="247"/>
      <c r="K10569" s="249"/>
    </row>
    <row r="10570" spans="1:11" s="90" customFormat="1" ht="12.75" customHeight="1" x14ac:dyDescent="0.2">
      <c r="A10570" s="247"/>
      <c r="B10570" s="251"/>
      <c r="C10570" s="248"/>
      <c r="D10570" s="248"/>
      <c r="E10570" s="250"/>
      <c r="F10570" s="247"/>
      <c r="G10570" s="252"/>
      <c r="H10570" s="248"/>
      <c r="I10570" s="248"/>
      <c r="J10570" s="247"/>
      <c r="K10570" s="249"/>
    </row>
    <row r="10571" spans="1:11" s="90" customFormat="1" ht="12.75" customHeight="1" x14ac:dyDescent="0.2">
      <c r="A10571" s="247"/>
      <c r="B10571" s="251"/>
      <c r="C10571" s="248"/>
      <c r="D10571" s="248"/>
      <c r="E10571" s="250"/>
      <c r="F10571" s="247"/>
      <c r="G10571" s="252"/>
      <c r="H10571" s="248"/>
      <c r="I10571" s="248"/>
      <c r="J10571" s="247"/>
      <c r="K10571" s="249"/>
    </row>
    <row r="10572" spans="1:11" s="90" customFormat="1" ht="12.75" customHeight="1" x14ac:dyDescent="0.2">
      <c r="A10572" s="247"/>
      <c r="B10572" s="251"/>
      <c r="C10572" s="248"/>
      <c r="D10572" s="248"/>
      <c r="E10572" s="250"/>
      <c r="F10572" s="247"/>
      <c r="G10572" s="252"/>
      <c r="H10572" s="248"/>
      <c r="I10572" s="248"/>
      <c r="J10572" s="247"/>
      <c r="K10572" s="249"/>
    </row>
    <row r="10573" spans="1:11" s="90" customFormat="1" ht="12.75" customHeight="1" x14ac:dyDescent="0.2">
      <c r="A10573" s="247"/>
      <c r="B10573" s="251"/>
      <c r="C10573" s="248"/>
      <c r="D10573" s="248"/>
      <c r="E10573" s="250"/>
      <c r="F10573" s="247"/>
      <c r="G10573" s="252"/>
      <c r="H10573" s="248"/>
      <c r="I10573" s="248"/>
      <c r="J10573" s="247"/>
      <c r="K10573" s="249"/>
    </row>
    <row r="10574" spans="1:11" s="90" customFormat="1" ht="12.75" customHeight="1" x14ac:dyDescent="0.2">
      <c r="A10574" s="247"/>
      <c r="B10574" s="251"/>
      <c r="C10574" s="248"/>
      <c r="D10574" s="248"/>
      <c r="E10574" s="250"/>
      <c r="F10574" s="247"/>
      <c r="G10574" s="252"/>
      <c r="H10574" s="248"/>
      <c r="I10574" s="248"/>
      <c r="J10574" s="247"/>
      <c r="K10574" s="249"/>
    </row>
    <row r="10575" spans="1:11" s="90" customFormat="1" ht="12.75" customHeight="1" x14ac:dyDescent="0.2">
      <c r="A10575" s="247"/>
      <c r="B10575" s="251"/>
      <c r="C10575" s="248"/>
      <c r="D10575" s="248"/>
      <c r="E10575" s="250"/>
      <c r="F10575" s="247"/>
      <c r="G10575" s="252"/>
      <c r="H10575" s="248"/>
      <c r="I10575" s="248"/>
      <c r="J10575" s="247"/>
      <c r="K10575" s="249"/>
    </row>
    <row r="10576" spans="1:11" s="90" customFormat="1" ht="12.75" customHeight="1" x14ac:dyDescent="0.2">
      <c r="A10576" s="247"/>
      <c r="B10576" s="251"/>
      <c r="C10576" s="248"/>
      <c r="D10576" s="248"/>
      <c r="E10576" s="250"/>
      <c r="F10576" s="247"/>
      <c r="G10576" s="252"/>
      <c r="H10576" s="248"/>
      <c r="I10576" s="248"/>
      <c r="J10576" s="247"/>
      <c r="K10576" s="249"/>
    </row>
    <row r="10577" spans="1:11" s="90" customFormat="1" ht="12.75" customHeight="1" x14ac:dyDescent="0.2">
      <c r="A10577" s="247"/>
      <c r="B10577" s="251"/>
      <c r="C10577" s="248"/>
      <c r="D10577" s="248"/>
      <c r="E10577" s="250"/>
      <c r="F10577" s="247"/>
      <c r="G10577" s="252"/>
      <c r="H10577" s="248"/>
      <c r="I10577" s="248"/>
      <c r="J10577" s="247"/>
      <c r="K10577" s="249"/>
    </row>
    <row r="10578" spans="1:11" s="90" customFormat="1" ht="12.75" customHeight="1" x14ac:dyDescent="0.2">
      <c r="A10578" s="247"/>
      <c r="B10578" s="251"/>
      <c r="C10578" s="248"/>
      <c r="D10578" s="248"/>
      <c r="E10578" s="250"/>
      <c r="F10578" s="247"/>
      <c r="G10578" s="252"/>
      <c r="H10578" s="248"/>
      <c r="I10578" s="248"/>
      <c r="J10578" s="247"/>
      <c r="K10578" s="249"/>
    </row>
    <row r="10579" spans="1:11" s="90" customFormat="1" ht="12.75" customHeight="1" x14ac:dyDescent="0.2">
      <c r="A10579" s="247"/>
      <c r="B10579" s="251"/>
      <c r="C10579" s="248"/>
      <c r="D10579" s="248"/>
      <c r="E10579" s="250"/>
      <c r="F10579" s="247"/>
      <c r="G10579" s="252"/>
      <c r="H10579" s="248"/>
      <c r="I10579" s="248"/>
      <c r="J10579" s="247"/>
      <c r="K10579" s="249"/>
    </row>
    <row r="10580" spans="1:11" s="90" customFormat="1" ht="12.75" customHeight="1" x14ac:dyDescent="0.2">
      <c r="A10580" s="247"/>
      <c r="B10580" s="251"/>
      <c r="C10580" s="248"/>
      <c r="D10580" s="248"/>
      <c r="E10580" s="250"/>
      <c r="F10580" s="247"/>
      <c r="G10580" s="252"/>
      <c r="H10580" s="248"/>
      <c r="I10580" s="248"/>
      <c r="J10580" s="247"/>
      <c r="K10580" s="249"/>
    </row>
    <row r="10581" spans="1:11" s="90" customFormat="1" ht="12.75" customHeight="1" x14ac:dyDescent="0.2">
      <c r="A10581" s="247"/>
      <c r="B10581" s="251"/>
      <c r="C10581" s="248"/>
      <c r="D10581" s="248"/>
      <c r="E10581" s="250"/>
      <c r="F10581" s="247"/>
      <c r="G10581" s="252"/>
      <c r="H10581" s="248"/>
      <c r="I10581" s="248"/>
      <c r="J10581" s="247"/>
      <c r="K10581" s="249"/>
    </row>
    <row r="10582" spans="1:11" s="90" customFormat="1" ht="12.75" customHeight="1" x14ac:dyDescent="0.2">
      <c r="A10582" s="247"/>
      <c r="B10582" s="251"/>
      <c r="C10582" s="248"/>
      <c r="D10582" s="248"/>
      <c r="E10582" s="250"/>
      <c r="F10582" s="247"/>
      <c r="G10582" s="252"/>
      <c r="H10582" s="248"/>
      <c r="I10582" s="248"/>
      <c r="J10582" s="247"/>
      <c r="K10582" s="249"/>
    </row>
    <row r="10583" spans="1:11" s="90" customFormat="1" ht="12.75" customHeight="1" x14ac:dyDescent="0.2">
      <c r="A10583" s="247"/>
      <c r="B10583" s="251"/>
      <c r="C10583" s="248"/>
      <c r="D10583" s="248"/>
      <c r="E10583" s="250"/>
      <c r="F10583" s="247"/>
      <c r="G10583" s="252"/>
      <c r="H10583" s="248"/>
      <c r="I10583" s="248"/>
      <c r="J10583" s="247"/>
      <c r="K10583" s="249"/>
    </row>
    <row r="10584" spans="1:11" s="90" customFormat="1" ht="12.75" customHeight="1" x14ac:dyDescent="0.2">
      <c r="A10584" s="247"/>
      <c r="B10584" s="251"/>
      <c r="C10584" s="248"/>
      <c r="D10584" s="248"/>
      <c r="E10584" s="250"/>
      <c r="F10584" s="247"/>
      <c r="G10584" s="252"/>
      <c r="H10584" s="248"/>
      <c r="I10584" s="248"/>
      <c r="J10584" s="247"/>
      <c r="K10584" s="249"/>
    </row>
    <row r="10585" spans="1:11" s="90" customFormat="1" ht="12.75" customHeight="1" x14ac:dyDescent="0.2">
      <c r="A10585" s="247"/>
      <c r="B10585" s="251"/>
      <c r="C10585" s="248"/>
      <c r="D10585" s="248"/>
      <c r="E10585" s="250"/>
      <c r="F10585" s="247"/>
      <c r="G10585" s="252"/>
      <c r="H10585" s="248"/>
      <c r="I10585" s="248"/>
      <c r="J10585" s="247"/>
      <c r="K10585" s="249"/>
    </row>
    <row r="10586" spans="1:11" s="90" customFormat="1" ht="12.75" customHeight="1" x14ac:dyDescent="0.2">
      <c r="A10586" s="247"/>
      <c r="B10586" s="251"/>
      <c r="C10586" s="248"/>
      <c r="D10586" s="248"/>
      <c r="E10586" s="250"/>
      <c r="F10586" s="247"/>
      <c r="G10586" s="252"/>
      <c r="H10586" s="248"/>
      <c r="I10586" s="248"/>
      <c r="J10586" s="247"/>
      <c r="K10586" s="249"/>
    </row>
    <row r="10587" spans="1:11" s="90" customFormat="1" ht="12.75" customHeight="1" x14ac:dyDescent="0.2">
      <c r="A10587" s="247"/>
      <c r="B10587" s="251"/>
      <c r="C10587" s="248"/>
      <c r="D10587" s="248"/>
      <c r="E10587" s="250"/>
      <c r="F10587" s="247"/>
      <c r="G10587" s="252"/>
      <c r="H10587" s="248"/>
      <c r="I10587" s="248"/>
      <c r="J10587" s="247"/>
      <c r="K10587" s="249"/>
    </row>
    <row r="10588" spans="1:11" s="90" customFormat="1" ht="12.75" customHeight="1" x14ac:dyDescent="0.2">
      <c r="A10588" s="247"/>
      <c r="B10588" s="251"/>
      <c r="C10588" s="248"/>
      <c r="D10588" s="248"/>
      <c r="E10588" s="250"/>
      <c r="F10588" s="247"/>
      <c r="G10588" s="252"/>
      <c r="H10588" s="248"/>
      <c r="I10588" s="248"/>
      <c r="J10588" s="247"/>
      <c r="K10588" s="249"/>
    </row>
    <row r="10589" spans="1:11" s="90" customFormat="1" ht="12.75" customHeight="1" x14ac:dyDescent="0.2">
      <c r="A10589" s="247"/>
      <c r="B10589" s="251"/>
      <c r="C10589" s="248"/>
      <c r="D10589" s="248"/>
      <c r="E10589" s="250"/>
      <c r="F10589" s="247"/>
      <c r="G10589" s="252"/>
      <c r="H10589" s="248"/>
      <c r="I10589" s="248"/>
      <c r="J10589" s="247"/>
      <c r="K10589" s="249"/>
    </row>
    <row r="10590" spans="1:11" s="90" customFormat="1" ht="12.75" customHeight="1" x14ac:dyDescent="0.2">
      <c r="A10590" s="247"/>
      <c r="B10590" s="251"/>
      <c r="C10590" s="248"/>
      <c r="D10590" s="248"/>
      <c r="E10590" s="250"/>
      <c r="F10590" s="247"/>
      <c r="G10590" s="252"/>
      <c r="H10590" s="248"/>
      <c r="I10590" s="248"/>
      <c r="J10590" s="247"/>
      <c r="K10590" s="249"/>
    </row>
    <row r="10591" spans="1:11" s="90" customFormat="1" ht="12.75" customHeight="1" x14ac:dyDescent="0.2">
      <c r="A10591" s="247"/>
      <c r="B10591" s="251"/>
      <c r="C10591" s="248"/>
      <c r="D10591" s="248"/>
      <c r="E10591" s="250"/>
      <c r="F10591" s="247"/>
      <c r="G10591" s="252"/>
      <c r="H10591" s="248"/>
      <c r="I10591" s="248"/>
      <c r="J10591" s="247"/>
      <c r="K10591" s="249"/>
    </row>
    <row r="10592" spans="1:11" s="90" customFormat="1" ht="12.75" customHeight="1" x14ac:dyDescent="0.2">
      <c r="A10592" s="247"/>
      <c r="B10592" s="251"/>
      <c r="C10592" s="248"/>
      <c r="D10592" s="248"/>
      <c r="E10592" s="250"/>
      <c r="F10592" s="247"/>
      <c r="G10592" s="252"/>
      <c r="H10592" s="248"/>
      <c r="I10592" s="248"/>
      <c r="J10592" s="247"/>
      <c r="K10592" s="249"/>
    </row>
    <row r="10593" spans="1:11" s="90" customFormat="1" ht="12.75" customHeight="1" x14ac:dyDescent="0.2">
      <c r="A10593" s="247"/>
      <c r="B10593" s="251"/>
      <c r="C10593" s="248"/>
      <c r="D10593" s="248"/>
      <c r="E10593" s="250"/>
      <c r="F10593" s="247"/>
      <c r="G10593" s="252"/>
      <c r="H10593" s="248"/>
      <c r="I10593" s="248"/>
      <c r="J10593" s="247"/>
      <c r="K10593" s="249"/>
    </row>
    <row r="10594" spans="1:11" s="90" customFormat="1" ht="12.75" customHeight="1" x14ac:dyDescent="0.2">
      <c r="A10594" s="247"/>
      <c r="B10594" s="251"/>
      <c r="C10594" s="248"/>
      <c r="D10594" s="248"/>
      <c r="E10594" s="250"/>
      <c r="F10594" s="247"/>
      <c r="G10594" s="252"/>
      <c r="H10594" s="248"/>
      <c r="I10594" s="248"/>
      <c r="J10594" s="247"/>
      <c r="K10594" s="249"/>
    </row>
    <row r="10595" spans="1:11" s="90" customFormat="1" ht="12.75" customHeight="1" x14ac:dyDescent="0.2">
      <c r="A10595" s="247"/>
      <c r="B10595" s="251"/>
      <c r="C10595" s="248"/>
      <c r="D10595" s="248"/>
      <c r="E10595" s="250"/>
      <c r="F10595" s="247"/>
      <c r="G10595" s="252"/>
      <c r="H10595" s="248"/>
      <c r="I10595" s="248"/>
      <c r="J10595" s="247"/>
      <c r="K10595" s="249"/>
    </row>
    <row r="10596" spans="1:11" s="90" customFormat="1" ht="12.75" customHeight="1" x14ac:dyDescent="0.2">
      <c r="A10596" s="247"/>
      <c r="B10596" s="251"/>
      <c r="C10596" s="248"/>
      <c r="D10596" s="248"/>
      <c r="E10596" s="250"/>
      <c r="F10596" s="247"/>
      <c r="G10596" s="252"/>
      <c r="H10596" s="248"/>
      <c r="I10596" s="248"/>
      <c r="J10596" s="247"/>
      <c r="K10596" s="249"/>
    </row>
    <row r="10597" spans="1:11" s="90" customFormat="1" ht="12.75" customHeight="1" x14ac:dyDescent="0.2">
      <c r="A10597" s="247"/>
      <c r="B10597" s="251"/>
      <c r="C10597" s="248"/>
      <c r="D10597" s="248"/>
      <c r="E10597" s="250"/>
      <c r="F10597" s="247"/>
      <c r="G10597" s="252"/>
      <c r="H10597" s="248"/>
      <c r="I10597" s="248"/>
      <c r="J10597" s="247"/>
      <c r="K10597" s="249"/>
    </row>
    <row r="10598" spans="1:11" s="90" customFormat="1" ht="12.75" customHeight="1" x14ac:dyDescent="0.2">
      <c r="A10598" s="247"/>
      <c r="B10598" s="251"/>
      <c r="C10598" s="248"/>
      <c r="D10598" s="248"/>
      <c r="E10598" s="250"/>
      <c r="F10598" s="247"/>
      <c r="G10598" s="252"/>
      <c r="H10598" s="248"/>
      <c r="I10598" s="248"/>
      <c r="J10598" s="247"/>
      <c r="K10598" s="249"/>
    </row>
    <row r="10599" spans="1:11" s="90" customFormat="1" ht="12.75" customHeight="1" x14ac:dyDescent="0.2">
      <c r="A10599" s="247"/>
      <c r="B10599" s="251"/>
      <c r="C10599" s="248"/>
      <c r="D10599" s="248"/>
      <c r="E10599" s="250"/>
      <c r="F10599" s="247"/>
      <c r="G10599" s="252"/>
      <c r="H10599" s="248"/>
      <c r="I10599" s="248"/>
      <c r="J10599" s="247"/>
      <c r="K10599" s="249"/>
    </row>
    <row r="10600" spans="1:11" s="90" customFormat="1" ht="12.75" customHeight="1" x14ac:dyDescent="0.2">
      <c r="A10600" s="247"/>
      <c r="B10600" s="251"/>
      <c r="C10600" s="248"/>
      <c r="D10600" s="248"/>
      <c r="E10600" s="250"/>
      <c r="F10600" s="247"/>
      <c r="G10600" s="252"/>
      <c r="H10600" s="248"/>
      <c r="I10600" s="248"/>
      <c r="J10600" s="247"/>
      <c r="K10600" s="249"/>
    </row>
    <row r="10601" spans="1:11" s="90" customFormat="1" ht="12.75" customHeight="1" x14ac:dyDescent="0.2">
      <c r="A10601" s="137"/>
      <c r="B10601" s="138"/>
      <c r="C10601" s="139"/>
      <c r="D10601" s="140"/>
      <c r="E10601" s="141"/>
      <c r="F10601" s="142"/>
      <c r="G10601" s="143"/>
      <c r="H10601" s="140"/>
      <c r="I10601" s="140"/>
    </row>
    <row r="10602" spans="1:11" s="90" customFormat="1" ht="12.75" customHeight="1" x14ac:dyDescent="0.2">
      <c r="A10602" s="137"/>
      <c r="B10602" s="138"/>
      <c r="C10602" s="139"/>
      <c r="D10602" s="140"/>
      <c r="E10602" s="141"/>
      <c r="F10602" s="142"/>
      <c r="G10602" s="143"/>
      <c r="H10602" s="140"/>
      <c r="I10602" s="140"/>
    </row>
    <row r="10603" spans="1:11" s="90" customFormat="1" ht="12.75" customHeight="1" x14ac:dyDescent="0.2">
      <c r="A10603" s="137"/>
      <c r="B10603" s="138"/>
      <c r="C10603" s="139"/>
      <c r="D10603" s="140"/>
      <c r="E10603" s="141"/>
      <c r="F10603" s="142"/>
      <c r="G10603" s="143"/>
      <c r="H10603" s="140"/>
      <c r="I10603" s="140"/>
    </row>
    <row r="10604" spans="1:11" s="90" customFormat="1" ht="12.75" customHeight="1" x14ac:dyDescent="0.2">
      <c r="A10604" s="137"/>
      <c r="B10604" s="138"/>
      <c r="C10604" s="139"/>
      <c r="D10604" s="140"/>
      <c r="E10604" s="141"/>
      <c r="F10604" s="142"/>
      <c r="G10604" s="143"/>
      <c r="H10604" s="140"/>
      <c r="I10604" s="140"/>
    </row>
    <row r="10605" spans="1:11" s="90" customFormat="1" ht="12.75" customHeight="1" x14ac:dyDescent="0.2">
      <c r="A10605" s="137"/>
      <c r="B10605" s="138"/>
      <c r="C10605" s="139"/>
      <c r="D10605" s="140"/>
      <c r="E10605" s="141"/>
      <c r="F10605" s="142"/>
      <c r="G10605" s="143"/>
      <c r="H10605" s="140"/>
      <c r="I10605" s="140"/>
    </row>
    <row r="10606" spans="1:11" s="90" customFormat="1" ht="12.75" customHeight="1" x14ac:dyDescent="0.2">
      <c r="A10606" s="137"/>
      <c r="B10606" s="138"/>
      <c r="C10606" s="139"/>
      <c r="D10606" s="140"/>
      <c r="E10606" s="141"/>
      <c r="F10606" s="142"/>
      <c r="G10606" s="143"/>
      <c r="H10606" s="140"/>
      <c r="I10606" s="140"/>
    </row>
    <row r="10607" spans="1:11" s="90" customFormat="1" ht="12.75" customHeight="1" x14ac:dyDescent="0.2">
      <c r="A10607" s="137"/>
      <c r="B10607" s="138"/>
      <c r="C10607" s="139"/>
      <c r="D10607" s="140"/>
      <c r="E10607" s="141"/>
      <c r="F10607" s="142"/>
      <c r="G10607" s="143"/>
      <c r="H10607" s="140"/>
      <c r="I10607" s="140"/>
    </row>
    <row r="10608" spans="1:11" s="90" customFormat="1" ht="12.75" customHeight="1" x14ac:dyDescent="0.2">
      <c r="A10608" s="137"/>
      <c r="B10608" s="138"/>
      <c r="C10608" s="139"/>
      <c r="D10608" s="140"/>
      <c r="E10608" s="141"/>
      <c r="F10608" s="142"/>
      <c r="G10608" s="143"/>
      <c r="H10608" s="140"/>
      <c r="I10608" s="140"/>
    </row>
    <row r="10609" spans="1:9" s="90" customFormat="1" ht="12.75" customHeight="1" x14ac:dyDescent="0.2">
      <c r="A10609" s="137"/>
      <c r="B10609" s="138"/>
      <c r="C10609" s="139"/>
      <c r="D10609" s="140"/>
      <c r="E10609" s="141"/>
      <c r="F10609" s="142"/>
      <c r="G10609" s="143"/>
      <c r="H10609" s="140"/>
      <c r="I10609" s="140"/>
    </row>
    <row r="10610" spans="1:9" s="90" customFormat="1" ht="12.75" customHeight="1" x14ac:dyDescent="0.2">
      <c r="A10610" s="137"/>
      <c r="B10610" s="138"/>
      <c r="C10610" s="139"/>
      <c r="D10610" s="140"/>
      <c r="E10610" s="141"/>
      <c r="F10610" s="142"/>
      <c r="G10610" s="143"/>
      <c r="H10610" s="140"/>
      <c r="I10610" s="140"/>
    </row>
    <row r="10611" spans="1:9" s="90" customFormat="1" ht="12.75" customHeight="1" x14ac:dyDescent="0.2">
      <c r="A10611" s="137"/>
      <c r="B10611" s="138"/>
      <c r="C10611" s="139"/>
      <c r="D10611" s="140"/>
      <c r="E10611" s="141"/>
      <c r="F10611" s="142"/>
      <c r="G10611" s="143"/>
      <c r="H10611" s="140"/>
      <c r="I10611" s="140"/>
    </row>
    <row r="10612" spans="1:9" s="90" customFormat="1" ht="12.75" customHeight="1" x14ac:dyDescent="0.2">
      <c r="A10612" s="137"/>
      <c r="B10612" s="138"/>
      <c r="C10612" s="139"/>
      <c r="D10612" s="140"/>
      <c r="E10612" s="141"/>
      <c r="F10612" s="142"/>
      <c r="G10612" s="143"/>
      <c r="H10612" s="140"/>
      <c r="I10612" s="140"/>
    </row>
    <row r="10613" spans="1:9" s="90" customFormat="1" ht="12.75" customHeight="1" x14ac:dyDescent="0.2">
      <c r="A10613" s="137"/>
      <c r="B10613" s="138"/>
      <c r="C10613" s="139"/>
      <c r="D10613" s="140"/>
      <c r="E10613" s="141"/>
      <c r="F10613" s="142"/>
      <c r="G10613" s="143"/>
      <c r="H10613" s="140"/>
      <c r="I10613" s="140"/>
    </row>
    <row r="10614" spans="1:9" s="90" customFormat="1" ht="12.75" customHeight="1" x14ac:dyDescent="0.2">
      <c r="A10614" s="137"/>
      <c r="B10614" s="138"/>
      <c r="C10614" s="139"/>
      <c r="D10614" s="140"/>
      <c r="E10614" s="141"/>
      <c r="F10614" s="142"/>
      <c r="G10614" s="143"/>
      <c r="H10614" s="140"/>
      <c r="I10614" s="140"/>
    </row>
    <row r="10615" spans="1:9" s="90" customFormat="1" ht="12.75" customHeight="1" x14ac:dyDescent="0.2">
      <c r="A10615" s="137"/>
      <c r="B10615" s="138"/>
      <c r="C10615" s="139"/>
      <c r="D10615" s="140"/>
      <c r="E10615" s="141"/>
      <c r="F10615" s="142"/>
      <c r="G10615" s="143"/>
      <c r="H10615" s="140"/>
      <c r="I10615" s="140"/>
    </row>
    <row r="10616" spans="1:9" s="90" customFormat="1" ht="12.75" customHeight="1" x14ac:dyDescent="0.2">
      <c r="A10616" s="137"/>
      <c r="B10616" s="138"/>
      <c r="C10616" s="139"/>
      <c r="D10616" s="140"/>
      <c r="E10616" s="141"/>
      <c r="F10616" s="142"/>
      <c r="G10616" s="143"/>
      <c r="H10616" s="140"/>
      <c r="I10616" s="140"/>
    </row>
    <row r="10617" spans="1:9" s="90" customFormat="1" ht="12.75" customHeight="1" x14ac:dyDescent="0.2">
      <c r="A10617" s="137"/>
      <c r="B10617" s="138"/>
      <c r="C10617" s="139"/>
      <c r="D10617" s="140"/>
      <c r="E10617" s="141"/>
      <c r="F10617" s="142"/>
      <c r="G10617" s="143"/>
      <c r="H10617" s="140"/>
      <c r="I10617" s="140"/>
    </row>
    <row r="10618" spans="1:9" s="90" customFormat="1" ht="12.75" customHeight="1" x14ac:dyDescent="0.2">
      <c r="A10618" s="137"/>
      <c r="B10618" s="138"/>
      <c r="C10618" s="139"/>
      <c r="D10618" s="140"/>
      <c r="E10618" s="141"/>
      <c r="F10618" s="142"/>
      <c r="G10618" s="143"/>
      <c r="H10618" s="140"/>
      <c r="I10618" s="140"/>
    </row>
    <row r="10619" spans="1:9" s="90" customFormat="1" ht="12.75" customHeight="1" x14ac:dyDescent="0.2">
      <c r="A10619" s="137"/>
      <c r="B10619" s="138"/>
      <c r="C10619" s="139"/>
      <c r="D10619" s="140"/>
      <c r="E10619" s="141"/>
      <c r="F10619" s="142"/>
      <c r="G10619" s="143"/>
      <c r="H10619" s="140"/>
      <c r="I10619" s="140"/>
    </row>
    <row r="10620" spans="1:9" s="90" customFormat="1" ht="12.75" customHeight="1" x14ac:dyDescent="0.2">
      <c r="A10620" s="137"/>
      <c r="B10620" s="138"/>
      <c r="C10620" s="139"/>
      <c r="D10620" s="140"/>
      <c r="E10620" s="141"/>
      <c r="F10620" s="142"/>
      <c r="G10620" s="143"/>
      <c r="H10620" s="140"/>
      <c r="I10620" s="140"/>
    </row>
    <row r="10621" spans="1:9" s="90" customFormat="1" ht="12.75" customHeight="1" x14ac:dyDescent="0.2">
      <c r="A10621" s="137"/>
      <c r="B10621" s="138"/>
      <c r="C10621" s="139"/>
      <c r="D10621" s="140"/>
      <c r="E10621" s="141"/>
      <c r="F10621" s="142"/>
      <c r="G10621" s="143"/>
      <c r="H10621" s="140"/>
      <c r="I10621" s="140"/>
    </row>
    <row r="10622" spans="1:9" s="90" customFormat="1" ht="12.75" customHeight="1" x14ac:dyDescent="0.2">
      <c r="A10622" s="137"/>
      <c r="B10622" s="138"/>
      <c r="C10622" s="139"/>
      <c r="D10622" s="140"/>
      <c r="E10622" s="141"/>
      <c r="F10622" s="142"/>
      <c r="G10622" s="143"/>
      <c r="H10622" s="140"/>
      <c r="I10622" s="140"/>
    </row>
    <row r="10623" spans="1:9" s="90" customFormat="1" ht="12.75" customHeight="1" x14ac:dyDescent="0.2">
      <c r="A10623" s="137"/>
      <c r="B10623" s="138"/>
      <c r="C10623" s="139"/>
      <c r="D10623" s="140"/>
      <c r="E10623" s="141"/>
      <c r="F10623" s="142"/>
      <c r="G10623" s="143"/>
      <c r="H10623" s="140"/>
      <c r="I10623" s="140"/>
    </row>
    <row r="10624" spans="1:9" s="90" customFormat="1" ht="12.75" customHeight="1" x14ac:dyDescent="0.2">
      <c r="A10624" s="137"/>
      <c r="B10624" s="138"/>
      <c r="C10624" s="139"/>
      <c r="D10624" s="140"/>
      <c r="E10624" s="141"/>
      <c r="F10624" s="142"/>
      <c r="G10624" s="143"/>
      <c r="H10624" s="140"/>
      <c r="I10624" s="140"/>
    </row>
    <row r="10625" spans="1:9" s="90" customFormat="1" ht="12.75" customHeight="1" x14ac:dyDescent="0.2">
      <c r="A10625" s="137"/>
      <c r="B10625" s="138"/>
      <c r="C10625" s="139"/>
      <c r="D10625" s="140"/>
      <c r="E10625" s="141"/>
      <c r="F10625" s="142"/>
      <c r="G10625" s="143"/>
      <c r="H10625" s="140"/>
      <c r="I10625" s="140"/>
    </row>
    <row r="10626" spans="1:9" s="90" customFormat="1" ht="12.75" customHeight="1" x14ac:dyDescent="0.2">
      <c r="A10626" s="137"/>
      <c r="B10626" s="138"/>
      <c r="C10626" s="139"/>
      <c r="D10626" s="140"/>
      <c r="E10626" s="141"/>
      <c r="F10626" s="142"/>
      <c r="G10626" s="143"/>
      <c r="H10626" s="140"/>
      <c r="I10626" s="140"/>
    </row>
    <row r="10627" spans="1:9" s="90" customFormat="1" ht="12.75" customHeight="1" x14ac:dyDescent="0.2">
      <c r="A10627" s="137"/>
      <c r="B10627" s="138"/>
      <c r="C10627" s="139"/>
      <c r="D10627" s="140"/>
      <c r="E10627" s="141"/>
      <c r="F10627" s="142"/>
      <c r="G10627" s="143"/>
      <c r="H10627" s="140"/>
      <c r="I10627" s="140"/>
    </row>
    <row r="10628" spans="1:9" s="90" customFormat="1" ht="12.75" customHeight="1" x14ac:dyDescent="0.2">
      <c r="A10628" s="137"/>
      <c r="B10628" s="138"/>
      <c r="C10628" s="139"/>
      <c r="D10628" s="140"/>
      <c r="E10628" s="141"/>
      <c r="F10628" s="142"/>
      <c r="G10628" s="143"/>
      <c r="H10628" s="140"/>
      <c r="I10628" s="140"/>
    </row>
    <row r="10629" spans="1:9" s="90" customFormat="1" ht="12.75" customHeight="1" x14ac:dyDescent="0.2">
      <c r="A10629" s="137"/>
      <c r="B10629" s="138"/>
      <c r="C10629" s="139"/>
      <c r="D10629" s="140"/>
      <c r="E10629" s="141"/>
      <c r="F10629" s="142"/>
      <c r="G10629" s="143"/>
      <c r="H10629" s="140"/>
      <c r="I10629" s="140"/>
    </row>
    <row r="10630" spans="1:9" s="90" customFormat="1" ht="12.75" customHeight="1" x14ac:dyDescent="0.2">
      <c r="A10630" s="137"/>
      <c r="B10630" s="138"/>
      <c r="C10630" s="139"/>
      <c r="D10630" s="140"/>
      <c r="E10630" s="141"/>
      <c r="F10630" s="142"/>
      <c r="G10630" s="143"/>
      <c r="H10630" s="140"/>
      <c r="I10630" s="140"/>
    </row>
    <row r="10631" spans="1:9" s="90" customFormat="1" ht="12.75" customHeight="1" x14ac:dyDescent="0.2">
      <c r="A10631" s="137"/>
      <c r="B10631" s="138"/>
      <c r="C10631" s="139"/>
      <c r="D10631" s="140"/>
      <c r="E10631" s="141"/>
      <c r="F10631" s="142"/>
      <c r="G10631" s="143"/>
      <c r="H10631" s="140"/>
      <c r="I10631" s="140"/>
    </row>
    <row r="10632" spans="1:9" s="90" customFormat="1" ht="12.75" customHeight="1" x14ac:dyDescent="0.2">
      <c r="A10632" s="137"/>
      <c r="B10632" s="138"/>
      <c r="C10632" s="139"/>
      <c r="D10632" s="140"/>
      <c r="E10632" s="141"/>
      <c r="F10632" s="142"/>
      <c r="G10632" s="143"/>
      <c r="H10632" s="140"/>
      <c r="I10632" s="140"/>
    </row>
    <row r="10633" spans="1:9" s="90" customFormat="1" ht="12.75" customHeight="1" x14ac:dyDescent="0.2">
      <c r="A10633" s="137"/>
      <c r="B10633" s="138"/>
      <c r="C10633" s="139"/>
      <c r="D10633" s="140"/>
      <c r="E10633" s="141"/>
      <c r="F10633" s="142"/>
      <c r="G10633" s="143"/>
      <c r="H10633" s="140"/>
      <c r="I10633" s="140"/>
    </row>
    <row r="10634" spans="1:9" s="90" customFormat="1" ht="12.75" customHeight="1" x14ac:dyDescent="0.2">
      <c r="A10634" s="137"/>
      <c r="B10634" s="138"/>
      <c r="C10634" s="139"/>
      <c r="D10634" s="140"/>
      <c r="E10634" s="141"/>
      <c r="F10634" s="142"/>
      <c r="G10634" s="143"/>
      <c r="H10634" s="140"/>
      <c r="I10634" s="140"/>
    </row>
    <row r="10635" spans="1:9" s="90" customFormat="1" ht="12.75" customHeight="1" x14ac:dyDescent="0.2">
      <c r="A10635" s="137"/>
      <c r="B10635" s="138"/>
      <c r="C10635" s="139"/>
      <c r="D10635" s="140"/>
      <c r="E10635" s="141"/>
      <c r="F10635" s="142"/>
      <c r="G10635" s="143"/>
      <c r="H10635" s="140"/>
      <c r="I10635" s="140"/>
    </row>
    <row r="10636" spans="1:9" s="90" customFormat="1" ht="12.75" customHeight="1" x14ac:dyDescent="0.2">
      <c r="A10636" s="137"/>
      <c r="B10636" s="138"/>
      <c r="C10636" s="139"/>
      <c r="D10636" s="140"/>
      <c r="E10636" s="141"/>
      <c r="F10636" s="142"/>
      <c r="G10636" s="143"/>
      <c r="H10636" s="140"/>
      <c r="I10636" s="140"/>
    </row>
    <row r="10637" spans="1:9" s="90" customFormat="1" ht="12.75" customHeight="1" x14ac:dyDescent="0.2">
      <c r="A10637" s="137"/>
      <c r="B10637" s="138"/>
      <c r="C10637" s="139"/>
      <c r="D10637" s="140"/>
      <c r="E10637" s="141"/>
      <c r="F10637" s="142"/>
      <c r="G10637" s="143"/>
      <c r="H10637" s="140"/>
      <c r="I10637" s="140"/>
    </row>
    <row r="10638" spans="1:9" s="90" customFormat="1" ht="12.75" customHeight="1" x14ac:dyDescent="0.2">
      <c r="A10638" s="137"/>
      <c r="B10638" s="138"/>
      <c r="C10638" s="139"/>
      <c r="D10638" s="140"/>
      <c r="E10638" s="141"/>
      <c r="F10638" s="142"/>
      <c r="G10638" s="143"/>
      <c r="H10638" s="140"/>
      <c r="I10638" s="140"/>
    </row>
    <row r="10639" spans="1:9" s="90" customFormat="1" ht="12.75" customHeight="1" x14ac:dyDescent="0.2">
      <c r="A10639" s="137"/>
      <c r="B10639" s="138"/>
      <c r="C10639" s="139"/>
      <c r="D10639" s="140"/>
      <c r="E10639" s="141"/>
      <c r="F10639" s="142"/>
      <c r="G10639" s="143"/>
      <c r="H10639" s="140"/>
      <c r="I10639" s="140"/>
    </row>
    <row r="10640" spans="1:9" s="90" customFormat="1" ht="12.75" customHeight="1" x14ac:dyDescent="0.2">
      <c r="A10640" s="137"/>
      <c r="B10640" s="138"/>
      <c r="C10640" s="139"/>
      <c r="D10640" s="140"/>
      <c r="E10640" s="141"/>
      <c r="F10640" s="142"/>
      <c r="G10640" s="143"/>
      <c r="H10640" s="140"/>
      <c r="I10640" s="140"/>
    </row>
    <row r="10641" spans="1:9" s="90" customFormat="1" ht="12.75" customHeight="1" x14ac:dyDescent="0.2">
      <c r="A10641" s="137"/>
      <c r="B10641" s="138"/>
      <c r="C10641" s="139"/>
      <c r="D10641" s="140"/>
      <c r="E10641" s="141"/>
      <c r="F10641" s="142"/>
      <c r="G10641" s="143"/>
      <c r="H10641" s="140"/>
      <c r="I10641" s="140"/>
    </row>
    <row r="10642" spans="1:9" s="90" customFormat="1" ht="12.75" customHeight="1" x14ac:dyDescent="0.2">
      <c r="A10642" s="137"/>
      <c r="B10642" s="138"/>
      <c r="C10642" s="139"/>
      <c r="D10642" s="140"/>
      <c r="E10642" s="141"/>
      <c r="F10642" s="142"/>
      <c r="G10642" s="143"/>
      <c r="H10642" s="140"/>
      <c r="I10642" s="140"/>
    </row>
    <row r="10643" spans="1:9" s="90" customFormat="1" ht="12.75" customHeight="1" x14ac:dyDescent="0.2">
      <c r="A10643" s="137"/>
      <c r="B10643" s="138"/>
      <c r="C10643" s="139"/>
      <c r="D10643" s="140"/>
      <c r="E10643" s="141"/>
      <c r="F10643" s="142"/>
      <c r="G10643" s="143"/>
      <c r="H10643" s="140"/>
      <c r="I10643" s="140"/>
    </row>
    <row r="10644" spans="1:9" s="90" customFormat="1" ht="12.75" customHeight="1" x14ac:dyDescent="0.2">
      <c r="A10644" s="137"/>
      <c r="B10644" s="138"/>
      <c r="C10644" s="139"/>
      <c r="D10644" s="140"/>
      <c r="E10644" s="141"/>
      <c r="F10644" s="142"/>
      <c r="G10644" s="143"/>
      <c r="H10644" s="140"/>
      <c r="I10644" s="140"/>
    </row>
    <row r="10645" spans="1:9" s="90" customFormat="1" ht="12.75" customHeight="1" x14ac:dyDescent="0.2">
      <c r="A10645" s="137"/>
      <c r="B10645" s="138"/>
      <c r="C10645" s="139"/>
      <c r="D10645" s="140"/>
      <c r="E10645" s="141"/>
      <c r="F10645" s="142"/>
      <c r="G10645" s="143"/>
      <c r="H10645" s="140"/>
      <c r="I10645" s="140"/>
    </row>
    <row r="10646" spans="1:9" s="90" customFormat="1" ht="12.75" customHeight="1" x14ac:dyDescent="0.2">
      <c r="A10646" s="137"/>
      <c r="B10646" s="138"/>
      <c r="C10646" s="139"/>
      <c r="D10646" s="140"/>
      <c r="E10646" s="141"/>
      <c r="F10646" s="142"/>
      <c r="G10646" s="143"/>
      <c r="H10646" s="140"/>
      <c r="I10646" s="140"/>
    </row>
    <row r="10647" spans="1:9" s="90" customFormat="1" ht="12.75" customHeight="1" x14ac:dyDescent="0.2">
      <c r="A10647" s="137"/>
      <c r="B10647" s="138"/>
      <c r="C10647" s="139"/>
      <c r="D10647" s="140"/>
      <c r="E10647" s="141"/>
      <c r="F10647" s="142"/>
      <c r="G10647" s="143"/>
      <c r="H10647" s="140"/>
      <c r="I10647" s="140"/>
    </row>
    <row r="10648" spans="1:9" s="90" customFormat="1" ht="12.75" customHeight="1" x14ac:dyDescent="0.2">
      <c r="A10648" s="137"/>
      <c r="B10648" s="138"/>
      <c r="C10648" s="139"/>
      <c r="D10648" s="140"/>
      <c r="E10648" s="141"/>
      <c r="F10648" s="142"/>
      <c r="G10648" s="143"/>
      <c r="H10648" s="140"/>
      <c r="I10648" s="140"/>
    </row>
    <row r="10649" spans="1:9" s="90" customFormat="1" ht="12.75" customHeight="1" x14ac:dyDescent="0.2">
      <c r="A10649" s="137"/>
      <c r="B10649" s="138"/>
      <c r="C10649" s="139"/>
      <c r="D10649" s="140"/>
      <c r="E10649" s="141"/>
      <c r="F10649" s="142"/>
      <c r="G10649" s="143"/>
      <c r="H10649" s="140"/>
      <c r="I10649" s="140"/>
    </row>
    <row r="10650" spans="1:9" s="90" customFormat="1" ht="12.75" customHeight="1" x14ac:dyDescent="0.2">
      <c r="A10650" s="137"/>
      <c r="B10650" s="138"/>
      <c r="C10650" s="139"/>
      <c r="D10650" s="140"/>
      <c r="E10650" s="141"/>
      <c r="F10650" s="142"/>
      <c r="G10650" s="143"/>
      <c r="H10650" s="140"/>
      <c r="I10650" s="140"/>
    </row>
    <row r="10651" spans="1:9" s="90" customFormat="1" ht="12.75" customHeight="1" x14ac:dyDescent="0.2">
      <c r="A10651" s="137"/>
      <c r="B10651" s="138"/>
      <c r="C10651" s="139"/>
      <c r="D10651" s="140"/>
      <c r="E10651" s="141"/>
      <c r="F10651" s="142"/>
      <c r="G10651" s="143"/>
      <c r="H10651" s="140"/>
      <c r="I10651" s="140"/>
    </row>
    <row r="10652" spans="1:9" s="90" customFormat="1" ht="12.75" customHeight="1" x14ac:dyDescent="0.2">
      <c r="A10652" s="137"/>
      <c r="B10652" s="138"/>
      <c r="C10652" s="139"/>
      <c r="D10652" s="140"/>
      <c r="E10652" s="141"/>
      <c r="F10652" s="142"/>
      <c r="G10652" s="143"/>
      <c r="H10652" s="140"/>
      <c r="I10652" s="140"/>
    </row>
    <row r="10653" spans="1:9" s="90" customFormat="1" ht="12.75" customHeight="1" x14ac:dyDescent="0.2">
      <c r="A10653" s="137"/>
      <c r="B10653" s="138"/>
      <c r="C10653" s="139"/>
      <c r="D10653" s="140"/>
      <c r="E10653" s="141"/>
      <c r="F10653" s="142"/>
      <c r="G10653" s="143"/>
      <c r="H10653" s="140"/>
      <c r="I10653" s="140"/>
    </row>
    <row r="10654" spans="1:9" s="90" customFormat="1" ht="12.75" customHeight="1" x14ac:dyDescent="0.2">
      <c r="A10654" s="137"/>
      <c r="B10654" s="138"/>
      <c r="C10654" s="139"/>
      <c r="D10654" s="140"/>
      <c r="E10654" s="141"/>
      <c r="F10654" s="142"/>
      <c r="G10654" s="143"/>
      <c r="H10654" s="140"/>
      <c r="I10654" s="140"/>
    </row>
    <row r="10655" spans="1:9" s="90" customFormat="1" ht="12.75" customHeight="1" x14ac:dyDescent="0.2">
      <c r="A10655" s="137"/>
      <c r="B10655" s="138"/>
      <c r="C10655" s="139"/>
      <c r="D10655" s="140"/>
      <c r="E10655" s="141"/>
      <c r="F10655" s="142"/>
      <c r="G10655" s="143"/>
      <c r="H10655" s="140"/>
      <c r="I10655" s="140"/>
    </row>
    <row r="10656" spans="1:9" s="90" customFormat="1" ht="12.75" customHeight="1" x14ac:dyDescent="0.2">
      <c r="A10656" s="137"/>
      <c r="B10656" s="138"/>
      <c r="C10656" s="139"/>
      <c r="D10656" s="140"/>
      <c r="E10656" s="141"/>
      <c r="F10656" s="142"/>
      <c r="G10656" s="143"/>
      <c r="H10656" s="140"/>
      <c r="I10656" s="140"/>
    </row>
    <row r="10657" spans="1:9" s="90" customFormat="1" ht="12.75" customHeight="1" x14ac:dyDescent="0.2">
      <c r="A10657" s="137"/>
      <c r="B10657" s="138"/>
      <c r="C10657" s="139"/>
      <c r="D10657" s="140"/>
      <c r="E10657" s="141"/>
      <c r="F10657" s="142"/>
      <c r="G10657" s="143"/>
      <c r="H10657" s="140"/>
      <c r="I10657" s="140"/>
    </row>
    <row r="10658" spans="1:9" s="90" customFormat="1" ht="12.75" customHeight="1" x14ac:dyDescent="0.2">
      <c r="A10658" s="137"/>
      <c r="B10658" s="138"/>
      <c r="C10658" s="139"/>
      <c r="D10658" s="140"/>
      <c r="E10658" s="141"/>
      <c r="F10658" s="142"/>
      <c r="G10658" s="143"/>
      <c r="H10658" s="140"/>
      <c r="I10658" s="140"/>
    </row>
    <row r="10659" spans="1:9" s="90" customFormat="1" ht="12.75" customHeight="1" x14ac:dyDescent="0.2">
      <c r="A10659" s="137"/>
      <c r="B10659" s="138"/>
      <c r="C10659" s="139"/>
      <c r="D10659" s="140"/>
      <c r="E10659" s="141"/>
      <c r="F10659" s="142"/>
      <c r="G10659" s="143"/>
      <c r="H10659" s="140"/>
      <c r="I10659" s="140"/>
    </row>
    <row r="10660" spans="1:9" s="90" customFormat="1" ht="12.75" customHeight="1" x14ac:dyDescent="0.2">
      <c r="A10660" s="137"/>
      <c r="B10660" s="138"/>
      <c r="C10660" s="139"/>
      <c r="D10660" s="140"/>
      <c r="E10660" s="141"/>
      <c r="F10660" s="142"/>
      <c r="G10660" s="143"/>
      <c r="H10660" s="140"/>
      <c r="I10660" s="140"/>
    </row>
    <row r="10661" spans="1:9" s="90" customFormat="1" ht="12.75" customHeight="1" x14ac:dyDescent="0.2">
      <c r="A10661" s="137"/>
      <c r="B10661" s="138"/>
      <c r="C10661" s="139"/>
      <c r="D10661" s="140"/>
      <c r="E10661" s="141"/>
      <c r="F10661" s="142"/>
      <c r="G10661" s="143"/>
      <c r="H10661" s="140"/>
      <c r="I10661" s="140"/>
    </row>
    <row r="10662" spans="1:9" s="90" customFormat="1" ht="12.75" customHeight="1" x14ac:dyDescent="0.2">
      <c r="A10662" s="137"/>
      <c r="B10662" s="138"/>
      <c r="C10662" s="139"/>
      <c r="D10662" s="140"/>
      <c r="E10662" s="141"/>
      <c r="F10662" s="142"/>
      <c r="G10662" s="143"/>
      <c r="H10662" s="140"/>
      <c r="I10662" s="140"/>
    </row>
    <row r="10663" spans="1:9" s="90" customFormat="1" ht="12.75" customHeight="1" x14ac:dyDescent="0.2">
      <c r="A10663" s="137"/>
      <c r="B10663" s="138"/>
      <c r="C10663" s="139"/>
      <c r="D10663" s="140"/>
      <c r="E10663" s="141"/>
      <c r="F10663" s="142"/>
      <c r="G10663" s="143"/>
      <c r="H10663" s="140"/>
      <c r="I10663" s="140"/>
    </row>
    <row r="10664" spans="1:9" s="90" customFormat="1" ht="12.75" customHeight="1" x14ac:dyDescent="0.2">
      <c r="A10664" s="137"/>
      <c r="B10664" s="138"/>
      <c r="C10664" s="139"/>
      <c r="D10664" s="140"/>
      <c r="E10664" s="141"/>
      <c r="F10664" s="142"/>
      <c r="G10664" s="143"/>
      <c r="H10664" s="140"/>
      <c r="I10664" s="140"/>
    </row>
    <row r="10665" spans="1:9" s="90" customFormat="1" ht="12.75" customHeight="1" x14ac:dyDescent="0.2">
      <c r="A10665" s="137"/>
      <c r="B10665" s="138"/>
      <c r="C10665" s="139"/>
      <c r="D10665" s="140"/>
      <c r="E10665" s="141"/>
      <c r="F10665" s="142"/>
      <c r="G10665" s="143"/>
      <c r="H10665" s="140"/>
      <c r="I10665" s="140"/>
    </row>
    <row r="10666" spans="1:9" s="90" customFormat="1" ht="12.75" customHeight="1" x14ac:dyDescent="0.2">
      <c r="A10666" s="137"/>
      <c r="B10666" s="138"/>
      <c r="C10666" s="139"/>
      <c r="D10666" s="140"/>
      <c r="E10666" s="141"/>
      <c r="F10666" s="142"/>
      <c r="G10666" s="143"/>
      <c r="H10666" s="140"/>
      <c r="I10666" s="140"/>
    </row>
    <row r="10667" spans="1:9" s="90" customFormat="1" ht="12.75" customHeight="1" x14ac:dyDescent="0.2">
      <c r="A10667" s="137"/>
      <c r="B10667" s="138"/>
      <c r="C10667" s="139"/>
      <c r="D10667" s="140"/>
      <c r="E10667" s="141"/>
      <c r="F10667" s="142"/>
      <c r="G10667" s="143"/>
      <c r="H10667" s="140"/>
      <c r="I10667" s="140"/>
    </row>
    <row r="10668" spans="1:9" s="90" customFormat="1" ht="12.75" customHeight="1" x14ac:dyDescent="0.2">
      <c r="A10668" s="137"/>
      <c r="B10668" s="138"/>
      <c r="C10668" s="139"/>
      <c r="D10668" s="140"/>
      <c r="E10668" s="141"/>
      <c r="F10668" s="142"/>
      <c r="G10668" s="143"/>
      <c r="H10668" s="140"/>
      <c r="I10668" s="140"/>
    </row>
    <row r="10669" spans="1:9" s="90" customFormat="1" ht="12.75" customHeight="1" x14ac:dyDescent="0.2">
      <c r="A10669" s="137"/>
      <c r="B10669" s="138"/>
      <c r="C10669" s="139"/>
      <c r="D10669" s="140"/>
      <c r="E10669" s="141"/>
      <c r="F10669" s="142"/>
      <c r="G10669" s="143"/>
      <c r="H10669" s="140"/>
      <c r="I10669" s="140"/>
    </row>
    <row r="10670" spans="1:9" s="90" customFormat="1" ht="12.75" customHeight="1" x14ac:dyDescent="0.2">
      <c r="A10670" s="137"/>
      <c r="B10670" s="138"/>
      <c r="C10670" s="139"/>
      <c r="D10670" s="140"/>
      <c r="E10670" s="141"/>
      <c r="F10670" s="142"/>
      <c r="G10670" s="143"/>
      <c r="H10670" s="140"/>
      <c r="I10670" s="140"/>
    </row>
    <row r="10671" spans="1:9" s="90" customFormat="1" ht="12.75" customHeight="1" x14ac:dyDescent="0.2">
      <c r="A10671" s="137"/>
      <c r="B10671" s="138"/>
      <c r="C10671" s="139"/>
      <c r="D10671" s="140"/>
      <c r="E10671" s="141"/>
      <c r="F10671" s="142"/>
      <c r="G10671" s="143"/>
      <c r="H10671" s="140"/>
      <c r="I10671" s="140"/>
    </row>
    <row r="10672" spans="1:9" s="90" customFormat="1" ht="12.75" customHeight="1" x14ac:dyDescent="0.2">
      <c r="A10672" s="137"/>
      <c r="B10672" s="138"/>
      <c r="C10672" s="139"/>
      <c r="D10672" s="140"/>
      <c r="E10672" s="141"/>
      <c r="F10672" s="142"/>
      <c r="G10672" s="143"/>
      <c r="H10672" s="140"/>
      <c r="I10672" s="140"/>
    </row>
    <row r="10673" spans="1:9" s="90" customFormat="1" ht="12.75" customHeight="1" x14ac:dyDescent="0.2">
      <c r="A10673" s="137"/>
      <c r="B10673" s="138"/>
      <c r="C10673" s="139"/>
      <c r="D10673" s="140"/>
      <c r="E10673" s="141"/>
      <c r="F10673" s="142"/>
      <c r="G10673" s="143"/>
      <c r="H10673" s="140"/>
      <c r="I10673" s="140"/>
    </row>
    <row r="10674" spans="1:9" s="90" customFormat="1" ht="12.75" customHeight="1" x14ac:dyDescent="0.2">
      <c r="A10674" s="137"/>
      <c r="B10674" s="138"/>
      <c r="C10674" s="139"/>
      <c r="D10674" s="140"/>
      <c r="E10674" s="141"/>
      <c r="F10674" s="142"/>
      <c r="G10674" s="143"/>
      <c r="H10674" s="140"/>
      <c r="I10674" s="140"/>
    </row>
    <row r="10675" spans="1:9" s="90" customFormat="1" ht="12.75" customHeight="1" x14ac:dyDescent="0.2">
      <c r="A10675" s="137"/>
      <c r="B10675" s="138"/>
      <c r="C10675" s="139"/>
      <c r="D10675" s="140"/>
      <c r="E10675" s="141"/>
      <c r="F10675" s="142"/>
      <c r="G10675" s="143"/>
      <c r="H10675" s="140"/>
      <c r="I10675" s="140"/>
    </row>
    <row r="10676" spans="1:9" s="90" customFormat="1" ht="12.75" customHeight="1" x14ac:dyDescent="0.2">
      <c r="A10676" s="137"/>
      <c r="B10676" s="138"/>
      <c r="C10676" s="139"/>
      <c r="D10676" s="140"/>
      <c r="E10676" s="141"/>
      <c r="F10676" s="142"/>
      <c r="G10676" s="143"/>
      <c r="H10676" s="140"/>
      <c r="I10676" s="140"/>
    </row>
    <row r="10677" spans="1:9" s="90" customFormat="1" ht="12.75" customHeight="1" x14ac:dyDescent="0.2">
      <c r="A10677" s="137"/>
      <c r="B10677" s="138"/>
      <c r="C10677" s="139"/>
      <c r="D10677" s="140"/>
      <c r="E10677" s="141"/>
      <c r="F10677" s="142"/>
      <c r="G10677" s="143"/>
      <c r="H10677" s="140"/>
      <c r="I10677" s="140"/>
    </row>
    <row r="10678" spans="1:9" s="90" customFormat="1" ht="12.75" customHeight="1" x14ac:dyDescent="0.2">
      <c r="A10678" s="137"/>
      <c r="B10678" s="138"/>
      <c r="C10678" s="139"/>
      <c r="D10678" s="140"/>
      <c r="E10678" s="141"/>
      <c r="F10678" s="142"/>
      <c r="G10678" s="143"/>
      <c r="H10678" s="140"/>
      <c r="I10678" s="140"/>
    </row>
    <row r="10679" spans="1:9" s="90" customFormat="1" ht="12.75" customHeight="1" x14ac:dyDescent="0.2">
      <c r="A10679" s="137"/>
      <c r="B10679" s="138"/>
      <c r="C10679" s="139"/>
      <c r="D10679" s="140"/>
      <c r="E10679" s="141"/>
      <c r="F10679" s="142"/>
      <c r="G10679" s="143"/>
      <c r="H10679" s="140"/>
      <c r="I10679" s="140"/>
    </row>
    <row r="10680" spans="1:9" s="90" customFormat="1" ht="12.75" customHeight="1" x14ac:dyDescent="0.2">
      <c r="A10680" s="137"/>
      <c r="B10680" s="138"/>
      <c r="C10680" s="139"/>
      <c r="D10680" s="140"/>
      <c r="E10680" s="141"/>
      <c r="F10680" s="142"/>
      <c r="G10680" s="143"/>
      <c r="H10680" s="140"/>
      <c r="I10680" s="140"/>
    </row>
    <row r="10681" spans="1:9" s="90" customFormat="1" ht="12.75" customHeight="1" x14ac:dyDescent="0.2">
      <c r="A10681" s="137"/>
      <c r="B10681" s="138"/>
      <c r="C10681" s="139"/>
      <c r="D10681" s="140"/>
      <c r="E10681" s="141"/>
      <c r="F10681" s="142"/>
      <c r="G10681" s="143"/>
      <c r="H10681" s="140"/>
      <c r="I10681" s="140"/>
    </row>
    <row r="10682" spans="1:9" s="90" customFormat="1" ht="12.75" customHeight="1" x14ac:dyDescent="0.2">
      <c r="A10682" s="137"/>
      <c r="B10682" s="138"/>
      <c r="C10682" s="139"/>
      <c r="D10682" s="140"/>
      <c r="E10682" s="141"/>
      <c r="F10682" s="142"/>
      <c r="G10682" s="143"/>
      <c r="H10682" s="140"/>
      <c r="I10682" s="140"/>
    </row>
    <row r="10683" spans="1:9" s="90" customFormat="1" ht="12.75" customHeight="1" x14ac:dyDescent="0.2">
      <c r="A10683" s="137"/>
      <c r="B10683" s="138"/>
      <c r="C10683" s="139"/>
      <c r="D10683" s="140"/>
      <c r="E10683" s="141"/>
      <c r="F10683" s="142"/>
      <c r="G10683" s="143"/>
      <c r="H10683" s="140"/>
      <c r="I10683" s="140"/>
    </row>
    <row r="10684" spans="1:9" s="90" customFormat="1" ht="12.75" customHeight="1" x14ac:dyDescent="0.2">
      <c r="A10684" s="137"/>
      <c r="B10684" s="138"/>
      <c r="C10684" s="139"/>
      <c r="D10684" s="140"/>
      <c r="E10684" s="141"/>
      <c r="F10684" s="142"/>
      <c r="G10684" s="143"/>
      <c r="H10684" s="140"/>
      <c r="I10684" s="140"/>
    </row>
    <row r="10685" spans="1:9" s="90" customFormat="1" ht="12.75" customHeight="1" x14ac:dyDescent="0.2">
      <c r="A10685" s="137"/>
      <c r="B10685" s="138"/>
      <c r="C10685" s="139"/>
      <c r="D10685" s="140"/>
      <c r="E10685" s="141"/>
      <c r="F10685" s="142"/>
      <c r="G10685" s="143"/>
      <c r="H10685" s="140"/>
      <c r="I10685" s="140"/>
    </row>
    <row r="10686" spans="1:9" s="90" customFormat="1" ht="12.75" customHeight="1" x14ac:dyDescent="0.2">
      <c r="A10686" s="137"/>
      <c r="B10686" s="138"/>
      <c r="C10686" s="139"/>
      <c r="D10686" s="140"/>
      <c r="E10686" s="141"/>
      <c r="F10686" s="142"/>
      <c r="G10686" s="143"/>
      <c r="H10686" s="140"/>
      <c r="I10686" s="140"/>
    </row>
    <row r="10687" spans="1:9" s="90" customFormat="1" ht="12.75" customHeight="1" x14ac:dyDescent="0.2">
      <c r="A10687" s="137"/>
      <c r="B10687" s="138"/>
      <c r="C10687" s="139"/>
      <c r="D10687" s="140"/>
      <c r="E10687" s="141"/>
      <c r="F10687" s="142"/>
      <c r="G10687" s="143"/>
      <c r="H10687" s="140"/>
      <c r="I10687" s="140"/>
    </row>
    <row r="10688" spans="1:9" s="90" customFormat="1" ht="12.75" customHeight="1" x14ac:dyDescent="0.2">
      <c r="A10688" s="137"/>
      <c r="B10688" s="138"/>
      <c r="C10688" s="139"/>
      <c r="D10688" s="140"/>
      <c r="E10688" s="141"/>
      <c r="F10688" s="142"/>
      <c r="G10688" s="143"/>
      <c r="H10688" s="140"/>
      <c r="I10688" s="140"/>
    </row>
    <row r="10689" spans="1:9" s="90" customFormat="1" ht="12.75" customHeight="1" x14ac:dyDescent="0.2">
      <c r="A10689" s="137"/>
      <c r="B10689" s="138"/>
      <c r="C10689" s="139"/>
      <c r="D10689" s="140"/>
      <c r="E10689" s="141"/>
      <c r="F10689" s="142"/>
      <c r="G10689" s="143"/>
      <c r="H10689" s="140"/>
      <c r="I10689" s="140"/>
    </row>
    <row r="10690" spans="1:9" s="90" customFormat="1" ht="12.75" customHeight="1" x14ac:dyDescent="0.2">
      <c r="A10690" s="137"/>
      <c r="B10690" s="138"/>
      <c r="C10690" s="139"/>
      <c r="D10690" s="140"/>
      <c r="E10690" s="141"/>
      <c r="F10690" s="142"/>
      <c r="G10690" s="143"/>
      <c r="H10690" s="140"/>
      <c r="I10690" s="140"/>
    </row>
    <row r="10691" spans="1:9" s="90" customFormat="1" ht="12.75" customHeight="1" x14ac:dyDescent="0.2">
      <c r="A10691" s="137"/>
      <c r="B10691" s="138"/>
      <c r="C10691" s="139"/>
      <c r="D10691" s="140"/>
      <c r="E10691" s="141"/>
      <c r="F10691" s="142"/>
      <c r="G10691" s="143"/>
      <c r="H10691" s="140"/>
      <c r="I10691" s="140"/>
    </row>
    <row r="10692" spans="1:9" s="90" customFormat="1" ht="12.75" customHeight="1" x14ac:dyDescent="0.2">
      <c r="A10692" s="137"/>
      <c r="B10692" s="138"/>
      <c r="C10692" s="139"/>
      <c r="D10692" s="140"/>
      <c r="E10692" s="141"/>
      <c r="F10692" s="142"/>
      <c r="G10692" s="143"/>
      <c r="H10692" s="140"/>
      <c r="I10692" s="140"/>
    </row>
    <row r="10693" spans="1:9" s="90" customFormat="1" ht="12.75" customHeight="1" x14ac:dyDescent="0.2">
      <c r="A10693" s="137"/>
      <c r="B10693" s="138"/>
      <c r="C10693" s="139"/>
      <c r="D10693" s="140"/>
      <c r="E10693" s="141"/>
      <c r="F10693" s="142"/>
      <c r="G10693" s="143"/>
      <c r="H10693" s="140"/>
      <c r="I10693" s="140"/>
    </row>
    <row r="10694" spans="1:9" s="90" customFormat="1" ht="12.75" customHeight="1" x14ac:dyDescent="0.2">
      <c r="A10694" s="137"/>
      <c r="B10694" s="138"/>
      <c r="C10694" s="139"/>
      <c r="D10694" s="140"/>
      <c r="E10694" s="141"/>
      <c r="F10694" s="142"/>
      <c r="G10694" s="143"/>
      <c r="H10694" s="140"/>
      <c r="I10694" s="140"/>
    </row>
    <row r="10695" spans="1:9" s="90" customFormat="1" ht="12.75" customHeight="1" x14ac:dyDescent="0.2">
      <c r="A10695" s="137"/>
      <c r="B10695" s="138"/>
      <c r="C10695" s="139"/>
      <c r="D10695" s="140"/>
      <c r="E10695" s="141"/>
      <c r="F10695" s="142"/>
      <c r="G10695" s="143"/>
      <c r="H10695" s="140"/>
      <c r="I10695" s="140"/>
    </row>
    <row r="10696" spans="1:9" s="90" customFormat="1" ht="12.75" customHeight="1" x14ac:dyDescent="0.2">
      <c r="A10696" s="137"/>
      <c r="B10696" s="138"/>
      <c r="C10696" s="139"/>
      <c r="D10696" s="140"/>
      <c r="E10696" s="141"/>
      <c r="F10696" s="142"/>
      <c r="G10696" s="143"/>
      <c r="H10696" s="140"/>
      <c r="I10696" s="140"/>
    </row>
    <row r="10697" spans="1:9" s="90" customFormat="1" ht="12.75" customHeight="1" x14ac:dyDescent="0.2">
      <c r="A10697" s="137"/>
      <c r="B10697" s="138"/>
      <c r="C10697" s="139"/>
      <c r="D10697" s="140"/>
      <c r="E10697" s="141"/>
      <c r="F10697" s="142"/>
      <c r="G10697" s="143"/>
      <c r="H10697" s="140"/>
      <c r="I10697" s="140"/>
    </row>
    <row r="10698" spans="1:9" s="90" customFormat="1" ht="12.75" customHeight="1" x14ac:dyDescent="0.2">
      <c r="A10698" s="137"/>
      <c r="B10698" s="138"/>
      <c r="C10698" s="139"/>
      <c r="D10698" s="140"/>
      <c r="E10698" s="141"/>
      <c r="F10698" s="142"/>
      <c r="G10698" s="143"/>
      <c r="H10698" s="140"/>
      <c r="I10698" s="140"/>
    </row>
    <row r="10699" spans="1:9" s="90" customFormat="1" ht="12.75" customHeight="1" x14ac:dyDescent="0.2">
      <c r="A10699" s="137"/>
      <c r="B10699" s="138"/>
      <c r="C10699" s="139"/>
      <c r="D10699" s="140"/>
      <c r="E10699" s="141"/>
      <c r="F10699" s="142"/>
      <c r="G10699" s="143"/>
      <c r="H10699" s="140"/>
      <c r="I10699" s="140"/>
    </row>
    <row r="10700" spans="1:9" s="90" customFormat="1" ht="12.75" customHeight="1" x14ac:dyDescent="0.2">
      <c r="A10700" s="137"/>
      <c r="B10700" s="138"/>
      <c r="C10700" s="139"/>
      <c r="D10700" s="140"/>
      <c r="E10700" s="141"/>
      <c r="F10700" s="142"/>
      <c r="G10700" s="143"/>
      <c r="H10700" s="140"/>
      <c r="I10700" s="140"/>
    </row>
    <row r="10701" spans="1:9" s="90" customFormat="1" ht="12.75" customHeight="1" x14ac:dyDescent="0.2">
      <c r="A10701" s="137"/>
      <c r="B10701" s="138"/>
      <c r="C10701" s="139"/>
      <c r="D10701" s="140"/>
      <c r="E10701" s="141"/>
      <c r="F10701" s="142"/>
      <c r="G10701" s="143"/>
      <c r="H10701" s="140"/>
      <c r="I10701" s="140"/>
    </row>
    <row r="10702" spans="1:9" s="90" customFormat="1" ht="12.75" customHeight="1" x14ac:dyDescent="0.2">
      <c r="A10702" s="137"/>
      <c r="B10702" s="138"/>
      <c r="C10702" s="139"/>
      <c r="D10702" s="140"/>
      <c r="E10702" s="141"/>
      <c r="F10702" s="142"/>
      <c r="G10702" s="143"/>
      <c r="H10702" s="140"/>
      <c r="I10702" s="140"/>
    </row>
    <row r="10703" spans="1:9" s="90" customFormat="1" ht="12.75" customHeight="1" x14ac:dyDescent="0.2">
      <c r="A10703" s="137"/>
      <c r="B10703" s="138"/>
      <c r="C10703" s="139"/>
      <c r="D10703" s="140"/>
      <c r="E10703" s="141"/>
      <c r="F10703" s="142"/>
      <c r="G10703" s="143"/>
      <c r="H10703" s="140"/>
      <c r="I10703" s="140"/>
    </row>
    <row r="10704" spans="1:9" s="90" customFormat="1" ht="12.75" customHeight="1" x14ac:dyDescent="0.2">
      <c r="A10704" s="137"/>
      <c r="B10704" s="138"/>
      <c r="C10704" s="139"/>
      <c r="D10704" s="140"/>
      <c r="E10704" s="141"/>
      <c r="F10704" s="142"/>
      <c r="G10704" s="143"/>
      <c r="H10704" s="140"/>
      <c r="I10704" s="140"/>
    </row>
    <row r="10705" spans="1:9" s="90" customFormat="1" ht="12.75" customHeight="1" x14ac:dyDescent="0.2">
      <c r="A10705" s="137"/>
      <c r="B10705" s="138"/>
      <c r="C10705" s="139"/>
      <c r="D10705" s="140"/>
      <c r="E10705" s="141"/>
      <c r="F10705" s="142"/>
      <c r="G10705" s="143"/>
      <c r="H10705" s="140"/>
      <c r="I10705" s="140"/>
    </row>
    <row r="10706" spans="1:9" s="90" customFormat="1" ht="12.75" customHeight="1" x14ac:dyDescent="0.2">
      <c r="A10706" s="137"/>
      <c r="B10706" s="138"/>
      <c r="C10706" s="139"/>
      <c r="D10706" s="140"/>
      <c r="E10706" s="141"/>
      <c r="F10706" s="142"/>
      <c r="G10706" s="143"/>
      <c r="H10706" s="140"/>
      <c r="I10706" s="140"/>
    </row>
    <row r="10707" spans="1:9" s="90" customFormat="1" ht="12.75" customHeight="1" x14ac:dyDescent="0.2">
      <c r="A10707" s="137"/>
      <c r="B10707" s="138"/>
      <c r="C10707" s="139"/>
      <c r="D10707" s="140"/>
      <c r="E10707" s="141"/>
      <c r="F10707" s="142"/>
      <c r="G10707" s="143"/>
      <c r="H10707" s="140"/>
      <c r="I10707" s="140"/>
    </row>
    <row r="10708" spans="1:9" s="90" customFormat="1" ht="12.75" customHeight="1" x14ac:dyDescent="0.2">
      <c r="A10708" s="137"/>
      <c r="B10708" s="138"/>
      <c r="C10708" s="139"/>
      <c r="D10708" s="140"/>
      <c r="E10708" s="141"/>
      <c r="F10708" s="142"/>
      <c r="G10708" s="143"/>
      <c r="H10708" s="140"/>
      <c r="I10708" s="140"/>
    </row>
    <row r="10709" spans="1:9" s="90" customFormat="1" ht="12.75" customHeight="1" x14ac:dyDescent="0.2">
      <c r="A10709" s="137"/>
      <c r="B10709" s="138"/>
      <c r="C10709" s="139"/>
      <c r="D10709" s="140"/>
      <c r="E10709" s="141"/>
      <c r="F10709" s="142"/>
      <c r="G10709" s="143"/>
      <c r="H10709" s="140"/>
      <c r="I10709" s="140"/>
    </row>
    <row r="10710" spans="1:9" s="90" customFormat="1" ht="12.75" customHeight="1" x14ac:dyDescent="0.2">
      <c r="A10710" s="137"/>
      <c r="B10710" s="138"/>
      <c r="C10710" s="139"/>
      <c r="D10710" s="140"/>
      <c r="E10710" s="141"/>
      <c r="F10710" s="142"/>
      <c r="G10710" s="143"/>
      <c r="H10710" s="140"/>
      <c r="I10710" s="140"/>
    </row>
    <row r="10711" spans="1:9" s="90" customFormat="1" ht="12.75" customHeight="1" x14ac:dyDescent="0.2">
      <c r="A10711" s="137"/>
      <c r="B10711" s="138"/>
      <c r="C10711" s="139"/>
      <c r="D10711" s="140"/>
      <c r="E10711" s="141"/>
      <c r="F10711" s="142"/>
      <c r="G10711" s="143"/>
      <c r="H10711" s="140"/>
      <c r="I10711" s="140"/>
    </row>
    <row r="10712" spans="1:9" s="90" customFormat="1" ht="12.75" customHeight="1" x14ac:dyDescent="0.2">
      <c r="A10712" s="137"/>
      <c r="B10712" s="138"/>
      <c r="C10712" s="139"/>
      <c r="D10712" s="140"/>
      <c r="E10712" s="141"/>
      <c r="F10712" s="142"/>
      <c r="G10712" s="143"/>
      <c r="H10712" s="140"/>
      <c r="I10712" s="140"/>
    </row>
    <row r="10713" spans="1:9" s="90" customFormat="1" ht="12.75" customHeight="1" x14ac:dyDescent="0.2">
      <c r="A10713" s="137"/>
      <c r="B10713" s="138"/>
      <c r="C10713" s="139"/>
      <c r="D10713" s="140"/>
      <c r="E10713" s="141"/>
      <c r="F10713" s="142"/>
      <c r="G10713" s="143"/>
      <c r="H10713" s="140"/>
      <c r="I10713" s="140"/>
    </row>
    <row r="10714" spans="1:9" s="90" customFormat="1" ht="12.75" customHeight="1" x14ac:dyDescent="0.2">
      <c r="A10714" s="137"/>
      <c r="B10714" s="138"/>
      <c r="C10714" s="139"/>
      <c r="D10714" s="140"/>
      <c r="E10714" s="141"/>
      <c r="F10714" s="142"/>
      <c r="G10714" s="143"/>
      <c r="H10714" s="140"/>
      <c r="I10714" s="140"/>
    </row>
    <row r="10715" spans="1:9" s="90" customFormat="1" ht="12.75" customHeight="1" x14ac:dyDescent="0.2">
      <c r="A10715" s="137"/>
      <c r="B10715" s="138"/>
      <c r="C10715" s="139"/>
      <c r="D10715" s="140"/>
      <c r="E10715" s="141"/>
      <c r="F10715" s="142"/>
      <c r="G10715" s="143"/>
      <c r="H10715" s="140"/>
      <c r="I10715" s="140"/>
    </row>
    <row r="10716" spans="1:9" s="90" customFormat="1" ht="12.75" customHeight="1" x14ac:dyDescent="0.2">
      <c r="A10716" s="137"/>
      <c r="B10716" s="138"/>
      <c r="C10716" s="139"/>
      <c r="D10716" s="140"/>
      <c r="E10716" s="141"/>
      <c r="F10716" s="142"/>
      <c r="G10716" s="143"/>
      <c r="H10716" s="140"/>
      <c r="I10716" s="140"/>
    </row>
    <row r="10717" spans="1:9" s="90" customFormat="1" ht="12.75" customHeight="1" x14ac:dyDescent="0.2">
      <c r="A10717" s="137"/>
      <c r="B10717" s="138"/>
      <c r="C10717" s="139"/>
      <c r="D10717" s="140"/>
      <c r="E10717" s="141"/>
      <c r="F10717" s="142"/>
      <c r="G10717" s="143"/>
      <c r="H10717" s="140"/>
      <c r="I10717" s="140"/>
    </row>
    <row r="10718" spans="1:9" s="90" customFormat="1" ht="12.75" customHeight="1" x14ac:dyDescent="0.2">
      <c r="A10718" s="137"/>
      <c r="B10718" s="138"/>
      <c r="C10718" s="139"/>
      <c r="D10718" s="140"/>
      <c r="E10718" s="141"/>
      <c r="F10718" s="142"/>
      <c r="G10718" s="143"/>
      <c r="H10718" s="140"/>
      <c r="I10718" s="140"/>
    </row>
    <row r="10719" spans="1:9" s="90" customFormat="1" ht="12.75" customHeight="1" x14ac:dyDescent="0.2">
      <c r="A10719" s="137"/>
      <c r="B10719" s="138"/>
      <c r="C10719" s="139"/>
      <c r="D10719" s="140"/>
      <c r="E10719" s="141"/>
      <c r="F10719" s="142"/>
      <c r="G10719" s="143"/>
      <c r="H10719" s="140"/>
      <c r="I10719" s="140"/>
    </row>
    <row r="10720" spans="1:9" s="90" customFormat="1" ht="12.75" customHeight="1" x14ac:dyDescent="0.2">
      <c r="A10720" s="137"/>
      <c r="B10720" s="138"/>
      <c r="C10720" s="139"/>
      <c r="D10720" s="140"/>
      <c r="E10720" s="141"/>
      <c r="F10720" s="142"/>
      <c r="G10720" s="143"/>
      <c r="H10720" s="140"/>
      <c r="I10720" s="140"/>
    </row>
    <row r="10721" spans="1:9" s="90" customFormat="1" ht="12.75" customHeight="1" x14ac:dyDescent="0.2">
      <c r="A10721" s="137"/>
      <c r="B10721" s="138"/>
      <c r="C10721" s="139"/>
      <c r="D10721" s="140"/>
      <c r="E10721" s="141"/>
      <c r="F10721" s="142"/>
      <c r="G10721" s="143"/>
      <c r="H10721" s="140"/>
      <c r="I10721" s="140"/>
    </row>
    <row r="10722" spans="1:9" s="90" customFormat="1" ht="12.75" customHeight="1" x14ac:dyDescent="0.2">
      <c r="A10722" s="137"/>
      <c r="B10722" s="138"/>
      <c r="C10722" s="139"/>
      <c r="D10722" s="140"/>
      <c r="E10722" s="141"/>
      <c r="F10722" s="142"/>
      <c r="G10722" s="143"/>
      <c r="H10722" s="140"/>
      <c r="I10722" s="140"/>
    </row>
    <row r="10723" spans="1:9" s="90" customFormat="1" ht="12.75" customHeight="1" x14ac:dyDescent="0.2">
      <c r="A10723" s="137"/>
      <c r="B10723" s="138"/>
      <c r="C10723" s="139"/>
      <c r="D10723" s="140"/>
      <c r="E10723" s="141"/>
      <c r="F10723" s="142"/>
      <c r="G10723" s="143"/>
      <c r="H10723" s="140"/>
      <c r="I10723" s="140"/>
    </row>
    <row r="10724" spans="1:9" s="90" customFormat="1" ht="12.75" customHeight="1" x14ac:dyDescent="0.2">
      <c r="A10724" s="137"/>
      <c r="B10724" s="138"/>
      <c r="C10724" s="139"/>
      <c r="D10724" s="140"/>
      <c r="E10724" s="141"/>
      <c r="F10724" s="142"/>
      <c r="G10724" s="143"/>
      <c r="H10724" s="140"/>
      <c r="I10724" s="140"/>
    </row>
    <row r="10725" spans="1:9" s="90" customFormat="1" ht="12.75" customHeight="1" x14ac:dyDescent="0.2">
      <c r="A10725" s="137"/>
      <c r="B10725" s="138"/>
      <c r="C10725" s="139"/>
      <c r="D10725" s="140"/>
      <c r="E10725" s="141"/>
      <c r="F10725" s="142"/>
      <c r="G10725" s="143"/>
      <c r="H10725" s="140"/>
      <c r="I10725" s="140"/>
    </row>
    <row r="10726" spans="1:9" s="90" customFormat="1" ht="12.75" customHeight="1" x14ac:dyDescent="0.2">
      <c r="A10726" s="137"/>
      <c r="B10726" s="138"/>
      <c r="C10726" s="139"/>
      <c r="D10726" s="140"/>
      <c r="E10726" s="141"/>
      <c r="F10726" s="142"/>
      <c r="G10726" s="143"/>
      <c r="H10726" s="140"/>
      <c r="I10726" s="140"/>
    </row>
    <row r="10727" spans="1:9" s="90" customFormat="1" ht="12.75" customHeight="1" x14ac:dyDescent="0.2">
      <c r="A10727" s="137"/>
      <c r="B10727" s="138"/>
      <c r="C10727" s="139"/>
      <c r="D10727" s="140"/>
      <c r="E10727" s="141"/>
      <c r="F10727" s="142"/>
      <c r="G10727" s="143"/>
      <c r="H10727" s="140"/>
      <c r="I10727" s="140"/>
    </row>
    <row r="10728" spans="1:9" s="90" customFormat="1" ht="12.75" customHeight="1" x14ac:dyDescent="0.2">
      <c r="A10728" s="137"/>
      <c r="B10728" s="138"/>
      <c r="C10728" s="139"/>
      <c r="D10728" s="140"/>
      <c r="E10728" s="141"/>
      <c r="F10728" s="142"/>
      <c r="G10728" s="143"/>
      <c r="H10728" s="140"/>
      <c r="I10728" s="140"/>
    </row>
    <row r="10729" spans="1:9" s="90" customFormat="1" ht="12.75" customHeight="1" x14ac:dyDescent="0.2">
      <c r="A10729" s="137"/>
      <c r="B10729" s="138"/>
      <c r="C10729" s="139"/>
      <c r="D10729" s="140"/>
      <c r="E10729" s="141"/>
      <c r="F10729" s="142"/>
      <c r="G10729" s="143"/>
      <c r="H10729" s="140"/>
      <c r="I10729" s="140"/>
    </row>
    <row r="10730" spans="1:9" s="90" customFormat="1" ht="12.75" customHeight="1" x14ac:dyDescent="0.2">
      <c r="A10730" s="137"/>
      <c r="B10730" s="138"/>
      <c r="C10730" s="139"/>
      <c r="D10730" s="140"/>
      <c r="E10730" s="141"/>
      <c r="F10730" s="142"/>
      <c r="G10730" s="143"/>
      <c r="H10730" s="140"/>
      <c r="I10730" s="140"/>
    </row>
    <row r="10731" spans="1:9" s="90" customFormat="1" ht="12.75" customHeight="1" x14ac:dyDescent="0.2">
      <c r="A10731" s="137"/>
      <c r="B10731" s="138"/>
      <c r="C10731" s="139"/>
      <c r="D10731" s="140"/>
      <c r="E10731" s="141"/>
      <c r="F10731" s="142"/>
      <c r="G10731" s="143"/>
      <c r="H10731" s="140"/>
      <c r="I10731" s="140"/>
    </row>
    <row r="10732" spans="1:9" s="90" customFormat="1" ht="12.75" customHeight="1" x14ac:dyDescent="0.2">
      <c r="A10732" s="137"/>
      <c r="B10732" s="138"/>
      <c r="C10732" s="139"/>
      <c r="D10732" s="140"/>
      <c r="E10732" s="141"/>
      <c r="F10732" s="142"/>
      <c r="G10732" s="143"/>
      <c r="H10732" s="140"/>
      <c r="I10732" s="140"/>
    </row>
    <row r="10733" spans="1:9" s="90" customFormat="1" ht="12.75" customHeight="1" x14ac:dyDescent="0.2">
      <c r="A10733" s="137"/>
      <c r="B10733" s="138"/>
      <c r="C10733" s="139"/>
      <c r="D10733" s="140"/>
      <c r="E10733" s="141"/>
      <c r="F10733" s="142"/>
      <c r="G10733" s="143"/>
      <c r="H10733" s="140"/>
      <c r="I10733" s="140"/>
    </row>
    <row r="10734" spans="1:9" s="90" customFormat="1" ht="12.75" customHeight="1" x14ac:dyDescent="0.2">
      <c r="A10734" s="137"/>
      <c r="B10734" s="138"/>
      <c r="C10734" s="139"/>
      <c r="D10734" s="140"/>
      <c r="E10734" s="141"/>
      <c r="F10734" s="142"/>
      <c r="G10734" s="143"/>
      <c r="H10734" s="140"/>
      <c r="I10734" s="140"/>
    </row>
    <row r="10735" spans="1:9" s="90" customFormat="1" ht="12.75" customHeight="1" x14ac:dyDescent="0.2">
      <c r="A10735" s="137"/>
      <c r="B10735" s="138"/>
      <c r="C10735" s="139"/>
      <c r="D10735" s="140"/>
      <c r="E10735" s="141"/>
      <c r="F10735" s="142"/>
      <c r="G10735" s="143"/>
      <c r="H10735" s="140"/>
      <c r="I10735" s="140"/>
    </row>
    <row r="10736" spans="1:9" s="90" customFormat="1" ht="12.75" customHeight="1" x14ac:dyDescent="0.2">
      <c r="A10736" s="137"/>
      <c r="B10736" s="138"/>
      <c r="C10736" s="139"/>
      <c r="D10736" s="140"/>
      <c r="E10736" s="141"/>
      <c r="F10736" s="142"/>
      <c r="G10736" s="143"/>
      <c r="H10736" s="140"/>
      <c r="I10736" s="140"/>
    </row>
    <row r="10737" spans="1:9" s="90" customFormat="1" ht="12.75" customHeight="1" x14ac:dyDescent="0.2">
      <c r="A10737" s="137"/>
      <c r="B10737" s="138"/>
      <c r="C10737" s="139"/>
      <c r="D10737" s="140"/>
      <c r="E10737" s="141"/>
      <c r="F10737" s="142"/>
      <c r="G10737" s="143"/>
      <c r="H10737" s="140"/>
      <c r="I10737" s="140"/>
    </row>
    <row r="10738" spans="1:9" s="90" customFormat="1" ht="12.75" customHeight="1" x14ac:dyDescent="0.2">
      <c r="A10738" s="137"/>
      <c r="B10738" s="138"/>
      <c r="C10738" s="139"/>
      <c r="D10738" s="140"/>
      <c r="E10738" s="141"/>
      <c r="F10738" s="142"/>
      <c r="G10738" s="143"/>
      <c r="H10738" s="140"/>
      <c r="I10738" s="140"/>
    </row>
    <row r="10739" spans="1:9" s="90" customFormat="1" ht="12.75" customHeight="1" x14ac:dyDescent="0.2">
      <c r="A10739" s="137"/>
      <c r="B10739" s="138"/>
      <c r="C10739" s="139"/>
      <c r="D10739" s="140"/>
      <c r="E10739" s="141"/>
      <c r="F10739" s="142"/>
      <c r="G10739" s="143"/>
      <c r="H10739" s="140"/>
      <c r="I10739" s="140"/>
    </row>
    <row r="10740" spans="1:9" s="90" customFormat="1" ht="12.75" customHeight="1" x14ac:dyDescent="0.2">
      <c r="A10740" s="137"/>
      <c r="B10740" s="138"/>
      <c r="C10740" s="139"/>
      <c r="D10740" s="140"/>
      <c r="E10740" s="141"/>
      <c r="F10740" s="142"/>
      <c r="G10740" s="143"/>
      <c r="H10740" s="140"/>
      <c r="I10740" s="140"/>
    </row>
    <row r="10741" spans="1:9" s="90" customFormat="1" ht="12.75" customHeight="1" x14ac:dyDescent="0.2">
      <c r="A10741" s="137"/>
      <c r="B10741" s="138"/>
      <c r="C10741" s="139"/>
      <c r="D10741" s="140"/>
      <c r="E10741" s="141"/>
      <c r="F10741" s="142"/>
      <c r="G10741" s="143"/>
      <c r="H10741" s="140"/>
      <c r="I10741" s="140"/>
    </row>
    <row r="10742" spans="1:9" s="90" customFormat="1" ht="12.75" customHeight="1" x14ac:dyDescent="0.2">
      <c r="A10742" s="137"/>
      <c r="B10742" s="138"/>
      <c r="C10742" s="139"/>
      <c r="D10742" s="140"/>
      <c r="E10742" s="141"/>
      <c r="F10742" s="142"/>
      <c r="G10742" s="143"/>
      <c r="H10742" s="140"/>
      <c r="I10742" s="140"/>
    </row>
    <row r="10743" spans="1:9" s="90" customFormat="1" ht="12.75" customHeight="1" x14ac:dyDescent="0.2">
      <c r="A10743" s="137"/>
      <c r="B10743" s="138"/>
      <c r="C10743" s="139"/>
      <c r="D10743" s="140"/>
      <c r="E10743" s="141"/>
      <c r="F10743" s="142"/>
      <c r="G10743" s="143"/>
      <c r="H10743" s="140"/>
      <c r="I10743" s="140"/>
    </row>
    <row r="10744" spans="1:9" s="90" customFormat="1" ht="12.75" customHeight="1" x14ac:dyDescent="0.2">
      <c r="A10744" s="137"/>
      <c r="B10744" s="138"/>
      <c r="C10744" s="139"/>
      <c r="D10744" s="140"/>
      <c r="E10744" s="141"/>
      <c r="F10744" s="142"/>
      <c r="G10744" s="143"/>
      <c r="H10744" s="140"/>
      <c r="I10744" s="140"/>
    </row>
    <row r="10745" spans="1:9" s="90" customFormat="1" ht="12.75" customHeight="1" x14ac:dyDescent="0.2">
      <c r="A10745" s="137"/>
      <c r="B10745" s="138"/>
      <c r="C10745" s="139"/>
      <c r="D10745" s="140"/>
      <c r="E10745" s="141"/>
      <c r="F10745" s="142"/>
      <c r="G10745" s="143"/>
      <c r="H10745" s="140"/>
      <c r="I10745" s="140"/>
    </row>
    <row r="10746" spans="1:9" s="90" customFormat="1" ht="12.75" customHeight="1" x14ac:dyDescent="0.2">
      <c r="A10746" s="137"/>
      <c r="B10746" s="138"/>
      <c r="C10746" s="139"/>
      <c r="D10746" s="140"/>
      <c r="E10746" s="141"/>
      <c r="F10746" s="142"/>
      <c r="G10746" s="143"/>
      <c r="H10746" s="140"/>
      <c r="I10746" s="140"/>
    </row>
    <row r="10747" spans="1:9" s="90" customFormat="1" ht="12.75" customHeight="1" x14ac:dyDescent="0.2">
      <c r="A10747" s="137"/>
      <c r="B10747" s="138"/>
      <c r="C10747" s="139"/>
      <c r="D10747" s="140"/>
      <c r="E10747" s="141"/>
      <c r="F10747" s="142"/>
      <c r="G10747" s="143"/>
      <c r="H10747" s="140"/>
      <c r="I10747" s="140"/>
    </row>
    <row r="10748" spans="1:9" s="90" customFormat="1" ht="12.75" customHeight="1" x14ac:dyDescent="0.2">
      <c r="A10748" s="137"/>
      <c r="B10748" s="138"/>
      <c r="C10748" s="139"/>
      <c r="D10748" s="140"/>
      <c r="E10748" s="141"/>
      <c r="F10748" s="142"/>
      <c r="G10748" s="143"/>
      <c r="H10748" s="140"/>
      <c r="I10748" s="140"/>
    </row>
    <row r="10749" spans="1:9" s="90" customFormat="1" ht="12.75" customHeight="1" x14ac:dyDescent="0.2">
      <c r="A10749" s="137"/>
      <c r="B10749" s="138"/>
      <c r="C10749" s="139"/>
      <c r="D10749" s="140"/>
      <c r="E10749" s="141"/>
      <c r="F10749" s="142"/>
      <c r="G10749" s="143"/>
      <c r="H10749" s="140"/>
      <c r="I10749" s="140"/>
    </row>
    <row r="10750" spans="1:9" s="90" customFormat="1" ht="12.75" customHeight="1" x14ac:dyDescent="0.2">
      <c r="A10750" s="137"/>
      <c r="B10750" s="138"/>
      <c r="C10750" s="139"/>
      <c r="D10750" s="140"/>
      <c r="E10750" s="141"/>
      <c r="F10750" s="142"/>
      <c r="G10750" s="143"/>
      <c r="H10750" s="140"/>
      <c r="I10750" s="140"/>
    </row>
    <row r="10751" spans="1:9" s="90" customFormat="1" ht="12.75" customHeight="1" x14ac:dyDescent="0.2">
      <c r="A10751" s="137"/>
      <c r="B10751" s="138"/>
      <c r="C10751" s="139"/>
      <c r="D10751" s="140"/>
      <c r="E10751" s="141"/>
      <c r="F10751" s="142"/>
      <c r="G10751" s="143"/>
      <c r="H10751" s="140"/>
      <c r="I10751" s="140"/>
    </row>
    <row r="10752" spans="1:9" s="90" customFormat="1" ht="12.75" customHeight="1" x14ac:dyDescent="0.2">
      <c r="A10752" s="137"/>
      <c r="B10752" s="138"/>
      <c r="C10752" s="139"/>
      <c r="D10752" s="140"/>
      <c r="E10752" s="141"/>
      <c r="F10752" s="142"/>
      <c r="G10752" s="143"/>
      <c r="H10752" s="140"/>
      <c r="I10752" s="140"/>
    </row>
    <row r="10753" spans="1:9" s="90" customFormat="1" ht="12.75" customHeight="1" x14ac:dyDescent="0.2">
      <c r="A10753" s="137"/>
      <c r="B10753" s="138"/>
      <c r="C10753" s="139"/>
      <c r="D10753" s="140"/>
      <c r="E10753" s="141"/>
      <c r="F10753" s="142"/>
      <c r="G10753" s="143"/>
      <c r="H10753" s="140"/>
      <c r="I10753" s="140"/>
    </row>
    <row r="10754" spans="1:9" s="90" customFormat="1" ht="12.75" customHeight="1" x14ac:dyDescent="0.2">
      <c r="A10754" s="137"/>
      <c r="B10754" s="138"/>
      <c r="C10754" s="139"/>
      <c r="D10754" s="140"/>
      <c r="E10754" s="141"/>
      <c r="F10754" s="142"/>
      <c r="G10754" s="143"/>
      <c r="H10754" s="140"/>
      <c r="I10754" s="140"/>
    </row>
    <row r="10755" spans="1:9" s="90" customFormat="1" ht="12.75" customHeight="1" x14ac:dyDescent="0.2">
      <c r="A10755" s="137"/>
      <c r="B10755" s="138"/>
      <c r="C10755" s="139"/>
      <c r="D10755" s="140"/>
      <c r="E10755" s="141"/>
      <c r="F10755" s="142"/>
      <c r="G10755" s="143"/>
      <c r="H10755" s="140"/>
      <c r="I10755" s="140"/>
    </row>
    <row r="10756" spans="1:9" s="90" customFormat="1" ht="12.75" customHeight="1" x14ac:dyDescent="0.2">
      <c r="A10756" s="137"/>
      <c r="B10756" s="138"/>
      <c r="C10756" s="139"/>
      <c r="D10756" s="140"/>
      <c r="E10756" s="141"/>
      <c r="F10756" s="142"/>
      <c r="G10756" s="143"/>
      <c r="H10756" s="140"/>
      <c r="I10756" s="140"/>
    </row>
    <row r="10757" spans="1:9" s="90" customFormat="1" ht="12.75" customHeight="1" x14ac:dyDescent="0.2">
      <c r="A10757" s="137"/>
      <c r="B10757" s="138"/>
      <c r="C10757" s="139"/>
      <c r="D10757" s="140"/>
      <c r="E10757" s="141"/>
      <c r="F10757" s="142"/>
      <c r="G10757" s="143"/>
      <c r="H10757" s="140"/>
      <c r="I10757" s="140"/>
    </row>
    <row r="10758" spans="1:9" s="90" customFormat="1" ht="12.75" customHeight="1" x14ac:dyDescent="0.2">
      <c r="A10758" s="137"/>
      <c r="B10758" s="138"/>
      <c r="C10758" s="139"/>
      <c r="D10758" s="140"/>
      <c r="E10758" s="141"/>
      <c r="F10758" s="142"/>
      <c r="G10758" s="143"/>
      <c r="H10758" s="140"/>
      <c r="I10758" s="140"/>
    </row>
    <row r="10759" spans="1:9" s="90" customFormat="1" ht="12.75" customHeight="1" x14ac:dyDescent="0.2">
      <c r="A10759" s="137"/>
      <c r="B10759" s="138"/>
      <c r="C10759" s="139"/>
      <c r="D10759" s="140"/>
      <c r="E10759" s="141"/>
      <c r="F10759" s="142"/>
      <c r="G10759" s="143"/>
      <c r="H10759" s="140"/>
      <c r="I10759" s="140"/>
    </row>
    <row r="10760" spans="1:9" s="90" customFormat="1" ht="12.75" customHeight="1" x14ac:dyDescent="0.2">
      <c r="A10760" s="137"/>
      <c r="B10760" s="138"/>
      <c r="C10760" s="139"/>
      <c r="D10760" s="140"/>
      <c r="E10760" s="141"/>
      <c r="F10760" s="142"/>
      <c r="G10760" s="143"/>
      <c r="H10760" s="140"/>
      <c r="I10760" s="140"/>
    </row>
    <row r="10761" spans="1:9" s="90" customFormat="1" ht="12.75" customHeight="1" x14ac:dyDescent="0.2">
      <c r="A10761" s="137"/>
      <c r="B10761" s="138"/>
      <c r="C10761" s="139"/>
      <c r="D10761" s="140"/>
      <c r="E10761" s="141"/>
      <c r="F10761" s="142"/>
      <c r="G10761" s="143"/>
      <c r="H10761" s="140"/>
      <c r="I10761" s="140"/>
    </row>
    <row r="10762" spans="1:9" s="90" customFormat="1" ht="12.75" customHeight="1" x14ac:dyDescent="0.2">
      <c r="A10762" s="137"/>
      <c r="B10762" s="138"/>
      <c r="C10762" s="139"/>
      <c r="D10762" s="140"/>
      <c r="E10762" s="141"/>
      <c r="F10762" s="142"/>
      <c r="G10762" s="143"/>
      <c r="H10762" s="140"/>
      <c r="I10762" s="140"/>
    </row>
    <row r="10763" spans="1:9" s="90" customFormat="1" ht="12.75" customHeight="1" x14ac:dyDescent="0.2">
      <c r="A10763" s="137"/>
      <c r="B10763" s="138"/>
      <c r="C10763" s="139"/>
      <c r="D10763" s="140"/>
      <c r="E10763" s="141"/>
      <c r="F10763" s="142"/>
      <c r="G10763" s="143"/>
      <c r="H10763" s="140"/>
      <c r="I10763" s="140"/>
    </row>
    <row r="10764" spans="1:9" s="90" customFormat="1" ht="12.75" customHeight="1" x14ac:dyDescent="0.2">
      <c r="A10764" s="137"/>
      <c r="B10764" s="138"/>
      <c r="C10764" s="139"/>
      <c r="D10764" s="140"/>
      <c r="E10764" s="141"/>
      <c r="F10764" s="142"/>
      <c r="G10764" s="143"/>
      <c r="H10764" s="140"/>
      <c r="I10764" s="140"/>
    </row>
    <row r="10765" spans="1:9" s="90" customFormat="1" ht="12.75" customHeight="1" x14ac:dyDescent="0.2">
      <c r="A10765" s="137"/>
      <c r="B10765" s="138"/>
      <c r="C10765" s="139"/>
      <c r="D10765" s="140"/>
      <c r="E10765" s="141"/>
      <c r="F10765" s="142"/>
      <c r="G10765" s="143"/>
      <c r="H10765" s="140"/>
      <c r="I10765" s="140"/>
    </row>
    <row r="10766" spans="1:9" s="90" customFormat="1" ht="12.75" customHeight="1" x14ac:dyDescent="0.2">
      <c r="A10766" s="137"/>
      <c r="B10766" s="138"/>
      <c r="C10766" s="139"/>
      <c r="D10766" s="140"/>
      <c r="E10766" s="141"/>
      <c r="F10766" s="142"/>
      <c r="G10766" s="143"/>
      <c r="H10766" s="140"/>
      <c r="I10766" s="140"/>
    </row>
    <row r="10767" spans="1:9" s="90" customFormat="1" ht="12.75" customHeight="1" x14ac:dyDescent="0.2">
      <c r="A10767" s="137"/>
      <c r="B10767" s="138"/>
      <c r="C10767" s="139"/>
      <c r="D10767" s="140"/>
      <c r="E10767" s="141"/>
      <c r="F10767" s="142"/>
      <c r="G10767" s="143"/>
      <c r="H10767" s="140"/>
      <c r="I10767" s="140"/>
    </row>
    <row r="10768" spans="1:9" s="90" customFormat="1" ht="12.75" customHeight="1" x14ac:dyDescent="0.2">
      <c r="A10768" s="137"/>
      <c r="B10768" s="138"/>
      <c r="C10768" s="139"/>
      <c r="D10768" s="140"/>
      <c r="E10768" s="141"/>
      <c r="F10768" s="142"/>
      <c r="G10768" s="143"/>
      <c r="H10768" s="140"/>
      <c r="I10768" s="140"/>
    </row>
    <row r="10769" spans="1:9" s="90" customFormat="1" ht="12.75" customHeight="1" x14ac:dyDescent="0.2">
      <c r="A10769" s="137"/>
      <c r="B10769" s="138"/>
      <c r="C10769" s="139"/>
      <c r="D10769" s="140"/>
      <c r="E10769" s="141"/>
      <c r="F10769" s="142"/>
      <c r="G10769" s="143"/>
      <c r="H10769" s="140"/>
      <c r="I10769" s="140"/>
    </row>
    <row r="10770" spans="1:9" s="90" customFormat="1" ht="12.75" customHeight="1" x14ac:dyDescent="0.2">
      <c r="A10770" s="137"/>
      <c r="B10770" s="138"/>
      <c r="C10770" s="139"/>
      <c r="D10770" s="140"/>
      <c r="E10770" s="141"/>
      <c r="F10770" s="142"/>
      <c r="G10770" s="143"/>
      <c r="H10770" s="140"/>
      <c r="I10770" s="140"/>
    </row>
    <row r="10771" spans="1:9" s="90" customFormat="1" ht="12.75" customHeight="1" x14ac:dyDescent="0.2">
      <c r="A10771" s="137"/>
      <c r="B10771" s="138"/>
      <c r="C10771" s="139"/>
      <c r="D10771" s="140"/>
      <c r="E10771" s="141"/>
      <c r="F10771" s="142"/>
      <c r="G10771" s="143"/>
      <c r="H10771" s="140"/>
      <c r="I10771" s="140"/>
    </row>
    <row r="10772" spans="1:9" s="90" customFormat="1" ht="12.75" customHeight="1" x14ac:dyDescent="0.2">
      <c r="A10772" s="137"/>
      <c r="B10772" s="138"/>
      <c r="C10772" s="139"/>
      <c r="D10772" s="140"/>
      <c r="E10772" s="141"/>
      <c r="F10772" s="142"/>
      <c r="G10772" s="143"/>
      <c r="H10772" s="140"/>
      <c r="I10772" s="140"/>
    </row>
    <row r="10773" spans="1:9" s="90" customFormat="1" ht="12.75" customHeight="1" x14ac:dyDescent="0.2">
      <c r="A10773" s="137"/>
      <c r="B10773" s="138"/>
      <c r="C10773" s="139"/>
      <c r="D10773" s="140"/>
      <c r="E10773" s="141"/>
      <c r="F10773" s="142"/>
      <c r="G10773" s="143"/>
      <c r="H10773" s="140"/>
      <c r="I10773" s="140"/>
    </row>
    <row r="10774" spans="1:9" s="90" customFormat="1" ht="12.75" customHeight="1" x14ac:dyDescent="0.2">
      <c r="A10774" s="137"/>
      <c r="B10774" s="138"/>
      <c r="C10774" s="139"/>
      <c r="D10774" s="140"/>
      <c r="E10774" s="141"/>
      <c r="F10774" s="142"/>
      <c r="G10774" s="143"/>
      <c r="H10774" s="140"/>
      <c r="I10774" s="140"/>
    </row>
    <row r="10775" spans="1:9" s="90" customFormat="1" ht="12.75" customHeight="1" x14ac:dyDescent="0.2">
      <c r="A10775" s="137"/>
      <c r="B10775" s="138"/>
      <c r="C10775" s="139"/>
      <c r="D10775" s="140"/>
      <c r="E10775" s="141"/>
      <c r="F10775" s="142"/>
      <c r="G10775" s="143"/>
      <c r="H10775" s="140"/>
      <c r="I10775" s="140"/>
    </row>
    <row r="10776" spans="1:9" s="90" customFormat="1" ht="12.75" customHeight="1" x14ac:dyDescent="0.2">
      <c r="A10776" s="137"/>
      <c r="B10776" s="138"/>
      <c r="C10776" s="139"/>
      <c r="D10776" s="140"/>
      <c r="E10776" s="141"/>
      <c r="F10776" s="142"/>
      <c r="G10776" s="143"/>
      <c r="H10776" s="140"/>
      <c r="I10776" s="140"/>
    </row>
    <row r="10777" spans="1:9" s="90" customFormat="1" ht="12.75" customHeight="1" x14ac:dyDescent="0.2">
      <c r="A10777" s="137"/>
      <c r="B10777" s="138"/>
      <c r="C10777" s="139"/>
      <c r="D10777" s="140"/>
      <c r="E10777" s="141"/>
      <c r="F10777" s="142"/>
      <c r="G10777" s="143"/>
      <c r="H10777" s="140"/>
      <c r="I10777" s="140"/>
    </row>
    <row r="10778" spans="1:9" s="90" customFormat="1" ht="12.75" customHeight="1" x14ac:dyDescent="0.2">
      <c r="A10778" s="137"/>
      <c r="B10778" s="138"/>
      <c r="C10778" s="139"/>
      <c r="D10778" s="140"/>
      <c r="E10778" s="141"/>
      <c r="F10778" s="142"/>
      <c r="G10778" s="143"/>
      <c r="H10778" s="140"/>
      <c r="I10778" s="140"/>
    </row>
    <row r="10779" spans="1:9" s="90" customFormat="1" ht="12.75" customHeight="1" x14ac:dyDescent="0.2">
      <c r="A10779" s="137"/>
      <c r="B10779" s="138"/>
      <c r="C10779" s="139"/>
      <c r="D10779" s="140"/>
      <c r="E10779" s="141"/>
      <c r="F10779" s="142"/>
      <c r="G10779" s="143"/>
      <c r="H10779" s="140"/>
      <c r="I10779" s="140"/>
    </row>
    <row r="10780" spans="1:9" s="90" customFormat="1" ht="12.75" customHeight="1" x14ac:dyDescent="0.2">
      <c r="A10780" s="137"/>
      <c r="B10780" s="138"/>
      <c r="C10780" s="139"/>
      <c r="D10780" s="140"/>
      <c r="E10780" s="141"/>
      <c r="F10780" s="142"/>
      <c r="G10780" s="143"/>
      <c r="H10780" s="140"/>
      <c r="I10780" s="140"/>
    </row>
    <row r="10781" spans="1:9" s="90" customFormat="1" ht="12.75" customHeight="1" x14ac:dyDescent="0.2">
      <c r="A10781" s="137"/>
      <c r="B10781" s="138"/>
      <c r="C10781" s="139"/>
      <c r="D10781" s="140"/>
      <c r="E10781" s="141"/>
      <c r="F10781" s="142"/>
      <c r="G10781" s="143"/>
      <c r="H10781" s="140"/>
      <c r="I10781" s="140"/>
    </row>
    <row r="10782" spans="1:9" s="90" customFormat="1" ht="12.75" customHeight="1" x14ac:dyDescent="0.2">
      <c r="A10782" s="137"/>
      <c r="B10782" s="138"/>
      <c r="C10782" s="139"/>
      <c r="D10782" s="140"/>
      <c r="E10782" s="141"/>
      <c r="F10782" s="142"/>
      <c r="G10782" s="143"/>
      <c r="H10782" s="140"/>
      <c r="I10782" s="140"/>
    </row>
    <row r="10783" spans="1:9" s="90" customFormat="1" ht="12.75" customHeight="1" x14ac:dyDescent="0.2">
      <c r="A10783" s="137"/>
      <c r="B10783" s="138"/>
      <c r="C10783" s="139"/>
      <c r="D10783" s="140"/>
      <c r="E10783" s="141"/>
      <c r="F10783" s="142"/>
      <c r="G10783" s="143"/>
      <c r="H10783" s="140"/>
      <c r="I10783" s="140"/>
    </row>
    <row r="10784" spans="1:9" s="90" customFormat="1" ht="12.75" customHeight="1" x14ac:dyDescent="0.2">
      <c r="A10784" s="137"/>
      <c r="B10784" s="138"/>
      <c r="C10784" s="139"/>
      <c r="D10784" s="140"/>
      <c r="E10784" s="141"/>
      <c r="F10784" s="142"/>
      <c r="G10784" s="143"/>
      <c r="H10784" s="140"/>
      <c r="I10784" s="140"/>
    </row>
    <row r="10785" spans="1:9" s="90" customFormat="1" ht="12.75" customHeight="1" x14ac:dyDescent="0.2">
      <c r="A10785" s="137"/>
      <c r="B10785" s="138"/>
      <c r="C10785" s="139"/>
      <c r="D10785" s="140"/>
      <c r="E10785" s="141"/>
      <c r="F10785" s="142"/>
      <c r="G10785" s="143"/>
      <c r="H10785" s="140"/>
      <c r="I10785" s="140"/>
    </row>
    <row r="10786" spans="1:9" s="90" customFormat="1" ht="12.75" customHeight="1" x14ac:dyDescent="0.2">
      <c r="A10786" s="137"/>
      <c r="B10786" s="138"/>
      <c r="C10786" s="139"/>
      <c r="D10786" s="140"/>
      <c r="E10786" s="141"/>
      <c r="F10786" s="142"/>
      <c r="G10786" s="143"/>
      <c r="H10786" s="140"/>
      <c r="I10786" s="140"/>
    </row>
    <row r="10787" spans="1:9" s="90" customFormat="1" ht="12.75" customHeight="1" x14ac:dyDescent="0.2">
      <c r="A10787" s="137"/>
      <c r="B10787" s="138"/>
      <c r="C10787" s="139"/>
      <c r="D10787" s="140"/>
      <c r="E10787" s="141"/>
      <c r="F10787" s="142"/>
      <c r="G10787" s="143"/>
      <c r="H10787" s="140"/>
      <c r="I10787" s="140"/>
    </row>
    <row r="10788" spans="1:9" s="90" customFormat="1" ht="12.75" customHeight="1" x14ac:dyDescent="0.2">
      <c r="A10788" s="137"/>
      <c r="B10788" s="138"/>
      <c r="C10788" s="139"/>
      <c r="D10788" s="140"/>
      <c r="E10788" s="141"/>
      <c r="F10788" s="142"/>
      <c r="G10788" s="143"/>
      <c r="H10788" s="140"/>
      <c r="I10788" s="140"/>
    </row>
    <row r="10789" spans="1:9" s="90" customFormat="1" ht="12.75" customHeight="1" x14ac:dyDescent="0.2">
      <c r="A10789" s="137"/>
      <c r="B10789" s="138"/>
      <c r="C10789" s="139"/>
      <c r="D10789" s="140"/>
      <c r="E10789" s="141"/>
      <c r="F10789" s="142"/>
      <c r="G10789" s="143"/>
      <c r="H10789" s="140"/>
      <c r="I10789" s="140"/>
    </row>
    <row r="10790" spans="1:9" s="90" customFormat="1" ht="12.75" customHeight="1" x14ac:dyDescent="0.2">
      <c r="A10790" s="137"/>
      <c r="B10790" s="138"/>
      <c r="C10790" s="139"/>
      <c r="D10790" s="140"/>
      <c r="E10790" s="141"/>
      <c r="F10790" s="142"/>
      <c r="G10790" s="143"/>
      <c r="H10790" s="140"/>
      <c r="I10790" s="140"/>
    </row>
    <row r="10791" spans="1:9" s="90" customFormat="1" ht="12.75" customHeight="1" x14ac:dyDescent="0.2">
      <c r="A10791" s="137"/>
      <c r="B10791" s="138"/>
      <c r="C10791" s="139"/>
      <c r="D10791" s="140"/>
      <c r="E10791" s="141"/>
      <c r="F10791" s="142"/>
      <c r="G10791" s="143"/>
      <c r="H10791" s="140"/>
      <c r="I10791" s="140"/>
    </row>
    <row r="10792" spans="1:9" s="90" customFormat="1" ht="12.75" customHeight="1" x14ac:dyDescent="0.2">
      <c r="A10792" s="137"/>
      <c r="B10792" s="138"/>
      <c r="C10792" s="139"/>
      <c r="D10792" s="140"/>
      <c r="E10792" s="141"/>
      <c r="F10792" s="142"/>
      <c r="G10792" s="143"/>
      <c r="H10792" s="140"/>
      <c r="I10792" s="140"/>
    </row>
    <row r="10793" spans="1:9" s="90" customFormat="1" ht="12.75" customHeight="1" x14ac:dyDescent="0.2">
      <c r="A10793" s="137"/>
      <c r="B10793" s="138"/>
      <c r="C10793" s="139"/>
      <c r="D10793" s="140"/>
      <c r="E10793" s="141"/>
      <c r="F10793" s="142"/>
      <c r="G10793" s="143"/>
      <c r="H10793" s="140"/>
      <c r="I10793" s="140"/>
    </row>
    <row r="10794" spans="1:9" s="90" customFormat="1" ht="12.75" customHeight="1" x14ac:dyDescent="0.2">
      <c r="A10794" s="137"/>
      <c r="B10794" s="138"/>
      <c r="C10794" s="139"/>
      <c r="D10794" s="140"/>
      <c r="E10794" s="141"/>
      <c r="F10794" s="142"/>
      <c r="G10794" s="143"/>
      <c r="H10794" s="140"/>
      <c r="I10794" s="140"/>
    </row>
    <row r="10795" spans="1:9" s="90" customFormat="1" ht="12.75" customHeight="1" x14ac:dyDescent="0.2">
      <c r="A10795" s="137"/>
      <c r="B10795" s="138"/>
      <c r="C10795" s="139"/>
      <c r="D10795" s="140"/>
      <c r="E10795" s="141"/>
      <c r="F10795" s="142"/>
      <c r="G10795" s="143"/>
      <c r="H10795" s="140"/>
      <c r="I10795" s="140"/>
    </row>
    <row r="10796" spans="1:9" s="90" customFormat="1" ht="12.75" customHeight="1" x14ac:dyDescent="0.2">
      <c r="A10796" s="137"/>
      <c r="B10796" s="138"/>
      <c r="C10796" s="139"/>
      <c r="D10796" s="140"/>
      <c r="E10796" s="141"/>
      <c r="F10796" s="142"/>
      <c r="G10796" s="143"/>
      <c r="H10796" s="140"/>
      <c r="I10796" s="140"/>
    </row>
    <row r="10797" spans="1:9" s="90" customFormat="1" ht="12.75" customHeight="1" x14ac:dyDescent="0.2">
      <c r="A10797" s="137"/>
      <c r="B10797" s="138"/>
      <c r="C10797" s="139"/>
      <c r="D10797" s="140"/>
      <c r="E10797" s="141"/>
      <c r="F10797" s="142"/>
      <c r="G10797" s="143"/>
      <c r="H10797" s="140"/>
      <c r="I10797" s="140"/>
    </row>
    <row r="10798" spans="1:9" s="90" customFormat="1" ht="12.75" customHeight="1" x14ac:dyDescent="0.2">
      <c r="A10798" s="137"/>
      <c r="B10798" s="138"/>
      <c r="C10798" s="139"/>
      <c r="D10798" s="140"/>
      <c r="E10798" s="141"/>
      <c r="F10798" s="142"/>
      <c r="G10798" s="143"/>
      <c r="H10798" s="140"/>
      <c r="I10798" s="140"/>
    </row>
    <row r="10799" spans="1:9" s="90" customFormat="1" ht="12.75" customHeight="1" x14ac:dyDescent="0.2">
      <c r="A10799" s="137"/>
      <c r="B10799" s="138"/>
      <c r="C10799" s="139"/>
      <c r="D10799" s="140"/>
      <c r="E10799" s="141"/>
      <c r="F10799" s="142"/>
      <c r="G10799" s="143"/>
      <c r="H10799" s="140"/>
      <c r="I10799" s="140"/>
    </row>
    <row r="10800" spans="1:9" s="90" customFormat="1" ht="12.75" customHeight="1" x14ac:dyDescent="0.2">
      <c r="A10800" s="137"/>
      <c r="B10800" s="138"/>
      <c r="C10800" s="139"/>
      <c r="D10800" s="140"/>
      <c r="E10800" s="141"/>
      <c r="F10800" s="142"/>
      <c r="G10800" s="143"/>
      <c r="H10800" s="140"/>
      <c r="I10800" s="140"/>
    </row>
    <row r="10801" spans="1:9" s="90" customFormat="1" ht="12.75" customHeight="1" x14ac:dyDescent="0.2">
      <c r="A10801" s="137"/>
      <c r="B10801" s="138"/>
      <c r="C10801" s="139"/>
      <c r="D10801" s="140"/>
      <c r="E10801" s="141"/>
      <c r="F10801" s="142"/>
      <c r="G10801" s="143"/>
      <c r="H10801" s="140"/>
      <c r="I10801" s="140"/>
    </row>
    <row r="10802" spans="1:9" s="90" customFormat="1" ht="12.75" customHeight="1" x14ac:dyDescent="0.2">
      <c r="A10802" s="137"/>
      <c r="B10802" s="138"/>
      <c r="C10802" s="139"/>
      <c r="D10802" s="140"/>
      <c r="E10802" s="141"/>
      <c r="F10802" s="142"/>
      <c r="G10802" s="143"/>
      <c r="H10802" s="140"/>
      <c r="I10802" s="140"/>
    </row>
    <row r="10803" spans="1:9" s="90" customFormat="1" ht="12.75" customHeight="1" x14ac:dyDescent="0.2">
      <c r="A10803" s="137"/>
      <c r="B10803" s="138"/>
      <c r="C10803" s="139"/>
      <c r="D10803" s="140"/>
      <c r="E10803" s="141"/>
      <c r="F10803" s="142"/>
      <c r="G10803" s="143"/>
      <c r="H10803" s="140"/>
      <c r="I10803" s="140"/>
    </row>
    <row r="10804" spans="1:9" s="90" customFormat="1" ht="12.75" customHeight="1" x14ac:dyDescent="0.2">
      <c r="A10804" s="137"/>
      <c r="B10804" s="138"/>
      <c r="C10804" s="139"/>
      <c r="D10804" s="140"/>
      <c r="E10804" s="141"/>
      <c r="F10804" s="142"/>
      <c r="G10804" s="143"/>
      <c r="H10804" s="140"/>
      <c r="I10804" s="140"/>
    </row>
    <row r="10805" spans="1:9" s="90" customFormat="1" ht="12.75" customHeight="1" x14ac:dyDescent="0.2">
      <c r="A10805" s="137"/>
      <c r="B10805" s="138"/>
      <c r="C10805" s="139"/>
      <c r="D10805" s="140"/>
      <c r="E10805" s="141"/>
      <c r="F10805" s="142"/>
      <c r="G10805" s="143"/>
      <c r="H10805" s="140"/>
      <c r="I10805" s="140"/>
    </row>
    <row r="10806" spans="1:9" s="90" customFormat="1" ht="12.75" customHeight="1" x14ac:dyDescent="0.2">
      <c r="A10806" s="137"/>
      <c r="B10806" s="138"/>
      <c r="C10806" s="139"/>
      <c r="D10806" s="140"/>
      <c r="E10806" s="141"/>
      <c r="F10806" s="142"/>
      <c r="G10806" s="143"/>
      <c r="H10806" s="140"/>
      <c r="I10806" s="140"/>
    </row>
    <row r="10807" spans="1:9" s="90" customFormat="1" ht="12.75" customHeight="1" x14ac:dyDescent="0.2">
      <c r="A10807" s="137"/>
      <c r="B10807" s="138"/>
      <c r="C10807" s="139"/>
      <c r="D10807" s="140"/>
      <c r="E10807" s="141"/>
      <c r="F10807" s="142"/>
      <c r="G10807" s="143"/>
      <c r="H10807" s="140"/>
      <c r="I10807" s="140"/>
    </row>
    <row r="10808" spans="1:9" s="90" customFormat="1" ht="12.75" customHeight="1" x14ac:dyDescent="0.2">
      <c r="A10808" s="137"/>
      <c r="B10808" s="138"/>
      <c r="C10808" s="139"/>
      <c r="D10808" s="140"/>
      <c r="E10808" s="141"/>
      <c r="F10808" s="142"/>
      <c r="G10808" s="143"/>
      <c r="H10808" s="140"/>
      <c r="I10808" s="140"/>
    </row>
    <row r="10809" spans="1:9" s="90" customFormat="1" ht="12.75" customHeight="1" x14ac:dyDescent="0.2">
      <c r="A10809" s="137"/>
      <c r="B10809" s="138"/>
      <c r="C10809" s="139"/>
      <c r="D10809" s="140"/>
      <c r="E10809" s="141"/>
      <c r="F10809" s="142"/>
      <c r="G10809" s="143"/>
      <c r="H10809" s="140"/>
      <c r="I10809" s="140"/>
    </row>
    <row r="10810" spans="1:9" s="90" customFormat="1" ht="12.75" customHeight="1" x14ac:dyDescent="0.2">
      <c r="A10810" s="137"/>
      <c r="B10810" s="138"/>
      <c r="C10810" s="139"/>
      <c r="D10810" s="140"/>
      <c r="E10810" s="141"/>
      <c r="F10810" s="142"/>
      <c r="G10810" s="143"/>
      <c r="H10810" s="140"/>
      <c r="I10810" s="140"/>
    </row>
    <row r="10811" spans="1:9" s="90" customFormat="1" ht="12.75" customHeight="1" x14ac:dyDescent="0.2">
      <c r="A10811" s="137"/>
      <c r="B10811" s="138"/>
      <c r="C10811" s="139"/>
      <c r="D10811" s="140"/>
      <c r="E10811" s="141"/>
      <c r="F10811" s="142"/>
      <c r="G10811" s="143"/>
      <c r="H10811" s="140"/>
      <c r="I10811" s="140"/>
    </row>
    <row r="10812" spans="1:9" s="90" customFormat="1" ht="12.75" customHeight="1" x14ac:dyDescent="0.2">
      <c r="A10812" s="137"/>
      <c r="B10812" s="138"/>
      <c r="C10812" s="139"/>
      <c r="D10812" s="140"/>
      <c r="E10812" s="141"/>
      <c r="F10812" s="142"/>
      <c r="G10812" s="143"/>
      <c r="H10812" s="140"/>
      <c r="I10812" s="140"/>
    </row>
    <row r="10813" spans="1:9" s="90" customFormat="1" ht="12.75" customHeight="1" x14ac:dyDescent="0.2">
      <c r="A10813" s="137"/>
      <c r="B10813" s="138"/>
      <c r="C10813" s="139"/>
      <c r="D10813" s="140"/>
      <c r="E10813" s="141"/>
      <c r="F10813" s="142"/>
      <c r="G10813" s="143"/>
      <c r="H10813" s="140"/>
      <c r="I10813" s="140"/>
    </row>
    <row r="10814" spans="1:9" s="90" customFormat="1" ht="12.75" customHeight="1" x14ac:dyDescent="0.2">
      <c r="A10814" s="137"/>
      <c r="B10814" s="138"/>
      <c r="C10814" s="139"/>
      <c r="D10814" s="140"/>
      <c r="E10814" s="141"/>
      <c r="F10814" s="142"/>
      <c r="G10814" s="143"/>
      <c r="H10814" s="140"/>
      <c r="I10814" s="140"/>
    </row>
    <row r="10815" spans="1:9" s="90" customFormat="1" ht="12.75" customHeight="1" x14ac:dyDescent="0.2">
      <c r="A10815" s="137"/>
      <c r="B10815" s="138"/>
      <c r="C10815" s="139"/>
      <c r="D10815" s="140"/>
      <c r="E10815" s="141"/>
      <c r="F10815" s="142"/>
      <c r="G10815" s="143"/>
      <c r="H10815" s="140"/>
      <c r="I10815" s="140"/>
    </row>
    <row r="10816" spans="1:9" s="90" customFormat="1" ht="12.75" customHeight="1" x14ac:dyDescent="0.2">
      <c r="A10816" s="137"/>
      <c r="B10816" s="138"/>
      <c r="C10816" s="139"/>
      <c r="D10816" s="140"/>
      <c r="E10816" s="141"/>
      <c r="F10816" s="142"/>
      <c r="G10816" s="143"/>
      <c r="H10816" s="140"/>
      <c r="I10816" s="140"/>
    </row>
    <row r="10817" spans="1:9" s="90" customFormat="1" ht="12.75" customHeight="1" x14ac:dyDescent="0.2">
      <c r="A10817" s="137"/>
      <c r="B10817" s="138"/>
      <c r="C10817" s="139"/>
      <c r="D10817" s="140"/>
      <c r="E10817" s="141"/>
      <c r="F10817" s="142"/>
      <c r="G10817" s="143"/>
      <c r="H10817" s="140"/>
      <c r="I10817" s="140"/>
    </row>
    <row r="10818" spans="1:9" s="90" customFormat="1" ht="12.75" customHeight="1" x14ac:dyDescent="0.2">
      <c r="A10818" s="137"/>
      <c r="B10818" s="138"/>
      <c r="C10818" s="139"/>
      <c r="D10818" s="140"/>
      <c r="E10818" s="141"/>
      <c r="F10818" s="142"/>
      <c r="G10818" s="143"/>
      <c r="H10818" s="140"/>
      <c r="I10818" s="140"/>
    </row>
    <row r="10819" spans="1:9" s="90" customFormat="1" ht="12.75" customHeight="1" x14ac:dyDescent="0.2">
      <c r="A10819" s="137"/>
      <c r="B10819" s="138"/>
      <c r="C10819" s="139"/>
      <c r="D10819" s="140"/>
      <c r="E10819" s="141"/>
      <c r="F10819" s="142"/>
      <c r="G10819" s="143"/>
      <c r="H10819" s="140"/>
      <c r="I10819" s="140"/>
    </row>
    <row r="10820" spans="1:9" s="90" customFormat="1" ht="12.75" customHeight="1" x14ac:dyDescent="0.2">
      <c r="A10820" s="137"/>
      <c r="B10820" s="138"/>
      <c r="C10820" s="139"/>
      <c r="D10820" s="140"/>
      <c r="E10820" s="141"/>
      <c r="F10820" s="142"/>
      <c r="G10820" s="143"/>
      <c r="H10820" s="140"/>
      <c r="I10820" s="140"/>
    </row>
    <row r="10821" spans="1:9" s="90" customFormat="1" ht="12.75" customHeight="1" x14ac:dyDescent="0.2">
      <c r="A10821" s="137"/>
      <c r="B10821" s="138"/>
      <c r="C10821" s="139"/>
      <c r="D10821" s="140"/>
      <c r="E10821" s="141"/>
      <c r="F10821" s="142"/>
      <c r="G10821" s="143"/>
      <c r="H10821" s="140"/>
      <c r="I10821" s="140"/>
    </row>
    <row r="10822" spans="1:9" s="90" customFormat="1" ht="12.75" customHeight="1" x14ac:dyDescent="0.2">
      <c r="A10822" s="137"/>
      <c r="B10822" s="138"/>
      <c r="C10822" s="139"/>
      <c r="D10822" s="140"/>
      <c r="E10822" s="141"/>
      <c r="F10822" s="142"/>
      <c r="G10822" s="143"/>
      <c r="H10822" s="140"/>
      <c r="I10822" s="140"/>
    </row>
    <row r="10823" spans="1:9" s="90" customFormat="1" ht="12.75" customHeight="1" x14ac:dyDescent="0.2">
      <c r="A10823" s="137"/>
      <c r="B10823" s="138"/>
      <c r="C10823" s="139"/>
      <c r="D10823" s="140"/>
      <c r="E10823" s="141"/>
      <c r="F10823" s="142"/>
      <c r="G10823" s="143"/>
      <c r="H10823" s="140"/>
      <c r="I10823" s="140"/>
    </row>
    <row r="10824" spans="1:9" s="90" customFormat="1" ht="12.75" customHeight="1" x14ac:dyDescent="0.2">
      <c r="A10824" s="137"/>
      <c r="B10824" s="138"/>
      <c r="C10824" s="139"/>
      <c r="D10824" s="140"/>
      <c r="E10824" s="141"/>
      <c r="F10824" s="142"/>
      <c r="G10824" s="143"/>
      <c r="H10824" s="140"/>
      <c r="I10824" s="140"/>
    </row>
    <row r="10825" spans="1:9" s="90" customFormat="1" ht="12.75" customHeight="1" x14ac:dyDescent="0.2">
      <c r="A10825" s="137"/>
      <c r="B10825" s="138"/>
      <c r="C10825" s="139"/>
      <c r="D10825" s="140"/>
      <c r="E10825" s="141"/>
      <c r="F10825" s="142"/>
      <c r="G10825" s="143"/>
      <c r="H10825" s="140"/>
      <c r="I10825" s="140"/>
    </row>
    <row r="10826" spans="1:9" s="90" customFormat="1" ht="12.75" customHeight="1" x14ac:dyDescent="0.2">
      <c r="A10826" s="137"/>
      <c r="B10826" s="138"/>
      <c r="C10826" s="139"/>
      <c r="D10826" s="140"/>
      <c r="E10826" s="141"/>
      <c r="F10826" s="142"/>
      <c r="G10826" s="143"/>
      <c r="H10826" s="140"/>
      <c r="I10826" s="140"/>
    </row>
    <row r="10827" spans="1:9" s="90" customFormat="1" ht="12.75" customHeight="1" x14ac:dyDescent="0.2">
      <c r="A10827" s="137"/>
      <c r="B10827" s="138"/>
      <c r="C10827" s="139"/>
      <c r="D10827" s="140"/>
      <c r="E10827" s="141"/>
      <c r="F10827" s="142"/>
      <c r="G10827" s="143"/>
      <c r="H10827" s="140"/>
      <c r="I10827" s="140"/>
    </row>
    <row r="10828" spans="1:9" s="90" customFormat="1" ht="12.75" customHeight="1" x14ac:dyDescent="0.2">
      <c r="A10828" s="137"/>
      <c r="B10828" s="138"/>
      <c r="C10828" s="139"/>
      <c r="D10828" s="140"/>
      <c r="E10828" s="141"/>
      <c r="F10828" s="142"/>
      <c r="G10828" s="143"/>
      <c r="H10828" s="140"/>
      <c r="I10828" s="140"/>
    </row>
    <row r="10829" spans="1:9" s="90" customFormat="1" ht="12.75" customHeight="1" x14ac:dyDescent="0.2">
      <c r="A10829" s="137"/>
      <c r="B10829" s="138"/>
      <c r="C10829" s="139"/>
      <c r="D10829" s="140"/>
      <c r="E10829" s="141"/>
      <c r="F10829" s="142"/>
      <c r="G10829" s="143"/>
      <c r="H10829" s="140"/>
      <c r="I10829" s="140"/>
    </row>
    <row r="10830" spans="1:9" s="90" customFormat="1" ht="12.75" customHeight="1" x14ac:dyDescent="0.2">
      <c r="A10830" s="137"/>
      <c r="B10830" s="138"/>
      <c r="C10830" s="139"/>
      <c r="D10830" s="140"/>
      <c r="E10830" s="141"/>
      <c r="F10830" s="142"/>
      <c r="G10830" s="143"/>
      <c r="H10830" s="140"/>
      <c r="I10830" s="140"/>
    </row>
    <row r="10831" spans="1:9" s="90" customFormat="1" ht="12.75" customHeight="1" x14ac:dyDescent="0.2">
      <c r="A10831" s="137"/>
      <c r="B10831" s="138"/>
      <c r="C10831" s="139"/>
      <c r="D10831" s="140"/>
      <c r="E10831" s="141"/>
      <c r="F10831" s="142"/>
      <c r="G10831" s="143"/>
      <c r="H10831" s="140"/>
      <c r="I10831" s="140"/>
    </row>
    <row r="10832" spans="1:9" s="90" customFormat="1" ht="12.75" customHeight="1" x14ac:dyDescent="0.2">
      <c r="A10832" s="137"/>
      <c r="B10832" s="138"/>
      <c r="C10832" s="139"/>
      <c r="D10832" s="140"/>
      <c r="E10832" s="141"/>
      <c r="F10832" s="142"/>
      <c r="G10832" s="143"/>
      <c r="H10832" s="140"/>
      <c r="I10832" s="140"/>
    </row>
    <row r="10833" spans="1:9" s="90" customFormat="1" ht="12.75" customHeight="1" x14ac:dyDescent="0.2">
      <c r="A10833" s="137"/>
      <c r="B10833" s="138"/>
      <c r="C10833" s="139"/>
      <c r="D10833" s="140"/>
      <c r="E10833" s="141"/>
      <c r="F10833" s="142"/>
      <c r="G10833" s="143"/>
      <c r="H10833" s="140"/>
      <c r="I10833" s="140"/>
    </row>
    <row r="10834" spans="1:9" s="90" customFormat="1" ht="12.75" customHeight="1" x14ac:dyDescent="0.2">
      <c r="A10834" s="137"/>
      <c r="B10834" s="138"/>
      <c r="C10834" s="139"/>
      <c r="D10834" s="140"/>
      <c r="E10834" s="141"/>
      <c r="F10834" s="142"/>
      <c r="G10834" s="143"/>
      <c r="H10834" s="140"/>
      <c r="I10834" s="140"/>
    </row>
    <row r="10835" spans="1:9" s="90" customFormat="1" ht="12.75" customHeight="1" x14ac:dyDescent="0.2">
      <c r="A10835" s="137"/>
      <c r="B10835" s="138"/>
      <c r="C10835" s="139"/>
      <c r="D10835" s="140"/>
      <c r="E10835" s="141"/>
      <c r="F10835" s="142"/>
      <c r="G10835" s="143"/>
      <c r="H10835" s="140"/>
      <c r="I10835" s="140"/>
    </row>
    <row r="10836" spans="1:9" s="90" customFormat="1" ht="12.75" customHeight="1" x14ac:dyDescent="0.2">
      <c r="A10836" s="137"/>
      <c r="B10836" s="138"/>
      <c r="C10836" s="139"/>
      <c r="D10836" s="140"/>
      <c r="E10836" s="141"/>
      <c r="F10836" s="142"/>
      <c r="G10836" s="143"/>
      <c r="H10836" s="140"/>
      <c r="I10836" s="140"/>
    </row>
    <row r="10837" spans="1:9" s="90" customFormat="1" ht="12.75" customHeight="1" x14ac:dyDescent="0.2">
      <c r="A10837" s="137"/>
      <c r="B10837" s="138"/>
      <c r="C10837" s="139"/>
      <c r="D10837" s="140"/>
      <c r="E10837" s="141"/>
      <c r="F10837" s="142"/>
      <c r="G10837" s="143"/>
      <c r="H10837" s="140"/>
      <c r="I10837" s="140"/>
    </row>
    <row r="10838" spans="1:9" s="90" customFormat="1" ht="12.75" customHeight="1" x14ac:dyDescent="0.2">
      <c r="A10838" s="137"/>
      <c r="B10838" s="138"/>
      <c r="C10838" s="139"/>
      <c r="D10838" s="140"/>
      <c r="E10838" s="141"/>
      <c r="F10838" s="142"/>
      <c r="G10838" s="143"/>
      <c r="H10838" s="140"/>
      <c r="I10838" s="140"/>
    </row>
    <row r="10839" spans="1:9" s="90" customFormat="1" ht="12.75" customHeight="1" x14ac:dyDescent="0.2">
      <c r="A10839" s="137"/>
      <c r="B10839" s="138"/>
      <c r="C10839" s="139"/>
      <c r="D10839" s="140"/>
      <c r="E10839" s="141"/>
      <c r="F10839" s="142"/>
      <c r="G10839" s="143"/>
      <c r="H10839" s="140"/>
      <c r="I10839" s="140"/>
    </row>
    <row r="10840" spans="1:9" s="90" customFormat="1" ht="12.75" customHeight="1" x14ac:dyDescent="0.2">
      <c r="A10840" s="137"/>
      <c r="B10840" s="138"/>
      <c r="C10840" s="139"/>
      <c r="D10840" s="140"/>
      <c r="E10840" s="141"/>
      <c r="F10840" s="142"/>
      <c r="G10840" s="143"/>
      <c r="H10840" s="140"/>
      <c r="I10840" s="140"/>
    </row>
    <row r="10841" spans="1:9" s="90" customFormat="1" ht="12.75" customHeight="1" x14ac:dyDescent="0.2">
      <c r="A10841" s="137"/>
      <c r="B10841" s="138"/>
      <c r="C10841" s="139"/>
      <c r="D10841" s="140"/>
      <c r="E10841" s="141"/>
      <c r="F10841" s="142"/>
      <c r="G10841" s="143"/>
      <c r="H10841" s="140"/>
      <c r="I10841" s="140"/>
    </row>
    <row r="10842" spans="1:9" s="90" customFormat="1" ht="12.75" customHeight="1" x14ac:dyDescent="0.2">
      <c r="A10842" s="137"/>
      <c r="B10842" s="138"/>
      <c r="C10842" s="139"/>
      <c r="D10842" s="140"/>
      <c r="E10842" s="141"/>
      <c r="F10842" s="142"/>
      <c r="G10842" s="143"/>
      <c r="H10842" s="140"/>
      <c r="I10842" s="140"/>
    </row>
    <row r="10843" spans="1:9" s="90" customFormat="1" ht="12.75" customHeight="1" x14ac:dyDescent="0.2">
      <c r="A10843" s="137"/>
      <c r="B10843" s="138"/>
      <c r="C10843" s="139"/>
      <c r="D10843" s="140"/>
      <c r="E10843" s="141"/>
      <c r="F10843" s="142"/>
      <c r="G10843" s="143"/>
      <c r="H10843" s="140"/>
      <c r="I10843" s="140"/>
    </row>
    <row r="10844" spans="1:9" s="90" customFormat="1" ht="12.75" customHeight="1" x14ac:dyDescent="0.2">
      <c r="A10844" s="137"/>
      <c r="B10844" s="138"/>
      <c r="C10844" s="139"/>
      <c r="D10844" s="140"/>
      <c r="E10844" s="141"/>
      <c r="F10844" s="142"/>
      <c r="G10844" s="143"/>
      <c r="H10844" s="140"/>
      <c r="I10844" s="140"/>
    </row>
    <row r="10845" spans="1:9" s="90" customFormat="1" ht="12.75" customHeight="1" x14ac:dyDescent="0.2">
      <c r="A10845" s="137"/>
      <c r="B10845" s="138"/>
      <c r="C10845" s="139"/>
      <c r="D10845" s="140"/>
      <c r="E10845" s="141"/>
      <c r="F10845" s="142"/>
      <c r="G10845" s="143"/>
      <c r="H10845" s="140"/>
      <c r="I10845" s="140"/>
    </row>
    <row r="10846" spans="1:9" s="90" customFormat="1" ht="12.75" customHeight="1" x14ac:dyDescent="0.2">
      <c r="A10846" s="137"/>
      <c r="B10846" s="138"/>
      <c r="C10846" s="139"/>
      <c r="D10846" s="140"/>
      <c r="E10846" s="141"/>
      <c r="F10846" s="142"/>
      <c r="G10846" s="143"/>
      <c r="H10846" s="140"/>
      <c r="I10846" s="140"/>
    </row>
    <row r="10847" spans="1:9" s="90" customFormat="1" ht="12.75" customHeight="1" x14ac:dyDescent="0.2">
      <c r="A10847" s="137"/>
      <c r="B10847" s="138"/>
      <c r="C10847" s="139"/>
      <c r="D10847" s="140"/>
      <c r="E10847" s="141"/>
      <c r="F10847" s="142"/>
      <c r="G10847" s="143"/>
      <c r="H10847" s="140"/>
      <c r="I10847" s="140"/>
    </row>
    <row r="10848" spans="1:9" s="90" customFormat="1" ht="12.75" customHeight="1" x14ac:dyDescent="0.2">
      <c r="A10848" s="137"/>
      <c r="B10848" s="138"/>
      <c r="C10848" s="139"/>
      <c r="D10848" s="140"/>
      <c r="E10848" s="141"/>
      <c r="F10848" s="142"/>
      <c r="G10848" s="143"/>
      <c r="H10848" s="140"/>
      <c r="I10848" s="140"/>
    </row>
    <row r="10849" spans="1:9" s="90" customFormat="1" ht="12.75" customHeight="1" x14ac:dyDescent="0.2">
      <c r="A10849" s="137"/>
      <c r="B10849" s="138"/>
      <c r="C10849" s="139"/>
      <c r="D10849" s="140"/>
      <c r="E10849" s="141"/>
      <c r="F10849" s="142"/>
      <c r="G10849" s="143"/>
      <c r="H10849" s="140"/>
      <c r="I10849" s="140"/>
    </row>
    <row r="10850" spans="1:9" s="90" customFormat="1" ht="12.75" customHeight="1" x14ac:dyDescent="0.2">
      <c r="A10850" s="137"/>
      <c r="B10850" s="138"/>
      <c r="C10850" s="139"/>
      <c r="D10850" s="140"/>
      <c r="E10850" s="141"/>
      <c r="F10850" s="142"/>
      <c r="G10850" s="143"/>
      <c r="H10850" s="140"/>
      <c r="I10850" s="140"/>
    </row>
    <row r="10851" spans="1:9" s="90" customFormat="1" ht="12.75" customHeight="1" x14ac:dyDescent="0.2">
      <c r="A10851" s="137"/>
      <c r="B10851" s="138"/>
      <c r="C10851" s="139"/>
      <c r="D10851" s="140"/>
      <c r="E10851" s="141"/>
      <c r="F10851" s="142"/>
      <c r="G10851" s="143"/>
      <c r="H10851" s="140"/>
      <c r="I10851" s="140"/>
    </row>
    <row r="10852" spans="1:9" s="90" customFormat="1" ht="12.75" customHeight="1" x14ac:dyDescent="0.2">
      <c r="A10852" s="137"/>
      <c r="B10852" s="138"/>
      <c r="C10852" s="139"/>
      <c r="D10852" s="140"/>
      <c r="E10852" s="141"/>
      <c r="F10852" s="142"/>
      <c r="G10852" s="143"/>
      <c r="H10852" s="140"/>
      <c r="I10852" s="140"/>
    </row>
    <row r="10853" spans="1:9" s="90" customFormat="1" ht="12.75" customHeight="1" x14ac:dyDescent="0.2">
      <c r="A10853" s="137"/>
      <c r="B10853" s="138"/>
      <c r="C10853" s="139"/>
      <c r="D10853" s="140"/>
      <c r="E10853" s="141"/>
      <c r="F10853" s="142"/>
      <c r="G10853" s="143"/>
      <c r="H10853" s="140"/>
      <c r="I10853" s="140"/>
    </row>
    <row r="10854" spans="1:9" s="90" customFormat="1" ht="12.75" customHeight="1" x14ac:dyDescent="0.2">
      <c r="A10854" s="137"/>
      <c r="B10854" s="138"/>
      <c r="C10854" s="139"/>
      <c r="D10854" s="140"/>
      <c r="E10854" s="141"/>
      <c r="F10854" s="142"/>
      <c r="G10854" s="143"/>
      <c r="H10854" s="140"/>
      <c r="I10854" s="140"/>
    </row>
    <row r="10855" spans="1:9" s="90" customFormat="1" ht="12.75" customHeight="1" x14ac:dyDescent="0.2">
      <c r="A10855" s="137"/>
      <c r="B10855" s="138"/>
      <c r="C10855" s="139"/>
      <c r="D10855" s="140"/>
      <c r="E10855" s="141"/>
      <c r="F10855" s="142"/>
      <c r="G10855" s="143"/>
      <c r="H10855" s="140"/>
      <c r="I10855" s="140"/>
    </row>
    <row r="10856" spans="1:9" s="90" customFormat="1" ht="12.75" customHeight="1" x14ac:dyDescent="0.2">
      <c r="A10856" s="137"/>
      <c r="B10856" s="138"/>
      <c r="C10856" s="139"/>
      <c r="D10856" s="140"/>
      <c r="E10856" s="141"/>
      <c r="F10856" s="142"/>
      <c r="G10856" s="143"/>
      <c r="H10856" s="140"/>
      <c r="I10856" s="140"/>
    </row>
    <row r="10857" spans="1:9" s="90" customFormat="1" ht="12.75" customHeight="1" x14ac:dyDescent="0.2">
      <c r="A10857" s="137"/>
      <c r="B10857" s="138"/>
      <c r="C10857" s="139"/>
      <c r="D10857" s="140"/>
      <c r="E10857" s="141"/>
      <c r="F10857" s="142"/>
      <c r="G10857" s="143"/>
      <c r="H10857" s="140"/>
      <c r="I10857" s="140"/>
    </row>
    <row r="10858" spans="1:9" s="90" customFormat="1" ht="12.75" customHeight="1" x14ac:dyDescent="0.2">
      <c r="A10858" s="137"/>
      <c r="B10858" s="138"/>
      <c r="C10858" s="139"/>
      <c r="D10858" s="140"/>
      <c r="E10858" s="141"/>
      <c r="F10858" s="142"/>
      <c r="G10858" s="143"/>
      <c r="H10858" s="140"/>
      <c r="I10858" s="140"/>
    </row>
    <row r="10859" spans="1:9" s="90" customFormat="1" ht="12.75" customHeight="1" x14ac:dyDescent="0.2">
      <c r="A10859" s="137"/>
      <c r="B10859" s="138"/>
      <c r="C10859" s="139"/>
      <c r="D10859" s="140"/>
      <c r="E10859" s="141"/>
      <c r="F10859" s="142"/>
      <c r="G10859" s="143"/>
      <c r="H10859" s="140"/>
      <c r="I10859" s="140"/>
    </row>
    <row r="10860" spans="1:9" s="90" customFormat="1" ht="12.75" customHeight="1" x14ac:dyDescent="0.2">
      <c r="A10860" s="137"/>
      <c r="B10860" s="138"/>
      <c r="C10860" s="139"/>
      <c r="D10860" s="140"/>
      <c r="E10860" s="141"/>
      <c r="F10860" s="142"/>
      <c r="G10860" s="143"/>
      <c r="H10860" s="140"/>
      <c r="I10860" s="140"/>
    </row>
    <row r="10861" spans="1:9" s="90" customFormat="1" ht="12.75" customHeight="1" x14ac:dyDescent="0.2">
      <c r="A10861" s="137"/>
      <c r="B10861" s="138"/>
      <c r="C10861" s="139"/>
      <c r="D10861" s="140"/>
      <c r="E10861" s="141"/>
      <c r="F10861" s="142"/>
      <c r="G10861" s="143"/>
      <c r="H10861" s="140"/>
      <c r="I10861" s="140"/>
    </row>
    <row r="10862" spans="1:9" s="90" customFormat="1" ht="12.75" customHeight="1" x14ac:dyDescent="0.2">
      <c r="A10862" s="137"/>
      <c r="B10862" s="138"/>
      <c r="C10862" s="139"/>
      <c r="D10862" s="140"/>
      <c r="E10862" s="141"/>
      <c r="F10862" s="142"/>
      <c r="G10862" s="143"/>
      <c r="H10862" s="140"/>
      <c r="I10862" s="140"/>
    </row>
    <row r="10863" spans="1:9" s="90" customFormat="1" ht="12.75" customHeight="1" x14ac:dyDescent="0.2">
      <c r="A10863" s="137"/>
      <c r="B10863" s="138"/>
      <c r="C10863" s="139"/>
      <c r="D10863" s="140"/>
      <c r="E10863" s="141"/>
      <c r="F10863" s="142"/>
      <c r="G10863" s="143"/>
      <c r="H10863" s="140"/>
      <c r="I10863" s="140"/>
    </row>
    <row r="10864" spans="1:9" s="90" customFormat="1" ht="12.75" customHeight="1" x14ac:dyDescent="0.2">
      <c r="A10864" s="137"/>
      <c r="B10864" s="138"/>
      <c r="C10864" s="139"/>
      <c r="D10864" s="140"/>
      <c r="E10864" s="141"/>
      <c r="F10864" s="142"/>
      <c r="G10864" s="143"/>
      <c r="H10864" s="140"/>
      <c r="I10864" s="140"/>
    </row>
    <row r="10865" spans="1:9" s="90" customFormat="1" ht="12.75" customHeight="1" x14ac:dyDescent="0.2">
      <c r="A10865" s="137"/>
      <c r="B10865" s="138"/>
      <c r="C10865" s="139"/>
      <c r="D10865" s="140"/>
      <c r="E10865" s="141"/>
      <c r="F10865" s="142"/>
      <c r="G10865" s="143"/>
      <c r="H10865" s="140"/>
      <c r="I10865" s="140"/>
    </row>
    <row r="10866" spans="1:9" s="90" customFormat="1" ht="12.75" customHeight="1" x14ac:dyDescent="0.2">
      <c r="A10866" s="137"/>
      <c r="B10866" s="138"/>
      <c r="C10866" s="139"/>
      <c r="D10866" s="140"/>
      <c r="E10866" s="141"/>
      <c r="F10866" s="142"/>
      <c r="G10866" s="143"/>
      <c r="H10866" s="140"/>
      <c r="I10866" s="140"/>
    </row>
    <row r="10867" spans="1:9" s="90" customFormat="1" ht="12.75" customHeight="1" x14ac:dyDescent="0.2">
      <c r="A10867" s="137"/>
      <c r="B10867" s="138"/>
      <c r="C10867" s="139"/>
      <c r="D10867" s="140"/>
      <c r="E10867" s="141"/>
      <c r="F10867" s="142"/>
      <c r="G10867" s="143"/>
      <c r="H10867" s="140"/>
      <c r="I10867" s="140"/>
    </row>
    <row r="10868" spans="1:9" s="90" customFormat="1" ht="12.75" customHeight="1" x14ac:dyDescent="0.2">
      <c r="A10868" s="137"/>
      <c r="B10868" s="138"/>
      <c r="C10868" s="139"/>
      <c r="D10868" s="140"/>
      <c r="E10868" s="141"/>
      <c r="F10868" s="142"/>
      <c r="G10868" s="143"/>
      <c r="H10868" s="140"/>
      <c r="I10868" s="140"/>
    </row>
    <row r="10869" spans="1:9" s="90" customFormat="1" ht="12.75" customHeight="1" x14ac:dyDescent="0.2">
      <c r="A10869" s="137"/>
      <c r="B10869" s="138"/>
      <c r="C10869" s="139"/>
      <c r="D10869" s="140"/>
      <c r="E10869" s="141"/>
      <c r="F10869" s="142"/>
      <c r="G10869" s="143"/>
      <c r="H10869" s="140"/>
      <c r="I10869" s="140"/>
    </row>
    <row r="10870" spans="1:9" s="90" customFormat="1" ht="12.75" customHeight="1" x14ac:dyDescent="0.2">
      <c r="A10870" s="137"/>
      <c r="B10870" s="138"/>
      <c r="C10870" s="139"/>
      <c r="D10870" s="140"/>
      <c r="E10870" s="141"/>
      <c r="F10870" s="142"/>
      <c r="G10870" s="143"/>
      <c r="H10870" s="140"/>
      <c r="I10870" s="140"/>
    </row>
    <row r="10871" spans="1:9" s="90" customFormat="1" ht="12.75" customHeight="1" x14ac:dyDescent="0.2">
      <c r="A10871" s="137"/>
      <c r="B10871" s="138"/>
      <c r="C10871" s="139"/>
      <c r="D10871" s="140"/>
      <c r="E10871" s="141"/>
      <c r="F10871" s="142"/>
      <c r="G10871" s="143"/>
      <c r="H10871" s="140"/>
      <c r="I10871" s="140"/>
    </row>
    <row r="10872" spans="1:9" s="90" customFormat="1" ht="12.75" customHeight="1" x14ac:dyDescent="0.2">
      <c r="A10872" s="137"/>
      <c r="B10872" s="138"/>
      <c r="C10872" s="139"/>
      <c r="D10872" s="140"/>
      <c r="E10872" s="141"/>
      <c r="F10872" s="142"/>
      <c r="G10872" s="143"/>
      <c r="H10872" s="140"/>
      <c r="I10872" s="140"/>
    </row>
    <row r="10873" spans="1:9" s="90" customFormat="1" ht="12.75" customHeight="1" x14ac:dyDescent="0.2">
      <c r="A10873" s="137"/>
      <c r="B10873" s="138"/>
      <c r="C10873" s="139"/>
      <c r="D10873" s="140"/>
      <c r="E10873" s="141"/>
      <c r="F10873" s="142"/>
      <c r="G10873" s="143"/>
      <c r="H10873" s="140"/>
      <c r="I10873" s="140"/>
    </row>
    <row r="10874" spans="1:9" s="90" customFormat="1" ht="12.75" customHeight="1" x14ac:dyDescent="0.2">
      <c r="A10874" s="137"/>
      <c r="B10874" s="138"/>
      <c r="C10874" s="139"/>
      <c r="D10874" s="140"/>
      <c r="E10874" s="141"/>
      <c r="F10874" s="142"/>
      <c r="G10874" s="143"/>
      <c r="H10874" s="140"/>
      <c r="I10874" s="140"/>
    </row>
    <row r="10875" spans="1:9" s="90" customFormat="1" ht="12.75" customHeight="1" x14ac:dyDescent="0.2">
      <c r="A10875" s="137"/>
      <c r="B10875" s="138"/>
      <c r="C10875" s="139"/>
      <c r="D10875" s="140"/>
      <c r="E10875" s="141"/>
      <c r="F10875" s="142"/>
      <c r="G10875" s="143"/>
      <c r="H10875" s="140"/>
      <c r="I10875" s="140"/>
    </row>
    <row r="10876" spans="1:9" s="90" customFormat="1" ht="12.75" customHeight="1" x14ac:dyDescent="0.2">
      <c r="A10876" s="137"/>
      <c r="B10876" s="138"/>
      <c r="C10876" s="139"/>
      <c r="D10876" s="140"/>
      <c r="E10876" s="141"/>
      <c r="F10876" s="142"/>
      <c r="G10876" s="143"/>
      <c r="H10876" s="140"/>
      <c r="I10876" s="140"/>
    </row>
    <row r="10877" spans="1:9" s="90" customFormat="1" ht="12.75" customHeight="1" x14ac:dyDescent="0.2">
      <c r="A10877" s="137"/>
      <c r="B10877" s="138"/>
      <c r="C10877" s="139"/>
      <c r="D10877" s="140"/>
      <c r="E10877" s="141"/>
      <c r="F10877" s="142"/>
      <c r="G10877" s="143"/>
      <c r="H10877" s="140"/>
      <c r="I10877" s="140"/>
    </row>
    <row r="10878" spans="1:9" s="90" customFormat="1" ht="12.75" customHeight="1" x14ac:dyDescent="0.2">
      <c r="A10878" s="137"/>
      <c r="B10878" s="138"/>
      <c r="C10878" s="139"/>
      <c r="D10878" s="140"/>
      <c r="E10878" s="141"/>
      <c r="F10878" s="142"/>
      <c r="G10878" s="143"/>
      <c r="H10878" s="140"/>
      <c r="I10878" s="140"/>
    </row>
    <row r="10879" spans="1:9" s="90" customFormat="1" ht="12.75" customHeight="1" x14ac:dyDescent="0.2">
      <c r="A10879" s="137"/>
      <c r="B10879" s="138"/>
      <c r="C10879" s="139"/>
      <c r="D10879" s="140"/>
      <c r="E10879" s="141"/>
      <c r="F10879" s="142"/>
      <c r="G10879" s="143"/>
      <c r="H10879" s="140"/>
      <c r="I10879" s="140"/>
    </row>
    <row r="10880" spans="1:9" s="90" customFormat="1" ht="12.75" customHeight="1" x14ac:dyDescent="0.2">
      <c r="A10880" s="137"/>
      <c r="B10880" s="138"/>
      <c r="C10880" s="139"/>
      <c r="D10880" s="140"/>
      <c r="E10880" s="141"/>
      <c r="F10880" s="142"/>
      <c r="G10880" s="143"/>
      <c r="H10880" s="140"/>
      <c r="I10880" s="140"/>
    </row>
    <row r="10881" spans="1:9" s="90" customFormat="1" ht="12.75" customHeight="1" x14ac:dyDescent="0.2">
      <c r="A10881" s="137"/>
      <c r="B10881" s="138"/>
      <c r="C10881" s="139"/>
      <c r="D10881" s="140"/>
      <c r="E10881" s="141"/>
      <c r="F10881" s="142"/>
      <c r="G10881" s="143"/>
      <c r="H10881" s="140"/>
      <c r="I10881" s="140"/>
    </row>
    <row r="10882" spans="1:9" s="90" customFormat="1" ht="12.75" customHeight="1" x14ac:dyDescent="0.2">
      <c r="A10882" s="137"/>
      <c r="B10882" s="138"/>
      <c r="C10882" s="139"/>
      <c r="D10882" s="140"/>
      <c r="E10882" s="141"/>
      <c r="F10882" s="142"/>
      <c r="G10882" s="143"/>
      <c r="H10882" s="140"/>
      <c r="I10882" s="140"/>
    </row>
    <row r="10883" spans="1:9" s="90" customFormat="1" ht="12.75" customHeight="1" x14ac:dyDescent="0.2">
      <c r="A10883" s="137"/>
      <c r="B10883" s="138"/>
      <c r="C10883" s="139"/>
      <c r="D10883" s="140"/>
      <c r="E10883" s="141"/>
      <c r="F10883" s="142"/>
      <c r="G10883" s="143"/>
      <c r="H10883" s="140"/>
      <c r="I10883" s="140"/>
    </row>
    <row r="10884" spans="1:9" s="90" customFormat="1" ht="12.75" customHeight="1" x14ac:dyDescent="0.2">
      <c r="A10884" s="137"/>
      <c r="B10884" s="138"/>
      <c r="C10884" s="139"/>
      <c r="D10884" s="140"/>
      <c r="E10884" s="141"/>
      <c r="F10884" s="142"/>
      <c r="G10884" s="143"/>
      <c r="H10884" s="140"/>
      <c r="I10884" s="140"/>
    </row>
    <row r="10885" spans="1:9" s="90" customFormat="1" ht="12.75" customHeight="1" x14ac:dyDescent="0.2">
      <c r="A10885" s="137"/>
      <c r="B10885" s="138"/>
      <c r="C10885" s="139"/>
      <c r="D10885" s="140"/>
      <c r="E10885" s="141"/>
      <c r="F10885" s="142"/>
      <c r="G10885" s="143"/>
      <c r="H10885" s="140"/>
      <c r="I10885" s="140"/>
    </row>
    <row r="10886" spans="1:9" s="90" customFormat="1" ht="12.75" customHeight="1" x14ac:dyDescent="0.2">
      <c r="A10886" s="137"/>
      <c r="B10886" s="138"/>
      <c r="C10886" s="139"/>
      <c r="D10886" s="140"/>
      <c r="E10886" s="141"/>
      <c r="F10886" s="142"/>
      <c r="G10886" s="143"/>
      <c r="H10886" s="140"/>
      <c r="I10886" s="140"/>
    </row>
    <row r="10887" spans="1:9" s="90" customFormat="1" ht="12.75" customHeight="1" x14ac:dyDescent="0.2">
      <c r="A10887" s="137"/>
      <c r="B10887" s="138"/>
      <c r="C10887" s="139"/>
      <c r="D10887" s="140"/>
      <c r="E10887" s="141"/>
      <c r="F10887" s="142"/>
      <c r="G10887" s="143"/>
      <c r="H10887" s="140"/>
      <c r="I10887" s="140"/>
    </row>
    <row r="10888" spans="1:9" s="90" customFormat="1" ht="12.75" customHeight="1" x14ac:dyDescent="0.2">
      <c r="A10888" s="137"/>
      <c r="B10888" s="138"/>
      <c r="C10888" s="139"/>
      <c r="D10888" s="140"/>
      <c r="E10888" s="141"/>
      <c r="F10888" s="142"/>
      <c r="G10888" s="143"/>
      <c r="H10888" s="140"/>
      <c r="I10888" s="140"/>
    </row>
    <row r="10889" spans="1:9" s="90" customFormat="1" ht="12.75" customHeight="1" x14ac:dyDescent="0.2">
      <c r="A10889" s="137"/>
      <c r="B10889" s="138"/>
      <c r="C10889" s="139"/>
      <c r="D10889" s="140"/>
      <c r="E10889" s="141"/>
      <c r="F10889" s="142"/>
      <c r="G10889" s="143"/>
      <c r="H10889" s="140"/>
      <c r="I10889" s="140"/>
    </row>
    <row r="10890" spans="1:9" s="90" customFormat="1" ht="12.75" customHeight="1" x14ac:dyDescent="0.2">
      <c r="A10890" s="137"/>
      <c r="B10890" s="138"/>
      <c r="C10890" s="139"/>
      <c r="D10890" s="140"/>
      <c r="E10890" s="141"/>
      <c r="F10890" s="142"/>
      <c r="G10890" s="143"/>
      <c r="H10890" s="140"/>
      <c r="I10890" s="140"/>
    </row>
    <row r="10891" spans="1:9" s="90" customFormat="1" ht="12.75" customHeight="1" x14ac:dyDescent="0.2">
      <c r="A10891" s="137"/>
      <c r="B10891" s="138"/>
      <c r="C10891" s="139"/>
      <c r="D10891" s="140"/>
      <c r="E10891" s="141"/>
      <c r="F10891" s="142"/>
      <c r="G10891" s="143"/>
      <c r="H10891" s="140"/>
      <c r="I10891" s="140"/>
    </row>
    <row r="10892" spans="1:9" s="90" customFormat="1" ht="12.75" customHeight="1" x14ac:dyDescent="0.2">
      <c r="A10892" s="137"/>
      <c r="B10892" s="138"/>
      <c r="C10892" s="139"/>
      <c r="D10892" s="140"/>
      <c r="E10892" s="141"/>
      <c r="F10892" s="142"/>
      <c r="G10892" s="143"/>
      <c r="H10892" s="140"/>
      <c r="I10892" s="140"/>
    </row>
    <row r="10893" spans="1:9" s="90" customFormat="1" ht="12.75" customHeight="1" x14ac:dyDescent="0.2">
      <c r="A10893" s="137"/>
      <c r="B10893" s="138"/>
      <c r="C10893" s="139"/>
      <c r="D10893" s="140"/>
      <c r="E10893" s="141"/>
      <c r="F10893" s="142"/>
      <c r="G10893" s="143"/>
      <c r="H10893" s="140"/>
      <c r="I10893" s="140"/>
    </row>
    <row r="10894" spans="1:9" s="90" customFormat="1" ht="12.75" customHeight="1" x14ac:dyDescent="0.2">
      <c r="A10894" s="137"/>
      <c r="B10894" s="138"/>
      <c r="C10894" s="139"/>
      <c r="D10894" s="140"/>
      <c r="E10894" s="141"/>
      <c r="F10894" s="142"/>
      <c r="G10894" s="143"/>
      <c r="H10894" s="140"/>
      <c r="I10894" s="140"/>
    </row>
    <row r="10895" spans="1:9" s="90" customFormat="1" ht="12.75" customHeight="1" x14ac:dyDescent="0.2">
      <c r="A10895" s="137"/>
      <c r="B10895" s="138"/>
      <c r="C10895" s="139"/>
      <c r="D10895" s="140"/>
      <c r="E10895" s="141"/>
      <c r="F10895" s="142"/>
      <c r="G10895" s="143"/>
      <c r="H10895" s="140"/>
      <c r="I10895" s="140"/>
    </row>
    <row r="10896" spans="1:9" s="90" customFormat="1" ht="12.75" customHeight="1" x14ac:dyDescent="0.2">
      <c r="A10896" s="137"/>
      <c r="B10896" s="138"/>
      <c r="C10896" s="139"/>
      <c r="D10896" s="140"/>
      <c r="E10896" s="141"/>
      <c r="F10896" s="142"/>
      <c r="G10896" s="143"/>
      <c r="H10896" s="140"/>
      <c r="I10896" s="140"/>
    </row>
    <row r="10897" spans="1:9" s="90" customFormat="1" ht="12.75" customHeight="1" x14ac:dyDescent="0.2">
      <c r="A10897" s="137"/>
      <c r="B10897" s="138"/>
      <c r="C10897" s="139"/>
      <c r="D10897" s="140"/>
      <c r="E10897" s="141"/>
      <c r="F10897" s="142"/>
      <c r="G10897" s="143"/>
      <c r="H10897" s="140"/>
      <c r="I10897" s="140"/>
    </row>
    <row r="10898" spans="1:9" s="90" customFormat="1" ht="12.75" customHeight="1" x14ac:dyDescent="0.2">
      <c r="A10898" s="137"/>
      <c r="B10898" s="138"/>
      <c r="C10898" s="139"/>
      <c r="D10898" s="140"/>
      <c r="E10898" s="141"/>
      <c r="F10898" s="142"/>
      <c r="G10898" s="143"/>
      <c r="H10898" s="140"/>
      <c r="I10898" s="140"/>
    </row>
    <row r="10899" spans="1:9" s="90" customFormat="1" ht="12.75" customHeight="1" x14ac:dyDescent="0.2">
      <c r="A10899" s="137"/>
      <c r="B10899" s="138"/>
      <c r="C10899" s="139"/>
      <c r="D10899" s="140"/>
      <c r="E10899" s="141"/>
      <c r="F10899" s="142"/>
      <c r="G10899" s="143"/>
      <c r="H10899" s="140"/>
      <c r="I10899" s="140"/>
    </row>
    <row r="10900" spans="1:9" s="90" customFormat="1" ht="12.75" customHeight="1" x14ac:dyDescent="0.2">
      <c r="A10900" s="137"/>
      <c r="B10900" s="138"/>
      <c r="C10900" s="139"/>
      <c r="D10900" s="140"/>
      <c r="E10900" s="141"/>
      <c r="F10900" s="142"/>
      <c r="G10900" s="143"/>
      <c r="H10900" s="140"/>
      <c r="I10900" s="140"/>
    </row>
    <row r="10901" spans="1:9" s="90" customFormat="1" ht="12.75" customHeight="1" x14ac:dyDescent="0.2">
      <c r="A10901" s="137"/>
      <c r="B10901" s="138"/>
      <c r="C10901" s="139"/>
      <c r="D10901" s="140"/>
      <c r="E10901" s="141"/>
      <c r="F10901" s="142"/>
      <c r="G10901" s="143"/>
      <c r="H10901" s="140"/>
      <c r="I10901" s="140"/>
    </row>
    <row r="10902" spans="1:9" s="90" customFormat="1" ht="12.75" customHeight="1" x14ac:dyDescent="0.2">
      <c r="A10902" s="137"/>
      <c r="B10902" s="138"/>
      <c r="C10902" s="139"/>
      <c r="D10902" s="140"/>
      <c r="E10902" s="141"/>
      <c r="F10902" s="142"/>
      <c r="G10902" s="143"/>
      <c r="H10902" s="140"/>
      <c r="I10902" s="140"/>
    </row>
    <row r="10903" spans="1:9" s="90" customFormat="1" ht="12.75" customHeight="1" x14ac:dyDescent="0.2">
      <c r="A10903" s="137"/>
      <c r="B10903" s="138"/>
      <c r="C10903" s="139"/>
      <c r="D10903" s="140"/>
      <c r="E10903" s="141"/>
      <c r="F10903" s="142"/>
      <c r="G10903" s="143"/>
      <c r="H10903" s="140"/>
      <c r="I10903" s="140"/>
    </row>
    <row r="10904" spans="1:9" s="90" customFormat="1" ht="12.75" customHeight="1" x14ac:dyDescent="0.2">
      <c r="A10904" s="137"/>
      <c r="B10904" s="138"/>
      <c r="C10904" s="139"/>
      <c r="D10904" s="140"/>
      <c r="E10904" s="141"/>
      <c r="F10904" s="142"/>
      <c r="G10904" s="143"/>
      <c r="H10904" s="140"/>
      <c r="I10904" s="140"/>
    </row>
    <row r="10905" spans="1:9" s="90" customFormat="1" ht="12.75" customHeight="1" x14ac:dyDescent="0.2">
      <c r="A10905" s="137"/>
      <c r="B10905" s="138"/>
      <c r="C10905" s="139"/>
      <c r="D10905" s="140"/>
      <c r="E10905" s="141"/>
      <c r="F10905" s="142"/>
      <c r="G10905" s="143"/>
      <c r="H10905" s="140"/>
      <c r="I10905" s="140"/>
    </row>
    <row r="10906" spans="1:9" s="90" customFormat="1" ht="12.75" customHeight="1" x14ac:dyDescent="0.2">
      <c r="A10906" s="137"/>
      <c r="B10906" s="138"/>
      <c r="C10906" s="139"/>
      <c r="D10906" s="140"/>
      <c r="E10906" s="141"/>
      <c r="F10906" s="142"/>
      <c r="G10906" s="143"/>
      <c r="H10906" s="140"/>
      <c r="I10906" s="140"/>
    </row>
    <row r="10907" spans="1:9" s="90" customFormat="1" ht="12.75" customHeight="1" x14ac:dyDescent="0.2">
      <c r="A10907" s="137"/>
      <c r="B10907" s="138"/>
      <c r="C10907" s="139"/>
      <c r="D10907" s="140"/>
      <c r="E10907" s="141"/>
      <c r="F10907" s="142"/>
      <c r="G10907" s="143"/>
      <c r="H10907" s="140"/>
      <c r="I10907" s="140"/>
    </row>
    <row r="10908" spans="1:9" s="90" customFormat="1" ht="12.75" customHeight="1" x14ac:dyDescent="0.2">
      <c r="A10908" s="137"/>
      <c r="B10908" s="138"/>
      <c r="C10908" s="139"/>
      <c r="D10908" s="140"/>
      <c r="E10908" s="141"/>
      <c r="F10908" s="142"/>
      <c r="G10908" s="143"/>
      <c r="H10908" s="140"/>
      <c r="I10908" s="140"/>
    </row>
    <row r="10909" spans="1:9" s="90" customFormat="1" ht="12.75" customHeight="1" x14ac:dyDescent="0.2">
      <c r="A10909" s="137"/>
      <c r="B10909" s="138"/>
      <c r="C10909" s="139"/>
      <c r="D10909" s="140"/>
      <c r="E10909" s="141"/>
      <c r="F10909" s="142"/>
      <c r="G10909" s="143"/>
      <c r="H10909" s="140"/>
      <c r="I10909" s="140"/>
    </row>
    <row r="10910" spans="1:9" s="90" customFormat="1" ht="12.75" customHeight="1" x14ac:dyDescent="0.2">
      <c r="A10910" s="137"/>
      <c r="B10910" s="138"/>
      <c r="C10910" s="139"/>
      <c r="D10910" s="140"/>
      <c r="E10910" s="141"/>
      <c r="F10910" s="142"/>
      <c r="G10910" s="143"/>
      <c r="H10910" s="140"/>
      <c r="I10910" s="140"/>
    </row>
    <row r="10911" spans="1:9" s="90" customFormat="1" ht="12.75" customHeight="1" x14ac:dyDescent="0.2">
      <c r="A10911" s="137"/>
      <c r="B10911" s="138"/>
      <c r="C10911" s="139"/>
      <c r="D10911" s="140"/>
      <c r="E10911" s="141"/>
      <c r="F10911" s="142"/>
      <c r="G10911" s="143"/>
      <c r="H10911" s="140"/>
      <c r="I10911" s="140"/>
    </row>
    <row r="10912" spans="1:9" s="90" customFormat="1" ht="12.75" customHeight="1" x14ac:dyDescent="0.2">
      <c r="A10912" s="137"/>
      <c r="B10912" s="138"/>
      <c r="C10912" s="139"/>
      <c r="D10912" s="140"/>
      <c r="E10912" s="141"/>
      <c r="F10912" s="142"/>
      <c r="G10912" s="143"/>
      <c r="H10912" s="140"/>
      <c r="I10912" s="140"/>
    </row>
    <row r="10913" spans="1:9" s="90" customFormat="1" ht="12.75" customHeight="1" x14ac:dyDescent="0.2">
      <c r="A10913" s="137"/>
      <c r="B10913" s="138"/>
      <c r="C10913" s="139"/>
      <c r="D10913" s="140"/>
      <c r="E10913" s="141"/>
      <c r="F10913" s="142"/>
      <c r="G10913" s="143"/>
      <c r="H10913" s="140"/>
      <c r="I10913" s="140"/>
    </row>
    <row r="10914" spans="1:9" s="90" customFormat="1" ht="12.75" customHeight="1" x14ac:dyDescent="0.2">
      <c r="A10914" s="137"/>
      <c r="B10914" s="138"/>
      <c r="C10914" s="139"/>
      <c r="D10914" s="140"/>
      <c r="E10914" s="141"/>
      <c r="F10914" s="142"/>
      <c r="G10914" s="143"/>
      <c r="H10914" s="140"/>
      <c r="I10914" s="140"/>
    </row>
    <row r="10915" spans="1:9" s="90" customFormat="1" ht="12.75" customHeight="1" x14ac:dyDescent="0.2">
      <c r="A10915" s="137"/>
      <c r="B10915" s="138"/>
      <c r="C10915" s="139"/>
      <c r="D10915" s="140"/>
      <c r="E10915" s="141"/>
      <c r="F10915" s="142"/>
      <c r="G10915" s="143"/>
      <c r="H10915" s="140"/>
      <c r="I10915" s="140"/>
    </row>
    <row r="10916" spans="1:9" s="90" customFormat="1" ht="12.75" customHeight="1" x14ac:dyDescent="0.2">
      <c r="A10916" s="137"/>
      <c r="B10916" s="138"/>
      <c r="C10916" s="139"/>
      <c r="D10916" s="140"/>
      <c r="E10916" s="141"/>
      <c r="F10916" s="142"/>
      <c r="G10916" s="143"/>
      <c r="H10916" s="140"/>
      <c r="I10916" s="140"/>
    </row>
    <row r="10917" spans="1:9" s="90" customFormat="1" ht="12.75" customHeight="1" x14ac:dyDescent="0.2">
      <c r="A10917" s="137"/>
      <c r="B10917" s="138"/>
      <c r="C10917" s="139"/>
      <c r="D10917" s="140"/>
      <c r="E10917" s="141"/>
      <c r="F10917" s="142"/>
      <c r="G10917" s="143"/>
      <c r="H10917" s="140"/>
      <c r="I10917" s="140"/>
    </row>
    <row r="10918" spans="1:9" s="90" customFormat="1" ht="12.75" customHeight="1" x14ac:dyDescent="0.2">
      <c r="A10918" s="137"/>
      <c r="B10918" s="138"/>
      <c r="C10918" s="139"/>
      <c r="D10918" s="140"/>
      <c r="E10918" s="141"/>
      <c r="F10918" s="142"/>
      <c r="G10918" s="143"/>
      <c r="H10918" s="140"/>
      <c r="I10918" s="140"/>
    </row>
    <row r="10919" spans="1:9" s="90" customFormat="1" ht="12.75" customHeight="1" x14ac:dyDescent="0.2">
      <c r="A10919" s="137"/>
      <c r="B10919" s="138"/>
      <c r="C10919" s="139"/>
      <c r="D10919" s="140"/>
      <c r="E10919" s="141"/>
      <c r="F10919" s="142"/>
      <c r="G10919" s="143"/>
      <c r="H10919" s="140"/>
      <c r="I10919" s="140"/>
    </row>
    <row r="10920" spans="1:9" s="90" customFormat="1" ht="12.75" customHeight="1" x14ac:dyDescent="0.2">
      <c r="A10920" s="137"/>
      <c r="B10920" s="138"/>
      <c r="C10920" s="139"/>
      <c r="D10920" s="140"/>
      <c r="E10920" s="141"/>
      <c r="F10920" s="142"/>
      <c r="G10920" s="143"/>
      <c r="H10920" s="140"/>
      <c r="I10920" s="140"/>
    </row>
    <row r="10921" spans="1:9" s="90" customFormat="1" ht="12.75" customHeight="1" x14ac:dyDescent="0.2">
      <c r="A10921" s="137"/>
      <c r="B10921" s="138"/>
      <c r="C10921" s="139"/>
      <c r="D10921" s="140"/>
      <c r="E10921" s="141"/>
      <c r="F10921" s="142"/>
      <c r="G10921" s="143"/>
      <c r="H10921" s="140"/>
      <c r="I10921" s="140"/>
    </row>
    <row r="10922" spans="1:9" s="90" customFormat="1" ht="12.75" customHeight="1" x14ac:dyDescent="0.2">
      <c r="A10922" s="137"/>
      <c r="B10922" s="138"/>
      <c r="C10922" s="139"/>
      <c r="D10922" s="140"/>
      <c r="E10922" s="141"/>
      <c r="F10922" s="142"/>
      <c r="G10922" s="143"/>
      <c r="H10922" s="140"/>
      <c r="I10922" s="140"/>
    </row>
    <row r="10923" spans="1:9" s="90" customFormat="1" ht="12.75" customHeight="1" x14ac:dyDescent="0.2">
      <c r="A10923" s="137"/>
      <c r="B10923" s="138"/>
      <c r="C10923" s="139"/>
      <c r="D10923" s="140"/>
      <c r="E10923" s="141"/>
      <c r="F10923" s="142"/>
      <c r="G10923" s="143"/>
      <c r="H10923" s="140"/>
      <c r="I10923" s="140"/>
    </row>
    <row r="10924" spans="1:9" s="90" customFormat="1" ht="12.75" customHeight="1" x14ac:dyDescent="0.2">
      <c r="A10924" s="137"/>
      <c r="B10924" s="138"/>
      <c r="C10924" s="139"/>
      <c r="D10924" s="140"/>
      <c r="E10924" s="141"/>
      <c r="F10924" s="142"/>
      <c r="G10924" s="143"/>
      <c r="H10924" s="140"/>
      <c r="I10924" s="140"/>
    </row>
    <row r="10925" spans="1:9" s="90" customFormat="1" ht="12.75" customHeight="1" x14ac:dyDescent="0.2">
      <c r="A10925" s="137"/>
      <c r="B10925" s="138"/>
      <c r="C10925" s="139"/>
      <c r="D10925" s="140"/>
      <c r="E10925" s="141"/>
      <c r="F10925" s="142"/>
      <c r="G10925" s="143"/>
      <c r="H10925" s="140"/>
      <c r="I10925" s="140"/>
    </row>
    <row r="10926" spans="1:9" s="90" customFormat="1" ht="12.75" customHeight="1" x14ac:dyDescent="0.2">
      <c r="A10926" s="137"/>
      <c r="B10926" s="138"/>
      <c r="C10926" s="139"/>
      <c r="D10926" s="140"/>
      <c r="E10926" s="141"/>
      <c r="F10926" s="142"/>
      <c r="G10926" s="143"/>
      <c r="H10926" s="140"/>
      <c r="I10926" s="140"/>
    </row>
    <row r="10927" spans="1:9" s="90" customFormat="1" ht="12.75" customHeight="1" x14ac:dyDescent="0.2">
      <c r="A10927" s="137"/>
      <c r="B10927" s="138"/>
      <c r="C10927" s="139"/>
      <c r="D10927" s="140"/>
      <c r="E10927" s="141"/>
      <c r="F10927" s="142"/>
      <c r="G10927" s="143"/>
      <c r="H10927" s="140"/>
      <c r="I10927" s="140"/>
    </row>
    <row r="10928" spans="1:9" s="90" customFormat="1" ht="12.75" customHeight="1" x14ac:dyDescent="0.2">
      <c r="A10928" s="137"/>
      <c r="B10928" s="138"/>
      <c r="C10928" s="139"/>
      <c r="D10928" s="140"/>
      <c r="E10928" s="141"/>
      <c r="F10928" s="142"/>
      <c r="G10928" s="143"/>
      <c r="H10928" s="140"/>
      <c r="I10928" s="140"/>
    </row>
    <row r="10929" spans="1:9" s="90" customFormat="1" ht="12.75" customHeight="1" x14ac:dyDescent="0.2">
      <c r="A10929" s="137"/>
      <c r="B10929" s="138"/>
      <c r="C10929" s="139"/>
      <c r="D10929" s="140"/>
      <c r="E10929" s="141"/>
      <c r="F10929" s="142"/>
      <c r="G10929" s="143"/>
      <c r="H10929" s="140"/>
      <c r="I10929" s="140"/>
    </row>
    <row r="10930" spans="1:9" s="90" customFormat="1" ht="12.75" customHeight="1" x14ac:dyDescent="0.2">
      <c r="A10930" s="137"/>
      <c r="B10930" s="138"/>
      <c r="C10930" s="139"/>
      <c r="D10930" s="140"/>
      <c r="E10930" s="141"/>
      <c r="F10930" s="142"/>
      <c r="G10930" s="143"/>
      <c r="H10930" s="140"/>
      <c r="I10930" s="140"/>
    </row>
    <row r="10931" spans="1:9" s="90" customFormat="1" ht="12.75" customHeight="1" x14ac:dyDescent="0.2">
      <c r="A10931" s="137"/>
      <c r="B10931" s="138"/>
      <c r="C10931" s="139"/>
      <c r="D10931" s="140"/>
      <c r="E10931" s="141"/>
      <c r="F10931" s="142"/>
      <c r="G10931" s="143"/>
      <c r="H10931" s="140"/>
      <c r="I10931" s="140"/>
    </row>
    <row r="10932" spans="1:9" s="90" customFormat="1" ht="12.75" customHeight="1" x14ac:dyDescent="0.2">
      <c r="A10932" s="137"/>
      <c r="B10932" s="138"/>
      <c r="C10932" s="139"/>
      <c r="D10932" s="140"/>
      <c r="E10932" s="141"/>
      <c r="F10932" s="142"/>
      <c r="G10932" s="143"/>
      <c r="H10932" s="140"/>
      <c r="I10932" s="140"/>
    </row>
    <row r="10933" spans="1:9" s="90" customFormat="1" ht="12.75" customHeight="1" x14ac:dyDescent="0.2">
      <c r="A10933" s="137"/>
      <c r="B10933" s="138"/>
      <c r="C10933" s="139"/>
      <c r="D10933" s="140"/>
      <c r="E10933" s="141"/>
      <c r="F10933" s="142"/>
      <c r="G10933" s="143"/>
      <c r="H10933" s="140"/>
      <c r="I10933" s="140"/>
    </row>
    <row r="10934" spans="1:9" s="90" customFormat="1" ht="12.75" customHeight="1" x14ac:dyDescent="0.2">
      <c r="A10934" s="137"/>
      <c r="B10934" s="138"/>
      <c r="C10934" s="139"/>
      <c r="D10934" s="140"/>
      <c r="E10934" s="141"/>
      <c r="F10934" s="142"/>
      <c r="G10934" s="143"/>
      <c r="H10934" s="140"/>
      <c r="I10934" s="140"/>
    </row>
    <row r="10935" spans="1:9" s="90" customFormat="1" ht="12.75" customHeight="1" x14ac:dyDescent="0.2">
      <c r="A10935" s="137"/>
      <c r="B10935" s="138"/>
      <c r="C10935" s="139"/>
      <c r="D10935" s="140"/>
      <c r="E10935" s="141"/>
      <c r="F10935" s="142"/>
      <c r="G10935" s="143"/>
      <c r="H10935" s="140"/>
      <c r="I10935" s="140"/>
    </row>
    <row r="10936" spans="1:9" s="90" customFormat="1" ht="12.75" customHeight="1" x14ac:dyDescent="0.2">
      <c r="A10936" s="137"/>
      <c r="B10936" s="138"/>
      <c r="C10936" s="139"/>
      <c r="D10936" s="140"/>
      <c r="E10936" s="141"/>
      <c r="F10936" s="142"/>
      <c r="G10936" s="143"/>
      <c r="H10936" s="140"/>
      <c r="I10936" s="140"/>
    </row>
    <row r="10937" spans="1:9" s="90" customFormat="1" ht="12.75" customHeight="1" x14ac:dyDescent="0.2">
      <c r="A10937" s="137"/>
      <c r="B10937" s="138"/>
      <c r="C10937" s="139"/>
      <c r="D10937" s="140"/>
      <c r="E10937" s="141"/>
      <c r="F10937" s="142"/>
      <c r="G10937" s="143"/>
      <c r="H10937" s="140"/>
      <c r="I10937" s="140"/>
    </row>
    <row r="10938" spans="1:9" s="90" customFormat="1" ht="12.75" customHeight="1" x14ac:dyDescent="0.2">
      <c r="A10938" s="137"/>
      <c r="B10938" s="138"/>
      <c r="C10938" s="139"/>
      <c r="D10938" s="140"/>
      <c r="E10938" s="141"/>
      <c r="F10938" s="142"/>
      <c r="G10938" s="143"/>
      <c r="H10938" s="140"/>
      <c r="I10938" s="140"/>
    </row>
    <row r="10939" spans="1:9" s="90" customFormat="1" ht="12.75" customHeight="1" x14ac:dyDescent="0.2">
      <c r="A10939" s="137"/>
      <c r="B10939" s="138"/>
      <c r="C10939" s="139"/>
      <c r="D10939" s="140"/>
      <c r="E10939" s="141"/>
      <c r="F10939" s="142"/>
      <c r="G10939" s="143"/>
      <c r="H10939" s="140"/>
      <c r="I10939" s="140"/>
    </row>
    <row r="10940" spans="1:9" s="90" customFormat="1" ht="12.75" customHeight="1" x14ac:dyDescent="0.2">
      <c r="A10940" s="137"/>
      <c r="B10940" s="138"/>
      <c r="C10940" s="139"/>
      <c r="D10940" s="140"/>
      <c r="E10940" s="141"/>
      <c r="F10940" s="142"/>
      <c r="G10940" s="143"/>
      <c r="H10940" s="140"/>
      <c r="I10940" s="140"/>
    </row>
    <row r="10941" spans="1:9" s="90" customFormat="1" ht="12.75" customHeight="1" x14ac:dyDescent="0.2">
      <c r="A10941" s="137"/>
      <c r="B10941" s="138"/>
      <c r="C10941" s="139"/>
      <c r="D10941" s="140"/>
      <c r="E10941" s="141"/>
      <c r="F10941" s="142"/>
      <c r="G10941" s="143"/>
      <c r="H10941" s="140"/>
      <c r="I10941" s="140"/>
    </row>
    <row r="10942" spans="1:9" s="90" customFormat="1" ht="12.75" customHeight="1" x14ac:dyDescent="0.2">
      <c r="A10942" s="137"/>
      <c r="B10942" s="138"/>
      <c r="C10942" s="139"/>
      <c r="D10942" s="140"/>
      <c r="E10942" s="141"/>
      <c r="F10942" s="142"/>
      <c r="G10942" s="143"/>
      <c r="H10942" s="140"/>
      <c r="I10942" s="140"/>
    </row>
    <row r="10943" spans="1:9" s="90" customFormat="1" ht="12.75" customHeight="1" x14ac:dyDescent="0.2">
      <c r="A10943" s="137"/>
      <c r="B10943" s="138"/>
      <c r="C10943" s="139"/>
      <c r="D10943" s="140"/>
      <c r="E10943" s="141"/>
      <c r="F10943" s="142"/>
      <c r="G10943" s="143"/>
      <c r="H10943" s="140"/>
      <c r="I10943" s="140"/>
    </row>
    <row r="10944" spans="1:9" s="90" customFormat="1" ht="12.75" customHeight="1" x14ac:dyDescent="0.2">
      <c r="A10944" s="137"/>
      <c r="B10944" s="138"/>
      <c r="C10944" s="139"/>
      <c r="D10944" s="140"/>
      <c r="E10944" s="141"/>
      <c r="F10944" s="142"/>
      <c r="G10944" s="143"/>
      <c r="H10944" s="140"/>
      <c r="I10944" s="140"/>
    </row>
    <row r="10945" spans="1:9" s="90" customFormat="1" ht="12.75" customHeight="1" x14ac:dyDescent="0.2">
      <c r="A10945" s="137"/>
      <c r="B10945" s="138"/>
      <c r="C10945" s="139"/>
      <c r="D10945" s="140"/>
      <c r="E10945" s="141"/>
      <c r="F10945" s="142"/>
      <c r="G10945" s="143"/>
      <c r="H10945" s="140"/>
      <c r="I10945" s="140"/>
    </row>
    <row r="10946" spans="1:9" s="90" customFormat="1" ht="12.75" customHeight="1" x14ac:dyDescent="0.2">
      <c r="A10946" s="137"/>
      <c r="B10946" s="138"/>
      <c r="C10946" s="139"/>
      <c r="D10946" s="140"/>
      <c r="E10946" s="141"/>
      <c r="F10946" s="142"/>
      <c r="G10946" s="143"/>
      <c r="H10946" s="140"/>
      <c r="I10946" s="140"/>
    </row>
    <row r="10947" spans="1:9" s="90" customFormat="1" ht="12.75" customHeight="1" x14ac:dyDescent="0.2">
      <c r="A10947" s="137"/>
      <c r="B10947" s="138"/>
      <c r="C10947" s="139"/>
      <c r="D10947" s="140"/>
      <c r="E10947" s="141"/>
      <c r="F10947" s="142"/>
      <c r="G10947" s="143"/>
      <c r="H10947" s="140"/>
      <c r="I10947" s="140"/>
    </row>
    <row r="10948" spans="1:9" s="90" customFormat="1" ht="12.75" customHeight="1" x14ac:dyDescent="0.2">
      <c r="A10948" s="137"/>
      <c r="B10948" s="138"/>
      <c r="C10948" s="139"/>
      <c r="D10948" s="140"/>
      <c r="E10948" s="141"/>
      <c r="F10948" s="142"/>
      <c r="G10948" s="143"/>
      <c r="H10948" s="140"/>
      <c r="I10948" s="140"/>
    </row>
    <row r="10949" spans="1:9" s="90" customFormat="1" ht="12.75" customHeight="1" x14ac:dyDescent="0.2">
      <c r="A10949" s="137"/>
      <c r="B10949" s="138"/>
      <c r="C10949" s="139"/>
      <c r="D10949" s="140"/>
      <c r="E10949" s="141"/>
      <c r="F10949" s="142"/>
      <c r="G10949" s="143"/>
      <c r="H10949" s="140"/>
      <c r="I10949" s="140"/>
    </row>
    <row r="10950" spans="1:9" s="90" customFormat="1" ht="12.75" customHeight="1" x14ac:dyDescent="0.2">
      <c r="A10950" s="137"/>
      <c r="B10950" s="138"/>
      <c r="C10950" s="139"/>
      <c r="D10950" s="140"/>
      <c r="E10950" s="141"/>
      <c r="F10950" s="142"/>
      <c r="G10950" s="143"/>
      <c r="H10950" s="140"/>
      <c r="I10950" s="140"/>
    </row>
    <row r="10951" spans="1:9" s="90" customFormat="1" ht="12.75" customHeight="1" x14ac:dyDescent="0.2">
      <c r="A10951" s="137"/>
      <c r="B10951" s="138"/>
      <c r="C10951" s="139"/>
      <c r="D10951" s="140"/>
      <c r="E10951" s="141"/>
      <c r="F10951" s="142"/>
      <c r="G10951" s="143"/>
      <c r="H10951" s="140"/>
      <c r="I10951" s="140"/>
    </row>
    <row r="10952" spans="1:9" s="90" customFormat="1" ht="12.75" customHeight="1" x14ac:dyDescent="0.2">
      <c r="A10952" s="137"/>
      <c r="B10952" s="138"/>
      <c r="C10952" s="139"/>
      <c r="D10952" s="140"/>
      <c r="E10952" s="141"/>
      <c r="F10952" s="142"/>
      <c r="G10952" s="143"/>
      <c r="H10952" s="140"/>
      <c r="I10952" s="140"/>
    </row>
    <row r="10953" spans="1:9" s="90" customFormat="1" ht="12.75" customHeight="1" x14ac:dyDescent="0.2">
      <c r="A10953" s="137"/>
      <c r="B10953" s="138"/>
      <c r="C10953" s="139"/>
      <c r="D10953" s="140"/>
      <c r="E10953" s="141"/>
      <c r="F10953" s="142"/>
      <c r="G10953" s="143"/>
      <c r="H10953" s="140"/>
      <c r="I10953" s="140"/>
    </row>
    <row r="10954" spans="1:9" s="90" customFormat="1" ht="12.75" customHeight="1" x14ac:dyDescent="0.2">
      <c r="A10954" s="137"/>
      <c r="B10954" s="138"/>
      <c r="C10954" s="139"/>
      <c r="D10954" s="140"/>
      <c r="E10954" s="141"/>
      <c r="F10954" s="142"/>
      <c r="G10954" s="143"/>
      <c r="H10954" s="140"/>
      <c r="I10954" s="140"/>
    </row>
    <row r="10955" spans="1:9" s="90" customFormat="1" ht="12.75" customHeight="1" x14ac:dyDescent="0.2">
      <c r="A10955" s="137"/>
      <c r="B10955" s="138"/>
      <c r="C10955" s="139"/>
      <c r="D10955" s="140"/>
      <c r="E10955" s="141"/>
      <c r="F10955" s="142"/>
      <c r="G10955" s="143"/>
      <c r="H10955" s="140"/>
      <c r="I10955" s="140"/>
    </row>
    <row r="10956" spans="1:9" s="90" customFormat="1" ht="12.75" customHeight="1" x14ac:dyDescent="0.2">
      <c r="A10956" s="137"/>
      <c r="B10956" s="138"/>
      <c r="C10956" s="139"/>
      <c r="D10956" s="140"/>
      <c r="E10956" s="141"/>
      <c r="F10956" s="142"/>
      <c r="G10956" s="143"/>
      <c r="H10956" s="140"/>
      <c r="I10956" s="140"/>
    </row>
    <row r="10957" spans="1:9" s="90" customFormat="1" ht="12.75" customHeight="1" x14ac:dyDescent="0.2">
      <c r="A10957" s="137"/>
      <c r="B10957" s="138"/>
      <c r="C10957" s="139"/>
      <c r="D10957" s="140"/>
      <c r="E10957" s="141"/>
      <c r="F10957" s="142"/>
      <c r="G10957" s="143"/>
      <c r="H10957" s="140"/>
      <c r="I10957" s="140"/>
    </row>
    <row r="10958" spans="1:9" s="90" customFormat="1" ht="12.75" customHeight="1" x14ac:dyDescent="0.2">
      <c r="A10958" s="137"/>
      <c r="B10958" s="138"/>
      <c r="C10958" s="139"/>
      <c r="D10958" s="140"/>
      <c r="E10958" s="141"/>
      <c r="F10958" s="142"/>
      <c r="G10958" s="143"/>
      <c r="H10958" s="140"/>
      <c r="I10958" s="140"/>
    </row>
    <row r="10959" spans="1:9" s="90" customFormat="1" ht="12.75" customHeight="1" x14ac:dyDescent="0.2">
      <c r="A10959" s="137"/>
      <c r="B10959" s="138"/>
      <c r="C10959" s="139"/>
      <c r="D10959" s="140"/>
      <c r="E10959" s="141"/>
      <c r="F10959" s="142"/>
      <c r="G10959" s="143"/>
      <c r="H10959" s="140"/>
      <c r="I10959" s="140"/>
    </row>
    <row r="10960" spans="1:9" s="90" customFormat="1" ht="12.75" customHeight="1" x14ac:dyDescent="0.2">
      <c r="A10960" s="137"/>
      <c r="B10960" s="138"/>
      <c r="C10960" s="139"/>
      <c r="D10960" s="140"/>
      <c r="E10960" s="141"/>
      <c r="F10960" s="142"/>
      <c r="G10960" s="143"/>
      <c r="H10960" s="140"/>
      <c r="I10960" s="140"/>
    </row>
    <row r="10961" spans="1:9" s="90" customFormat="1" ht="12.75" customHeight="1" x14ac:dyDescent="0.2">
      <c r="A10961" s="137"/>
      <c r="B10961" s="138"/>
      <c r="C10961" s="139"/>
      <c r="D10961" s="140"/>
      <c r="E10961" s="141"/>
      <c r="F10961" s="142"/>
      <c r="G10961" s="143"/>
      <c r="H10961" s="140"/>
      <c r="I10961" s="140"/>
    </row>
    <row r="10962" spans="1:9" s="90" customFormat="1" ht="12.75" customHeight="1" x14ac:dyDescent="0.2">
      <c r="A10962" s="137"/>
      <c r="B10962" s="138"/>
      <c r="C10962" s="139"/>
      <c r="D10962" s="140"/>
      <c r="E10962" s="141"/>
      <c r="F10962" s="142"/>
      <c r="G10962" s="143"/>
      <c r="H10962" s="140"/>
      <c r="I10962" s="140"/>
    </row>
    <row r="10963" spans="1:9" s="90" customFormat="1" ht="12.75" customHeight="1" x14ac:dyDescent="0.2">
      <c r="A10963" s="137"/>
      <c r="B10963" s="138"/>
      <c r="C10963" s="139"/>
      <c r="D10963" s="140"/>
      <c r="E10963" s="141"/>
      <c r="F10963" s="142"/>
      <c r="G10963" s="143"/>
      <c r="H10963" s="140"/>
      <c r="I10963" s="140"/>
    </row>
    <row r="10964" spans="1:9" s="90" customFormat="1" ht="12.75" customHeight="1" x14ac:dyDescent="0.2">
      <c r="A10964" s="137"/>
      <c r="B10964" s="138"/>
      <c r="C10964" s="139"/>
      <c r="D10964" s="140"/>
      <c r="E10964" s="141"/>
      <c r="F10964" s="142"/>
      <c r="G10964" s="143"/>
      <c r="H10964" s="140"/>
      <c r="I10964" s="140"/>
    </row>
    <row r="10965" spans="1:9" s="90" customFormat="1" ht="12.75" customHeight="1" x14ac:dyDescent="0.2">
      <c r="A10965" s="137"/>
      <c r="B10965" s="138"/>
      <c r="C10965" s="139"/>
      <c r="D10965" s="140"/>
      <c r="E10965" s="141"/>
      <c r="F10965" s="142"/>
      <c r="G10965" s="143"/>
      <c r="H10965" s="140"/>
      <c r="I10965" s="140"/>
    </row>
    <row r="10966" spans="1:9" s="90" customFormat="1" ht="12.75" customHeight="1" x14ac:dyDescent="0.2">
      <c r="A10966" s="137"/>
      <c r="B10966" s="138"/>
      <c r="C10966" s="139"/>
      <c r="D10966" s="140"/>
      <c r="E10966" s="141"/>
      <c r="F10966" s="142"/>
      <c r="G10966" s="143"/>
      <c r="H10966" s="140"/>
      <c r="I10966" s="140"/>
    </row>
    <row r="10967" spans="1:9" s="90" customFormat="1" ht="12.75" customHeight="1" x14ac:dyDescent="0.2">
      <c r="A10967" s="137"/>
      <c r="B10967" s="138"/>
      <c r="C10967" s="139"/>
      <c r="D10967" s="140"/>
      <c r="E10967" s="141"/>
      <c r="F10967" s="142"/>
      <c r="G10967" s="143"/>
      <c r="H10967" s="140"/>
      <c r="I10967" s="140"/>
    </row>
    <row r="10968" spans="1:9" s="90" customFormat="1" ht="12.75" customHeight="1" x14ac:dyDescent="0.2">
      <c r="A10968" s="137"/>
      <c r="B10968" s="138"/>
      <c r="C10968" s="139"/>
      <c r="D10968" s="140"/>
      <c r="E10968" s="141"/>
      <c r="F10968" s="142"/>
      <c r="G10968" s="143"/>
      <c r="H10968" s="140"/>
      <c r="I10968" s="140"/>
    </row>
    <row r="10969" spans="1:9" s="90" customFormat="1" ht="12.75" customHeight="1" x14ac:dyDescent="0.2">
      <c r="A10969" s="137"/>
      <c r="B10969" s="138"/>
      <c r="C10969" s="139"/>
      <c r="D10969" s="140"/>
      <c r="E10969" s="141"/>
      <c r="F10969" s="142"/>
      <c r="G10969" s="143"/>
      <c r="H10969" s="140"/>
      <c r="I10969" s="140"/>
    </row>
    <row r="10970" spans="1:9" s="90" customFormat="1" ht="12.75" customHeight="1" x14ac:dyDescent="0.2">
      <c r="A10970" s="137"/>
      <c r="B10970" s="138"/>
      <c r="C10970" s="139"/>
      <c r="D10970" s="140"/>
      <c r="E10970" s="141"/>
      <c r="F10970" s="142"/>
      <c r="G10970" s="143"/>
      <c r="H10970" s="140"/>
      <c r="I10970" s="140"/>
    </row>
    <row r="10971" spans="1:9" s="90" customFormat="1" ht="12.75" customHeight="1" x14ac:dyDescent="0.2">
      <c r="A10971" s="137"/>
      <c r="B10971" s="138"/>
      <c r="C10971" s="139"/>
      <c r="D10971" s="140"/>
      <c r="E10971" s="141"/>
      <c r="F10971" s="142"/>
      <c r="G10971" s="143"/>
      <c r="H10971" s="140"/>
      <c r="I10971" s="140"/>
    </row>
    <row r="10972" spans="1:9" s="90" customFormat="1" ht="12.75" customHeight="1" x14ac:dyDescent="0.2">
      <c r="A10972" s="137"/>
      <c r="B10972" s="138"/>
      <c r="C10972" s="139"/>
      <c r="D10972" s="140"/>
      <c r="E10972" s="141"/>
      <c r="F10972" s="142"/>
      <c r="G10972" s="143"/>
      <c r="H10972" s="140"/>
      <c r="I10972" s="140"/>
    </row>
    <row r="10973" spans="1:9" s="90" customFormat="1" ht="12.75" customHeight="1" x14ac:dyDescent="0.2">
      <c r="A10973" s="137"/>
      <c r="B10973" s="138"/>
      <c r="C10973" s="139"/>
      <c r="D10973" s="140"/>
      <c r="E10973" s="141"/>
      <c r="F10973" s="142"/>
      <c r="G10973" s="143"/>
      <c r="H10973" s="140"/>
      <c r="I10973" s="140"/>
    </row>
    <row r="10974" spans="1:9" s="90" customFormat="1" ht="12.75" customHeight="1" x14ac:dyDescent="0.2">
      <c r="A10974" s="137"/>
      <c r="B10974" s="138"/>
      <c r="C10974" s="139"/>
      <c r="D10974" s="140"/>
      <c r="E10974" s="141"/>
      <c r="F10974" s="142"/>
      <c r="G10974" s="143"/>
      <c r="H10974" s="140"/>
      <c r="I10974" s="140"/>
    </row>
    <row r="10975" spans="1:9" s="90" customFormat="1" ht="12.75" customHeight="1" x14ac:dyDescent="0.2">
      <c r="A10975" s="137"/>
      <c r="B10975" s="138"/>
      <c r="C10975" s="139"/>
      <c r="D10975" s="140"/>
      <c r="E10975" s="141"/>
      <c r="F10975" s="142"/>
      <c r="G10975" s="143"/>
      <c r="H10975" s="140"/>
      <c r="I10975" s="140"/>
    </row>
    <row r="10976" spans="1:9" s="90" customFormat="1" ht="12.75" customHeight="1" x14ac:dyDescent="0.2">
      <c r="A10976" s="137"/>
      <c r="B10976" s="138"/>
      <c r="C10976" s="139"/>
      <c r="D10976" s="140"/>
      <c r="E10976" s="141"/>
      <c r="F10976" s="142"/>
      <c r="G10976" s="143"/>
      <c r="H10976" s="140"/>
      <c r="I10976" s="140"/>
    </row>
    <row r="10977" spans="1:9" s="90" customFormat="1" ht="12.75" customHeight="1" x14ac:dyDescent="0.2">
      <c r="A10977" s="137"/>
      <c r="B10977" s="138"/>
      <c r="C10977" s="139"/>
      <c r="D10977" s="140"/>
      <c r="E10977" s="141"/>
      <c r="F10977" s="142"/>
      <c r="G10977" s="143"/>
      <c r="H10977" s="140"/>
      <c r="I10977" s="140"/>
    </row>
    <row r="10978" spans="1:9" s="90" customFormat="1" ht="12.75" customHeight="1" x14ac:dyDescent="0.2">
      <c r="A10978" s="137"/>
      <c r="B10978" s="138"/>
      <c r="C10978" s="139"/>
      <c r="D10978" s="140"/>
      <c r="E10978" s="141"/>
      <c r="F10978" s="142"/>
      <c r="G10978" s="143"/>
      <c r="H10978" s="140"/>
      <c r="I10978" s="140"/>
    </row>
    <row r="10979" spans="1:9" s="90" customFormat="1" ht="12.75" customHeight="1" x14ac:dyDescent="0.2">
      <c r="A10979" s="137"/>
      <c r="B10979" s="138"/>
      <c r="C10979" s="139"/>
      <c r="D10979" s="140"/>
      <c r="E10979" s="141"/>
      <c r="F10979" s="142"/>
      <c r="G10979" s="143"/>
      <c r="H10979" s="140"/>
      <c r="I10979" s="140"/>
    </row>
    <row r="10980" spans="1:9" s="90" customFormat="1" ht="12.75" customHeight="1" x14ac:dyDescent="0.2">
      <c r="A10980" s="137"/>
      <c r="B10980" s="138"/>
      <c r="C10980" s="139"/>
      <c r="D10980" s="140"/>
      <c r="E10980" s="141"/>
      <c r="F10980" s="142"/>
      <c r="G10980" s="143"/>
      <c r="H10980" s="140"/>
      <c r="I10980" s="140"/>
    </row>
    <row r="10981" spans="1:9" s="90" customFormat="1" ht="12.75" customHeight="1" x14ac:dyDescent="0.2">
      <c r="A10981" s="137"/>
      <c r="B10981" s="138"/>
      <c r="C10981" s="139"/>
      <c r="D10981" s="140"/>
      <c r="E10981" s="141"/>
      <c r="F10981" s="142"/>
      <c r="G10981" s="143"/>
      <c r="H10981" s="140"/>
      <c r="I10981" s="140"/>
    </row>
    <row r="10982" spans="1:9" s="90" customFormat="1" ht="12.75" customHeight="1" x14ac:dyDescent="0.2">
      <c r="A10982" s="137"/>
      <c r="B10982" s="138"/>
      <c r="C10982" s="139"/>
      <c r="D10982" s="140"/>
      <c r="E10982" s="141"/>
      <c r="F10982" s="142"/>
      <c r="G10982" s="143"/>
      <c r="H10982" s="140"/>
      <c r="I10982" s="140"/>
    </row>
    <row r="10983" spans="1:9" s="90" customFormat="1" ht="12.75" customHeight="1" x14ac:dyDescent="0.2">
      <c r="A10983" s="137"/>
      <c r="B10983" s="138"/>
      <c r="C10983" s="139"/>
      <c r="D10983" s="140"/>
      <c r="E10983" s="141"/>
      <c r="F10983" s="142"/>
      <c r="G10983" s="143"/>
      <c r="H10983" s="140"/>
      <c r="I10983" s="140"/>
    </row>
    <row r="10984" spans="1:9" s="90" customFormat="1" ht="12.75" customHeight="1" x14ac:dyDescent="0.2">
      <c r="A10984" s="137"/>
      <c r="B10984" s="138"/>
      <c r="C10984" s="139"/>
      <c r="D10984" s="140"/>
      <c r="E10984" s="141"/>
      <c r="F10984" s="142"/>
      <c r="G10984" s="143"/>
      <c r="H10984" s="140"/>
      <c r="I10984" s="140"/>
    </row>
    <row r="10985" spans="1:9" s="90" customFormat="1" ht="12.75" customHeight="1" x14ac:dyDescent="0.2">
      <c r="A10985" s="137"/>
      <c r="B10985" s="138"/>
      <c r="C10985" s="139"/>
      <c r="D10985" s="140"/>
      <c r="E10985" s="141"/>
      <c r="F10985" s="142"/>
      <c r="G10985" s="143"/>
      <c r="H10985" s="140"/>
      <c r="I10985" s="140"/>
    </row>
    <row r="10986" spans="1:9" s="90" customFormat="1" ht="12.75" customHeight="1" x14ac:dyDescent="0.2">
      <c r="A10986" s="137"/>
      <c r="B10986" s="138"/>
      <c r="C10986" s="139"/>
      <c r="D10986" s="140"/>
      <c r="E10986" s="141"/>
      <c r="F10986" s="142"/>
      <c r="G10986" s="143"/>
      <c r="H10986" s="140"/>
      <c r="I10986" s="140"/>
    </row>
    <row r="10987" spans="1:9" s="90" customFormat="1" ht="12.75" customHeight="1" x14ac:dyDescent="0.2">
      <c r="A10987" s="137"/>
      <c r="B10987" s="138"/>
      <c r="C10987" s="139"/>
      <c r="D10987" s="140"/>
      <c r="E10987" s="141"/>
      <c r="F10987" s="142"/>
      <c r="G10987" s="143"/>
      <c r="H10987" s="140"/>
      <c r="I10987" s="140"/>
    </row>
    <row r="10988" spans="1:9" s="90" customFormat="1" ht="12.75" customHeight="1" x14ac:dyDescent="0.2">
      <c r="A10988" s="137"/>
      <c r="B10988" s="138"/>
      <c r="C10988" s="139"/>
      <c r="D10988" s="140"/>
      <c r="E10988" s="141"/>
      <c r="F10988" s="142"/>
      <c r="G10988" s="143"/>
      <c r="H10988" s="140"/>
      <c r="I10988" s="140"/>
    </row>
    <row r="10989" spans="1:9" s="90" customFormat="1" ht="12.75" customHeight="1" x14ac:dyDescent="0.2">
      <c r="A10989" s="137"/>
      <c r="B10989" s="138"/>
      <c r="C10989" s="139"/>
      <c r="D10989" s="140"/>
      <c r="E10989" s="141"/>
      <c r="F10989" s="142"/>
      <c r="G10989" s="143"/>
      <c r="H10989" s="140"/>
      <c r="I10989" s="140"/>
    </row>
    <row r="10990" spans="1:9" s="90" customFormat="1" ht="12.75" customHeight="1" x14ac:dyDescent="0.2">
      <c r="A10990" s="137"/>
      <c r="B10990" s="138"/>
      <c r="C10990" s="139"/>
      <c r="D10990" s="140"/>
      <c r="E10990" s="141"/>
      <c r="F10990" s="142"/>
      <c r="G10990" s="143"/>
      <c r="H10990" s="140"/>
      <c r="I10990" s="140"/>
    </row>
    <row r="10991" spans="1:9" s="90" customFormat="1" ht="12.75" customHeight="1" x14ac:dyDescent="0.2">
      <c r="A10991" s="137"/>
      <c r="B10991" s="138"/>
      <c r="C10991" s="139"/>
      <c r="D10991" s="140"/>
      <c r="E10991" s="141"/>
      <c r="F10991" s="142"/>
      <c r="G10991" s="143"/>
      <c r="H10991" s="140"/>
      <c r="I10991" s="140"/>
    </row>
    <row r="10992" spans="1:9" s="90" customFormat="1" ht="12.75" customHeight="1" x14ac:dyDescent="0.2">
      <c r="A10992" s="137"/>
      <c r="B10992" s="138"/>
      <c r="C10992" s="139"/>
      <c r="D10992" s="140"/>
      <c r="E10992" s="141"/>
      <c r="F10992" s="142"/>
      <c r="G10992" s="143"/>
      <c r="H10992" s="140"/>
      <c r="I10992" s="140"/>
    </row>
    <row r="10993" spans="1:9" s="90" customFormat="1" ht="12.75" customHeight="1" x14ac:dyDescent="0.2">
      <c r="A10993" s="137"/>
      <c r="B10993" s="138"/>
      <c r="C10993" s="139"/>
      <c r="D10993" s="140"/>
      <c r="E10993" s="141"/>
      <c r="F10993" s="142"/>
      <c r="G10993" s="143"/>
      <c r="H10993" s="140"/>
      <c r="I10993" s="140"/>
    </row>
    <row r="10994" spans="1:9" s="90" customFormat="1" ht="12.75" customHeight="1" x14ac:dyDescent="0.2">
      <c r="A10994" s="137"/>
      <c r="B10994" s="138"/>
      <c r="C10994" s="139"/>
      <c r="D10994" s="140"/>
      <c r="E10994" s="141"/>
      <c r="F10994" s="142"/>
      <c r="G10994" s="143"/>
      <c r="H10994" s="140"/>
      <c r="I10994" s="140"/>
    </row>
    <row r="10995" spans="1:9" s="90" customFormat="1" ht="12.75" customHeight="1" x14ac:dyDescent="0.2">
      <c r="A10995" s="137"/>
      <c r="B10995" s="138"/>
      <c r="C10995" s="139"/>
      <c r="D10995" s="140"/>
      <c r="E10995" s="141"/>
      <c r="F10995" s="142"/>
      <c r="G10995" s="143"/>
      <c r="H10995" s="140"/>
      <c r="I10995" s="140"/>
    </row>
    <row r="10996" spans="1:9" s="90" customFormat="1" ht="12.75" customHeight="1" x14ac:dyDescent="0.2">
      <c r="A10996" s="137"/>
      <c r="B10996" s="138"/>
      <c r="C10996" s="139"/>
      <c r="D10996" s="140"/>
      <c r="E10996" s="141"/>
      <c r="F10996" s="142"/>
      <c r="G10996" s="143"/>
      <c r="H10996" s="140"/>
      <c r="I10996" s="140"/>
    </row>
    <row r="10997" spans="1:9" s="90" customFormat="1" ht="12.75" customHeight="1" x14ac:dyDescent="0.2">
      <c r="A10997" s="137"/>
      <c r="B10997" s="138"/>
      <c r="C10997" s="139"/>
      <c r="D10997" s="140"/>
      <c r="E10997" s="141"/>
      <c r="F10997" s="142"/>
      <c r="G10997" s="143"/>
      <c r="H10997" s="140"/>
      <c r="I10997" s="140"/>
    </row>
    <row r="10998" spans="1:9" s="90" customFormat="1" ht="12.75" customHeight="1" x14ac:dyDescent="0.2">
      <c r="A10998" s="137"/>
      <c r="B10998" s="138"/>
      <c r="C10998" s="139"/>
      <c r="D10998" s="140"/>
      <c r="E10998" s="141"/>
      <c r="F10998" s="142"/>
      <c r="G10998" s="143"/>
      <c r="H10998" s="140"/>
      <c r="I10998" s="140"/>
    </row>
    <row r="10999" spans="1:9" s="90" customFormat="1" ht="12.75" customHeight="1" x14ac:dyDescent="0.2">
      <c r="A10999" s="137"/>
      <c r="B10999" s="138"/>
      <c r="C10999" s="139"/>
      <c r="D10999" s="140"/>
      <c r="E10999" s="141"/>
      <c r="F10999" s="142"/>
      <c r="G10999" s="143"/>
      <c r="H10999" s="140"/>
      <c r="I10999" s="140"/>
    </row>
    <row r="11000" spans="1:9" s="90" customFormat="1" ht="12.75" customHeight="1" x14ac:dyDescent="0.2">
      <c r="A11000" s="137"/>
      <c r="B11000" s="138"/>
      <c r="C11000" s="139"/>
      <c r="D11000" s="140"/>
      <c r="E11000" s="141"/>
      <c r="F11000" s="142"/>
      <c r="G11000" s="143"/>
      <c r="H11000" s="140"/>
      <c r="I11000" s="140"/>
    </row>
    <row r="11001" spans="1:9" s="90" customFormat="1" ht="12.75" customHeight="1" x14ac:dyDescent="0.2">
      <c r="A11001" s="137"/>
      <c r="B11001" s="138"/>
      <c r="C11001" s="139"/>
      <c r="D11001" s="140"/>
      <c r="E11001" s="141"/>
      <c r="F11001" s="142"/>
      <c r="G11001" s="143"/>
      <c r="H11001" s="140"/>
      <c r="I11001" s="140"/>
    </row>
    <row r="11002" spans="1:9" s="90" customFormat="1" ht="12.75" customHeight="1" x14ac:dyDescent="0.2">
      <c r="A11002" s="137"/>
      <c r="B11002" s="138"/>
      <c r="C11002" s="139"/>
      <c r="D11002" s="140"/>
      <c r="E11002" s="141"/>
      <c r="F11002" s="142"/>
      <c r="G11002" s="143"/>
      <c r="H11002" s="140"/>
      <c r="I11002" s="140"/>
    </row>
    <row r="11003" spans="1:9" s="90" customFormat="1" ht="12.75" customHeight="1" x14ac:dyDescent="0.2">
      <c r="A11003" s="137"/>
      <c r="B11003" s="138"/>
      <c r="C11003" s="139"/>
      <c r="D11003" s="140"/>
      <c r="E11003" s="141"/>
      <c r="F11003" s="142"/>
      <c r="G11003" s="143"/>
      <c r="H11003" s="140"/>
      <c r="I11003" s="140"/>
    </row>
    <row r="11004" spans="1:9" s="90" customFormat="1" ht="12.75" customHeight="1" x14ac:dyDescent="0.2">
      <c r="A11004" s="137"/>
      <c r="B11004" s="138"/>
      <c r="C11004" s="139"/>
      <c r="D11004" s="140"/>
      <c r="E11004" s="141"/>
      <c r="F11004" s="142"/>
      <c r="G11004" s="143"/>
      <c r="H11004" s="140"/>
      <c r="I11004" s="140"/>
    </row>
    <row r="11005" spans="1:9" s="90" customFormat="1" ht="12.75" customHeight="1" x14ac:dyDescent="0.2">
      <c r="A11005" s="137"/>
      <c r="B11005" s="138"/>
      <c r="C11005" s="139"/>
      <c r="D11005" s="140"/>
      <c r="E11005" s="141"/>
      <c r="F11005" s="142"/>
      <c r="G11005" s="143"/>
      <c r="H11005" s="140"/>
      <c r="I11005" s="140"/>
    </row>
    <row r="11006" spans="1:9" s="90" customFormat="1" ht="12.75" customHeight="1" x14ac:dyDescent="0.2">
      <c r="A11006" s="137"/>
      <c r="B11006" s="138"/>
      <c r="C11006" s="139"/>
      <c r="D11006" s="140"/>
      <c r="E11006" s="141"/>
      <c r="F11006" s="142"/>
      <c r="G11006" s="143"/>
      <c r="H11006" s="140"/>
      <c r="I11006" s="140"/>
    </row>
    <row r="11007" spans="1:9" s="90" customFormat="1" ht="12.75" customHeight="1" x14ac:dyDescent="0.2">
      <c r="A11007" s="137"/>
      <c r="B11007" s="138"/>
      <c r="C11007" s="139"/>
      <c r="D11007" s="140"/>
      <c r="E11007" s="141"/>
      <c r="F11007" s="142"/>
      <c r="G11007" s="143"/>
      <c r="H11007" s="140"/>
      <c r="I11007" s="140"/>
    </row>
    <row r="11008" spans="1:9" s="90" customFormat="1" ht="12.75" customHeight="1" x14ac:dyDescent="0.2">
      <c r="A11008" s="137"/>
      <c r="B11008" s="138"/>
      <c r="C11008" s="139"/>
      <c r="D11008" s="140"/>
      <c r="E11008" s="141"/>
      <c r="F11008" s="142"/>
      <c r="G11008" s="143"/>
      <c r="H11008" s="140"/>
      <c r="I11008" s="140"/>
    </row>
    <row r="11009" spans="1:9" s="90" customFormat="1" ht="12.75" customHeight="1" x14ac:dyDescent="0.2">
      <c r="A11009" s="137"/>
      <c r="B11009" s="138"/>
      <c r="C11009" s="139"/>
      <c r="D11009" s="140"/>
      <c r="E11009" s="141"/>
      <c r="F11009" s="142"/>
      <c r="G11009" s="143"/>
      <c r="H11009" s="140"/>
      <c r="I11009" s="140"/>
    </row>
    <row r="11010" spans="1:9" s="90" customFormat="1" ht="12.75" customHeight="1" x14ac:dyDescent="0.2">
      <c r="A11010" s="137"/>
      <c r="B11010" s="138"/>
      <c r="C11010" s="139"/>
      <c r="D11010" s="140"/>
      <c r="E11010" s="141"/>
      <c r="F11010" s="142"/>
      <c r="G11010" s="143"/>
      <c r="H11010" s="140"/>
      <c r="I11010" s="140"/>
    </row>
    <row r="11011" spans="1:9" s="90" customFormat="1" ht="12.75" customHeight="1" x14ac:dyDescent="0.2">
      <c r="A11011" s="137"/>
      <c r="B11011" s="138"/>
      <c r="C11011" s="139"/>
      <c r="D11011" s="140"/>
      <c r="E11011" s="141"/>
      <c r="F11011" s="142"/>
      <c r="G11011" s="143"/>
      <c r="H11011" s="140"/>
      <c r="I11011" s="140"/>
    </row>
    <row r="11012" spans="1:9" s="90" customFormat="1" ht="12.75" customHeight="1" x14ac:dyDescent="0.2">
      <c r="A11012" s="137"/>
      <c r="B11012" s="138"/>
      <c r="C11012" s="139"/>
      <c r="D11012" s="140"/>
      <c r="E11012" s="141"/>
      <c r="F11012" s="142"/>
      <c r="G11012" s="143"/>
      <c r="H11012" s="140"/>
      <c r="I11012" s="140"/>
    </row>
    <row r="11013" spans="1:9" s="90" customFormat="1" ht="12.75" customHeight="1" x14ac:dyDescent="0.2">
      <c r="A11013" s="137"/>
      <c r="B11013" s="138"/>
      <c r="C11013" s="139"/>
      <c r="D11013" s="140"/>
      <c r="E11013" s="141"/>
      <c r="F11013" s="142"/>
      <c r="G11013" s="143"/>
      <c r="H11013" s="140"/>
      <c r="I11013" s="140"/>
    </row>
    <row r="11014" spans="1:9" s="90" customFormat="1" ht="12.75" customHeight="1" x14ac:dyDescent="0.2">
      <c r="A11014" s="137"/>
      <c r="B11014" s="138"/>
      <c r="C11014" s="139"/>
      <c r="D11014" s="140"/>
      <c r="E11014" s="141"/>
      <c r="F11014" s="142"/>
      <c r="G11014" s="143"/>
      <c r="H11014" s="140"/>
      <c r="I11014" s="140"/>
    </row>
    <row r="11015" spans="1:9" s="90" customFormat="1" ht="12.75" customHeight="1" x14ac:dyDescent="0.2">
      <c r="A11015" s="137"/>
      <c r="B11015" s="138"/>
      <c r="C11015" s="139"/>
      <c r="D11015" s="140"/>
      <c r="E11015" s="141"/>
      <c r="F11015" s="142"/>
      <c r="G11015" s="143"/>
      <c r="H11015" s="140"/>
      <c r="I11015" s="140"/>
    </row>
    <row r="11016" spans="1:9" s="90" customFormat="1" ht="12.75" customHeight="1" x14ac:dyDescent="0.2">
      <c r="A11016" s="137"/>
      <c r="B11016" s="138"/>
      <c r="C11016" s="139"/>
      <c r="D11016" s="140"/>
      <c r="E11016" s="141"/>
      <c r="F11016" s="142"/>
      <c r="G11016" s="143"/>
      <c r="H11016" s="140"/>
      <c r="I11016" s="140"/>
    </row>
    <row r="11017" spans="1:9" s="90" customFormat="1" ht="12.75" customHeight="1" x14ac:dyDescent="0.2">
      <c r="A11017" s="137"/>
      <c r="B11017" s="138"/>
      <c r="C11017" s="139"/>
      <c r="D11017" s="140"/>
      <c r="E11017" s="141"/>
      <c r="F11017" s="142"/>
      <c r="G11017" s="143"/>
      <c r="H11017" s="140"/>
      <c r="I11017" s="140"/>
    </row>
    <row r="11018" spans="1:9" s="90" customFormat="1" ht="12.75" customHeight="1" x14ac:dyDescent="0.2">
      <c r="A11018" s="137"/>
      <c r="B11018" s="138"/>
      <c r="C11018" s="139"/>
      <c r="D11018" s="140"/>
      <c r="E11018" s="141"/>
      <c r="F11018" s="142"/>
      <c r="G11018" s="143"/>
      <c r="H11018" s="140"/>
      <c r="I11018" s="140"/>
    </row>
    <row r="11019" spans="1:9" s="90" customFormat="1" ht="12.75" customHeight="1" x14ac:dyDescent="0.2">
      <c r="A11019" s="137"/>
      <c r="B11019" s="138"/>
      <c r="C11019" s="139"/>
      <c r="D11019" s="140"/>
      <c r="E11019" s="141"/>
      <c r="F11019" s="142"/>
      <c r="G11019" s="143"/>
      <c r="H11019" s="140"/>
      <c r="I11019" s="140"/>
    </row>
    <row r="11020" spans="1:9" s="90" customFormat="1" ht="12.75" customHeight="1" x14ac:dyDescent="0.2">
      <c r="A11020" s="137"/>
      <c r="B11020" s="138"/>
      <c r="C11020" s="139"/>
      <c r="D11020" s="140"/>
      <c r="E11020" s="141"/>
      <c r="F11020" s="142"/>
      <c r="G11020" s="143"/>
      <c r="H11020" s="140"/>
      <c r="I11020" s="140"/>
    </row>
    <row r="11021" spans="1:9" s="90" customFormat="1" ht="12.75" customHeight="1" x14ac:dyDescent="0.2">
      <c r="A11021" s="137"/>
      <c r="B11021" s="138"/>
      <c r="C11021" s="139"/>
      <c r="D11021" s="140"/>
      <c r="E11021" s="141"/>
      <c r="F11021" s="142"/>
      <c r="G11021" s="143"/>
      <c r="H11021" s="140"/>
      <c r="I11021" s="140"/>
    </row>
    <row r="11022" spans="1:9" s="90" customFormat="1" ht="12.75" customHeight="1" x14ac:dyDescent="0.2">
      <c r="A11022" s="137"/>
      <c r="B11022" s="138"/>
      <c r="C11022" s="139"/>
      <c r="D11022" s="140"/>
      <c r="E11022" s="141"/>
      <c r="F11022" s="142"/>
      <c r="G11022" s="143"/>
      <c r="H11022" s="140"/>
      <c r="I11022" s="140"/>
    </row>
    <row r="11023" spans="1:9" s="90" customFormat="1" ht="12.75" customHeight="1" x14ac:dyDescent="0.2">
      <c r="A11023" s="137"/>
      <c r="B11023" s="138"/>
      <c r="C11023" s="139"/>
      <c r="D11023" s="140"/>
      <c r="E11023" s="141"/>
      <c r="F11023" s="142"/>
      <c r="G11023" s="143"/>
      <c r="H11023" s="140"/>
      <c r="I11023" s="140"/>
    </row>
    <row r="11024" spans="1:9" s="90" customFormat="1" ht="12.75" customHeight="1" x14ac:dyDescent="0.2">
      <c r="A11024" s="137"/>
      <c r="B11024" s="138"/>
      <c r="C11024" s="139"/>
      <c r="D11024" s="140"/>
      <c r="E11024" s="141"/>
      <c r="F11024" s="142"/>
      <c r="G11024" s="143"/>
      <c r="H11024" s="140"/>
      <c r="I11024" s="140"/>
    </row>
    <row r="11025" spans="1:9" s="90" customFormat="1" ht="12.75" customHeight="1" x14ac:dyDescent="0.2">
      <c r="A11025" s="137"/>
      <c r="B11025" s="138"/>
      <c r="C11025" s="139"/>
      <c r="D11025" s="140"/>
      <c r="E11025" s="141"/>
      <c r="F11025" s="142"/>
      <c r="G11025" s="143"/>
      <c r="H11025" s="140"/>
      <c r="I11025" s="140"/>
    </row>
    <row r="11026" spans="1:9" s="90" customFormat="1" ht="12.75" customHeight="1" x14ac:dyDescent="0.2">
      <c r="A11026" s="137"/>
      <c r="B11026" s="138"/>
      <c r="C11026" s="139"/>
      <c r="D11026" s="140"/>
      <c r="E11026" s="141"/>
      <c r="F11026" s="142"/>
      <c r="G11026" s="143"/>
      <c r="H11026" s="140"/>
      <c r="I11026" s="140"/>
    </row>
    <row r="11027" spans="1:9" s="90" customFormat="1" ht="12.75" customHeight="1" x14ac:dyDescent="0.2">
      <c r="A11027" s="137"/>
      <c r="B11027" s="138"/>
      <c r="C11027" s="139"/>
      <c r="D11027" s="140"/>
      <c r="E11027" s="141"/>
      <c r="F11027" s="142"/>
      <c r="G11027" s="143"/>
      <c r="H11027" s="140"/>
      <c r="I11027" s="140"/>
    </row>
    <row r="11028" spans="1:9" s="90" customFormat="1" ht="12.75" customHeight="1" x14ac:dyDescent="0.2">
      <c r="A11028" s="137"/>
      <c r="B11028" s="138"/>
      <c r="C11028" s="139"/>
      <c r="D11028" s="140"/>
      <c r="E11028" s="141"/>
      <c r="F11028" s="142"/>
      <c r="G11028" s="143"/>
      <c r="H11028" s="140"/>
      <c r="I11028" s="140"/>
    </row>
    <row r="11029" spans="1:9" s="90" customFormat="1" ht="12.75" customHeight="1" x14ac:dyDescent="0.2">
      <c r="A11029" s="137"/>
      <c r="B11029" s="138"/>
      <c r="C11029" s="139"/>
      <c r="D11029" s="140"/>
      <c r="E11029" s="141"/>
      <c r="F11029" s="142"/>
      <c r="G11029" s="143"/>
      <c r="H11029" s="140"/>
      <c r="I11029" s="140"/>
    </row>
    <row r="11030" spans="1:9" s="90" customFormat="1" ht="12.75" customHeight="1" x14ac:dyDescent="0.2">
      <c r="A11030" s="137"/>
      <c r="B11030" s="138"/>
      <c r="C11030" s="139"/>
      <c r="D11030" s="140"/>
      <c r="E11030" s="141"/>
      <c r="F11030" s="142"/>
      <c r="G11030" s="143"/>
      <c r="H11030" s="140"/>
      <c r="I11030" s="140"/>
    </row>
    <row r="11031" spans="1:9" s="90" customFormat="1" ht="12.75" customHeight="1" x14ac:dyDescent="0.2">
      <c r="A11031" s="137"/>
      <c r="B11031" s="138"/>
      <c r="C11031" s="139"/>
      <c r="D11031" s="140"/>
      <c r="E11031" s="141"/>
      <c r="F11031" s="142"/>
      <c r="G11031" s="143"/>
      <c r="H11031" s="140"/>
      <c r="I11031" s="140"/>
    </row>
    <row r="11032" spans="1:9" s="90" customFormat="1" ht="12.75" customHeight="1" x14ac:dyDescent="0.2">
      <c r="A11032" s="137"/>
      <c r="B11032" s="138"/>
      <c r="C11032" s="139"/>
      <c r="D11032" s="140"/>
      <c r="E11032" s="141"/>
      <c r="F11032" s="142"/>
      <c r="G11032" s="143"/>
      <c r="H11032" s="140"/>
      <c r="I11032" s="140"/>
    </row>
    <row r="11033" spans="1:9" s="90" customFormat="1" ht="12.75" customHeight="1" x14ac:dyDescent="0.2">
      <c r="A11033" s="137"/>
      <c r="B11033" s="138"/>
      <c r="C11033" s="139"/>
      <c r="D11033" s="140"/>
      <c r="E11033" s="141"/>
      <c r="F11033" s="142"/>
      <c r="G11033" s="143"/>
      <c r="H11033" s="140"/>
      <c r="I11033" s="140"/>
    </row>
    <row r="11034" spans="1:9" s="90" customFormat="1" ht="12.75" customHeight="1" x14ac:dyDescent="0.2">
      <c r="A11034" s="137"/>
      <c r="B11034" s="138"/>
      <c r="C11034" s="139"/>
      <c r="D11034" s="140"/>
      <c r="E11034" s="141"/>
      <c r="F11034" s="142"/>
      <c r="G11034" s="143"/>
      <c r="H11034" s="140"/>
      <c r="I11034" s="140"/>
    </row>
    <row r="11035" spans="1:9" s="90" customFormat="1" ht="12.75" customHeight="1" x14ac:dyDescent="0.2">
      <c r="A11035" s="137"/>
      <c r="B11035" s="138"/>
      <c r="C11035" s="139"/>
      <c r="D11035" s="140"/>
      <c r="E11035" s="141"/>
      <c r="F11035" s="142"/>
      <c r="G11035" s="143"/>
      <c r="H11035" s="140"/>
      <c r="I11035" s="140"/>
    </row>
    <row r="11036" spans="1:9" s="90" customFormat="1" ht="12.75" customHeight="1" x14ac:dyDescent="0.2">
      <c r="A11036" s="137"/>
      <c r="B11036" s="138"/>
      <c r="C11036" s="139"/>
      <c r="D11036" s="140"/>
      <c r="E11036" s="141"/>
      <c r="F11036" s="142"/>
      <c r="G11036" s="143"/>
      <c r="H11036" s="140"/>
      <c r="I11036" s="140"/>
    </row>
    <row r="11037" spans="1:9" s="90" customFormat="1" ht="12.75" customHeight="1" x14ac:dyDescent="0.2">
      <c r="A11037" s="137"/>
      <c r="B11037" s="138"/>
      <c r="C11037" s="139"/>
      <c r="D11037" s="140"/>
      <c r="E11037" s="141"/>
      <c r="F11037" s="142"/>
      <c r="G11037" s="143"/>
      <c r="H11037" s="140"/>
      <c r="I11037" s="140"/>
    </row>
    <row r="11038" spans="1:9" s="90" customFormat="1" ht="12.75" customHeight="1" x14ac:dyDescent="0.2">
      <c r="A11038" s="137"/>
      <c r="B11038" s="138"/>
      <c r="C11038" s="139"/>
      <c r="D11038" s="140"/>
      <c r="E11038" s="141"/>
      <c r="F11038" s="142"/>
      <c r="G11038" s="143"/>
      <c r="H11038" s="140"/>
      <c r="I11038" s="140"/>
    </row>
    <row r="11039" spans="1:9" s="90" customFormat="1" ht="12.75" customHeight="1" x14ac:dyDescent="0.2">
      <c r="A11039" s="137"/>
      <c r="B11039" s="138"/>
      <c r="C11039" s="139"/>
      <c r="D11039" s="140"/>
      <c r="E11039" s="141"/>
      <c r="F11039" s="142"/>
      <c r="G11039" s="143"/>
      <c r="H11039" s="140"/>
      <c r="I11039" s="140"/>
    </row>
    <row r="11040" spans="1:9" s="90" customFormat="1" ht="12.75" customHeight="1" x14ac:dyDescent="0.2">
      <c r="A11040" s="137"/>
      <c r="B11040" s="138"/>
      <c r="C11040" s="139"/>
      <c r="D11040" s="140"/>
      <c r="E11040" s="141"/>
      <c r="F11040" s="142"/>
      <c r="G11040" s="143"/>
      <c r="H11040" s="140"/>
      <c r="I11040" s="140"/>
    </row>
    <row r="11041" spans="1:9" s="90" customFormat="1" ht="12.75" customHeight="1" x14ac:dyDescent="0.2">
      <c r="A11041" s="137"/>
      <c r="B11041" s="138"/>
      <c r="C11041" s="139"/>
      <c r="D11041" s="140"/>
      <c r="E11041" s="141"/>
      <c r="F11041" s="142"/>
      <c r="G11041" s="143"/>
      <c r="H11041" s="140"/>
      <c r="I11041" s="140"/>
    </row>
    <row r="11042" spans="1:9" s="90" customFormat="1" ht="12.75" customHeight="1" x14ac:dyDescent="0.2">
      <c r="A11042" s="137"/>
      <c r="B11042" s="138"/>
      <c r="C11042" s="139"/>
      <c r="D11042" s="140"/>
      <c r="E11042" s="141"/>
      <c r="F11042" s="142"/>
      <c r="G11042" s="143"/>
      <c r="H11042" s="140"/>
      <c r="I11042" s="140"/>
    </row>
    <row r="11043" spans="1:9" s="90" customFormat="1" ht="12.75" customHeight="1" x14ac:dyDescent="0.2">
      <c r="A11043" s="137"/>
      <c r="B11043" s="138"/>
      <c r="C11043" s="139"/>
      <c r="D11043" s="140"/>
      <c r="E11043" s="141"/>
      <c r="F11043" s="142"/>
      <c r="G11043" s="143"/>
      <c r="H11043" s="140"/>
      <c r="I11043" s="140"/>
    </row>
    <row r="11044" spans="1:9" s="90" customFormat="1" ht="12.75" customHeight="1" x14ac:dyDescent="0.2">
      <c r="A11044" s="137"/>
      <c r="B11044" s="138"/>
      <c r="C11044" s="139"/>
      <c r="D11044" s="140"/>
      <c r="E11044" s="141"/>
      <c r="F11044" s="142"/>
      <c r="G11044" s="143"/>
      <c r="H11044" s="140"/>
      <c r="I11044" s="140"/>
    </row>
    <row r="11045" spans="1:9" s="90" customFormat="1" ht="12.75" customHeight="1" x14ac:dyDescent="0.2">
      <c r="A11045" s="137"/>
      <c r="B11045" s="138"/>
      <c r="C11045" s="139"/>
      <c r="D11045" s="140"/>
      <c r="E11045" s="141"/>
      <c r="F11045" s="142"/>
      <c r="G11045" s="143"/>
      <c r="H11045" s="140"/>
      <c r="I11045" s="140"/>
    </row>
    <row r="11046" spans="1:9" s="90" customFormat="1" ht="12.75" customHeight="1" x14ac:dyDescent="0.2">
      <c r="A11046" s="137"/>
      <c r="B11046" s="138"/>
      <c r="C11046" s="139"/>
      <c r="D11046" s="140"/>
      <c r="E11046" s="141"/>
      <c r="F11046" s="142"/>
      <c r="G11046" s="143"/>
      <c r="H11046" s="140"/>
      <c r="I11046" s="140"/>
    </row>
    <row r="11047" spans="1:9" s="90" customFormat="1" ht="12.75" customHeight="1" x14ac:dyDescent="0.2">
      <c r="A11047" s="137"/>
      <c r="B11047" s="138"/>
      <c r="C11047" s="139"/>
      <c r="D11047" s="140"/>
      <c r="E11047" s="141"/>
      <c r="F11047" s="142"/>
      <c r="G11047" s="143"/>
      <c r="H11047" s="140"/>
      <c r="I11047" s="140"/>
    </row>
    <row r="11048" spans="1:9" s="90" customFormat="1" ht="12.75" customHeight="1" x14ac:dyDescent="0.2">
      <c r="A11048" s="137"/>
      <c r="B11048" s="138"/>
      <c r="C11048" s="139"/>
      <c r="D11048" s="140"/>
      <c r="E11048" s="141"/>
      <c r="F11048" s="142"/>
      <c r="G11048" s="143"/>
      <c r="H11048" s="140"/>
      <c r="I11048" s="140"/>
    </row>
    <row r="11049" spans="1:9" s="90" customFormat="1" ht="12.75" customHeight="1" x14ac:dyDescent="0.2">
      <c r="A11049" s="137"/>
      <c r="B11049" s="138"/>
      <c r="C11049" s="139"/>
      <c r="D11049" s="140"/>
      <c r="E11049" s="141"/>
      <c r="F11049" s="142"/>
      <c r="G11049" s="143"/>
      <c r="H11049" s="140"/>
      <c r="I11049" s="140"/>
    </row>
    <row r="11050" spans="1:9" s="90" customFormat="1" ht="12.75" customHeight="1" x14ac:dyDescent="0.2">
      <c r="A11050" s="137"/>
      <c r="B11050" s="138"/>
      <c r="C11050" s="139"/>
      <c r="D11050" s="140"/>
      <c r="E11050" s="141"/>
      <c r="F11050" s="142"/>
      <c r="G11050" s="143"/>
      <c r="H11050" s="140"/>
      <c r="I11050" s="140"/>
    </row>
    <row r="11051" spans="1:9" s="90" customFormat="1" ht="12.75" customHeight="1" x14ac:dyDescent="0.2">
      <c r="A11051" s="137"/>
      <c r="B11051" s="138"/>
      <c r="C11051" s="139"/>
      <c r="D11051" s="140"/>
      <c r="E11051" s="141"/>
      <c r="F11051" s="142"/>
      <c r="G11051" s="143"/>
      <c r="H11051" s="140"/>
      <c r="I11051" s="140"/>
    </row>
    <row r="11052" spans="1:9" s="90" customFormat="1" ht="12.75" customHeight="1" x14ac:dyDescent="0.2">
      <c r="A11052" s="137"/>
      <c r="B11052" s="138"/>
      <c r="C11052" s="139"/>
      <c r="D11052" s="140"/>
      <c r="E11052" s="141"/>
      <c r="F11052" s="142"/>
      <c r="G11052" s="143"/>
      <c r="H11052" s="140"/>
      <c r="I11052" s="140"/>
    </row>
    <row r="11053" spans="1:9" s="90" customFormat="1" ht="12.75" customHeight="1" x14ac:dyDescent="0.2">
      <c r="A11053" s="137"/>
      <c r="B11053" s="138"/>
      <c r="C11053" s="139"/>
      <c r="D11053" s="140"/>
      <c r="E11053" s="141"/>
      <c r="F11053" s="142"/>
      <c r="G11053" s="143"/>
      <c r="H11053" s="140"/>
      <c r="I11053" s="140"/>
    </row>
    <row r="11054" spans="1:9" s="90" customFormat="1" ht="12.75" customHeight="1" x14ac:dyDescent="0.2">
      <c r="A11054" s="137"/>
      <c r="B11054" s="138"/>
      <c r="C11054" s="139"/>
      <c r="D11054" s="140"/>
      <c r="E11054" s="141"/>
      <c r="F11054" s="142"/>
      <c r="G11054" s="143"/>
      <c r="H11054" s="140"/>
      <c r="I11054" s="140"/>
    </row>
    <row r="11055" spans="1:9" s="90" customFormat="1" ht="12.75" customHeight="1" x14ac:dyDescent="0.2">
      <c r="A11055" s="137"/>
      <c r="B11055" s="138"/>
      <c r="C11055" s="139"/>
      <c r="D11055" s="140"/>
      <c r="E11055" s="141"/>
      <c r="F11055" s="142"/>
      <c r="G11055" s="143"/>
      <c r="H11055" s="140"/>
      <c r="I11055" s="140"/>
    </row>
    <row r="11056" spans="1:9" s="90" customFormat="1" ht="12.75" customHeight="1" x14ac:dyDescent="0.2">
      <c r="A11056" s="137"/>
      <c r="B11056" s="138"/>
      <c r="C11056" s="139"/>
      <c r="D11056" s="140"/>
      <c r="E11056" s="141"/>
      <c r="F11056" s="142"/>
      <c r="G11056" s="143"/>
      <c r="H11056" s="140"/>
      <c r="I11056" s="140"/>
    </row>
    <row r="11057" spans="1:9" s="90" customFormat="1" ht="12.75" customHeight="1" x14ac:dyDescent="0.2">
      <c r="A11057" s="137"/>
      <c r="B11057" s="138"/>
      <c r="C11057" s="139"/>
      <c r="D11057" s="140"/>
      <c r="E11057" s="141"/>
      <c r="F11057" s="142"/>
      <c r="G11057" s="143"/>
      <c r="H11057" s="140"/>
      <c r="I11057" s="140"/>
    </row>
    <row r="11058" spans="1:9" s="90" customFormat="1" ht="12.75" customHeight="1" x14ac:dyDescent="0.2">
      <c r="A11058" s="137"/>
      <c r="B11058" s="138"/>
      <c r="C11058" s="139"/>
      <c r="D11058" s="140"/>
      <c r="E11058" s="141"/>
      <c r="F11058" s="142"/>
      <c r="G11058" s="143"/>
      <c r="H11058" s="140"/>
      <c r="I11058" s="140"/>
    </row>
    <row r="11059" spans="1:9" s="90" customFormat="1" ht="12.75" customHeight="1" x14ac:dyDescent="0.2">
      <c r="A11059" s="137"/>
      <c r="B11059" s="138"/>
      <c r="C11059" s="139"/>
      <c r="D11059" s="140"/>
      <c r="E11059" s="141"/>
      <c r="F11059" s="142"/>
      <c r="G11059" s="143"/>
      <c r="H11059" s="140"/>
      <c r="I11059" s="140"/>
    </row>
    <row r="11060" spans="1:9" s="90" customFormat="1" ht="12.75" customHeight="1" x14ac:dyDescent="0.2">
      <c r="A11060" s="137"/>
      <c r="B11060" s="138"/>
      <c r="C11060" s="139"/>
      <c r="D11060" s="140"/>
      <c r="E11060" s="141"/>
      <c r="F11060" s="142"/>
      <c r="G11060" s="143"/>
      <c r="H11060" s="140"/>
      <c r="I11060" s="140"/>
    </row>
    <row r="11061" spans="1:9" s="90" customFormat="1" ht="12.75" customHeight="1" x14ac:dyDescent="0.2">
      <c r="A11061" s="137"/>
      <c r="B11061" s="138"/>
      <c r="C11061" s="139"/>
      <c r="D11061" s="140"/>
      <c r="E11061" s="141"/>
      <c r="F11061" s="142"/>
      <c r="G11061" s="143"/>
      <c r="H11061" s="140"/>
      <c r="I11061" s="140"/>
    </row>
    <row r="11062" spans="1:9" s="90" customFormat="1" ht="12.75" customHeight="1" x14ac:dyDescent="0.2">
      <c r="A11062" s="137"/>
      <c r="B11062" s="138"/>
      <c r="C11062" s="139"/>
      <c r="D11062" s="140"/>
      <c r="E11062" s="141"/>
      <c r="F11062" s="142"/>
      <c r="G11062" s="143"/>
      <c r="H11062" s="140"/>
      <c r="I11062" s="140"/>
    </row>
    <row r="11063" spans="1:9" s="90" customFormat="1" ht="12.75" customHeight="1" x14ac:dyDescent="0.2">
      <c r="A11063" s="137"/>
      <c r="B11063" s="138"/>
      <c r="C11063" s="139"/>
      <c r="D11063" s="140"/>
      <c r="E11063" s="141"/>
      <c r="F11063" s="142"/>
      <c r="G11063" s="143"/>
      <c r="H11063" s="140"/>
      <c r="I11063" s="140"/>
    </row>
    <row r="11064" spans="1:9" s="90" customFormat="1" ht="12.75" customHeight="1" x14ac:dyDescent="0.2">
      <c r="A11064" s="137"/>
      <c r="B11064" s="138"/>
      <c r="C11064" s="139"/>
      <c r="D11064" s="140"/>
      <c r="E11064" s="141"/>
      <c r="F11064" s="142"/>
      <c r="G11064" s="143"/>
      <c r="H11064" s="140"/>
      <c r="I11064" s="140"/>
    </row>
    <row r="11065" spans="1:9" s="90" customFormat="1" ht="12.75" customHeight="1" x14ac:dyDescent="0.2">
      <c r="A11065" s="137"/>
      <c r="B11065" s="138"/>
      <c r="C11065" s="139"/>
      <c r="D11065" s="140"/>
      <c r="E11065" s="141"/>
      <c r="F11065" s="142"/>
      <c r="G11065" s="143"/>
      <c r="H11065" s="140"/>
      <c r="I11065" s="140"/>
    </row>
    <row r="11066" spans="1:9" s="90" customFormat="1" ht="12.75" customHeight="1" x14ac:dyDescent="0.2">
      <c r="A11066" s="137"/>
      <c r="B11066" s="138"/>
      <c r="C11066" s="139"/>
      <c r="D11066" s="140"/>
      <c r="E11066" s="141"/>
      <c r="F11066" s="142"/>
      <c r="G11066" s="143"/>
      <c r="H11066" s="140"/>
      <c r="I11066" s="140"/>
    </row>
    <row r="11067" spans="1:9" s="90" customFormat="1" ht="12.75" customHeight="1" x14ac:dyDescent="0.2">
      <c r="A11067" s="137"/>
      <c r="B11067" s="138"/>
      <c r="C11067" s="139"/>
      <c r="D11067" s="140"/>
      <c r="E11067" s="141"/>
      <c r="F11067" s="142"/>
      <c r="G11067" s="143"/>
      <c r="H11067" s="140"/>
      <c r="I11067" s="140"/>
    </row>
    <row r="11068" spans="1:9" s="90" customFormat="1" ht="12.75" customHeight="1" x14ac:dyDescent="0.2">
      <c r="A11068" s="137"/>
      <c r="B11068" s="138"/>
      <c r="C11068" s="139"/>
      <c r="D11068" s="140"/>
      <c r="E11068" s="141"/>
      <c r="F11068" s="142"/>
      <c r="G11068" s="143"/>
      <c r="H11068" s="140"/>
      <c r="I11068" s="140"/>
    </row>
    <row r="11069" spans="1:9" s="90" customFormat="1" ht="12.75" customHeight="1" x14ac:dyDescent="0.2">
      <c r="A11069" s="137"/>
      <c r="B11069" s="138"/>
      <c r="C11069" s="139"/>
      <c r="D11069" s="140"/>
      <c r="E11069" s="141"/>
      <c r="F11069" s="142"/>
      <c r="G11069" s="143"/>
      <c r="H11069" s="140"/>
      <c r="I11069" s="140"/>
    </row>
    <row r="11070" spans="1:9" s="90" customFormat="1" ht="12.75" customHeight="1" x14ac:dyDescent="0.2">
      <c r="A11070" s="137"/>
      <c r="B11070" s="138"/>
      <c r="C11070" s="139"/>
      <c r="D11070" s="140"/>
      <c r="E11070" s="141"/>
      <c r="F11070" s="142"/>
      <c r="G11070" s="143"/>
      <c r="H11070" s="140"/>
      <c r="I11070" s="140"/>
    </row>
    <row r="11071" spans="1:9" s="90" customFormat="1" ht="12.75" customHeight="1" x14ac:dyDescent="0.2">
      <c r="A11071" s="137"/>
      <c r="B11071" s="138"/>
      <c r="C11071" s="139"/>
      <c r="D11071" s="140"/>
      <c r="E11071" s="141"/>
      <c r="F11071" s="142"/>
      <c r="G11071" s="143"/>
      <c r="H11071" s="140"/>
      <c r="I11071" s="140"/>
    </row>
    <row r="11072" spans="1:9" s="90" customFormat="1" ht="12.75" customHeight="1" x14ac:dyDescent="0.2">
      <c r="A11072" s="137"/>
      <c r="B11072" s="138"/>
      <c r="C11072" s="139"/>
      <c r="D11072" s="140"/>
      <c r="E11072" s="141"/>
      <c r="F11072" s="142"/>
      <c r="G11072" s="143"/>
      <c r="H11072" s="140"/>
      <c r="I11072" s="140"/>
    </row>
    <row r="11073" spans="1:9" s="90" customFormat="1" ht="12.75" customHeight="1" x14ac:dyDescent="0.2">
      <c r="A11073" s="137"/>
      <c r="B11073" s="138"/>
      <c r="C11073" s="139"/>
      <c r="D11073" s="140"/>
      <c r="E11073" s="141"/>
      <c r="F11073" s="142"/>
      <c r="G11073" s="143"/>
      <c r="H11073" s="140"/>
      <c r="I11073" s="140"/>
    </row>
    <row r="11074" spans="1:9" s="90" customFormat="1" ht="12.75" customHeight="1" x14ac:dyDescent="0.2">
      <c r="A11074" s="137"/>
      <c r="B11074" s="138"/>
      <c r="C11074" s="139"/>
      <c r="D11074" s="140"/>
      <c r="E11074" s="141"/>
      <c r="F11074" s="142"/>
      <c r="G11074" s="143"/>
      <c r="H11074" s="140"/>
      <c r="I11074" s="140"/>
    </row>
    <row r="11075" spans="1:9" s="90" customFormat="1" ht="12.75" customHeight="1" x14ac:dyDescent="0.2">
      <c r="A11075" s="137"/>
      <c r="B11075" s="138"/>
      <c r="C11075" s="139"/>
      <c r="D11075" s="140"/>
      <c r="E11075" s="141"/>
      <c r="F11075" s="142"/>
      <c r="G11075" s="143"/>
      <c r="H11075" s="140"/>
      <c r="I11075" s="140"/>
    </row>
    <row r="11076" spans="1:9" s="90" customFormat="1" ht="12.75" customHeight="1" x14ac:dyDescent="0.2">
      <c r="A11076" s="137"/>
      <c r="B11076" s="138"/>
      <c r="C11076" s="139"/>
      <c r="D11076" s="140"/>
      <c r="E11076" s="141"/>
      <c r="F11076" s="142"/>
      <c r="G11076" s="143"/>
      <c r="H11076" s="140"/>
      <c r="I11076" s="140"/>
    </row>
    <row r="11077" spans="1:9" s="90" customFormat="1" ht="12.75" customHeight="1" x14ac:dyDescent="0.2">
      <c r="A11077" s="137"/>
      <c r="B11077" s="138"/>
      <c r="C11077" s="139"/>
      <c r="D11077" s="140"/>
      <c r="E11077" s="141"/>
      <c r="F11077" s="142"/>
      <c r="G11077" s="143"/>
      <c r="H11077" s="140"/>
      <c r="I11077" s="140"/>
    </row>
    <row r="11078" spans="1:9" s="90" customFormat="1" ht="12.75" customHeight="1" x14ac:dyDescent="0.2">
      <c r="A11078" s="137"/>
      <c r="B11078" s="138"/>
      <c r="C11078" s="139"/>
      <c r="D11078" s="140"/>
      <c r="E11078" s="141"/>
      <c r="F11078" s="142"/>
      <c r="G11078" s="143"/>
      <c r="H11078" s="140"/>
      <c r="I11078" s="140"/>
    </row>
    <row r="11079" spans="1:9" s="90" customFormat="1" ht="12.75" customHeight="1" x14ac:dyDescent="0.2">
      <c r="A11079" s="137"/>
      <c r="B11079" s="138"/>
      <c r="C11079" s="139"/>
      <c r="D11079" s="140"/>
      <c r="E11079" s="141"/>
      <c r="F11079" s="142"/>
      <c r="G11079" s="143"/>
      <c r="H11079" s="140"/>
      <c r="I11079" s="140"/>
    </row>
    <row r="11080" spans="1:9" s="90" customFormat="1" ht="12.75" customHeight="1" x14ac:dyDescent="0.2">
      <c r="A11080" s="137"/>
      <c r="B11080" s="138"/>
      <c r="C11080" s="139"/>
      <c r="D11080" s="140"/>
      <c r="E11080" s="141"/>
      <c r="F11080" s="142"/>
      <c r="G11080" s="143"/>
      <c r="H11080" s="140"/>
      <c r="I11080" s="140"/>
    </row>
    <row r="11081" spans="1:9" s="90" customFormat="1" ht="12.75" customHeight="1" x14ac:dyDescent="0.2">
      <c r="A11081" s="137"/>
      <c r="B11081" s="138"/>
      <c r="C11081" s="139"/>
      <c r="D11081" s="140"/>
      <c r="E11081" s="141"/>
      <c r="F11081" s="142"/>
      <c r="G11081" s="143"/>
      <c r="H11081" s="140"/>
      <c r="I11081" s="140"/>
    </row>
    <row r="11082" spans="1:9" s="90" customFormat="1" ht="12.75" customHeight="1" x14ac:dyDescent="0.2">
      <c r="A11082" s="137"/>
      <c r="B11082" s="138"/>
      <c r="C11082" s="139"/>
      <c r="D11082" s="140"/>
      <c r="E11082" s="141"/>
      <c r="F11082" s="142"/>
      <c r="G11082" s="143"/>
      <c r="H11082" s="140"/>
      <c r="I11082" s="140"/>
    </row>
    <row r="11083" spans="1:9" s="90" customFormat="1" ht="12.75" customHeight="1" x14ac:dyDescent="0.2">
      <c r="A11083" s="137"/>
      <c r="B11083" s="138"/>
      <c r="C11083" s="139"/>
      <c r="D11083" s="140"/>
      <c r="E11083" s="141"/>
      <c r="F11083" s="142"/>
      <c r="G11083" s="143"/>
      <c r="H11083" s="140"/>
      <c r="I11083" s="140"/>
    </row>
    <row r="11084" spans="1:9" s="90" customFormat="1" ht="12.75" customHeight="1" x14ac:dyDescent="0.2">
      <c r="A11084" s="137"/>
      <c r="B11084" s="138"/>
      <c r="C11084" s="139"/>
      <c r="D11084" s="140"/>
      <c r="E11084" s="141"/>
      <c r="F11084" s="142"/>
      <c r="G11084" s="143"/>
      <c r="H11084" s="140"/>
      <c r="I11084" s="140"/>
    </row>
    <row r="11085" spans="1:9" s="90" customFormat="1" ht="12.75" customHeight="1" x14ac:dyDescent="0.2">
      <c r="A11085" s="137"/>
      <c r="B11085" s="138"/>
      <c r="C11085" s="139"/>
      <c r="D11085" s="140"/>
      <c r="E11085" s="141"/>
      <c r="F11085" s="142"/>
      <c r="G11085" s="143"/>
      <c r="H11085" s="140"/>
      <c r="I11085" s="140"/>
    </row>
    <row r="11086" spans="1:9" s="90" customFormat="1" ht="12.75" customHeight="1" x14ac:dyDescent="0.2">
      <c r="A11086" s="137"/>
      <c r="B11086" s="138"/>
      <c r="C11086" s="139"/>
      <c r="D11086" s="140"/>
      <c r="E11086" s="141"/>
      <c r="F11086" s="142"/>
      <c r="G11086" s="143"/>
      <c r="H11086" s="140"/>
      <c r="I11086" s="140"/>
    </row>
    <row r="11087" spans="1:9" s="90" customFormat="1" ht="12.75" customHeight="1" x14ac:dyDescent="0.2">
      <c r="A11087" s="137"/>
      <c r="B11087" s="138"/>
      <c r="C11087" s="139"/>
      <c r="D11087" s="140"/>
      <c r="E11087" s="141"/>
      <c r="F11087" s="142"/>
      <c r="G11087" s="143"/>
      <c r="H11087" s="140"/>
      <c r="I11087" s="140"/>
    </row>
    <row r="11088" spans="1:9" s="90" customFormat="1" ht="12.75" customHeight="1" x14ac:dyDescent="0.2">
      <c r="A11088" s="137"/>
      <c r="B11088" s="138"/>
      <c r="C11088" s="139"/>
      <c r="D11088" s="140"/>
      <c r="E11088" s="141"/>
      <c r="F11088" s="142"/>
      <c r="G11088" s="143"/>
      <c r="H11088" s="140"/>
      <c r="I11088" s="140"/>
    </row>
    <row r="11089" spans="1:9" s="90" customFormat="1" ht="12.75" customHeight="1" x14ac:dyDescent="0.2">
      <c r="A11089" s="137"/>
      <c r="B11089" s="138"/>
      <c r="C11089" s="139"/>
      <c r="D11089" s="140"/>
      <c r="E11089" s="141"/>
      <c r="F11089" s="142"/>
      <c r="G11089" s="143"/>
      <c r="H11089" s="140"/>
      <c r="I11089" s="140"/>
    </row>
    <row r="11090" spans="1:9" s="90" customFormat="1" ht="12.75" customHeight="1" x14ac:dyDescent="0.2">
      <c r="A11090" s="137"/>
      <c r="B11090" s="138"/>
      <c r="C11090" s="139"/>
      <c r="D11090" s="140"/>
      <c r="E11090" s="141"/>
      <c r="F11090" s="142"/>
      <c r="G11090" s="143"/>
      <c r="H11090" s="140"/>
      <c r="I11090" s="140"/>
    </row>
    <row r="11091" spans="1:9" s="90" customFormat="1" ht="12.75" customHeight="1" x14ac:dyDescent="0.2">
      <c r="A11091" s="137"/>
      <c r="B11091" s="138"/>
      <c r="C11091" s="139"/>
      <c r="D11091" s="140"/>
      <c r="E11091" s="141"/>
      <c r="F11091" s="142"/>
      <c r="G11091" s="143"/>
      <c r="H11091" s="140"/>
      <c r="I11091" s="140"/>
    </row>
    <row r="11092" spans="1:9" s="90" customFormat="1" ht="12.75" customHeight="1" x14ac:dyDescent="0.2">
      <c r="A11092" s="137"/>
      <c r="B11092" s="138"/>
      <c r="C11092" s="139"/>
      <c r="D11092" s="140"/>
      <c r="E11092" s="141"/>
      <c r="F11092" s="142"/>
      <c r="G11092" s="143"/>
      <c r="H11092" s="140"/>
      <c r="I11092" s="140"/>
    </row>
    <row r="11093" spans="1:9" s="90" customFormat="1" ht="12.75" customHeight="1" x14ac:dyDescent="0.2">
      <c r="A11093" s="137"/>
      <c r="B11093" s="138"/>
      <c r="C11093" s="139"/>
      <c r="D11093" s="140"/>
      <c r="E11093" s="141"/>
      <c r="F11093" s="142"/>
      <c r="G11093" s="143"/>
      <c r="H11093" s="140"/>
      <c r="I11093" s="140"/>
    </row>
    <row r="11094" spans="1:9" s="90" customFormat="1" ht="12.75" customHeight="1" x14ac:dyDescent="0.2">
      <c r="A11094" s="137"/>
      <c r="B11094" s="138"/>
      <c r="C11094" s="139"/>
      <c r="D11094" s="140"/>
      <c r="E11094" s="141"/>
      <c r="F11094" s="142"/>
      <c r="G11094" s="143"/>
      <c r="H11094" s="140"/>
      <c r="I11094" s="140"/>
    </row>
    <row r="11095" spans="1:9" s="90" customFormat="1" ht="12.75" customHeight="1" x14ac:dyDescent="0.2">
      <c r="A11095" s="137"/>
      <c r="B11095" s="138"/>
      <c r="C11095" s="139"/>
      <c r="D11095" s="140"/>
      <c r="E11095" s="141"/>
      <c r="F11095" s="142"/>
      <c r="G11095" s="143"/>
      <c r="H11095" s="140"/>
      <c r="I11095" s="140"/>
    </row>
    <row r="11096" spans="1:9" s="90" customFormat="1" ht="12.75" customHeight="1" x14ac:dyDescent="0.2">
      <c r="A11096" s="137"/>
      <c r="B11096" s="138"/>
      <c r="C11096" s="139"/>
      <c r="D11096" s="140"/>
      <c r="E11096" s="141"/>
      <c r="F11096" s="142"/>
      <c r="G11096" s="143"/>
      <c r="H11096" s="140"/>
      <c r="I11096" s="140"/>
    </row>
    <row r="11097" spans="1:9" s="90" customFormat="1" ht="12.75" customHeight="1" x14ac:dyDescent="0.2">
      <c r="A11097" s="137"/>
      <c r="B11097" s="138"/>
      <c r="C11097" s="139"/>
      <c r="D11097" s="140"/>
      <c r="E11097" s="141"/>
      <c r="F11097" s="142"/>
      <c r="G11097" s="143"/>
      <c r="H11097" s="140"/>
      <c r="I11097" s="140"/>
    </row>
    <row r="11098" spans="1:9" s="90" customFormat="1" ht="12.75" customHeight="1" x14ac:dyDescent="0.2">
      <c r="A11098" s="137"/>
      <c r="B11098" s="138"/>
      <c r="C11098" s="139"/>
      <c r="D11098" s="140"/>
      <c r="E11098" s="141"/>
      <c r="F11098" s="142"/>
      <c r="G11098" s="143"/>
      <c r="H11098" s="140"/>
      <c r="I11098" s="140"/>
    </row>
    <row r="11099" spans="1:9" s="90" customFormat="1" ht="12.75" customHeight="1" x14ac:dyDescent="0.2">
      <c r="A11099" s="137"/>
      <c r="B11099" s="138"/>
      <c r="C11099" s="139"/>
      <c r="D11099" s="140"/>
      <c r="E11099" s="141"/>
      <c r="F11099" s="142"/>
      <c r="G11099" s="143"/>
      <c r="H11099" s="140"/>
      <c r="I11099" s="140"/>
    </row>
    <row r="11100" spans="1:9" s="90" customFormat="1" ht="12.75" customHeight="1" x14ac:dyDescent="0.2">
      <c r="A11100" s="137"/>
      <c r="B11100" s="138"/>
      <c r="C11100" s="139"/>
      <c r="D11100" s="140"/>
      <c r="E11100" s="141"/>
      <c r="F11100" s="142"/>
      <c r="G11100" s="143"/>
      <c r="H11100" s="140"/>
      <c r="I11100" s="140"/>
    </row>
    <row r="11101" spans="1:9" s="90" customFormat="1" ht="12.75" customHeight="1" x14ac:dyDescent="0.2">
      <c r="A11101" s="137"/>
      <c r="B11101" s="138"/>
      <c r="C11101" s="139"/>
      <c r="D11101" s="140"/>
      <c r="E11101" s="141"/>
      <c r="F11101" s="142"/>
      <c r="G11101" s="143"/>
      <c r="H11101" s="140"/>
      <c r="I11101" s="140"/>
    </row>
    <row r="11102" spans="1:9" s="90" customFormat="1" ht="12.75" customHeight="1" x14ac:dyDescent="0.2">
      <c r="A11102" s="137"/>
      <c r="B11102" s="138"/>
      <c r="C11102" s="139"/>
      <c r="D11102" s="140"/>
      <c r="E11102" s="141"/>
      <c r="F11102" s="142"/>
      <c r="G11102" s="143"/>
      <c r="H11102" s="140"/>
      <c r="I11102" s="140"/>
    </row>
    <row r="11103" spans="1:9" s="90" customFormat="1" ht="12.75" customHeight="1" x14ac:dyDescent="0.2">
      <c r="A11103" s="137"/>
      <c r="B11103" s="138"/>
      <c r="C11103" s="139"/>
      <c r="D11103" s="140"/>
      <c r="E11103" s="141"/>
      <c r="F11103" s="142"/>
      <c r="G11103" s="143"/>
      <c r="H11103" s="140"/>
      <c r="I11103" s="140"/>
    </row>
    <row r="11104" spans="1:9" s="90" customFormat="1" ht="12.75" customHeight="1" x14ac:dyDescent="0.2">
      <c r="A11104" s="137"/>
      <c r="B11104" s="138"/>
      <c r="C11104" s="139"/>
      <c r="D11104" s="140"/>
      <c r="E11104" s="141"/>
      <c r="F11104" s="142"/>
      <c r="G11104" s="143"/>
      <c r="H11104" s="140"/>
      <c r="I11104" s="140"/>
    </row>
    <row r="11105" spans="1:9" s="90" customFormat="1" ht="12.75" customHeight="1" x14ac:dyDescent="0.2">
      <c r="A11105" s="137"/>
      <c r="B11105" s="138"/>
      <c r="C11105" s="139"/>
      <c r="D11105" s="140"/>
      <c r="E11105" s="141"/>
      <c r="F11105" s="142"/>
      <c r="G11105" s="143"/>
      <c r="H11105" s="140"/>
      <c r="I11105" s="140"/>
    </row>
    <row r="11106" spans="1:9" s="90" customFormat="1" ht="12.75" customHeight="1" x14ac:dyDescent="0.2">
      <c r="A11106" s="137"/>
      <c r="B11106" s="138"/>
      <c r="C11106" s="139"/>
      <c r="D11106" s="140"/>
      <c r="E11106" s="141"/>
      <c r="F11106" s="142"/>
      <c r="G11106" s="143"/>
      <c r="H11106" s="140"/>
      <c r="I11106" s="140"/>
    </row>
    <row r="11107" spans="1:9" s="90" customFormat="1" ht="12.75" customHeight="1" x14ac:dyDescent="0.2">
      <c r="A11107" s="137"/>
      <c r="B11107" s="138"/>
      <c r="C11107" s="139"/>
      <c r="D11107" s="140"/>
      <c r="E11107" s="141"/>
      <c r="F11107" s="142"/>
      <c r="G11107" s="143"/>
      <c r="H11107" s="140"/>
      <c r="I11107" s="140"/>
    </row>
    <row r="11108" spans="1:9" s="90" customFormat="1" ht="12.75" customHeight="1" x14ac:dyDescent="0.2">
      <c r="A11108" s="137"/>
      <c r="B11108" s="138"/>
      <c r="C11108" s="139"/>
      <c r="D11108" s="140"/>
      <c r="E11108" s="141"/>
      <c r="F11108" s="142"/>
      <c r="G11108" s="143"/>
      <c r="H11108" s="140"/>
      <c r="I11108" s="140"/>
    </row>
    <row r="11109" spans="1:9" s="90" customFormat="1" ht="12.75" customHeight="1" x14ac:dyDescent="0.2">
      <c r="A11109" s="137"/>
      <c r="B11109" s="138"/>
      <c r="C11109" s="139"/>
      <c r="D11109" s="140"/>
      <c r="E11109" s="141"/>
      <c r="F11109" s="142"/>
      <c r="G11109" s="143"/>
      <c r="H11109" s="140"/>
      <c r="I11109" s="140"/>
    </row>
    <row r="11110" spans="1:9" s="90" customFormat="1" ht="12.75" customHeight="1" x14ac:dyDescent="0.2">
      <c r="A11110" s="137"/>
      <c r="B11110" s="138"/>
      <c r="C11110" s="139"/>
      <c r="D11110" s="140"/>
      <c r="E11110" s="141"/>
      <c r="F11110" s="142"/>
      <c r="G11110" s="143"/>
      <c r="H11110" s="140"/>
      <c r="I11110" s="140"/>
    </row>
    <row r="11111" spans="1:9" s="90" customFormat="1" ht="12.75" customHeight="1" x14ac:dyDescent="0.2">
      <c r="A11111" s="137"/>
      <c r="B11111" s="138"/>
      <c r="C11111" s="139"/>
      <c r="D11111" s="140"/>
      <c r="E11111" s="141"/>
      <c r="F11111" s="142"/>
      <c r="G11111" s="143"/>
      <c r="H11111" s="140"/>
      <c r="I11111" s="140"/>
    </row>
    <row r="11112" spans="1:9" s="90" customFormat="1" ht="12.75" customHeight="1" x14ac:dyDescent="0.2">
      <c r="A11112" s="137"/>
      <c r="B11112" s="138"/>
      <c r="C11112" s="139"/>
      <c r="D11112" s="140"/>
      <c r="E11112" s="141"/>
      <c r="F11112" s="142"/>
      <c r="G11112" s="143"/>
      <c r="H11112" s="140"/>
      <c r="I11112" s="140"/>
    </row>
    <row r="11113" spans="1:9" s="90" customFormat="1" ht="12.75" customHeight="1" x14ac:dyDescent="0.2">
      <c r="A11113" s="137"/>
      <c r="B11113" s="138"/>
      <c r="C11113" s="139"/>
      <c r="D11113" s="140"/>
      <c r="E11113" s="141"/>
      <c r="F11113" s="142"/>
      <c r="G11113" s="143"/>
      <c r="H11113" s="140"/>
      <c r="I11113" s="140"/>
    </row>
    <row r="11114" spans="1:9" s="90" customFormat="1" ht="12.75" customHeight="1" x14ac:dyDescent="0.2">
      <c r="A11114" s="137"/>
      <c r="B11114" s="138"/>
      <c r="C11114" s="139"/>
      <c r="D11114" s="140"/>
      <c r="E11114" s="141"/>
      <c r="F11114" s="142"/>
      <c r="G11114" s="143"/>
      <c r="H11114" s="140"/>
      <c r="I11114" s="140"/>
    </row>
    <row r="11115" spans="1:9" s="90" customFormat="1" ht="12.75" customHeight="1" x14ac:dyDescent="0.2">
      <c r="A11115" s="137"/>
      <c r="B11115" s="138"/>
      <c r="C11115" s="139"/>
      <c r="D11115" s="140"/>
      <c r="E11115" s="141"/>
      <c r="F11115" s="142"/>
      <c r="G11115" s="143"/>
      <c r="H11115" s="140"/>
      <c r="I11115" s="140"/>
    </row>
    <row r="11116" spans="1:9" s="90" customFormat="1" ht="12.75" customHeight="1" x14ac:dyDescent="0.2">
      <c r="A11116" s="137"/>
      <c r="B11116" s="138"/>
      <c r="C11116" s="139"/>
      <c r="D11116" s="140"/>
      <c r="E11116" s="141"/>
      <c r="F11116" s="142"/>
      <c r="G11116" s="143"/>
      <c r="H11116" s="140"/>
      <c r="I11116" s="140"/>
    </row>
    <row r="11117" spans="1:9" s="90" customFormat="1" ht="12.75" customHeight="1" x14ac:dyDescent="0.2">
      <c r="A11117" s="137"/>
      <c r="B11117" s="138"/>
      <c r="C11117" s="139"/>
      <c r="D11117" s="140"/>
      <c r="E11117" s="141"/>
      <c r="F11117" s="142"/>
      <c r="G11117" s="143"/>
      <c r="H11117" s="140"/>
      <c r="I11117" s="140"/>
    </row>
    <row r="11118" spans="1:9" s="90" customFormat="1" ht="12.75" customHeight="1" x14ac:dyDescent="0.2">
      <c r="A11118" s="137"/>
      <c r="B11118" s="138"/>
      <c r="C11118" s="139"/>
      <c r="D11118" s="140"/>
      <c r="E11118" s="141"/>
      <c r="F11118" s="142"/>
      <c r="G11118" s="143"/>
      <c r="H11118" s="140"/>
      <c r="I11118" s="140"/>
    </row>
    <row r="11119" spans="1:9" s="90" customFormat="1" ht="12.75" customHeight="1" x14ac:dyDescent="0.2">
      <c r="A11119" s="137"/>
      <c r="B11119" s="138"/>
      <c r="C11119" s="139"/>
      <c r="D11119" s="140"/>
      <c r="E11119" s="141"/>
      <c r="F11119" s="142"/>
      <c r="G11119" s="143"/>
      <c r="H11119" s="140"/>
      <c r="I11119" s="140"/>
    </row>
    <row r="11120" spans="1:9" s="90" customFormat="1" ht="12.75" customHeight="1" x14ac:dyDescent="0.2">
      <c r="A11120" s="137"/>
      <c r="B11120" s="138"/>
      <c r="C11120" s="139"/>
      <c r="D11120" s="140"/>
      <c r="E11120" s="141"/>
      <c r="F11120" s="142"/>
      <c r="G11120" s="143"/>
      <c r="H11120" s="140"/>
      <c r="I11120" s="140"/>
    </row>
    <row r="11121" spans="1:9" s="90" customFormat="1" ht="12.75" customHeight="1" x14ac:dyDescent="0.2">
      <c r="A11121" s="137"/>
      <c r="B11121" s="138"/>
      <c r="C11121" s="139"/>
      <c r="D11121" s="140"/>
      <c r="E11121" s="141"/>
      <c r="F11121" s="142"/>
      <c r="G11121" s="143"/>
      <c r="H11121" s="140"/>
      <c r="I11121" s="140"/>
    </row>
    <row r="11122" spans="1:9" s="90" customFormat="1" ht="12.75" customHeight="1" x14ac:dyDescent="0.2">
      <c r="A11122" s="137"/>
      <c r="B11122" s="138"/>
      <c r="C11122" s="139"/>
      <c r="D11122" s="140"/>
      <c r="E11122" s="141"/>
      <c r="F11122" s="142"/>
      <c r="G11122" s="143"/>
      <c r="H11122" s="140"/>
      <c r="I11122" s="140"/>
    </row>
    <row r="11123" spans="1:9" s="90" customFormat="1" ht="12.75" customHeight="1" x14ac:dyDescent="0.2">
      <c r="A11123" s="137"/>
      <c r="B11123" s="138"/>
      <c r="C11123" s="139"/>
      <c r="D11123" s="140"/>
      <c r="E11123" s="141"/>
      <c r="F11123" s="142"/>
      <c r="G11123" s="143"/>
      <c r="H11123" s="140"/>
      <c r="I11123" s="140"/>
    </row>
    <row r="11124" spans="1:9" s="90" customFormat="1" ht="12.75" customHeight="1" x14ac:dyDescent="0.2">
      <c r="A11124" s="137"/>
      <c r="B11124" s="138"/>
      <c r="C11124" s="139"/>
      <c r="D11124" s="140"/>
      <c r="E11124" s="141"/>
      <c r="F11124" s="142"/>
      <c r="G11124" s="143"/>
      <c r="H11124" s="140"/>
      <c r="I11124" s="140"/>
    </row>
    <row r="11125" spans="1:9" s="90" customFormat="1" ht="12.75" customHeight="1" x14ac:dyDescent="0.2">
      <c r="A11125" s="137"/>
      <c r="B11125" s="138"/>
      <c r="C11125" s="139"/>
      <c r="D11125" s="140"/>
      <c r="E11125" s="141"/>
      <c r="F11125" s="142"/>
      <c r="G11125" s="143"/>
      <c r="H11125" s="140"/>
      <c r="I11125" s="140"/>
    </row>
    <row r="11126" spans="1:9" s="90" customFormat="1" ht="12.75" customHeight="1" x14ac:dyDescent="0.2">
      <c r="A11126" s="137"/>
      <c r="B11126" s="138"/>
      <c r="C11126" s="139"/>
      <c r="D11126" s="140"/>
      <c r="E11126" s="141"/>
      <c r="F11126" s="142"/>
      <c r="G11126" s="143"/>
      <c r="H11126" s="140"/>
      <c r="I11126" s="140"/>
    </row>
    <row r="11127" spans="1:9" s="90" customFormat="1" ht="12.75" customHeight="1" x14ac:dyDescent="0.2">
      <c r="A11127" s="137"/>
      <c r="B11127" s="138"/>
      <c r="C11127" s="139"/>
      <c r="D11127" s="140"/>
      <c r="E11127" s="141"/>
      <c r="F11127" s="142"/>
      <c r="G11127" s="143"/>
      <c r="H11127" s="140"/>
      <c r="I11127" s="140"/>
    </row>
    <row r="11128" spans="1:9" s="90" customFormat="1" ht="12.75" customHeight="1" x14ac:dyDescent="0.2">
      <c r="A11128" s="137"/>
      <c r="B11128" s="138"/>
      <c r="C11128" s="139"/>
      <c r="D11128" s="140"/>
      <c r="E11128" s="141"/>
      <c r="F11128" s="142"/>
      <c r="G11128" s="143"/>
      <c r="H11128" s="140"/>
      <c r="I11128" s="140"/>
    </row>
    <row r="11129" spans="1:9" s="90" customFormat="1" ht="12.75" customHeight="1" x14ac:dyDescent="0.2">
      <c r="A11129" s="137"/>
      <c r="B11129" s="138"/>
      <c r="C11129" s="139"/>
      <c r="D11129" s="140"/>
      <c r="E11129" s="141"/>
      <c r="F11129" s="142"/>
      <c r="G11129" s="143"/>
      <c r="H11129" s="140"/>
      <c r="I11129" s="140"/>
    </row>
    <row r="11130" spans="1:9" s="90" customFormat="1" ht="12.75" customHeight="1" x14ac:dyDescent="0.2">
      <c r="A11130" s="137"/>
      <c r="B11130" s="138"/>
      <c r="C11130" s="139"/>
      <c r="D11130" s="140"/>
      <c r="E11130" s="141"/>
      <c r="F11130" s="142"/>
      <c r="G11130" s="143"/>
      <c r="H11130" s="140"/>
      <c r="I11130" s="140"/>
    </row>
    <row r="11131" spans="1:9" s="90" customFormat="1" ht="12.75" customHeight="1" x14ac:dyDescent="0.2">
      <c r="A11131" s="137"/>
      <c r="B11131" s="138"/>
      <c r="C11131" s="139"/>
      <c r="D11131" s="140"/>
      <c r="E11131" s="141"/>
      <c r="F11131" s="142"/>
      <c r="G11131" s="143"/>
      <c r="H11131" s="140"/>
      <c r="I11131" s="140"/>
    </row>
    <row r="11132" spans="1:9" s="90" customFormat="1" ht="12.75" customHeight="1" x14ac:dyDescent="0.2">
      <c r="A11132" s="137"/>
      <c r="B11132" s="138"/>
      <c r="C11132" s="139"/>
      <c r="D11132" s="140"/>
      <c r="E11132" s="141"/>
      <c r="F11132" s="142"/>
      <c r="G11132" s="143"/>
      <c r="H11132" s="140"/>
      <c r="I11132" s="140"/>
    </row>
    <row r="11133" spans="1:9" s="90" customFormat="1" ht="12.75" customHeight="1" x14ac:dyDescent="0.2">
      <c r="A11133" s="137"/>
      <c r="B11133" s="138"/>
      <c r="C11133" s="139"/>
      <c r="D11133" s="140"/>
      <c r="E11133" s="141"/>
      <c r="F11133" s="142"/>
      <c r="G11133" s="143"/>
      <c r="H11133" s="140"/>
      <c r="I11133" s="140"/>
    </row>
    <row r="11134" spans="1:9" s="90" customFormat="1" ht="12.75" customHeight="1" x14ac:dyDescent="0.2">
      <c r="A11134" s="137"/>
      <c r="B11134" s="138"/>
      <c r="C11134" s="139"/>
      <c r="D11134" s="140"/>
      <c r="E11134" s="141"/>
      <c r="F11134" s="142"/>
      <c r="G11134" s="143"/>
      <c r="H11134" s="140"/>
      <c r="I11134" s="140"/>
    </row>
    <row r="11135" spans="1:9" s="90" customFormat="1" ht="12.75" customHeight="1" x14ac:dyDescent="0.2">
      <c r="A11135" s="137"/>
      <c r="B11135" s="138"/>
      <c r="C11135" s="139"/>
      <c r="D11135" s="140"/>
      <c r="E11135" s="141"/>
      <c r="F11135" s="142"/>
      <c r="G11135" s="143"/>
      <c r="H11135" s="140"/>
      <c r="I11135" s="140"/>
    </row>
    <row r="11136" spans="1:9" s="90" customFormat="1" ht="12.75" customHeight="1" x14ac:dyDescent="0.2">
      <c r="A11136" s="137"/>
      <c r="B11136" s="138"/>
      <c r="C11136" s="139"/>
      <c r="D11136" s="140"/>
      <c r="E11136" s="141"/>
      <c r="F11136" s="142"/>
      <c r="G11136" s="143"/>
      <c r="H11136" s="140"/>
      <c r="I11136" s="140"/>
    </row>
    <row r="11137" spans="1:9" s="90" customFormat="1" ht="12.75" customHeight="1" x14ac:dyDescent="0.2">
      <c r="A11137" s="137"/>
      <c r="B11137" s="138"/>
      <c r="C11137" s="139"/>
      <c r="D11137" s="140"/>
      <c r="E11137" s="141"/>
      <c r="F11137" s="142"/>
      <c r="G11137" s="143"/>
      <c r="H11137" s="140"/>
      <c r="I11137" s="140"/>
    </row>
    <row r="11138" spans="1:9" s="90" customFormat="1" ht="12.75" customHeight="1" x14ac:dyDescent="0.2">
      <c r="A11138" s="137"/>
      <c r="B11138" s="138"/>
      <c r="C11138" s="139"/>
      <c r="D11138" s="140"/>
      <c r="E11138" s="141"/>
      <c r="F11138" s="142"/>
      <c r="G11138" s="143"/>
      <c r="H11138" s="140"/>
      <c r="I11138" s="140"/>
    </row>
    <row r="11139" spans="1:9" s="90" customFormat="1" ht="12.75" customHeight="1" x14ac:dyDescent="0.2">
      <c r="A11139" s="137"/>
      <c r="B11139" s="138"/>
      <c r="C11139" s="139"/>
      <c r="D11139" s="140"/>
      <c r="E11139" s="141"/>
      <c r="F11139" s="142"/>
      <c r="G11139" s="143"/>
      <c r="H11139" s="140"/>
      <c r="I11139" s="140"/>
    </row>
    <row r="11140" spans="1:9" s="90" customFormat="1" ht="12.75" customHeight="1" x14ac:dyDescent="0.2">
      <c r="A11140" s="137"/>
      <c r="B11140" s="138"/>
      <c r="C11140" s="139"/>
      <c r="D11140" s="140"/>
      <c r="E11140" s="141"/>
      <c r="F11140" s="142"/>
      <c r="G11140" s="143"/>
      <c r="H11140" s="140"/>
      <c r="I11140" s="140"/>
    </row>
    <row r="11141" spans="1:9" s="90" customFormat="1" ht="12.75" customHeight="1" x14ac:dyDescent="0.2">
      <c r="A11141" s="137"/>
      <c r="B11141" s="138"/>
      <c r="C11141" s="139"/>
      <c r="D11141" s="140"/>
      <c r="E11141" s="141"/>
      <c r="F11141" s="142"/>
      <c r="G11141" s="143"/>
      <c r="H11141" s="140"/>
      <c r="I11141" s="140"/>
    </row>
    <row r="11142" spans="1:9" s="90" customFormat="1" ht="12.75" customHeight="1" x14ac:dyDescent="0.2">
      <c r="A11142" s="137"/>
      <c r="B11142" s="138"/>
      <c r="C11142" s="139"/>
      <c r="D11142" s="140"/>
      <c r="E11142" s="141"/>
      <c r="F11142" s="142"/>
      <c r="G11142" s="143"/>
      <c r="H11142" s="140"/>
      <c r="I11142" s="140"/>
    </row>
    <row r="11143" spans="1:9" s="90" customFormat="1" ht="12.75" customHeight="1" x14ac:dyDescent="0.2">
      <c r="A11143" s="137"/>
      <c r="B11143" s="138"/>
      <c r="C11143" s="139"/>
      <c r="D11143" s="140"/>
      <c r="E11143" s="141"/>
      <c r="F11143" s="142"/>
      <c r="G11143" s="143"/>
      <c r="H11143" s="140"/>
      <c r="I11143" s="140"/>
    </row>
    <row r="11144" spans="1:9" s="90" customFormat="1" ht="12.75" customHeight="1" x14ac:dyDescent="0.2">
      <c r="A11144" s="137"/>
      <c r="B11144" s="138"/>
      <c r="C11144" s="139"/>
      <c r="D11144" s="140"/>
      <c r="E11144" s="141"/>
      <c r="F11144" s="142"/>
      <c r="G11144" s="143"/>
      <c r="H11144" s="140"/>
      <c r="I11144" s="140"/>
    </row>
    <row r="11145" spans="1:9" s="90" customFormat="1" ht="12.75" customHeight="1" x14ac:dyDescent="0.2">
      <c r="A11145" s="137"/>
      <c r="B11145" s="138"/>
      <c r="C11145" s="139"/>
      <c r="D11145" s="140"/>
      <c r="E11145" s="141"/>
      <c r="F11145" s="142"/>
      <c r="G11145" s="143"/>
      <c r="H11145" s="140"/>
      <c r="I11145" s="140"/>
    </row>
    <row r="11146" spans="1:9" s="90" customFormat="1" ht="12.75" customHeight="1" x14ac:dyDescent="0.2">
      <c r="A11146" s="137"/>
      <c r="B11146" s="138"/>
      <c r="C11146" s="139"/>
      <c r="D11146" s="140"/>
      <c r="E11146" s="141"/>
      <c r="F11146" s="142"/>
      <c r="G11146" s="143"/>
      <c r="H11146" s="140"/>
      <c r="I11146" s="140"/>
    </row>
    <row r="11147" spans="1:9" s="90" customFormat="1" ht="12.75" customHeight="1" x14ac:dyDescent="0.2">
      <c r="A11147" s="137"/>
      <c r="B11147" s="138"/>
      <c r="C11147" s="139"/>
      <c r="D11147" s="140"/>
      <c r="E11147" s="141"/>
      <c r="F11147" s="142"/>
      <c r="G11147" s="143"/>
      <c r="H11147" s="140"/>
      <c r="I11147" s="140"/>
    </row>
    <row r="11148" spans="1:9" s="90" customFormat="1" ht="12.75" customHeight="1" x14ac:dyDescent="0.2">
      <c r="A11148" s="137"/>
      <c r="B11148" s="138"/>
      <c r="C11148" s="139"/>
      <c r="D11148" s="140"/>
      <c r="E11148" s="141"/>
      <c r="F11148" s="142"/>
      <c r="G11148" s="143"/>
      <c r="H11148" s="140"/>
      <c r="I11148" s="140"/>
    </row>
    <row r="11149" spans="1:9" s="90" customFormat="1" ht="12.75" customHeight="1" x14ac:dyDescent="0.2">
      <c r="A11149" s="137"/>
      <c r="B11149" s="138"/>
      <c r="C11149" s="139"/>
      <c r="D11149" s="140"/>
      <c r="E11149" s="141"/>
      <c r="F11149" s="142"/>
      <c r="G11149" s="143"/>
      <c r="H11149" s="140"/>
      <c r="I11149" s="140"/>
    </row>
    <row r="11150" spans="1:9" s="90" customFormat="1" ht="12.75" customHeight="1" x14ac:dyDescent="0.2">
      <c r="A11150" s="137"/>
      <c r="B11150" s="138"/>
      <c r="C11150" s="139"/>
      <c r="D11150" s="140"/>
      <c r="E11150" s="141"/>
      <c r="F11150" s="142"/>
      <c r="G11150" s="143"/>
      <c r="H11150" s="140"/>
      <c r="I11150" s="140"/>
    </row>
    <row r="11151" spans="1:9" s="90" customFormat="1" ht="12.75" customHeight="1" x14ac:dyDescent="0.2">
      <c r="A11151" s="137"/>
      <c r="B11151" s="138"/>
      <c r="C11151" s="139"/>
      <c r="D11151" s="140"/>
      <c r="E11151" s="141"/>
      <c r="F11151" s="142"/>
      <c r="G11151" s="143"/>
      <c r="H11151" s="140"/>
      <c r="I11151" s="140"/>
    </row>
    <row r="11152" spans="1:9" s="90" customFormat="1" ht="12.75" customHeight="1" x14ac:dyDescent="0.2">
      <c r="A11152" s="137"/>
      <c r="B11152" s="138"/>
      <c r="C11152" s="139"/>
      <c r="D11152" s="140"/>
      <c r="E11152" s="141"/>
      <c r="F11152" s="142"/>
      <c r="G11152" s="143"/>
      <c r="H11152" s="140"/>
      <c r="I11152" s="140"/>
    </row>
    <row r="11153" spans="1:9" s="90" customFormat="1" ht="12.75" customHeight="1" x14ac:dyDescent="0.2">
      <c r="A11153" s="137"/>
      <c r="B11153" s="138"/>
      <c r="C11153" s="139"/>
      <c r="D11153" s="140"/>
      <c r="E11153" s="141"/>
      <c r="F11153" s="142"/>
      <c r="G11153" s="143"/>
      <c r="H11153" s="140"/>
      <c r="I11153" s="140"/>
    </row>
    <row r="11154" spans="1:9" s="90" customFormat="1" ht="12.75" customHeight="1" x14ac:dyDescent="0.2">
      <c r="A11154" s="137"/>
      <c r="B11154" s="138"/>
      <c r="C11154" s="139"/>
      <c r="D11154" s="140"/>
      <c r="E11154" s="141"/>
      <c r="F11154" s="142"/>
      <c r="G11154" s="143"/>
      <c r="H11154" s="140"/>
      <c r="I11154" s="140"/>
    </row>
    <row r="11155" spans="1:9" s="90" customFormat="1" ht="12.75" customHeight="1" x14ac:dyDescent="0.2">
      <c r="A11155" s="137"/>
      <c r="B11155" s="138"/>
      <c r="C11155" s="139"/>
      <c r="D11155" s="140"/>
      <c r="E11155" s="141"/>
      <c r="F11155" s="142"/>
      <c r="G11155" s="143"/>
      <c r="H11155" s="140"/>
      <c r="I11155" s="140"/>
    </row>
    <row r="11156" spans="1:9" s="90" customFormat="1" ht="12.75" customHeight="1" x14ac:dyDescent="0.2">
      <c r="A11156" s="137"/>
      <c r="B11156" s="138"/>
      <c r="C11156" s="139"/>
      <c r="D11156" s="140"/>
      <c r="E11156" s="141"/>
      <c r="F11156" s="142"/>
      <c r="G11156" s="143"/>
      <c r="H11156" s="140"/>
      <c r="I11156" s="140"/>
    </row>
    <row r="11157" spans="1:9" s="90" customFormat="1" ht="12.75" customHeight="1" x14ac:dyDescent="0.2">
      <c r="A11157" s="137"/>
      <c r="B11157" s="138"/>
      <c r="C11157" s="139"/>
      <c r="D11157" s="140"/>
      <c r="E11157" s="141"/>
      <c r="F11157" s="142"/>
      <c r="G11157" s="143"/>
      <c r="H11157" s="140"/>
      <c r="I11157" s="140"/>
    </row>
    <row r="11158" spans="1:9" s="90" customFormat="1" ht="12.75" customHeight="1" x14ac:dyDescent="0.2">
      <c r="A11158" s="137"/>
      <c r="B11158" s="138"/>
      <c r="C11158" s="139"/>
      <c r="D11158" s="140"/>
      <c r="E11158" s="141"/>
      <c r="F11158" s="142"/>
      <c r="G11158" s="143"/>
      <c r="H11158" s="140"/>
      <c r="I11158" s="140"/>
    </row>
    <row r="11159" spans="1:9" s="90" customFormat="1" ht="12.75" customHeight="1" x14ac:dyDescent="0.2">
      <c r="A11159" s="137"/>
      <c r="B11159" s="138"/>
      <c r="C11159" s="139"/>
      <c r="D11159" s="140"/>
      <c r="E11159" s="141"/>
      <c r="F11159" s="142"/>
      <c r="G11159" s="143"/>
      <c r="H11159" s="140"/>
      <c r="I11159" s="140"/>
    </row>
    <row r="11160" spans="1:9" s="90" customFormat="1" ht="12.75" customHeight="1" x14ac:dyDescent="0.2">
      <c r="A11160" s="137"/>
      <c r="B11160" s="138"/>
      <c r="C11160" s="139"/>
      <c r="D11160" s="140"/>
      <c r="E11160" s="141"/>
      <c r="F11160" s="142"/>
      <c r="G11160" s="143"/>
      <c r="H11160" s="140"/>
      <c r="I11160" s="140"/>
    </row>
    <row r="11161" spans="1:9" s="90" customFormat="1" ht="12.75" customHeight="1" x14ac:dyDescent="0.2">
      <c r="A11161" s="137"/>
      <c r="B11161" s="138"/>
      <c r="C11161" s="139"/>
      <c r="D11161" s="140"/>
      <c r="E11161" s="141"/>
      <c r="F11161" s="142"/>
      <c r="G11161" s="143"/>
      <c r="H11161" s="140"/>
      <c r="I11161" s="140"/>
    </row>
    <row r="11162" spans="1:9" s="90" customFormat="1" ht="12.75" customHeight="1" x14ac:dyDescent="0.2">
      <c r="A11162" s="137"/>
      <c r="B11162" s="138"/>
      <c r="C11162" s="139"/>
      <c r="D11162" s="140"/>
      <c r="E11162" s="141"/>
      <c r="F11162" s="142"/>
      <c r="G11162" s="143"/>
      <c r="H11162" s="140"/>
      <c r="I11162" s="140"/>
    </row>
    <row r="11163" spans="1:9" s="90" customFormat="1" ht="12.75" customHeight="1" x14ac:dyDescent="0.2">
      <c r="A11163" s="137"/>
      <c r="B11163" s="138"/>
      <c r="C11163" s="139"/>
      <c r="D11163" s="140"/>
      <c r="E11163" s="141"/>
      <c r="F11163" s="142"/>
      <c r="G11163" s="143"/>
      <c r="H11163" s="140"/>
      <c r="I11163" s="140"/>
    </row>
    <row r="11164" spans="1:9" s="90" customFormat="1" ht="12.75" customHeight="1" x14ac:dyDescent="0.2">
      <c r="A11164" s="137"/>
      <c r="B11164" s="138"/>
      <c r="C11164" s="139"/>
      <c r="D11164" s="140"/>
      <c r="E11164" s="141"/>
      <c r="F11164" s="142"/>
      <c r="G11164" s="143"/>
      <c r="H11164" s="140"/>
      <c r="I11164" s="140"/>
    </row>
    <row r="11165" spans="1:9" s="90" customFormat="1" ht="12.75" customHeight="1" x14ac:dyDescent="0.2">
      <c r="A11165" s="137"/>
      <c r="B11165" s="138"/>
      <c r="C11165" s="139"/>
      <c r="D11165" s="140"/>
      <c r="E11165" s="141"/>
      <c r="F11165" s="142"/>
      <c r="G11165" s="143"/>
      <c r="H11165" s="140"/>
      <c r="I11165" s="140"/>
    </row>
    <row r="11166" spans="1:9" s="90" customFormat="1" ht="12.75" customHeight="1" x14ac:dyDescent="0.2">
      <c r="A11166" s="137"/>
      <c r="B11166" s="138"/>
      <c r="C11166" s="139"/>
      <c r="D11166" s="140"/>
      <c r="E11166" s="141"/>
      <c r="F11166" s="142"/>
      <c r="G11166" s="143"/>
      <c r="H11166" s="140"/>
      <c r="I11166" s="140"/>
    </row>
    <row r="11167" spans="1:9" s="90" customFormat="1" ht="12.75" customHeight="1" x14ac:dyDescent="0.2">
      <c r="A11167" s="137"/>
      <c r="B11167" s="138"/>
      <c r="C11167" s="139"/>
      <c r="D11167" s="140"/>
      <c r="E11167" s="141"/>
      <c r="F11167" s="142"/>
      <c r="G11167" s="143"/>
      <c r="H11167" s="140"/>
      <c r="I11167" s="140"/>
    </row>
    <row r="11168" spans="1:9" s="90" customFormat="1" ht="12.75" customHeight="1" x14ac:dyDescent="0.2">
      <c r="A11168" s="137"/>
      <c r="B11168" s="138"/>
      <c r="C11168" s="139"/>
      <c r="D11168" s="140"/>
      <c r="E11168" s="141"/>
      <c r="F11168" s="142"/>
      <c r="G11168" s="143"/>
      <c r="H11168" s="140"/>
      <c r="I11168" s="140"/>
    </row>
    <row r="11169" spans="1:9" s="90" customFormat="1" ht="12.75" customHeight="1" x14ac:dyDescent="0.2">
      <c r="A11169" s="137"/>
      <c r="B11169" s="138"/>
      <c r="C11169" s="139"/>
      <c r="D11169" s="140"/>
      <c r="E11169" s="141"/>
      <c r="F11169" s="142"/>
      <c r="G11169" s="143"/>
      <c r="H11169" s="140"/>
      <c r="I11169" s="140"/>
    </row>
    <row r="11170" spans="1:9" s="90" customFormat="1" ht="12.75" customHeight="1" x14ac:dyDescent="0.2">
      <c r="A11170" s="137"/>
      <c r="B11170" s="138"/>
      <c r="C11170" s="139"/>
      <c r="D11170" s="140"/>
      <c r="E11170" s="141"/>
      <c r="F11170" s="142"/>
      <c r="G11170" s="143"/>
      <c r="H11170" s="140"/>
      <c r="I11170" s="140"/>
    </row>
    <row r="11171" spans="1:9" s="90" customFormat="1" ht="12.75" customHeight="1" x14ac:dyDescent="0.2">
      <c r="A11171" s="137"/>
      <c r="B11171" s="138"/>
      <c r="C11171" s="139"/>
      <c r="D11171" s="140"/>
      <c r="E11171" s="141"/>
      <c r="F11171" s="142"/>
      <c r="G11171" s="143"/>
      <c r="H11171" s="140"/>
      <c r="I11171" s="140"/>
    </row>
    <row r="11172" spans="1:9" s="90" customFormat="1" ht="12.75" customHeight="1" x14ac:dyDescent="0.2">
      <c r="A11172" s="137"/>
      <c r="B11172" s="138"/>
      <c r="C11172" s="139"/>
      <c r="D11172" s="140"/>
      <c r="E11172" s="141"/>
      <c r="F11172" s="142"/>
      <c r="G11172" s="143"/>
      <c r="H11172" s="140"/>
      <c r="I11172" s="140"/>
    </row>
    <row r="11173" spans="1:9" s="90" customFormat="1" ht="12.75" customHeight="1" x14ac:dyDescent="0.2">
      <c r="A11173" s="137"/>
      <c r="B11173" s="138"/>
      <c r="C11173" s="139"/>
      <c r="D11173" s="140"/>
      <c r="E11173" s="141"/>
      <c r="F11173" s="142"/>
      <c r="G11173" s="143"/>
      <c r="H11173" s="140"/>
      <c r="I11173" s="140"/>
    </row>
    <row r="11174" spans="1:9" s="90" customFormat="1" ht="12.75" customHeight="1" x14ac:dyDescent="0.2">
      <c r="A11174" s="137"/>
      <c r="B11174" s="138"/>
      <c r="C11174" s="139"/>
      <c r="D11174" s="140"/>
      <c r="E11174" s="141"/>
      <c r="F11174" s="142"/>
      <c r="G11174" s="143"/>
      <c r="H11174" s="140"/>
      <c r="I11174" s="140"/>
    </row>
    <row r="11175" spans="1:9" s="90" customFormat="1" ht="12.75" customHeight="1" x14ac:dyDescent="0.2">
      <c r="A11175" s="137"/>
      <c r="B11175" s="138"/>
      <c r="C11175" s="139"/>
      <c r="D11175" s="140"/>
      <c r="E11175" s="141"/>
      <c r="F11175" s="142"/>
      <c r="G11175" s="143"/>
      <c r="H11175" s="140"/>
      <c r="I11175" s="140"/>
    </row>
    <row r="11176" spans="1:9" s="90" customFormat="1" ht="12.75" customHeight="1" x14ac:dyDescent="0.2">
      <c r="A11176" s="137"/>
      <c r="B11176" s="138"/>
      <c r="C11176" s="139"/>
      <c r="D11176" s="140"/>
      <c r="E11176" s="141"/>
      <c r="F11176" s="142"/>
      <c r="G11176" s="143"/>
      <c r="H11176" s="140"/>
      <c r="I11176" s="140"/>
    </row>
    <row r="11177" spans="1:9" s="90" customFormat="1" ht="12.75" customHeight="1" x14ac:dyDescent="0.2">
      <c r="A11177" s="137"/>
      <c r="B11177" s="138"/>
      <c r="C11177" s="139"/>
      <c r="D11177" s="140"/>
      <c r="E11177" s="141"/>
      <c r="F11177" s="142"/>
      <c r="G11177" s="143"/>
      <c r="H11177" s="140"/>
      <c r="I11177" s="140"/>
    </row>
    <row r="11178" spans="1:9" s="90" customFormat="1" ht="12.75" customHeight="1" x14ac:dyDescent="0.2">
      <c r="A11178" s="137"/>
      <c r="B11178" s="138"/>
      <c r="C11178" s="139"/>
      <c r="D11178" s="140"/>
      <c r="E11178" s="141"/>
      <c r="F11178" s="142"/>
      <c r="G11178" s="143"/>
      <c r="H11178" s="140"/>
      <c r="I11178" s="140"/>
    </row>
    <row r="11179" spans="1:9" s="90" customFormat="1" ht="12.75" customHeight="1" x14ac:dyDescent="0.2">
      <c r="A11179" s="137"/>
      <c r="B11179" s="138"/>
      <c r="C11179" s="139"/>
      <c r="D11179" s="140"/>
      <c r="E11179" s="141"/>
      <c r="F11179" s="142"/>
      <c r="G11179" s="143"/>
      <c r="H11179" s="140"/>
      <c r="I11179" s="140"/>
    </row>
    <row r="11180" spans="1:9" s="90" customFormat="1" ht="12.75" customHeight="1" x14ac:dyDescent="0.2">
      <c r="A11180" s="137"/>
      <c r="B11180" s="138"/>
      <c r="C11180" s="139"/>
      <c r="D11180" s="140"/>
      <c r="E11180" s="141"/>
      <c r="F11180" s="142"/>
      <c r="G11180" s="143"/>
      <c r="H11180" s="140"/>
      <c r="I11180" s="140"/>
    </row>
    <row r="11181" spans="1:9" s="90" customFormat="1" ht="12.75" customHeight="1" x14ac:dyDescent="0.2">
      <c r="A11181" s="137"/>
      <c r="B11181" s="138"/>
      <c r="C11181" s="139"/>
      <c r="D11181" s="140"/>
      <c r="E11181" s="141"/>
      <c r="F11181" s="142"/>
      <c r="G11181" s="143"/>
      <c r="H11181" s="140"/>
      <c r="I11181" s="140"/>
    </row>
    <row r="11182" spans="1:9" s="90" customFormat="1" ht="12.75" customHeight="1" x14ac:dyDescent="0.2">
      <c r="A11182" s="137"/>
      <c r="B11182" s="138"/>
      <c r="C11182" s="139"/>
      <c r="D11182" s="140"/>
      <c r="E11182" s="141"/>
      <c r="F11182" s="142"/>
      <c r="G11182" s="143"/>
      <c r="H11182" s="140"/>
      <c r="I11182" s="140"/>
    </row>
    <row r="11183" spans="1:9" s="90" customFormat="1" ht="12.75" customHeight="1" x14ac:dyDescent="0.2">
      <c r="A11183" s="137"/>
      <c r="B11183" s="138"/>
      <c r="C11183" s="139"/>
      <c r="D11183" s="140"/>
      <c r="E11183" s="141"/>
      <c r="F11183" s="142"/>
      <c r="G11183" s="143"/>
      <c r="H11183" s="140"/>
      <c r="I11183" s="140"/>
    </row>
    <row r="11184" spans="1:9" s="90" customFormat="1" ht="12.75" customHeight="1" x14ac:dyDescent="0.2">
      <c r="A11184" s="137"/>
      <c r="B11184" s="138"/>
      <c r="C11184" s="139"/>
      <c r="D11184" s="140"/>
      <c r="E11184" s="141"/>
      <c r="F11184" s="142"/>
      <c r="G11184" s="143"/>
      <c r="H11184" s="140"/>
      <c r="I11184" s="140"/>
    </row>
    <row r="11185" spans="1:9" s="90" customFormat="1" ht="12.75" customHeight="1" x14ac:dyDescent="0.2">
      <c r="A11185" s="137"/>
      <c r="B11185" s="138"/>
      <c r="C11185" s="139"/>
      <c r="D11185" s="140"/>
      <c r="E11185" s="141"/>
      <c r="F11185" s="142"/>
      <c r="G11185" s="143"/>
      <c r="H11185" s="140"/>
      <c r="I11185" s="140"/>
    </row>
    <row r="11186" spans="1:9" s="90" customFormat="1" ht="12.75" customHeight="1" x14ac:dyDescent="0.2">
      <c r="A11186" s="137"/>
      <c r="B11186" s="138"/>
      <c r="C11186" s="139"/>
      <c r="D11186" s="140"/>
      <c r="E11186" s="141"/>
      <c r="F11186" s="142"/>
      <c r="G11186" s="143"/>
      <c r="H11186" s="140"/>
      <c r="I11186" s="140"/>
    </row>
    <row r="11187" spans="1:9" s="90" customFormat="1" ht="12.75" customHeight="1" x14ac:dyDescent="0.2">
      <c r="A11187" s="137"/>
      <c r="B11187" s="138"/>
      <c r="C11187" s="139"/>
      <c r="D11187" s="140"/>
      <c r="E11187" s="141"/>
      <c r="F11187" s="142"/>
      <c r="G11187" s="143"/>
      <c r="H11187" s="140"/>
      <c r="I11187" s="140"/>
    </row>
    <row r="11188" spans="1:9" s="90" customFormat="1" ht="12.75" customHeight="1" x14ac:dyDescent="0.2">
      <c r="A11188" s="137"/>
      <c r="B11188" s="138"/>
      <c r="C11188" s="139"/>
      <c r="D11188" s="140"/>
      <c r="E11188" s="141"/>
      <c r="F11188" s="142"/>
      <c r="G11188" s="143"/>
      <c r="H11188" s="140"/>
      <c r="I11188" s="140"/>
    </row>
    <row r="11189" spans="1:9" s="90" customFormat="1" ht="12.75" customHeight="1" x14ac:dyDescent="0.2">
      <c r="A11189" s="137"/>
      <c r="B11189" s="138"/>
      <c r="C11189" s="139"/>
      <c r="D11189" s="140"/>
      <c r="E11189" s="141"/>
      <c r="F11189" s="142"/>
      <c r="G11189" s="143"/>
      <c r="H11189" s="140"/>
      <c r="I11189" s="140"/>
    </row>
    <row r="11190" spans="1:9" s="90" customFormat="1" ht="12.75" customHeight="1" x14ac:dyDescent="0.2">
      <c r="A11190" s="137"/>
      <c r="B11190" s="138"/>
      <c r="C11190" s="139"/>
      <c r="D11190" s="140"/>
      <c r="E11190" s="141"/>
      <c r="F11190" s="142"/>
      <c r="G11190" s="143"/>
      <c r="H11190" s="140"/>
      <c r="I11190" s="140"/>
    </row>
    <row r="11191" spans="1:9" s="90" customFormat="1" ht="12.75" customHeight="1" x14ac:dyDescent="0.2">
      <c r="A11191" s="137"/>
      <c r="B11191" s="138"/>
      <c r="C11191" s="139"/>
      <c r="D11191" s="140"/>
      <c r="E11191" s="141"/>
      <c r="F11191" s="142"/>
      <c r="G11191" s="143"/>
      <c r="H11191" s="140"/>
      <c r="I11191" s="140"/>
    </row>
    <row r="11192" spans="1:9" s="90" customFormat="1" ht="12.75" customHeight="1" x14ac:dyDescent="0.2">
      <c r="A11192" s="137"/>
      <c r="B11192" s="138"/>
      <c r="C11192" s="139"/>
      <c r="D11192" s="140"/>
      <c r="E11192" s="141"/>
      <c r="F11192" s="142"/>
      <c r="G11192" s="143"/>
      <c r="H11192" s="140"/>
      <c r="I11192" s="140"/>
    </row>
    <row r="11193" spans="1:9" s="90" customFormat="1" ht="12.75" customHeight="1" x14ac:dyDescent="0.2">
      <c r="A11193" s="137"/>
      <c r="B11193" s="138"/>
      <c r="C11193" s="139"/>
      <c r="D11193" s="140"/>
      <c r="E11193" s="141"/>
      <c r="F11193" s="142"/>
      <c r="G11193" s="143"/>
      <c r="H11193" s="140"/>
      <c r="I11193" s="140"/>
    </row>
    <row r="11194" spans="1:9" s="90" customFormat="1" ht="12.75" customHeight="1" x14ac:dyDescent="0.2">
      <c r="A11194" s="137"/>
      <c r="B11194" s="138"/>
      <c r="C11194" s="139"/>
      <c r="D11194" s="140"/>
      <c r="E11194" s="141"/>
      <c r="F11194" s="142"/>
      <c r="G11194" s="143"/>
      <c r="H11194" s="140"/>
      <c r="I11194" s="140"/>
    </row>
    <row r="11195" spans="1:9" s="90" customFormat="1" ht="12.75" customHeight="1" x14ac:dyDescent="0.2">
      <c r="A11195" s="137"/>
      <c r="B11195" s="138"/>
      <c r="C11195" s="139"/>
      <c r="D11195" s="140"/>
      <c r="E11195" s="141"/>
      <c r="F11195" s="142"/>
      <c r="G11195" s="143"/>
      <c r="H11195" s="140"/>
      <c r="I11195" s="140"/>
    </row>
    <row r="11196" spans="1:9" s="90" customFormat="1" ht="12.75" customHeight="1" x14ac:dyDescent="0.2">
      <c r="A11196" s="137"/>
      <c r="B11196" s="138"/>
      <c r="C11196" s="139"/>
      <c r="D11196" s="140"/>
      <c r="E11196" s="141"/>
      <c r="F11196" s="142"/>
      <c r="G11196" s="143"/>
      <c r="H11196" s="140"/>
      <c r="I11196" s="140"/>
    </row>
    <row r="11197" spans="1:9" s="90" customFormat="1" ht="12.75" customHeight="1" x14ac:dyDescent="0.2">
      <c r="A11197" s="137"/>
      <c r="B11197" s="138"/>
      <c r="C11197" s="139"/>
      <c r="D11197" s="140"/>
      <c r="E11197" s="141"/>
      <c r="F11197" s="142"/>
      <c r="G11197" s="143"/>
      <c r="H11197" s="140"/>
      <c r="I11197" s="140"/>
    </row>
    <row r="11198" spans="1:9" s="90" customFormat="1" ht="12.75" customHeight="1" x14ac:dyDescent="0.2">
      <c r="A11198" s="137"/>
      <c r="B11198" s="138"/>
      <c r="C11198" s="139"/>
      <c r="D11198" s="140"/>
      <c r="E11198" s="141"/>
      <c r="F11198" s="142"/>
      <c r="G11198" s="143"/>
      <c r="H11198" s="140"/>
      <c r="I11198" s="140"/>
    </row>
    <row r="11199" spans="1:9" s="90" customFormat="1" ht="12.75" customHeight="1" x14ac:dyDescent="0.2">
      <c r="A11199" s="137"/>
      <c r="B11199" s="138"/>
      <c r="C11199" s="139"/>
      <c r="D11199" s="140"/>
      <c r="E11199" s="141"/>
      <c r="F11199" s="142"/>
      <c r="G11199" s="143"/>
      <c r="H11199" s="140"/>
      <c r="I11199" s="140"/>
    </row>
    <row r="11200" spans="1:9" s="90" customFormat="1" ht="12.75" customHeight="1" x14ac:dyDescent="0.2">
      <c r="A11200" s="137"/>
      <c r="B11200" s="138"/>
      <c r="C11200" s="139"/>
      <c r="D11200" s="140"/>
      <c r="E11200" s="141"/>
      <c r="F11200" s="142"/>
      <c r="G11200" s="143"/>
      <c r="H11200" s="140"/>
      <c r="I11200" s="140"/>
    </row>
    <row r="11201" spans="1:9" s="90" customFormat="1" ht="12.75" customHeight="1" x14ac:dyDescent="0.2">
      <c r="A11201" s="137"/>
      <c r="B11201" s="138"/>
      <c r="C11201" s="139"/>
      <c r="D11201" s="140"/>
      <c r="E11201" s="141"/>
      <c r="F11201" s="142"/>
      <c r="G11201" s="143"/>
      <c r="H11201" s="140"/>
      <c r="I11201" s="140"/>
    </row>
    <row r="11202" spans="1:9" s="90" customFormat="1" ht="12.75" customHeight="1" x14ac:dyDescent="0.2">
      <c r="A11202" s="137"/>
      <c r="B11202" s="138"/>
      <c r="C11202" s="139"/>
      <c r="D11202" s="140"/>
      <c r="E11202" s="141"/>
      <c r="F11202" s="142"/>
      <c r="G11202" s="143"/>
      <c r="H11202" s="140"/>
      <c r="I11202" s="140"/>
    </row>
    <row r="11203" spans="1:9" s="90" customFormat="1" ht="12.75" customHeight="1" x14ac:dyDescent="0.2">
      <c r="A11203" s="137"/>
      <c r="B11203" s="138"/>
      <c r="C11203" s="139"/>
      <c r="D11203" s="140"/>
      <c r="E11203" s="141"/>
      <c r="F11203" s="142"/>
      <c r="G11203" s="143"/>
      <c r="H11203" s="140"/>
      <c r="I11203" s="140"/>
    </row>
    <row r="11204" spans="1:9" s="90" customFormat="1" ht="12.75" customHeight="1" x14ac:dyDescent="0.2">
      <c r="A11204" s="137"/>
      <c r="B11204" s="138"/>
      <c r="C11204" s="139"/>
      <c r="D11204" s="140"/>
      <c r="E11204" s="141"/>
      <c r="F11204" s="142"/>
      <c r="G11204" s="143"/>
      <c r="H11204" s="140"/>
      <c r="I11204" s="140"/>
    </row>
    <row r="11205" spans="1:9" s="90" customFormat="1" ht="12.75" customHeight="1" x14ac:dyDescent="0.2">
      <c r="A11205" s="137"/>
      <c r="B11205" s="138"/>
      <c r="C11205" s="139"/>
      <c r="D11205" s="140"/>
      <c r="E11205" s="141"/>
      <c r="F11205" s="142"/>
      <c r="G11205" s="143"/>
      <c r="H11205" s="140"/>
      <c r="I11205" s="140"/>
    </row>
    <row r="11206" spans="1:9" s="90" customFormat="1" ht="12.75" customHeight="1" x14ac:dyDescent="0.2">
      <c r="A11206" s="137"/>
      <c r="B11206" s="138"/>
      <c r="C11206" s="139"/>
      <c r="D11206" s="140"/>
      <c r="E11206" s="141"/>
      <c r="F11206" s="142"/>
      <c r="G11206" s="143"/>
      <c r="H11206" s="140"/>
      <c r="I11206" s="140"/>
    </row>
    <row r="11207" spans="1:9" s="90" customFormat="1" ht="12.75" customHeight="1" x14ac:dyDescent="0.2">
      <c r="A11207" s="137"/>
      <c r="B11207" s="138"/>
      <c r="C11207" s="139"/>
      <c r="D11207" s="140"/>
      <c r="E11207" s="141"/>
      <c r="F11207" s="142"/>
      <c r="G11207" s="143"/>
      <c r="H11207" s="140"/>
      <c r="I11207" s="140"/>
    </row>
    <row r="11208" spans="1:9" s="90" customFormat="1" ht="12.75" customHeight="1" x14ac:dyDescent="0.2">
      <c r="A11208" s="137"/>
      <c r="B11208" s="138"/>
      <c r="C11208" s="139"/>
      <c r="D11208" s="140"/>
      <c r="E11208" s="141"/>
      <c r="F11208" s="142"/>
      <c r="G11208" s="143"/>
      <c r="H11208" s="140"/>
      <c r="I11208" s="140"/>
    </row>
    <row r="11209" spans="1:9" s="90" customFormat="1" ht="12.75" customHeight="1" x14ac:dyDescent="0.2">
      <c r="A11209" s="137"/>
      <c r="B11209" s="138"/>
      <c r="C11209" s="139"/>
      <c r="D11209" s="140"/>
      <c r="E11209" s="141"/>
      <c r="F11209" s="142"/>
      <c r="G11209" s="143"/>
      <c r="H11209" s="140"/>
      <c r="I11209" s="140"/>
    </row>
    <row r="11210" spans="1:9" s="90" customFormat="1" ht="12.75" customHeight="1" x14ac:dyDescent="0.2">
      <c r="A11210" s="137"/>
      <c r="B11210" s="138"/>
      <c r="C11210" s="139"/>
      <c r="D11210" s="140"/>
      <c r="E11210" s="141"/>
      <c r="F11210" s="142"/>
      <c r="G11210" s="143"/>
      <c r="H11210" s="140"/>
      <c r="I11210" s="140"/>
    </row>
    <row r="11211" spans="1:9" s="90" customFormat="1" ht="12.75" customHeight="1" x14ac:dyDescent="0.2">
      <c r="A11211" s="137"/>
      <c r="B11211" s="138"/>
      <c r="C11211" s="139"/>
      <c r="D11211" s="140"/>
      <c r="E11211" s="141"/>
      <c r="F11211" s="142"/>
      <c r="G11211" s="143"/>
      <c r="H11211" s="140"/>
      <c r="I11211" s="140"/>
    </row>
    <row r="11212" spans="1:9" s="90" customFormat="1" ht="12.75" customHeight="1" x14ac:dyDescent="0.2">
      <c r="A11212" s="137"/>
      <c r="B11212" s="138"/>
      <c r="C11212" s="139"/>
      <c r="D11212" s="140"/>
      <c r="E11212" s="141"/>
      <c r="F11212" s="142"/>
      <c r="G11212" s="143"/>
      <c r="H11212" s="140"/>
      <c r="I11212" s="140"/>
    </row>
    <row r="11213" spans="1:9" s="90" customFormat="1" ht="12.75" customHeight="1" x14ac:dyDescent="0.2">
      <c r="A11213" s="137"/>
      <c r="B11213" s="138"/>
      <c r="C11213" s="139"/>
      <c r="D11213" s="140"/>
      <c r="E11213" s="141"/>
      <c r="F11213" s="142"/>
      <c r="G11213" s="143"/>
      <c r="H11213" s="140"/>
      <c r="I11213" s="140"/>
    </row>
    <row r="11214" spans="1:9" s="90" customFormat="1" ht="12.75" customHeight="1" x14ac:dyDescent="0.2">
      <c r="A11214" s="137"/>
      <c r="B11214" s="138"/>
      <c r="C11214" s="139"/>
      <c r="D11214" s="140"/>
      <c r="E11214" s="141"/>
      <c r="F11214" s="142"/>
      <c r="G11214" s="143"/>
      <c r="H11214" s="140"/>
      <c r="I11214" s="140"/>
    </row>
    <row r="11215" spans="1:9" s="90" customFormat="1" ht="12.75" customHeight="1" x14ac:dyDescent="0.2">
      <c r="A11215" s="137"/>
      <c r="B11215" s="138"/>
      <c r="C11215" s="139"/>
      <c r="D11215" s="140"/>
      <c r="E11215" s="141"/>
      <c r="F11215" s="142"/>
      <c r="G11215" s="143"/>
      <c r="H11215" s="140"/>
      <c r="I11215" s="140"/>
    </row>
    <row r="11216" spans="1:9" s="90" customFormat="1" ht="12.75" customHeight="1" x14ac:dyDescent="0.2">
      <c r="A11216" s="137"/>
      <c r="B11216" s="138"/>
      <c r="C11216" s="139"/>
      <c r="D11216" s="140"/>
      <c r="E11216" s="141"/>
      <c r="F11216" s="142"/>
      <c r="G11216" s="143"/>
      <c r="H11216" s="140"/>
      <c r="I11216" s="140"/>
    </row>
    <row r="11217" spans="1:9" s="90" customFormat="1" ht="12.75" customHeight="1" x14ac:dyDescent="0.2">
      <c r="A11217" s="137"/>
      <c r="B11217" s="138"/>
      <c r="C11217" s="139"/>
      <c r="D11217" s="140"/>
      <c r="E11217" s="141"/>
      <c r="F11217" s="142"/>
      <c r="G11217" s="143"/>
      <c r="H11217" s="140"/>
      <c r="I11217" s="140"/>
    </row>
    <row r="11218" spans="1:9" s="90" customFormat="1" ht="12.75" customHeight="1" x14ac:dyDescent="0.2">
      <c r="A11218" s="137"/>
      <c r="B11218" s="138"/>
      <c r="C11218" s="139"/>
      <c r="D11218" s="140"/>
      <c r="E11218" s="141"/>
      <c r="F11218" s="142"/>
      <c r="G11218" s="143"/>
      <c r="H11218" s="140"/>
      <c r="I11218" s="140"/>
    </row>
    <row r="11219" spans="1:9" s="90" customFormat="1" ht="12.75" customHeight="1" x14ac:dyDescent="0.2">
      <c r="A11219" s="137"/>
      <c r="B11219" s="138"/>
      <c r="C11219" s="139"/>
      <c r="D11219" s="140"/>
      <c r="E11219" s="141"/>
      <c r="F11219" s="142"/>
      <c r="G11219" s="143"/>
      <c r="H11219" s="140"/>
      <c r="I11219" s="140"/>
    </row>
    <row r="11220" spans="1:9" s="90" customFormat="1" ht="12.75" customHeight="1" x14ac:dyDescent="0.2">
      <c r="A11220" s="137"/>
      <c r="B11220" s="138"/>
      <c r="C11220" s="139"/>
      <c r="D11220" s="140"/>
      <c r="E11220" s="141"/>
      <c r="F11220" s="142"/>
      <c r="G11220" s="143"/>
      <c r="H11220" s="140"/>
      <c r="I11220" s="140"/>
    </row>
    <row r="11221" spans="1:9" s="90" customFormat="1" ht="12.75" customHeight="1" x14ac:dyDescent="0.2">
      <c r="A11221" s="137"/>
      <c r="B11221" s="138"/>
      <c r="C11221" s="139"/>
      <c r="D11221" s="140"/>
      <c r="E11221" s="141"/>
      <c r="F11221" s="142"/>
      <c r="G11221" s="143"/>
      <c r="H11221" s="140"/>
      <c r="I11221" s="140"/>
    </row>
    <row r="11222" spans="1:9" s="90" customFormat="1" ht="12.75" customHeight="1" x14ac:dyDescent="0.2">
      <c r="A11222" s="137"/>
      <c r="B11222" s="138"/>
      <c r="C11222" s="139"/>
      <c r="D11222" s="140"/>
      <c r="E11222" s="141"/>
      <c r="F11222" s="142"/>
      <c r="G11222" s="143"/>
      <c r="H11222" s="140"/>
      <c r="I11222" s="140"/>
    </row>
    <row r="11223" spans="1:9" s="90" customFormat="1" ht="12.75" customHeight="1" x14ac:dyDescent="0.2">
      <c r="A11223" s="137"/>
      <c r="B11223" s="138"/>
      <c r="C11223" s="139"/>
      <c r="D11223" s="140"/>
      <c r="E11223" s="141"/>
      <c r="F11223" s="142"/>
      <c r="G11223" s="143"/>
      <c r="H11223" s="140"/>
      <c r="I11223" s="140"/>
    </row>
    <row r="11224" spans="1:9" s="90" customFormat="1" ht="12.75" customHeight="1" x14ac:dyDescent="0.2">
      <c r="A11224" s="137"/>
      <c r="B11224" s="138"/>
      <c r="C11224" s="139"/>
      <c r="D11224" s="140"/>
      <c r="E11224" s="141"/>
      <c r="F11224" s="142"/>
      <c r="G11224" s="143"/>
      <c r="H11224" s="140"/>
      <c r="I11224" s="140"/>
    </row>
    <row r="11225" spans="1:9" s="90" customFormat="1" ht="12.75" customHeight="1" x14ac:dyDescent="0.2">
      <c r="A11225" s="137"/>
      <c r="B11225" s="138"/>
      <c r="C11225" s="139"/>
      <c r="D11225" s="140"/>
      <c r="E11225" s="141"/>
      <c r="F11225" s="142"/>
      <c r="G11225" s="143"/>
      <c r="H11225" s="140"/>
      <c r="I11225" s="140"/>
    </row>
    <row r="11226" spans="1:9" s="90" customFormat="1" ht="12.75" customHeight="1" x14ac:dyDescent="0.2">
      <c r="A11226" s="137"/>
      <c r="B11226" s="138"/>
      <c r="C11226" s="139"/>
      <c r="D11226" s="140"/>
      <c r="E11226" s="141"/>
      <c r="F11226" s="142"/>
      <c r="G11226" s="143"/>
      <c r="H11226" s="140"/>
      <c r="I11226" s="140"/>
    </row>
    <row r="11227" spans="1:9" s="90" customFormat="1" ht="12.75" customHeight="1" x14ac:dyDescent="0.2">
      <c r="A11227" s="137"/>
      <c r="B11227" s="138"/>
      <c r="C11227" s="139"/>
      <c r="D11227" s="140"/>
      <c r="E11227" s="141"/>
      <c r="F11227" s="142"/>
      <c r="G11227" s="143"/>
      <c r="H11227" s="140"/>
      <c r="I11227" s="140"/>
    </row>
    <row r="11228" spans="1:9" s="90" customFormat="1" ht="12.75" customHeight="1" x14ac:dyDescent="0.2">
      <c r="A11228" s="137"/>
      <c r="B11228" s="138"/>
      <c r="C11228" s="139"/>
      <c r="D11228" s="140"/>
      <c r="E11228" s="141"/>
      <c r="F11228" s="142"/>
      <c r="G11228" s="143"/>
      <c r="H11228" s="140"/>
      <c r="I11228" s="140"/>
    </row>
    <row r="11229" spans="1:9" s="90" customFormat="1" ht="12.75" customHeight="1" x14ac:dyDescent="0.2">
      <c r="A11229" s="137"/>
      <c r="B11229" s="138"/>
      <c r="C11229" s="139"/>
      <c r="D11229" s="140"/>
      <c r="E11229" s="141"/>
      <c r="F11229" s="142"/>
      <c r="G11229" s="143"/>
      <c r="H11229" s="140"/>
      <c r="I11229" s="140"/>
    </row>
    <row r="11230" spans="1:9" s="90" customFormat="1" ht="12.75" customHeight="1" x14ac:dyDescent="0.2">
      <c r="A11230" s="137"/>
      <c r="B11230" s="138"/>
      <c r="C11230" s="139"/>
      <c r="D11230" s="140"/>
      <c r="E11230" s="141"/>
      <c r="F11230" s="142"/>
      <c r="G11230" s="143"/>
      <c r="H11230" s="140"/>
      <c r="I11230" s="140"/>
    </row>
    <row r="11231" spans="1:9" s="90" customFormat="1" ht="12.75" customHeight="1" x14ac:dyDescent="0.2">
      <c r="A11231" s="137"/>
      <c r="B11231" s="138"/>
      <c r="C11231" s="139"/>
      <c r="D11231" s="140"/>
      <c r="E11231" s="141"/>
      <c r="F11231" s="142"/>
      <c r="G11231" s="143"/>
      <c r="H11231" s="140"/>
      <c r="I11231" s="140"/>
    </row>
    <row r="11232" spans="1:9" s="90" customFormat="1" ht="12.75" customHeight="1" x14ac:dyDescent="0.2">
      <c r="A11232" s="137"/>
      <c r="B11232" s="138"/>
      <c r="C11232" s="139"/>
      <c r="D11232" s="140"/>
      <c r="E11232" s="141"/>
      <c r="F11232" s="142"/>
      <c r="G11232" s="143"/>
      <c r="H11232" s="140"/>
      <c r="I11232" s="140"/>
    </row>
    <row r="11233" spans="1:9" s="90" customFormat="1" ht="12.75" customHeight="1" x14ac:dyDescent="0.2">
      <c r="A11233" s="137"/>
      <c r="B11233" s="138"/>
      <c r="C11233" s="139"/>
      <c r="D11233" s="140"/>
      <c r="E11233" s="141"/>
      <c r="F11233" s="142"/>
      <c r="G11233" s="143"/>
      <c r="H11233" s="140"/>
      <c r="I11233" s="140"/>
    </row>
    <row r="11234" spans="1:9" s="90" customFormat="1" ht="12.75" customHeight="1" x14ac:dyDescent="0.2">
      <c r="A11234" s="137"/>
      <c r="B11234" s="138"/>
      <c r="C11234" s="139"/>
      <c r="D11234" s="140"/>
      <c r="E11234" s="141"/>
      <c r="F11234" s="142"/>
      <c r="G11234" s="143"/>
      <c r="H11234" s="140"/>
      <c r="I11234" s="140"/>
    </row>
    <row r="11235" spans="1:9" s="90" customFormat="1" ht="12.75" customHeight="1" x14ac:dyDescent="0.2">
      <c r="A11235" s="137"/>
      <c r="B11235" s="138"/>
      <c r="C11235" s="139"/>
      <c r="D11235" s="140"/>
      <c r="E11235" s="141"/>
      <c r="F11235" s="142"/>
      <c r="G11235" s="143"/>
      <c r="H11235" s="140"/>
      <c r="I11235" s="140"/>
    </row>
    <row r="11236" spans="1:9" s="90" customFormat="1" ht="12.75" customHeight="1" x14ac:dyDescent="0.2">
      <c r="A11236" s="137"/>
      <c r="B11236" s="138"/>
      <c r="C11236" s="139"/>
      <c r="D11236" s="140"/>
      <c r="E11236" s="141"/>
      <c r="F11236" s="142"/>
      <c r="G11236" s="143"/>
      <c r="H11236" s="140"/>
      <c r="I11236" s="140"/>
    </row>
    <row r="11237" spans="1:9" s="90" customFormat="1" ht="12.75" customHeight="1" x14ac:dyDescent="0.2">
      <c r="A11237" s="137"/>
      <c r="B11237" s="138"/>
      <c r="C11237" s="139"/>
      <c r="D11237" s="140"/>
      <c r="E11237" s="141"/>
      <c r="F11237" s="142"/>
      <c r="G11237" s="143"/>
      <c r="H11237" s="140"/>
      <c r="I11237" s="140"/>
    </row>
    <row r="11238" spans="1:9" s="90" customFormat="1" ht="12.75" customHeight="1" x14ac:dyDescent="0.2">
      <c r="A11238" s="137"/>
      <c r="B11238" s="138"/>
      <c r="C11238" s="139"/>
      <c r="D11238" s="140"/>
      <c r="E11238" s="141"/>
      <c r="F11238" s="142"/>
      <c r="G11238" s="143"/>
      <c r="H11238" s="140"/>
      <c r="I11238" s="140"/>
    </row>
    <row r="11239" spans="1:9" s="90" customFormat="1" ht="12.75" customHeight="1" x14ac:dyDescent="0.2">
      <c r="A11239" s="137"/>
      <c r="B11239" s="138"/>
      <c r="C11239" s="139"/>
      <c r="D11239" s="140"/>
      <c r="E11239" s="141"/>
      <c r="F11239" s="142"/>
      <c r="G11239" s="143"/>
      <c r="H11239" s="140"/>
      <c r="I11239" s="140"/>
    </row>
    <row r="11240" spans="1:9" s="90" customFormat="1" ht="12.75" customHeight="1" x14ac:dyDescent="0.2">
      <c r="A11240" s="137"/>
      <c r="B11240" s="138"/>
      <c r="C11240" s="139"/>
      <c r="D11240" s="140"/>
      <c r="E11240" s="141"/>
      <c r="F11240" s="142"/>
      <c r="G11240" s="143"/>
      <c r="H11240" s="140"/>
      <c r="I11240" s="140"/>
    </row>
    <row r="11241" spans="1:9" s="90" customFormat="1" ht="12.75" customHeight="1" x14ac:dyDescent="0.2">
      <c r="A11241" s="137"/>
      <c r="B11241" s="138"/>
      <c r="C11241" s="139"/>
      <c r="D11241" s="140"/>
      <c r="E11241" s="141"/>
      <c r="F11241" s="142"/>
      <c r="G11241" s="143"/>
      <c r="H11241" s="140"/>
      <c r="I11241" s="140"/>
    </row>
    <row r="11242" spans="1:9" s="90" customFormat="1" ht="12.75" customHeight="1" x14ac:dyDescent="0.2">
      <c r="A11242" s="137"/>
      <c r="B11242" s="138"/>
      <c r="C11242" s="139"/>
      <c r="D11242" s="140"/>
      <c r="E11242" s="141"/>
      <c r="F11242" s="142"/>
      <c r="G11242" s="143"/>
      <c r="H11242" s="140"/>
      <c r="I11242" s="140"/>
    </row>
    <row r="11243" spans="1:9" s="90" customFormat="1" ht="12.75" customHeight="1" x14ac:dyDescent="0.2">
      <c r="A11243" s="137"/>
      <c r="B11243" s="138"/>
      <c r="C11243" s="139"/>
      <c r="D11243" s="140"/>
      <c r="E11243" s="141"/>
      <c r="F11243" s="142"/>
      <c r="G11243" s="143"/>
      <c r="H11243" s="140"/>
      <c r="I11243" s="140"/>
    </row>
    <row r="11244" spans="1:9" s="90" customFormat="1" ht="12.75" customHeight="1" x14ac:dyDescent="0.2">
      <c r="A11244" s="137"/>
      <c r="B11244" s="138"/>
      <c r="C11244" s="139"/>
      <c r="D11244" s="140"/>
      <c r="E11244" s="141"/>
      <c r="F11244" s="142"/>
      <c r="G11244" s="143"/>
      <c r="H11244" s="140"/>
      <c r="I11244" s="140"/>
    </row>
    <row r="11245" spans="1:9" s="90" customFormat="1" ht="12.75" customHeight="1" x14ac:dyDescent="0.2">
      <c r="A11245" s="137"/>
      <c r="B11245" s="138"/>
      <c r="C11245" s="139"/>
      <c r="D11245" s="140"/>
      <c r="E11245" s="141"/>
      <c r="F11245" s="142"/>
      <c r="G11245" s="143"/>
      <c r="H11245" s="140"/>
      <c r="I11245" s="140"/>
    </row>
    <row r="11246" spans="1:9" s="90" customFormat="1" ht="12.75" customHeight="1" x14ac:dyDescent="0.2">
      <c r="A11246" s="137"/>
      <c r="B11246" s="138"/>
      <c r="C11246" s="139"/>
      <c r="D11246" s="140"/>
      <c r="E11246" s="141"/>
      <c r="F11246" s="142"/>
      <c r="G11246" s="143"/>
      <c r="H11246" s="140"/>
      <c r="I11246" s="140"/>
    </row>
    <row r="11247" spans="1:9" s="90" customFormat="1" ht="12.75" customHeight="1" x14ac:dyDescent="0.2">
      <c r="A11247" s="137"/>
      <c r="B11247" s="138"/>
      <c r="C11247" s="139"/>
      <c r="D11247" s="140"/>
      <c r="E11247" s="141"/>
      <c r="F11247" s="142"/>
      <c r="G11247" s="143"/>
      <c r="H11247" s="140"/>
      <c r="I11247" s="140"/>
    </row>
    <row r="11248" spans="1:9" s="90" customFormat="1" ht="12.75" customHeight="1" x14ac:dyDescent="0.2">
      <c r="A11248" s="137"/>
      <c r="B11248" s="138"/>
      <c r="C11248" s="139"/>
      <c r="D11248" s="140"/>
      <c r="E11248" s="141"/>
      <c r="F11248" s="142"/>
      <c r="G11248" s="143"/>
      <c r="H11248" s="140"/>
      <c r="I11248" s="140"/>
    </row>
    <row r="11249" spans="1:9" s="90" customFormat="1" ht="12.75" customHeight="1" x14ac:dyDescent="0.2">
      <c r="A11249" s="137"/>
      <c r="B11249" s="138"/>
      <c r="C11249" s="139"/>
      <c r="D11249" s="140"/>
      <c r="E11249" s="141"/>
      <c r="F11249" s="142"/>
      <c r="G11249" s="143"/>
      <c r="H11249" s="140"/>
      <c r="I11249" s="140"/>
    </row>
    <row r="11250" spans="1:9" s="90" customFormat="1" ht="12.75" customHeight="1" x14ac:dyDescent="0.2">
      <c r="A11250" s="137"/>
      <c r="B11250" s="138"/>
      <c r="C11250" s="139"/>
      <c r="D11250" s="140"/>
      <c r="E11250" s="141"/>
      <c r="F11250" s="142"/>
      <c r="G11250" s="143"/>
      <c r="H11250" s="140"/>
      <c r="I11250" s="140"/>
    </row>
    <row r="11251" spans="1:9" s="90" customFormat="1" ht="12.75" customHeight="1" x14ac:dyDescent="0.2">
      <c r="A11251" s="137"/>
      <c r="B11251" s="138"/>
      <c r="C11251" s="139"/>
      <c r="D11251" s="140"/>
      <c r="E11251" s="141"/>
      <c r="F11251" s="142"/>
      <c r="G11251" s="143"/>
      <c r="H11251" s="140"/>
      <c r="I11251" s="140"/>
    </row>
    <row r="11252" spans="1:9" ht="12.75" customHeight="1" x14ac:dyDescent="0.2">
      <c r="B11252" s="43"/>
    </row>
    <row r="11253" spans="1:9" ht="12.75" customHeight="1" x14ac:dyDescent="0.2">
      <c r="B11253" s="43"/>
    </row>
    <row r="11254" spans="1:9" ht="12.75" customHeight="1" x14ac:dyDescent="0.2">
      <c r="B11254" s="43"/>
    </row>
    <row r="11255" spans="1:9" ht="12.75" customHeight="1" x14ac:dyDescent="0.2">
      <c r="B11255" s="43"/>
    </row>
    <row r="11256" spans="1:9" ht="12.75" customHeight="1" x14ac:dyDescent="0.2">
      <c r="B11256" s="43"/>
    </row>
    <row r="11257" spans="1:9" ht="12.75" customHeight="1" x14ac:dyDescent="0.2">
      <c r="B11257" s="43"/>
    </row>
    <row r="11258" spans="1:9" ht="12.75" customHeight="1" x14ac:dyDescent="0.2">
      <c r="B11258" s="43"/>
    </row>
    <row r="11259" spans="1:9" ht="12.75" customHeight="1" x14ac:dyDescent="0.2">
      <c r="B11259" s="43"/>
    </row>
    <row r="11260" spans="1:9" ht="12.75" customHeight="1" x14ac:dyDescent="0.2">
      <c r="B11260" s="43"/>
    </row>
    <row r="11261" spans="1:9" ht="12.75" customHeight="1" x14ac:dyDescent="0.2">
      <c r="B11261" s="43"/>
    </row>
    <row r="11262" spans="1:9" ht="12.75" customHeight="1" x14ac:dyDescent="0.2">
      <c r="B11262" s="43"/>
    </row>
    <row r="11263" spans="1:9" ht="12.75" customHeight="1" x14ac:dyDescent="0.2">
      <c r="B11263" s="43"/>
    </row>
    <row r="11264" spans="1:9" ht="12.75" customHeight="1" x14ac:dyDescent="0.2">
      <c r="B11264" s="43"/>
    </row>
    <row r="11265" spans="2:2" ht="12.75" customHeight="1" x14ac:dyDescent="0.2">
      <c r="B11265" s="43"/>
    </row>
    <row r="11266" spans="2:2" ht="12.75" customHeight="1" x14ac:dyDescent="0.2">
      <c r="B11266" s="43"/>
    </row>
    <row r="11267" spans="2:2" ht="12.75" customHeight="1" x14ac:dyDescent="0.2">
      <c r="B11267" s="43"/>
    </row>
    <row r="11268" spans="2:2" ht="12.75" customHeight="1" x14ac:dyDescent="0.2">
      <c r="B11268" s="43"/>
    </row>
    <row r="11269" spans="2:2" ht="12.75" customHeight="1" x14ac:dyDescent="0.2">
      <c r="B11269" s="43"/>
    </row>
    <row r="11270" spans="2:2" ht="12.75" customHeight="1" x14ac:dyDescent="0.2">
      <c r="B11270" s="43"/>
    </row>
    <row r="11271" spans="2:2" ht="12.75" customHeight="1" x14ac:dyDescent="0.2">
      <c r="B11271" s="43"/>
    </row>
    <row r="11272" spans="2:2" ht="12.75" customHeight="1" x14ac:dyDescent="0.2">
      <c r="B11272" s="43"/>
    </row>
    <row r="11273" spans="2:2" ht="12.75" customHeight="1" x14ac:dyDescent="0.2">
      <c r="B11273" s="43"/>
    </row>
    <row r="11274" spans="2:2" ht="12.75" customHeight="1" x14ac:dyDescent="0.2">
      <c r="B11274" s="43"/>
    </row>
    <row r="11275" spans="2:2" ht="12.75" customHeight="1" x14ac:dyDescent="0.2">
      <c r="B11275" s="43"/>
    </row>
    <row r="11276" spans="2:2" ht="12.75" customHeight="1" x14ac:dyDescent="0.2">
      <c r="B11276" s="43"/>
    </row>
    <row r="11277" spans="2:2" ht="12.75" customHeight="1" x14ac:dyDescent="0.2">
      <c r="B11277" s="43"/>
    </row>
    <row r="11278" spans="2:2" ht="12.75" customHeight="1" x14ac:dyDescent="0.2">
      <c r="B11278" s="43"/>
    </row>
    <row r="11279" spans="2:2" ht="12.75" customHeight="1" x14ac:dyDescent="0.2">
      <c r="B11279" s="43"/>
    </row>
    <row r="11280" spans="2:2" ht="12.75" customHeight="1" x14ac:dyDescent="0.2">
      <c r="B11280" s="43"/>
    </row>
    <row r="11281" spans="2:2" ht="12.75" customHeight="1" x14ac:dyDescent="0.2">
      <c r="B11281" s="43"/>
    </row>
    <row r="11282" spans="2:2" ht="12.75" customHeight="1" x14ac:dyDescent="0.2">
      <c r="B11282" s="43"/>
    </row>
    <row r="11283" spans="2:2" ht="12.75" customHeight="1" x14ac:dyDescent="0.2">
      <c r="B11283" s="43"/>
    </row>
    <row r="11284" spans="2:2" ht="12.75" customHeight="1" x14ac:dyDescent="0.2">
      <c r="B11284" s="43"/>
    </row>
    <row r="11285" spans="2:2" ht="12.75" customHeight="1" x14ac:dyDescent="0.2">
      <c r="B11285" s="43"/>
    </row>
    <row r="11286" spans="2:2" ht="12.75" customHeight="1" x14ac:dyDescent="0.2">
      <c r="B11286" s="43"/>
    </row>
    <row r="11287" spans="2:2" ht="12.75" customHeight="1" x14ac:dyDescent="0.2">
      <c r="B11287" s="43"/>
    </row>
    <row r="11288" spans="2:2" ht="12.75" customHeight="1" x14ac:dyDescent="0.2">
      <c r="B11288" s="43"/>
    </row>
    <row r="11289" spans="2:2" ht="12.75" customHeight="1" x14ac:dyDescent="0.2">
      <c r="B11289" s="43"/>
    </row>
    <row r="11290" spans="2:2" ht="12.75" customHeight="1" x14ac:dyDescent="0.2">
      <c r="B11290" s="43"/>
    </row>
    <row r="11291" spans="2:2" ht="12.75" customHeight="1" x14ac:dyDescent="0.2">
      <c r="B11291" s="43"/>
    </row>
    <row r="11292" spans="2:2" ht="12.75" customHeight="1" x14ac:dyDescent="0.2">
      <c r="B11292" s="43"/>
    </row>
    <row r="11293" spans="2:2" ht="12.75" customHeight="1" x14ac:dyDescent="0.2">
      <c r="B11293" s="43"/>
    </row>
    <row r="11294" spans="2:2" ht="12.75" customHeight="1" x14ac:dyDescent="0.2">
      <c r="B11294" s="43"/>
    </row>
    <row r="11295" spans="2:2" ht="12.75" customHeight="1" x14ac:dyDescent="0.2">
      <c r="B11295" s="43"/>
    </row>
    <row r="11296" spans="2:2" ht="12.75" customHeight="1" x14ac:dyDescent="0.2">
      <c r="B11296" s="43"/>
    </row>
    <row r="11297" spans="2:2" ht="12.75" customHeight="1" x14ac:dyDescent="0.2">
      <c r="B11297" s="43"/>
    </row>
    <row r="11298" spans="2:2" ht="12.75" customHeight="1" x14ac:dyDescent="0.2">
      <c r="B11298" s="43"/>
    </row>
    <row r="11299" spans="2:2" ht="12.75" customHeight="1" x14ac:dyDescent="0.2">
      <c r="B11299" s="43"/>
    </row>
    <row r="11300" spans="2:2" ht="12.75" customHeight="1" x14ac:dyDescent="0.2">
      <c r="B11300" s="43"/>
    </row>
    <row r="11301" spans="2:2" ht="12.75" customHeight="1" x14ac:dyDescent="0.2">
      <c r="B11301" s="43"/>
    </row>
    <row r="11302" spans="2:2" ht="12.75" customHeight="1" x14ac:dyDescent="0.2">
      <c r="B11302" s="43"/>
    </row>
    <row r="11303" spans="2:2" ht="12.75" customHeight="1" x14ac:dyDescent="0.2">
      <c r="B11303" s="43"/>
    </row>
    <row r="11304" spans="2:2" ht="12.75" customHeight="1" x14ac:dyDescent="0.2">
      <c r="B11304" s="43"/>
    </row>
    <row r="11305" spans="2:2" ht="12.75" customHeight="1" x14ac:dyDescent="0.2">
      <c r="B11305" s="43"/>
    </row>
    <row r="11306" spans="2:2" ht="12.75" customHeight="1" x14ac:dyDescent="0.2">
      <c r="B11306" s="43"/>
    </row>
    <row r="11307" spans="2:2" ht="12.75" customHeight="1" x14ac:dyDescent="0.2">
      <c r="B11307" s="43"/>
    </row>
    <row r="11308" spans="2:2" ht="12.75" customHeight="1" x14ac:dyDescent="0.2">
      <c r="B11308" s="43"/>
    </row>
    <row r="11309" spans="2:2" ht="12.75" customHeight="1" x14ac:dyDescent="0.2">
      <c r="B11309" s="43"/>
    </row>
    <row r="11310" spans="2:2" ht="12.75" customHeight="1" x14ac:dyDescent="0.2">
      <c r="B11310" s="43"/>
    </row>
    <row r="11311" spans="2:2" ht="12.75" customHeight="1" x14ac:dyDescent="0.2">
      <c r="B11311" s="43"/>
    </row>
    <row r="11312" spans="2:2" ht="12.75" customHeight="1" x14ac:dyDescent="0.2">
      <c r="B11312" s="43"/>
    </row>
    <row r="11313" spans="2:2" ht="12.75" customHeight="1" x14ac:dyDescent="0.2">
      <c r="B11313" s="43"/>
    </row>
    <row r="11314" spans="2:2" ht="12.75" customHeight="1" x14ac:dyDescent="0.2">
      <c r="B11314" s="43"/>
    </row>
    <row r="11315" spans="2:2" ht="12.75" customHeight="1" x14ac:dyDescent="0.2">
      <c r="B11315" s="43"/>
    </row>
    <row r="11316" spans="2:2" ht="12.75" customHeight="1" x14ac:dyDescent="0.2">
      <c r="B11316" s="43"/>
    </row>
    <row r="11317" spans="2:2" ht="12.75" customHeight="1" x14ac:dyDescent="0.2">
      <c r="B11317" s="43"/>
    </row>
    <row r="11318" spans="2:2" ht="12.75" customHeight="1" x14ac:dyDescent="0.2">
      <c r="B11318" s="43"/>
    </row>
    <row r="11319" spans="2:2" ht="12.75" customHeight="1" x14ac:dyDescent="0.2">
      <c r="B11319" s="43"/>
    </row>
    <row r="11320" spans="2:2" ht="12.75" customHeight="1" x14ac:dyDescent="0.2">
      <c r="B11320" s="43"/>
    </row>
    <row r="11321" spans="2:2" ht="12.75" customHeight="1" x14ac:dyDescent="0.2">
      <c r="B11321" s="43"/>
    </row>
    <row r="11322" spans="2:2" ht="12.75" customHeight="1" x14ac:dyDescent="0.2">
      <c r="B11322" s="43"/>
    </row>
    <row r="11323" spans="2:2" ht="12.75" customHeight="1" x14ac:dyDescent="0.2">
      <c r="B11323" s="43"/>
    </row>
    <row r="11324" spans="2:2" ht="12.75" customHeight="1" x14ac:dyDescent="0.2">
      <c r="B11324" s="43"/>
    </row>
    <row r="11325" spans="2:2" ht="12.75" customHeight="1" x14ac:dyDescent="0.2">
      <c r="B11325" s="43"/>
    </row>
    <row r="11326" spans="2:2" ht="12.75" customHeight="1" x14ac:dyDescent="0.2">
      <c r="B11326" s="43"/>
    </row>
    <row r="11327" spans="2:2" ht="12.75" customHeight="1" x14ac:dyDescent="0.2">
      <c r="B11327" s="43"/>
    </row>
    <row r="11328" spans="2:2" ht="12.75" customHeight="1" x14ac:dyDescent="0.2">
      <c r="B11328" s="43"/>
    </row>
    <row r="11329" spans="2:2" ht="12.75" customHeight="1" x14ac:dyDescent="0.2">
      <c r="B11329" s="43"/>
    </row>
    <row r="11330" spans="2:2" ht="12.75" customHeight="1" x14ac:dyDescent="0.2">
      <c r="B11330" s="43"/>
    </row>
    <row r="11331" spans="2:2" ht="12.75" customHeight="1" x14ac:dyDescent="0.2">
      <c r="B11331" s="43"/>
    </row>
    <row r="11332" spans="2:2" ht="12.75" customHeight="1" x14ac:dyDescent="0.2">
      <c r="B11332" s="43"/>
    </row>
    <row r="11333" spans="2:2" ht="12.75" customHeight="1" x14ac:dyDescent="0.2">
      <c r="B11333" s="43"/>
    </row>
    <row r="11334" spans="2:2" ht="12.75" customHeight="1" x14ac:dyDescent="0.2">
      <c r="B11334" s="43"/>
    </row>
    <row r="11335" spans="2:2" ht="12.75" customHeight="1" x14ac:dyDescent="0.2">
      <c r="B11335" s="43"/>
    </row>
    <row r="11336" spans="2:2" ht="12.75" customHeight="1" x14ac:dyDescent="0.2">
      <c r="B11336" s="43"/>
    </row>
    <row r="11337" spans="2:2" ht="12.75" customHeight="1" x14ac:dyDescent="0.2">
      <c r="B11337" s="43"/>
    </row>
    <row r="11338" spans="2:2" ht="12.75" customHeight="1" x14ac:dyDescent="0.2">
      <c r="B11338" s="43"/>
    </row>
    <row r="11339" spans="2:2" ht="12.75" customHeight="1" x14ac:dyDescent="0.2">
      <c r="B11339" s="43"/>
    </row>
    <row r="11340" spans="2:2" ht="12.75" customHeight="1" x14ac:dyDescent="0.2">
      <c r="B11340" s="43"/>
    </row>
    <row r="11341" spans="2:2" ht="12.75" customHeight="1" x14ac:dyDescent="0.2">
      <c r="B11341" s="43"/>
    </row>
    <row r="11342" spans="2:2" ht="12.75" customHeight="1" x14ac:dyDescent="0.2">
      <c r="B11342" s="43"/>
    </row>
    <row r="11343" spans="2:2" ht="12.75" customHeight="1" x14ac:dyDescent="0.2">
      <c r="B11343" s="43"/>
    </row>
    <row r="11344" spans="2:2" ht="12.75" customHeight="1" x14ac:dyDescent="0.2">
      <c r="B11344" s="43"/>
    </row>
    <row r="11345" spans="2:2" ht="12.75" customHeight="1" x14ac:dyDescent="0.2">
      <c r="B11345" s="43"/>
    </row>
    <row r="11346" spans="2:2" ht="12.75" customHeight="1" x14ac:dyDescent="0.2">
      <c r="B11346" s="43"/>
    </row>
    <row r="11347" spans="2:2" ht="12.75" customHeight="1" x14ac:dyDescent="0.2">
      <c r="B11347" s="43"/>
    </row>
    <row r="11348" spans="2:2" ht="12.75" customHeight="1" x14ac:dyDescent="0.2">
      <c r="B11348" s="43"/>
    </row>
    <row r="11349" spans="2:2" ht="12.75" customHeight="1" x14ac:dyDescent="0.2">
      <c r="B11349" s="43"/>
    </row>
    <row r="11350" spans="2:2" ht="12.75" customHeight="1" x14ac:dyDescent="0.2">
      <c r="B11350" s="43"/>
    </row>
    <row r="11351" spans="2:2" ht="12.75" customHeight="1" x14ac:dyDescent="0.2">
      <c r="B11351" s="43"/>
    </row>
    <row r="11352" spans="2:2" ht="12.75" customHeight="1" x14ac:dyDescent="0.2">
      <c r="B11352" s="43"/>
    </row>
    <row r="11353" spans="2:2" ht="12.75" customHeight="1" x14ac:dyDescent="0.2">
      <c r="B11353" s="43"/>
    </row>
    <row r="11354" spans="2:2" ht="12.75" customHeight="1" x14ac:dyDescent="0.2">
      <c r="B11354" s="43"/>
    </row>
    <row r="11355" spans="2:2" ht="12.75" customHeight="1" x14ac:dyDescent="0.2">
      <c r="B11355" s="43"/>
    </row>
    <row r="11356" spans="2:2" ht="12.75" customHeight="1" x14ac:dyDescent="0.2">
      <c r="B11356" s="43"/>
    </row>
    <row r="11357" spans="2:2" ht="12.75" customHeight="1" x14ac:dyDescent="0.2">
      <c r="B11357" s="43"/>
    </row>
    <row r="11358" spans="2:2" ht="12.75" customHeight="1" x14ac:dyDescent="0.2">
      <c r="B11358" s="43"/>
    </row>
    <row r="11359" spans="2:2" ht="12.75" customHeight="1" x14ac:dyDescent="0.2">
      <c r="B11359" s="43"/>
    </row>
    <row r="11360" spans="2:2" ht="12.75" customHeight="1" x14ac:dyDescent="0.2">
      <c r="B11360" s="43"/>
    </row>
    <row r="11361" spans="2:2" ht="12.75" customHeight="1" x14ac:dyDescent="0.2">
      <c r="B11361" s="43"/>
    </row>
    <row r="11362" spans="2:2" ht="12.75" customHeight="1" x14ac:dyDescent="0.2">
      <c r="B11362" s="43"/>
    </row>
    <row r="11363" spans="2:2" ht="12.75" customHeight="1" x14ac:dyDescent="0.2">
      <c r="B11363" s="43"/>
    </row>
    <row r="11364" spans="2:2" ht="12.75" customHeight="1" x14ac:dyDescent="0.2">
      <c r="B11364" s="43"/>
    </row>
    <row r="11365" spans="2:2" ht="12.75" customHeight="1" x14ac:dyDescent="0.2">
      <c r="B11365" s="43"/>
    </row>
    <row r="11366" spans="2:2" ht="12.75" customHeight="1" x14ac:dyDescent="0.2">
      <c r="B11366" s="43"/>
    </row>
    <row r="11367" spans="2:2" ht="12.75" customHeight="1" x14ac:dyDescent="0.2">
      <c r="B11367" s="43"/>
    </row>
    <row r="11368" spans="2:2" ht="12.75" customHeight="1" x14ac:dyDescent="0.2">
      <c r="B11368" s="43"/>
    </row>
    <row r="11369" spans="2:2" ht="12.75" customHeight="1" x14ac:dyDescent="0.2">
      <c r="B11369" s="43"/>
    </row>
    <row r="11370" spans="2:2" ht="12.75" customHeight="1" x14ac:dyDescent="0.2">
      <c r="B11370" s="43"/>
    </row>
    <row r="11371" spans="2:2" ht="12.75" customHeight="1" x14ac:dyDescent="0.2">
      <c r="B11371" s="43"/>
    </row>
    <row r="11372" spans="2:2" ht="12.75" customHeight="1" x14ac:dyDescent="0.2">
      <c r="B11372" s="43"/>
    </row>
    <row r="11373" spans="2:2" ht="12.75" customHeight="1" x14ac:dyDescent="0.2">
      <c r="B11373" s="43"/>
    </row>
    <row r="11374" spans="2:2" ht="12.75" customHeight="1" x14ac:dyDescent="0.2">
      <c r="B11374" s="43"/>
    </row>
    <row r="11375" spans="2:2" ht="12.75" customHeight="1" x14ac:dyDescent="0.2">
      <c r="B11375" s="43"/>
    </row>
    <row r="11376" spans="2:2" ht="12.75" customHeight="1" x14ac:dyDescent="0.2">
      <c r="B11376" s="43"/>
    </row>
    <row r="11377" spans="2:2" ht="12.75" customHeight="1" x14ac:dyDescent="0.2">
      <c r="B11377" s="43"/>
    </row>
    <row r="11378" spans="2:2" ht="12.75" customHeight="1" x14ac:dyDescent="0.2">
      <c r="B11378" s="43"/>
    </row>
    <row r="11379" spans="2:2" ht="12.75" customHeight="1" x14ac:dyDescent="0.2">
      <c r="B11379" s="43"/>
    </row>
    <row r="11380" spans="2:2" ht="12.75" customHeight="1" x14ac:dyDescent="0.2">
      <c r="B11380" s="43"/>
    </row>
    <row r="11381" spans="2:2" ht="12.75" customHeight="1" x14ac:dyDescent="0.2">
      <c r="B11381" s="43"/>
    </row>
    <row r="11382" spans="2:2" ht="12.75" customHeight="1" x14ac:dyDescent="0.2">
      <c r="B11382" s="43"/>
    </row>
    <row r="11383" spans="2:2" ht="12.75" customHeight="1" x14ac:dyDescent="0.2">
      <c r="B11383" s="43"/>
    </row>
    <row r="11384" spans="2:2" ht="12.75" customHeight="1" x14ac:dyDescent="0.2">
      <c r="B11384" s="43"/>
    </row>
    <row r="11385" spans="2:2" ht="12.75" customHeight="1" x14ac:dyDescent="0.2">
      <c r="B11385" s="43"/>
    </row>
    <row r="11386" spans="2:2" ht="12.75" customHeight="1" x14ac:dyDescent="0.2">
      <c r="B11386" s="43"/>
    </row>
    <row r="11387" spans="2:2" ht="12.75" customHeight="1" x14ac:dyDescent="0.2">
      <c r="B11387" s="43"/>
    </row>
    <row r="11388" spans="2:2" ht="12.75" customHeight="1" x14ac:dyDescent="0.2">
      <c r="B11388" s="43"/>
    </row>
    <row r="11389" spans="2:2" ht="12.75" customHeight="1" x14ac:dyDescent="0.2">
      <c r="B11389" s="43"/>
    </row>
    <row r="11390" spans="2:2" ht="12.75" customHeight="1" x14ac:dyDescent="0.2">
      <c r="B11390" s="43"/>
    </row>
    <row r="11391" spans="2:2" ht="12.75" customHeight="1" x14ac:dyDescent="0.2">
      <c r="B11391" s="43"/>
    </row>
    <row r="11392" spans="2:2" ht="12.75" customHeight="1" x14ac:dyDescent="0.2">
      <c r="B11392" s="43"/>
    </row>
    <row r="11393" spans="2:2" ht="12.75" customHeight="1" x14ac:dyDescent="0.2">
      <c r="B11393" s="43"/>
    </row>
    <row r="11394" spans="2:2" ht="12.75" customHeight="1" x14ac:dyDescent="0.2">
      <c r="B11394" s="43"/>
    </row>
    <row r="11395" spans="2:2" ht="12.75" customHeight="1" x14ac:dyDescent="0.2">
      <c r="B11395" s="43"/>
    </row>
    <row r="11396" spans="2:2" ht="12.75" customHeight="1" x14ac:dyDescent="0.2">
      <c r="B11396" s="43"/>
    </row>
    <row r="11397" spans="2:2" ht="12.75" customHeight="1" x14ac:dyDescent="0.2">
      <c r="B11397" s="43"/>
    </row>
    <row r="11398" spans="2:2" ht="12.75" customHeight="1" x14ac:dyDescent="0.2">
      <c r="B11398" s="43"/>
    </row>
    <row r="11399" spans="2:2" ht="12.75" customHeight="1" x14ac:dyDescent="0.2">
      <c r="B11399" s="43"/>
    </row>
    <row r="11400" spans="2:2" ht="12.75" customHeight="1" x14ac:dyDescent="0.2">
      <c r="B11400" s="43"/>
    </row>
    <row r="11401" spans="2:2" ht="12.75" customHeight="1" x14ac:dyDescent="0.2">
      <c r="B11401" s="43"/>
    </row>
    <row r="11402" spans="2:2" ht="12.75" customHeight="1" x14ac:dyDescent="0.2">
      <c r="B11402" s="43"/>
    </row>
    <row r="11403" spans="2:2" ht="12.75" customHeight="1" x14ac:dyDescent="0.2">
      <c r="B11403" s="43"/>
    </row>
    <row r="11404" spans="2:2" ht="12.75" customHeight="1" x14ac:dyDescent="0.2">
      <c r="B11404" s="43"/>
    </row>
    <row r="11405" spans="2:2" ht="12.75" customHeight="1" x14ac:dyDescent="0.2">
      <c r="B11405" s="43"/>
    </row>
    <row r="11406" spans="2:2" ht="12.75" customHeight="1" x14ac:dyDescent="0.2">
      <c r="B11406" s="43"/>
    </row>
    <row r="11407" spans="2:2" ht="12.75" customHeight="1" x14ac:dyDescent="0.2">
      <c r="B11407" s="43"/>
    </row>
    <row r="11408" spans="2:2" ht="12.75" customHeight="1" x14ac:dyDescent="0.2">
      <c r="B11408" s="43"/>
    </row>
    <row r="11409" spans="2:2" ht="12.75" customHeight="1" x14ac:dyDescent="0.2">
      <c r="B11409" s="43"/>
    </row>
    <row r="11410" spans="2:2" ht="12.75" customHeight="1" x14ac:dyDescent="0.2">
      <c r="B11410" s="43"/>
    </row>
    <row r="11411" spans="2:2" ht="12.75" customHeight="1" x14ac:dyDescent="0.2">
      <c r="B11411" s="43"/>
    </row>
    <row r="11412" spans="2:2" ht="12.75" customHeight="1" x14ac:dyDescent="0.2">
      <c r="B11412" s="43"/>
    </row>
    <row r="11413" spans="2:2" ht="12.75" customHeight="1" x14ac:dyDescent="0.2">
      <c r="B11413" s="43"/>
    </row>
    <row r="11414" spans="2:2" ht="12.75" customHeight="1" x14ac:dyDescent="0.2">
      <c r="B11414" s="43"/>
    </row>
    <row r="11415" spans="2:2" ht="12.75" customHeight="1" x14ac:dyDescent="0.2">
      <c r="B11415" s="43"/>
    </row>
    <row r="11416" spans="2:2" ht="12.75" customHeight="1" x14ac:dyDescent="0.2">
      <c r="B11416" s="43"/>
    </row>
    <row r="11417" spans="2:2" ht="12.75" customHeight="1" x14ac:dyDescent="0.2">
      <c r="B11417" s="43"/>
    </row>
    <row r="11418" spans="2:2" ht="12.75" customHeight="1" x14ac:dyDescent="0.2">
      <c r="B11418" s="43"/>
    </row>
    <row r="11419" spans="2:2" ht="12.75" customHeight="1" x14ac:dyDescent="0.2">
      <c r="B11419" s="43"/>
    </row>
    <row r="11420" spans="2:2" ht="12.75" customHeight="1" x14ac:dyDescent="0.2">
      <c r="B11420" s="43"/>
    </row>
    <row r="11421" spans="2:2" ht="12.75" customHeight="1" x14ac:dyDescent="0.2">
      <c r="B11421" s="43"/>
    </row>
    <row r="11422" spans="2:2" ht="12.75" customHeight="1" x14ac:dyDescent="0.2">
      <c r="B11422" s="43"/>
    </row>
    <row r="11423" spans="2:2" ht="12.75" customHeight="1" x14ac:dyDescent="0.2">
      <c r="B11423" s="43"/>
    </row>
    <row r="11424" spans="2:2" ht="12.75" customHeight="1" x14ac:dyDescent="0.2">
      <c r="B11424" s="43"/>
    </row>
    <row r="11425" spans="2:2" ht="12.75" customHeight="1" x14ac:dyDescent="0.2">
      <c r="B11425" s="43"/>
    </row>
    <row r="11426" spans="2:2" ht="12.75" customHeight="1" x14ac:dyDescent="0.2">
      <c r="B11426" s="43"/>
    </row>
    <row r="11427" spans="2:2" ht="12.75" customHeight="1" x14ac:dyDescent="0.2">
      <c r="B11427" s="43"/>
    </row>
    <row r="11428" spans="2:2" ht="12.75" customHeight="1" x14ac:dyDescent="0.2">
      <c r="B11428" s="43"/>
    </row>
    <row r="11429" spans="2:2" ht="12.75" customHeight="1" x14ac:dyDescent="0.2">
      <c r="B11429" s="43"/>
    </row>
    <row r="11430" spans="2:2" ht="12.75" customHeight="1" x14ac:dyDescent="0.2">
      <c r="B11430" s="43"/>
    </row>
    <row r="11431" spans="2:2" ht="12.75" customHeight="1" x14ac:dyDescent="0.2">
      <c r="B11431" s="43"/>
    </row>
    <row r="11432" spans="2:2" ht="12.75" customHeight="1" x14ac:dyDescent="0.2">
      <c r="B11432" s="43"/>
    </row>
    <row r="11433" spans="2:2" ht="12.75" customHeight="1" x14ac:dyDescent="0.2">
      <c r="B11433" s="43"/>
    </row>
    <row r="11434" spans="2:2" ht="12.75" customHeight="1" x14ac:dyDescent="0.2">
      <c r="B11434" s="43"/>
    </row>
    <row r="11435" spans="2:2" ht="12.75" customHeight="1" x14ac:dyDescent="0.2">
      <c r="B11435" s="43"/>
    </row>
    <row r="11436" spans="2:2" ht="12.75" customHeight="1" x14ac:dyDescent="0.2">
      <c r="B11436" s="43"/>
    </row>
    <row r="11437" spans="2:2" ht="12.75" customHeight="1" x14ac:dyDescent="0.2">
      <c r="B11437" s="43"/>
    </row>
    <row r="11438" spans="2:2" ht="12.75" customHeight="1" x14ac:dyDescent="0.2">
      <c r="B11438" s="43"/>
    </row>
    <row r="11439" spans="2:2" ht="12.75" customHeight="1" x14ac:dyDescent="0.2">
      <c r="B11439" s="43"/>
    </row>
    <row r="11440" spans="2:2" ht="12.75" customHeight="1" x14ac:dyDescent="0.2">
      <c r="B11440" s="43"/>
    </row>
    <row r="11441" spans="2:2" ht="12.75" customHeight="1" x14ac:dyDescent="0.2">
      <c r="B11441" s="43"/>
    </row>
    <row r="11442" spans="2:2" ht="12.75" customHeight="1" x14ac:dyDescent="0.2">
      <c r="B11442" s="43"/>
    </row>
    <row r="11443" spans="2:2" ht="12.75" customHeight="1" x14ac:dyDescent="0.2">
      <c r="B11443" s="43"/>
    </row>
    <row r="11444" spans="2:2" ht="12.75" customHeight="1" x14ac:dyDescent="0.2">
      <c r="B11444" s="43"/>
    </row>
    <row r="11445" spans="2:2" ht="12.75" customHeight="1" x14ac:dyDescent="0.2">
      <c r="B11445" s="43"/>
    </row>
    <row r="11446" spans="2:2" ht="12.75" customHeight="1" x14ac:dyDescent="0.2">
      <c r="B11446" s="43"/>
    </row>
    <row r="11447" spans="2:2" ht="12.75" customHeight="1" x14ac:dyDescent="0.2">
      <c r="B11447" s="43"/>
    </row>
    <row r="11448" spans="2:2" ht="12.75" customHeight="1" x14ac:dyDescent="0.2">
      <c r="B11448" s="43"/>
    </row>
    <row r="11449" spans="2:2" ht="12.75" customHeight="1" x14ac:dyDescent="0.2">
      <c r="B11449" s="43"/>
    </row>
    <row r="11450" spans="2:2" ht="12.75" customHeight="1" x14ac:dyDescent="0.2">
      <c r="B11450" s="43"/>
    </row>
    <row r="11451" spans="2:2" ht="12.75" customHeight="1" x14ac:dyDescent="0.2">
      <c r="B11451" s="43"/>
    </row>
    <row r="11452" spans="2:2" ht="12.75" customHeight="1" x14ac:dyDescent="0.2">
      <c r="B11452" s="43"/>
    </row>
    <row r="11453" spans="2:2" ht="12.75" customHeight="1" x14ac:dyDescent="0.2">
      <c r="B11453" s="43"/>
    </row>
    <row r="11454" spans="2:2" ht="12.75" customHeight="1" x14ac:dyDescent="0.2">
      <c r="B11454" s="43"/>
    </row>
    <row r="11455" spans="2:2" ht="12.75" customHeight="1" x14ac:dyDescent="0.2">
      <c r="B11455" s="43"/>
    </row>
    <row r="11456" spans="2:2" ht="12.75" customHeight="1" x14ac:dyDescent="0.2">
      <c r="B11456" s="43"/>
    </row>
    <row r="11457" spans="2:2" ht="12.75" customHeight="1" x14ac:dyDescent="0.2">
      <c r="B11457" s="43"/>
    </row>
    <row r="11458" spans="2:2" ht="12.75" customHeight="1" x14ac:dyDescent="0.2">
      <c r="B11458" s="43"/>
    </row>
    <row r="11459" spans="2:2" ht="12.75" customHeight="1" x14ac:dyDescent="0.2">
      <c r="B11459" s="43"/>
    </row>
    <row r="11460" spans="2:2" ht="12.75" customHeight="1" x14ac:dyDescent="0.2">
      <c r="B11460" s="43"/>
    </row>
    <row r="11461" spans="2:2" ht="12.75" customHeight="1" x14ac:dyDescent="0.2">
      <c r="B11461" s="43"/>
    </row>
    <row r="11462" spans="2:2" ht="12.75" customHeight="1" x14ac:dyDescent="0.2">
      <c r="B11462" s="43"/>
    </row>
    <row r="11463" spans="2:2" ht="12.75" customHeight="1" x14ac:dyDescent="0.2">
      <c r="B11463" s="43"/>
    </row>
    <row r="11464" spans="2:2" ht="12.75" customHeight="1" x14ac:dyDescent="0.2">
      <c r="B11464" s="43"/>
    </row>
    <row r="11465" spans="2:2" ht="12.75" customHeight="1" x14ac:dyDescent="0.2">
      <c r="B11465" s="43"/>
    </row>
    <row r="11466" spans="2:2" ht="12.75" customHeight="1" x14ac:dyDescent="0.2">
      <c r="B11466" s="43"/>
    </row>
    <row r="11467" spans="2:2" ht="12.75" customHeight="1" x14ac:dyDescent="0.2">
      <c r="B11467" s="43"/>
    </row>
    <row r="11468" spans="2:2" ht="12.75" customHeight="1" x14ac:dyDescent="0.2">
      <c r="B11468" s="43"/>
    </row>
    <row r="11469" spans="2:2" ht="12.75" customHeight="1" x14ac:dyDescent="0.2">
      <c r="B11469" s="43"/>
    </row>
    <row r="11470" spans="2:2" ht="12.75" customHeight="1" x14ac:dyDescent="0.2">
      <c r="B11470" s="43"/>
    </row>
    <row r="11471" spans="2:2" ht="12.75" customHeight="1" x14ac:dyDescent="0.2">
      <c r="B11471" s="43"/>
    </row>
    <row r="11472" spans="2:2" ht="12.75" customHeight="1" x14ac:dyDescent="0.2">
      <c r="B11472" s="43"/>
    </row>
    <row r="11473" spans="2:2" ht="12.75" customHeight="1" x14ac:dyDescent="0.2">
      <c r="B11473" s="43"/>
    </row>
    <row r="11474" spans="2:2" ht="12.75" customHeight="1" x14ac:dyDescent="0.2">
      <c r="B11474" s="43"/>
    </row>
    <row r="11475" spans="2:2" ht="12.75" customHeight="1" x14ac:dyDescent="0.2">
      <c r="B11475" s="43"/>
    </row>
    <row r="11476" spans="2:2" ht="12.75" customHeight="1" x14ac:dyDescent="0.2">
      <c r="B11476" s="43"/>
    </row>
    <row r="11477" spans="2:2" ht="12.75" customHeight="1" x14ac:dyDescent="0.2">
      <c r="B11477" s="43"/>
    </row>
    <row r="11478" spans="2:2" ht="12.75" customHeight="1" x14ac:dyDescent="0.2">
      <c r="B11478" s="43"/>
    </row>
    <row r="11479" spans="2:2" ht="12.75" customHeight="1" x14ac:dyDescent="0.2">
      <c r="B11479" s="43"/>
    </row>
    <row r="11480" spans="2:2" ht="12.75" customHeight="1" x14ac:dyDescent="0.2">
      <c r="B11480" s="43"/>
    </row>
    <row r="11481" spans="2:2" ht="12.75" customHeight="1" x14ac:dyDescent="0.2">
      <c r="B11481" s="43"/>
    </row>
    <row r="11482" spans="2:2" ht="12.75" customHeight="1" x14ac:dyDescent="0.2">
      <c r="B11482" s="43"/>
    </row>
    <row r="11483" spans="2:2" ht="12.75" customHeight="1" x14ac:dyDescent="0.2">
      <c r="B11483" s="43"/>
    </row>
    <row r="11484" spans="2:2" ht="12.75" customHeight="1" x14ac:dyDescent="0.2">
      <c r="B11484" s="43"/>
    </row>
    <row r="11485" spans="2:2" ht="12.75" customHeight="1" x14ac:dyDescent="0.2">
      <c r="B11485" s="43"/>
    </row>
    <row r="11486" spans="2:2" ht="12.75" customHeight="1" x14ac:dyDescent="0.2">
      <c r="B11486" s="43"/>
    </row>
    <row r="11487" spans="2:2" ht="12.75" customHeight="1" x14ac:dyDescent="0.2">
      <c r="B11487" s="43"/>
    </row>
    <row r="11488" spans="2:2" ht="12.75" customHeight="1" x14ac:dyDescent="0.2">
      <c r="B11488" s="43"/>
    </row>
    <row r="11489" spans="2:2" ht="12.75" customHeight="1" x14ac:dyDescent="0.2">
      <c r="B11489" s="43"/>
    </row>
    <row r="11490" spans="2:2" ht="12.75" customHeight="1" x14ac:dyDescent="0.2">
      <c r="B11490" s="43"/>
    </row>
    <row r="11491" spans="2:2" ht="12.75" customHeight="1" x14ac:dyDescent="0.2">
      <c r="B11491" s="43"/>
    </row>
    <row r="11492" spans="2:2" ht="12.75" customHeight="1" x14ac:dyDescent="0.2">
      <c r="B11492" s="43"/>
    </row>
    <row r="11493" spans="2:2" ht="12.75" customHeight="1" x14ac:dyDescent="0.2">
      <c r="B11493" s="43"/>
    </row>
    <row r="11494" spans="2:2" ht="12.75" customHeight="1" x14ac:dyDescent="0.2">
      <c r="B11494" s="43"/>
    </row>
    <row r="11495" spans="2:2" ht="12.75" customHeight="1" x14ac:dyDescent="0.2">
      <c r="B11495" s="43"/>
    </row>
    <row r="11496" spans="2:2" ht="12.75" customHeight="1" x14ac:dyDescent="0.2">
      <c r="B11496" s="43"/>
    </row>
    <row r="11497" spans="2:2" ht="12.75" customHeight="1" x14ac:dyDescent="0.2">
      <c r="B11497" s="43"/>
    </row>
    <row r="11498" spans="2:2" ht="12.75" customHeight="1" x14ac:dyDescent="0.2">
      <c r="B11498" s="43"/>
    </row>
    <row r="11499" spans="2:2" ht="12.75" customHeight="1" x14ac:dyDescent="0.2">
      <c r="B11499" s="43"/>
    </row>
    <row r="11500" spans="2:2" ht="12.75" customHeight="1" x14ac:dyDescent="0.2">
      <c r="B11500" s="43"/>
    </row>
    <row r="11501" spans="2:2" ht="12.75" customHeight="1" x14ac:dyDescent="0.2">
      <c r="B11501" s="43"/>
    </row>
    <row r="11502" spans="2:2" ht="12.75" customHeight="1" x14ac:dyDescent="0.2">
      <c r="B11502" s="43"/>
    </row>
    <row r="11503" spans="2:2" ht="12.75" customHeight="1" x14ac:dyDescent="0.2">
      <c r="B11503" s="43"/>
    </row>
    <row r="11504" spans="2:2" ht="12.75" customHeight="1" x14ac:dyDescent="0.2">
      <c r="B11504" s="43"/>
    </row>
    <row r="11505" spans="2:2" ht="12.75" customHeight="1" x14ac:dyDescent="0.2">
      <c r="B11505" s="43"/>
    </row>
    <row r="11506" spans="2:2" ht="12.75" customHeight="1" x14ac:dyDescent="0.2">
      <c r="B11506" s="43"/>
    </row>
    <row r="11507" spans="2:2" ht="12.75" customHeight="1" x14ac:dyDescent="0.2">
      <c r="B11507" s="43"/>
    </row>
    <row r="11508" spans="2:2" ht="12.75" customHeight="1" x14ac:dyDescent="0.2">
      <c r="B11508" s="43"/>
    </row>
    <row r="11509" spans="2:2" ht="12.75" customHeight="1" x14ac:dyDescent="0.2">
      <c r="B11509" s="43"/>
    </row>
    <row r="11510" spans="2:2" ht="12.75" customHeight="1" x14ac:dyDescent="0.2">
      <c r="B11510" s="43"/>
    </row>
    <row r="11511" spans="2:2" ht="12.75" customHeight="1" x14ac:dyDescent="0.2">
      <c r="B11511" s="43"/>
    </row>
    <row r="11512" spans="2:2" ht="12.75" customHeight="1" x14ac:dyDescent="0.2">
      <c r="B11512" s="43"/>
    </row>
    <row r="11513" spans="2:2" ht="12.75" customHeight="1" x14ac:dyDescent="0.2">
      <c r="B11513" s="43"/>
    </row>
    <row r="11514" spans="2:2" ht="12.75" customHeight="1" x14ac:dyDescent="0.2">
      <c r="B11514" s="43"/>
    </row>
    <row r="11515" spans="2:2" ht="12.75" customHeight="1" x14ac:dyDescent="0.2">
      <c r="B11515" s="43"/>
    </row>
    <row r="11516" spans="2:2" ht="12.75" customHeight="1" x14ac:dyDescent="0.2">
      <c r="B11516" s="43"/>
    </row>
    <row r="11517" spans="2:2" ht="12.75" customHeight="1" x14ac:dyDescent="0.2">
      <c r="B11517" s="43"/>
    </row>
    <row r="11518" spans="2:2" ht="12.75" customHeight="1" x14ac:dyDescent="0.2">
      <c r="B11518" s="43"/>
    </row>
    <row r="11519" spans="2:2" ht="12.75" customHeight="1" x14ac:dyDescent="0.2">
      <c r="B11519" s="43"/>
    </row>
    <row r="11520" spans="2:2" ht="12.75" customHeight="1" x14ac:dyDescent="0.2">
      <c r="B11520" s="43"/>
    </row>
    <row r="11521" spans="2:2" ht="12.75" customHeight="1" x14ac:dyDescent="0.2">
      <c r="B11521" s="43"/>
    </row>
    <row r="11522" spans="2:2" ht="12.75" customHeight="1" x14ac:dyDescent="0.2">
      <c r="B11522" s="43"/>
    </row>
    <row r="11523" spans="2:2" ht="12.75" customHeight="1" x14ac:dyDescent="0.2">
      <c r="B11523" s="43"/>
    </row>
    <row r="11524" spans="2:2" ht="12.75" customHeight="1" x14ac:dyDescent="0.2">
      <c r="B11524" s="43"/>
    </row>
    <row r="11525" spans="2:2" ht="12.75" customHeight="1" x14ac:dyDescent="0.2">
      <c r="B11525" s="43"/>
    </row>
    <row r="11526" spans="2:2" ht="12.75" customHeight="1" x14ac:dyDescent="0.2">
      <c r="B11526" s="43"/>
    </row>
    <row r="11527" spans="2:2" ht="12.75" customHeight="1" x14ac:dyDescent="0.2">
      <c r="B11527" s="43"/>
    </row>
    <row r="11528" spans="2:2" ht="12.75" customHeight="1" x14ac:dyDescent="0.2">
      <c r="B11528" s="43"/>
    </row>
    <row r="11529" spans="2:2" ht="12.75" customHeight="1" x14ac:dyDescent="0.2">
      <c r="B11529" s="43"/>
    </row>
    <row r="11530" spans="2:2" ht="12.75" customHeight="1" x14ac:dyDescent="0.2">
      <c r="B11530" s="43"/>
    </row>
    <row r="11531" spans="2:2" ht="12.75" customHeight="1" x14ac:dyDescent="0.2">
      <c r="B11531" s="43"/>
    </row>
    <row r="11532" spans="2:2" ht="12.75" customHeight="1" x14ac:dyDescent="0.2">
      <c r="B11532" s="43"/>
    </row>
    <row r="11533" spans="2:2" ht="12.75" customHeight="1" x14ac:dyDescent="0.2">
      <c r="B11533" s="43"/>
    </row>
    <row r="11534" spans="2:2" ht="12.75" customHeight="1" x14ac:dyDescent="0.2">
      <c r="B11534" s="43"/>
    </row>
    <row r="11535" spans="2:2" ht="12.75" customHeight="1" x14ac:dyDescent="0.2">
      <c r="B11535" s="43"/>
    </row>
    <row r="11536" spans="2:2" ht="12.75" customHeight="1" x14ac:dyDescent="0.2">
      <c r="B11536" s="43"/>
    </row>
    <row r="11537" spans="2:2" ht="12.75" customHeight="1" x14ac:dyDescent="0.2">
      <c r="B11537" s="43"/>
    </row>
    <row r="11538" spans="2:2" ht="12.75" customHeight="1" x14ac:dyDescent="0.2">
      <c r="B11538" s="43"/>
    </row>
    <row r="11539" spans="2:2" ht="12.75" customHeight="1" x14ac:dyDescent="0.2">
      <c r="B11539" s="43"/>
    </row>
    <row r="11540" spans="2:2" ht="12.75" customHeight="1" x14ac:dyDescent="0.2">
      <c r="B11540" s="43"/>
    </row>
    <row r="11541" spans="2:2" ht="12.75" customHeight="1" x14ac:dyDescent="0.2">
      <c r="B11541" s="43"/>
    </row>
    <row r="11542" spans="2:2" ht="12.75" customHeight="1" x14ac:dyDescent="0.2">
      <c r="B11542" s="43"/>
    </row>
    <row r="11543" spans="2:2" ht="12.75" customHeight="1" x14ac:dyDescent="0.2">
      <c r="B11543" s="43"/>
    </row>
    <row r="11544" spans="2:2" ht="12.75" customHeight="1" x14ac:dyDescent="0.2">
      <c r="B11544" s="43"/>
    </row>
    <row r="11545" spans="2:2" ht="12.75" customHeight="1" x14ac:dyDescent="0.2">
      <c r="B11545" s="43"/>
    </row>
    <row r="11546" spans="2:2" ht="12.75" customHeight="1" x14ac:dyDescent="0.2">
      <c r="B11546" s="43"/>
    </row>
    <row r="11547" spans="2:2" ht="12.75" customHeight="1" x14ac:dyDescent="0.2">
      <c r="B11547" s="43"/>
    </row>
    <row r="11548" spans="2:2" ht="12.75" customHeight="1" x14ac:dyDescent="0.2">
      <c r="B11548" s="43"/>
    </row>
    <row r="11549" spans="2:2" ht="12.75" customHeight="1" x14ac:dyDescent="0.2">
      <c r="B11549" s="43"/>
    </row>
    <row r="11550" spans="2:2" ht="12.75" customHeight="1" x14ac:dyDescent="0.2">
      <c r="B11550" s="43"/>
    </row>
    <row r="11551" spans="2:2" ht="12.75" customHeight="1" x14ac:dyDescent="0.2">
      <c r="B11551" s="43"/>
    </row>
    <row r="11552" spans="2:2" ht="12.75" customHeight="1" x14ac:dyDescent="0.2">
      <c r="B11552" s="43"/>
    </row>
    <row r="11553" spans="2:2" ht="12.75" customHeight="1" x14ac:dyDescent="0.2">
      <c r="B11553" s="43"/>
    </row>
    <row r="11554" spans="2:2" ht="12.75" customHeight="1" x14ac:dyDescent="0.2">
      <c r="B11554" s="43"/>
    </row>
    <row r="11555" spans="2:2" ht="12.75" customHeight="1" x14ac:dyDescent="0.2">
      <c r="B11555" s="43"/>
    </row>
    <row r="11556" spans="2:2" ht="12.75" customHeight="1" x14ac:dyDescent="0.2">
      <c r="B11556" s="43"/>
    </row>
    <row r="11557" spans="2:2" ht="12.75" customHeight="1" x14ac:dyDescent="0.2">
      <c r="B11557" s="43"/>
    </row>
    <row r="11558" spans="2:2" ht="12.75" customHeight="1" x14ac:dyDescent="0.2">
      <c r="B11558" s="43"/>
    </row>
    <row r="11559" spans="2:2" ht="12.75" customHeight="1" x14ac:dyDescent="0.2">
      <c r="B11559" s="43"/>
    </row>
    <row r="11560" spans="2:2" ht="12.75" customHeight="1" x14ac:dyDescent="0.2">
      <c r="B11560" s="43"/>
    </row>
    <row r="11561" spans="2:2" ht="12.75" customHeight="1" x14ac:dyDescent="0.2">
      <c r="B11561" s="43"/>
    </row>
    <row r="11562" spans="2:2" ht="12.75" customHeight="1" x14ac:dyDescent="0.2">
      <c r="B11562" s="43"/>
    </row>
    <row r="11563" spans="2:2" ht="12.75" customHeight="1" x14ac:dyDescent="0.2">
      <c r="B11563" s="43"/>
    </row>
    <row r="11564" spans="2:2" ht="12.75" customHeight="1" x14ac:dyDescent="0.2">
      <c r="B11564" s="43"/>
    </row>
    <row r="11565" spans="2:2" ht="12.75" customHeight="1" x14ac:dyDescent="0.2">
      <c r="B11565" s="43"/>
    </row>
    <row r="11566" spans="2:2" ht="12.75" customHeight="1" x14ac:dyDescent="0.2">
      <c r="B11566" s="43"/>
    </row>
    <row r="11567" spans="2:2" ht="12.75" customHeight="1" x14ac:dyDescent="0.2">
      <c r="B11567" s="43"/>
    </row>
    <row r="11568" spans="2:2" ht="12.75" customHeight="1" x14ac:dyDescent="0.2">
      <c r="B11568" s="43"/>
    </row>
    <row r="11569" spans="2:2" ht="12.75" customHeight="1" x14ac:dyDescent="0.2">
      <c r="B11569" s="43"/>
    </row>
    <row r="11570" spans="2:2" ht="12.75" customHeight="1" x14ac:dyDescent="0.2">
      <c r="B11570" s="43"/>
    </row>
    <row r="11571" spans="2:2" ht="12.75" customHeight="1" x14ac:dyDescent="0.2">
      <c r="B11571" s="43"/>
    </row>
    <row r="11572" spans="2:2" ht="12.75" customHeight="1" x14ac:dyDescent="0.2">
      <c r="B11572" s="43"/>
    </row>
    <row r="11573" spans="2:2" ht="12.75" customHeight="1" x14ac:dyDescent="0.2">
      <c r="B11573" s="43"/>
    </row>
    <row r="11574" spans="2:2" ht="12.75" customHeight="1" x14ac:dyDescent="0.2">
      <c r="B11574" s="43"/>
    </row>
    <row r="11575" spans="2:2" ht="12.75" customHeight="1" x14ac:dyDescent="0.2">
      <c r="B11575" s="43"/>
    </row>
    <row r="11576" spans="2:2" ht="12.75" customHeight="1" x14ac:dyDescent="0.2">
      <c r="B11576" s="43"/>
    </row>
    <row r="11577" spans="2:2" ht="12.75" customHeight="1" x14ac:dyDescent="0.2">
      <c r="B11577" s="43"/>
    </row>
    <row r="11578" spans="2:2" ht="12.75" customHeight="1" x14ac:dyDescent="0.2">
      <c r="B11578" s="43"/>
    </row>
    <row r="11579" spans="2:2" ht="12.75" customHeight="1" x14ac:dyDescent="0.2">
      <c r="B11579" s="43"/>
    </row>
    <row r="11580" spans="2:2" ht="12.75" customHeight="1" x14ac:dyDescent="0.2">
      <c r="B11580" s="43"/>
    </row>
    <row r="11581" spans="2:2" ht="12.75" customHeight="1" x14ac:dyDescent="0.2">
      <c r="B11581" s="43"/>
    </row>
    <row r="11582" spans="2:2" ht="12.75" customHeight="1" x14ac:dyDescent="0.2">
      <c r="B11582" s="43"/>
    </row>
    <row r="11583" spans="2:2" ht="12.75" customHeight="1" x14ac:dyDescent="0.2">
      <c r="B11583" s="43"/>
    </row>
    <row r="11584" spans="2:2" ht="12.75" customHeight="1" x14ac:dyDescent="0.2">
      <c r="B11584" s="43"/>
    </row>
    <row r="11585" spans="2:2" ht="12.75" customHeight="1" x14ac:dyDescent="0.2">
      <c r="B11585" s="43"/>
    </row>
    <row r="11586" spans="2:2" ht="12.75" customHeight="1" x14ac:dyDescent="0.2">
      <c r="B11586" s="43"/>
    </row>
    <row r="11587" spans="2:2" ht="12.75" customHeight="1" x14ac:dyDescent="0.2">
      <c r="B11587" s="43"/>
    </row>
    <row r="11588" spans="2:2" ht="12.75" customHeight="1" x14ac:dyDescent="0.2">
      <c r="B11588" s="43"/>
    </row>
    <row r="11589" spans="2:2" ht="12.75" customHeight="1" x14ac:dyDescent="0.2">
      <c r="B11589" s="43"/>
    </row>
    <row r="11590" spans="2:2" ht="12.75" customHeight="1" x14ac:dyDescent="0.2">
      <c r="B11590" s="43"/>
    </row>
    <row r="11591" spans="2:2" ht="12.75" customHeight="1" x14ac:dyDescent="0.2">
      <c r="B11591" s="43"/>
    </row>
    <row r="11592" spans="2:2" ht="12.75" customHeight="1" x14ac:dyDescent="0.2">
      <c r="B11592" s="43"/>
    </row>
    <row r="11593" spans="2:2" ht="12.75" customHeight="1" x14ac:dyDescent="0.2">
      <c r="B11593" s="43"/>
    </row>
    <row r="11594" spans="2:2" ht="12.75" customHeight="1" x14ac:dyDescent="0.2">
      <c r="B11594" s="43"/>
    </row>
    <row r="11595" spans="2:2" ht="12.75" customHeight="1" x14ac:dyDescent="0.2">
      <c r="B11595" s="43"/>
    </row>
    <row r="11596" spans="2:2" ht="12.75" customHeight="1" x14ac:dyDescent="0.2">
      <c r="B11596" s="43"/>
    </row>
    <row r="11597" spans="2:2" ht="12.75" customHeight="1" x14ac:dyDescent="0.2">
      <c r="B11597" s="43"/>
    </row>
    <row r="11598" spans="2:2" ht="12.75" customHeight="1" x14ac:dyDescent="0.2">
      <c r="B11598" s="43"/>
    </row>
    <row r="11599" spans="2:2" ht="12.75" customHeight="1" x14ac:dyDescent="0.2">
      <c r="B11599" s="43"/>
    </row>
    <row r="11600" spans="2:2" ht="12.75" customHeight="1" x14ac:dyDescent="0.2">
      <c r="B11600" s="43"/>
    </row>
    <row r="11601" spans="2:2" ht="12.75" customHeight="1" x14ac:dyDescent="0.2">
      <c r="B11601" s="43"/>
    </row>
    <row r="11602" spans="2:2" ht="12.75" customHeight="1" x14ac:dyDescent="0.2">
      <c r="B11602" s="43"/>
    </row>
    <row r="11603" spans="2:2" ht="12.75" customHeight="1" x14ac:dyDescent="0.2">
      <c r="B11603" s="43"/>
    </row>
    <row r="11604" spans="2:2" ht="12.75" customHeight="1" x14ac:dyDescent="0.2">
      <c r="B11604" s="43"/>
    </row>
    <row r="11605" spans="2:2" ht="12.75" customHeight="1" x14ac:dyDescent="0.2">
      <c r="B11605" s="43"/>
    </row>
    <row r="11606" spans="2:2" ht="12.75" customHeight="1" x14ac:dyDescent="0.2">
      <c r="B11606" s="43"/>
    </row>
    <row r="11607" spans="2:2" ht="12.75" customHeight="1" x14ac:dyDescent="0.2">
      <c r="B11607" s="43"/>
    </row>
    <row r="11608" spans="2:2" ht="12.75" customHeight="1" x14ac:dyDescent="0.2">
      <c r="B11608" s="43"/>
    </row>
    <row r="11609" spans="2:2" ht="12.75" customHeight="1" x14ac:dyDescent="0.2">
      <c r="B11609" s="43"/>
    </row>
    <row r="11610" spans="2:2" ht="12.75" customHeight="1" x14ac:dyDescent="0.2">
      <c r="B11610" s="43"/>
    </row>
    <row r="11611" spans="2:2" ht="12.75" customHeight="1" x14ac:dyDescent="0.2">
      <c r="B11611" s="43"/>
    </row>
    <row r="11612" spans="2:2" ht="12.75" customHeight="1" x14ac:dyDescent="0.2">
      <c r="B11612" s="43"/>
    </row>
    <row r="11613" spans="2:2" ht="12.75" customHeight="1" x14ac:dyDescent="0.2">
      <c r="B11613" s="43"/>
    </row>
    <row r="11614" spans="2:2" ht="12.75" customHeight="1" x14ac:dyDescent="0.2">
      <c r="B11614" s="43"/>
    </row>
    <row r="11615" spans="2:2" ht="12.75" customHeight="1" x14ac:dyDescent="0.2">
      <c r="B11615" s="43"/>
    </row>
    <row r="11616" spans="2:2" ht="12.75" customHeight="1" x14ac:dyDescent="0.2">
      <c r="B11616" s="43"/>
    </row>
    <row r="11617" spans="2:2" ht="12.75" customHeight="1" x14ac:dyDescent="0.2">
      <c r="B11617" s="43"/>
    </row>
    <row r="11618" spans="2:2" ht="12.75" customHeight="1" x14ac:dyDescent="0.2">
      <c r="B11618" s="43"/>
    </row>
    <row r="11619" spans="2:2" ht="12.75" customHeight="1" x14ac:dyDescent="0.2">
      <c r="B11619" s="43"/>
    </row>
    <row r="11620" spans="2:2" ht="12.75" customHeight="1" x14ac:dyDescent="0.2">
      <c r="B11620" s="43"/>
    </row>
    <row r="11621" spans="2:2" ht="12.75" customHeight="1" x14ac:dyDescent="0.2">
      <c r="B11621" s="43"/>
    </row>
    <row r="11622" spans="2:2" ht="12.75" customHeight="1" x14ac:dyDescent="0.2">
      <c r="B11622" s="43"/>
    </row>
    <row r="11623" spans="2:2" ht="12.75" customHeight="1" x14ac:dyDescent="0.2">
      <c r="B11623" s="43"/>
    </row>
    <row r="11624" spans="2:2" ht="12.75" customHeight="1" x14ac:dyDescent="0.2">
      <c r="B11624" s="43"/>
    </row>
    <row r="11625" spans="2:2" ht="12.75" customHeight="1" x14ac:dyDescent="0.2">
      <c r="B11625" s="43"/>
    </row>
    <row r="11626" spans="2:2" ht="12.75" customHeight="1" x14ac:dyDescent="0.2">
      <c r="B11626" s="43"/>
    </row>
    <row r="11627" spans="2:2" ht="12.75" customHeight="1" x14ac:dyDescent="0.2">
      <c r="B11627" s="43"/>
    </row>
    <row r="11628" spans="2:2" ht="12.75" customHeight="1" x14ac:dyDescent="0.2">
      <c r="B11628" s="43"/>
    </row>
    <row r="11629" spans="2:2" ht="12.75" customHeight="1" x14ac:dyDescent="0.2">
      <c r="B11629" s="43"/>
    </row>
    <row r="11630" spans="2:2" ht="12.75" customHeight="1" x14ac:dyDescent="0.2">
      <c r="B11630" s="43"/>
    </row>
    <row r="11631" spans="2:2" ht="12.75" customHeight="1" x14ac:dyDescent="0.2">
      <c r="B11631" s="43"/>
    </row>
    <row r="11632" spans="2:2" ht="12.75" customHeight="1" x14ac:dyDescent="0.2">
      <c r="B11632" s="43"/>
    </row>
    <row r="11633" spans="2:2" ht="12.75" customHeight="1" x14ac:dyDescent="0.2">
      <c r="B11633" s="43"/>
    </row>
    <row r="11634" spans="2:2" ht="12.75" customHeight="1" x14ac:dyDescent="0.2">
      <c r="B11634" s="43"/>
    </row>
    <row r="11635" spans="2:2" ht="12.75" customHeight="1" x14ac:dyDescent="0.2">
      <c r="B11635" s="43"/>
    </row>
    <row r="11636" spans="2:2" ht="12.75" customHeight="1" x14ac:dyDescent="0.2">
      <c r="B11636" s="43"/>
    </row>
    <row r="11637" spans="2:2" ht="12.75" customHeight="1" x14ac:dyDescent="0.2">
      <c r="B11637" s="43"/>
    </row>
    <row r="11638" spans="2:2" ht="12.75" customHeight="1" x14ac:dyDescent="0.2">
      <c r="B11638" s="43"/>
    </row>
    <row r="11639" spans="2:2" ht="12.75" customHeight="1" x14ac:dyDescent="0.2">
      <c r="B11639" s="43"/>
    </row>
    <row r="11640" spans="2:2" ht="12.75" customHeight="1" x14ac:dyDescent="0.2">
      <c r="B11640" s="43"/>
    </row>
    <row r="11641" spans="2:2" ht="12.75" customHeight="1" x14ac:dyDescent="0.2">
      <c r="B11641" s="43"/>
    </row>
    <row r="11642" spans="2:2" ht="12.75" customHeight="1" x14ac:dyDescent="0.2">
      <c r="B11642" s="43"/>
    </row>
    <row r="11643" spans="2:2" ht="12.75" customHeight="1" x14ac:dyDescent="0.2">
      <c r="B11643" s="43"/>
    </row>
    <row r="11644" spans="2:2" ht="12.75" customHeight="1" x14ac:dyDescent="0.2">
      <c r="B11644" s="43"/>
    </row>
    <row r="11645" spans="2:2" ht="12.75" customHeight="1" x14ac:dyDescent="0.2">
      <c r="B11645" s="43"/>
    </row>
    <row r="11646" spans="2:2" ht="12.75" customHeight="1" x14ac:dyDescent="0.2">
      <c r="B11646" s="43"/>
    </row>
    <row r="11647" spans="2:2" ht="12.75" customHeight="1" x14ac:dyDescent="0.2">
      <c r="B11647" s="43"/>
    </row>
    <row r="11648" spans="2:2" ht="12.75" customHeight="1" x14ac:dyDescent="0.2">
      <c r="B11648" s="43"/>
    </row>
    <row r="11649" spans="2:2" ht="12.75" customHeight="1" x14ac:dyDescent="0.2">
      <c r="B11649" s="43"/>
    </row>
    <row r="11650" spans="2:2" ht="12.75" customHeight="1" x14ac:dyDescent="0.2">
      <c r="B11650" s="43"/>
    </row>
    <row r="11651" spans="2:2" ht="12.75" customHeight="1" x14ac:dyDescent="0.2">
      <c r="B11651" s="43"/>
    </row>
    <row r="11652" spans="2:2" ht="12.75" customHeight="1" x14ac:dyDescent="0.2">
      <c r="B11652" s="43"/>
    </row>
    <row r="11653" spans="2:2" ht="12.75" customHeight="1" x14ac:dyDescent="0.2">
      <c r="B11653" s="43"/>
    </row>
    <row r="11654" spans="2:2" ht="12.75" customHeight="1" x14ac:dyDescent="0.2">
      <c r="B11654" s="43"/>
    </row>
    <row r="11655" spans="2:2" ht="12.75" customHeight="1" x14ac:dyDescent="0.2">
      <c r="B11655" s="43"/>
    </row>
    <row r="11656" spans="2:2" ht="12.75" customHeight="1" x14ac:dyDescent="0.2">
      <c r="B11656" s="43"/>
    </row>
    <row r="11657" spans="2:2" ht="12.75" customHeight="1" x14ac:dyDescent="0.2">
      <c r="B11657" s="43"/>
    </row>
    <row r="11658" spans="2:2" ht="12.75" customHeight="1" x14ac:dyDescent="0.2">
      <c r="B11658" s="43"/>
    </row>
    <row r="11659" spans="2:2" ht="12.75" customHeight="1" x14ac:dyDescent="0.2">
      <c r="B11659" s="43"/>
    </row>
    <row r="11660" spans="2:2" ht="12.75" customHeight="1" x14ac:dyDescent="0.2">
      <c r="B11660" s="43"/>
    </row>
    <row r="11661" spans="2:2" ht="12.75" customHeight="1" x14ac:dyDescent="0.2">
      <c r="B11661" s="43"/>
    </row>
    <row r="11662" spans="2:2" ht="12.75" customHeight="1" x14ac:dyDescent="0.2">
      <c r="B11662" s="43"/>
    </row>
    <row r="11663" spans="2:2" ht="12.75" customHeight="1" x14ac:dyDescent="0.2">
      <c r="B11663" s="43"/>
    </row>
    <row r="11664" spans="2:2" ht="12.75" customHeight="1" x14ac:dyDescent="0.2">
      <c r="B11664" s="43"/>
    </row>
    <row r="11665" spans="2:2" ht="12.75" customHeight="1" x14ac:dyDescent="0.2">
      <c r="B11665" s="43"/>
    </row>
    <row r="11666" spans="2:2" ht="12.75" customHeight="1" x14ac:dyDescent="0.2">
      <c r="B11666" s="43"/>
    </row>
    <row r="11667" spans="2:2" ht="12.75" customHeight="1" x14ac:dyDescent="0.2">
      <c r="B11667" s="43"/>
    </row>
    <row r="11668" spans="2:2" ht="12.75" customHeight="1" x14ac:dyDescent="0.2">
      <c r="B11668" s="43"/>
    </row>
    <row r="11669" spans="2:2" ht="12.75" customHeight="1" x14ac:dyDescent="0.2">
      <c r="B11669" s="43"/>
    </row>
    <row r="11670" spans="2:2" ht="12.75" customHeight="1" x14ac:dyDescent="0.2">
      <c r="B11670" s="43"/>
    </row>
    <row r="11671" spans="2:2" ht="12.75" customHeight="1" x14ac:dyDescent="0.2">
      <c r="B11671" s="43"/>
    </row>
    <row r="11672" spans="2:2" ht="12.75" customHeight="1" x14ac:dyDescent="0.2">
      <c r="B11672" s="43"/>
    </row>
    <row r="11673" spans="2:2" ht="12.75" customHeight="1" x14ac:dyDescent="0.2">
      <c r="B11673" s="43"/>
    </row>
    <row r="11674" spans="2:2" ht="12.75" customHeight="1" x14ac:dyDescent="0.2">
      <c r="B11674" s="43"/>
    </row>
    <row r="11675" spans="2:2" ht="12.75" customHeight="1" x14ac:dyDescent="0.2">
      <c r="B11675" s="43"/>
    </row>
    <row r="11676" spans="2:2" ht="12.75" customHeight="1" x14ac:dyDescent="0.2">
      <c r="B11676" s="43"/>
    </row>
    <row r="11677" spans="2:2" ht="12.75" customHeight="1" x14ac:dyDescent="0.2">
      <c r="B11677" s="43"/>
    </row>
    <row r="11678" spans="2:2" ht="12.75" customHeight="1" x14ac:dyDescent="0.2">
      <c r="B11678" s="43"/>
    </row>
    <row r="11679" spans="2:2" ht="12.75" customHeight="1" x14ac:dyDescent="0.2">
      <c r="B11679" s="43"/>
    </row>
    <row r="11680" spans="2:2" ht="12.75" customHeight="1" x14ac:dyDescent="0.2">
      <c r="B11680" s="43"/>
    </row>
    <row r="11681" spans="2:2" ht="12.75" customHeight="1" x14ac:dyDescent="0.2">
      <c r="B11681" s="43"/>
    </row>
    <row r="11682" spans="2:2" ht="12.75" customHeight="1" x14ac:dyDescent="0.2">
      <c r="B11682" s="43"/>
    </row>
    <row r="11683" spans="2:2" ht="12.75" customHeight="1" x14ac:dyDescent="0.2">
      <c r="B11683" s="43"/>
    </row>
    <row r="11684" spans="2:2" ht="12.75" customHeight="1" x14ac:dyDescent="0.2">
      <c r="B11684" s="43"/>
    </row>
    <row r="11685" spans="2:2" ht="12.75" customHeight="1" x14ac:dyDescent="0.2">
      <c r="B11685" s="43"/>
    </row>
    <row r="11686" spans="2:2" ht="12.75" customHeight="1" x14ac:dyDescent="0.2">
      <c r="B11686" s="43"/>
    </row>
    <row r="11687" spans="2:2" ht="12.75" customHeight="1" x14ac:dyDescent="0.2">
      <c r="B11687" s="43"/>
    </row>
    <row r="11688" spans="2:2" ht="12.75" customHeight="1" x14ac:dyDescent="0.2">
      <c r="B11688" s="43"/>
    </row>
    <row r="11689" spans="2:2" ht="12.75" customHeight="1" x14ac:dyDescent="0.2">
      <c r="B11689" s="43"/>
    </row>
    <row r="11690" spans="2:2" ht="12.75" customHeight="1" x14ac:dyDescent="0.2">
      <c r="B11690" s="43"/>
    </row>
    <row r="11691" spans="2:2" ht="12.75" customHeight="1" x14ac:dyDescent="0.2">
      <c r="B11691" s="43"/>
    </row>
    <row r="11692" spans="2:2" ht="12.75" customHeight="1" x14ac:dyDescent="0.2">
      <c r="B11692" s="43"/>
    </row>
    <row r="11693" spans="2:2" ht="12.75" customHeight="1" x14ac:dyDescent="0.2">
      <c r="B11693" s="43"/>
    </row>
    <row r="11694" spans="2:2" ht="12.75" customHeight="1" x14ac:dyDescent="0.2">
      <c r="B11694" s="43"/>
    </row>
    <row r="11695" spans="2:2" ht="12.75" customHeight="1" x14ac:dyDescent="0.2">
      <c r="B11695" s="43"/>
    </row>
    <row r="11696" spans="2:2" ht="12.75" customHeight="1" x14ac:dyDescent="0.2">
      <c r="B11696" s="43"/>
    </row>
    <row r="11697" spans="2:2" ht="12.75" customHeight="1" x14ac:dyDescent="0.2">
      <c r="B11697" s="43"/>
    </row>
    <row r="11698" spans="2:2" ht="12.75" customHeight="1" x14ac:dyDescent="0.2">
      <c r="B11698" s="43"/>
    </row>
    <row r="11699" spans="2:2" ht="12.75" customHeight="1" x14ac:dyDescent="0.2">
      <c r="B11699" s="43"/>
    </row>
    <row r="11700" spans="2:2" ht="12.75" customHeight="1" x14ac:dyDescent="0.2">
      <c r="B11700" s="43"/>
    </row>
    <row r="11701" spans="2:2" ht="12.75" customHeight="1" x14ac:dyDescent="0.2">
      <c r="B11701" s="43"/>
    </row>
    <row r="11702" spans="2:2" ht="12.75" customHeight="1" x14ac:dyDescent="0.2">
      <c r="B11702" s="43"/>
    </row>
    <row r="11703" spans="2:2" ht="12.75" customHeight="1" x14ac:dyDescent="0.2">
      <c r="B11703" s="43"/>
    </row>
    <row r="11704" spans="2:2" ht="12.75" customHeight="1" x14ac:dyDescent="0.2">
      <c r="B11704" s="43"/>
    </row>
    <row r="11705" spans="2:2" ht="12.75" customHeight="1" x14ac:dyDescent="0.2">
      <c r="B11705" s="43"/>
    </row>
    <row r="11706" spans="2:2" ht="12.75" customHeight="1" x14ac:dyDescent="0.2">
      <c r="B11706" s="43"/>
    </row>
    <row r="11707" spans="2:2" ht="12.75" customHeight="1" x14ac:dyDescent="0.2">
      <c r="B11707" s="43"/>
    </row>
    <row r="11708" spans="2:2" ht="12.75" customHeight="1" x14ac:dyDescent="0.2">
      <c r="B11708" s="43"/>
    </row>
    <row r="11709" spans="2:2" ht="12.75" customHeight="1" x14ac:dyDescent="0.2">
      <c r="B11709" s="43"/>
    </row>
    <row r="11710" spans="2:2" ht="12.75" customHeight="1" x14ac:dyDescent="0.2">
      <c r="B11710" s="43"/>
    </row>
    <row r="11711" spans="2:2" ht="12.75" customHeight="1" x14ac:dyDescent="0.2">
      <c r="B11711" s="43"/>
    </row>
    <row r="11712" spans="2:2" ht="12.75" customHeight="1" x14ac:dyDescent="0.2">
      <c r="B11712" s="43"/>
    </row>
    <row r="11713" spans="2:2" ht="12.75" customHeight="1" x14ac:dyDescent="0.2">
      <c r="B11713" s="43"/>
    </row>
    <row r="11714" spans="2:2" ht="12.75" customHeight="1" x14ac:dyDescent="0.2">
      <c r="B11714" s="43"/>
    </row>
    <row r="11715" spans="2:2" ht="12.75" customHeight="1" x14ac:dyDescent="0.2">
      <c r="B11715" s="43"/>
    </row>
    <row r="11716" spans="2:2" ht="12.75" customHeight="1" x14ac:dyDescent="0.2">
      <c r="B11716" s="43"/>
    </row>
    <row r="11717" spans="2:2" ht="12.75" customHeight="1" x14ac:dyDescent="0.2">
      <c r="B11717" s="43"/>
    </row>
    <row r="11718" spans="2:2" ht="12.75" customHeight="1" x14ac:dyDescent="0.2">
      <c r="B11718" s="43"/>
    </row>
    <row r="11719" spans="2:2" ht="12.75" customHeight="1" x14ac:dyDescent="0.2">
      <c r="B11719" s="43"/>
    </row>
    <row r="11720" spans="2:2" ht="12.75" customHeight="1" x14ac:dyDescent="0.2">
      <c r="B11720" s="43"/>
    </row>
    <row r="11721" spans="2:2" ht="12.75" customHeight="1" x14ac:dyDescent="0.2">
      <c r="B11721" s="43"/>
    </row>
    <row r="11722" spans="2:2" ht="12.75" customHeight="1" x14ac:dyDescent="0.2">
      <c r="B11722" s="43"/>
    </row>
    <row r="11723" spans="2:2" ht="12.75" customHeight="1" x14ac:dyDescent="0.2">
      <c r="B11723" s="43"/>
    </row>
    <row r="11724" spans="2:2" ht="12.75" customHeight="1" x14ac:dyDescent="0.2">
      <c r="B11724" s="43"/>
    </row>
    <row r="11725" spans="2:2" ht="12.75" customHeight="1" x14ac:dyDescent="0.2">
      <c r="B11725" s="43"/>
    </row>
    <row r="11726" spans="2:2" ht="12.75" customHeight="1" x14ac:dyDescent="0.2">
      <c r="B11726" s="43"/>
    </row>
    <row r="11727" spans="2:2" ht="12.75" customHeight="1" x14ac:dyDescent="0.2">
      <c r="B11727" s="43"/>
    </row>
    <row r="11728" spans="2:2" ht="12.75" customHeight="1" x14ac:dyDescent="0.2">
      <c r="B11728" s="43"/>
    </row>
    <row r="11729" spans="2:2" ht="12.75" customHeight="1" x14ac:dyDescent="0.2">
      <c r="B11729" s="43"/>
    </row>
    <row r="11730" spans="2:2" ht="12.75" customHeight="1" x14ac:dyDescent="0.2">
      <c r="B11730" s="43"/>
    </row>
    <row r="11731" spans="2:2" ht="12.75" customHeight="1" x14ac:dyDescent="0.2">
      <c r="B11731" s="43"/>
    </row>
    <row r="11732" spans="2:2" ht="12.75" customHeight="1" x14ac:dyDescent="0.2">
      <c r="B11732" s="43"/>
    </row>
    <row r="11733" spans="2:2" ht="12.75" customHeight="1" x14ac:dyDescent="0.2">
      <c r="B11733" s="43"/>
    </row>
    <row r="11734" spans="2:2" ht="12.75" customHeight="1" x14ac:dyDescent="0.2">
      <c r="B11734" s="43"/>
    </row>
    <row r="11735" spans="2:2" ht="12.75" customHeight="1" x14ac:dyDescent="0.2">
      <c r="B11735" s="43"/>
    </row>
    <row r="11736" spans="2:2" ht="12.75" customHeight="1" x14ac:dyDescent="0.2">
      <c r="B11736" s="43"/>
    </row>
    <row r="11737" spans="2:2" ht="12.75" customHeight="1" x14ac:dyDescent="0.2">
      <c r="B11737" s="43"/>
    </row>
    <row r="11738" spans="2:2" ht="12.75" customHeight="1" x14ac:dyDescent="0.2">
      <c r="B11738" s="43"/>
    </row>
    <row r="11739" spans="2:2" ht="12.75" customHeight="1" x14ac:dyDescent="0.2">
      <c r="B11739" s="43"/>
    </row>
    <row r="11740" spans="2:2" ht="12.75" customHeight="1" x14ac:dyDescent="0.2">
      <c r="B11740" s="43"/>
    </row>
    <row r="11741" spans="2:2" ht="12.75" customHeight="1" x14ac:dyDescent="0.2">
      <c r="B11741" s="43"/>
    </row>
    <row r="11742" spans="2:2" ht="12.75" customHeight="1" x14ac:dyDescent="0.2">
      <c r="B11742" s="43"/>
    </row>
    <row r="11743" spans="2:2" ht="12.75" customHeight="1" x14ac:dyDescent="0.2">
      <c r="B11743" s="43"/>
    </row>
    <row r="11744" spans="2:2" ht="12.75" customHeight="1" x14ac:dyDescent="0.2">
      <c r="B11744" s="43"/>
    </row>
    <row r="11745" spans="2:2" ht="12.75" customHeight="1" x14ac:dyDescent="0.2">
      <c r="B11745" s="43"/>
    </row>
    <row r="11746" spans="2:2" ht="12.75" customHeight="1" x14ac:dyDescent="0.2">
      <c r="B11746" s="43"/>
    </row>
    <row r="11747" spans="2:2" ht="12.75" customHeight="1" x14ac:dyDescent="0.2">
      <c r="B11747" s="43"/>
    </row>
    <row r="11748" spans="2:2" ht="12.75" customHeight="1" x14ac:dyDescent="0.2">
      <c r="B11748" s="43"/>
    </row>
    <row r="11749" spans="2:2" ht="12.75" customHeight="1" x14ac:dyDescent="0.2">
      <c r="B11749" s="43"/>
    </row>
    <row r="11750" spans="2:2" ht="12.75" customHeight="1" x14ac:dyDescent="0.2">
      <c r="B11750" s="43"/>
    </row>
    <row r="11751" spans="2:2" ht="12.75" customHeight="1" x14ac:dyDescent="0.2">
      <c r="B11751" s="43"/>
    </row>
    <row r="11752" spans="2:2" ht="12.75" customHeight="1" x14ac:dyDescent="0.2">
      <c r="B11752" s="43"/>
    </row>
    <row r="11753" spans="2:2" ht="12.75" customHeight="1" x14ac:dyDescent="0.2">
      <c r="B11753" s="43"/>
    </row>
    <row r="11754" spans="2:2" ht="12.75" customHeight="1" x14ac:dyDescent="0.2">
      <c r="B11754" s="43"/>
    </row>
    <row r="11755" spans="2:2" ht="12.75" customHeight="1" x14ac:dyDescent="0.2">
      <c r="B11755" s="43"/>
    </row>
    <row r="11756" spans="2:2" ht="12.75" customHeight="1" x14ac:dyDescent="0.2">
      <c r="B11756" s="43"/>
    </row>
    <row r="11757" spans="2:2" ht="12.75" customHeight="1" x14ac:dyDescent="0.2">
      <c r="B11757" s="43"/>
    </row>
    <row r="11758" spans="2:2" ht="12.75" customHeight="1" x14ac:dyDescent="0.2">
      <c r="B11758" s="43"/>
    </row>
    <row r="11759" spans="2:2" ht="12.75" customHeight="1" x14ac:dyDescent="0.2">
      <c r="B11759" s="43"/>
    </row>
    <row r="11760" spans="2:2" ht="12.75" customHeight="1" x14ac:dyDescent="0.2">
      <c r="B11760" s="43"/>
    </row>
    <row r="11761" spans="2:2" ht="12.75" customHeight="1" x14ac:dyDescent="0.2">
      <c r="B11761" s="43"/>
    </row>
    <row r="11762" spans="2:2" ht="12.75" customHeight="1" x14ac:dyDescent="0.2">
      <c r="B11762" s="43"/>
    </row>
    <row r="11763" spans="2:2" ht="12.75" customHeight="1" x14ac:dyDescent="0.2">
      <c r="B11763" s="43"/>
    </row>
    <row r="11764" spans="2:2" ht="12.75" customHeight="1" x14ac:dyDescent="0.2">
      <c r="B11764" s="43"/>
    </row>
    <row r="11765" spans="2:2" ht="12.75" customHeight="1" x14ac:dyDescent="0.2">
      <c r="B11765" s="43"/>
    </row>
    <row r="11766" spans="2:2" ht="12.75" customHeight="1" x14ac:dyDescent="0.2">
      <c r="B11766" s="43"/>
    </row>
    <row r="11767" spans="2:2" ht="12.75" customHeight="1" x14ac:dyDescent="0.2">
      <c r="B11767" s="43"/>
    </row>
    <row r="11768" spans="2:2" ht="12.75" customHeight="1" x14ac:dyDescent="0.2">
      <c r="B11768" s="43"/>
    </row>
    <row r="11769" spans="2:2" ht="12.75" customHeight="1" x14ac:dyDescent="0.2">
      <c r="B11769" s="43"/>
    </row>
    <row r="11770" spans="2:2" ht="12.75" customHeight="1" x14ac:dyDescent="0.2">
      <c r="B11770" s="43"/>
    </row>
    <row r="11771" spans="2:2" ht="12.75" customHeight="1" x14ac:dyDescent="0.2">
      <c r="B11771" s="43"/>
    </row>
    <row r="11772" spans="2:2" ht="12.75" customHeight="1" x14ac:dyDescent="0.2">
      <c r="B11772" s="43"/>
    </row>
    <row r="11773" spans="2:2" ht="12.75" customHeight="1" x14ac:dyDescent="0.2">
      <c r="B11773" s="43"/>
    </row>
    <row r="11774" spans="2:2" ht="12.75" customHeight="1" x14ac:dyDescent="0.2">
      <c r="B11774" s="43"/>
    </row>
    <row r="11775" spans="2:2" ht="12.75" customHeight="1" x14ac:dyDescent="0.2">
      <c r="B11775" s="43"/>
    </row>
    <row r="11776" spans="2:2" ht="12.75" customHeight="1" x14ac:dyDescent="0.2">
      <c r="B11776" s="43"/>
    </row>
    <row r="11777" spans="2:2" ht="12.75" customHeight="1" x14ac:dyDescent="0.2">
      <c r="B11777" s="43"/>
    </row>
    <row r="11778" spans="2:2" ht="12.75" customHeight="1" x14ac:dyDescent="0.2">
      <c r="B11778" s="43"/>
    </row>
    <row r="11779" spans="2:2" ht="12.75" customHeight="1" x14ac:dyDescent="0.2">
      <c r="B11779" s="43"/>
    </row>
    <row r="11780" spans="2:2" ht="12.75" customHeight="1" x14ac:dyDescent="0.2">
      <c r="B11780" s="43"/>
    </row>
    <row r="11781" spans="2:2" ht="12.75" customHeight="1" x14ac:dyDescent="0.2">
      <c r="B11781" s="43"/>
    </row>
    <row r="11782" spans="2:2" ht="12.75" customHeight="1" x14ac:dyDescent="0.2">
      <c r="B11782" s="43"/>
    </row>
    <row r="11783" spans="2:2" ht="12.75" customHeight="1" x14ac:dyDescent="0.2">
      <c r="B11783" s="43"/>
    </row>
    <row r="11784" spans="2:2" ht="12.75" customHeight="1" x14ac:dyDescent="0.2">
      <c r="B11784" s="43"/>
    </row>
    <row r="11785" spans="2:2" ht="12.75" customHeight="1" x14ac:dyDescent="0.2">
      <c r="B11785" s="43"/>
    </row>
    <row r="11786" spans="2:2" ht="12.75" customHeight="1" x14ac:dyDescent="0.2">
      <c r="B11786" s="43"/>
    </row>
    <row r="11787" spans="2:2" ht="12.75" customHeight="1" x14ac:dyDescent="0.2">
      <c r="B11787" s="43"/>
    </row>
    <row r="11788" spans="2:2" ht="12.75" customHeight="1" x14ac:dyDescent="0.2">
      <c r="B11788" s="43"/>
    </row>
    <row r="11789" spans="2:2" ht="12.75" customHeight="1" x14ac:dyDescent="0.2">
      <c r="B11789" s="43"/>
    </row>
    <row r="11790" spans="2:2" ht="12.75" customHeight="1" x14ac:dyDescent="0.2">
      <c r="B11790" s="43"/>
    </row>
    <row r="11791" spans="2:2" ht="12.75" customHeight="1" x14ac:dyDescent="0.2">
      <c r="B11791" s="43"/>
    </row>
    <row r="11792" spans="2:2" ht="12.75" customHeight="1" x14ac:dyDescent="0.2">
      <c r="B11792" s="43"/>
    </row>
    <row r="11793" spans="2:2" ht="12.75" customHeight="1" x14ac:dyDescent="0.2">
      <c r="B11793" s="43"/>
    </row>
    <row r="11794" spans="2:2" ht="12.75" customHeight="1" x14ac:dyDescent="0.2">
      <c r="B11794" s="43"/>
    </row>
    <row r="11795" spans="2:2" ht="12.75" customHeight="1" x14ac:dyDescent="0.2">
      <c r="B11795" s="43"/>
    </row>
    <row r="11796" spans="2:2" ht="12.75" customHeight="1" x14ac:dyDescent="0.2">
      <c r="B11796" s="43"/>
    </row>
    <row r="11797" spans="2:2" ht="12.75" customHeight="1" x14ac:dyDescent="0.2">
      <c r="B11797" s="43"/>
    </row>
    <row r="11798" spans="2:2" ht="12.75" customHeight="1" x14ac:dyDescent="0.2">
      <c r="B11798" s="43"/>
    </row>
    <row r="11799" spans="2:2" ht="12.75" customHeight="1" x14ac:dyDescent="0.2">
      <c r="B11799" s="43"/>
    </row>
    <row r="11800" spans="2:2" ht="12.75" customHeight="1" x14ac:dyDescent="0.2">
      <c r="B11800" s="43"/>
    </row>
    <row r="11801" spans="2:2" ht="12.75" customHeight="1" x14ac:dyDescent="0.2">
      <c r="B11801" s="43"/>
    </row>
    <row r="11802" spans="2:2" ht="12.75" customHeight="1" x14ac:dyDescent="0.2">
      <c r="B11802" s="43"/>
    </row>
    <row r="11803" spans="2:2" ht="12.75" customHeight="1" x14ac:dyDescent="0.2">
      <c r="B11803" s="43"/>
    </row>
    <row r="11804" spans="2:2" ht="12.75" customHeight="1" x14ac:dyDescent="0.2">
      <c r="B11804" s="43"/>
    </row>
    <row r="11805" spans="2:2" ht="12.75" customHeight="1" x14ac:dyDescent="0.2">
      <c r="B11805" s="43"/>
    </row>
    <row r="11806" spans="2:2" ht="12.75" customHeight="1" x14ac:dyDescent="0.2">
      <c r="B11806" s="43"/>
    </row>
    <row r="11807" spans="2:2" ht="12.75" customHeight="1" x14ac:dyDescent="0.2">
      <c r="B11807" s="43"/>
    </row>
    <row r="11808" spans="2:2" ht="12.75" customHeight="1" x14ac:dyDescent="0.2">
      <c r="B11808" s="43"/>
    </row>
    <row r="11809" spans="2:2" ht="12.75" customHeight="1" x14ac:dyDescent="0.2">
      <c r="B11809" s="43"/>
    </row>
    <row r="11810" spans="2:2" ht="12.75" customHeight="1" x14ac:dyDescent="0.2">
      <c r="B11810" s="43"/>
    </row>
    <row r="11811" spans="2:2" ht="12.75" customHeight="1" x14ac:dyDescent="0.2">
      <c r="B11811" s="43"/>
    </row>
    <row r="11812" spans="2:2" ht="12.75" customHeight="1" x14ac:dyDescent="0.2">
      <c r="B11812" s="43"/>
    </row>
    <row r="11813" spans="2:2" ht="12.75" customHeight="1" x14ac:dyDescent="0.2">
      <c r="B11813" s="43"/>
    </row>
    <row r="11814" spans="2:2" ht="12.75" customHeight="1" x14ac:dyDescent="0.2">
      <c r="B11814" s="43"/>
    </row>
    <row r="11815" spans="2:2" ht="12.75" customHeight="1" x14ac:dyDescent="0.2">
      <c r="B11815" s="43"/>
    </row>
    <row r="11816" spans="2:2" ht="12.75" customHeight="1" x14ac:dyDescent="0.2">
      <c r="B11816" s="43"/>
    </row>
    <row r="11817" spans="2:2" ht="12.75" customHeight="1" x14ac:dyDescent="0.2">
      <c r="B11817" s="43"/>
    </row>
    <row r="11818" spans="2:2" ht="12.75" customHeight="1" x14ac:dyDescent="0.2">
      <c r="B11818" s="43"/>
    </row>
    <row r="11819" spans="2:2" ht="12.75" customHeight="1" x14ac:dyDescent="0.2">
      <c r="B11819" s="43"/>
    </row>
    <row r="11820" spans="2:2" ht="12.75" customHeight="1" x14ac:dyDescent="0.2">
      <c r="B11820" s="43"/>
    </row>
    <row r="11821" spans="2:2" ht="12.75" customHeight="1" x14ac:dyDescent="0.2">
      <c r="B11821" s="43"/>
    </row>
    <row r="11822" spans="2:2" ht="12.75" customHeight="1" x14ac:dyDescent="0.2">
      <c r="B11822" s="43"/>
    </row>
    <row r="11823" spans="2:2" ht="12.75" customHeight="1" x14ac:dyDescent="0.2">
      <c r="B11823" s="43"/>
    </row>
    <row r="11824" spans="2:2" ht="12.75" customHeight="1" x14ac:dyDescent="0.2">
      <c r="B11824" s="43"/>
    </row>
    <row r="11825" spans="2:2" ht="12.75" customHeight="1" x14ac:dyDescent="0.2">
      <c r="B11825" s="43"/>
    </row>
    <row r="11826" spans="2:2" ht="12.75" customHeight="1" x14ac:dyDescent="0.2">
      <c r="B11826" s="43"/>
    </row>
    <row r="11827" spans="2:2" ht="12.75" customHeight="1" x14ac:dyDescent="0.2">
      <c r="B11827" s="43"/>
    </row>
    <row r="11828" spans="2:2" ht="12.75" customHeight="1" x14ac:dyDescent="0.2">
      <c r="B11828" s="43"/>
    </row>
    <row r="11829" spans="2:2" ht="12.75" customHeight="1" x14ac:dyDescent="0.2">
      <c r="B11829" s="43"/>
    </row>
    <row r="11830" spans="2:2" ht="12.75" customHeight="1" x14ac:dyDescent="0.2">
      <c r="B11830" s="43"/>
    </row>
    <row r="11831" spans="2:2" ht="12.75" customHeight="1" x14ac:dyDescent="0.2">
      <c r="B11831" s="43"/>
    </row>
    <row r="11832" spans="2:2" ht="12.75" customHeight="1" x14ac:dyDescent="0.2">
      <c r="B11832" s="43"/>
    </row>
    <row r="11833" spans="2:2" ht="12.75" customHeight="1" x14ac:dyDescent="0.2">
      <c r="B11833" s="43"/>
    </row>
    <row r="11834" spans="2:2" ht="12.75" customHeight="1" x14ac:dyDescent="0.2">
      <c r="B11834" s="43"/>
    </row>
    <row r="11835" spans="2:2" ht="12.75" customHeight="1" x14ac:dyDescent="0.2">
      <c r="B11835" s="43"/>
    </row>
    <row r="11836" spans="2:2" ht="12.75" customHeight="1" x14ac:dyDescent="0.2">
      <c r="B11836" s="43"/>
    </row>
    <row r="11837" spans="2:2" ht="12.75" customHeight="1" x14ac:dyDescent="0.2">
      <c r="B11837" s="43"/>
    </row>
    <row r="11838" spans="2:2" ht="12.75" customHeight="1" x14ac:dyDescent="0.2">
      <c r="B11838" s="43"/>
    </row>
    <row r="11839" spans="2:2" ht="12.75" customHeight="1" x14ac:dyDescent="0.2">
      <c r="B11839" s="43"/>
    </row>
    <row r="11840" spans="2:2" ht="12.75" customHeight="1" x14ac:dyDescent="0.2">
      <c r="B11840" s="43"/>
    </row>
    <row r="11841" spans="2:2" ht="12.75" customHeight="1" x14ac:dyDescent="0.2">
      <c r="B11841" s="43"/>
    </row>
    <row r="11842" spans="2:2" ht="12.75" customHeight="1" x14ac:dyDescent="0.2">
      <c r="B11842" s="43"/>
    </row>
    <row r="11843" spans="2:2" ht="12.75" customHeight="1" x14ac:dyDescent="0.2">
      <c r="B11843" s="43"/>
    </row>
    <row r="11844" spans="2:2" ht="12.75" customHeight="1" x14ac:dyDescent="0.2">
      <c r="B11844" s="43"/>
    </row>
    <row r="11845" spans="2:2" ht="12.75" customHeight="1" x14ac:dyDescent="0.2">
      <c r="B11845" s="43"/>
    </row>
    <row r="11846" spans="2:2" ht="12.75" customHeight="1" x14ac:dyDescent="0.2">
      <c r="B11846" s="43"/>
    </row>
    <row r="11847" spans="2:2" ht="12.75" customHeight="1" x14ac:dyDescent="0.2">
      <c r="B11847" s="43"/>
    </row>
    <row r="11848" spans="2:2" ht="12.75" customHeight="1" x14ac:dyDescent="0.2">
      <c r="B11848" s="43"/>
    </row>
    <row r="11849" spans="2:2" ht="12.75" customHeight="1" x14ac:dyDescent="0.2">
      <c r="B11849" s="43"/>
    </row>
    <row r="11850" spans="2:2" ht="12.75" customHeight="1" x14ac:dyDescent="0.2">
      <c r="B11850" s="43"/>
    </row>
    <row r="11851" spans="2:2" ht="12.75" customHeight="1" x14ac:dyDescent="0.2">
      <c r="B11851" s="43"/>
    </row>
    <row r="11852" spans="2:2" ht="12.75" customHeight="1" x14ac:dyDescent="0.2">
      <c r="B11852" s="43"/>
    </row>
    <row r="11853" spans="2:2" ht="12.75" customHeight="1" x14ac:dyDescent="0.2">
      <c r="B11853" s="43"/>
    </row>
    <row r="11854" spans="2:2" ht="12.75" customHeight="1" x14ac:dyDescent="0.2">
      <c r="B11854" s="43"/>
    </row>
    <row r="11855" spans="2:2" ht="12.75" customHeight="1" x14ac:dyDescent="0.2">
      <c r="B11855" s="43"/>
    </row>
    <row r="11856" spans="2:2" ht="12.75" customHeight="1" x14ac:dyDescent="0.2">
      <c r="B11856" s="43"/>
    </row>
    <row r="11857" spans="2:2" ht="12.75" customHeight="1" x14ac:dyDescent="0.2">
      <c r="B11857" s="43"/>
    </row>
    <row r="11858" spans="2:2" ht="12.75" customHeight="1" x14ac:dyDescent="0.2">
      <c r="B11858" s="43"/>
    </row>
    <row r="11859" spans="2:2" ht="12.75" customHeight="1" x14ac:dyDescent="0.2">
      <c r="B11859" s="43"/>
    </row>
    <row r="11860" spans="2:2" ht="12.75" customHeight="1" x14ac:dyDescent="0.2">
      <c r="B11860" s="43"/>
    </row>
    <row r="11861" spans="2:2" ht="12.75" customHeight="1" x14ac:dyDescent="0.2">
      <c r="B11861" s="43"/>
    </row>
    <row r="11862" spans="2:2" ht="12.75" customHeight="1" x14ac:dyDescent="0.2">
      <c r="B11862" s="43"/>
    </row>
    <row r="11863" spans="2:2" ht="12.75" customHeight="1" x14ac:dyDescent="0.2">
      <c r="B11863" s="43"/>
    </row>
    <row r="11864" spans="2:2" ht="12.75" customHeight="1" x14ac:dyDescent="0.2">
      <c r="B11864" s="43"/>
    </row>
    <row r="11865" spans="2:2" ht="12.75" customHeight="1" x14ac:dyDescent="0.2">
      <c r="B11865" s="43"/>
    </row>
    <row r="11866" spans="2:2" ht="12.75" customHeight="1" x14ac:dyDescent="0.2">
      <c r="B11866" s="43"/>
    </row>
    <row r="11867" spans="2:2" ht="12.75" customHeight="1" x14ac:dyDescent="0.2">
      <c r="B11867" s="43"/>
    </row>
    <row r="11868" spans="2:2" ht="12.75" customHeight="1" x14ac:dyDescent="0.2">
      <c r="B11868" s="43"/>
    </row>
    <row r="11869" spans="2:2" ht="12.75" customHeight="1" x14ac:dyDescent="0.2">
      <c r="B11869" s="43"/>
    </row>
    <row r="11870" spans="2:2" ht="12.75" customHeight="1" x14ac:dyDescent="0.2">
      <c r="B11870" s="43"/>
    </row>
    <row r="11871" spans="2:2" ht="12.75" customHeight="1" x14ac:dyDescent="0.2">
      <c r="B11871" s="43"/>
    </row>
    <row r="11872" spans="2:2" ht="12.75" customHeight="1" x14ac:dyDescent="0.2">
      <c r="B11872" s="43"/>
    </row>
    <row r="11873" spans="2:2" ht="12.75" customHeight="1" x14ac:dyDescent="0.2">
      <c r="B11873" s="43"/>
    </row>
    <row r="11874" spans="2:2" ht="12.75" customHeight="1" x14ac:dyDescent="0.2">
      <c r="B11874" s="43"/>
    </row>
    <row r="11875" spans="2:2" ht="12.75" customHeight="1" x14ac:dyDescent="0.2">
      <c r="B11875" s="43"/>
    </row>
    <row r="11876" spans="2:2" ht="12.75" customHeight="1" x14ac:dyDescent="0.2">
      <c r="B11876" s="43"/>
    </row>
    <row r="11877" spans="2:2" ht="12.75" customHeight="1" x14ac:dyDescent="0.2">
      <c r="B11877" s="43"/>
    </row>
    <row r="11878" spans="2:2" ht="12.75" customHeight="1" x14ac:dyDescent="0.2">
      <c r="B11878" s="43"/>
    </row>
    <row r="11879" spans="2:2" ht="12.75" customHeight="1" x14ac:dyDescent="0.2">
      <c r="B11879" s="43"/>
    </row>
    <row r="11880" spans="2:2" ht="12.75" customHeight="1" x14ac:dyDescent="0.2">
      <c r="B11880" s="43"/>
    </row>
    <row r="11881" spans="2:2" ht="12.75" customHeight="1" x14ac:dyDescent="0.2">
      <c r="B11881" s="43"/>
    </row>
    <row r="11882" spans="2:2" ht="12.75" customHeight="1" x14ac:dyDescent="0.2">
      <c r="B11882" s="43"/>
    </row>
    <row r="11883" spans="2:2" ht="12.75" customHeight="1" x14ac:dyDescent="0.2">
      <c r="B11883" s="43"/>
    </row>
    <row r="11884" spans="2:2" ht="12.75" customHeight="1" x14ac:dyDescent="0.2">
      <c r="B11884" s="43"/>
    </row>
    <row r="11885" spans="2:2" ht="12.75" customHeight="1" x14ac:dyDescent="0.2">
      <c r="B11885" s="43"/>
    </row>
    <row r="11886" spans="2:2" ht="12.75" customHeight="1" x14ac:dyDescent="0.2">
      <c r="B11886" s="43"/>
    </row>
    <row r="11887" spans="2:2" ht="12.75" customHeight="1" x14ac:dyDescent="0.2">
      <c r="B11887" s="43"/>
    </row>
    <row r="11888" spans="2:2" ht="12.75" customHeight="1" x14ac:dyDescent="0.2">
      <c r="B11888" s="43"/>
    </row>
    <row r="11889" spans="2:2" ht="12.75" customHeight="1" x14ac:dyDescent="0.2">
      <c r="B11889" s="43"/>
    </row>
    <row r="11890" spans="2:2" ht="12.75" customHeight="1" x14ac:dyDescent="0.2">
      <c r="B11890" s="43"/>
    </row>
    <row r="11891" spans="2:2" ht="12.75" customHeight="1" x14ac:dyDescent="0.2">
      <c r="B11891" s="43"/>
    </row>
    <row r="11892" spans="2:2" ht="12.75" customHeight="1" x14ac:dyDescent="0.2">
      <c r="B11892" s="43"/>
    </row>
    <row r="11893" spans="2:2" ht="12.75" customHeight="1" x14ac:dyDescent="0.2">
      <c r="B11893" s="43"/>
    </row>
    <row r="11894" spans="2:2" ht="12.75" customHeight="1" x14ac:dyDescent="0.2">
      <c r="B11894" s="43"/>
    </row>
    <row r="11895" spans="2:2" ht="12.75" customHeight="1" x14ac:dyDescent="0.2">
      <c r="B11895" s="43"/>
    </row>
    <row r="11896" spans="2:2" ht="12.75" customHeight="1" x14ac:dyDescent="0.2">
      <c r="B11896" s="43"/>
    </row>
    <row r="11897" spans="2:2" ht="12.75" customHeight="1" x14ac:dyDescent="0.2">
      <c r="B11897" s="43"/>
    </row>
    <row r="11898" spans="2:2" ht="12.75" customHeight="1" x14ac:dyDescent="0.2">
      <c r="B11898" s="43"/>
    </row>
    <row r="11899" spans="2:2" ht="12.75" customHeight="1" x14ac:dyDescent="0.2">
      <c r="B11899" s="43"/>
    </row>
    <row r="11900" spans="2:2" ht="12.75" customHeight="1" x14ac:dyDescent="0.2">
      <c r="B11900" s="43"/>
    </row>
    <row r="11901" spans="2:2" ht="12.75" customHeight="1" x14ac:dyDescent="0.2">
      <c r="B11901" s="43"/>
    </row>
    <row r="11902" spans="2:2" ht="12.75" customHeight="1" x14ac:dyDescent="0.2">
      <c r="B11902" s="43"/>
    </row>
    <row r="11903" spans="2:2" ht="12.75" customHeight="1" x14ac:dyDescent="0.2">
      <c r="B11903" s="43"/>
    </row>
    <row r="11904" spans="2:2" ht="12.75" customHeight="1" x14ac:dyDescent="0.2">
      <c r="B11904" s="43"/>
    </row>
    <row r="11905" spans="2:2" ht="12.75" customHeight="1" x14ac:dyDescent="0.2">
      <c r="B11905" s="43"/>
    </row>
    <row r="11906" spans="2:2" ht="12.75" customHeight="1" x14ac:dyDescent="0.2">
      <c r="B11906" s="43"/>
    </row>
    <row r="11907" spans="2:2" ht="12.75" customHeight="1" x14ac:dyDescent="0.2">
      <c r="B11907" s="43"/>
    </row>
    <row r="11908" spans="2:2" ht="12.75" customHeight="1" x14ac:dyDescent="0.2">
      <c r="B11908" s="43"/>
    </row>
    <row r="11909" spans="2:2" ht="12.75" customHeight="1" x14ac:dyDescent="0.2">
      <c r="B11909" s="43"/>
    </row>
    <row r="11910" spans="2:2" ht="12.75" customHeight="1" x14ac:dyDescent="0.2">
      <c r="B11910" s="43"/>
    </row>
    <row r="11911" spans="2:2" ht="12.75" customHeight="1" x14ac:dyDescent="0.2">
      <c r="B11911" s="43"/>
    </row>
    <row r="11912" spans="2:2" ht="12.75" customHeight="1" x14ac:dyDescent="0.2">
      <c r="B11912" s="43"/>
    </row>
    <row r="11913" spans="2:2" ht="12.75" customHeight="1" x14ac:dyDescent="0.2">
      <c r="B11913" s="43"/>
    </row>
    <row r="11914" spans="2:2" ht="12.75" customHeight="1" x14ac:dyDescent="0.2">
      <c r="B11914" s="43"/>
    </row>
    <row r="11915" spans="2:2" ht="12.75" customHeight="1" x14ac:dyDescent="0.2">
      <c r="B11915" s="43"/>
    </row>
    <row r="11916" spans="2:2" ht="12.75" customHeight="1" x14ac:dyDescent="0.2">
      <c r="B11916" s="43"/>
    </row>
    <row r="11917" spans="2:2" ht="12.75" customHeight="1" x14ac:dyDescent="0.2">
      <c r="B11917" s="43"/>
    </row>
    <row r="11918" spans="2:2" ht="12.75" customHeight="1" x14ac:dyDescent="0.2">
      <c r="B11918" s="43"/>
    </row>
    <row r="11919" spans="2:2" ht="12.75" customHeight="1" x14ac:dyDescent="0.2">
      <c r="B11919" s="43"/>
    </row>
    <row r="11920" spans="2:2" ht="12.75" customHeight="1" x14ac:dyDescent="0.2">
      <c r="B11920" s="43"/>
    </row>
    <row r="11921" spans="2:2" ht="12.75" customHeight="1" x14ac:dyDescent="0.2">
      <c r="B11921" s="43"/>
    </row>
    <row r="11922" spans="2:2" ht="12.75" customHeight="1" x14ac:dyDescent="0.2">
      <c r="B11922" s="43"/>
    </row>
    <row r="11923" spans="2:2" ht="12.75" customHeight="1" x14ac:dyDescent="0.2">
      <c r="B11923" s="43"/>
    </row>
    <row r="11924" spans="2:2" ht="12.75" customHeight="1" x14ac:dyDescent="0.2">
      <c r="B11924" s="43"/>
    </row>
    <row r="11925" spans="2:2" ht="12.75" customHeight="1" x14ac:dyDescent="0.2">
      <c r="B11925" s="43"/>
    </row>
    <row r="11926" spans="2:2" ht="12.75" customHeight="1" x14ac:dyDescent="0.2">
      <c r="B11926" s="43"/>
    </row>
    <row r="11927" spans="2:2" ht="12.75" customHeight="1" x14ac:dyDescent="0.2">
      <c r="B11927" s="43"/>
    </row>
    <row r="11928" spans="2:2" ht="12.75" customHeight="1" x14ac:dyDescent="0.2">
      <c r="B11928" s="43"/>
    </row>
    <row r="11929" spans="2:2" ht="12.75" customHeight="1" x14ac:dyDescent="0.2">
      <c r="B11929" s="43"/>
    </row>
    <row r="11930" spans="2:2" ht="12.75" customHeight="1" x14ac:dyDescent="0.2">
      <c r="B11930" s="43"/>
    </row>
    <row r="11931" spans="2:2" ht="12.75" customHeight="1" x14ac:dyDescent="0.2">
      <c r="B11931" s="43"/>
    </row>
    <row r="11932" spans="2:2" ht="12.75" customHeight="1" x14ac:dyDescent="0.2">
      <c r="B11932" s="43"/>
    </row>
    <row r="11933" spans="2:2" ht="12.75" customHeight="1" x14ac:dyDescent="0.2">
      <c r="B11933" s="43"/>
    </row>
    <row r="11934" spans="2:2" ht="12.75" customHeight="1" x14ac:dyDescent="0.2">
      <c r="B11934" s="43"/>
    </row>
    <row r="11935" spans="2:2" ht="12.75" customHeight="1" x14ac:dyDescent="0.2">
      <c r="B11935" s="43"/>
    </row>
    <row r="11936" spans="2:2" ht="12.75" customHeight="1" x14ac:dyDescent="0.2">
      <c r="B11936" s="43"/>
    </row>
    <row r="11937" spans="2:2" ht="12.75" customHeight="1" x14ac:dyDescent="0.2">
      <c r="B11937" s="43"/>
    </row>
    <row r="11938" spans="2:2" ht="12.75" customHeight="1" x14ac:dyDescent="0.2">
      <c r="B11938" s="43"/>
    </row>
    <row r="11939" spans="2:2" ht="12.75" customHeight="1" x14ac:dyDescent="0.2">
      <c r="B11939" s="43"/>
    </row>
    <row r="11940" spans="2:2" ht="12.75" customHeight="1" x14ac:dyDescent="0.2">
      <c r="B11940" s="43"/>
    </row>
    <row r="11941" spans="2:2" ht="12.75" customHeight="1" x14ac:dyDescent="0.2">
      <c r="B11941" s="43"/>
    </row>
    <row r="11942" spans="2:2" ht="12.75" customHeight="1" x14ac:dyDescent="0.2">
      <c r="B11942" s="43"/>
    </row>
    <row r="11943" spans="2:2" ht="12.75" customHeight="1" x14ac:dyDescent="0.2">
      <c r="B11943" s="43"/>
    </row>
    <row r="11944" spans="2:2" ht="12.75" customHeight="1" x14ac:dyDescent="0.2">
      <c r="B11944" s="43"/>
    </row>
    <row r="11945" spans="2:2" ht="12.75" customHeight="1" x14ac:dyDescent="0.2">
      <c r="B11945" s="43"/>
    </row>
    <row r="11946" spans="2:2" ht="12.75" customHeight="1" x14ac:dyDescent="0.2">
      <c r="B11946" s="43"/>
    </row>
    <row r="11947" spans="2:2" ht="12.75" customHeight="1" x14ac:dyDescent="0.2">
      <c r="B11947" s="43"/>
    </row>
    <row r="11948" spans="2:2" ht="12.75" customHeight="1" x14ac:dyDescent="0.2">
      <c r="B11948" s="43"/>
    </row>
    <row r="11949" spans="2:2" ht="12.75" customHeight="1" x14ac:dyDescent="0.2">
      <c r="B11949" s="43"/>
    </row>
    <row r="11950" spans="2:2" ht="12.75" customHeight="1" x14ac:dyDescent="0.2">
      <c r="B11950" s="43"/>
    </row>
    <row r="11951" spans="2:2" ht="12.75" customHeight="1" x14ac:dyDescent="0.2">
      <c r="B11951" s="43"/>
    </row>
    <row r="11952" spans="2:2" ht="12.75" customHeight="1" x14ac:dyDescent="0.2">
      <c r="B11952" s="43"/>
    </row>
    <row r="11953" spans="2:2" ht="12.75" customHeight="1" x14ac:dyDescent="0.2">
      <c r="B11953" s="43"/>
    </row>
    <row r="11954" spans="2:2" ht="12.75" customHeight="1" x14ac:dyDescent="0.2">
      <c r="B11954" s="43"/>
    </row>
    <row r="11955" spans="2:2" ht="12.75" customHeight="1" x14ac:dyDescent="0.2">
      <c r="B11955" s="43"/>
    </row>
    <row r="11956" spans="2:2" ht="12.75" customHeight="1" x14ac:dyDescent="0.2">
      <c r="B11956" s="43"/>
    </row>
    <row r="11957" spans="2:2" ht="12.75" customHeight="1" x14ac:dyDescent="0.2">
      <c r="B11957" s="43"/>
    </row>
    <row r="11958" spans="2:2" ht="12.75" customHeight="1" x14ac:dyDescent="0.2">
      <c r="B11958" s="43"/>
    </row>
    <row r="11959" spans="2:2" ht="12.75" customHeight="1" x14ac:dyDescent="0.2">
      <c r="B11959" s="43"/>
    </row>
    <row r="11960" spans="2:2" ht="12.75" customHeight="1" x14ac:dyDescent="0.2">
      <c r="B11960" s="43"/>
    </row>
    <row r="11961" spans="2:2" ht="12.75" customHeight="1" x14ac:dyDescent="0.2">
      <c r="B11961" s="43"/>
    </row>
    <row r="11962" spans="2:2" ht="12.75" customHeight="1" x14ac:dyDescent="0.2">
      <c r="B11962" s="43"/>
    </row>
    <row r="11963" spans="2:2" ht="12.75" customHeight="1" x14ac:dyDescent="0.2">
      <c r="B11963" s="43"/>
    </row>
    <row r="11964" spans="2:2" ht="12.75" customHeight="1" x14ac:dyDescent="0.2">
      <c r="B11964" s="43"/>
    </row>
    <row r="11965" spans="2:2" ht="12.75" customHeight="1" x14ac:dyDescent="0.2">
      <c r="B11965" s="43"/>
    </row>
    <row r="11966" spans="2:2" ht="12.75" customHeight="1" x14ac:dyDescent="0.2">
      <c r="B11966" s="43"/>
    </row>
    <row r="11967" spans="2:2" ht="12.75" customHeight="1" x14ac:dyDescent="0.2">
      <c r="B11967" s="43"/>
    </row>
    <row r="11968" spans="2:2" ht="12.75" customHeight="1" x14ac:dyDescent="0.2">
      <c r="B11968" s="43"/>
    </row>
    <row r="11969" spans="2:2" ht="12.75" customHeight="1" x14ac:dyDescent="0.2">
      <c r="B11969" s="43"/>
    </row>
    <row r="11970" spans="2:2" ht="12.75" customHeight="1" x14ac:dyDescent="0.2">
      <c r="B11970" s="43"/>
    </row>
    <row r="11971" spans="2:2" ht="12.75" customHeight="1" x14ac:dyDescent="0.2">
      <c r="B11971" s="43"/>
    </row>
    <row r="11972" spans="2:2" ht="12.75" customHeight="1" x14ac:dyDescent="0.2">
      <c r="B11972" s="43"/>
    </row>
    <row r="11973" spans="2:2" ht="12.75" customHeight="1" x14ac:dyDescent="0.2">
      <c r="B11973" s="43"/>
    </row>
    <row r="11974" spans="2:2" ht="12.75" customHeight="1" x14ac:dyDescent="0.2">
      <c r="B11974" s="43"/>
    </row>
    <row r="11975" spans="2:2" ht="12.75" customHeight="1" x14ac:dyDescent="0.2">
      <c r="B11975" s="43"/>
    </row>
    <row r="11976" spans="2:2" ht="12.75" customHeight="1" x14ac:dyDescent="0.2">
      <c r="B11976" s="43"/>
    </row>
    <row r="11977" spans="2:2" ht="12.75" customHeight="1" x14ac:dyDescent="0.2">
      <c r="B11977" s="43"/>
    </row>
    <row r="11978" spans="2:2" ht="12.75" customHeight="1" x14ac:dyDescent="0.2">
      <c r="B11978" s="43"/>
    </row>
    <row r="11979" spans="2:2" ht="12.75" customHeight="1" x14ac:dyDescent="0.2">
      <c r="B11979" s="43"/>
    </row>
    <row r="11980" spans="2:2" ht="12.75" customHeight="1" x14ac:dyDescent="0.2">
      <c r="B11980" s="43"/>
    </row>
    <row r="11981" spans="2:2" ht="12.75" customHeight="1" x14ac:dyDescent="0.2">
      <c r="B11981" s="43"/>
    </row>
    <row r="11982" spans="2:2" ht="12.75" customHeight="1" x14ac:dyDescent="0.2">
      <c r="B11982" s="43"/>
    </row>
    <row r="11983" spans="2:2" ht="12.75" customHeight="1" x14ac:dyDescent="0.2">
      <c r="B11983" s="43"/>
    </row>
    <row r="11984" spans="2:2" ht="12.75" customHeight="1" x14ac:dyDescent="0.2">
      <c r="B11984" s="43"/>
    </row>
    <row r="11985" spans="2:2" ht="12.75" customHeight="1" x14ac:dyDescent="0.2">
      <c r="B11985" s="43"/>
    </row>
    <row r="11986" spans="2:2" ht="12.75" customHeight="1" x14ac:dyDescent="0.2">
      <c r="B11986" s="43"/>
    </row>
    <row r="11987" spans="2:2" ht="12.75" customHeight="1" x14ac:dyDescent="0.2">
      <c r="B11987" s="43"/>
    </row>
    <row r="11988" spans="2:2" ht="12.75" customHeight="1" x14ac:dyDescent="0.2">
      <c r="B11988" s="43"/>
    </row>
    <row r="11989" spans="2:2" ht="12.75" customHeight="1" x14ac:dyDescent="0.2">
      <c r="B11989" s="43"/>
    </row>
    <row r="11990" spans="2:2" ht="12.75" customHeight="1" x14ac:dyDescent="0.2">
      <c r="B11990" s="43"/>
    </row>
    <row r="11991" spans="2:2" ht="12.75" customHeight="1" x14ac:dyDescent="0.2">
      <c r="B11991" s="43"/>
    </row>
    <row r="11992" spans="2:2" ht="12.75" customHeight="1" x14ac:dyDescent="0.2">
      <c r="B11992" s="43"/>
    </row>
    <row r="11993" spans="2:2" ht="12.75" customHeight="1" x14ac:dyDescent="0.2">
      <c r="B11993" s="43"/>
    </row>
    <row r="11994" spans="2:2" ht="12.75" customHeight="1" x14ac:dyDescent="0.2">
      <c r="B11994" s="43"/>
    </row>
    <row r="11995" spans="2:2" ht="12.75" customHeight="1" x14ac:dyDescent="0.2">
      <c r="B11995" s="43"/>
    </row>
    <row r="11996" spans="2:2" ht="12.75" customHeight="1" x14ac:dyDescent="0.2">
      <c r="B11996" s="43"/>
    </row>
    <row r="11997" spans="2:2" ht="12.75" customHeight="1" x14ac:dyDescent="0.2">
      <c r="B11997" s="43"/>
    </row>
    <row r="11998" spans="2:2" ht="12.75" customHeight="1" x14ac:dyDescent="0.2">
      <c r="B11998" s="43"/>
    </row>
    <row r="11999" spans="2:2" ht="12.75" customHeight="1" x14ac:dyDescent="0.2">
      <c r="B11999" s="43"/>
    </row>
    <row r="12000" spans="2:2" ht="12.75" customHeight="1" x14ac:dyDescent="0.2">
      <c r="B12000" s="43"/>
    </row>
    <row r="12001" spans="2:2" ht="12.75" customHeight="1" x14ac:dyDescent="0.2">
      <c r="B12001" s="43"/>
    </row>
    <row r="12002" spans="2:2" ht="12.75" customHeight="1" x14ac:dyDescent="0.2">
      <c r="B12002" s="43"/>
    </row>
    <row r="12003" spans="2:2" ht="12.75" customHeight="1" x14ac:dyDescent="0.2">
      <c r="B12003" s="43"/>
    </row>
    <row r="12004" spans="2:2" ht="12.75" customHeight="1" x14ac:dyDescent="0.2">
      <c r="B12004" s="43"/>
    </row>
    <row r="12005" spans="2:2" ht="12.75" customHeight="1" x14ac:dyDescent="0.2">
      <c r="B12005" s="43"/>
    </row>
    <row r="12006" spans="2:2" ht="12.75" customHeight="1" x14ac:dyDescent="0.2">
      <c r="B12006" s="43"/>
    </row>
    <row r="12007" spans="2:2" ht="12.75" customHeight="1" x14ac:dyDescent="0.2">
      <c r="B12007" s="43"/>
    </row>
    <row r="12008" spans="2:2" ht="12.75" customHeight="1" x14ac:dyDescent="0.2">
      <c r="B12008" s="43"/>
    </row>
    <row r="12009" spans="2:2" ht="12.75" customHeight="1" x14ac:dyDescent="0.2">
      <c r="B12009" s="43"/>
    </row>
    <row r="12010" spans="2:2" ht="12.75" customHeight="1" x14ac:dyDescent="0.2">
      <c r="B12010" s="43"/>
    </row>
    <row r="12011" spans="2:2" ht="12.75" customHeight="1" x14ac:dyDescent="0.2">
      <c r="B12011" s="43"/>
    </row>
    <row r="12012" spans="2:2" ht="12.75" customHeight="1" x14ac:dyDescent="0.2">
      <c r="B12012" s="43"/>
    </row>
    <row r="12013" spans="2:2" ht="12.75" customHeight="1" x14ac:dyDescent="0.2">
      <c r="B12013" s="43"/>
    </row>
    <row r="12014" spans="2:2" ht="12.75" customHeight="1" x14ac:dyDescent="0.2">
      <c r="B12014" s="43"/>
    </row>
    <row r="12015" spans="2:2" ht="12.75" customHeight="1" x14ac:dyDescent="0.2">
      <c r="B12015" s="43"/>
    </row>
    <row r="12016" spans="2:2" ht="12.75" customHeight="1" x14ac:dyDescent="0.2">
      <c r="B12016" s="43"/>
    </row>
    <row r="12017" spans="2:2" ht="12.75" customHeight="1" x14ac:dyDescent="0.2">
      <c r="B12017" s="43"/>
    </row>
    <row r="12018" spans="2:2" ht="12.75" customHeight="1" x14ac:dyDescent="0.2">
      <c r="B12018" s="43"/>
    </row>
    <row r="12019" spans="2:2" ht="12.75" customHeight="1" x14ac:dyDescent="0.2">
      <c r="B12019" s="43"/>
    </row>
    <row r="12020" spans="2:2" ht="12.75" customHeight="1" x14ac:dyDescent="0.2">
      <c r="B12020" s="43"/>
    </row>
    <row r="12021" spans="2:2" ht="12.75" customHeight="1" x14ac:dyDescent="0.2">
      <c r="B12021" s="43"/>
    </row>
    <row r="12022" spans="2:2" ht="12.75" customHeight="1" x14ac:dyDescent="0.2">
      <c r="B12022" s="43"/>
    </row>
    <row r="12023" spans="2:2" ht="12.75" customHeight="1" x14ac:dyDescent="0.2">
      <c r="B12023" s="43"/>
    </row>
    <row r="12024" spans="2:2" ht="12.75" customHeight="1" x14ac:dyDescent="0.2">
      <c r="B12024" s="43"/>
    </row>
    <row r="12025" spans="2:2" ht="12.75" customHeight="1" x14ac:dyDescent="0.2">
      <c r="B12025" s="43"/>
    </row>
    <row r="12026" spans="2:2" ht="12.75" customHeight="1" x14ac:dyDescent="0.2">
      <c r="B12026" s="43"/>
    </row>
    <row r="12027" spans="2:2" ht="12.75" customHeight="1" x14ac:dyDescent="0.2">
      <c r="B12027" s="43"/>
    </row>
    <row r="12028" spans="2:2" ht="12.75" customHeight="1" x14ac:dyDescent="0.2">
      <c r="B12028" s="43"/>
    </row>
    <row r="12029" spans="2:2" ht="12.75" customHeight="1" x14ac:dyDescent="0.2">
      <c r="B12029" s="43"/>
    </row>
    <row r="12030" spans="2:2" ht="12.75" customHeight="1" x14ac:dyDescent="0.2">
      <c r="B12030" s="43"/>
    </row>
    <row r="12031" spans="2:2" ht="12.75" customHeight="1" x14ac:dyDescent="0.2">
      <c r="B12031" s="43"/>
    </row>
    <row r="12032" spans="2:2" ht="12.75" customHeight="1" x14ac:dyDescent="0.2">
      <c r="B12032" s="43"/>
    </row>
    <row r="12033" spans="2:2" ht="12.75" customHeight="1" x14ac:dyDescent="0.2">
      <c r="B12033" s="43"/>
    </row>
    <row r="12034" spans="2:2" ht="12.75" customHeight="1" x14ac:dyDescent="0.2">
      <c r="B12034" s="43"/>
    </row>
    <row r="12035" spans="2:2" ht="12.75" customHeight="1" x14ac:dyDescent="0.2">
      <c r="B12035" s="43"/>
    </row>
    <row r="12036" spans="2:2" ht="12.75" customHeight="1" x14ac:dyDescent="0.2">
      <c r="B12036" s="43"/>
    </row>
    <row r="12037" spans="2:2" ht="12.75" customHeight="1" x14ac:dyDescent="0.2">
      <c r="B12037" s="43"/>
    </row>
    <row r="12038" spans="2:2" ht="12.75" customHeight="1" x14ac:dyDescent="0.2">
      <c r="B12038" s="43"/>
    </row>
    <row r="12039" spans="2:2" ht="12.75" customHeight="1" x14ac:dyDescent="0.2">
      <c r="B12039" s="43"/>
    </row>
    <row r="12040" spans="2:2" ht="12.75" customHeight="1" x14ac:dyDescent="0.2">
      <c r="B12040" s="43"/>
    </row>
    <row r="12041" spans="2:2" ht="12.75" customHeight="1" x14ac:dyDescent="0.2">
      <c r="B12041" s="43"/>
    </row>
    <row r="12042" spans="2:2" ht="12.75" customHeight="1" x14ac:dyDescent="0.2">
      <c r="B12042" s="43"/>
    </row>
    <row r="12043" spans="2:2" ht="12.75" customHeight="1" x14ac:dyDescent="0.2">
      <c r="B12043" s="43"/>
    </row>
    <row r="12044" spans="2:2" ht="12.75" customHeight="1" x14ac:dyDescent="0.2">
      <c r="B12044" s="43"/>
    </row>
    <row r="12045" spans="2:2" ht="12.75" customHeight="1" x14ac:dyDescent="0.2">
      <c r="B12045" s="43"/>
    </row>
    <row r="12046" spans="2:2" ht="12.75" customHeight="1" x14ac:dyDescent="0.2">
      <c r="B12046" s="43"/>
    </row>
    <row r="12047" spans="2:2" ht="12.75" customHeight="1" x14ac:dyDescent="0.2">
      <c r="B12047" s="43"/>
    </row>
    <row r="12048" spans="2:2" ht="12.75" customHeight="1" x14ac:dyDescent="0.2">
      <c r="B12048" s="43"/>
    </row>
    <row r="12049" spans="2:2" ht="12.75" customHeight="1" x14ac:dyDescent="0.2">
      <c r="B12049" s="43"/>
    </row>
    <row r="12050" spans="2:2" ht="12.75" customHeight="1" x14ac:dyDescent="0.2">
      <c r="B12050" s="43"/>
    </row>
    <row r="12051" spans="2:2" ht="12.75" customHeight="1" x14ac:dyDescent="0.2">
      <c r="B12051" s="43"/>
    </row>
    <row r="12052" spans="2:2" ht="12.75" customHeight="1" x14ac:dyDescent="0.2">
      <c r="B12052" s="43"/>
    </row>
    <row r="12053" spans="2:2" ht="12.75" customHeight="1" x14ac:dyDescent="0.2">
      <c r="B12053" s="43"/>
    </row>
    <row r="12054" spans="2:2" ht="12.75" customHeight="1" x14ac:dyDescent="0.2">
      <c r="B12054" s="43"/>
    </row>
    <row r="12055" spans="2:2" ht="12.75" customHeight="1" x14ac:dyDescent="0.2">
      <c r="B12055" s="43"/>
    </row>
    <row r="12056" spans="2:2" ht="12.75" customHeight="1" x14ac:dyDescent="0.2">
      <c r="B12056" s="43"/>
    </row>
    <row r="12057" spans="2:2" ht="12.75" customHeight="1" x14ac:dyDescent="0.2">
      <c r="B12057" s="43"/>
    </row>
    <row r="12058" spans="2:2" ht="12.75" customHeight="1" x14ac:dyDescent="0.2">
      <c r="B12058" s="43"/>
    </row>
    <row r="12059" spans="2:2" ht="12.75" customHeight="1" x14ac:dyDescent="0.2">
      <c r="B12059" s="43"/>
    </row>
    <row r="12060" spans="2:2" ht="12.75" customHeight="1" x14ac:dyDescent="0.2">
      <c r="B12060" s="43"/>
    </row>
    <row r="12061" spans="2:2" ht="12.75" customHeight="1" x14ac:dyDescent="0.2">
      <c r="B12061" s="43"/>
    </row>
    <row r="12062" spans="2:2" ht="12.75" customHeight="1" x14ac:dyDescent="0.2">
      <c r="B12062" s="43"/>
    </row>
    <row r="12063" spans="2:2" ht="12.75" customHeight="1" x14ac:dyDescent="0.2">
      <c r="B12063" s="43"/>
    </row>
    <row r="12064" spans="2:2" ht="12.75" customHeight="1" x14ac:dyDescent="0.2">
      <c r="B12064" s="43"/>
    </row>
    <row r="12065" spans="2:2" ht="12.75" customHeight="1" x14ac:dyDescent="0.2">
      <c r="B12065" s="43"/>
    </row>
    <row r="12066" spans="2:2" ht="12.75" customHeight="1" x14ac:dyDescent="0.2">
      <c r="B12066" s="43"/>
    </row>
    <row r="12067" spans="2:2" ht="12.75" customHeight="1" x14ac:dyDescent="0.2">
      <c r="B12067" s="43"/>
    </row>
    <row r="12068" spans="2:2" ht="12.75" customHeight="1" x14ac:dyDescent="0.2">
      <c r="B12068" s="43"/>
    </row>
    <row r="12069" spans="2:2" ht="12.75" customHeight="1" x14ac:dyDescent="0.2">
      <c r="B12069" s="43"/>
    </row>
    <row r="12070" spans="2:2" ht="12.75" customHeight="1" x14ac:dyDescent="0.2">
      <c r="B12070" s="43"/>
    </row>
    <row r="12071" spans="2:2" ht="12.75" customHeight="1" x14ac:dyDescent="0.2">
      <c r="B12071" s="43"/>
    </row>
    <row r="12072" spans="2:2" ht="12.75" customHeight="1" x14ac:dyDescent="0.2">
      <c r="B12072" s="43"/>
    </row>
    <row r="12073" spans="2:2" ht="12.75" customHeight="1" x14ac:dyDescent="0.2">
      <c r="B12073" s="43"/>
    </row>
    <row r="12074" spans="2:2" ht="12.75" customHeight="1" x14ac:dyDescent="0.2">
      <c r="B12074" s="43"/>
    </row>
    <row r="12075" spans="2:2" ht="12.75" customHeight="1" x14ac:dyDescent="0.2">
      <c r="B12075" s="43"/>
    </row>
    <row r="12076" spans="2:2" ht="12.75" customHeight="1" x14ac:dyDescent="0.2">
      <c r="B12076" s="43"/>
    </row>
    <row r="12077" spans="2:2" ht="12.75" customHeight="1" x14ac:dyDescent="0.2">
      <c r="B12077" s="43"/>
    </row>
    <row r="12078" spans="2:2" ht="12.75" customHeight="1" x14ac:dyDescent="0.2">
      <c r="B12078" s="43"/>
    </row>
    <row r="12079" spans="2:2" ht="12.75" customHeight="1" x14ac:dyDescent="0.2">
      <c r="B12079" s="43"/>
    </row>
    <row r="12080" spans="2:2" ht="12.75" customHeight="1" x14ac:dyDescent="0.2">
      <c r="B12080" s="43"/>
    </row>
    <row r="12081" spans="2:2" ht="12.75" customHeight="1" x14ac:dyDescent="0.2">
      <c r="B12081" s="43"/>
    </row>
    <row r="12082" spans="2:2" ht="12.75" customHeight="1" x14ac:dyDescent="0.2">
      <c r="B12082" s="43"/>
    </row>
    <row r="12083" spans="2:2" ht="12.75" customHeight="1" x14ac:dyDescent="0.2">
      <c r="B12083" s="43"/>
    </row>
    <row r="12084" spans="2:2" ht="12.75" customHeight="1" x14ac:dyDescent="0.2">
      <c r="B12084" s="43"/>
    </row>
    <row r="12085" spans="2:2" ht="12.75" customHeight="1" x14ac:dyDescent="0.2">
      <c r="B12085" s="43"/>
    </row>
    <row r="12086" spans="2:2" ht="12.75" customHeight="1" x14ac:dyDescent="0.2">
      <c r="B12086" s="43"/>
    </row>
    <row r="12087" spans="2:2" ht="12.75" customHeight="1" x14ac:dyDescent="0.2">
      <c r="B12087" s="43"/>
    </row>
    <row r="12088" spans="2:2" ht="12.75" customHeight="1" x14ac:dyDescent="0.2">
      <c r="B12088" s="43"/>
    </row>
    <row r="12089" spans="2:2" ht="12.75" customHeight="1" x14ac:dyDescent="0.2">
      <c r="B12089" s="43"/>
    </row>
    <row r="12090" spans="2:2" ht="12.75" customHeight="1" x14ac:dyDescent="0.2">
      <c r="B12090" s="43"/>
    </row>
    <row r="12091" spans="2:2" ht="12.75" customHeight="1" x14ac:dyDescent="0.2">
      <c r="B12091" s="43"/>
    </row>
    <row r="12092" spans="2:2" ht="12.75" customHeight="1" x14ac:dyDescent="0.2">
      <c r="B12092" s="43"/>
    </row>
    <row r="12093" spans="2:2" ht="12.75" customHeight="1" x14ac:dyDescent="0.2">
      <c r="B12093" s="43"/>
    </row>
    <row r="12094" spans="2:2" ht="12.75" customHeight="1" x14ac:dyDescent="0.2">
      <c r="B12094" s="43"/>
    </row>
    <row r="12095" spans="2:2" ht="12.75" customHeight="1" x14ac:dyDescent="0.2">
      <c r="B12095" s="43"/>
    </row>
    <row r="12096" spans="2:2" ht="12.75" customHeight="1" x14ac:dyDescent="0.2">
      <c r="B12096" s="43"/>
    </row>
    <row r="12097" spans="2:2" ht="12.75" customHeight="1" x14ac:dyDescent="0.2">
      <c r="B12097" s="43"/>
    </row>
    <row r="12098" spans="2:2" ht="12.75" customHeight="1" x14ac:dyDescent="0.2">
      <c r="B12098" s="43"/>
    </row>
    <row r="12099" spans="2:2" ht="12.75" customHeight="1" x14ac:dyDescent="0.2">
      <c r="B12099" s="43"/>
    </row>
    <row r="12100" spans="2:2" ht="12.75" customHeight="1" x14ac:dyDescent="0.2">
      <c r="B12100" s="43"/>
    </row>
    <row r="12101" spans="2:2" ht="12.75" customHeight="1" x14ac:dyDescent="0.2">
      <c r="B12101" s="43"/>
    </row>
    <row r="12102" spans="2:2" ht="12.75" customHeight="1" x14ac:dyDescent="0.2">
      <c r="B12102" s="43"/>
    </row>
    <row r="12103" spans="2:2" ht="12.75" customHeight="1" x14ac:dyDescent="0.2">
      <c r="B12103" s="43"/>
    </row>
    <row r="12104" spans="2:2" ht="12.75" customHeight="1" x14ac:dyDescent="0.2">
      <c r="B12104" s="43"/>
    </row>
    <row r="12105" spans="2:2" ht="12.75" customHeight="1" x14ac:dyDescent="0.2">
      <c r="B12105" s="43"/>
    </row>
    <row r="12106" spans="2:2" ht="12.75" customHeight="1" x14ac:dyDescent="0.2">
      <c r="B12106" s="43"/>
    </row>
    <row r="12107" spans="2:2" ht="12.75" customHeight="1" x14ac:dyDescent="0.2">
      <c r="B12107" s="43"/>
    </row>
    <row r="12108" spans="2:2" ht="12.75" customHeight="1" x14ac:dyDescent="0.2">
      <c r="B12108" s="43"/>
    </row>
    <row r="12109" spans="2:2" ht="12.75" customHeight="1" x14ac:dyDescent="0.2">
      <c r="B12109" s="43"/>
    </row>
    <row r="12110" spans="2:2" ht="12.75" customHeight="1" x14ac:dyDescent="0.2">
      <c r="B12110" s="43"/>
    </row>
    <row r="12111" spans="2:2" ht="12.75" customHeight="1" x14ac:dyDescent="0.2">
      <c r="B12111" s="43"/>
    </row>
    <row r="12112" spans="2:2" ht="12.75" customHeight="1" x14ac:dyDescent="0.2">
      <c r="B12112" s="43"/>
    </row>
    <row r="12113" spans="2:2" ht="12.75" customHeight="1" x14ac:dyDescent="0.2">
      <c r="B12113" s="43"/>
    </row>
    <row r="12114" spans="2:2" ht="12.75" customHeight="1" x14ac:dyDescent="0.2">
      <c r="B12114" s="43"/>
    </row>
    <row r="12115" spans="2:2" ht="12.75" customHeight="1" x14ac:dyDescent="0.2">
      <c r="B12115" s="43"/>
    </row>
    <row r="12116" spans="2:2" ht="12.75" customHeight="1" x14ac:dyDescent="0.2">
      <c r="B12116" s="43"/>
    </row>
    <row r="12117" spans="2:2" ht="12.75" customHeight="1" x14ac:dyDescent="0.2">
      <c r="B12117" s="43"/>
    </row>
    <row r="12118" spans="2:2" ht="12.75" customHeight="1" x14ac:dyDescent="0.2">
      <c r="B12118" s="43"/>
    </row>
    <row r="12119" spans="2:2" ht="12.75" customHeight="1" x14ac:dyDescent="0.2">
      <c r="B12119" s="43"/>
    </row>
    <row r="12120" spans="2:2" ht="12.75" customHeight="1" x14ac:dyDescent="0.2">
      <c r="B12120" s="43"/>
    </row>
    <row r="12121" spans="2:2" ht="12.75" customHeight="1" x14ac:dyDescent="0.2">
      <c r="B12121" s="43"/>
    </row>
    <row r="12122" spans="2:2" ht="12.75" customHeight="1" x14ac:dyDescent="0.2">
      <c r="B12122" s="43"/>
    </row>
    <row r="12123" spans="2:2" ht="12.75" customHeight="1" x14ac:dyDescent="0.2">
      <c r="B12123" s="43"/>
    </row>
    <row r="12124" spans="2:2" ht="12.75" customHeight="1" x14ac:dyDescent="0.2">
      <c r="B12124" s="43"/>
    </row>
    <row r="12125" spans="2:2" ht="12.75" customHeight="1" x14ac:dyDescent="0.2">
      <c r="B12125" s="43"/>
    </row>
    <row r="12126" spans="2:2" ht="12.75" customHeight="1" x14ac:dyDescent="0.2">
      <c r="B12126" s="43"/>
    </row>
    <row r="12127" spans="2:2" ht="12.75" customHeight="1" x14ac:dyDescent="0.2">
      <c r="B12127" s="43"/>
    </row>
    <row r="12128" spans="2:2" ht="12.75" customHeight="1" x14ac:dyDescent="0.2">
      <c r="B12128" s="43"/>
    </row>
    <row r="12129" spans="2:2" ht="12.75" customHeight="1" x14ac:dyDescent="0.2">
      <c r="B12129" s="43"/>
    </row>
    <row r="12130" spans="2:2" ht="12.75" customHeight="1" x14ac:dyDescent="0.2">
      <c r="B12130" s="43"/>
    </row>
    <row r="12131" spans="2:2" ht="12.75" customHeight="1" x14ac:dyDescent="0.2">
      <c r="B12131" s="43"/>
    </row>
    <row r="12132" spans="2:2" ht="12.75" customHeight="1" x14ac:dyDescent="0.2">
      <c r="B12132" s="43"/>
    </row>
    <row r="12133" spans="2:2" ht="12.75" customHeight="1" x14ac:dyDescent="0.2">
      <c r="B12133" s="43"/>
    </row>
    <row r="12134" spans="2:2" ht="12.75" customHeight="1" x14ac:dyDescent="0.2">
      <c r="B12134" s="43"/>
    </row>
    <row r="12135" spans="2:2" ht="12.75" customHeight="1" x14ac:dyDescent="0.2">
      <c r="B12135" s="43"/>
    </row>
    <row r="12136" spans="2:2" ht="12.75" customHeight="1" x14ac:dyDescent="0.2">
      <c r="B12136" s="43"/>
    </row>
    <row r="12137" spans="2:2" ht="12.75" customHeight="1" x14ac:dyDescent="0.2">
      <c r="B12137" s="43"/>
    </row>
    <row r="12138" spans="2:2" ht="12.75" customHeight="1" x14ac:dyDescent="0.2">
      <c r="B12138" s="43"/>
    </row>
    <row r="12139" spans="2:2" ht="12.75" customHeight="1" x14ac:dyDescent="0.2">
      <c r="B12139" s="43"/>
    </row>
    <row r="12140" spans="2:2" ht="12.75" customHeight="1" x14ac:dyDescent="0.2">
      <c r="B12140" s="43"/>
    </row>
    <row r="12141" spans="2:2" ht="12.75" customHeight="1" x14ac:dyDescent="0.2">
      <c r="B12141" s="43"/>
    </row>
    <row r="12142" spans="2:2" ht="12.75" customHeight="1" x14ac:dyDescent="0.2">
      <c r="B12142" s="43"/>
    </row>
    <row r="12143" spans="2:2" ht="12.75" customHeight="1" x14ac:dyDescent="0.2">
      <c r="B12143" s="43"/>
    </row>
    <row r="12144" spans="2:2" ht="12.75" customHeight="1" x14ac:dyDescent="0.2">
      <c r="B12144" s="43"/>
    </row>
    <row r="12145" spans="2:2" ht="12.75" customHeight="1" x14ac:dyDescent="0.2">
      <c r="B12145" s="43"/>
    </row>
    <row r="12146" spans="2:2" ht="12.75" customHeight="1" x14ac:dyDescent="0.2">
      <c r="B12146" s="43"/>
    </row>
    <row r="12147" spans="2:2" ht="12.75" customHeight="1" x14ac:dyDescent="0.2">
      <c r="B12147" s="43"/>
    </row>
    <row r="12148" spans="2:2" ht="12.75" customHeight="1" x14ac:dyDescent="0.2">
      <c r="B12148" s="43"/>
    </row>
    <row r="12149" spans="2:2" ht="12.75" customHeight="1" x14ac:dyDescent="0.2">
      <c r="B12149" s="43"/>
    </row>
    <row r="12150" spans="2:2" ht="12.75" customHeight="1" x14ac:dyDescent="0.2">
      <c r="B12150" s="43"/>
    </row>
    <row r="12151" spans="2:2" ht="12.75" customHeight="1" x14ac:dyDescent="0.2">
      <c r="B12151" s="43"/>
    </row>
    <row r="12152" spans="2:2" ht="12.75" customHeight="1" x14ac:dyDescent="0.2">
      <c r="B12152" s="43"/>
    </row>
    <row r="12153" spans="2:2" ht="12.75" customHeight="1" x14ac:dyDescent="0.2">
      <c r="B12153" s="43"/>
    </row>
    <row r="12154" spans="2:2" ht="12.75" customHeight="1" x14ac:dyDescent="0.2">
      <c r="B12154" s="43"/>
    </row>
    <row r="12155" spans="2:2" ht="12.75" customHeight="1" x14ac:dyDescent="0.2">
      <c r="B12155" s="43"/>
    </row>
    <row r="12156" spans="2:2" ht="12.75" customHeight="1" x14ac:dyDescent="0.2">
      <c r="B12156" s="43"/>
    </row>
    <row r="12157" spans="2:2" ht="12.75" customHeight="1" x14ac:dyDescent="0.2">
      <c r="B12157" s="43"/>
    </row>
    <row r="12158" spans="2:2" ht="12.75" customHeight="1" x14ac:dyDescent="0.2">
      <c r="B12158" s="43"/>
    </row>
    <row r="12159" spans="2:2" ht="12.75" customHeight="1" x14ac:dyDescent="0.2">
      <c r="B12159" s="43"/>
    </row>
    <row r="12160" spans="2:2" ht="12.75" customHeight="1" x14ac:dyDescent="0.2">
      <c r="B12160" s="43"/>
    </row>
    <row r="12161" spans="2:2" ht="12.75" customHeight="1" x14ac:dyDescent="0.2">
      <c r="B12161" s="43"/>
    </row>
    <row r="12162" spans="2:2" ht="12.75" customHeight="1" x14ac:dyDescent="0.2">
      <c r="B12162" s="43"/>
    </row>
    <row r="12163" spans="2:2" ht="12.75" customHeight="1" x14ac:dyDescent="0.2">
      <c r="B12163" s="43"/>
    </row>
    <row r="12164" spans="2:2" ht="12.75" customHeight="1" x14ac:dyDescent="0.2">
      <c r="B12164" s="43"/>
    </row>
    <row r="12165" spans="2:2" ht="12.75" customHeight="1" x14ac:dyDescent="0.2">
      <c r="B12165" s="43"/>
    </row>
    <row r="12166" spans="2:2" ht="12.75" customHeight="1" x14ac:dyDescent="0.2">
      <c r="B12166" s="43"/>
    </row>
    <row r="12167" spans="2:2" ht="12.75" customHeight="1" x14ac:dyDescent="0.2">
      <c r="B12167" s="43"/>
    </row>
    <row r="12168" spans="2:2" ht="12.75" customHeight="1" x14ac:dyDescent="0.2">
      <c r="B12168" s="43"/>
    </row>
    <row r="12169" spans="2:2" ht="12.75" customHeight="1" x14ac:dyDescent="0.2">
      <c r="B12169" s="43"/>
    </row>
    <row r="12170" spans="2:2" ht="12.75" customHeight="1" x14ac:dyDescent="0.2">
      <c r="B12170" s="43"/>
    </row>
    <row r="12171" spans="2:2" ht="12.75" customHeight="1" x14ac:dyDescent="0.2">
      <c r="B12171" s="43"/>
    </row>
    <row r="12172" spans="2:2" ht="12.75" customHeight="1" x14ac:dyDescent="0.2">
      <c r="B12172" s="43"/>
    </row>
    <row r="12173" spans="2:2" ht="12.75" customHeight="1" x14ac:dyDescent="0.2">
      <c r="B12173" s="43"/>
    </row>
    <row r="12174" spans="2:2" ht="12.75" customHeight="1" x14ac:dyDescent="0.2">
      <c r="B12174" s="43"/>
    </row>
    <row r="12175" spans="2:2" ht="12.75" customHeight="1" x14ac:dyDescent="0.2">
      <c r="B12175" s="43"/>
    </row>
    <row r="12176" spans="2:2" ht="12.75" customHeight="1" x14ac:dyDescent="0.2">
      <c r="B12176" s="43"/>
    </row>
    <row r="12177" spans="2:2" ht="12.75" customHeight="1" x14ac:dyDescent="0.2">
      <c r="B12177" s="43"/>
    </row>
    <row r="12178" spans="2:2" ht="12.75" customHeight="1" x14ac:dyDescent="0.2">
      <c r="B12178" s="43"/>
    </row>
    <row r="12179" spans="2:2" ht="12.75" customHeight="1" x14ac:dyDescent="0.2">
      <c r="B12179" s="43"/>
    </row>
    <row r="12180" spans="2:2" ht="12.75" customHeight="1" x14ac:dyDescent="0.2">
      <c r="B12180" s="43"/>
    </row>
    <row r="12181" spans="2:2" ht="12.75" customHeight="1" x14ac:dyDescent="0.2">
      <c r="B12181" s="43"/>
    </row>
    <row r="12182" spans="2:2" ht="12.75" customHeight="1" x14ac:dyDescent="0.2">
      <c r="B12182" s="43"/>
    </row>
    <row r="12183" spans="2:2" ht="12.75" customHeight="1" x14ac:dyDescent="0.2">
      <c r="B12183" s="43"/>
    </row>
    <row r="12184" spans="2:2" ht="12.75" customHeight="1" x14ac:dyDescent="0.2">
      <c r="B12184" s="43"/>
    </row>
    <row r="12185" spans="2:2" ht="12.75" customHeight="1" x14ac:dyDescent="0.2">
      <c r="B12185" s="43"/>
    </row>
    <row r="12186" spans="2:2" ht="12.75" customHeight="1" x14ac:dyDescent="0.2">
      <c r="B12186" s="43"/>
    </row>
    <row r="12187" spans="2:2" ht="12.75" customHeight="1" x14ac:dyDescent="0.2">
      <c r="B12187" s="43"/>
    </row>
    <row r="12188" spans="2:2" ht="12.75" customHeight="1" x14ac:dyDescent="0.2">
      <c r="B12188" s="43"/>
    </row>
    <row r="12189" spans="2:2" ht="12.75" customHeight="1" x14ac:dyDescent="0.2">
      <c r="B12189" s="43"/>
    </row>
    <row r="12190" spans="2:2" ht="12.75" customHeight="1" x14ac:dyDescent="0.2">
      <c r="B12190" s="43"/>
    </row>
    <row r="12191" spans="2:2" ht="12.75" customHeight="1" x14ac:dyDescent="0.2">
      <c r="B12191" s="43"/>
    </row>
    <row r="12192" spans="2:2" ht="12.75" customHeight="1" x14ac:dyDescent="0.2">
      <c r="B12192" s="43"/>
    </row>
    <row r="12193" spans="2:2" ht="12.75" customHeight="1" x14ac:dyDescent="0.2">
      <c r="B12193" s="43"/>
    </row>
    <row r="12194" spans="2:2" ht="12.75" customHeight="1" x14ac:dyDescent="0.2">
      <c r="B12194" s="43"/>
    </row>
    <row r="12195" spans="2:2" ht="12.75" customHeight="1" x14ac:dyDescent="0.2">
      <c r="B12195" s="43"/>
    </row>
    <row r="12196" spans="2:2" ht="12.75" customHeight="1" x14ac:dyDescent="0.2">
      <c r="B12196" s="43"/>
    </row>
    <row r="12197" spans="2:2" ht="12.75" customHeight="1" x14ac:dyDescent="0.2">
      <c r="B12197" s="43"/>
    </row>
    <row r="12198" spans="2:2" ht="12.75" customHeight="1" x14ac:dyDescent="0.2">
      <c r="B12198" s="43"/>
    </row>
    <row r="12199" spans="2:2" ht="12.75" customHeight="1" x14ac:dyDescent="0.2">
      <c r="B12199" s="43"/>
    </row>
    <row r="12200" spans="2:2" ht="12.75" customHeight="1" x14ac:dyDescent="0.2">
      <c r="B12200" s="43"/>
    </row>
    <row r="12201" spans="2:2" ht="12.75" customHeight="1" x14ac:dyDescent="0.2">
      <c r="B12201" s="43"/>
    </row>
    <row r="12202" spans="2:2" ht="12.75" customHeight="1" x14ac:dyDescent="0.2">
      <c r="B12202" s="43"/>
    </row>
    <row r="12203" spans="2:2" ht="12.75" customHeight="1" x14ac:dyDescent="0.2">
      <c r="B12203" s="43"/>
    </row>
    <row r="12204" spans="2:2" ht="12.75" customHeight="1" x14ac:dyDescent="0.2">
      <c r="B12204" s="43"/>
    </row>
    <row r="12205" spans="2:2" ht="12.75" customHeight="1" x14ac:dyDescent="0.2">
      <c r="B12205" s="43"/>
    </row>
    <row r="12206" spans="2:2" ht="12.75" customHeight="1" x14ac:dyDescent="0.2">
      <c r="B12206" s="43"/>
    </row>
    <row r="12207" spans="2:2" ht="12.75" customHeight="1" x14ac:dyDescent="0.2">
      <c r="B12207" s="43"/>
    </row>
    <row r="12208" spans="2:2" ht="12.75" customHeight="1" x14ac:dyDescent="0.2">
      <c r="B12208" s="43"/>
    </row>
    <row r="12209" spans="2:2" ht="12.75" customHeight="1" x14ac:dyDescent="0.2">
      <c r="B12209" s="43"/>
    </row>
    <row r="12210" spans="2:2" ht="12.75" customHeight="1" x14ac:dyDescent="0.2">
      <c r="B12210" s="43"/>
    </row>
    <row r="12211" spans="2:2" ht="12.75" customHeight="1" x14ac:dyDescent="0.2">
      <c r="B12211" s="43"/>
    </row>
    <row r="12212" spans="2:2" ht="12.75" customHeight="1" x14ac:dyDescent="0.2">
      <c r="B12212" s="43"/>
    </row>
    <row r="12213" spans="2:2" ht="12.75" customHeight="1" x14ac:dyDescent="0.2">
      <c r="B12213" s="43"/>
    </row>
    <row r="12214" spans="2:2" ht="12.75" customHeight="1" x14ac:dyDescent="0.2">
      <c r="B12214" s="43"/>
    </row>
    <row r="12215" spans="2:2" ht="12.75" customHeight="1" x14ac:dyDescent="0.2">
      <c r="B12215" s="43"/>
    </row>
    <row r="12216" spans="2:2" ht="12.75" customHeight="1" x14ac:dyDescent="0.2">
      <c r="B12216" s="43"/>
    </row>
    <row r="12217" spans="2:2" ht="12.75" customHeight="1" x14ac:dyDescent="0.2">
      <c r="B12217" s="43"/>
    </row>
    <row r="12218" spans="2:2" ht="12.75" customHeight="1" x14ac:dyDescent="0.2">
      <c r="B12218" s="43"/>
    </row>
    <row r="12219" spans="2:2" ht="12.75" customHeight="1" x14ac:dyDescent="0.2">
      <c r="B12219" s="43"/>
    </row>
    <row r="12220" spans="2:2" ht="12.75" customHeight="1" x14ac:dyDescent="0.2">
      <c r="B12220" s="43"/>
    </row>
    <row r="12221" spans="2:2" ht="12.75" customHeight="1" x14ac:dyDescent="0.2">
      <c r="B12221" s="43"/>
    </row>
    <row r="12222" spans="2:2" ht="12.75" customHeight="1" x14ac:dyDescent="0.2">
      <c r="B12222" s="43"/>
    </row>
    <row r="12223" spans="2:2" ht="12.75" customHeight="1" x14ac:dyDescent="0.2">
      <c r="B12223" s="43"/>
    </row>
    <row r="12224" spans="2:2" ht="12.75" customHeight="1" x14ac:dyDescent="0.2">
      <c r="B12224" s="43"/>
    </row>
    <row r="12225" spans="2:2" ht="12.75" customHeight="1" x14ac:dyDescent="0.2">
      <c r="B12225" s="43"/>
    </row>
    <row r="12226" spans="2:2" ht="12.75" customHeight="1" x14ac:dyDescent="0.2">
      <c r="B12226" s="43"/>
    </row>
    <row r="12227" spans="2:2" ht="12.75" customHeight="1" x14ac:dyDescent="0.2">
      <c r="B12227" s="43"/>
    </row>
    <row r="12228" spans="2:2" ht="12.75" customHeight="1" x14ac:dyDescent="0.2">
      <c r="B12228" s="43"/>
    </row>
    <row r="12229" spans="2:2" ht="12.75" customHeight="1" x14ac:dyDescent="0.2">
      <c r="B12229" s="43"/>
    </row>
    <row r="12230" spans="2:2" ht="12.75" customHeight="1" x14ac:dyDescent="0.2">
      <c r="B12230" s="43"/>
    </row>
    <row r="12231" spans="2:2" ht="12.75" customHeight="1" x14ac:dyDescent="0.2">
      <c r="B12231" s="43"/>
    </row>
    <row r="12232" spans="2:2" ht="12.75" customHeight="1" x14ac:dyDescent="0.2">
      <c r="B12232" s="43"/>
    </row>
    <row r="12233" spans="2:2" ht="12.75" customHeight="1" x14ac:dyDescent="0.2">
      <c r="B12233" s="43"/>
    </row>
    <row r="12234" spans="2:2" ht="12.75" customHeight="1" x14ac:dyDescent="0.2">
      <c r="B12234" s="43"/>
    </row>
    <row r="12235" spans="2:2" ht="12.75" customHeight="1" x14ac:dyDescent="0.2">
      <c r="B12235" s="43"/>
    </row>
    <row r="12236" spans="2:2" ht="12.75" customHeight="1" x14ac:dyDescent="0.2">
      <c r="B12236" s="43"/>
    </row>
    <row r="12237" spans="2:2" ht="12.75" customHeight="1" x14ac:dyDescent="0.2">
      <c r="B12237" s="43"/>
    </row>
    <row r="12238" spans="2:2" ht="12.75" customHeight="1" x14ac:dyDescent="0.2">
      <c r="B12238" s="43"/>
    </row>
    <row r="12239" spans="2:2" ht="12.75" customHeight="1" x14ac:dyDescent="0.2">
      <c r="B12239" s="43"/>
    </row>
    <row r="12240" spans="2:2" ht="12.75" customHeight="1" x14ac:dyDescent="0.2">
      <c r="B12240" s="43"/>
    </row>
    <row r="12241" spans="2:2" ht="12.75" customHeight="1" x14ac:dyDescent="0.2">
      <c r="B12241" s="43"/>
    </row>
    <row r="12242" spans="2:2" ht="12.75" customHeight="1" x14ac:dyDescent="0.2">
      <c r="B12242" s="43"/>
    </row>
    <row r="12243" spans="2:2" ht="12.75" customHeight="1" x14ac:dyDescent="0.2">
      <c r="B12243" s="43"/>
    </row>
    <row r="12244" spans="2:2" ht="12.75" customHeight="1" x14ac:dyDescent="0.2">
      <c r="B12244" s="43"/>
    </row>
    <row r="12245" spans="2:2" ht="12.75" customHeight="1" x14ac:dyDescent="0.2">
      <c r="B12245" s="43"/>
    </row>
    <row r="12246" spans="2:2" ht="12.75" customHeight="1" x14ac:dyDescent="0.2">
      <c r="B12246" s="43"/>
    </row>
    <row r="12247" spans="2:2" ht="12.75" customHeight="1" x14ac:dyDescent="0.2">
      <c r="B12247" s="43"/>
    </row>
    <row r="12248" spans="2:2" ht="12.75" customHeight="1" x14ac:dyDescent="0.2">
      <c r="B12248" s="43"/>
    </row>
    <row r="12249" spans="2:2" ht="12.75" customHeight="1" x14ac:dyDescent="0.2">
      <c r="B12249" s="43"/>
    </row>
    <row r="12250" spans="2:2" ht="12.75" customHeight="1" x14ac:dyDescent="0.2">
      <c r="B12250" s="43"/>
    </row>
    <row r="12251" spans="2:2" ht="12.75" customHeight="1" x14ac:dyDescent="0.2">
      <c r="B12251" s="43"/>
    </row>
    <row r="12252" spans="2:2" ht="12.75" customHeight="1" x14ac:dyDescent="0.2">
      <c r="B12252" s="43"/>
    </row>
    <row r="12253" spans="2:2" ht="12.75" customHeight="1" x14ac:dyDescent="0.2">
      <c r="B12253" s="43"/>
    </row>
    <row r="12254" spans="2:2" ht="12.75" customHeight="1" x14ac:dyDescent="0.2">
      <c r="B12254" s="43"/>
    </row>
    <row r="12255" spans="2:2" ht="12.75" customHeight="1" x14ac:dyDescent="0.2">
      <c r="B12255" s="43"/>
    </row>
    <row r="12256" spans="2:2" ht="12.75" customHeight="1" x14ac:dyDescent="0.2">
      <c r="B12256" s="43"/>
    </row>
    <row r="12257" spans="2:2" ht="12.75" customHeight="1" x14ac:dyDescent="0.2">
      <c r="B12257" s="43"/>
    </row>
    <row r="12258" spans="2:2" ht="12.75" customHeight="1" x14ac:dyDescent="0.2">
      <c r="B12258" s="43"/>
    </row>
    <row r="12259" spans="2:2" ht="12.75" customHeight="1" x14ac:dyDescent="0.2">
      <c r="B12259" s="43"/>
    </row>
    <row r="12260" spans="2:2" ht="12.75" customHeight="1" x14ac:dyDescent="0.2">
      <c r="B12260" s="43"/>
    </row>
    <row r="12261" spans="2:2" ht="12.75" customHeight="1" x14ac:dyDescent="0.2">
      <c r="B12261" s="43"/>
    </row>
    <row r="12262" spans="2:2" ht="12.75" customHeight="1" x14ac:dyDescent="0.2">
      <c r="B12262" s="43"/>
    </row>
    <row r="12263" spans="2:2" ht="12.75" customHeight="1" x14ac:dyDescent="0.2">
      <c r="B12263" s="43"/>
    </row>
    <row r="12264" spans="2:2" ht="12.75" customHeight="1" x14ac:dyDescent="0.2">
      <c r="B12264" s="43"/>
    </row>
    <row r="12265" spans="2:2" ht="12.75" customHeight="1" x14ac:dyDescent="0.2">
      <c r="B12265" s="43"/>
    </row>
    <row r="12266" spans="2:2" ht="12.75" customHeight="1" x14ac:dyDescent="0.2">
      <c r="B12266" s="43"/>
    </row>
    <row r="12267" spans="2:2" ht="12.75" customHeight="1" x14ac:dyDescent="0.2">
      <c r="B12267" s="43"/>
    </row>
    <row r="12268" spans="2:2" ht="12.75" customHeight="1" x14ac:dyDescent="0.2">
      <c r="B12268" s="43"/>
    </row>
    <row r="12269" spans="2:2" ht="12.75" customHeight="1" x14ac:dyDescent="0.2">
      <c r="B12269" s="43"/>
    </row>
    <row r="12270" spans="2:2" ht="12.75" customHeight="1" x14ac:dyDescent="0.2">
      <c r="B12270" s="43"/>
    </row>
    <row r="12271" spans="2:2" ht="12.75" customHeight="1" x14ac:dyDescent="0.2">
      <c r="B12271" s="43"/>
    </row>
    <row r="12272" spans="2:2" ht="12.75" customHeight="1" x14ac:dyDescent="0.2">
      <c r="B12272" s="43"/>
    </row>
    <row r="12273" spans="2:2" ht="12.75" customHeight="1" x14ac:dyDescent="0.2">
      <c r="B12273" s="43"/>
    </row>
    <row r="12274" spans="2:2" ht="12.75" customHeight="1" x14ac:dyDescent="0.2">
      <c r="B12274" s="43"/>
    </row>
    <row r="12275" spans="2:2" ht="12.75" customHeight="1" x14ac:dyDescent="0.2">
      <c r="B12275" s="43"/>
    </row>
    <row r="12276" spans="2:2" ht="12.75" customHeight="1" x14ac:dyDescent="0.2">
      <c r="B12276" s="43"/>
    </row>
    <row r="12277" spans="2:2" ht="12.75" customHeight="1" x14ac:dyDescent="0.2">
      <c r="B12277" s="43"/>
    </row>
    <row r="12278" spans="2:2" ht="12.75" customHeight="1" x14ac:dyDescent="0.2">
      <c r="B12278" s="43"/>
    </row>
    <row r="12279" spans="2:2" ht="12.75" customHeight="1" x14ac:dyDescent="0.2">
      <c r="B12279" s="43"/>
    </row>
    <row r="12280" spans="2:2" ht="12.75" customHeight="1" x14ac:dyDescent="0.2">
      <c r="B12280" s="43"/>
    </row>
    <row r="12281" spans="2:2" ht="12.75" customHeight="1" x14ac:dyDescent="0.2">
      <c r="B12281" s="43"/>
    </row>
    <row r="12282" spans="2:2" ht="12.75" customHeight="1" x14ac:dyDescent="0.2">
      <c r="B12282" s="43"/>
    </row>
    <row r="12283" spans="2:2" ht="12.75" customHeight="1" x14ac:dyDescent="0.2">
      <c r="B12283" s="43"/>
    </row>
    <row r="12284" spans="2:2" ht="12.75" customHeight="1" x14ac:dyDescent="0.2">
      <c r="B12284" s="43"/>
    </row>
    <row r="12285" spans="2:2" ht="12.75" customHeight="1" x14ac:dyDescent="0.2">
      <c r="B12285" s="43"/>
    </row>
    <row r="12286" spans="2:2" ht="12.75" customHeight="1" x14ac:dyDescent="0.2">
      <c r="B12286" s="43"/>
    </row>
    <row r="12287" spans="2:2" ht="12.75" customHeight="1" x14ac:dyDescent="0.2">
      <c r="B12287" s="43"/>
    </row>
    <row r="12288" spans="2:2" ht="12.75" customHeight="1" x14ac:dyDescent="0.2">
      <c r="B12288" s="43"/>
    </row>
    <row r="12289" spans="2:2" ht="12.75" customHeight="1" x14ac:dyDescent="0.2">
      <c r="B12289" s="43"/>
    </row>
    <row r="12290" spans="2:2" ht="12.75" customHeight="1" x14ac:dyDescent="0.2">
      <c r="B12290" s="43"/>
    </row>
    <row r="12291" spans="2:2" ht="12.75" customHeight="1" x14ac:dyDescent="0.2">
      <c r="B12291" s="43"/>
    </row>
    <row r="12292" spans="2:2" ht="12.75" customHeight="1" x14ac:dyDescent="0.2">
      <c r="B12292" s="43"/>
    </row>
    <row r="12293" spans="2:2" ht="12.75" customHeight="1" x14ac:dyDescent="0.2">
      <c r="B12293" s="43"/>
    </row>
    <row r="12294" spans="2:2" ht="12.75" customHeight="1" x14ac:dyDescent="0.2">
      <c r="B12294" s="43"/>
    </row>
    <row r="12295" spans="2:2" ht="12.75" customHeight="1" x14ac:dyDescent="0.2">
      <c r="B12295" s="43"/>
    </row>
    <row r="12296" spans="2:2" ht="12.75" customHeight="1" x14ac:dyDescent="0.2">
      <c r="B12296" s="43"/>
    </row>
    <row r="12297" spans="2:2" ht="12.75" customHeight="1" x14ac:dyDescent="0.2">
      <c r="B12297" s="43"/>
    </row>
    <row r="12298" spans="2:2" ht="12.75" customHeight="1" x14ac:dyDescent="0.2">
      <c r="B12298" s="43"/>
    </row>
    <row r="12299" spans="2:2" ht="12.75" customHeight="1" x14ac:dyDescent="0.2">
      <c r="B12299" s="43"/>
    </row>
    <row r="12300" spans="2:2" ht="12.75" customHeight="1" x14ac:dyDescent="0.2">
      <c r="B12300" s="43"/>
    </row>
    <row r="12301" spans="2:2" ht="12.75" customHeight="1" x14ac:dyDescent="0.2">
      <c r="B12301" s="43"/>
    </row>
    <row r="12302" spans="2:2" ht="12.75" customHeight="1" x14ac:dyDescent="0.2">
      <c r="B12302" s="43"/>
    </row>
    <row r="12303" spans="2:2" ht="12.75" customHeight="1" x14ac:dyDescent="0.2">
      <c r="B12303" s="43"/>
    </row>
    <row r="12304" spans="2:2" ht="12.75" customHeight="1" x14ac:dyDescent="0.2">
      <c r="B12304" s="43"/>
    </row>
    <row r="12305" spans="2:2" ht="12.75" customHeight="1" x14ac:dyDescent="0.2">
      <c r="B12305" s="43"/>
    </row>
    <row r="12306" spans="2:2" ht="12.75" customHeight="1" x14ac:dyDescent="0.2">
      <c r="B12306" s="43"/>
    </row>
    <row r="12307" spans="2:2" ht="12.75" customHeight="1" x14ac:dyDescent="0.2">
      <c r="B12307" s="43"/>
    </row>
    <row r="12308" spans="2:2" ht="12.75" customHeight="1" x14ac:dyDescent="0.2">
      <c r="B12308" s="43"/>
    </row>
    <row r="12309" spans="2:2" ht="12.75" customHeight="1" x14ac:dyDescent="0.2">
      <c r="B12309" s="43"/>
    </row>
    <row r="12310" spans="2:2" ht="12.75" customHeight="1" x14ac:dyDescent="0.2">
      <c r="B12310" s="43"/>
    </row>
    <row r="12311" spans="2:2" ht="12.75" customHeight="1" x14ac:dyDescent="0.2">
      <c r="B12311" s="43"/>
    </row>
    <row r="12312" spans="2:2" ht="12.75" customHeight="1" x14ac:dyDescent="0.2">
      <c r="B12312" s="43"/>
    </row>
    <row r="12313" spans="2:2" ht="12.75" customHeight="1" x14ac:dyDescent="0.2">
      <c r="B12313" s="43"/>
    </row>
    <row r="12314" spans="2:2" ht="12.75" customHeight="1" x14ac:dyDescent="0.2">
      <c r="B12314" s="43"/>
    </row>
    <row r="12315" spans="2:2" ht="12.75" customHeight="1" x14ac:dyDescent="0.2">
      <c r="B12315" s="43"/>
    </row>
    <row r="12316" spans="2:2" ht="12.75" customHeight="1" x14ac:dyDescent="0.2">
      <c r="B12316" s="43"/>
    </row>
    <row r="12317" spans="2:2" ht="12.75" customHeight="1" x14ac:dyDescent="0.2">
      <c r="B12317" s="43"/>
    </row>
    <row r="12318" spans="2:2" ht="12.75" customHeight="1" x14ac:dyDescent="0.2">
      <c r="B12318" s="43"/>
    </row>
    <row r="12319" spans="2:2" ht="12.75" customHeight="1" x14ac:dyDescent="0.2">
      <c r="B12319" s="43"/>
    </row>
    <row r="12320" spans="2:2" ht="12.75" customHeight="1" x14ac:dyDescent="0.2">
      <c r="B12320" s="43"/>
    </row>
    <row r="12321" spans="2:2" ht="12.75" customHeight="1" x14ac:dyDescent="0.2">
      <c r="B12321" s="43"/>
    </row>
    <row r="12322" spans="2:2" ht="12.75" customHeight="1" x14ac:dyDescent="0.2">
      <c r="B12322" s="43"/>
    </row>
    <row r="12323" spans="2:2" ht="12.75" customHeight="1" x14ac:dyDescent="0.2">
      <c r="B12323" s="43"/>
    </row>
    <row r="12324" spans="2:2" ht="12.75" customHeight="1" x14ac:dyDescent="0.2">
      <c r="B12324" s="43"/>
    </row>
    <row r="12325" spans="2:2" ht="12.75" customHeight="1" x14ac:dyDescent="0.2">
      <c r="B12325" s="43"/>
    </row>
    <row r="12326" spans="2:2" ht="12.75" customHeight="1" x14ac:dyDescent="0.2">
      <c r="B12326" s="43"/>
    </row>
    <row r="12327" spans="2:2" ht="12.75" customHeight="1" x14ac:dyDescent="0.2">
      <c r="B12327" s="43"/>
    </row>
    <row r="12328" spans="2:2" ht="12.75" customHeight="1" x14ac:dyDescent="0.2">
      <c r="B12328" s="43"/>
    </row>
    <row r="12329" spans="2:2" ht="12.75" customHeight="1" x14ac:dyDescent="0.2">
      <c r="B12329" s="43"/>
    </row>
    <row r="12330" spans="2:2" ht="12.75" customHeight="1" x14ac:dyDescent="0.2">
      <c r="B12330" s="43"/>
    </row>
    <row r="12331" spans="2:2" ht="12.75" customHeight="1" x14ac:dyDescent="0.2">
      <c r="B12331" s="43"/>
    </row>
    <row r="12332" spans="2:2" ht="12.75" customHeight="1" x14ac:dyDescent="0.2">
      <c r="B12332" s="43"/>
    </row>
    <row r="12333" spans="2:2" ht="12.75" customHeight="1" x14ac:dyDescent="0.2">
      <c r="B12333" s="43"/>
    </row>
    <row r="12334" spans="2:2" ht="12.75" customHeight="1" x14ac:dyDescent="0.2">
      <c r="B12334" s="43"/>
    </row>
    <row r="12335" spans="2:2" ht="12.75" customHeight="1" x14ac:dyDescent="0.2">
      <c r="B12335" s="43"/>
    </row>
    <row r="12336" spans="2:2" ht="12.75" customHeight="1" x14ac:dyDescent="0.2">
      <c r="B12336" s="43"/>
    </row>
    <row r="12337" spans="2:2" ht="12.75" customHeight="1" x14ac:dyDescent="0.2">
      <c r="B12337" s="43"/>
    </row>
    <row r="12338" spans="2:2" ht="12.75" customHeight="1" x14ac:dyDescent="0.2">
      <c r="B12338" s="43"/>
    </row>
    <row r="12339" spans="2:2" ht="12.75" customHeight="1" x14ac:dyDescent="0.2">
      <c r="B12339" s="43"/>
    </row>
    <row r="12340" spans="2:2" ht="12.75" customHeight="1" x14ac:dyDescent="0.2">
      <c r="B12340" s="43"/>
    </row>
    <row r="12341" spans="2:2" ht="12.75" customHeight="1" x14ac:dyDescent="0.2">
      <c r="B12341" s="43"/>
    </row>
    <row r="12342" spans="2:2" ht="12.75" customHeight="1" x14ac:dyDescent="0.2">
      <c r="B12342" s="43"/>
    </row>
    <row r="12343" spans="2:2" ht="12.75" customHeight="1" x14ac:dyDescent="0.2">
      <c r="B12343" s="43"/>
    </row>
    <row r="12344" spans="2:2" ht="12.75" customHeight="1" x14ac:dyDescent="0.2">
      <c r="B12344" s="43"/>
    </row>
    <row r="12345" spans="2:2" ht="12.75" customHeight="1" x14ac:dyDescent="0.2">
      <c r="B12345" s="43"/>
    </row>
    <row r="12346" spans="2:2" ht="12.75" customHeight="1" x14ac:dyDescent="0.2">
      <c r="B12346" s="43"/>
    </row>
    <row r="12347" spans="2:2" ht="12.75" customHeight="1" x14ac:dyDescent="0.2">
      <c r="B12347" s="43"/>
    </row>
    <row r="12348" spans="2:2" ht="12.75" customHeight="1" x14ac:dyDescent="0.2">
      <c r="B12348" s="43"/>
    </row>
    <row r="12349" spans="2:2" ht="12.75" customHeight="1" x14ac:dyDescent="0.2">
      <c r="B12349" s="43"/>
    </row>
    <row r="12350" spans="2:2" ht="12.75" customHeight="1" x14ac:dyDescent="0.2">
      <c r="B12350" s="43"/>
    </row>
    <row r="12351" spans="2:2" ht="12.75" customHeight="1" x14ac:dyDescent="0.2">
      <c r="B12351" s="43"/>
    </row>
    <row r="12352" spans="2:2" ht="12.75" customHeight="1" x14ac:dyDescent="0.2">
      <c r="B12352" s="43"/>
    </row>
    <row r="12353" spans="2:2" ht="12.75" customHeight="1" x14ac:dyDescent="0.2">
      <c r="B12353" s="43"/>
    </row>
    <row r="12354" spans="2:2" ht="12.75" customHeight="1" x14ac:dyDescent="0.2">
      <c r="B12354" s="43"/>
    </row>
    <row r="12355" spans="2:2" ht="12.75" customHeight="1" x14ac:dyDescent="0.2">
      <c r="B12355" s="43"/>
    </row>
    <row r="12356" spans="2:2" ht="12.75" customHeight="1" x14ac:dyDescent="0.2">
      <c r="B12356" s="43"/>
    </row>
    <row r="12357" spans="2:2" ht="12.75" customHeight="1" x14ac:dyDescent="0.2">
      <c r="B12357" s="43"/>
    </row>
    <row r="12358" spans="2:2" ht="12.75" customHeight="1" x14ac:dyDescent="0.2">
      <c r="B12358" s="43"/>
    </row>
    <row r="12359" spans="2:2" ht="12.75" customHeight="1" x14ac:dyDescent="0.2">
      <c r="B12359" s="43"/>
    </row>
    <row r="12360" spans="2:2" ht="12.75" customHeight="1" x14ac:dyDescent="0.2">
      <c r="B12360" s="43"/>
    </row>
    <row r="12361" spans="2:2" ht="12.75" customHeight="1" x14ac:dyDescent="0.2">
      <c r="B12361" s="43"/>
    </row>
    <row r="12362" spans="2:2" ht="12.75" customHeight="1" x14ac:dyDescent="0.2">
      <c r="B12362" s="43"/>
    </row>
    <row r="12363" spans="2:2" ht="12.75" customHeight="1" x14ac:dyDescent="0.2">
      <c r="B12363" s="43"/>
    </row>
    <row r="12364" spans="2:2" ht="12.75" customHeight="1" x14ac:dyDescent="0.2">
      <c r="B12364" s="43"/>
    </row>
    <row r="12365" spans="2:2" ht="12.75" customHeight="1" x14ac:dyDescent="0.2">
      <c r="B12365" s="43"/>
    </row>
    <row r="12366" spans="2:2" ht="12.75" customHeight="1" x14ac:dyDescent="0.2">
      <c r="B12366" s="43"/>
    </row>
    <row r="12367" spans="2:2" ht="12.75" customHeight="1" x14ac:dyDescent="0.2">
      <c r="B12367" s="43"/>
    </row>
    <row r="12368" spans="2:2" ht="12.75" customHeight="1" x14ac:dyDescent="0.2">
      <c r="B12368" s="43"/>
    </row>
    <row r="12369" spans="2:2" ht="12.75" customHeight="1" x14ac:dyDescent="0.2">
      <c r="B12369" s="43"/>
    </row>
    <row r="12370" spans="2:2" ht="12.75" customHeight="1" x14ac:dyDescent="0.2">
      <c r="B12370" s="43"/>
    </row>
    <row r="12371" spans="2:2" ht="12.75" customHeight="1" x14ac:dyDescent="0.2">
      <c r="B12371" s="43"/>
    </row>
    <row r="12372" spans="2:2" ht="12.75" customHeight="1" x14ac:dyDescent="0.2">
      <c r="B12372" s="43"/>
    </row>
    <row r="12373" spans="2:2" ht="12.75" customHeight="1" x14ac:dyDescent="0.2">
      <c r="B12373" s="43"/>
    </row>
    <row r="12374" spans="2:2" ht="12.75" customHeight="1" x14ac:dyDescent="0.2">
      <c r="B12374" s="43"/>
    </row>
    <row r="12375" spans="2:2" ht="12.75" customHeight="1" x14ac:dyDescent="0.2">
      <c r="B12375" s="43"/>
    </row>
    <row r="12376" spans="2:2" ht="12.75" customHeight="1" x14ac:dyDescent="0.2">
      <c r="B12376" s="43"/>
    </row>
    <row r="12377" spans="2:2" ht="12.75" customHeight="1" x14ac:dyDescent="0.2">
      <c r="B12377" s="43"/>
    </row>
    <row r="12378" spans="2:2" ht="12.75" customHeight="1" x14ac:dyDescent="0.2">
      <c r="B12378" s="43"/>
    </row>
    <row r="12379" spans="2:2" ht="12.75" customHeight="1" x14ac:dyDescent="0.2">
      <c r="B12379" s="43"/>
    </row>
    <row r="12380" spans="2:2" ht="12.75" customHeight="1" x14ac:dyDescent="0.2">
      <c r="B12380" s="43"/>
    </row>
    <row r="12381" spans="2:2" ht="12.75" customHeight="1" x14ac:dyDescent="0.2">
      <c r="B12381" s="43"/>
    </row>
    <row r="12382" spans="2:2" ht="12.75" customHeight="1" x14ac:dyDescent="0.2">
      <c r="B12382" s="43"/>
    </row>
    <row r="12383" spans="2:2" ht="12.75" customHeight="1" x14ac:dyDescent="0.2">
      <c r="B12383" s="43"/>
    </row>
    <row r="12384" spans="2:2" ht="12.75" customHeight="1" x14ac:dyDescent="0.2">
      <c r="B12384" s="43"/>
    </row>
    <row r="12385" spans="2:2" ht="12.75" customHeight="1" x14ac:dyDescent="0.2">
      <c r="B12385" s="43"/>
    </row>
    <row r="12386" spans="2:2" ht="12.75" customHeight="1" x14ac:dyDescent="0.2">
      <c r="B12386" s="43"/>
    </row>
    <row r="12387" spans="2:2" ht="12.75" customHeight="1" x14ac:dyDescent="0.2">
      <c r="B12387" s="43"/>
    </row>
    <row r="12388" spans="2:2" ht="12.75" customHeight="1" x14ac:dyDescent="0.2">
      <c r="B12388" s="43"/>
    </row>
    <row r="12389" spans="2:2" ht="12.75" customHeight="1" x14ac:dyDescent="0.2">
      <c r="B12389" s="43"/>
    </row>
    <row r="12390" spans="2:2" ht="12.75" customHeight="1" x14ac:dyDescent="0.2">
      <c r="B12390" s="43"/>
    </row>
    <row r="12391" spans="2:2" ht="12.75" customHeight="1" x14ac:dyDescent="0.2">
      <c r="B12391" s="43"/>
    </row>
    <row r="12392" spans="2:2" ht="12.75" customHeight="1" x14ac:dyDescent="0.2">
      <c r="B12392" s="43"/>
    </row>
    <row r="12393" spans="2:2" ht="12.75" customHeight="1" x14ac:dyDescent="0.2">
      <c r="B12393" s="43"/>
    </row>
    <row r="12394" spans="2:2" ht="12.75" customHeight="1" x14ac:dyDescent="0.2">
      <c r="B12394" s="43"/>
    </row>
    <row r="12395" spans="2:2" ht="12.75" customHeight="1" x14ac:dyDescent="0.2">
      <c r="B12395" s="43"/>
    </row>
    <row r="12396" spans="2:2" ht="12.75" customHeight="1" x14ac:dyDescent="0.2">
      <c r="B12396" s="43"/>
    </row>
    <row r="12397" spans="2:2" ht="12.75" customHeight="1" x14ac:dyDescent="0.2">
      <c r="B12397" s="43"/>
    </row>
    <row r="12398" spans="2:2" ht="12.75" customHeight="1" x14ac:dyDescent="0.2">
      <c r="B12398" s="43"/>
    </row>
    <row r="12399" spans="2:2" ht="12.75" customHeight="1" x14ac:dyDescent="0.2">
      <c r="B12399" s="43"/>
    </row>
    <row r="12400" spans="2:2" ht="12.75" customHeight="1" x14ac:dyDescent="0.2">
      <c r="B12400" s="43"/>
    </row>
    <row r="12401" spans="2:2" ht="12.75" customHeight="1" x14ac:dyDescent="0.2">
      <c r="B12401" s="43"/>
    </row>
    <row r="12402" spans="2:2" ht="12.75" customHeight="1" x14ac:dyDescent="0.2">
      <c r="B12402" s="43"/>
    </row>
    <row r="12403" spans="2:2" ht="12.75" customHeight="1" x14ac:dyDescent="0.2">
      <c r="B12403" s="43"/>
    </row>
    <row r="12404" spans="2:2" ht="12.75" customHeight="1" x14ac:dyDescent="0.2">
      <c r="B12404" s="43"/>
    </row>
    <row r="12405" spans="2:2" ht="12.75" customHeight="1" x14ac:dyDescent="0.2">
      <c r="B12405" s="43"/>
    </row>
    <row r="12406" spans="2:2" ht="12.75" customHeight="1" x14ac:dyDescent="0.2">
      <c r="B12406" s="43"/>
    </row>
    <row r="12407" spans="2:2" ht="12.75" customHeight="1" x14ac:dyDescent="0.2">
      <c r="B12407" s="43"/>
    </row>
    <row r="12408" spans="2:2" ht="12.75" customHeight="1" x14ac:dyDescent="0.2">
      <c r="B12408" s="43"/>
    </row>
    <row r="12409" spans="2:2" ht="12.75" customHeight="1" x14ac:dyDescent="0.2">
      <c r="B12409" s="43"/>
    </row>
    <row r="12410" spans="2:2" ht="12.75" customHeight="1" x14ac:dyDescent="0.2">
      <c r="B12410" s="43"/>
    </row>
    <row r="12411" spans="2:2" ht="12.75" customHeight="1" x14ac:dyDescent="0.2">
      <c r="B12411" s="43"/>
    </row>
    <row r="12412" spans="2:2" ht="12.75" customHeight="1" x14ac:dyDescent="0.2">
      <c r="B12412" s="43"/>
    </row>
    <row r="12413" spans="2:2" ht="12.75" customHeight="1" x14ac:dyDescent="0.2">
      <c r="B12413" s="43"/>
    </row>
    <row r="12414" spans="2:2" ht="12.75" customHeight="1" x14ac:dyDescent="0.2">
      <c r="B12414" s="43"/>
    </row>
    <row r="12415" spans="2:2" ht="12.75" customHeight="1" x14ac:dyDescent="0.2">
      <c r="B12415" s="43"/>
    </row>
    <row r="12416" spans="2:2" ht="12.75" customHeight="1" x14ac:dyDescent="0.2">
      <c r="B12416" s="43"/>
    </row>
    <row r="12417" spans="2:2" ht="12.75" customHeight="1" x14ac:dyDescent="0.2">
      <c r="B12417" s="43"/>
    </row>
    <row r="12418" spans="2:2" ht="12.75" customHeight="1" x14ac:dyDescent="0.2">
      <c r="B12418" s="43"/>
    </row>
    <row r="12419" spans="2:2" ht="12.75" customHeight="1" x14ac:dyDescent="0.2">
      <c r="B12419" s="43"/>
    </row>
    <row r="12420" spans="2:2" ht="12.75" customHeight="1" x14ac:dyDescent="0.2">
      <c r="B12420" s="43"/>
    </row>
    <row r="12421" spans="2:2" ht="12.75" customHeight="1" x14ac:dyDescent="0.2">
      <c r="B12421" s="43"/>
    </row>
    <row r="12422" spans="2:2" ht="12.75" customHeight="1" x14ac:dyDescent="0.2">
      <c r="B12422" s="43"/>
    </row>
    <row r="12423" spans="2:2" ht="12.75" customHeight="1" x14ac:dyDescent="0.2">
      <c r="B12423" s="43"/>
    </row>
    <row r="12424" spans="2:2" ht="12.75" customHeight="1" x14ac:dyDescent="0.2">
      <c r="B12424" s="43"/>
    </row>
    <row r="12425" spans="2:2" ht="12.75" customHeight="1" x14ac:dyDescent="0.2">
      <c r="B12425" s="43"/>
    </row>
    <row r="12426" spans="2:2" ht="12.75" customHeight="1" x14ac:dyDescent="0.2">
      <c r="B12426" s="43"/>
    </row>
    <row r="12427" spans="2:2" ht="12.75" customHeight="1" x14ac:dyDescent="0.2">
      <c r="B12427" s="43"/>
    </row>
    <row r="12428" spans="2:2" ht="12.75" customHeight="1" x14ac:dyDescent="0.2">
      <c r="B12428" s="43"/>
    </row>
    <row r="12429" spans="2:2" ht="12.75" customHeight="1" x14ac:dyDescent="0.2">
      <c r="B12429" s="43"/>
    </row>
    <row r="12430" spans="2:2" ht="12.75" customHeight="1" x14ac:dyDescent="0.2">
      <c r="B12430" s="43"/>
    </row>
    <row r="12431" spans="2:2" ht="12.75" customHeight="1" x14ac:dyDescent="0.2">
      <c r="B12431" s="43"/>
    </row>
    <row r="12432" spans="2:2" ht="12.75" customHeight="1" x14ac:dyDescent="0.2">
      <c r="B12432" s="43"/>
    </row>
    <row r="12433" spans="2:2" ht="12.75" customHeight="1" x14ac:dyDescent="0.2">
      <c r="B12433" s="43"/>
    </row>
    <row r="12434" spans="2:2" ht="12.75" customHeight="1" x14ac:dyDescent="0.2">
      <c r="B12434" s="43"/>
    </row>
    <row r="12435" spans="2:2" ht="12.75" customHeight="1" x14ac:dyDescent="0.2">
      <c r="B12435" s="43"/>
    </row>
    <row r="12436" spans="2:2" ht="12.75" customHeight="1" x14ac:dyDescent="0.2">
      <c r="B12436" s="43"/>
    </row>
    <row r="12437" spans="2:2" ht="12.75" customHeight="1" x14ac:dyDescent="0.2">
      <c r="B12437" s="43"/>
    </row>
    <row r="12438" spans="2:2" ht="12.75" customHeight="1" x14ac:dyDescent="0.2">
      <c r="B12438" s="43"/>
    </row>
    <row r="12439" spans="2:2" ht="12.75" customHeight="1" x14ac:dyDescent="0.2">
      <c r="B12439" s="43"/>
    </row>
    <row r="12440" spans="2:2" ht="12.75" customHeight="1" x14ac:dyDescent="0.2">
      <c r="B12440" s="43"/>
    </row>
    <row r="12441" spans="2:2" ht="12.75" customHeight="1" x14ac:dyDescent="0.2">
      <c r="B12441" s="43"/>
    </row>
    <row r="12442" spans="2:2" ht="12.75" customHeight="1" x14ac:dyDescent="0.2">
      <c r="B12442" s="43"/>
    </row>
    <row r="12443" spans="2:2" ht="12.75" customHeight="1" x14ac:dyDescent="0.2">
      <c r="B12443" s="43"/>
    </row>
    <row r="12444" spans="2:2" ht="12.75" customHeight="1" x14ac:dyDescent="0.2">
      <c r="B12444" s="43"/>
    </row>
    <row r="12445" spans="2:2" ht="12.75" customHeight="1" x14ac:dyDescent="0.2">
      <c r="B12445" s="43"/>
    </row>
    <row r="12446" spans="2:2" ht="12.75" customHeight="1" x14ac:dyDescent="0.2">
      <c r="B12446" s="43"/>
    </row>
    <row r="12447" spans="2:2" ht="12.75" customHeight="1" x14ac:dyDescent="0.2">
      <c r="B12447" s="43"/>
    </row>
    <row r="12448" spans="2:2" ht="12.75" customHeight="1" x14ac:dyDescent="0.2">
      <c r="B12448" s="43"/>
    </row>
    <row r="12449" spans="2:2" ht="12.75" customHeight="1" x14ac:dyDescent="0.2">
      <c r="B12449" s="43"/>
    </row>
    <row r="12450" spans="2:2" ht="12.75" customHeight="1" x14ac:dyDescent="0.2">
      <c r="B12450" s="43"/>
    </row>
    <row r="12451" spans="2:2" ht="12.75" customHeight="1" x14ac:dyDescent="0.2">
      <c r="B12451" s="43"/>
    </row>
    <row r="12452" spans="2:2" ht="12.75" customHeight="1" x14ac:dyDescent="0.2">
      <c r="B12452" s="43"/>
    </row>
    <row r="12453" spans="2:2" ht="12.75" customHeight="1" x14ac:dyDescent="0.2">
      <c r="B12453" s="43"/>
    </row>
    <row r="12454" spans="2:2" ht="12.75" customHeight="1" x14ac:dyDescent="0.2">
      <c r="B12454" s="43"/>
    </row>
    <row r="12455" spans="2:2" ht="12.75" customHeight="1" x14ac:dyDescent="0.2">
      <c r="B12455" s="43"/>
    </row>
    <row r="12456" spans="2:2" ht="12.75" customHeight="1" x14ac:dyDescent="0.2">
      <c r="B12456" s="43"/>
    </row>
    <row r="12457" spans="2:2" ht="12.75" customHeight="1" x14ac:dyDescent="0.2">
      <c r="B12457" s="43"/>
    </row>
    <row r="12458" spans="2:2" ht="12.75" customHeight="1" x14ac:dyDescent="0.2">
      <c r="B12458" s="43"/>
    </row>
    <row r="12459" spans="2:2" ht="12.75" customHeight="1" x14ac:dyDescent="0.2">
      <c r="B12459" s="43"/>
    </row>
    <row r="12460" spans="2:2" ht="12.75" customHeight="1" x14ac:dyDescent="0.2">
      <c r="B12460" s="43"/>
    </row>
    <row r="12461" spans="2:2" ht="12.75" customHeight="1" x14ac:dyDescent="0.2">
      <c r="B12461" s="43"/>
    </row>
    <row r="12462" spans="2:2" ht="12.75" customHeight="1" x14ac:dyDescent="0.2">
      <c r="B12462" s="43"/>
    </row>
    <row r="12463" spans="2:2" ht="12.75" customHeight="1" x14ac:dyDescent="0.2">
      <c r="B12463" s="43"/>
    </row>
    <row r="12464" spans="2:2" ht="12.75" customHeight="1" x14ac:dyDescent="0.2">
      <c r="B12464" s="43"/>
    </row>
    <row r="12465" spans="2:2" ht="12.75" customHeight="1" x14ac:dyDescent="0.2">
      <c r="B12465" s="43"/>
    </row>
    <row r="12466" spans="2:2" ht="12.75" customHeight="1" x14ac:dyDescent="0.2">
      <c r="B12466" s="43"/>
    </row>
    <row r="12467" spans="2:2" ht="12.75" customHeight="1" x14ac:dyDescent="0.2">
      <c r="B12467" s="43"/>
    </row>
    <row r="12468" spans="2:2" ht="12.75" customHeight="1" x14ac:dyDescent="0.2">
      <c r="B12468" s="43"/>
    </row>
    <row r="12469" spans="2:2" ht="12.75" customHeight="1" x14ac:dyDescent="0.2">
      <c r="B12469" s="43"/>
    </row>
    <row r="12470" spans="2:2" ht="12.75" customHeight="1" x14ac:dyDescent="0.2">
      <c r="B12470" s="43"/>
    </row>
    <row r="12471" spans="2:2" ht="12.75" customHeight="1" x14ac:dyDescent="0.2">
      <c r="B12471" s="43"/>
    </row>
    <row r="12472" spans="2:2" ht="12.75" customHeight="1" x14ac:dyDescent="0.2">
      <c r="B12472" s="43"/>
    </row>
    <row r="12473" spans="2:2" ht="12.75" customHeight="1" x14ac:dyDescent="0.2">
      <c r="B12473" s="43"/>
    </row>
    <row r="12474" spans="2:2" ht="12.75" customHeight="1" x14ac:dyDescent="0.2">
      <c r="B12474" s="43"/>
    </row>
    <row r="12475" spans="2:2" ht="12.75" customHeight="1" x14ac:dyDescent="0.2">
      <c r="B12475" s="43"/>
    </row>
    <row r="12476" spans="2:2" ht="12.75" customHeight="1" x14ac:dyDescent="0.2">
      <c r="B12476" s="43"/>
    </row>
    <row r="12477" spans="2:2" ht="12.75" customHeight="1" x14ac:dyDescent="0.2">
      <c r="B12477" s="43"/>
    </row>
    <row r="12478" spans="2:2" ht="12.75" customHeight="1" x14ac:dyDescent="0.2">
      <c r="B12478" s="43"/>
    </row>
    <row r="12479" spans="2:2" ht="12.75" customHeight="1" x14ac:dyDescent="0.2">
      <c r="B12479" s="43"/>
    </row>
    <row r="12480" spans="2:2" ht="12.75" customHeight="1" x14ac:dyDescent="0.2">
      <c r="B12480" s="43"/>
    </row>
    <row r="12481" spans="2:2" ht="12.75" customHeight="1" x14ac:dyDescent="0.2">
      <c r="B12481" s="43"/>
    </row>
    <row r="12482" spans="2:2" ht="12.75" customHeight="1" x14ac:dyDescent="0.2">
      <c r="B12482" s="43"/>
    </row>
    <row r="12483" spans="2:2" ht="12.75" customHeight="1" x14ac:dyDescent="0.2">
      <c r="B12483" s="43"/>
    </row>
    <row r="12484" spans="2:2" ht="12.75" customHeight="1" x14ac:dyDescent="0.2">
      <c r="B12484" s="43"/>
    </row>
    <row r="12485" spans="2:2" ht="12.75" customHeight="1" x14ac:dyDescent="0.2">
      <c r="B12485" s="43"/>
    </row>
    <row r="12486" spans="2:2" ht="12.75" customHeight="1" x14ac:dyDescent="0.2">
      <c r="B12486" s="43"/>
    </row>
    <row r="12487" spans="2:2" ht="12.75" customHeight="1" x14ac:dyDescent="0.2">
      <c r="B12487" s="43"/>
    </row>
    <row r="12488" spans="2:2" ht="12.75" customHeight="1" x14ac:dyDescent="0.2">
      <c r="B12488" s="43"/>
    </row>
    <row r="12489" spans="2:2" ht="12.75" customHeight="1" x14ac:dyDescent="0.2">
      <c r="B12489" s="43"/>
    </row>
    <row r="12490" spans="2:2" ht="12.75" customHeight="1" x14ac:dyDescent="0.2">
      <c r="B12490" s="43"/>
    </row>
    <row r="12491" spans="2:2" ht="12.75" customHeight="1" x14ac:dyDescent="0.2">
      <c r="B12491" s="43"/>
    </row>
    <row r="12492" spans="2:2" ht="12.75" customHeight="1" x14ac:dyDescent="0.2">
      <c r="B12492" s="43"/>
    </row>
    <row r="12493" spans="2:2" ht="12.75" customHeight="1" x14ac:dyDescent="0.2">
      <c r="B12493" s="43"/>
    </row>
    <row r="12494" spans="2:2" ht="12.75" customHeight="1" x14ac:dyDescent="0.2">
      <c r="B12494" s="43"/>
    </row>
    <row r="12495" spans="2:2" ht="12.75" customHeight="1" x14ac:dyDescent="0.2">
      <c r="B12495" s="43"/>
    </row>
    <row r="12496" spans="2:2" ht="12.75" customHeight="1" x14ac:dyDescent="0.2">
      <c r="B12496" s="43"/>
    </row>
    <row r="12497" spans="2:2" ht="12.75" customHeight="1" x14ac:dyDescent="0.2">
      <c r="B12497" s="43"/>
    </row>
    <row r="12498" spans="2:2" ht="12.75" customHeight="1" x14ac:dyDescent="0.2">
      <c r="B12498" s="43"/>
    </row>
    <row r="12499" spans="2:2" ht="12.75" customHeight="1" x14ac:dyDescent="0.2">
      <c r="B12499" s="43"/>
    </row>
    <row r="12500" spans="2:2" ht="12.75" customHeight="1" x14ac:dyDescent="0.2">
      <c r="B12500" s="43"/>
    </row>
    <row r="12501" spans="2:2" ht="12.75" customHeight="1" x14ac:dyDescent="0.2">
      <c r="B12501" s="43"/>
    </row>
    <row r="12502" spans="2:2" ht="12.75" customHeight="1" x14ac:dyDescent="0.2">
      <c r="B12502" s="43"/>
    </row>
    <row r="12503" spans="2:2" ht="12.75" customHeight="1" x14ac:dyDescent="0.2">
      <c r="B12503" s="43"/>
    </row>
    <row r="12504" spans="2:2" ht="12.75" customHeight="1" x14ac:dyDescent="0.2">
      <c r="B12504" s="43"/>
    </row>
    <row r="12505" spans="2:2" ht="12.75" customHeight="1" x14ac:dyDescent="0.2">
      <c r="B12505" s="43"/>
    </row>
    <row r="12506" spans="2:2" ht="12.75" customHeight="1" x14ac:dyDescent="0.2">
      <c r="B12506" s="43"/>
    </row>
    <row r="12507" spans="2:2" ht="12.75" customHeight="1" x14ac:dyDescent="0.2">
      <c r="B12507" s="43"/>
    </row>
    <row r="12508" spans="2:2" ht="12.75" customHeight="1" x14ac:dyDescent="0.2">
      <c r="B12508" s="43"/>
    </row>
    <row r="12509" spans="2:2" ht="12.75" customHeight="1" x14ac:dyDescent="0.2">
      <c r="B12509" s="43"/>
    </row>
    <row r="12510" spans="2:2" ht="12.75" customHeight="1" x14ac:dyDescent="0.2">
      <c r="B12510" s="43"/>
    </row>
    <row r="12511" spans="2:2" ht="12.75" customHeight="1" x14ac:dyDescent="0.2">
      <c r="B12511" s="43"/>
    </row>
    <row r="12512" spans="2:2" ht="12.75" customHeight="1" x14ac:dyDescent="0.2">
      <c r="B12512" s="43"/>
    </row>
    <row r="12513" spans="2:2" ht="12.75" customHeight="1" x14ac:dyDescent="0.2">
      <c r="B12513" s="43"/>
    </row>
    <row r="12514" spans="2:2" ht="12.75" customHeight="1" x14ac:dyDescent="0.2">
      <c r="B12514" s="43"/>
    </row>
    <row r="12515" spans="2:2" ht="12.75" customHeight="1" x14ac:dyDescent="0.2">
      <c r="B12515" s="43"/>
    </row>
    <row r="12516" spans="2:2" ht="12.75" customHeight="1" x14ac:dyDescent="0.2">
      <c r="B12516" s="43"/>
    </row>
    <row r="12517" spans="2:2" ht="12.75" customHeight="1" x14ac:dyDescent="0.2">
      <c r="B12517" s="43"/>
    </row>
    <row r="12518" spans="2:2" ht="12.75" customHeight="1" x14ac:dyDescent="0.2">
      <c r="B12518" s="43"/>
    </row>
    <row r="12519" spans="2:2" ht="12.75" customHeight="1" x14ac:dyDescent="0.2">
      <c r="B12519" s="43"/>
    </row>
    <row r="12520" spans="2:2" ht="12.75" customHeight="1" x14ac:dyDescent="0.2">
      <c r="B12520" s="43"/>
    </row>
    <row r="12521" spans="2:2" ht="12.75" customHeight="1" x14ac:dyDescent="0.2">
      <c r="B12521" s="43"/>
    </row>
    <row r="12522" spans="2:2" ht="12.75" customHeight="1" x14ac:dyDescent="0.2">
      <c r="B12522" s="43"/>
    </row>
    <row r="12523" spans="2:2" ht="12.75" customHeight="1" x14ac:dyDescent="0.2">
      <c r="B12523" s="43"/>
    </row>
    <row r="12524" spans="2:2" ht="12.75" customHeight="1" x14ac:dyDescent="0.2">
      <c r="B12524" s="43"/>
    </row>
    <row r="12525" spans="2:2" ht="12.75" customHeight="1" x14ac:dyDescent="0.2">
      <c r="B12525" s="43"/>
    </row>
    <row r="12526" spans="2:2" ht="12.75" customHeight="1" x14ac:dyDescent="0.2">
      <c r="B12526" s="43"/>
    </row>
    <row r="12527" spans="2:2" ht="12.75" customHeight="1" x14ac:dyDescent="0.2">
      <c r="B12527" s="43"/>
    </row>
    <row r="12528" spans="2:2" ht="12.75" customHeight="1" x14ac:dyDescent="0.2">
      <c r="B12528" s="43"/>
    </row>
    <row r="12529" spans="2:2" ht="12.75" customHeight="1" x14ac:dyDescent="0.2">
      <c r="B12529" s="43"/>
    </row>
    <row r="12530" spans="2:2" ht="12.75" customHeight="1" x14ac:dyDescent="0.2">
      <c r="B12530" s="43"/>
    </row>
    <row r="12531" spans="2:2" ht="12.75" customHeight="1" x14ac:dyDescent="0.2">
      <c r="B12531" s="43"/>
    </row>
    <row r="12532" spans="2:2" ht="12.75" customHeight="1" x14ac:dyDescent="0.2">
      <c r="B12532" s="43"/>
    </row>
    <row r="12533" spans="2:2" ht="12.75" customHeight="1" x14ac:dyDescent="0.2">
      <c r="B12533" s="43"/>
    </row>
    <row r="12534" spans="2:2" ht="12.75" customHeight="1" x14ac:dyDescent="0.2">
      <c r="B12534" s="43"/>
    </row>
    <row r="12535" spans="2:2" ht="12.75" customHeight="1" x14ac:dyDescent="0.2">
      <c r="B12535" s="43"/>
    </row>
    <row r="12536" spans="2:2" ht="12.75" customHeight="1" x14ac:dyDescent="0.2">
      <c r="B12536" s="43"/>
    </row>
    <row r="12537" spans="2:2" ht="12.75" customHeight="1" x14ac:dyDescent="0.2">
      <c r="B12537" s="43"/>
    </row>
    <row r="12538" spans="2:2" ht="12.75" customHeight="1" x14ac:dyDescent="0.2">
      <c r="B12538" s="43"/>
    </row>
    <row r="12539" spans="2:2" ht="12.75" customHeight="1" x14ac:dyDescent="0.2">
      <c r="B12539" s="43"/>
    </row>
    <row r="12540" spans="2:2" ht="12.75" customHeight="1" x14ac:dyDescent="0.2">
      <c r="B12540" s="43"/>
    </row>
    <row r="12541" spans="2:2" ht="12.75" customHeight="1" x14ac:dyDescent="0.2">
      <c r="B12541" s="43"/>
    </row>
    <row r="12542" spans="2:2" ht="12.75" customHeight="1" x14ac:dyDescent="0.2">
      <c r="B12542" s="43"/>
    </row>
    <row r="12543" spans="2:2" ht="12.75" customHeight="1" x14ac:dyDescent="0.2">
      <c r="B12543" s="43"/>
    </row>
    <row r="12544" spans="2:2" ht="12.75" customHeight="1" x14ac:dyDescent="0.2">
      <c r="B12544" s="43"/>
    </row>
    <row r="12545" spans="2:2" ht="12.75" customHeight="1" x14ac:dyDescent="0.2">
      <c r="B12545" s="43"/>
    </row>
    <row r="12546" spans="2:2" ht="12.75" customHeight="1" x14ac:dyDescent="0.2">
      <c r="B12546" s="43"/>
    </row>
    <row r="12547" spans="2:2" ht="12.75" customHeight="1" x14ac:dyDescent="0.2">
      <c r="B12547" s="43"/>
    </row>
    <row r="12548" spans="2:2" ht="12.75" customHeight="1" x14ac:dyDescent="0.2">
      <c r="B12548" s="43"/>
    </row>
    <row r="12549" spans="2:2" ht="12.75" customHeight="1" x14ac:dyDescent="0.2">
      <c r="B12549" s="43"/>
    </row>
    <row r="12550" spans="2:2" ht="12.75" customHeight="1" x14ac:dyDescent="0.2">
      <c r="B12550" s="43"/>
    </row>
    <row r="12551" spans="2:2" ht="12.75" customHeight="1" x14ac:dyDescent="0.2">
      <c r="B12551" s="43"/>
    </row>
    <row r="12552" spans="2:2" ht="12.75" customHeight="1" x14ac:dyDescent="0.2">
      <c r="B12552" s="43"/>
    </row>
    <row r="12553" spans="2:2" ht="12.75" customHeight="1" x14ac:dyDescent="0.2">
      <c r="B12553" s="43"/>
    </row>
    <row r="12554" spans="2:2" ht="12.75" customHeight="1" x14ac:dyDescent="0.2">
      <c r="B12554" s="43"/>
    </row>
    <row r="12555" spans="2:2" ht="12.75" customHeight="1" x14ac:dyDescent="0.2">
      <c r="B12555" s="43"/>
    </row>
    <row r="12556" spans="2:2" ht="12.75" customHeight="1" x14ac:dyDescent="0.2">
      <c r="B12556" s="43"/>
    </row>
    <row r="12557" spans="2:2" ht="12.75" customHeight="1" x14ac:dyDescent="0.2">
      <c r="B12557" s="43"/>
    </row>
    <row r="12558" spans="2:2" ht="12.75" customHeight="1" x14ac:dyDescent="0.2">
      <c r="B12558" s="43"/>
    </row>
    <row r="12559" spans="2:2" ht="12.75" customHeight="1" x14ac:dyDescent="0.2">
      <c r="B12559" s="43"/>
    </row>
    <row r="12560" spans="2:2" ht="12.75" customHeight="1" x14ac:dyDescent="0.2">
      <c r="B12560" s="43"/>
    </row>
    <row r="12561" spans="2:2" ht="12.75" customHeight="1" x14ac:dyDescent="0.2">
      <c r="B12561" s="43"/>
    </row>
    <row r="12562" spans="2:2" ht="12.75" customHeight="1" x14ac:dyDescent="0.2">
      <c r="B12562" s="43"/>
    </row>
    <row r="12563" spans="2:2" ht="12.75" customHeight="1" x14ac:dyDescent="0.2">
      <c r="B12563" s="43"/>
    </row>
    <row r="12564" spans="2:2" ht="12.75" customHeight="1" x14ac:dyDescent="0.2">
      <c r="B12564" s="43"/>
    </row>
    <row r="12565" spans="2:2" ht="12.75" customHeight="1" x14ac:dyDescent="0.2">
      <c r="B12565" s="43"/>
    </row>
    <row r="12566" spans="2:2" ht="12.75" customHeight="1" x14ac:dyDescent="0.2">
      <c r="B12566" s="43"/>
    </row>
    <row r="12567" spans="2:2" ht="12.75" customHeight="1" x14ac:dyDescent="0.2">
      <c r="B12567" s="43"/>
    </row>
    <row r="12568" spans="2:2" ht="12.75" customHeight="1" x14ac:dyDescent="0.2">
      <c r="B12568" s="43"/>
    </row>
    <row r="12569" spans="2:2" ht="12.75" customHeight="1" x14ac:dyDescent="0.2">
      <c r="B12569" s="43"/>
    </row>
    <row r="12570" spans="2:2" ht="12.75" customHeight="1" x14ac:dyDescent="0.2">
      <c r="B12570" s="43"/>
    </row>
    <row r="12571" spans="2:2" ht="12.75" customHeight="1" x14ac:dyDescent="0.2">
      <c r="B12571" s="43"/>
    </row>
    <row r="12572" spans="2:2" ht="12.75" customHeight="1" x14ac:dyDescent="0.2">
      <c r="B12572" s="43"/>
    </row>
    <row r="12573" spans="2:2" ht="12.75" customHeight="1" x14ac:dyDescent="0.2">
      <c r="B12573" s="43"/>
    </row>
    <row r="12574" spans="2:2" ht="12.75" customHeight="1" x14ac:dyDescent="0.2">
      <c r="B12574" s="43"/>
    </row>
    <row r="12575" spans="2:2" ht="12.75" customHeight="1" x14ac:dyDescent="0.2">
      <c r="B12575" s="43"/>
    </row>
    <row r="12576" spans="2:2" ht="12.75" customHeight="1" x14ac:dyDescent="0.2">
      <c r="B12576" s="43"/>
    </row>
    <row r="12577" spans="2:2" ht="12.75" customHeight="1" x14ac:dyDescent="0.2">
      <c r="B12577" s="43"/>
    </row>
    <row r="12578" spans="2:2" ht="12.75" customHeight="1" x14ac:dyDescent="0.2">
      <c r="B12578" s="43"/>
    </row>
    <row r="12579" spans="2:2" ht="12.75" customHeight="1" x14ac:dyDescent="0.2">
      <c r="B12579" s="43"/>
    </row>
    <row r="12580" spans="2:2" ht="12.75" customHeight="1" x14ac:dyDescent="0.2">
      <c r="B12580" s="43"/>
    </row>
    <row r="12581" spans="2:2" ht="12.75" customHeight="1" x14ac:dyDescent="0.2">
      <c r="B12581" s="43"/>
    </row>
    <row r="12582" spans="2:2" ht="12.75" customHeight="1" x14ac:dyDescent="0.2">
      <c r="B12582" s="43"/>
    </row>
    <row r="12583" spans="2:2" ht="12.75" customHeight="1" x14ac:dyDescent="0.2">
      <c r="B12583" s="43"/>
    </row>
    <row r="12584" spans="2:2" ht="12.75" customHeight="1" x14ac:dyDescent="0.2">
      <c r="B12584" s="43"/>
    </row>
    <row r="12585" spans="2:2" ht="12.75" customHeight="1" x14ac:dyDescent="0.2">
      <c r="B12585" s="43"/>
    </row>
    <row r="12586" spans="2:2" ht="12.75" customHeight="1" x14ac:dyDescent="0.2">
      <c r="B12586" s="43"/>
    </row>
    <row r="12587" spans="2:2" ht="12.75" customHeight="1" x14ac:dyDescent="0.2">
      <c r="B12587" s="43"/>
    </row>
    <row r="12588" spans="2:2" ht="12.75" customHeight="1" x14ac:dyDescent="0.2">
      <c r="B12588" s="43"/>
    </row>
    <row r="12589" spans="2:2" ht="12.75" customHeight="1" x14ac:dyDescent="0.2">
      <c r="B12589" s="43"/>
    </row>
    <row r="12590" spans="2:2" ht="12.75" customHeight="1" x14ac:dyDescent="0.2">
      <c r="B12590" s="43"/>
    </row>
    <row r="12591" spans="2:2" ht="12.75" customHeight="1" x14ac:dyDescent="0.2">
      <c r="B12591" s="43"/>
    </row>
    <row r="12592" spans="2:2" ht="12.75" customHeight="1" x14ac:dyDescent="0.2">
      <c r="B12592" s="43"/>
    </row>
    <row r="12593" spans="2:2" ht="12.75" customHeight="1" x14ac:dyDescent="0.2">
      <c r="B12593" s="43"/>
    </row>
    <row r="12594" spans="2:2" ht="12.75" customHeight="1" x14ac:dyDescent="0.2">
      <c r="B12594" s="43"/>
    </row>
    <row r="12595" spans="2:2" ht="12.75" customHeight="1" x14ac:dyDescent="0.2">
      <c r="B12595" s="43"/>
    </row>
    <row r="12596" spans="2:2" ht="12.75" customHeight="1" x14ac:dyDescent="0.2">
      <c r="B12596" s="43"/>
    </row>
    <row r="12597" spans="2:2" ht="12.75" customHeight="1" x14ac:dyDescent="0.2">
      <c r="B12597" s="43"/>
    </row>
    <row r="12598" spans="2:2" ht="12.75" customHeight="1" x14ac:dyDescent="0.2">
      <c r="B12598" s="43"/>
    </row>
    <row r="12599" spans="2:2" ht="12.75" customHeight="1" x14ac:dyDescent="0.2">
      <c r="B12599" s="43"/>
    </row>
    <row r="12600" spans="2:2" ht="12.75" customHeight="1" x14ac:dyDescent="0.2">
      <c r="B12600" s="43"/>
    </row>
    <row r="12601" spans="2:2" ht="12.75" customHeight="1" x14ac:dyDescent="0.2">
      <c r="B12601" s="43"/>
    </row>
    <row r="12602" spans="2:2" ht="12.75" customHeight="1" x14ac:dyDescent="0.2">
      <c r="B12602" s="43"/>
    </row>
    <row r="12603" spans="2:2" ht="12.75" customHeight="1" x14ac:dyDescent="0.2">
      <c r="B12603" s="43"/>
    </row>
    <row r="12604" spans="2:2" ht="12.75" customHeight="1" x14ac:dyDescent="0.2">
      <c r="B12604" s="43"/>
    </row>
    <row r="12605" spans="2:2" ht="12.75" customHeight="1" x14ac:dyDescent="0.2">
      <c r="B12605" s="43"/>
    </row>
    <row r="12606" spans="2:2" ht="12.75" customHeight="1" x14ac:dyDescent="0.2">
      <c r="B12606" s="43"/>
    </row>
    <row r="12607" spans="2:2" ht="12.75" customHeight="1" x14ac:dyDescent="0.2">
      <c r="B12607" s="43"/>
    </row>
    <row r="12608" spans="2:2" ht="12.75" customHeight="1" x14ac:dyDescent="0.2">
      <c r="B12608" s="43"/>
    </row>
    <row r="12609" spans="2:2" ht="12.75" customHeight="1" x14ac:dyDescent="0.2">
      <c r="B12609" s="43"/>
    </row>
    <row r="12610" spans="2:2" ht="12.75" customHeight="1" x14ac:dyDescent="0.2">
      <c r="B12610" s="43"/>
    </row>
    <row r="12611" spans="2:2" ht="12.75" customHeight="1" x14ac:dyDescent="0.2">
      <c r="B12611" s="43"/>
    </row>
    <row r="12612" spans="2:2" ht="12.75" customHeight="1" x14ac:dyDescent="0.2">
      <c r="B12612" s="43"/>
    </row>
    <row r="12613" spans="2:2" ht="12.75" customHeight="1" x14ac:dyDescent="0.2">
      <c r="B12613" s="43"/>
    </row>
    <row r="12614" spans="2:2" ht="12.75" customHeight="1" x14ac:dyDescent="0.2">
      <c r="B12614" s="43"/>
    </row>
    <row r="12615" spans="2:2" ht="12.75" customHeight="1" x14ac:dyDescent="0.2">
      <c r="B12615" s="43"/>
    </row>
    <row r="12616" spans="2:2" ht="12.75" customHeight="1" x14ac:dyDescent="0.2">
      <c r="B12616" s="43"/>
    </row>
    <row r="12617" spans="2:2" ht="12.75" customHeight="1" x14ac:dyDescent="0.2">
      <c r="B12617" s="43"/>
    </row>
    <row r="12618" spans="2:2" ht="12.75" customHeight="1" x14ac:dyDescent="0.2">
      <c r="B12618" s="43"/>
    </row>
    <row r="12619" spans="2:2" ht="12.75" customHeight="1" x14ac:dyDescent="0.2">
      <c r="B12619" s="43"/>
    </row>
    <row r="12620" spans="2:2" ht="12.75" customHeight="1" x14ac:dyDescent="0.2">
      <c r="B12620" s="43"/>
    </row>
    <row r="12621" spans="2:2" ht="12.75" customHeight="1" x14ac:dyDescent="0.2">
      <c r="B12621" s="43"/>
    </row>
    <row r="12622" spans="2:2" ht="12.75" customHeight="1" x14ac:dyDescent="0.2">
      <c r="B12622" s="43"/>
    </row>
    <row r="12623" spans="2:2" ht="12.75" customHeight="1" x14ac:dyDescent="0.2">
      <c r="B12623" s="43"/>
    </row>
    <row r="12624" spans="2:2" ht="12.75" customHeight="1" x14ac:dyDescent="0.2">
      <c r="B12624" s="43"/>
    </row>
    <row r="12625" spans="2:2" ht="12.75" customHeight="1" x14ac:dyDescent="0.2">
      <c r="B12625" s="43"/>
    </row>
    <row r="12626" spans="2:2" ht="12.75" customHeight="1" x14ac:dyDescent="0.2">
      <c r="B12626" s="43"/>
    </row>
    <row r="12627" spans="2:2" ht="12.75" customHeight="1" x14ac:dyDescent="0.2">
      <c r="B12627" s="43"/>
    </row>
    <row r="12628" spans="2:2" ht="12.75" customHeight="1" x14ac:dyDescent="0.2">
      <c r="B12628" s="43"/>
    </row>
    <row r="12629" spans="2:2" ht="12.75" customHeight="1" x14ac:dyDescent="0.2">
      <c r="B12629" s="43"/>
    </row>
    <row r="12630" spans="2:2" ht="12.75" customHeight="1" x14ac:dyDescent="0.2">
      <c r="B12630" s="43"/>
    </row>
    <row r="12631" spans="2:2" ht="12.75" customHeight="1" x14ac:dyDescent="0.2">
      <c r="B12631" s="43"/>
    </row>
    <row r="12632" spans="2:2" ht="12.75" customHeight="1" x14ac:dyDescent="0.2">
      <c r="B12632" s="43"/>
    </row>
    <row r="12633" spans="2:2" ht="12.75" customHeight="1" x14ac:dyDescent="0.2">
      <c r="B12633" s="43"/>
    </row>
    <row r="12634" spans="2:2" ht="12.75" customHeight="1" x14ac:dyDescent="0.2">
      <c r="B12634" s="43"/>
    </row>
    <row r="12635" spans="2:2" ht="12.75" customHeight="1" x14ac:dyDescent="0.2">
      <c r="B12635" s="43"/>
    </row>
    <row r="12636" spans="2:2" ht="12.75" customHeight="1" x14ac:dyDescent="0.2">
      <c r="B12636" s="43"/>
    </row>
    <row r="12637" spans="2:2" ht="12.75" customHeight="1" x14ac:dyDescent="0.2">
      <c r="B12637" s="43"/>
    </row>
    <row r="12638" spans="2:2" ht="12.75" customHeight="1" x14ac:dyDescent="0.2">
      <c r="B12638" s="43"/>
    </row>
    <row r="12639" spans="2:2" ht="12.75" customHeight="1" x14ac:dyDescent="0.2">
      <c r="B12639" s="43"/>
    </row>
    <row r="12640" spans="2:2" ht="12.75" customHeight="1" x14ac:dyDescent="0.2">
      <c r="B12640" s="43"/>
    </row>
    <row r="12641" spans="2:2" ht="12.75" customHeight="1" x14ac:dyDescent="0.2">
      <c r="B12641" s="43"/>
    </row>
    <row r="12642" spans="2:2" ht="12.75" customHeight="1" x14ac:dyDescent="0.2">
      <c r="B12642" s="43"/>
    </row>
    <row r="12643" spans="2:2" ht="12.75" customHeight="1" x14ac:dyDescent="0.2">
      <c r="B12643" s="43"/>
    </row>
    <row r="12644" spans="2:2" ht="12.75" customHeight="1" x14ac:dyDescent="0.2">
      <c r="B12644" s="43"/>
    </row>
    <row r="12645" spans="2:2" ht="12.75" customHeight="1" x14ac:dyDescent="0.2">
      <c r="B12645" s="43"/>
    </row>
    <row r="12646" spans="2:2" ht="12.75" customHeight="1" x14ac:dyDescent="0.2">
      <c r="B12646" s="43"/>
    </row>
    <row r="12647" spans="2:2" ht="12.75" customHeight="1" x14ac:dyDescent="0.2">
      <c r="B12647" s="43"/>
    </row>
    <row r="12648" spans="2:2" ht="12.75" customHeight="1" x14ac:dyDescent="0.2">
      <c r="B12648" s="43"/>
    </row>
    <row r="12649" spans="2:2" ht="12.75" customHeight="1" x14ac:dyDescent="0.2">
      <c r="B12649" s="43"/>
    </row>
    <row r="12650" spans="2:2" ht="12.75" customHeight="1" x14ac:dyDescent="0.2">
      <c r="B12650" s="43"/>
    </row>
    <row r="12651" spans="2:2" ht="12.75" customHeight="1" x14ac:dyDescent="0.2">
      <c r="B12651" s="43"/>
    </row>
    <row r="12652" spans="2:2" ht="12.75" customHeight="1" x14ac:dyDescent="0.2">
      <c r="B12652" s="43"/>
    </row>
    <row r="12653" spans="2:2" ht="12.75" customHeight="1" x14ac:dyDescent="0.2">
      <c r="B12653" s="43"/>
    </row>
    <row r="12654" spans="2:2" ht="12.75" customHeight="1" x14ac:dyDescent="0.2">
      <c r="B12654" s="43"/>
    </row>
    <row r="12655" spans="2:2" ht="12.75" customHeight="1" x14ac:dyDescent="0.2">
      <c r="B12655" s="43"/>
    </row>
    <row r="12656" spans="2:2" ht="12.75" customHeight="1" x14ac:dyDescent="0.2">
      <c r="B12656" s="43"/>
    </row>
    <row r="12657" spans="2:2" ht="12.75" customHeight="1" x14ac:dyDescent="0.2">
      <c r="B12657" s="43"/>
    </row>
    <row r="12658" spans="2:2" ht="12.75" customHeight="1" x14ac:dyDescent="0.2">
      <c r="B12658" s="43"/>
    </row>
    <row r="12659" spans="2:2" ht="12.75" customHeight="1" x14ac:dyDescent="0.2">
      <c r="B12659" s="43"/>
    </row>
    <row r="12660" spans="2:2" ht="12.75" customHeight="1" x14ac:dyDescent="0.2">
      <c r="B12660" s="43"/>
    </row>
    <row r="12661" spans="2:2" ht="12.75" customHeight="1" x14ac:dyDescent="0.2">
      <c r="B12661" s="43"/>
    </row>
    <row r="12662" spans="2:2" ht="12.75" customHeight="1" x14ac:dyDescent="0.2">
      <c r="B12662" s="43"/>
    </row>
    <row r="12663" spans="2:2" ht="12.75" customHeight="1" x14ac:dyDescent="0.2">
      <c r="B12663" s="43"/>
    </row>
    <row r="12664" spans="2:2" ht="12.75" customHeight="1" x14ac:dyDescent="0.2">
      <c r="B12664" s="43"/>
    </row>
    <row r="12665" spans="2:2" ht="12.75" customHeight="1" x14ac:dyDescent="0.2">
      <c r="B12665" s="43"/>
    </row>
    <row r="12666" spans="2:2" ht="12.75" customHeight="1" x14ac:dyDescent="0.2">
      <c r="B12666" s="43"/>
    </row>
    <row r="12667" spans="2:2" ht="12.75" customHeight="1" x14ac:dyDescent="0.2">
      <c r="B12667" s="43"/>
    </row>
    <row r="12668" spans="2:2" ht="12.75" customHeight="1" x14ac:dyDescent="0.2">
      <c r="B12668" s="43"/>
    </row>
    <row r="12669" spans="2:2" ht="12.75" customHeight="1" x14ac:dyDescent="0.2">
      <c r="B12669" s="43"/>
    </row>
    <row r="12670" spans="2:2" ht="12.75" customHeight="1" x14ac:dyDescent="0.2">
      <c r="B12670" s="43"/>
    </row>
    <row r="12671" spans="2:2" ht="12.75" customHeight="1" x14ac:dyDescent="0.2">
      <c r="B12671" s="43"/>
    </row>
    <row r="12672" spans="2:2" ht="12.75" customHeight="1" x14ac:dyDescent="0.2">
      <c r="B12672" s="43"/>
    </row>
    <row r="12673" spans="2:2" ht="12.75" customHeight="1" x14ac:dyDescent="0.2">
      <c r="B12673" s="43"/>
    </row>
    <row r="12674" spans="2:2" ht="12.75" customHeight="1" x14ac:dyDescent="0.2">
      <c r="B12674" s="43"/>
    </row>
    <row r="12675" spans="2:2" ht="12.75" customHeight="1" x14ac:dyDescent="0.2">
      <c r="B12675" s="43"/>
    </row>
    <row r="12676" spans="2:2" ht="12.75" customHeight="1" x14ac:dyDescent="0.2">
      <c r="B12676" s="43"/>
    </row>
    <row r="12677" spans="2:2" ht="12.75" customHeight="1" x14ac:dyDescent="0.2">
      <c r="B12677" s="43"/>
    </row>
    <row r="12678" spans="2:2" ht="12.75" customHeight="1" x14ac:dyDescent="0.2">
      <c r="B12678" s="43"/>
    </row>
    <row r="12679" spans="2:2" ht="12.75" customHeight="1" x14ac:dyDescent="0.2">
      <c r="B12679" s="43"/>
    </row>
    <row r="12680" spans="2:2" ht="12.75" customHeight="1" x14ac:dyDescent="0.2">
      <c r="B12680" s="43"/>
    </row>
    <row r="12681" spans="2:2" ht="12.75" customHeight="1" x14ac:dyDescent="0.2">
      <c r="B12681" s="43"/>
    </row>
    <row r="12682" spans="2:2" ht="12.75" customHeight="1" x14ac:dyDescent="0.2">
      <c r="B12682" s="43"/>
    </row>
    <row r="12683" spans="2:2" ht="12.75" customHeight="1" x14ac:dyDescent="0.2">
      <c r="B12683" s="43"/>
    </row>
    <row r="12684" spans="2:2" ht="12.75" customHeight="1" x14ac:dyDescent="0.2">
      <c r="B12684" s="43"/>
    </row>
    <row r="12685" spans="2:2" ht="12.75" customHeight="1" x14ac:dyDescent="0.2">
      <c r="B12685" s="43"/>
    </row>
    <row r="12686" spans="2:2" ht="12.75" customHeight="1" x14ac:dyDescent="0.2">
      <c r="B12686" s="43"/>
    </row>
    <row r="12687" spans="2:2" ht="12.75" customHeight="1" x14ac:dyDescent="0.2">
      <c r="B12687" s="43"/>
    </row>
    <row r="12688" spans="2:2" ht="12.75" customHeight="1" x14ac:dyDescent="0.2">
      <c r="B12688" s="43"/>
    </row>
    <row r="12689" spans="2:2" ht="12.75" customHeight="1" x14ac:dyDescent="0.2">
      <c r="B12689" s="43"/>
    </row>
    <row r="12690" spans="2:2" ht="12.75" customHeight="1" x14ac:dyDescent="0.2">
      <c r="B12690" s="43"/>
    </row>
    <row r="12691" spans="2:2" ht="12.75" customHeight="1" x14ac:dyDescent="0.2">
      <c r="B12691" s="43"/>
    </row>
    <row r="12692" spans="2:2" ht="12.75" customHeight="1" x14ac:dyDescent="0.2">
      <c r="B12692" s="43"/>
    </row>
    <row r="12693" spans="2:2" ht="12.75" customHeight="1" x14ac:dyDescent="0.2">
      <c r="B12693" s="43"/>
    </row>
    <row r="12694" spans="2:2" ht="12.75" customHeight="1" x14ac:dyDescent="0.2">
      <c r="B12694" s="43"/>
    </row>
    <row r="12695" spans="2:2" ht="12.75" customHeight="1" x14ac:dyDescent="0.2">
      <c r="B12695" s="43"/>
    </row>
    <row r="12696" spans="2:2" ht="12.75" customHeight="1" x14ac:dyDescent="0.2">
      <c r="B12696" s="43"/>
    </row>
    <row r="12697" spans="2:2" ht="12.75" customHeight="1" x14ac:dyDescent="0.2">
      <c r="B12697" s="43"/>
    </row>
    <row r="12698" spans="2:2" ht="12.75" customHeight="1" x14ac:dyDescent="0.2">
      <c r="B12698" s="43"/>
    </row>
    <row r="12699" spans="2:2" ht="12.75" customHeight="1" x14ac:dyDescent="0.2">
      <c r="B12699" s="43"/>
    </row>
    <row r="12700" spans="2:2" ht="12.75" customHeight="1" x14ac:dyDescent="0.2">
      <c r="B12700" s="43"/>
    </row>
    <row r="12701" spans="2:2" ht="12.75" customHeight="1" x14ac:dyDescent="0.2">
      <c r="B12701" s="43"/>
    </row>
    <row r="12702" spans="2:2" ht="12.75" customHeight="1" x14ac:dyDescent="0.2">
      <c r="B12702" s="43"/>
    </row>
    <row r="12703" spans="2:2" ht="12.75" customHeight="1" x14ac:dyDescent="0.2">
      <c r="B12703" s="43"/>
    </row>
    <row r="12704" spans="2:2" ht="12.75" customHeight="1" x14ac:dyDescent="0.2">
      <c r="B12704" s="43"/>
    </row>
    <row r="12705" spans="2:2" ht="12.75" customHeight="1" x14ac:dyDescent="0.2">
      <c r="B12705" s="43"/>
    </row>
    <row r="12706" spans="2:2" ht="12.75" customHeight="1" x14ac:dyDescent="0.2">
      <c r="B12706" s="43"/>
    </row>
    <row r="12707" spans="2:2" ht="12.75" customHeight="1" x14ac:dyDescent="0.2">
      <c r="B12707" s="43"/>
    </row>
    <row r="12708" spans="2:2" ht="12.75" customHeight="1" x14ac:dyDescent="0.2">
      <c r="B12708" s="43"/>
    </row>
    <row r="12709" spans="2:2" ht="12.75" customHeight="1" x14ac:dyDescent="0.2">
      <c r="B12709" s="43"/>
    </row>
    <row r="12710" spans="2:2" ht="12.75" customHeight="1" x14ac:dyDescent="0.2">
      <c r="B12710" s="43"/>
    </row>
    <row r="12711" spans="2:2" ht="12.75" customHeight="1" x14ac:dyDescent="0.2">
      <c r="B12711" s="43"/>
    </row>
    <row r="12712" spans="2:2" ht="12.75" customHeight="1" x14ac:dyDescent="0.2">
      <c r="B12712" s="43"/>
    </row>
    <row r="12713" spans="2:2" ht="12.75" customHeight="1" x14ac:dyDescent="0.2">
      <c r="B12713" s="43"/>
    </row>
    <row r="12714" spans="2:2" ht="12.75" customHeight="1" x14ac:dyDescent="0.2">
      <c r="B12714" s="43"/>
    </row>
    <row r="12715" spans="2:2" ht="12.75" customHeight="1" x14ac:dyDescent="0.2">
      <c r="B12715" s="43"/>
    </row>
    <row r="12716" spans="2:2" ht="12.75" customHeight="1" x14ac:dyDescent="0.2">
      <c r="B12716" s="43"/>
    </row>
    <row r="12717" spans="2:2" ht="12.75" customHeight="1" x14ac:dyDescent="0.2">
      <c r="B12717" s="43"/>
    </row>
    <row r="12718" spans="2:2" ht="12.75" customHeight="1" x14ac:dyDescent="0.2">
      <c r="B12718" s="43"/>
    </row>
    <row r="12719" spans="2:2" ht="12.75" customHeight="1" x14ac:dyDescent="0.2">
      <c r="B12719" s="43"/>
    </row>
    <row r="12720" spans="2:2" ht="12.75" customHeight="1" x14ac:dyDescent="0.2">
      <c r="B12720" s="43"/>
    </row>
    <row r="12721" spans="2:2" ht="12.75" customHeight="1" x14ac:dyDescent="0.2">
      <c r="B12721" s="43"/>
    </row>
    <row r="12722" spans="2:2" ht="12.75" customHeight="1" x14ac:dyDescent="0.2">
      <c r="B12722" s="43"/>
    </row>
    <row r="12723" spans="2:2" ht="12.75" customHeight="1" x14ac:dyDescent="0.2">
      <c r="B12723" s="43"/>
    </row>
    <row r="12724" spans="2:2" ht="12.75" customHeight="1" x14ac:dyDescent="0.2">
      <c r="B12724" s="43"/>
    </row>
    <row r="12725" spans="2:2" ht="12.75" customHeight="1" x14ac:dyDescent="0.2">
      <c r="B12725" s="43"/>
    </row>
    <row r="12726" spans="2:2" ht="12.75" customHeight="1" x14ac:dyDescent="0.2">
      <c r="B12726" s="43"/>
    </row>
    <row r="12727" spans="2:2" ht="12.75" customHeight="1" x14ac:dyDescent="0.2">
      <c r="B12727" s="43"/>
    </row>
    <row r="12728" spans="2:2" ht="12.75" customHeight="1" x14ac:dyDescent="0.2">
      <c r="B12728" s="43"/>
    </row>
    <row r="12729" spans="2:2" ht="12.75" customHeight="1" x14ac:dyDescent="0.2">
      <c r="B12729" s="43"/>
    </row>
    <row r="12730" spans="2:2" ht="12.75" customHeight="1" x14ac:dyDescent="0.2">
      <c r="B12730" s="43"/>
    </row>
    <row r="12731" spans="2:2" ht="12.75" customHeight="1" x14ac:dyDescent="0.2">
      <c r="B12731" s="43"/>
    </row>
    <row r="12732" spans="2:2" ht="12.75" customHeight="1" x14ac:dyDescent="0.2">
      <c r="B12732" s="43"/>
    </row>
    <row r="12733" spans="2:2" ht="12.75" customHeight="1" x14ac:dyDescent="0.2">
      <c r="B12733" s="43"/>
    </row>
    <row r="12734" spans="2:2" ht="12.75" customHeight="1" x14ac:dyDescent="0.2">
      <c r="B12734" s="43"/>
    </row>
    <row r="12735" spans="2:2" ht="12.75" customHeight="1" x14ac:dyDescent="0.2">
      <c r="B12735" s="43"/>
    </row>
    <row r="12736" spans="2:2" ht="12.75" customHeight="1" x14ac:dyDescent="0.2">
      <c r="B12736" s="43"/>
    </row>
    <row r="12737" spans="2:2" ht="12.75" customHeight="1" x14ac:dyDescent="0.2">
      <c r="B12737" s="43"/>
    </row>
    <row r="12738" spans="2:2" ht="12.75" customHeight="1" x14ac:dyDescent="0.2">
      <c r="B12738" s="43"/>
    </row>
    <row r="12739" spans="2:2" ht="12.75" customHeight="1" x14ac:dyDescent="0.2">
      <c r="B12739" s="43"/>
    </row>
    <row r="12740" spans="2:2" ht="12.75" customHeight="1" x14ac:dyDescent="0.2">
      <c r="B12740" s="43"/>
    </row>
    <row r="12741" spans="2:2" ht="12.75" customHeight="1" x14ac:dyDescent="0.2">
      <c r="B12741" s="43"/>
    </row>
    <row r="12742" spans="2:2" ht="12.75" customHeight="1" x14ac:dyDescent="0.2">
      <c r="B12742" s="43"/>
    </row>
    <row r="12743" spans="2:2" ht="12.75" customHeight="1" x14ac:dyDescent="0.2">
      <c r="B12743" s="43"/>
    </row>
    <row r="12744" spans="2:2" ht="12.75" customHeight="1" x14ac:dyDescent="0.2">
      <c r="B12744" s="43"/>
    </row>
    <row r="12745" spans="2:2" ht="12.75" customHeight="1" x14ac:dyDescent="0.2">
      <c r="B12745" s="43"/>
    </row>
    <row r="12746" spans="2:2" ht="12.75" customHeight="1" x14ac:dyDescent="0.2">
      <c r="B12746" s="43"/>
    </row>
    <row r="12747" spans="2:2" ht="12.75" customHeight="1" x14ac:dyDescent="0.2">
      <c r="B12747" s="43"/>
    </row>
    <row r="12748" spans="2:2" ht="12.75" customHeight="1" x14ac:dyDescent="0.2">
      <c r="B12748" s="43"/>
    </row>
    <row r="12749" spans="2:2" ht="12.75" customHeight="1" x14ac:dyDescent="0.2">
      <c r="B12749" s="43"/>
    </row>
    <row r="12750" spans="2:2" ht="12.75" customHeight="1" x14ac:dyDescent="0.2">
      <c r="B12750" s="43"/>
    </row>
    <row r="12751" spans="2:2" ht="12.75" customHeight="1" x14ac:dyDescent="0.2">
      <c r="B12751" s="43"/>
    </row>
    <row r="12752" spans="2:2" ht="12.75" customHeight="1" x14ac:dyDescent="0.2">
      <c r="B12752" s="43"/>
    </row>
    <row r="12753" spans="2:2" ht="12.75" customHeight="1" x14ac:dyDescent="0.2">
      <c r="B12753" s="43"/>
    </row>
    <row r="12754" spans="2:2" ht="12.75" customHeight="1" x14ac:dyDescent="0.2">
      <c r="B12754" s="43"/>
    </row>
    <row r="12755" spans="2:2" ht="12.75" customHeight="1" x14ac:dyDescent="0.2">
      <c r="B12755" s="43"/>
    </row>
    <row r="12756" spans="2:2" ht="12.75" customHeight="1" x14ac:dyDescent="0.2">
      <c r="B12756" s="43"/>
    </row>
    <row r="12757" spans="2:2" ht="12.75" customHeight="1" x14ac:dyDescent="0.2">
      <c r="B12757" s="43"/>
    </row>
    <row r="12758" spans="2:2" ht="12.75" customHeight="1" x14ac:dyDescent="0.2">
      <c r="B12758" s="43"/>
    </row>
    <row r="12759" spans="2:2" ht="12.75" customHeight="1" x14ac:dyDescent="0.2">
      <c r="B12759" s="43"/>
    </row>
    <row r="12760" spans="2:2" ht="12.75" customHeight="1" x14ac:dyDescent="0.2">
      <c r="B12760" s="43"/>
    </row>
    <row r="12761" spans="2:2" ht="12.75" customHeight="1" x14ac:dyDescent="0.2">
      <c r="B12761" s="43"/>
    </row>
    <row r="12762" spans="2:2" ht="12.75" customHeight="1" x14ac:dyDescent="0.2">
      <c r="B12762" s="43"/>
    </row>
    <row r="12763" spans="2:2" ht="12.75" customHeight="1" x14ac:dyDescent="0.2">
      <c r="B12763" s="43"/>
    </row>
    <row r="12764" spans="2:2" ht="12.75" customHeight="1" x14ac:dyDescent="0.2">
      <c r="B12764" s="43"/>
    </row>
    <row r="12765" spans="2:2" ht="12.75" customHeight="1" x14ac:dyDescent="0.2">
      <c r="B12765" s="43"/>
    </row>
    <row r="12766" spans="2:2" ht="12.75" customHeight="1" x14ac:dyDescent="0.2">
      <c r="B12766" s="43"/>
    </row>
    <row r="12767" spans="2:2" ht="12.75" customHeight="1" x14ac:dyDescent="0.2">
      <c r="B12767" s="43"/>
    </row>
    <row r="12768" spans="2:2" ht="12.75" customHeight="1" x14ac:dyDescent="0.2">
      <c r="B12768" s="43"/>
    </row>
    <row r="12769" spans="2:2" ht="12.75" customHeight="1" x14ac:dyDescent="0.2">
      <c r="B12769" s="43"/>
    </row>
    <row r="12770" spans="2:2" ht="12.75" customHeight="1" x14ac:dyDescent="0.2">
      <c r="B12770" s="43"/>
    </row>
    <row r="12771" spans="2:2" ht="12.75" customHeight="1" x14ac:dyDescent="0.2">
      <c r="B12771" s="43"/>
    </row>
    <row r="12772" spans="2:2" ht="12.75" customHeight="1" x14ac:dyDescent="0.2">
      <c r="B12772" s="43"/>
    </row>
    <row r="12773" spans="2:2" ht="12.75" customHeight="1" x14ac:dyDescent="0.2">
      <c r="B12773" s="43"/>
    </row>
    <row r="12774" spans="2:2" ht="12.75" customHeight="1" x14ac:dyDescent="0.2">
      <c r="B12774" s="43"/>
    </row>
    <row r="12775" spans="2:2" ht="12.75" customHeight="1" x14ac:dyDescent="0.2">
      <c r="B12775" s="43"/>
    </row>
    <row r="12776" spans="2:2" ht="12.75" customHeight="1" x14ac:dyDescent="0.2">
      <c r="B12776" s="43"/>
    </row>
    <row r="12777" spans="2:2" ht="12.75" customHeight="1" x14ac:dyDescent="0.2">
      <c r="B12777" s="43"/>
    </row>
    <row r="12778" spans="2:2" ht="12.75" customHeight="1" x14ac:dyDescent="0.2">
      <c r="B12778" s="43"/>
    </row>
    <row r="12779" spans="2:2" ht="12.75" customHeight="1" x14ac:dyDescent="0.2">
      <c r="B12779" s="43"/>
    </row>
    <row r="12780" spans="2:2" ht="12.75" customHeight="1" x14ac:dyDescent="0.2">
      <c r="B12780" s="43"/>
    </row>
    <row r="12781" spans="2:2" ht="12.75" customHeight="1" x14ac:dyDescent="0.2">
      <c r="B12781" s="43"/>
    </row>
    <row r="12782" spans="2:2" ht="12.75" customHeight="1" x14ac:dyDescent="0.2">
      <c r="B12782" s="43"/>
    </row>
    <row r="12783" spans="2:2" ht="12.75" customHeight="1" x14ac:dyDescent="0.2">
      <c r="B12783" s="43"/>
    </row>
    <row r="12784" spans="2:2" ht="12.75" customHeight="1" x14ac:dyDescent="0.2">
      <c r="B12784" s="43"/>
    </row>
    <row r="12785" spans="2:2" ht="12.75" customHeight="1" x14ac:dyDescent="0.2">
      <c r="B12785" s="43"/>
    </row>
    <row r="12786" spans="2:2" ht="12.75" customHeight="1" x14ac:dyDescent="0.2">
      <c r="B12786" s="43"/>
    </row>
    <row r="12787" spans="2:2" ht="12.75" customHeight="1" x14ac:dyDescent="0.2">
      <c r="B12787" s="43"/>
    </row>
    <row r="12788" spans="2:2" ht="12.75" customHeight="1" x14ac:dyDescent="0.2">
      <c r="B12788" s="43"/>
    </row>
    <row r="12789" spans="2:2" ht="12.75" customHeight="1" x14ac:dyDescent="0.2">
      <c r="B12789" s="43"/>
    </row>
    <row r="12790" spans="2:2" ht="12.75" customHeight="1" x14ac:dyDescent="0.2">
      <c r="B12790" s="43"/>
    </row>
    <row r="12791" spans="2:2" ht="12.75" customHeight="1" x14ac:dyDescent="0.2">
      <c r="B12791" s="43"/>
    </row>
    <row r="12792" spans="2:2" ht="12.75" customHeight="1" x14ac:dyDescent="0.2">
      <c r="B12792" s="43"/>
    </row>
    <row r="12793" spans="2:2" ht="12.75" customHeight="1" x14ac:dyDescent="0.2">
      <c r="B12793" s="43"/>
    </row>
    <row r="12794" spans="2:2" ht="12.75" customHeight="1" x14ac:dyDescent="0.2">
      <c r="B12794" s="43"/>
    </row>
    <row r="12795" spans="2:2" ht="12.75" customHeight="1" x14ac:dyDescent="0.2">
      <c r="B12795" s="43"/>
    </row>
    <row r="12796" spans="2:2" ht="12.75" customHeight="1" x14ac:dyDescent="0.2">
      <c r="B12796" s="43"/>
    </row>
    <row r="12797" spans="2:2" ht="12.75" customHeight="1" x14ac:dyDescent="0.2">
      <c r="B12797" s="43"/>
    </row>
    <row r="12798" spans="2:2" ht="12.75" customHeight="1" x14ac:dyDescent="0.2">
      <c r="B12798" s="43"/>
    </row>
    <row r="12799" spans="2:2" ht="12.75" customHeight="1" x14ac:dyDescent="0.2">
      <c r="B12799" s="43"/>
    </row>
    <row r="12800" spans="2:2" ht="12.75" customHeight="1" x14ac:dyDescent="0.2">
      <c r="B12800" s="43"/>
    </row>
    <row r="12801" spans="2:2" ht="12.75" customHeight="1" x14ac:dyDescent="0.2">
      <c r="B12801" s="43"/>
    </row>
    <row r="12802" spans="2:2" ht="12.75" customHeight="1" x14ac:dyDescent="0.2">
      <c r="B12802" s="43"/>
    </row>
    <row r="12803" spans="2:2" ht="12.75" customHeight="1" x14ac:dyDescent="0.2">
      <c r="B12803" s="43"/>
    </row>
    <row r="12804" spans="2:2" ht="12.75" customHeight="1" x14ac:dyDescent="0.2">
      <c r="B12804" s="43"/>
    </row>
    <row r="12805" spans="2:2" ht="12.75" customHeight="1" x14ac:dyDescent="0.2">
      <c r="B12805" s="43"/>
    </row>
    <row r="12806" spans="2:2" ht="12.75" customHeight="1" x14ac:dyDescent="0.2">
      <c r="B12806" s="43"/>
    </row>
    <row r="12807" spans="2:2" ht="12.75" customHeight="1" x14ac:dyDescent="0.2">
      <c r="B12807" s="43"/>
    </row>
    <row r="12808" spans="2:2" ht="12.75" customHeight="1" x14ac:dyDescent="0.2">
      <c r="B12808" s="43"/>
    </row>
    <row r="12809" spans="2:2" ht="12.75" customHeight="1" x14ac:dyDescent="0.2">
      <c r="B12809" s="43"/>
    </row>
    <row r="12810" spans="2:2" ht="12.75" customHeight="1" x14ac:dyDescent="0.2">
      <c r="B12810" s="43"/>
    </row>
    <row r="12811" spans="2:2" ht="12.75" customHeight="1" x14ac:dyDescent="0.2">
      <c r="B12811" s="43"/>
    </row>
    <row r="12812" spans="2:2" ht="12.75" customHeight="1" x14ac:dyDescent="0.2">
      <c r="B12812" s="43"/>
    </row>
    <row r="12813" spans="2:2" ht="12.75" customHeight="1" x14ac:dyDescent="0.2">
      <c r="B12813" s="43"/>
    </row>
    <row r="12814" spans="2:2" ht="12.75" customHeight="1" x14ac:dyDescent="0.2">
      <c r="B12814" s="43"/>
    </row>
    <row r="12815" spans="2:2" ht="12.75" customHeight="1" x14ac:dyDescent="0.2">
      <c r="B12815" s="43"/>
    </row>
    <row r="12816" spans="2:2" ht="12.75" customHeight="1" x14ac:dyDescent="0.2">
      <c r="B12816" s="43"/>
    </row>
    <row r="12817" spans="2:2" ht="12.75" customHeight="1" x14ac:dyDescent="0.2">
      <c r="B12817" s="43"/>
    </row>
    <row r="12818" spans="2:2" ht="12.75" customHeight="1" x14ac:dyDescent="0.2">
      <c r="B12818" s="43"/>
    </row>
    <row r="12819" spans="2:2" ht="12.75" customHeight="1" x14ac:dyDescent="0.2">
      <c r="B12819" s="43"/>
    </row>
    <row r="12820" spans="2:2" ht="12.75" customHeight="1" x14ac:dyDescent="0.2">
      <c r="B12820" s="43"/>
    </row>
    <row r="12821" spans="2:2" ht="12.75" customHeight="1" x14ac:dyDescent="0.2">
      <c r="B12821" s="43"/>
    </row>
    <row r="12822" spans="2:2" ht="12.75" customHeight="1" x14ac:dyDescent="0.2">
      <c r="B12822" s="43"/>
    </row>
    <row r="12823" spans="2:2" ht="12.75" customHeight="1" x14ac:dyDescent="0.2">
      <c r="B12823" s="43"/>
    </row>
    <row r="12824" spans="2:2" ht="12.75" customHeight="1" x14ac:dyDescent="0.2">
      <c r="B12824" s="43"/>
    </row>
    <row r="12825" spans="2:2" ht="12.75" customHeight="1" x14ac:dyDescent="0.2">
      <c r="B12825" s="43"/>
    </row>
    <row r="12826" spans="2:2" ht="12.75" customHeight="1" x14ac:dyDescent="0.2">
      <c r="B12826" s="43"/>
    </row>
    <row r="12827" spans="2:2" ht="12.75" customHeight="1" x14ac:dyDescent="0.2">
      <c r="B12827" s="43"/>
    </row>
    <row r="12828" spans="2:2" ht="12.75" customHeight="1" x14ac:dyDescent="0.2">
      <c r="B12828" s="43"/>
    </row>
    <row r="12829" spans="2:2" ht="12.75" customHeight="1" x14ac:dyDescent="0.2">
      <c r="B12829" s="43"/>
    </row>
    <row r="12830" spans="2:2" ht="12.75" customHeight="1" x14ac:dyDescent="0.2">
      <c r="B12830" s="43"/>
    </row>
    <row r="12831" spans="2:2" ht="12.75" customHeight="1" x14ac:dyDescent="0.2">
      <c r="B12831" s="43"/>
    </row>
    <row r="12832" spans="2:2" ht="12.75" customHeight="1" x14ac:dyDescent="0.2">
      <c r="B12832" s="43"/>
    </row>
    <row r="12833" spans="2:2" ht="12.75" customHeight="1" x14ac:dyDescent="0.2">
      <c r="B12833" s="43"/>
    </row>
    <row r="12834" spans="2:2" ht="12.75" customHeight="1" x14ac:dyDescent="0.2">
      <c r="B12834" s="43"/>
    </row>
    <row r="12835" spans="2:2" ht="12.75" customHeight="1" x14ac:dyDescent="0.2">
      <c r="B12835" s="43"/>
    </row>
    <row r="12836" spans="2:2" ht="12.75" customHeight="1" x14ac:dyDescent="0.2">
      <c r="B12836" s="43"/>
    </row>
    <row r="12837" spans="2:2" ht="12.75" customHeight="1" x14ac:dyDescent="0.2">
      <c r="B12837" s="43"/>
    </row>
    <row r="12838" spans="2:2" ht="12.75" customHeight="1" x14ac:dyDescent="0.2">
      <c r="B12838" s="43"/>
    </row>
    <row r="12839" spans="2:2" ht="12.75" customHeight="1" x14ac:dyDescent="0.2">
      <c r="B12839" s="43"/>
    </row>
    <row r="12840" spans="2:2" ht="12.75" customHeight="1" x14ac:dyDescent="0.2">
      <c r="B12840" s="43"/>
    </row>
    <row r="12841" spans="2:2" ht="12.75" customHeight="1" x14ac:dyDescent="0.2">
      <c r="B12841" s="43"/>
    </row>
    <row r="12842" spans="2:2" ht="12.75" customHeight="1" x14ac:dyDescent="0.2">
      <c r="B12842" s="43"/>
    </row>
    <row r="12843" spans="2:2" ht="12.75" customHeight="1" x14ac:dyDescent="0.2">
      <c r="B12843" s="43"/>
    </row>
    <row r="12844" spans="2:2" ht="12.75" customHeight="1" x14ac:dyDescent="0.2">
      <c r="B12844" s="43"/>
    </row>
    <row r="12845" spans="2:2" ht="12.75" customHeight="1" x14ac:dyDescent="0.2">
      <c r="B12845" s="43"/>
    </row>
    <row r="12846" spans="2:2" ht="12.75" customHeight="1" x14ac:dyDescent="0.2">
      <c r="B12846" s="43"/>
    </row>
    <row r="12847" spans="2:2" ht="12.75" customHeight="1" x14ac:dyDescent="0.2">
      <c r="B12847" s="43"/>
    </row>
    <row r="12848" spans="2:2" ht="12.75" customHeight="1" x14ac:dyDescent="0.2">
      <c r="B12848" s="43"/>
    </row>
    <row r="12849" spans="2:2" ht="12.75" customHeight="1" x14ac:dyDescent="0.2">
      <c r="B12849" s="43"/>
    </row>
    <row r="12850" spans="2:2" ht="12.75" customHeight="1" x14ac:dyDescent="0.2">
      <c r="B12850" s="43"/>
    </row>
    <row r="12851" spans="2:2" ht="12.75" customHeight="1" x14ac:dyDescent="0.2">
      <c r="B12851" s="43"/>
    </row>
    <row r="12852" spans="2:2" ht="12.75" customHeight="1" x14ac:dyDescent="0.2">
      <c r="B12852" s="43"/>
    </row>
    <row r="12853" spans="2:2" ht="12.75" customHeight="1" x14ac:dyDescent="0.2">
      <c r="B12853" s="43"/>
    </row>
    <row r="12854" spans="2:2" ht="12.75" customHeight="1" x14ac:dyDescent="0.2">
      <c r="B12854" s="43"/>
    </row>
    <row r="12855" spans="2:2" ht="12.75" customHeight="1" x14ac:dyDescent="0.2">
      <c r="B12855" s="43"/>
    </row>
    <row r="12856" spans="2:2" ht="12.75" customHeight="1" x14ac:dyDescent="0.2">
      <c r="B12856" s="43"/>
    </row>
    <row r="12857" spans="2:2" ht="12.75" customHeight="1" x14ac:dyDescent="0.2">
      <c r="B12857" s="43"/>
    </row>
    <row r="12858" spans="2:2" ht="12.75" customHeight="1" x14ac:dyDescent="0.2">
      <c r="B12858" s="43"/>
    </row>
    <row r="12859" spans="2:2" ht="12.75" customHeight="1" x14ac:dyDescent="0.2">
      <c r="B12859" s="43"/>
    </row>
    <row r="12860" spans="2:2" ht="12.75" customHeight="1" x14ac:dyDescent="0.2">
      <c r="B12860" s="43"/>
    </row>
    <row r="12861" spans="2:2" ht="12.75" customHeight="1" x14ac:dyDescent="0.2">
      <c r="B12861" s="43"/>
    </row>
    <row r="12862" spans="2:2" ht="12.75" customHeight="1" x14ac:dyDescent="0.2">
      <c r="B12862" s="43"/>
    </row>
    <row r="12863" spans="2:2" ht="12.75" customHeight="1" x14ac:dyDescent="0.2">
      <c r="B12863" s="43"/>
    </row>
    <row r="12864" spans="2:2" ht="12.75" customHeight="1" x14ac:dyDescent="0.2">
      <c r="B12864" s="43"/>
    </row>
    <row r="12865" spans="2:2" ht="12.75" customHeight="1" x14ac:dyDescent="0.2">
      <c r="B12865" s="43"/>
    </row>
    <row r="12866" spans="2:2" ht="12.75" customHeight="1" x14ac:dyDescent="0.2">
      <c r="B12866" s="43"/>
    </row>
    <row r="12867" spans="2:2" ht="12.75" customHeight="1" x14ac:dyDescent="0.2">
      <c r="B12867" s="43"/>
    </row>
    <row r="12868" spans="2:2" ht="12.75" customHeight="1" x14ac:dyDescent="0.2">
      <c r="B12868" s="43"/>
    </row>
    <row r="12869" spans="2:2" ht="12.75" customHeight="1" x14ac:dyDescent="0.2">
      <c r="B12869" s="43"/>
    </row>
    <row r="12870" spans="2:2" ht="12.75" customHeight="1" x14ac:dyDescent="0.2">
      <c r="B12870" s="43"/>
    </row>
    <row r="12871" spans="2:2" ht="12.75" customHeight="1" x14ac:dyDescent="0.2">
      <c r="B12871" s="43"/>
    </row>
    <row r="12872" spans="2:2" ht="12.75" customHeight="1" x14ac:dyDescent="0.2">
      <c r="B12872" s="43"/>
    </row>
    <row r="12873" spans="2:2" ht="12.75" customHeight="1" x14ac:dyDescent="0.2">
      <c r="B12873" s="43"/>
    </row>
    <row r="12874" spans="2:2" ht="12.75" customHeight="1" x14ac:dyDescent="0.2">
      <c r="B12874" s="43"/>
    </row>
    <row r="12875" spans="2:2" ht="12.75" customHeight="1" x14ac:dyDescent="0.2">
      <c r="B12875" s="43"/>
    </row>
    <row r="12876" spans="2:2" ht="12.75" customHeight="1" x14ac:dyDescent="0.2">
      <c r="B12876" s="43"/>
    </row>
    <row r="12877" spans="2:2" ht="12.75" customHeight="1" x14ac:dyDescent="0.2">
      <c r="B12877" s="43"/>
    </row>
    <row r="12878" spans="2:2" ht="12.75" customHeight="1" x14ac:dyDescent="0.2">
      <c r="B12878" s="43"/>
    </row>
    <row r="12879" spans="2:2" ht="12.75" customHeight="1" x14ac:dyDescent="0.2">
      <c r="B12879" s="43"/>
    </row>
    <row r="12880" spans="2:2" ht="12.75" customHeight="1" x14ac:dyDescent="0.2">
      <c r="B12880" s="43"/>
    </row>
    <row r="12881" spans="2:2" ht="12.75" customHeight="1" x14ac:dyDescent="0.2">
      <c r="B12881" s="43"/>
    </row>
    <row r="12882" spans="2:2" ht="12.75" customHeight="1" x14ac:dyDescent="0.2">
      <c r="B12882" s="43"/>
    </row>
    <row r="12883" spans="2:2" ht="12.75" customHeight="1" x14ac:dyDescent="0.2">
      <c r="B12883" s="43"/>
    </row>
    <row r="12884" spans="2:2" ht="12.75" customHeight="1" x14ac:dyDescent="0.2">
      <c r="B12884" s="43"/>
    </row>
    <row r="12885" spans="2:2" ht="12.75" customHeight="1" x14ac:dyDescent="0.2">
      <c r="B12885" s="43"/>
    </row>
    <row r="12886" spans="2:2" ht="12.75" customHeight="1" x14ac:dyDescent="0.2">
      <c r="B12886" s="43"/>
    </row>
    <row r="12887" spans="2:2" ht="12.75" customHeight="1" x14ac:dyDescent="0.2">
      <c r="B12887" s="43"/>
    </row>
    <row r="12888" spans="2:2" ht="12.75" customHeight="1" x14ac:dyDescent="0.2">
      <c r="B12888" s="43"/>
    </row>
    <row r="12889" spans="2:2" ht="12.75" customHeight="1" x14ac:dyDescent="0.2">
      <c r="B12889" s="43"/>
    </row>
    <row r="12890" spans="2:2" ht="12.75" customHeight="1" x14ac:dyDescent="0.2">
      <c r="B12890" s="43"/>
    </row>
    <row r="12891" spans="2:2" ht="12.75" customHeight="1" x14ac:dyDescent="0.2">
      <c r="B12891" s="43"/>
    </row>
    <row r="12892" spans="2:2" ht="12.75" customHeight="1" x14ac:dyDescent="0.2">
      <c r="B12892" s="43"/>
    </row>
    <row r="12893" spans="2:2" ht="12.75" customHeight="1" x14ac:dyDescent="0.2">
      <c r="B12893" s="43"/>
    </row>
    <row r="12894" spans="2:2" ht="12.75" customHeight="1" x14ac:dyDescent="0.2">
      <c r="B12894" s="43"/>
    </row>
    <row r="12895" spans="2:2" ht="12.75" customHeight="1" x14ac:dyDescent="0.2">
      <c r="B12895" s="43"/>
    </row>
    <row r="12896" spans="2:2" ht="12.75" customHeight="1" x14ac:dyDescent="0.2">
      <c r="B12896" s="43"/>
    </row>
    <row r="12897" spans="2:2" ht="12.75" customHeight="1" x14ac:dyDescent="0.2">
      <c r="B12897" s="43"/>
    </row>
    <row r="12898" spans="2:2" ht="12.75" customHeight="1" x14ac:dyDescent="0.2">
      <c r="B12898" s="43"/>
    </row>
    <row r="12899" spans="2:2" ht="12.75" customHeight="1" x14ac:dyDescent="0.2">
      <c r="B12899" s="43"/>
    </row>
    <row r="12900" spans="2:2" ht="12.75" customHeight="1" x14ac:dyDescent="0.2">
      <c r="B12900" s="43"/>
    </row>
    <row r="12901" spans="2:2" ht="12.75" customHeight="1" x14ac:dyDescent="0.2">
      <c r="B12901" s="43"/>
    </row>
    <row r="12902" spans="2:2" ht="12.75" customHeight="1" x14ac:dyDescent="0.2">
      <c r="B12902" s="43"/>
    </row>
    <row r="12903" spans="2:2" ht="12.75" customHeight="1" x14ac:dyDescent="0.2">
      <c r="B12903" s="43"/>
    </row>
    <row r="12904" spans="2:2" ht="12.75" customHeight="1" x14ac:dyDescent="0.2">
      <c r="B12904" s="43"/>
    </row>
    <row r="12905" spans="2:2" ht="12.75" customHeight="1" x14ac:dyDescent="0.2">
      <c r="B12905" s="43"/>
    </row>
    <row r="12906" spans="2:2" ht="12.75" customHeight="1" x14ac:dyDescent="0.2">
      <c r="B12906" s="43"/>
    </row>
    <row r="12907" spans="2:2" ht="12.75" customHeight="1" x14ac:dyDescent="0.2">
      <c r="B12907" s="43"/>
    </row>
    <row r="12908" spans="2:2" ht="12.75" customHeight="1" x14ac:dyDescent="0.2">
      <c r="B12908" s="43"/>
    </row>
    <row r="12909" spans="2:2" ht="12.75" customHeight="1" x14ac:dyDescent="0.2">
      <c r="B12909" s="43"/>
    </row>
    <row r="12910" spans="2:2" ht="12.75" customHeight="1" x14ac:dyDescent="0.2">
      <c r="B12910" s="43"/>
    </row>
    <row r="12911" spans="2:2" ht="12.75" customHeight="1" x14ac:dyDescent="0.2">
      <c r="B12911" s="43"/>
    </row>
    <row r="12912" spans="2:2" ht="12.75" customHeight="1" x14ac:dyDescent="0.2">
      <c r="B12912" s="43"/>
    </row>
    <row r="12913" spans="2:2" ht="12.75" customHeight="1" x14ac:dyDescent="0.2">
      <c r="B12913" s="43"/>
    </row>
    <row r="12914" spans="2:2" ht="12.75" customHeight="1" x14ac:dyDescent="0.2">
      <c r="B12914" s="43"/>
    </row>
    <row r="12915" spans="2:2" ht="12.75" customHeight="1" x14ac:dyDescent="0.2">
      <c r="B12915" s="43"/>
    </row>
    <row r="12916" spans="2:2" ht="12.75" customHeight="1" x14ac:dyDescent="0.2">
      <c r="B12916" s="43"/>
    </row>
    <row r="12917" spans="2:2" ht="12.75" customHeight="1" x14ac:dyDescent="0.2">
      <c r="B12917" s="43"/>
    </row>
    <row r="12918" spans="2:2" ht="12.75" customHeight="1" x14ac:dyDescent="0.2">
      <c r="B12918" s="43"/>
    </row>
    <row r="12919" spans="2:2" ht="12.75" customHeight="1" x14ac:dyDescent="0.2">
      <c r="B12919" s="43"/>
    </row>
    <row r="12920" spans="2:2" ht="12.75" customHeight="1" x14ac:dyDescent="0.2">
      <c r="B12920" s="43"/>
    </row>
    <row r="12921" spans="2:2" ht="12.75" customHeight="1" x14ac:dyDescent="0.2">
      <c r="B12921" s="43"/>
    </row>
    <row r="12922" spans="2:2" ht="12.75" customHeight="1" x14ac:dyDescent="0.2">
      <c r="B12922" s="43"/>
    </row>
    <row r="12923" spans="2:2" ht="12.75" customHeight="1" x14ac:dyDescent="0.2">
      <c r="B12923" s="43"/>
    </row>
    <row r="12924" spans="2:2" ht="12.75" customHeight="1" x14ac:dyDescent="0.2">
      <c r="B12924" s="43"/>
    </row>
    <row r="12925" spans="2:2" ht="12.75" customHeight="1" x14ac:dyDescent="0.2">
      <c r="B12925" s="43"/>
    </row>
    <row r="12926" spans="2:2" ht="12.75" customHeight="1" x14ac:dyDescent="0.2">
      <c r="B12926" s="43"/>
    </row>
    <row r="12927" spans="2:2" ht="12.75" customHeight="1" x14ac:dyDescent="0.2">
      <c r="B12927" s="43"/>
    </row>
    <row r="12928" spans="2:2" ht="12.75" customHeight="1" x14ac:dyDescent="0.2">
      <c r="B12928" s="43"/>
    </row>
    <row r="12929" spans="2:2" ht="12.75" customHeight="1" x14ac:dyDescent="0.2">
      <c r="B12929" s="43"/>
    </row>
    <row r="12930" spans="2:2" ht="12.75" customHeight="1" x14ac:dyDescent="0.2">
      <c r="B12930" s="43"/>
    </row>
    <row r="12931" spans="2:2" ht="12.75" customHeight="1" x14ac:dyDescent="0.2">
      <c r="B12931" s="43"/>
    </row>
    <row r="12932" spans="2:2" ht="12.75" customHeight="1" x14ac:dyDescent="0.2">
      <c r="B12932" s="43"/>
    </row>
    <row r="12933" spans="2:2" ht="12.75" customHeight="1" x14ac:dyDescent="0.2">
      <c r="B12933" s="43"/>
    </row>
    <row r="12934" spans="2:2" ht="12.75" customHeight="1" x14ac:dyDescent="0.2">
      <c r="B12934" s="43"/>
    </row>
    <row r="12935" spans="2:2" ht="12.75" customHeight="1" x14ac:dyDescent="0.2">
      <c r="B12935" s="43"/>
    </row>
    <row r="12936" spans="2:2" ht="12.75" customHeight="1" x14ac:dyDescent="0.2">
      <c r="B12936" s="43"/>
    </row>
    <row r="12937" spans="2:2" ht="12.75" customHeight="1" x14ac:dyDescent="0.2">
      <c r="B12937" s="43"/>
    </row>
    <row r="12938" spans="2:2" ht="12.75" customHeight="1" x14ac:dyDescent="0.2">
      <c r="B12938" s="43"/>
    </row>
    <row r="12939" spans="2:2" ht="12.75" customHeight="1" x14ac:dyDescent="0.2">
      <c r="B12939" s="43"/>
    </row>
    <row r="12940" spans="2:2" ht="12.75" customHeight="1" x14ac:dyDescent="0.2">
      <c r="B12940" s="43"/>
    </row>
    <row r="12941" spans="2:2" ht="12.75" customHeight="1" x14ac:dyDescent="0.2">
      <c r="B12941" s="43"/>
    </row>
    <row r="12942" spans="2:2" ht="12.75" customHeight="1" x14ac:dyDescent="0.2">
      <c r="B12942" s="43"/>
    </row>
    <row r="12943" spans="2:2" ht="12.75" customHeight="1" x14ac:dyDescent="0.2">
      <c r="B12943" s="43"/>
    </row>
    <row r="12944" spans="2:2" ht="12.75" customHeight="1" x14ac:dyDescent="0.2">
      <c r="B12944" s="43"/>
    </row>
    <row r="12945" spans="2:2" ht="12.75" customHeight="1" x14ac:dyDescent="0.2">
      <c r="B12945" s="43"/>
    </row>
    <row r="12946" spans="2:2" ht="12.75" customHeight="1" x14ac:dyDescent="0.2">
      <c r="B12946" s="43"/>
    </row>
    <row r="12947" spans="2:2" ht="12.75" customHeight="1" x14ac:dyDescent="0.2">
      <c r="B12947" s="43"/>
    </row>
    <row r="12948" spans="2:2" ht="12.75" customHeight="1" x14ac:dyDescent="0.2">
      <c r="B12948" s="43"/>
    </row>
    <row r="12949" spans="2:2" ht="12.75" customHeight="1" x14ac:dyDescent="0.2">
      <c r="B12949" s="43"/>
    </row>
    <row r="12950" spans="2:2" ht="12.75" customHeight="1" x14ac:dyDescent="0.2">
      <c r="B12950" s="43"/>
    </row>
    <row r="12951" spans="2:2" ht="12.75" customHeight="1" x14ac:dyDescent="0.2">
      <c r="B12951" s="43"/>
    </row>
    <row r="12952" spans="2:2" ht="12.75" customHeight="1" x14ac:dyDescent="0.2">
      <c r="B12952" s="43"/>
    </row>
    <row r="12953" spans="2:2" ht="12.75" customHeight="1" x14ac:dyDescent="0.2">
      <c r="B12953" s="43"/>
    </row>
    <row r="12954" spans="2:2" ht="12.75" customHeight="1" x14ac:dyDescent="0.2">
      <c r="B12954" s="43"/>
    </row>
    <row r="12955" spans="2:2" ht="12.75" customHeight="1" x14ac:dyDescent="0.2">
      <c r="B12955" s="43"/>
    </row>
    <row r="12956" spans="2:2" ht="12.75" customHeight="1" x14ac:dyDescent="0.2">
      <c r="B12956" s="43"/>
    </row>
    <row r="12957" spans="2:2" ht="12.75" customHeight="1" x14ac:dyDescent="0.2">
      <c r="B12957" s="43"/>
    </row>
    <row r="12958" spans="2:2" ht="12.75" customHeight="1" x14ac:dyDescent="0.2">
      <c r="B12958" s="43"/>
    </row>
    <row r="12959" spans="2:2" ht="12.75" customHeight="1" x14ac:dyDescent="0.2">
      <c r="B12959" s="43"/>
    </row>
    <row r="12960" spans="2:2" ht="12.75" customHeight="1" x14ac:dyDescent="0.2">
      <c r="B12960" s="43"/>
    </row>
    <row r="12961" spans="2:2" ht="12.75" customHeight="1" x14ac:dyDescent="0.2">
      <c r="B12961" s="43"/>
    </row>
    <row r="12962" spans="2:2" ht="12.75" customHeight="1" x14ac:dyDescent="0.2">
      <c r="B12962" s="43"/>
    </row>
    <row r="12963" spans="2:2" ht="12.75" customHeight="1" x14ac:dyDescent="0.2">
      <c r="B12963" s="43"/>
    </row>
    <row r="12964" spans="2:2" ht="12.75" customHeight="1" x14ac:dyDescent="0.2">
      <c r="B12964" s="43"/>
    </row>
    <row r="12965" spans="2:2" ht="12.75" customHeight="1" x14ac:dyDescent="0.2">
      <c r="B12965" s="43"/>
    </row>
    <row r="12966" spans="2:2" ht="12.75" customHeight="1" x14ac:dyDescent="0.2">
      <c r="B12966" s="43"/>
    </row>
    <row r="12967" spans="2:2" ht="12.75" customHeight="1" x14ac:dyDescent="0.2">
      <c r="B12967" s="43"/>
    </row>
    <row r="12968" spans="2:2" ht="12.75" customHeight="1" x14ac:dyDescent="0.2">
      <c r="B12968" s="43"/>
    </row>
    <row r="12969" spans="2:2" ht="12.75" customHeight="1" x14ac:dyDescent="0.2">
      <c r="B12969" s="43"/>
    </row>
    <row r="12970" spans="2:2" ht="12.75" customHeight="1" x14ac:dyDescent="0.2">
      <c r="B12970" s="43"/>
    </row>
    <row r="12971" spans="2:2" ht="12.75" customHeight="1" x14ac:dyDescent="0.2">
      <c r="B12971" s="43"/>
    </row>
    <row r="12972" spans="2:2" ht="12.75" customHeight="1" x14ac:dyDescent="0.2">
      <c r="B12972" s="43"/>
    </row>
    <row r="12973" spans="2:2" ht="12.75" customHeight="1" x14ac:dyDescent="0.2">
      <c r="B12973" s="43"/>
    </row>
    <row r="12974" spans="2:2" ht="12.75" customHeight="1" x14ac:dyDescent="0.2">
      <c r="B12974" s="43"/>
    </row>
    <row r="12975" spans="2:2" ht="12.75" customHeight="1" x14ac:dyDescent="0.2">
      <c r="B12975" s="43"/>
    </row>
    <row r="12976" spans="2:2" ht="12.75" customHeight="1" x14ac:dyDescent="0.2">
      <c r="B12976" s="43"/>
    </row>
    <row r="12977" spans="2:2" ht="12.75" customHeight="1" x14ac:dyDescent="0.2">
      <c r="B12977" s="43"/>
    </row>
    <row r="12978" spans="2:2" ht="12.75" customHeight="1" x14ac:dyDescent="0.2">
      <c r="B12978" s="43"/>
    </row>
    <row r="12979" spans="2:2" ht="12.75" customHeight="1" x14ac:dyDescent="0.2">
      <c r="B12979" s="43"/>
    </row>
    <row r="12980" spans="2:2" ht="12.75" customHeight="1" x14ac:dyDescent="0.2">
      <c r="B12980" s="43"/>
    </row>
    <row r="12981" spans="2:2" ht="12.75" customHeight="1" x14ac:dyDescent="0.2">
      <c r="B12981" s="43"/>
    </row>
    <row r="12982" spans="2:2" ht="12.75" customHeight="1" x14ac:dyDescent="0.2">
      <c r="B12982" s="43"/>
    </row>
    <row r="12983" spans="2:2" ht="12.75" customHeight="1" x14ac:dyDescent="0.2">
      <c r="B12983" s="43"/>
    </row>
    <row r="12984" spans="2:2" ht="12.75" customHeight="1" x14ac:dyDescent="0.2">
      <c r="B12984" s="43"/>
    </row>
    <row r="12985" spans="2:2" ht="12.75" customHeight="1" x14ac:dyDescent="0.2">
      <c r="B12985" s="43"/>
    </row>
    <row r="12986" spans="2:2" ht="12.75" customHeight="1" x14ac:dyDescent="0.2">
      <c r="B12986" s="43"/>
    </row>
    <row r="12987" spans="2:2" ht="12.75" customHeight="1" x14ac:dyDescent="0.2">
      <c r="B12987" s="43"/>
    </row>
    <row r="12988" spans="2:2" ht="12.75" customHeight="1" x14ac:dyDescent="0.2">
      <c r="B12988" s="43"/>
    </row>
    <row r="12989" spans="2:2" ht="12.75" customHeight="1" x14ac:dyDescent="0.2">
      <c r="B12989" s="43"/>
    </row>
    <row r="12990" spans="2:2" ht="12.75" customHeight="1" x14ac:dyDescent="0.2">
      <c r="B12990" s="43"/>
    </row>
    <row r="12991" spans="2:2" ht="12.75" customHeight="1" x14ac:dyDescent="0.2">
      <c r="B12991" s="43"/>
    </row>
    <row r="12992" spans="2:2" ht="12.75" customHeight="1" x14ac:dyDescent="0.2">
      <c r="B12992" s="43"/>
    </row>
    <row r="12993" spans="2:2" ht="12.75" customHeight="1" x14ac:dyDescent="0.2">
      <c r="B12993" s="43"/>
    </row>
    <row r="12994" spans="2:2" ht="12.75" customHeight="1" x14ac:dyDescent="0.2">
      <c r="B12994" s="43"/>
    </row>
    <row r="12995" spans="2:2" ht="12.75" customHeight="1" x14ac:dyDescent="0.2">
      <c r="B12995" s="43"/>
    </row>
    <row r="12996" spans="2:2" ht="12.75" customHeight="1" x14ac:dyDescent="0.2">
      <c r="B12996" s="43"/>
    </row>
    <row r="12997" spans="2:2" ht="12.75" customHeight="1" x14ac:dyDescent="0.2">
      <c r="B12997" s="43"/>
    </row>
    <row r="12998" spans="2:2" ht="12.75" customHeight="1" x14ac:dyDescent="0.2">
      <c r="B12998" s="43"/>
    </row>
    <row r="12999" spans="2:2" ht="12.75" customHeight="1" x14ac:dyDescent="0.2">
      <c r="B12999" s="43"/>
    </row>
    <row r="13000" spans="2:2" ht="12.75" customHeight="1" x14ac:dyDescent="0.2">
      <c r="B13000" s="43"/>
    </row>
    <row r="13001" spans="2:2" ht="12.75" customHeight="1" x14ac:dyDescent="0.2">
      <c r="B13001" s="43"/>
    </row>
    <row r="13002" spans="2:2" ht="12.75" customHeight="1" x14ac:dyDescent="0.2">
      <c r="B13002" s="43"/>
    </row>
    <row r="13003" spans="2:2" ht="12.75" customHeight="1" x14ac:dyDescent="0.2">
      <c r="B13003" s="43"/>
    </row>
    <row r="13004" spans="2:2" ht="12.75" customHeight="1" x14ac:dyDescent="0.2">
      <c r="B13004" s="43"/>
    </row>
    <row r="13005" spans="2:2" ht="12.75" customHeight="1" x14ac:dyDescent="0.2">
      <c r="B13005" s="43"/>
    </row>
    <row r="13006" spans="2:2" ht="12.75" customHeight="1" x14ac:dyDescent="0.2">
      <c r="B13006" s="43"/>
    </row>
    <row r="13007" spans="2:2" ht="12.75" customHeight="1" x14ac:dyDescent="0.2">
      <c r="B13007" s="43"/>
    </row>
    <row r="13008" spans="2:2" ht="12.75" customHeight="1" x14ac:dyDescent="0.2">
      <c r="B13008" s="43"/>
    </row>
    <row r="13009" spans="2:2" ht="12.75" customHeight="1" x14ac:dyDescent="0.2">
      <c r="B13009" s="43"/>
    </row>
    <row r="13010" spans="2:2" ht="12.75" customHeight="1" x14ac:dyDescent="0.2">
      <c r="B13010" s="43"/>
    </row>
    <row r="13011" spans="2:2" ht="12.75" customHeight="1" x14ac:dyDescent="0.2">
      <c r="B13011" s="43"/>
    </row>
    <row r="13012" spans="2:2" ht="12.75" customHeight="1" x14ac:dyDescent="0.2">
      <c r="B13012" s="43"/>
    </row>
    <row r="13013" spans="2:2" ht="12.75" customHeight="1" x14ac:dyDescent="0.2">
      <c r="B13013" s="43"/>
    </row>
    <row r="13014" spans="2:2" ht="12.75" customHeight="1" x14ac:dyDescent="0.2">
      <c r="B13014" s="43"/>
    </row>
    <row r="13015" spans="2:2" ht="12.75" customHeight="1" x14ac:dyDescent="0.2">
      <c r="B13015" s="43"/>
    </row>
    <row r="13016" spans="2:2" ht="12.75" customHeight="1" x14ac:dyDescent="0.2">
      <c r="B13016" s="43"/>
    </row>
    <row r="13017" spans="2:2" ht="12.75" customHeight="1" x14ac:dyDescent="0.2">
      <c r="B13017" s="43"/>
    </row>
    <row r="13018" spans="2:2" ht="12.75" customHeight="1" x14ac:dyDescent="0.2">
      <c r="B13018" s="43"/>
    </row>
    <row r="13019" spans="2:2" ht="12.75" customHeight="1" x14ac:dyDescent="0.2">
      <c r="B13019" s="43"/>
    </row>
    <row r="13020" spans="2:2" ht="12.75" customHeight="1" x14ac:dyDescent="0.2">
      <c r="B13020" s="43"/>
    </row>
    <row r="13021" spans="2:2" ht="12.75" customHeight="1" x14ac:dyDescent="0.2">
      <c r="B13021" s="43"/>
    </row>
    <row r="13022" spans="2:2" ht="12.75" customHeight="1" x14ac:dyDescent="0.2">
      <c r="B13022" s="43"/>
    </row>
    <row r="13023" spans="2:2" ht="12.75" customHeight="1" x14ac:dyDescent="0.2">
      <c r="B13023" s="43"/>
    </row>
    <row r="13024" spans="2:2" ht="12.75" customHeight="1" x14ac:dyDescent="0.2">
      <c r="B13024" s="43"/>
    </row>
    <row r="13025" spans="2:2" ht="12.75" customHeight="1" x14ac:dyDescent="0.2">
      <c r="B13025" s="43"/>
    </row>
    <row r="13026" spans="2:2" ht="12.75" customHeight="1" x14ac:dyDescent="0.2">
      <c r="B13026" s="43"/>
    </row>
    <row r="13027" spans="2:2" ht="12.75" customHeight="1" x14ac:dyDescent="0.2">
      <c r="B13027" s="43"/>
    </row>
    <row r="13028" spans="2:2" ht="12.75" customHeight="1" x14ac:dyDescent="0.2">
      <c r="B13028" s="43"/>
    </row>
    <row r="13029" spans="2:2" ht="12.75" customHeight="1" x14ac:dyDescent="0.2">
      <c r="B13029" s="43"/>
    </row>
    <row r="13030" spans="2:2" ht="12.75" customHeight="1" x14ac:dyDescent="0.2">
      <c r="B13030" s="43"/>
    </row>
    <row r="13031" spans="2:2" ht="12.75" customHeight="1" x14ac:dyDescent="0.2">
      <c r="B13031" s="43"/>
    </row>
    <row r="13032" spans="2:2" ht="12.75" customHeight="1" x14ac:dyDescent="0.2">
      <c r="B13032" s="43"/>
    </row>
    <row r="13033" spans="2:2" ht="12.75" customHeight="1" x14ac:dyDescent="0.2">
      <c r="B13033" s="43"/>
    </row>
    <row r="13034" spans="2:2" ht="12.75" customHeight="1" x14ac:dyDescent="0.2">
      <c r="B13034" s="43"/>
    </row>
    <row r="13035" spans="2:2" ht="12.75" customHeight="1" x14ac:dyDescent="0.2">
      <c r="B13035" s="43"/>
    </row>
    <row r="13036" spans="2:2" ht="12.75" customHeight="1" x14ac:dyDescent="0.2">
      <c r="B13036" s="43"/>
    </row>
    <row r="13037" spans="2:2" ht="12.75" customHeight="1" x14ac:dyDescent="0.2">
      <c r="B13037" s="43"/>
    </row>
    <row r="13038" spans="2:2" ht="12.75" customHeight="1" x14ac:dyDescent="0.2">
      <c r="B13038" s="43"/>
    </row>
    <row r="13039" spans="2:2" ht="12.75" customHeight="1" x14ac:dyDescent="0.2">
      <c r="B13039" s="43"/>
    </row>
    <row r="13040" spans="2:2" ht="12.75" customHeight="1" x14ac:dyDescent="0.2">
      <c r="B13040" s="43"/>
    </row>
    <row r="13041" spans="2:2" ht="12.75" customHeight="1" x14ac:dyDescent="0.2">
      <c r="B13041" s="43"/>
    </row>
    <row r="13042" spans="2:2" ht="12.75" customHeight="1" x14ac:dyDescent="0.2">
      <c r="B13042" s="43"/>
    </row>
    <row r="13043" spans="2:2" ht="12.75" customHeight="1" x14ac:dyDescent="0.2">
      <c r="B13043" s="43"/>
    </row>
    <row r="13044" spans="2:2" ht="12.75" customHeight="1" x14ac:dyDescent="0.2">
      <c r="B13044" s="43"/>
    </row>
    <row r="13045" spans="2:2" ht="12.75" customHeight="1" x14ac:dyDescent="0.2">
      <c r="B13045" s="43"/>
    </row>
    <row r="13046" spans="2:2" ht="12.75" customHeight="1" x14ac:dyDescent="0.2">
      <c r="B13046" s="43"/>
    </row>
    <row r="13047" spans="2:2" ht="12.75" customHeight="1" x14ac:dyDescent="0.2">
      <c r="B13047" s="43"/>
    </row>
    <row r="13048" spans="2:2" ht="12.75" customHeight="1" x14ac:dyDescent="0.2">
      <c r="B13048" s="43"/>
    </row>
    <row r="13049" spans="2:2" ht="12.75" customHeight="1" x14ac:dyDescent="0.2">
      <c r="B13049" s="43"/>
    </row>
    <row r="13050" spans="2:2" ht="12.75" customHeight="1" x14ac:dyDescent="0.2">
      <c r="B13050" s="43"/>
    </row>
    <row r="13051" spans="2:2" ht="12.75" customHeight="1" x14ac:dyDescent="0.2">
      <c r="B13051" s="43"/>
    </row>
    <row r="13052" spans="2:2" ht="12.75" customHeight="1" x14ac:dyDescent="0.2">
      <c r="B13052" s="43"/>
    </row>
    <row r="13053" spans="2:2" ht="12.75" customHeight="1" x14ac:dyDescent="0.2">
      <c r="B13053" s="43"/>
    </row>
    <row r="13054" spans="2:2" ht="12.75" customHeight="1" x14ac:dyDescent="0.2">
      <c r="B13054" s="43"/>
    </row>
    <row r="13055" spans="2:2" ht="12.75" customHeight="1" x14ac:dyDescent="0.2">
      <c r="B13055" s="43"/>
    </row>
    <row r="13056" spans="2:2" ht="12.75" customHeight="1" x14ac:dyDescent="0.2">
      <c r="B13056" s="43"/>
    </row>
    <row r="13057" spans="2:2" ht="12.75" customHeight="1" x14ac:dyDescent="0.2">
      <c r="B13057" s="43"/>
    </row>
    <row r="13058" spans="2:2" ht="12.75" customHeight="1" x14ac:dyDescent="0.2">
      <c r="B13058" s="43"/>
    </row>
    <row r="13059" spans="2:2" ht="12.75" customHeight="1" x14ac:dyDescent="0.2">
      <c r="B13059" s="43"/>
    </row>
    <row r="13060" spans="2:2" ht="12.75" customHeight="1" x14ac:dyDescent="0.2">
      <c r="B13060" s="43"/>
    </row>
    <row r="13061" spans="2:2" ht="12.75" customHeight="1" x14ac:dyDescent="0.2">
      <c r="B13061" s="43"/>
    </row>
    <row r="13062" spans="2:2" ht="12.75" customHeight="1" x14ac:dyDescent="0.2">
      <c r="B13062" s="43"/>
    </row>
    <row r="13063" spans="2:2" ht="12.75" customHeight="1" x14ac:dyDescent="0.2">
      <c r="B13063" s="43"/>
    </row>
    <row r="13064" spans="2:2" ht="12.75" customHeight="1" x14ac:dyDescent="0.2">
      <c r="B13064" s="43"/>
    </row>
    <row r="13065" spans="2:2" ht="12.75" customHeight="1" x14ac:dyDescent="0.2">
      <c r="B13065" s="43"/>
    </row>
    <row r="13066" spans="2:2" ht="12.75" customHeight="1" x14ac:dyDescent="0.2">
      <c r="B13066" s="43"/>
    </row>
    <row r="13067" spans="2:2" ht="12.75" customHeight="1" x14ac:dyDescent="0.2">
      <c r="B13067" s="43"/>
    </row>
    <row r="13068" spans="2:2" ht="12.75" customHeight="1" x14ac:dyDescent="0.2">
      <c r="B13068" s="43"/>
    </row>
    <row r="13069" spans="2:2" ht="12.75" customHeight="1" x14ac:dyDescent="0.2">
      <c r="B13069" s="43"/>
    </row>
    <row r="13070" spans="2:2" ht="12.75" customHeight="1" x14ac:dyDescent="0.2">
      <c r="B13070" s="43"/>
    </row>
    <row r="13071" spans="2:2" ht="12.75" customHeight="1" x14ac:dyDescent="0.2">
      <c r="B13071" s="43"/>
    </row>
    <row r="13072" spans="2:2" ht="12.75" customHeight="1" x14ac:dyDescent="0.2">
      <c r="B13072" s="43"/>
    </row>
    <row r="13073" spans="2:2" ht="12.75" customHeight="1" x14ac:dyDescent="0.2">
      <c r="B13073" s="43"/>
    </row>
    <row r="13074" spans="2:2" ht="12.75" customHeight="1" x14ac:dyDescent="0.2">
      <c r="B13074" s="43"/>
    </row>
    <row r="13075" spans="2:2" ht="12.75" customHeight="1" x14ac:dyDescent="0.2">
      <c r="B13075" s="43"/>
    </row>
    <row r="13076" spans="2:2" ht="12.75" customHeight="1" x14ac:dyDescent="0.2">
      <c r="B13076" s="43"/>
    </row>
    <row r="13077" spans="2:2" ht="12.75" customHeight="1" x14ac:dyDescent="0.2">
      <c r="B13077" s="43"/>
    </row>
    <row r="13078" spans="2:2" ht="12.75" customHeight="1" x14ac:dyDescent="0.2">
      <c r="B13078" s="43"/>
    </row>
    <row r="13079" spans="2:2" ht="12.75" customHeight="1" x14ac:dyDescent="0.2">
      <c r="B13079" s="43"/>
    </row>
    <row r="13080" spans="2:2" ht="12.75" customHeight="1" x14ac:dyDescent="0.2">
      <c r="B13080" s="43"/>
    </row>
    <row r="13081" spans="2:2" ht="12.75" customHeight="1" x14ac:dyDescent="0.2">
      <c r="B13081" s="43"/>
    </row>
    <row r="13082" spans="2:2" ht="12.75" customHeight="1" x14ac:dyDescent="0.2">
      <c r="B13082" s="43"/>
    </row>
    <row r="13083" spans="2:2" ht="12.75" customHeight="1" x14ac:dyDescent="0.2">
      <c r="B13083" s="43"/>
    </row>
    <row r="13084" spans="2:2" ht="12.75" customHeight="1" x14ac:dyDescent="0.2">
      <c r="B13084" s="43"/>
    </row>
    <row r="13085" spans="2:2" ht="12.75" customHeight="1" x14ac:dyDescent="0.2">
      <c r="B13085" s="43"/>
    </row>
    <row r="13086" spans="2:2" ht="12.75" customHeight="1" x14ac:dyDescent="0.2">
      <c r="B13086" s="43"/>
    </row>
    <row r="13087" spans="2:2" ht="12.75" customHeight="1" x14ac:dyDescent="0.2">
      <c r="B13087" s="43"/>
    </row>
    <row r="13088" spans="2:2" ht="12.75" customHeight="1" x14ac:dyDescent="0.2">
      <c r="B13088" s="43"/>
    </row>
    <row r="13089" spans="2:2" ht="12.75" customHeight="1" x14ac:dyDescent="0.2">
      <c r="B13089" s="43"/>
    </row>
    <row r="13090" spans="2:2" ht="12.75" customHeight="1" x14ac:dyDescent="0.2">
      <c r="B13090" s="43"/>
    </row>
    <row r="13091" spans="2:2" ht="12.75" customHeight="1" x14ac:dyDescent="0.2">
      <c r="B13091" s="43"/>
    </row>
    <row r="13092" spans="2:2" ht="12.75" customHeight="1" x14ac:dyDescent="0.2">
      <c r="B13092" s="43"/>
    </row>
    <row r="13093" spans="2:2" ht="12.75" customHeight="1" x14ac:dyDescent="0.2">
      <c r="B13093" s="43"/>
    </row>
    <row r="13094" spans="2:2" ht="12.75" customHeight="1" x14ac:dyDescent="0.2">
      <c r="B13094" s="43"/>
    </row>
    <row r="13095" spans="2:2" ht="12.75" customHeight="1" x14ac:dyDescent="0.2">
      <c r="B13095" s="43"/>
    </row>
    <row r="13096" spans="2:2" ht="12.75" customHeight="1" x14ac:dyDescent="0.2">
      <c r="B13096" s="43"/>
    </row>
    <row r="13097" spans="2:2" ht="12.75" customHeight="1" x14ac:dyDescent="0.2">
      <c r="B13097" s="43"/>
    </row>
    <row r="13098" spans="2:2" ht="12.75" customHeight="1" x14ac:dyDescent="0.2">
      <c r="B13098" s="43"/>
    </row>
    <row r="13099" spans="2:2" ht="12.75" customHeight="1" x14ac:dyDescent="0.2">
      <c r="B13099" s="43"/>
    </row>
    <row r="13100" spans="2:2" ht="12.75" customHeight="1" x14ac:dyDescent="0.2">
      <c r="B13100" s="43"/>
    </row>
    <row r="13101" spans="2:2" ht="12.75" customHeight="1" x14ac:dyDescent="0.2">
      <c r="B13101" s="43"/>
    </row>
    <row r="13102" spans="2:2" ht="12.75" customHeight="1" x14ac:dyDescent="0.2">
      <c r="B13102" s="43"/>
    </row>
    <row r="13103" spans="2:2" ht="12.75" customHeight="1" x14ac:dyDescent="0.2">
      <c r="B13103" s="43"/>
    </row>
    <row r="13104" spans="2:2" ht="12.75" customHeight="1" x14ac:dyDescent="0.2">
      <c r="B13104" s="43"/>
    </row>
    <row r="13105" spans="2:2" ht="12.75" customHeight="1" x14ac:dyDescent="0.2">
      <c r="B13105" s="43"/>
    </row>
    <row r="13106" spans="2:2" ht="12.75" customHeight="1" x14ac:dyDescent="0.2">
      <c r="B13106" s="43"/>
    </row>
    <row r="13107" spans="2:2" ht="12.75" customHeight="1" x14ac:dyDescent="0.2">
      <c r="B13107" s="43"/>
    </row>
    <row r="13108" spans="2:2" ht="12.75" customHeight="1" x14ac:dyDescent="0.2">
      <c r="B13108" s="43"/>
    </row>
    <row r="13109" spans="2:2" ht="12.75" customHeight="1" x14ac:dyDescent="0.2">
      <c r="B13109" s="43"/>
    </row>
    <row r="13110" spans="2:2" ht="12.75" customHeight="1" x14ac:dyDescent="0.2">
      <c r="B13110" s="43"/>
    </row>
    <row r="13111" spans="2:2" ht="12.75" customHeight="1" x14ac:dyDescent="0.2">
      <c r="B13111" s="43"/>
    </row>
    <row r="13112" spans="2:2" ht="12.75" customHeight="1" x14ac:dyDescent="0.2">
      <c r="B13112" s="43"/>
    </row>
    <row r="13113" spans="2:2" ht="12.75" customHeight="1" x14ac:dyDescent="0.2">
      <c r="B13113" s="43"/>
    </row>
    <row r="13114" spans="2:2" ht="12.75" customHeight="1" x14ac:dyDescent="0.2">
      <c r="B13114" s="43"/>
    </row>
    <row r="13115" spans="2:2" ht="12.75" customHeight="1" x14ac:dyDescent="0.2">
      <c r="B13115" s="43"/>
    </row>
    <row r="13116" spans="2:2" ht="12.75" customHeight="1" x14ac:dyDescent="0.2">
      <c r="B13116" s="43"/>
    </row>
    <row r="13117" spans="2:2" ht="12.75" customHeight="1" x14ac:dyDescent="0.2">
      <c r="B13117" s="43"/>
    </row>
    <row r="13118" spans="2:2" ht="12.75" customHeight="1" x14ac:dyDescent="0.2">
      <c r="B13118" s="43"/>
    </row>
    <row r="13119" spans="2:2" ht="12.75" customHeight="1" x14ac:dyDescent="0.2">
      <c r="B13119" s="43"/>
    </row>
    <row r="13120" spans="2:2" ht="12.75" customHeight="1" x14ac:dyDescent="0.2">
      <c r="B13120" s="43"/>
    </row>
    <row r="13121" spans="2:2" ht="12.75" customHeight="1" x14ac:dyDescent="0.2">
      <c r="B13121" s="43"/>
    </row>
    <row r="13122" spans="2:2" ht="12.75" customHeight="1" x14ac:dyDescent="0.2">
      <c r="B13122" s="43"/>
    </row>
    <row r="13123" spans="2:2" ht="12.75" customHeight="1" x14ac:dyDescent="0.2">
      <c r="B13123" s="43"/>
    </row>
    <row r="13124" spans="2:2" ht="12.75" customHeight="1" x14ac:dyDescent="0.2">
      <c r="B13124" s="43"/>
    </row>
    <row r="13125" spans="2:2" ht="12.75" customHeight="1" x14ac:dyDescent="0.2">
      <c r="B13125" s="43"/>
    </row>
    <row r="13126" spans="2:2" ht="12.75" customHeight="1" x14ac:dyDescent="0.2">
      <c r="B13126" s="43"/>
    </row>
    <row r="13127" spans="2:2" ht="12.75" customHeight="1" x14ac:dyDescent="0.2">
      <c r="B13127" s="43"/>
    </row>
    <row r="13128" spans="2:2" ht="12.75" customHeight="1" x14ac:dyDescent="0.2">
      <c r="B13128" s="43"/>
    </row>
    <row r="13129" spans="2:2" ht="12.75" customHeight="1" x14ac:dyDescent="0.2">
      <c r="B13129" s="43"/>
    </row>
    <row r="13130" spans="2:2" ht="12.75" customHeight="1" x14ac:dyDescent="0.2">
      <c r="B13130" s="43"/>
    </row>
    <row r="13131" spans="2:2" ht="12.75" customHeight="1" x14ac:dyDescent="0.2">
      <c r="B13131" s="43"/>
    </row>
    <row r="13132" spans="2:2" ht="12.75" customHeight="1" x14ac:dyDescent="0.2">
      <c r="B13132" s="43"/>
    </row>
    <row r="13133" spans="2:2" ht="12.75" customHeight="1" x14ac:dyDescent="0.2">
      <c r="B13133" s="43"/>
    </row>
    <row r="13134" spans="2:2" ht="12.75" customHeight="1" x14ac:dyDescent="0.2">
      <c r="B13134" s="43"/>
    </row>
    <row r="13135" spans="2:2" ht="12.75" customHeight="1" x14ac:dyDescent="0.2">
      <c r="B13135" s="43"/>
    </row>
    <row r="13136" spans="2:2" ht="12.75" customHeight="1" x14ac:dyDescent="0.2">
      <c r="B13136" s="43"/>
    </row>
    <row r="13137" spans="2:2" ht="12.75" customHeight="1" x14ac:dyDescent="0.2">
      <c r="B13137" s="43"/>
    </row>
    <row r="13138" spans="2:2" ht="12.75" customHeight="1" x14ac:dyDescent="0.2">
      <c r="B13138" s="43"/>
    </row>
    <row r="13139" spans="2:2" ht="12.75" customHeight="1" x14ac:dyDescent="0.2">
      <c r="B13139" s="43"/>
    </row>
    <row r="13140" spans="2:2" ht="12.75" customHeight="1" x14ac:dyDescent="0.2">
      <c r="B13140" s="43"/>
    </row>
    <row r="13141" spans="2:2" ht="12.75" customHeight="1" x14ac:dyDescent="0.2">
      <c r="B13141" s="43"/>
    </row>
    <row r="13142" spans="2:2" ht="12.75" customHeight="1" x14ac:dyDescent="0.2">
      <c r="B13142" s="43"/>
    </row>
    <row r="13143" spans="2:2" ht="12.75" customHeight="1" x14ac:dyDescent="0.2">
      <c r="B13143" s="43"/>
    </row>
    <row r="13144" spans="2:2" ht="12.75" customHeight="1" x14ac:dyDescent="0.2">
      <c r="B13144" s="43"/>
    </row>
    <row r="13145" spans="2:2" ht="12.75" customHeight="1" x14ac:dyDescent="0.2">
      <c r="B13145" s="43"/>
    </row>
    <row r="13146" spans="2:2" ht="12.75" customHeight="1" x14ac:dyDescent="0.2">
      <c r="B13146" s="43"/>
    </row>
    <row r="13147" spans="2:2" ht="12.75" customHeight="1" x14ac:dyDescent="0.2">
      <c r="B13147" s="43"/>
    </row>
    <row r="13148" spans="2:2" ht="12.75" customHeight="1" x14ac:dyDescent="0.2">
      <c r="B13148" s="43"/>
    </row>
    <row r="13149" spans="2:2" ht="12.75" customHeight="1" x14ac:dyDescent="0.2">
      <c r="B13149" s="43"/>
    </row>
    <row r="13150" spans="2:2" ht="12.75" customHeight="1" x14ac:dyDescent="0.2">
      <c r="B13150" s="43"/>
    </row>
    <row r="13151" spans="2:2" ht="12.75" customHeight="1" x14ac:dyDescent="0.2">
      <c r="B13151" s="43"/>
    </row>
    <row r="13152" spans="2:2" ht="12.75" customHeight="1" x14ac:dyDescent="0.2">
      <c r="B13152" s="43"/>
    </row>
    <row r="13153" spans="2:2" ht="12.75" customHeight="1" x14ac:dyDescent="0.2">
      <c r="B13153" s="43"/>
    </row>
    <row r="13154" spans="2:2" ht="12.75" customHeight="1" x14ac:dyDescent="0.2">
      <c r="B13154" s="43"/>
    </row>
    <row r="13155" spans="2:2" ht="12.75" customHeight="1" x14ac:dyDescent="0.2">
      <c r="B13155" s="43"/>
    </row>
    <row r="13156" spans="2:2" ht="12.75" customHeight="1" x14ac:dyDescent="0.2">
      <c r="B13156" s="43"/>
    </row>
    <row r="13157" spans="2:2" ht="12.75" customHeight="1" x14ac:dyDescent="0.2">
      <c r="B13157" s="43"/>
    </row>
    <row r="13158" spans="2:2" ht="12.75" customHeight="1" x14ac:dyDescent="0.2">
      <c r="B13158" s="43"/>
    </row>
    <row r="13159" spans="2:2" ht="12.75" customHeight="1" x14ac:dyDescent="0.2">
      <c r="B13159" s="43"/>
    </row>
    <row r="13160" spans="2:2" ht="12.75" customHeight="1" x14ac:dyDescent="0.2">
      <c r="B13160" s="43"/>
    </row>
    <row r="13161" spans="2:2" ht="12.75" customHeight="1" x14ac:dyDescent="0.2">
      <c r="B13161" s="43"/>
    </row>
    <row r="13162" spans="2:2" ht="12.75" customHeight="1" x14ac:dyDescent="0.2">
      <c r="B13162" s="43"/>
    </row>
    <row r="13163" spans="2:2" ht="12.75" customHeight="1" x14ac:dyDescent="0.2">
      <c r="B13163" s="43"/>
    </row>
    <row r="13164" spans="2:2" ht="12.75" customHeight="1" x14ac:dyDescent="0.2">
      <c r="B13164" s="43"/>
    </row>
    <row r="13165" spans="2:2" ht="12.75" customHeight="1" x14ac:dyDescent="0.2">
      <c r="B13165" s="43"/>
    </row>
    <row r="13166" spans="2:2" ht="12.75" customHeight="1" x14ac:dyDescent="0.2">
      <c r="B13166" s="43"/>
    </row>
    <row r="13167" spans="2:2" ht="12.75" customHeight="1" x14ac:dyDescent="0.2">
      <c r="B13167" s="43"/>
    </row>
    <row r="13168" spans="2:2" ht="12.75" customHeight="1" x14ac:dyDescent="0.2">
      <c r="B13168" s="43"/>
    </row>
    <row r="13169" spans="2:2" ht="12.75" customHeight="1" x14ac:dyDescent="0.2">
      <c r="B13169" s="43"/>
    </row>
    <row r="13170" spans="2:2" ht="12.75" customHeight="1" x14ac:dyDescent="0.2">
      <c r="B13170" s="43"/>
    </row>
    <row r="13171" spans="2:2" ht="12.75" customHeight="1" x14ac:dyDescent="0.2">
      <c r="B13171" s="43"/>
    </row>
    <row r="13172" spans="2:2" ht="12.75" customHeight="1" x14ac:dyDescent="0.2">
      <c r="B13172" s="43"/>
    </row>
    <row r="13173" spans="2:2" ht="12.75" customHeight="1" x14ac:dyDescent="0.2">
      <c r="B13173" s="43"/>
    </row>
    <row r="13174" spans="2:2" ht="12.75" customHeight="1" x14ac:dyDescent="0.2">
      <c r="B13174" s="43"/>
    </row>
    <row r="13175" spans="2:2" ht="12.75" customHeight="1" x14ac:dyDescent="0.2">
      <c r="B13175" s="43"/>
    </row>
    <row r="13176" spans="2:2" ht="12.75" customHeight="1" x14ac:dyDescent="0.2">
      <c r="B13176" s="43"/>
    </row>
    <row r="13177" spans="2:2" ht="12.75" customHeight="1" x14ac:dyDescent="0.2">
      <c r="B13177" s="43"/>
    </row>
    <row r="13178" spans="2:2" ht="12.75" customHeight="1" x14ac:dyDescent="0.2">
      <c r="B13178" s="43"/>
    </row>
    <row r="13179" spans="2:2" ht="12.75" customHeight="1" x14ac:dyDescent="0.2">
      <c r="B13179" s="43"/>
    </row>
    <row r="13180" spans="2:2" ht="12.75" customHeight="1" x14ac:dyDescent="0.2">
      <c r="B13180" s="43"/>
    </row>
    <row r="13181" spans="2:2" ht="12.75" customHeight="1" x14ac:dyDescent="0.2">
      <c r="B13181" s="43"/>
    </row>
    <row r="13182" spans="2:2" ht="12.75" customHeight="1" x14ac:dyDescent="0.2">
      <c r="B13182" s="43"/>
    </row>
    <row r="13183" spans="2:2" ht="12.75" customHeight="1" x14ac:dyDescent="0.2">
      <c r="B13183" s="43"/>
    </row>
    <row r="13184" spans="2:2" ht="12.75" customHeight="1" x14ac:dyDescent="0.2">
      <c r="B13184" s="43"/>
    </row>
    <row r="13185" spans="2:2" ht="12.75" customHeight="1" x14ac:dyDescent="0.2">
      <c r="B13185" s="43"/>
    </row>
    <row r="13186" spans="2:2" ht="12.75" customHeight="1" x14ac:dyDescent="0.2">
      <c r="B13186" s="43"/>
    </row>
    <row r="13187" spans="2:2" ht="12.75" customHeight="1" x14ac:dyDescent="0.2">
      <c r="B13187" s="43"/>
    </row>
    <row r="13188" spans="2:2" ht="12.75" customHeight="1" x14ac:dyDescent="0.2">
      <c r="B13188" s="43"/>
    </row>
    <row r="13189" spans="2:2" ht="12.75" customHeight="1" x14ac:dyDescent="0.2">
      <c r="B13189" s="43"/>
    </row>
    <row r="13190" spans="2:2" ht="12.75" customHeight="1" x14ac:dyDescent="0.2">
      <c r="B13190" s="43"/>
    </row>
    <row r="13191" spans="2:2" ht="12.75" customHeight="1" x14ac:dyDescent="0.2">
      <c r="B13191" s="43"/>
    </row>
    <row r="13192" spans="2:2" ht="12.75" customHeight="1" x14ac:dyDescent="0.2">
      <c r="B13192" s="43"/>
    </row>
    <row r="13193" spans="2:2" ht="12.75" customHeight="1" x14ac:dyDescent="0.2">
      <c r="B13193" s="43"/>
    </row>
    <row r="13194" spans="2:2" ht="12.75" customHeight="1" x14ac:dyDescent="0.2">
      <c r="B13194" s="43"/>
    </row>
    <row r="13195" spans="2:2" ht="12.75" customHeight="1" x14ac:dyDescent="0.2">
      <c r="B13195" s="43"/>
    </row>
    <row r="13196" spans="2:2" ht="12.75" customHeight="1" x14ac:dyDescent="0.2">
      <c r="B13196" s="43"/>
    </row>
    <row r="13197" spans="2:2" ht="12.75" customHeight="1" x14ac:dyDescent="0.2">
      <c r="B13197" s="43"/>
    </row>
    <row r="13198" spans="2:2" ht="12.75" customHeight="1" x14ac:dyDescent="0.2">
      <c r="B13198" s="43"/>
    </row>
    <row r="13199" spans="2:2" ht="12.75" customHeight="1" x14ac:dyDescent="0.2">
      <c r="B13199" s="43"/>
    </row>
    <row r="13200" spans="2:2" ht="12.75" customHeight="1" x14ac:dyDescent="0.2">
      <c r="B13200" s="43"/>
    </row>
    <row r="13201" spans="2:2" ht="12.75" customHeight="1" x14ac:dyDescent="0.2">
      <c r="B13201" s="43"/>
    </row>
    <row r="13202" spans="2:2" ht="12.75" customHeight="1" x14ac:dyDescent="0.2">
      <c r="B13202" s="43"/>
    </row>
    <row r="13203" spans="2:2" ht="12.75" customHeight="1" x14ac:dyDescent="0.2">
      <c r="B13203" s="43"/>
    </row>
    <row r="13204" spans="2:2" ht="12.75" customHeight="1" x14ac:dyDescent="0.2">
      <c r="B13204" s="43"/>
    </row>
    <row r="13205" spans="2:2" ht="12.75" customHeight="1" x14ac:dyDescent="0.2">
      <c r="B13205" s="43"/>
    </row>
    <row r="13206" spans="2:2" ht="12.75" customHeight="1" x14ac:dyDescent="0.2">
      <c r="B13206" s="43"/>
    </row>
    <row r="13207" spans="2:2" ht="12.75" customHeight="1" x14ac:dyDescent="0.2">
      <c r="B13207" s="43"/>
    </row>
    <row r="13208" spans="2:2" ht="12.75" customHeight="1" x14ac:dyDescent="0.2">
      <c r="B13208" s="43"/>
    </row>
    <row r="13209" spans="2:2" ht="12.75" customHeight="1" x14ac:dyDescent="0.2">
      <c r="B13209" s="43"/>
    </row>
    <row r="13210" spans="2:2" ht="12.75" customHeight="1" x14ac:dyDescent="0.2">
      <c r="B13210" s="43"/>
    </row>
    <row r="13211" spans="2:2" ht="12.75" customHeight="1" x14ac:dyDescent="0.2">
      <c r="B13211" s="43"/>
    </row>
    <row r="13212" spans="2:2" ht="12.75" customHeight="1" x14ac:dyDescent="0.2">
      <c r="B13212" s="43"/>
    </row>
    <row r="13213" spans="2:2" ht="12.75" customHeight="1" x14ac:dyDescent="0.2">
      <c r="B13213" s="43"/>
    </row>
    <row r="13214" spans="2:2" ht="12.75" customHeight="1" x14ac:dyDescent="0.2">
      <c r="B13214" s="43"/>
    </row>
    <row r="13215" spans="2:2" ht="12.75" customHeight="1" x14ac:dyDescent="0.2">
      <c r="B13215" s="43"/>
    </row>
    <row r="13216" spans="2:2" ht="12.75" customHeight="1" x14ac:dyDescent="0.2">
      <c r="B13216" s="43"/>
    </row>
    <row r="13217" spans="2:2" ht="12.75" customHeight="1" x14ac:dyDescent="0.2">
      <c r="B13217" s="43"/>
    </row>
    <row r="13218" spans="2:2" ht="12.75" customHeight="1" x14ac:dyDescent="0.2">
      <c r="B13218" s="43"/>
    </row>
    <row r="13219" spans="2:2" ht="12.75" customHeight="1" x14ac:dyDescent="0.2">
      <c r="B13219" s="43"/>
    </row>
    <row r="13220" spans="2:2" ht="12.75" customHeight="1" x14ac:dyDescent="0.2">
      <c r="B13220" s="43"/>
    </row>
    <row r="13221" spans="2:2" ht="12.75" customHeight="1" x14ac:dyDescent="0.2">
      <c r="B13221" s="43"/>
    </row>
    <row r="13222" spans="2:2" ht="12.75" customHeight="1" x14ac:dyDescent="0.2">
      <c r="B13222" s="43"/>
    </row>
    <row r="13223" spans="2:2" ht="12.75" customHeight="1" x14ac:dyDescent="0.2">
      <c r="B13223" s="43"/>
    </row>
    <row r="13224" spans="2:2" ht="12.75" customHeight="1" x14ac:dyDescent="0.2">
      <c r="B13224" s="43"/>
    </row>
    <row r="13225" spans="2:2" ht="12.75" customHeight="1" x14ac:dyDescent="0.2">
      <c r="B13225" s="43"/>
    </row>
    <row r="13226" spans="2:2" ht="12.75" customHeight="1" x14ac:dyDescent="0.2">
      <c r="B13226" s="43"/>
    </row>
    <row r="13227" spans="2:2" ht="12.75" customHeight="1" x14ac:dyDescent="0.2">
      <c r="B13227" s="43"/>
    </row>
    <row r="13228" spans="2:2" ht="12.75" customHeight="1" x14ac:dyDescent="0.2">
      <c r="B13228" s="43"/>
    </row>
    <row r="13229" spans="2:2" ht="12.75" customHeight="1" x14ac:dyDescent="0.2">
      <c r="B13229" s="43"/>
    </row>
    <row r="13230" spans="2:2" ht="12.75" customHeight="1" x14ac:dyDescent="0.2">
      <c r="B13230" s="43"/>
    </row>
    <row r="13231" spans="2:2" ht="12.75" customHeight="1" x14ac:dyDescent="0.2">
      <c r="B13231" s="43"/>
    </row>
    <row r="13232" spans="2:2" ht="12.75" customHeight="1" x14ac:dyDescent="0.2">
      <c r="B13232" s="43"/>
    </row>
    <row r="13233" spans="2:2" ht="12.75" customHeight="1" x14ac:dyDescent="0.2">
      <c r="B13233" s="43"/>
    </row>
    <row r="13234" spans="2:2" ht="12.75" customHeight="1" x14ac:dyDescent="0.2">
      <c r="B13234" s="43"/>
    </row>
    <row r="13235" spans="2:2" ht="12.75" customHeight="1" x14ac:dyDescent="0.2">
      <c r="B13235" s="43"/>
    </row>
    <row r="13236" spans="2:2" ht="12.75" customHeight="1" x14ac:dyDescent="0.2">
      <c r="B13236" s="43"/>
    </row>
    <row r="13237" spans="2:2" ht="12.75" customHeight="1" x14ac:dyDescent="0.2">
      <c r="B13237" s="43"/>
    </row>
    <row r="13238" spans="2:2" ht="12.75" customHeight="1" x14ac:dyDescent="0.2">
      <c r="B13238" s="43"/>
    </row>
    <row r="13239" spans="2:2" ht="12.75" customHeight="1" x14ac:dyDescent="0.2">
      <c r="B13239" s="43"/>
    </row>
    <row r="13240" spans="2:2" ht="12.75" customHeight="1" x14ac:dyDescent="0.2">
      <c r="B13240" s="43"/>
    </row>
    <row r="13241" spans="2:2" ht="12.75" customHeight="1" x14ac:dyDescent="0.2">
      <c r="B13241" s="43"/>
    </row>
    <row r="13242" spans="2:2" ht="12.75" customHeight="1" x14ac:dyDescent="0.2">
      <c r="B13242" s="43"/>
    </row>
    <row r="13243" spans="2:2" ht="12.75" customHeight="1" x14ac:dyDescent="0.2">
      <c r="B13243" s="43"/>
    </row>
    <row r="13244" spans="2:2" ht="12.75" customHeight="1" x14ac:dyDescent="0.2">
      <c r="B13244" s="43"/>
    </row>
    <row r="13245" spans="2:2" ht="12.75" customHeight="1" x14ac:dyDescent="0.2">
      <c r="B13245" s="43"/>
    </row>
    <row r="13246" spans="2:2" ht="12.75" customHeight="1" x14ac:dyDescent="0.2">
      <c r="B13246" s="43"/>
    </row>
    <row r="13247" spans="2:2" ht="12.75" customHeight="1" x14ac:dyDescent="0.2">
      <c r="B13247" s="43"/>
    </row>
    <row r="13248" spans="2:2" ht="12.75" customHeight="1" x14ac:dyDescent="0.2">
      <c r="B13248" s="43"/>
    </row>
    <row r="13249" spans="2:2" ht="12.75" customHeight="1" x14ac:dyDescent="0.2">
      <c r="B13249" s="43"/>
    </row>
    <row r="13250" spans="2:2" ht="12.75" customHeight="1" x14ac:dyDescent="0.2">
      <c r="B13250" s="43"/>
    </row>
    <row r="13251" spans="2:2" ht="12.75" customHeight="1" x14ac:dyDescent="0.2">
      <c r="B13251" s="43"/>
    </row>
    <row r="13252" spans="2:2" ht="12.75" customHeight="1" x14ac:dyDescent="0.2">
      <c r="B13252" s="43"/>
    </row>
    <row r="13253" spans="2:2" ht="12.75" customHeight="1" x14ac:dyDescent="0.2">
      <c r="B13253" s="43"/>
    </row>
    <row r="13254" spans="2:2" ht="12.75" customHeight="1" x14ac:dyDescent="0.2">
      <c r="B13254" s="43"/>
    </row>
    <row r="13255" spans="2:2" ht="12.75" customHeight="1" x14ac:dyDescent="0.2">
      <c r="B13255" s="43"/>
    </row>
    <row r="13256" spans="2:2" ht="12.75" customHeight="1" x14ac:dyDescent="0.2">
      <c r="B13256" s="43"/>
    </row>
    <row r="13257" spans="2:2" ht="12.75" customHeight="1" x14ac:dyDescent="0.2">
      <c r="B13257" s="43"/>
    </row>
    <row r="13258" spans="2:2" ht="12.75" customHeight="1" x14ac:dyDescent="0.2">
      <c r="B13258" s="43"/>
    </row>
    <row r="13259" spans="2:2" ht="12.75" customHeight="1" x14ac:dyDescent="0.2">
      <c r="B13259" s="43"/>
    </row>
    <row r="13260" spans="2:2" ht="12.75" customHeight="1" x14ac:dyDescent="0.2">
      <c r="B13260" s="43"/>
    </row>
    <row r="13261" spans="2:2" ht="12.75" customHeight="1" x14ac:dyDescent="0.2">
      <c r="B13261" s="43"/>
    </row>
    <row r="13262" spans="2:2" ht="12.75" customHeight="1" x14ac:dyDescent="0.2">
      <c r="B13262" s="43"/>
    </row>
    <row r="13263" spans="2:2" ht="12.75" customHeight="1" x14ac:dyDescent="0.2">
      <c r="B13263" s="43"/>
    </row>
    <row r="13264" spans="2:2" ht="12.75" customHeight="1" x14ac:dyDescent="0.2">
      <c r="B13264" s="43"/>
    </row>
    <row r="13265" spans="2:2" ht="12.75" customHeight="1" x14ac:dyDescent="0.2">
      <c r="B13265" s="43"/>
    </row>
    <row r="13266" spans="2:2" ht="12.75" customHeight="1" x14ac:dyDescent="0.2">
      <c r="B13266" s="43"/>
    </row>
    <row r="13267" spans="2:2" ht="12.75" customHeight="1" x14ac:dyDescent="0.2">
      <c r="B13267" s="43"/>
    </row>
    <row r="13268" spans="2:2" ht="12.75" customHeight="1" x14ac:dyDescent="0.2">
      <c r="B13268" s="43"/>
    </row>
    <row r="13269" spans="2:2" ht="12.75" customHeight="1" x14ac:dyDescent="0.2">
      <c r="B13269" s="43"/>
    </row>
    <row r="13270" spans="2:2" ht="12.75" customHeight="1" x14ac:dyDescent="0.2">
      <c r="B13270" s="43"/>
    </row>
    <row r="13271" spans="2:2" ht="12.75" customHeight="1" x14ac:dyDescent="0.2">
      <c r="B13271" s="43"/>
    </row>
    <row r="13272" spans="2:2" ht="12.75" customHeight="1" x14ac:dyDescent="0.2">
      <c r="B13272" s="43"/>
    </row>
    <row r="13273" spans="2:2" ht="12.75" customHeight="1" x14ac:dyDescent="0.2">
      <c r="B13273" s="43"/>
    </row>
    <row r="13274" spans="2:2" ht="12.75" customHeight="1" x14ac:dyDescent="0.2">
      <c r="B13274" s="43"/>
    </row>
    <row r="13275" spans="2:2" ht="12.75" customHeight="1" x14ac:dyDescent="0.2">
      <c r="B13275" s="43"/>
    </row>
    <row r="13276" spans="2:2" ht="12.75" customHeight="1" x14ac:dyDescent="0.2">
      <c r="B13276" s="43"/>
    </row>
    <row r="13277" spans="2:2" ht="12.75" customHeight="1" x14ac:dyDescent="0.2">
      <c r="B13277" s="43"/>
    </row>
    <row r="13278" spans="2:2" ht="12.75" customHeight="1" x14ac:dyDescent="0.2">
      <c r="B13278" s="43"/>
    </row>
    <row r="13279" spans="2:2" ht="12.75" customHeight="1" x14ac:dyDescent="0.2">
      <c r="B13279" s="43"/>
    </row>
    <row r="13280" spans="2:2" ht="12.75" customHeight="1" x14ac:dyDescent="0.2">
      <c r="B13280" s="43"/>
    </row>
    <row r="13281" spans="2:2" ht="12.75" customHeight="1" x14ac:dyDescent="0.2">
      <c r="B13281" s="43"/>
    </row>
    <row r="13282" spans="2:2" ht="12.75" customHeight="1" x14ac:dyDescent="0.2">
      <c r="B13282" s="43"/>
    </row>
    <row r="13283" spans="2:2" ht="12.75" customHeight="1" x14ac:dyDescent="0.2">
      <c r="B13283" s="43"/>
    </row>
    <row r="13284" spans="2:2" ht="12.75" customHeight="1" x14ac:dyDescent="0.2">
      <c r="B13284" s="43"/>
    </row>
    <row r="13285" spans="2:2" ht="12.75" customHeight="1" x14ac:dyDescent="0.2">
      <c r="B13285" s="43"/>
    </row>
    <row r="13286" spans="2:2" ht="12.75" customHeight="1" x14ac:dyDescent="0.2">
      <c r="B13286" s="43"/>
    </row>
    <row r="13287" spans="2:2" ht="12.75" customHeight="1" x14ac:dyDescent="0.2">
      <c r="B13287" s="43"/>
    </row>
    <row r="13288" spans="2:2" ht="12.75" customHeight="1" x14ac:dyDescent="0.2">
      <c r="B13288" s="43"/>
    </row>
    <row r="13289" spans="2:2" ht="12.75" customHeight="1" x14ac:dyDescent="0.2">
      <c r="B13289" s="43"/>
    </row>
    <row r="13290" spans="2:2" ht="12.75" customHeight="1" x14ac:dyDescent="0.2">
      <c r="B13290" s="43"/>
    </row>
    <row r="13291" spans="2:2" ht="12.75" customHeight="1" x14ac:dyDescent="0.2">
      <c r="B13291" s="43"/>
    </row>
    <row r="13292" spans="2:2" ht="12.75" customHeight="1" x14ac:dyDescent="0.2">
      <c r="B13292" s="43"/>
    </row>
    <row r="13293" spans="2:2" ht="12.75" customHeight="1" x14ac:dyDescent="0.2">
      <c r="B13293" s="43"/>
    </row>
    <row r="13294" spans="2:2" ht="12.75" customHeight="1" x14ac:dyDescent="0.2">
      <c r="B13294" s="43"/>
    </row>
    <row r="13295" spans="2:2" ht="12.75" customHeight="1" x14ac:dyDescent="0.2">
      <c r="B13295" s="43"/>
    </row>
    <row r="13296" spans="2:2" ht="12.75" customHeight="1" x14ac:dyDescent="0.2">
      <c r="B13296" s="43"/>
    </row>
    <row r="13297" spans="2:2" ht="12.75" customHeight="1" x14ac:dyDescent="0.2">
      <c r="B13297" s="43"/>
    </row>
    <row r="13298" spans="2:2" ht="12.75" customHeight="1" x14ac:dyDescent="0.2">
      <c r="B13298" s="43"/>
    </row>
    <row r="13299" spans="2:2" ht="12.75" customHeight="1" x14ac:dyDescent="0.2">
      <c r="B13299" s="43"/>
    </row>
    <row r="13300" spans="2:2" ht="12.75" customHeight="1" x14ac:dyDescent="0.2">
      <c r="B13300" s="43"/>
    </row>
    <row r="13301" spans="2:2" ht="12.75" customHeight="1" x14ac:dyDescent="0.2">
      <c r="B13301" s="43"/>
    </row>
    <row r="13302" spans="2:2" ht="12.75" customHeight="1" x14ac:dyDescent="0.2">
      <c r="B13302" s="43"/>
    </row>
    <row r="13303" spans="2:2" ht="12.75" customHeight="1" x14ac:dyDescent="0.2">
      <c r="B13303" s="43"/>
    </row>
    <row r="13304" spans="2:2" ht="12.75" customHeight="1" x14ac:dyDescent="0.2">
      <c r="B13304" s="43"/>
    </row>
    <row r="13305" spans="2:2" ht="12.75" customHeight="1" x14ac:dyDescent="0.2">
      <c r="B13305" s="43"/>
    </row>
    <row r="13306" spans="2:2" ht="12.75" customHeight="1" x14ac:dyDescent="0.2">
      <c r="B13306" s="43"/>
    </row>
    <row r="13307" spans="2:2" ht="12.75" customHeight="1" x14ac:dyDescent="0.2">
      <c r="B13307" s="43"/>
    </row>
    <row r="13308" spans="2:2" ht="12.75" customHeight="1" x14ac:dyDescent="0.2">
      <c r="B13308" s="43"/>
    </row>
    <row r="13309" spans="2:2" ht="12.75" customHeight="1" x14ac:dyDescent="0.2">
      <c r="B13309" s="43"/>
    </row>
    <row r="13310" spans="2:2" ht="12.75" customHeight="1" x14ac:dyDescent="0.2">
      <c r="B13310" s="43"/>
    </row>
    <row r="13311" spans="2:2" ht="12.75" customHeight="1" x14ac:dyDescent="0.2">
      <c r="B13311" s="43"/>
    </row>
    <row r="13312" spans="2:2" ht="12.75" customHeight="1" x14ac:dyDescent="0.2">
      <c r="B13312" s="43"/>
    </row>
    <row r="13313" spans="2:2" ht="12.75" customHeight="1" x14ac:dyDescent="0.2">
      <c r="B13313" s="43"/>
    </row>
    <row r="13314" spans="2:2" ht="12.75" customHeight="1" x14ac:dyDescent="0.2">
      <c r="B13314" s="43"/>
    </row>
    <row r="13315" spans="2:2" ht="12.75" customHeight="1" x14ac:dyDescent="0.2">
      <c r="B13315" s="43"/>
    </row>
    <row r="13316" spans="2:2" ht="12.75" customHeight="1" x14ac:dyDescent="0.2">
      <c r="B13316" s="43"/>
    </row>
    <row r="13317" spans="2:2" ht="12.75" customHeight="1" x14ac:dyDescent="0.2">
      <c r="B13317" s="43"/>
    </row>
    <row r="13318" spans="2:2" ht="12.75" customHeight="1" x14ac:dyDescent="0.2">
      <c r="B13318" s="43"/>
    </row>
    <row r="13319" spans="2:2" ht="12.75" customHeight="1" x14ac:dyDescent="0.2">
      <c r="B13319" s="43"/>
    </row>
    <row r="13320" spans="2:2" ht="12.75" customHeight="1" x14ac:dyDescent="0.2">
      <c r="B13320" s="43"/>
    </row>
    <row r="13321" spans="2:2" ht="12.75" customHeight="1" x14ac:dyDescent="0.2">
      <c r="B13321" s="43"/>
    </row>
    <row r="13322" spans="2:2" ht="12.75" customHeight="1" x14ac:dyDescent="0.2">
      <c r="B13322" s="43"/>
    </row>
    <row r="13323" spans="2:2" ht="12.75" customHeight="1" x14ac:dyDescent="0.2">
      <c r="B13323" s="43"/>
    </row>
    <row r="13324" spans="2:2" ht="12.75" customHeight="1" x14ac:dyDescent="0.2">
      <c r="B13324" s="43"/>
    </row>
    <row r="13325" spans="2:2" ht="12.75" customHeight="1" x14ac:dyDescent="0.2">
      <c r="B13325" s="43"/>
    </row>
    <row r="13326" spans="2:2" ht="12.75" customHeight="1" x14ac:dyDescent="0.2">
      <c r="B13326" s="43"/>
    </row>
    <row r="13327" spans="2:2" ht="12.75" customHeight="1" x14ac:dyDescent="0.2">
      <c r="B13327" s="43"/>
    </row>
    <row r="13328" spans="2:2" ht="12.75" customHeight="1" x14ac:dyDescent="0.2">
      <c r="B13328" s="43"/>
    </row>
    <row r="13329" spans="2:2" ht="12.75" customHeight="1" x14ac:dyDescent="0.2">
      <c r="B13329" s="43"/>
    </row>
    <row r="13330" spans="2:2" ht="12.75" customHeight="1" x14ac:dyDescent="0.2">
      <c r="B13330" s="43"/>
    </row>
    <row r="13331" spans="2:2" ht="12.75" customHeight="1" x14ac:dyDescent="0.2">
      <c r="B13331" s="43"/>
    </row>
    <row r="13332" spans="2:2" ht="12.75" customHeight="1" x14ac:dyDescent="0.2">
      <c r="B13332" s="43"/>
    </row>
    <row r="13333" spans="2:2" ht="12.75" customHeight="1" x14ac:dyDescent="0.2">
      <c r="B13333" s="43"/>
    </row>
    <row r="13334" spans="2:2" ht="12.75" customHeight="1" x14ac:dyDescent="0.2">
      <c r="B13334" s="43"/>
    </row>
    <row r="13335" spans="2:2" ht="12.75" customHeight="1" x14ac:dyDescent="0.2">
      <c r="B13335" s="43"/>
    </row>
    <row r="13336" spans="2:2" ht="12.75" customHeight="1" x14ac:dyDescent="0.2">
      <c r="B13336" s="43"/>
    </row>
    <row r="13337" spans="2:2" ht="12.75" customHeight="1" x14ac:dyDescent="0.2">
      <c r="B13337" s="43"/>
    </row>
    <row r="13338" spans="2:2" ht="12.75" customHeight="1" x14ac:dyDescent="0.2">
      <c r="B13338" s="43"/>
    </row>
    <row r="13339" spans="2:2" ht="12.75" customHeight="1" x14ac:dyDescent="0.2">
      <c r="B13339" s="43"/>
    </row>
    <row r="13340" spans="2:2" ht="12.75" customHeight="1" x14ac:dyDescent="0.2">
      <c r="B13340" s="43"/>
    </row>
    <row r="13341" spans="2:2" ht="12.75" customHeight="1" x14ac:dyDescent="0.2">
      <c r="B13341" s="43"/>
    </row>
    <row r="13342" spans="2:2" ht="12.75" customHeight="1" x14ac:dyDescent="0.2">
      <c r="B13342" s="43"/>
    </row>
    <row r="13343" spans="2:2" ht="12.75" customHeight="1" x14ac:dyDescent="0.2">
      <c r="B13343" s="43"/>
    </row>
    <row r="13344" spans="2:2" ht="12.75" customHeight="1" x14ac:dyDescent="0.2">
      <c r="B13344" s="43"/>
    </row>
    <row r="13345" spans="2:2" ht="12.75" customHeight="1" x14ac:dyDescent="0.2">
      <c r="B13345" s="43"/>
    </row>
    <row r="13346" spans="2:2" ht="12.75" customHeight="1" x14ac:dyDescent="0.2">
      <c r="B13346" s="43"/>
    </row>
    <row r="13347" spans="2:2" ht="12.75" customHeight="1" x14ac:dyDescent="0.2">
      <c r="B13347" s="43"/>
    </row>
    <row r="13348" spans="2:2" ht="12.75" customHeight="1" x14ac:dyDescent="0.2">
      <c r="B13348" s="43"/>
    </row>
    <row r="13349" spans="2:2" ht="12.75" customHeight="1" x14ac:dyDescent="0.2">
      <c r="B13349" s="43"/>
    </row>
    <row r="13350" spans="2:2" ht="12.75" customHeight="1" x14ac:dyDescent="0.2">
      <c r="B13350" s="43"/>
    </row>
    <row r="13351" spans="2:2" ht="12.75" customHeight="1" x14ac:dyDescent="0.2">
      <c r="B13351" s="43"/>
    </row>
    <row r="13352" spans="2:2" ht="12.75" customHeight="1" x14ac:dyDescent="0.2">
      <c r="B13352" s="43"/>
    </row>
    <row r="13353" spans="2:2" ht="12.75" customHeight="1" x14ac:dyDescent="0.2">
      <c r="B13353" s="43"/>
    </row>
    <row r="13354" spans="2:2" ht="12.75" customHeight="1" x14ac:dyDescent="0.2">
      <c r="B13354" s="43"/>
    </row>
    <row r="13355" spans="2:2" ht="12.75" customHeight="1" x14ac:dyDescent="0.2">
      <c r="B13355" s="43"/>
    </row>
    <row r="13356" spans="2:2" ht="12.75" customHeight="1" x14ac:dyDescent="0.2">
      <c r="B13356" s="43"/>
    </row>
    <row r="13357" spans="2:2" ht="12.75" customHeight="1" x14ac:dyDescent="0.2">
      <c r="B13357" s="43"/>
    </row>
    <row r="13358" spans="2:2" ht="12.75" customHeight="1" x14ac:dyDescent="0.2">
      <c r="B13358" s="43"/>
    </row>
    <row r="13359" spans="2:2" ht="12.75" customHeight="1" x14ac:dyDescent="0.2">
      <c r="B13359" s="43"/>
    </row>
    <row r="13360" spans="2:2" ht="12.75" customHeight="1" x14ac:dyDescent="0.2">
      <c r="B13360" s="43"/>
    </row>
    <row r="13361" spans="2:2" ht="12.75" customHeight="1" x14ac:dyDescent="0.2">
      <c r="B13361" s="43"/>
    </row>
    <row r="13362" spans="2:2" ht="12.75" customHeight="1" x14ac:dyDescent="0.2">
      <c r="B13362" s="43"/>
    </row>
    <row r="13363" spans="2:2" ht="12.75" customHeight="1" x14ac:dyDescent="0.2">
      <c r="B13363" s="43"/>
    </row>
    <row r="13364" spans="2:2" ht="12.75" customHeight="1" x14ac:dyDescent="0.2">
      <c r="B13364" s="43"/>
    </row>
    <row r="13365" spans="2:2" ht="12.75" customHeight="1" x14ac:dyDescent="0.2">
      <c r="B13365" s="43"/>
    </row>
    <row r="13366" spans="2:2" ht="12.75" customHeight="1" x14ac:dyDescent="0.2">
      <c r="B13366" s="43"/>
    </row>
    <row r="13367" spans="2:2" ht="12.75" customHeight="1" x14ac:dyDescent="0.2">
      <c r="B13367" s="43"/>
    </row>
    <row r="13368" spans="2:2" ht="12.75" customHeight="1" x14ac:dyDescent="0.2">
      <c r="B13368" s="43"/>
    </row>
    <row r="13369" spans="2:2" ht="12.75" customHeight="1" x14ac:dyDescent="0.2">
      <c r="B13369" s="43"/>
    </row>
    <row r="13370" spans="2:2" ht="12.75" customHeight="1" x14ac:dyDescent="0.2">
      <c r="B13370" s="43"/>
    </row>
    <row r="13371" spans="2:2" ht="12.75" customHeight="1" x14ac:dyDescent="0.2">
      <c r="B13371" s="43"/>
    </row>
    <row r="13372" spans="2:2" ht="12.75" customHeight="1" x14ac:dyDescent="0.2">
      <c r="B13372" s="43"/>
    </row>
    <row r="13373" spans="2:2" ht="12.75" customHeight="1" x14ac:dyDescent="0.2">
      <c r="B13373" s="43"/>
    </row>
    <row r="13374" spans="2:2" ht="12.75" customHeight="1" x14ac:dyDescent="0.2">
      <c r="B13374" s="43"/>
    </row>
    <row r="13375" spans="2:2" ht="12.75" customHeight="1" x14ac:dyDescent="0.2">
      <c r="B13375" s="43"/>
    </row>
    <row r="13376" spans="2:2" ht="12.75" customHeight="1" x14ac:dyDescent="0.2">
      <c r="B13376" s="43"/>
    </row>
    <row r="13377" spans="2:2" ht="12.75" customHeight="1" x14ac:dyDescent="0.2">
      <c r="B13377" s="43"/>
    </row>
    <row r="13378" spans="2:2" ht="12.75" customHeight="1" x14ac:dyDescent="0.2">
      <c r="B13378" s="43"/>
    </row>
    <row r="13379" spans="2:2" ht="12.75" customHeight="1" x14ac:dyDescent="0.2">
      <c r="B13379" s="43"/>
    </row>
    <row r="13380" spans="2:2" ht="12.75" customHeight="1" x14ac:dyDescent="0.2">
      <c r="B13380" s="43"/>
    </row>
    <row r="13381" spans="2:2" ht="12.75" customHeight="1" x14ac:dyDescent="0.2">
      <c r="B13381" s="43"/>
    </row>
    <row r="13382" spans="2:2" ht="12.75" customHeight="1" x14ac:dyDescent="0.2">
      <c r="B13382" s="43"/>
    </row>
    <row r="13383" spans="2:2" ht="12.75" customHeight="1" x14ac:dyDescent="0.2">
      <c r="B13383" s="43"/>
    </row>
    <row r="13384" spans="2:2" ht="12.75" customHeight="1" x14ac:dyDescent="0.2">
      <c r="B13384" s="43"/>
    </row>
    <row r="13385" spans="2:2" ht="12.75" customHeight="1" x14ac:dyDescent="0.2">
      <c r="B13385" s="43"/>
    </row>
    <row r="13386" spans="2:2" ht="12.75" customHeight="1" x14ac:dyDescent="0.2">
      <c r="B13386" s="43"/>
    </row>
    <row r="13387" spans="2:2" ht="12.75" customHeight="1" x14ac:dyDescent="0.2">
      <c r="B13387" s="43"/>
    </row>
    <row r="13388" spans="2:2" ht="12.75" customHeight="1" x14ac:dyDescent="0.2">
      <c r="B13388" s="43"/>
    </row>
    <row r="13389" spans="2:2" ht="12.75" customHeight="1" x14ac:dyDescent="0.2">
      <c r="B13389" s="43"/>
    </row>
    <row r="13390" spans="2:2" ht="12.75" customHeight="1" x14ac:dyDescent="0.2">
      <c r="B13390" s="43"/>
    </row>
    <row r="13391" spans="2:2" ht="12.75" customHeight="1" x14ac:dyDescent="0.2">
      <c r="B13391" s="43"/>
    </row>
    <row r="13392" spans="2:2" ht="12.75" customHeight="1" x14ac:dyDescent="0.2">
      <c r="B13392" s="43"/>
    </row>
    <row r="13393" spans="2:2" ht="12.75" customHeight="1" x14ac:dyDescent="0.2">
      <c r="B13393" s="43"/>
    </row>
    <row r="13394" spans="2:2" ht="12.75" customHeight="1" x14ac:dyDescent="0.2">
      <c r="B13394" s="43"/>
    </row>
    <row r="13395" spans="2:2" ht="12.75" customHeight="1" x14ac:dyDescent="0.2">
      <c r="B13395" s="43"/>
    </row>
    <row r="13396" spans="2:2" ht="12.75" customHeight="1" x14ac:dyDescent="0.2">
      <c r="B13396" s="43"/>
    </row>
    <row r="13397" spans="2:2" ht="12.75" customHeight="1" x14ac:dyDescent="0.2">
      <c r="B13397" s="43"/>
    </row>
    <row r="13398" spans="2:2" ht="12.75" customHeight="1" x14ac:dyDescent="0.2">
      <c r="B13398" s="43"/>
    </row>
    <row r="13399" spans="2:2" ht="12.75" customHeight="1" x14ac:dyDescent="0.2">
      <c r="B13399" s="43"/>
    </row>
    <row r="13400" spans="2:2" ht="12.75" customHeight="1" x14ac:dyDescent="0.2">
      <c r="B13400" s="43"/>
    </row>
    <row r="13401" spans="2:2" ht="12.75" customHeight="1" x14ac:dyDescent="0.2">
      <c r="B13401" s="43"/>
    </row>
    <row r="13402" spans="2:2" ht="12.75" customHeight="1" x14ac:dyDescent="0.2">
      <c r="B13402" s="43"/>
    </row>
    <row r="13403" spans="2:2" ht="12.75" customHeight="1" x14ac:dyDescent="0.2">
      <c r="B13403" s="43"/>
    </row>
    <row r="13404" spans="2:2" ht="12.75" customHeight="1" x14ac:dyDescent="0.2">
      <c r="B13404" s="43"/>
    </row>
    <row r="13405" spans="2:2" ht="12.75" customHeight="1" x14ac:dyDescent="0.2">
      <c r="B13405" s="43"/>
    </row>
    <row r="13406" spans="2:2" ht="12.75" customHeight="1" x14ac:dyDescent="0.2">
      <c r="B13406" s="43"/>
    </row>
    <row r="13407" spans="2:2" ht="12.75" customHeight="1" x14ac:dyDescent="0.2">
      <c r="B13407" s="43"/>
    </row>
    <row r="13408" spans="2:2" ht="12.75" customHeight="1" x14ac:dyDescent="0.2">
      <c r="B13408" s="43"/>
    </row>
    <row r="13409" spans="2:2" ht="12.75" customHeight="1" x14ac:dyDescent="0.2">
      <c r="B13409" s="43"/>
    </row>
    <row r="13410" spans="2:2" ht="12.75" customHeight="1" x14ac:dyDescent="0.2">
      <c r="B13410" s="43"/>
    </row>
    <row r="13411" spans="2:2" ht="12.75" customHeight="1" x14ac:dyDescent="0.2">
      <c r="B13411" s="43"/>
    </row>
    <row r="13412" spans="2:2" ht="12.75" customHeight="1" x14ac:dyDescent="0.2">
      <c r="B13412" s="43"/>
    </row>
    <row r="13413" spans="2:2" ht="12.75" customHeight="1" x14ac:dyDescent="0.2">
      <c r="B13413" s="43"/>
    </row>
    <row r="13414" spans="2:2" ht="12.75" customHeight="1" x14ac:dyDescent="0.2">
      <c r="B13414" s="43"/>
    </row>
    <row r="13415" spans="2:2" ht="12.75" customHeight="1" x14ac:dyDescent="0.2">
      <c r="B13415" s="43"/>
    </row>
    <row r="13416" spans="2:2" ht="12.75" customHeight="1" x14ac:dyDescent="0.2">
      <c r="B13416" s="43"/>
    </row>
    <row r="13417" spans="2:2" ht="12.75" customHeight="1" x14ac:dyDescent="0.2">
      <c r="B13417" s="43"/>
    </row>
    <row r="13418" spans="2:2" ht="12.75" customHeight="1" x14ac:dyDescent="0.2">
      <c r="B13418" s="43"/>
    </row>
    <row r="13419" spans="2:2" ht="12.75" customHeight="1" x14ac:dyDescent="0.2">
      <c r="B13419" s="43"/>
    </row>
    <row r="13420" spans="2:2" ht="12.75" customHeight="1" x14ac:dyDescent="0.2">
      <c r="B13420" s="43"/>
    </row>
    <row r="13421" spans="2:2" ht="12.75" customHeight="1" x14ac:dyDescent="0.2">
      <c r="B13421" s="43"/>
    </row>
    <row r="13422" spans="2:2" ht="12.75" customHeight="1" x14ac:dyDescent="0.2">
      <c r="B13422" s="43"/>
    </row>
    <row r="13423" spans="2:2" ht="12.75" customHeight="1" x14ac:dyDescent="0.2">
      <c r="B13423" s="43"/>
    </row>
    <row r="13424" spans="2:2" ht="12.75" customHeight="1" x14ac:dyDescent="0.2">
      <c r="B13424" s="43"/>
    </row>
    <row r="13425" spans="2:2" ht="12.75" customHeight="1" x14ac:dyDescent="0.2">
      <c r="B13425" s="43"/>
    </row>
    <row r="13426" spans="2:2" ht="12.75" customHeight="1" x14ac:dyDescent="0.2">
      <c r="B13426" s="43"/>
    </row>
    <row r="13427" spans="2:2" ht="12.75" customHeight="1" x14ac:dyDescent="0.2">
      <c r="B13427" s="43"/>
    </row>
    <row r="13428" spans="2:2" ht="12.75" customHeight="1" x14ac:dyDescent="0.2">
      <c r="B13428" s="43"/>
    </row>
    <row r="13429" spans="2:2" ht="12.75" customHeight="1" x14ac:dyDescent="0.2">
      <c r="B13429" s="43"/>
    </row>
    <row r="13430" spans="2:2" ht="12.75" customHeight="1" x14ac:dyDescent="0.2">
      <c r="B13430" s="43"/>
    </row>
    <row r="13431" spans="2:2" ht="12.75" customHeight="1" x14ac:dyDescent="0.2">
      <c r="B13431" s="43"/>
    </row>
    <row r="13432" spans="2:2" ht="12.75" customHeight="1" x14ac:dyDescent="0.2">
      <c r="B13432" s="43"/>
    </row>
    <row r="13433" spans="2:2" ht="12.75" customHeight="1" x14ac:dyDescent="0.2">
      <c r="B13433" s="43"/>
    </row>
    <row r="13434" spans="2:2" ht="12.75" customHeight="1" x14ac:dyDescent="0.2">
      <c r="B13434" s="43"/>
    </row>
    <row r="13435" spans="2:2" ht="12.75" customHeight="1" x14ac:dyDescent="0.2">
      <c r="B13435" s="43"/>
    </row>
    <row r="13436" spans="2:2" ht="12.75" customHeight="1" x14ac:dyDescent="0.2">
      <c r="B13436" s="43"/>
    </row>
    <row r="13437" spans="2:2" ht="12.75" customHeight="1" x14ac:dyDescent="0.2">
      <c r="B13437" s="43"/>
    </row>
    <row r="13438" spans="2:2" ht="12.75" customHeight="1" x14ac:dyDescent="0.2">
      <c r="B13438" s="43"/>
    </row>
    <row r="13439" spans="2:2" ht="12.75" customHeight="1" x14ac:dyDescent="0.2">
      <c r="B13439" s="43"/>
    </row>
    <row r="13440" spans="2:2" ht="12.75" customHeight="1" x14ac:dyDescent="0.2">
      <c r="B13440" s="43"/>
    </row>
    <row r="13441" spans="2:2" ht="12.75" customHeight="1" x14ac:dyDescent="0.2">
      <c r="B13441" s="43"/>
    </row>
    <row r="13442" spans="2:2" ht="12.75" customHeight="1" x14ac:dyDescent="0.2">
      <c r="B13442" s="43"/>
    </row>
    <row r="13443" spans="2:2" ht="12.75" customHeight="1" x14ac:dyDescent="0.2">
      <c r="B13443" s="43"/>
    </row>
    <row r="13444" spans="2:2" ht="12.75" customHeight="1" x14ac:dyDescent="0.2">
      <c r="B13444" s="43"/>
    </row>
    <row r="13445" spans="2:2" ht="12.75" customHeight="1" x14ac:dyDescent="0.2">
      <c r="B13445" s="43"/>
    </row>
    <row r="13446" spans="2:2" ht="12.75" customHeight="1" x14ac:dyDescent="0.2">
      <c r="B13446" s="43"/>
    </row>
    <row r="13447" spans="2:2" ht="12.75" customHeight="1" x14ac:dyDescent="0.2">
      <c r="B13447" s="43"/>
    </row>
    <row r="13448" spans="2:2" ht="12.75" customHeight="1" x14ac:dyDescent="0.2">
      <c r="B13448" s="43"/>
    </row>
    <row r="13449" spans="2:2" ht="12.75" customHeight="1" x14ac:dyDescent="0.2">
      <c r="B13449" s="43"/>
    </row>
    <row r="13450" spans="2:2" ht="12.75" customHeight="1" x14ac:dyDescent="0.2">
      <c r="B13450" s="43"/>
    </row>
    <row r="13451" spans="2:2" ht="12.75" customHeight="1" x14ac:dyDescent="0.2">
      <c r="B13451" s="43"/>
    </row>
    <row r="13452" spans="2:2" ht="12.75" customHeight="1" x14ac:dyDescent="0.2">
      <c r="B13452" s="43"/>
    </row>
    <row r="13453" spans="2:2" ht="12.75" customHeight="1" x14ac:dyDescent="0.2">
      <c r="B13453" s="43"/>
    </row>
    <row r="13454" spans="2:2" ht="12.75" customHeight="1" x14ac:dyDescent="0.2">
      <c r="B13454" s="43"/>
    </row>
    <row r="13455" spans="2:2" ht="12.75" customHeight="1" x14ac:dyDescent="0.2">
      <c r="B13455" s="43"/>
    </row>
    <row r="13456" spans="2:2" ht="12.75" customHeight="1" x14ac:dyDescent="0.2">
      <c r="B13456" s="43"/>
    </row>
    <row r="13457" spans="2:2" ht="12.75" customHeight="1" x14ac:dyDescent="0.2">
      <c r="B13457" s="43"/>
    </row>
    <row r="13458" spans="2:2" ht="12.75" customHeight="1" x14ac:dyDescent="0.2">
      <c r="B13458" s="43"/>
    </row>
    <row r="13459" spans="2:2" ht="12.75" customHeight="1" x14ac:dyDescent="0.2">
      <c r="B13459" s="43"/>
    </row>
    <row r="13460" spans="2:2" ht="12.75" customHeight="1" x14ac:dyDescent="0.2">
      <c r="B13460" s="43"/>
    </row>
    <row r="13461" spans="2:2" ht="12.75" customHeight="1" x14ac:dyDescent="0.2">
      <c r="B13461" s="43"/>
    </row>
    <row r="13462" spans="2:2" ht="12.75" customHeight="1" x14ac:dyDescent="0.2">
      <c r="B13462" s="43"/>
    </row>
    <row r="13463" spans="2:2" ht="12.75" customHeight="1" x14ac:dyDescent="0.2">
      <c r="B13463" s="43"/>
    </row>
    <row r="13464" spans="2:2" ht="12.75" customHeight="1" x14ac:dyDescent="0.2">
      <c r="B13464" s="43"/>
    </row>
    <row r="13465" spans="2:2" ht="12.75" customHeight="1" x14ac:dyDescent="0.2">
      <c r="B13465" s="43"/>
    </row>
    <row r="13466" spans="2:2" ht="12.75" customHeight="1" x14ac:dyDescent="0.2">
      <c r="B13466" s="43"/>
    </row>
    <row r="13467" spans="2:2" ht="12.75" customHeight="1" x14ac:dyDescent="0.2">
      <c r="B13467" s="43"/>
    </row>
    <row r="13468" spans="2:2" ht="12.75" customHeight="1" x14ac:dyDescent="0.2">
      <c r="B13468" s="43"/>
    </row>
    <row r="13469" spans="2:2" ht="12.75" customHeight="1" x14ac:dyDescent="0.2">
      <c r="B13469" s="43"/>
    </row>
    <row r="13470" spans="2:2" ht="12.75" customHeight="1" x14ac:dyDescent="0.2">
      <c r="B13470" s="43"/>
    </row>
    <row r="13471" spans="2:2" ht="12.75" customHeight="1" x14ac:dyDescent="0.2">
      <c r="B13471" s="43"/>
    </row>
    <row r="13472" spans="2:2" ht="12.75" customHeight="1" x14ac:dyDescent="0.2">
      <c r="B13472" s="43"/>
    </row>
    <row r="13473" spans="2:2" ht="12.75" customHeight="1" x14ac:dyDescent="0.2">
      <c r="B13473" s="43"/>
    </row>
    <row r="13474" spans="2:2" ht="12.75" customHeight="1" x14ac:dyDescent="0.2">
      <c r="B13474" s="43"/>
    </row>
    <row r="13475" spans="2:2" ht="12.75" customHeight="1" x14ac:dyDescent="0.2">
      <c r="B13475" s="43"/>
    </row>
    <row r="13476" spans="2:2" ht="12.75" customHeight="1" x14ac:dyDescent="0.2">
      <c r="B13476" s="43"/>
    </row>
    <row r="13477" spans="2:2" ht="12.75" customHeight="1" x14ac:dyDescent="0.2">
      <c r="B13477" s="43"/>
    </row>
    <row r="13478" spans="2:2" ht="12.75" customHeight="1" x14ac:dyDescent="0.2">
      <c r="B13478" s="43"/>
    </row>
    <row r="13479" spans="2:2" ht="12.75" customHeight="1" x14ac:dyDescent="0.2">
      <c r="B13479" s="43"/>
    </row>
    <row r="13480" spans="2:2" ht="12.75" customHeight="1" x14ac:dyDescent="0.2">
      <c r="B13480" s="43"/>
    </row>
    <row r="13481" spans="2:2" ht="12.75" customHeight="1" x14ac:dyDescent="0.2">
      <c r="B13481" s="43"/>
    </row>
    <row r="13482" spans="2:2" ht="12.75" customHeight="1" x14ac:dyDescent="0.2">
      <c r="B13482" s="43"/>
    </row>
    <row r="13483" spans="2:2" ht="12.75" customHeight="1" x14ac:dyDescent="0.2">
      <c r="B13483" s="43"/>
    </row>
    <row r="13484" spans="2:2" ht="12.75" customHeight="1" x14ac:dyDescent="0.2">
      <c r="B13484" s="43"/>
    </row>
    <row r="13485" spans="2:2" ht="12.75" customHeight="1" x14ac:dyDescent="0.2">
      <c r="B13485" s="43"/>
    </row>
    <row r="13486" spans="2:2" ht="12.75" customHeight="1" x14ac:dyDescent="0.2">
      <c r="B13486" s="43"/>
    </row>
    <row r="13487" spans="2:2" ht="12.75" customHeight="1" x14ac:dyDescent="0.2">
      <c r="B13487" s="43"/>
    </row>
    <row r="13488" spans="2:2" ht="12.75" customHeight="1" x14ac:dyDescent="0.2">
      <c r="B13488" s="43"/>
    </row>
    <row r="13489" spans="2:2" ht="12.75" customHeight="1" x14ac:dyDescent="0.2">
      <c r="B13489" s="43"/>
    </row>
    <row r="13490" spans="2:2" ht="12.75" customHeight="1" x14ac:dyDescent="0.2">
      <c r="B13490" s="43"/>
    </row>
    <row r="13491" spans="2:2" ht="12.75" customHeight="1" x14ac:dyDescent="0.2">
      <c r="B13491" s="43"/>
    </row>
    <row r="13492" spans="2:2" ht="12.75" customHeight="1" x14ac:dyDescent="0.2">
      <c r="B13492" s="43"/>
    </row>
    <row r="13493" spans="2:2" ht="12.75" customHeight="1" x14ac:dyDescent="0.2">
      <c r="B13493" s="43"/>
    </row>
    <row r="13494" spans="2:2" ht="12.75" customHeight="1" x14ac:dyDescent="0.2">
      <c r="B13494" s="43"/>
    </row>
    <row r="13495" spans="2:2" ht="12.75" customHeight="1" x14ac:dyDescent="0.2">
      <c r="B13495" s="43"/>
    </row>
    <row r="13496" spans="2:2" ht="12.75" customHeight="1" x14ac:dyDescent="0.2">
      <c r="B13496" s="43"/>
    </row>
    <row r="13497" spans="2:2" ht="12.75" customHeight="1" x14ac:dyDescent="0.2">
      <c r="B13497" s="43"/>
    </row>
    <row r="13498" spans="2:2" ht="12.75" customHeight="1" x14ac:dyDescent="0.2">
      <c r="B13498" s="43"/>
    </row>
    <row r="13499" spans="2:2" ht="12.75" customHeight="1" x14ac:dyDescent="0.2">
      <c r="B13499" s="43"/>
    </row>
    <row r="13500" spans="2:2" ht="12.75" customHeight="1" x14ac:dyDescent="0.2">
      <c r="B13500" s="43"/>
    </row>
    <row r="13501" spans="2:2" ht="12.75" customHeight="1" x14ac:dyDescent="0.2">
      <c r="B13501" s="43"/>
    </row>
    <row r="13502" spans="2:2" ht="12.75" customHeight="1" x14ac:dyDescent="0.2">
      <c r="B13502" s="43"/>
    </row>
    <row r="13503" spans="2:2" ht="12.75" customHeight="1" x14ac:dyDescent="0.2">
      <c r="B13503" s="43"/>
    </row>
    <row r="13504" spans="2:2" ht="12.75" customHeight="1" x14ac:dyDescent="0.2">
      <c r="B13504" s="43"/>
    </row>
    <row r="13505" spans="2:2" ht="12.75" customHeight="1" x14ac:dyDescent="0.2">
      <c r="B13505" s="43"/>
    </row>
    <row r="13506" spans="2:2" ht="12.75" customHeight="1" x14ac:dyDescent="0.2">
      <c r="B13506" s="43"/>
    </row>
    <row r="13507" spans="2:2" ht="12.75" customHeight="1" x14ac:dyDescent="0.2">
      <c r="B13507" s="43"/>
    </row>
    <row r="13508" spans="2:2" ht="12.75" customHeight="1" x14ac:dyDescent="0.2">
      <c r="B13508" s="43"/>
    </row>
    <row r="13509" spans="2:2" ht="12.75" customHeight="1" x14ac:dyDescent="0.2">
      <c r="B13509" s="43"/>
    </row>
    <row r="13510" spans="2:2" ht="12.75" customHeight="1" x14ac:dyDescent="0.2">
      <c r="B13510" s="43"/>
    </row>
    <row r="13511" spans="2:2" ht="12.75" customHeight="1" x14ac:dyDescent="0.2">
      <c r="B13511" s="43"/>
    </row>
    <row r="13512" spans="2:2" ht="12.75" customHeight="1" x14ac:dyDescent="0.2">
      <c r="B13512" s="43"/>
    </row>
    <row r="13513" spans="2:2" ht="12.75" customHeight="1" x14ac:dyDescent="0.2">
      <c r="B13513" s="43"/>
    </row>
    <row r="13514" spans="2:2" ht="12.75" customHeight="1" x14ac:dyDescent="0.2">
      <c r="B13514" s="43"/>
    </row>
    <row r="13515" spans="2:2" ht="12.75" customHeight="1" x14ac:dyDescent="0.2">
      <c r="B13515" s="43"/>
    </row>
    <row r="13516" spans="2:2" ht="12.75" customHeight="1" x14ac:dyDescent="0.2">
      <c r="B13516" s="43"/>
    </row>
    <row r="13517" spans="2:2" ht="12.75" customHeight="1" x14ac:dyDescent="0.2">
      <c r="B13517" s="43"/>
    </row>
    <row r="13518" spans="2:2" ht="12.75" customHeight="1" x14ac:dyDescent="0.2">
      <c r="B13518" s="43"/>
    </row>
    <row r="13519" spans="2:2" ht="12.75" customHeight="1" x14ac:dyDescent="0.2">
      <c r="B13519" s="43"/>
    </row>
    <row r="13520" spans="2:2" ht="12.75" customHeight="1" x14ac:dyDescent="0.2">
      <c r="B13520" s="43"/>
    </row>
    <row r="13521" spans="2:2" ht="12.75" customHeight="1" x14ac:dyDescent="0.2">
      <c r="B13521" s="43"/>
    </row>
    <row r="13522" spans="2:2" ht="12.75" customHeight="1" x14ac:dyDescent="0.2">
      <c r="B13522" s="43"/>
    </row>
    <row r="13523" spans="2:2" ht="12.75" customHeight="1" x14ac:dyDescent="0.2">
      <c r="B13523" s="43"/>
    </row>
    <row r="13524" spans="2:2" ht="12.75" customHeight="1" x14ac:dyDescent="0.2">
      <c r="B13524" s="43"/>
    </row>
    <row r="13525" spans="2:2" ht="12.75" customHeight="1" x14ac:dyDescent="0.2">
      <c r="B13525" s="43"/>
    </row>
    <row r="13526" spans="2:2" ht="12.75" customHeight="1" x14ac:dyDescent="0.2">
      <c r="B13526" s="43"/>
    </row>
    <row r="13527" spans="2:2" ht="12.75" customHeight="1" x14ac:dyDescent="0.2">
      <c r="B13527" s="43"/>
    </row>
    <row r="13528" spans="2:2" ht="12.75" customHeight="1" x14ac:dyDescent="0.2">
      <c r="B13528" s="43"/>
    </row>
    <row r="13529" spans="2:2" ht="12.75" customHeight="1" x14ac:dyDescent="0.2">
      <c r="B13529" s="43"/>
    </row>
    <row r="13530" spans="2:2" ht="12.75" customHeight="1" x14ac:dyDescent="0.2">
      <c r="B13530" s="43"/>
    </row>
    <row r="13531" spans="2:2" ht="12.75" customHeight="1" x14ac:dyDescent="0.2">
      <c r="B13531" s="43"/>
    </row>
    <row r="13532" spans="2:2" ht="12.75" customHeight="1" x14ac:dyDescent="0.2">
      <c r="B13532" s="43"/>
    </row>
    <row r="13533" spans="2:2" ht="12.75" customHeight="1" x14ac:dyDescent="0.2">
      <c r="B13533" s="43"/>
    </row>
    <row r="13534" spans="2:2" ht="12.75" customHeight="1" x14ac:dyDescent="0.2">
      <c r="B13534" s="43"/>
    </row>
    <row r="13535" spans="2:2" ht="12.75" customHeight="1" x14ac:dyDescent="0.2">
      <c r="B13535" s="43"/>
    </row>
    <row r="13536" spans="2:2" ht="12.75" customHeight="1" x14ac:dyDescent="0.2">
      <c r="B13536" s="43"/>
    </row>
    <row r="13537" spans="2:2" ht="12.75" customHeight="1" x14ac:dyDescent="0.2">
      <c r="B13537" s="43"/>
    </row>
    <row r="13538" spans="2:2" ht="12.75" customHeight="1" x14ac:dyDescent="0.2">
      <c r="B13538" s="43"/>
    </row>
    <row r="13539" spans="2:2" ht="12.75" customHeight="1" x14ac:dyDescent="0.2">
      <c r="B13539" s="43"/>
    </row>
    <row r="13540" spans="2:2" ht="12.75" customHeight="1" x14ac:dyDescent="0.2">
      <c r="B13540" s="43"/>
    </row>
    <row r="13541" spans="2:2" ht="12.75" customHeight="1" x14ac:dyDescent="0.2">
      <c r="B13541" s="43"/>
    </row>
    <row r="13542" spans="2:2" ht="12.75" customHeight="1" x14ac:dyDescent="0.2">
      <c r="B13542" s="43"/>
    </row>
    <row r="13543" spans="2:2" ht="12.75" customHeight="1" x14ac:dyDescent="0.2">
      <c r="B13543" s="43"/>
    </row>
    <row r="13544" spans="2:2" ht="12.75" customHeight="1" x14ac:dyDescent="0.2">
      <c r="B13544" s="43"/>
    </row>
    <row r="13545" spans="2:2" ht="12.75" customHeight="1" x14ac:dyDescent="0.2">
      <c r="B13545" s="43"/>
    </row>
    <row r="13546" spans="2:2" ht="12.75" customHeight="1" x14ac:dyDescent="0.2">
      <c r="B13546" s="43"/>
    </row>
    <row r="13547" spans="2:2" ht="12.75" customHeight="1" x14ac:dyDescent="0.2">
      <c r="B13547" s="43"/>
    </row>
    <row r="13548" spans="2:2" ht="12.75" customHeight="1" x14ac:dyDescent="0.2">
      <c r="B13548" s="43"/>
    </row>
    <row r="13549" spans="2:2" ht="12.75" customHeight="1" x14ac:dyDescent="0.2">
      <c r="B13549" s="43"/>
    </row>
    <row r="13550" spans="2:2" ht="12.75" customHeight="1" x14ac:dyDescent="0.2">
      <c r="B13550" s="43"/>
    </row>
    <row r="13551" spans="2:2" ht="12.75" customHeight="1" x14ac:dyDescent="0.2">
      <c r="B13551" s="43"/>
    </row>
    <row r="13552" spans="2:2" ht="12.75" customHeight="1" x14ac:dyDescent="0.2">
      <c r="B13552" s="43"/>
    </row>
    <row r="13553" spans="2:2" ht="12.75" customHeight="1" x14ac:dyDescent="0.2">
      <c r="B13553" s="43"/>
    </row>
    <row r="13554" spans="2:2" ht="12.75" customHeight="1" x14ac:dyDescent="0.2">
      <c r="B13554" s="43"/>
    </row>
    <row r="13555" spans="2:2" ht="12.75" customHeight="1" x14ac:dyDescent="0.2">
      <c r="B13555" s="43"/>
    </row>
    <row r="13556" spans="2:2" ht="12.75" customHeight="1" x14ac:dyDescent="0.2">
      <c r="B13556" s="43"/>
    </row>
    <row r="13557" spans="2:2" ht="12.75" customHeight="1" x14ac:dyDescent="0.2">
      <c r="B13557" s="43"/>
    </row>
    <row r="13558" spans="2:2" ht="12.75" customHeight="1" x14ac:dyDescent="0.2">
      <c r="B13558" s="43"/>
    </row>
    <row r="13559" spans="2:2" ht="12.75" customHeight="1" x14ac:dyDescent="0.2">
      <c r="B13559" s="43"/>
    </row>
    <row r="13560" spans="2:2" ht="12.75" customHeight="1" x14ac:dyDescent="0.2">
      <c r="B13560" s="43"/>
    </row>
    <row r="13561" spans="2:2" ht="12.75" customHeight="1" x14ac:dyDescent="0.2">
      <c r="B13561" s="43"/>
    </row>
    <row r="13562" spans="2:2" ht="12.75" customHeight="1" x14ac:dyDescent="0.2">
      <c r="B13562" s="43"/>
    </row>
    <row r="13563" spans="2:2" ht="12.75" customHeight="1" x14ac:dyDescent="0.2">
      <c r="B13563" s="43"/>
    </row>
    <row r="13564" spans="2:2" ht="12.75" customHeight="1" x14ac:dyDescent="0.2">
      <c r="B13564" s="43"/>
    </row>
    <row r="13565" spans="2:2" ht="12.75" customHeight="1" x14ac:dyDescent="0.2">
      <c r="B13565" s="43"/>
    </row>
    <row r="13566" spans="2:2" ht="12.75" customHeight="1" x14ac:dyDescent="0.2">
      <c r="B13566" s="43"/>
    </row>
    <row r="13567" spans="2:2" ht="12.75" customHeight="1" x14ac:dyDescent="0.2">
      <c r="B13567" s="43"/>
    </row>
    <row r="13568" spans="2:2" ht="12.75" customHeight="1" x14ac:dyDescent="0.2">
      <c r="B13568" s="43"/>
    </row>
    <row r="13569" spans="2:2" ht="12.75" customHeight="1" x14ac:dyDescent="0.2">
      <c r="B13569" s="43"/>
    </row>
    <row r="13570" spans="2:2" ht="12.75" customHeight="1" x14ac:dyDescent="0.2">
      <c r="B13570" s="43"/>
    </row>
    <row r="13571" spans="2:2" ht="12.75" customHeight="1" x14ac:dyDescent="0.2">
      <c r="B13571" s="43"/>
    </row>
    <row r="13572" spans="2:2" ht="12.75" customHeight="1" x14ac:dyDescent="0.2">
      <c r="B13572" s="43"/>
    </row>
    <row r="13573" spans="2:2" ht="12.75" customHeight="1" x14ac:dyDescent="0.2">
      <c r="B13573" s="43"/>
    </row>
    <row r="13574" spans="2:2" ht="12.75" customHeight="1" x14ac:dyDescent="0.2">
      <c r="B13574" s="43"/>
    </row>
    <row r="13575" spans="2:2" ht="12.75" customHeight="1" x14ac:dyDescent="0.2">
      <c r="B13575" s="43"/>
    </row>
    <row r="13576" spans="2:2" ht="12.75" customHeight="1" x14ac:dyDescent="0.2">
      <c r="B13576" s="43"/>
    </row>
    <row r="13577" spans="2:2" ht="12.75" customHeight="1" x14ac:dyDescent="0.2">
      <c r="B13577" s="43"/>
    </row>
    <row r="13578" spans="2:2" ht="12.75" customHeight="1" x14ac:dyDescent="0.2">
      <c r="B13578" s="43"/>
    </row>
    <row r="13579" spans="2:2" ht="12.75" customHeight="1" x14ac:dyDescent="0.2">
      <c r="B13579" s="43"/>
    </row>
    <row r="13580" spans="2:2" ht="12.75" customHeight="1" x14ac:dyDescent="0.2">
      <c r="B13580" s="43"/>
    </row>
    <row r="13581" spans="2:2" ht="12.75" customHeight="1" x14ac:dyDescent="0.2">
      <c r="B13581" s="43"/>
    </row>
    <row r="13582" spans="2:2" ht="12.75" customHeight="1" x14ac:dyDescent="0.2">
      <c r="B13582" s="43"/>
    </row>
    <row r="13583" spans="2:2" ht="12.75" customHeight="1" x14ac:dyDescent="0.2">
      <c r="B13583" s="43"/>
    </row>
    <row r="13584" spans="2:2" ht="12.75" customHeight="1" x14ac:dyDescent="0.2">
      <c r="B13584" s="43"/>
    </row>
    <row r="13585" spans="2:2" ht="12.75" customHeight="1" x14ac:dyDescent="0.2">
      <c r="B13585" s="43"/>
    </row>
    <row r="13586" spans="2:2" ht="12.75" customHeight="1" x14ac:dyDescent="0.2">
      <c r="B13586" s="43"/>
    </row>
    <row r="13587" spans="2:2" ht="12.75" customHeight="1" x14ac:dyDescent="0.2">
      <c r="B13587" s="43"/>
    </row>
    <row r="13588" spans="2:2" ht="12.75" customHeight="1" x14ac:dyDescent="0.2">
      <c r="B13588" s="43"/>
    </row>
    <row r="13589" spans="2:2" ht="12.75" customHeight="1" x14ac:dyDescent="0.2">
      <c r="B13589" s="43"/>
    </row>
    <row r="13590" spans="2:2" ht="12.75" customHeight="1" x14ac:dyDescent="0.2">
      <c r="B13590" s="43"/>
    </row>
    <row r="13591" spans="2:2" ht="12.75" customHeight="1" x14ac:dyDescent="0.2">
      <c r="B13591" s="43"/>
    </row>
    <row r="13592" spans="2:2" ht="12.75" customHeight="1" x14ac:dyDescent="0.2">
      <c r="B13592" s="43"/>
    </row>
    <row r="13593" spans="2:2" ht="12.75" customHeight="1" x14ac:dyDescent="0.2">
      <c r="B13593" s="43"/>
    </row>
    <row r="13594" spans="2:2" ht="12.75" customHeight="1" x14ac:dyDescent="0.2">
      <c r="B13594" s="43"/>
    </row>
    <row r="13595" spans="2:2" ht="12.75" customHeight="1" x14ac:dyDescent="0.2">
      <c r="B13595" s="43"/>
    </row>
    <row r="13596" spans="2:2" ht="12.75" customHeight="1" x14ac:dyDescent="0.2">
      <c r="B13596" s="43"/>
    </row>
    <row r="13597" spans="2:2" ht="12.75" customHeight="1" x14ac:dyDescent="0.2">
      <c r="B13597" s="43"/>
    </row>
    <row r="13598" spans="2:2" ht="12.75" customHeight="1" x14ac:dyDescent="0.2">
      <c r="B13598" s="43"/>
    </row>
    <row r="13599" spans="2:2" ht="12.75" customHeight="1" x14ac:dyDescent="0.2">
      <c r="B13599" s="43"/>
    </row>
    <row r="13600" spans="2:2" ht="12.75" customHeight="1" x14ac:dyDescent="0.2">
      <c r="B13600" s="43"/>
    </row>
    <row r="13601" spans="2:2" ht="12.75" customHeight="1" x14ac:dyDescent="0.2">
      <c r="B13601" s="43"/>
    </row>
    <row r="13602" spans="2:2" ht="12.75" customHeight="1" x14ac:dyDescent="0.2">
      <c r="B13602" s="43"/>
    </row>
    <row r="13603" spans="2:2" ht="12.75" customHeight="1" x14ac:dyDescent="0.2">
      <c r="B13603" s="43"/>
    </row>
    <row r="13604" spans="2:2" ht="12.75" customHeight="1" x14ac:dyDescent="0.2">
      <c r="B13604" s="43"/>
    </row>
    <row r="13605" spans="2:2" ht="12.75" customHeight="1" x14ac:dyDescent="0.2">
      <c r="B13605" s="43"/>
    </row>
    <row r="13606" spans="2:2" ht="12.75" customHeight="1" x14ac:dyDescent="0.2">
      <c r="B13606" s="43"/>
    </row>
    <row r="13607" spans="2:2" ht="12.75" customHeight="1" x14ac:dyDescent="0.2">
      <c r="B13607" s="43"/>
    </row>
    <row r="13608" spans="2:2" ht="12.75" customHeight="1" x14ac:dyDescent="0.2">
      <c r="B13608" s="43"/>
    </row>
    <row r="13609" spans="2:2" ht="12.75" customHeight="1" x14ac:dyDescent="0.2">
      <c r="B13609" s="43"/>
    </row>
    <row r="13610" spans="2:2" ht="12.75" customHeight="1" x14ac:dyDescent="0.2">
      <c r="B13610" s="43"/>
    </row>
    <row r="13611" spans="2:2" ht="12.75" customHeight="1" x14ac:dyDescent="0.2">
      <c r="B13611" s="43"/>
    </row>
    <row r="13612" spans="2:2" ht="12.75" customHeight="1" x14ac:dyDescent="0.2">
      <c r="B13612" s="43"/>
    </row>
    <row r="13613" spans="2:2" ht="12.75" customHeight="1" x14ac:dyDescent="0.2">
      <c r="B13613" s="43"/>
    </row>
    <row r="13614" spans="2:2" ht="12.75" customHeight="1" x14ac:dyDescent="0.2">
      <c r="B13614" s="43"/>
    </row>
    <row r="13615" spans="2:2" ht="12.75" customHeight="1" x14ac:dyDescent="0.2">
      <c r="B13615" s="43"/>
    </row>
    <row r="13616" spans="2:2" ht="12.75" customHeight="1" x14ac:dyDescent="0.2">
      <c r="B13616" s="43"/>
    </row>
    <row r="13617" spans="2:2" ht="12.75" customHeight="1" x14ac:dyDescent="0.2">
      <c r="B13617" s="43"/>
    </row>
    <row r="13618" spans="2:2" ht="12.75" customHeight="1" x14ac:dyDescent="0.2">
      <c r="B13618" s="43"/>
    </row>
    <row r="13619" spans="2:2" ht="12.75" customHeight="1" x14ac:dyDescent="0.2">
      <c r="B13619" s="43"/>
    </row>
    <row r="13620" spans="2:2" ht="12.75" customHeight="1" x14ac:dyDescent="0.2">
      <c r="B13620" s="43"/>
    </row>
    <row r="13621" spans="2:2" ht="12.75" customHeight="1" x14ac:dyDescent="0.2">
      <c r="B13621" s="43"/>
    </row>
    <row r="13622" spans="2:2" ht="12.75" customHeight="1" x14ac:dyDescent="0.2">
      <c r="B13622" s="43"/>
    </row>
    <row r="13623" spans="2:2" ht="12.75" customHeight="1" x14ac:dyDescent="0.2">
      <c r="B13623" s="43"/>
    </row>
    <row r="13624" spans="2:2" ht="12.75" customHeight="1" x14ac:dyDescent="0.2">
      <c r="B13624" s="43"/>
    </row>
    <row r="13625" spans="2:2" ht="12.75" customHeight="1" x14ac:dyDescent="0.2">
      <c r="B13625" s="43"/>
    </row>
    <row r="13626" spans="2:2" ht="12.75" customHeight="1" x14ac:dyDescent="0.2">
      <c r="B13626" s="43"/>
    </row>
    <row r="13627" spans="2:2" ht="12.75" customHeight="1" x14ac:dyDescent="0.2">
      <c r="B13627" s="43"/>
    </row>
    <row r="13628" spans="2:2" ht="12.75" customHeight="1" x14ac:dyDescent="0.2">
      <c r="B13628" s="43"/>
    </row>
    <row r="13629" spans="2:2" ht="12.75" customHeight="1" x14ac:dyDescent="0.2">
      <c r="B13629" s="43"/>
    </row>
    <row r="13630" spans="2:2" ht="12.75" customHeight="1" x14ac:dyDescent="0.2">
      <c r="B13630" s="43"/>
    </row>
    <row r="13631" spans="2:2" ht="12.75" customHeight="1" x14ac:dyDescent="0.2">
      <c r="B13631" s="43"/>
    </row>
    <row r="13632" spans="2:2" ht="12.75" customHeight="1" x14ac:dyDescent="0.2">
      <c r="B13632" s="43"/>
    </row>
    <row r="13633" spans="2:2" ht="12.75" customHeight="1" x14ac:dyDescent="0.2">
      <c r="B13633" s="43"/>
    </row>
    <row r="13634" spans="2:2" ht="12.75" customHeight="1" x14ac:dyDescent="0.2">
      <c r="B13634" s="43"/>
    </row>
    <row r="13635" spans="2:2" ht="12.75" customHeight="1" x14ac:dyDescent="0.2">
      <c r="B13635" s="43"/>
    </row>
    <row r="13636" spans="2:2" ht="12.75" customHeight="1" x14ac:dyDescent="0.2">
      <c r="B13636" s="43"/>
    </row>
    <row r="13637" spans="2:2" ht="12.75" customHeight="1" x14ac:dyDescent="0.2">
      <c r="B13637" s="43"/>
    </row>
    <row r="13638" spans="2:2" ht="12.75" customHeight="1" x14ac:dyDescent="0.2">
      <c r="B13638" s="43"/>
    </row>
    <row r="13639" spans="2:2" ht="12.75" customHeight="1" x14ac:dyDescent="0.2">
      <c r="B13639" s="43"/>
    </row>
    <row r="13640" spans="2:2" ht="12.75" customHeight="1" x14ac:dyDescent="0.2">
      <c r="B13640" s="43"/>
    </row>
    <row r="13641" spans="2:2" ht="12.75" customHeight="1" x14ac:dyDescent="0.2">
      <c r="B13641" s="43"/>
    </row>
    <row r="13642" spans="2:2" ht="12.75" customHeight="1" x14ac:dyDescent="0.2">
      <c r="B13642" s="43"/>
    </row>
    <row r="13643" spans="2:2" ht="12.75" customHeight="1" x14ac:dyDescent="0.2">
      <c r="B13643" s="43"/>
    </row>
    <row r="13644" spans="2:2" ht="12.75" customHeight="1" x14ac:dyDescent="0.2">
      <c r="B13644" s="43"/>
    </row>
    <row r="13645" spans="2:2" ht="12.75" customHeight="1" x14ac:dyDescent="0.2">
      <c r="B13645" s="43"/>
    </row>
    <row r="13646" spans="2:2" ht="12.75" customHeight="1" x14ac:dyDescent="0.2">
      <c r="B13646" s="43"/>
    </row>
    <row r="13647" spans="2:2" ht="12.75" customHeight="1" x14ac:dyDescent="0.2">
      <c r="B13647" s="43"/>
    </row>
    <row r="13648" spans="2:2" ht="12.75" customHeight="1" x14ac:dyDescent="0.2">
      <c r="B13648" s="43"/>
    </row>
    <row r="13649" spans="2:2" ht="12.75" customHeight="1" x14ac:dyDescent="0.2">
      <c r="B13649" s="43"/>
    </row>
    <row r="13650" spans="2:2" ht="12.75" customHeight="1" x14ac:dyDescent="0.2">
      <c r="B13650" s="43"/>
    </row>
    <row r="13651" spans="2:2" ht="12.75" customHeight="1" x14ac:dyDescent="0.2">
      <c r="B13651" s="43"/>
    </row>
    <row r="13652" spans="2:2" ht="12.75" customHeight="1" x14ac:dyDescent="0.2">
      <c r="B13652" s="43"/>
    </row>
    <row r="13653" spans="2:2" ht="12.75" customHeight="1" x14ac:dyDescent="0.2">
      <c r="B13653" s="43"/>
    </row>
    <row r="13654" spans="2:2" ht="12.75" customHeight="1" x14ac:dyDescent="0.2">
      <c r="B13654" s="43"/>
    </row>
    <row r="13655" spans="2:2" ht="12.75" customHeight="1" x14ac:dyDescent="0.2">
      <c r="B13655" s="43"/>
    </row>
    <row r="13656" spans="2:2" ht="12.75" customHeight="1" x14ac:dyDescent="0.2">
      <c r="B13656" s="43"/>
    </row>
    <row r="13657" spans="2:2" ht="12.75" customHeight="1" x14ac:dyDescent="0.2">
      <c r="B13657" s="43"/>
    </row>
    <row r="13658" spans="2:2" ht="12.75" customHeight="1" x14ac:dyDescent="0.2">
      <c r="B13658" s="43"/>
    </row>
    <row r="13659" spans="2:2" ht="12.75" customHeight="1" x14ac:dyDescent="0.2">
      <c r="B13659" s="43"/>
    </row>
    <row r="13660" spans="2:2" ht="12.75" customHeight="1" x14ac:dyDescent="0.2">
      <c r="B13660" s="43"/>
    </row>
    <row r="13661" spans="2:2" ht="12.75" customHeight="1" x14ac:dyDescent="0.2">
      <c r="B13661" s="43"/>
    </row>
    <row r="13662" spans="2:2" ht="12.75" customHeight="1" x14ac:dyDescent="0.2">
      <c r="B13662" s="43"/>
    </row>
    <row r="13663" spans="2:2" ht="12.75" customHeight="1" x14ac:dyDescent="0.2">
      <c r="B13663" s="43"/>
    </row>
    <row r="13664" spans="2:2" ht="12.75" customHeight="1" x14ac:dyDescent="0.2">
      <c r="B13664" s="43"/>
    </row>
    <row r="13665" spans="2:2" ht="12.75" customHeight="1" x14ac:dyDescent="0.2">
      <c r="B13665" s="43"/>
    </row>
    <row r="13666" spans="2:2" ht="12.75" customHeight="1" x14ac:dyDescent="0.2">
      <c r="B13666" s="43"/>
    </row>
    <row r="13667" spans="2:2" ht="12.75" customHeight="1" x14ac:dyDescent="0.2">
      <c r="B13667" s="43"/>
    </row>
    <row r="13668" spans="2:2" ht="12.75" customHeight="1" x14ac:dyDescent="0.2">
      <c r="B13668" s="43"/>
    </row>
    <row r="13669" spans="2:2" ht="12.75" customHeight="1" x14ac:dyDescent="0.2">
      <c r="B13669" s="43"/>
    </row>
    <row r="13670" spans="2:2" ht="12.75" customHeight="1" x14ac:dyDescent="0.2">
      <c r="B13670" s="43"/>
    </row>
    <row r="13671" spans="2:2" ht="12.75" customHeight="1" x14ac:dyDescent="0.2">
      <c r="B13671" s="43"/>
    </row>
    <row r="13672" spans="2:2" ht="12.75" customHeight="1" x14ac:dyDescent="0.2">
      <c r="B13672" s="43"/>
    </row>
    <row r="13673" spans="2:2" ht="12.75" customHeight="1" x14ac:dyDescent="0.2">
      <c r="B13673" s="43"/>
    </row>
    <row r="13674" spans="2:2" ht="12.75" customHeight="1" x14ac:dyDescent="0.2">
      <c r="B13674" s="43"/>
    </row>
    <row r="13675" spans="2:2" ht="12.75" customHeight="1" x14ac:dyDescent="0.2">
      <c r="B13675" s="43"/>
    </row>
    <row r="13676" spans="2:2" ht="12.75" customHeight="1" x14ac:dyDescent="0.2">
      <c r="B13676" s="43"/>
    </row>
    <row r="13677" spans="2:2" ht="12.75" customHeight="1" x14ac:dyDescent="0.2">
      <c r="B13677" s="43"/>
    </row>
    <row r="13678" spans="2:2" ht="12.75" customHeight="1" x14ac:dyDescent="0.2">
      <c r="B13678" s="43"/>
    </row>
    <row r="13679" spans="2:2" ht="12.75" customHeight="1" x14ac:dyDescent="0.2">
      <c r="B13679" s="43"/>
    </row>
    <row r="13680" spans="2:2" ht="12.75" customHeight="1" x14ac:dyDescent="0.2">
      <c r="B13680" s="43"/>
    </row>
    <row r="13681" spans="2:2" ht="12.75" customHeight="1" x14ac:dyDescent="0.2">
      <c r="B13681" s="43"/>
    </row>
    <row r="13682" spans="2:2" ht="12.75" customHeight="1" x14ac:dyDescent="0.2">
      <c r="B13682" s="43"/>
    </row>
    <row r="13683" spans="2:2" ht="12.75" customHeight="1" x14ac:dyDescent="0.2">
      <c r="B13683" s="43"/>
    </row>
    <row r="13684" spans="2:2" ht="12.75" customHeight="1" x14ac:dyDescent="0.2">
      <c r="B13684" s="43"/>
    </row>
    <row r="13685" spans="2:2" ht="12.75" customHeight="1" x14ac:dyDescent="0.2">
      <c r="B13685" s="43"/>
    </row>
    <row r="13686" spans="2:2" ht="12.75" customHeight="1" x14ac:dyDescent="0.2">
      <c r="B13686" s="43"/>
    </row>
    <row r="13687" spans="2:2" ht="12.75" customHeight="1" x14ac:dyDescent="0.2">
      <c r="B13687" s="43"/>
    </row>
    <row r="13688" spans="2:2" ht="12.75" customHeight="1" x14ac:dyDescent="0.2">
      <c r="B13688" s="43"/>
    </row>
    <row r="13689" spans="2:2" ht="12.75" customHeight="1" x14ac:dyDescent="0.2">
      <c r="B13689" s="43"/>
    </row>
    <row r="13690" spans="2:2" ht="12.75" customHeight="1" x14ac:dyDescent="0.2">
      <c r="B13690" s="43"/>
    </row>
    <row r="13691" spans="2:2" ht="12.75" customHeight="1" x14ac:dyDescent="0.2">
      <c r="B13691" s="43"/>
    </row>
    <row r="13692" spans="2:2" ht="12.75" customHeight="1" x14ac:dyDescent="0.2">
      <c r="B13692" s="43"/>
    </row>
    <row r="13693" spans="2:2" ht="12.75" customHeight="1" x14ac:dyDescent="0.2">
      <c r="B13693" s="43"/>
    </row>
    <row r="13694" spans="2:2" ht="12.75" customHeight="1" x14ac:dyDescent="0.2">
      <c r="B13694" s="43"/>
    </row>
    <row r="13695" spans="2:2" ht="12.75" customHeight="1" x14ac:dyDescent="0.2">
      <c r="B13695" s="43"/>
    </row>
    <row r="13696" spans="2:2" ht="12.75" customHeight="1" x14ac:dyDescent="0.2">
      <c r="B13696" s="43"/>
    </row>
    <row r="13697" spans="2:2" ht="12.75" customHeight="1" x14ac:dyDescent="0.2">
      <c r="B13697" s="43"/>
    </row>
    <row r="13698" spans="2:2" ht="12.75" customHeight="1" x14ac:dyDescent="0.2">
      <c r="B13698" s="43"/>
    </row>
    <row r="13699" spans="2:2" ht="12.75" customHeight="1" x14ac:dyDescent="0.2">
      <c r="B13699" s="43"/>
    </row>
    <row r="13700" spans="2:2" ht="12.75" customHeight="1" x14ac:dyDescent="0.2">
      <c r="B13700" s="43"/>
    </row>
    <row r="13701" spans="2:2" ht="12.75" customHeight="1" x14ac:dyDescent="0.2">
      <c r="B13701" s="43"/>
    </row>
    <row r="13702" spans="2:2" ht="12.75" customHeight="1" x14ac:dyDescent="0.2">
      <c r="B13702" s="43"/>
    </row>
    <row r="13703" spans="2:2" ht="12.75" customHeight="1" x14ac:dyDescent="0.2">
      <c r="B13703" s="43"/>
    </row>
    <row r="13704" spans="2:2" ht="12.75" customHeight="1" x14ac:dyDescent="0.2">
      <c r="B13704" s="43"/>
    </row>
    <row r="13705" spans="2:2" ht="12.75" customHeight="1" x14ac:dyDescent="0.2">
      <c r="B13705" s="43"/>
    </row>
    <row r="13706" spans="2:2" ht="12.75" customHeight="1" x14ac:dyDescent="0.2">
      <c r="B13706" s="43"/>
    </row>
    <row r="13707" spans="2:2" ht="12.75" customHeight="1" x14ac:dyDescent="0.2">
      <c r="B13707" s="43"/>
    </row>
    <row r="13708" spans="2:2" ht="12.75" customHeight="1" x14ac:dyDescent="0.2">
      <c r="B13708" s="43"/>
    </row>
    <row r="13709" spans="2:2" ht="12.75" customHeight="1" x14ac:dyDescent="0.2">
      <c r="B13709" s="43"/>
    </row>
    <row r="13710" spans="2:2" ht="12.75" customHeight="1" x14ac:dyDescent="0.2">
      <c r="B13710" s="43"/>
    </row>
    <row r="13711" spans="2:2" ht="12.75" customHeight="1" x14ac:dyDescent="0.2">
      <c r="B13711" s="43"/>
    </row>
    <row r="13712" spans="2:2" ht="12.75" customHeight="1" x14ac:dyDescent="0.2">
      <c r="B13712" s="43"/>
    </row>
    <row r="13713" spans="2:2" ht="12.75" customHeight="1" x14ac:dyDescent="0.2">
      <c r="B13713" s="43"/>
    </row>
    <row r="13714" spans="2:2" ht="12.75" customHeight="1" x14ac:dyDescent="0.2">
      <c r="B13714" s="43"/>
    </row>
    <row r="13715" spans="2:2" ht="12.75" customHeight="1" x14ac:dyDescent="0.2">
      <c r="B13715" s="43"/>
    </row>
    <row r="13716" spans="2:2" ht="12.75" customHeight="1" x14ac:dyDescent="0.2">
      <c r="B13716" s="43"/>
    </row>
    <row r="13717" spans="2:2" ht="12.75" customHeight="1" x14ac:dyDescent="0.2">
      <c r="B13717" s="43"/>
    </row>
    <row r="13718" spans="2:2" ht="12.75" customHeight="1" x14ac:dyDescent="0.2">
      <c r="B13718" s="43"/>
    </row>
    <row r="13719" spans="2:2" ht="12.75" customHeight="1" x14ac:dyDescent="0.2">
      <c r="B13719" s="43"/>
    </row>
    <row r="13720" spans="2:2" ht="12.75" customHeight="1" x14ac:dyDescent="0.2">
      <c r="B13720" s="43"/>
    </row>
    <row r="13721" spans="2:2" ht="12.75" customHeight="1" x14ac:dyDescent="0.2">
      <c r="B13721" s="43"/>
    </row>
    <row r="13722" spans="2:2" ht="12.75" customHeight="1" x14ac:dyDescent="0.2">
      <c r="B13722" s="43"/>
    </row>
    <row r="13723" spans="2:2" ht="12.75" customHeight="1" x14ac:dyDescent="0.2">
      <c r="B13723" s="43"/>
    </row>
    <row r="13724" spans="2:2" ht="12.75" customHeight="1" x14ac:dyDescent="0.2">
      <c r="B13724" s="43"/>
    </row>
    <row r="13725" spans="2:2" ht="12.75" customHeight="1" x14ac:dyDescent="0.2">
      <c r="B13725" s="43"/>
    </row>
    <row r="13726" spans="2:2" ht="12.75" customHeight="1" x14ac:dyDescent="0.2">
      <c r="B13726" s="43"/>
    </row>
    <row r="13727" spans="2:2" ht="12.75" customHeight="1" x14ac:dyDescent="0.2">
      <c r="B13727" s="43"/>
    </row>
    <row r="13728" spans="2:2" ht="12.75" customHeight="1" x14ac:dyDescent="0.2">
      <c r="B13728" s="43"/>
    </row>
    <row r="13729" spans="2:2" ht="12.75" customHeight="1" x14ac:dyDescent="0.2">
      <c r="B13729" s="43"/>
    </row>
    <row r="13730" spans="2:2" ht="12.75" customHeight="1" x14ac:dyDescent="0.2">
      <c r="B13730" s="43"/>
    </row>
    <row r="13731" spans="2:2" ht="12.75" customHeight="1" x14ac:dyDescent="0.2">
      <c r="B13731" s="43"/>
    </row>
    <row r="13732" spans="2:2" ht="12.75" customHeight="1" x14ac:dyDescent="0.2">
      <c r="B13732" s="43"/>
    </row>
    <row r="13733" spans="2:2" ht="12.75" customHeight="1" x14ac:dyDescent="0.2">
      <c r="B13733" s="43"/>
    </row>
    <row r="13734" spans="2:2" ht="12.75" customHeight="1" x14ac:dyDescent="0.2">
      <c r="B13734" s="43"/>
    </row>
    <row r="13735" spans="2:2" ht="12.75" customHeight="1" x14ac:dyDescent="0.2">
      <c r="B13735" s="43"/>
    </row>
    <row r="13736" spans="2:2" ht="12.75" customHeight="1" x14ac:dyDescent="0.2">
      <c r="B13736" s="43"/>
    </row>
    <row r="13737" spans="2:2" ht="12.75" customHeight="1" x14ac:dyDescent="0.2">
      <c r="B13737" s="43"/>
    </row>
    <row r="13738" spans="2:2" ht="12.75" customHeight="1" x14ac:dyDescent="0.2">
      <c r="B13738" s="43"/>
    </row>
    <row r="13739" spans="2:2" ht="12.75" customHeight="1" x14ac:dyDescent="0.2">
      <c r="B13739" s="43"/>
    </row>
    <row r="13740" spans="2:2" ht="12.75" customHeight="1" x14ac:dyDescent="0.2">
      <c r="B13740" s="43"/>
    </row>
    <row r="13741" spans="2:2" ht="12.75" customHeight="1" x14ac:dyDescent="0.2">
      <c r="B13741" s="43"/>
    </row>
    <row r="13742" spans="2:2" ht="12.75" customHeight="1" x14ac:dyDescent="0.2">
      <c r="B13742" s="43"/>
    </row>
    <row r="13743" spans="2:2" ht="12.75" customHeight="1" x14ac:dyDescent="0.2">
      <c r="B13743" s="43"/>
    </row>
    <row r="13744" spans="2:2" ht="12.75" customHeight="1" x14ac:dyDescent="0.2">
      <c r="B13744" s="43"/>
    </row>
    <row r="13745" spans="2:2" ht="12.75" customHeight="1" x14ac:dyDescent="0.2">
      <c r="B13745" s="43"/>
    </row>
    <row r="13746" spans="2:2" ht="12.75" customHeight="1" x14ac:dyDescent="0.2">
      <c r="B13746" s="43"/>
    </row>
    <row r="13747" spans="2:2" ht="12.75" customHeight="1" x14ac:dyDescent="0.2">
      <c r="B13747" s="43"/>
    </row>
    <row r="13748" spans="2:2" ht="12.75" customHeight="1" x14ac:dyDescent="0.2">
      <c r="B13748" s="43"/>
    </row>
    <row r="13749" spans="2:2" ht="12.75" customHeight="1" x14ac:dyDescent="0.2">
      <c r="B13749" s="43"/>
    </row>
    <row r="13750" spans="2:2" ht="12.75" customHeight="1" x14ac:dyDescent="0.2">
      <c r="B13750" s="43"/>
    </row>
    <row r="13751" spans="2:2" ht="12.75" customHeight="1" x14ac:dyDescent="0.2">
      <c r="B13751" s="43"/>
    </row>
    <row r="13752" spans="2:2" ht="12.75" customHeight="1" x14ac:dyDescent="0.2">
      <c r="B13752" s="43"/>
    </row>
    <row r="13753" spans="2:2" ht="12.75" customHeight="1" x14ac:dyDescent="0.2">
      <c r="B13753" s="43"/>
    </row>
    <row r="13754" spans="2:2" ht="12.75" customHeight="1" x14ac:dyDescent="0.2">
      <c r="B13754" s="43"/>
    </row>
    <row r="13755" spans="2:2" ht="12.75" customHeight="1" x14ac:dyDescent="0.2">
      <c r="B13755" s="43"/>
    </row>
    <row r="13756" spans="2:2" ht="12.75" customHeight="1" x14ac:dyDescent="0.2">
      <c r="B13756" s="43"/>
    </row>
    <row r="13757" spans="2:2" ht="12.75" customHeight="1" x14ac:dyDescent="0.2">
      <c r="B13757" s="43"/>
    </row>
    <row r="13758" spans="2:2" ht="12.75" customHeight="1" x14ac:dyDescent="0.2">
      <c r="B13758" s="43"/>
    </row>
    <row r="13759" spans="2:2" ht="12.75" customHeight="1" x14ac:dyDescent="0.2">
      <c r="B13759" s="43"/>
    </row>
    <row r="13760" spans="2:2" ht="12.75" customHeight="1" x14ac:dyDescent="0.2">
      <c r="B13760" s="43"/>
    </row>
    <row r="13761" spans="2:2" ht="12.75" customHeight="1" x14ac:dyDescent="0.2">
      <c r="B13761" s="43"/>
    </row>
    <row r="13762" spans="2:2" ht="12.75" customHeight="1" x14ac:dyDescent="0.2">
      <c r="B13762" s="43"/>
    </row>
    <row r="13763" spans="2:2" ht="12.75" customHeight="1" x14ac:dyDescent="0.2">
      <c r="B13763" s="43"/>
    </row>
    <row r="13764" spans="2:2" ht="12.75" customHeight="1" x14ac:dyDescent="0.2">
      <c r="B13764" s="43"/>
    </row>
    <row r="13765" spans="2:2" ht="12.75" customHeight="1" x14ac:dyDescent="0.2">
      <c r="B13765" s="43"/>
    </row>
    <row r="13766" spans="2:2" ht="12.75" customHeight="1" x14ac:dyDescent="0.2">
      <c r="B13766" s="43"/>
    </row>
    <row r="13767" spans="2:2" ht="12.75" customHeight="1" x14ac:dyDescent="0.2">
      <c r="B13767" s="43"/>
    </row>
    <row r="13768" spans="2:2" ht="12.75" customHeight="1" x14ac:dyDescent="0.2">
      <c r="B13768" s="43"/>
    </row>
    <row r="13769" spans="2:2" ht="12.75" customHeight="1" x14ac:dyDescent="0.2">
      <c r="B13769" s="43"/>
    </row>
    <row r="13770" spans="2:2" ht="12.75" customHeight="1" x14ac:dyDescent="0.2">
      <c r="B13770" s="43"/>
    </row>
    <row r="13771" spans="2:2" ht="12.75" customHeight="1" x14ac:dyDescent="0.2">
      <c r="B13771" s="43"/>
    </row>
    <row r="13772" spans="2:2" ht="12.75" customHeight="1" x14ac:dyDescent="0.2">
      <c r="B13772" s="43"/>
    </row>
    <row r="13773" spans="2:2" ht="12.75" customHeight="1" x14ac:dyDescent="0.2">
      <c r="B13773" s="43"/>
    </row>
    <row r="13774" spans="2:2" ht="12.75" customHeight="1" x14ac:dyDescent="0.2">
      <c r="B13774" s="43"/>
    </row>
    <row r="13775" spans="2:2" ht="12.75" customHeight="1" x14ac:dyDescent="0.2">
      <c r="B13775" s="43"/>
    </row>
    <row r="13776" spans="2:2" ht="12.75" customHeight="1" x14ac:dyDescent="0.2">
      <c r="B13776" s="43"/>
    </row>
    <row r="13777" spans="2:2" ht="12.75" customHeight="1" x14ac:dyDescent="0.2">
      <c r="B13777" s="43"/>
    </row>
    <row r="13778" spans="2:2" ht="12.75" customHeight="1" x14ac:dyDescent="0.2">
      <c r="B13778" s="43"/>
    </row>
    <row r="13779" spans="2:2" ht="12.75" customHeight="1" x14ac:dyDescent="0.2">
      <c r="B13779" s="43"/>
    </row>
    <row r="13780" spans="2:2" ht="12.75" customHeight="1" x14ac:dyDescent="0.2">
      <c r="B13780" s="43"/>
    </row>
    <row r="13781" spans="2:2" ht="12.75" customHeight="1" x14ac:dyDescent="0.2">
      <c r="B13781" s="43"/>
    </row>
    <row r="13782" spans="2:2" ht="12.75" customHeight="1" x14ac:dyDescent="0.2">
      <c r="B13782" s="43"/>
    </row>
    <row r="13783" spans="2:2" ht="12.75" customHeight="1" x14ac:dyDescent="0.2">
      <c r="B13783" s="43"/>
    </row>
    <row r="13784" spans="2:2" ht="12.75" customHeight="1" x14ac:dyDescent="0.2">
      <c r="B13784" s="43"/>
    </row>
    <row r="13785" spans="2:2" ht="12.75" customHeight="1" x14ac:dyDescent="0.2">
      <c r="B13785" s="43"/>
    </row>
    <row r="13786" spans="2:2" ht="12.75" customHeight="1" x14ac:dyDescent="0.2">
      <c r="B13786" s="43"/>
    </row>
    <row r="13787" spans="2:2" ht="12.75" customHeight="1" x14ac:dyDescent="0.2">
      <c r="B13787" s="43"/>
    </row>
    <row r="13788" spans="2:2" ht="12.75" customHeight="1" x14ac:dyDescent="0.2">
      <c r="B13788" s="43"/>
    </row>
    <row r="13789" spans="2:2" ht="12.75" customHeight="1" x14ac:dyDescent="0.2">
      <c r="B13789" s="43"/>
    </row>
    <row r="13790" spans="2:2" ht="12.75" customHeight="1" x14ac:dyDescent="0.2">
      <c r="B13790" s="43"/>
    </row>
    <row r="13791" spans="2:2" ht="12.75" customHeight="1" x14ac:dyDescent="0.2">
      <c r="B13791" s="43"/>
    </row>
    <row r="13792" spans="2:2" ht="12.75" customHeight="1" x14ac:dyDescent="0.2">
      <c r="B13792" s="43"/>
    </row>
    <row r="13793" spans="2:2" ht="12.75" customHeight="1" x14ac:dyDescent="0.2">
      <c r="B13793" s="43"/>
    </row>
    <row r="13794" spans="2:2" ht="12.75" customHeight="1" x14ac:dyDescent="0.2">
      <c r="B13794" s="43"/>
    </row>
    <row r="13795" spans="2:2" ht="12.75" customHeight="1" x14ac:dyDescent="0.2">
      <c r="B13795" s="43"/>
    </row>
    <row r="13796" spans="2:2" ht="12.75" customHeight="1" x14ac:dyDescent="0.2">
      <c r="B13796" s="43"/>
    </row>
    <row r="13797" spans="2:2" ht="12.75" customHeight="1" x14ac:dyDescent="0.2">
      <c r="B13797" s="43"/>
    </row>
    <row r="13798" spans="2:2" ht="12.75" customHeight="1" x14ac:dyDescent="0.2">
      <c r="B13798" s="43"/>
    </row>
    <row r="13799" spans="2:2" ht="12.75" customHeight="1" x14ac:dyDescent="0.2">
      <c r="B13799" s="43"/>
    </row>
    <row r="13800" spans="2:2" ht="12.75" customHeight="1" x14ac:dyDescent="0.2">
      <c r="B13800" s="43"/>
    </row>
    <row r="13801" spans="2:2" ht="12.75" customHeight="1" x14ac:dyDescent="0.2">
      <c r="B13801" s="43"/>
    </row>
    <row r="13802" spans="2:2" ht="12.75" customHeight="1" x14ac:dyDescent="0.2">
      <c r="B13802" s="43"/>
    </row>
    <row r="13803" spans="2:2" ht="12.75" customHeight="1" x14ac:dyDescent="0.2">
      <c r="B13803" s="43"/>
    </row>
    <row r="13804" spans="2:2" ht="12.75" customHeight="1" x14ac:dyDescent="0.2">
      <c r="B13804" s="43"/>
    </row>
    <row r="13805" spans="2:2" ht="12.75" customHeight="1" x14ac:dyDescent="0.2">
      <c r="B13805" s="43"/>
    </row>
    <row r="13806" spans="2:2" ht="12.75" customHeight="1" x14ac:dyDescent="0.2">
      <c r="B13806" s="43"/>
    </row>
    <row r="13807" spans="2:2" ht="12.75" customHeight="1" x14ac:dyDescent="0.2">
      <c r="B13807" s="43"/>
    </row>
    <row r="13808" spans="2:2" ht="12.75" customHeight="1" x14ac:dyDescent="0.2">
      <c r="B13808" s="43"/>
    </row>
    <row r="13809" spans="2:2" ht="12.75" customHeight="1" x14ac:dyDescent="0.2">
      <c r="B13809" s="43"/>
    </row>
    <row r="13810" spans="2:2" ht="12.75" customHeight="1" x14ac:dyDescent="0.2">
      <c r="B13810" s="43"/>
    </row>
    <row r="13811" spans="2:2" ht="12.75" customHeight="1" x14ac:dyDescent="0.2">
      <c r="B13811" s="43"/>
    </row>
    <row r="13812" spans="2:2" ht="12.75" customHeight="1" x14ac:dyDescent="0.2">
      <c r="B13812" s="43"/>
    </row>
    <row r="13813" spans="2:2" ht="12.75" customHeight="1" x14ac:dyDescent="0.2">
      <c r="B13813" s="43"/>
    </row>
    <row r="13814" spans="2:2" ht="12.75" customHeight="1" x14ac:dyDescent="0.2">
      <c r="B13814" s="43"/>
    </row>
    <row r="13815" spans="2:2" ht="12.75" customHeight="1" x14ac:dyDescent="0.2">
      <c r="B13815" s="43"/>
    </row>
    <row r="13816" spans="2:2" ht="12.75" customHeight="1" x14ac:dyDescent="0.2">
      <c r="B13816" s="43"/>
    </row>
    <row r="13817" spans="2:2" ht="12.75" customHeight="1" x14ac:dyDescent="0.2">
      <c r="B13817" s="43"/>
    </row>
    <row r="13818" spans="2:2" ht="12.75" customHeight="1" x14ac:dyDescent="0.2">
      <c r="B13818" s="43"/>
    </row>
    <row r="13819" spans="2:2" ht="12.75" customHeight="1" x14ac:dyDescent="0.2">
      <c r="B13819" s="43"/>
    </row>
    <row r="13820" spans="2:2" ht="12.75" customHeight="1" x14ac:dyDescent="0.2">
      <c r="B13820" s="43"/>
    </row>
    <row r="13821" spans="2:2" ht="12.75" customHeight="1" x14ac:dyDescent="0.2">
      <c r="B13821" s="43"/>
    </row>
    <row r="13822" spans="2:2" ht="12.75" customHeight="1" x14ac:dyDescent="0.2">
      <c r="B13822" s="43"/>
    </row>
    <row r="13823" spans="2:2" ht="12.75" customHeight="1" x14ac:dyDescent="0.2">
      <c r="B13823" s="43"/>
    </row>
    <row r="13824" spans="2:2" ht="12.75" customHeight="1" x14ac:dyDescent="0.2">
      <c r="B13824" s="43"/>
    </row>
    <row r="13825" spans="2:2" ht="12.75" customHeight="1" x14ac:dyDescent="0.2">
      <c r="B13825" s="43"/>
    </row>
    <row r="13826" spans="2:2" ht="12.75" customHeight="1" x14ac:dyDescent="0.2">
      <c r="B13826" s="43"/>
    </row>
    <row r="13827" spans="2:2" ht="12.75" customHeight="1" x14ac:dyDescent="0.2">
      <c r="B13827" s="43"/>
    </row>
    <row r="13828" spans="2:2" ht="12.75" customHeight="1" x14ac:dyDescent="0.2">
      <c r="B13828" s="43"/>
    </row>
    <row r="13829" spans="2:2" ht="12.75" customHeight="1" x14ac:dyDescent="0.2">
      <c r="B13829" s="43"/>
    </row>
    <row r="13830" spans="2:2" ht="12.75" customHeight="1" x14ac:dyDescent="0.2">
      <c r="B13830" s="43"/>
    </row>
    <row r="13831" spans="2:2" ht="12.75" customHeight="1" x14ac:dyDescent="0.2">
      <c r="B13831" s="43"/>
    </row>
    <row r="13832" spans="2:2" ht="12.75" customHeight="1" x14ac:dyDescent="0.2">
      <c r="B13832" s="43"/>
    </row>
    <row r="13833" spans="2:2" ht="12.75" customHeight="1" x14ac:dyDescent="0.2">
      <c r="B13833" s="43"/>
    </row>
    <row r="13834" spans="2:2" ht="12.75" customHeight="1" x14ac:dyDescent="0.2">
      <c r="B13834" s="43"/>
    </row>
    <row r="13835" spans="2:2" ht="12.75" customHeight="1" x14ac:dyDescent="0.2">
      <c r="B13835" s="43"/>
    </row>
    <row r="13836" spans="2:2" ht="12.75" customHeight="1" x14ac:dyDescent="0.2">
      <c r="B13836" s="43"/>
    </row>
    <row r="13837" spans="2:2" ht="12.75" customHeight="1" x14ac:dyDescent="0.2">
      <c r="B13837" s="43"/>
    </row>
    <row r="13838" spans="2:2" ht="12.75" customHeight="1" x14ac:dyDescent="0.2">
      <c r="B13838" s="43"/>
    </row>
    <row r="13839" spans="2:2" ht="12.75" customHeight="1" x14ac:dyDescent="0.2">
      <c r="B13839" s="43"/>
    </row>
    <row r="13840" spans="2:2" ht="12.75" customHeight="1" x14ac:dyDescent="0.2">
      <c r="B13840" s="43"/>
    </row>
    <row r="13841" spans="2:2" ht="12.75" customHeight="1" x14ac:dyDescent="0.2">
      <c r="B13841" s="43"/>
    </row>
    <row r="13842" spans="2:2" ht="12.75" customHeight="1" x14ac:dyDescent="0.2">
      <c r="B13842" s="43"/>
    </row>
    <row r="13843" spans="2:2" ht="12.75" customHeight="1" x14ac:dyDescent="0.2">
      <c r="B13843" s="43"/>
    </row>
    <row r="13844" spans="2:2" ht="12.75" customHeight="1" x14ac:dyDescent="0.2">
      <c r="B13844" s="43"/>
    </row>
    <row r="13845" spans="2:2" ht="12.75" customHeight="1" x14ac:dyDescent="0.2">
      <c r="B13845" s="43"/>
    </row>
    <row r="13846" spans="2:2" ht="12.75" customHeight="1" x14ac:dyDescent="0.2">
      <c r="B13846" s="43"/>
    </row>
    <row r="13847" spans="2:2" ht="12.75" customHeight="1" x14ac:dyDescent="0.2">
      <c r="B13847" s="43"/>
    </row>
    <row r="13848" spans="2:2" ht="12.75" customHeight="1" x14ac:dyDescent="0.2">
      <c r="B13848" s="43"/>
    </row>
    <row r="13849" spans="2:2" ht="12.75" customHeight="1" x14ac:dyDescent="0.2">
      <c r="B13849" s="43"/>
    </row>
    <row r="13850" spans="2:2" ht="12.75" customHeight="1" x14ac:dyDescent="0.2">
      <c r="B13850" s="43"/>
    </row>
    <row r="13851" spans="2:2" ht="12.75" customHeight="1" x14ac:dyDescent="0.2">
      <c r="B13851" s="43"/>
    </row>
    <row r="13852" spans="2:2" ht="12.75" customHeight="1" x14ac:dyDescent="0.2">
      <c r="B13852" s="43"/>
    </row>
    <row r="13853" spans="2:2" ht="12.75" customHeight="1" x14ac:dyDescent="0.2">
      <c r="B13853" s="43"/>
    </row>
    <row r="13854" spans="2:2" ht="12.75" customHeight="1" x14ac:dyDescent="0.2">
      <c r="B13854" s="43"/>
    </row>
    <row r="13855" spans="2:2" ht="12.75" customHeight="1" x14ac:dyDescent="0.2">
      <c r="B13855" s="43"/>
    </row>
    <row r="13856" spans="2:2" ht="12.75" customHeight="1" x14ac:dyDescent="0.2">
      <c r="B13856" s="43"/>
    </row>
    <row r="13857" spans="2:2" ht="12.75" customHeight="1" x14ac:dyDescent="0.2">
      <c r="B13857" s="43"/>
    </row>
    <row r="13858" spans="2:2" ht="12.75" customHeight="1" x14ac:dyDescent="0.2">
      <c r="B13858" s="43"/>
    </row>
    <row r="13859" spans="2:2" ht="12.75" customHeight="1" x14ac:dyDescent="0.2">
      <c r="B13859" s="43"/>
    </row>
    <row r="13860" spans="2:2" ht="12.75" customHeight="1" x14ac:dyDescent="0.2">
      <c r="B13860" s="43"/>
    </row>
    <row r="13861" spans="2:2" ht="12.75" customHeight="1" x14ac:dyDescent="0.2">
      <c r="B13861" s="43"/>
    </row>
    <row r="13862" spans="2:2" ht="12.75" customHeight="1" x14ac:dyDescent="0.2">
      <c r="B13862" s="43"/>
    </row>
    <row r="13863" spans="2:2" ht="12.75" customHeight="1" x14ac:dyDescent="0.2">
      <c r="B13863" s="43"/>
    </row>
    <row r="13864" spans="2:2" ht="12.75" customHeight="1" x14ac:dyDescent="0.2">
      <c r="B13864" s="43"/>
    </row>
    <row r="13865" spans="2:2" ht="12.75" customHeight="1" x14ac:dyDescent="0.2">
      <c r="B13865" s="43"/>
    </row>
    <row r="13866" spans="2:2" ht="12.75" customHeight="1" x14ac:dyDescent="0.2">
      <c r="B13866" s="43"/>
    </row>
    <row r="13867" spans="2:2" ht="12.75" customHeight="1" x14ac:dyDescent="0.2">
      <c r="B13867" s="43"/>
    </row>
    <row r="13868" spans="2:2" ht="12.75" customHeight="1" x14ac:dyDescent="0.2">
      <c r="B13868" s="43"/>
    </row>
    <row r="13869" spans="2:2" ht="12.75" customHeight="1" x14ac:dyDescent="0.2">
      <c r="B13869" s="43"/>
    </row>
    <row r="13870" spans="2:2" ht="12.75" customHeight="1" x14ac:dyDescent="0.2">
      <c r="B13870" s="43"/>
    </row>
    <row r="13871" spans="2:2" ht="12.75" customHeight="1" x14ac:dyDescent="0.2">
      <c r="B13871" s="43"/>
    </row>
    <row r="13872" spans="2:2" ht="12.75" customHeight="1" x14ac:dyDescent="0.2">
      <c r="B13872" s="43"/>
    </row>
    <row r="13873" spans="2:2" ht="12.75" customHeight="1" x14ac:dyDescent="0.2">
      <c r="B13873" s="43"/>
    </row>
    <row r="13874" spans="2:2" ht="12.75" customHeight="1" x14ac:dyDescent="0.2">
      <c r="B13874" s="43"/>
    </row>
    <row r="13875" spans="2:2" ht="12.75" customHeight="1" x14ac:dyDescent="0.2">
      <c r="B13875" s="43"/>
    </row>
    <row r="13876" spans="2:2" ht="12.75" customHeight="1" x14ac:dyDescent="0.2">
      <c r="B13876" s="43"/>
    </row>
    <row r="13877" spans="2:2" ht="12.75" customHeight="1" x14ac:dyDescent="0.2">
      <c r="B13877" s="43"/>
    </row>
    <row r="13878" spans="2:2" ht="12.75" customHeight="1" x14ac:dyDescent="0.2">
      <c r="B13878" s="43"/>
    </row>
    <row r="13879" spans="2:2" ht="12.75" customHeight="1" x14ac:dyDescent="0.2">
      <c r="B13879" s="43"/>
    </row>
    <row r="13880" spans="2:2" ht="12.75" customHeight="1" x14ac:dyDescent="0.2">
      <c r="B13880" s="43"/>
    </row>
    <row r="13881" spans="2:2" ht="12.75" customHeight="1" x14ac:dyDescent="0.2">
      <c r="B13881" s="43"/>
    </row>
    <row r="13882" spans="2:2" ht="12.75" customHeight="1" x14ac:dyDescent="0.2">
      <c r="B13882" s="43"/>
    </row>
    <row r="13883" spans="2:2" ht="12.75" customHeight="1" x14ac:dyDescent="0.2">
      <c r="B13883" s="43"/>
    </row>
    <row r="13884" spans="2:2" ht="12.75" customHeight="1" x14ac:dyDescent="0.2">
      <c r="B13884" s="43"/>
    </row>
    <row r="13885" spans="2:2" ht="12.75" customHeight="1" x14ac:dyDescent="0.2">
      <c r="B13885" s="43"/>
    </row>
    <row r="13886" spans="2:2" ht="12.75" customHeight="1" x14ac:dyDescent="0.2">
      <c r="B13886" s="43"/>
    </row>
    <row r="13887" spans="2:2" ht="12.75" customHeight="1" x14ac:dyDescent="0.2">
      <c r="B13887" s="43"/>
    </row>
    <row r="13888" spans="2:2" ht="12.75" customHeight="1" x14ac:dyDescent="0.2">
      <c r="B13888" s="43"/>
    </row>
    <row r="13889" spans="2:2" ht="12.75" customHeight="1" x14ac:dyDescent="0.2">
      <c r="B13889" s="43"/>
    </row>
    <row r="13890" spans="2:2" ht="12.75" customHeight="1" x14ac:dyDescent="0.2">
      <c r="B13890" s="43"/>
    </row>
    <row r="13891" spans="2:2" ht="12.75" customHeight="1" x14ac:dyDescent="0.2">
      <c r="B13891" s="43"/>
    </row>
    <row r="13892" spans="2:2" ht="12.75" customHeight="1" x14ac:dyDescent="0.2">
      <c r="B13892" s="43"/>
    </row>
    <row r="13893" spans="2:2" ht="12.75" customHeight="1" x14ac:dyDescent="0.2">
      <c r="B13893" s="43"/>
    </row>
    <row r="13894" spans="2:2" ht="12.75" customHeight="1" x14ac:dyDescent="0.2">
      <c r="B13894" s="43"/>
    </row>
    <row r="13895" spans="2:2" ht="12.75" customHeight="1" x14ac:dyDescent="0.2">
      <c r="B13895" s="43"/>
    </row>
    <row r="13896" spans="2:2" ht="12.75" customHeight="1" x14ac:dyDescent="0.2">
      <c r="B13896" s="43"/>
    </row>
    <row r="13897" spans="2:2" ht="12.75" customHeight="1" x14ac:dyDescent="0.2">
      <c r="B13897" s="43"/>
    </row>
    <row r="13898" spans="2:2" ht="12.75" customHeight="1" x14ac:dyDescent="0.2">
      <c r="B13898" s="43"/>
    </row>
    <row r="13899" spans="2:2" ht="12.75" customHeight="1" x14ac:dyDescent="0.2">
      <c r="B13899" s="43"/>
    </row>
    <row r="13900" spans="2:2" ht="12.75" customHeight="1" x14ac:dyDescent="0.2">
      <c r="B13900" s="43"/>
    </row>
    <row r="13901" spans="2:2" ht="12.75" customHeight="1" x14ac:dyDescent="0.2">
      <c r="B13901" s="43"/>
    </row>
    <row r="13902" spans="2:2" ht="12.75" customHeight="1" x14ac:dyDescent="0.2">
      <c r="B13902" s="43"/>
    </row>
    <row r="13903" spans="2:2" ht="12.75" customHeight="1" x14ac:dyDescent="0.2">
      <c r="B13903" s="43"/>
    </row>
    <row r="13904" spans="2:2" ht="12.75" customHeight="1" x14ac:dyDescent="0.2">
      <c r="B13904" s="43"/>
    </row>
    <row r="13905" spans="2:2" ht="12.75" customHeight="1" x14ac:dyDescent="0.2">
      <c r="B13905" s="43"/>
    </row>
    <row r="13906" spans="2:2" ht="12.75" customHeight="1" x14ac:dyDescent="0.2">
      <c r="B13906" s="43"/>
    </row>
    <row r="13907" spans="2:2" ht="12.75" customHeight="1" x14ac:dyDescent="0.2">
      <c r="B13907" s="43"/>
    </row>
    <row r="13908" spans="2:2" ht="12.75" customHeight="1" x14ac:dyDescent="0.2">
      <c r="B13908" s="43"/>
    </row>
    <row r="13909" spans="2:2" ht="12.75" customHeight="1" x14ac:dyDescent="0.2">
      <c r="B13909" s="43"/>
    </row>
    <row r="13910" spans="2:2" ht="12.75" customHeight="1" x14ac:dyDescent="0.2">
      <c r="B13910" s="43"/>
    </row>
    <row r="13911" spans="2:2" ht="12.75" customHeight="1" x14ac:dyDescent="0.2">
      <c r="B13911" s="43"/>
    </row>
    <row r="13912" spans="2:2" ht="12.75" customHeight="1" x14ac:dyDescent="0.2">
      <c r="B13912" s="43"/>
    </row>
    <row r="13913" spans="2:2" ht="12.75" customHeight="1" x14ac:dyDescent="0.2">
      <c r="B13913" s="43"/>
    </row>
    <row r="13914" spans="2:2" ht="12.75" customHeight="1" x14ac:dyDescent="0.2">
      <c r="B13914" s="43"/>
    </row>
    <row r="13915" spans="2:2" ht="12.75" customHeight="1" x14ac:dyDescent="0.2">
      <c r="B13915" s="43"/>
    </row>
    <row r="13916" spans="2:2" ht="12.75" customHeight="1" x14ac:dyDescent="0.2">
      <c r="B13916" s="43"/>
    </row>
    <row r="13917" spans="2:2" ht="12.75" customHeight="1" x14ac:dyDescent="0.2">
      <c r="B13917" s="43"/>
    </row>
    <row r="13918" spans="2:2" ht="12.75" customHeight="1" x14ac:dyDescent="0.2">
      <c r="B13918" s="43"/>
    </row>
    <row r="13919" spans="2:2" ht="12.75" customHeight="1" x14ac:dyDescent="0.2">
      <c r="B13919" s="43"/>
    </row>
    <row r="13920" spans="2:2" ht="12.75" customHeight="1" x14ac:dyDescent="0.2">
      <c r="B13920" s="43"/>
    </row>
    <row r="13921" spans="2:2" ht="12.75" customHeight="1" x14ac:dyDescent="0.2">
      <c r="B13921" s="43"/>
    </row>
    <row r="13922" spans="2:2" ht="12.75" customHeight="1" x14ac:dyDescent="0.2">
      <c r="B13922" s="43"/>
    </row>
    <row r="13923" spans="2:2" ht="12.75" customHeight="1" x14ac:dyDescent="0.2">
      <c r="B13923" s="43"/>
    </row>
    <row r="13924" spans="2:2" ht="12.75" customHeight="1" x14ac:dyDescent="0.2">
      <c r="B13924" s="43"/>
    </row>
    <row r="13925" spans="2:2" ht="12.75" customHeight="1" x14ac:dyDescent="0.2">
      <c r="B13925" s="43"/>
    </row>
    <row r="13926" spans="2:2" ht="12.75" customHeight="1" x14ac:dyDescent="0.2">
      <c r="B13926" s="43"/>
    </row>
    <row r="13927" spans="2:2" ht="12.75" customHeight="1" x14ac:dyDescent="0.2">
      <c r="B13927" s="43"/>
    </row>
    <row r="13928" spans="2:2" ht="12.75" customHeight="1" x14ac:dyDescent="0.2">
      <c r="B13928" s="43"/>
    </row>
    <row r="13929" spans="2:2" ht="12.75" customHeight="1" x14ac:dyDescent="0.2">
      <c r="B13929" s="43"/>
    </row>
    <row r="13930" spans="2:2" ht="12.75" customHeight="1" x14ac:dyDescent="0.2">
      <c r="B13930" s="43"/>
    </row>
    <row r="13931" spans="2:2" ht="12.75" customHeight="1" x14ac:dyDescent="0.2">
      <c r="B13931" s="43"/>
    </row>
    <row r="13932" spans="2:2" ht="12.75" customHeight="1" x14ac:dyDescent="0.2">
      <c r="B13932" s="43"/>
    </row>
    <row r="13933" spans="2:2" ht="12.75" customHeight="1" x14ac:dyDescent="0.2">
      <c r="B13933" s="43"/>
    </row>
    <row r="13934" spans="2:2" ht="12.75" customHeight="1" x14ac:dyDescent="0.2">
      <c r="B13934" s="43"/>
    </row>
    <row r="13935" spans="2:2" ht="12.75" customHeight="1" x14ac:dyDescent="0.2">
      <c r="B13935" s="43"/>
    </row>
    <row r="13936" spans="2:2" ht="12.75" customHeight="1" x14ac:dyDescent="0.2">
      <c r="B13936" s="43"/>
    </row>
    <row r="13937" spans="2:2" ht="12.75" customHeight="1" x14ac:dyDescent="0.2">
      <c r="B13937" s="43"/>
    </row>
    <row r="13938" spans="2:2" ht="12.75" customHeight="1" x14ac:dyDescent="0.2">
      <c r="B13938" s="43"/>
    </row>
    <row r="13939" spans="2:2" ht="12.75" customHeight="1" x14ac:dyDescent="0.2">
      <c r="B13939" s="43"/>
    </row>
    <row r="13940" spans="2:2" ht="12.75" customHeight="1" x14ac:dyDescent="0.2">
      <c r="B13940" s="43"/>
    </row>
    <row r="13941" spans="2:2" ht="12.75" customHeight="1" x14ac:dyDescent="0.2">
      <c r="B13941" s="43"/>
    </row>
    <row r="13942" spans="2:2" ht="12.75" customHeight="1" x14ac:dyDescent="0.2">
      <c r="B13942" s="43"/>
    </row>
    <row r="13943" spans="2:2" ht="12.75" customHeight="1" x14ac:dyDescent="0.2">
      <c r="B13943" s="43"/>
    </row>
    <row r="13944" spans="2:2" ht="12.75" customHeight="1" x14ac:dyDescent="0.2">
      <c r="B13944" s="43"/>
    </row>
    <row r="13945" spans="2:2" ht="12.75" customHeight="1" x14ac:dyDescent="0.2">
      <c r="B13945" s="43"/>
    </row>
    <row r="13946" spans="2:2" ht="12.75" customHeight="1" x14ac:dyDescent="0.2">
      <c r="B13946" s="43"/>
    </row>
    <row r="13947" spans="2:2" ht="12.75" customHeight="1" x14ac:dyDescent="0.2">
      <c r="B13947" s="43"/>
    </row>
    <row r="13948" spans="2:2" ht="12.75" customHeight="1" x14ac:dyDescent="0.2">
      <c r="B13948" s="43"/>
    </row>
    <row r="13949" spans="2:2" ht="12.75" customHeight="1" x14ac:dyDescent="0.2">
      <c r="B13949" s="43"/>
    </row>
    <row r="13950" spans="2:2" ht="12.75" customHeight="1" x14ac:dyDescent="0.2">
      <c r="B13950" s="43"/>
    </row>
    <row r="13951" spans="2:2" ht="12.75" customHeight="1" x14ac:dyDescent="0.2">
      <c r="B13951" s="43"/>
    </row>
    <row r="13952" spans="2:2" ht="12.75" customHeight="1" x14ac:dyDescent="0.2">
      <c r="B13952" s="43"/>
    </row>
    <row r="13953" spans="2:2" ht="12.75" customHeight="1" x14ac:dyDescent="0.2">
      <c r="B13953" s="43"/>
    </row>
    <row r="13954" spans="2:2" ht="12.75" customHeight="1" x14ac:dyDescent="0.2">
      <c r="B13954" s="43"/>
    </row>
    <row r="13955" spans="2:2" ht="12.75" customHeight="1" x14ac:dyDescent="0.2">
      <c r="B13955" s="43"/>
    </row>
    <row r="13956" spans="2:2" ht="12.75" customHeight="1" x14ac:dyDescent="0.2">
      <c r="B13956" s="43"/>
    </row>
    <row r="13957" spans="2:2" ht="12.75" customHeight="1" x14ac:dyDescent="0.2">
      <c r="B13957" s="43"/>
    </row>
    <row r="13958" spans="2:2" ht="12.75" customHeight="1" x14ac:dyDescent="0.2">
      <c r="B13958" s="43"/>
    </row>
    <row r="13959" spans="2:2" ht="12.75" customHeight="1" x14ac:dyDescent="0.2">
      <c r="B13959" s="43"/>
    </row>
    <row r="13960" spans="2:2" ht="12.75" customHeight="1" x14ac:dyDescent="0.2">
      <c r="B13960" s="43"/>
    </row>
    <row r="13961" spans="2:2" ht="12.75" customHeight="1" x14ac:dyDescent="0.2">
      <c r="B13961" s="43"/>
    </row>
    <row r="13962" spans="2:2" ht="12.75" customHeight="1" x14ac:dyDescent="0.2">
      <c r="B13962" s="43"/>
    </row>
    <row r="13963" spans="2:2" ht="12.75" customHeight="1" x14ac:dyDescent="0.2">
      <c r="B13963" s="43"/>
    </row>
    <row r="13964" spans="2:2" ht="12.75" customHeight="1" x14ac:dyDescent="0.2">
      <c r="B13964" s="43"/>
    </row>
    <row r="13965" spans="2:2" ht="12.75" customHeight="1" x14ac:dyDescent="0.2">
      <c r="B13965" s="43"/>
    </row>
    <row r="13966" spans="2:2" ht="12.75" customHeight="1" x14ac:dyDescent="0.2">
      <c r="B13966" s="43"/>
    </row>
    <row r="13967" spans="2:2" ht="12.75" customHeight="1" x14ac:dyDescent="0.2">
      <c r="B13967" s="43"/>
    </row>
    <row r="13968" spans="2:2" ht="12.75" customHeight="1" x14ac:dyDescent="0.2">
      <c r="B13968" s="43"/>
    </row>
    <row r="13969" spans="2:2" ht="12.75" customHeight="1" x14ac:dyDescent="0.2">
      <c r="B13969" s="43"/>
    </row>
    <row r="13970" spans="2:2" ht="12.75" customHeight="1" x14ac:dyDescent="0.2">
      <c r="B13970" s="43"/>
    </row>
    <row r="13971" spans="2:2" ht="12.75" customHeight="1" x14ac:dyDescent="0.2">
      <c r="B13971" s="43"/>
    </row>
    <row r="13972" spans="2:2" ht="12.75" customHeight="1" x14ac:dyDescent="0.2">
      <c r="B13972" s="43"/>
    </row>
    <row r="13973" spans="2:2" ht="12.75" customHeight="1" x14ac:dyDescent="0.2">
      <c r="B13973" s="43"/>
    </row>
    <row r="13974" spans="2:2" ht="12.75" customHeight="1" x14ac:dyDescent="0.2">
      <c r="B13974" s="43"/>
    </row>
    <row r="13975" spans="2:2" ht="12.75" customHeight="1" x14ac:dyDescent="0.2">
      <c r="B13975" s="43"/>
    </row>
    <row r="13976" spans="2:2" ht="12.75" customHeight="1" x14ac:dyDescent="0.2">
      <c r="B13976" s="43"/>
    </row>
    <row r="13977" spans="2:2" ht="12.75" customHeight="1" x14ac:dyDescent="0.2">
      <c r="B13977" s="43"/>
    </row>
    <row r="13978" spans="2:2" ht="12.75" customHeight="1" x14ac:dyDescent="0.2">
      <c r="B13978" s="43"/>
    </row>
    <row r="13979" spans="2:2" ht="12.75" customHeight="1" x14ac:dyDescent="0.2">
      <c r="B13979" s="43"/>
    </row>
    <row r="13980" spans="2:2" ht="12.75" customHeight="1" x14ac:dyDescent="0.2">
      <c r="B13980" s="43"/>
    </row>
    <row r="13981" spans="2:2" ht="12.75" customHeight="1" x14ac:dyDescent="0.2">
      <c r="B13981" s="43"/>
    </row>
    <row r="13982" spans="2:2" ht="12.75" customHeight="1" x14ac:dyDescent="0.2">
      <c r="B13982" s="43"/>
    </row>
    <row r="13983" spans="2:2" ht="12.75" customHeight="1" x14ac:dyDescent="0.2">
      <c r="B13983" s="43"/>
    </row>
    <row r="13984" spans="2:2" ht="12.75" customHeight="1" x14ac:dyDescent="0.2">
      <c r="B13984" s="43"/>
    </row>
    <row r="13985" spans="2:2" ht="12.75" customHeight="1" x14ac:dyDescent="0.2">
      <c r="B13985" s="43"/>
    </row>
    <row r="13986" spans="2:2" ht="12.75" customHeight="1" x14ac:dyDescent="0.2">
      <c r="B13986" s="43"/>
    </row>
    <row r="13987" spans="2:2" ht="12.75" customHeight="1" x14ac:dyDescent="0.2">
      <c r="B13987" s="43"/>
    </row>
    <row r="13988" spans="2:2" ht="12.75" customHeight="1" x14ac:dyDescent="0.2">
      <c r="B13988" s="43"/>
    </row>
    <row r="13989" spans="2:2" ht="12.75" customHeight="1" x14ac:dyDescent="0.2">
      <c r="B13989" s="43"/>
    </row>
    <row r="13990" spans="2:2" ht="12.75" customHeight="1" x14ac:dyDescent="0.2">
      <c r="B13990" s="43"/>
    </row>
    <row r="13991" spans="2:2" ht="12.75" customHeight="1" x14ac:dyDescent="0.2">
      <c r="B13991" s="43"/>
    </row>
    <row r="13992" spans="2:2" ht="12.75" customHeight="1" x14ac:dyDescent="0.2">
      <c r="B13992" s="43"/>
    </row>
    <row r="13993" spans="2:2" ht="12.75" customHeight="1" x14ac:dyDescent="0.2">
      <c r="B13993" s="43"/>
    </row>
    <row r="13994" spans="2:2" ht="12.75" customHeight="1" x14ac:dyDescent="0.2">
      <c r="B13994" s="43"/>
    </row>
    <row r="13995" spans="2:2" ht="12.75" customHeight="1" x14ac:dyDescent="0.2">
      <c r="B13995" s="43"/>
    </row>
    <row r="13996" spans="2:2" ht="12.75" customHeight="1" x14ac:dyDescent="0.2">
      <c r="B13996" s="43"/>
    </row>
    <row r="13997" spans="2:2" ht="12.75" customHeight="1" x14ac:dyDescent="0.2">
      <c r="B13997" s="43"/>
    </row>
    <row r="13998" spans="2:2" ht="12.75" customHeight="1" x14ac:dyDescent="0.2">
      <c r="B13998" s="43"/>
    </row>
    <row r="13999" spans="2:2" ht="12.75" customHeight="1" x14ac:dyDescent="0.2">
      <c r="B13999" s="43"/>
    </row>
    <row r="14000" spans="2:2" ht="12.75" customHeight="1" x14ac:dyDescent="0.2">
      <c r="B14000" s="43"/>
    </row>
    <row r="14001" spans="2:2" ht="12.75" customHeight="1" x14ac:dyDescent="0.2">
      <c r="B14001" s="43"/>
    </row>
    <row r="14002" spans="2:2" ht="12.75" customHeight="1" x14ac:dyDescent="0.2">
      <c r="B14002" s="43"/>
    </row>
    <row r="14003" spans="2:2" ht="12.75" customHeight="1" x14ac:dyDescent="0.2">
      <c r="B14003" s="43"/>
    </row>
    <row r="14004" spans="2:2" ht="12.75" customHeight="1" x14ac:dyDescent="0.2">
      <c r="B14004" s="43"/>
    </row>
    <row r="14005" spans="2:2" ht="12.75" customHeight="1" x14ac:dyDescent="0.2">
      <c r="B14005" s="43"/>
    </row>
    <row r="14006" spans="2:2" ht="12.75" customHeight="1" x14ac:dyDescent="0.2">
      <c r="B14006" s="43"/>
    </row>
    <row r="14007" spans="2:2" ht="12.75" customHeight="1" x14ac:dyDescent="0.2">
      <c r="B14007" s="43"/>
    </row>
    <row r="14008" spans="2:2" ht="12.75" customHeight="1" x14ac:dyDescent="0.2">
      <c r="B14008" s="43"/>
    </row>
    <row r="14009" spans="2:2" ht="12.75" customHeight="1" x14ac:dyDescent="0.2">
      <c r="B14009" s="43"/>
    </row>
    <row r="14010" spans="2:2" ht="12.75" customHeight="1" x14ac:dyDescent="0.2">
      <c r="B14010" s="43"/>
    </row>
    <row r="14011" spans="2:2" ht="12.75" customHeight="1" x14ac:dyDescent="0.2">
      <c r="B14011" s="43"/>
    </row>
    <row r="14012" spans="2:2" ht="12.75" customHeight="1" x14ac:dyDescent="0.2">
      <c r="B14012" s="43"/>
    </row>
    <row r="14013" spans="2:2" ht="12.75" customHeight="1" x14ac:dyDescent="0.2">
      <c r="B14013" s="43"/>
    </row>
    <row r="14014" spans="2:2" ht="12.75" customHeight="1" x14ac:dyDescent="0.2">
      <c r="B14014" s="43"/>
    </row>
    <row r="14015" spans="2:2" ht="12.75" customHeight="1" x14ac:dyDescent="0.2">
      <c r="B14015" s="43"/>
    </row>
    <row r="14016" spans="2:2" ht="12.75" customHeight="1" x14ac:dyDescent="0.2">
      <c r="B14016" s="43"/>
    </row>
    <row r="14017" spans="2:2" ht="12.75" customHeight="1" x14ac:dyDescent="0.2">
      <c r="B14017" s="43"/>
    </row>
    <row r="14018" spans="2:2" ht="12.75" customHeight="1" x14ac:dyDescent="0.2">
      <c r="B14018" s="43"/>
    </row>
    <row r="14019" spans="2:2" ht="12.75" customHeight="1" x14ac:dyDescent="0.2">
      <c r="B14019" s="43"/>
    </row>
    <row r="14020" spans="2:2" ht="12.75" customHeight="1" x14ac:dyDescent="0.2">
      <c r="B14020" s="43"/>
    </row>
    <row r="14021" spans="2:2" ht="12.75" customHeight="1" x14ac:dyDescent="0.2">
      <c r="B14021" s="43"/>
    </row>
    <row r="14022" spans="2:2" ht="12.75" customHeight="1" x14ac:dyDescent="0.2">
      <c r="B14022" s="43"/>
    </row>
    <row r="14023" spans="2:2" ht="12.75" customHeight="1" x14ac:dyDescent="0.2">
      <c r="B14023" s="43"/>
    </row>
    <row r="14024" spans="2:2" ht="12.75" customHeight="1" x14ac:dyDescent="0.2">
      <c r="B14024" s="43"/>
    </row>
    <row r="14025" spans="2:2" ht="12.75" customHeight="1" x14ac:dyDescent="0.2">
      <c r="B14025" s="43"/>
    </row>
    <row r="14026" spans="2:2" ht="12.75" customHeight="1" x14ac:dyDescent="0.2">
      <c r="B14026" s="43"/>
    </row>
    <row r="14027" spans="2:2" ht="12.75" customHeight="1" x14ac:dyDescent="0.2">
      <c r="B14027" s="43"/>
    </row>
    <row r="14028" spans="2:2" ht="12.75" customHeight="1" x14ac:dyDescent="0.2">
      <c r="B14028" s="43"/>
    </row>
    <row r="14029" spans="2:2" ht="12.75" customHeight="1" x14ac:dyDescent="0.2">
      <c r="B14029" s="43"/>
    </row>
    <row r="14030" spans="2:2" ht="12.75" customHeight="1" x14ac:dyDescent="0.2">
      <c r="B14030" s="43"/>
    </row>
    <row r="14031" spans="2:2" ht="12.75" customHeight="1" x14ac:dyDescent="0.2">
      <c r="B14031" s="43"/>
    </row>
    <row r="14032" spans="2:2" ht="12.75" customHeight="1" x14ac:dyDescent="0.2">
      <c r="B14032" s="43"/>
    </row>
    <row r="14033" spans="2:2" ht="12.75" customHeight="1" x14ac:dyDescent="0.2">
      <c r="B14033" s="43"/>
    </row>
    <row r="14034" spans="2:2" ht="12.75" customHeight="1" x14ac:dyDescent="0.2">
      <c r="B14034" s="43"/>
    </row>
    <row r="14035" spans="2:2" ht="12.75" customHeight="1" x14ac:dyDescent="0.2">
      <c r="B14035" s="43"/>
    </row>
    <row r="14036" spans="2:2" ht="12.75" customHeight="1" x14ac:dyDescent="0.2">
      <c r="B14036" s="43"/>
    </row>
    <row r="14037" spans="2:2" ht="12.75" customHeight="1" x14ac:dyDescent="0.2">
      <c r="B14037" s="43"/>
    </row>
    <row r="14038" spans="2:2" ht="12.75" customHeight="1" x14ac:dyDescent="0.2">
      <c r="B14038" s="43"/>
    </row>
    <row r="14039" spans="2:2" ht="12.75" customHeight="1" x14ac:dyDescent="0.2">
      <c r="B14039" s="43"/>
    </row>
    <row r="14040" spans="2:2" ht="12.75" customHeight="1" x14ac:dyDescent="0.2">
      <c r="B14040" s="43"/>
    </row>
    <row r="14041" spans="2:2" ht="12.75" customHeight="1" x14ac:dyDescent="0.2">
      <c r="B14041" s="43"/>
    </row>
    <row r="14042" spans="2:2" ht="12.75" customHeight="1" x14ac:dyDescent="0.2">
      <c r="B14042" s="43"/>
    </row>
    <row r="14043" spans="2:2" ht="12.75" customHeight="1" x14ac:dyDescent="0.2">
      <c r="B14043" s="43"/>
    </row>
    <row r="14044" spans="2:2" ht="12.75" customHeight="1" x14ac:dyDescent="0.2">
      <c r="B14044" s="43"/>
    </row>
    <row r="14045" spans="2:2" ht="12.75" customHeight="1" x14ac:dyDescent="0.2">
      <c r="B14045" s="43"/>
    </row>
    <row r="14046" spans="2:2" ht="12.75" customHeight="1" x14ac:dyDescent="0.2">
      <c r="B14046" s="43"/>
    </row>
    <row r="14047" spans="2:2" ht="12.75" customHeight="1" x14ac:dyDescent="0.2">
      <c r="B14047" s="43"/>
    </row>
    <row r="14048" spans="2:2" ht="12.75" customHeight="1" x14ac:dyDescent="0.2">
      <c r="B14048" s="43"/>
    </row>
    <row r="14049" spans="2:2" ht="12.75" customHeight="1" x14ac:dyDescent="0.2">
      <c r="B14049" s="43"/>
    </row>
    <row r="14050" spans="2:2" ht="12.75" customHeight="1" x14ac:dyDescent="0.2">
      <c r="B14050" s="43"/>
    </row>
    <row r="14051" spans="2:2" ht="12.75" customHeight="1" x14ac:dyDescent="0.2">
      <c r="B14051" s="43"/>
    </row>
    <row r="14052" spans="2:2" ht="12.75" customHeight="1" x14ac:dyDescent="0.2">
      <c r="B14052" s="43"/>
    </row>
    <row r="14053" spans="2:2" ht="12.75" customHeight="1" x14ac:dyDescent="0.2">
      <c r="B14053" s="43"/>
    </row>
    <row r="14054" spans="2:2" ht="12.75" customHeight="1" x14ac:dyDescent="0.2">
      <c r="B14054" s="43"/>
    </row>
    <row r="14055" spans="2:2" ht="12.75" customHeight="1" x14ac:dyDescent="0.2">
      <c r="B14055" s="43"/>
    </row>
    <row r="14056" spans="2:2" ht="12.75" customHeight="1" x14ac:dyDescent="0.2">
      <c r="B14056" s="43"/>
    </row>
    <row r="14057" spans="2:2" ht="12.75" customHeight="1" x14ac:dyDescent="0.2">
      <c r="B14057" s="43"/>
    </row>
    <row r="14058" spans="2:2" ht="12.75" customHeight="1" x14ac:dyDescent="0.2">
      <c r="B14058" s="43"/>
    </row>
    <row r="14059" spans="2:2" ht="12.75" customHeight="1" x14ac:dyDescent="0.2">
      <c r="B14059" s="43"/>
    </row>
    <row r="14060" spans="2:2" ht="12.75" customHeight="1" x14ac:dyDescent="0.2">
      <c r="B14060" s="43"/>
    </row>
    <row r="14061" spans="2:2" ht="12.75" customHeight="1" x14ac:dyDescent="0.2">
      <c r="B14061" s="43"/>
    </row>
    <row r="14062" spans="2:2" ht="12.75" customHeight="1" x14ac:dyDescent="0.2">
      <c r="B14062" s="43"/>
    </row>
    <row r="14063" spans="2:2" ht="12.75" customHeight="1" x14ac:dyDescent="0.2">
      <c r="B14063" s="43"/>
    </row>
    <row r="14064" spans="2:2" ht="12.75" customHeight="1" x14ac:dyDescent="0.2">
      <c r="B14064" s="43"/>
    </row>
    <row r="14065" spans="2:2" ht="12.75" customHeight="1" x14ac:dyDescent="0.2">
      <c r="B14065" s="43"/>
    </row>
    <row r="14066" spans="2:2" ht="12.75" customHeight="1" x14ac:dyDescent="0.2">
      <c r="B14066" s="43"/>
    </row>
    <row r="14067" spans="2:2" ht="12.75" customHeight="1" x14ac:dyDescent="0.2">
      <c r="B14067" s="43"/>
    </row>
    <row r="14068" spans="2:2" ht="12.75" customHeight="1" x14ac:dyDescent="0.2">
      <c r="B14068" s="43"/>
    </row>
    <row r="14069" spans="2:2" ht="12.75" customHeight="1" x14ac:dyDescent="0.2">
      <c r="B14069" s="43"/>
    </row>
    <row r="14070" spans="2:2" ht="12.75" customHeight="1" x14ac:dyDescent="0.2">
      <c r="B14070" s="43"/>
    </row>
    <row r="14071" spans="2:2" ht="12.75" customHeight="1" x14ac:dyDescent="0.2">
      <c r="B14071" s="43"/>
    </row>
    <row r="14072" spans="2:2" ht="12.75" customHeight="1" x14ac:dyDescent="0.2">
      <c r="B14072" s="43"/>
    </row>
    <row r="14073" spans="2:2" ht="12.75" customHeight="1" x14ac:dyDescent="0.2">
      <c r="B14073" s="43"/>
    </row>
    <row r="14074" spans="2:2" ht="12.75" customHeight="1" x14ac:dyDescent="0.2">
      <c r="B14074" s="43"/>
    </row>
    <row r="14075" spans="2:2" ht="12.75" customHeight="1" x14ac:dyDescent="0.2">
      <c r="B14075" s="43"/>
    </row>
    <row r="14076" spans="2:2" ht="12.75" customHeight="1" x14ac:dyDescent="0.2">
      <c r="B14076" s="43"/>
    </row>
    <row r="14077" spans="2:2" ht="12.75" customHeight="1" x14ac:dyDescent="0.2">
      <c r="B14077" s="43"/>
    </row>
    <row r="14078" spans="2:2" ht="12.75" customHeight="1" x14ac:dyDescent="0.2">
      <c r="B14078" s="43"/>
    </row>
    <row r="14079" spans="2:2" ht="12.75" customHeight="1" x14ac:dyDescent="0.2">
      <c r="B14079" s="43"/>
    </row>
    <row r="14080" spans="2:2" ht="12.75" customHeight="1" x14ac:dyDescent="0.2">
      <c r="B14080" s="43"/>
    </row>
    <row r="14081" spans="2:2" ht="12.75" customHeight="1" x14ac:dyDescent="0.2">
      <c r="B14081" s="43"/>
    </row>
    <row r="14082" spans="2:2" ht="12.75" customHeight="1" x14ac:dyDescent="0.2">
      <c r="B14082" s="43"/>
    </row>
    <row r="14083" spans="2:2" ht="12.75" customHeight="1" x14ac:dyDescent="0.2">
      <c r="B14083" s="43"/>
    </row>
    <row r="14084" spans="2:2" ht="12.75" customHeight="1" x14ac:dyDescent="0.2">
      <c r="B14084" s="43"/>
    </row>
    <row r="14085" spans="2:2" ht="12.75" customHeight="1" x14ac:dyDescent="0.2">
      <c r="B14085" s="43"/>
    </row>
    <row r="14086" spans="2:2" ht="12.75" customHeight="1" x14ac:dyDescent="0.2">
      <c r="B14086" s="43"/>
    </row>
    <row r="14087" spans="2:2" ht="12.75" customHeight="1" x14ac:dyDescent="0.2">
      <c r="B14087" s="43"/>
    </row>
    <row r="14088" spans="2:2" ht="12.75" customHeight="1" x14ac:dyDescent="0.2">
      <c r="B14088" s="43"/>
    </row>
    <row r="14089" spans="2:2" ht="12.75" customHeight="1" x14ac:dyDescent="0.2">
      <c r="B14089" s="43"/>
    </row>
    <row r="14090" spans="2:2" ht="12.75" customHeight="1" x14ac:dyDescent="0.2">
      <c r="B14090" s="43"/>
    </row>
    <row r="14091" spans="2:2" ht="12.75" customHeight="1" x14ac:dyDescent="0.2">
      <c r="B14091" s="43"/>
    </row>
    <row r="14092" spans="2:2" ht="12.75" customHeight="1" x14ac:dyDescent="0.2">
      <c r="B14092" s="43"/>
    </row>
    <row r="14093" spans="2:2" ht="12.75" customHeight="1" x14ac:dyDescent="0.2">
      <c r="B14093" s="43"/>
    </row>
    <row r="14094" spans="2:2" ht="12.75" customHeight="1" x14ac:dyDescent="0.2">
      <c r="B14094" s="43"/>
    </row>
    <row r="14095" spans="2:2" ht="12.75" customHeight="1" x14ac:dyDescent="0.2">
      <c r="B14095" s="43"/>
    </row>
    <row r="14096" spans="2:2" ht="12.75" customHeight="1" x14ac:dyDescent="0.2">
      <c r="B14096" s="43"/>
    </row>
    <row r="14097" spans="2:2" ht="12.75" customHeight="1" x14ac:dyDescent="0.2">
      <c r="B14097" s="43"/>
    </row>
    <row r="14098" spans="2:2" ht="12.75" customHeight="1" x14ac:dyDescent="0.2">
      <c r="B14098" s="43"/>
    </row>
    <row r="14099" spans="2:2" ht="12.75" customHeight="1" x14ac:dyDescent="0.2">
      <c r="B14099" s="43"/>
    </row>
    <row r="14100" spans="2:2" ht="12.75" customHeight="1" x14ac:dyDescent="0.2">
      <c r="B14100" s="43"/>
    </row>
    <row r="14101" spans="2:2" ht="12.75" customHeight="1" x14ac:dyDescent="0.2">
      <c r="B14101" s="43"/>
    </row>
    <row r="14102" spans="2:2" ht="12.75" customHeight="1" x14ac:dyDescent="0.2">
      <c r="B14102" s="43"/>
    </row>
    <row r="14103" spans="2:2" ht="12.75" customHeight="1" x14ac:dyDescent="0.2">
      <c r="B14103" s="43"/>
    </row>
    <row r="14104" spans="2:2" ht="12.75" customHeight="1" x14ac:dyDescent="0.2">
      <c r="B14104" s="43"/>
    </row>
    <row r="14105" spans="2:2" ht="12.75" customHeight="1" x14ac:dyDescent="0.2">
      <c r="B14105" s="43"/>
    </row>
    <row r="14106" spans="2:2" ht="12.75" customHeight="1" x14ac:dyDescent="0.2">
      <c r="B14106" s="43"/>
    </row>
    <row r="14107" spans="2:2" ht="12.75" customHeight="1" x14ac:dyDescent="0.2">
      <c r="B14107" s="43"/>
    </row>
    <row r="14108" spans="2:2" ht="12.75" customHeight="1" x14ac:dyDescent="0.2">
      <c r="B14108" s="43"/>
    </row>
    <row r="14109" spans="2:2" ht="12.75" customHeight="1" x14ac:dyDescent="0.2">
      <c r="B14109" s="43"/>
    </row>
    <row r="14110" spans="2:2" ht="12.75" customHeight="1" x14ac:dyDescent="0.2">
      <c r="B14110" s="43"/>
    </row>
    <row r="14111" spans="2:2" ht="12.75" customHeight="1" x14ac:dyDescent="0.2">
      <c r="B14111" s="43"/>
    </row>
    <row r="14112" spans="2:2" ht="12.75" customHeight="1" x14ac:dyDescent="0.2">
      <c r="B14112" s="43"/>
    </row>
    <row r="14113" spans="2:2" ht="12.75" customHeight="1" x14ac:dyDescent="0.2">
      <c r="B14113" s="43"/>
    </row>
    <row r="14114" spans="2:2" ht="12.75" customHeight="1" x14ac:dyDescent="0.2">
      <c r="B14114" s="43"/>
    </row>
    <row r="14115" spans="2:2" ht="12.75" customHeight="1" x14ac:dyDescent="0.2">
      <c r="B14115" s="43"/>
    </row>
    <row r="14116" spans="2:2" ht="12.75" customHeight="1" x14ac:dyDescent="0.2">
      <c r="B14116" s="43"/>
    </row>
    <row r="14117" spans="2:2" ht="12.75" customHeight="1" x14ac:dyDescent="0.2">
      <c r="B14117" s="43"/>
    </row>
    <row r="14118" spans="2:2" ht="12.75" customHeight="1" x14ac:dyDescent="0.2">
      <c r="B14118" s="43"/>
    </row>
    <row r="14119" spans="2:2" ht="12.75" customHeight="1" x14ac:dyDescent="0.2">
      <c r="B14119" s="43"/>
    </row>
    <row r="14120" spans="2:2" ht="12.75" customHeight="1" x14ac:dyDescent="0.2">
      <c r="B14120" s="43"/>
    </row>
    <row r="14121" spans="2:2" ht="12.75" customHeight="1" x14ac:dyDescent="0.2">
      <c r="B14121" s="43"/>
    </row>
    <row r="14122" spans="2:2" ht="12.75" customHeight="1" x14ac:dyDescent="0.2">
      <c r="B14122" s="43"/>
    </row>
    <row r="14123" spans="2:2" ht="12.75" customHeight="1" x14ac:dyDescent="0.2">
      <c r="B14123" s="43"/>
    </row>
    <row r="14124" spans="2:2" ht="12.75" customHeight="1" x14ac:dyDescent="0.2">
      <c r="B14124" s="43"/>
    </row>
    <row r="14125" spans="2:2" ht="12.75" customHeight="1" x14ac:dyDescent="0.2">
      <c r="B14125" s="43"/>
    </row>
    <row r="14126" spans="2:2" ht="12.75" customHeight="1" x14ac:dyDescent="0.2">
      <c r="B14126" s="43"/>
    </row>
    <row r="14127" spans="2:2" ht="12.75" customHeight="1" x14ac:dyDescent="0.2">
      <c r="B14127" s="43"/>
    </row>
    <row r="14128" spans="2:2" ht="12.75" customHeight="1" x14ac:dyDescent="0.2">
      <c r="B14128" s="43"/>
    </row>
    <row r="14129" spans="2:2" ht="12.75" customHeight="1" x14ac:dyDescent="0.2">
      <c r="B14129" s="43"/>
    </row>
    <row r="14130" spans="2:2" ht="12.75" customHeight="1" x14ac:dyDescent="0.2">
      <c r="B14130" s="43"/>
    </row>
    <row r="14131" spans="2:2" ht="12.75" customHeight="1" x14ac:dyDescent="0.2">
      <c r="B14131" s="43"/>
    </row>
    <row r="14132" spans="2:2" ht="12.75" customHeight="1" x14ac:dyDescent="0.2">
      <c r="B14132" s="43"/>
    </row>
    <row r="14133" spans="2:2" ht="12.75" customHeight="1" x14ac:dyDescent="0.2">
      <c r="B14133" s="43"/>
    </row>
    <row r="14134" spans="2:2" ht="12.75" customHeight="1" x14ac:dyDescent="0.2">
      <c r="B14134" s="43"/>
    </row>
    <row r="14135" spans="2:2" ht="12.75" customHeight="1" x14ac:dyDescent="0.2">
      <c r="B14135" s="43"/>
    </row>
    <row r="14136" spans="2:2" ht="12.75" customHeight="1" x14ac:dyDescent="0.2">
      <c r="B14136" s="43"/>
    </row>
    <row r="14137" spans="2:2" ht="12.75" customHeight="1" x14ac:dyDescent="0.2">
      <c r="B14137" s="43"/>
    </row>
    <row r="14138" spans="2:2" ht="12.75" customHeight="1" x14ac:dyDescent="0.2">
      <c r="B14138" s="43"/>
    </row>
    <row r="14139" spans="2:2" ht="12.75" customHeight="1" x14ac:dyDescent="0.2">
      <c r="B14139" s="43"/>
    </row>
    <row r="14140" spans="2:2" ht="12.75" customHeight="1" x14ac:dyDescent="0.2">
      <c r="B14140" s="43"/>
    </row>
    <row r="14141" spans="2:2" ht="12.75" customHeight="1" x14ac:dyDescent="0.2">
      <c r="B14141" s="43"/>
    </row>
    <row r="14142" spans="2:2" ht="12.75" customHeight="1" x14ac:dyDescent="0.2">
      <c r="B14142" s="43"/>
    </row>
    <row r="14143" spans="2:2" ht="12.75" customHeight="1" x14ac:dyDescent="0.2">
      <c r="B14143" s="43"/>
    </row>
    <row r="14144" spans="2:2" ht="12.75" customHeight="1" x14ac:dyDescent="0.2">
      <c r="B14144" s="43"/>
    </row>
    <row r="14145" spans="2:2" ht="12.75" customHeight="1" x14ac:dyDescent="0.2">
      <c r="B14145" s="43"/>
    </row>
    <row r="14146" spans="2:2" ht="12.75" customHeight="1" x14ac:dyDescent="0.2">
      <c r="B14146" s="43"/>
    </row>
    <row r="14147" spans="2:2" ht="12.75" customHeight="1" x14ac:dyDescent="0.2">
      <c r="B14147" s="43"/>
    </row>
    <row r="14148" spans="2:2" ht="12.75" customHeight="1" x14ac:dyDescent="0.2">
      <c r="B14148" s="43"/>
    </row>
    <row r="14149" spans="2:2" ht="12.75" customHeight="1" x14ac:dyDescent="0.2">
      <c r="B14149" s="43"/>
    </row>
    <row r="14150" spans="2:2" ht="12.75" customHeight="1" x14ac:dyDescent="0.2">
      <c r="B14150" s="43"/>
    </row>
    <row r="14151" spans="2:2" ht="12.75" customHeight="1" x14ac:dyDescent="0.2">
      <c r="B14151" s="43"/>
    </row>
    <row r="14152" spans="2:2" ht="12.75" customHeight="1" x14ac:dyDescent="0.2">
      <c r="B14152" s="43"/>
    </row>
    <row r="14153" spans="2:2" ht="12.75" customHeight="1" x14ac:dyDescent="0.2">
      <c r="B14153" s="43"/>
    </row>
    <row r="14154" spans="2:2" ht="12.75" customHeight="1" x14ac:dyDescent="0.2">
      <c r="B14154" s="43"/>
    </row>
    <row r="14155" spans="2:2" ht="12.75" customHeight="1" x14ac:dyDescent="0.2">
      <c r="B14155" s="43"/>
    </row>
    <row r="14156" spans="2:2" ht="12.75" customHeight="1" x14ac:dyDescent="0.2">
      <c r="B14156" s="43"/>
    </row>
    <row r="14157" spans="2:2" ht="12.75" customHeight="1" x14ac:dyDescent="0.2">
      <c r="B14157" s="43"/>
    </row>
    <row r="14158" spans="2:2" ht="12.75" customHeight="1" x14ac:dyDescent="0.2">
      <c r="B14158" s="43"/>
    </row>
    <row r="14159" spans="2:2" ht="12.75" customHeight="1" x14ac:dyDescent="0.2">
      <c r="B14159" s="43"/>
    </row>
    <row r="14160" spans="2:2" ht="12.75" customHeight="1" x14ac:dyDescent="0.2">
      <c r="B14160" s="43"/>
    </row>
    <row r="14161" spans="2:2" ht="12.75" customHeight="1" x14ac:dyDescent="0.2">
      <c r="B14161" s="43"/>
    </row>
    <row r="14162" spans="2:2" ht="12.75" customHeight="1" x14ac:dyDescent="0.2">
      <c r="B14162" s="43"/>
    </row>
    <row r="14163" spans="2:2" ht="12.75" customHeight="1" x14ac:dyDescent="0.2">
      <c r="B14163" s="43"/>
    </row>
    <row r="14164" spans="2:2" ht="12.75" customHeight="1" x14ac:dyDescent="0.2">
      <c r="B14164" s="43"/>
    </row>
    <row r="14165" spans="2:2" ht="12.75" customHeight="1" x14ac:dyDescent="0.2">
      <c r="B14165" s="43"/>
    </row>
    <row r="14166" spans="2:2" ht="12.75" customHeight="1" x14ac:dyDescent="0.2">
      <c r="B14166" s="43"/>
    </row>
    <row r="14167" spans="2:2" ht="12.75" customHeight="1" x14ac:dyDescent="0.2">
      <c r="B14167" s="43"/>
    </row>
    <row r="14168" spans="2:2" ht="12.75" customHeight="1" x14ac:dyDescent="0.2">
      <c r="B14168" s="43"/>
    </row>
    <row r="14169" spans="2:2" ht="12.75" customHeight="1" x14ac:dyDescent="0.2">
      <c r="B14169" s="43"/>
    </row>
    <row r="14170" spans="2:2" ht="12.75" customHeight="1" x14ac:dyDescent="0.2">
      <c r="B14170" s="43"/>
    </row>
    <row r="14171" spans="2:2" ht="12.75" customHeight="1" x14ac:dyDescent="0.2">
      <c r="B14171" s="43"/>
    </row>
    <row r="14172" spans="2:2" ht="12.75" customHeight="1" x14ac:dyDescent="0.2">
      <c r="B14172" s="43"/>
    </row>
    <row r="14173" spans="2:2" ht="12.75" customHeight="1" x14ac:dyDescent="0.2">
      <c r="B14173" s="43"/>
    </row>
    <row r="14174" spans="2:2" ht="12.75" customHeight="1" x14ac:dyDescent="0.2">
      <c r="B14174" s="43"/>
    </row>
    <row r="14175" spans="2:2" ht="12.75" customHeight="1" x14ac:dyDescent="0.2">
      <c r="B14175" s="43"/>
    </row>
    <row r="14176" spans="2:2" ht="12.75" customHeight="1" x14ac:dyDescent="0.2">
      <c r="B14176" s="43"/>
    </row>
    <row r="14177" spans="2:2" ht="12.75" customHeight="1" x14ac:dyDescent="0.2">
      <c r="B14177" s="43"/>
    </row>
    <row r="14178" spans="2:2" ht="12.75" customHeight="1" x14ac:dyDescent="0.2">
      <c r="B14178" s="43"/>
    </row>
    <row r="14179" spans="2:2" ht="12.75" customHeight="1" x14ac:dyDescent="0.2">
      <c r="B14179" s="43"/>
    </row>
    <row r="14180" spans="2:2" ht="12.75" customHeight="1" x14ac:dyDescent="0.2">
      <c r="B14180" s="43"/>
    </row>
    <row r="14181" spans="2:2" ht="12.75" customHeight="1" x14ac:dyDescent="0.2">
      <c r="B14181" s="43"/>
    </row>
    <row r="14182" spans="2:2" ht="12.75" customHeight="1" x14ac:dyDescent="0.2">
      <c r="B14182" s="43"/>
    </row>
    <row r="14183" spans="2:2" ht="12.75" customHeight="1" x14ac:dyDescent="0.2">
      <c r="B14183" s="43"/>
    </row>
    <row r="14184" spans="2:2" ht="12.75" customHeight="1" x14ac:dyDescent="0.2">
      <c r="B14184" s="43"/>
    </row>
    <row r="14185" spans="2:2" ht="12.75" customHeight="1" x14ac:dyDescent="0.2">
      <c r="B14185" s="43"/>
    </row>
    <row r="14186" spans="2:2" ht="12.75" customHeight="1" x14ac:dyDescent="0.2">
      <c r="B14186" s="43"/>
    </row>
    <row r="14187" spans="2:2" ht="12.75" customHeight="1" x14ac:dyDescent="0.2">
      <c r="B14187" s="43"/>
    </row>
    <row r="14188" spans="2:2" ht="12.75" customHeight="1" x14ac:dyDescent="0.2">
      <c r="B14188" s="43"/>
    </row>
    <row r="14189" spans="2:2" ht="12.75" customHeight="1" x14ac:dyDescent="0.2">
      <c r="B14189" s="43"/>
    </row>
    <row r="14190" spans="2:2" ht="12.75" customHeight="1" x14ac:dyDescent="0.2">
      <c r="B14190" s="43"/>
    </row>
    <row r="14191" spans="2:2" ht="12.75" customHeight="1" x14ac:dyDescent="0.2">
      <c r="B14191" s="43"/>
    </row>
    <row r="14192" spans="2:2" ht="12.75" customHeight="1" x14ac:dyDescent="0.2">
      <c r="B14192" s="43"/>
    </row>
    <row r="14193" spans="2:2" ht="12.75" customHeight="1" x14ac:dyDescent="0.2">
      <c r="B14193" s="43"/>
    </row>
    <row r="14194" spans="2:2" ht="12.75" customHeight="1" x14ac:dyDescent="0.2">
      <c r="B14194" s="43"/>
    </row>
    <row r="14195" spans="2:2" ht="12.75" customHeight="1" x14ac:dyDescent="0.2">
      <c r="B14195" s="43"/>
    </row>
    <row r="14196" spans="2:2" ht="12.75" customHeight="1" x14ac:dyDescent="0.2">
      <c r="B14196" s="43"/>
    </row>
    <row r="14197" spans="2:2" ht="12.75" customHeight="1" x14ac:dyDescent="0.2">
      <c r="B14197" s="43"/>
    </row>
    <row r="14198" spans="2:2" ht="12.75" customHeight="1" x14ac:dyDescent="0.2">
      <c r="B14198" s="43"/>
    </row>
    <row r="14199" spans="2:2" ht="12.75" customHeight="1" x14ac:dyDescent="0.2">
      <c r="B14199" s="43"/>
    </row>
    <row r="14200" spans="2:2" ht="12.75" customHeight="1" x14ac:dyDescent="0.2">
      <c r="B14200" s="43"/>
    </row>
    <row r="14201" spans="2:2" ht="12.75" customHeight="1" x14ac:dyDescent="0.2">
      <c r="B14201" s="43"/>
    </row>
    <row r="14202" spans="2:2" ht="12.75" customHeight="1" x14ac:dyDescent="0.2">
      <c r="B14202" s="43"/>
    </row>
    <row r="14203" spans="2:2" ht="12.75" customHeight="1" x14ac:dyDescent="0.2">
      <c r="B14203" s="43"/>
    </row>
    <row r="14204" spans="2:2" ht="12.75" customHeight="1" x14ac:dyDescent="0.2">
      <c r="B14204" s="43"/>
    </row>
    <row r="14205" spans="2:2" ht="12.75" customHeight="1" x14ac:dyDescent="0.2">
      <c r="B14205" s="43"/>
    </row>
    <row r="14206" spans="2:2" ht="12.75" customHeight="1" x14ac:dyDescent="0.2">
      <c r="B14206" s="43"/>
    </row>
    <row r="14207" spans="2:2" ht="12.75" customHeight="1" x14ac:dyDescent="0.2">
      <c r="B14207" s="43"/>
    </row>
    <row r="14208" spans="2:2" ht="12.75" customHeight="1" x14ac:dyDescent="0.2">
      <c r="B14208" s="43"/>
    </row>
    <row r="14209" spans="2:2" ht="12.75" customHeight="1" x14ac:dyDescent="0.2">
      <c r="B14209" s="43"/>
    </row>
    <row r="14210" spans="2:2" ht="12.75" customHeight="1" x14ac:dyDescent="0.2">
      <c r="B14210" s="43"/>
    </row>
    <row r="14211" spans="2:2" ht="12.75" customHeight="1" x14ac:dyDescent="0.2">
      <c r="B14211" s="43"/>
    </row>
    <row r="14212" spans="2:2" ht="12.75" customHeight="1" x14ac:dyDescent="0.2">
      <c r="B14212" s="43"/>
    </row>
    <row r="14213" spans="2:2" ht="12.75" customHeight="1" x14ac:dyDescent="0.2">
      <c r="B14213" s="43"/>
    </row>
    <row r="14214" spans="2:2" ht="12.75" customHeight="1" x14ac:dyDescent="0.2">
      <c r="B14214" s="43"/>
    </row>
    <row r="14215" spans="2:2" ht="12.75" customHeight="1" x14ac:dyDescent="0.2">
      <c r="B14215" s="43"/>
    </row>
    <row r="14216" spans="2:2" ht="12.75" customHeight="1" x14ac:dyDescent="0.2">
      <c r="B14216" s="43"/>
    </row>
    <row r="14217" spans="2:2" ht="12.75" customHeight="1" x14ac:dyDescent="0.2">
      <c r="B14217" s="43"/>
    </row>
    <row r="14218" spans="2:2" ht="12.75" customHeight="1" x14ac:dyDescent="0.2">
      <c r="B14218" s="43"/>
    </row>
    <row r="14219" spans="2:2" ht="12.75" customHeight="1" x14ac:dyDescent="0.2">
      <c r="B14219" s="43"/>
    </row>
    <row r="14220" spans="2:2" ht="12.75" customHeight="1" x14ac:dyDescent="0.2">
      <c r="B14220" s="43"/>
    </row>
    <row r="14221" spans="2:2" ht="12.75" customHeight="1" x14ac:dyDescent="0.2">
      <c r="B14221" s="43"/>
    </row>
    <row r="14222" spans="2:2" ht="12.75" customHeight="1" x14ac:dyDescent="0.2">
      <c r="B14222" s="43"/>
    </row>
    <row r="14223" spans="2:2" ht="12.75" customHeight="1" x14ac:dyDescent="0.2">
      <c r="B14223" s="43"/>
    </row>
    <row r="14224" spans="2:2" ht="12.75" customHeight="1" x14ac:dyDescent="0.2">
      <c r="B14224" s="43"/>
    </row>
    <row r="14225" spans="2:2" ht="12.75" customHeight="1" x14ac:dyDescent="0.2">
      <c r="B14225" s="43"/>
    </row>
    <row r="14226" spans="2:2" ht="12.75" customHeight="1" x14ac:dyDescent="0.2">
      <c r="B14226" s="43"/>
    </row>
    <row r="14227" spans="2:2" ht="12.75" customHeight="1" x14ac:dyDescent="0.2">
      <c r="B14227" s="43"/>
    </row>
    <row r="14228" spans="2:2" ht="12.75" customHeight="1" x14ac:dyDescent="0.2">
      <c r="B14228" s="43"/>
    </row>
    <row r="14229" spans="2:2" ht="12.75" customHeight="1" x14ac:dyDescent="0.2">
      <c r="B14229" s="43"/>
    </row>
    <row r="14230" spans="2:2" ht="12.75" customHeight="1" x14ac:dyDescent="0.2">
      <c r="B14230" s="43"/>
    </row>
    <row r="14231" spans="2:2" ht="12.75" customHeight="1" x14ac:dyDescent="0.2">
      <c r="B14231" s="43"/>
    </row>
    <row r="14232" spans="2:2" ht="12.75" customHeight="1" x14ac:dyDescent="0.2">
      <c r="B14232" s="43"/>
    </row>
    <row r="14233" spans="2:2" ht="12.75" customHeight="1" x14ac:dyDescent="0.2">
      <c r="B14233" s="43"/>
    </row>
    <row r="14234" spans="2:2" ht="12.75" customHeight="1" x14ac:dyDescent="0.2">
      <c r="B14234" s="43"/>
    </row>
    <row r="14235" spans="2:2" ht="12.75" customHeight="1" x14ac:dyDescent="0.2">
      <c r="B14235" s="43"/>
    </row>
    <row r="14236" spans="2:2" ht="12.75" customHeight="1" x14ac:dyDescent="0.2">
      <c r="B14236" s="43"/>
    </row>
    <row r="14237" spans="2:2" ht="12.75" customHeight="1" x14ac:dyDescent="0.2">
      <c r="B14237" s="43"/>
    </row>
    <row r="14238" spans="2:2" ht="12.75" customHeight="1" x14ac:dyDescent="0.2">
      <c r="B14238" s="43"/>
    </row>
    <row r="14239" spans="2:2" ht="12.75" customHeight="1" x14ac:dyDescent="0.2">
      <c r="B14239" s="43"/>
    </row>
    <row r="14240" spans="2:2" ht="12.75" customHeight="1" x14ac:dyDescent="0.2">
      <c r="B14240" s="43"/>
    </row>
    <row r="14241" spans="2:2" ht="12.75" customHeight="1" x14ac:dyDescent="0.2">
      <c r="B14241" s="43"/>
    </row>
    <row r="14242" spans="2:2" ht="12.75" customHeight="1" x14ac:dyDescent="0.2">
      <c r="B14242" s="43"/>
    </row>
    <row r="14243" spans="2:2" ht="12.75" customHeight="1" x14ac:dyDescent="0.2">
      <c r="B14243" s="43"/>
    </row>
    <row r="14244" spans="2:2" ht="12.75" customHeight="1" x14ac:dyDescent="0.2">
      <c r="B14244" s="43"/>
    </row>
    <row r="14245" spans="2:2" ht="12.75" customHeight="1" x14ac:dyDescent="0.2">
      <c r="B14245" s="43"/>
    </row>
    <row r="14246" spans="2:2" ht="12.75" customHeight="1" x14ac:dyDescent="0.2">
      <c r="B14246" s="43"/>
    </row>
    <row r="14247" spans="2:2" ht="12.75" customHeight="1" x14ac:dyDescent="0.2">
      <c r="B14247" s="43"/>
    </row>
    <row r="14248" spans="2:2" ht="12.75" customHeight="1" x14ac:dyDescent="0.2">
      <c r="B14248" s="43"/>
    </row>
    <row r="14249" spans="2:2" ht="12.75" customHeight="1" x14ac:dyDescent="0.2">
      <c r="B14249" s="43"/>
    </row>
    <row r="14250" spans="2:2" ht="12.75" customHeight="1" x14ac:dyDescent="0.2">
      <c r="B14250" s="43"/>
    </row>
    <row r="14251" spans="2:2" ht="12.75" customHeight="1" x14ac:dyDescent="0.2">
      <c r="B14251" s="43"/>
    </row>
    <row r="14252" spans="2:2" ht="12.75" customHeight="1" x14ac:dyDescent="0.2">
      <c r="B14252" s="43"/>
    </row>
    <row r="14253" spans="2:2" ht="12.75" customHeight="1" x14ac:dyDescent="0.2">
      <c r="B14253" s="43"/>
    </row>
    <row r="14254" spans="2:2" ht="12.75" customHeight="1" x14ac:dyDescent="0.2">
      <c r="B14254" s="43"/>
    </row>
    <row r="14255" spans="2:2" ht="12.75" customHeight="1" x14ac:dyDescent="0.2">
      <c r="B14255" s="43"/>
    </row>
    <row r="14256" spans="2:2" ht="12.75" customHeight="1" x14ac:dyDescent="0.2">
      <c r="B14256" s="43"/>
    </row>
    <row r="14257" spans="2:2" ht="12.75" customHeight="1" x14ac:dyDescent="0.2">
      <c r="B14257" s="43"/>
    </row>
    <row r="14258" spans="2:2" ht="12.75" customHeight="1" x14ac:dyDescent="0.2">
      <c r="B14258" s="43"/>
    </row>
    <row r="14259" spans="2:2" ht="12.75" customHeight="1" x14ac:dyDescent="0.2">
      <c r="B14259" s="43"/>
    </row>
    <row r="14260" spans="2:2" ht="12.75" customHeight="1" x14ac:dyDescent="0.2">
      <c r="B14260" s="43"/>
    </row>
    <row r="14261" spans="2:2" ht="12.75" customHeight="1" x14ac:dyDescent="0.2">
      <c r="B14261" s="43"/>
    </row>
    <row r="14262" spans="2:2" ht="12.75" customHeight="1" x14ac:dyDescent="0.2">
      <c r="B14262" s="43"/>
    </row>
    <row r="14263" spans="2:2" ht="12.75" customHeight="1" x14ac:dyDescent="0.2">
      <c r="B14263" s="43"/>
    </row>
    <row r="14264" spans="2:2" ht="12.75" customHeight="1" x14ac:dyDescent="0.2">
      <c r="B14264" s="43"/>
    </row>
    <row r="14265" spans="2:2" ht="12.75" customHeight="1" x14ac:dyDescent="0.2">
      <c r="B14265" s="43"/>
    </row>
    <row r="14266" spans="2:2" ht="12.75" customHeight="1" x14ac:dyDescent="0.2">
      <c r="B14266" s="43"/>
    </row>
    <row r="14267" spans="2:2" ht="12.75" customHeight="1" x14ac:dyDescent="0.2">
      <c r="B14267" s="43"/>
    </row>
    <row r="14268" spans="2:2" ht="12.75" customHeight="1" x14ac:dyDescent="0.2">
      <c r="B14268" s="43"/>
    </row>
    <row r="14269" spans="2:2" ht="12.75" customHeight="1" x14ac:dyDescent="0.2">
      <c r="B14269" s="43"/>
    </row>
    <row r="14270" spans="2:2" ht="12.75" customHeight="1" x14ac:dyDescent="0.2">
      <c r="B14270" s="43"/>
    </row>
    <row r="14271" spans="2:2" ht="12.75" customHeight="1" x14ac:dyDescent="0.2">
      <c r="B14271" s="43"/>
    </row>
    <row r="14272" spans="2:2" ht="12.75" customHeight="1" x14ac:dyDescent="0.2">
      <c r="B14272" s="43"/>
    </row>
    <row r="14273" spans="2:2" ht="12.75" customHeight="1" x14ac:dyDescent="0.2">
      <c r="B14273" s="43"/>
    </row>
    <row r="14274" spans="2:2" ht="12.75" customHeight="1" x14ac:dyDescent="0.2">
      <c r="B14274" s="43"/>
    </row>
    <row r="14275" spans="2:2" ht="12.75" customHeight="1" x14ac:dyDescent="0.2">
      <c r="B14275" s="43"/>
    </row>
    <row r="14276" spans="2:2" ht="12.75" customHeight="1" x14ac:dyDescent="0.2">
      <c r="B14276" s="43"/>
    </row>
    <row r="14277" spans="2:2" ht="12.75" customHeight="1" x14ac:dyDescent="0.2">
      <c r="B14277" s="43"/>
    </row>
    <row r="14278" spans="2:2" ht="12.75" customHeight="1" x14ac:dyDescent="0.2">
      <c r="B14278" s="43"/>
    </row>
    <row r="14279" spans="2:2" ht="12.75" customHeight="1" x14ac:dyDescent="0.2">
      <c r="B14279" s="43"/>
    </row>
    <row r="14280" spans="2:2" ht="12.75" customHeight="1" x14ac:dyDescent="0.2">
      <c r="B14280" s="43"/>
    </row>
    <row r="14281" spans="2:2" ht="12.75" customHeight="1" x14ac:dyDescent="0.2">
      <c r="B14281" s="43"/>
    </row>
    <row r="14282" spans="2:2" ht="12.75" customHeight="1" x14ac:dyDescent="0.2">
      <c r="B14282" s="43"/>
    </row>
    <row r="14283" spans="2:2" ht="12.75" customHeight="1" x14ac:dyDescent="0.2">
      <c r="B14283" s="43"/>
    </row>
    <row r="14284" spans="2:2" ht="12.75" customHeight="1" x14ac:dyDescent="0.2">
      <c r="B14284" s="43"/>
    </row>
    <row r="14285" spans="2:2" ht="12.75" customHeight="1" x14ac:dyDescent="0.2">
      <c r="B14285" s="43"/>
    </row>
    <row r="14286" spans="2:2" ht="12.75" customHeight="1" x14ac:dyDescent="0.2">
      <c r="B14286" s="43"/>
    </row>
    <row r="14287" spans="2:2" ht="12.75" customHeight="1" x14ac:dyDescent="0.2">
      <c r="B14287" s="43"/>
    </row>
    <row r="14288" spans="2:2" ht="12.75" customHeight="1" x14ac:dyDescent="0.2">
      <c r="B14288" s="43"/>
    </row>
    <row r="14289" spans="2:2" ht="12.75" customHeight="1" x14ac:dyDescent="0.2">
      <c r="B14289" s="43"/>
    </row>
    <row r="14290" spans="2:2" ht="12.75" customHeight="1" x14ac:dyDescent="0.2">
      <c r="B14290" s="43"/>
    </row>
    <row r="14291" spans="2:2" ht="12.75" customHeight="1" x14ac:dyDescent="0.2">
      <c r="B14291" s="43"/>
    </row>
    <row r="14292" spans="2:2" ht="12.75" customHeight="1" x14ac:dyDescent="0.2">
      <c r="B14292" s="43"/>
    </row>
    <row r="14293" spans="2:2" ht="12.75" customHeight="1" x14ac:dyDescent="0.2">
      <c r="B14293" s="43"/>
    </row>
    <row r="14294" spans="2:2" ht="12.75" customHeight="1" x14ac:dyDescent="0.2">
      <c r="B14294" s="43"/>
    </row>
    <row r="14295" spans="2:2" ht="12.75" customHeight="1" x14ac:dyDescent="0.2">
      <c r="B14295" s="43"/>
    </row>
    <row r="14296" spans="2:2" ht="12.75" customHeight="1" x14ac:dyDescent="0.2">
      <c r="B14296" s="43"/>
    </row>
    <row r="14297" spans="2:2" ht="12.75" customHeight="1" x14ac:dyDescent="0.2">
      <c r="B14297" s="43"/>
    </row>
    <row r="14298" spans="2:2" ht="12.75" customHeight="1" x14ac:dyDescent="0.2">
      <c r="B14298" s="43"/>
    </row>
    <row r="14299" spans="2:2" ht="12.75" customHeight="1" x14ac:dyDescent="0.2">
      <c r="B14299" s="43"/>
    </row>
    <row r="14300" spans="2:2" ht="12.75" customHeight="1" x14ac:dyDescent="0.2">
      <c r="B14300" s="43"/>
    </row>
    <row r="14301" spans="2:2" ht="12.75" customHeight="1" x14ac:dyDescent="0.2">
      <c r="B14301" s="43"/>
    </row>
    <row r="14302" spans="2:2" ht="12.75" customHeight="1" x14ac:dyDescent="0.2">
      <c r="B14302" s="43"/>
    </row>
    <row r="14303" spans="2:2" ht="12.75" customHeight="1" x14ac:dyDescent="0.2">
      <c r="B14303" s="43"/>
    </row>
    <row r="14304" spans="2:2" ht="12.75" customHeight="1" x14ac:dyDescent="0.2">
      <c r="B14304" s="43"/>
    </row>
    <row r="14305" spans="2:2" ht="12.75" customHeight="1" x14ac:dyDescent="0.2">
      <c r="B14305" s="43"/>
    </row>
    <row r="14306" spans="2:2" ht="12.75" customHeight="1" x14ac:dyDescent="0.2">
      <c r="B14306" s="43"/>
    </row>
    <row r="14307" spans="2:2" ht="12.75" customHeight="1" x14ac:dyDescent="0.2">
      <c r="B14307" s="43"/>
    </row>
    <row r="14308" spans="2:2" ht="12.75" customHeight="1" x14ac:dyDescent="0.2">
      <c r="B14308" s="43"/>
    </row>
    <row r="14309" spans="2:2" ht="12.75" customHeight="1" x14ac:dyDescent="0.2">
      <c r="B14309" s="43"/>
    </row>
    <row r="14310" spans="2:2" ht="12.75" customHeight="1" x14ac:dyDescent="0.2">
      <c r="B14310" s="43"/>
    </row>
    <row r="14311" spans="2:2" ht="12.75" customHeight="1" x14ac:dyDescent="0.2">
      <c r="B14311" s="43"/>
    </row>
    <row r="14312" spans="2:2" ht="12.75" customHeight="1" x14ac:dyDescent="0.2">
      <c r="B14312" s="43"/>
    </row>
    <row r="14313" spans="2:2" ht="12.75" customHeight="1" x14ac:dyDescent="0.2">
      <c r="B14313" s="43"/>
    </row>
    <row r="14314" spans="2:2" ht="12.75" customHeight="1" x14ac:dyDescent="0.2">
      <c r="B14314" s="43"/>
    </row>
    <row r="14315" spans="2:2" ht="12.75" customHeight="1" x14ac:dyDescent="0.2">
      <c r="B14315" s="43"/>
    </row>
    <row r="14316" spans="2:2" ht="12.75" customHeight="1" x14ac:dyDescent="0.2">
      <c r="B14316" s="43"/>
    </row>
    <row r="14317" spans="2:2" ht="12.75" customHeight="1" x14ac:dyDescent="0.2">
      <c r="B14317" s="43"/>
    </row>
    <row r="14318" spans="2:2" ht="12.75" customHeight="1" x14ac:dyDescent="0.2">
      <c r="B14318" s="43"/>
    </row>
    <row r="14319" spans="2:2" ht="12.75" customHeight="1" x14ac:dyDescent="0.2">
      <c r="B14319" s="43"/>
    </row>
    <row r="14320" spans="2:2" ht="12.75" customHeight="1" x14ac:dyDescent="0.2">
      <c r="B14320" s="43"/>
    </row>
    <row r="14321" spans="2:2" ht="12.75" customHeight="1" x14ac:dyDescent="0.2">
      <c r="B14321" s="43"/>
    </row>
    <row r="14322" spans="2:2" ht="12.75" customHeight="1" x14ac:dyDescent="0.2">
      <c r="B14322" s="43"/>
    </row>
    <row r="14323" spans="2:2" ht="12.75" customHeight="1" x14ac:dyDescent="0.2">
      <c r="B14323" s="43"/>
    </row>
    <row r="14324" spans="2:2" ht="12.75" customHeight="1" x14ac:dyDescent="0.2">
      <c r="B14324" s="43"/>
    </row>
    <row r="14325" spans="2:2" ht="12.75" customHeight="1" x14ac:dyDescent="0.2">
      <c r="B14325" s="43"/>
    </row>
    <row r="14326" spans="2:2" ht="12.75" customHeight="1" x14ac:dyDescent="0.2">
      <c r="B14326" s="43"/>
    </row>
    <row r="14327" spans="2:2" ht="12.75" customHeight="1" x14ac:dyDescent="0.2">
      <c r="B14327" s="43"/>
    </row>
    <row r="14328" spans="2:2" ht="12.75" customHeight="1" x14ac:dyDescent="0.2">
      <c r="B14328" s="43"/>
    </row>
    <row r="14329" spans="2:2" ht="12.75" customHeight="1" x14ac:dyDescent="0.2">
      <c r="B14329" s="43"/>
    </row>
    <row r="14330" spans="2:2" ht="12.75" customHeight="1" x14ac:dyDescent="0.2">
      <c r="B14330" s="43"/>
    </row>
    <row r="14331" spans="2:2" ht="12.75" customHeight="1" x14ac:dyDescent="0.2">
      <c r="B14331" s="43"/>
    </row>
    <row r="14332" spans="2:2" ht="12.75" customHeight="1" x14ac:dyDescent="0.2">
      <c r="B14332" s="43"/>
    </row>
    <row r="14333" spans="2:2" ht="12.75" customHeight="1" x14ac:dyDescent="0.2">
      <c r="B14333" s="43"/>
    </row>
    <row r="14334" spans="2:2" ht="12.75" customHeight="1" x14ac:dyDescent="0.2">
      <c r="B14334" s="43"/>
    </row>
    <row r="14335" spans="2:2" ht="12.75" customHeight="1" x14ac:dyDescent="0.2">
      <c r="B14335" s="43"/>
    </row>
    <row r="14336" spans="2:2" ht="12.75" customHeight="1" x14ac:dyDescent="0.2">
      <c r="B14336" s="43"/>
    </row>
    <row r="14337" spans="2:2" ht="12.75" customHeight="1" x14ac:dyDescent="0.2">
      <c r="B14337" s="43"/>
    </row>
    <row r="14338" spans="2:2" ht="12.75" customHeight="1" x14ac:dyDescent="0.2">
      <c r="B14338" s="43"/>
    </row>
    <row r="14339" spans="2:2" ht="12.75" customHeight="1" x14ac:dyDescent="0.2">
      <c r="B14339" s="43"/>
    </row>
    <row r="14340" spans="2:2" ht="12.75" customHeight="1" x14ac:dyDescent="0.2">
      <c r="B14340" s="43"/>
    </row>
    <row r="14341" spans="2:2" ht="12.75" customHeight="1" x14ac:dyDescent="0.2">
      <c r="B14341" s="43"/>
    </row>
    <row r="14342" spans="2:2" ht="12.75" customHeight="1" x14ac:dyDescent="0.2">
      <c r="B14342" s="43"/>
    </row>
    <row r="14343" spans="2:2" ht="12.75" customHeight="1" x14ac:dyDescent="0.2">
      <c r="B14343" s="43"/>
    </row>
    <row r="14344" spans="2:2" ht="12.75" customHeight="1" x14ac:dyDescent="0.2">
      <c r="B14344" s="43"/>
    </row>
    <row r="14345" spans="2:2" ht="12.75" customHeight="1" x14ac:dyDescent="0.2">
      <c r="B14345" s="43"/>
    </row>
    <row r="14346" spans="2:2" ht="12.75" customHeight="1" x14ac:dyDescent="0.2">
      <c r="B14346" s="43"/>
    </row>
    <row r="14347" spans="2:2" ht="12.75" customHeight="1" x14ac:dyDescent="0.2">
      <c r="B14347" s="43"/>
    </row>
    <row r="14348" spans="2:2" ht="12.75" customHeight="1" x14ac:dyDescent="0.2">
      <c r="B14348" s="43"/>
    </row>
    <row r="14349" spans="2:2" ht="12.75" customHeight="1" x14ac:dyDescent="0.2">
      <c r="B14349" s="43"/>
    </row>
    <row r="14350" spans="2:2" ht="12.75" customHeight="1" x14ac:dyDescent="0.2">
      <c r="B14350" s="43"/>
    </row>
    <row r="14351" spans="2:2" ht="12.75" customHeight="1" x14ac:dyDescent="0.2">
      <c r="B14351" s="43"/>
    </row>
    <row r="14352" spans="2:2" ht="12.75" customHeight="1" x14ac:dyDescent="0.2">
      <c r="B14352" s="43"/>
    </row>
    <row r="14353" spans="2:2" ht="12.75" customHeight="1" x14ac:dyDescent="0.2">
      <c r="B14353" s="43"/>
    </row>
    <row r="14354" spans="2:2" ht="12.75" customHeight="1" x14ac:dyDescent="0.2">
      <c r="B14354" s="43"/>
    </row>
    <row r="14355" spans="2:2" ht="12.75" customHeight="1" x14ac:dyDescent="0.2">
      <c r="B14355" s="43"/>
    </row>
    <row r="14356" spans="2:2" ht="12.75" customHeight="1" x14ac:dyDescent="0.2">
      <c r="B14356" s="43"/>
    </row>
    <row r="14357" spans="2:2" ht="12.75" customHeight="1" x14ac:dyDescent="0.2">
      <c r="B14357" s="43"/>
    </row>
    <row r="14358" spans="2:2" ht="12.75" customHeight="1" x14ac:dyDescent="0.2">
      <c r="B14358" s="43"/>
    </row>
    <row r="14359" spans="2:2" ht="12.75" customHeight="1" x14ac:dyDescent="0.2">
      <c r="B14359" s="43"/>
    </row>
    <row r="14360" spans="2:2" ht="12.75" customHeight="1" x14ac:dyDescent="0.2">
      <c r="B14360" s="43"/>
    </row>
    <row r="14361" spans="2:2" ht="12.75" customHeight="1" x14ac:dyDescent="0.2">
      <c r="B14361" s="43"/>
    </row>
    <row r="14362" spans="2:2" ht="12.75" customHeight="1" x14ac:dyDescent="0.2">
      <c r="B14362" s="43"/>
    </row>
    <row r="14363" spans="2:2" ht="12.75" customHeight="1" x14ac:dyDescent="0.2">
      <c r="B14363" s="43"/>
    </row>
    <row r="14364" spans="2:2" ht="12.75" customHeight="1" x14ac:dyDescent="0.2">
      <c r="B14364" s="43"/>
    </row>
    <row r="14365" spans="2:2" ht="12.75" customHeight="1" x14ac:dyDescent="0.2">
      <c r="B14365" s="43"/>
    </row>
    <row r="14366" spans="2:2" ht="12.75" customHeight="1" x14ac:dyDescent="0.2">
      <c r="B14366" s="43"/>
    </row>
    <row r="14367" spans="2:2" ht="12.75" customHeight="1" x14ac:dyDescent="0.2">
      <c r="B14367" s="43"/>
    </row>
    <row r="14368" spans="2:2" ht="12.75" customHeight="1" x14ac:dyDescent="0.2">
      <c r="B14368" s="43"/>
    </row>
    <row r="14369" spans="2:2" ht="12.75" customHeight="1" x14ac:dyDescent="0.2">
      <c r="B14369" s="43"/>
    </row>
    <row r="14370" spans="2:2" ht="12.75" customHeight="1" x14ac:dyDescent="0.2">
      <c r="B14370" s="43"/>
    </row>
    <row r="14371" spans="2:2" ht="12.75" customHeight="1" x14ac:dyDescent="0.2">
      <c r="B14371" s="43"/>
    </row>
    <row r="14372" spans="2:2" ht="12.75" customHeight="1" x14ac:dyDescent="0.2">
      <c r="B14372" s="43"/>
    </row>
    <row r="14373" spans="2:2" ht="12.75" customHeight="1" x14ac:dyDescent="0.2">
      <c r="B14373" s="43"/>
    </row>
    <row r="14374" spans="2:2" ht="12.75" customHeight="1" x14ac:dyDescent="0.2">
      <c r="B14374" s="43"/>
    </row>
    <row r="14375" spans="2:2" ht="12.75" customHeight="1" x14ac:dyDescent="0.2">
      <c r="B14375" s="43"/>
    </row>
    <row r="14376" spans="2:2" ht="12.75" customHeight="1" x14ac:dyDescent="0.2">
      <c r="B14376" s="43"/>
    </row>
    <row r="14377" spans="2:2" ht="12.75" customHeight="1" x14ac:dyDescent="0.2">
      <c r="B14377" s="43"/>
    </row>
    <row r="14378" spans="2:2" ht="12.75" customHeight="1" x14ac:dyDescent="0.2">
      <c r="B14378" s="43"/>
    </row>
    <row r="14379" spans="2:2" ht="12.75" customHeight="1" x14ac:dyDescent="0.2">
      <c r="B14379" s="43"/>
    </row>
    <row r="14380" spans="2:2" ht="12.75" customHeight="1" x14ac:dyDescent="0.2">
      <c r="B14380" s="43"/>
    </row>
    <row r="14381" spans="2:2" ht="12.75" customHeight="1" x14ac:dyDescent="0.2">
      <c r="B14381" s="43"/>
    </row>
    <row r="14382" spans="2:2" ht="12.75" customHeight="1" x14ac:dyDescent="0.2">
      <c r="B14382" s="43"/>
    </row>
    <row r="14383" spans="2:2" ht="12.75" customHeight="1" x14ac:dyDescent="0.2">
      <c r="B14383" s="43"/>
    </row>
    <row r="14384" spans="2:2" ht="12.75" customHeight="1" x14ac:dyDescent="0.2">
      <c r="B14384" s="43"/>
    </row>
    <row r="14385" spans="2:2" ht="12.75" customHeight="1" x14ac:dyDescent="0.2">
      <c r="B14385" s="43"/>
    </row>
    <row r="14386" spans="2:2" ht="12.75" customHeight="1" x14ac:dyDescent="0.2">
      <c r="B14386" s="43"/>
    </row>
    <row r="14387" spans="2:2" ht="12.75" customHeight="1" x14ac:dyDescent="0.2">
      <c r="B14387" s="43"/>
    </row>
    <row r="14388" spans="2:2" ht="12.75" customHeight="1" x14ac:dyDescent="0.2">
      <c r="B14388" s="43"/>
    </row>
    <row r="14389" spans="2:2" ht="12.75" customHeight="1" x14ac:dyDescent="0.2">
      <c r="B14389" s="43"/>
    </row>
    <row r="14390" spans="2:2" ht="12.75" customHeight="1" x14ac:dyDescent="0.2">
      <c r="B14390" s="43"/>
    </row>
    <row r="14391" spans="2:2" ht="12.75" customHeight="1" x14ac:dyDescent="0.2">
      <c r="B14391" s="43"/>
    </row>
    <row r="14392" spans="2:2" ht="12.75" customHeight="1" x14ac:dyDescent="0.2">
      <c r="B14392" s="43"/>
    </row>
    <row r="14393" spans="2:2" ht="12.75" customHeight="1" x14ac:dyDescent="0.2">
      <c r="B14393" s="43"/>
    </row>
    <row r="14394" spans="2:2" ht="12.75" customHeight="1" x14ac:dyDescent="0.2">
      <c r="B14394" s="43"/>
    </row>
    <row r="14395" spans="2:2" ht="12.75" customHeight="1" x14ac:dyDescent="0.2">
      <c r="B14395" s="43"/>
    </row>
    <row r="14396" spans="2:2" ht="12.75" customHeight="1" x14ac:dyDescent="0.2">
      <c r="B14396" s="43"/>
    </row>
    <row r="14397" spans="2:2" ht="12.75" customHeight="1" x14ac:dyDescent="0.2">
      <c r="B14397" s="43"/>
    </row>
    <row r="14398" spans="2:2" ht="12.75" customHeight="1" x14ac:dyDescent="0.2">
      <c r="B14398" s="43"/>
    </row>
    <row r="14399" spans="2:2" ht="12.75" customHeight="1" x14ac:dyDescent="0.2">
      <c r="B14399" s="43"/>
    </row>
    <row r="14400" spans="2:2" ht="12.75" customHeight="1" x14ac:dyDescent="0.2">
      <c r="B14400" s="43"/>
    </row>
    <row r="14401" spans="2:2" ht="12.75" customHeight="1" x14ac:dyDescent="0.2">
      <c r="B14401" s="43"/>
    </row>
    <row r="14402" spans="2:2" ht="12.75" customHeight="1" x14ac:dyDescent="0.2">
      <c r="B14402" s="43"/>
    </row>
    <row r="14403" spans="2:2" ht="12.75" customHeight="1" x14ac:dyDescent="0.2">
      <c r="B14403" s="43"/>
    </row>
    <row r="14404" spans="2:2" ht="12.75" customHeight="1" x14ac:dyDescent="0.2">
      <c r="B14404" s="43"/>
    </row>
    <row r="14405" spans="2:2" ht="12.75" customHeight="1" x14ac:dyDescent="0.2">
      <c r="B14405" s="43"/>
    </row>
    <row r="14406" spans="2:2" ht="12.75" customHeight="1" x14ac:dyDescent="0.2">
      <c r="B14406" s="43"/>
    </row>
    <row r="14407" spans="2:2" ht="12.75" customHeight="1" x14ac:dyDescent="0.2">
      <c r="B14407" s="43"/>
    </row>
    <row r="14408" spans="2:2" ht="12.75" customHeight="1" x14ac:dyDescent="0.2">
      <c r="B14408" s="43"/>
    </row>
    <row r="14409" spans="2:2" ht="12.75" customHeight="1" x14ac:dyDescent="0.2">
      <c r="B14409" s="43"/>
    </row>
    <row r="14410" spans="2:2" ht="12.75" customHeight="1" x14ac:dyDescent="0.2">
      <c r="B14410" s="43"/>
    </row>
    <row r="14411" spans="2:2" ht="12.75" customHeight="1" x14ac:dyDescent="0.2">
      <c r="B14411" s="43"/>
    </row>
    <row r="14412" spans="2:2" ht="12.75" customHeight="1" x14ac:dyDescent="0.2">
      <c r="B14412" s="43"/>
    </row>
    <row r="14413" spans="2:2" ht="12.75" customHeight="1" x14ac:dyDescent="0.2">
      <c r="B14413" s="43"/>
    </row>
    <row r="14414" spans="2:2" ht="12.75" customHeight="1" x14ac:dyDescent="0.2">
      <c r="B14414" s="43"/>
    </row>
    <row r="14415" spans="2:2" ht="12.75" customHeight="1" x14ac:dyDescent="0.2">
      <c r="B14415" s="43"/>
    </row>
    <row r="14416" spans="2:2" ht="12.75" customHeight="1" x14ac:dyDescent="0.2">
      <c r="B14416" s="43"/>
    </row>
    <row r="14417" spans="2:2" ht="12.75" customHeight="1" x14ac:dyDescent="0.2">
      <c r="B14417" s="43"/>
    </row>
    <row r="14418" spans="2:2" ht="12.75" customHeight="1" x14ac:dyDescent="0.2">
      <c r="B14418" s="43"/>
    </row>
    <row r="14419" spans="2:2" ht="12.75" customHeight="1" x14ac:dyDescent="0.2">
      <c r="B14419" s="43"/>
    </row>
    <row r="14420" spans="2:2" ht="12.75" customHeight="1" x14ac:dyDescent="0.2">
      <c r="B14420" s="43"/>
    </row>
    <row r="14421" spans="2:2" ht="12.75" customHeight="1" x14ac:dyDescent="0.2">
      <c r="B14421" s="43"/>
    </row>
    <row r="14422" spans="2:2" ht="12.75" customHeight="1" x14ac:dyDescent="0.2">
      <c r="B14422" s="43"/>
    </row>
    <row r="14423" spans="2:2" ht="12.75" customHeight="1" x14ac:dyDescent="0.2">
      <c r="B14423" s="43"/>
    </row>
    <row r="14424" spans="2:2" ht="12.75" customHeight="1" x14ac:dyDescent="0.2">
      <c r="B14424" s="43"/>
    </row>
    <row r="14425" spans="2:2" ht="12.75" customHeight="1" x14ac:dyDescent="0.2">
      <c r="B14425" s="43"/>
    </row>
    <row r="14426" spans="2:2" ht="12.75" customHeight="1" x14ac:dyDescent="0.2">
      <c r="B14426" s="43"/>
    </row>
    <row r="14427" spans="2:2" ht="12.75" customHeight="1" x14ac:dyDescent="0.2">
      <c r="B14427" s="43"/>
    </row>
    <row r="14428" spans="2:2" ht="12.75" customHeight="1" x14ac:dyDescent="0.2">
      <c r="B14428" s="43"/>
    </row>
    <row r="14429" spans="2:2" ht="12.75" customHeight="1" x14ac:dyDescent="0.2">
      <c r="B14429" s="43"/>
    </row>
    <row r="14430" spans="2:2" ht="12.75" customHeight="1" x14ac:dyDescent="0.2">
      <c r="B14430" s="43"/>
    </row>
    <row r="14431" spans="2:2" ht="12.75" customHeight="1" x14ac:dyDescent="0.2">
      <c r="B14431" s="43"/>
    </row>
    <row r="14432" spans="2:2" ht="12.75" customHeight="1" x14ac:dyDescent="0.2">
      <c r="B14432" s="43"/>
    </row>
    <row r="14433" spans="2:2" ht="12.75" customHeight="1" x14ac:dyDescent="0.2">
      <c r="B14433" s="43"/>
    </row>
    <row r="14434" spans="2:2" ht="12.75" customHeight="1" x14ac:dyDescent="0.2">
      <c r="B14434" s="43"/>
    </row>
    <row r="14435" spans="2:2" ht="12.75" customHeight="1" x14ac:dyDescent="0.2">
      <c r="B14435" s="43"/>
    </row>
    <row r="14436" spans="2:2" ht="12.75" customHeight="1" x14ac:dyDescent="0.2">
      <c r="B14436" s="43"/>
    </row>
    <row r="14437" spans="2:2" ht="12.75" customHeight="1" x14ac:dyDescent="0.2">
      <c r="B14437" s="43"/>
    </row>
    <row r="14438" spans="2:2" ht="12.75" customHeight="1" x14ac:dyDescent="0.2">
      <c r="B14438" s="43"/>
    </row>
    <row r="14439" spans="2:2" ht="12.75" customHeight="1" x14ac:dyDescent="0.2">
      <c r="B14439" s="43"/>
    </row>
    <row r="14440" spans="2:2" ht="12.75" customHeight="1" x14ac:dyDescent="0.2">
      <c r="B14440" s="43"/>
    </row>
    <row r="14441" spans="2:2" ht="12.75" customHeight="1" x14ac:dyDescent="0.2">
      <c r="B14441" s="43"/>
    </row>
    <row r="14442" spans="2:2" ht="12.75" customHeight="1" x14ac:dyDescent="0.2">
      <c r="B14442" s="43"/>
    </row>
    <row r="14443" spans="2:2" ht="12.75" customHeight="1" x14ac:dyDescent="0.2">
      <c r="B14443" s="43"/>
    </row>
    <row r="14444" spans="2:2" ht="12.75" customHeight="1" x14ac:dyDescent="0.2">
      <c r="B14444" s="43"/>
    </row>
    <row r="14445" spans="2:2" ht="12.75" customHeight="1" x14ac:dyDescent="0.2">
      <c r="B14445" s="43"/>
    </row>
    <row r="14446" spans="2:2" ht="12.75" customHeight="1" x14ac:dyDescent="0.2">
      <c r="B14446" s="43"/>
    </row>
    <row r="14447" spans="2:2" ht="12.75" customHeight="1" x14ac:dyDescent="0.2">
      <c r="B14447" s="43"/>
    </row>
    <row r="14448" spans="2:2" ht="12.75" customHeight="1" x14ac:dyDescent="0.2">
      <c r="B14448" s="43"/>
    </row>
    <row r="14449" spans="2:2" ht="12.75" customHeight="1" x14ac:dyDescent="0.2">
      <c r="B14449" s="43"/>
    </row>
    <row r="14450" spans="2:2" ht="12.75" customHeight="1" x14ac:dyDescent="0.2">
      <c r="B14450" s="43"/>
    </row>
    <row r="14451" spans="2:2" ht="12.75" customHeight="1" x14ac:dyDescent="0.2">
      <c r="B14451" s="43"/>
    </row>
    <row r="14452" spans="2:2" ht="12.75" customHeight="1" x14ac:dyDescent="0.2">
      <c r="B14452" s="43"/>
    </row>
    <row r="14453" spans="2:2" ht="12.75" customHeight="1" x14ac:dyDescent="0.2">
      <c r="B14453" s="43"/>
    </row>
    <row r="14454" spans="2:2" ht="12.75" customHeight="1" x14ac:dyDescent="0.2">
      <c r="B14454" s="43"/>
    </row>
    <row r="14455" spans="2:2" ht="12.75" customHeight="1" x14ac:dyDescent="0.2">
      <c r="B14455" s="43"/>
    </row>
    <row r="14456" spans="2:2" ht="12.75" customHeight="1" x14ac:dyDescent="0.2">
      <c r="B14456" s="43"/>
    </row>
    <row r="14457" spans="2:2" ht="12.75" customHeight="1" x14ac:dyDescent="0.2">
      <c r="B14457" s="43"/>
    </row>
    <row r="14458" spans="2:2" ht="12.75" customHeight="1" x14ac:dyDescent="0.2">
      <c r="B14458" s="43"/>
    </row>
    <row r="14459" spans="2:2" ht="12.75" customHeight="1" x14ac:dyDescent="0.2">
      <c r="B14459" s="43"/>
    </row>
    <row r="14460" spans="2:2" ht="12.75" customHeight="1" x14ac:dyDescent="0.2">
      <c r="B14460" s="43"/>
    </row>
    <row r="14461" spans="2:2" ht="12.75" customHeight="1" x14ac:dyDescent="0.2">
      <c r="B14461" s="43"/>
    </row>
    <row r="14462" spans="2:2" ht="12.75" customHeight="1" x14ac:dyDescent="0.2">
      <c r="B14462" s="43"/>
    </row>
    <row r="14463" spans="2:2" ht="12.75" customHeight="1" x14ac:dyDescent="0.2">
      <c r="B14463" s="43"/>
    </row>
    <row r="14464" spans="2:2" ht="12.75" customHeight="1" x14ac:dyDescent="0.2">
      <c r="B14464" s="43"/>
    </row>
    <row r="14465" spans="2:2" ht="12.75" customHeight="1" x14ac:dyDescent="0.2">
      <c r="B14465" s="43"/>
    </row>
    <row r="14466" spans="2:2" ht="12.75" customHeight="1" x14ac:dyDescent="0.2">
      <c r="B14466" s="43"/>
    </row>
    <row r="14467" spans="2:2" ht="12.75" customHeight="1" x14ac:dyDescent="0.2">
      <c r="B14467" s="43"/>
    </row>
    <row r="14468" spans="2:2" ht="12.75" customHeight="1" x14ac:dyDescent="0.2">
      <c r="B14468" s="43"/>
    </row>
    <row r="14469" spans="2:2" ht="12.75" customHeight="1" x14ac:dyDescent="0.2">
      <c r="B14469" s="43"/>
    </row>
    <row r="14470" spans="2:2" ht="12.75" customHeight="1" x14ac:dyDescent="0.2">
      <c r="B14470" s="43"/>
    </row>
    <row r="14471" spans="2:2" ht="12.75" customHeight="1" x14ac:dyDescent="0.2">
      <c r="B14471" s="43"/>
    </row>
    <row r="14472" spans="2:2" ht="12.75" customHeight="1" x14ac:dyDescent="0.2">
      <c r="B14472" s="43"/>
    </row>
    <row r="14473" spans="2:2" ht="12.75" customHeight="1" x14ac:dyDescent="0.2">
      <c r="B14473" s="43"/>
    </row>
    <row r="14474" spans="2:2" ht="12.75" customHeight="1" x14ac:dyDescent="0.2">
      <c r="B14474" s="43"/>
    </row>
    <row r="14475" spans="2:2" ht="12.75" customHeight="1" x14ac:dyDescent="0.2">
      <c r="B14475" s="43"/>
    </row>
    <row r="14476" spans="2:2" ht="12.75" customHeight="1" x14ac:dyDescent="0.2">
      <c r="B14476" s="43"/>
    </row>
    <row r="14477" spans="2:2" ht="12.75" customHeight="1" x14ac:dyDescent="0.2">
      <c r="B14477" s="43"/>
    </row>
    <row r="14478" spans="2:2" ht="12.75" customHeight="1" x14ac:dyDescent="0.2">
      <c r="B14478" s="43"/>
    </row>
    <row r="14479" spans="2:2" ht="12.75" customHeight="1" x14ac:dyDescent="0.2">
      <c r="B14479" s="43"/>
    </row>
    <row r="14480" spans="2:2" ht="12.75" customHeight="1" x14ac:dyDescent="0.2">
      <c r="B14480" s="43"/>
    </row>
    <row r="14481" spans="2:2" ht="12.75" customHeight="1" x14ac:dyDescent="0.2">
      <c r="B14481" s="43"/>
    </row>
    <row r="14482" spans="2:2" ht="12.75" customHeight="1" x14ac:dyDescent="0.2">
      <c r="B14482" s="43"/>
    </row>
    <row r="14483" spans="2:2" ht="12.75" customHeight="1" x14ac:dyDescent="0.2">
      <c r="B14483" s="43"/>
    </row>
    <row r="14484" spans="2:2" ht="12.75" customHeight="1" x14ac:dyDescent="0.2">
      <c r="B14484" s="43"/>
    </row>
    <row r="14485" spans="2:2" ht="12.75" customHeight="1" x14ac:dyDescent="0.2">
      <c r="B14485" s="43"/>
    </row>
    <row r="14486" spans="2:2" ht="12.75" customHeight="1" x14ac:dyDescent="0.2">
      <c r="B14486" s="43"/>
    </row>
    <row r="14487" spans="2:2" ht="12.75" customHeight="1" x14ac:dyDescent="0.2">
      <c r="B14487" s="43"/>
    </row>
    <row r="14488" spans="2:2" ht="12.75" customHeight="1" x14ac:dyDescent="0.2">
      <c r="B14488" s="43"/>
    </row>
    <row r="14489" spans="2:2" ht="12.75" customHeight="1" x14ac:dyDescent="0.2">
      <c r="B14489" s="43"/>
    </row>
    <row r="14490" spans="2:2" ht="12.75" customHeight="1" x14ac:dyDescent="0.2">
      <c r="B14490" s="43"/>
    </row>
    <row r="14491" spans="2:2" ht="12.75" customHeight="1" x14ac:dyDescent="0.2">
      <c r="B14491" s="43"/>
    </row>
    <row r="14492" spans="2:2" ht="12.75" customHeight="1" x14ac:dyDescent="0.2">
      <c r="B14492" s="43"/>
    </row>
    <row r="14493" spans="2:2" ht="12.75" customHeight="1" x14ac:dyDescent="0.2">
      <c r="B14493" s="43"/>
    </row>
    <row r="14494" spans="2:2" ht="12.75" customHeight="1" x14ac:dyDescent="0.2">
      <c r="B14494" s="43"/>
    </row>
    <row r="14495" spans="2:2" ht="12.75" customHeight="1" x14ac:dyDescent="0.2">
      <c r="B14495" s="43"/>
    </row>
    <row r="14496" spans="2:2" ht="12.75" customHeight="1" x14ac:dyDescent="0.2">
      <c r="B14496" s="43"/>
    </row>
    <row r="14497" spans="2:2" ht="12.75" customHeight="1" x14ac:dyDescent="0.2">
      <c r="B14497" s="43"/>
    </row>
    <row r="14498" spans="2:2" ht="12.75" customHeight="1" x14ac:dyDescent="0.2">
      <c r="B14498" s="43"/>
    </row>
    <row r="14499" spans="2:2" ht="12.75" customHeight="1" x14ac:dyDescent="0.2">
      <c r="B14499" s="43"/>
    </row>
    <row r="14500" spans="2:2" ht="12.75" customHeight="1" x14ac:dyDescent="0.2">
      <c r="B14500" s="43"/>
    </row>
    <row r="14501" spans="2:2" ht="12.75" customHeight="1" x14ac:dyDescent="0.2">
      <c r="B14501" s="43"/>
    </row>
    <row r="14502" spans="2:2" ht="12.75" customHeight="1" x14ac:dyDescent="0.2">
      <c r="B14502" s="43"/>
    </row>
    <row r="14503" spans="2:2" ht="12.75" customHeight="1" x14ac:dyDescent="0.2">
      <c r="B14503" s="43"/>
    </row>
    <row r="14504" spans="2:2" ht="12.75" customHeight="1" x14ac:dyDescent="0.2">
      <c r="B14504" s="43"/>
    </row>
    <row r="14505" spans="2:2" ht="12.75" customHeight="1" x14ac:dyDescent="0.2">
      <c r="B14505" s="43"/>
    </row>
    <row r="14506" spans="2:2" ht="12.75" customHeight="1" x14ac:dyDescent="0.2">
      <c r="B14506" s="43"/>
    </row>
    <row r="14507" spans="2:2" ht="12.75" customHeight="1" x14ac:dyDescent="0.2">
      <c r="B14507" s="43"/>
    </row>
    <row r="14508" spans="2:2" ht="12.75" customHeight="1" x14ac:dyDescent="0.2">
      <c r="B14508" s="43"/>
    </row>
    <row r="14509" spans="2:2" ht="12.75" customHeight="1" x14ac:dyDescent="0.2">
      <c r="B14509" s="43"/>
    </row>
    <row r="14510" spans="2:2" ht="12.75" customHeight="1" x14ac:dyDescent="0.2">
      <c r="B14510" s="43"/>
    </row>
    <row r="14511" spans="2:2" ht="12.75" customHeight="1" x14ac:dyDescent="0.2">
      <c r="B14511" s="43"/>
    </row>
    <row r="14512" spans="2:2" ht="12.75" customHeight="1" x14ac:dyDescent="0.2">
      <c r="B14512" s="43"/>
    </row>
    <row r="14513" spans="2:2" ht="12.75" customHeight="1" x14ac:dyDescent="0.2">
      <c r="B14513" s="43"/>
    </row>
    <row r="14514" spans="2:2" ht="12.75" customHeight="1" x14ac:dyDescent="0.2">
      <c r="B14514" s="43"/>
    </row>
    <row r="14515" spans="2:2" ht="12.75" customHeight="1" x14ac:dyDescent="0.2">
      <c r="B14515" s="43"/>
    </row>
    <row r="14516" spans="2:2" ht="12.75" customHeight="1" x14ac:dyDescent="0.2">
      <c r="B14516" s="43"/>
    </row>
    <row r="14517" spans="2:2" ht="12.75" customHeight="1" x14ac:dyDescent="0.2">
      <c r="B14517" s="43"/>
    </row>
    <row r="14518" spans="2:2" ht="12.75" customHeight="1" x14ac:dyDescent="0.2">
      <c r="B14518" s="43"/>
    </row>
    <row r="14519" spans="2:2" ht="12.75" customHeight="1" x14ac:dyDescent="0.2">
      <c r="B14519" s="43"/>
    </row>
    <row r="14520" spans="2:2" ht="12.75" customHeight="1" x14ac:dyDescent="0.2">
      <c r="B14520" s="43"/>
    </row>
    <row r="14521" spans="2:2" ht="12.75" customHeight="1" x14ac:dyDescent="0.2">
      <c r="B14521" s="43"/>
    </row>
    <row r="14522" spans="2:2" ht="12.75" customHeight="1" x14ac:dyDescent="0.2">
      <c r="B14522" s="43"/>
    </row>
    <row r="14523" spans="2:2" ht="12.75" customHeight="1" x14ac:dyDescent="0.2">
      <c r="B14523" s="43"/>
    </row>
    <row r="14524" spans="2:2" ht="12.75" customHeight="1" x14ac:dyDescent="0.2">
      <c r="B14524" s="43"/>
    </row>
    <row r="14525" spans="2:2" ht="12.75" customHeight="1" x14ac:dyDescent="0.2">
      <c r="B14525" s="43"/>
    </row>
    <row r="14526" spans="2:2" ht="12.75" customHeight="1" x14ac:dyDescent="0.2">
      <c r="B14526" s="43"/>
    </row>
    <row r="14527" spans="2:2" ht="12.75" customHeight="1" x14ac:dyDescent="0.2">
      <c r="B14527" s="43"/>
    </row>
    <row r="14528" spans="2:2" ht="12.75" customHeight="1" x14ac:dyDescent="0.2">
      <c r="B14528" s="43"/>
    </row>
    <row r="14529" spans="2:2" ht="12.75" customHeight="1" x14ac:dyDescent="0.2">
      <c r="B14529" s="43"/>
    </row>
    <row r="14530" spans="2:2" ht="12.75" customHeight="1" x14ac:dyDescent="0.2">
      <c r="B14530" s="43"/>
    </row>
    <row r="14531" spans="2:2" ht="12.75" customHeight="1" x14ac:dyDescent="0.2">
      <c r="B14531" s="43"/>
    </row>
    <row r="14532" spans="2:2" ht="12.75" customHeight="1" x14ac:dyDescent="0.2">
      <c r="B14532" s="43"/>
    </row>
    <row r="14533" spans="2:2" ht="12.75" customHeight="1" x14ac:dyDescent="0.2">
      <c r="B14533" s="43"/>
    </row>
    <row r="14534" spans="2:2" ht="12.75" customHeight="1" x14ac:dyDescent="0.2">
      <c r="B14534" s="43"/>
    </row>
    <row r="14535" spans="2:2" ht="12.75" customHeight="1" x14ac:dyDescent="0.2">
      <c r="B14535" s="43"/>
    </row>
    <row r="14536" spans="2:2" ht="12.75" customHeight="1" x14ac:dyDescent="0.2">
      <c r="B14536" s="43"/>
    </row>
    <row r="14537" spans="2:2" ht="12.75" customHeight="1" x14ac:dyDescent="0.2">
      <c r="B14537" s="43"/>
    </row>
    <row r="14538" spans="2:2" ht="12.75" customHeight="1" x14ac:dyDescent="0.2">
      <c r="B14538" s="43"/>
    </row>
    <row r="14539" spans="2:2" ht="12.75" customHeight="1" x14ac:dyDescent="0.2">
      <c r="B14539" s="43"/>
    </row>
    <row r="14540" spans="2:2" ht="12.75" customHeight="1" x14ac:dyDescent="0.2">
      <c r="B14540" s="43"/>
    </row>
    <row r="14541" spans="2:2" ht="12.75" customHeight="1" x14ac:dyDescent="0.2">
      <c r="B14541" s="43"/>
    </row>
    <row r="14542" spans="2:2" ht="12.75" customHeight="1" x14ac:dyDescent="0.2">
      <c r="B14542" s="43"/>
    </row>
    <row r="14543" spans="2:2" ht="12.75" customHeight="1" x14ac:dyDescent="0.2">
      <c r="B14543" s="43"/>
    </row>
    <row r="14544" spans="2:2" ht="12.75" customHeight="1" x14ac:dyDescent="0.2">
      <c r="B14544" s="43"/>
    </row>
    <row r="14545" spans="2:2" ht="12.75" customHeight="1" x14ac:dyDescent="0.2">
      <c r="B14545" s="43"/>
    </row>
    <row r="14546" spans="2:2" ht="12.75" customHeight="1" x14ac:dyDescent="0.2">
      <c r="B14546" s="43"/>
    </row>
    <row r="14547" spans="2:2" ht="12.75" customHeight="1" x14ac:dyDescent="0.2">
      <c r="B14547" s="43"/>
    </row>
    <row r="14548" spans="2:2" ht="12.75" customHeight="1" x14ac:dyDescent="0.2">
      <c r="B14548" s="43"/>
    </row>
    <row r="14549" spans="2:2" ht="12.75" customHeight="1" x14ac:dyDescent="0.2">
      <c r="B14549" s="43"/>
    </row>
    <row r="14550" spans="2:2" ht="12.75" customHeight="1" x14ac:dyDescent="0.2">
      <c r="B14550" s="43"/>
    </row>
    <row r="14551" spans="2:2" ht="12.75" customHeight="1" x14ac:dyDescent="0.2">
      <c r="B14551" s="43"/>
    </row>
    <row r="14552" spans="2:2" ht="12.75" customHeight="1" x14ac:dyDescent="0.2">
      <c r="B14552" s="43"/>
    </row>
    <row r="14553" spans="2:2" ht="12.75" customHeight="1" x14ac:dyDescent="0.2">
      <c r="B14553" s="43"/>
    </row>
    <row r="14554" spans="2:2" ht="12.75" customHeight="1" x14ac:dyDescent="0.2">
      <c r="B14554" s="43"/>
    </row>
    <row r="14555" spans="2:2" ht="12.75" customHeight="1" x14ac:dyDescent="0.2">
      <c r="B14555" s="43"/>
    </row>
    <row r="14556" spans="2:2" ht="12.75" customHeight="1" x14ac:dyDescent="0.2">
      <c r="B14556" s="43"/>
    </row>
    <row r="14557" spans="2:2" ht="12.75" customHeight="1" x14ac:dyDescent="0.2">
      <c r="B14557" s="43"/>
    </row>
    <row r="14558" spans="2:2" ht="12.75" customHeight="1" x14ac:dyDescent="0.2">
      <c r="B14558" s="43"/>
    </row>
    <row r="14559" spans="2:2" ht="12.75" customHeight="1" x14ac:dyDescent="0.2">
      <c r="B14559" s="43"/>
    </row>
    <row r="14560" spans="2:2" ht="12.75" customHeight="1" x14ac:dyDescent="0.2">
      <c r="B14560" s="43"/>
    </row>
    <row r="14561" spans="2:2" ht="12.75" customHeight="1" x14ac:dyDescent="0.2">
      <c r="B14561" s="43"/>
    </row>
    <row r="14562" spans="2:2" ht="12.75" customHeight="1" x14ac:dyDescent="0.2">
      <c r="B14562" s="43"/>
    </row>
    <row r="14563" spans="2:2" ht="12.75" customHeight="1" x14ac:dyDescent="0.2">
      <c r="B14563" s="43"/>
    </row>
    <row r="14564" spans="2:2" ht="12.75" customHeight="1" x14ac:dyDescent="0.2">
      <c r="B14564" s="43"/>
    </row>
    <row r="14565" spans="2:2" ht="12.75" customHeight="1" x14ac:dyDescent="0.2">
      <c r="B14565" s="43"/>
    </row>
    <row r="14566" spans="2:2" ht="12.75" customHeight="1" x14ac:dyDescent="0.2">
      <c r="B14566" s="43"/>
    </row>
    <row r="14567" spans="2:2" ht="12.75" customHeight="1" x14ac:dyDescent="0.2">
      <c r="B14567" s="43"/>
    </row>
    <row r="14568" spans="2:2" ht="12.75" customHeight="1" x14ac:dyDescent="0.2">
      <c r="B14568" s="43"/>
    </row>
    <row r="14569" spans="2:2" ht="12.75" customHeight="1" x14ac:dyDescent="0.2">
      <c r="B14569" s="43"/>
    </row>
    <row r="14570" spans="2:2" ht="12.75" customHeight="1" x14ac:dyDescent="0.2">
      <c r="B14570" s="43"/>
    </row>
    <row r="14571" spans="2:2" ht="12.75" customHeight="1" x14ac:dyDescent="0.2">
      <c r="B14571" s="43"/>
    </row>
    <row r="14572" spans="2:2" ht="12.75" customHeight="1" x14ac:dyDescent="0.2">
      <c r="B14572" s="43"/>
    </row>
    <row r="14573" spans="2:2" ht="12.75" customHeight="1" x14ac:dyDescent="0.2">
      <c r="B14573" s="43"/>
    </row>
    <row r="14574" spans="2:2" ht="12.75" customHeight="1" x14ac:dyDescent="0.2">
      <c r="B14574" s="43"/>
    </row>
    <row r="14575" spans="2:2" ht="12.75" customHeight="1" x14ac:dyDescent="0.2">
      <c r="B14575" s="43"/>
    </row>
    <row r="14576" spans="2:2" ht="12.75" customHeight="1" x14ac:dyDescent="0.2">
      <c r="B14576" s="43"/>
    </row>
    <row r="14577" spans="2:2" ht="12.75" customHeight="1" x14ac:dyDescent="0.2">
      <c r="B14577" s="43"/>
    </row>
    <row r="14578" spans="2:2" ht="12.75" customHeight="1" x14ac:dyDescent="0.2">
      <c r="B14578" s="43"/>
    </row>
    <row r="14579" spans="2:2" ht="12.75" customHeight="1" x14ac:dyDescent="0.2">
      <c r="B14579" s="43"/>
    </row>
    <row r="14580" spans="2:2" ht="12.75" customHeight="1" x14ac:dyDescent="0.2">
      <c r="B14580" s="43"/>
    </row>
    <row r="14581" spans="2:2" ht="12.75" customHeight="1" x14ac:dyDescent="0.2">
      <c r="B14581" s="43"/>
    </row>
    <row r="14582" spans="2:2" ht="12.75" customHeight="1" x14ac:dyDescent="0.2">
      <c r="B14582" s="43"/>
    </row>
    <row r="14583" spans="2:2" ht="12.75" customHeight="1" x14ac:dyDescent="0.2">
      <c r="B14583" s="43"/>
    </row>
    <row r="14584" spans="2:2" ht="12.75" customHeight="1" x14ac:dyDescent="0.2">
      <c r="B14584" s="43"/>
    </row>
    <row r="14585" spans="2:2" ht="12.75" customHeight="1" x14ac:dyDescent="0.2">
      <c r="B14585" s="43"/>
    </row>
    <row r="14586" spans="2:2" ht="12.75" customHeight="1" x14ac:dyDescent="0.2">
      <c r="B14586" s="43"/>
    </row>
    <row r="14587" spans="2:2" ht="12.75" customHeight="1" x14ac:dyDescent="0.2">
      <c r="B14587" s="43"/>
    </row>
    <row r="14588" spans="2:2" ht="12.75" customHeight="1" x14ac:dyDescent="0.2">
      <c r="B14588" s="43"/>
    </row>
    <row r="14589" spans="2:2" ht="12.75" customHeight="1" x14ac:dyDescent="0.2">
      <c r="B14589" s="43"/>
    </row>
    <row r="14590" spans="2:2" ht="12.75" customHeight="1" x14ac:dyDescent="0.2">
      <c r="B14590" s="43"/>
    </row>
    <row r="14591" spans="2:2" ht="12.75" customHeight="1" x14ac:dyDescent="0.2">
      <c r="B14591" s="43"/>
    </row>
    <row r="14592" spans="2:2" ht="12.75" customHeight="1" x14ac:dyDescent="0.2">
      <c r="B14592" s="43"/>
    </row>
    <row r="14593" spans="2:2" ht="12.75" customHeight="1" x14ac:dyDescent="0.2">
      <c r="B14593" s="43"/>
    </row>
    <row r="14594" spans="2:2" ht="12.75" customHeight="1" x14ac:dyDescent="0.2">
      <c r="B14594" s="43"/>
    </row>
    <row r="14595" spans="2:2" ht="12.75" customHeight="1" x14ac:dyDescent="0.2">
      <c r="B14595" s="43"/>
    </row>
    <row r="14596" spans="2:2" ht="12.75" customHeight="1" x14ac:dyDescent="0.2">
      <c r="B14596" s="43"/>
    </row>
    <row r="14597" spans="2:2" ht="12.75" customHeight="1" x14ac:dyDescent="0.2">
      <c r="B14597" s="43"/>
    </row>
    <row r="14598" spans="2:2" ht="12.75" customHeight="1" x14ac:dyDescent="0.2">
      <c r="B14598" s="43"/>
    </row>
    <row r="14599" spans="2:2" ht="12.75" customHeight="1" x14ac:dyDescent="0.2">
      <c r="B14599" s="43"/>
    </row>
    <row r="14600" spans="2:2" ht="12.75" customHeight="1" x14ac:dyDescent="0.2">
      <c r="B14600" s="43"/>
    </row>
    <row r="14601" spans="2:2" ht="12.75" customHeight="1" x14ac:dyDescent="0.2">
      <c r="B14601" s="43"/>
    </row>
    <row r="14602" spans="2:2" ht="12.75" customHeight="1" x14ac:dyDescent="0.2">
      <c r="B14602" s="43"/>
    </row>
    <row r="14603" spans="2:2" ht="12.75" customHeight="1" x14ac:dyDescent="0.2">
      <c r="B14603" s="43"/>
    </row>
    <row r="14604" spans="2:2" ht="12.75" customHeight="1" x14ac:dyDescent="0.2">
      <c r="B14604" s="43"/>
    </row>
    <row r="14605" spans="2:2" ht="12.75" customHeight="1" x14ac:dyDescent="0.2">
      <c r="B14605" s="43"/>
    </row>
    <row r="14606" spans="2:2" ht="12.75" customHeight="1" x14ac:dyDescent="0.2">
      <c r="B14606" s="43"/>
    </row>
    <row r="14607" spans="2:2" ht="12.75" customHeight="1" x14ac:dyDescent="0.2">
      <c r="B14607" s="43"/>
    </row>
    <row r="14608" spans="2:2" ht="12.75" customHeight="1" x14ac:dyDescent="0.2">
      <c r="B14608" s="43"/>
    </row>
    <row r="14609" spans="2:2" ht="12.75" customHeight="1" x14ac:dyDescent="0.2">
      <c r="B14609" s="43"/>
    </row>
    <row r="14610" spans="2:2" ht="12.75" customHeight="1" x14ac:dyDescent="0.2">
      <c r="B14610" s="43"/>
    </row>
    <row r="14611" spans="2:2" ht="12.75" customHeight="1" x14ac:dyDescent="0.2">
      <c r="B14611" s="43"/>
    </row>
    <row r="14612" spans="2:2" ht="12.75" customHeight="1" x14ac:dyDescent="0.2">
      <c r="B14612" s="43"/>
    </row>
    <row r="14613" spans="2:2" ht="12.75" customHeight="1" x14ac:dyDescent="0.2">
      <c r="B14613" s="43"/>
    </row>
    <row r="14614" spans="2:2" ht="12.75" customHeight="1" x14ac:dyDescent="0.2">
      <c r="B14614" s="43"/>
    </row>
    <row r="14615" spans="2:2" ht="12.75" customHeight="1" x14ac:dyDescent="0.2">
      <c r="B14615" s="43"/>
    </row>
    <row r="14616" spans="2:2" ht="12.75" customHeight="1" x14ac:dyDescent="0.2">
      <c r="B14616" s="43"/>
    </row>
    <row r="14617" spans="2:2" ht="12.75" customHeight="1" x14ac:dyDescent="0.2">
      <c r="B14617" s="43"/>
    </row>
    <row r="14618" spans="2:2" ht="12.75" customHeight="1" x14ac:dyDescent="0.2">
      <c r="B14618" s="43"/>
    </row>
    <row r="14619" spans="2:2" ht="12.75" customHeight="1" x14ac:dyDescent="0.2">
      <c r="B14619" s="43"/>
    </row>
    <row r="14620" spans="2:2" ht="12.75" customHeight="1" x14ac:dyDescent="0.2">
      <c r="B14620" s="43"/>
    </row>
    <row r="14621" spans="2:2" ht="12.75" customHeight="1" x14ac:dyDescent="0.2">
      <c r="B14621" s="43"/>
    </row>
    <row r="14622" spans="2:2" ht="12.75" customHeight="1" x14ac:dyDescent="0.2">
      <c r="B14622" s="43"/>
    </row>
    <row r="14623" spans="2:2" ht="12.75" customHeight="1" x14ac:dyDescent="0.2">
      <c r="B14623" s="43"/>
    </row>
    <row r="14624" spans="2:2" ht="12.75" customHeight="1" x14ac:dyDescent="0.2">
      <c r="B14624" s="43"/>
    </row>
    <row r="14625" spans="2:2" ht="12.75" customHeight="1" x14ac:dyDescent="0.2">
      <c r="B14625" s="43"/>
    </row>
    <row r="14626" spans="2:2" ht="12.75" customHeight="1" x14ac:dyDescent="0.2">
      <c r="B14626" s="43"/>
    </row>
    <row r="14627" spans="2:2" ht="12.75" customHeight="1" x14ac:dyDescent="0.2">
      <c r="B14627" s="43"/>
    </row>
    <row r="14628" spans="2:2" ht="12.75" customHeight="1" x14ac:dyDescent="0.2">
      <c r="B14628" s="43"/>
    </row>
    <row r="14629" spans="2:2" ht="12.75" customHeight="1" x14ac:dyDescent="0.2">
      <c r="B14629" s="43"/>
    </row>
    <row r="14630" spans="2:2" ht="12.75" customHeight="1" x14ac:dyDescent="0.2">
      <c r="B14630" s="43"/>
    </row>
    <row r="14631" spans="2:2" ht="12.75" customHeight="1" x14ac:dyDescent="0.2">
      <c r="B14631" s="43"/>
    </row>
    <row r="14632" spans="2:2" ht="12.75" customHeight="1" x14ac:dyDescent="0.2">
      <c r="B14632" s="43"/>
    </row>
    <row r="14633" spans="2:2" ht="12.75" customHeight="1" x14ac:dyDescent="0.2">
      <c r="B14633" s="43"/>
    </row>
    <row r="14634" spans="2:2" ht="12.75" customHeight="1" x14ac:dyDescent="0.2">
      <c r="B14634" s="43"/>
    </row>
    <row r="14635" spans="2:2" ht="12.75" customHeight="1" x14ac:dyDescent="0.2">
      <c r="B14635" s="43"/>
    </row>
    <row r="14636" spans="2:2" ht="12.75" customHeight="1" x14ac:dyDescent="0.2">
      <c r="B14636" s="43"/>
    </row>
    <row r="14637" spans="2:2" ht="12.75" customHeight="1" x14ac:dyDescent="0.2">
      <c r="B14637" s="43"/>
    </row>
    <row r="14638" spans="2:2" ht="12.75" customHeight="1" x14ac:dyDescent="0.2">
      <c r="B14638" s="43"/>
    </row>
    <row r="14639" spans="2:2" ht="12.75" customHeight="1" x14ac:dyDescent="0.2">
      <c r="B14639" s="43"/>
    </row>
    <row r="14640" spans="2:2" ht="12.75" customHeight="1" x14ac:dyDescent="0.2">
      <c r="B14640" s="43"/>
    </row>
    <row r="14641" spans="2:2" ht="12.75" customHeight="1" x14ac:dyDescent="0.2">
      <c r="B14641" s="43"/>
    </row>
    <row r="14642" spans="2:2" ht="12.75" customHeight="1" x14ac:dyDescent="0.2">
      <c r="B14642" s="43"/>
    </row>
    <row r="14643" spans="2:2" ht="12.75" customHeight="1" x14ac:dyDescent="0.2">
      <c r="B14643" s="43"/>
    </row>
    <row r="14644" spans="2:2" ht="12.75" customHeight="1" x14ac:dyDescent="0.2">
      <c r="B14644" s="43"/>
    </row>
    <row r="14645" spans="2:2" ht="12.75" customHeight="1" x14ac:dyDescent="0.2">
      <c r="B14645" s="43"/>
    </row>
    <row r="14646" spans="2:2" ht="12.75" customHeight="1" x14ac:dyDescent="0.2">
      <c r="B14646" s="43"/>
    </row>
    <row r="14647" spans="2:2" ht="12.75" customHeight="1" x14ac:dyDescent="0.2">
      <c r="B14647" s="43"/>
    </row>
    <row r="14648" spans="2:2" ht="12.75" customHeight="1" x14ac:dyDescent="0.2">
      <c r="B14648" s="43"/>
    </row>
    <row r="14649" spans="2:2" ht="12.75" customHeight="1" x14ac:dyDescent="0.2">
      <c r="B14649" s="43"/>
    </row>
    <row r="14650" spans="2:2" ht="12.75" customHeight="1" x14ac:dyDescent="0.2">
      <c r="B14650" s="43"/>
    </row>
    <row r="14651" spans="2:2" ht="12.75" customHeight="1" x14ac:dyDescent="0.2">
      <c r="B14651" s="43"/>
    </row>
    <row r="14652" spans="2:2" ht="12.75" customHeight="1" x14ac:dyDescent="0.2">
      <c r="B14652" s="43"/>
    </row>
    <row r="14653" spans="2:2" ht="12.75" customHeight="1" x14ac:dyDescent="0.2">
      <c r="B14653" s="43"/>
    </row>
    <row r="14654" spans="2:2" ht="12.75" customHeight="1" x14ac:dyDescent="0.2">
      <c r="B14654" s="43"/>
    </row>
    <row r="14655" spans="2:2" ht="12.75" customHeight="1" x14ac:dyDescent="0.2">
      <c r="B14655" s="43"/>
    </row>
    <row r="14656" spans="2:2" ht="12.75" customHeight="1" x14ac:dyDescent="0.2">
      <c r="B14656" s="43"/>
    </row>
    <row r="14657" spans="2:2" ht="12.75" customHeight="1" x14ac:dyDescent="0.2">
      <c r="B14657" s="43"/>
    </row>
    <row r="14658" spans="2:2" ht="12.75" customHeight="1" x14ac:dyDescent="0.2">
      <c r="B14658" s="43"/>
    </row>
    <row r="14659" spans="2:2" ht="12.75" customHeight="1" x14ac:dyDescent="0.2">
      <c r="B14659" s="43"/>
    </row>
    <row r="14660" spans="2:2" ht="12.75" customHeight="1" x14ac:dyDescent="0.2">
      <c r="B14660" s="43"/>
    </row>
    <row r="14661" spans="2:2" ht="12.75" customHeight="1" x14ac:dyDescent="0.2">
      <c r="B14661" s="43"/>
    </row>
    <row r="14662" spans="2:2" ht="12.75" customHeight="1" x14ac:dyDescent="0.2">
      <c r="B14662" s="43"/>
    </row>
    <row r="14663" spans="2:2" ht="12.75" customHeight="1" x14ac:dyDescent="0.2">
      <c r="B14663" s="43"/>
    </row>
    <row r="14664" spans="2:2" ht="12.75" customHeight="1" x14ac:dyDescent="0.2">
      <c r="B14664" s="43"/>
    </row>
    <row r="14665" spans="2:2" ht="12.75" customHeight="1" x14ac:dyDescent="0.2">
      <c r="B14665" s="43"/>
    </row>
    <row r="14666" spans="2:2" ht="12.75" customHeight="1" x14ac:dyDescent="0.2">
      <c r="B14666" s="43"/>
    </row>
    <row r="14667" spans="2:2" ht="12.75" customHeight="1" x14ac:dyDescent="0.2">
      <c r="B14667" s="43"/>
    </row>
    <row r="14668" spans="2:2" ht="12.75" customHeight="1" x14ac:dyDescent="0.2">
      <c r="B14668" s="43"/>
    </row>
    <row r="14669" spans="2:2" ht="12.75" customHeight="1" x14ac:dyDescent="0.2">
      <c r="B14669" s="43"/>
    </row>
    <row r="14670" spans="2:2" ht="12.75" customHeight="1" x14ac:dyDescent="0.2">
      <c r="B14670" s="43"/>
    </row>
    <row r="14671" spans="2:2" ht="12.75" customHeight="1" x14ac:dyDescent="0.2">
      <c r="B14671" s="43"/>
    </row>
    <row r="14672" spans="2:2" ht="12.75" customHeight="1" x14ac:dyDescent="0.2">
      <c r="B14672" s="43"/>
    </row>
    <row r="14673" spans="2:2" ht="12.75" customHeight="1" x14ac:dyDescent="0.2">
      <c r="B14673" s="43"/>
    </row>
    <row r="14674" spans="2:2" ht="12.75" customHeight="1" x14ac:dyDescent="0.2">
      <c r="B14674" s="43"/>
    </row>
    <row r="14675" spans="2:2" ht="12.75" customHeight="1" x14ac:dyDescent="0.2">
      <c r="B14675" s="43"/>
    </row>
    <row r="14676" spans="2:2" ht="12.75" customHeight="1" x14ac:dyDescent="0.2">
      <c r="B14676" s="43"/>
    </row>
    <row r="14677" spans="2:2" ht="12.75" customHeight="1" x14ac:dyDescent="0.2">
      <c r="B14677" s="43"/>
    </row>
    <row r="14678" spans="2:2" ht="12.75" customHeight="1" x14ac:dyDescent="0.2">
      <c r="B14678" s="43"/>
    </row>
    <row r="14679" spans="2:2" ht="12.75" customHeight="1" x14ac:dyDescent="0.2">
      <c r="B14679" s="43"/>
    </row>
    <row r="14680" spans="2:2" ht="12.75" customHeight="1" x14ac:dyDescent="0.2">
      <c r="B14680" s="43"/>
    </row>
    <row r="14681" spans="2:2" ht="12.75" customHeight="1" x14ac:dyDescent="0.2">
      <c r="B14681" s="43"/>
    </row>
    <row r="14682" spans="2:2" ht="12.75" customHeight="1" x14ac:dyDescent="0.2">
      <c r="B14682" s="43"/>
    </row>
    <row r="14683" spans="2:2" ht="12.75" customHeight="1" x14ac:dyDescent="0.2">
      <c r="B14683" s="43"/>
    </row>
    <row r="14684" spans="2:2" ht="12.75" customHeight="1" x14ac:dyDescent="0.2">
      <c r="B14684" s="43"/>
    </row>
    <row r="14685" spans="2:2" ht="12.75" customHeight="1" x14ac:dyDescent="0.2">
      <c r="B14685" s="43"/>
    </row>
    <row r="14686" spans="2:2" ht="12.75" customHeight="1" x14ac:dyDescent="0.2">
      <c r="B14686" s="43"/>
    </row>
    <row r="14687" spans="2:2" ht="12.75" customHeight="1" x14ac:dyDescent="0.2">
      <c r="B14687" s="43"/>
    </row>
    <row r="14688" spans="2:2" ht="12.75" customHeight="1" x14ac:dyDescent="0.2">
      <c r="B14688" s="43"/>
    </row>
    <row r="14689" spans="2:2" ht="12.75" customHeight="1" x14ac:dyDescent="0.2">
      <c r="B14689" s="43"/>
    </row>
    <row r="14690" spans="2:2" ht="12.75" customHeight="1" x14ac:dyDescent="0.2">
      <c r="B14690" s="43"/>
    </row>
    <row r="14691" spans="2:2" ht="12.75" customHeight="1" x14ac:dyDescent="0.2">
      <c r="B14691" s="43"/>
    </row>
    <row r="14692" spans="2:2" ht="12.75" customHeight="1" x14ac:dyDescent="0.2">
      <c r="B14692" s="43"/>
    </row>
    <row r="14693" spans="2:2" ht="12.75" customHeight="1" x14ac:dyDescent="0.2">
      <c r="B14693" s="43"/>
    </row>
    <row r="14694" spans="2:2" ht="12.75" customHeight="1" x14ac:dyDescent="0.2">
      <c r="B14694" s="43"/>
    </row>
    <row r="14695" spans="2:2" ht="12.75" customHeight="1" x14ac:dyDescent="0.2">
      <c r="B14695" s="43"/>
    </row>
    <row r="14696" spans="2:2" ht="12.75" customHeight="1" x14ac:dyDescent="0.2">
      <c r="B14696" s="43"/>
    </row>
    <row r="14697" spans="2:2" ht="12.75" customHeight="1" x14ac:dyDescent="0.2">
      <c r="B14697" s="43"/>
    </row>
    <row r="14698" spans="2:2" ht="12.75" customHeight="1" x14ac:dyDescent="0.2">
      <c r="B14698" s="43"/>
    </row>
    <row r="14699" spans="2:2" ht="12.75" customHeight="1" x14ac:dyDescent="0.2">
      <c r="B14699" s="43"/>
    </row>
    <row r="14700" spans="2:2" ht="12.75" customHeight="1" x14ac:dyDescent="0.2">
      <c r="B14700" s="43"/>
    </row>
    <row r="14701" spans="2:2" ht="12.75" customHeight="1" x14ac:dyDescent="0.2">
      <c r="B14701" s="43"/>
    </row>
    <row r="14702" spans="2:2" ht="12.75" customHeight="1" x14ac:dyDescent="0.2">
      <c r="B14702" s="43"/>
    </row>
    <row r="14703" spans="2:2" ht="12.75" customHeight="1" x14ac:dyDescent="0.2">
      <c r="B14703" s="43"/>
    </row>
    <row r="14704" spans="2:2" ht="12.75" customHeight="1" x14ac:dyDescent="0.2">
      <c r="B14704" s="43"/>
    </row>
    <row r="14705" spans="2:2" ht="12.75" customHeight="1" x14ac:dyDescent="0.2">
      <c r="B14705" s="43"/>
    </row>
    <row r="14706" spans="2:2" ht="12.75" customHeight="1" x14ac:dyDescent="0.2">
      <c r="B14706" s="43"/>
    </row>
    <row r="14707" spans="2:2" ht="12.75" customHeight="1" x14ac:dyDescent="0.2">
      <c r="B14707" s="43"/>
    </row>
    <row r="14708" spans="2:2" ht="12.75" customHeight="1" x14ac:dyDescent="0.2">
      <c r="B14708" s="43"/>
    </row>
    <row r="14709" spans="2:2" ht="12.75" customHeight="1" x14ac:dyDescent="0.2">
      <c r="B14709" s="43"/>
    </row>
    <row r="14710" spans="2:2" ht="12.75" customHeight="1" x14ac:dyDescent="0.2">
      <c r="B14710" s="43"/>
    </row>
    <row r="14711" spans="2:2" ht="12.75" customHeight="1" x14ac:dyDescent="0.2">
      <c r="B14711" s="43"/>
    </row>
    <row r="14712" spans="2:2" ht="12.75" customHeight="1" x14ac:dyDescent="0.2">
      <c r="B14712" s="43"/>
    </row>
    <row r="14713" spans="2:2" ht="12.75" customHeight="1" x14ac:dyDescent="0.2">
      <c r="B14713" s="43"/>
    </row>
    <row r="14714" spans="2:2" ht="12.75" customHeight="1" x14ac:dyDescent="0.2">
      <c r="B14714" s="43"/>
    </row>
    <row r="14715" spans="2:2" ht="12.75" customHeight="1" x14ac:dyDescent="0.2">
      <c r="B14715" s="43"/>
    </row>
    <row r="14716" spans="2:2" ht="12.75" customHeight="1" x14ac:dyDescent="0.2">
      <c r="B14716" s="43"/>
    </row>
    <row r="14717" spans="2:2" ht="12.75" customHeight="1" x14ac:dyDescent="0.2">
      <c r="B14717" s="43"/>
    </row>
    <row r="14718" spans="2:2" ht="12.75" customHeight="1" x14ac:dyDescent="0.2">
      <c r="B14718" s="43"/>
    </row>
    <row r="14719" spans="2:2" ht="12.75" customHeight="1" x14ac:dyDescent="0.2">
      <c r="B14719" s="43"/>
    </row>
    <row r="14720" spans="2:2" ht="12.75" customHeight="1" x14ac:dyDescent="0.2">
      <c r="B14720" s="43"/>
    </row>
    <row r="14721" spans="2:2" ht="12.75" customHeight="1" x14ac:dyDescent="0.2">
      <c r="B14721" s="43"/>
    </row>
    <row r="14722" spans="2:2" ht="12.75" customHeight="1" x14ac:dyDescent="0.2">
      <c r="B14722" s="43"/>
    </row>
    <row r="14723" spans="2:2" ht="12.75" customHeight="1" x14ac:dyDescent="0.2">
      <c r="B14723" s="43"/>
    </row>
    <row r="14724" spans="2:2" ht="12.75" customHeight="1" x14ac:dyDescent="0.2">
      <c r="B14724" s="43"/>
    </row>
    <row r="14725" spans="2:2" ht="12.75" customHeight="1" x14ac:dyDescent="0.2">
      <c r="B14725" s="43"/>
    </row>
    <row r="14726" spans="2:2" ht="12.75" customHeight="1" x14ac:dyDescent="0.2">
      <c r="B14726" s="43"/>
    </row>
    <row r="14727" spans="2:2" ht="12.75" customHeight="1" x14ac:dyDescent="0.2">
      <c r="B14727" s="43"/>
    </row>
    <row r="14728" spans="2:2" ht="12.75" customHeight="1" x14ac:dyDescent="0.2">
      <c r="B14728" s="43"/>
    </row>
    <row r="14729" spans="2:2" ht="12.75" customHeight="1" x14ac:dyDescent="0.2">
      <c r="B14729" s="43"/>
    </row>
    <row r="14730" spans="2:2" ht="12.75" customHeight="1" x14ac:dyDescent="0.2">
      <c r="B14730" s="43"/>
    </row>
    <row r="14731" spans="2:2" ht="12.75" customHeight="1" x14ac:dyDescent="0.2">
      <c r="B14731" s="43"/>
    </row>
    <row r="14732" spans="2:2" ht="12.75" customHeight="1" x14ac:dyDescent="0.2">
      <c r="B14732" s="43"/>
    </row>
    <row r="14733" spans="2:2" ht="12.75" customHeight="1" x14ac:dyDescent="0.2">
      <c r="B14733" s="43"/>
    </row>
    <row r="14734" spans="2:2" ht="12.75" customHeight="1" x14ac:dyDescent="0.2">
      <c r="B14734" s="43"/>
    </row>
    <row r="14735" spans="2:2" ht="12.75" customHeight="1" x14ac:dyDescent="0.2">
      <c r="B14735" s="43"/>
    </row>
    <row r="14736" spans="2:2" ht="12.75" customHeight="1" x14ac:dyDescent="0.2">
      <c r="B14736" s="43"/>
    </row>
    <row r="14737" spans="2:2" ht="12.75" customHeight="1" x14ac:dyDescent="0.2">
      <c r="B14737" s="43"/>
    </row>
    <row r="14738" spans="2:2" ht="12.75" customHeight="1" x14ac:dyDescent="0.2">
      <c r="B14738" s="43"/>
    </row>
    <row r="14739" spans="2:2" ht="12.75" customHeight="1" x14ac:dyDescent="0.2">
      <c r="B14739" s="43"/>
    </row>
    <row r="14740" spans="2:2" ht="12.75" customHeight="1" x14ac:dyDescent="0.2">
      <c r="B14740" s="43"/>
    </row>
    <row r="14741" spans="2:2" ht="12.75" customHeight="1" x14ac:dyDescent="0.2">
      <c r="B14741" s="43"/>
    </row>
    <row r="14742" spans="2:2" ht="12.75" customHeight="1" x14ac:dyDescent="0.2">
      <c r="B14742" s="43"/>
    </row>
    <row r="14743" spans="2:2" ht="12.75" customHeight="1" x14ac:dyDescent="0.2">
      <c r="B14743" s="43"/>
    </row>
    <row r="14744" spans="2:2" ht="12.75" customHeight="1" x14ac:dyDescent="0.2">
      <c r="B14744" s="43"/>
    </row>
    <row r="14745" spans="2:2" ht="12.75" customHeight="1" x14ac:dyDescent="0.2">
      <c r="B14745" s="43"/>
    </row>
    <row r="14746" spans="2:2" ht="12.75" customHeight="1" x14ac:dyDescent="0.2">
      <c r="B14746" s="43"/>
    </row>
    <row r="14747" spans="2:2" ht="12.75" customHeight="1" x14ac:dyDescent="0.2">
      <c r="B14747" s="43"/>
    </row>
    <row r="14748" spans="2:2" ht="12.75" customHeight="1" x14ac:dyDescent="0.2">
      <c r="B14748" s="43"/>
    </row>
    <row r="14749" spans="2:2" ht="12.75" customHeight="1" x14ac:dyDescent="0.2">
      <c r="B14749" s="43"/>
    </row>
    <row r="14750" spans="2:2" ht="12.75" customHeight="1" x14ac:dyDescent="0.2">
      <c r="B14750" s="43"/>
    </row>
    <row r="14751" spans="2:2" ht="12.75" customHeight="1" x14ac:dyDescent="0.2">
      <c r="B14751" s="43"/>
    </row>
    <row r="14752" spans="2:2" ht="12.75" customHeight="1" x14ac:dyDescent="0.2">
      <c r="B14752" s="43"/>
    </row>
    <row r="14753" spans="2:2" ht="12.75" customHeight="1" x14ac:dyDescent="0.2">
      <c r="B14753" s="43"/>
    </row>
    <row r="14754" spans="2:2" ht="12.75" customHeight="1" x14ac:dyDescent="0.2">
      <c r="B14754" s="43"/>
    </row>
    <row r="14755" spans="2:2" ht="12.75" customHeight="1" x14ac:dyDescent="0.2">
      <c r="B14755" s="43"/>
    </row>
    <row r="14756" spans="2:2" ht="12.75" customHeight="1" x14ac:dyDescent="0.2">
      <c r="B14756" s="43"/>
    </row>
    <row r="14757" spans="2:2" ht="12.75" customHeight="1" x14ac:dyDescent="0.2">
      <c r="B14757" s="43"/>
    </row>
    <row r="14758" spans="2:2" ht="12.75" customHeight="1" x14ac:dyDescent="0.2">
      <c r="B14758" s="43"/>
    </row>
    <row r="14759" spans="2:2" ht="12.75" customHeight="1" x14ac:dyDescent="0.2">
      <c r="B14759" s="43"/>
    </row>
    <row r="14760" spans="2:2" ht="12.75" customHeight="1" x14ac:dyDescent="0.2">
      <c r="B14760" s="43"/>
    </row>
    <row r="14761" spans="2:2" ht="12.75" customHeight="1" x14ac:dyDescent="0.2">
      <c r="B14761" s="43"/>
    </row>
    <row r="14762" spans="2:2" ht="12.75" customHeight="1" x14ac:dyDescent="0.2">
      <c r="B14762" s="43"/>
    </row>
    <row r="14763" spans="2:2" ht="12.75" customHeight="1" x14ac:dyDescent="0.2">
      <c r="B14763" s="43"/>
    </row>
    <row r="14764" spans="2:2" ht="12.75" customHeight="1" x14ac:dyDescent="0.2">
      <c r="B14764" s="43"/>
    </row>
    <row r="14765" spans="2:2" ht="12.75" customHeight="1" x14ac:dyDescent="0.2">
      <c r="B14765" s="43"/>
    </row>
    <row r="14766" spans="2:2" ht="12.75" customHeight="1" x14ac:dyDescent="0.2">
      <c r="B14766" s="43"/>
    </row>
    <row r="14767" spans="2:2" ht="12.75" customHeight="1" x14ac:dyDescent="0.2">
      <c r="B14767" s="43"/>
    </row>
    <row r="14768" spans="2:2" ht="12.75" customHeight="1" x14ac:dyDescent="0.2">
      <c r="B14768" s="43"/>
    </row>
    <row r="14769" spans="2:2" ht="12.75" customHeight="1" x14ac:dyDescent="0.2">
      <c r="B14769" s="43"/>
    </row>
    <row r="14770" spans="2:2" ht="12.75" customHeight="1" x14ac:dyDescent="0.2">
      <c r="B14770" s="43"/>
    </row>
    <row r="14771" spans="2:2" ht="12.75" customHeight="1" x14ac:dyDescent="0.2">
      <c r="B14771" s="43"/>
    </row>
    <row r="14772" spans="2:2" ht="12.75" customHeight="1" x14ac:dyDescent="0.2">
      <c r="B14772" s="43"/>
    </row>
    <row r="14773" spans="2:2" ht="12.75" customHeight="1" x14ac:dyDescent="0.2">
      <c r="B14773" s="43"/>
    </row>
    <row r="14774" spans="2:2" ht="12.75" customHeight="1" x14ac:dyDescent="0.2">
      <c r="B14774" s="43"/>
    </row>
    <row r="14775" spans="2:2" ht="12.75" customHeight="1" x14ac:dyDescent="0.2">
      <c r="B14775" s="43"/>
    </row>
    <row r="14776" spans="2:2" ht="12.75" customHeight="1" x14ac:dyDescent="0.2">
      <c r="B14776" s="43"/>
    </row>
    <row r="14777" spans="2:2" ht="12.75" customHeight="1" x14ac:dyDescent="0.2">
      <c r="B14777" s="43"/>
    </row>
    <row r="14778" spans="2:2" ht="12.75" customHeight="1" x14ac:dyDescent="0.2">
      <c r="B14778" s="43"/>
    </row>
    <row r="14779" spans="2:2" ht="12.75" customHeight="1" x14ac:dyDescent="0.2">
      <c r="B14779" s="43"/>
    </row>
    <row r="14780" spans="2:2" ht="12.75" customHeight="1" x14ac:dyDescent="0.2">
      <c r="B14780" s="43"/>
    </row>
    <row r="14781" spans="2:2" ht="12.75" customHeight="1" x14ac:dyDescent="0.2">
      <c r="B14781" s="43"/>
    </row>
    <row r="14782" spans="2:2" ht="12.75" customHeight="1" x14ac:dyDescent="0.2">
      <c r="B14782" s="43"/>
    </row>
    <row r="14783" spans="2:2" ht="12.75" customHeight="1" x14ac:dyDescent="0.2">
      <c r="B14783" s="43"/>
    </row>
    <row r="14784" spans="2:2" ht="12.75" customHeight="1" x14ac:dyDescent="0.2">
      <c r="B14784" s="43"/>
    </row>
    <row r="14785" spans="2:2" ht="12.75" customHeight="1" x14ac:dyDescent="0.2">
      <c r="B14785" s="43"/>
    </row>
    <row r="14786" spans="2:2" ht="12.75" customHeight="1" x14ac:dyDescent="0.2">
      <c r="B14786" s="43"/>
    </row>
    <row r="14787" spans="2:2" ht="12.75" customHeight="1" x14ac:dyDescent="0.2">
      <c r="B14787" s="43"/>
    </row>
    <row r="14788" spans="2:2" ht="12.75" customHeight="1" x14ac:dyDescent="0.2">
      <c r="B14788" s="43"/>
    </row>
    <row r="14789" spans="2:2" ht="12.75" customHeight="1" x14ac:dyDescent="0.2">
      <c r="B14789" s="43"/>
    </row>
    <row r="14790" spans="2:2" ht="12.75" customHeight="1" x14ac:dyDescent="0.2">
      <c r="B14790" s="43"/>
    </row>
    <row r="14791" spans="2:2" ht="12.75" customHeight="1" x14ac:dyDescent="0.2">
      <c r="B14791" s="43"/>
    </row>
    <row r="14792" spans="2:2" ht="12.75" customHeight="1" x14ac:dyDescent="0.2">
      <c r="B14792" s="43"/>
    </row>
    <row r="14793" spans="2:2" ht="12.75" customHeight="1" x14ac:dyDescent="0.2">
      <c r="B14793" s="43"/>
    </row>
    <row r="14794" spans="2:2" ht="12.75" customHeight="1" x14ac:dyDescent="0.2">
      <c r="B14794" s="43"/>
    </row>
    <row r="14795" spans="2:2" ht="12.75" customHeight="1" x14ac:dyDescent="0.2">
      <c r="B14795" s="43"/>
    </row>
    <row r="14796" spans="2:2" ht="12.75" customHeight="1" x14ac:dyDescent="0.2">
      <c r="B14796" s="43"/>
    </row>
    <row r="14797" spans="2:2" ht="12.75" customHeight="1" x14ac:dyDescent="0.2">
      <c r="B14797" s="43"/>
    </row>
    <row r="14798" spans="2:2" ht="12.75" customHeight="1" x14ac:dyDescent="0.2">
      <c r="B14798" s="43"/>
    </row>
    <row r="14799" spans="2:2" ht="12.75" customHeight="1" x14ac:dyDescent="0.2">
      <c r="B14799" s="43"/>
    </row>
    <row r="14800" spans="2:2" ht="12.75" customHeight="1" x14ac:dyDescent="0.2">
      <c r="B14800" s="43"/>
    </row>
    <row r="14801" spans="2:2" ht="12.75" customHeight="1" x14ac:dyDescent="0.2">
      <c r="B14801" s="43"/>
    </row>
    <row r="14802" spans="2:2" ht="12.75" customHeight="1" x14ac:dyDescent="0.2">
      <c r="B14802" s="43"/>
    </row>
    <row r="14803" spans="2:2" ht="12.75" customHeight="1" x14ac:dyDescent="0.2">
      <c r="B14803" s="43"/>
    </row>
    <row r="14804" spans="2:2" ht="12.75" customHeight="1" x14ac:dyDescent="0.2">
      <c r="B14804" s="43"/>
    </row>
    <row r="14805" spans="2:2" ht="12.75" customHeight="1" x14ac:dyDescent="0.2">
      <c r="B14805" s="43"/>
    </row>
    <row r="14806" spans="2:2" ht="12.75" customHeight="1" x14ac:dyDescent="0.2">
      <c r="B14806" s="43"/>
    </row>
    <row r="14807" spans="2:2" ht="12.75" customHeight="1" x14ac:dyDescent="0.2">
      <c r="B14807" s="43"/>
    </row>
    <row r="14808" spans="2:2" ht="12.75" customHeight="1" x14ac:dyDescent="0.2">
      <c r="B14808" s="43"/>
    </row>
    <row r="14809" spans="2:2" ht="12.75" customHeight="1" x14ac:dyDescent="0.2">
      <c r="B14809" s="43"/>
    </row>
    <row r="14810" spans="2:2" ht="12.75" customHeight="1" x14ac:dyDescent="0.2">
      <c r="B14810" s="43"/>
    </row>
    <row r="14811" spans="2:2" ht="12.75" customHeight="1" x14ac:dyDescent="0.2">
      <c r="B14811" s="43"/>
    </row>
    <row r="14812" spans="2:2" ht="12.75" customHeight="1" x14ac:dyDescent="0.2">
      <c r="B14812" s="43"/>
    </row>
    <row r="14813" spans="2:2" ht="12.75" customHeight="1" x14ac:dyDescent="0.2">
      <c r="B14813" s="43"/>
    </row>
    <row r="14814" spans="2:2" ht="12.75" customHeight="1" x14ac:dyDescent="0.2">
      <c r="B14814" s="43"/>
    </row>
    <row r="14815" spans="2:2" ht="12.75" customHeight="1" x14ac:dyDescent="0.2">
      <c r="B14815" s="43"/>
    </row>
    <row r="14816" spans="2:2" ht="12.75" customHeight="1" x14ac:dyDescent="0.2">
      <c r="B14816" s="43"/>
    </row>
    <row r="14817" spans="2:2" ht="12.75" customHeight="1" x14ac:dyDescent="0.2">
      <c r="B14817" s="43"/>
    </row>
    <row r="14818" spans="2:2" ht="12.75" customHeight="1" x14ac:dyDescent="0.2">
      <c r="B14818" s="43"/>
    </row>
    <row r="14819" spans="2:2" ht="12.75" customHeight="1" x14ac:dyDescent="0.2">
      <c r="B14819" s="43"/>
    </row>
    <row r="14820" spans="2:2" ht="12.75" customHeight="1" x14ac:dyDescent="0.2">
      <c r="B14820" s="43"/>
    </row>
    <row r="14821" spans="2:2" ht="12.75" customHeight="1" x14ac:dyDescent="0.2">
      <c r="B14821" s="43"/>
    </row>
    <row r="14822" spans="2:2" ht="12.75" customHeight="1" x14ac:dyDescent="0.2">
      <c r="B14822" s="43"/>
    </row>
    <row r="14823" spans="2:2" ht="12.75" customHeight="1" x14ac:dyDescent="0.2">
      <c r="B14823" s="43"/>
    </row>
    <row r="14824" spans="2:2" ht="12.75" customHeight="1" x14ac:dyDescent="0.2">
      <c r="B14824" s="43"/>
    </row>
    <row r="14825" spans="2:2" ht="12.75" customHeight="1" x14ac:dyDescent="0.2">
      <c r="B14825" s="43"/>
    </row>
    <row r="14826" spans="2:2" ht="12.75" customHeight="1" x14ac:dyDescent="0.2">
      <c r="B14826" s="43"/>
    </row>
    <row r="14827" spans="2:2" ht="12.75" customHeight="1" x14ac:dyDescent="0.2">
      <c r="B14827" s="43"/>
    </row>
    <row r="14828" spans="2:2" ht="12.75" customHeight="1" x14ac:dyDescent="0.2">
      <c r="B14828" s="43"/>
    </row>
    <row r="14829" spans="2:2" ht="12.75" customHeight="1" x14ac:dyDescent="0.2">
      <c r="B14829" s="43"/>
    </row>
    <row r="14830" spans="2:2" ht="12.75" customHeight="1" x14ac:dyDescent="0.2">
      <c r="B14830" s="43"/>
    </row>
    <row r="14831" spans="2:2" ht="12.75" customHeight="1" x14ac:dyDescent="0.2">
      <c r="B14831" s="43"/>
    </row>
    <row r="14832" spans="2:2" ht="12.75" customHeight="1" x14ac:dyDescent="0.2">
      <c r="B14832" s="43"/>
    </row>
    <row r="14833" spans="2:2" ht="12.75" customHeight="1" x14ac:dyDescent="0.2">
      <c r="B14833" s="43"/>
    </row>
    <row r="14834" spans="2:2" ht="12.75" customHeight="1" x14ac:dyDescent="0.2">
      <c r="B14834" s="43"/>
    </row>
    <row r="14835" spans="2:2" ht="12.75" customHeight="1" x14ac:dyDescent="0.2">
      <c r="B14835" s="43"/>
    </row>
    <row r="14836" spans="2:2" ht="12.75" customHeight="1" x14ac:dyDescent="0.2">
      <c r="B14836" s="43"/>
    </row>
    <row r="14837" spans="2:2" ht="12.75" customHeight="1" x14ac:dyDescent="0.2">
      <c r="B14837" s="43"/>
    </row>
    <row r="14838" spans="2:2" ht="12.75" customHeight="1" x14ac:dyDescent="0.2">
      <c r="B14838" s="43"/>
    </row>
    <row r="14839" spans="2:2" ht="12.75" customHeight="1" x14ac:dyDescent="0.2">
      <c r="B14839" s="43"/>
    </row>
    <row r="14840" spans="2:2" ht="12.75" customHeight="1" x14ac:dyDescent="0.2">
      <c r="B14840" s="43"/>
    </row>
    <row r="14841" spans="2:2" ht="12.75" customHeight="1" x14ac:dyDescent="0.2">
      <c r="B14841" s="43"/>
    </row>
    <row r="14842" spans="2:2" ht="12.75" customHeight="1" x14ac:dyDescent="0.2">
      <c r="B14842" s="43"/>
    </row>
    <row r="14843" spans="2:2" ht="12.75" customHeight="1" x14ac:dyDescent="0.2">
      <c r="B14843" s="43"/>
    </row>
    <row r="14844" spans="2:2" ht="12.75" customHeight="1" x14ac:dyDescent="0.2">
      <c r="B14844" s="43"/>
    </row>
    <row r="14845" spans="2:2" ht="12.75" customHeight="1" x14ac:dyDescent="0.2">
      <c r="B14845" s="43"/>
    </row>
    <row r="14846" spans="2:2" ht="12.75" customHeight="1" x14ac:dyDescent="0.2">
      <c r="B14846" s="43"/>
    </row>
    <row r="14847" spans="2:2" ht="12.75" customHeight="1" x14ac:dyDescent="0.2">
      <c r="B14847" s="43"/>
    </row>
    <row r="14848" spans="2:2" ht="12.75" customHeight="1" x14ac:dyDescent="0.2">
      <c r="B14848" s="43"/>
    </row>
    <row r="14849" spans="2:2" ht="12.75" customHeight="1" x14ac:dyDescent="0.2">
      <c r="B14849" s="43"/>
    </row>
    <row r="14850" spans="2:2" ht="12.75" customHeight="1" x14ac:dyDescent="0.2">
      <c r="B14850" s="43"/>
    </row>
    <row r="14851" spans="2:2" ht="12.75" customHeight="1" x14ac:dyDescent="0.2">
      <c r="B14851" s="43"/>
    </row>
    <row r="14852" spans="2:2" ht="12.75" customHeight="1" x14ac:dyDescent="0.2">
      <c r="B14852" s="43"/>
    </row>
    <row r="14853" spans="2:2" ht="12.75" customHeight="1" x14ac:dyDescent="0.2">
      <c r="B14853" s="43"/>
    </row>
    <row r="14854" spans="2:2" ht="12.75" customHeight="1" x14ac:dyDescent="0.2">
      <c r="B14854" s="43"/>
    </row>
    <row r="14855" spans="2:2" ht="12.75" customHeight="1" x14ac:dyDescent="0.2">
      <c r="B14855" s="43"/>
    </row>
    <row r="14856" spans="2:2" ht="12.75" customHeight="1" x14ac:dyDescent="0.2">
      <c r="B14856" s="43"/>
    </row>
    <row r="14857" spans="2:2" ht="12.75" customHeight="1" x14ac:dyDescent="0.2">
      <c r="B14857" s="43"/>
    </row>
    <row r="14858" spans="2:2" ht="12.75" customHeight="1" x14ac:dyDescent="0.2">
      <c r="B14858" s="43"/>
    </row>
    <row r="14859" spans="2:2" ht="12.75" customHeight="1" x14ac:dyDescent="0.2">
      <c r="B14859" s="43"/>
    </row>
    <row r="14860" spans="2:2" ht="12.75" customHeight="1" x14ac:dyDescent="0.2">
      <c r="B14860" s="43"/>
    </row>
    <row r="14861" spans="2:2" ht="12.75" customHeight="1" x14ac:dyDescent="0.2">
      <c r="B14861" s="43"/>
    </row>
    <row r="14862" spans="2:2" ht="12.75" customHeight="1" x14ac:dyDescent="0.2">
      <c r="B14862" s="43"/>
    </row>
    <row r="14863" spans="2:2" ht="12.75" customHeight="1" x14ac:dyDescent="0.2">
      <c r="B14863" s="43"/>
    </row>
    <row r="14864" spans="2:2" ht="12.75" customHeight="1" x14ac:dyDescent="0.2">
      <c r="B14864" s="43"/>
    </row>
    <row r="14865" spans="2:2" ht="12.75" customHeight="1" x14ac:dyDescent="0.2">
      <c r="B14865" s="43"/>
    </row>
    <row r="14866" spans="2:2" ht="12.75" customHeight="1" x14ac:dyDescent="0.2">
      <c r="B14866" s="43"/>
    </row>
    <row r="14867" spans="2:2" ht="12.75" customHeight="1" x14ac:dyDescent="0.2">
      <c r="B14867" s="43"/>
    </row>
    <row r="14868" spans="2:2" ht="12.75" customHeight="1" x14ac:dyDescent="0.2">
      <c r="B14868" s="43"/>
    </row>
    <row r="14869" spans="2:2" ht="12.75" customHeight="1" x14ac:dyDescent="0.2">
      <c r="B14869" s="43"/>
    </row>
    <row r="14870" spans="2:2" ht="12.75" customHeight="1" x14ac:dyDescent="0.2">
      <c r="B14870" s="43"/>
    </row>
    <row r="14871" spans="2:2" ht="12.75" customHeight="1" x14ac:dyDescent="0.2">
      <c r="B14871" s="43"/>
    </row>
    <row r="14872" spans="2:2" ht="12.75" customHeight="1" x14ac:dyDescent="0.2">
      <c r="B14872" s="43"/>
    </row>
    <row r="14873" spans="2:2" ht="12.75" customHeight="1" x14ac:dyDescent="0.2">
      <c r="B14873" s="43"/>
    </row>
    <row r="14874" spans="2:2" ht="12.75" customHeight="1" x14ac:dyDescent="0.2">
      <c r="B14874" s="43"/>
    </row>
    <row r="14875" spans="2:2" ht="12.75" customHeight="1" x14ac:dyDescent="0.2">
      <c r="B14875" s="43"/>
    </row>
    <row r="14876" spans="2:2" ht="12.75" customHeight="1" x14ac:dyDescent="0.2">
      <c r="B14876" s="43"/>
    </row>
    <row r="14877" spans="2:2" ht="12.75" customHeight="1" x14ac:dyDescent="0.2">
      <c r="B14877" s="43"/>
    </row>
    <row r="14878" spans="2:2" ht="12.75" customHeight="1" x14ac:dyDescent="0.2">
      <c r="B14878" s="43"/>
    </row>
    <row r="14879" spans="2:2" ht="12.75" customHeight="1" x14ac:dyDescent="0.2">
      <c r="B14879" s="43"/>
    </row>
    <row r="14880" spans="2:2" ht="12.75" customHeight="1" x14ac:dyDescent="0.2">
      <c r="B14880" s="43"/>
    </row>
    <row r="14881" spans="2:2" ht="12.75" customHeight="1" x14ac:dyDescent="0.2">
      <c r="B14881" s="43"/>
    </row>
    <row r="14882" spans="2:2" ht="12.75" customHeight="1" x14ac:dyDescent="0.2">
      <c r="B14882" s="43"/>
    </row>
    <row r="14883" spans="2:2" ht="12.75" customHeight="1" x14ac:dyDescent="0.2">
      <c r="B14883" s="43"/>
    </row>
    <row r="14884" spans="2:2" ht="12.75" customHeight="1" x14ac:dyDescent="0.2">
      <c r="B14884" s="43"/>
    </row>
    <row r="14885" spans="2:2" ht="12.75" customHeight="1" x14ac:dyDescent="0.2">
      <c r="B14885" s="43"/>
    </row>
    <row r="14886" spans="2:2" ht="12.75" customHeight="1" x14ac:dyDescent="0.2">
      <c r="B14886" s="43"/>
    </row>
    <row r="14887" spans="2:2" ht="12.75" customHeight="1" x14ac:dyDescent="0.2">
      <c r="B14887" s="43"/>
    </row>
    <row r="14888" spans="2:2" ht="12.75" customHeight="1" x14ac:dyDescent="0.2">
      <c r="B14888" s="43"/>
    </row>
    <row r="14889" spans="2:2" ht="12.75" customHeight="1" x14ac:dyDescent="0.2">
      <c r="B14889" s="43"/>
    </row>
    <row r="14890" spans="2:2" ht="12.75" customHeight="1" x14ac:dyDescent="0.2">
      <c r="B14890" s="43"/>
    </row>
    <row r="14891" spans="2:2" ht="12.75" customHeight="1" x14ac:dyDescent="0.2">
      <c r="B14891" s="43"/>
    </row>
    <row r="14892" spans="2:2" ht="12.75" customHeight="1" x14ac:dyDescent="0.2">
      <c r="B14892" s="43"/>
    </row>
    <row r="14893" spans="2:2" ht="12.75" customHeight="1" x14ac:dyDescent="0.2">
      <c r="B14893" s="43"/>
    </row>
    <row r="14894" spans="2:2" ht="12.75" customHeight="1" x14ac:dyDescent="0.2">
      <c r="B14894" s="43"/>
    </row>
    <row r="14895" spans="2:2" ht="12.75" customHeight="1" x14ac:dyDescent="0.2">
      <c r="B14895" s="43"/>
    </row>
    <row r="14896" spans="2:2" ht="12.75" customHeight="1" x14ac:dyDescent="0.2">
      <c r="B14896" s="43"/>
    </row>
    <row r="14897" spans="2:2" ht="12.75" customHeight="1" x14ac:dyDescent="0.2">
      <c r="B14897" s="43"/>
    </row>
    <row r="14898" spans="2:2" ht="12.75" customHeight="1" x14ac:dyDescent="0.2">
      <c r="B14898" s="43"/>
    </row>
    <row r="14899" spans="2:2" ht="12.75" customHeight="1" x14ac:dyDescent="0.2">
      <c r="B14899" s="43"/>
    </row>
    <row r="14900" spans="2:2" ht="12.75" customHeight="1" x14ac:dyDescent="0.2">
      <c r="B14900" s="43"/>
    </row>
    <row r="14901" spans="2:2" ht="12.75" customHeight="1" x14ac:dyDescent="0.2">
      <c r="B14901" s="43"/>
    </row>
    <row r="14902" spans="2:2" ht="12.75" customHeight="1" x14ac:dyDescent="0.2">
      <c r="B14902" s="43"/>
    </row>
    <row r="14903" spans="2:2" ht="12.75" customHeight="1" x14ac:dyDescent="0.2">
      <c r="B14903" s="43"/>
    </row>
    <row r="14904" spans="2:2" ht="12.75" customHeight="1" x14ac:dyDescent="0.2">
      <c r="B14904" s="43"/>
    </row>
    <row r="14905" spans="2:2" ht="12.75" customHeight="1" x14ac:dyDescent="0.2">
      <c r="B14905" s="43"/>
    </row>
    <row r="14906" spans="2:2" ht="12.75" customHeight="1" x14ac:dyDescent="0.2">
      <c r="B14906" s="43"/>
    </row>
    <row r="14907" spans="2:2" ht="12.75" customHeight="1" x14ac:dyDescent="0.2">
      <c r="B14907" s="43"/>
    </row>
    <row r="14908" spans="2:2" ht="12.75" customHeight="1" x14ac:dyDescent="0.2">
      <c r="B14908" s="43"/>
    </row>
    <row r="14909" spans="2:2" ht="12.75" customHeight="1" x14ac:dyDescent="0.2">
      <c r="B14909" s="43"/>
    </row>
    <row r="14910" spans="2:2" ht="12.75" customHeight="1" x14ac:dyDescent="0.2">
      <c r="B14910" s="43"/>
    </row>
    <row r="14911" spans="2:2" ht="12.75" customHeight="1" x14ac:dyDescent="0.2">
      <c r="B14911" s="43"/>
    </row>
    <row r="14912" spans="2:2" ht="12.75" customHeight="1" x14ac:dyDescent="0.2">
      <c r="B14912" s="43"/>
    </row>
    <row r="14913" spans="2:2" ht="12.75" customHeight="1" x14ac:dyDescent="0.2">
      <c r="B14913" s="43"/>
    </row>
    <row r="14914" spans="2:2" ht="12.75" customHeight="1" x14ac:dyDescent="0.2">
      <c r="B14914" s="43"/>
    </row>
    <row r="14915" spans="2:2" ht="12.75" customHeight="1" x14ac:dyDescent="0.2">
      <c r="B14915" s="43"/>
    </row>
    <row r="14916" spans="2:2" ht="12.75" customHeight="1" x14ac:dyDescent="0.2">
      <c r="B14916" s="43"/>
    </row>
    <row r="14917" spans="2:2" ht="12.75" customHeight="1" x14ac:dyDescent="0.2">
      <c r="B14917" s="43"/>
    </row>
    <row r="14918" spans="2:2" ht="12.75" customHeight="1" x14ac:dyDescent="0.2">
      <c r="B14918" s="43"/>
    </row>
    <row r="14919" spans="2:2" ht="12.75" customHeight="1" x14ac:dyDescent="0.2">
      <c r="B14919" s="43"/>
    </row>
    <row r="14920" spans="2:2" ht="12.75" customHeight="1" x14ac:dyDescent="0.2">
      <c r="B14920" s="43"/>
    </row>
    <row r="14921" spans="2:2" ht="12.75" customHeight="1" x14ac:dyDescent="0.2">
      <c r="B14921" s="43"/>
    </row>
    <row r="14922" spans="2:2" ht="12.75" customHeight="1" x14ac:dyDescent="0.2">
      <c r="B14922" s="43"/>
    </row>
    <row r="14923" spans="2:2" ht="12.75" customHeight="1" x14ac:dyDescent="0.2">
      <c r="B14923" s="43"/>
    </row>
    <row r="14924" spans="2:2" ht="12.75" customHeight="1" x14ac:dyDescent="0.2">
      <c r="B14924" s="43"/>
    </row>
    <row r="14925" spans="2:2" ht="12.75" customHeight="1" x14ac:dyDescent="0.2">
      <c r="B14925" s="43"/>
    </row>
    <row r="14926" spans="2:2" ht="12.75" customHeight="1" x14ac:dyDescent="0.2">
      <c r="B14926" s="43"/>
    </row>
    <row r="14927" spans="2:2" ht="12.75" customHeight="1" x14ac:dyDescent="0.2">
      <c r="B14927" s="43"/>
    </row>
    <row r="14928" spans="2:2" ht="12.75" customHeight="1" x14ac:dyDescent="0.2">
      <c r="B14928" s="43"/>
    </row>
    <row r="14929" spans="2:2" ht="12.75" customHeight="1" x14ac:dyDescent="0.2">
      <c r="B14929" s="43"/>
    </row>
    <row r="14930" spans="2:2" ht="12.75" customHeight="1" x14ac:dyDescent="0.2">
      <c r="B14930" s="43"/>
    </row>
    <row r="14931" spans="2:2" ht="12.75" customHeight="1" x14ac:dyDescent="0.2">
      <c r="B14931" s="43"/>
    </row>
    <row r="14932" spans="2:2" ht="12.75" customHeight="1" x14ac:dyDescent="0.2">
      <c r="B14932" s="43"/>
    </row>
    <row r="14933" spans="2:2" ht="12.75" customHeight="1" x14ac:dyDescent="0.2">
      <c r="B14933" s="43"/>
    </row>
    <row r="14934" spans="2:2" ht="12.75" customHeight="1" x14ac:dyDescent="0.2">
      <c r="B14934" s="43"/>
    </row>
    <row r="14935" spans="2:2" ht="12.75" customHeight="1" x14ac:dyDescent="0.2">
      <c r="B14935" s="43"/>
    </row>
    <row r="14936" spans="2:2" ht="12.75" customHeight="1" x14ac:dyDescent="0.2">
      <c r="B14936" s="43"/>
    </row>
    <row r="14937" spans="2:2" ht="12.75" customHeight="1" x14ac:dyDescent="0.2">
      <c r="B14937" s="43"/>
    </row>
    <row r="14938" spans="2:2" ht="12.75" customHeight="1" x14ac:dyDescent="0.2">
      <c r="B14938" s="43"/>
    </row>
    <row r="14939" spans="2:2" ht="12.75" customHeight="1" x14ac:dyDescent="0.2">
      <c r="B14939" s="43"/>
    </row>
    <row r="14940" spans="2:2" ht="12.75" customHeight="1" x14ac:dyDescent="0.2">
      <c r="B14940" s="43"/>
    </row>
    <row r="14941" spans="2:2" ht="12.75" customHeight="1" x14ac:dyDescent="0.2">
      <c r="B14941" s="43"/>
    </row>
    <row r="14942" spans="2:2" ht="12.75" customHeight="1" x14ac:dyDescent="0.2">
      <c r="B14942" s="43"/>
    </row>
    <row r="14943" spans="2:2" ht="12.75" customHeight="1" x14ac:dyDescent="0.2">
      <c r="B14943" s="43"/>
    </row>
    <row r="14944" spans="2:2" ht="12.75" customHeight="1" x14ac:dyDescent="0.2">
      <c r="B14944" s="43"/>
    </row>
    <row r="14945" spans="2:2" ht="12.75" customHeight="1" x14ac:dyDescent="0.2">
      <c r="B14945" s="43"/>
    </row>
    <row r="14946" spans="2:2" ht="12.75" customHeight="1" x14ac:dyDescent="0.2">
      <c r="B14946" s="43"/>
    </row>
    <row r="14947" spans="2:2" ht="12.75" customHeight="1" x14ac:dyDescent="0.2">
      <c r="B14947" s="43"/>
    </row>
    <row r="14948" spans="2:2" ht="12.75" customHeight="1" x14ac:dyDescent="0.2">
      <c r="B14948" s="43"/>
    </row>
    <row r="14949" spans="2:2" ht="12.75" customHeight="1" x14ac:dyDescent="0.2">
      <c r="B14949" s="43"/>
    </row>
    <row r="14950" spans="2:2" ht="12.75" customHeight="1" x14ac:dyDescent="0.2">
      <c r="B14950" s="43"/>
    </row>
    <row r="14951" spans="2:2" ht="12.75" customHeight="1" x14ac:dyDescent="0.2">
      <c r="B14951" s="43"/>
    </row>
    <row r="14952" spans="2:2" ht="12.75" customHeight="1" x14ac:dyDescent="0.2">
      <c r="B14952" s="43"/>
    </row>
    <row r="14953" spans="2:2" ht="12.75" customHeight="1" x14ac:dyDescent="0.2">
      <c r="B14953" s="43"/>
    </row>
    <row r="14954" spans="2:2" ht="12.75" customHeight="1" x14ac:dyDescent="0.2">
      <c r="B14954" s="43"/>
    </row>
    <row r="14955" spans="2:2" ht="12.75" customHeight="1" x14ac:dyDescent="0.2">
      <c r="B14955" s="43"/>
    </row>
    <row r="14956" spans="2:2" ht="12.75" customHeight="1" x14ac:dyDescent="0.2">
      <c r="B14956" s="43"/>
    </row>
    <row r="14957" spans="2:2" ht="12.75" customHeight="1" x14ac:dyDescent="0.2">
      <c r="B14957" s="43"/>
    </row>
    <row r="14958" spans="2:2" ht="12.75" customHeight="1" x14ac:dyDescent="0.2">
      <c r="B14958" s="43"/>
    </row>
    <row r="14959" spans="2:2" ht="12.75" customHeight="1" x14ac:dyDescent="0.2">
      <c r="B14959" s="43"/>
    </row>
    <row r="14960" spans="2:2" ht="12.75" customHeight="1" x14ac:dyDescent="0.2">
      <c r="B14960" s="43"/>
    </row>
    <row r="14961" spans="2:2" ht="12.75" customHeight="1" x14ac:dyDescent="0.2">
      <c r="B14961" s="43"/>
    </row>
    <row r="14962" spans="2:2" ht="12.75" customHeight="1" x14ac:dyDescent="0.2">
      <c r="B14962" s="43"/>
    </row>
    <row r="14963" spans="2:2" ht="12.75" customHeight="1" x14ac:dyDescent="0.2">
      <c r="B14963" s="43"/>
    </row>
    <row r="14964" spans="2:2" ht="12.75" customHeight="1" x14ac:dyDescent="0.2">
      <c r="B14964" s="43"/>
    </row>
    <row r="14965" spans="2:2" ht="12.75" customHeight="1" x14ac:dyDescent="0.2">
      <c r="B14965" s="43"/>
    </row>
    <row r="14966" spans="2:2" ht="12.75" customHeight="1" x14ac:dyDescent="0.2">
      <c r="B14966" s="43"/>
    </row>
    <row r="14967" spans="2:2" ht="12.75" customHeight="1" x14ac:dyDescent="0.2">
      <c r="B14967" s="43"/>
    </row>
    <row r="14968" spans="2:2" ht="12.75" customHeight="1" x14ac:dyDescent="0.2">
      <c r="B14968" s="43"/>
    </row>
    <row r="14969" spans="2:2" ht="12.75" customHeight="1" x14ac:dyDescent="0.2">
      <c r="B14969" s="43"/>
    </row>
    <row r="14970" spans="2:2" ht="12.75" customHeight="1" x14ac:dyDescent="0.2">
      <c r="B14970" s="43"/>
    </row>
    <row r="14971" spans="2:2" ht="12.75" customHeight="1" x14ac:dyDescent="0.2">
      <c r="B14971" s="43"/>
    </row>
    <row r="14972" spans="2:2" ht="12.75" customHeight="1" x14ac:dyDescent="0.2">
      <c r="B14972" s="43"/>
    </row>
    <row r="14973" spans="2:2" ht="12.75" customHeight="1" x14ac:dyDescent="0.2">
      <c r="B14973" s="43"/>
    </row>
    <row r="14974" spans="2:2" ht="12.75" customHeight="1" x14ac:dyDescent="0.2">
      <c r="B14974" s="43"/>
    </row>
    <row r="14975" spans="2:2" ht="12.75" customHeight="1" x14ac:dyDescent="0.2">
      <c r="B14975" s="43"/>
    </row>
    <row r="14976" spans="2:2" ht="12.75" customHeight="1" x14ac:dyDescent="0.2">
      <c r="B14976" s="43"/>
    </row>
    <row r="14977" spans="2:2" ht="12.75" customHeight="1" x14ac:dyDescent="0.2">
      <c r="B14977" s="43"/>
    </row>
    <row r="14978" spans="2:2" ht="12.75" customHeight="1" x14ac:dyDescent="0.2">
      <c r="B14978" s="43"/>
    </row>
    <row r="14979" spans="2:2" ht="12.75" customHeight="1" x14ac:dyDescent="0.2">
      <c r="B14979" s="43"/>
    </row>
    <row r="14980" spans="2:2" ht="12.75" customHeight="1" x14ac:dyDescent="0.2">
      <c r="B14980" s="43"/>
    </row>
    <row r="14981" spans="2:2" ht="12.75" customHeight="1" x14ac:dyDescent="0.2">
      <c r="B14981" s="43"/>
    </row>
    <row r="14982" spans="2:2" ht="12.75" customHeight="1" x14ac:dyDescent="0.2">
      <c r="B14982" s="43"/>
    </row>
    <row r="14983" spans="2:2" ht="12.75" customHeight="1" x14ac:dyDescent="0.2">
      <c r="B14983" s="43"/>
    </row>
    <row r="14984" spans="2:2" ht="12.75" customHeight="1" x14ac:dyDescent="0.2">
      <c r="B14984" s="43"/>
    </row>
    <row r="14985" spans="2:2" ht="12.75" customHeight="1" x14ac:dyDescent="0.2">
      <c r="B14985" s="43"/>
    </row>
    <row r="14986" spans="2:2" ht="12.75" customHeight="1" x14ac:dyDescent="0.2">
      <c r="B14986" s="43"/>
    </row>
    <row r="14987" spans="2:2" ht="12.75" customHeight="1" x14ac:dyDescent="0.2">
      <c r="B14987" s="43"/>
    </row>
    <row r="14988" spans="2:2" ht="12.75" customHeight="1" x14ac:dyDescent="0.2">
      <c r="B14988" s="43"/>
    </row>
    <row r="14989" spans="2:2" ht="12.75" customHeight="1" x14ac:dyDescent="0.2">
      <c r="B14989" s="43"/>
    </row>
    <row r="14990" spans="2:2" ht="12.75" customHeight="1" x14ac:dyDescent="0.2">
      <c r="B14990" s="43"/>
    </row>
    <row r="14991" spans="2:2" ht="12.75" customHeight="1" x14ac:dyDescent="0.2">
      <c r="B14991" s="43"/>
    </row>
    <row r="14992" spans="2:2" ht="12.75" customHeight="1" x14ac:dyDescent="0.2">
      <c r="B14992" s="43"/>
    </row>
    <row r="14993" spans="2:2" ht="12.75" customHeight="1" x14ac:dyDescent="0.2">
      <c r="B14993" s="43"/>
    </row>
    <row r="14994" spans="2:2" ht="12.75" customHeight="1" x14ac:dyDescent="0.2">
      <c r="B14994" s="43"/>
    </row>
    <row r="14995" spans="2:2" ht="12.75" customHeight="1" x14ac:dyDescent="0.2">
      <c r="B14995" s="43"/>
    </row>
    <row r="14996" spans="2:2" ht="12.75" customHeight="1" x14ac:dyDescent="0.2">
      <c r="B14996" s="43"/>
    </row>
    <row r="14997" spans="2:2" ht="12.75" customHeight="1" x14ac:dyDescent="0.2">
      <c r="B14997" s="43"/>
    </row>
    <row r="14998" spans="2:2" ht="12.75" customHeight="1" x14ac:dyDescent="0.2">
      <c r="B14998" s="43"/>
    </row>
    <row r="14999" spans="2:2" ht="12.75" customHeight="1" x14ac:dyDescent="0.2">
      <c r="B14999" s="43"/>
    </row>
    <row r="15000" spans="2:2" ht="12.75" customHeight="1" x14ac:dyDescent="0.2">
      <c r="B15000" s="43"/>
    </row>
    <row r="15001" spans="2:2" ht="12.75" customHeight="1" x14ac:dyDescent="0.2">
      <c r="B15001" s="43"/>
    </row>
    <row r="15002" spans="2:2" ht="12.75" customHeight="1" x14ac:dyDescent="0.2">
      <c r="B15002" s="43"/>
    </row>
    <row r="15003" spans="2:2" ht="12.75" customHeight="1" x14ac:dyDescent="0.2">
      <c r="B15003" s="43"/>
    </row>
    <row r="15004" spans="2:2" ht="12.75" customHeight="1" x14ac:dyDescent="0.2">
      <c r="B15004" s="43"/>
    </row>
    <row r="15005" spans="2:2" ht="12.75" customHeight="1" x14ac:dyDescent="0.2">
      <c r="B15005" s="43"/>
    </row>
    <row r="15006" spans="2:2" ht="12.75" customHeight="1" x14ac:dyDescent="0.2">
      <c r="B15006" s="43"/>
    </row>
    <row r="15007" spans="2:2" ht="12.75" customHeight="1" x14ac:dyDescent="0.2">
      <c r="B15007" s="43"/>
    </row>
    <row r="15008" spans="2:2" ht="12.75" customHeight="1" x14ac:dyDescent="0.2">
      <c r="B15008" s="43"/>
    </row>
    <row r="15009" spans="2:2" ht="12.75" customHeight="1" x14ac:dyDescent="0.2">
      <c r="B15009" s="43"/>
    </row>
    <row r="15010" spans="2:2" ht="12.75" customHeight="1" x14ac:dyDescent="0.2">
      <c r="B15010" s="43"/>
    </row>
    <row r="15011" spans="2:2" ht="12.75" customHeight="1" x14ac:dyDescent="0.2">
      <c r="B15011" s="43"/>
    </row>
    <row r="15012" spans="2:2" ht="12.75" customHeight="1" x14ac:dyDescent="0.2">
      <c r="B15012" s="43"/>
    </row>
    <row r="15013" spans="2:2" ht="12.75" customHeight="1" x14ac:dyDescent="0.2">
      <c r="B15013" s="43"/>
    </row>
    <row r="15014" spans="2:2" ht="12.75" customHeight="1" x14ac:dyDescent="0.2">
      <c r="B15014" s="43"/>
    </row>
    <row r="15015" spans="2:2" ht="12.75" customHeight="1" x14ac:dyDescent="0.2">
      <c r="B15015" s="43"/>
    </row>
    <row r="15016" spans="2:2" ht="12.75" customHeight="1" x14ac:dyDescent="0.2">
      <c r="B15016" s="43"/>
    </row>
    <row r="15017" spans="2:2" ht="12.75" customHeight="1" x14ac:dyDescent="0.2">
      <c r="B15017" s="43"/>
    </row>
    <row r="15018" spans="2:2" ht="12.75" customHeight="1" x14ac:dyDescent="0.2">
      <c r="B15018" s="43"/>
    </row>
    <row r="15019" spans="2:2" ht="12.75" customHeight="1" x14ac:dyDescent="0.2">
      <c r="B15019" s="43"/>
    </row>
    <row r="15020" spans="2:2" ht="12.75" customHeight="1" x14ac:dyDescent="0.2">
      <c r="B15020" s="43"/>
    </row>
    <row r="15021" spans="2:2" ht="12.75" customHeight="1" x14ac:dyDescent="0.2">
      <c r="B15021" s="43"/>
    </row>
    <row r="15022" spans="2:2" ht="12.75" customHeight="1" x14ac:dyDescent="0.2">
      <c r="B15022" s="43"/>
    </row>
    <row r="15023" spans="2:2" ht="12.75" customHeight="1" x14ac:dyDescent="0.2">
      <c r="B15023" s="43"/>
    </row>
    <row r="15024" spans="2:2" ht="12.75" customHeight="1" x14ac:dyDescent="0.2">
      <c r="B15024" s="43"/>
    </row>
    <row r="15025" spans="2:2" ht="12.75" customHeight="1" x14ac:dyDescent="0.2">
      <c r="B15025" s="43"/>
    </row>
    <row r="15026" spans="2:2" ht="12.75" customHeight="1" x14ac:dyDescent="0.2">
      <c r="B15026" s="43"/>
    </row>
    <row r="15027" spans="2:2" ht="12.75" customHeight="1" x14ac:dyDescent="0.2">
      <c r="B15027" s="43"/>
    </row>
    <row r="15028" spans="2:2" ht="12.75" customHeight="1" x14ac:dyDescent="0.2">
      <c r="B15028" s="43"/>
    </row>
    <row r="15029" spans="2:2" ht="12.75" customHeight="1" x14ac:dyDescent="0.2">
      <c r="B15029" s="43"/>
    </row>
    <row r="15030" spans="2:2" ht="12.75" customHeight="1" x14ac:dyDescent="0.2">
      <c r="B15030" s="43"/>
    </row>
    <row r="15031" spans="2:2" ht="12.75" customHeight="1" x14ac:dyDescent="0.2">
      <c r="B15031" s="43"/>
    </row>
    <row r="15032" spans="2:2" ht="12.75" customHeight="1" x14ac:dyDescent="0.2">
      <c r="B15032" s="43"/>
    </row>
    <row r="15033" spans="2:2" ht="12.75" customHeight="1" x14ac:dyDescent="0.2">
      <c r="B15033" s="43"/>
    </row>
    <row r="15034" spans="2:2" ht="12.75" customHeight="1" x14ac:dyDescent="0.2">
      <c r="B15034" s="43"/>
    </row>
    <row r="15035" spans="2:2" ht="12.75" customHeight="1" x14ac:dyDescent="0.2">
      <c r="B15035" s="43"/>
    </row>
    <row r="15036" spans="2:2" ht="12.75" customHeight="1" x14ac:dyDescent="0.2">
      <c r="B15036" s="43"/>
    </row>
    <row r="15037" spans="2:2" ht="12.75" customHeight="1" x14ac:dyDescent="0.2">
      <c r="B15037" s="43"/>
    </row>
    <row r="15038" spans="2:2" ht="12.75" customHeight="1" x14ac:dyDescent="0.2">
      <c r="B15038" s="43"/>
    </row>
    <row r="15039" spans="2:2" ht="12.75" customHeight="1" x14ac:dyDescent="0.2">
      <c r="B15039" s="43"/>
    </row>
    <row r="15040" spans="2:2" ht="12.75" customHeight="1" x14ac:dyDescent="0.2">
      <c r="B15040" s="43"/>
    </row>
    <row r="15041" spans="2:2" ht="12.75" customHeight="1" x14ac:dyDescent="0.2">
      <c r="B15041" s="43"/>
    </row>
    <row r="15042" spans="2:2" ht="12.75" customHeight="1" x14ac:dyDescent="0.2">
      <c r="B15042" s="43"/>
    </row>
    <row r="15043" spans="2:2" ht="12.75" customHeight="1" x14ac:dyDescent="0.2">
      <c r="B15043" s="43"/>
    </row>
    <row r="15044" spans="2:2" ht="12.75" customHeight="1" x14ac:dyDescent="0.2">
      <c r="B15044" s="43"/>
    </row>
    <row r="15045" spans="2:2" ht="12.75" customHeight="1" x14ac:dyDescent="0.2">
      <c r="B15045" s="43"/>
    </row>
    <row r="15046" spans="2:2" ht="12.75" customHeight="1" x14ac:dyDescent="0.2">
      <c r="B15046" s="43"/>
    </row>
    <row r="15047" spans="2:2" ht="12.75" customHeight="1" x14ac:dyDescent="0.2">
      <c r="B15047" s="43"/>
    </row>
    <row r="15048" spans="2:2" ht="12.75" customHeight="1" x14ac:dyDescent="0.2">
      <c r="B15048" s="43"/>
    </row>
    <row r="15049" spans="2:2" ht="12.75" customHeight="1" x14ac:dyDescent="0.2">
      <c r="B15049" s="43"/>
    </row>
    <row r="15050" spans="2:2" ht="12.75" customHeight="1" x14ac:dyDescent="0.2">
      <c r="B15050" s="43"/>
    </row>
    <row r="15051" spans="2:2" ht="12.75" customHeight="1" x14ac:dyDescent="0.2">
      <c r="B15051" s="43"/>
    </row>
    <row r="15052" spans="2:2" ht="12.75" customHeight="1" x14ac:dyDescent="0.2">
      <c r="B15052" s="43"/>
    </row>
    <row r="15053" spans="2:2" ht="12.75" customHeight="1" x14ac:dyDescent="0.2">
      <c r="B15053" s="43"/>
    </row>
    <row r="15054" spans="2:2" ht="12.75" customHeight="1" x14ac:dyDescent="0.2">
      <c r="B15054" s="43"/>
    </row>
    <row r="15055" spans="2:2" ht="12.75" customHeight="1" x14ac:dyDescent="0.2">
      <c r="B15055" s="43"/>
    </row>
    <row r="15056" spans="2:2" ht="12.75" customHeight="1" x14ac:dyDescent="0.2">
      <c r="B15056" s="43"/>
    </row>
    <row r="15057" spans="2:2" ht="12.75" customHeight="1" x14ac:dyDescent="0.2">
      <c r="B15057" s="43"/>
    </row>
    <row r="15058" spans="2:2" ht="12.75" customHeight="1" x14ac:dyDescent="0.2">
      <c r="B15058" s="43"/>
    </row>
    <row r="15059" spans="2:2" ht="12.75" customHeight="1" x14ac:dyDescent="0.2">
      <c r="B15059" s="43"/>
    </row>
    <row r="15060" spans="2:2" ht="12.75" customHeight="1" x14ac:dyDescent="0.2">
      <c r="B15060" s="43"/>
    </row>
    <row r="15061" spans="2:2" ht="12.75" customHeight="1" x14ac:dyDescent="0.2">
      <c r="B15061" s="43"/>
    </row>
    <row r="15062" spans="2:2" ht="12.75" customHeight="1" x14ac:dyDescent="0.2">
      <c r="B15062" s="43"/>
    </row>
    <row r="15063" spans="2:2" ht="12.75" customHeight="1" x14ac:dyDescent="0.2">
      <c r="B15063" s="43"/>
    </row>
    <row r="15064" spans="2:2" ht="12.75" customHeight="1" x14ac:dyDescent="0.2">
      <c r="B15064" s="43"/>
    </row>
    <row r="15065" spans="2:2" ht="12.75" customHeight="1" x14ac:dyDescent="0.2">
      <c r="B15065" s="43"/>
    </row>
    <row r="15066" spans="2:2" ht="12.75" customHeight="1" x14ac:dyDescent="0.2">
      <c r="B15066" s="43"/>
    </row>
    <row r="15067" spans="2:2" ht="12.75" customHeight="1" x14ac:dyDescent="0.2">
      <c r="B15067" s="43"/>
    </row>
    <row r="15068" spans="2:2" ht="12.75" customHeight="1" x14ac:dyDescent="0.2">
      <c r="B15068" s="43"/>
    </row>
    <row r="15069" spans="2:2" ht="12.75" customHeight="1" x14ac:dyDescent="0.2">
      <c r="B15069" s="43"/>
    </row>
    <row r="15070" spans="2:2" ht="12.75" customHeight="1" x14ac:dyDescent="0.2">
      <c r="B15070" s="43"/>
    </row>
    <row r="15071" spans="2:2" ht="12.75" customHeight="1" x14ac:dyDescent="0.2">
      <c r="B15071" s="43"/>
    </row>
    <row r="15072" spans="2:2" ht="12.75" customHeight="1" x14ac:dyDescent="0.2">
      <c r="B15072" s="43"/>
    </row>
    <row r="15073" spans="2:2" ht="12.75" customHeight="1" x14ac:dyDescent="0.2">
      <c r="B15073" s="43"/>
    </row>
    <row r="15074" spans="2:2" ht="12.75" customHeight="1" x14ac:dyDescent="0.2">
      <c r="B15074" s="43"/>
    </row>
    <row r="15075" spans="2:2" ht="12.75" customHeight="1" x14ac:dyDescent="0.2">
      <c r="B15075" s="43"/>
    </row>
    <row r="15076" spans="2:2" ht="12.75" customHeight="1" x14ac:dyDescent="0.2">
      <c r="B15076" s="43"/>
    </row>
    <row r="15077" spans="2:2" ht="12.75" customHeight="1" x14ac:dyDescent="0.2">
      <c r="B15077" s="43"/>
    </row>
    <row r="15078" spans="2:2" ht="12.75" customHeight="1" x14ac:dyDescent="0.2">
      <c r="B15078" s="43"/>
    </row>
    <row r="15079" spans="2:2" ht="12.75" customHeight="1" x14ac:dyDescent="0.2">
      <c r="B15079" s="43"/>
    </row>
    <row r="15080" spans="2:2" ht="12.75" customHeight="1" x14ac:dyDescent="0.2">
      <c r="B15080" s="43"/>
    </row>
    <row r="15081" spans="2:2" ht="12.75" customHeight="1" x14ac:dyDescent="0.2">
      <c r="B15081" s="43"/>
    </row>
    <row r="15082" spans="2:2" ht="12.75" customHeight="1" x14ac:dyDescent="0.2">
      <c r="B15082" s="43"/>
    </row>
    <row r="15083" spans="2:2" ht="12.75" customHeight="1" x14ac:dyDescent="0.2">
      <c r="B15083" s="43"/>
    </row>
    <row r="15084" spans="2:2" ht="12.75" customHeight="1" x14ac:dyDescent="0.2">
      <c r="B15084" s="43"/>
    </row>
    <row r="15085" spans="2:2" ht="12.75" customHeight="1" x14ac:dyDescent="0.2">
      <c r="B15085" s="43"/>
    </row>
    <row r="15086" spans="2:2" ht="12.75" customHeight="1" x14ac:dyDescent="0.2">
      <c r="B15086" s="43"/>
    </row>
    <row r="15087" spans="2:2" ht="12.75" customHeight="1" x14ac:dyDescent="0.2">
      <c r="B15087" s="43"/>
    </row>
    <row r="15088" spans="2:2" ht="12.75" customHeight="1" x14ac:dyDescent="0.2">
      <c r="B15088" s="43"/>
    </row>
    <row r="15089" spans="2:2" ht="12.75" customHeight="1" x14ac:dyDescent="0.2">
      <c r="B15089" s="43"/>
    </row>
    <row r="15090" spans="2:2" ht="12.75" customHeight="1" x14ac:dyDescent="0.2">
      <c r="B15090" s="43"/>
    </row>
    <row r="15091" spans="2:2" ht="12.75" customHeight="1" x14ac:dyDescent="0.2">
      <c r="B15091" s="43"/>
    </row>
    <row r="15092" spans="2:2" ht="12.75" customHeight="1" x14ac:dyDescent="0.2">
      <c r="B15092" s="43"/>
    </row>
    <row r="15093" spans="2:2" ht="12.75" customHeight="1" x14ac:dyDescent="0.2">
      <c r="B15093" s="43"/>
    </row>
    <row r="15094" spans="2:2" ht="12.75" customHeight="1" x14ac:dyDescent="0.2">
      <c r="B15094" s="43"/>
    </row>
    <row r="15095" spans="2:2" ht="12.75" customHeight="1" x14ac:dyDescent="0.2">
      <c r="B15095" s="43"/>
    </row>
    <row r="15096" spans="2:2" ht="12.75" customHeight="1" x14ac:dyDescent="0.2">
      <c r="B15096" s="43"/>
    </row>
    <row r="15097" spans="2:2" ht="12.75" customHeight="1" x14ac:dyDescent="0.2">
      <c r="B15097" s="43"/>
    </row>
    <row r="15098" spans="2:2" ht="12.75" customHeight="1" x14ac:dyDescent="0.2">
      <c r="B15098" s="43"/>
    </row>
    <row r="15099" spans="2:2" ht="12.75" customHeight="1" x14ac:dyDescent="0.2">
      <c r="B15099" s="43"/>
    </row>
    <row r="15100" spans="2:2" ht="12.75" customHeight="1" x14ac:dyDescent="0.2">
      <c r="B15100" s="43"/>
    </row>
    <row r="15101" spans="2:2" ht="12.75" customHeight="1" x14ac:dyDescent="0.2">
      <c r="B15101" s="43"/>
    </row>
    <row r="15102" spans="2:2" ht="12.75" customHeight="1" x14ac:dyDescent="0.2">
      <c r="B15102" s="43"/>
    </row>
    <row r="15103" spans="2:2" ht="12.75" customHeight="1" x14ac:dyDescent="0.2">
      <c r="B15103" s="43"/>
    </row>
    <row r="15104" spans="2:2" ht="12.75" customHeight="1" x14ac:dyDescent="0.2">
      <c r="B15104" s="43"/>
    </row>
    <row r="15105" spans="2:2" ht="12.75" customHeight="1" x14ac:dyDescent="0.2">
      <c r="B15105" s="43"/>
    </row>
    <row r="15106" spans="2:2" ht="12.75" customHeight="1" x14ac:dyDescent="0.2">
      <c r="B15106" s="43"/>
    </row>
    <row r="15107" spans="2:2" ht="12.75" customHeight="1" x14ac:dyDescent="0.2">
      <c r="B15107" s="43"/>
    </row>
    <row r="15108" spans="2:2" ht="12.75" customHeight="1" x14ac:dyDescent="0.2">
      <c r="B15108" s="43"/>
    </row>
    <row r="15109" spans="2:2" ht="12.75" customHeight="1" x14ac:dyDescent="0.2">
      <c r="B15109" s="43"/>
    </row>
    <row r="15110" spans="2:2" ht="12.75" customHeight="1" x14ac:dyDescent="0.2">
      <c r="B15110" s="43"/>
    </row>
    <row r="15111" spans="2:2" ht="12.75" customHeight="1" x14ac:dyDescent="0.2">
      <c r="B15111" s="43"/>
    </row>
    <row r="15112" spans="2:2" ht="12.75" customHeight="1" x14ac:dyDescent="0.2">
      <c r="B15112" s="43"/>
    </row>
    <row r="15113" spans="2:2" ht="12.75" customHeight="1" x14ac:dyDescent="0.2">
      <c r="B15113" s="43"/>
    </row>
    <row r="15114" spans="2:2" ht="12.75" customHeight="1" x14ac:dyDescent="0.2">
      <c r="B15114" s="43"/>
    </row>
    <row r="15115" spans="2:2" ht="12.75" customHeight="1" x14ac:dyDescent="0.2">
      <c r="B15115" s="43"/>
    </row>
    <row r="15116" spans="2:2" ht="12.75" customHeight="1" x14ac:dyDescent="0.2">
      <c r="B15116" s="43"/>
    </row>
    <row r="15117" spans="2:2" ht="12.75" customHeight="1" x14ac:dyDescent="0.2">
      <c r="B15117" s="43"/>
    </row>
    <row r="15118" spans="2:2" ht="12.75" customHeight="1" x14ac:dyDescent="0.2">
      <c r="B15118" s="43"/>
    </row>
    <row r="15119" spans="2:2" ht="12.75" customHeight="1" x14ac:dyDescent="0.2">
      <c r="B15119" s="43"/>
    </row>
    <row r="15120" spans="2:2" ht="12.75" customHeight="1" x14ac:dyDescent="0.2">
      <c r="B15120" s="43"/>
    </row>
    <row r="15121" spans="2:2" ht="12.75" customHeight="1" x14ac:dyDescent="0.2">
      <c r="B15121" s="43"/>
    </row>
    <row r="15122" spans="2:2" ht="12.75" customHeight="1" x14ac:dyDescent="0.2">
      <c r="B15122" s="43"/>
    </row>
    <row r="15123" spans="2:2" ht="12.75" customHeight="1" x14ac:dyDescent="0.2">
      <c r="B15123" s="43"/>
    </row>
    <row r="15124" spans="2:2" ht="12.75" customHeight="1" x14ac:dyDescent="0.2">
      <c r="B15124" s="43"/>
    </row>
    <row r="15125" spans="2:2" ht="12.75" customHeight="1" x14ac:dyDescent="0.2">
      <c r="B15125" s="43"/>
    </row>
    <row r="15126" spans="2:2" ht="12.75" customHeight="1" x14ac:dyDescent="0.2">
      <c r="B15126" s="43"/>
    </row>
    <row r="15127" spans="2:2" ht="12.75" customHeight="1" x14ac:dyDescent="0.2">
      <c r="B15127" s="43"/>
    </row>
    <row r="15128" spans="2:2" ht="12.75" customHeight="1" x14ac:dyDescent="0.2">
      <c r="B15128" s="43"/>
    </row>
    <row r="15129" spans="2:2" ht="12.75" customHeight="1" x14ac:dyDescent="0.2">
      <c r="B15129" s="43"/>
    </row>
    <row r="15130" spans="2:2" ht="12.75" customHeight="1" x14ac:dyDescent="0.2">
      <c r="B15130" s="43"/>
    </row>
    <row r="15131" spans="2:2" ht="12.75" customHeight="1" x14ac:dyDescent="0.2">
      <c r="B15131" s="43"/>
    </row>
    <row r="15132" spans="2:2" ht="12.75" customHeight="1" x14ac:dyDescent="0.2">
      <c r="B15132" s="43"/>
    </row>
    <row r="15133" spans="2:2" ht="12.75" customHeight="1" x14ac:dyDescent="0.2">
      <c r="B15133" s="43"/>
    </row>
    <row r="15134" spans="2:2" ht="12.75" customHeight="1" x14ac:dyDescent="0.2">
      <c r="B15134" s="43"/>
    </row>
    <row r="15135" spans="2:2" ht="12.75" customHeight="1" x14ac:dyDescent="0.2">
      <c r="B15135" s="43"/>
    </row>
    <row r="15136" spans="2:2" ht="12.75" customHeight="1" x14ac:dyDescent="0.2">
      <c r="B15136" s="43"/>
    </row>
    <row r="15137" spans="2:2" ht="12.75" customHeight="1" x14ac:dyDescent="0.2">
      <c r="B15137" s="43"/>
    </row>
    <row r="15138" spans="2:2" ht="12.75" customHeight="1" x14ac:dyDescent="0.2">
      <c r="B15138" s="43"/>
    </row>
    <row r="15139" spans="2:2" ht="12.75" customHeight="1" x14ac:dyDescent="0.2">
      <c r="B15139" s="43"/>
    </row>
    <row r="15140" spans="2:2" ht="12.75" customHeight="1" x14ac:dyDescent="0.2">
      <c r="B15140" s="43"/>
    </row>
    <row r="15141" spans="2:2" ht="12.75" customHeight="1" x14ac:dyDescent="0.2">
      <c r="B15141" s="43"/>
    </row>
    <row r="15142" spans="2:2" ht="12.75" customHeight="1" x14ac:dyDescent="0.2">
      <c r="B15142" s="43"/>
    </row>
    <row r="15143" spans="2:2" ht="12.75" customHeight="1" x14ac:dyDescent="0.2">
      <c r="B15143" s="43"/>
    </row>
    <row r="15144" spans="2:2" ht="12.75" customHeight="1" x14ac:dyDescent="0.2">
      <c r="B15144" s="43"/>
    </row>
    <row r="15145" spans="2:2" ht="12.75" customHeight="1" x14ac:dyDescent="0.2">
      <c r="B15145" s="43"/>
    </row>
    <row r="15146" spans="2:2" ht="12.75" customHeight="1" x14ac:dyDescent="0.2">
      <c r="B15146" s="43"/>
    </row>
    <row r="15147" spans="2:2" ht="12.75" customHeight="1" x14ac:dyDescent="0.2">
      <c r="B15147" s="43"/>
    </row>
    <row r="15148" spans="2:2" ht="12.75" customHeight="1" x14ac:dyDescent="0.2">
      <c r="B15148" s="43"/>
    </row>
    <row r="15149" spans="2:2" ht="12.75" customHeight="1" x14ac:dyDescent="0.2">
      <c r="B15149" s="43"/>
    </row>
    <row r="15150" spans="2:2" ht="12.75" customHeight="1" x14ac:dyDescent="0.2">
      <c r="B15150" s="43"/>
    </row>
    <row r="15151" spans="2:2" ht="12.75" customHeight="1" x14ac:dyDescent="0.2">
      <c r="B15151" s="43"/>
    </row>
    <row r="15152" spans="2:2" ht="12.75" customHeight="1" x14ac:dyDescent="0.2">
      <c r="B15152" s="43"/>
    </row>
    <row r="15153" spans="2:2" ht="12.75" customHeight="1" x14ac:dyDescent="0.2">
      <c r="B15153" s="43"/>
    </row>
    <row r="15154" spans="2:2" ht="12.75" customHeight="1" x14ac:dyDescent="0.2">
      <c r="B15154" s="43"/>
    </row>
    <row r="15155" spans="2:2" ht="12.75" customHeight="1" x14ac:dyDescent="0.2">
      <c r="B15155" s="43"/>
    </row>
    <row r="15156" spans="2:2" ht="12.75" customHeight="1" x14ac:dyDescent="0.2">
      <c r="B15156" s="43"/>
    </row>
    <row r="15157" spans="2:2" ht="12.75" customHeight="1" x14ac:dyDescent="0.2">
      <c r="B15157" s="43"/>
    </row>
    <row r="15158" spans="2:2" ht="12.75" customHeight="1" x14ac:dyDescent="0.2">
      <c r="B15158" s="43"/>
    </row>
    <row r="15159" spans="2:2" ht="12.75" customHeight="1" x14ac:dyDescent="0.2">
      <c r="B15159" s="43"/>
    </row>
    <row r="15160" spans="2:2" ht="12.75" customHeight="1" x14ac:dyDescent="0.2">
      <c r="B15160" s="43"/>
    </row>
    <row r="15161" spans="2:2" ht="12.75" customHeight="1" x14ac:dyDescent="0.2">
      <c r="B15161" s="43"/>
    </row>
    <row r="15162" spans="2:2" ht="12.75" customHeight="1" x14ac:dyDescent="0.2">
      <c r="B15162" s="43"/>
    </row>
    <row r="15163" spans="2:2" ht="12.75" customHeight="1" x14ac:dyDescent="0.2">
      <c r="B15163" s="43"/>
    </row>
    <row r="15164" spans="2:2" ht="12.75" customHeight="1" x14ac:dyDescent="0.2">
      <c r="B15164" s="43"/>
    </row>
    <row r="15165" spans="2:2" ht="12.75" customHeight="1" x14ac:dyDescent="0.2">
      <c r="B15165" s="43"/>
    </row>
    <row r="15166" spans="2:2" ht="12.75" customHeight="1" x14ac:dyDescent="0.2">
      <c r="B15166" s="43"/>
    </row>
    <row r="15167" spans="2:2" ht="12.75" customHeight="1" x14ac:dyDescent="0.2">
      <c r="B15167" s="43"/>
    </row>
    <row r="15168" spans="2:2" ht="12.75" customHeight="1" x14ac:dyDescent="0.2">
      <c r="B15168" s="43"/>
    </row>
    <row r="15169" spans="2:2" ht="12.75" customHeight="1" x14ac:dyDescent="0.2">
      <c r="B15169" s="43"/>
    </row>
    <row r="15170" spans="2:2" ht="12.75" customHeight="1" x14ac:dyDescent="0.2">
      <c r="B15170" s="43"/>
    </row>
    <row r="15171" spans="2:2" ht="12.75" customHeight="1" x14ac:dyDescent="0.2">
      <c r="B15171" s="43"/>
    </row>
    <row r="15172" spans="2:2" ht="12.75" customHeight="1" x14ac:dyDescent="0.2">
      <c r="B15172" s="43"/>
    </row>
    <row r="15173" spans="2:2" ht="12.75" customHeight="1" x14ac:dyDescent="0.2">
      <c r="B15173" s="43"/>
    </row>
    <row r="15174" spans="2:2" ht="12.75" customHeight="1" x14ac:dyDescent="0.2">
      <c r="B15174" s="43"/>
    </row>
    <row r="15175" spans="2:2" ht="12.75" customHeight="1" x14ac:dyDescent="0.2">
      <c r="B15175" s="43"/>
    </row>
    <row r="15176" spans="2:2" ht="12.75" customHeight="1" x14ac:dyDescent="0.2">
      <c r="B15176" s="43"/>
    </row>
    <row r="15177" spans="2:2" ht="12.75" customHeight="1" x14ac:dyDescent="0.2">
      <c r="B15177" s="43"/>
    </row>
    <row r="15178" spans="2:2" ht="12.75" customHeight="1" x14ac:dyDescent="0.2">
      <c r="B15178" s="43"/>
    </row>
    <row r="15179" spans="2:2" ht="12.75" customHeight="1" x14ac:dyDescent="0.2">
      <c r="B15179" s="43"/>
    </row>
    <row r="15180" spans="2:2" ht="12.75" customHeight="1" x14ac:dyDescent="0.2">
      <c r="B15180" s="43"/>
    </row>
    <row r="15181" spans="2:2" ht="12.75" customHeight="1" x14ac:dyDescent="0.2">
      <c r="B15181" s="43"/>
    </row>
    <row r="15182" spans="2:2" ht="12.75" customHeight="1" x14ac:dyDescent="0.2">
      <c r="B15182" s="43"/>
    </row>
    <row r="15183" spans="2:2" ht="12.75" customHeight="1" x14ac:dyDescent="0.2">
      <c r="B15183" s="43"/>
    </row>
    <row r="15184" spans="2:2" ht="12.75" customHeight="1" x14ac:dyDescent="0.2">
      <c r="B15184" s="43"/>
    </row>
    <row r="15185" spans="2:2" ht="12.75" customHeight="1" x14ac:dyDescent="0.2">
      <c r="B15185" s="43"/>
    </row>
    <row r="15186" spans="2:2" ht="12.75" customHeight="1" x14ac:dyDescent="0.2">
      <c r="B15186" s="43"/>
    </row>
    <row r="15187" spans="2:2" ht="12.75" customHeight="1" x14ac:dyDescent="0.2">
      <c r="B15187" s="43"/>
    </row>
    <row r="15188" spans="2:2" ht="12.75" customHeight="1" x14ac:dyDescent="0.2">
      <c r="B15188" s="43"/>
    </row>
    <row r="15189" spans="2:2" ht="12.75" customHeight="1" x14ac:dyDescent="0.2">
      <c r="B15189" s="43"/>
    </row>
    <row r="15190" spans="2:2" ht="12.75" customHeight="1" x14ac:dyDescent="0.2">
      <c r="B15190" s="43"/>
    </row>
    <row r="15191" spans="2:2" ht="12.75" customHeight="1" x14ac:dyDescent="0.2">
      <c r="B15191" s="43"/>
    </row>
    <row r="15192" spans="2:2" ht="12.75" customHeight="1" x14ac:dyDescent="0.2">
      <c r="B15192" s="43"/>
    </row>
    <row r="15193" spans="2:2" ht="12.75" customHeight="1" x14ac:dyDescent="0.2">
      <c r="B15193" s="43"/>
    </row>
    <row r="15194" spans="2:2" ht="12.75" customHeight="1" x14ac:dyDescent="0.2">
      <c r="B15194" s="43"/>
    </row>
    <row r="15195" spans="2:2" ht="12.75" customHeight="1" x14ac:dyDescent="0.2">
      <c r="B15195" s="43"/>
    </row>
    <row r="15196" spans="2:2" ht="12.75" customHeight="1" x14ac:dyDescent="0.2">
      <c r="B15196" s="43"/>
    </row>
    <row r="15197" spans="2:2" ht="12.75" customHeight="1" x14ac:dyDescent="0.2">
      <c r="B15197" s="43"/>
    </row>
    <row r="15198" spans="2:2" ht="12.75" customHeight="1" x14ac:dyDescent="0.2">
      <c r="B15198" s="43"/>
    </row>
    <row r="15199" spans="2:2" ht="12.75" customHeight="1" x14ac:dyDescent="0.2">
      <c r="B15199" s="43"/>
    </row>
    <row r="15200" spans="2:2" ht="12.75" customHeight="1" x14ac:dyDescent="0.2">
      <c r="B15200" s="43"/>
    </row>
    <row r="15201" spans="2:2" ht="12.75" customHeight="1" x14ac:dyDescent="0.2">
      <c r="B15201" s="43"/>
    </row>
    <row r="15202" spans="2:2" ht="12.75" customHeight="1" x14ac:dyDescent="0.2">
      <c r="B15202" s="43"/>
    </row>
    <row r="15203" spans="2:2" ht="12.75" customHeight="1" x14ac:dyDescent="0.2">
      <c r="B15203" s="43"/>
    </row>
    <row r="15204" spans="2:2" ht="12.75" customHeight="1" x14ac:dyDescent="0.2">
      <c r="B15204" s="43"/>
    </row>
    <row r="15205" spans="2:2" ht="12.75" customHeight="1" x14ac:dyDescent="0.2">
      <c r="B15205" s="43"/>
    </row>
    <row r="15206" spans="2:2" ht="12.75" customHeight="1" x14ac:dyDescent="0.2">
      <c r="B15206" s="43"/>
    </row>
    <row r="15207" spans="2:2" ht="12.75" customHeight="1" x14ac:dyDescent="0.2">
      <c r="B15207" s="43"/>
    </row>
    <row r="15208" spans="2:2" ht="12.75" customHeight="1" x14ac:dyDescent="0.2">
      <c r="B15208" s="43"/>
    </row>
    <row r="15209" spans="2:2" ht="12.75" customHeight="1" x14ac:dyDescent="0.2">
      <c r="B15209" s="43"/>
    </row>
    <row r="15210" spans="2:2" ht="12.75" customHeight="1" x14ac:dyDescent="0.2">
      <c r="B15210" s="43"/>
    </row>
    <row r="15211" spans="2:2" ht="12.75" customHeight="1" x14ac:dyDescent="0.2">
      <c r="B15211" s="43"/>
    </row>
    <row r="15212" spans="2:2" ht="12.75" customHeight="1" x14ac:dyDescent="0.2">
      <c r="B15212" s="43"/>
    </row>
    <row r="15213" spans="2:2" ht="12.75" customHeight="1" x14ac:dyDescent="0.2">
      <c r="B15213" s="43"/>
    </row>
    <row r="15214" spans="2:2" ht="12.75" customHeight="1" x14ac:dyDescent="0.2">
      <c r="B15214" s="43"/>
    </row>
    <row r="15215" spans="2:2" ht="12.75" customHeight="1" x14ac:dyDescent="0.2">
      <c r="B15215" s="43"/>
    </row>
    <row r="15216" spans="2:2" ht="12.75" customHeight="1" x14ac:dyDescent="0.2">
      <c r="B15216" s="43"/>
    </row>
    <row r="15217" spans="2:2" ht="12.75" customHeight="1" x14ac:dyDescent="0.2">
      <c r="B15217" s="43"/>
    </row>
    <row r="15218" spans="2:2" ht="12.75" customHeight="1" x14ac:dyDescent="0.2">
      <c r="B15218" s="43"/>
    </row>
    <row r="15219" spans="2:2" ht="12.75" customHeight="1" x14ac:dyDescent="0.2">
      <c r="B15219" s="43"/>
    </row>
    <row r="15220" spans="2:2" ht="12.75" customHeight="1" x14ac:dyDescent="0.2">
      <c r="B15220" s="43"/>
    </row>
    <row r="15221" spans="2:2" ht="12.75" customHeight="1" x14ac:dyDescent="0.2">
      <c r="B15221" s="43"/>
    </row>
    <row r="15222" spans="2:2" ht="12.75" customHeight="1" x14ac:dyDescent="0.2">
      <c r="B15222" s="43"/>
    </row>
    <row r="15223" spans="2:2" ht="12.75" customHeight="1" x14ac:dyDescent="0.2">
      <c r="B15223" s="43"/>
    </row>
    <row r="15224" spans="2:2" ht="12.75" customHeight="1" x14ac:dyDescent="0.2">
      <c r="B15224" s="43"/>
    </row>
    <row r="15225" spans="2:2" ht="12.75" customHeight="1" x14ac:dyDescent="0.2">
      <c r="B15225" s="43"/>
    </row>
    <row r="15226" spans="2:2" ht="12.75" customHeight="1" x14ac:dyDescent="0.2">
      <c r="B15226" s="43"/>
    </row>
    <row r="15227" spans="2:2" ht="12.75" customHeight="1" x14ac:dyDescent="0.2">
      <c r="B15227" s="43"/>
    </row>
    <row r="15228" spans="2:2" ht="12.75" customHeight="1" x14ac:dyDescent="0.2">
      <c r="B15228" s="43"/>
    </row>
    <row r="15229" spans="2:2" ht="12.75" customHeight="1" x14ac:dyDescent="0.2">
      <c r="B15229" s="43"/>
    </row>
    <row r="15230" spans="2:2" ht="12.75" customHeight="1" x14ac:dyDescent="0.2">
      <c r="B15230" s="43"/>
    </row>
    <row r="15231" spans="2:2" ht="12.75" customHeight="1" x14ac:dyDescent="0.2">
      <c r="B15231" s="43"/>
    </row>
    <row r="15232" spans="2:2" ht="12.75" customHeight="1" x14ac:dyDescent="0.2">
      <c r="B15232" s="43"/>
    </row>
    <row r="15233" spans="2:2" ht="12.75" customHeight="1" x14ac:dyDescent="0.2">
      <c r="B15233" s="43"/>
    </row>
    <row r="15234" spans="2:2" ht="12.75" customHeight="1" x14ac:dyDescent="0.2">
      <c r="B15234" s="43"/>
    </row>
    <row r="15235" spans="2:2" ht="12.75" customHeight="1" x14ac:dyDescent="0.2">
      <c r="B15235" s="43"/>
    </row>
    <row r="15236" spans="2:2" ht="12.75" customHeight="1" x14ac:dyDescent="0.2">
      <c r="B15236" s="43"/>
    </row>
    <row r="15237" spans="2:2" ht="12.75" customHeight="1" x14ac:dyDescent="0.2">
      <c r="B15237" s="43"/>
    </row>
    <row r="15238" spans="2:2" ht="12.75" customHeight="1" x14ac:dyDescent="0.2">
      <c r="B15238" s="43"/>
    </row>
    <row r="15239" spans="2:2" ht="12.75" customHeight="1" x14ac:dyDescent="0.2">
      <c r="B15239" s="43"/>
    </row>
    <row r="15240" spans="2:2" ht="12.75" customHeight="1" x14ac:dyDescent="0.2">
      <c r="B15240" s="43"/>
    </row>
    <row r="15241" spans="2:2" ht="12.75" customHeight="1" x14ac:dyDescent="0.2">
      <c r="B15241" s="43"/>
    </row>
    <row r="15242" spans="2:2" ht="12.75" customHeight="1" x14ac:dyDescent="0.2">
      <c r="B15242" s="43"/>
    </row>
    <row r="15243" spans="2:2" ht="12.75" customHeight="1" x14ac:dyDescent="0.2">
      <c r="B15243" s="43"/>
    </row>
    <row r="15244" spans="2:2" ht="12.75" customHeight="1" x14ac:dyDescent="0.2">
      <c r="B15244" s="43"/>
    </row>
    <row r="15245" spans="2:2" ht="12.75" customHeight="1" x14ac:dyDescent="0.2">
      <c r="B15245" s="43"/>
    </row>
    <row r="15246" spans="2:2" ht="12.75" customHeight="1" x14ac:dyDescent="0.2">
      <c r="B15246" s="43"/>
    </row>
    <row r="15247" spans="2:2" ht="12.75" customHeight="1" x14ac:dyDescent="0.2">
      <c r="B15247" s="43"/>
    </row>
    <row r="15248" spans="2:2" ht="12.75" customHeight="1" x14ac:dyDescent="0.2">
      <c r="B15248" s="43"/>
    </row>
    <row r="15249" spans="2:2" ht="12.75" customHeight="1" x14ac:dyDescent="0.2">
      <c r="B15249" s="43"/>
    </row>
    <row r="15250" spans="2:2" ht="12.75" customHeight="1" x14ac:dyDescent="0.2">
      <c r="B15250" s="43"/>
    </row>
    <row r="15251" spans="2:2" ht="12.75" customHeight="1" x14ac:dyDescent="0.2">
      <c r="B15251" s="43"/>
    </row>
    <row r="15252" spans="2:2" ht="12.75" customHeight="1" x14ac:dyDescent="0.2">
      <c r="B15252" s="43"/>
    </row>
    <row r="15253" spans="2:2" ht="12.75" customHeight="1" x14ac:dyDescent="0.2">
      <c r="B15253" s="43"/>
    </row>
    <row r="15254" spans="2:2" ht="12.75" customHeight="1" x14ac:dyDescent="0.2">
      <c r="B15254" s="43"/>
    </row>
    <row r="15255" spans="2:2" ht="12.75" customHeight="1" x14ac:dyDescent="0.2">
      <c r="B15255" s="43"/>
    </row>
    <row r="15256" spans="2:2" ht="12.75" customHeight="1" x14ac:dyDescent="0.2">
      <c r="B15256" s="43"/>
    </row>
    <row r="15257" spans="2:2" ht="12.75" customHeight="1" x14ac:dyDescent="0.2">
      <c r="B15257" s="43"/>
    </row>
    <row r="15258" spans="2:2" ht="12.75" customHeight="1" x14ac:dyDescent="0.2">
      <c r="B15258" s="43"/>
    </row>
    <row r="15259" spans="2:2" ht="12.75" customHeight="1" x14ac:dyDescent="0.2">
      <c r="B15259" s="43"/>
    </row>
    <row r="15260" spans="2:2" ht="12.75" customHeight="1" x14ac:dyDescent="0.2">
      <c r="B15260" s="43"/>
    </row>
    <row r="15261" spans="2:2" ht="12.75" customHeight="1" x14ac:dyDescent="0.2">
      <c r="B15261" s="43"/>
    </row>
    <row r="15262" spans="2:2" ht="12.75" customHeight="1" x14ac:dyDescent="0.2">
      <c r="B15262" s="43"/>
    </row>
    <row r="15263" spans="2:2" ht="12.75" customHeight="1" x14ac:dyDescent="0.2">
      <c r="B15263" s="43"/>
    </row>
    <row r="15264" spans="2:2" ht="12.75" customHeight="1" x14ac:dyDescent="0.2">
      <c r="B15264" s="43"/>
    </row>
    <row r="15265" spans="2:2" ht="12.75" customHeight="1" x14ac:dyDescent="0.2">
      <c r="B15265" s="43"/>
    </row>
    <row r="15266" spans="2:2" ht="12.75" customHeight="1" x14ac:dyDescent="0.2">
      <c r="B15266" s="43"/>
    </row>
    <row r="15267" spans="2:2" ht="12.75" customHeight="1" x14ac:dyDescent="0.2">
      <c r="B15267" s="43"/>
    </row>
    <row r="15268" spans="2:2" ht="12.75" customHeight="1" x14ac:dyDescent="0.2">
      <c r="B15268" s="43"/>
    </row>
    <row r="15269" spans="2:2" ht="12.75" customHeight="1" x14ac:dyDescent="0.2">
      <c r="B15269" s="43"/>
    </row>
    <row r="15270" spans="2:2" ht="12.75" customHeight="1" x14ac:dyDescent="0.2">
      <c r="B15270" s="43"/>
    </row>
    <row r="15271" spans="2:2" ht="12.75" customHeight="1" x14ac:dyDescent="0.2">
      <c r="B15271" s="43"/>
    </row>
    <row r="15272" spans="2:2" ht="12.75" customHeight="1" x14ac:dyDescent="0.2">
      <c r="B15272" s="43"/>
    </row>
    <row r="15273" spans="2:2" ht="12.75" customHeight="1" x14ac:dyDescent="0.2">
      <c r="B15273" s="43"/>
    </row>
    <row r="15274" spans="2:2" ht="12.75" customHeight="1" x14ac:dyDescent="0.2">
      <c r="B15274" s="43"/>
    </row>
    <row r="15275" spans="2:2" ht="12.75" customHeight="1" x14ac:dyDescent="0.2">
      <c r="B15275" s="43"/>
    </row>
    <row r="15276" spans="2:2" ht="12.75" customHeight="1" x14ac:dyDescent="0.2">
      <c r="B15276" s="43"/>
    </row>
    <row r="15277" spans="2:2" ht="12.75" customHeight="1" x14ac:dyDescent="0.2">
      <c r="B15277" s="43"/>
    </row>
    <row r="15278" spans="2:2" ht="12.75" customHeight="1" x14ac:dyDescent="0.2">
      <c r="B15278" s="43"/>
    </row>
    <row r="15279" spans="2:2" ht="12.75" customHeight="1" x14ac:dyDescent="0.2">
      <c r="B15279" s="43"/>
    </row>
    <row r="15280" spans="2:2" ht="12.75" customHeight="1" x14ac:dyDescent="0.2">
      <c r="B15280" s="43"/>
    </row>
    <row r="15281" spans="2:2" ht="12.75" customHeight="1" x14ac:dyDescent="0.2">
      <c r="B15281" s="43"/>
    </row>
    <row r="15282" spans="2:2" ht="12.75" customHeight="1" x14ac:dyDescent="0.2">
      <c r="B15282" s="43"/>
    </row>
    <row r="15283" spans="2:2" ht="12.75" customHeight="1" x14ac:dyDescent="0.2">
      <c r="B15283" s="43"/>
    </row>
    <row r="15284" spans="2:2" ht="12.75" customHeight="1" x14ac:dyDescent="0.2">
      <c r="B15284" s="43"/>
    </row>
    <row r="15285" spans="2:2" ht="12.75" customHeight="1" x14ac:dyDescent="0.2">
      <c r="B15285" s="43"/>
    </row>
    <row r="15286" spans="2:2" ht="12.75" customHeight="1" x14ac:dyDescent="0.2">
      <c r="B15286" s="43"/>
    </row>
    <row r="15287" spans="2:2" ht="12.75" customHeight="1" x14ac:dyDescent="0.2">
      <c r="B15287" s="43"/>
    </row>
    <row r="15288" spans="2:2" ht="12.75" customHeight="1" x14ac:dyDescent="0.2">
      <c r="B15288" s="43"/>
    </row>
    <row r="15289" spans="2:2" ht="12.75" customHeight="1" x14ac:dyDescent="0.2">
      <c r="B15289" s="43"/>
    </row>
    <row r="15290" spans="2:2" ht="12.75" customHeight="1" x14ac:dyDescent="0.2">
      <c r="B15290" s="43"/>
    </row>
    <row r="15291" spans="2:2" ht="12.75" customHeight="1" x14ac:dyDescent="0.2">
      <c r="B15291" s="43"/>
    </row>
    <row r="15292" spans="2:2" ht="12.75" customHeight="1" x14ac:dyDescent="0.2">
      <c r="B15292" s="43"/>
    </row>
    <row r="15293" spans="2:2" ht="12.75" customHeight="1" x14ac:dyDescent="0.2">
      <c r="B15293" s="43"/>
    </row>
    <row r="15294" spans="2:2" ht="12.75" customHeight="1" x14ac:dyDescent="0.2">
      <c r="B15294" s="43"/>
    </row>
    <row r="15295" spans="2:2" ht="12.75" customHeight="1" x14ac:dyDescent="0.2">
      <c r="B15295" s="43"/>
    </row>
    <row r="15296" spans="2:2" ht="12.75" customHeight="1" x14ac:dyDescent="0.2">
      <c r="B15296" s="43"/>
    </row>
    <row r="15297" spans="2:2" ht="12.75" customHeight="1" x14ac:dyDescent="0.2">
      <c r="B15297" s="43"/>
    </row>
    <row r="15298" spans="2:2" ht="12.75" customHeight="1" x14ac:dyDescent="0.2">
      <c r="B15298" s="43"/>
    </row>
    <row r="15299" spans="2:2" ht="12.75" customHeight="1" x14ac:dyDescent="0.2">
      <c r="B15299" s="43"/>
    </row>
    <row r="15300" spans="2:2" ht="12.75" customHeight="1" x14ac:dyDescent="0.2">
      <c r="B15300" s="43"/>
    </row>
    <row r="15301" spans="2:2" ht="12.75" customHeight="1" x14ac:dyDescent="0.2">
      <c r="B15301" s="43"/>
    </row>
    <row r="15302" spans="2:2" ht="12.75" customHeight="1" x14ac:dyDescent="0.2">
      <c r="B15302" s="43"/>
    </row>
    <row r="15303" spans="2:2" ht="12.75" customHeight="1" x14ac:dyDescent="0.2">
      <c r="B15303" s="43"/>
    </row>
    <row r="15304" spans="2:2" ht="12.75" customHeight="1" x14ac:dyDescent="0.2">
      <c r="B15304" s="43"/>
    </row>
    <row r="15305" spans="2:2" ht="12.75" customHeight="1" x14ac:dyDescent="0.2">
      <c r="B15305" s="43"/>
    </row>
    <row r="15306" spans="2:2" ht="12.75" customHeight="1" x14ac:dyDescent="0.2">
      <c r="B15306" s="43"/>
    </row>
    <row r="15307" spans="2:2" ht="12.75" customHeight="1" x14ac:dyDescent="0.2">
      <c r="B15307" s="43"/>
    </row>
    <row r="15308" spans="2:2" ht="12.75" customHeight="1" x14ac:dyDescent="0.2">
      <c r="B15308" s="43"/>
    </row>
    <row r="15309" spans="2:2" ht="12.75" customHeight="1" x14ac:dyDescent="0.2">
      <c r="B15309" s="43"/>
    </row>
    <row r="15310" spans="2:2" ht="12.75" customHeight="1" x14ac:dyDescent="0.2">
      <c r="B15310" s="43"/>
    </row>
    <row r="15311" spans="2:2" ht="12.75" customHeight="1" x14ac:dyDescent="0.2">
      <c r="B15311" s="43"/>
    </row>
    <row r="15312" spans="2:2" ht="12.75" customHeight="1" x14ac:dyDescent="0.2">
      <c r="B15312" s="43"/>
    </row>
    <row r="15313" spans="2:2" ht="12.75" customHeight="1" x14ac:dyDescent="0.2">
      <c r="B15313" s="43"/>
    </row>
    <row r="15314" spans="2:2" ht="12.75" customHeight="1" x14ac:dyDescent="0.2">
      <c r="B15314" s="43"/>
    </row>
    <row r="15315" spans="2:2" ht="12.75" customHeight="1" x14ac:dyDescent="0.2">
      <c r="B15315" s="43"/>
    </row>
    <row r="15316" spans="2:2" ht="12.75" customHeight="1" x14ac:dyDescent="0.2">
      <c r="B15316" s="43"/>
    </row>
    <row r="15317" spans="2:2" ht="12.75" customHeight="1" x14ac:dyDescent="0.2">
      <c r="B15317" s="43"/>
    </row>
    <row r="15318" spans="2:2" ht="12.75" customHeight="1" x14ac:dyDescent="0.2">
      <c r="B15318" s="43"/>
    </row>
    <row r="15319" spans="2:2" ht="12.75" customHeight="1" x14ac:dyDescent="0.2">
      <c r="B15319" s="43"/>
    </row>
    <row r="15320" spans="2:2" ht="12.75" customHeight="1" x14ac:dyDescent="0.2">
      <c r="B15320" s="43"/>
    </row>
    <row r="15321" spans="2:2" ht="12.75" customHeight="1" x14ac:dyDescent="0.2">
      <c r="B15321" s="43"/>
    </row>
    <row r="15322" spans="2:2" ht="12.75" customHeight="1" x14ac:dyDescent="0.2">
      <c r="B15322" s="43"/>
    </row>
    <row r="15323" spans="2:2" ht="12.75" customHeight="1" x14ac:dyDescent="0.2">
      <c r="B15323" s="43"/>
    </row>
    <row r="15324" spans="2:2" ht="12.75" customHeight="1" x14ac:dyDescent="0.2">
      <c r="B15324" s="43"/>
    </row>
    <row r="15325" spans="2:2" ht="12.75" customHeight="1" x14ac:dyDescent="0.2">
      <c r="B15325" s="43"/>
    </row>
    <row r="15326" spans="2:2" ht="12.75" customHeight="1" x14ac:dyDescent="0.2">
      <c r="B15326" s="43"/>
    </row>
    <row r="15327" spans="2:2" ht="12.75" customHeight="1" x14ac:dyDescent="0.2">
      <c r="B15327" s="43"/>
    </row>
    <row r="15328" spans="2:2" ht="12.75" customHeight="1" x14ac:dyDescent="0.2">
      <c r="B15328" s="43"/>
    </row>
    <row r="15329" spans="2:2" ht="12.75" customHeight="1" x14ac:dyDescent="0.2">
      <c r="B15329" s="43"/>
    </row>
    <row r="15330" spans="2:2" ht="12.75" customHeight="1" x14ac:dyDescent="0.2">
      <c r="B15330" s="43"/>
    </row>
    <row r="15331" spans="2:2" ht="12.75" customHeight="1" x14ac:dyDescent="0.2">
      <c r="B15331" s="43"/>
    </row>
    <row r="15332" spans="2:2" ht="12.75" customHeight="1" x14ac:dyDescent="0.2">
      <c r="B15332" s="43"/>
    </row>
    <row r="15333" spans="2:2" ht="12.75" customHeight="1" x14ac:dyDescent="0.2">
      <c r="B15333" s="43"/>
    </row>
    <row r="15334" spans="2:2" ht="12.75" customHeight="1" x14ac:dyDescent="0.2">
      <c r="B15334" s="43"/>
    </row>
    <row r="15335" spans="2:2" ht="12.75" customHeight="1" x14ac:dyDescent="0.2">
      <c r="B15335" s="43"/>
    </row>
    <row r="15336" spans="2:2" ht="12.75" customHeight="1" x14ac:dyDescent="0.2">
      <c r="B15336" s="43"/>
    </row>
    <row r="15337" spans="2:2" ht="12.75" customHeight="1" x14ac:dyDescent="0.2">
      <c r="B15337" s="43"/>
    </row>
    <row r="15338" spans="2:2" ht="12.75" customHeight="1" x14ac:dyDescent="0.2">
      <c r="B15338" s="43"/>
    </row>
    <row r="15339" spans="2:2" ht="12.75" customHeight="1" x14ac:dyDescent="0.2">
      <c r="B15339" s="43"/>
    </row>
    <row r="15340" spans="2:2" ht="12.75" customHeight="1" x14ac:dyDescent="0.2">
      <c r="B15340" s="43"/>
    </row>
    <row r="15341" spans="2:2" ht="12.75" customHeight="1" x14ac:dyDescent="0.2">
      <c r="B15341" s="43"/>
    </row>
    <row r="15342" spans="2:2" ht="12.75" customHeight="1" x14ac:dyDescent="0.2">
      <c r="B15342" s="43"/>
    </row>
    <row r="15343" spans="2:2" ht="12.75" customHeight="1" x14ac:dyDescent="0.2">
      <c r="B15343" s="43"/>
    </row>
    <row r="15344" spans="2:2" ht="12.75" customHeight="1" x14ac:dyDescent="0.2">
      <c r="B15344" s="43"/>
    </row>
    <row r="15345" spans="2:2" ht="12.75" customHeight="1" x14ac:dyDescent="0.2">
      <c r="B15345" s="43"/>
    </row>
    <row r="15346" spans="2:2" ht="12.75" customHeight="1" x14ac:dyDescent="0.2">
      <c r="B15346" s="43"/>
    </row>
    <row r="15347" spans="2:2" ht="12.75" customHeight="1" x14ac:dyDescent="0.2">
      <c r="B15347" s="43"/>
    </row>
    <row r="15348" spans="2:2" ht="12.75" customHeight="1" x14ac:dyDescent="0.2">
      <c r="B15348" s="43"/>
    </row>
    <row r="15349" spans="2:2" ht="12.75" customHeight="1" x14ac:dyDescent="0.2">
      <c r="B15349" s="43"/>
    </row>
    <row r="15350" spans="2:2" ht="12.75" customHeight="1" x14ac:dyDescent="0.2">
      <c r="B15350" s="43"/>
    </row>
    <row r="15351" spans="2:2" ht="12.75" customHeight="1" x14ac:dyDescent="0.2">
      <c r="B15351" s="43"/>
    </row>
    <row r="15352" spans="2:2" ht="12.75" customHeight="1" x14ac:dyDescent="0.2">
      <c r="B15352" s="43"/>
    </row>
    <row r="15353" spans="2:2" ht="12.75" customHeight="1" x14ac:dyDescent="0.2">
      <c r="B15353" s="43"/>
    </row>
    <row r="15354" spans="2:2" ht="12.75" customHeight="1" x14ac:dyDescent="0.2">
      <c r="B15354" s="43"/>
    </row>
    <row r="15355" spans="2:2" ht="12.75" customHeight="1" x14ac:dyDescent="0.2">
      <c r="B15355" s="43"/>
    </row>
    <row r="15356" spans="2:2" ht="12.75" customHeight="1" x14ac:dyDescent="0.2">
      <c r="B15356" s="43"/>
    </row>
    <row r="15357" spans="2:2" ht="12.75" customHeight="1" x14ac:dyDescent="0.2">
      <c r="B15357" s="43"/>
    </row>
    <row r="15358" spans="2:2" ht="12.75" customHeight="1" x14ac:dyDescent="0.2">
      <c r="B15358" s="43"/>
    </row>
    <row r="15359" spans="2:2" ht="12.75" customHeight="1" x14ac:dyDescent="0.2">
      <c r="B15359" s="43"/>
    </row>
    <row r="15360" spans="2:2" ht="12.75" customHeight="1" x14ac:dyDescent="0.2">
      <c r="B15360" s="43"/>
    </row>
    <row r="15361" spans="2:2" ht="12.75" customHeight="1" x14ac:dyDescent="0.2">
      <c r="B15361" s="43"/>
    </row>
    <row r="15362" spans="2:2" ht="12.75" customHeight="1" x14ac:dyDescent="0.2">
      <c r="B15362" s="43"/>
    </row>
    <row r="15363" spans="2:2" ht="12.75" customHeight="1" x14ac:dyDescent="0.2">
      <c r="B15363" s="43"/>
    </row>
    <row r="15364" spans="2:2" ht="12.75" customHeight="1" x14ac:dyDescent="0.2">
      <c r="B15364" s="43"/>
    </row>
    <row r="15365" spans="2:2" ht="12.75" customHeight="1" x14ac:dyDescent="0.2">
      <c r="B15365" s="43"/>
    </row>
    <row r="15366" spans="2:2" ht="12.75" customHeight="1" x14ac:dyDescent="0.2">
      <c r="B15366" s="43"/>
    </row>
    <row r="15367" spans="2:2" ht="12.75" customHeight="1" x14ac:dyDescent="0.2">
      <c r="B15367" s="43"/>
    </row>
    <row r="15368" spans="2:2" ht="12.75" customHeight="1" x14ac:dyDescent="0.2">
      <c r="B15368" s="43"/>
    </row>
    <row r="15369" spans="2:2" ht="12.75" customHeight="1" x14ac:dyDescent="0.2">
      <c r="B15369" s="43"/>
    </row>
    <row r="15370" spans="2:2" ht="12.75" customHeight="1" x14ac:dyDescent="0.2">
      <c r="B15370" s="43"/>
    </row>
    <row r="15371" spans="2:2" ht="12.75" customHeight="1" x14ac:dyDescent="0.2">
      <c r="B15371" s="43"/>
    </row>
    <row r="15372" spans="2:2" ht="12.75" customHeight="1" x14ac:dyDescent="0.2">
      <c r="B15372" s="43"/>
    </row>
    <row r="15373" spans="2:2" ht="12.75" customHeight="1" x14ac:dyDescent="0.2">
      <c r="B15373" s="43"/>
    </row>
    <row r="15374" spans="2:2" ht="12.75" customHeight="1" x14ac:dyDescent="0.2">
      <c r="B15374" s="43"/>
    </row>
    <row r="15375" spans="2:2" ht="12.75" customHeight="1" x14ac:dyDescent="0.2">
      <c r="B15375" s="43"/>
    </row>
    <row r="15376" spans="2:2" ht="12.75" customHeight="1" x14ac:dyDescent="0.2">
      <c r="B15376" s="43"/>
    </row>
    <row r="15377" spans="2:2" ht="12.75" customHeight="1" x14ac:dyDescent="0.2">
      <c r="B15377" s="43"/>
    </row>
    <row r="15378" spans="2:2" ht="12.75" customHeight="1" x14ac:dyDescent="0.2">
      <c r="B15378" s="43"/>
    </row>
    <row r="15379" spans="2:2" ht="12.75" customHeight="1" x14ac:dyDescent="0.2">
      <c r="B15379" s="43"/>
    </row>
    <row r="15380" spans="2:2" ht="12.75" customHeight="1" x14ac:dyDescent="0.2">
      <c r="B15380" s="43"/>
    </row>
    <row r="15381" spans="2:2" ht="12.75" customHeight="1" x14ac:dyDescent="0.2">
      <c r="B15381" s="43"/>
    </row>
    <row r="15382" spans="2:2" ht="12.75" customHeight="1" x14ac:dyDescent="0.2">
      <c r="B15382" s="43"/>
    </row>
    <row r="15383" spans="2:2" ht="12.75" customHeight="1" x14ac:dyDescent="0.2">
      <c r="B15383" s="43"/>
    </row>
    <row r="15384" spans="2:2" ht="12.75" customHeight="1" x14ac:dyDescent="0.2">
      <c r="B15384" s="43"/>
    </row>
    <row r="15385" spans="2:2" ht="12.75" customHeight="1" x14ac:dyDescent="0.2">
      <c r="B15385" s="43"/>
    </row>
    <row r="15386" spans="2:2" ht="12.75" customHeight="1" x14ac:dyDescent="0.2">
      <c r="B15386" s="43"/>
    </row>
    <row r="15387" spans="2:2" ht="12.75" customHeight="1" x14ac:dyDescent="0.2">
      <c r="B15387" s="43"/>
    </row>
    <row r="15388" spans="2:2" ht="12.75" customHeight="1" x14ac:dyDescent="0.2">
      <c r="B15388" s="43"/>
    </row>
    <row r="15389" spans="2:2" ht="12.75" customHeight="1" x14ac:dyDescent="0.2">
      <c r="B15389" s="43"/>
    </row>
    <row r="15390" spans="2:2" ht="12.75" customHeight="1" x14ac:dyDescent="0.2">
      <c r="B15390" s="43"/>
    </row>
    <row r="15391" spans="2:2" ht="12.75" customHeight="1" x14ac:dyDescent="0.2">
      <c r="B15391" s="43"/>
    </row>
    <row r="15392" spans="2:2" ht="12.75" customHeight="1" x14ac:dyDescent="0.2">
      <c r="B15392" s="43"/>
    </row>
    <row r="15393" spans="2:2" ht="12.75" customHeight="1" x14ac:dyDescent="0.2">
      <c r="B15393" s="43"/>
    </row>
    <row r="15394" spans="2:2" ht="12.75" customHeight="1" x14ac:dyDescent="0.2">
      <c r="B15394" s="43"/>
    </row>
    <row r="15395" spans="2:2" ht="12.75" customHeight="1" x14ac:dyDescent="0.2">
      <c r="B15395" s="43"/>
    </row>
    <row r="15396" spans="2:2" ht="12.75" customHeight="1" x14ac:dyDescent="0.2">
      <c r="B15396" s="43"/>
    </row>
    <row r="15397" spans="2:2" ht="12.75" customHeight="1" x14ac:dyDescent="0.2">
      <c r="B15397" s="43"/>
    </row>
    <row r="15398" spans="2:2" ht="12.75" customHeight="1" x14ac:dyDescent="0.2">
      <c r="B15398" s="43"/>
    </row>
    <row r="15399" spans="2:2" ht="12.75" customHeight="1" x14ac:dyDescent="0.2">
      <c r="B15399" s="43"/>
    </row>
    <row r="15400" spans="2:2" ht="12.75" customHeight="1" x14ac:dyDescent="0.2">
      <c r="B15400" s="43"/>
    </row>
    <row r="15401" spans="2:2" ht="12.75" customHeight="1" x14ac:dyDescent="0.2">
      <c r="B15401" s="43"/>
    </row>
    <row r="15402" spans="2:2" ht="12.75" customHeight="1" x14ac:dyDescent="0.2">
      <c r="B15402" s="43"/>
    </row>
    <row r="15403" spans="2:2" ht="12.75" customHeight="1" x14ac:dyDescent="0.2">
      <c r="B15403" s="43"/>
    </row>
    <row r="15404" spans="2:2" ht="12.75" customHeight="1" x14ac:dyDescent="0.2">
      <c r="B15404" s="43"/>
    </row>
    <row r="15405" spans="2:2" ht="12.75" customHeight="1" x14ac:dyDescent="0.2">
      <c r="B15405" s="43"/>
    </row>
    <row r="15406" spans="2:2" ht="12.75" customHeight="1" x14ac:dyDescent="0.2">
      <c r="B15406" s="43"/>
    </row>
    <row r="15407" spans="2:2" ht="12.75" customHeight="1" x14ac:dyDescent="0.2">
      <c r="B15407" s="43"/>
    </row>
    <row r="15408" spans="2:2" ht="12.75" customHeight="1" x14ac:dyDescent="0.2">
      <c r="B15408" s="43"/>
    </row>
    <row r="15409" spans="2:2" ht="12.75" customHeight="1" x14ac:dyDescent="0.2">
      <c r="B15409" s="43"/>
    </row>
    <row r="15410" spans="2:2" ht="12.75" customHeight="1" x14ac:dyDescent="0.2">
      <c r="B15410" s="43"/>
    </row>
    <row r="15411" spans="2:2" ht="12.75" customHeight="1" x14ac:dyDescent="0.2">
      <c r="B15411" s="43"/>
    </row>
    <row r="15412" spans="2:2" ht="12.75" customHeight="1" x14ac:dyDescent="0.2">
      <c r="B15412" s="43"/>
    </row>
    <row r="15413" spans="2:2" ht="12.75" customHeight="1" x14ac:dyDescent="0.2">
      <c r="B15413" s="43"/>
    </row>
    <row r="15414" spans="2:2" ht="12.75" customHeight="1" x14ac:dyDescent="0.2">
      <c r="B15414" s="43"/>
    </row>
    <row r="15415" spans="2:2" ht="12.75" customHeight="1" x14ac:dyDescent="0.2">
      <c r="B15415" s="43"/>
    </row>
    <row r="15416" spans="2:2" ht="12.75" customHeight="1" x14ac:dyDescent="0.2">
      <c r="B15416" s="43"/>
    </row>
    <row r="15417" spans="2:2" ht="12.75" customHeight="1" x14ac:dyDescent="0.2">
      <c r="B15417" s="43"/>
    </row>
    <row r="15418" spans="2:2" ht="12.75" customHeight="1" x14ac:dyDescent="0.2">
      <c r="B15418" s="43"/>
    </row>
    <row r="15419" spans="2:2" ht="12.75" customHeight="1" x14ac:dyDescent="0.2">
      <c r="B15419" s="43"/>
    </row>
    <row r="15420" spans="2:2" ht="12.75" customHeight="1" x14ac:dyDescent="0.2">
      <c r="B15420" s="43"/>
    </row>
    <row r="15421" spans="2:2" ht="12.75" customHeight="1" x14ac:dyDescent="0.2">
      <c r="B15421" s="43"/>
    </row>
    <row r="15422" spans="2:2" ht="12.75" customHeight="1" x14ac:dyDescent="0.2">
      <c r="B15422" s="43"/>
    </row>
    <row r="15423" spans="2:2" ht="12.75" customHeight="1" x14ac:dyDescent="0.2">
      <c r="B15423" s="43"/>
    </row>
    <row r="15424" spans="2:2" ht="12.75" customHeight="1" x14ac:dyDescent="0.2">
      <c r="B15424" s="43"/>
    </row>
    <row r="15425" spans="2:2" ht="12.75" customHeight="1" x14ac:dyDescent="0.2">
      <c r="B15425" s="43"/>
    </row>
    <row r="15426" spans="2:2" ht="12.75" customHeight="1" x14ac:dyDescent="0.2">
      <c r="B15426" s="43"/>
    </row>
    <row r="15427" spans="2:2" ht="12.75" customHeight="1" x14ac:dyDescent="0.2">
      <c r="B15427" s="43"/>
    </row>
    <row r="15428" spans="2:2" ht="12.75" customHeight="1" x14ac:dyDescent="0.2">
      <c r="B15428" s="43"/>
    </row>
    <row r="15429" spans="2:2" ht="12.75" customHeight="1" x14ac:dyDescent="0.2">
      <c r="B15429" s="43"/>
    </row>
    <row r="15430" spans="2:2" ht="12.75" customHeight="1" x14ac:dyDescent="0.2">
      <c r="B15430" s="43"/>
    </row>
    <row r="15431" spans="2:2" ht="12.75" customHeight="1" x14ac:dyDescent="0.2">
      <c r="B15431" s="43"/>
    </row>
    <row r="15432" spans="2:2" ht="12.75" customHeight="1" x14ac:dyDescent="0.2">
      <c r="B15432" s="43"/>
    </row>
    <row r="15433" spans="2:2" ht="12.75" customHeight="1" x14ac:dyDescent="0.2">
      <c r="B15433" s="43"/>
    </row>
    <row r="15434" spans="2:2" ht="12.75" customHeight="1" x14ac:dyDescent="0.2">
      <c r="B15434" s="43"/>
    </row>
    <row r="15435" spans="2:2" ht="12.75" customHeight="1" x14ac:dyDescent="0.2">
      <c r="B15435" s="43"/>
    </row>
    <row r="15436" spans="2:2" ht="12.75" customHeight="1" x14ac:dyDescent="0.2">
      <c r="B15436" s="43"/>
    </row>
    <row r="15437" spans="2:2" ht="12.75" customHeight="1" x14ac:dyDescent="0.2">
      <c r="B15437" s="43"/>
    </row>
    <row r="15438" spans="2:2" ht="12.75" customHeight="1" x14ac:dyDescent="0.2">
      <c r="B15438" s="43"/>
    </row>
    <row r="15439" spans="2:2" ht="12.75" customHeight="1" x14ac:dyDescent="0.2">
      <c r="B15439" s="43"/>
    </row>
    <row r="15440" spans="2:2" ht="12.75" customHeight="1" x14ac:dyDescent="0.2">
      <c r="B15440" s="43"/>
    </row>
    <row r="15441" spans="2:2" ht="12.75" customHeight="1" x14ac:dyDescent="0.2">
      <c r="B15441" s="43"/>
    </row>
    <row r="15442" spans="2:2" ht="12.75" customHeight="1" x14ac:dyDescent="0.2">
      <c r="B15442" s="43"/>
    </row>
    <row r="15443" spans="2:2" ht="12.75" customHeight="1" x14ac:dyDescent="0.2">
      <c r="B15443" s="43"/>
    </row>
    <row r="15444" spans="2:2" ht="12.75" customHeight="1" x14ac:dyDescent="0.2">
      <c r="B15444" s="43"/>
    </row>
    <row r="15445" spans="2:2" ht="12.75" customHeight="1" x14ac:dyDescent="0.2">
      <c r="B15445" s="43"/>
    </row>
    <row r="15446" spans="2:2" ht="12.75" customHeight="1" x14ac:dyDescent="0.2">
      <c r="B15446" s="43"/>
    </row>
    <row r="15447" spans="2:2" ht="12.75" customHeight="1" x14ac:dyDescent="0.2">
      <c r="B15447" s="43"/>
    </row>
    <row r="15448" spans="2:2" ht="12.75" customHeight="1" x14ac:dyDescent="0.2">
      <c r="B15448" s="43"/>
    </row>
    <row r="15449" spans="2:2" ht="12.75" customHeight="1" x14ac:dyDescent="0.2">
      <c r="B15449" s="43"/>
    </row>
    <row r="15450" spans="2:2" ht="12.75" customHeight="1" x14ac:dyDescent="0.2">
      <c r="B15450" s="43"/>
    </row>
    <row r="15451" spans="2:2" ht="12.75" customHeight="1" x14ac:dyDescent="0.2">
      <c r="B15451" s="43"/>
    </row>
    <row r="15452" spans="2:2" ht="12.75" customHeight="1" x14ac:dyDescent="0.2">
      <c r="B15452" s="43"/>
    </row>
    <row r="15453" spans="2:2" ht="12.75" customHeight="1" x14ac:dyDescent="0.2">
      <c r="B15453" s="43"/>
    </row>
    <row r="15454" spans="2:2" ht="12.75" customHeight="1" x14ac:dyDescent="0.2">
      <c r="B15454" s="43"/>
    </row>
    <row r="15455" spans="2:2" ht="12.75" customHeight="1" x14ac:dyDescent="0.2">
      <c r="B15455" s="43"/>
    </row>
    <row r="15456" spans="2:2" ht="12.75" customHeight="1" x14ac:dyDescent="0.2">
      <c r="B15456" s="43"/>
    </row>
    <row r="15457" spans="2:2" ht="12.75" customHeight="1" x14ac:dyDescent="0.2">
      <c r="B15457" s="43"/>
    </row>
    <row r="15458" spans="2:2" ht="12.75" customHeight="1" x14ac:dyDescent="0.2">
      <c r="B15458" s="43"/>
    </row>
    <row r="15459" spans="2:2" ht="12.75" customHeight="1" x14ac:dyDescent="0.2">
      <c r="B15459" s="43"/>
    </row>
    <row r="15460" spans="2:2" ht="12.75" customHeight="1" x14ac:dyDescent="0.2">
      <c r="B15460" s="43"/>
    </row>
    <row r="15461" spans="2:2" ht="12.75" customHeight="1" x14ac:dyDescent="0.2">
      <c r="B15461" s="43"/>
    </row>
    <row r="15462" spans="2:2" ht="12.75" customHeight="1" x14ac:dyDescent="0.2">
      <c r="B15462" s="43"/>
    </row>
    <row r="15463" spans="2:2" ht="12.75" customHeight="1" x14ac:dyDescent="0.2">
      <c r="B15463" s="43"/>
    </row>
    <row r="15464" spans="2:2" ht="12.75" customHeight="1" x14ac:dyDescent="0.2">
      <c r="B15464" s="43"/>
    </row>
    <row r="15465" spans="2:2" ht="12.75" customHeight="1" x14ac:dyDescent="0.2">
      <c r="B15465" s="43"/>
    </row>
    <row r="15466" spans="2:2" ht="12.75" customHeight="1" x14ac:dyDescent="0.2">
      <c r="B15466" s="43"/>
    </row>
    <row r="15467" spans="2:2" ht="12.75" customHeight="1" x14ac:dyDescent="0.2">
      <c r="B15467" s="43"/>
    </row>
    <row r="15468" spans="2:2" ht="12.75" customHeight="1" x14ac:dyDescent="0.2">
      <c r="B15468" s="43"/>
    </row>
    <row r="15469" spans="2:2" ht="12.75" customHeight="1" x14ac:dyDescent="0.2">
      <c r="B15469" s="43"/>
    </row>
    <row r="15470" spans="2:2" ht="12.75" customHeight="1" x14ac:dyDescent="0.2">
      <c r="B15470" s="43"/>
    </row>
    <row r="15471" spans="2:2" ht="12.75" customHeight="1" x14ac:dyDescent="0.2">
      <c r="B15471" s="43"/>
    </row>
    <row r="15472" spans="2:2" ht="12.75" customHeight="1" x14ac:dyDescent="0.2">
      <c r="B15472" s="43"/>
    </row>
    <row r="15473" spans="2:2" ht="12.75" customHeight="1" x14ac:dyDescent="0.2">
      <c r="B15473" s="43"/>
    </row>
    <row r="15474" spans="2:2" ht="12.75" customHeight="1" x14ac:dyDescent="0.2">
      <c r="B15474" s="43"/>
    </row>
    <row r="15475" spans="2:2" ht="12.75" customHeight="1" x14ac:dyDescent="0.2">
      <c r="B15475" s="43"/>
    </row>
    <row r="15476" spans="2:2" ht="12.75" customHeight="1" x14ac:dyDescent="0.2">
      <c r="B15476" s="43"/>
    </row>
    <row r="15477" spans="2:2" ht="12.75" customHeight="1" x14ac:dyDescent="0.2">
      <c r="B15477" s="43"/>
    </row>
    <row r="15478" spans="2:2" ht="12.75" customHeight="1" x14ac:dyDescent="0.2">
      <c r="B15478" s="43"/>
    </row>
    <row r="15479" spans="2:2" ht="12.75" customHeight="1" x14ac:dyDescent="0.2">
      <c r="B15479" s="43"/>
    </row>
    <row r="15480" spans="2:2" ht="12.75" customHeight="1" x14ac:dyDescent="0.2">
      <c r="B15480" s="43"/>
    </row>
    <row r="15481" spans="2:2" ht="12.75" customHeight="1" x14ac:dyDescent="0.2">
      <c r="B15481" s="43"/>
    </row>
    <row r="15482" spans="2:2" ht="12.75" customHeight="1" x14ac:dyDescent="0.2">
      <c r="B15482" s="43"/>
    </row>
    <row r="15483" spans="2:2" ht="12.75" customHeight="1" x14ac:dyDescent="0.2">
      <c r="B15483" s="43"/>
    </row>
    <row r="15484" spans="2:2" ht="12.75" customHeight="1" x14ac:dyDescent="0.2">
      <c r="B15484" s="43"/>
    </row>
    <row r="15485" spans="2:2" ht="12.75" customHeight="1" x14ac:dyDescent="0.2">
      <c r="B15485" s="43"/>
    </row>
    <row r="15486" spans="2:2" ht="12.75" customHeight="1" x14ac:dyDescent="0.2">
      <c r="B15486" s="43"/>
    </row>
    <row r="15487" spans="2:2" ht="12.75" customHeight="1" x14ac:dyDescent="0.2">
      <c r="B15487" s="43"/>
    </row>
    <row r="15488" spans="2:2" ht="12.75" customHeight="1" x14ac:dyDescent="0.2">
      <c r="B15488" s="43"/>
    </row>
    <row r="15489" spans="2:2" ht="12.75" customHeight="1" x14ac:dyDescent="0.2">
      <c r="B15489" s="43"/>
    </row>
    <row r="15490" spans="2:2" ht="12.75" customHeight="1" x14ac:dyDescent="0.2">
      <c r="B15490" s="43"/>
    </row>
    <row r="15491" spans="2:2" ht="12.75" customHeight="1" x14ac:dyDescent="0.2">
      <c r="B15491" s="43"/>
    </row>
    <row r="15492" spans="2:2" ht="12.75" customHeight="1" x14ac:dyDescent="0.2">
      <c r="B15492" s="43"/>
    </row>
    <row r="15493" spans="2:2" ht="12.75" customHeight="1" x14ac:dyDescent="0.2">
      <c r="B15493" s="43"/>
    </row>
    <row r="15494" spans="2:2" ht="12.75" customHeight="1" x14ac:dyDescent="0.2">
      <c r="B15494" s="43"/>
    </row>
    <row r="15495" spans="2:2" ht="12.75" customHeight="1" x14ac:dyDescent="0.2">
      <c r="B15495" s="43"/>
    </row>
    <row r="15496" spans="2:2" ht="12.75" customHeight="1" x14ac:dyDescent="0.2">
      <c r="B15496" s="43"/>
    </row>
    <row r="15497" spans="2:2" ht="12.75" customHeight="1" x14ac:dyDescent="0.2">
      <c r="B15497" s="43"/>
    </row>
    <row r="15498" spans="2:2" ht="12.75" customHeight="1" x14ac:dyDescent="0.2">
      <c r="B15498" s="43"/>
    </row>
    <row r="15499" spans="2:2" ht="12.75" customHeight="1" x14ac:dyDescent="0.2">
      <c r="B15499" s="43"/>
    </row>
    <row r="15500" spans="2:2" ht="12.75" customHeight="1" x14ac:dyDescent="0.2">
      <c r="B15500" s="43"/>
    </row>
    <row r="15501" spans="2:2" ht="12.75" customHeight="1" x14ac:dyDescent="0.2">
      <c r="B15501" s="43"/>
    </row>
    <row r="15502" spans="2:2" ht="12.75" customHeight="1" x14ac:dyDescent="0.2">
      <c r="B15502" s="43"/>
    </row>
    <row r="15503" spans="2:2" ht="12.75" customHeight="1" x14ac:dyDescent="0.2">
      <c r="B15503" s="43"/>
    </row>
    <row r="15504" spans="2:2" ht="12.75" customHeight="1" x14ac:dyDescent="0.2">
      <c r="B15504" s="43"/>
    </row>
    <row r="15505" spans="2:2" ht="12.75" customHeight="1" x14ac:dyDescent="0.2">
      <c r="B15505" s="43"/>
    </row>
    <row r="15506" spans="2:2" ht="12.75" customHeight="1" x14ac:dyDescent="0.2">
      <c r="B15506" s="43"/>
    </row>
    <row r="15507" spans="2:2" ht="12.75" customHeight="1" x14ac:dyDescent="0.2">
      <c r="B15507" s="43"/>
    </row>
    <row r="15508" spans="2:2" ht="12.75" customHeight="1" x14ac:dyDescent="0.2">
      <c r="B15508" s="43"/>
    </row>
    <row r="15509" spans="2:2" ht="12.75" customHeight="1" x14ac:dyDescent="0.2">
      <c r="B15509" s="43"/>
    </row>
    <row r="15510" spans="2:2" ht="12.75" customHeight="1" x14ac:dyDescent="0.2">
      <c r="B15510" s="43"/>
    </row>
    <row r="15511" spans="2:2" ht="12.75" customHeight="1" x14ac:dyDescent="0.2">
      <c r="B15511" s="43"/>
    </row>
    <row r="15512" spans="2:2" ht="12.75" customHeight="1" x14ac:dyDescent="0.2">
      <c r="B15512" s="43"/>
    </row>
    <row r="15513" spans="2:2" ht="12.75" customHeight="1" x14ac:dyDescent="0.2">
      <c r="B15513" s="43"/>
    </row>
    <row r="15514" spans="2:2" ht="12.75" customHeight="1" x14ac:dyDescent="0.2">
      <c r="B15514" s="43"/>
    </row>
    <row r="15515" spans="2:2" ht="12.75" customHeight="1" x14ac:dyDescent="0.2">
      <c r="B15515" s="43"/>
    </row>
    <row r="15516" spans="2:2" ht="12.75" customHeight="1" x14ac:dyDescent="0.2">
      <c r="B15516" s="43"/>
    </row>
    <row r="15517" spans="2:2" ht="12.75" customHeight="1" x14ac:dyDescent="0.2">
      <c r="B15517" s="43"/>
    </row>
    <row r="15518" spans="2:2" ht="12.75" customHeight="1" x14ac:dyDescent="0.2">
      <c r="B15518" s="43"/>
    </row>
    <row r="15519" spans="2:2" ht="12.75" customHeight="1" x14ac:dyDescent="0.2">
      <c r="B15519" s="43"/>
    </row>
    <row r="15520" spans="2:2" ht="12.75" customHeight="1" x14ac:dyDescent="0.2">
      <c r="B15520" s="43"/>
    </row>
    <row r="15521" spans="2:2" ht="12.75" customHeight="1" x14ac:dyDescent="0.2">
      <c r="B15521" s="43"/>
    </row>
    <row r="15522" spans="2:2" ht="12.75" customHeight="1" x14ac:dyDescent="0.2">
      <c r="B15522" s="43"/>
    </row>
    <row r="15523" spans="2:2" ht="12.75" customHeight="1" x14ac:dyDescent="0.2">
      <c r="B15523" s="43"/>
    </row>
    <row r="15524" spans="2:2" ht="12.75" customHeight="1" x14ac:dyDescent="0.2">
      <c r="B15524" s="43"/>
    </row>
    <row r="15525" spans="2:2" ht="12.75" customHeight="1" x14ac:dyDescent="0.2">
      <c r="B15525" s="43"/>
    </row>
    <row r="15526" spans="2:2" ht="12.75" customHeight="1" x14ac:dyDescent="0.2">
      <c r="B15526" s="43"/>
    </row>
    <row r="15527" spans="2:2" ht="12.75" customHeight="1" x14ac:dyDescent="0.2">
      <c r="B15527" s="43"/>
    </row>
    <row r="15528" spans="2:2" ht="12.75" customHeight="1" x14ac:dyDescent="0.2">
      <c r="B15528" s="43"/>
    </row>
    <row r="15529" spans="2:2" ht="12.75" customHeight="1" x14ac:dyDescent="0.2">
      <c r="B15529" s="43"/>
    </row>
    <row r="15530" spans="2:2" ht="12.75" customHeight="1" x14ac:dyDescent="0.2">
      <c r="B15530" s="43"/>
    </row>
    <row r="15531" spans="2:2" ht="12.75" customHeight="1" x14ac:dyDescent="0.2">
      <c r="B15531" s="43"/>
    </row>
    <row r="15532" spans="2:2" ht="12.75" customHeight="1" x14ac:dyDescent="0.2">
      <c r="B15532" s="43"/>
    </row>
    <row r="15533" spans="2:2" ht="12.75" customHeight="1" x14ac:dyDescent="0.2">
      <c r="B15533" s="43"/>
    </row>
    <row r="15534" spans="2:2" ht="12.75" customHeight="1" x14ac:dyDescent="0.2">
      <c r="B15534" s="43"/>
    </row>
    <row r="15535" spans="2:2" ht="12.75" customHeight="1" x14ac:dyDescent="0.2">
      <c r="B15535" s="43"/>
    </row>
    <row r="15536" spans="2:2" ht="12.75" customHeight="1" x14ac:dyDescent="0.2">
      <c r="B15536" s="43"/>
    </row>
    <row r="15537" spans="2:2" ht="12.75" customHeight="1" x14ac:dyDescent="0.2">
      <c r="B15537" s="43"/>
    </row>
    <row r="15538" spans="2:2" ht="12.75" customHeight="1" x14ac:dyDescent="0.2">
      <c r="B15538" s="43"/>
    </row>
    <row r="15539" spans="2:2" ht="12.75" customHeight="1" x14ac:dyDescent="0.2">
      <c r="B15539" s="43"/>
    </row>
    <row r="15540" spans="2:2" ht="12.75" customHeight="1" x14ac:dyDescent="0.2">
      <c r="B15540" s="43"/>
    </row>
    <row r="15541" spans="2:2" ht="12.75" customHeight="1" x14ac:dyDescent="0.2">
      <c r="B15541" s="43"/>
    </row>
    <row r="15542" spans="2:2" ht="12.75" customHeight="1" x14ac:dyDescent="0.2">
      <c r="B15542" s="43"/>
    </row>
    <row r="15543" spans="2:2" ht="12.75" customHeight="1" x14ac:dyDescent="0.2">
      <c r="B15543" s="43"/>
    </row>
    <row r="15544" spans="2:2" ht="12.75" customHeight="1" x14ac:dyDescent="0.2">
      <c r="B15544" s="43"/>
    </row>
    <row r="15545" spans="2:2" ht="12.75" customHeight="1" x14ac:dyDescent="0.2">
      <c r="B15545" s="43"/>
    </row>
    <row r="15546" spans="2:2" ht="12.75" customHeight="1" x14ac:dyDescent="0.2">
      <c r="B15546" s="43"/>
    </row>
    <row r="15547" spans="2:2" ht="12.75" customHeight="1" x14ac:dyDescent="0.2">
      <c r="B15547" s="43"/>
    </row>
    <row r="15548" spans="2:2" ht="12.75" customHeight="1" x14ac:dyDescent="0.2">
      <c r="B15548" s="43"/>
    </row>
    <row r="15549" spans="2:2" ht="12.75" customHeight="1" x14ac:dyDescent="0.2">
      <c r="B15549" s="43"/>
    </row>
    <row r="15550" spans="2:2" ht="12.75" customHeight="1" x14ac:dyDescent="0.2">
      <c r="B15550" s="43"/>
    </row>
    <row r="15551" spans="2:2" ht="12.75" customHeight="1" x14ac:dyDescent="0.2">
      <c r="B15551" s="43"/>
    </row>
    <row r="15552" spans="2:2" ht="12.75" customHeight="1" x14ac:dyDescent="0.2">
      <c r="B15552" s="43"/>
    </row>
    <row r="15553" spans="2:2" ht="12.75" customHeight="1" x14ac:dyDescent="0.2">
      <c r="B15553" s="43"/>
    </row>
    <row r="15554" spans="2:2" ht="12.75" customHeight="1" x14ac:dyDescent="0.2">
      <c r="B15554" s="43"/>
    </row>
    <row r="15555" spans="2:2" ht="12.75" customHeight="1" x14ac:dyDescent="0.2">
      <c r="B15555" s="43"/>
    </row>
    <row r="15556" spans="2:2" ht="12.75" customHeight="1" x14ac:dyDescent="0.2">
      <c r="B15556" s="43"/>
    </row>
    <row r="15557" spans="2:2" ht="12.75" customHeight="1" x14ac:dyDescent="0.2">
      <c r="B15557" s="43"/>
    </row>
    <row r="15558" spans="2:2" ht="12.75" customHeight="1" x14ac:dyDescent="0.2">
      <c r="B15558" s="43"/>
    </row>
    <row r="15559" spans="2:2" ht="12.75" customHeight="1" x14ac:dyDescent="0.2">
      <c r="B15559" s="43"/>
    </row>
    <row r="15560" spans="2:2" ht="12.75" customHeight="1" x14ac:dyDescent="0.2">
      <c r="B15560" s="43"/>
    </row>
    <row r="15561" spans="2:2" ht="12.75" customHeight="1" x14ac:dyDescent="0.2">
      <c r="B15561" s="43"/>
    </row>
    <row r="15562" spans="2:2" ht="12.75" customHeight="1" x14ac:dyDescent="0.2">
      <c r="B15562" s="43"/>
    </row>
    <row r="15563" spans="2:2" ht="12.75" customHeight="1" x14ac:dyDescent="0.2">
      <c r="B15563" s="43"/>
    </row>
    <row r="15564" spans="2:2" ht="12.75" customHeight="1" x14ac:dyDescent="0.2">
      <c r="B15564" s="43"/>
    </row>
    <row r="15565" spans="2:2" ht="12.75" customHeight="1" x14ac:dyDescent="0.2">
      <c r="B15565" s="43"/>
    </row>
    <row r="15566" spans="2:2" ht="12.75" customHeight="1" x14ac:dyDescent="0.2">
      <c r="B15566" s="43"/>
    </row>
    <row r="15567" spans="2:2" ht="12.75" customHeight="1" x14ac:dyDescent="0.2">
      <c r="B15567" s="43"/>
    </row>
    <row r="15568" spans="2:2" ht="12.75" customHeight="1" x14ac:dyDescent="0.2">
      <c r="B15568" s="43"/>
    </row>
    <row r="15569" spans="2:2" ht="12.75" customHeight="1" x14ac:dyDescent="0.2">
      <c r="B15569" s="43"/>
    </row>
    <row r="15570" spans="2:2" ht="12.75" customHeight="1" x14ac:dyDescent="0.2">
      <c r="B15570" s="43"/>
    </row>
    <row r="15571" spans="2:2" ht="12.75" customHeight="1" x14ac:dyDescent="0.2">
      <c r="B15571" s="43"/>
    </row>
    <row r="15572" spans="2:2" ht="12.75" customHeight="1" x14ac:dyDescent="0.2">
      <c r="B15572" s="43"/>
    </row>
    <row r="15573" spans="2:2" ht="12.75" customHeight="1" x14ac:dyDescent="0.2">
      <c r="B15573" s="43"/>
    </row>
    <row r="15574" spans="2:2" ht="12.75" customHeight="1" x14ac:dyDescent="0.2">
      <c r="B15574" s="43"/>
    </row>
    <row r="15575" spans="2:2" ht="12.75" customHeight="1" x14ac:dyDescent="0.2">
      <c r="B15575" s="43"/>
    </row>
    <row r="15576" spans="2:2" ht="12.75" customHeight="1" x14ac:dyDescent="0.2">
      <c r="B15576" s="43"/>
    </row>
    <row r="15577" spans="2:2" ht="12.75" customHeight="1" x14ac:dyDescent="0.2">
      <c r="B15577" s="43"/>
    </row>
    <row r="15578" spans="2:2" ht="12.75" customHeight="1" x14ac:dyDescent="0.2">
      <c r="B15578" s="43"/>
    </row>
    <row r="15579" spans="2:2" ht="12.75" customHeight="1" x14ac:dyDescent="0.2">
      <c r="B15579" s="43"/>
    </row>
    <row r="15580" spans="2:2" ht="12.75" customHeight="1" x14ac:dyDescent="0.2">
      <c r="B15580" s="43"/>
    </row>
    <row r="15581" spans="2:2" ht="12.75" customHeight="1" x14ac:dyDescent="0.2">
      <c r="B15581" s="43"/>
    </row>
    <row r="15582" spans="2:2" ht="12.75" customHeight="1" x14ac:dyDescent="0.2">
      <c r="B15582" s="43"/>
    </row>
    <row r="15583" spans="2:2" ht="12.75" customHeight="1" x14ac:dyDescent="0.2">
      <c r="B15583" s="43"/>
    </row>
    <row r="15584" spans="2:2" ht="12.75" customHeight="1" x14ac:dyDescent="0.2">
      <c r="B15584" s="43"/>
    </row>
    <row r="15585" spans="2:2" ht="12.75" customHeight="1" x14ac:dyDescent="0.2">
      <c r="B15585" s="43"/>
    </row>
    <row r="15586" spans="2:2" ht="12.75" customHeight="1" x14ac:dyDescent="0.2">
      <c r="B15586" s="43"/>
    </row>
    <row r="15587" spans="2:2" ht="12.75" customHeight="1" x14ac:dyDescent="0.2">
      <c r="B15587" s="43"/>
    </row>
    <row r="15588" spans="2:2" ht="12.75" customHeight="1" x14ac:dyDescent="0.2">
      <c r="B15588" s="43"/>
    </row>
    <row r="15589" spans="2:2" ht="12.75" customHeight="1" x14ac:dyDescent="0.2">
      <c r="B15589" s="43"/>
    </row>
    <row r="15590" spans="2:2" ht="12.75" customHeight="1" x14ac:dyDescent="0.2">
      <c r="B15590" s="43"/>
    </row>
    <row r="15591" spans="2:2" ht="12.75" customHeight="1" x14ac:dyDescent="0.2">
      <c r="B15591" s="43"/>
    </row>
    <row r="15592" spans="2:2" ht="12.75" customHeight="1" x14ac:dyDescent="0.2">
      <c r="B15592" s="43"/>
    </row>
    <row r="15593" spans="2:2" ht="12.75" customHeight="1" x14ac:dyDescent="0.2">
      <c r="B15593" s="43"/>
    </row>
    <row r="15594" spans="2:2" ht="12.75" customHeight="1" x14ac:dyDescent="0.2">
      <c r="B15594" s="43"/>
    </row>
    <row r="15595" spans="2:2" ht="12.75" customHeight="1" x14ac:dyDescent="0.2">
      <c r="B15595" s="43"/>
    </row>
    <row r="15596" spans="2:2" ht="12.75" customHeight="1" x14ac:dyDescent="0.2">
      <c r="B15596" s="43"/>
    </row>
    <row r="15597" spans="2:2" ht="12.75" customHeight="1" x14ac:dyDescent="0.2">
      <c r="B15597" s="43"/>
    </row>
    <row r="15598" spans="2:2" ht="12.75" customHeight="1" x14ac:dyDescent="0.2">
      <c r="B15598" s="43"/>
    </row>
    <row r="15599" spans="2:2" ht="12.75" customHeight="1" x14ac:dyDescent="0.2">
      <c r="B15599" s="43"/>
    </row>
    <row r="15600" spans="2:2" ht="12.75" customHeight="1" x14ac:dyDescent="0.2">
      <c r="B15600" s="43"/>
    </row>
    <row r="15601" spans="2:2" ht="12.75" customHeight="1" x14ac:dyDescent="0.2">
      <c r="B15601" s="43"/>
    </row>
    <row r="15602" spans="2:2" ht="12.75" customHeight="1" x14ac:dyDescent="0.2">
      <c r="B15602" s="43"/>
    </row>
    <row r="15603" spans="2:2" ht="12.75" customHeight="1" x14ac:dyDescent="0.2">
      <c r="B15603" s="43"/>
    </row>
    <row r="15604" spans="2:2" ht="12.75" customHeight="1" x14ac:dyDescent="0.2">
      <c r="B15604" s="43"/>
    </row>
    <row r="15605" spans="2:2" ht="12.75" customHeight="1" x14ac:dyDescent="0.2">
      <c r="B15605" s="43"/>
    </row>
    <row r="15606" spans="2:2" ht="12.75" customHeight="1" x14ac:dyDescent="0.2">
      <c r="B15606" s="43"/>
    </row>
    <row r="15607" spans="2:2" ht="12.75" customHeight="1" x14ac:dyDescent="0.2">
      <c r="B15607" s="43"/>
    </row>
    <row r="15608" spans="2:2" ht="12.75" customHeight="1" x14ac:dyDescent="0.2">
      <c r="B15608" s="43"/>
    </row>
    <row r="15609" spans="2:2" ht="12.75" customHeight="1" x14ac:dyDescent="0.2">
      <c r="B15609" s="43"/>
    </row>
    <row r="15610" spans="2:2" ht="12.75" customHeight="1" x14ac:dyDescent="0.2">
      <c r="B15610" s="43"/>
    </row>
    <row r="15611" spans="2:2" ht="12.75" customHeight="1" x14ac:dyDescent="0.2">
      <c r="B15611" s="43"/>
    </row>
    <row r="15612" spans="2:2" ht="12.75" customHeight="1" x14ac:dyDescent="0.2">
      <c r="B15612" s="43"/>
    </row>
    <row r="15613" spans="2:2" ht="12.75" customHeight="1" x14ac:dyDescent="0.2">
      <c r="B15613" s="43"/>
    </row>
    <row r="15614" spans="2:2" ht="12.75" customHeight="1" x14ac:dyDescent="0.2">
      <c r="B15614" s="43"/>
    </row>
    <row r="15615" spans="2:2" ht="12.75" customHeight="1" x14ac:dyDescent="0.2">
      <c r="B15615" s="43"/>
    </row>
    <row r="15616" spans="2:2" ht="12.75" customHeight="1" x14ac:dyDescent="0.2">
      <c r="B15616" s="43"/>
    </row>
    <row r="15617" spans="2:2" ht="12.75" customHeight="1" x14ac:dyDescent="0.2">
      <c r="B15617" s="43"/>
    </row>
    <row r="15618" spans="2:2" ht="12.75" customHeight="1" x14ac:dyDescent="0.2">
      <c r="B15618" s="43"/>
    </row>
    <row r="15619" spans="2:2" ht="12.75" customHeight="1" x14ac:dyDescent="0.2">
      <c r="B15619" s="43"/>
    </row>
    <row r="15620" spans="2:2" ht="12.75" customHeight="1" x14ac:dyDescent="0.2">
      <c r="B15620" s="43"/>
    </row>
    <row r="15621" spans="2:2" ht="12.75" customHeight="1" x14ac:dyDescent="0.2">
      <c r="B15621" s="43"/>
    </row>
    <row r="15622" spans="2:2" ht="12.75" customHeight="1" x14ac:dyDescent="0.2">
      <c r="B15622" s="43"/>
    </row>
    <row r="15623" spans="2:2" ht="12.75" customHeight="1" x14ac:dyDescent="0.2">
      <c r="B15623" s="43"/>
    </row>
    <row r="15624" spans="2:2" ht="12.75" customHeight="1" x14ac:dyDescent="0.2">
      <c r="B15624" s="43"/>
    </row>
    <row r="15625" spans="2:2" ht="12.75" customHeight="1" x14ac:dyDescent="0.2">
      <c r="B15625" s="43"/>
    </row>
    <row r="15626" spans="2:2" ht="12.75" customHeight="1" x14ac:dyDescent="0.2">
      <c r="B15626" s="43"/>
    </row>
    <row r="15627" spans="2:2" ht="12.75" customHeight="1" x14ac:dyDescent="0.2">
      <c r="B15627" s="43"/>
    </row>
    <row r="15628" spans="2:2" ht="12.75" customHeight="1" x14ac:dyDescent="0.2">
      <c r="B15628" s="43"/>
    </row>
    <row r="15629" spans="2:2" ht="12.75" customHeight="1" x14ac:dyDescent="0.2">
      <c r="B15629" s="43"/>
    </row>
    <row r="15630" spans="2:2" ht="12.75" customHeight="1" x14ac:dyDescent="0.2">
      <c r="B15630" s="43"/>
    </row>
    <row r="15631" spans="2:2" ht="12.75" customHeight="1" x14ac:dyDescent="0.2">
      <c r="B15631" s="43"/>
    </row>
    <row r="15632" spans="2:2" ht="12.75" customHeight="1" x14ac:dyDescent="0.2">
      <c r="B15632" s="43"/>
    </row>
    <row r="15633" spans="2:2" ht="12.75" customHeight="1" x14ac:dyDescent="0.2">
      <c r="B15633" s="43"/>
    </row>
    <row r="15634" spans="2:2" ht="12.75" customHeight="1" x14ac:dyDescent="0.2">
      <c r="B15634" s="43"/>
    </row>
    <row r="15635" spans="2:2" ht="12.75" customHeight="1" x14ac:dyDescent="0.2">
      <c r="B15635" s="43"/>
    </row>
    <row r="15636" spans="2:2" ht="12.75" customHeight="1" x14ac:dyDescent="0.2">
      <c r="B15636" s="43"/>
    </row>
    <row r="15637" spans="2:2" ht="12.75" customHeight="1" x14ac:dyDescent="0.2">
      <c r="B15637" s="43"/>
    </row>
    <row r="15638" spans="2:2" ht="12.75" customHeight="1" x14ac:dyDescent="0.2">
      <c r="B15638" s="43"/>
    </row>
    <row r="15639" spans="2:2" ht="12.75" customHeight="1" x14ac:dyDescent="0.2">
      <c r="B15639" s="43"/>
    </row>
    <row r="15640" spans="2:2" ht="12.75" customHeight="1" x14ac:dyDescent="0.2">
      <c r="B15640" s="43"/>
    </row>
    <row r="15641" spans="2:2" ht="12.75" customHeight="1" x14ac:dyDescent="0.2">
      <c r="B15641" s="43"/>
    </row>
    <row r="15642" spans="2:2" ht="12.75" customHeight="1" x14ac:dyDescent="0.2">
      <c r="B15642" s="43"/>
    </row>
    <row r="15643" spans="2:2" ht="12.75" customHeight="1" x14ac:dyDescent="0.2">
      <c r="B15643" s="43"/>
    </row>
    <row r="15644" spans="2:2" ht="12.75" customHeight="1" x14ac:dyDescent="0.2">
      <c r="B15644" s="43"/>
    </row>
    <row r="15645" spans="2:2" ht="12.75" customHeight="1" x14ac:dyDescent="0.2">
      <c r="B15645" s="43"/>
    </row>
    <row r="15646" spans="2:2" ht="12.75" customHeight="1" x14ac:dyDescent="0.2">
      <c r="B15646" s="43"/>
    </row>
    <row r="15647" spans="2:2" ht="12.75" customHeight="1" x14ac:dyDescent="0.2">
      <c r="B15647" s="43"/>
    </row>
    <row r="15648" spans="2:2" ht="12.75" customHeight="1" x14ac:dyDescent="0.2">
      <c r="B15648" s="43"/>
    </row>
    <row r="15649" spans="2:2" ht="12.75" customHeight="1" x14ac:dyDescent="0.2">
      <c r="B15649" s="43"/>
    </row>
    <row r="15650" spans="2:2" ht="12.75" customHeight="1" x14ac:dyDescent="0.2">
      <c r="B15650" s="43"/>
    </row>
    <row r="15651" spans="2:2" ht="12.75" customHeight="1" x14ac:dyDescent="0.2">
      <c r="B15651" s="43"/>
    </row>
    <row r="15652" spans="2:2" ht="12.75" customHeight="1" x14ac:dyDescent="0.2">
      <c r="B15652" s="43"/>
    </row>
    <row r="15653" spans="2:2" ht="12.75" customHeight="1" x14ac:dyDescent="0.2">
      <c r="B15653" s="43"/>
    </row>
    <row r="15654" spans="2:2" ht="12.75" customHeight="1" x14ac:dyDescent="0.2">
      <c r="B15654" s="43"/>
    </row>
    <row r="15655" spans="2:2" ht="12.75" customHeight="1" x14ac:dyDescent="0.2">
      <c r="B15655" s="43"/>
    </row>
    <row r="15656" spans="2:2" ht="12.75" customHeight="1" x14ac:dyDescent="0.2">
      <c r="B15656" s="43"/>
    </row>
    <row r="15657" spans="2:2" ht="12.75" customHeight="1" x14ac:dyDescent="0.2">
      <c r="B15657" s="43"/>
    </row>
    <row r="15658" spans="2:2" ht="12.75" customHeight="1" x14ac:dyDescent="0.2">
      <c r="B15658" s="43"/>
    </row>
    <row r="15659" spans="2:2" ht="12.75" customHeight="1" x14ac:dyDescent="0.2">
      <c r="B15659" s="43"/>
    </row>
    <row r="15660" spans="2:2" ht="12.75" customHeight="1" x14ac:dyDescent="0.2">
      <c r="B15660" s="43"/>
    </row>
    <row r="15661" spans="2:2" ht="12.75" customHeight="1" x14ac:dyDescent="0.2">
      <c r="B15661" s="43"/>
    </row>
    <row r="15662" spans="2:2" ht="12.75" customHeight="1" x14ac:dyDescent="0.2">
      <c r="B15662" s="43"/>
    </row>
    <row r="15663" spans="2:2" ht="12.75" customHeight="1" x14ac:dyDescent="0.2">
      <c r="B15663" s="43"/>
    </row>
    <row r="15664" spans="2:2" ht="12.75" customHeight="1" x14ac:dyDescent="0.2">
      <c r="B15664" s="43"/>
    </row>
    <row r="15665" spans="2:2" ht="12.75" customHeight="1" x14ac:dyDescent="0.2">
      <c r="B15665" s="43"/>
    </row>
    <row r="15666" spans="2:2" ht="12.75" customHeight="1" x14ac:dyDescent="0.2">
      <c r="B15666" s="43"/>
    </row>
    <row r="15667" spans="2:2" ht="12.75" customHeight="1" x14ac:dyDescent="0.2">
      <c r="B15667" s="43"/>
    </row>
    <row r="15668" spans="2:2" ht="12.75" customHeight="1" x14ac:dyDescent="0.2">
      <c r="B15668" s="43"/>
    </row>
    <row r="15669" spans="2:2" ht="12.75" customHeight="1" x14ac:dyDescent="0.2">
      <c r="B15669" s="43"/>
    </row>
    <row r="15670" spans="2:2" ht="12.75" customHeight="1" x14ac:dyDescent="0.2">
      <c r="B15670" s="43"/>
    </row>
    <row r="15671" spans="2:2" ht="12.75" customHeight="1" x14ac:dyDescent="0.2">
      <c r="B15671" s="43"/>
    </row>
    <row r="15672" spans="2:2" ht="12.75" customHeight="1" x14ac:dyDescent="0.2">
      <c r="B15672" s="43"/>
    </row>
    <row r="15673" spans="2:2" ht="12.75" customHeight="1" x14ac:dyDescent="0.2">
      <c r="B15673" s="43"/>
    </row>
    <row r="15674" spans="2:2" ht="12.75" customHeight="1" x14ac:dyDescent="0.2">
      <c r="B15674" s="43"/>
    </row>
    <row r="15675" spans="2:2" ht="12.75" customHeight="1" x14ac:dyDescent="0.2">
      <c r="B15675" s="43"/>
    </row>
    <row r="15676" spans="2:2" ht="12.75" customHeight="1" x14ac:dyDescent="0.2">
      <c r="B15676" s="43"/>
    </row>
    <row r="15677" spans="2:2" ht="12.75" customHeight="1" x14ac:dyDescent="0.2">
      <c r="B15677" s="43"/>
    </row>
    <row r="15678" spans="2:2" ht="12.75" customHeight="1" x14ac:dyDescent="0.2">
      <c r="B15678" s="43"/>
    </row>
    <row r="15679" spans="2:2" ht="12.75" customHeight="1" x14ac:dyDescent="0.2">
      <c r="B15679" s="43"/>
    </row>
    <row r="15680" spans="2:2" ht="12.75" customHeight="1" x14ac:dyDescent="0.2">
      <c r="B15680" s="43"/>
    </row>
    <row r="15681" spans="2:2" ht="12.75" customHeight="1" x14ac:dyDescent="0.2">
      <c r="B15681" s="43"/>
    </row>
    <row r="15682" spans="2:2" ht="12.75" customHeight="1" x14ac:dyDescent="0.2">
      <c r="B15682" s="43"/>
    </row>
    <row r="15683" spans="2:2" ht="12.75" customHeight="1" x14ac:dyDescent="0.2">
      <c r="B15683" s="43"/>
    </row>
    <row r="15684" spans="2:2" ht="12.75" customHeight="1" x14ac:dyDescent="0.2">
      <c r="B15684" s="43"/>
    </row>
    <row r="15685" spans="2:2" ht="12.75" customHeight="1" x14ac:dyDescent="0.2">
      <c r="B15685" s="43"/>
    </row>
    <row r="15686" spans="2:2" ht="12.75" customHeight="1" x14ac:dyDescent="0.2">
      <c r="B15686" s="43"/>
    </row>
    <row r="15687" spans="2:2" ht="12.75" customHeight="1" x14ac:dyDescent="0.2">
      <c r="B15687" s="43"/>
    </row>
    <row r="15688" spans="2:2" ht="12.75" customHeight="1" x14ac:dyDescent="0.2">
      <c r="B15688" s="43"/>
    </row>
    <row r="15689" spans="2:2" ht="12.75" customHeight="1" x14ac:dyDescent="0.2">
      <c r="B15689" s="43"/>
    </row>
    <row r="15690" spans="2:2" ht="12.75" customHeight="1" x14ac:dyDescent="0.2">
      <c r="B15690" s="43"/>
    </row>
    <row r="15691" spans="2:2" ht="12.75" customHeight="1" x14ac:dyDescent="0.2">
      <c r="B15691" s="43"/>
    </row>
    <row r="15692" spans="2:2" ht="12.75" customHeight="1" x14ac:dyDescent="0.2">
      <c r="B15692" s="43"/>
    </row>
    <row r="15693" spans="2:2" ht="12.75" customHeight="1" x14ac:dyDescent="0.2">
      <c r="B15693" s="43"/>
    </row>
    <row r="15694" spans="2:2" ht="12.75" customHeight="1" x14ac:dyDescent="0.2">
      <c r="B15694" s="43"/>
    </row>
    <row r="15695" spans="2:2" ht="12.75" customHeight="1" x14ac:dyDescent="0.2">
      <c r="B15695" s="43"/>
    </row>
    <row r="15696" spans="2:2" ht="12.75" customHeight="1" x14ac:dyDescent="0.2">
      <c r="B15696" s="43"/>
    </row>
    <row r="15697" spans="2:2" ht="12.75" customHeight="1" x14ac:dyDescent="0.2">
      <c r="B15697" s="43"/>
    </row>
    <row r="15698" spans="2:2" ht="12.75" customHeight="1" x14ac:dyDescent="0.2">
      <c r="B15698" s="43"/>
    </row>
    <row r="15699" spans="2:2" ht="12.75" customHeight="1" x14ac:dyDescent="0.2">
      <c r="B15699" s="43"/>
    </row>
    <row r="15700" spans="2:2" ht="12.75" customHeight="1" x14ac:dyDescent="0.2">
      <c r="B15700" s="43"/>
    </row>
    <row r="15701" spans="2:2" ht="12.75" customHeight="1" x14ac:dyDescent="0.2">
      <c r="B15701" s="43"/>
    </row>
    <row r="15702" spans="2:2" ht="12.75" customHeight="1" x14ac:dyDescent="0.2">
      <c r="B15702" s="43"/>
    </row>
    <row r="15703" spans="2:2" ht="12.75" customHeight="1" x14ac:dyDescent="0.2">
      <c r="B15703" s="43"/>
    </row>
    <row r="15704" spans="2:2" ht="12.75" customHeight="1" x14ac:dyDescent="0.2">
      <c r="B15704" s="43"/>
    </row>
    <row r="15705" spans="2:2" ht="12.75" customHeight="1" x14ac:dyDescent="0.2">
      <c r="B15705" s="43"/>
    </row>
    <row r="15706" spans="2:2" ht="12.75" customHeight="1" x14ac:dyDescent="0.2">
      <c r="B15706" s="43"/>
    </row>
    <row r="15707" spans="2:2" ht="12.75" customHeight="1" x14ac:dyDescent="0.2">
      <c r="B15707" s="43"/>
    </row>
    <row r="15708" spans="2:2" ht="12.75" customHeight="1" x14ac:dyDescent="0.2">
      <c r="B15708" s="43"/>
    </row>
    <row r="15709" spans="2:2" ht="12.75" customHeight="1" x14ac:dyDescent="0.2">
      <c r="B15709" s="43"/>
    </row>
    <row r="15710" spans="2:2" ht="12.75" customHeight="1" x14ac:dyDescent="0.2">
      <c r="B15710" s="43"/>
    </row>
    <row r="15711" spans="2:2" ht="12.75" customHeight="1" x14ac:dyDescent="0.2">
      <c r="B15711" s="43"/>
    </row>
    <row r="15712" spans="2:2" ht="12.75" customHeight="1" x14ac:dyDescent="0.2">
      <c r="B15712" s="43"/>
    </row>
    <row r="15713" spans="2:2" ht="12.75" customHeight="1" x14ac:dyDescent="0.2">
      <c r="B15713" s="43"/>
    </row>
    <row r="15714" spans="2:2" ht="12.75" customHeight="1" x14ac:dyDescent="0.2">
      <c r="B15714" s="43"/>
    </row>
    <row r="15715" spans="2:2" ht="12.75" customHeight="1" x14ac:dyDescent="0.2">
      <c r="B15715" s="43"/>
    </row>
    <row r="15716" spans="2:2" ht="12.75" customHeight="1" x14ac:dyDescent="0.2">
      <c r="B15716" s="43"/>
    </row>
    <row r="15717" spans="2:2" ht="12.75" customHeight="1" x14ac:dyDescent="0.2">
      <c r="B15717" s="43"/>
    </row>
    <row r="15718" spans="2:2" ht="12.75" customHeight="1" x14ac:dyDescent="0.2">
      <c r="B15718" s="43"/>
    </row>
    <row r="15719" spans="2:2" ht="12.75" customHeight="1" x14ac:dyDescent="0.2">
      <c r="B15719" s="43"/>
    </row>
    <row r="15720" spans="2:2" ht="12.75" customHeight="1" x14ac:dyDescent="0.2">
      <c r="B15720" s="43"/>
    </row>
    <row r="15721" spans="2:2" ht="12.75" customHeight="1" x14ac:dyDescent="0.2">
      <c r="B15721" s="43"/>
    </row>
    <row r="15722" spans="2:2" ht="12.75" customHeight="1" x14ac:dyDescent="0.2">
      <c r="B15722" s="43"/>
    </row>
    <row r="15723" spans="2:2" ht="12.75" customHeight="1" x14ac:dyDescent="0.2">
      <c r="B15723" s="43"/>
    </row>
    <row r="15724" spans="2:2" ht="12.75" customHeight="1" x14ac:dyDescent="0.2">
      <c r="B15724" s="43"/>
    </row>
    <row r="15725" spans="2:2" ht="12.75" customHeight="1" x14ac:dyDescent="0.2">
      <c r="B15725" s="43"/>
    </row>
    <row r="15726" spans="2:2" ht="12.75" customHeight="1" x14ac:dyDescent="0.2">
      <c r="B15726" s="43"/>
    </row>
    <row r="15727" spans="2:2" ht="12.75" customHeight="1" x14ac:dyDescent="0.2">
      <c r="B15727" s="43"/>
    </row>
    <row r="15728" spans="2:2" ht="12.75" customHeight="1" x14ac:dyDescent="0.2">
      <c r="B15728" s="43"/>
    </row>
    <row r="15729" spans="2:2" ht="12.75" customHeight="1" x14ac:dyDescent="0.2">
      <c r="B15729" s="43"/>
    </row>
    <row r="15730" spans="2:2" ht="12.75" customHeight="1" x14ac:dyDescent="0.2">
      <c r="B15730" s="43"/>
    </row>
    <row r="15731" spans="2:2" ht="12.75" customHeight="1" x14ac:dyDescent="0.2">
      <c r="B15731" s="43"/>
    </row>
    <row r="15732" spans="2:2" ht="12.75" customHeight="1" x14ac:dyDescent="0.2">
      <c r="B15732" s="43"/>
    </row>
    <row r="15733" spans="2:2" ht="12.75" customHeight="1" x14ac:dyDescent="0.2">
      <c r="B15733" s="43"/>
    </row>
    <row r="15734" spans="2:2" ht="12.75" customHeight="1" x14ac:dyDescent="0.2">
      <c r="B15734" s="43"/>
    </row>
    <row r="15735" spans="2:2" ht="12.75" customHeight="1" x14ac:dyDescent="0.2">
      <c r="B15735" s="43"/>
    </row>
    <row r="15736" spans="2:2" ht="12.75" customHeight="1" x14ac:dyDescent="0.2">
      <c r="B15736" s="43"/>
    </row>
    <row r="15737" spans="2:2" ht="12.75" customHeight="1" x14ac:dyDescent="0.2">
      <c r="B15737" s="43"/>
    </row>
    <row r="15738" spans="2:2" ht="12.75" customHeight="1" x14ac:dyDescent="0.2">
      <c r="B15738" s="43"/>
    </row>
    <row r="15739" spans="2:2" ht="12.75" customHeight="1" x14ac:dyDescent="0.2">
      <c r="B15739" s="43"/>
    </row>
    <row r="15740" spans="2:2" ht="12.75" customHeight="1" x14ac:dyDescent="0.2">
      <c r="B15740" s="43"/>
    </row>
    <row r="15741" spans="2:2" ht="12.75" customHeight="1" x14ac:dyDescent="0.2">
      <c r="B15741" s="43"/>
    </row>
    <row r="15742" spans="2:2" ht="12.75" customHeight="1" x14ac:dyDescent="0.2">
      <c r="B15742" s="43"/>
    </row>
    <row r="15743" spans="2:2" ht="12.75" customHeight="1" x14ac:dyDescent="0.2">
      <c r="B15743" s="43"/>
    </row>
    <row r="15744" spans="2:2" ht="12.75" customHeight="1" x14ac:dyDescent="0.2">
      <c r="B15744" s="43"/>
    </row>
    <row r="15745" spans="2:2" ht="12.75" customHeight="1" x14ac:dyDescent="0.2">
      <c r="B15745" s="43"/>
    </row>
    <row r="15746" spans="2:2" ht="12.75" customHeight="1" x14ac:dyDescent="0.2">
      <c r="B15746" s="43"/>
    </row>
    <row r="15747" spans="2:2" ht="12.75" customHeight="1" x14ac:dyDescent="0.2">
      <c r="B15747" s="43"/>
    </row>
    <row r="15748" spans="2:2" ht="12.75" customHeight="1" x14ac:dyDescent="0.2">
      <c r="B15748" s="43"/>
    </row>
    <row r="15749" spans="2:2" ht="12.75" customHeight="1" x14ac:dyDescent="0.2">
      <c r="B15749" s="43"/>
    </row>
    <row r="15750" spans="2:2" ht="12.75" customHeight="1" x14ac:dyDescent="0.2">
      <c r="B15750" s="43"/>
    </row>
    <row r="15751" spans="2:2" ht="12.75" customHeight="1" x14ac:dyDescent="0.2">
      <c r="B15751" s="43"/>
    </row>
    <row r="15752" spans="2:2" ht="12.75" customHeight="1" x14ac:dyDescent="0.2">
      <c r="B15752" s="43"/>
    </row>
    <row r="15753" spans="2:2" ht="12.75" customHeight="1" x14ac:dyDescent="0.2">
      <c r="B15753" s="43"/>
    </row>
    <row r="15754" spans="2:2" ht="12.75" customHeight="1" x14ac:dyDescent="0.2">
      <c r="B15754" s="43"/>
    </row>
    <row r="15755" spans="2:2" ht="12.75" customHeight="1" x14ac:dyDescent="0.2">
      <c r="B15755" s="43"/>
    </row>
    <row r="15756" spans="2:2" ht="12.75" customHeight="1" x14ac:dyDescent="0.2">
      <c r="B15756" s="43"/>
    </row>
    <row r="15757" spans="2:2" ht="12.75" customHeight="1" x14ac:dyDescent="0.2">
      <c r="B15757" s="43"/>
    </row>
    <row r="15758" spans="2:2" ht="12.75" customHeight="1" x14ac:dyDescent="0.2">
      <c r="B15758" s="43"/>
    </row>
    <row r="15759" spans="2:2" ht="12.75" customHeight="1" x14ac:dyDescent="0.2">
      <c r="B15759" s="43"/>
    </row>
    <row r="15760" spans="2:2" ht="12.75" customHeight="1" x14ac:dyDescent="0.2">
      <c r="B15760" s="43"/>
    </row>
    <row r="15761" spans="2:2" ht="12.75" customHeight="1" x14ac:dyDescent="0.2">
      <c r="B15761" s="43"/>
    </row>
    <row r="15762" spans="2:2" ht="12.75" customHeight="1" x14ac:dyDescent="0.2">
      <c r="B15762" s="43"/>
    </row>
    <row r="15763" spans="2:2" ht="12.75" customHeight="1" x14ac:dyDescent="0.2">
      <c r="B15763" s="43"/>
    </row>
    <row r="15764" spans="2:2" ht="12.75" customHeight="1" x14ac:dyDescent="0.2">
      <c r="B15764" s="43"/>
    </row>
    <row r="15765" spans="2:2" ht="12.75" customHeight="1" x14ac:dyDescent="0.2">
      <c r="B15765" s="43"/>
    </row>
    <row r="15766" spans="2:2" ht="12.75" customHeight="1" x14ac:dyDescent="0.2">
      <c r="B15766" s="43"/>
    </row>
    <row r="15767" spans="2:2" ht="12.75" customHeight="1" x14ac:dyDescent="0.2">
      <c r="B15767" s="43"/>
    </row>
    <row r="15768" spans="2:2" ht="12.75" customHeight="1" x14ac:dyDescent="0.2">
      <c r="B15768" s="43"/>
    </row>
    <row r="15769" spans="2:2" ht="12.75" customHeight="1" x14ac:dyDescent="0.2">
      <c r="B15769" s="43"/>
    </row>
    <row r="15770" spans="2:2" ht="12.75" customHeight="1" x14ac:dyDescent="0.2">
      <c r="B15770" s="43"/>
    </row>
    <row r="15771" spans="2:2" ht="12.75" customHeight="1" x14ac:dyDescent="0.2">
      <c r="B15771" s="43"/>
    </row>
    <row r="15772" spans="2:2" ht="12.75" customHeight="1" x14ac:dyDescent="0.2">
      <c r="B15772" s="43"/>
    </row>
    <row r="15773" spans="2:2" ht="12.75" customHeight="1" x14ac:dyDescent="0.2">
      <c r="B15773" s="43"/>
    </row>
    <row r="15774" spans="2:2" ht="12.75" customHeight="1" x14ac:dyDescent="0.2">
      <c r="B15774" s="43"/>
    </row>
    <row r="15775" spans="2:2" ht="12.75" customHeight="1" x14ac:dyDescent="0.2">
      <c r="B15775" s="43"/>
    </row>
    <row r="15776" spans="2:2" ht="12.75" customHeight="1" x14ac:dyDescent="0.2">
      <c r="B15776" s="43"/>
    </row>
    <row r="15777" spans="2:2" ht="12.75" customHeight="1" x14ac:dyDescent="0.2">
      <c r="B15777" s="43"/>
    </row>
    <row r="15778" spans="2:2" ht="12.75" customHeight="1" x14ac:dyDescent="0.2">
      <c r="B15778" s="43"/>
    </row>
    <row r="15779" spans="2:2" ht="12.75" customHeight="1" x14ac:dyDescent="0.2">
      <c r="B15779" s="43"/>
    </row>
    <row r="15780" spans="2:2" ht="12.75" customHeight="1" x14ac:dyDescent="0.2">
      <c r="B15780" s="43"/>
    </row>
    <row r="15781" spans="2:2" ht="12.75" customHeight="1" x14ac:dyDescent="0.2">
      <c r="B15781" s="43"/>
    </row>
    <row r="15782" spans="2:2" ht="12.75" customHeight="1" x14ac:dyDescent="0.2">
      <c r="B15782" s="43"/>
    </row>
    <row r="15783" spans="2:2" ht="12.75" customHeight="1" x14ac:dyDescent="0.2">
      <c r="B15783" s="43"/>
    </row>
    <row r="15784" spans="2:2" ht="12.75" customHeight="1" x14ac:dyDescent="0.2">
      <c r="B15784" s="43"/>
    </row>
    <row r="15785" spans="2:2" ht="12.75" customHeight="1" x14ac:dyDescent="0.2">
      <c r="B15785" s="43"/>
    </row>
    <row r="15786" spans="2:2" ht="12.75" customHeight="1" x14ac:dyDescent="0.2">
      <c r="B15786" s="43"/>
    </row>
    <row r="15787" spans="2:2" ht="12.75" customHeight="1" x14ac:dyDescent="0.2">
      <c r="B15787" s="43"/>
    </row>
    <row r="15788" spans="2:2" ht="12.75" customHeight="1" x14ac:dyDescent="0.2">
      <c r="B15788" s="43"/>
    </row>
    <row r="15789" spans="2:2" ht="12.75" customHeight="1" x14ac:dyDescent="0.2">
      <c r="B15789" s="43"/>
    </row>
    <row r="15790" spans="2:2" ht="12.75" customHeight="1" x14ac:dyDescent="0.2">
      <c r="B15790" s="43"/>
    </row>
    <row r="15791" spans="2:2" ht="12.75" customHeight="1" x14ac:dyDescent="0.2">
      <c r="B15791" s="43"/>
    </row>
    <row r="15792" spans="2:2" ht="12.75" customHeight="1" x14ac:dyDescent="0.2">
      <c r="B15792" s="43"/>
    </row>
    <row r="15793" spans="2:2" ht="12.75" customHeight="1" x14ac:dyDescent="0.2">
      <c r="B15793" s="43"/>
    </row>
    <row r="15794" spans="2:2" ht="12.75" customHeight="1" x14ac:dyDescent="0.2">
      <c r="B15794" s="43"/>
    </row>
    <row r="15795" spans="2:2" ht="12.75" customHeight="1" x14ac:dyDescent="0.2">
      <c r="B15795" s="43"/>
    </row>
    <row r="15796" spans="2:2" ht="12.75" customHeight="1" x14ac:dyDescent="0.2">
      <c r="B15796" s="43"/>
    </row>
    <row r="15797" spans="2:2" ht="12.75" customHeight="1" x14ac:dyDescent="0.2">
      <c r="B15797" s="43"/>
    </row>
    <row r="15798" spans="2:2" ht="12.75" customHeight="1" x14ac:dyDescent="0.2">
      <c r="B15798" s="43"/>
    </row>
    <row r="15799" spans="2:2" ht="12.75" customHeight="1" x14ac:dyDescent="0.2">
      <c r="B15799" s="43"/>
    </row>
    <row r="15800" spans="2:2" ht="12.75" customHeight="1" x14ac:dyDescent="0.2">
      <c r="B15800" s="43"/>
    </row>
    <row r="15801" spans="2:2" ht="12.75" customHeight="1" x14ac:dyDescent="0.2">
      <c r="B15801" s="43"/>
    </row>
    <row r="15802" spans="2:2" ht="12.75" customHeight="1" x14ac:dyDescent="0.2">
      <c r="B15802" s="43"/>
    </row>
    <row r="15803" spans="2:2" ht="12.75" customHeight="1" x14ac:dyDescent="0.2">
      <c r="B15803" s="43"/>
    </row>
    <row r="15804" spans="2:2" ht="12.75" customHeight="1" x14ac:dyDescent="0.2">
      <c r="B15804" s="43"/>
    </row>
    <row r="15805" spans="2:2" ht="12.75" customHeight="1" x14ac:dyDescent="0.2">
      <c r="B15805" s="43"/>
    </row>
    <row r="15806" spans="2:2" ht="12.75" customHeight="1" x14ac:dyDescent="0.2">
      <c r="B15806" s="43"/>
    </row>
    <row r="15807" spans="2:2" ht="12.75" customHeight="1" x14ac:dyDescent="0.2">
      <c r="B15807" s="43"/>
    </row>
    <row r="15808" spans="2:2" ht="12.75" customHeight="1" x14ac:dyDescent="0.2">
      <c r="B15808" s="43"/>
    </row>
    <row r="15809" spans="2:2" ht="12.75" customHeight="1" x14ac:dyDescent="0.2">
      <c r="B15809" s="43"/>
    </row>
    <row r="15810" spans="2:2" ht="12.75" customHeight="1" x14ac:dyDescent="0.2">
      <c r="B15810" s="43"/>
    </row>
    <row r="15811" spans="2:2" ht="12.75" customHeight="1" x14ac:dyDescent="0.2">
      <c r="B15811" s="43"/>
    </row>
    <row r="15812" spans="2:2" ht="12.75" customHeight="1" x14ac:dyDescent="0.2">
      <c r="B15812" s="43"/>
    </row>
    <row r="15813" spans="2:2" ht="12.75" customHeight="1" x14ac:dyDescent="0.2">
      <c r="B15813" s="43"/>
    </row>
    <row r="15814" spans="2:2" ht="12.75" customHeight="1" x14ac:dyDescent="0.2">
      <c r="B15814" s="43"/>
    </row>
    <row r="15815" spans="2:2" ht="12.75" customHeight="1" x14ac:dyDescent="0.2">
      <c r="B15815" s="43"/>
    </row>
    <row r="15816" spans="2:2" ht="12.75" customHeight="1" x14ac:dyDescent="0.2">
      <c r="B15816" s="43"/>
    </row>
    <row r="15817" spans="2:2" ht="12.75" customHeight="1" x14ac:dyDescent="0.2">
      <c r="B15817" s="43"/>
    </row>
    <row r="15818" spans="2:2" ht="12.75" customHeight="1" x14ac:dyDescent="0.2">
      <c r="B15818" s="43"/>
    </row>
    <row r="15819" spans="2:2" ht="12.75" customHeight="1" x14ac:dyDescent="0.2">
      <c r="B15819" s="43"/>
    </row>
    <row r="15820" spans="2:2" ht="12.75" customHeight="1" x14ac:dyDescent="0.2">
      <c r="B15820" s="43"/>
    </row>
    <row r="15821" spans="2:2" ht="12.75" customHeight="1" x14ac:dyDescent="0.2">
      <c r="B15821" s="43"/>
    </row>
    <row r="15822" spans="2:2" ht="12.75" customHeight="1" x14ac:dyDescent="0.2">
      <c r="B15822" s="43"/>
    </row>
    <row r="15823" spans="2:2" ht="12.75" customHeight="1" x14ac:dyDescent="0.2">
      <c r="B15823" s="43"/>
    </row>
    <row r="15824" spans="2:2" ht="12.75" customHeight="1" x14ac:dyDescent="0.2">
      <c r="B15824" s="43"/>
    </row>
    <row r="15825" spans="2:2" ht="12.75" customHeight="1" x14ac:dyDescent="0.2">
      <c r="B15825" s="43"/>
    </row>
    <row r="15826" spans="2:2" ht="12.75" customHeight="1" x14ac:dyDescent="0.2">
      <c r="B15826" s="43"/>
    </row>
    <row r="15827" spans="2:2" ht="12.75" customHeight="1" x14ac:dyDescent="0.2">
      <c r="B15827" s="43"/>
    </row>
    <row r="15828" spans="2:2" ht="12.75" customHeight="1" x14ac:dyDescent="0.2">
      <c r="B15828" s="43"/>
    </row>
    <row r="15829" spans="2:2" ht="12.75" customHeight="1" x14ac:dyDescent="0.2">
      <c r="B15829" s="43"/>
    </row>
    <row r="15830" spans="2:2" ht="12.75" customHeight="1" x14ac:dyDescent="0.2">
      <c r="B15830" s="43"/>
    </row>
    <row r="15831" spans="2:2" ht="12.75" customHeight="1" x14ac:dyDescent="0.2">
      <c r="B15831" s="43"/>
    </row>
    <row r="15832" spans="2:2" ht="12.75" customHeight="1" x14ac:dyDescent="0.2">
      <c r="B15832" s="43"/>
    </row>
    <row r="15833" spans="2:2" ht="12.75" customHeight="1" x14ac:dyDescent="0.2">
      <c r="B15833" s="43"/>
    </row>
    <row r="15834" spans="2:2" ht="12.75" customHeight="1" x14ac:dyDescent="0.2">
      <c r="B15834" s="43"/>
    </row>
    <row r="15835" spans="2:2" ht="12.75" customHeight="1" x14ac:dyDescent="0.2">
      <c r="B15835" s="43"/>
    </row>
    <row r="15836" spans="2:2" ht="12.75" customHeight="1" x14ac:dyDescent="0.2">
      <c r="B15836" s="43"/>
    </row>
    <row r="15837" spans="2:2" ht="12.75" customHeight="1" x14ac:dyDescent="0.2">
      <c r="B15837" s="43"/>
    </row>
    <row r="15838" spans="2:2" ht="12.75" customHeight="1" x14ac:dyDescent="0.2">
      <c r="B15838" s="43"/>
    </row>
    <row r="15839" spans="2:2" ht="12.75" customHeight="1" x14ac:dyDescent="0.2">
      <c r="B15839" s="43"/>
    </row>
    <row r="15840" spans="2:2" ht="12.75" customHeight="1" x14ac:dyDescent="0.2">
      <c r="B15840" s="43"/>
    </row>
    <row r="15841" spans="2:2" ht="12.75" customHeight="1" x14ac:dyDescent="0.2">
      <c r="B15841" s="43"/>
    </row>
    <row r="15842" spans="2:2" ht="12.75" customHeight="1" x14ac:dyDescent="0.2">
      <c r="B15842" s="43"/>
    </row>
    <row r="15843" spans="2:2" ht="12.75" customHeight="1" x14ac:dyDescent="0.2">
      <c r="B15843" s="43"/>
    </row>
    <row r="15844" spans="2:2" ht="12.75" customHeight="1" x14ac:dyDescent="0.2">
      <c r="B15844" s="43"/>
    </row>
    <row r="15845" spans="2:2" ht="12.75" customHeight="1" x14ac:dyDescent="0.2">
      <c r="B15845" s="43"/>
    </row>
    <row r="15846" spans="2:2" ht="12.75" customHeight="1" x14ac:dyDescent="0.2">
      <c r="B15846" s="43"/>
    </row>
    <row r="15847" spans="2:2" ht="12.75" customHeight="1" x14ac:dyDescent="0.2">
      <c r="B15847" s="43"/>
    </row>
    <row r="15848" spans="2:2" ht="12.75" customHeight="1" x14ac:dyDescent="0.2">
      <c r="B15848" s="43"/>
    </row>
    <row r="15849" spans="2:2" ht="12.75" customHeight="1" x14ac:dyDescent="0.2">
      <c r="B15849" s="43"/>
    </row>
    <row r="15850" spans="2:2" ht="12.75" customHeight="1" x14ac:dyDescent="0.2">
      <c r="B15850" s="43"/>
    </row>
    <row r="15851" spans="2:2" ht="12.75" customHeight="1" x14ac:dyDescent="0.2">
      <c r="B15851" s="43"/>
    </row>
    <row r="15852" spans="2:2" ht="12.75" customHeight="1" x14ac:dyDescent="0.2">
      <c r="B15852" s="43"/>
    </row>
    <row r="15853" spans="2:2" ht="12.75" customHeight="1" x14ac:dyDescent="0.2">
      <c r="B15853" s="43"/>
    </row>
    <row r="15854" spans="2:2" ht="12.75" customHeight="1" x14ac:dyDescent="0.2">
      <c r="B15854" s="43"/>
    </row>
    <row r="15855" spans="2:2" ht="12.75" customHeight="1" x14ac:dyDescent="0.2">
      <c r="B15855" s="43"/>
    </row>
    <row r="15856" spans="2:2" ht="12.75" customHeight="1" x14ac:dyDescent="0.2">
      <c r="B15856" s="43"/>
    </row>
    <row r="15857" spans="2:2" ht="12.75" customHeight="1" x14ac:dyDescent="0.2">
      <c r="B15857" s="43"/>
    </row>
    <row r="15858" spans="2:2" ht="12.75" customHeight="1" x14ac:dyDescent="0.2">
      <c r="B15858" s="43"/>
    </row>
    <row r="15859" spans="2:2" ht="12.75" customHeight="1" x14ac:dyDescent="0.2">
      <c r="B15859" s="43"/>
    </row>
    <row r="15860" spans="2:2" ht="12.75" customHeight="1" x14ac:dyDescent="0.2">
      <c r="B15860" s="43"/>
    </row>
    <row r="15861" spans="2:2" ht="12.75" customHeight="1" x14ac:dyDescent="0.2">
      <c r="B15861" s="43"/>
    </row>
    <row r="15862" spans="2:2" ht="12.75" customHeight="1" x14ac:dyDescent="0.2">
      <c r="B15862" s="43"/>
    </row>
    <row r="15863" spans="2:2" ht="12.75" customHeight="1" x14ac:dyDescent="0.2">
      <c r="B15863" s="43"/>
    </row>
    <row r="15864" spans="2:2" ht="12.75" customHeight="1" x14ac:dyDescent="0.2">
      <c r="B15864" s="43"/>
    </row>
    <row r="15865" spans="2:2" ht="12.75" customHeight="1" x14ac:dyDescent="0.2">
      <c r="B15865" s="43"/>
    </row>
    <row r="15866" spans="2:2" ht="12.75" customHeight="1" x14ac:dyDescent="0.2">
      <c r="B15866" s="43"/>
    </row>
    <row r="15867" spans="2:2" ht="12.75" customHeight="1" x14ac:dyDescent="0.2">
      <c r="B15867" s="43"/>
    </row>
    <row r="15868" spans="2:2" ht="12.75" customHeight="1" x14ac:dyDescent="0.2">
      <c r="B15868" s="43"/>
    </row>
    <row r="15869" spans="2:2" ht="12.75" customHeight="1" x14ac:dyDescent="0.2">
      <c r="B15869" s="43"/>
    </row>
    <row r="15870" spans="2:2" ht="12.75" customHeight="1" x14ac:dyDescent="0.2">
      <c r="B15870" s="43"/>
    </row>
    <row r="15871" spans="2:2" ht="12.75" customHeight="1" x14ac:dyDescent="0.2">
      <c r="B15871" s="43"/>
    </row>
    <row r="15872" spans="2:2" ht="12.75" customHeight="1" x14ac:dyDescent="0.2">
      <c r="B15872" s="43"/>
    </row>
    <row r="15873" spans="2:2" ht="12.75" customHeight="1" x14ac:dyDescent="0.2">
      <c r="B15873" s="43"/>
    </row>
    <row r="15874" spans="2:2" ht="12.75" customHeight="1" x14ac:dyDescent="0.2">
      <c r="B15874" s="43"/>
    </row>
    <row r="15875" spans="2:2" ht="12.75" customHeight="1" x14ac:dyDescent="0.2">
      <c r="B15875" s="43"/>
    </row>
    <row r="15876" spans="2:2" ht="12.75" customHeight="1" x14ac:dyDescent="0.2">
      <c r="B15876" s="43"/>
    </row>
    <row r="15877" spans="2:2" ht="12.75" customHeight="1" x14ac:dyDescent="0.2">
      <c r="B15877" s="43"/>
    </row>
    <row r="15878" spans="2:2" ht="12.75" customHeight="1" x14ac:dyDescent="0.2">
      <c r="B15878" s="43"/>
    </row>
    <row r="15879" spans="2:2" ht="12.75" customHeight="1" x14ac:dyDescent="0.2">
      <c r="B15879" s="43"/>
    </row>
    <row r="15880" spans="2:2" ht="12.75" customHeight="1" x14ac:dyDescent="0.2">
      <c r="B15880" s="43"/>
    </row>
    <row r="15881" spans="2:2" ht="12.75" customHeight="1" x14ac:dyDescent="0.2">
      <c r="B15881" s="43"/>
    </row>
    <row r="15882" spans="2:2" ht="12.75" customHeight="1" x14ac:dyDescent="0.2">
      <c r="B15882" s="43"/>
    </row>
    <row r="15883" spans="2:2" ht="12.75" customHeight="1" x14ac:dyDescent="0.2">
      <c r="B15883" s="43"/>
    </row>
    <row r="15884" spans="2:2" ht="12.75" customHeight="1" x14ac:dyDescent="0.2">
      <c r="B15884" s="43"/>
    </row>
    <row r="15885" spans="2:2" ht="12.75" customHeight="1" x14ac:dyDescent="0.2">
      <c r="B15885" s="43"/>
    </row>
    <row r="15886" spans="2:2" ht="12.75" customHeight="1" x14ac:dyDescent="0.2">
      <c r="B15886" s="43"/>
    </row>
    <row r="15887" spans="2:2" ht="12.75" customHeight="1" x14ac:dyDescent="0.2">
      <c r="B15887" s="43"/>
    </row>
    <row r="15888" spans="2:2" ht="12.75" customHeight="1" x14ac:dyDescent="0.2">
      <c r="B15888" s="43"/>
    </row>
    <row r="15889" spans="2:2" ht="12.75" customHeight="1" x14ac:dyDescent="0.2">
      <c r="B15889" s="43"/>
    </row>
    <row r="15890" spans="2:2" ht="12.75" customHeight="1" x14ac:dyDescent="0.2">
      <c r="B15890" s="43"/>
    </row>
    <row r="15891" spans="2:2" ht="12.75" customHeight="1" x14ac:dyDescent="0.2">
      <c r="B15891" s="43"/>
    </row>
    <row r="15892" spans="2:2" ht="12.75" customHeight="1" x14ac:dyDescent="0.2">
      <c r="B15892" s="43"/>
    </row>
    <row r="15893" spans="2:2" ht="12.75" customHeight="1" x14ac:dyDescent="0.2">
      <c r="B15893" s="43"/>
    </row>
    <row r="15894" spans="2:2" ht="12.75" customHeight="1" x14ac:dyDescent="0.2">
      <c r="B15894" s="43"/>
    </row>
    <row r="15895" spans="2:2" ht="12.75" customHeight="1" x14ac:dyDescent="0.2">
      <c r="B15895" s="43"/>
    </row>
    <row r="15896" spans="2:2" ht="12.75" customHeight="1" x14ac:dyDescent="0.2">
      <c r="B15896" s="43"/>
    </row>
    <row r="15897" spans="2:2" ht="12.75" customHeight="1" x14ac:dyDescent="0.2">
      <c r="B15897" s="43"/>
    </row>
    <row r="15898" spans="2:2" ht="12.75" customHeight="1" x14ac:dyDescent="0.2">
      <c r="B15898" s="43"/>
    </row>
    <row r="15899" spans="2:2" ht="12.75" customHeight="1" x14ac:dyDescent="0.2">
      <c r="B15899" s="43"/>
    </row>
    <row r="15900" spans="2:2" ht="12.75" customHeight="1" x14ac:dyDescent="0.2">
      <c r="B15900" s="43"/>
    </row>
    <row r="15901" spans="2:2" ht="12.75" customHeight="1" x14ac:dyDescent="0.2">
      <c r="B15901" s="43"/>
    </row>
    <row r="15902" spans="2:2" ht="12.75" customHeight="1" x14ac:dyDescent="0.2">
      <c r="B15902" s="43"/>
    </row>
    <row r="15903" spans="2:2" ht="12.75" customHeight="1" x14ac:dyDescent="0.2">
      <c r="B15903" s="43"/>
    </row>
    <row r="15904" spans="2:2" ht="12.75" customHeight="1" x14ac:dyDescent="0.2">
      <c r="B15904" s="43"/>
    </row>
    <row r="15905" spans="2:2" ht="12.75" customHeight="1" x14ac:dyDescent="0.2">
      <c r="B15905" s="43"/>
    </row>
    <row r="15906" spans="2:2" ht="12.75" customHeight="1" x14ac:dyDescent="0.2">
      <c r="B15906" s="43"/>
    </row>
    <row r="15907" spans="2:2" ht="12.75" customHeight="1" x14ac:dyDescent="0.2">
      <c r="B15907" s="43"/>
    </row>
    <row r="15908" spans="2:2" ht="12.75" customHeight="1" x14ac:dyDescent="0.2">
      <c r="B15908" s="43"/>
    </row>
    <row r="15909" spans="2:2" ht="12.75" customHeight="1" x14ac:dyDescent="0.2">
      <c r="B15909" s="43"/>
    </row>
    <row r="15910" spans="2:2" ht="12.75" customHeight="1" x14ac:dyDescent="0.2">
      <c r="B15910" s="43"/>
    </row>
    <row r="15911" spans="2:2" ht="12.75" customHeight="1" x14ac:dyDescent="0.2">
      <c r="B15911" s="43"/>
    </row>
    <row r="15912" spans="2:2" ht="12.75" customHeight="1" x14ac:dyDescent="0.2">
      <c r="B15912" s="43"/>
    </row>
    <row r="15913" spans="2:2" ht="12.75" customHeight="1" x14ac:dyDescent="0.2">
      <c r="B15913" s="43"/>
    </row>
    <row r="15914" spans="2:2" ht="12.75" customHeight="1" x14ac:dyDescent="0.2">
      <c r="B15914" s="43"/>
    </row>
    <row r="15915" spans="2:2" ht="12.75" customHeight="1" x14ac:dyDescent="0.2">
      <c r="B15915" s="43"/>
    </row>
    <row r="15916" spans="2:2" ht="12.75" customHeight="1" x14ac:dyDescent="0.2">
      <c r="B15916" s="43"/>
    </row>
    <row r="15917" spans="2:2" ht="12.75" customHeight="1" x14ac:dyDescent="0.2">
      <c r="B15917" s="43"/>
    </row>
    <row r="15918" spans="2:2" ht="12.75" customHeight="1" x14ac:dyDescent="0.2">
      <c r="B15918" s="43"/>
    </row>
    <row r="15919" spans="2:2" ht="12.75" customHeight="1" x14ac:dyDescent="0.2">
      <c r="B15919" s="43"/>
    </row>
    <row r="15920" spans="2:2" ht="12.75" customHeight="1" x14ac:dyDescent="0.2">
      <c r="B15920" s="43"/>
    </row>
    <row r="15921" spans="2:2" ht="12.75" customHeight="1" x14ac:dyDescent="0.2">
      <c r="B15921" s="43"/>
    </row>
    <row r="15922" spans="2:2" ht="12.75" customHeight="1" x14ac:dyDescent="0.2">
      <c r="B15922" s="43"/>
    </row>
    <row r="15923" spans="2:2" ht="12.75" customHeight="1" x14ac:dyDescent="0.2">
      <c r="B15923" s="43"/>
    </row>
    <row r="15924" spans="2:2" ht="12.75" customHeight="1" x14ac:dyDescent="0.2">
      <c r="B15924" s="43"/>
    </row>
    <row r="15925" spans="2:2" ht="12.75" customHeight="1" x14ac:dyDescent="0.2">
      <c r="B15925" s="43"/>
    </row>
    <row r="15926" spans="2:2" ht="12.75" customHeight="1" x14ac:dyDescent="0.2">
      <c r="B15926" s="43"/>
    </row>
    <row r="15927" spans="2:2" ht="12.75" customHeight="1" x14ac:dyDescent="0.2">
      <c r="B15927" s="43"/>
    </row>
    <row r="15928" spans="2:2" ht="12.75" customHeight="1" x14ac:dyDescent="0.2">
      <c r="B15928" s="43"/>
    </row>
    <row r="15929" spans="2:2" ht="12.75" customHeight="1" x14ac:dyDescent="0.2">
      <c r="B15929" s="43"/>
    </row>
    <row r="15930" spans="2:2" ht="12.75" customHeight="1" x14ac:dyDescent="0.2">
      <c r="B15930" s="43"/>
    </row>
    <row r="15931" spans="2:2" ht="12.75" customHeight="1" x14ac:dyDescent="0.2">
      <c r="B15931" s="43"/>
    </row>
    <row r="15932" spans="2:2" ht="12.75" customHeight="1" x14ac:dyDescent="0.2">
      <c r="B15932" s="43"/>
    </row>
    <row r="15933" spans="2:2" ht="12.75" customHeight="1" x14ac:dyDescent="0.2">
      <c r="B15933" s="43"/>
    </row>
    <row r="15934" spans="2:2" ht="12.75" customHeight="1" x14ac:dyDescent="0.2">
      <c r="B15934" s="43"/>
    </row>
    <row r="15935" spans="2:2" ht="12.75" customHeight="1" x14ac:dyDescent="0.2">
      <c r="B15935" s="43"/>
    </row>
    <row r="15936" spans="2:2" ht="12.75" customHeight="1" x14ac:dyDescent="0.2">
      <c r="B15936" s="43"/>
    </row>
    <row r="15937" spans="2:2" ht="12.75" customHeight="1" x14ac:dyDescent="0.2">
      <c r="B15937" s="43"/>
    </row>
    <row r="15938" spans="2:2" ht="12.75" customHeight="1" x14ac:dyDescent="0.2">
      <c r="B15938" s="43"/>
    </row>
    <row r="15939" spans="2:2" ht="12.75" customHeight="1" x14ac:dyDescent="0.2">
      <c r="B15939" s="43"/>
    </row>
    <row r="15940" spans="2:2" ht="12.75" customHeight="1" x14ac:dyDescent="0.2">
      <c r="B15940" s="43"/>
    </row>
    <row r="15941" spans="2:2" ht="12.75" customHeight="1" x14ac:dyDescent="0.2">
      <c r="B15941" s="43"/>
    </row>
    <row r="15942" spans="2:2" ht="12.75" customHeight="1" x14ac:dyDescent="0.2">
      <c r="B15942" s="43"/>
    </row>
    <row r="15943" spans="2:2" ht="12.75" customHeight="1" x14ac:dyDescent="0.2">
      <c r="B15943" s="43"/>
    </row>
    <row r="15944" spans="2:2" ht="12.75" customHeight="1" x14ac:dyDescent="0.2">
      <c r="B15944" s="43"/>
    </row>
    <row r="15945" spans="2:2" ht="12.75" customHeight="1" x14ac:dyDescent="0.2">
      <c r="B15945" s="43"/>
    </row>
    <row r="15946" spans="2:2" ht="12.75" customHeight="1" x14ac:dyDescent="0.2">
      <c r="B15946" s="43"/>
    </row>
    <row r="15947" spans="2:2" ht="12.75" customHeight="1" x14ac:dyDescent="0.2">
      <c r="B15947" s="43"/>
    </row>
    <row r="15948" spans="2:2" ht="12.75" customHeight="1" x14ac:dyDescent="0.2">
      <c r="B15948" s="43"/>
    </row>
    <row r="15949" spans="2:2" ht="12.75" customHeight="1" x14ac:dyDescent="0.2">
      <c r="B15949" s="43"/>
    </row>
    <row r="15950" spans="2:2" ht="12.75" customHeight="1" x14ac:dyDescent="0.2">
      <c r="B15950" s="43"/>
    </row>
    <row r="15951" spans="2:2" ht="12.75" customHeight="1" x14ac:dyDescent="0.2">
      <c r="B15951" s="43"/>
    </row>
    <row r="15952" spans="2:2" ht="12.75" customHeight="1" x14ac:dyDescent="0.2">
      <c r="B15952" s="43"/>
    </row>
    <row r="15953" spans="2:2" ht="12.75" customHeight="1" x14ac:dyDescent="0.2">
      <c r="B15953" s="43"/>
    </row>
    <row r="15954" spans="2:2" ht="12.75" customHeight="1" x14ac:dyDescent="0.2">
      <c r="B15954" s="43"/>
    </row>
    <row r="15955" spans="2:2" ht="12.75" customHeight="1" x14ac:dyDescent="0.2">
      <c r="B15955" s="43"/>
    </row>
    <row r="15956" spans="2:2" ht="12.75" customHeight="1" x14ac:dyDescent="0.2">
      <c r="B15956" s="43"/>
    </row>
    <row r="15957" spans="2:2" ht="12.75" customHeight="1" x14ac:dyDescent="0.2">
      <c r="B15957" s="43"/>
    </row>
    <row r="15958" spans="2:2" ht="12.75" customHeight="1" x14ac:dyDescent="0.2">
      <c r="B15958" s="43"/>
    </row>
    <row r="15959" spans="2:2" ht="12.75" customHeight="1" x14ac:dyDescent="0.2">
      <c r="B15959" s="43"/>
    </row>
    <row r="15960" spans="2:2" ht="12.75" customHeight="1" x14ac:dyDescent="0.2">
      <c r="B15960" s="43"/>
    </row>
    <row r="15961" spans="2:2" ht="12.75" customHeight="1" x14ac:dyDescent="0.2">
      <c r="B15961" s="43"/>
    </row>
    <row r="15962" spans="2:2" ht="12.75" customHeight="1" x14ac:dyDescent="0.2">
      <c r="B15962" s="43"/>
    </row>
    <row r="15963" spans="2:2" ht="12.75" customHeight="1" x14ac:dyDescent="0.2">
      <c r="B15963" s="43"/>
    </row>
    <row r="15964" spans="2:2" ht="12.75" customHeight="1" x14ac:dyDescent="0.2">
      <c r="B15964" s="43"/>
    </row>
    <row r="15965" spans="2:2" ht="12.75" customHeight="1" x14ac:dyDescent="0.2">
      <c r="B15965" s="43"/>
    </row>
    <row r="15966" spans="2:2" ht="12.75" customHeight="1" x14ac:dyDescent="0.2">
      <c r="B15966" s="43"/>
    </row>
    <row r="15967" spans="2:2" ht="12.75" customHeight="1" x14ac:dyDescent="0.2">
      <c r="B15967" s="43"/>
    </row>
    <row r="15968" spans="2:2" ht="12.75" customHeight="1" x14ac:dyDescent="0.2">
      <c r="B15968" s="43"/>
    </row>
    <row r="15969" spans="2:2" ht="12.75" customHeight="1" x14ac:dyDescent="0.2">
      <c r="B15969" s="43"/>
    </row>
    <row r="15970" spans="2:2" ht="12.75" customHeight="1" x14ac:dyDescent="0.2">
      <c r="B15970" s="43"/>
    </row>
    <row r="15971" spans="2:2" ht="12.75" customHeight="1" x14ac:dyDescent="0.2">
      <c r="B15971" s="43"/>
    </row>
    <row r="15972" spans="2:2" ht="12.75" customHeight="1" x14ac:dyDescent="0.2">
      <c r="B15972" s="43"/>
    </row>
    <row r="15973" spans="2:2" ht="12.75" customHeight="1" x14ac:dyDescent="0.2">
      <c r="B15973" s="43"/>
    </row>
    <row r="15974" spans="2:2" ht="12.75" customHeight="1" x14ac:dyDescent="0.2">
      <c r="B15974" s="43"/>
    </row>
    <row r="15975" spans="2:2" ht="12.75" customHeight="1" x14ac:dyDescent="0.2">
      <c r="B15975" s="43"/>
    </row>
    <row r="15976" spans="2:2" ht="12.75" customHeight="1" x14ac:dyDescent="0.2">
      <c r="B15976" s="43"/>
    </row>
    <row r="15977" spans="2:2" ht="12.75" customHeight="1" x14ac:dyDescent="0.2">
      <c r="B15977" s="43"/>
    </row>
    <row r="15978" spans="2:2" ht="12.75" customHeight="1" x14ac:dyDescent="0.2">
      <c r="B15978" s="43"/>
    </row>
    <row r="15979" spans="2:2" ht="12.75" customHeight="1" x14ac:dyDescent="0.2">
      <c r="B15979" s="43"/>
    </row>
    <row r="15980" spans="2:2" ht="12.75" customHeight="1" x14ac:dyDescent="0.2">
      <c r="B15980" s="43"/>
    </row>
    <row r="15981" spans="2:2" ht="12.75" customHeight="1" x14ac:dyDescent="0.2">
      <c r="B15981" s="43"/>
    </row>
    <row r="15982" spans="2:2" ht="12.75" customHeight="1" x14ac:dyDescent="0.2">
      <c r="B15982" s="43"/>
    </row>
    <row r="15983" spans="2:2" ht="12.75" customHeight="1" x14ac:dyDescent="0.2">
      <c r="B15983" s="43"/>
    </row>
    <row r="15984" spans="2:2" ht="12.75" customHeight="1" x14ac:dyDescent="0.2">
      <c r="B15984" s="43"/>
    </row>
    <row r="15985" spans="2:2" ht="12.75" customHeight="1" x14ac:dyDescent="0.2">
      <c r="B15985" s="43"/>
    </row>
    <row r="15986" spans="2:2" ht="12.75" customHeight="1" x14ac:dyDescent="0.2">
      <c r="B15986" s="43"/>
    </row>
    <row r="15987" spans="2:2" ht="12.75" customHeight="1" x14ac:dyDescent="0.2">
      <c r="B15987" s="43"/>
    </row>
    <row r="15988" spans="2:2" ht="12.75" customHeight="1" x14ac:dyDescent="0.2">
      <c r="B15988" s="43"/>
    </row>
    <row r="15989" spans="2:2" ht="12.75" customHeight="1" x14ac:dyDescent="0.2">
      <c r="B15989" s="43"/>
    </row>
    <row r="15990" spans="2:2" ht="12.75" customHeight="1" x14ac:dyDescent="0.2">
      <c r="B15990" s="43"/>
    </row>
    <row r="15991" spans="2:2" ht="12.75" customHeight="1" x14ac:dyDescent="0.2">
      <c r="B15991" s="43"/>
    </row>
    <row r="15992" spans="2:2" ht="12.75" customHeight="1" x14ac:dyDescent="0.2">
      <c r="B15992" s="43"/>
    </row>
    <row r="15993" spans="2:2" ht="12.75" customHeight="1" x14ac:dyDescent="0.2">
      <c r="B15993" s="43"/>
    </row>
    <row r="15994" spans="2:2" ht="12.75" customHeight="1" x14ac:dyDescent="0.2">
      <c r="B15994" s="43"/>
    </row>
    <row r="15995" spans="2:2" ht="12.75" customHeight="1" x14ac:dyDescent="0.2">
      <c r="B15995" s="43"/>
    </row>
    <row r="15996" spans="2:2" ht="12.75" customHeight="1" x14ac:dyDescent="0.2">
      <c r="B15996" s="43"/>
    </row>
    <row r="15997" spans="2:2" ht="12.75" customHeight="1" x14ac:dyDescent="0.2">
      <c r="B15997" s="43"/>
    </row>
    <row r="15998" spans="2:2" ht="12.75" customHeight="1" x14ac:dyDescent="0.2">
      <c r="B15998" s="43"/>
    </row>
    <row r="15999" spans="2:2" ht="12.75" customHeight="1" x14ac:dyDescent="0.2">
      <c r="B15999" s="43"/>
    </row>
    <row r="16000" spans="2:2" ht="12.75" customHeight="1" x14ac:dyDescent="0.2">
      <c r="B16000" s="43"/>
    </row>
    <row r="16001" spans="2:2" ht="12.75" customHeight="1" x14ac:dyDescent="0.2">
      <c r="B16001" s="43"/>
    </row>
    <row r="16002" spans="2:2" ht="12.75" customHeight="1" x14ac:dyDescent="0.2">
      <c r="B16002" s="43"/>
    </row>
    <row r="16003" spans="2:2" ht="12.75" customHeight="1" x14ac:dyDescent="0.2">
      <c r="B16003" s="43"/>
    </row>
    <row r="16004" spans="2:2" ht="12.75" customHeight="1" x14ac:dyDescent="0.2">
      <c r="B16004" s="43"/>
    </row>
    <row r="16005" spans="2:2" ht="12.75" customHeight="1" x14ac:dyDescent="0.2">
      <c r="B16005" s="43"/>
    </row>
    <row r="16006" spans="2:2" ht="12.75" customHeight="1" x14ac:dyDescent="0.2">
      <c r="B16006" s="43"/>
    </row>
    <row r="16007" spans="2:2" ht="12.75" customHeight="1" x14ac:dyDescent="0.2">
      <c r="B16007" s="43"/>
    </row>
    <row r="16008" spans="2:2" ht="12.75" customHeight="1" x14ac:dyDescent="0.2">
      <c r="B16008" s="43"/>
    </row>
    <row r="16009" spans="2:2" ht="12.75" customHeight="1" x14ac:dyDescent="0.2">
      <c r="B16009" s="43"/>
    </row>
    <row r="16010" spans="2:2" ht="12.75" customHeight="1" x14ac:dyDescent="0.2">
      <c r="B16010" s="43"/>
    </row>
    <row r="16011" spans="2:2" ht="12.75" customHeight="1" x14ac:dyDescent="0.2">
      <c r="B16011" s="43"/>
    </row>
    <row r="16012" spans="2:2" ht="12.75" customHeight="1" x14ac:dyDescent="0.2">
      <c r="B16012" s="43"/>
    </row>
    <row r="16013" spans="2:2" ht="12.75" customHeight="1" x14ac:dyDescent="0.2">
      <c r="B16013" s="43"/>
    </row>
    <row r="16014" spans="2:2" ht="12.75" customHeight="1" x14ac:dyDescent="0.2">
      <c r="B16014" s="43"/>
    </row>
    <row r="16015" spans="2:2" ht="12.75" customHeight="1" x14ac:dyDescent="0.2">
      <c r="B16015" s="43"/>
    </row>
    <row r="16016" spans="2:2" ht="12.75" customHeight="1" x14ac:dyDescent="0.2">
      <c r="B16016" s="43"/>
    </row>
    <row r="16017" spans="2:2" ht="12.75" customHeight="1" x14ac:dyDescent="0.2">
      <c r="B16017" s="43"/>
    </row>
    <row r="16018" spans="2:2" ht="12.75" customHeight="1" x14ac:dyDescent="0.2">
      <c r="B16018" s="43"/>
    </row>
    <row r="16019" spans="2:2" ht="12.75" customHeight="1" x14ac:dyDescent="0.2">
      <c r="B16019" s="43"/>
    </row>
    <row r="16020" spans="2:2" ht="12.75" customHeight="1" x14ac:dyDescent="0.2">
      <c r="B16020" s="43"/>
    </row>
    <row r="16021" spans="2:2" ht="12.75" customHeight="1" x14ac:dyDescent="0.2">
      <c r="B16021" s="43"/>
    </row>
    <row r="16022" spans="2:2" ht="12.75" customHeight="1" x14ac:dyDescent="0.2">
      <c r="B16022" s="43"/>
    </row>
    <row r="16023" spans="2:2" ht="12.75" customHeight="1" x14ac:dyDescent="0.2">
      <c r="B16023" s="43"/>
    </row>
    <row r="16024" spans="2:2" ht="12.75" customHeight="1" x14ac:dyDescent="0.2">
      <c r="B16024" s="43"/>
    </row>
    <row r="16025" spans="2:2" ht="12.75" customHeight="1" x14ac:dyDescent="0.2">
      <c r="B16025" s="43"/>
    </row>
    <row r="16026" spans="2:2" ht="12.75" customHeight="1" x14ac:dyDescent="0.2">
      <c r="B16026" s="43"/>
    </row>
    <row r="16027" spans="2:2" ht="12.75" customHeight="1" x14ac:dyDescent="0.2">
      <c r="B16027" s="43"/>
    </row>
    <row r="16028" spans="2:2" ht="12.75" customHeight="1" x14ac:dyDescent="0.2">
      <c r="B16028" s="43"/>
    </row>
    <row r="16029" spans="2:2" ht="12.75" customHeight="1" x14ac:dyDescent="0.2">
      <c r="B16029" s="43"/>
    </row>
    <row r="16030" spans="2:2" ht="12.75" customHeight="1" x14ac:dyDescent="0.2">
      <c r="B16030" s="43"/>
    </row>
    <row r="16031" spans="2:2" ht="12.75" customHeight="1" x14ac:dyDescent="0.2">
      <c r="B16031" s="43"/>
    </row>
    <row r="16032" spans="2:2" ht="12.75" customHeight="1" x14ac:dyDescent="0.2">
      <c r="B16032" s="43"/>
    </row>
    <row r="16033" spans="2:2" ht="12.75" customHeight="1" x14ac:dyDescent="0.2">
      <c r="B16033" s="43"/>
    </row>
    <row r="16034" spans="2:2" ht="12.75" customHeight="1" x14ac:dyDescent="0.2">
      <c r="B16034" s="43"/>
    </row>
    <row r="16035" spans="2:2" ht="12.75" customHeight="1" x14ac:dyDescent="0.2">
      <c r="B16035" s="43"/>
    </row>
    <row r="16036" spans="2:2" ht="12.75" customHeight="1" x14ac:dyDescent="0.2">
      <c r="B16036" s="43"/>
    </row>
    <row r="16037" spans="2:2" ht="12.75" customHeight="1" x14ac:dyDescent="0.2">
      <c r="B16037" s="43"/>
    </row>
    <row r="16038" spans="2:2" ht="12.75" customHeight="1" x14ac:dyDescent="0.2">
      <c r="B16038" s="43"/>
    </row>
    <row r="16039" spans="2:2" ht="12.75" customHeight="1" x14ac:dyDescent="0.2">
      <c r="B16039" s="43"/>
    </row>
    <row r="16040" spans="2:2" ht="12.75" customHeight="1" x14ac:dyDescent="0.2">
      <c r="B16040" s="43"/>
    </row>
    <row r="16041" spans="2:2" ht="12.75" customHeight="1" x14ac:dyDescent="0.2">
      <c r="B16041" s="43"/>
    </row>
    <row r="16042" spans="2:2" ht="12.75" customHeight="1" x14ac:dyDescent="0.2">
      <c r="B16042" s="43"/>
    </row>
    <row r="16043" spans="2:2" ht="12.75" customHeight="1" x14ac:dyDescent="0.2">
      <c r="B16043" s="43"/>
    </row>
    <row r="16044" spans="2:2" ht="12.75" customHeight="1" x14ac:dyDescent="0.2">
      <c r="B16044" s="43"/>
    </row>
    <row r="16045" spans="2:2" ht="12.75" customHeight="1" x14ac:dyDescent="0.2">
      <c r="B16045" s="43"/>
    </row>
    <row r="16046" spans="2:2" ht="12.75" customHeight="1" x14ac:dyDescent="0.2">
      <c r="B16046" s="43"/>
    </row>
    <row r="16047" spans="2:2" ht="12.75" customHeight="1" x14ac:dyDescent="0.2">
      <c r="B16047" s="43"/>
    </row>
    <row r="16048" spans="2:2" ht="12.75" customHeight="1" x14ac:dyDescent="0.2">
      <c r="B16048" s="43"/>
    </row>
    <row r="16049" spans="2:2" ht="12.75" customHeight="1" x14ac:dyDescent="0.2">
      <c r="B16049" s="43"/>
    </row>
    <row r="16050" spans="2:2" ht="12.75" customHeight="1" x14ac:dyDescent="0.2">
      <c r="B16050" s="43"/>
    </row>
    <row r="16051" spans="2:2" ht="12.75" customHeight="1" x14ac:dyDescent="0.2">
      <c r="B16051" s="43"/>
    </row>
    <row r="16052" spans="2:2" ht="12.75" customHeight="1" x14ac:dyDescent="0.2">
      <c r="B16052" s="43"/>
    </row>
    <row r="16053" spans="2:2" ht="12.75" customHeight="1" x14ac:dyDescent="0.2">
      <c r="B16053" s="43"/>
    </row>
    <row r="16054" spans="2:2" ht="12.75" customHeight="1" x14ac:dyDescent="0.2">
      <c r="B16054" s="43"/>
    </row>
    <row r="16055" spans="2:2" ht="12.75" customHeight="1" x14ac:dyDescent="0.2">
      <c r="B16055" s="43"/>
    </row>
    <row r="16056" spans="2:2" ht="12.75" customHeight="1" x14ac:dyDescent="0.2">
      <c r="B16056" s="43"/>
    </row>
    <row r="16057" spans="2:2" ht="12.75" customHeight="1" x14ac:dyDescent="0.2">
      <c r="B16057" s="43"/>
    </row>
    <row r="16058" spans="2:2" ht="12.75" customHeight="1" x14ac:dyDescent="0.2">
      <c r="B16058" s="43"/>
    </row>
    <row r="16059" spans="2:2" ht="12.75" customHeight="1" x14ac:dyDescent="0.2">
      <c r="B16059" s="43"/>
    </row>
    <row r="16060" spans="2:2" ht="12.75" customHeight="1" x14ac:dyDescent="0.2">
      <c r="B16060" s="43"/>
    </row>
    <row r="16061" spans="2:2" ht="12.75" customHeight="1" x14ac:dyDescent="0.2">
      <c r="B16061" s="43"/>
    </row>
    <row r="16062" spans="2:2" ht="12.75" customHeight="1" x14ac:dyDescent="0.2">
      <c r="B16062" s="43"/>
    </row>
    <row r="16063" spans="2:2" ht="12.75" customHeight="1" x14ac:dyDescent="0.2">
      <c r="B16063" s="43"/>
    </row>
    <row r="16064" spans="2:2" ht="12.75" customHeight="1" x14ac:dyDescent="0.2">
      <c r="B16064" s="43"/>
    </row>
    <row r="16065" spans="2:2" ht="12.75" customHeight="1" x14ac:dyDescent="0.2">
      <c r="B16065" s="43"/>
    </row>
    <row r="16066" spans="2:2" ht="12.75" customHeight="1" x14ac:dyDescent="0.2">
      <c r="B16066" s="43"/>
    </row>
    <row r="16067" spans="2:2" ht="12.75" customHeight="1" x14ac:dyDescent="0.2">
      <c r="B16067" s="43"/>
    </row>
    <row r="16068" spans="2:2" ht="12.75" customHeight="1" x14ac:dyDescent="0.2">
      <c r="B16068" s="43"/>
    </row>
    <row r="16069" spans="2:2" ht="12.75" customHeight="1" x14ac:dyDescent="0.2">
      <c r="B16069" s="43"/>
    </row>
    <row r="16070" spans="2:2" ht="12.75" customHeight="1" x14ac:dyDescent="0.2">
      <c r="B16070" s="43"/>
    </row>
    <row r="16071" spans="2:2" ht="12.75" customHeight="1" x14ac:dyDescent="0.2">
      <c r="B16071" s="43"/>
    </row>
    <row r="16072" spans="2:2" ht="12.75" customHeight="1" x14ac:dyDescent="0.2">
      <c r="B16072" s="43"/>
    </row>
    <row r="16073" spans="2:2" ht="12.75" customHeight="1" x14ac:dyDescent="0.2">
      <c r="B16073" s="43"/>
    </row>
    <row r="16074" spans="2:2" ht="12.75" customHeight="1" x14ac:dyDescent="0.2">
      <c r="B16074" s="43"/>
    </row>
    <row r="16075" spans="2:2" ht="12.75" customHeight="1" x14ac:dyDescent="0.2">
      <c r="B16075" s="43"/>
    </row>
    <row r="16076" spans="2:2" ht="12.75" customHeight="1" x14ac:dyDescent="0.2">
      <c r="B16076" s="43"/>
    </row>
    <row r="16077" spans="2:2" ht="12.75" customHeight="1" x14ac:dyDescent="0.2">
      <c r="B16077" s="43"/>
    </row>
    <row r="16078" spans="2:2" ht="12.75" customHeight="1" x14ac:dyDescent="0.2">
      <c r="B16078" s="43"/>
    </row>
    <row r="16079" spans="2:2" ht="12.75" customHeight="1" x14ac:dyDescent="0.2">
      <c r="B16079" s="43"/>
    </row>
    <row r="16080" spans="2:2" ht="12.75" customHeight="1" x14ac:dyDescent="0.2">
      <c r="B16080" s="43"/>
    </row>
    <row r="16081" spans="2:2" ht="12.75" customHeight="1" x14ac:dyDescent="0.2">
      <c r="B16081" s="43"/>
    </row>
    <row r="16082" spans="2:2" ht="12.75" customHeight="1" x14ac:dyDescent="0.2">
      <c r="B16082" s="43"/>
    </row>
    <row r="16083" spans="2:2" ht="12.75" customHeight="1" x14ac:dyDescent="0.2">
      <c r="B16083" s="43"/>
    </row>
    <row r="16084" spans="2:2" ht="12.75" customHeight="1" x14ac:dyDescent="0.2">
      <c r="B16084" s="43"/>
    </row>
    <row r="16085" spans="2:2" ht="12.75" customHeight="1" x14ac:dyDescent="0.2">
      <c r="B16085" s="43"/>
    </row>
    <row r="16086" spans="2:2" ht="12.75" customHeight="1" x14ac:dyDescent="0.2">
      <c r="B16086" s="43"/>
    </row>
    <row r="16087" spans="2:2" ht="12.75" customHeight="1" x14ac:dyDescent="0.2">
      <c r="B16087" s="43"/>
    </row>
    <row r="16088" spans="2:2" ht="12.75" customHeight="1" x14ac:dyDescent="0.2">
      <c r="B16088" s="43"/>
    </row>
    <row r="16089" spans="2:2" ht="12.75" customHeight="1" x14ac:dyDescent="0.2">
      <c r="B16089" s="43"/>
    </row>
    <row r="16090" spans="2:2" ht="12.75" customHeight="1" x14ac:dyDescent="0.2">
      <c r="B16090" s="43"/>
    </row>
    <row r="16091" spans="2:2" ht="12.75" customHeight="1" x14ac:dyDescent="0.2">
      <c r="B16091" s="43"/>
    </row>
    <row r="16092" spans="2:2" ht="12.75" customHeight="1" x14ac:dyDescent="0.2">
      <c r="B16092" s="43"/>
    </row>
    <row r="16093" spans="2:2" ht="12.75" customHeight="1" x14ac:dyDescent="0.2">
      <c r="B16093" s="43"/>
    </row>
    <row r="16094" spans="2:2" ht="12.75" customHeight="1" x14ac:dyDescent="0.2">
      <c r="B16094" s="43"/>
    </row>
    <row r="16095" spans="2:2" ht="12.75" customHeight="1" x14ac:dyDescent="0.2">
      <c r="B16095" s="43"/>
    </row>
    <row r="16096" spans="2:2" ht="12.75" customHeight="1" x14ac:dyDescent="0.2">
      <c r="B16096" s="43"/>
    </row>
    <row r="16097" spans="2:2" ht="12.75" customHeight="1" x14ac:dyDescent="0.2">
      <c r="B16097" s="43"/>
    </row>
    <row r="16098" spans="2:2" ht="12.75" customHeight="1" x14ac:dyDescent="0.2">
      <c r="B16098" s="43"/>
    </row>
    <row r="16099" spans="2:2" ht="12.75" customHeight="1" x14ac:dyDescent="0.2">
      <c r="B16099" s="43"/>
    </row>
    <row r="16100" spans="2:2" ht="12.75" customHeight="1" x14ac:dyDescent="0.2">
      <c r="B16100" s="43"/>
    </row>
    <row r="16101" spans="2:2" ht="12.75" customHeight="1" x14ac:dyDescent="0.2">
      <c r="B16101" s="43"/>
    </row>
    <row r="16102" spans="2:2" ht="12.75" customHeight="1" x14ac:dyDescent="0.2">
      <c r="B16102" s="43"/>
    </row>
    <row r="16103" spans="2:2" ht="12.75" customHeight="1" x14ac:dyDescent="0.2">
      <c r="B16103" s="43"/>
    </row>
    <row r="16104" spans="2:2" ht="12.75" customHeight="1" x14ac:dyDescent="0.2">
      <c r="B16104" s="43"/>
    </row>
    <row r="16105" spans="2:2" ht="12.75" customHeight="1" x14ac:dyDescent="0.2">
      <c r="B16105" s="43"/>
    </row>
    <row r="16106" spans="2:2" ht="12.75" customHeight="1" x14ac:dyDescent="0.2">
      <c r="B16106" s="43"/>
    </row>
    <row r="16107" spans="2:2" ht="12.75" customHeight="1" x14ac:dyDescent="0.2">
      <c r="B16107" s="43"/>
    </row>
    <row r="16108" spans="2:2" ht="12.75" customHeight="1" x14ac:dyDescent="0.2">
      <c r="B16108" s="43"/>
    </row>
    <row r="16109" spans="2:2" ht="12.75" customHeight="1" x14ac:dyDescent="0.2">
      <c r="B16109" s="43"/>
    </row>
    <row r="16110" spans="2:2" ht="12.75" customHeight="1" x14ac:dyDescent="0.2">
      <c r="B16110" s="43"/>
    </row>
    <row r="16111" spans="2:2" ht="12.75" customHeight="1" x14ac:dyDescent="0.2">
      <c r="B16111" s="43"/>
    </row>
    <row r="16112" spans="2:2" ht="12.75" customHeight="1" x14ac:dyDescent="0.2">
      <c r="B16112" s="43"/>
    </row>
    <row r="16113" spans="2:2" ht="12.75" customHeight="1" x14ac:dyDescent="0.2">
      <c r="B16113" s="43"/>
    </row>
    <row r="16114" spans="2:2" ht="12.75" customHeight="1" x14ac:dyDescent="0.2">
      <c r="B16114" s="43"/>
    </row>
    <row r="16115" spans="2:2" ht="12.75" customHeight="1" x14ac:dyDescent="0.2">
      <c r="B16115" s="43"/>
    </row>
    <row r="16116" spans="2:2" ht="12.75" customHeight="1" x14ac:dyDescent="0.2">
      <c r="B16116" s="43"/>
    </row>
    <row r="16117" spans="2:2" ht="12.75" customHeight="1" x14ac:dyDescent="0.2">
      <c r="B16117" s="43"/>
    </row>
    <row r="16118" spans="2:2" ht="12.75" customHeight="1" x14ac:dyDescent="0.2">
      <c r="B16118" s="43"/>
    </row>
    <row r="16119" spans="2:2" ht="12.75" customHeight="1" x14ac:dyDescent="0.2">
      <c r="B16119" s="43"/>
    </row>
    <row r="16120" spans="2:2" ht="12.75" customHeight="1" x14ac:dyDescent="0.2">
      <c r="B16120" s="43"/>
    </row>
    <row r="16121" spans="2:2" ht="12.75" customHeight="1" x14ac:dyDescent="0.2">
      <c r="B16121" s="43"/>
    </row>
    <row r="16122" spans="2:2" ht="12.75" customHeight="1" x14ac:dyDescent="0.2">
      <c r="B16122" s="43"/>
    </row>
    <row r="16123" spans="2:2" ht="12.75" customHeight="1" x14ac:dyDescent="0.2">
      <c r="B16123" s="43"/>
    </row>
    <row r="16124" spans="2:2" ht="12.75" customHeight="1" x14ac:dyDescent="0.2">
      <c r="B16124" s="43"/>
    </row>
    <row r="16125" spans="2:2" ht="12.75" customHeight="1" x14ac:dyDescent="0.2">
      <c r="B16125" s="43"/>
    </row>
    <row r="16126" spans="2:2" ht="12.75" customHeight="1" x14ac:dyDescent="0.2">
      <c r="B16126" s="43"/>
    </row>
    <row r="16127" spans="2:2" ht="12.75" customHeight="1" x14ac:dyDescent="0.2">
      <c r="B16127" s="43"/>
    </row>
    <row r="16128" spans="2:2" ht="12.75" customHeight="1" x14ac:dyDescent="0.2">
      <c r="B16128" s="43"/>
    </row>
    <row r="16129" spans="2:2" ht="12.75" customHeight="1" x14ac:dyDescent="0.2">
      <c r="B16129" s="43"/>
    </row>
    <row r="16130" spans="2:2" ht="12.75" customHeight="1" x14ac:dyDescent="0.2">
      <c r="B16130" s="43"/>
    </row>
    <row r="16131" spans="2:2" ht="12.75" customHeight="1" x14ac:dyDescent="0.2">
      <c r="B16131" s="43"/>
    </row>
    <row r="16132" spans="2:2" ht="12.75" customHeight="1" x14ac:dyDescent="0.2">
      <c r="B16132" s="43"/>
    </row>
    <row r="16133" spans="2:2" ht="12.75" customHeight="1" x14ac:dyDescent="0.2">
      <c r="B16133" s="43"/>
    </row>
    <row r="16134" spans="2:2" ht="12.75" customHeight="1" x14ac:dyDescent="0.2">
      <c r="B16134" s="43"/>
    </row>
    <row r="16135" spans="2:2" ht="12.75" customHeight="1" x14ac:dyDescent="0.2">
      <c r="B16135" s="43"/>
    </row>
    <row r="16136" spans="2:2" ht="12.75" customHeight="1" x14ac:dyDescent="0.2">
      <c r="B16136" s="43"/>
    </row>
    <row r="16137" spans="2:2" ht="12.75" customHeight="1" x14ac:dyDescent="0.2">
      <c r="B16137" s="43"/>
    </row>
    <row r="16138" spans="2:2" ht="12.75" customHeight="1" x14ac:dyDescent="0.2">
      <c r="B16138" s="43"/>
    </row>
    <row r="16139" spans="2:2" ht="12.75" customHeight="1" x14ac:dyDescent="0.2">
      <c r="B16139" s="43"/>
    </row>
    <row r="16140" spans="2:2" ht="12.75" customHeight="1" x14ac:dyDescent="0.2">
      <c r="B16140" s="43"/>
    </row>
    <row r="16141" spans="2:2" ht="12.75" customHeight="1" x14ac:dyDescent="0.2">
      <c r="B16141" s="43"/>
    </row>
    <row r="16142" spans="2:2" ht="12.75" customHeight="1" x14ac:dyDescent="0.2">
      <c r="B16142" s="43"/>
    </row>
    <row r="16143" spans="2:2" ht="12.75" customHeight="1" x14ac:dyDescent="0.2">
      <c r="B16143" s="43"/>
    </row>
    <row r="16144" spans="2:2" ht="12.75" customHeight="1" x14ac:dyDescent="0.2">
      <c r="B16144" s="43"/>
    </row>
    <row r="16145" spans="2:2" ht="12.75" customHeight="1" x14ac:dyDescent="0.2">
      <c r="B16145" s="43"/>
    </row>
    <row r="16146" spans="2:2" ht="12.75" customHeight="1" x14ac:dyDescent="0.2">
      <c r="B16146" s="43"/>
    </row>
    <row r="16147" spans="2:2" ht="12.75" customHeight="1" x14ac:dyDescent="0.2">
      <c r="B16147" s="43"/>
    </row>
    <row r="16148" spans="2:2" ht="12.75" customHeight="1" x14ac:dyDescent="0.2">
      <c r="B16148" s="43"/>
    </row>
    <row r="16149" spans="2:2" ht="12.75" customHeight="1" x14ac:dyDescent="0.2">
      <c r="B16149" s="43"/>
    </row>
    <row r="16150" spans="2:2" ht="12.75" customHeight="1" x14ac:dyDescent="0.2">
      <c r="B16150" s="43"/>
    </row>
    <row r="16151" spans="2:2" ht="12.75" customHeight="1" x14ac:dyDescent="0.2">
      <c r="B16151" s="43"/>
    </row>
    <row r="16152" spans="2:2" ht="12.75" customHeight="1" x14ac:dyDescent="0.2">
      <c r="B16152" s="43"/>
    </row>
    <row r="16153" spans="2:2" ht="12.75" customHeight="1" x14ac:dyDescent="0.2">
      <c r="B16153" s="43"/>
    </row>
    <row r="16154" spans="2:2" ht="12.75" customHeight="1" x14ac:dyDescent="0.2">
      <c r="B16154" s="43"/>
    </row>
    <row r="16155" spans="2:2" ht="12.75" customHeight="1" x14ac:dyDescent="0.2">
      <c r="B16155" s="43"/>
    </row>
    <row r="16156" spans="2:2" ht="12.75" customHeight="1" x14ac:dyDescent="0.2">
      <c r="B16156" s="43"/>
    </row>
    <row r="16157" spans="2:2" ht="12.75" customHeight="1" x14ac:dyDescent="0.2">
      <c r="B16157" s="43"/>
    </row>
    <row r="16158" spans="2:2" ht="12.75" customHeight="1" x14ac:dyDescent="0.2">
      <c r="B16158" s="43"/>
    </row>
    <row r="16159" spans="2:2" ht="12.75" customHeight="1" x14ac:dyDescent="0.2">
      <c r="B16159" s="43"/>
    </row>
    <row r="16160" spans="2:2" ht="12.75" customHeight="1" x14ac:dyDescent="0.2">
      <c r="B16160" s="43"/>
    </row>
    <row r="16161" spans="2:2" ht="12.75" customHeight="1" x14ac:dyDescent="0.2">
      <c r="B16161" s="43"/>
    </row>
    <row r="16162" spans="2:2" ht="12.75" customHeight="1" x14ac:dyDescent="0.2">
      <c r="B16162" s="43"/>
    </row>
    <row r="16163" spans="2:2" ht="12.75" customHeight="1" x14ac:dyDescent="0.2">
      <c r="B16163" s="43"/>
    </row>
    <row r="16164" spans="2:2" ht="12.75" customHeight="1" x14ac:dyDescent="0.2">
      <c r="B16164" s="43"/>
    </row>
    <row r="16165" spans="2:2" ht="12.75" customHeight="1" x14ac:dyDescent="0.2">
      <c r="B16165" s="43"/>
    </row>
    <row r="16166" spans="2:2" ht="12.75" customHeight="1" x14ac:dyDescent="0.2">
      <c r="B16166" s="43"/>
    </row>
    <row r="16167" spans="2:2" ht="12.75" customHeight="1" x14ac:dyDescent="0.2">
      <c r="B16167" s="43"/>
    </row>
    <row r="16168" spans="2:2" ht="12.75" customHeight="1" x14ac:dyDescent="0.2">
      <c r="B16168" s="43"/>
    </row>
    <row r="16169" spans="2:2" ht="12.75" customHeight="1" x14ac:dyDescent="0.2">
      <c r="B16169" s="43"/>
    </row>
    <row r="16170" spans="2:2" ht="12.75" customHeight="1" x14ac:dyDescent="0.2">
      <c r="B16170" s="43"/>
    </row>
    <row r="16171" spans="2:2" ht="12.75" customHeight="1" x14ac:dyDescent="0.2">
      <c r="B16171" s="43"/>
    </row>
    <row r="16172" spans="2:2" ht="12.75" customHeight="1" x14ac:dyDescent="0.2">
      <c r="B16172" s="43"/>
    </row>
    <row r="16173" spans="2:2" ht="12.75" customHeight="1" x14ac:dyDescent="0.2">
      <c r="B16173" s="43"/>
    </row>
    <row r="16174" spans="2:2" ht="12.75" customHeight="1" x14ac:dyDescent="0.2">
      <c r="B16174" s="43"/>
    </row>
    <row r="16175" spans="2:2" ht="12.75" customHeight="1" x14ac:dyDescent="0.2">
      <c r="B16175" s="43"/>
    </row>
    <row r="16176" spans="2:2" ht="12.75" customHeight="1" x14ac:dyDescent="0.2">
      <c r="B16176" s="43"/>
    </row>
    <row r="16177" spans="2:2" ht="12.75" customHeight="1" x14ac:dyDescent="0.2">
      <c r="B16177" s="43"/>
    </row>
    <row r="16178" spans="2:2" ht="12.75" customHeight="1" x14ac:dyDescent="0.2">
      <c r="B16178" s="43"/>
    </row>
    <row r="16179" spans="2:2" ht="12.75" customHeight="1" x14ac:dyDescent="0.2">
      <c r="B16179" s="43"/>
    </row>
    <row r="16180" spans="2:2" ht="12.75" customHeight="1" x14ac:dyDescent="0.2">
      <c r="B16180" s="43"/>
    </row>
    <row r="16181" spans="2:2" ht="12.75" customHeight="1" x14ac:dyDescent="0.2">
      <c r="B16181" s="43"/>
    </row>
    <row r="16182" spans="2:2" ht="12.75" customHeight="1" x14ac:dyDescent="0.2">
      <c r="B16182" s="43"/>
    </row>
    <row r="16183" spans="2:2" ht="12.75" customHeight="1" x14ac:dyDescent="0.2">
      <c r="B16183" s="43"/>
    </row>
    <row r="16184" spans="2:2" ht="12.75" customHeight="1" x14ac:dyDescent="0.2">
      <c r="B16184" s="43"/>
    </row>
    <row r="16185" spans="2:2" ht="12.75" customHeight="1" x14ac:dyDescent="0.2">
      <c r="B16185" s="43"/>
    </row>
    <row r="16186" spans="2:2" ht="12.75" customHeight="1" x14ac:dyDescent="0.2">
      <c r="B16186" s="43"/>
    </row>
    <row r="16187" spans="2:2" ht="12.75" customHeight="1" x14ac:dyDescent="0.2">
      <c r="B16187" s="43"/>
    </row>
    <row r="16188" spans="2:2" ht="12.75" customHeight="1" x14ac:dyDescent="0.2">
      <c r="B16188" s="43"/>
    </row>
    <row r="16189" spans="2:2" ht="12.75" customHeight="1" x14ac:dyDescent="0.2">
      <c r="B16189" s="43"/>
    </row>
    <row r="16190" spans="2:2" ht="12.75" customHeight="1" x14ac:dyDescent="0.2">
      <c r="B16190" s="43"/>
    </row>
    <row r="16191" spans="2:2" ht="12.75" customHeight="1" x14ac:dyDescent="0.2">
      <c r="B16191" s="43"/>
    </row>
    <row r="16192" spans="2:2" ht="12.75" customHeight="1" x14ac:dyDescent="0.2">
      <c r="B16192" s="43"/>
    </row>
    <row r="16193" spans="2:2" ht="12.75" customHeight="1" x14ac:dyDescent="0.2">
      <c r="B16193" s="43"/>
    </row>
    <row r="16194" spans="2:2" ht="12.75" customHeight="1" x14ac:dyDescent="0.2">
      <c r="B16194" s="43"/>
    </row>
    <row r="16195" spans="2:2" ht="12.75" customHeight="1" x14ac:dyDescent="0.2">
      <c r="B16195" s="43"/>
    </row>
    <row r="16196" spans="2:2" ht="12.75" customHeight="1" x14ac:dyDescent="0.2">
      <c r="B16196" s="43"/>
    </row>
    <row r="16197" spans="2:2" ht="12.75" customHeight="1" x14ac:dyDescent="0.2">
      <c r="B16197" s="43"/>
    </row>
    <row r="16198" spans="2:2" ht="12.75" customHeight="1" x14ac:dyDescent="0.2">
      <c r="B16198" s="43"/>
    </row>
    <row r="16199" spans="2:2" ht="12.75" customHeight="1" x14ac:dyDescent="0.2">
      <c r="B16199" s="43"/>
    </row>
    <row r="16200" spans="2:2" ht="12.75" customHeight="1" x14ac:dyDescent="0.2">
      <c r="B16200" s="43"/>
    </row>
    <row r="16201" spans="2:2" ht="12.75" customHeight="1" x14ac:dyDescent="0.2">
      <c r="B16201" s="43"/>
    </row>
    <row r="16202" spans="2:2" ht="12.75" customHeight="1" x14ac:dyDescent="0.2">
      <c r="B16202" s="43"/>
    </row>
    <row r="16203" spans="2:2" ht="12.75" customHeight="1" x14ac:dyDescent="0.2">
      <c r="B16203" s="43"/>
    </row>
    <row r="16204" spans="2:2" ht="12.75" customHeight="1" x14ac:dyDescent="0.2">
      <c r="B16204" s="43"/>
    </row>
    <row r="16205" spans="2:2" ht="12.75" customHeight="1" x14ac:dyDescent="0.2">
      <c r="B16205" s="43"/>
    </row>
    <row r="16206" spans="2:2" ht="12.75" customHeight="1" x14ac:dyDescent="0.2">
      <c r="B16206" s="43"/>
    </row>
    <row r="16207" spans="2:2" ht="12.75" customHeight="1" x14ac:dyDescent="0.2">
      <c r="B16207" s="43"/>
    </row>
    <row r="16208" spans="2:2" ht="12.75" customHeight="1" x14ac:dyDescent="0.2">
      <c r="B16208" s="43"/>
    </row>
    <row r="16209" spans="2:2" ht="12.75" customHeight="1" x14ac:dyDescent="0.2">
      <c r="B16209" s="43"/>
    </row>
    <row r="16210" spans="2:2" ht="12.75" customHeight="1" x14ac:dyDescent="0.2">
      <c r="B16210" s="43"/>
    </row>
    <row r="16211" spans="2:2" ht="12.75" customHeight="1" x14ac:dyDescent="0.2">
      <c r="B16211" s="43"/>
    </row>
    <row r="16212" spans="2:2" ht="12.75" customHeight="1" x14ac:dyDescent="0.2">
      <c r="B16212" s="43"/>
    </row>
    <row r="16213" spans="2:2" ht="12.75" customHeight="1" x14ac:dyDescent="0.2">
      <c r="B16213" s="43"/>
    </row>
    <row r="16214" spans="2:2" ht="12.75" customHeight="1" x14ac:dyDescent="0.2">
      <c r="B16214" s="43"/>
    </row>
    <row r="16215" spans="2:2" ht="12.75" customHeight="1" x14ac:dyDescent="0.2">
      <c r="B16215" s="43"/>
    </row>
    <row r="16216" spans="2:2" ht="12.75" customHeight="1" x14ac:dyDescent="0.2">
      <c r="B16216" s="43"/>
    </row>
    <row r="16217" spans="2:2" ht="12.75" customHeight="1" x14ac:dyDescent="0.2">
      <c r="B16217" s="43"/>
    </row>
    <row r="16218" spans="2:2" ht="12.75" customHeight="1" x14ac:dyDescent="0.2">
      <c r="B16218" s="43"/>
    </row>
    <row r="16219" spans="2:2" ht="12.75" customHeight="1" x14ac:dyDescent="0.2">
      <c r="B16219" s="43"/>
    </row>
    <row r="16220" spans="2:2" ht="12.75" customHeight="1" x14ac:dyDescent="0.2">
      <c r="B16220" s="43"/>
    </row>
    <row r="16221" spans="2:2" ht="12.75" customHeight="1" x14ac:dyDescent="0.2">
      <c r="B16221" s="43"/>
    </row>
    <row r="16222" spans="2:2" ht="12.75" customHeight="1" x14ac:dyDescent="0.2">
      <c r="B16222" s="43"/>
    </row>
    <row r="16223" spans="2:2" ht="12.75" customHeight="1" x14ac:dyDescent="0.2">
      <c r="B16223" s="43"/>
    </row>
    <row r="16224" spans="2:2" ht="12.75" customHeight="1" x14ac:dyDescent="0.2">
      <c r="B16224" s="43"/>
    </row>
    <row r="16225" spans="2:2" ht="12.75" customHeight="1" x14ac:dyDescent="0.2">
      <c r="B16225" s="43"/>
    </row>
    <row r="16226" spans="2:2" ht="12.75" customHeight="1" x14ac:dyDescent="0.2">
      <c r="B16226" s="43"/>
    </row>
    <row r="16227" spans="2:2" ht="12.75" customHeight="1" x14ac:dyDescent="0.2">
      <c r="B16227" s="43"/>
    </row>
    <row r="16228" spans="2:2" ht="12.75" customHeight="1" x14ac:dyDescent="0.2">
      <c r="B16228" s="43"/>
    </row>
    <row r="16229" spans="2:2" ht="12.75" customHeight="1" x14ac:dyDescent="0.2">
      <c r="B16229" s="43"/>
    </row>
    <row r="16230" spans="2:2" ht="12.75" customHeight="1" x14ac:dyDescent="0.2">
      <c r="B16230" s="43"/>
    </row>
    <row r="16231" spans="2:2" ht="12.75" customHeight="1" x14ac:dyDescent="0.2">
      <c r="B16231" s="43"/>
    </row>
    <row r="16232" spans="2:2" ht="12.75" customHeight="1" x14ac:dyDescent="0.2">
      <c r="B16232" s="43"/>
    </row>
    <row r="16233" spans="2:2" ht="12.75" customHeight="1" x14ac:dyDescent="0.2">
      <c r="B16233" s="43"/>
    </row>
    <row r="16234" spans="2:2" ht="12.75" customHeight="1" x14ac:dyDescent="0.2">
      <c r="B16234" s="43"/>
    </row>
    <row r="16235" spans="2:2" ht="12.75" customHeight="1" x14ac:dyDescent="0.2">
      <c r="B16235" s="43"/>
    </row>
    <row r="16236" spans="2:2" ht="12.75" customHeight="1" x14ac:dyDescent="0.2">
      <c r="B16236" s="43"/>
    </row>
    <row r="16237" spans="2:2" ht="12.75" customHeight="1" x14ac:dyDescent="0.2">
      <c r="B16237" s="43"/>
    </row>
    <row r="16238" spans="2:2" ht="12.75" customHeight="1" x14ac:dyDescent="0.2">
      <c r="B16238" s="43"/>
    </row>
    <row r="16239" spans="2:2" ht="12.75" customHeight="1" x14ac:dyDescent="0.2">
      <c r="B16239" s="43"/>
    </row>
    <row r="16240" spans="2:2" ht="12.75" customHeight="1" x14ac:dyDescent="0.2">
      <c r="B16240" s="43"/>
    </row>
    <row r="16241" spans="2:2" ht="12.75" customHeight="1" x14ac:dyDescent="0.2">
      <c r="B16241" s="43"/>
    </row>
    <row r="16242" spans="2:2" ht="12.75" customHeight="1" x14ac:dyDescent="0.2">
      <c r="B16242" s="43"/>
    </row>
    <row r="16243" spans="2:2" ht="12.75" customHeight="1" x14ac:dyDescent="0.2">
      <c r="B16243" s="43"/>
    </row>
    <row r="16244" spans="2:2" ht="12.75" customHeight="1" x14ac:dyDescent="0.2">
      <c r="B16244" s="43"/>
    </row>
    <row r="16245" spans="2:2" ht="12.75" customHeight="1" x14ac:dyDescent="0.2">
      <c r="B16245" s="43"/>
    </row>
    <row r="16246" spans="2:2" ht="12.75" customHeight="1" x14ac:dyDescent="0.2">
      <c r="B16246" s="43"/>
    </row>
    <row r="16247" spans="2:2" ht="12.75" customHeight="1" x14ac:dyDescent="0.2">
      <c r="B16247" s="43"/>
    </row>
    <row r="16248" spans="2:2" ht="12.75" customHeight="1" x14ac:dyDescent="0.2">
      <c r="B16248" s="43"/>
    </row>
    <row r="16249" spans="2:2" ht="12.75" customHeight="1" x14ac:dyDescent="0.2">
      <c r="B16249" s="43"/>
    </row>
    <row r="16250" spans="2:2" ht="12.75" customHeight="1" x14ac:dyDescent="0.2">
      <c r="B16250" s="43"/>
    </row>
    <row r="16251" spans="2:2" ht="12.75" customHeight="1" x14ac:dyDescent="0.2">
      <c r="B16251" s="43"/>
    </row>
    <row r="16252" spans="2:2" ht="12.75" customHeight="1" x14ac:dyDescent="0.2">
      <c r="B16252" s="43"/>
    </row>
    <row r="16253" spans="2:2" ht="12.75" customHeight="1" x14ac:dyDescent="0.2">
      <c r="B16253" s="43"/>
    </row>
    <row r="16254" spans="2:2" ht="12.75" customHeight="1" x14ac:dyDescent="0.2">
      <c r="B16254" s="43"/>
    </row>
    <row r="16255" spans="2:2" ht="12.75" customHeight="1" x14ac:dyDescent="0.2">
      <c r="B16255" s="43"/>
    </row>
    <row r="16256" spans="2:2" ht="12.75" customHeight="1" x14ac:dyDescent="0.2">
      <c r="B16256" s="43"/>
    </row>
    <row r="16257" spans="2:2" ht="12.75" customHeight="1" x14ac:dyDescent="0.2">
      <c r="B16257" s="43"/>
    </row>
    <row r="16258" spans="2:2" ht="12.75" customHeight="1" x14ac:dyDescent="0.2">
      <c r="B16258" s="43"/>
    </row>
    <row r="16259" spans="2:2" ht="12.75" customHeight="1" x14ac:dyDescent="0.2">
      <c r="B16259" s="43"/>
    </row>
    <row r="16260" spans="2:2" ht="12.75" customHeight="1" x14ac:dyDescent="0.2">
      <c r="B16260" s="43"/>
    </row>
    <row r="16261" spans="2:2" ht="12.75" customHeight="1" x14ac:dyDescent="0.2">
      <c r="B16261" s="43"/>
    </row>
    <row r="16262" spans="2:2" ht="12.75" customHeight="1" x14ac:dyDescent="0.2">
      <c r="B16262" s="43"/>
    </row>
    <row r="16263" spans="2:2" ht="12.75" customHeight="1" x14ac:dyDescent="0.2">
      <c r="B16263" s="43"/>
    </row>
    <row r="16264" spans="2:2" ht="12.75" customHeight="1" x14ac:dyDescent="0.2">
      <c r="B16264" s="43"/>
    </row>
    <row r="16265" spans="2:2" ht="12.75" customHeight="1" x14ac:dyDescent="0.2">
      <c r="B16265" s="43"/>
    </row>
    <row r="16266" spans="2:2" ht="12.75" customHeight="1" x14ac:dyDescent="0.2">
      <c r="B16266" s="43"/>
    </row>
    <row r="16267" spans="2:2" ht="12.75" customHeight="1" x14ac:dyDescent="0.2">
      <c r="B16267" s="43"/>
    </row>
    <row r="16268" spans="2:2" ht="12.75" customHeight="1" x14ac:dyDescent="0.2">
      <c r="B16268" s="43"/>
    </row>
    <row r="16269" spans="2:2" ht="12.75" customHeight="1" x14ac:dyDescent="0.2">
      <c r="B16269" s="43"/>
    </row>
    <row r="16270" spans="2:2" ht="12.75" customHeight="1" x14ac:dyDescent="0.2">
      <c r="B16270" s="43"/>
    </row>
    <row r="16271" spans="2:2" ht="12.75" customHeight="1" x14ac:dyDescent="0.2">
      <c r="B16271" s="43"/>
    </row>
    <row r="16272" spans="2:2" ht="12.75" customHeight="1" x14ac:dyDescent="0.2">
      <c r="B16272" s="43"/>
    </row>
    <row r="16273" spans="2:2" ht="12.75" customHeight="1" x14ac:dyDescent="0.2">
      <c r="B16273" s="43"/>
    </row>
    <row r="16274" spans="2:2" ht="12.75" customHeight="1" x14ac:dyDescent="0.2">
      <c r="B16274" s="43"/>
    </row>
    <row r="16275" spans="2:2" ht="12.75" customHeight="1" x14ac:dyDescent="0.2">
      <c r="B16275" s="43"/>
    </row>
    <row r="16276" spans="2:2" ht="12.75" customHeight="1" x14ac:dyDescent="0.2">
      <c r="B16276" s="43"/>
    </row>
    <row r="16277" spans="2:2" ht="12.75" customHeight="1" x14ac:dyDescent="0.2">
      <c r="B16277" s="43"/>
    </row>
    <row r="16278" spans="2:2" ht="12.75" customHeight="1" x14ac:dyDescent="0.2">
      <c r="B16278" s="43"/>
    </row>
    <row r="16279" spans="2:2" ht="12.75" customHeight="1" x14ac:dyDescent="0.2">
      <c r="B16279" s="43"/>
    </row>
    <row r="16280" spans="2:2" ht="12.75" customHeight="1" x14ac:dyDescent="0.2">
      <c r="B16280" s="43"/>
    </row>
    <row r="16281" spans="2:2" ht="12.75" customHeight="1" x14ac:dyDescent="0.2">
      <c r="B16281" s="43"/>
    </row>
    <row r="16282" spans="2:2" ht="12.75" customHeight="1" x14ac:dyDescent="0.2">
      <c r="B16282" s="43"/>
    </row>
    <row r="16283" spans="2:2" ht="12.75" customHeight="1" x14ac:dyDescent="0.2">
      <c r="B16283" s="43"/>
    </row>
    <row r="16284" spans="2:2" ht="12.75" customHeight="1" x14ac:dyDescent="0.2">
      <c r="B16284" s="43"/>
    </row>
    <row r="16285" spans="2:2" ht="12.75" customHeight="1" x14ac:dyDescent="0.2">
      <c r="B16285" s="43"/>
    </row>
    <row r="16286" spans="2:2" ht="12.75" customHeight="1" x14ac:dyDescent="0.2">
      <c r="B16286" s="43"/>
    </row>
    <row r="16287" spans="2:2" ht="12.75" customHeight="1" x14ac:dyDescent="0.2">
      <c r="B16287" s="43"/>
    </row>
    <row r="16288" spans="2:2" ht="12.75" customHeight="1" x14ac:dyDescent="0.2">
      <c r="B16288" s="43"/>
    </row>
    <row r="16289" spans="2:2" ht="12.75" customHeight="1" x14ac:dyDescent="0.2">
      <c r="B16289" s="43"/>
    </row>
    <row r="16290" spans="2:2" ht="12.75" customHeight="1" x14ac:dyDescent="0.2">
      <c r="B16290" s="43"/>
    </row>
    <row r="16291" spans="2:2" ht="12.75" customHeight="1" x14ac:dyDescent="0.2">
      <c r="B16291" s="43"/>
    </row>
    <row r="16292" spans="2:2" ht="12.75" customHeight="1" x14ac:dyDescent="0.2">
      <c r="B16292" s="43"/>
    </row>
    <row r="16293" spans="2:2" ht="12.75" customHeight="1" x14ac:dyDescent="0.2">
      <c r="B16293" s="43"/>
    </row>
    <row r="16294" spans="2:2" ht="12.75" customHeight="1" x14ac:dyDescent="0.2">
      <c r="B16294" s="43"/>
    </row>
    <row r="16295" spans="2:2" ht="12.75" customHeight="1" x14ac:dyDescent="0.2">
      <c r="B16295" s="43"/>
    </row>
    <row r="16296" spans="2:2" ht="12.75" customHeight="1" x14ac:dyDescent="0.2">
      <c r="B16296" s="43"/>
    </row>
    <row r="16297" spans="2:2" ht="12.75" customHeight="1" x14ac:dyDescent="0.2">
      <c r="B16297" s="43"/>
    </row>
    <row r="16298" spans="2:2" ht="12.75" customHeight="1" x14ac:dyDescent="0.2">
      <c r="B16298" s="43"/>
    </row>
    <row r="16299" spans="2:2" ht="12.75" customHeight="1" x14ac:dyDescent="0.2">
      <c r="B16299" s="43"/>
    </row>
    <row r="16300" spans="2:2" ht="12.75" customHeight="1" x14ac:dyDescent="0.2">
      <c r="B16300" s="43"/>
    </row>
    <row r="16301" spans="2:2" ht="12.75" customHeight="1" x14ac:dyDescent="0.2">
      <c r="B16301" s="43"/>
    </row>
    <row r="16302" spans="2:2" ht="12.75" customHeight="1" x14ac:dyDescent="0.2">
      <c r="B16302" s="43"/>
    </row>
    <row r="16303" spans="2:2" ht="12.75" customHeight="1" x14ac:dyDescent="0.2">
      <c r="B16303" s="43"/>
    </row>
    <row r="16304" spans="2:2" ht="12.75" customHeight="1" x14ac:dyDescent="0.2">
      <c r="B16304" s="43"/>
    </row>
    <row r="16305" spans="2:2" ht="12.75" customHeight="1" x14ac:dyDescent="0.2">
      <c r="B16305" s="43"/>
    </row>
    <row r="16306" spans="2:2" ht="12.75" customHeight="1" x14ac:dyDescent="0.2">
      <c r="B16306" s="43"/>
    </row>
    <row r="16307" spans="2:2" ht="12.75" customHeight="1" x14ac:dyDescent="0.2">
      <c r="B16307" s="43"/>
    </row>
    <row r="16308" spans="2:2" ht="12.75" customHeight="1" x14ac:dyDescent="0.2">
      <c r="B16308" s="43"/>
    </row>
    <row r="16309" spans="2:2" ht="12.75" customHeight="1" x14ac:dyDescent="0.2">
      <c r="B16309" s="43"/>
    </row>
    <row r="16310" spans="2:2" ht="12.75" customHeight="1" x14ac:dyDescent="0.2">
      <c r="B16310" s="43"/>
    </row>
    <row r="16311" spans="2:2" ht="12.75" customHeight="1" x14ac:dyDescent="0.2">
      <c r="B16311" s="43"/>
    </row>
    <row r="16312" spans="2:2" ht="12.75" customHeight="1" x14ac:dyDescent="0.2">
      <c r="B16312" s="43"/>
    </row>
    <row r="16313" spans="2:2" ht="12.75" customHeight="1" x14ac:dyDescent="0.2">
      <c r="B16313" s="43"/>
    </row>
    <row r="16314" spans="2:2" ht="12.75" customHeight="1" x14ac:dyDescent="0.2">
      <c r="B16314" s="43"/>
    </row>
    <row r="16315" spans="2:2" ht="12.75" customHeight="1" x14ac:dyDescent="0.2">
      <c r="B16315" s="43"/>
    </row>
    <row r="16316" spans="2:2" ht="12.75" customHeight="1" x14ac:dyDescent="0.2">
      <c r="B16316" s="43"/>
    </row>
    <row r="16317" spans="2:2" ht="12.75" customHeight="1" x14ac:dyDescent="0.2">
      <c r="B16317" s="43"/>
    </row>
    <row r="16318" spans="2:2" ht="12.75" customHeight="1" x14ac:dyDescent="0.2">
      <c r="B16318" s="43"/>
    </row>
    <row r="16319" spans="2:2" ht="12.75" customHeight="1" x14ac:dyDescent="0.2">
      <c r="B16319" s="43"/>
    </row>
    <row r="16320" spans="2:2" ht="12.75" customHeight="1" x14ac:dyDescent="0.2">
      <c r="B16320" s="43"/>
    </row>
    <row r="16321" spans="2:2" ht="12.75" customHeight="1" x14ac:dyDescent="0.2">
      <c r="B16321" s="43"/>
    </row>
    <row r="16322" spans="2:2" ht="12.75" customHeight="1" x14ac:dyDescent="0.2">
      <c r="B16322" s="43"/>
    </row>
    <row r="16323" spans="2:2" ht="12.75" customHeight="1" x14ac:dyDescent="0.2">
      <c r="B16323" s="43"/>
    </row>
    <row r="16324" spans="2:2" ht="12.75" customHeight="1" x14ac:dyDescent="0.2">
      <c r="B16324" s="43"/>
    </row>
    <row r="16325" spans="2:2" ht="12.75" customHeight="1" x14ac:dyDescent="0.2">
      <c r="B16325" s="43"/>
    </row>
    <row r="16326" spans="2:2" ht="12.75" customHeight="1" x14ac:dyDescent="0.2">
      <c r="B16326" s="43"/>
    </row>
    <row r="16327" spans="2:2" ht="12.75" customHeight="1" x14ac:dyDescent="0.2">
      <c r="B16327" s="43"/>
    </row>
    <row r="16328" spans="2:2" ht="12.75" customHeight="1" x14ac:dyDescent="0.2">
      <c r="B16328" s="43"/>
    </row>
    <row r="16329" spans="2:2" ht="12.75" customHeight="1" x14ac:dyDescent="0.2">
      <c r="B16329" s="43"/>
    </row>
    <row r="16330" spans="2:2" ht="12.75" customHeight="1" x14ac:dyDescent="0.2">
      <c r="B16330" s="43"/>
    </row>
    <row r="16331" spans="2:2" ht="12.75" customHeight="1" x14ac:dyDescent="0.2">
      <c r="B16331" s="43"/>
    </row>
    <row r="16332" spans="2:2" ht="12.75" customHeight="1" x14ac:dyDescent="0.2">
      <c r="B16332" s="43"/>
    </row>
    <row r="16333" spans="2:2" ht="12.75" customHeight="1" x14ac:dyDescent="0.2">
      <c r="B16333" s="43"/>
    </row>
    <row r="16334" spans="2:2" ht="12.75" customHeight="1" x14ac:dyDescent="0.2">
      <c r="B16334" s="43"/>
    </row>
    <row r="16335" spans="2:2" ht="12.75" customHeight="1" x14ac:dyDescent="0.2">
      <c r="B16335" s="43"/>
    </row>
    <row r="16336" spans="2:2" ht="12.75" customHeight="1" x14ac:dyDescent="0.2">
      <c r="B16336" s="43"/>
    </row>
    <row r="16337" spans="2:2" ht="12.75" customHeight="1" x14ac:dyDescent="0.2">
      <c r="B16337" s="43"/>
    </row>
    <row r="16338" spans="2:2" ht="12.75" customHeight="1" x14ac:dyDescent="0.2">
      <c r="B16338" s="43"/>
    </row>
    <row r="16339" spans="2:2" ht="12.75" customHeight="1" x14ac:dyDescent="0.2">
      <c r="B16339" s="43"/>
    </row>
    <row r="16340" spans="2:2" ht="12.75" customHeight="1" x14ac:dyDescent="0.2">
      <c r="B16340" s="43"/>
    </row>
    <row r="16341" spans="2:2" ht="12.75" customHeight="1" x14ac:dyDescent="0.2">
      <c r="B16341" s="43"/>
    </row>
    <row r="16342" spans="2:2" ht="12.75" customHeight="1" x14ac:dyDescent="0.2">
      <c r="B16342" s="43"/>
    </row>
    <row r="16343" spans="2:2" ht="12.75" customHeight="1" x14ac:dyDescent="0.2">
      <c r="B16343" s="43"/>
    </row>
    <row r="16344" spans="2:2" ht="12.75" customHeight="1" x14ac:dyDescent="0.2">
      <c r="B16344" s="43"/>
    </row>
    <row r="16345" spans="2:2" ht="12.75" customHeight="1" x14ac:dyDescent="0.2">
      <c r="B16345" s="43"/>
    </row>
    <row r="16346" spans="2:2" ht="12.75" customHeight="1" x14ac:dyDescent="0.2">
      <c r="B16346" s="43"/>
    </row>
    <row r="16347" spans="2:2" ht="12.75" customHeight="1" x14ac:dyDescent="0.2">
      <c r="B16347" s="43"/>
    </row>
    <row r="16348" spans="2:2" ht="12.75" customHeight="1" x14ac:dyDescent="0.2">
      <c r="B16348" s="43"/>
    </row>
    <row r="16349" spans="2:2" ht="12.75" customHeight="1" x14ac:dyDescent="0.2">
      <c r="B16349" s="43"/>
    </row>
    <row r="16350" spans="2:2" ht="12.75" customHeight="1" x14ac:dyDescent="0.2">
      <c r="B16350" s="43"/>
    </row>
    <row r="16351" spans="2:2" ht="12.75" customHeight="1" x14ac:dyDescent="0.2">
      <c r="B16351" s="43"/>
    </row>
    <row r="16352" spans="2:2" ht="12.75" customHeight="1" x14ac:dyDescent="0.2">
      <c r="B16352" s="43"/>
    </row>
    <row r="16353" spans="2:2" ht="12.75" customHeight="1" x14ac:dyDescent="0.2">
      <c r="B16353" s="43"/>
    </row>
    <row r="16354" spans="2:2" ht="12.75" customHeight="1" x14ac:dyDescent="0.2">
      <c r="B16354" s="43"/>
    </row>
    <row r="16355" spans="2:2" ht="12.75" customHeight="1" x14ac:dyDescent="0.2">
      <c r="B16355" s="43"/>
    </row>
    <row r="16356" spans="2:2" ht="12.75" customHeight="1" x14ac:dyDescent="0.2">
      <c r="B16356" s="43"/>
    </row>
    <row r="16357" spans="2:2" ht="12.75" customHeight="1" x14ac:dyDescent="0.2">
      <c r="B16357" s="43"/>
    </row>
    <row r="16358" spans="2:2" ht="12.75" customHeight="1" x14ac:dyDescent="0.2">
      <c r="B16358" s="43"/>
    </row>
    <row r="16359" spans="2:2" ht="12.75" customHeight="1" x14ac:dyDescent="0.2">
      <c r="B16359" s="43"/>
    </row>
    <row r="16360" spans="2:2" ht="12.75" customHeight="1" x14ac:dyDescent="0.2">
      <c r="B16360" s="43"/>
    </row>
    <row r="16361" spans="2:2" ht="12.75" customHeight="1" x14ac:dyDescent="0.2">
      <c r="B16361" s="43"/>
    </row>
    <row r="16362" spans="2:2" ht="12.75" customHeight="1" x14ac:dyDescent="0.2">
      <c r="B16362" s="43"/>
    </row>
    <row r="16363" spans="2:2" ht="12.75" customHeight="1" x14ac:dyDescent="0.2">
      <c r="B16363" s="43"/>
    </row>
    <row r="16364" spans="2:2" ht="12.75" customHeight="1" x14ac:dyDescent="0.2">
      <c r="B16364" s="43"/>
    </row>
    <row r="16365" spans="2:2" ht="12.75" customHeight="1" x14ac:dyDescent="0.2">
      <c r="B16365" s="43"/>
    </row>
    <row r="16366" spans="2:2" ht="12.75" customHeight="1" x14ac:dyDescent="0.2">
      <c r="B16366" s="43"/>
    </row>
    <row r="16367" spans="2:2" ht="12.75" customHeight="1" x14ac:dyDescent="0.2">
      <c r="B16367" s="43"/>
    </row>
    <row r="16368" spans="2:2" ht="12.75" customHeight="1" x14ac:dyDescent="0.2">
      <c r="B16368" s="43"/>
    </row>
    <row r="16369" spans="2:2" ht="12.75" customHeight="1" x14ac:dyDescent="0.2">
      <c r="B16369" s="43"/>
    </row>
    <row r="16370" spans="2:2" ht="12.75" customHeight="1" x14ac:dyDescent="0.2">
      <c r="B16370" s="43"/>
    </row>
    <row r="16371" spans="2:2" ht="12.75" customHeight="1" x14ac:dyDescent="0.2">
      <c r="B16371" s="43"/>
    </row>
    <row r="16372" spans="2:2" ht="12.75" customHeight="1" x14ac:dyDescent="0.2">
      <c r="B16372" s="43"/>
    </row>
    <row r="16373" spans="2:2" ht="12.75" customHeight="1" x14ac:dyDescent="0.2">
      <c r="B16373" s="43"/>
    </row>
    <row r="16374" spans="2:2" ht="12.75" customHeight="1" x14ac:dyDescent="0.2">
      <c r="B16374" s="43"/>
    </row>
    <row r="16375" spans="2:2" ht="12.75" customHeight="1" x14ac:dyDescent="0.2">
      <c r="B16375" s="43"/>
    </row>
    <row r="16376" spans="2:2" ht="12.75" customHeight="1" x14ac:dyDescent="0.2">
      <c r="B16376" s="43"/>
    </row>
    <row r="16377" spans="2:2" ht="12.75" customHeight="1" x14ac:dyDescent="0.2">
      <c r="B16377" s="43"/>
    </row>
    <row r="16378" spans="2:2" ht="12.75" customHeight="1" x14ac:dyDescent="0.2">
      <c r="B16378" s="43"/>
    </row>
    <row r="16379" spans="2:2" ht="12.75" customHeight="1" x14ac:dyDescent="0.2">
      <c r="B16379" s="43"/>
    </row>
    <row r="16380" spans="2:2" ht="12.75" customHeight="1" x14ac:dyDescent="0.2">
      <c r="B16380" s="43"/>
    </row>
    <row r="16381" spans="2:2" ht="12.75" customHeight="1" x14ac:dyDescent="0.2">
      <c r="B16381" s="43"/>
    </row>
    <row r="16382" spans="2:2" ht="12.75" customHeight="1" x14ac:dyDescent="0.2">
      <c r="B16382" s="43"/>
    </row>
    <row r="16383" spans="2:2" ht="12.75" customHeight="1" x14ac:dyDescent="0.2">
      <c r="B16383" s="43"/>
    </row>
    <row r="16384" spans="2:2" ht="12.75" customHeight="1" x14ac:dyDescent="0.2">
      <c r="B16384" s="43"/>
    </row>
    <row r="16385" spans="2:2" ht="12.75" customHeight="1" x14ac:dyDescent="0.2">
      <c r="B16385" s="43"/>
    </row>
    <row r="16386" spans="2:2" ht="12.75" customHeight="1" x14ac:dyDescent="0.2">
      <c r="B16386" s="43"/>
    </row>
    <row r="16387" spans="2:2" ht="12.75" customHeight="1" x14ac:dyDescent="0.2">
      <c r="B16387" s="43"/>
    </row>
    <row r="16388" spans="2:2" ht="12.75" customHeight="1" x14ac:dyDescent="0.2">
      <c r="B16388" s="43"/>
    </row>
    <row r="16389" spans="2:2" ht="12.75" customHeight="1" x14ac:dyDescent="0.2">
      <c r="B16389" s="43"/>
    </row>
    <row r="16390" spans="2:2" ht="12.75" customHeight="1" x14ac:dyDescent="0.2">
      <c r="B16390" s="43"/>
    </row>
    <row r="16391" spans="2:2" ht="12.75" customHeight="1" x14ac:dyDescent="0.2">
      <c r="B16391" s="43"/>
    </row>
    <row r="16392" spans="2:2" ht="12.75" customHeight="1" x14ac:dyDescent="0.2">
      <c r="B16392" s="43"/>
    </row>
    <row r="16393" spans="2:2" ht="12.75" customHeight="1" x14ac:dyDescent="0.2">
      <c r="B16393" s="43"/>
    </row>
    <row r="16394" spans="2:2" ht="12.75" customHeight="1" x14ac:dyDescent="0.2">
      <c r="B16394" s="43"/>
    </row>
    <row r="16395" spans="2:2" ht="12.75" customHeight="1" x14ac:dyDescent="0.2">
      <c r="B16395" s="43"/>
    </row>
    <row r="16396" spans="2:2" ht="12.75" customHeight="1" x14ac:dyDescent="0.2">
      <c r="B16396" s="43"/>
    </row>
    <row r="16397" spans="2:2" ht="12.75" customHeight="1" x14ac:dyDescent="0.2">
      <c r="B16397" s="43"/>
    </row>
    <row r="16398" spans="2:2" ht="12.75" customHeight="1" x14ac:dyDescent="0.2">
      <c r="B16398" s="43"/>
    </row>
    <row r="16399" spans="2:2" ht="12.75" customHeight="1" x14ac:dyDescent="0.2">
      <c r="B16399" s="43"/>
    </row>
    <row r="16400" spans="2:2" ht="12.75" customHeight="1" x14ac:dyDescent="0.2">
      <c r="B16400" s="43"/>
    </row>
    <row r="16401" spans="2:2" ht="12.75" customHeight="1" x14ac:dyDescent="0.2">
      <c r="B16401" s="43"/>
    </row>
    <row r="16402" spans="2:2" ht="12.75" customHeight="1" x14ac:dyDescent="0.2">
      <c r="B16402" s="43"/>
    </row>
    <row r="16403" spans="2:2" ht="12.75" customHeight="1" x14ac:dyDescent="0.2">
      <c r="B16403" s="43"/>
    </row>
    <row r="16404" spans="2:2" ht="12.75" customHeight="1" x14ac:dyDescent="0.2">
      <c r="B16404" s="43"/>
    </row>
    <row r="16405" spans="2:2" ht="12.75" customHeight="1" x14ac:dyDescent="0.2">
      <c r="B16405" s="43"/>
    </row>
    <row r="16406" spans="2:2" ht="12.75" customHeight="1" x14ac:dyDescent="0.2">
      <c r="B16406" s="43"/>
    </row>
    <row r="16407" spans="2:2" ht="12.75" customHeight="1" x14ac:dyDescent="0.2">
      <c r="B16407" s="43"/>
    </row>
    <row r="16408" spans="2:2" ht="12.75" customHeight="1" x14ac:dyDescent="0.2">
      <c r="B16408" s="43"/>
    </row>
    <row r="16409" spans="2:2" ht="12.75" customHeight="1" x14ac:dyDescent="0.2">
      <c r="B16409" s="43"/>
    </row>
    <row r="16410" spans="2:2" ht="12.75" customHeight="1" x14ac:dyDescent="0.2">
      <c r="B16410" s="43"/>
    </row>
    <row r="16411" spans="2:2" ht="12.75" customHeight="1" x14ac:dyDescent="0.2">
      <c r="B16411" s="43"/>
    </row>
    <row r="16412" spans="2:2" ht="12.75" customHeight="1" x14ac:dyDescent="0.2">
      <c r="B16412" s="43"/>
    </row>
    <row r="16413" spans="2:2" ht="12.75" customHeight="1" x14ac:dyDescent="0.2">
      <c r="B16413" s="43"/>
    </row>
    <row r="16414" spans="2:2" ht="12.75" customHeight="1" x14ac:dyDescent="0.2">
      <c r="B16414" s="43"/>
    </row>
    <row r="16415" spans="2:2" ht="12.75" customHeight="1" x14ac:dyDescent="0.2">
      <c r="B16415" s="43"/>
    </row>
    <row r="16416" spans="2:2" ht="12.75" customHeight="1" x14ac:dyDescent="0.2">
      <c r="B16416" s="43"/>
    </row>
    <row r="16417" spans="2:2" ht="12.75" customHeight="1" x14ac:dyDescent="0.2">
      <c r="B16417" s="43"/>
    </row>
    <row r="16418" spans="2:2" ht="12.75" customHeight="1" x14ac:dyDescent="0.2">
      <c r="B16418" s="43"/>
    </row>
    <row r="16419" spans="2:2" ht="12.75" customHeight="1" x14ac:dyDescent="0.2">
      <c r="B16419" s="43"/>
    </row>
    <row r="16420" spans="2:2" ht="12.75" customHeight="1" x14ac:dyDescent="0.2">
      <c r="B16420" s="43"/>
    </row>
    <row r="16421" spans="2:2" ht="12.75" customHeight="1" x14ac:dyDescent="0.2">
      <c r="B16421" s="43"/>
    </row>
    <row r="16422" spans="2:2" ht="12.75" customHeight="1" x14ac:dyDescent="0.2">
      <c r="B16422" s="43"/>
    </row>
    <row r="16423" spans="2:2" ht="12.75" customHeight="1" x14ac:dyDescent="0.2">
      <c r="B16423" s="43"/>
    </row>
    <row r="16424" spans="2:2" ht="12.75" customHeight="1" x14ac:dyDescent="0.2">
      <c r="B16424" s="43"/>
    </row>
    <row r="16425" spans="2:2" ht="12.75" customHeight="1" x14ac:dyDescent="0.2">
      <c r="B16425" s="43"/>
    </row>
    <row r="16426" spans="2:2" ht="12.75" customHeight="1" x14ac:dyDescent="0.2">
      <c r="B16426" s="43"/>
    </row>
    <row r="16427" spans="2:2" ht="12.75" customHeight="1" x14ac:dyDescent="0.2">
      <c r="B16427" s="43"/>
    </row>
    <row r="16428" spans="2:2" ht="12.75" customHeight="1" x14ac:dyDescent="0.2">
      <c r="B16428" s="43"/>
    </row>
    <row r="16429" spans="2:2" ht="12.75" customHeight="1" x14ac:dyDescent="0.2">
      <c r="B16429" s="43"/>
    </row>
    <row r="16430" spans="2:2" ht="12.75" customHeight="1" x14ac:dyDescent="0.2">
      <c r="B16430" s="43"/>
    </row>
    <row r="16431" spans="2:2" ht="12.75" customHeight="1" x14ac:dyDescent="0.2">
      <c r="B16431" s="43"/>
    </row>
    <row r="16432" spans="2:2" ht="12.75" customHeight="1" x14ac:dyDescent="0.2">
      <c r="B16432" s="43"/>
    </row>
    <row r="16433" spans="2:2" ht="12.75" customHeight="1" x14ac:dyDescent="0.2">
      <c r="B16433" s="43"/>
    </row>
    <row r="16434" spans="2:2" ht="12.75" customHeight="1" x14ac:dyDescent="0.2">
      <c r="B16434" s="43"/>
    </row>
    <row r="16435" spans="2:2" ht="12.75" customHeight="1" x14ac:dyDescent="0.2">
      <c r="B16435" s="43"/>
    </row>
    <row r="16436" spans="2:2" ht="12.75" customHeight="1" x14ac:dyDescent="0.2">
      <c r="B16436" s="43"/>
    </row>
    <row r="16437" spans="2:2" ht="12.75" customHeight="1" x14ac:dyDescent="0.2">
      <c r="B16437" s="43"/>
    </row>
    <row r="16438" spans="2:2" ht="12.75" customHeight="1" x14ac:dyDescent="0.2">
      <c r="B16438" s="43"/>
    </row>
    <row r="16439" spans="2:2" ht="12.75" customHeight="1" x14ac:dyDescent="0.2">
      <c r="B16439" s="43"/>
    </row>
    <row r="16440" spans="2:2" ht="12.75" customHeight="1" x14ac:dyDescent="0.2">
      <c r="B16440" s="43"/>
    </row>
    <row r="16441" spans="2:2" ht="12.75" customHeight="1" x14ac:dyDescent="0.2">
      <c r="B16441" s="43"/>
    </row>
    <row r="16442" spans="2:2" ht="12.75" customHeight="1" x14ac:dyDescent="0.2">
      <c r="B16442" s="43"/>
    </row>
    <row r="16443" spans="2:2" ht="12.75" customHeight="1" x14ac:dyDescent="0.2">
      <c r="B16443" s="43"/>
    </row>
    <row r="16444" spans="2:2" ht="12.75" customHeight="1" x14ac:dyDescent="0.2">
      <c r="B16444" s="43"/>
    </row>
    <row r="16445" spans="2:2" ht="12.75" customHeight="1" x14ac:dyDescent="0.2">
      <c r="B16445" s="43"/>
    </row>
    <row r="16446" spans="2:2" ht="12.75" customHeight="1" x14ac:dyDescent="0.2">
      <c r="B16446" s="43"/>
    </row>
    <row r="16447" spans="2:2" ht="12.75" customHeight="1" x14ac:dyDescent="0.2">
      <c r="B16447" s="43"/>
    </row>
    <row r="16448" spans="2:2" ht="12.75" customHeight="1" x14ac:dyDescent="0.2">
      <c r="B16448" s="43"/>
    </row>
    <row r="16449" spans="2:2" ht="12.75" customHeight="1" x14ac:dyDescent="0.2">
      <c r="B16449" s="43"/>
    </row>
    <row r="16450" spans="2:2" ht="12.75" customHeight="1" x14ac:dyDescent="0.2">
      <c r="B16450" s="43"/>
    </row>
    <row r="16451" spans="2:2" ht="12.75" customHeight="1" x14ac:dyDescent="0.2">
      <c r="B16451" s="43"/>
    </row>
    <row r="16452" spans="2:2" ht="12.75" customHeight="1" x14ac:dyDescent="0.2">
      <c r="B16452" s="43"/>
    </row>
    <row r="16453" spans="2:2" ht="12.75" customHeight="1" x14ac:dyDescent="0.2">
      <c r="B16453" s="43"/>
    </row>
    <row r="16454" spans="2:2" ht="12.75" customHeight="1" x14ac:dyDescent="0.2">
      <c r="B16454" s="43"/>
    </row>
    <row r="16455" spans="2:2" ht="12.75" customHeight="1" x14ac:dyDescent="0.2">
      <c r="B16455" s="43"/>
    </row>
    <row r="16456" spans="2:2" ht="12.75" customHeight="1" x14ac:dyDescent="0.2">
      <c r="B16456" s="43"/>
    </row>
    <row r="16457" spans="2:2" ht="12.75" customHeight="1" x14ac:dyDescent="0.2">
      <c r="B16457" s="43"/>
    </row>
    <row r="16458" spans="2:2" ht="12.75" customHeight="1" x14ac:dyDescent="0.2">
      <c r="B16458" s="43"/>
    </row>
    <row r="16459" spans="2:2" ht="12.75" customHeight="1" x14ac:dyDescent="0.2">
      <c r="B16459" s="43"/>
    </row>
    <row r="16460" spans="2:2" ht="12.75" customHeight="1" x14ac:dyDescent="0.2">
      <c r="B16460" s="43"/>
    </row>
    <row r="16461" spans="2:2" ht="12.75" customHeight="1" x14ac:dyDescent="0.2">
      <c r="B16461" s="43"/>
    </row>
    <row r="16462" spans="2:2" ht="12.75" customHeight="1" x14ac:dyDescent="0.2">
      <c r="B16462" s="43"/>
    </row>
    <row r="16463" spans="2:2" ht="12.75" customHeight="1" x14ac:dyDescent="0.2">
      <c r="B16463" s="43"/>
    </row>
    <row r="16464" spans="2:2" ht="12.75" customHeight="1" x14ac:dyDescent="0.2">
      <c r="B16464" s="43"/>
    </row>
    <row r="16465" spans="2:2" ht="12.75" customHeight="1" x14ac:dyDescent="0.2">
      <c r="B16465" s="43"/>
    </row>
    <row r="16466" spans="2:2" ht="12.75" customHeight="1" x14ac:dyDescent="0.2">
      <c r="B16466" s="43"/>
    </row>
    <row r="16467" spans="2:2" ht="12.75" customHeight="1" x14ac:dyDescent="0.2">
      <c r="B16467" s="43"/>
    </row>
    <row r="16468" spans="2:2" ht="12.75" customHeight="1" x14ac:dyDescent="0.2">
      <c r="B16468" s="43"/>
    </row>
    <row r="16469" spans="2:2" ht="12.75" customHeight="1" x14ac:dyDescent="0.2">
      <c r="B16469" s="43"/>
    </row>
    <row r="16470" spans="2:2" ht="12.75" customHeight="1" x14ac:dyDescent="0.2">
      <c r="B16470" s="43"/>
    </row>
    <row r="16471" spans="2:2" ht="12.75" customHeight="1" x14ac:dyDescent="0.2">
      <c r="B16471" s="43"/>
    </row>
    <row r="16472" spans="2:2" ht="12.75" customHeight="1" x14ac:dyDescent="0.2">
      <c r="B16472" s="43"/>
    </row>
    <row r="16473" spans="2:2" ht="12.75" customHeight="1" x14ac:dyDescent="0.2">
      <c r="B16473" s="43"/>
    </row>
    <row r="16474" spans="2:2" ht="12.75" customHeight="1" x14ac:dyDescent="0.2">
      <c r="B16474" s="43"/>
    </row>
    <row r="16475" spans="2:2" ht="12.75" customHeight="1" x14ac:dyDescent="0.2">
      <c r="B16475" s="43"/>
    </row>
    <row r="16476" spans="2:2" ht="12.75" customHeight="1" x14ac:dyDescent="0.2">
      <c r="B16476" s="43"/>
    </row>
    <row r="16477" spans="2:2" ht="12.75" customHeight="1" x14ac:dyDescent="0.2">
      <c r="B16477" s="43"/>
    </row>
    <row r="16478" spans="2:2" ht="12.75" customHeight="1" x14ac:dyDescent="0.2">
      <c r="B16478" s="43"/>
    </row>
    <row r="16479" spans="2:2" ht="12.75" customHeight="1" x14ac:dyDescent="0.2">
      <c r="B16479" s="43"/>
    </row>
    <row r="16480" spans="2:2" ht="12.75" customHeight="1" x14ac:dyDescent="0.2">
      <c r="B16480" s="43"/>
    </row>
    <row r="16481" spans="2:2" ht="12.75" customHeight="1" x14ac:dyDescent="0.2">
      <c r="B16481" s="43"/>
    </row>
    <row r="16482" spans="2:2" ht="12.75" customHeight="1" x14ac:dyDescent="0.2">
      <c r="B16482" s="43"/>
    </row>
    <row r="16483" spans="2:2" ht="12.75" customHeight="1" x14ac:dyDescent="0.2">
      <c r="B16483" s="43"/>
    </row>
    <row r="16484" spans="2:2" ht="12.75" customHeight="1" x14ac:dyDescent="0.2">
      <c r="B16484" s="43"/>
    </row>
    <row r="16485" spans="2:2" ht="12.75" customHeight="1" x14ac:dyDescent="0.2">
      <c r="B16485" s="43"/>
    </row>
    <row r="16486" spans="2:2" ht="12.75" customHeight="1" x14ac:dyDescent="0.2">
      <c r="B16486" s="43"/>
    </row>
    <row r="16487" spans="2:2" ht="12.75" customHeight="1" x14ac:dyDescent="0.2">
      <c r="B16487" s="43"/>
    </row>
    <row r="16488" spans="2:2" ht="12.75" customHeight="1" x14ac:dyDescent="0.2">
      <c r="B16488" s="43"/>
    </row>
    <row r="16489" spans="2:2" ht="12.75" customHeight="1" x14ac:dyDescent="0.2">
      <c r="B16489" s="43"/>
    </row>
    <row r="16490" spans="2:2" ht="12.75" customHeight="1" x14ac:dyDescent="0.2">
      <c r="B16490" s="43"/>
    </row>
    <row r="16491" spans="2:2" ht="12.75" customHeight="1" x14ac:dyDescent="0.2">
      <c r="B16491" s="43"/>
    </row>
    <row r="16492" spans="2:2" ht="12.75" customHeight="1" x14ac:dyDescent="0.2">
      <c r="B16492" s="43"/>
    </row>
    <row r="16493" spans="2:2" ht="12.75" customHeight="1" x14ac:dyDescent="0.2">
      <c r="B16493" s="43"/>
    </row>
    <row r="16494" spans="2:2" ht="12.75" customHeight="1" x14ac:dyDescent="0.2">
      <c r="B16494" s="43"/>
    </row>
    <row r="16495" spans="2:2" ht="12.75" customHeight="1" x14ac:dyDescent="0.2">
      <c r="B16495" s="43"/>
    </row>
    <row r="16496" spans="2:2" ht="12.75" customHeight="1" x14ac:dyDescent="0.2">
      <c r="B16496" s="43"/>
    </row>
    <row r="16497" spans="2:2" ht="12.75" customHeight="1" x14ac:dyDescent="0.2">
      <c r="B16497" s="43"/>
    </row>
    <row r="16498" spans="2:2" ht="12.75" customHeight="1" x14ac:dyDescent="0.2">
      <c r="B16498" s="43"/>
    </row>
    <row r="16499" spans="2:2" ht="12.75" customHeight="1" x14ac:dyDescent="0.2">
      <c r="B16499" s="43"/>
    </row>
    <row r="16500" spans="2:2" ht="12.75" customHeight="1" x14ac:dyDescent="0.2">
      <c r="B16500" s="43"/>
    </row>
    <row r="16501" spans="2:2" ht="12.75" customHeight="1" x14ac:dyDescent="0.2">
      <c r="B16501" s="43"/>
    </row>
    <row r="16502" spans="2:2" ht="12.75" customHeight="1" x14ac:dyDescent="0.2">
      <c r="B16502" s="43"/>
    </row>
    <row r="16503" spans="2:2" ht="12.75" customHeight="1" x14ac:dyDescent="0.2">
      <c r="B16503" s="43"/>
    </row>
    <row r="16504" spans="2:2" ht="12.75" customHeight="1" x14ac:dyDescent="0.2">
      <c r="B16504" s="43"/>
    </row>
    <row r="16505" spans="2:2" ht="12.75" customHeight="1" x14ac:dyDescent="0.2">
      <c r="B16505" s="43"/>
    </row>
    <row r="16506" spans="2:2" ht="12.75" customHeight="1" x14ac:dyDescent="0.2">
      <c r="B16506" s="43"/>
    </row>
    <row r="16507" spans="2:2" ht="12.75" customHeight="1" x14ac:dyDescent="0.2">
      <c r="B16507" s="43"/>
    </row>
    <row r="16508" spans="2:2" ht="12.75" customHeight="1" x14ac:dyDescent="0.2">
      <c r="B16508" s="43"/>
    </row>
    <row r="16509" spans="2:2" ht="12.75" customHeight="1" x14ac:dyDescent="0.2">
      <c r="B16509" s="43"/>
    </row>
    <row r="16510" spans="2:2" ht="12.75" customHeight="1" x14ac:dyDescent="0.2">
      <c r="B16510" s="43"/>
    </row>
    <row r="16511" spans="2:2" ht="12.75" customHeight="1" x14ac:dyDescent="0.2">
      <c r="B16511" s="43"/>
    </row>
    <row r="16512" spans="2:2" ht="12.75" customHeight="1" x14ac:dyDescent="0.2">
      <c r="B16512" s="43"/>
    </row>
    <row r="16513" spans="2:2" ht="12.75" customHeight="1" x14ac:dyDescent="0.2">
      <c r="B16513" s="43"/>
    </row>
    <row r="16514" spans="2:2" ht="12.75" customHeight="1" x14ac:dyDescent="0.2">
      <c r="B16514" s="43"/>
    </row>
    <row r="16515" spans="2:2" ht="12.75" customHeight="1" x14ac:dyDescent="0.2">
      <c r="B16515" s="43"/>
    </row>
    <row r="16516" spans="2:2" ht="12.75" customHeight="1" x14ac:dyDescent="0.2">
      <c r="B16516" s="43"/>
    </row>
    <row r="16517" spans="2:2" ht="12.75" customHeight="1" x14ac:dyDescent="0.2">
      <c r="B16517" s="43"/>
    </row>
    <row r="16518" spans="2:2" ht="12.75" customHeight="1" x14ac:dyDescent="0.2">
      <c r="B16518" s="43"/>
    </row>
    <row r="16519" spans="2:2" ht="12.75" customHeight="1" x14ac:dyDescent="0.2">
      <c r="B16519" s="43"/>
    </row>
    <row r="16520" spans="2:2" ht="12.75" customHeight="1" x14ac:dyDescent="0.2">
      <c r="B16520" s="43"/>
    </row>
    <row r="16521" spans="2:2" ht="12.75" customHeight="1" x14ac:dyDescent="0.2">
      <c r="B16521" s="43"/>
    </row>
    <row r="16522" spans="2:2" ht="12.75" customHeight="1" x14ac:dyDescent="0.2">
      <c r="B16522" s="43"/>
    </row>
    <row r="16523" spans="2:2" ht="12.75" customHeight="1" x14ac:dyDescent="0.2">
      <c r="B16523" s="43"/>
    </row>
    <row r="16524" spans="2:2" ht="12.75" customHeight="1" x14ac:dyDescent="0.2">
      <c r="B16524" s="43"/>
    </row>
    <row r="16525" spans="2:2" ht="12.75" customHeight="1" x14ac:dyDescent="0.2">
      <c r="B16525" s="43"/>
    </row>
    <row r="16526" spans="2:2" ht="12.75" customHeight="1" x14ac:dyDescent="0.2">
      <c r="B16526" s="43"/>
    </row>
    <row r="16527" spans="2:2" ht="12.75" customHeight="1" x14ac:dyDescent="0.2">
      <c r="B16527" s="43"/>
    </row>
    <row r="16528" spans="2:2" ht="12.75" customHeight="1" x14ac:dyDescent="0.2">
      <c r="B16528" s="43"/>
    </row>
    <row r="16529" spans="2:2" ht="12.75" customHeight="1" x14ac:dyDescent="0.2">
      <c r="B16529" s="43"/>
    </row>
    <row r="16530" spans="2:2" ht="12.75" customHeight="1" x14ac:dyDescent="0.2">
      <c r="B16530" s="43"/>
    </row>
    <row r="16531" spans="2:2" ht="12.75" customHeight="1" x14ac:dyDescent="0.2">
      <c r="B16531" s="43"/>
    </row>
    <row r="16532" spans="2:2" ht="12.75" customHeight="1" x14ac:dyDescent="0.2">
      <c r="B16532" s="43"/>
    </row>
    <row r="16533" spans="2:2" ht="12.75" customHeight="1" x14ac:dyDescent="0.2">
      <c r="B16533" s="43"/>
    </row>
    <row r="16534" spans="2:2" ht="12.75" customHeight="1" x14ac:dyDescent="0.2">
      <c r="B16534" s="43"/>
    </row>
    <row r="16535" spans="2:2" ht="12.75" customHeight="1" x14ac:dyDescent="0.2">
      <c r="B16535" s="43"/>
    </row>
    <row r="16536" spans="2:2" ht="12.75" customHeight="1" x14ac:dyDescent="0.2">
      <c r="B16536" s="43"/>
    </row>
    <row r="16537" spans="2:2" ht="12.75" customHeight="1" x14ac:dyDescent="0.2">
      <c r="B16537" s="43"/>
    </row>
    <row r="16538" spans="2:2" ht="12.75" customHeight="1" x14ac:dyDescent="0.2">
      <c r="B16538" s="43"/>
    </row>
    <row r="16539" spans="2:2" ht="12.75" customHeight="1" x14ac:dyDescent="0.2">
      <c r="B16539" s="43"/>
    </row>
    <row r="16540" spans="2:2" ht="12.75" customHeight="1" x14ac:dyDescent="0.2">
      <c r="B16540" s="43"/>
    </row>
    <row r="16541" spans="2:2" ht="12.75" customHeight="1" x14ac:dyDescent="0.2">
      <c r="B16541" s="43"/>
    </row>
    <row r="16542" spans="2:2" ht="12.75" customHeight="1" x14ac:dyDescent="0.2">
      <c r="B16542" s="43"/>
    </row>
    <row r="16543" spans="2:2" ht="12.75" customHeight="1" x14ac:dyDescent="0.2">
      <c r="B16543" s="43"/>
    </row>
    <row r="16544" spans="2:2" ht="12.75" customHeight="1" x14ac:dyDescent="0.2">
      <c r="B16544" s="43"/>
    </row>
    <row r="16545" spans="2:2" ht="12.75" customHeight="1" x14ac:dyDescent="0.2">
      <c r="B16545" s="43"/>
    </row>
    <row r="16546" spans="2:2" ht="12.75" customHeight="1" x14ac:dyDescent="0.2">
      <c r="B16546" s="43"/>
    </row>
    <row r="16547" spans="2:2" ht="12.75" customHeight="1" x14ac:dyDescent="0.2">
      <c r="B16547" s="43"/>
    </row>
    <row r="16548" spans="2:2" ht="12.75" customHeight="1" x14ac:dyDescent="0.2">
      <c r="B16548" s="43"/>
    </row>
    <row r="16549" spans="2:2" ht="12.75" customHeight="1" x14ac:dyDescent="0.2">
      <c r="B16549" s="43"/>
    </row>
    <row r="16550" spans="2:2" ht="12.75" customHeight="1" x14ac:dyDescent="0.2">
      <c r="B16550" s="43"/>
    </row>
    <row r="16551" spans="2:2" ht="12.75" customHeight="1" x14ac:dyDescent="0.2">
      <c r="B16551" s="43"/>
    </row>
    <row r="16552" spans="2:2" ht="12.75" customHeight="1" x14ac:dyDescent="0.2">
      <c r="B16552" s="43"/>
    </row>
    <row r="16553" spans="2:2" ht="12.75" customHeight="1" x14ac:dyDescent="0.2">
      <c r="B16553" s="43"/>
    </row>
    <row r="16554" spans="2:2" ht="12.75" customHeight="1" x14ac:dyDescent="0.2">
      <c r="B16554" s="43"/>
    </row>
    <row r="16555" spans="2:2" ht="12.75" customHeight="1" x14ac:dyDescent="0.2">
      <c r="B16555" s="43"/>
    </row>
    <row r="16556" spans="2:2" ht="12.75" customHeight="1" x14ac:dyDescent="0.2">
      <c r="B16556" s="43"/>
    </row>
    <row r="16557" spans="2:2" ht="12.75" customHeight="1" x14ac:dyDescent="0.2">
      <c r="B16557" s="43"/>
    </row>
    <row r="16558" spans="2:2" ht="12.75" customHeight="1" x14ac:dyDescent="0.2">
      <c r="B16558" s="43"/>
    </row>
    <row r="16559" spans="2:2" ht="12.75" customHeight="1" x14ac:dyDescent="0.2">
      <c r="B16559" s="43"/>
    </row>
    <row r="16560" spans="2:2" ht="12.75" customHeight="1" x14ac:dyDescent="0.2">
      <c r="B16560" s="43"/>
    </row>
    <row r="16561" spans="2:2" ht="12.75" customHeight="1" x14ac:dyDescent="0.2">
      <c r="B16561" s="43"/>
    </row>
    <row r="16562" spans="2:2" ht="12.75" customHeight="1" x14ac:dyDescent="0.2">
      <c r="B16562" s="43"/>
    </row>
    <row r="16563" spans="2:2" ht="12.75" customHeight="1" x14ac:dyDescent="0.2">
      <c r="B16563" s="43"/>
    </row>
    <row r="16564" spans="2:2" ht="12.75" customHeight="1" x14ac:dyDescent="0.2">
      <c r="B16564" s="43"/>
    </row>
    <row r="16565" spans="2:2" ht="12.75" customHeight="1" x14ac:dyDescent="0.2">
      <c r="B16565" s="43"/>
    </row>
    <row r="16566" spans="2:2" ht="12.75" customHeight="1" x14ac:dyDescent="0.2">
      <c r="B16566" s="43"/>
    </row>
    <row r="16567" spans="2:2" ht="12.75" customHeight="1" x14ac:dyDescent="0.2">
      <c r="B16567" s="43"/>
    </row>
    <row r="16568" spans="2:2" ht="12.75" customHeight="1" x14ac:dyDescent="0.2">
      <c r="B16568" s="43"/>
    </row>
    <row r="16569" spans="2:2" ht="12.75" customHeight="1" x14ac:dyDescent="0.2">
      <c r="B16569" s="43"/>
    </row>
    <row r="16570" spans="2:2" ht="12.75" customHeight="1" x14ac:dyDescent="0.2">
      <c r="B16570" s="43"/>
    </row>
    <row r="16571" spans="2:2" ht="12.75" customHeight="1" x14ac:dyDescent="0.2">
      <c r="B16571" s="43"/>
    </row>
    <row r="16572" spans="2:2" ht="12.75" customHeight="1" x14ac:dyDescent="0.2">
      <c r="B16572" s="43"/>
    </row>
    <row r="16573" spans="2:2" ht="12.75" customHeight="1" x14ac:dyDescent="0.2">
      <c r="B16573" s="43"/>
    </row>
    <row r="16574" spans="2:2" ht="12.75" customHeight="1" x14ac:dyDescent="0.2">
      <c r="B16574" s="43"/>
    </row>
    <row r="16575" spans="2:2" ht="12.75" customHeight="1" x14ac:dyDescent="0.2">
      <c r="B16575" s="43"/>
    </row>
    <row r="16576" spans="2:2" ht="12.75" customHeight="1" x14ac:dyDescent="0.2">
      <c r="B16576" s="43"/>
    </row>
    <row r="16577" spans="2:2" ht="12.75" customHeight="1" x14ac:dyDescent="0.2">
      <c r="B16577" s="43"/>
    </row>
    <row r="16578" spans="2:2" ht="12.75" customHeight="1" x14ac:dyDescent="0.2">
      <c r="B16578" s="43"/>
    </row>
    <row r="16579" spans="2:2" ht="12.75" customHeight="1" x14ac:dyDescent="0.2">
      <c r="B16579" s="43"/>
    </row>
    <row r="16580" spans="2:2" ht="12.75" customHeight="1" x14ac:dyDescent="0.2">
      <c r="B16580" s="43"/>
    </row>
    <row r="16581" spans="2:2" ht="12.75" customHeight="1" x14ac:dyDescent="0.2">
      <c r="B16581" s="43"/>
    </row>
    <row r="16582" spans="2:2" ht="12.75" customHeight="1" x14ac:dyDescent="0.2">
      <c r="B16582" s="43"/>
    </row>
    <row r="16583" spans="2:2" ht="12.75" customHeight="1" x14ac:dyDescent="0.2">
      <c r="B16583" s="43"/>
    </row>
    <row r="16584" spans="2:2" ht="12.75" customHeight="1" x14ac:dyDescent="0.2">
      <c r="B16584" s="43"/>
    </row>
    <row r="16585" spans="2:2" ht="12.75" customHeight="1" x14ac:dyDescent="0.2">
      <c r="B16585" s="43"/>
    </row>
    <row r="16586" spans="2:2" ht="12.75" customHeight="1" x14ac:dyDescent="0.2">
      <c r="B16586" s="43"/>
    </row>
    <row r="16587" spans="2:2" ht="12.75" customHeight="1" x14ac:dyDescent="0.2">
      <c r="B16587" s="43"/>
    </row>
    <row r="16588" spans="2:2" ht="12.75" customHeight="1" x14ac:dyDescent="0.2">
      <c r="B16588" s="43"/>
    </row>
    <row r="16589" spans="2:2" ht="12.75" customHeight="1" x14ac:dyDescent="0.2">
      <c r="B16589" s="43"/>
    </row>
    <row r="16590" spans="2:2" ht="12.75" customHeight="1" x14ac:dyDescent="0.2">
      <c r="B16590" s="43"/>
    </row>
    <row r="16591" spans="2:2" ht="12.75" customHeight="1" x14ac:dyDescent="0.2">
      <c r="B16591" s="43"/>
    </row>
    <row r="16592" spans="2:2" ht="12.75" customHeight="1" x14ac:dyDescent="0.2">
      <c r="B16592" s="43"/>
    </row>
    <row r="16593" spans="2:2" ht="12.75" customHeight="1" x14ac:dyDescent="0.2">
      <c r="B16593" s="43"/>
    </row>
    <row r="16594" spans="2:2" ht="12.75" customHeight="1" x14ac:dyDescent="0.2">
      <c r="B16594" s="43"/>
    </row>
    <row r="16595" spans="2:2" ht="12.75" customHeight="1" x14ac:dyDescent="0.2">
      <c r="B16595" s="43"/>
    </row>
    <row r="16596" spans="2:2" ht="12.75" customHeight="1" x14ac:dyDescent="0.2">
      <c r="B16596" s="43"/>
    </row>
    <row r="16597" spans="2:2" ht="12.75" customHeight="1" x14ac:dyDescent="0.2">
      <c r="B16597" s="43"/>
    </row>
    <row r="16598" spans="2:2" ht="12.75" customHeight="1" x14ac:dyDescent="0.2">
      <c r="B16598" s="43"/>
    </row>
    <row r="16599" spans="2:2" ht="12.75" customHeight="1" x14ac:dyDescent="0.2">
      <c r="B16599" s="43"/>
    </row>
    <row r="16600" spans="2:2" ht="12.75" customHeight="1" x14ac:dyDescent="0.2">
      <c r="B16600" s="43"/>
    </row>
    <row r="16601" spans="2:2" ht="12.75" customHeight="1" x14ac:dyDescent="0.2">
      <c r="B16601" s="43"/>
    </row>
    <row r="16602" spans="2:2" ht="12.75" customHeight="1" x14ac:dyDescent="0.2">
      <c r="B16602" s="43"/>
    </row>
    <row r="16603" spans="2:2" ht="12.75" customHeight="1" x14ac:dyDescent="0.2">
      <c r="B16603" s="43"/>
    </row>
    <row r="16604" spans="2:2" ht="12.75" customHeight="1" x14ac:dyDescent="0.2">
      <c r="B16604" s="43"/>
    </row>
    <row r="16605" spans="2:2" ht="12.75" customHeight="1" x14ac:dyDescent="0.2">
      <c r="B16605" s="43"/>
    </row>
    <row r="16606" spans="2:2" ht="12.75" customHeight="1" x14ac:dyDescent="0.2">
      <c r="B16606" s="43"/>
    </row>
    <row r="16607" spans="2:2" ht="12.75" customHeight="1" x14ac:dyDescent="0.2">
      <c r="B16607" s="43"/>
    </row>
    <row r="16608" spans="2:2" ht="12.75" customHeight="1" x14ac:dyDescent="0.2">
      <c r="B16608" s="43"/>
    </row>
    <row r="16609" spans="2:2" ht="12.75" customHeight="1" x14ac:dyDescent="0.2">
      <c r="B16609" s="43"/>
    </row>
    <row r="16610" spans="2:2" ht="12.75" customHeight="1" x14ac:dyDescent="0.2">
      <c r="B16610" s="43"/>
    </row>
    <row r="16611" spans="2:2" ht="12.75" customHeight="1" x14ac:dyDescent="0.2">
      <c r="B16611" s="43"/>
    </row>
    <row r="16612" spans="2:2" ht="12.75" customHeight="1" x14ac:dyDescent="0.2">
      <c r="B16612" s="43"/>
    </row>
    <row r="16613" spans="2:2" ht="12.75" customHeight="1" x14ac:dyDescent="0.2">
      <c r="B16613" s="43"/>
    </row>
    <row r="16614" spans="2:2" ht="12.75" customHeight="1" x14ac:dyDescent="0.2">
      <c r="B16614" s="43"/>
    </row>
    <row r="16615" spans="2:2" ht="12.75" customHeight="1" x14ac:dyDescent="0.2">
      <c r="B16615" s="43"/>
    </row>
    <row r="16616" spans="2:2" ht="12.75" customHeight="1" x14ac:dyDescent="0.2">
      <c r="B16616" s="43"/>
    </row>
    <row r="16617" spans="2:2" ht="12.75" customHeight="1" x14ac:dyDescent="0.2">
      <c r="B16617" s="43"/>
    </row>
    <row r="16618" spans="2:2" ht="12.75" customHeight="1" x14ac:dyDescent="0.2">
      <c r="B16618" s="43"/>
    </row>
    <row r="16619" spans="2:2" ht="12.75" customHeight="1" x14ac:dyDescent="0.2">
      <c r="B16619" s="43"/>
    </row>
    <row r="16620" spans="2:2" ht="12.75" customHeight="1" x14ac:dyDescent="0.2">
      <c r="B16620" s="43"/>
    </row>
    <row r="16621" spans="2:2" ht="12.75" customHeight="1" x14ac:dyDescent="0.2">
      <c r="B16621" s="43"/>
    </row>
    <row r="16622" spans="2:2" ht="12.75" customHeight="1" x14ac:dyDescent="0.2">
      <c r="B16622" s="43"/>
    </row>
    <row r="16623" spans="2:2" ht="12.75" customHeight="1" x14ac:dyDescent="0.2">
      <c r="B16623" s="43"/>
    </row>
    <row r="16624" spans="2:2" ht="12.75" customHeight="1" x14ac:dyDescent="0.2">
      <c r="B16624" s="43"/>
    </row>
    <row r="16625" spans="2:2" ht="12.75" customHeight="1" x14ac:dyDescent="0.2">
      <c r="B16625" s="43"/>
    </row>
    <row r="16626" spans="2:2" ht="12.75" customHeight="1" x14ac:dyDescent="0.2">
      <c r="B16626" s="43"/>
    </row>
    <row r="16627" spans="2:2" ht="12.75" customHeight="1" x14ac:dyDescent="0.2">
      <c r="B16627" s="43"/>
    </row>
    <row r="16628" spans="2:2" ht="12.75" customHeight="1" x14ac:dyDescent="0.2">
      <c r="B16628" s="43"/>
    </row>
    <row r="16629" spans="2:2" ht="12.75" customHeight="1" x14ac:dyDescent="0.2">
      <c r="B16629" s="43"/>
    </row>
    <row r="16630" spans="2:2" ht="12.75" customHeight="1" x14ac:dyDescent="0.2">
      <c r="B16630" s="43"/>
    </row>
    <row r="16631" spans="2:2" ht="12.75" customHeight="1" x14ac:dyDescent="0.2">
      <c r="B16631" s="43"/>
    </row>
    <row r="16632" spans="2:2" ht="12.75" customHeight="1" x14ac:dyDescent="0.2">
      <c r="B16632" s="43"/>
    </row>
    <row r="16633" spans="2:2" ht="12.75" customHeight="1" x14ac:dyDescent="0.2">
      <c r="B16633" s="43"/>
    </row>
    <row r="16634" spans="2:2" ht="12.75" customHeight="1" x14ac:dyDescent="0.2">
      <c r="B16634" s="43"/>
    </row>
    <row r="16635" spans="2:2" ht="12.75" customHeight="1" x14ac:dyDescent="0.2">
      <c r="B16635" s="43"/>
    </row>
    <row r="16636" spans="2:2" ht="12.75" customHeight="1" x14ac:dyDescent="0.2">
      <c r="B16636" s="43"/>
    </row>
    <row r="16637" spans="2:2" ht="12.75" customHeight="1" x14ac:dyDescent="0.2">
      <c r="B16637" s="43"/>
    </row>
    <row r="16638" spans="2:2" ht="12.75" customHeight="1" x14ac:dyDescent="0.2">
      <c r="B16638" s="43"/>
    </row>
    <row r="16639" spans="2:2" ht="12.75" customHeight="1" x14ac:dyDescent="0.2">
      <c r="B16639" s="43"/>
    </row>
    <row r="16640" spans="2:2" ht="12.75" customHeight="1" x14ac:dyDescent="0.2">
      <c r="B16640" s="43"/>
    </row>
    <row r="16641" spans="2:2" ht="12.75" customHeight="1" x14ac:dyDescent="0.2">
      <c r="B16641" s="43"/>
    </row>
    <row r="16642" spans="2:2" ht="12.75" customHeight="1" x14ac:dyDescent="0.2">
      <c r="B16642" s="43"/>
    </row>
    <row r="16643" spans="2:2" ht="12.75" customHeight="1" x14ac:dyDescent="0.2">
      <c r="B16643" s="43"/>
    </row>
    <row r="16644" spans="2:2" ht="12.75" customHeight="1" x14ac:dyDescent="0.2">
      <c r="B16644" s="43"/>
    </row>
    <row r="16645" spans="2:2" ht="12.75" customHeight="1" x14ac:dyDescent="0.2">
      <c r="B16645" s="43"/>
    </row>
    <row r="16646" spans="2:2" ht="12.75" customHeight="1" x14ac:dyDescent="0.2">
      <c r="B16646" s="43"/>
    </row>
    <row r="16647" spans="2:2" ht="12.75" customHeight="1" x14ac:dyDescent="0.2">
      <c r="B16647" s="43"/>
    </row>
    <row r="16648" spans="2:2" ht="12.75" customHeight="1" x14ac:dyDescent="0.2">
      <c r="B16648" s="43"/>
    </row>
    <row r="16649" spans="2:2" ht="12.75" customHeight="1" x14ac:dyDescent="0.2">
      <c r="B16649" s="43"/>
    </row>
    <row r="16650" spans="2:2" ht="12.75" customHeight="1" x14ac:dyDescent="0.2">
      <c r="B16650" s="43"/>
    </row>
    <row r="16651" spans="2:2" ht="12.75" customHeight="1" x14ac:dyDescent="0.2">
      <c r="B16651" s="43"/>
    </row>
    <row r="16652" spans="2:2" ht="12.75" customHeight="1" x14ac:dyDescent="0.2">
      <c r="B16652" s="43"/>
    </row>
    <row r="16653" spans="2:2" ht="12.75" customHeight="1" x14ac:dyDescent="0.2">
      <c r="B16653" s="43"/>
    </row>
    <row r="16654" spans="2:2" ht="12.75" customHeight="1" x14ac:dyDescent="0.2">
      <c r="B16654" s="43"/>
    </row>
    <row r="16655" spans="2:2" ht="12.75" customHeight="1" x14ac:dyDescent="0.2">
      <c r="B16655" s="43"/>
    </row>
    <row r="16656" spans="2:2" ht="12.75" customHeight="1" x14ac:dyDescent="0.2">
      <c r="B16656" s="43"/>
    </row>
    <row r="16657" spans="2:2" ht="12.75" customHeight="1" x14ac:dyDescent="0.2">
      <c r="B16657" s="43"/>
    </row>
    <row r="16658" spans="2:2" ht="12.75" customHeight="1" x14ac:dyDescent="0.2">
      <c r="B16658" s="43"/>
    </row>
    <row r="16659" spans="2:2" ht="12.75" customHeight="1" x14ac:dyDescent="0.2">
      <c r="B16659" s="43"/>
    </row>
    <row r="16660" spans="2:2" ht="12.75" customHeight="1" x14ac:dyDescent="0.2">
      <c r="B16660" s="43"/>
    </row>
    <row r="16661" spans="2:2" ht="12.75" customHeight="1" x14ac:dyDescent="0.2">
      <c r="B16661" s="43"/>
    </row>
    <row r="16662" spans="2:2" ht="12.75" customHeight="1" x14ac:dyDescent="0.2">
      <c r="B16662" s="43"/>
    </row>
    <row r="16663" spans="2:2" ht="12.75" customHeight="1" x14ac:dyDescent="0.2">
      <c r="B16663" s="43"/>
    </row>
    <row r="16664" spans="2:2" ht="12.75" customHeight="1" x14ac:dyDescent="0.2">
      <c r="B16664" s="43"/>
    </row>
    <row r="16665" spans="2:2" ht="12.75" customHeight="1" x14ac:dyDescent="0.2">
      <c r="B16665" s="43"/>
    </row>
    <row r="16666" spans="2:2" ht="12.75" customHeight="1" x14ac:dyDescent="0.2">
      <c r="B16666" s="43"/>
    </row>
    <row r="16667" spans="2:2" ht="12.75" customHeight="1" x14ac:dyDescent="0.2">
      <c r="B16667" s="43"/>
    </row>
    <row r="16668" spans="2:2" ht="12.75" customHeight="1" x14ac:dyDescent="0.2">
      <c r="B16668" s="43"/>
    </row>
    <row r="16669" spans="2:2" ht="12.75" customHeight="1" x14ac:dyDescent="0.2">
      <c r="B16669" s="43"/>
    </row>
    <row r="16670" spans="2:2" ht="12.75" customHeight="1" x14ac:dyDescent="0.2">
      <c r="B16670" s="43"/>
    </row>
    <row r="16671" spans="2:2" ht="12.75" customHeight="1" x14ac:dyDescent="0.2">
      <c r="B16671" s="43"/>
    </row>
    <row r="16672" spans="2:2" ht="12.75" customHeight="1" x14ac:dyDescent="0.2">
      <c r="B16672" s="43"/>
    </row>
    <row r="16673" spans="2:2" ht="12.75" customHeight="1" x14ac:dyDescent="0.2">
      <c r="B16673" s="43"/>
    </row>
    <row r="16674" spans="2:2" ht="12.75" customHeight="1" x14ac:dyDescent="0.2">
      <c r="B16674" s="43"/>
    </row>
    <row r="16675" spans="2:2" ht="12.75" customHeight="1" x14ac:dyDescent="0.2">
      <c r="B16675" s="43"/>
    </row>
    <row r="16676" spans="2:2" ht="12.75" customHeight="1" x14ac:dyDescent="0.2">
      <c r="B16676" s="43"/>
    </row>
    <row r="16677" spans="2:2" ht="12.75" customHeight="1" x14ac:dyDescent="0.2">
      <c r="B16677" s="43"/>
    </row>
    <row r="16678" spans="2:2" ht="12.75" customHeight="1" x14ac:dyDescent="0.2">
      <c r="B16678" s="43"/>
    </row>
    <row r="16679" spans="2:2" ht="12.75" customHeight="1" x14ac:dyDescent="0.2">
      <c r="B16679" s="43"/>
    </row>
    <row r="16680" spans="2:2" ht="12.75" customHeight="1" x14ac:dyDescent="0.2">
      <c r="B16680" s="43"/>
    </row>
    <row r="16681" spans="2:2" ht="12.75" customHeight="1" x14ac:dyDescent="0.2">
      <c r="B16681" s="43"/>
    </row>
    <row r="16682" spans="2:2" ht="12.75" customHeight="1" x14ac:dyDescent="0.2">
      <c r="B16682" s="43"/>
    </row>
    <row r="16683" spans="2:2" ht="12.75" customHeight="1" x14ac:dyDescent="0.2">
      <c r="B16683" s="43"/>
    </row>
    <row r="16684" spans="2:2" ht="12.75" customHeight="1" x14ac:dyDescent="0.2">
      <c r="B16684" s="43"/>
    </row>
    <row r="16685" spans="2:2" ht="12.75" customHeight="1" x14ac:dyDescent="0.2">
      <c r="B16685" s="43"/>
    </row>
    <row r="16686" spans="2:2" ht="12.75" customHeight="1" x14ac:dyDescent="0.2">
      <c r="B16686" s="43"/>
    </row>
    <row r="16687" spans="2:2" ht="12.75" customHeight="1" x14ac:dyDescent="0.2">
      <c r="B16687" s="43"/>
    </row>
    <row r="16688" spans="2:2" ht="12.75" customHeight="1" x14ac:dyDescent="0.2">
      <c r="B16688" s="43"/>
    </row>
    <row r="16689" spans="2:2" ht="12.75" customHeight="1" x14ac:dyDescent="0.2">
      <c r="B16689" s="43"/>
    </row>
    <row r="16690" spans="2:2" ht="12.75" customHeight="1" x14ac:dyDescent="0.2">
      <c r="B16690" s="43"/>
    </row>
    <row r="16691" spans="2:2" ht="12.75" customHeight="1" x14ac:dyDescent="0.2">
      <c r="B16691" s="43"/>
    </row>
    <row r="16692" spans="2:2" ht="12.75" customHeight="1" x14ac:dyDescent="0.2">
      <c r="B16692" s="43"/>
    </row>
    <row r="16693" spans="2:2" ht="12.75" customHeight="1" x14ac:dyDescent="0.2">
      <c r="B16693" s="43"/>
    </row>
    <row r="16694" spans="2:2" ht="12.75" customHeight="1" x14ac:dyDescent="0.2">
      <c r="B16694" s="43"/>
    </row>
    <row r="16695" spans="2:2" ht="12.75" customHeight="1" x14ac:dyDescent="0.2">
      <c r="B16695" s="43"/>
    </row>
    <row r="16696" spans="2:2" ht="12.75" customHeight="1" x14ac:dyDescent="0.2">
      <c r="B16696" s="43"/>
    </row>
    <row r="16697" spans="2:2" ht="12.75" customHeight="1" x14ac:dyDescent="0.2">
      <c r="B16697" s="43"/>
    </row>
    <row r="16698" spans="2:2" ht="12.75" customHeight="1" x14ac:dyDescent="0.2">
      <c r="B16698" s="43"/>
    </row>
    <row r="16699" spans="2:2" ht="12.75" customHeight="1" x14ac:dyDescent="0.2">
      <c r="B16699" s="43"/>
    </row>
    <row r="16700" spans="2:2" ht="12.75" customHeight="1" x14ac:dyDescent="0.2">
      <c r="B16700" s="43"/>
    </row>
    <row r="16701" spans="2:2" ht="12.75" customHeight="1" x14ac:dyDescent="0.2">
      <c r="B16701" s="43"/>
    </row>
    <row r="16702" spans="2:2" ht="12.75" customHeight="1" x14ac:dyDescent="0.2">
      <c r="B16702" s="43"/>
    </row>
    <row r="16703" spans="2:2" ht="12.75" customHeight="1" x14ac:dyDescent="0.2">
      <c r="B16703" s="43"/>
    </row>
    <row r="16704" spans="2:2" ht="12.75" customHeight="1" x14ac:dyDescent="0.2">
      <c r="B16704" s="43"/>
    </row>
    <row r="16705" spans="2:2" ht="12.75" customHeight="1" x14ac:dyDescent="0.2">
      <c r="B16705" s="43"/>
    </row>
    <row r="16706" spans="2:2" ht="12.75" customHeight="1" x14ac:dyDescent="0.2">
      <c r="B16706" s="43"/>
    </row>
    <row r="16707" spans="2:2" ht="12.75" customHeight="1" x14ac:dyDescent="0.2">
      <c r="B16707" s="43"/>
    </row>
    <row r="16708" spans="2:2" ht="12.75" customHeight="1" x14ac:dyDescent="0.2">
      <c r="B16708" s="43"/>
    </row>
    <row r="16709" spans="2:2" ht="12.75" customHeight="1" x14ac:dyDescent="0.2">
      <c r="B16709" s="43"/>
    </row>
    <row r="16710" spans="2:2" ht="12.75" customHeight="1" x14ac:dyDescent="0.2">
      <c r="B16710" s="43"/>
    </row>
    <row r="16711" spans="2:2" ht="12.75" customHeight="1" x14ac:dyDescent="0.2">
      <c r="B16711" s="43"/>
    </row>
    <row r="16712" spans="2:2" ht="12.75" customHeight="1" x14ac:dyDescent="0.2">
      <c r="B16712" s="43"/>
    </row>
    <row r="16713" spans="2:2" ht="12.75" customHeight="1" x14ac:dyDescent="0.2">
      <c r="B16713" s="43"/>
    </row>
    <row r="16714" spans="2:2" ht="12.75" customHeight="1" x14ac:dyDescent="0.2">
      <c r="B16714" s="43"/>
    </row>
    <row r="16715" spans="2:2" ht="12.75" customHeight="1" x14ac:dyDescent="0.2">
      <c r="B16715" s="43"/>
    </row>
    <row r="16716" spans="2:2" ht="12.75" customHeight="1" x14ac:dyDescent="0.2">
      <c r="B16716" s="43"/>
    </row>
    <row r="16717" spans="2:2" ht="12.75" customHeight="1" x14ac:dyDescent="0.2">
      <c r="B16717" s="43"/>
    </row>
    <row r="16718" spans="2:2" ht="12.75" customHeight="1" x14ac:dyDescent="0.2">
      <c r="B16718" s="43"/>
    </row>
    <row r="16719" spans="2:2" ht="12.75" customHeight="1" x14ac:dyDescent="0.2">
      <c r="B16719" s="43"/>
    </row>
    <row r="16720" spans="2:2" ht="12.75" customHeight="1" x14ac:dyDescent="0.2">
      <c r="B16720" s="43"/>
    </row>
    <row r="16721" spans="2:2" ht="12.75" customHeight="1" x14ac:dyDescent="0.2">
      <c r="B16721" s="43"/>
    </row>
    <row r="16722" spans="2:2" ht="12.75" customHeight="1" x14ac:dyDescent="0.2">
      <c r="B16722" s="43"/>
    </row>
    <row r="16723" spans="2:2" ht="12.75" customHeight="1" x14ac:dyDescent="0.2">
      <c r="B16723" s="43"/>
    </row>
    <row r="16724" spans="2:2" ht="12.75" customHeight="1" x14ac:dyDescent="0.2">
      <c r="B16724" s="43"/>
    </row>
    <row r="16725" spans="2:2" ht="12.75" customHeight="1" x14ac:dyDescent="0.2">
      <c r="B16725" s="43"/>
    </row>
    <row r="16726" spans="2:2" ht="12.75" customHeight="1" x14ac:dyDescent="0.2">
      <c r="B16726" s="43"/>
    </row>
    <row r="16727" spans="2:2" ht="12.75" customHeight="1" x14ac:dyDescent="0.2">
      <c r="B16727" s="43"/>
    </row>
    <row r="16728" spans="2:2" ht="12.75" customHeight="1" x14ac:dyDescent="0.2">
      <c r="B16728" s="43"/>
    </row>
    <row r="16729" spans="2:2" ht="12.75" customHeight="1" x14ac:dyDescent="0.2">
      <c r="B16729" s="43"/>
    </row>
    <row r="16730" spans="2:2" ht="12.75" customHeight="1" x14ac:dyDescent="0.2">
      <c r="B16730" s="43"/>
    </row>
    <row r="16731" spans="2:2" ht="12.75" customHeight="1" x14ac:dyDescent="0.2">
      <c r="B16731" s="43"/>
    </row>
    <row r="16732" spans="2:2" ht="12.75" customHeight="1" x14ac:dyDescent="0.2">
      <c r="B16732" s="43"/>
    </row>
    <row r="16733" spans="2:2" ht="12.75" customHeight="1" x14ac:dyDescent="0.2">
      <c r="B16733" s="43"/>
    </row>
    <row r="16734" spans="2:2" ht="12.75" customHeight="1" x14ac:dyDescent="0.2">
      <c r="B16734" s="43"/>
    </row>
    <row r="16735" spans="2:2" ht="12.75" customHeight="1" x14ac:dyDescent="0.2">
      <c r="B16735" s="43"/>
    </row>
    <row r="16736" spans="2:2" ht="12.75" customHeight="1" x14ac:dyDescent="0.2">
      <c r="B16736" s="43"/>
    </row>
    <row r="16737" spans="2:2" ht="12.75" customHeight="1" x14ac:dyDescent="0.2">
      <c r="B16737" s="43"/>
    </row>
    <row r="16738" spans="2:2" ht="12.75" customHeight="1" x14ac:dyDescent="0.2">
      <c r="B16738" s="43"/>
    </row>
    <row r="16739" spans="2:2" ht="12.75" customHeight="1" x14ac:dyDescent="0.2">
      <c r="B16739" s="43"/>
    </row>
    <row r="16740" spans="2:2" ht="12.75" customHeight="1" x14ac:dyDescent="0.2">
      <c r="B16740" s="43"/>
    </row>
    <row r="16741" spans="2:2" ht="12.75" customHeight="1" x14ac:dyDescent="0.2">
      <c r="B16741" s="43"/>
    </row>
    <row r="16742" spans="2:2" ht="12.75" customHeight="1" x14ac:dyDescent="0.2">
      <c r="B16742" s="43"/>
    </row>
    <row r="16743" spans="2:2" ht="12.75" customHeight="1" x14ac:dyDescent="0.2">
      <c r="B16743" s="43"/>
    </row>
    <row r="16744" spans="2:2" ht="12.75" customHeight="1" x14ac:dyDescent="0.2">
      <c r="B16744" s="43"/>
    </row>
    <row r="16745" spans="2:2" ht="12.75" customHeight="1" x14ac:dyDescent="0.2">
      <c r="B16745" s="43"/>
    </row>
    <row r="16746" spans="2:2" ht="12.75" customHeight="1" x14ac:dyDescent="0.2">
      <c r="B16746" s="43"/>
    </row>
    <row r="16747" spans="2:2" ht="12.75" customHeight="1" x14ac:dyDescent="0.2">
      <c r="B16747" s="43"/>
    </row>
    <row r="16748" spans="2:2" ht="12.75" customHeight="1" x14ac:dyDescent="0.2">
      <c r="B16748" s="43"/>
    </row>
    <row r="16749" spans="2:2" ht="12.75" customHeight="1" x14ac:dyDescent="0.2">
      <c r="B16749" s="43"/>
    </row>
    <row r="16750" spans="2:2" ht="12.75" customHeight="1" x14ac:dyDescent="0.2">
      <c r="B16750" s="43"/>
    </row>
    <row r="16751" spans="2:2" ht="12.75" customHeight="1" x14ac:dyDescent="0.2">
      <c r="B16751" s="43"/>
    </row>
    <row r="16752" spans="2:2" ht="12.75" customHeight="1" x14ac:dyDescent="0.2">
      <c r="B16752" s="43"/>
    </row>
    <row r="16753" spans="2:2" ht="12.75" customHeight="1" x14ac:dyDescent="0.2">
      <c r="B16753" s="43"/>
    </row>
    <row r="16754" spans="2:2" ht="12.75" customHeight="1" x14ac:dyDescent="0.2">
      <c r="B16754" s="43"/>
    </row>
    <row r="16755" spans="2:2" ht="12.75" customHeight="1" x14ac:dyDescent="0.2">
      <c r="B16755" s="43"/>
    </row>
    <row r="16756" spans="2:2" ht="12.75" customHeight="1" x14ac:dyDescent="0.2">
      <c r="B16756" s="43"/>
    </row>
    <row r="16757" spans="2:2" ht="12.75" customHeight="1" x14ac:dyDescent="0.2">
      <c r="B16757" s="43"/>
    </row>
    <row r="16758" spans="2:2" ht="12.75" customHeight="1" x14ac:dyDescent="0.2">
      <c r="B16758" s="43"/>
    </row>
    <row r="16759" spans="2:2" ht="12.75" customHeight="1" x14ac:dyDescent="0.2">
      <c r="B16759" s="43"/>
    </row>
    <row r="16760" spans="2:2" ht="12.75" customHeight="1" x14ac:dyDescent="0.2">
      <c r="B16760" s="43"/>
    </row>
    <row r="16761" spans="2:2" ht="12.75" customHeight="1" x14ac:dyDescent="0.2">
      <c r="B16761" s="43"/>
    </row>
    <row r="16762" spans="2:2" ht="12.75" customHeight="1" x14ac:dyDescent="0.2">
      <c r="B16762" s="43"/>
    </row>
    <row r="16763" spans="2:2" ht="12.75" customHeight="1" x14ac:dyDescent="0.2">
      <c r="B16763" s="43"/>
    </row>
    <row r="16764" spans="2:2" ht="12.75" customHeight="1" x14ac:dyDescent="0.2">
      <c r="B16764" s="43"/>
    </row>
    <row r="16765" spans="2:2" ht="12.75" customHeight="1" x14ac:dyDescent="0.2">
      <c r="B16765" s="43"/>
    </row>
    <row r="16766" spans="2:2" ht="12.75" customHeight="1" x14ac:dyDescent="0.2">
      <c r="B16766" s="43"/>
    </row>
    <row r="16767" spans="2:2" ht="12.75" customHeight="1" x14ac:dyDescent="0.2">
      <c r="B16767" s="43"/>
    </row>
    <row r="16768" spans="2:2" ht="12.75" customHeight="1" x14ac:dyDescent="0.2">
      <c r="B16768" s="43"/>
    </row>
    <row r="16769" spans="2:2" ht="12.75" customHeight="1" x14ac:dyDescent="0.2">
      <c r="B16769" s="43"/>
    </row>
    <row r="16770" spans="2:2" ht="12.75" customHeight="1" x14ac:dyDescent="0.2">
      <c r="B16770" s="43"/>
    </row>
    <row r="16771" spans="2:2" ht="12.75" customHeight="1" x14ac:dyDescent="0.2">
      <c r="B16771" s="43"/>
    </row>
    <row r="16772" spans="2:2" ht="12.75" customHeight="1" x14ac:dyDescent="0.2">
      <c r="B16772" s="43"/>
    </row>
    <row r="16773" spans="2:2" ht="12.75" customHeight="1" x14ac:dyDescent="0.2">
      <c r="B16773" s="43"/>
    </row>
    <row r="16774" spans="2:2" ht="12.75" customHeight="1" x14ac:dyDescent="0.2">
      <c r="B16774" s="43"/>
    </row>
    <row r="16775" spans="2:2" ht="12.75" customHeight="1" x14ac:dyDescent="0.2">
      <c r="B16775" s="43"/>
    </row>
    <row r="16776" spans="2:2" ht="12.75" customHeight="1" x14ac:dyDescent="0.2">
      <c r="B16776" s="43"/>
    </row>
    <row r="16777" spans="2:2" ht="12.75" customHeight="1" x14ac:dyDescent="0.2">
      <c r="B16777" s="43"/>
    </row>
    <row r="16778" spans="2:2" ht="12.75" customHeight="1" x14ac:dyDescent="0.2">
      <c r="B16778" s="43"/>
    </row>
    <row r="16779" spans="2:2" ht="12.75" customHeight="1" x14ac:dyDescent="0.2">
      <c r="B16779" s="43"/>
    </row>
    <row r="16780" spans="2:2" ht="12.75" customHeight="1" x14ac:dyDescent="0.2">
      <c r="B16780" s="43"/>
    </row>
    <row r="16781" spans="2:2" ht="12.75" customHeight="1" x14ac:dyDescent="0.2">
      <c r="B16781" s="43"/>
    </row>
    <row r="16782" spans="2:2" ht="12.75" customHeight="1" x14ac:dyDescent="0.2">
      <c r="B16782" s="43"/>
    </row>
    <row r="16783" spans="2:2" ht="12.75" customHeight="1" x14ac:dyDescent="0.2">
      <c r="B16783" s="43"/>
    </row>
    <row r="16784" spans="2:2" ht="12.75" customHeight="1" x14ac:dyDescent="0.2">
      <c r="B16784" s="43"/>
    </row>
    <row r="16785" spans="2:2" ht="12.75" customHeight="1" x14ac:dyDescent="0.2">
      <c r="B16785" s="43"/>
    </row>
    <row r="16786" spans="2:2" ht="12.75" customHeight="1" x14ac:dyDescent="0.2">
      <c r="B16786" s="43"/>
    </row>
    <row r="16787" spans="2:2" ht="12.75" customHeight="1" x14ac:dyDescent="0.2">
      <c r="B16787" s="43"/>
    </row>
    <row r="16788" spans="2:2" ht="12.75" customHeight="1" x14ac:dyDescent="0.2">
      <c r="B16788" s="43"/>
    </row>
    <row r="16789" spans="2:2" ht="12.75" customHeight="1" x14ac:dyDescent="0.2">
      <c r="B16789" s="43"/>
    </row>
    <row r="16790" spans="2:2" ht="12.75" customHeight="1" x14ac:dyDescent="0.2">
      <c r="B16790" s="43"/>
    </row>
    <row r="16791" spans="2:2" ht="12.75" customHeight="1" x14ac:dyDescent="0.2">
      <c r="B16791" s="43"/>
    </row>
    <row r="16792" spans="2:2" ht="12.75" customHeight="1" x14ac:dyDescent="0.2">
      <c r="B16792" s="43"/>
    </row>
    <row r="16793" spans="2:2" ht="12.75" customHeight="1" x14ac:dyDescent="0.2">
      <c r="B16793" s="43"/>
    </row>
    <row r="16794" spans="2:2" ht="12.75" customHeight="1" x14ac:dyDescent="0.2">
      <c r="B16794" s="43"/>
    </row>
    <row r="16795" spans="2:2" ht="12.75" customHeight="1" x14ac:dyDescent="0.2">
      <c r="B16795" s="43"/>
    </row>
    <row r="16796" spans="2:2" ht="12.75" customHeight="1" x14ac:dyDescent="0.2">
      <c r="B16796" s="43"/>
    </row>
    <row r="16797" spans="2:2" ht="12.75" customHeight="1" x14ac:dyDescent="0.2">
      <c r="B16797" s="43"/>
    </row>
    <row r="16798" spans="2:2" ht="12.75" customHeight="1" x14ac:dyDescent="0.2">
      <c r="B16798" s="43"/>
    </row>
    <row r="16799" spans="2:2" ht="12.75" customHeight="1" x14ac:dyDescent="0.2">
      <c r="B16799" s="43"/>
    </row>
    <row r="16800" spans="2:2" ht="12.75" customHeight="1" x14ac:dyDescent="0.2">
      <c r="B16800" s="43"/>
    </row>
    <row r="16801" spans="2:2" ht="12.75" customHeight="1" x14ac:dyDescent="0.2">
      <c r="B16801" s="43"/>
    </row>
    <row r="16802" spans="2:2" ht="12.75" customHeight="1" x14ac:dyDescent="0.2">
      <c r="B16802" s="43"/>
    </row>
    <row r="16803" spans="2:2" ht="12.75" customHeight="1" x14ac:dyDescent="0.2">
      <c r="B16803" s="43"/>
    </row>
    <row r="16804" spans="2:2" ht="12.75" customHeight="1" x14ac:dyDescent="0.2">
      <c r="B16804" s="43"/>
    </row>
    <row r="16805" spans="2:2" ht="12.75" customHeight="1" x14ac:dyDescent="0.2">
      <c r="B16805" s="43"/>
    </row>
    <row r="16806" spans="2:2" ht="12.75" customHeight="1" x14ac:dyDescent="0.2">
      <c r="B16806" s="43"/>
    </row>
    <row r="16807" spans="2:2" ht="12.75" customHeight="1" x14ac:dyDescent="0.2">
      <c r="B16807" s="43"/>
    </row>
    <row r="16808" spans="2:2" ht="12.75" customHeight="1" x14ac:dyDescent="0.2">
      <c r="B16808" s="43"/>
    </row>
    <row r="16809" spans="2:2" ht="12.75" customHeight="1" x14ac:dyDescent="0.2">
      <c r="B16809" s="43"/>
    </row>
    <row r="16810" spans="2:2" ht="12.75" customHeight="1" x14ac:dyDescent="0.2">
      <c r="B16810" s="43"/>
    </row>
    <row r="16811" spans="2:2" ht="12.75" customHeight="1" x14ac:dyDescent="0.2">
      <c r="B16811" s="43"/>
    </row>
    <row r="16812" spans="2:2" ht="12.75" customHeight="1" x14ac:dyDescent="0.2">
      <c r="B16812" s="43"/>
    </row>
    <row r="16813" spans="2:2" ht="12.75" customHeight="1" x14ac:dyDescent="0.2">
      <c r="B16813" s="43"/>
    </row>
    <row r="16814" spans="2:2" ht="12.75" customHeight="1" x14ac:dyDescent="0.2">
      <c r="B16814" s="43"/>
    </row>
    <row r="16815" spans="2:2" ht="12.75" customHeight="1" x14ac:dyDescent="0.2">
      <c r="B16815" s="43"/>
    </row>
    <row r="16816" spans="2:2" ht="12.75" customHeight="1" x14ac:dyDescent="0.2">
      <c r="B16816" s="43"/>
    </row>
    <row r="16817" spans="2:2" ht="12.75" customHeight="1" x14ac:dyDescent="0.2">
      <c r="B16817" s="43"/>
    </row>
    <row r="16818" spans="2:2" ht="12.75" customHeight="1" x14ac:dyDescent="0.2">
      <c r="B16818" s="43"/>
    </row>
    <row r="16819" spans="2:2" ht="12.75" customHeight="1" x14ac:dyDescent="0.2">
      <c r="B16819" s="43"/>
    </row>
    <row r="16820" spans="2:2" ht="12.75" customHeight="1" x14ac:dyDescent="0.2">
      <c r="B16820" s="43"/>
    </row>
    <row r="16821" spans="2:2" ht="12.75" customHeight="1" x14ac:dyDescent="0.2">
      <c r="B16821" s="43"/>
    </row>
    <row r="16822" spans="2:2" ht="12.75" customHeight="1" x14ac:dyDescent="0.2">
      <c r="B16822" s="43"/>
    </row>
    <row r="16823" spans="2:2" ht="12.75" customHeight="1" x14ac:dyDescent="0.2">
      <c r="B16823" s="43"/>
    </row>
    <row r="16824" spans="2:2" ht="12.75" customHeight="1" x14ac:dyDescent="0.2">
      <c r="B16824" s="43"/>
    </row>
    <row r="16825" spans="2:2" ht="12.75" customHeight="1" x14ac:dyDescent="0.2">
      <c r="B16825" s="43"/>
    </row>
    <row r="16826" spans="2:2" ht="12.75" customHeight="1" x14ac:dyDescent="0.2">
      <c r="B16826" s="43"/>
    </row>
    <row r="16827" spans="2:2" ht="12.75" customHeight="1" x14ac:dyDescent="0.2">
      <c r="B16827" s="43"/>
    </row>
    <row r="16828" spans="2:2" ht="12.75" customHeight="1" x14ac:dyDescent="0.2">
      <c r="B16828" s="43"/>
    </row>
    <row r="16829" spans="2:2" ht="12.75" customHeight="1" x14ac:dyDescent="0.2">
      <c r="B16829" s="43"/>
    </row>
    <row r="16830" spans="2:2" ht="12.75" customHeight="1" x14ac:dyDescent="0.2">
      <c r="B16830" s="43"/>
    </row>
    <row r="16831" spans="2:2" ht="12.75" customHeight="1" x14ac:dyDescent="0.2">
      <c r="B16831" s="43"/>
    </row>
    <row r="16832" spans="2:2" ht="12.75" customHeight="1" x14ac:dyDescent="0.2">
      <c r="B16832" s="43"/>
    </row>
    <row r="16833" spans="2:2" ht="12.75" customHeight="1" x14ac:dyDescent="0.2">
      <c r="B16833" s="43"/>
    </row>
    <row r="16834" spans="2:2" ht="12.75" customHeight="1" x14ac:dyDescent="0.2">
      <c r="B16834" s="43"/>
    </row>
    <row r="16835" spans="2:2" ht="12.75" customHeight="1" x14ac:dyDescent="0.2">
      <c r="B16835" s="43"/>
    </row>
    <row r="16836" spans="2:2" ht="12.75" customHeight="1" x14ac:dyDescent="0.2">
      <c r="B16836" s="43"/>
    </row>
    <row r="16837" spans="2:2" ht="12.75" customHeight="1" x14ac:dyDescent="0.2">
      <c r="B16837" s="43"/>
    </row>
    <row r="16838" spans="2:2" ht="12.75" customHeight="1" x14ac:dyDescent="0.2">
      <c r="B16838" s="43"/>
    </row>
    <row r="16839" spans="2:2" ht="12.75" customHeight="1" x14ac:dyDescent="0.2">
      <c r="B16839" s="43"/>
    </row>
    <row r="16840" spans="2:2" ht="12.75" customHeight="1" x14ac:dyDescent="0.2">
      <c r="B16840" s="43"/>
    </row>
    <row r="16841" spans="2:2" ht="12.75" customHeight="1" x14ac:dyDescent="0.2">
      <c r="B16841" s="43"/>
    </row>
    <row r="16842" spans="2:2" ht="12.75" customHeight="1" x14ac:dyDescent="0.2">
      <c r="B16842" s="43"/>
    </row>
    <row r="16843" spans="2:2" ht="12.75" customHeight="1" x14ac:dyDescent="0.2">
      <c r="B16843" s="43"/>
    </row>
    <row r="16844" spans="2:2" ht="12.75" customHeight="1" x14ac:dyDescent="0.2">
      <c r="B16844" s="43"/>
    </row>
    <row r="16845" spans="2:2" ht="12.75" customHeight="1" x14ac:dyDescent="0.2">
      <c r="B16845" s="43"/>
    </row>
    <row r="16846" spans="2:2" ht="12.75" customHeight="1" x14ac:dyDescent="0.2">
      <c r="B16846" s="43"/>
    </row>
    <row r="16847" spans="2:2" ht="12.75" customHeight="1" x14ac:dyDescent="0.2">
      <c r="B16847" s="43"/>
    </row>
    <row r="16848" spans="2:2" ht="12.75" customHeight="1" x14ac:dyDescent="0.2">
      <c r="B16848" s="43"/>
    </row>
    <row r="16849" spans="2:2" ht="12.75" customHeight="1" x14ac:dyDescent="0.2">
      <c r="B16849" s="43"/>
    </row>
    <row r="16850" spans="2:2" ht="12.75" customHeight="1" x14ac:dyDescent="0.2">
      <c r="B16850" s="43"/>
    </row>
    <row r="16851" spans="2:2" ht="12.75" customHeight="1" x14ac:dyDescent="0.2">
      <c r="B16851" s="43"/>
    </row>
    <row r="16852" spans="2:2" ht="12.75" customHeight="1" x14ac:dyDescent="0.2">
      <c r="B16852" s="43"/>
    </row>
    <row r="16853" spans="2:2" ht="12.75" customHeight="1" x14ac:dyDescent="0.2">
      <c r="B16853" s="43"/>
    </row>
    <row r="16854" spans="2:2" ht="12.75" customHeight="1" x14ac:dyDescent="0.2">
      <c r="B16854" s="43"/>
    </row>
    <row r="16855" spans="2:2" ht="12.75" customHeight="1" x14ac:dyDescent="0.2">
      <c r="B16855" s="43"/>
    </row>
    <row r="16856" spans="2:2" ht="12.75" customHeight="1" x14ac:dyDescent="0.2">
      <c r="B16856" s="43"/>
    </row>
    <row r="16857" spans="2:2" ht="12.75" customHeight="1" x14ac:dyDescent="0.2">
      <c r="B16857" s="43"/>
    </row>
    <row r="16858" spans="2:2" ht="12.75" customHeight="1" x14ac:dyDescent="0.2">
      <c r="B16858" s="43"/>
    </row>
    <row r="16859" spans="2:2" ht="12.75" customHeight="1" x14ac:dyDescent="0.2">
      <c r="B16859" s="43"/>
    </row>
    <row r="16860" spans="2:2" ht="12.75" customHeight="1" x14ac:dyDescent="0.2">
      <c r="B16860" s="43"/>
    </row>
    <row r="16861" spans="2:2" ht="12.75" customHeight="1" x14ac:dyDescent="0.2">
      <c r="B16861" s="43"/>
    </row>
    <row r="16862" spans="2:2" ht="12.75" customHeight="1" x14ac:dyDescent="0.2">
      <c r="B16862" s="43"/>
    </row>
    <row r="16863" spans="2:2" ht="12.75" customHeight="1" x14ac:dyDescent="0.2">
      <c r="B16863" s="43"/>
    </row>
    <row r="16864" spans="2:2" ht="12.75" customHeight="1" x14ac:dyDescent="0.2">
      <c r="B16864" s="43"/>
    </row>
    <row r="16865" spans="2:2" ht="12.75" customHeight="1" x14ac:dyDescent="0.2">
      <c r="B16865" s="43"/>
    </row>
    <row r="16866" spans="2:2" ht="12.75" customHeight="1" x14ac:dyDescent="0.2">
      <c r="B16866" s="43"/>
    </row>
    <row r="16867" spans="2:2" ht="12.75" customHeight="1" x14ac:dyDescent="0.2">
      <c r="B16867" s="43"/>
    </row>
    <row r="16868" spans="2:2" ht="12.75" customHeight="1" x14ac:dyDescent="0.2">
      <c r="B16868" s="43"/>
    </row>
    <row r="16869" spans="2:2" ht="12.75" customHeight="1" x14ac:dyDescent="0.2">
      <c r="B16869" s="43"/>
    </row>
    <row r="16870" spans="2:2" ht="12.75" customHeight="1" x14ac:dyDescent="0.2">
      <c r="B16870" s="43"/>
    </row>
    <row r="16871" spans="2:2" ht="12.75" customHeight="1" x14ac:dyDescent="0.2">
      <c r="B16871" s="43"/>
    </row>
    <row r="16872" spans="2:2" ht="12.75" customHeight="1" x14ac:dyDescent="0.2">
      <c r="B16872" s="43"/>
    </row>
    <row r="16873" spans="2:2" ht="12.75" customHeight="1" x14ac:dyDescent="0.2">
      <c r="B16873" s="43"/>
    </row>
    <row r="16874" spans="2:2" ht="12.75" customHeight="1" x14ac:dyDescent="0.2">
      <c r="B16874" s="43"/>
    </row>
    <row r="16875" spans="2:2" ht="12.75" customHeight="1" x14ac:dyDescent="0.2">
      <c r="B16875" s="43"/>
    </row>
    <row r="16876" spans="2:2" ht="12.75" customHeight="1" x14ac:dyDescent="0.2">
      <c r="B16876" s="43"/>
    </row>
    <row r="16877" spans="2:2" ht="12.75" customHeight="1" x14ac:dyDescent="0.2">
      <c r="B16877" s="43"/>
    </row>
    <row r="16878" spans="2:2" ht="12.75" customHeight="1" x14ac:dyDescent="0.2">
      <c r="B16878" s="43"/>
    </row>
    <row r="16879" spans="2:2" ht="12.75" customHeight="1" x14ac:dyDescent="0.2">
      <c r="B16879" s="43"/>
    </row>
    <row r="16880" spans="2:2" ht="12.75" customHeight="1" x14ac:dyDescent="0.2">
      <c r="B16880" s="43"/>
    </row>
    <row r="16881" spans="2:2" ht="12.75" customHeight="1" x14ac:dyDescent="0.2">
      <c r="B16881" s="43"/>
    </row>
    <row r="16882" spans="2:2" ht="12.75" customHeight="1" x14ac:dyDescent="0.2">
      <c r="B16882" s="43"/>
    </row>
    <row r="16883" spans="2:2" ht="12.75" customHeight="1" x14ac:dyDescent="0.2">
      <c r="B16883" s="43"/>
    </row>
    <row r="16884" spans="2:2" ht="12.75" customHeight="1" x14ac:dyDescent="0.2">
      <c r="B16884" s="43"/>
    </row>
    <row r="16885" spans="2:2" ht="12.75" customHeight="1" x14ac:dyDescent="0.2">
      <c r="B16885" s="43"/>
    </row>
    <row r="16886" spans="2:2" ht="12.75" customHeight="1" x14ac:dyDescent="0.2">
      <c r="B16886" s="43"/>
    </row>
    <row r="16887" spans="2:2" ht="12.75" customHeight="1" x14ac:dyDescent="0.2">
      <c r="B16887" s="43"/>
    </row>
    <row r="16888" spans="2:2" ht="12.75" customHeight="1" x14ac:dyDescent="0.2">
      <c r="B16888" s="43"/>
    </row>
    <row r="16889" spans="2:2" ht="12.75" customHeight="1" x14ac:dyDescent="0.2">
      <c r="B16889" s="43"/>
    </row>
    <row r="16890" spans="2:2" ht="12.75" customHeight="1" x14ac:dyDescent="0.2">
      <c r="B16890" s="43"/>
    </row>
    <row r="16891" spans="2:2" ht="12.75" customHeight="1" x14ac:dyDescent="0.2">
      <c r="B16891" s="43"/>
    </row>
    <row r="16892" spans="2:2" ht="12.75" customHeight="1" x14ac:dyDescent="0.2">
      <c r="B16892" s="43"/>
    </row>
    <row r="16893" spans="2:2" ht="12.75" customHeight="1" x14ac:dyDescent="0.2">
      <c r="B16893" s="43"/>
    </row>
    <row r="16894" spans="2:2" ht="12.75" customHeight="1" x14ac:dyDescent="0.2">
      <c r="B16894" s="43"/>
    </row>
    <row r="16895" spans="2:2" ht="12.75" customHeight="1" x14ac:dyDescent="0.2">
      <c r="B16895" s="43"/>
    </row>
    <row r="16896" spans="2:2" ht="12.75" customHeight="1" x14ac:dyDescent="0.2">
      <c r="B16896" s="43"/>
    </row>
    <row r="16897" spans="2:2" ht="12.75" customHeight="1" x14ac:dyDescent="0.2">
      <c r="B16897" s="43"/>
    </row>
    <row r="16898" spans="2:2" ht="12.75" customHeight="1" x14ac:dyDescent="0.2">
      <c r="B16898" s="43"/>
    </row>
    <row r="16899" spans="2:2" ht="12.75" customHeight="1" x14ac:dyDescent="0.2">
      <c r="B16899" s="43"/>
    </row>
    <row r="16900" spans="2:2" ht="12.75" customHeight="1" x14ac:dyDescent="0.2">
      <c r="B16900" s="43"/>
    </row>
    <row r="16901" spans="2:2" ht="12.75" customHeight="1" x14ac:dyDescent="0.2">
      <c r="B16901" s="43"/>
    </row>
    <row r="16902" spans="2:2" ht="12.75" customHeight="1" x14ac:dyDescent="0.2">
      <c r="B16902" s="43"/>
    </row>
    <row r="16903" spans="2:2" ht="12.75" customHeight="1" x14ac:dyDescent="0.2">
      <c r="B16903" s="43"/>
    </row>
    <row r="16904" spans="2:2" ht="12.75" customHeight="1" x14ac:dyDescent="0.2">
      <c r="B16904" s="43"/>
    </row>
    <row r="16905" spans="2:2" ht="12.75" customHeight="1" x14ac:dyDescent="0.2">
      <c r="B16905" s="43"/>
    </row>
    <row r="16906" spans="2:2" ht="12.75" customHeight="1" x14ac:dyDescent="0.2">
      <c r="B16906" s="43"/>
    </row>
    <row r="16907" spans="2:2" ht="12.75" customHeight="1" x14ac:dyDescent="0.2">
      <c r="B16907" s="43"/>
    </row>
    <row r="16908" spans="2:2" ht="12.75" customHeight="1" x14ac:dyDescent="0.2">
      <c r="B16908" s="43"/>
    </row>
    <row r="16909" spans="2:2" ht="12.75" customHeight="1" x14ac:dyDescent="0.2">
      <c r="B16909" s="43"/>
    </row>
    <row r="16910" spans="2:2" ht="12.75" customHeight="1" x14ac:dyDescent="0.2">
      <c r="B16910" s="43"/>
    </row>
    <row r="16911" spans="2:2" ht="12.75" customHeight="1" x14ac:dyDescent="0.2">
      <c r="B16911" s="43"/>
    </row>
    <row r="16912" spans="2:2" ht="12.75" customHeight="1" x14ac:dyDescent="0.2">
      <c r="B16912" s="43"/>
    </row>
    <row r="16913" spans="2:2" ht="12.75" customHeight="1" x14ac:dyDescent="0.2">
      <c r="B16913" s="43"/>
    </row>
    <row r="16914" spans="2:2" ht="12.75" customHeight="1" x14ac:dyDescent="0.2">
      <c r="B16914" s="43"/>
    </row>
    <row r="16915" spans="2:2" ht="12.75" customHeight="1" x14ac:dyDescent="0.2">
      <c r="B16915" s="43"/>
    </row>
    <row r="16916" spans="2:2" ht="12.75" customHeight="1" x14ac:dyDescent="0.2">
      <c r="B16916" s="43"/>
    </row>
    <row r="16917" spans="2:2" ht="12.75" customHeight="1" x14ac:dyDescent="0.2">
      <c r="B16917" s="43"/>
    </row>
    <row r="16918" spans="2:2" ht="12.75" customHeight="1" x14ac:dyDescent="0.2">
      <c r="B16918" s="43"/>
    </row>
    <row r="16919" spans="2:2" ht="12.75" customHeight="1" x14ac:dyDescent="0.2">
      <c r="B16919" s="43"/>
    </row>
    <row r="16920" spans="2:2" ht="12.75" customHeight="1" x14ac:dyDescent="0.2">
      <c r="B16920" s="43"/>
    </row>
    <row r="16921" spans="2:2" ht="12.75" customHeight="1" x14ac:dyDescent="0.2">
      <c r="B16921" s="43"/>
    </row>
    <row r="16922" spans="2:2" ht="12.75" customHeight="1" x14ac:dyDescent="0.2">
      <c r="B16922" s="43"/>
    </row>
    <row r="16923" spans="2:2" ht="12.75" customHeight="1" x14ac:dyDescent="0.2">
      <c r="B16923" s="43"/>
    </row>
    <row r="16924" spans="2:2" ht="12.75" customHeight="1" x14ac:dyDescent="0.2">
      <c r="B16924" s="43"/>
    </row>
    <row r="16925" spans="2:2" ht="12.75" customHeight="1" x14ac:dyDescent="0.2">
      <c r="B16925" s="43"/>
    </row>
    <row r="16926" spans="2:2" ht="12.75" customHeight="1" x14ac:dyDescent="0.2">
      <c r="B16926" s="43"/>
    </row>
    <row r="16927" spans="2:2" ht="12.75" customHeight="1" x14ac:dyDescent="0.2">
      <c r="B16927" s="43"/>
    </row>
    <row r="16928" spans="2:2" ht="12.75" customHeight="1" x14ac:dyDescent="0.2">
      <c r="B16928" s="43"/>
    </row>
    <row r="16929" spans="2:2" ht="12.75" customHeight="1" x14ac:dyDescent="0.2">
      <c r="B16929" s="43"/>
    </row>
    <row r="16930" spans="2:2" ht="12.75" customHeight="1" x14ac:dyDescent="0.2">
      <c r="B16930" s="43"/>
    </row>
    <row r="16931" spans="2:2" ht="12.75" customHeight="1" x14ac:dyDescent="0.2">
      <c r="B16931" s="43"/>
    </row>
    <row r="16932" spans="2:2" ht="12.75" customHeight="1" x14ac:dyDescent="0.2">
      <c r="B16932" s="43"/>
    </row>
    <row r="16933" spans="2:2" ht="12.75" customHeight="1" x14ac:dyDescent="0.2">
      <c r="B16933" s="43"/>
    </row>
    <row r="16934" spans="2:2" ht="12.75" customHeight="1" x14ac:dyDescent="0.2">
      <c r="B16934" s="43"/>
    </row>
    <row r="16935" spans="2:2" ht="12.75" customHeight="1" x14ac:dyDescent="0.2">
      <c r="B16935" s="43"/>
    </row>
    <row r="16936" spans="2:2" ht="12.75" customHeight="1" x14ac:dyDescent="0.2">
      <c r="B16936" s="43"/>
    </row>
    <row r="16937" spans="2:2" ht="12.75" customHeight="1" x14ac:dyDescent="0.2">
      <c r="B16937" s="43"/>
    </row>
    <row r="16938" spans="2:2" ht="12.75" customHeight="1" x14ac:dyDescent="0.2">
      <c r="B16938" s="43"/>
    </row>
    <row r="16939" spans="2:2" ht="12.75" customHeight="1" x14ac:dyDescent="0.2">
      <c r="B16939" s="43"/>
    </row>
    <row r="16940" spans="2:2" ht="12.75" customHeight="1" x14ac:dyDescent="0.2">
      <c r="B16940" s="43"/>
    </row>
    <row r="16941" spans="2:2" ht="12.75" customHeight="1" x14ac:dyDescent="0.2">
      <c r="B16941" s="43"/>
    </row>
    <row r="16942" spans="2:2" ht="12.75" customHeight="1" x14ac:dyDescent="0.2">
      <c r="B16942" s="43"/>
    </row>
    <row r="16943" spans="2:2" ht="12.75" customHeight="1" x14ac:dyDescent="0.2">
      <c r="B16943" s="43"/>
    </row>
    <row r="16944" spans="2:2" ht="12.75" customHeight="1" x14ac:dyDescent="0.2">
      <c r="B16944" s="43"/>
    </row>
    <row r="16945" spans="2:2" ht="12.75" customHeight="1" x14ac:dyDescent="0.2">
      <c r="B16945" s="43"/>
    </row>
    <row r="16946" spans="2:2" ht="12.75" customHeight="1" x14ac:dyDescent="0.2">
      <c r="B16946" s="43"/>
    </row>
    <row r="16947" spans="2:2" ht="12.75" customHeight="1" x14ac:dyDescent="0.2">
      <c r="B16947" s="43"/>
    </row>
    <row r="16948" spans="2:2" ht="12.75" customHeight="1" x14ac:dyDescent="0.2">
      <c r="B16948" s="43"/>
    </row>
    <row r="16949" spans="2:2" ht="12.75" customHeight="1" x14ac:dyDescent="0.2">
      <c r="B16949" s="43"/>
    </row>
    <row r="16950" spans="2:2" ht="12.75" customHeight="1" x14ac:dyDescent="0.2">
      <c r="B16950" s="43"/>
    </row>
    <row r="16951" spans="2:2" ht="12.75" customHeight="1" x14ac:dyDescent="0.2">
      <c r="B16951" s="43"/>
    </row>
    <row r="16952" spans="2:2" ht="12.75" customHeight="1" x14ac:dyDescent="0.2">
      <c r="B16952" s="43"/>
    </row>
    <row r="16953" spans="2:2" ht="12.75" customHeight="1" x14ac:dyDescent="0.2">
      <c r="B16953" s="43"/>
    </row>
    <row r="16954" spans="2:2" ht="12.75" customHeight="1" x14ac:dyDescent="0.2">
      <c r="B16954" s="43"/>
    </row>
    <row r="16955" spans="2:2" ht="12.75" customHeight="1" x14ac:dyDescent="0.2">
      <c r="B16955" s="43"/>
    </row>
    <row r="16956" spans="2:2" ht="12.75" customHeight="1" x14ac:dyDescent="0.2">
      <c r="B16956" s="43"/>
    </row>
    <row r="16957" spans="2:2" ht="12.75" customHeight="1" x14ac:dyDescent="0.2">
      <c r="B16957" s="43"/>
    </row>
    <row r="16958" spans="2:2" ht="12.75" customHeight="1" x14ac:dyDescent="0.2">
      <c r="B16958" s="43"/>
    </row>
    <row r="16959" spans="2:2" ht="12.75" customHeight="1" x14ac:dyDescent="0.2">
      <c r="B16959" s="43"/>
    </row>
    <row r="16960" spans="2:2" ht="12.75" customHeight="1" x14ac:dyDescent="0.2">
      <c r="B16960" s="43"/>
    </row>
    <row r="16961" spans="2:2" ht="12.75" customHeight="1" x14ac:dyDescent="0.2">
      <c r="B16961" s="43"/>
    </row>
    <row r="16962" spans="2:2" ht="12.75" customHeight="1" x14ac:dyDescent="0.2">
      <c r="B16962" s="43"/>
    </row>
    <row r="16963" spans="2:2" ht="12.75" customHeight="1" x14ac:dyDescent="0.2">
      <c r="B16963" s="43"/>
    </row>
    <row r="16964" spans="2:2" ht="12.75" customHeight="1" x14ac:dyDescent="0.2">
      <c r="B16964" s="43"/>
    </row>
    <row r="16965" spans="2:2" ht="12.75" customHeight="1" x14ac:dyDescent="0.2">
      <c r="B16965" s="43"/>
    </row>
    <row r="16966" spans="2:2" ht="12.75" customHeight="1" x14ac:dyDescent="0.2">
      <c r="B16966" s="43"/>
    </row>
    <row r="16967" spans="2:2" ht="12.75" customHeight="1" x14ac:dyDescent="0.2">
      <c r="B16967" s="43"/>
    </row>
    <row r="16968" spans="2:2" ht="12.75" customHeight="1" x14ac:dyDescent="0.2">
      <c r="B16968" s="43"/>
    </row>
    <row r="16969" spans="2:2" ht="12.75" customHeight="1" x14ac:dyDescent="0.2">
      <c r="B16969" s="43"/>
    </row>
    <row r="16970" spans="2:2" ht="12.75" customHeight="1" x14ac:dyDescent="0.2">
      <c r="B16970" s="43"/>
    </row>
    <row r="16971" spans="2:2" ht="12.75" customHeight="1" x14ac:dyDescent="0.2">
      <c r="B16971" s="43"/>
    </row>
    <row r="16972" spans="2:2" ht="12.75" customHeight="1" x14ac:dyDescent="0.2">
      <c r="B16972" s="43"/>
    </row>
    <row r="16973" spans="2:2" ht="12.75" customHeight="1" x14ac:dyDescent="0.2">
      <c r="B16973" s="43"/>
    </row>
    <row r="16974" spans="2:2" ht="12.75" customHeight="1" x14ac:dyDescent="0.2">
      <c r="B16974" s="43"/>
    </row>
    <row r="16975" spans="2:2" ht="12.75" customHeight="1" x14ac:dyDescent="0.2">
      <c r="B16975" s="43"/>
    </row>
    <row r="16976" spans="2:2" ht="12.75" customHeight="1" x14ac:dyDescent="0.2">
      <c r="B16976" s="43"/>
    </row>
    <row r="16977" spans="2:2" ht="12.75" customHeight="1" x14ac:dyDescent="0.2">
      <c r="B16977" s="43"/>
    </row>
    <row r="16978" spans="2:2" ht="12.75" customHeight="1" x14ac:dyDescent="0.2">
      <c r="B16978" s="43"/>
    </row>
    <row r="16979" spans="2:2" ht="12.75" customHeight="1" x14ac:dyDescent="0.2">
      <c r="B16979" s="43"/>
    </row>
    <row r="16980" spans="2:2" ht="12.75" customHeight="1" x14ac:dyDescent="0.2">
      <c r="B16980" s="43"/>
    </row>
    <row r="16981" spans="2:2" ht="12.75" customHeight="1" x14ac:dyDescent="0.2">
      <c r="B16981" s="43"/>
    </row>
    <row r="16982" spans="2:2" ht="12.75" customHeight="1" x14ac:dyDescent="0.2">
      <c r="B16982" s="43"/>
    </row>
    <row r="16983" spans="2:2" ht="12.75" customHeight="1" x14ac:dyDescent="0.2">
      <c r="B16983" s="43"/>
    </row>
    <row r="16984" spans="2:2" ht="12.75" customHeight="1" x14ac:dyDescent="0.2">
      <c r="B16984" s="43"/>
    </row>
    <row r="16985" spans="2:2" ht="12.75" customHeight="1" x14ac:dyDescent="0.2">
      <c r="B16985" s="43"/>
    </row>
    <row r="16986" spans="2:2" ht="12.75" customHeight="1" x14ac:dyDescent="0.2">
      <c r="B16986" s="43"/>
    </row>
    <row r="16987" spans="2:2" ht="12.75" customHeight="1" x14ac:dyDescent="0.2">
      <c r="B16987" s="43"/>
    </row>
    <row r="16988" spans="2:2" ht="12.75" customHeight="1" x14ac:dyDescent="0.2">
      <c r="B16988" s="43"/>
    </row>
    <row r="16989" spans="2:2" ht="12.75" customHeight="1" x14ac:dyDescent="0.2">
      <c r="B16989" s="43"/>
    </row>
    <row r="16990" spans="2:2" ht="12.75" customHeight="1" x14ac:dyDescent="0.2">
      <c r="B16990" s="43"/>
    </row>
    <row r="16991" spans="2:2" ht="12.75" customHeight="1" x14ac:dyDescent="0.2">
      <c r="B16991" s="43"/>
    </row>
    <row r="16992" spans="2:2" ht="12.75" customHeight="1" x14ac:dyDescent="0.2">
      <c r="B16992" s="43"/>
    </row>
    <row r="16993" spans="2:2" ht="12.75" customHeight="1" x14ac:dyDescent="0.2">
      <c r="B16993" s="43"/>
    </row>
    <row r="16994" spans="2:2" ht="12.75" customHeight="1" x14ac:dyDescent="0.2">
      <c r="B16994" s="43"/>
    </row>
    <row r="16995" spans="2:2" ht="12.75" customHeight="1" x14ac:dyDescent="0.2">
      <c r="B16995" s="43"/>
    </row>
    <row r="16996" spans="2:2" ht="12.75" customHeight="1" x14ac:dyDescent="0.2">
      <c r="B16996" s="43"/>
    </row>
    <row r="16997" spans="2:2" ht="12.75" customHeight="1" x14ac:dyDescent="0.2">
      <c r="B16997" s="43"/>
    </row>
    <row r="16998" spans="2:2" ht="12.75" customHeight="1" x14ac:dyDescent="0.2">
      <c r="B16998" s="43"/>
    </row>
    <row r="16999" spans="2:2" ht="12.75" customHeight="1" x14ac:dyDescent="0.2">
      <c r="B16999" s="43"/>
    </row>
    <row r="17000" spans="2:2" ht="12.75" customHeight="1" x14ac:dyDescent="0.2">
      <c r="B17000" s="43"/>
    </row>
    <row r="17001" spans="2:2" ht="12.75" customHeight="1" x14ac:dyDescent="0.2">
      <c r="B17001" s="43"/>
    </row>
    <row r="17002" spans="2:2" ht="12.75" customHeight="1" x14ac:dyDescent="0.2">
      <c r="B17002" s="43"/>
    </row>
    <row r="17003" spans="2:2" ht="12.75" customHeight="1" x14ac:dyDescent="0.2">
      <c r="B17003" s="43"/>
    </row>
    <row r="17004" spans="2:2" ht="12.75" customHeight="1" x14ac:dyDescent="0.2">
      <c r="B17004" s="43"/>
    </row>
    <row r="17005" spans="2:2" ht="12.75" customHeight="1" x14ac:dyDescent="0.2">
      <c r="B17005" s="43"/>
    </row>
    <row r="17006" spans="2:2" ht="12.75" customHeight="1" x14ac:dyDescent="0.2">
      <c r="B17006" s="43"/>
    </row>
    <row r="17007" spans="2:2" ht="12.75" customHeight="1" x14ac:dyDescent="0.2">
      <c r="B17007" s="43"/>
    </row>
    <row r="17008" spans="2:2" ht="12.75" customHeight="1" x14ac:dyDescent="0.2">
      <c r="B17008" s="43"/>
    </row>
    <row r="17009" spans="2:2" ht="12.75" customHeight="1" x14ac:dyDescent="0.2">
      <c r="B17009" s="43"/>
    </row>
    <row r="17010" spans="2:2" ht="12.75" customHeight="1" x14ac:dyDescent="0.2">
      <c r="B17010" s="43"/>
    </row>
    <row r="17011" spans="2:2" ht="12.75" customHeight="1" x14ac:dyDescent="0.2">
      <c r="B17011" s="43"/>
    </row>
    <row r="17012" spans="2:2" ht="12.75" customHeight="1" x14ac:dyDescent="0.2">
      <c r="B17012" s="43"/>
    </row>
    <row r="17013" spans="2:2" ht="12.75" customHeight="1" x14ac:dyDescent="0.2">
      <c r="B17013" s="43"/>
    </row>
    <row r="17014" spans="2:2" ht="12.75" customHeight="1" x14ac:dyDescent="0.2">
      <c r="B17014" s="43"/>
    </row>
    <row r="17015" spans="2:2" ht="12.75" customHeight="1" x14ac:dyDescent="0.2">
      <c r="B17015" s="43"/>
    </row>
    <row r="17016" spans="2:2" ht="12.75" customHeight="1" x14ac:dyDescent="0.2">
      <c r="B17016" s="43"/>
    </row>
    <row r="17017" spans="2:2" ht="12.75" customHeight="1" x14ac:dyDescent="0.2">
      <c r="B17017" s="43"/>
    </row>
    <row r="17018" spans="2:2" ht="12.75" customHeight="1" x14ac:dyDescent="0.2">
      <c r="B17018" s="43"/>
    </row>
    <row r="17019" spans="2:2" ht="12.75" customHeight="1" x14ac:dyDescent="0.2">
      <c r="B17019" s="43"/>
    </row>
    <row r="17020" spans="2:2" ht="12.75" customHeight="1" x14ac:dyDescent="0.2">
      <c r="B17020" s="43"/>
    </row>
    <row r="17021" spans="2:2" ht="12.75" customHeight="1" x14ac:dyDescent="0.2">
      <c r="B17021" s="43"/>
    </row>
    <row r="17022" spans="2:2" ht="12.75" customHeight="1" x14ac:dyDescent="0.2">
      <c r="B17022" s="43"/>
    </row>
    <row r="17023" spans="2:2" ht="12.75" customHeight="1" x14ac:dyDescent="0.2">
      <c r="B17023" s="43"/>
    </row>
    <row r="17024" spans="2:2" ht="12.75" customHeight="1" x14ac:dyDescent="0.2">
      <c r="B17024" s="43"/>
    </row>
    <row r="17025" spans="2:2" ht="12.75" customHeight="1" x14ac:dyDescent="0.2">
      <c r="B17025" s="43"/>
    </row>
    <row r="17026" spans="2:2" ht="12.75" customHeight="1" x14ac:dyDescent="0.2">
      <c r="B17026" s="43"/>
    </row>
    <row r="17027" spans="2:2" ht="12.75" customHeight="1" x14ac:dyDescent="0.2">
      <c r="B17027" s="43"/>
    </row>
    <row r="17028" spans="2:2" ht="12.75" customHeight="1" x14ac:dyDescent="0.2">
      <c r="B17028" s="43"/>
    </row>
    <row r="17029" spans="2:2" ht="12.75" customHeight="1" x14ac:dyDescent="0.2">
      <c r="B17029" s="43"/>
    </row>
    <row r="17030" spans="2:2" ht="12.75" customHeight="1" x14ac:dyDescent="0.2">
      <c r="B17030" s="43"/>
    </row>
    <row r="17031" spans="2:2" ht="12.75" customHeight="1" x14ac:dyDescent="0.2">
      <c r="B17031" s="43"/>
    </row>
    <row r="17032" spans="2:2" ht="12.75" customHeight="1" x14ac:dyDescent="0.2">
      <c r="B17032" s="43"/>
    </row>
    <row r="17033" spans="2:2" ht="12.75" customHeight="1" x14ac:dyDescent="0.2">
      <c r="B17033" s="43"/>
    </row>
    <row r="17034" spans="2:2" ht="12.75" customHeight="1" x14ac:dyDescent="0.2">
      <c r="B17034" s="43"/>
    </row>
    <row r="17035" spans="2:2" ht="12.75" customHeight="1" x14ac:dyDescent="0.2">
      <c r="B17035" s="43"/>
    </row>
    <row r="17036" spans="2:2" ht="12.75" customHeight="1" x14ac:dyDescent="0.2">
      <c r="B17036" s="43"/>
    </row>
    <row r="17037" spans="2:2" ht="12.75" customHeight="1" x14ac:dyDescent="0.2">
      <c r="B17037" s="43"/>
    </row>
    <row r="17038" spans="2:2" ht="12.75" customHeight="1" x14ac:dyDescent="0.2">
      <c r="B17038" s="43"/>
    </row>
    <row r="17039" spans="2:2" ht="12.75" customHeight="1" x14ac:dyDescent="0.2">
      <c r="B17039" s="43"/>
    </row>
    <row r="17040" spans="2:2" ht="12.75" customHeight="1" x14ac:dyDescent="0.2">
      <c r="B17040" s="43"/>
    </row>
    <row r="17041" spans="2:2" ht="12.75" customHeight="1" x14ac:dyDescent="0.2">
      <c r="B17041" s="43"/>
    </row>
    <row r="17042" spans="2:2" ht="12.75" customHeight="1" x14ac:dyDescent="0.2">
      <c r="B17042" s="43"/>
    </row>
    <row r="17043" spans="2:2" ht="12.75" customHeight="1" x14ac:dyDescent="0.2">
      <c r="B17043" s="43"/>
    </row>
    <row r="17044" spans="2:2" ht="12.75" customHeight="1" x14ac:dyDescent="0.2">
      <c r="B17044" s="43"/>
    </row>
    <row r="17045" spans="2:2" ht="12.75" customHeight="1" x14ac:dyDescent="0.2">
      <c r="B17045" s="43"/>
    </row>
    <row r="17046" spans="2:2" ht="12.75" customHeight="1" x14ac:dyDescent="0.2">
      <c r="B17046" s="43"/>
    </row>
    <row r="17047" spans="2:2" ht="12.75" customHeight="1" x14ac:dyDescent="0.2">
      <c r="B17047" s="43"/>
    </row>
    <row r="17048" spans="2:2" ht="12.75" customHeight="1" x14ac:dyDescent="0.2">
      <c r="B17048" s="43"/>
    </row>
    <row r="17049" spans="2:2" ht="12.75" customHeight="1" x14ac:dyDescent="0.2">
      <c r="B17049" s="43"/>
    </row>
    <row r="17050" spans="2:2" ht="12.75" customHeight="1" x14ac:dyDescent="0.2">
      <c r="B17050" s="43"/>
    </row>
    <row r="17051" spans="2:2" ht="12.75" customHeight="1" x14ac:dyDescent="0.2">
      <c r="B17051" s="43"/>
    </row>
    <row r="17052" spans="2:2" ht="12.75" customHeight="1" x14ac:dyDescent="0.2">
      <c r="B17052" s="43"/>
    </row>
    <row r="17053" spans="2:2" ht="12.75" customHeight="1" x14ac:dyDescent="0.2">
      <c r="B17053" s="43"/>
    </row>
    <row r="17054" spans="2:2" ht="12.75" customHeight="1" x14ac:dyDescent="0.2">
      <c r="B17054" s="43"/>
    </row>
    <row r="17055" spans="2:2" ht="12.75" customHeight="1" x14ac:dyDescent="0.2">
      <c r="B17055" s="43"/>
    </row>
    <row r="17056" spans="2:2" ht="12.75" customHeight="1" x14ac:dyDescent="0.2">
      <c r="B17056" s="43"/>
    </row>
    <row r="17057" spans="2:2" ht="12.75" customHeight="1" x14ac:dyDescent="0.2">
      <c r="B17057" s="43"/>
    </row>
    <row r="17058" spans="2:2" ht="12.75" customHeight="1" x14ac:dyDescent="0.2">
      <c r="B17058" s="43"/>
    </row>
    <row r="17059" spans="2:2" ht="12.75" customHeight="1" x14ac:dyDescent="0.2">
      <c r="B17059" s="43"/>
    </row>
    <row r="17060" spans="2:2" ht="12.75" customHeight="1" x14ac:dyDescent="0.2">
      <c r="B17060" s="43"/>
    </row>
    <row r="17061" spans="2:2" ht="12.75" customHeight="1" x14ac:dyDescent="0.2">
      <c r="B17061" s="43"/>
    </row>
    <row r="17062" spans="2:2" ht="12.75" customHeight="1" x14ac:dyDescent="0.2">
      <c r="B17062" s="43"/>
    </row>
    <row r="17063" spans="2:2" ht="12.75" customHeight="1" x14ac:dyDescent="0.2">
      <c r="B17063" s="43"/>
    </row>
    <row r="17064" spans="2:2" ht="12.75" customHeight="1" x14ac:dyDescent="0.2">
      <c r="B17064" s="43"/>
    </row>
    <row r="17065" spans="2:2" ht="12.75" customHeight="1" x14ac:dyDescent="0.2">
      <c r="B17065" s="43"/>
    </row>
    <row r="17066" spans="2:2" ht="12.75" customHeight="1" x14ac:dyDescent="0.2">
      <c r="B17066" s="43"/>
    </row>
    <row r="17067" spans="2:2" ht="12.75" customHeight="1" x14ac:dyDescent="0.2">
      <c r="B17067" s="43"/>
    </row>
    <row r="17068" spans="2:2" ht="12.75" customHeight="1" x14ac:dyDescent="0.2">
      <c r="B17068" s="43"/>
    </row>
    <row r="17069" spans="2:2" ht="12.75" customHeight="1" x14ac:dyDescent="0.2">
      <c r="B17069" s="43"/>
    </row>
    <row r="17070" spans="2:2" ht="12.75" customHeight="1" x14ac:dyDescent="0.2">
      <c r="B17070" s="43"/>
    </row>
    <row r="17071" spans="2:2" ht="12.75" customHeight="1" x14ac:dyDescent="0.2">
      <c r="B17071" s="43"/>
    </row>
    <row r="17072" spans="2:2" ht="12.75" customHeight="1" x14ac:dyDescent="0.2">
      <c r="B17072" s="43"/>
    </row>
    <row r="17073" spans="2:2" ht="12.75" customHeight="1" x14ac:dyDescent="0.2">
      <c r="B17073" s="43"/>
    </row>
    <row r="17074" spans="2:2" ht="12.75" customHeight="1" x14ac:dyDescent="0.2">
      <c r="B17074" s="43"/>
    </row>
    <row r="17075" spans="2:2" ht="12.75" customHeight="1" x14ac:dyDescent="0.2">
      <c r="B17075" s="43"/>
    </row>
    <row r="17076" spans="2:2" ht="12.75" customHeight="1" x14ac:dyDescent="0.2">
      <c r="B17076" s="43"/>
    </row>
    <row r="17077" spans="2:2" ht="12.75" customHeight="1" x14ac:dyDescent="0.2">
      <c r="B17077" s="43"/>
    </row>
    <row r="17078" spans="2:2" ht="12.75" customHeight="1" x14ac:dyDescent="0.2">
      <c r="B17078" s="43"/>
    </row>
    <row r="17079" spans="2:2" ht="12.75" customHeight="1" x14ac:dyDescent="0.2">
      <c r="B17079" s="43"/>
    </row>
    <row r="17080" spans="2:2" ht="12.75" customHeight="1" x14ac:dyDescent="0.2">
      <c r="B17080" s="43"/>
    </row>
    <row r="17081" spans="2:2" ht="12.75" customHeight="1" x14ac:dyDescent="0.2">
      <c r="B17081" s="43"/>
    </row>
    <row r="17082" spans="2:2" ht="12.75" customHeight="1" x14ac:dyDescent="0.2">
      <c r="B17082" s="43"/>
    </row>
    <row r="17083" spans="2:2" ht="12.75" customHeight="1" x14ac:dyDescent="0.2">
      <c r="B17083" s="43"/>
    </row>
    <row r="17084" spans="2:2" ht="12.75" customHeight="1" x14ac:dyDescent="0.2">
      <c r="B17084" s="43"/>
    </row>
    <row r="17085" spans="2:2" ht="12.75" customHeight="1" x14ac:dyDescent="0.2">
      <c r="B17085" s="43"/>
    </row>
    <row r="17086" spans="2:2" ht="12.75" customHeight="1" x14ac:dyDescent="0.2">
      <c r="B17086" s="43"/>
    </row>
    <row r="17087" spans="2:2" ht="12.75" customHeight="1" x14ac:dyDescent="0.2">
      <c r="B17087" s="43"/>
    </row>
    <row r="17088" spans="2:2" ht="12.75" customHeight="1" x14ac:dyDescent="0.2">
      <c r="B17088" s="43"/>
    </row>
    <row r="17089" spans="2:2" ht="12.75" customHeight="1" x14ac:dyDescent="0.2">
      <c r="B17089" s="43"/>
    </row>
    <row r="17090" spans="2:2" ht="12.75" customHeight="1" x14ac:dyDescent="0.2">
      <c r="B17090" s="43"/>
    </row>
    <row r="17091" spans="2:2" ht="12.75" customHeight="1" x14ac:dyDescent="0.2">
      <c r="B17091" s="43"/>
    </row>
    <row r="17092" spans="2:2" ht="12.75" customHeight="1" x14ac:dyDescent="0.2">
      <c r="B17092" s="43"/>
    </row>
    <row r="17093" spans="2:2" ht="12.75" customHeight="1" x14ac:dyDescent="0.2">
      <c r="B17093" s="43"/>
    </row>
    <row r="17094" spans="2:2" ht="12.75" customHeight="1" x14ac:dyDescent="0.2">
      <c r="B17094" s="43"/>
    </row>
    <row r="17095" spans="2:2" ht="12.75" customHeight="1" x14ac:dyDescent="0.2">
      <c r="B17095" s="43"/>
    </row>
    <row r="17096" spans="2:2" ht="12.75" customHeight="1" x14ac:dyDescent="0.2">
      <c r="B17096" s="43"/>
    </row>
    <row r="17097" spans="2:2" ht="12.75" customHeight="1" x14ac:dyDescent="0.2">
      <c r="B17097" s="43"/>
    </row>
    <row r="17098" spans="2:2" ht="12.75" customHeight="1" x14ac:dyDescent="0.2">
      <c r="B17098" s="43"/>
    </row>
    <row r="17099" spans="2:2" ht="12.75" customHeight="1" x14ac:dyDescent="0.2">
      <c r="B17099" s="43"/>
    </row>
    <row r="17100" spans="2:2" ht="12.75" customHeight="1" x14ac:dyDescent="0.2">
      <c r="B17100" s="43"/>
    </row>
    <row r="17101" spans="2:2" ht="12.75" customHeight="1" x14ac:dyDescent="0.2">
      <c r="B17101" s="43"/>
    </row>
    <row r="17102" spans="2:2" ht="12.75" customHeight="1" x14ac:dyDescent="0.2">
      <c r="B17102" s="43"/>
    </row>
    <row r="17103" spans="2:2" ht="12.75" customHeight="1" x14ac:dyDescent="0.2">
      <c r="B17103" s="43"/>
    </row>
    <row r="17104" spans="2:2" ht="12.75" customHeight="1" x14ac:dyDescent="0.2">
      <c r="B17104" s="43"/>
    </row>
    <row r="17105" spans="2:2" ht="12.75" customHeight="1" x14ac:dyDescent="0.2">
      <c r="B17105" s="43"/>
    </row>
    <row r="17106" spans="2:2" ht="12.75" customHeight="1" x14ac:dyDescent="0.2">
      <c r="B17106" s="43"/>
    </row>
    <row r="17107" spans="2:2" ht="12.75" customHeight="1" x14ac:dyDescent="0.2">
      <c r="B17107" s="43"/>
    </row>
    <row r="17108" spans="2:2" ht="12.75" customHeight="1" x14ac:dyDescent="0.2">
      <c r="B17108" s="43"/>
    </row>
    <row r="17109" spans="2:2" ht="12.75" customHeight="1" x14ac:dyDescent="0.2">
      <c r="B17109" s="43"/>
    </row>
    <row r="17110" spans="2:2" ht="12.75" customHeight="1" x14ac:dyDescent="0.2">
      <c r="B17110" s="43"/>
    </row>
    <row r="17111" spans="2:2" ht="12.75" customHeight="1" x14ac:dyDescent="0.2">
      <c r="B17111" s="43"/>
    </row>
    <row r="17112" spans="2:2" ht="12.75" customHeight="1" x14ac:dyDescent="0.2">
      <c r="B17112" s="43"/>
    </row>
    <row r="17113" spans="2:2" ht="12.75" customHeight="1" x14ac:dyDescent="0.2">
      <c r="B17113" s="43"/>
    </row>
    <row r="17114" spans="2:2" ht="12.75" customHeight="1" x14ac:dyDescent="0.2">
      <c r="B17114" s="43"/>
    </row>
    <row r="17115" spans="2:2" ht="12.75" customHeight="1" x14ac:dyDescent="0.2">
      <c r="B17115" s="43"/>
    </row>
    <row r="17116" spans="2:2" ht="12.75" customHeight="1" x14ac:dyDescent="0.2">
      <c r="B17116" s="43"/>
    </row>
    <row r="17117" spans="2:2" ht="12.75" customHeight="1" x14ac:dyDescent="0.2">
      <c r="B17117" s="43"/>
    </row>
    <row r="17118" spans="2:2" ht="12.75" customHeight="1" x14ac:dyDescent="0.2">
      <c r="B17118" s="43"/>
    </row>
    <row r="17119" spans="2:2" ht="12.75" customHeight="1" x14ac:dyDescent="0.2">
      <c r="B17119" s="43"/>
    </row>
    <row r="17120" spans="2:2" ht="12.75" customHeight="1" x14ac:dyDescent="0.2">
      <c r="B17120" s="43"/>
    </row>
    <row r="17121" spans="2:2" ht="12.75" customHeight="1" x14ac:dyDescent="0.2">
      <c r="B17121" s="43"/>
    </row>
    <row r="17122" spans="2:2" ht="12.75" customHeight="1" x14ac:dyDescent="0.2">
      <c r="B17122" s="43"/>
    </row>
    <row r="17123" spans="2:2" ht="12.75" customHeight="1" x14ac:dyDescent="0.2">
      <c r="B17123" s="43"/>
    </row>
    <row r="17124" spans="2:2" ht="12.75" customHeight="1" x14ac:dyDescent="0.2">
      <c r="B17124" s="43"/>
    </row>
    <row r="17125" spans="2:2" ht="12.75" customHeight="1" x14ac:dyDescent="0.2">
      <c r="B17125" s="43"/>
    </row>
    <row r="17126" spans="2:2" ht="12.75" customHeight="1" x14ac:dyDescent="0.2">
      <c r="B17126" s="43"/>
    </row>
    <row r="17127" spans="2:2" ht="12.75" customHeight="1" x14ac:dyDescent="0.2">
      <c r="B17127" s="43"/>
    </row>
    <row r="17128" spans="2:2" ht="12.75" customHeight="1" x14ac:dyDescent="0.2">
      <c r="B17128" s="43"/>
    </row>
    <row r="17129" spans="2:2" ht="12.75" customHeight="1" x14ac:dyDescent="0.2">
      <c r="B17129" s="43"/>
    </row>
    <row r="17130" spans="2:2" ht="12.75" customHeight="1" x14ac:dyDescent="0.2">
      <c r="B17130" s="43"/>
    </row>
    <row r="17131" spans="2:2" ht="12.75" customHeight="1" x14ac:dyDescent="0.2">
      <c r="B17131" s="43"/>
    </row>
    <row r="17132" spans="2:2" ht="12.75" customHeight="1" x14ac:dyDescent="0.2">
      <c r="B17132" s="43"/>
    </row>
    <row r="17133" spans="2:2" ht="12.75" customHeight="1" x14ac:dyDescent="0.2">
      <c r="B17133" s="43"/>
    </row>
    <row r="17134" spans="2:2" ht="12.75" customHeight="1" x14ac:dyDescent="0.2">
      <c r="B17134" s="43"/>
    </row>
    <row r="17135" spans="2:2" ht="12.75" customHeight="1" x14ac:dyDescent="0.2">
      <c r="B17135" s="43"/>
    </row>
    <row r="17136" spans="2:2" ht="12.75" customHeight="1" x14ac:dyDescent="0.2">
      <c r="B17136" s="43"/>
    </row>
    <row r="17137" spans="2:2" ht="12.75" customHeight="1" x14ac:dyDescent="0.2">
      <c r="B17137" s="43"/>
    </row>
    <row r="17138" spans="2:2" ht="12.75" customHeight="1" x14ac:dyDescent="0.2">
      <c r="B17138" s="43"/>
    </row>
    <row r="17139" spans="2:2" ht="12.75" customHeight="1" x14ac:dyDescent="0.2">
      <c r="B17139" s="43"/>
    </row>
    <row r="17140" spans="2:2" ht="12.75" customHeight="1" x14ac:dyDescent="0.2">
      <c r="B17140" s="43"/>
    </row>
    <row r="17141" spans="2:2" ht="12.75" customHeight="1" x14ac:dyDescent="0.2">
      <c r="B17141" s="43"/>
    </row>
    <row r="17142" spans="2:2" ht="12.75" customHeight="1" x14ac:dyDescent="0.2">
      <c r="B17142" s="43"/>
    </row>
    <row r="17143" spans="2:2" ht="12.75" customHeight="1" x14ac:dyDescent="0.2">
      <c r="B17143" s="43"/>
    </row>
    <row r="17144" spans="2:2" ht="12.75" customHeight="1" x14ac:dyDescent="0.2">
      <c r="B17144" s="43"/>
    </row>
    <row r="17145" spans="2:2" ht="12.75" customHeight="1" x14ac:dyDescent="0.2">
      <c r="B17145" s="43"/>
    </row>
    <row r="17146" spans="2:2" ht="12.75" customHeight="1" x14ac:dyDescent="0.2">
      <c r="B17146" s="43"/>
    </row>
    <row r="17147" spans="2:2" ht="12.75" customHeight="1" x14ac:dyDescent="0.2">
      <c r="B17147" s="43"/>
    </row>
    <row r="17148" spans="2:2" ht="12.75" customHeight="1" x14ac:dyDescent="0.2">
      <c r="B17148" s="43"/>
    </row>
    <row r="17149" spans="2:2" ht="12.75" customHeight="1" x14ac:dyDescent="0.2">
      <c r="B17149" s="43"/>
    </row>
    <row r="17150" spans="2:2" ht="12.75" customHeight="1" x14ac:dyDescent="0.2">
      <c r="B17150" s="43"/>
    </row>
    <row r="17151" spans="2:2" ht="12.75" customHeight="1" x14ac:dyDescent="0.2">
      <c r="B17151" s="43"/>
    </row>
    <row r="17152" spans="2:2" ht="12.75" customHeight="1" x14ac:dyDescent="0.2">
      <c r="B17152" s="43"/>
    </row>
    <row r="17153" spans="2:2" ht="12.75" customHeight="1" x14ac:dyDescent="0.2">
      <c r="B17153" s="43"/>
    </row>
    <row r="17154" spans="2:2" ht="12.75" customHeight="1" x14ac:dyDescent="0.2">
      <c r="B17154" s="43"/>
    </row>
    <row r="17155" spans="2:2" ht="12.75" customHeight="1" x14ac:dyDescent="0.2">
      <c r="B17155" s="43"/>
    </row>
    <row r="17156" spans="2:2" ht="12.75" customHeight="1" x14ac:dyDescent="0.2">
      <c r="B17156" s="43"/>
    </row>
    <row r="17157" spans="2:2" ht="12.75" customHeight="1" x14ac:dyDescent="0.2">
      <c r="B17157" s="43"/>
    </row>
    <row r="17158" spans="2:2" ht="12.75" customHeight="1" x14ac:dyDescent="0.2">
      <c r="B17158" s="43"/>
    </row>
    <row r="17159" spans="2:2" ht="12.75" customHeight="1" x14ac:dyDescent="0.2">
      <c r="B17159" s="43"/>
    </row>
    <row r="17160" spans="2:2" ht="12.75" customHeight="1" x14ac:dyDescent="0.2">
      <c r="B17160" s="43"/>
    </row>
    <row r="17161" spans="2:2" ht="12.75" customHeight="1" x14ac:dyDescent="0.2">
      <c r="B17161" s="43"/>
    </row>
    <row r="17162" spans="2:2" ht="12.75" customHeight="1" x14ac:dyDescent="0.2">
      <c r="B17162" s="43"/>
    </row>
    <row r="17163" spans="2:2" ht="12.75" customHeight="1" x14ac:dyDescent="0.2">
      <c r="B17163" s="43"/>
    </row>
    <row r="17164" spans="2:2" ht="12.75" customHeight="1" x14ac:dyDescent="0.2">
      <c r="B17164" s="43"/>
    </row>
    <row r="17165" spans="2:2" ht="12.75" customHeight="1" x14ac:dyDescent="0.2">
      <c r="B17165" s="43"/>
    </row>
    <row r="17166" spans="2:2" ht="12.75" customHeight="1" x14ac:dyDescent="0.2">
      <c r="B17166" s="43"/>
    </row>
    <row r="17167" spans="2:2" ht="12.75" customHeight="1" x14ac:dyDescent="0.2">
      <c r="B17167" s="43"/>
    </row>
    <row r="17168" spans="2:2" ht="12.75" customHeight="1" x14ac:dyDescent="0.2">
      <c r="B17168" s="43"/>
    </row>
    <row r="17169" spans="2:2" ht="12.75" customHeight="1" x14ac:dyDescent="0.2">
      <c r="B17169" s="43"/>
    </row>
    <row r="17170" spans="2:2" ht="12.75" customHeight="1" x14ac:dyDescent="0.2">
      <c r="B17170" s="43"/>
    </row>
    <row r="17171" spans="2:2" ht="12.75" customHeight="1" x14ac:dyDescent="0.2">
      <c r="B17171" s="43"/>
    </row>
    <row r="17172" spans="2:2" ht="12.75" customHeight="1" x14ac:dyDescent="0.2">
      <c r="B17172" s="43"/>
    </row>
    <row r="17173" spans="2:2" ht="12.75" customHeight="1" x14ac:dyDescent="0.2">
      <c r="B17173" s="43"/>
    </row>
    <row r="17174" spans="2:2" ht="12.75" customHeight="1" x14ac:dyDescent="0.2">
      <c r="B17174" s="43"/>
    </row>
    <row r="17175" spans="2:2" ht="12.75" customHeight="1" x14ac:dyDescent="0.2">
      <c r="B17175" s="43"/>
    </row>
    <row r="17176" spans="2:2" ht="12.75" customHeight="1" x14ac:dyDescent="0.2">
      <c r="B17176" s="43"/>
    </row>
    <row r="17177" spans="2:2" ht="12.75" customHeight="1" x14ac:dyDescent="0.2">
      <c r="B17177" s="43"/>
    </row>
    <row r="17178" spans="2:2" ht="12.75" customHeight="1" x14ac:dyDescent="0.2">
      <c r="B17178" s="43"/>
    </row>
    <row r="17179" spans="2:2" ht="12.75" customHeight="1" x14ac:dyDescent="0.2">
      <c r="B17179" s="43"/>
    </row>
    <row r="17180" spans="2:2" ht="12.75" customHeight="1" x14ac:dyDescent="0.2">
      <c r="B17180" s="43"/>
    </row>
    <row r="17181" spans="2:2" ht="12.75" customHeight="1" x14ac:dyDescent="0.2">
      <c r="B17181" s="43"/>
    </row>
    <row r="17182" spans="2:2" ht="12.75" customHeight="1" x14ac:dyDescent="0.2">
      <c r="B17182" s="43"/>
    </row>
    <row r="17183" spans="2:2" ht="12.75" customHeight="1" x14ac:dyDescent="0.2">
      <c r="B17183" s="43"/>
    </row>
    <row r="17184" spans="2:2" ht="12.75" customHeight="1" x14ac:dyDescent="0.2">
      <c r="B17184" s="43"/>
    </row>
    <row r="17185" spans="2:2" ht="12.75" customHeight="1" x14ac:dyDescent="0.2">
      <c r="B17185" s="43"/>
    </row>
    <row r="17186" spans="2:2" ht="12.75" customHeight="1" x14ac:dyDescent="0.2">
      <c r="B17186" s="43"/>
    </row>
    <row r="17187" spans="2:2" ht="12.75" customHeight="1" x14ac:dyDescent="0.2">
      <c r="B17187" s="43"/>
    </row>
    <row r="17188" spans="2:2" ht="12.75" customHeight="1" x14ac:dyDescent="0.2">
      <c r="B17188" s="43"/>
    </row>
    <row r="17189" spans="2:2" ht="12.75" customHeight="1" x14ac:dyDescent="0.2">
      <c r="B17189" s="43"/>
    </row>
    <row r="17190" spans="2:2" ht="12.75" customHeight="1" x14ac:dyDescent="0.2">
      <c r="B17190" s="43"/>
    </row>
    <row r="17191" spans="2:2" ht="12.75" customHeight="1" x14ac:dyDescent="0.2">
      <c r="B17191" s="43"/>
    </row>
    <row r="17192" spans="2:2" ht="12.75" customHeight="1" x14ac:dyDescent="0.2">
      <c r="B17192" s="43"/>
    </row>
    <row r="17193" spans="2:2" ht="12.75" customHeight="1" x14ac:dyDescent="0.2">
      <c r="B17193" s="43"/>
    </row>
    <row r="17194" spans="2:2" ht="12.75" customHeight="1" x14ac:dyDescent="0.2">
      <c r="B17194" s="43"/>
    </row>
    <row r="17195" spans="2:2" ht="12.75" customHeight="1" x14ac:dyDescent="0.2">
      <c r="B17195" s="43"/>
    </row>
    <row r="17196" spans="2:2" ht="12.75" customHeight="1" x14ac:dyDescent="0.2">
      <c r="B17196" s="43"/>
    </row>
    <row r="17197" spans="2:2" ht="12.75" customHeight="1" x14ac:dyDescent="0.2">
      <c r="B17197" s="43"/>
    </row>
    <row r="17198" spans="2:2" ht="12.75" customHeight="1" x14ac:dyDescent="0.2">
      <c r="B17198" s="43"/>
    </row>
    <row r="17199" spans="2:2" ht="12.75" customHeight="1" x14ac:dyDescent="0.2">
      <c r="B17199" s="43"/>
    </row>
    <row r="17200" spans="2:2" ht="12.75" customHeight="1" x14ac:dyDescent="0.2">
      <c r="B17200" s="43"/>
    </row>
    <row r="17201" spans="2:2" ht="12.75" customHeight="1" x14ac:dyDescent="0.2">
      <c r="B17201" s="43"/>
    </row>
    <row r="17202" spans="2:2" ht="12.75" customHeight="1" x14ac:dyDescent="0.2">
      <c r="B17202" s="43"/>
    </row>
    <row r="17203" spans="2:2" ht="12.75" customHeight="1" x14ac:dyDescent="0.2">
      <c r="B17203" s="43"/>
    </row>
    <row r="17204" spans="2:2" ht="12.75" customHeight="1" x14ac:dyDescent="0.2">
      <c r="B17204" s="43"/>
    </row>
    <row r="17205" spans="2:2" ht="12.75" customHeight="1" x14ac:dyDescent="0.2">
      <c r="B17205" s="43"/>
    </row>
    <row r="17206" spans="2:2" ht="12.75" customHeight="1" x14ac:dyDescent="0.2">
      <c r="B17206" s="43"/>
    </row>
    <row r="17207" spans="2:2" ht="12.75" customHeight="1" x14ac:dyDescent="0.2">
      <c r="B17207" s="43"/>
    </row>
    <row r="17208" spans="2:2" ht="12.75" customHeight="1" x14ac:dyDescent="0.2">
      <c r="B17208" s="43"/>
    </row>
    <row r="17209" spans="2:2" ht="12.75" customHeight="1" x14ac:dyDescent="0.2">
      <c r="B17209" s="43"/>
    </row>
    <row r="17210" spans="2:2" ht="12.75" customHeight="1" x14ac:dyDescent="0.2">
      <c r="B17210" s="43"/>
    </row>
    <row r="17211" spans="2:2" ht="12.75" customHeight="1" x14ac:dyDescent="0.2">
      <c r="B17211" s="43"/>
    </row>
    <row r="17212" spans="2:2" ht="12.75" customHeight="1" x14ac:dyDescent="0.2">
      <c r="B17212" s="43"/>
    </row>
    <row r="17213" spans="2:2" ht="12.75" customHeight="1" x14ac:dyDescent="0.2">
      <c r="B17213" s="43"/>
    </row>
    <row r="17214" spans="2:2" ht="12.75" customHeight="1" x14ac:dyDescent="0.2">
      <c r="B17214" s="43"/>
    </row>
    <row r="17215" spans="2:2" ht="12.75" customHeight="1" x14ac:dyDescent="0.2">
      <c r="B17215" s="43"/>
    </row>
    <row r="17216" spans="2:2" ht="12.75" customHeight="1" x14ac:dyDescent="0.2">
      <c r="B17216" s="43"/>
    </row>
    <row r="17217" spans="2:2" ht="12.75" customHeight="1" x14ac:dyDescent="0.2">
      <c r="B17217" s="43"/>
    </row>
    <row r="17218" spans="2:2" ht="12.75" customHeight="1" x14ac:dyDescent="0.2">
      <c r="B17218" s="43"/>
    </row>
    <row r="17219" spans="2:2" ht="12.75" customHeight="1" x14ac:dyDescent="0.2">
      <c r="B17219" s="43"/>
    </row>
    <row r="17220" spans="2:2" ht="12.75" customHeight="1" x14ac:dyDescent="0.2">
      <c r="B17220" s="43"/>
    </row>
    <row r="17221" spans="2:2" ht="12.75" customHeight="1" x14ac:dyDescent="0.2">
      <c r="B17221" s="43"/>
    </row>
    <row r="17222" spans="2:2" ht="12.75" customHeight="1" x14ac:dyDescent="0.2">
      <c r="B17222" s="43"/>
    </row>
    <row r="17223" spans="2:2" ht="12.75" customHeight="1" x14ac:dyDescent="0.2">
      <c r="B17223" s="43"/>
    </row>
    <row r="17224" spans="2:2" ht="12.75" customHeight="1" x14ac:dyDescent="0.2">
      <c r="B17224" s="43"/>
    </row>
    <row r="17225" spans="2:2" ht="12.75" customHeight="1" x14ac:dyDescent="0.2">
      <c r="B17225" s="43"/>
    </row>
    <row r="17226" spans="2:2" ht="12.75" customHeight="1" x14ac:dyDescent="0.2">
      <c r="B17226" s="43"/>
    </row>
    <row r="17227" spans="2:2" ht="12.75" customHeight="1" x14ac:dyDescent="0.2">
      <c r="B17227" s="43"/>
    </row>
    <row r="17228" spans="2:2" ht="12.75" customHeight="1" x14ac:dyDescent="0.2">
      <c r="B17228" s="43"/>
    </row>
    <row r="17229" spans="2:2" ht="12.75" customHeight="1" x14ac:dyDescent="0.2">
      <c r="B17229" s="43"/>
    </row>
    <row r="17230" spans="2:2" ht="12.75" customHeight="1" x14ac:dyDescent="0.2">
      <c r="B17230" s="43"/>
    </row>
    <row r="17231" spans="2:2" ht="12.75" customHeight="1" x14ac:dyDescent="0.2">
      <c r="B17231" s="43"/>
    </row>
    <row r="17232" spans="2:2" ht="12.75" customHeight="1" x14ac:dyDescent="0.2">
      <c r="B17232" s="43"/>
    </row>
    <row r="17233" spans="2:2" ht="12.75" customHeight="1" x14ac:dyDescent="0.2">
      <c r="B17233" s="43"/>
    </row>
    <row r="17234" spans="2:2" ht="12.75" customHeight="1" x14ac:dyDescent="0.2">
      <c r="B17234" s="43"/>
    </row>
    <row r="17235" spans="2:2" ht="12.75" customHeight="1" x14ac:dyDescent="0.2">
      <c r="B17235" s="43"/>
    </row>
    <row r="17236" spans="2:2" ht="12.75" customHeight="1" x14ac:dyDescent="0.2">
      <c r="B17236" s="43"/>
    </row>
    <row r="17237" spans="2:2" ht="12.75" customHeight="1" x14ac:dyDescent="0.2">
      <c r="B17237" s="43"/>
    </row>
    <row r="17238" spans="2:2" ht="12.75" customHeight="1" x14ac:dyDescent="0.2">
      <c r="B17238" s="43"/>
    </row>
    <row r="17239" spans="2:2" ht="12.75" customHeight="1" x14ac:dyDescent="0.2">
      <c r="B17239" s="43"/>
    </row>
    <row r="17240" spans="2:2" ht="12.75" customHeight="1" x14ac:dyDescent="0.2">
      <c r="B17240" s="43"/>
    </row>
    <row r="17241" spans="2:2" ht="12.75" customHeight="1" x14ac:dyDescent="0.2">
      <c r="B17241" s="43"/>
    </row>
    <row r="17242" spans="2:2" ht="12.75" customHeight="1" x14ac:dyDescent="0.2">
      <c r="B17242" s="43"/>
    </row>
    <row r="17243" spans="2:2" ht="12.75" customHeight="1" x14ac:dyDescent="0.2">
      <c r="B17243" s="43"/>
    </row>
    <row r="17244" spans="2:2" ht="12.75" customHeight="1" x14ac:dyDescent="0.2">
      <c r="B17244" s="43"/>
    </row>
    <row r="17245" spans="2:2" ht="12.75" customHeight="1" x14ac:dyDescent="0.2">
      <c r="B17245" s="43"/>
    </row>
    <row r="17246" spans="2:2" ht="12.75" customHeight="1" x14ac:dyDescent="0.2">
      <c r="B17246" s="43"/>
    </row>
    <row r="17247" spans="2:2" ht="12.75" customHeight="1" x14ac:dyDescent="0.2">
      <c r="B17247" s="43"/>
    </row>
    <row r="17248" spans="2:2" ht="12.75" customHeight="1" x14ac:dyDescent="0.2">
      <c r="B17248" s="43"/>
    </row>
    <row r="17249" spans="2:2" ht="12.75" customHeight="1" x14ac:dyDescent="0.2">
      <c r="B17249" s="43"/>
    </row>
    <row r="17250" spans="2:2" ht="12.75" customHeight="1" x14ac:dyDescent="0.2">
      <c r="B17250" s="43"/>
    </row>
    <row r="17251" spans="2:2" ht="12.75" customHeight="1" x14ac:dyDescent="0.2">
      <c r="B17251" s="43"/>
    </row>
    <row r="17252" spans="2:2" ht="12.75" customHeight="1" x14ac:dyDescent="0.2">
      <c r="B17252" s="43"/>
    </row>
    <row r="17253" spans="2:2" ht="12.75" customHeight="1" x14ac:dyDescent="0.2">
      <c r="B17253" s="43"/>
    </row>
    <row r="17254" spans="2:2" ht="12.75" customHeight="1" x14ac:dyDescent="0.2">
      <c r="B17254" s="43"/>
    </row>
    <row r="17255" spans="2:2" ht="12.75" customHeight="1" x14ac:dyDescent="0.2">
      <c r="B17255" s="43"/>
    </row>
    <row r="17256" spans="2:2" ht="12.75" customHeight="1" x14ac:dyDescent="0.2">
      <c r="B17256" s="43"/>
    </row>
    <row r="17257" spans="2:2" ht="12.75" customHeight="1" x14ac:dyDescent="0.2">
      <c r="B17257" s="43"/>
    </row>
    <row r="17258" spans="2:2" ht="12.75" customHeight="1" x14ac:dyDescent="0.2">
      <c r="B17258" s="43"/>
    </row>
    <row r="17259" spans="2:2" ht="12.75" customHeight="1" x14ac:dyDescent="0.2">
      <c r="B17259" s="43"/>
    </row>
    <row r="17260" spans="2:2" ht="12.75" customHeight="1" x14ac:dyDescent="0.2">
      <c r="B17260" s="43"/>
    </row>
    <row r="17261" spans="2:2" ht="12.75" customHeight="1" x14ac:dyDescent="0.2">
      <c r="B17261" s="43"/>
    </row>
    <row r="17262" spans="2:2" ht="12.75" customHeight="1" x14ac:dyDescent="0.2">
      <c r="B17262" s="43"/>
    </row>
    <row r="17263" spans="2:2" ht="12.75" customHeight="1" x14ac:dyDescent="0.2">
      <c r="B17263" s="43"/>
    </row>
    <row r="17264" spans="2:2" ht="12.75" customHeight="1" x14ac:dyDescent="0.2">
      <c r="B17264" s="43"/>
    </row>
    <row r="17265" spans="2:2" ht="12.75" customHeight="1" x14ac:dyDescent="0.2">
      <c r="B17265" s="43"/>
    </row>
    <row r="17266" spans="2:2" ht="12.75" customHeight="1" x14ac:dyDescent="0.2">
      <c r="B17266" s="43"/>
    </row>
    <row r="17267" spans="2:2" ht="12.75" customHeight="1" x14ac:dyDescent="0.2">
      <c r="B17267" s="43"/>
    </row>
    <row r="17268" spans="2:2" ht="12.75" customHeight="1" x14ac:dyDescent="0.2">
      <c r="B17268" s="43"/>
    </row>
    <row r="17269" spans="2:2" ht="12.75" customHeight="1" x14ac:dyDescent="0.2">
      <c r="B17269" s="43"/>
    </row>
    <row r="17270" spans="2:2" ht="12.75" customHeight="1" x14ac:dyDescent="0.2">
      <c r="B17270" s="43"/>
    </row>
    <row r="17271" spans="2:2" ht="12.75" customHeight="1" x14ac:dyDescent="0.2">
      <c r="B17271" s="43"/>
    </row>
    <row r="17272" spans="2:2" ht="12.75" customHeight="1" x14ac:dyDescent="0.2">
      <c r="B17272" s="43"/>
    </row>
    <row r="17273" spans="2:2" ht="12.75" customHeight="1" x14ac:dyDescent="0.2">
      <c r="B17273" s="43"/>
    </row>
    <row r="17274" spans="2:2" ht="12.75" customHeight="1" x14ac:dyDescent="0.2">
      <c r="B17274" s="43"/>
    </row>
    <row r="17275" spans="2:2" ht="12.75" customHeight="1" x14ac:dyDescent="0.2">
      <c r="B17275" s="43"/>
    </row>
    <row r="17276" spans="2:2" ht="12.75" customHeight="1" x14ac:dyDescent="0.2">
      <c r="B17276" s="43"/>
    </row>
    <row r="17277" spans="2:2" ht="12.75" customHeight="1" x14ac:dyDescent="0.2">
      <c r="B17277" s="43"/>
    </row>
    <row r="17278" spans="2:2" ht="12.75" customHeight="1" x14ac:dyDescent="0.2">
      <c r="B17278" s="43"/>
    </row>
    <row r="17279" spans="2:2" ht="12.75" customHeight="1" x14ac:dyDescent="0.2">
      <c r="B17279" s="43"/>
    </row>
    <row r="17280" spans="2:2" ht="12.75" customHeight="1" x14ac:dyDescent="0.2">
      <c r="B17280" s="43"/>
    </row>
    <row r="17281" spans="2:2" ht="12.75" customHeight="1" x14ac:dyDescent="0.2">
      <c r="B17281" s="43"/>
    </row>
    <row r="17282" spans="2:2" ht="12.75" customHeight="1" x14ac:dyDescent="0.2">
      <c r="B17282" s="43"/>
    </row>
    <row r="17283" spans="2:2" ht="12.75" customHeight="1" x14ac:dyDescent="0.2">
      <c r="B17283" s="43"/>
    </row>
    <row r="17284" spans="2:2" ht="12.75" customHeight="1" x14ac:dyDescent="0.2">
      <c r="B17284" s="43"/>
    </row>
    <row r="17285" spans="2:2" ht="12.75" customHeight="1" x14ac:dyDescent="0.2">
      <c r="B17285" s="43"/>
    </row>
    <row r="17286" spans="2:2" ht="12.75" customHeight="1" x14ac:dyDescent="0.2">
      <c r="B17286" s="43"/>
    </row>
    <row r="17287" spans="2:2" ht="12.75" customHeight="1" x14ac:dyDescent="0.2">
      <c r="B17287" s="43"/>
    </row>
    <row r="17288" spans="2:2" ht="12.75" customHeight="1" x14ac:dyDescent="0.2">
      <c r="B17288" s="43"/>
    </row>
    <row r="17289" spans="2:2" ht="12.75" customHeight="1" x14ac:dyDescent="0.2">
      <c r="B17289" s="43"/>
    </row>
    <row r="17290" spans="2:2" ht="12.75" customHeight="1" x14ac:dyDescent="0.2">
      <c r="B17290" s="43"/>
    </row>
    <row r="17291" spans="2:2" ht="12.75" customHeight="1" x14ac:dyDescent="0.2">
      <c r="B17291" s="43"/>
    </row>
    <row r="17292" spans="2:2" ht="12.75" customHeight="1" x14ac:dyDescent="0.2">
      <c r="B17292" s="43"/>
    </row>
    <row r="17293" spans="2:2" ht="12.75" customHeight="1" x14ac:dyDescent="0.2">
      <c r="B17293" s="43"/>
    </row>
    <row r="17294" spans="2:2" ht="12.75" customHeight="1" x14ac:dyDescent="0.2">
      <c r="B17294" s="43"/>
    </row>
    <row r="17295" spans="2:2" ht="12.75" customHeight="1" x14ac:dyDescent="0.2">
      <c r="B17295" s="43"/>
    </row>
    <row r="17296" spans="2:2" ht="12.75" customHeight="1" x14ac:dyDescent="0.2">
      <c r="B17296" s="43"/>
    </row>
    <row r="17297" spans="2:2" ht="12.75" customHeight="1" x14ac:dyDescent="0.2">
      <c r="B17297" s="43"/>
    </row>
    <row r="17298" spans="2:2" ht="12.75" customHeight="1" x14ac:dyDescent="0.2">
      <c r="B17298" s="43"/>
    </row>
    <row r="17299" spans="2:2" ht="12.75" customHeight="1" x14ac:dyDescent="0.2">
      <c r="B17299" s="43"/>
    </row>
    <row r="17300" spans="2:2" ht="12.75" customHeight="1" x14ac:dyDescent="0.2">
      <c r="B17300" s="43"/>
    </row>
    <row r="17301" spans="2:2" ht="12.75" customHeight="1" x14ac:dyDescent="0.2">
      <c r="B17301" s="43"/>
    </row>
    <row r="17302" spans="2:2" ht="12.75" customHeight="1" x14ac:dyDescent="0.2">
      <c r="B17302" s="43"/>
    </row>
    <row r="17303" spans="2:2" ht="12.75" customHeight="1" x14ac:dyDescent="0.2">
      <c r="B17303" s="43"/>
    </row>
    <row r="17304" spans="2:2" ht="12.75" customHeight="1" x14ac:dyDescent="0.2">
      <c r="B17304" s="43"/>
    </row>
    <row r="17305" spans="2:2" ht="12.75" customHeight="1" x14ac:dyDescent="0.2">
      <c r="B17305" s="43"/>
    </row>
    <row r="17306" spans="2:2" ht="12.75" customHeight="1" x14ac:dyDescent="0.2">
      <c r="B17306" s="43"/>
    </row>
    <row r="17307" spans="2:2" ht="12.75" customHeight="1" x14ac:dyDescent="0.2">
      <c r="B17307" s="43"/>
    </row>
    <row r="17308" spans="2:2" ht="12.75" customHeight="1" x14ac:dyDescent="0.2">
      <c r="B17308" s="43"/>
    </row>
    <row r="17309" spans="2:2" ht="12.75" customHeight="1" x14ac:dyDescent="0.2">
      <c r="B17309" s="43"/>
    </row>
    <row r="17310" spans="2:2" ht="12.75" customHeight="1" x14ac:dyDescent="0.2">
      <c r="B17310" s="43"/>
    </row>
    <row r="17311" spans="2:2" ht="12.75" customHeight="1" x14ac:dyDescent="0.2">
      <c r="B17311" s="43"/>
    </row>
    <row r="17312" spans="2:2" ht="12.75" customHeight="1" x14ac:dyDescent="0.2">
      <c r="B17312" s="43"/>
    </row>
    <row r="17313" spans="2:2" ht="12.75" customHeight="1" x14ac:dyDescent="0.2">
      <c r="B17313" s="43"/>
    </row>
    <row r="17314" spans="2:2" ht="12.75" customHeight="1" x14ac:dyDescent="0.2">
      <c r="B17314" s="43"/>
    </row>
    <row r="17315" spans="2:2" ht="12.75" customHeight="1" x14ac:dyDescent="0.2">
      <c r="B17315" s="43"/>
    </row>
    <row r="17316" spans="2:2" ht="12.75" customHeight="1" x14ac:dyDescent="0.2">
      <c r="B17316" s="43"/>
    </row>
    <row r="17317" spans="2:2" ht="12.75" customHeight="1" x14ac:dyDescent="0.2">
      <c r="B17317" s="43"/>
    </row>
    <row r="17318" spans="2:2" ht="12.75" customHeight="1" x14ac:dyDescent="0.2">
      <c r="B17318" s="43"/>
    </row>
    <row r="17319" spans="2:2" ht="12.75" customHeight="1" x14ac:dyDescent="0.2">
      <c r="B17319" s="43"/>
    </row>
    <row r="17320" spans="2:2" ht="12.75" customHeight="1" x14ac:dyDescent="0.2">
      <c r="B17320" s="43"/>
    </row>
    <row r="17321" spans="2:2" ht="12.75" customHeight="1" x14ac:dyDescent="0.2">
      <c r="B17321" s="43"/>
    </row>
    <row r="17322" spans="2:2" ht="12.75" customHeight="1" x14ac:dyDescent="0.2">
      <c r="B17322" s="43"/>
    </row>
    <row r="17323" spans="2:2" ht="12.75" customHeight="1" x14ac:dyDescent="0.2">
      <c r="B17323" s="43"/>
    </row>
    <row r="17324" spans="2:2" ht="12.75" customHeight="1" x14ac:dyDescent="0.2">
      <c r="B17324" s="43"/>
    </row>
    <row r="17325" spans="2:2" ht="12.75" customHeight="1" x14ac:dyDescent="0.2">
      <c r="B17325" s="43"/>
    </row>
    <row r="17326" spans="2:2" ht="12.75" customHeight="1" x14ac:dyDescent="0.2">
      <c r="B17326" s="43"/>
    </row>
    <row r="17327" spans="2:2" ht="12.75" customHeight="1" x14ac:dyDescent="0.2">
      <c r="B17327" s="43"/>
    </row>
    <row r="17328" spans="2:2" ht="12.75" customHeight="1" x14ac:dyDescent="0.2">
      <c r="B17328" s="43"/>
    </row>
    <row r="17329" spans="2:2" ht="12.75" customHeight="1" x14ac:dyDescent="0.2">
      <c r="B17329" s="43"/>
    </row>
    <row r="17330" spans="2:2" ht="12.75" customHeight="1" x14ac:dyDescent="0.2">
      <c r="B17330" s="43"/>
    </row>
    <row r="17331" spans="2:2" ht="12.75" customHeight="1" x14ac:dyDescent="0.2">
      <c r="B17331" s="43"/>
    </row>
    <row r="17332" spans="2:2" ht="12.75" customHeight="1" x14ac:dyDescent="0.2">
      <c r="B17332" s="43"/>
    </row>
    <row r="17333" spans="2:2" ht="12.75" customHeight="1" x14ac:dyDescent="0.2">
      <c r="B17333" s="43"/>
    </row>
    <row r="17334" spans="2:2" ht="12.75" customHeight="1" x14ac:dyDescent="0.2">
      <c r="B17334" s="43"/>
    </row>
    <row r="17335" spans="2:2" ht="12.75" customHeight="1" x14ac:dyDescent="0.2">
      <c r="B17335" s="43"/>
    </row>
    <row r="17336" spans="2:2" ht="12.75" customHeight="1" x14ac:dyDescent="0.2">
      <c r="B17336" s="43"/>
    </row>
    <row r="17337" spans="2:2" ht="12.75" customHeight="1" x14ac:dyDescent="0.2">
      <c r="B17337" s="43"/>
    </row>
    <row r="17338" spans="2:2" ht="12.75" customHeight="1" x14ac:dyDescent="0.2">
      <c r="B17338" s="43"/>
    </row>
    <row r="17339" spans="2:2" ht="12.75" customHeight="1" x14ac:dyDescent="0.2">
      <c r="B17339" s="43"/>
    </row>
    <row r="17340" spans="2:2" ht="12.75" customHeight="1" x14ac:dyDescent="0.2">
      <c r="B17340" s="43"/>
    </row>
    <row r="17341" spans="2:2" ht="12.75" customHeight="1" x14ac:dyDescent="0.2">
      <c r="B17341" s="43"/>
    </row>
    <row r="17342" spans="2:2" ht="12.75" customHeight="1" x14ac:dyDescent="0.2">
      <c r="B17342" s="43"/>
    </row>
    <row r="17343" spans="2:2" ht="12.75" customHeight="1" x14ac:dyDescent="0.2">
      <c r="B17343" s="43"/>
    </row>
    <row r="17344" spans="2:2" ht="12.75" customHeight="1" x14ac:dyDescent="0.2">
      <c r="B17344" s="43"/>
    </row>
    <row r="17345" spans="2:2" ht="12.75" customHeight="1" x14ac:dyDescent="0.2">
      <c r="B17345" s="43"/>
    </row>
    <row r="17346" spans="2:2" ht="12.75" customHeight="1" x14ac:dyDescent="0.2">
      <c r="B17346" s="43"/>
    </row>
    <row r="17347" spans="2:2" ht="12.75" customHeight="1" x14ac:dyDescent="0.2">
      <c r="B17347" s="43"/>
    </row>
    <row r="17348" spans="2:2" ht="12.75" customHeight="1" x14ac:dyDescent="0.2">
      <c r="B17348" s="43"/>
    </row>
    <row r="17349" spans="2:2" ht="12.75" customHeight="1" x14ac:dyDescent="0.2">
      <c r="B17349" s="43"/>
    </row>
    <row r="17350" spans="2:2" ht="12.75" customHeight="1" x14ac:dyDescent="0.2">
      <c r="B17350" s="43"/>
    </row>
    <row r="17351" spans="2:2" ht="12.75" customHeight="1" x14ac:dyDescent="0.2">
      <c r="B17351" s="43"/>
    </row>
    <row r="17352" spans="2:2" ht="12.75" customHeight="1" x14ac:dyDescent="0.2">
      <c r="B17352" s="43"/>
    </row>
    <row r="17353" spans="2:2" ht="12.75" customHeight="1" x14ac:dyDescent="0.2">
      <c r="B17353" s="43"/>
    </row>
    <row r="17354" spans="2:2" ht="12.75" customHeight="1" x14ac:dyDescent="0.2">
      <c r="B17354" s="43"/>
    </row>
    <row r="17355" spans="2:2" ht="12.75" customHeight="1" x14ac:dyDescent="0.2">
      <c r="B17355" s="43"/>
    </row>
    <row r="17356" spans="2:2" ht="12.75" customHeight="1" x14ac:dyDescent="0.2">
      <c r="B17356" s="43"/>
    </row>
    <row r="17357" spans="2:2" ht="12.75" customHeight="1" x14ac:dyDescent="0.2">
      <c r="B17357" s="43"/>
    </row>
    <row r="17358" spans="2:2" ht="12.75" customHeight="1" x14ac:dyDescent="0.2">
      <c r="B17358" s="43"/>
    </row>
    <row r="17359" spans="2:2" ht="12.75" customHeight="1" x14ac:dyDescent="0.2">
      <c r="B17359" s="43"/>
    </row>
    <row r="17360" spans="2:2" ht="12.75" customHeight="1" x14ac:dyDescent="0.2">
      <c r="B17360" s="43"/>
    </row>
    <row r="17361" spans="2:2" ht="12.75" customHeight="1" x14ac:dyDescent="0.2">
      <c r="B17361" s="43"/>
    </row>
    <row r="17362" spans="2:2" ht="12.75" customHeight="1" x14ac:dyDescent="0.2">
      <c r="B17362" s="43"/>
    </row>
    <row r="17363" spans="2:2" ht="12.75" customHeight="1" x14ac:dyDescent="0.2">
      <c r="B17363" s="43"/>
    </row>
    <row r="17364" spans="2:2" ht="12.75" customHeight="1" x14ac:dyDescent="0.2">
      <c r="B17364" s="43"/>
    </row>
    <row r="17365" spans="2:2" ht="12.75" customHeight="1" x14ac:dyDescent="0.2">
      <c r="B17365" s="43"/>
    </row>
    <row r="17366" spans="2:2" ht="12.75" customHeight="1" x14ac:dyDescent="0.2">
      <c r="B17366" s="43"/>
    </row>
    <row r="17367" spans="2:2" ht="12.75" customHeight="1" x14ac:dyDescent="0.2">
      <c r="B17367" s="43"/>
    </row>
    <row r="17368" spans="2:2" ht="12.75" customHeight="1" x14ac:dyDescent="0.2">
      <c r="B17368" s="43"/>
    </row>
    <row r="17369" spans="2:2" ht="12.75" customHeight="1" x14ac:dyDescent="0.2">
      <c r="B17369" s="43"/>
    </row>
    <row r="17370" spans="2:2" ht="12.75" customHeight="1" x14ac:dyDescent="0.2">
      <c r="B17370" s="43"/>
    </row>
    <row r="17371" spans="2:2" ht="12.75" customHeight="1" x14ac:dyDescent="0.2">
      <c r="B17371" s="43"/>
    </row>
    <row r="17372" spans="2:2" ht="12.75" customHeight="1" x14ac:dyDescent="0.2">
      <c r="B17372" s="43"/>
    </row>
    <row r="17373" spans="2:2" ht="12.75" customHeight="1" x14ac:dyDescent="0.2">
      <c r="B17373" s="43"/>
    </row>
    <row r="17374" spans="2:2" ht="12.75" customHeight="1" x14ac:dyDescent="0.2">
      <c r="B17374" s="43"/>
    </row>
    <row r="17375" spans="2:2" ht="12.75" customHeight="1" x14ac:dyDescent="0.2">
      <c r="B17375" s="43"/>
    </row>
    <row r="17376" spans="2:2" ht="12.75" customHeight="1" x14ac:dyDescent="0.2">
      <c r="B17376" s="43"/>
    </row>
    <row r="17377" spans="2:2" ht="12.75" customHeight="1" x14ac:dyDescent="0.2">
      <c r="B17377" s="43"/>
    </row>
    <row r="17378" spans="2:2" ht="12.75" customHeight="1" x14ac:dyDescent="0.2">
      <c r="B17378" s="43"/>
    </row>
    <row r="17379" spans="2:2" ht="12.75" customHeight="1" x14ac:dyDescent="0.2">
      <c r="B17379" s="43"/>
    </row>
    <row r="17380" spans="2:2" ht="12.75" customHeight="1" x14ac:dyDescent="0.2">
      <c r="B17380" s="43"/>
    </row>
    <row r="17381" spans="2:2" ht="12.75" customHeight="1" x14ac:dyDescent="0.2">
      <c r="B17381" s="43"/>
    </row>
    <row r="17382" spans="2:2" ht="12.75" customHeight="1" x14ac:dyDescent="0.2">
      <c r="B17382" s="43"/>
    </row>
    <row r="17383" spans="2:2" ht="12.75" customHeight="1" x14ac:dyDescent="0.2">
      <c r="B17383" s="43"/>
    </row>
    <row r="17384" spans="2:2" ht="12.75" customHeight="1" x14ac:dyDescent="0.2">
      <c r="B17384" s="43"/>
    </row>
    <row r="17385" spans="2:2" ht="12.75" customHeight="1" x14ac:dyDescent="0.2">
      <c r="B17385" s="43"/>
    </row>
    <row r="17386" spans="2:2" ht="12.75" customHeight="1" x14ac:dyDescent="0.2">
      <c r="B17386" s="43"/>
    </row>
    <row r="17387" spans="2:2" ht="12.75" customHeight="1" x14ac:dyDescent="0.2">
      <c r="B17387" s="43"/>
    </row>
    <row r="17388" spans="2:2" ht="12.75" customHeight="1" x14ac:dyDescent="0.2">
      <c r="B17388" s="43"/>
    </row>
    <row r="17389" spans="2:2" ht="12.75" customHeight="1" x14ac:dyDescent="0.2">
      <c r="B17389" s="43"/>
    </row>
    <row r="17390" spans="2:2" ht="12.75" customHeight="1" x14ac:dyDescent="0.2">
      <c r="B17390" s="43"/>
    </row>
    <row r="17391" spans="2:2" ht="12.75" customHeight="1" x14ac:dyDescent="0.2">
      <c r="B17391" s="43"/>
    </row>
    <row r="17392" spans="2:2" ht="12.75" customHeight="1" x14ac:dyDescent="0.2">
      <c r="B17392" s="43"/>
    </row>
    <row r="17393" spans="2:2" ht="12.75" customHeight="1" x14ac:dyDescent="0.2">
      <c r="B17393" s="43"/>
    </row>
    <row r="17394" spans="2:2" ht="12.75" customHeight="1" x14ac:dyDescent="0.2">
      <c r="B17394" s="43"/>
    </row>
    <row r="17395" spans="2:2" ht="12.75" customHeight="1" x14ac:dyDescent="0.2">
      <c r="B17395" s="43"/>
    </row>
    <row r="17396" spans="2:2" ht="12.75" customHeight="1" x14ac:dyDescent="0.2">
      <c r="B17396" s="43"/>
    </row>
    <row r="17397" spans="2:2" ht="12.75" customHeight="1" x14ac:dyDescent="0.2">
      <c r="B17397" s="43"/>
    </row>
    <row r="17398" spans="2:2" ht="12.75" customHeight="1" x14ac:dyDescent="0.2">
      <c r="B17398" s="43"/>
    </row>
    <row r="17399" spans="2:2" ht="12.75" customHeight="1" x14ac:dyDescent="0.2">
      <c r="B17399" s="43"/>
    </row>
    <row r="17400" spans="2:2" ht="12.75" customHeight="1" x14ac:dyDescent="0.2">
      <c r="B17400" s="43"/>
    </row>
    <row r="17401" spans="2:2" ht="12.75" customHeight="1" x14ac:dyDescent="0.2">
      <c r="B17401" s="43"/>
    </row>
    <row r="17402" spans="2:2" ht="12.75" customHeight="1" x14ac:dyDescent="0.2">
      <c r="B17402" s="43"/>
    </row>
    <row r="17403" spans="2:2" ht="12.75" customHeight="1" x14ac:dyDescent="0.2">
      <c r="B17403" s="43"/>
    </row>
    <row r="17404" spans="2:2" ht="12.75" customHeight="1" x14ac:dyDescent="0.2">
      <c r="B17404" s="43"/>
    </row>
    <row r="17405" spans="2:2" ht="12.75" customHeight="1" x14ac:dyDescent="0.2">
      <c r="B17405" s="43"/>
    </row>
    <row r="17406" spans="2:2" ht="12.75" customHeight="1" x14ac:dyDescent="0.2">
      <c r="B17406" s="43"/>
    </row>
    <row r="17407" spans="2:2" ht="12.75" customHeight="1" x14ac:dyDescent="0.2">
      <c r="B17407" s="43"/>
    </row>
    <row r="17408" spans="2:2" ht="12.75" customHeight="1" x14ac:dyDescent="0.2">
      <c r="B17408" s="43"/>
    </row>
    <row r="17409" spans="2:2" ht="12.75" customHeight="1" x14ac:dyDescent="0.2">
      <c r="B17409" s="43"/>
    </row>
    <row r="17410" spans="2:2" ht="12.75" customHeight="1" x14ac:dyDescent="0.2">
      <c r="B17410" s="43"/>
    </row>
    <row r="17411" spans="2:2" ht="12.75" customHeight="1" x14ac:dyDescent="0.2">
      <c r="B17411" s="43"/>
    </row>
    <row r="17412" spans="2:2" ht="12.75" customHeight="1" x14ac:dyDescent="0.2">
      <c r="B17412" s="43"/>
    </row>
    <row r="17413" spans="2:2" ht="12.75" customHeight="1" x14ac:dyDescent="0.2">
      <c r="B17413" s="43"/>
    </row>
    <row r="17414" spans="2:2" ht="12.75" customHeight="1" x14ac:dyDescent="0.2">
      <c r="B17414" s="43"/>
    </row>
    <row r="17415" spans="2:2" ht="12.75" customHeight="1" x14ac:dyDescent="0.2">
      <c r="B17415" s="43"/>
    </row>
    <row r="17416" spans="2:2" ht="12.75" customHeight="1" x14ac:dyDescent="0.2">
      <c r="B17416" s="43"/>
    </row>
    <row r="17417" spans="2:2" ht="12.75" customHeight="1" x14ac:dyDescent="0.2">
      <c r="B17417" s="43"/>
    </row>
    <row r="17418" spans="2:2" ht="12.75" customHeight="1" x14ac:dyDescent="0.2">
      <c r="B17418" s="43"/>
    </row>
    <row r="17419" spans="2:2" ht="12.75" customHeight="1" x14ac:dyDescent="0.2">
      <c r="B17419" s="43"/>
    </row>
    <row r="17420" spans="2:2" ht="12.75" customHeight="1" x14ac:dyDescent="0.2">
      <c r="B17420" s="43"/>
    </row>
    <row r="17421" spans="2:2" ht="12.75" customHeight="1" x14ac:dyDescent="0.2">
      <c r="B17421" s="43"/>
    </row>
    <row r="17422" spans="2:2" ht="12.75" customHeight="1" x14ac:dyDescent="0.2">
      <c r="B17422" s="43"/>
    </row>
    <row r="17423" spans="2:2" ht="12.75" customHeight="1" x14ac:dyDescent="0.2">
      <c r="B17423" s="43"/>
    </row>
    <row r="17424" spans="2:2" ht="12.75" customHeight="1" x14ac:dyDescent="0.2">
      <c r="B17424" s="43"/>
    </row>
    <row r="17425" spans="2:2" ht="12.75" customHeight="1" x14ac:dyDescent="0.2">
      <c r="B17425" s="43"/>
    </row>
    <row r="17426" spans="2:2" ht="12.75" customHeight="1" x14ac:dyDescent="0.2">
      <c r="B17426" s="43"/>
    </row>
    <row r="17427" spans="2:2" ht="12.75" customHeight="1" x14ac:dyDescent="0.2">
      <c r="B17427" s="43"/>
    </row>
    <row r="17428" spans="2:2" ht="12.75" customHeight="1" x14ac:dyDescent="0.2">
      <c r="B17428" s="43"/>
    </row>
    <row r="17429" spans="2:2" ht="12.75" customHeight="1" x14ac:dyDescent="0.2">
      <c r="B17429" s="43"/>
    </row>
    <row r="17430" spans="2:2" ht="12.75" customHeight="1" x14ac:dyDescent="0.2">
      <c r="B17430" s="43"/>
    </row>
    <row r="17431" spans="2:2" ht="12.75" customHeight="1" x14ac:dyDescent="0.2">
      <c r="B17431" s="43"/>
    </row>
    <row r="17432" spans="2:2" ht="12.75" customHeight="1" x14ac:dyDescent="0.2">
      <c r="B17432" s="43"/>
    </row>
    <row r="17433" spans="2:2" ht="12.75" customHeight="1" x14ac:dyDescent="0.2">
      <c r="B17433" s="43"/>
    </row>
    <row r="17434" spans="2:2" ht="12.75" customHeight="1" x14ac:dyDescent="0.2">
      <c r="B17434" s="43"/>
    </row>
    <row r="17435" spans="2:2" ht="12.75" customHeight="1" x14ac:dyDescent="0.2">
      <c r="B17435" s="43"/>
    </row>
    <row r="17436" spans="2:2" ht="12.75" customHeight="1" x14ac:dyDescent="0.2">
      <c r="B17436" s="43"/>
    </row>
    <row r="17437" spans="2:2" ht="12.75" customHeight="1" x14ac:dyDescent="0.2">
      <c r="B17437" s="43"/>
    </row>
    <row r="17438" spans="2:2" ht="12.75" customHeight="1" x14ac:dyDescent="0.2">
      <c r="B17438" s="43"/>
    </row>
    <row r="17439" spans="2:2" ht="12.75" customHeight="1" x14ac:dyDescent="0.2">
      <c r="B17439" s="43"/>
    </row>
    <row r="17440" spans="2:2" ht="12.75" customHeight="1" x14ac:dyDescent="0.2">
      <c r="B17440" s="43"/>
    </row>
    <row r="17441" spans="2:2" ht="12.75" customHeight="1" x14ac:dyDescent="0.2">
      <c r="B17441" s="43"/>
    </row>
    <row r="17442" spans="2:2" ht="12.75" customHeight="1" x14ac:dyDescent="0.2">
      <c r="B17442" s="43"/>
    </row>
    <row r="17443" spans="2:2" ht="12.75" customHeight="1" x14ac:dyDescent="0.2">
      <c r="B17443" s="43"/>
    </row>
    <row r="17444" spans="2:2" ht="12.75" customHeight="1" x14ac:dyDescent="0.2">
      <c r="B17444" s="43"/>
    </row>
    <row r="17445" spans="2:2" ht="12.75" customHeight="1" x14ac:dyDescent="0.2">
      <c r="B17445" s="43"/>
    </row>
    <row r="17446" spans="2:2" ht="12.75" customHeight="1" x14ac:dyDescent="0.2">
      <c r="B17446" s="43"/>
    </row>
    <row r="17447" spans="2:2" ht="12.75" customHeight="1" x14ac:dyDescent="0.2">
      <c r="B17447" s="43"/>
    </row>
    <row r="17448" spans="2:2" ht="12.75" customHeight="1" x14ac:dyDescent="0.2">
      <c r="B17448" s="43"/>
    </row>
    <row r="17449" spans="2:2" ht="12.75" customHeight="1" x14ac:dyDescent="0.2">
      <c r="B17449" s="43"/>
    </row>
    <row r="17450" spans="2:2" ht="12.75" customHeight="1" x14ac:dyDescent="0.2">
      <c r="B17450" s="43"/>
    </row>
    <row r="17451" spans="2:2" ht="12.75" customHeight="1" x14ac:dyDescent="0.2">
      <c r="B17451" s="43"/>
    </row>
    <row r="17452" spans="2:2" ht="12.75" customHeight="1" x14ac:dyDescent="0.2">
      <c r="B17452" s="43"/>
    </row>
    <row r="17453" spans="2:2" ht="12.75" customHeight="1" x14ac:dyDescent="0.2">
      <c r="B17453" s="43"/>
    </row>
    <row r="17454" spans="2:2" ht="12.75" customHeight="1" x14ac:dyDescent="0.2">
      <c r="B17454" s="43"/>
    </row>
    <row r="17455" spans="2:2" ht="12.75" customHeight="1" x14ac:dyDescent="0.2">
      <c r="B17455" s="43"/>
    </row>
    <row r="17456" spans="2:2" ht="12.75" customHeight="1" x14ac:dyDescent="0.2">
      <c r="B17456" s="43"/>
    </row>
    <row r="17457" spans="2:2" ht="12.75" customHeight="1" x14ac:dyDescent="0.2">
      <c r="B17457" s="43"/>
    </row>
    <row r="17458" spans="2:2" ht="12.75" customHeight="1" x14ac:dyDescent="0.2">
      <c r="B17458" s="43"/>
    </row>
    <row r="17459" spans="2:2" ht="12.75" customHeight="1" x14ac:dyDescent="0.2">
      <c r="B17459" s="43"/>
    </row>
    <row r="17460" spans="2:2" ht="12.75" customHeight="1" x14ac:dyDescent="0.2">
      <c r="B17460" s="43"/>
    </row>
    <row r="17461" spans="2:2" ht="12.75" customHeight="1" x14ac:dyDescent="0.2">
      <c r="B17461" s="43"/>
    </row>
    <row r="17462" spans="2:2" ht="12.75" customHeight="1" x14ac:dyDescent="0.2">
      <c r="B17462" s="43"/>
    </row>
    <row r="17463" spans="2:2" ht="12.75" customHeight="1" x14ac:dyDescent="0.2">
      <c r="B17463" s="43"/>
    </row>
    <row r="17464" spans="2:2" ht="12.75" customHeight="1" x14ac:dyDescent="0.2">
      <c r="B17464" s="43"/>
    </row>
    <row r="17465" spans="2:2" ht="12.75" customHeight="1" x14ac:dyDescent="0.2">
      <c r="B17465" s="43"/>
    </row>
    <row r="17466" spans="2:2" ht="12.75" customHeight="1" x14ac:dyDescent="0.2">
      <c r="B17466" s="43"/>
    </row>
    <row r="17467" spans="2:2" ht="12.75" customHeight="1" x14ac:dyDescent="0.2">
      <c r="B17467" s="43"/>
    </row>
    <row r="17468" spans="2:2" ht="12.75" customHeight="1" x14ac:dyDescent="0.2">
      <c r="B17468" s="43"/>
    </row>
    <row r="17469" spans="2:2" ht="12.75" customHeight="1" x14ac:dyDescent="0.2">
      <c r="B17469" s="43"/>
    </row>
    <row r="17470" spans="2:2" ht="12.75" customHeight="1" x14ac:dyDescent="0.2">
      <c r="B17470" s="43"/>
    </row>
    <row r="17471" spans="2:2" ht="12.75" customHeight="1" x14ac:dyDescent="0.2">
      <c r="B17471" s="43"/>
    </row>
    <row r="17472" spans="2:2" ht="12.75" customHeight="1" x14ac:dyDescent="0.2">
      <c r="B17472" s="43"/>
    </row>
    <row r="17473" spans="2:2" ht="12.75" customHeight="1" x14ac:dyDescent="0.2">
      <c r="B17473" s="43"/>
    </row>
    <row r="17474" spans="2:2" ht="12.75" customHeight="1" x14ac:dyDescent="0.2">
      <c r="B17474" s="43"/>
    </row>
    <row r="17475" spans="2:2" ht="12.75" customHeight="1" x14ac:dyDescent="0.2">
      <c r="B17475" s="43"/>
    </row>
    <row r="17476" spans="2:2" ht="12.75" customHeight="1" x14ac:dyDescent="0.2">
      <c r="B17476" s="43"/>
    </row>
    <row r="17477" spans="2:2" ht="12.75" customHeight="1" x14ac:dyDescent="0.2">
      <c r="B17477" s="43"/>
    </row>
    <row r="17478" spans="2:2" ht="12.75" customHeight="1" x14ac:dyDescent="0.2">
      <c r="B17478" s="43"/>
    </row>
    <row r="17479" spans="2:2" ht="12.75" customHeight="1" x14ac:dyDescent="0.2">
      <c r="B17479" s="43"/>
    </row>
    <row r="17480" spans="2:2" ht="12.75" customHeight="1" x14ac:dyDescent="0.2">
      <c r="B17480" s="43"/>
    </row>
    <row r="17481" spans="2:2" ht="12.75" customHeight="1" x14ac:dyDescent="0.2">
      <c r="B17481" s="43"/>
    </row>
    <row r="17482" spans="2:2" ht="12.75" customHeight="1" x14ac:dyDescent="0.2">
      <c r="B17482" s="43"/>
    </row>
    <row r="17483" spans="2:2" ht="12.75" customHeight="1" x14ac:dyDescent="0.2">
      <c r="B17483" s="43"/>
    </row>
    <row r="17484" spans="2:2" ht="12.75" customHeight="1" x14ac:dyDescent="0.2">
      <c r="B17484" s="43"/>
    </row>
    <row r="17485" spans="2:2" ht="12.75" customHeight="1" x14ac:dyDescent="0.2">
      <c r="B17485" s="43"/>
    </row>
    <row r="17486" spans="2:2" ht="12.75" customHeight="1" x14ac:dyDescent="0.2">
      <c r="B17486" s="43"/>
    </row>
    <row r="17487" spans="2:2" ht="12.75" customHeight="1" x14ac:dyDescent="0.2">
      <c r="B17487" s="43"/>
    </row>
    <row r="17488" spans="2:2" ht="12.75" customHeight="1" x14ac:dyDescent="0.2">
      <c r="B17488" s="43"/>
    </row>
    <row r="17489" spans="2:2" ht="12.75" customHeight="1" x14ac:dyDescent="0.2">
      <c r="B17489" s="43"/>
    </row>
    <row r="17490" spans="2:2" ht="12.75" customHeight="1" x14ac:dyDescent="0.2">
      <c r="B17490" s="43"/>
    </row>
    <row r="17491" spans="2:2" ht="12.75" customHeight="1" x14ac:dyDescent="0.2">
      <c r="B17491" s="43"/>
    </row>
    <row r="17492" spans="2:2" ht="12.75" customHeight="1" x14ac:dyDescent="0.2">
      <c r="B17492" s="43"/>
    </row>
    <row r="17493" spans="2:2" ht="12.75" customHeight="1" x14ac:dyDescent="0.2">
      <c r="B17493" s="43"/>
    </row>
    <row r="17494" spans="2:2" ht="12.75" customHeight="1" x14ac:dyDescent="0.2">
      <c r="B17494" s="43"/>
    </row>
    <row r="17495" spans="2:2" ht="12.75" customHeight="1" x14ac:dyDescent="0.2">
      <c r="B17495" s="43"/>
    </row>
    <row r="17496" spans="2:2" ht="12.75" customHeight="1" x14ac:dyDescent="0.2">
      <c r="B17496" s="43"/>
    </row>
    <row r="17497" spans="2:2" ht="12.75" customHeight="1" x14ac:dyDescent="0.2">
      <c r="B17497" s="43"/>
    </row>
    <row r="17498" spans="2:2" ht="12.75" customHeight="1" x14ac:dyDescent="0.2">
      <c r="B17498" s="43"/>
    </row>
    <row r="17499" spans="2:2" ht="12.75" customHeight="1" x14ac:dyDescent="0.2">
      <c r="B17499" s="43"/>
    </row>
    <row r="17500" spans="2:2" ht="12.75" customHeight="1" x14ac:dyDescent="0.2">
      <c r="B17500" s="43"/>
    </row>
    <row r="17501" spans="2:2" ht="12.75" customHeight="1" x14ac:dyDescent="0.2">
      <c r="B17501" s="43"/>
    </row>
    <row r="17502" spans="2:2" ht="12.75" customHeight="1" x14ac:dyDescent="0.2">
      <c r="B17502" s="43"/>
    </row>
    <row r="17503" spans="2:2" ht="12.75" customHeight="1" x14ac:dyDescent="0.2">
      <c r="B17503" s="43"/>
    </row>
    <row r="17504" spans="2:2" ht="12.75" customHeight="1" x14ac:dyDescent="0.2">
      <c r="B17504" s="43"/>
    </row>
    <row r="17505" spans="2:2" ht="12.75" customHeight="1" x14ac:dyDescent="0.2">
      <c r="B17505" s="43"/>
    </row>
    <row r="17506" spans="2:2" ht="12.75" customHeight="1" x14ac:dyDescent="0.2">
      <c r="B17506" s="43"/>
    </row>
    <row r="17507" spans="2:2" ht="12.75" customHeight="1" x14ac:dyDescent="0.2">
      <c r="B17507" s="43"/>
    </row>
    <row r="17508" spans="2:2" ht="12.75" customHeight="1" x14ac:dyDescent="0.2">
      <c r="B17508" s="43"/>
    </row>
    <row r="17509" spans="2:2" ht="12.75" customHeight="1" x14ac:dyDescent="0.2">
      <c r="B17509" s="43"/>
    </row>
    <row r="17510" spans="2:2" ht="12.75" customHeight="1" x14ac:dyDescent="0.2">
      <c r="B17510" s="43"/>
    </row>
    <row r="17511" spans="2:2" ht="12.75" customHeight="1" x14ac:dyDescent="0.2">
      <c r="B17511" s="43"/>
    </row>
    <row r="17512" spans="2:2" ht="12.75" customHeight="1" x14ac:dyDescent="0.2">
      <c r="B17512" s="43"/>
    </row>
    <row r="17513" spans="2:2" ht="12.75" customHeight="1" x14ac:dyDescent="0.2">
      <c r="B17513" s="43"/>
    </row>
    <row r="17514" spans="2:2" ht="12.75" customHeight="1" x14ac:dyDescent="0.2">
      <c r="B17514" s="43"/>
    </row>
    <row r="17515" spans="2:2" ht="12.75" customHeight="1" x14ac:dyDescent="0.2">
      <c r="B17515" s="43"/>
    </row>
    <row r="17516" spans="2:2" ht="12.75" customHeight="1" x14ac:dyDescent="0.2">
      <c r="B17516" s="43"/>
    </row>
    <row r="17517" spans="2:2" ht="12.75" customHeight="1" x14ac:dyDescent="0.2">
      <c r="B17517" s="43"/>
    </row>
    <row r="17518" spans="2:2" ht="12.75" customHeight="1" x14ac:dyDescent="0.2">
      <c r="B17518" s="43"/>
    </row>
    <row r="17519" spans="2:2" ht="12.75" customHeight="1" x14ac:dyDescent="0.2">
      <c r="B17519" s="43"/>
    </row>
    <row r="17520" spans="2:2" ht="12.75" customHeight="1" x14ac:dyDescent="0.2">
      <c r="B17520" s="43"/>
    </row>
    <row r="17521" spans="2:2" ht="12.75" customHeight="1" x14ac:dyDescent="0.2">
      <c r="B17521" s="43"/>
    </row>
    <row r="17522" spans="2:2" ht="12.75" customHeight="1" x14ac:dyDescent="0.2">
      <c r="B17522" s="43"/>
    </row>
    <row r="17523" spans="2:2" ht="12.75" customHeight="1" x14ac:dyDescent="0.2">
      <c r="B17523" s="43"/>
    </row>
    <row r="17524" spans="2:2" ht="12.75" customHeight="1" x14ac:dyDescent="0.2">
      <c r="B17524" s="43"/>
    </row>
    <row r="17525" spans="2:2" ht="12.75" customHeight="1" x14ac:dyDescent="0.2">
      <c r="B17525" s="43"/>
    </row>
    <row r="17526" spans="2:2" ht="12.75" customHeight="1" x14ac:dyDescent="0.2">
      <c r="B17526" s="43"/>
    </row>
    <row r="17527" spans="2:2" ht="12.75" customHeight="1" x14ac:dyDescent="0.2">
      <c r="B17527" s="43"/>
    </row>
    <row r="17528" spans="2:2" ht="12.75" customHeight="1" x14ac:dyDescent="0.2">
      <c r="B17528" s="43"/>
    </row>
    <row r="17529" spans="2:2" ht="12.75" customHeight="1" x14ac:dyDescent="0.2">
      <c r="B17529" s="43"/>
    </row>
    <row r="17530" spans="2:2" ht="12.75" customHeight="1" x14ac:dyDescent="0.2">
      <c r="B17530" s="43"/>
    </row>
    <row r="17531" spans="2:2" ht="12.75" customHeight="1" x14ac:dyDescent="0.2">
      <c r="B17531" s="43"/>
    </row>
    <row r="17532" spans="2:2" ht="12.75" customHeight="1" x14ac:dyDescent="0.2">
      <c r="B17532" s="43"/>
    </row>
    <row r="17533" spans="2:2" ht="12.75" customHeight="1" x14ac:dyDescent="0.2">
      <c r="B17533" s="43"/>
    </row>
    <row r="17534" spans="2:2" ht="12.75" customHeight="1" x14ac:dyDescent="0.2">
      <c r="B17534" s="43"/>
    </row>
    <row r="17535" spans="2:2" ht="12.75" customHeight="1" x14ac:dyDescent="0.2">
      <c r="B17535" s="43"/>
    </row>
    <row r="17536" spans="2:2" ht="12.75" customHeight="1" x14ac:dyDescent="0.2">
      <c r="B17536" s="43"/>
    </row>
    <row r="17537" spans="2:2" ht="12.75" customHeight="1" x14ac:dyDescent="0.2">
      <c r="B17537" s="43"/>
    </row>
    <row r="17538" spans="2:2" ht="12.75" customHeight="1" x14ac:dyDescent="0.2">
      <c r="B17538" s="43"/>
    </row>
    <row r="17539" spans="2:2" ht="12.75" customHeight="1" x14ac:dyDescent="0.2">
      <c r="B17539" s="43"/>
    </row>
    <row r="17540" spans="2:2" ht="12.75" customHeight="1" x14ac:dyDescent="0.2">
      <c r="B17540" s="43"/>
    </row>
    <row r="17541" spans="2:2" ht="12.75" customHeight="1" x14ac:dyDescent="0.2">
      <c r="B17541" s="43"/>
    </row>
    <row r="17542" spans="2:2" ht="12.75" customHeight="1" x14ac:dyDescent="0.2">
      <c r="B17542" s="43"/>
    </row>
    <row r="17543" spans="2:2" ht="12.75" customHeight="1" x14ac:dyDescent="0.2">
      <c r="B17543" s="43"/>
    </row>
    <row r="17544" spans="2:2" ht="12.75" customHeight="1" x14ac:dyDescent="0.2">
      <c r="B17544" s="43"/>
    </row>
    <row r="17545" spans="2:2" ht="12.75" customHeight="1" x14ac:dyDescent="0.2">
      <c r="B17545" s="43"/>
    </row>
    <row r="17546" spans="2:2" ht="12.75" customHeight="1" x14ac:dyDescent="0.2">
      <c r="B17546" s="43"/>
    </row>
    <row r="17547" spans="2:2" ht="12.75" customHeight="1" x14ac:dyDescent="0.2">
      <c r="B17547" s="43"/>
    </row>
    <row r="17548" spans="2:2" ht="12.75" customHeight="1" x14ac:dyDescent="0.2">
      <c r="B17548" s="43"/>
    </row>
    <row r="17549" spans="2:2" ht="12.75" customHeight="1" x14ac:dyDescent="0.2">
      <c r="B17549" s="43"/>
    </row>
    <row r="17550" spans="2:2" ht="12.75" customHeight="1" x14ac:dyDescent="0.2">
      <c r="B17550" s="43"/>
    </row>
    <row r="17551" spans="2:2" ht="12.75" customHeight="1" x14ac:dyDescent="0.2">
      <c r="B17551" s="43"/>
    </row>
    <row r="17552" spans="2:2" ht="12.75" customHeight="1" x14ac:dyDescent="0.2">
      <c r="B17552" s="43"/>
    </row>
    <row r="17553" spans="2:2" ht="12.75" customHeight="1" x14ac:dyDescent="0.2">
      <c r="B17553" s="43"/>
    </row>
    <row r="17554" spans="2:2" ht="12.75" customHeight="1" x14ac:dyDescent="0.2">
      <c r="B17554" s="43"/>
    </row>
    <row r="17555" spans="2:2" ht="12.75" customHeight="1" x14ac:dyDescent="0.2">
      <c r="B17555" s="43"/>
    </row>
    <row r="17556" spans="2:2" ht="12.75" customHeight="1" x14ac:dyDescent="0.2">
      <c r="B17556" s="43"/>
    </row>
    <row r="17557" spans="2:2" ht="12.75" customHeight="1" x14ac:dyDescent="0.2">
      <c r="B17557" s="43"/>
    </row>
    <row r="17558" spans="2:2" ht="12.75" customHeight="1" x14ac:dyDescent="0.2">
      <c r="B17558" s="43"/>
    </row>
    <row r="17559" spans="2:2" ht="12.75" customHeight="1" x14ac:dyDescent="0.2">
      <c r="B17559" s="43"/>
    </row>
    <row r="17560" spans="2:2" ht="12.75" customHeight="1" x14ac:dyDescent="0.2">
      <c r="B17560" s="43"/>
    </row>
    <row r="17561" spans="2:2" ht="12.75" customHeight="1" x14ac:dyDescent="0.2">
      <c r="B17561" s="43"/>
    </row>
    <row r="17562" spans="2:2" ht="12.75" customHeight="1" x14ac:dyDescent="0.2">
      <c r="B17562" s="43"/>
    </row>
    <row r="17563" spans="2:2" ht="12.75" customHeight="1" x14ac:dyDescent="0.2">
      <c r="B17563" s="43"/>
    </row>
    <row r="17564" spans="2:2" ht="12.75" customHeight="1" x14ac:dyDescent="0.2">
      <c r="B17564" s="43"/>
    </row>
    <row r="17565" spans="2:2" ht="12.75" customHeight="1" x14ac:dyDescent="0.2">
      <c r="B17565" s="43"/>
    </row>
    <row r="17566" spans="2:2" ht="12.75" customHeight="1" x14ac:dyDescent="0.2">
      <c r="B17566" s="43"/>
    </row>
    <row r="17567" spans="2:2" ht="12.75" customHeight="1" x14ac:dyDescent="0.2">
      <c r="B17567" s="43"/>
    </row>
    <row r="17568" spans="2:2" ht="12.75" customHeight="1" x14ac:dyDescent="0.2">
      <c r="B17568" s="43"/>
    </row>
    <row r="17569" spans="2:2" ht="12.75" customHeight="1" x14ac:dyDescent="0.2">
      <c r="B17569" s="43"/>
    </row>
    <row r="17570" spans="2:2" ht="12.75" customHeight="1" x14ac:dyDescent="0.2">
      <c r="B17570" s="43"/>
    </row>
    <row r="17571" spans="2:2" ht="12.75" customHeight="1" x14ac:dyDescent="0.2">
      <c r="B17571" s="43"/>
    </row>
    <row r="17572" spans="2:2" ht="12.75" customHeight="1" x14ac:dyDescent="0.2">
      <c r="B17572" s="43"/>
    </row>
    <row r="17573" spans="2:2" ht="12.75" customHeight="1" x14ac:dyDescent="0.2">
      <c r="B17573" s="43"/>
    </row>
    <row r="17574" spans="2:2" ht="12.75" customHeight="1" x14ac:dyDescent="0.2">
      <c r="B17574" s="43"/>
    </row>
    <row r="17575" spans="2:2" ht="12.75" customHeight="1" x14ac:dyDescent="0.2">
      <c r="B17575" s="43"/>
    </row>
    <row r="17576" spans="2:2" ht="12.75" customHeight="1" x14ac:dyDescent="0.2">
      <c r="B17576" s="43"/>
    </row>
    <row r="17577" spans="2:2" ht="12.75" customHeight="1" x14ac:dyDescent="0.2">
      <c r="B17577" s="43"/>
    </row>
    <row r="17578" spans="2:2" ht="12.75" customHeight="1" x14ac:dyDescent="0.2">
      <c r="B17578" s="43"/>
    </row>
    <row r="17579" spans="2:2" ht="12.75" customHeight="1" x14ac:dyDescent="0.2">
      <c r="B17579" s="43"/>
    </row>
    <row r="17580" spans="2:2" ht="12.75" customHeight="1" x14ac:dyDescent="0.2">
      <c r="B17580" s="43"/>
    </row>
    <row r="17581" spans="2:2" ht="12.75" customHeight="1" x14ac:dyDescent="0.2">
      <c r="B17581" s="43"/>
    </row>
    <row r="17582" spans="2:2" ht="12.75" customHeight="1" x14ac:dyDescent="0.2">
      <c r="B17582" s="43"/>
    </row>
    <row r="17583" spans="2:2" ht="12.75" customHeight="1" x14ac:dyDescent="0.2">
      <c r="B17583" s="43"/>
    </row>
    <row r="17584" spans="2:2" ht="12.75" customHeight="1" x14ac:dyDescent="0.2">
      <c r="B17584" s="43"/>
    </row>
    <row r="17585" spans="2:2" ht="12.75" customHeight="1" x14ac:dyDescent="0.2">
      <c r="B17585" s="43"/>
    </row>
    <row r="17586" spans="2:2" ht="12.75" customHeight="1" x14ac:dyDescent="0.2">
      <c r="B17586" s="43"/>
    </row>
    <row r="17587" spans="2:2" ht="12.75" customHeight="1" x14ac:dyDescent="0.2">
      <c r="B17587" s="43"/>
    </row>
    <row r="17588" spans="2:2" ht="12.75" customHeight="1" x14ac:dyDescent="0.2">
      <c r="B17588" s="43"/>
    </row>
    <row r="17589" spans="2:2" ht="12.75" customHeight="1" x14ac:dyDescent="0.2">
      <c r="B17589" s="43"/>
    </row>
    <row r="17590" spans="2:2" ht="12.75" customHeight="1" x14ac:dyDescent="0.2">
      <c r="B17590" s="43"/>
    </row>
    <row r="17591" spans="2:2" ht="12.75" customHeight="1" x14ac:dyDescent="0.2">
      <c r="B17591" s="43"/>
    </row>
    <row r="17592" spans="2:2" ht="12.75" customHeight="1" x14ac:dyDescent="0.2">
      <c r="B17592" s="43"/>
    </row>
    <row r="17593" spans="2:2" ht="12.75" customHeight="1" x14ac:dyDescent="0.2">
      <c r="B17593" s="43"/>
    </row>
    <row r="17594" spans="2:2" ht="12.75" customHeight="1" x14ac:dyDescent="0.2">
      <c r="B17594" s="43"/>
    </row>
    <row r="17595" spans="2:2" ht="12.75" customHeight="1" x14ac:dyDescent="0.2">
      <c r="B17595" s="43"/>
    </row>
    <row r="17596" spans="2:2" ht="12.75" customHeight="1" x14ac:dyDescent="0.2">
      <c r="B17596" s="43"/>
    </row>
    <row r="17597" spans="2:2" ht="12.75" customHeight="1" x14ac:dyDescent="0.2">
      <c r="B17597" s="43"/>
    </row>
    <row r="17598" spans="2:2" ht="12.75" customHeight="1" x14ac:dyDescent="0.2">
      <c r="B17598" s="43"/>
    </row>
    <row r="17599" spans="2:2" ht="12.75" customHeight="1" x14ac:dyDescent="0.2">
      <c r="B17599" s="43"/>
    </row>
    <row r="17600" spans="2:2" ht="12.75" customHeight="1" x14ac:dyDescent="0.2">
      <c r="B17600" s="43"/>
    </row>
    <row r="17601" spans="2:2" ht="12.75" customHeight="1" x14ac:dyDescent="0.2">
      <c r="B17601" s="43"/>
    </row>
    <row r="17602" spans="2:2" ht="12.75" customHeight="1" x14ac:dyDescent="0.2">
      <c r="B17602" s="43"/>
    </row>
    <row r="17603" spans="2:2" ht="12.75" customHeight="1" x14ac:dyDescent="0.2">
      <c r="B17603" s="43"/>
    </row>
    <row r="17604" spans="2:2" ht="12.75" customHeight="1" x14ac:dyDescent="0.2">
      <c r="B17604" s="43"/>
    </row>
    <row r="17605" spans="2:2" ht="12.75" customHeight="1" x14ac:dyDescent="0.2">
      <c r="B17605" s="43"/>
    </row>
    <row r="17606" spans="2:2" ht="12.75" customHeight="1" x14ac:dyDescent="0.2">
      <c r="B17606" s="43"/>
    </row>
    <row r="17607" spans="2:2" ht="12.75" customHeight="1" x14ac:dyDescent="0.2">
      <c r="B17607" s="43"/>
    </row>
    <row r="17608" spans="2:2" ht="12.75" customHeight="1" x14ac:dyDescent="0.2">
      <c r="B17608" s="43"/>
    </row>
    <row r="17609" spans="2:2" ht="12.75" customHeight="1" x14ac:dyDescent="0.2">
      <c r="B17609" s="43"/>
    </row>
    <row r="17610" spans="2:2" ht="12.75" customHeight="1" x14ac:dyDescent="0.2">
      <c r="B17610" s="43"/>
    </row>
    <row r="17611" spans="2:2" ht="12.75" customHeight="1" x14ac:dyDescent="0.2">
      <c r="B17611" s="43"/>
    </row>
    <row r="17612" spans="2:2" ht="12.75" customHeight="1" x14ac:dyDescent="0.2">
      <c r="B17612" s="43"/>
    </row>
    <row r="17613" spans="2:2" ht="12.75" customHeight="1" x14ac:dyDescent="0.2">
      <c r="B17613" s="43"/>
    </row>
    <row r="17614" spans="2:2" ht="12.75" customHeight="1" x14ac:dyDescent="0.2">
      <c r="B17614" s="43"/>
    </row>
    <row r="17615" spans="2:2" ht="12.75" customHeight="1" x14ac:dyDescent="0.2">
      <c r="B17615" s="43"/>
    </row>
    <row r="17616" spans="2:2" ht="12.75" customHeight="1" x14ac:dyDescent="0.2">
      <c r="B17616" s="43"/>
    </row>
    <row r="17617" spans="2:2" ht="12.75" customHeight="1" x14ac:dyDescent="0.2">
      <c r="B17617" s="43"/>
    </row>
    <row r="17618" spans="2:2" ht="12.75" customHeight="1" x14ac:dyDescent="0.2">
      <c r="B17618" s="43"/>
    </row>
    <row r="17619" spans="2:2" ht="12.75" customHeight="1" x14ac:dyDescent="0.2">
      <c r="B17619" s="43"/>
    </row>
    <row r="17620" spans="2:2" ht="12.75" customHeight="1" x14ac:dyDescent="0.2">
      <c r="B17620" s="43"/>
    </row>
    <row r="17621" spans="2:2" ht="12.75" customHeight="1" x14ac:dyDescent="0.2">
      <c r="B17621" s="43"/>
    </row>
    <row r="17622" spans="2:2" ht="12.75" customHeight="1" x14ac:dyDescent="0.2">
      <c r="B17622" s="43"/>
    </row>
    <row r="17623" spans="2:2" ht="12.75" customHeight="1" x14ac:dyDescent="0.2">
      <c r="B17623" s="43"/>
    </row>
    <row r="17624" spans="2:2" ht="12.75" customHeight="1" x14ac:dyDescent="0.2">
      <c r="B17624" s="43"/>
    </row>
    <row r="17625" spans="2:2" ht="12.75" customHeight="1" x14ac:dyDescent="0.2">
      <c r="B17625" s="43"/>
    </row>
    <row r="17626" spans="2:2" ht="12.75" customHeight="1" x14ac:dyDescent="0.2">
      <c r="B17626" s="43"/>
    </row>
    <row r="17627" spans="2:2" ht="12.75" customHeight="1" x14ac:dyDescent="0.2">
      <c r="B17627" s="43"/>
    </row>
    <row r="17628" spans="2:2" ht="12.75" customHeight="1" x14ac:dyDescent="0.2">
      <c r="B17628" s="43"/>
    </row>
    <row r="17629" spans="2:2" ht="12.75" customHeight="1" x14ac:dyDescent="0.2">
      <c r="B17629" s="43"/>
    </row>
    <row r="17630" spans="2:2" ht="12.75" customHeight="1" x14ac:dyDescent="0.2">
      <c r="B17630" s="43"/>
    </row>
    <row r="17631" spans="2:2" ht="12.75" customHeight="1" x14ac:dyDescent="0.2">
      <c r="B17631" s="43"/>
    </row>
    <row r="17632" spans="2:2" ht="12.75" customHeight="1" x14ac:dyDescent="0.2">
      <c r="B17632" s="43"/>
    </row>
    <row r="17633" spans="2:2" ht="12.75" customHeight="1" x14ac:dyDescent="0.2">
      <c r="B17633" s="43"/>
    </row>
    <row r="17634" spans="2:2" ht="12.75" customHeight="1" x14ac:dyDescent="0.2">
      <c r="B17634" s="43"/>
    </row>
    <row r="17635" spans="2:2" ht="12.75" customHeight="1" x14ac:dyDescent="0.2">
      <c r="B17635" s="43"/>
    </row>
    <row r="17636" spans="2:2" ht="12.75" customHeight="1" x14ac:dyDescent="0.2">
      <c r="B17636" s="43"/>
    </row>
    <row r="17637" spans="2:2" ht="12.75" customHeight="1" x14ac:dyDescent="0.2">
      <c r="B17637" s="43"/>
    </row>
    <row r="17638" spans="2:2" ht="12.75" customHeight="1" x14ac:dyDescent="0.2">
      <c r="B17638" s="43"/>
    </row>
    <row r="17639" spans="2:2" ht="12.75" customHeight="1" x14ac:dyDescent="0.2">
      <c r="B17639" s="43"/>
    </row>
    <row r="17640" spans="2:2" ht="12.75" customHeight="1" x14ac:dyDescent="0.2">
      <c r="B17640" s="43"/>
    </row>
    <row r="17641" spans="2:2" ht="12.75" customHeight="1" x14ac:dyDescent="0.2">
      <c r="B17641" s="43"/>
    </row>
    <row r="17642" spans="2:2" ht="12.75" customHeight="1" x14ac:dyDescent="0.2">
      <c r="B17642" s="43"/>
    </row>
    <row r="17643" spans="2:2" ht="12.75" customHeight="1" x14ac:dyDescent="0.2">
      <c r="B17643" s="43"/>
    </row>
    <row r="17644" spans="2:2" ht="12.75" customHeight="1" x14ac:dyDescent="0.2">
      <c r="B17644" s="43"/>
    </row>
    <row r="17645" spans="2:2" ht="12.75" customHeight="1" x14ac:dyDescent="0.2">
      <c r="B17645" s="43"/>
    </row>
    <row r="17646" spans="2:2" ht="12.75" customHeight="1" x14ac:dyDescent="0.2">
      <c r="B17646" s="43"/>
    </row>
    <row r="17647" spans="2:2" ht="12.75" customHeight="1" x14ac:dyDescent="0.2">
      <c r="B17647" s="43"/>
    </row>
    <row r="17648" spans="2:2" ht="12.75" customHeight="1" x14ac:dyDescent="0.2">
      <c r="B17648" s="43"/>
    </row>
    <row r="17649" spans="2:2" ht="12.75" customHeight="1" x14ac:dyDescent="0.2">
      <c r="B17649" s="43"/>
    </row>
    <row r="17650" spans="2:2" ht="12.75" customHeight="1" x14ac:dyDescent="0.2">
      <c r="B17650" s="43"/>
    </row>
    <row r="17651" spans="2:2" ht="12.75" customHeight="1" x14ac:dyDescent="0.2">
      <c r="B17651" s="43"/>
    </row>
    <row r="17652" spans="2:2" ht="12.75" customHeight="1" x14ac:dyDescent="0.2">
      <c r="B17652" s="43"/>
    </row>
    <row r="17653" spans="2:2" ht="12.75" customHeight="1" x14ac:dyDescent="0.2">
      <c r="B17653" s="43"/>
    </row>
    <row r="17654" spans="2:2" ht="12.75" customHeight="1" x14ac:dyDescent="0.2">
      <c r="B17654" s="43"/>
    </row>
    <row r="17655" spans="2:2" ht="12.75" customHeight="1" x14ac:dyDescent="0.2">
      <c r="B17655" s="43"/>
    </row>
    <row r="17656" spans="2:2" ht="12.75" customHeight="1" x14ac:dyDescent="0.2">
      <c r="B17656" s="43"/>
    </row>
    <row r="17657" spans="2:2" ht="12.75" customHeight="1" x14ac:dyDescent="0.2">
      <c r="B17657" s="43"/>
    </row>
    <row r="17658" spans="2:2" ht="12.75" customHeight="1" x14ac:dyDescent="0.2">
      <c r="B17658" s="43"/>
    </row>
    <row r="17659" spans="2:2" ht="12.75" customHeight="1" x14ac:dyDescent="0.2">
      <c r="B17659" s="43"/>
    </row>
    <row r="17660" spans="2:2" ht="12.75" customHeight="1" x14ac:dyDescent="0.2">
      <c r="B17660" s="43"/>
    </row>
    <row r="17661" spans="2:2" ht="12.75" customHeight="1" x14ac:dyDescent="0.2">
      <c r="B17661" s="43"/>
    </row>
    <row r="17662" spans="2:2" ht="12.75" customHeight="1" x14ac:dyDescent="0.2">
      <c r="B17662" s="43"/>
    </row>
    <row r="17663" spans="2:2" ht="12.75" customHeight="1" x14ac:dyDescent="0.2">
      <c r="B17663" s="43"/>
    </row>
    <row r="17664" spans="2:2" ht="12.75" customHeight="1" x14ac:dyDescent="0.2">
      <c r="B17664" s="43"/>
    </row>
    <row r="17665" spans="2:2" ht="12.75" customHeight="1" x14ac:dyDescent="0.2">
      <c r="B17665" s="43"/>
    </row>
    <row r="17666" spans="2:2" ht="12.75" customHeight="1" x14ac:dyDescent="0.2">
      <c r="B17666" s="43"/>
    </row>
    <row r="17667" spans="2:2" ht="12.75" customHeight="1" x14ac:dyDescent="0.2">
      <c r="B17667" s="43"/>
    </row>
    <row r="17668" spans="2:2" ht="12.75" customHeight="1" x14ac:dyDescent="0.2">
      <c r="B17668" s="43"/>
    </row>
    <row r="17669" spans="2:2" ht="12.75" customHeight="1" x14ac:dyDescent="0.2">
      <c r="B17669" s="43"/>
    </row>
    <row r="17670" spans="2:2" ht="12.75" customHeight="1" x14ac:dyDescent="0.2">
      <c r="B17670" s="43"/>
    </row>
    <row r="17671" spans="2:2" ht="12.75" customHeight="1" x14ac:dyDescent="0.2">
      <c r="B17671" s="43"/>
    </row>
    <row r="17672" spans="2:2" ht="12.75" customHeight="1" x14ac:dyDescent="0.2">
      <c r="B17672" s="43"/>
    </row>
    <row r="17673" spans="2:2" ht="12.75" customHeight="1" x14ac:dyDescent="0.2">
      <c r="B17673" s="43"/>
    </row>
    <row r="17674" spans="2:2" ht="12.75" customHeight="1" x14ac:dyDescent="0.2">
      <c r="B17674" s="43"/>
    </row>
    <row r="17675" spans="2:2" ht="12.75" customHeight="1" x14ac:dyDescent="0.2">
      <c r="B17675" s="43"/>
    </row>
    <row r="17676" spans="2:2" ht="12.75" customHeight="1" x14ac:dyDescent="0.2">
      <c r="B17676" s="43"/>
    </row>
    <row r="17677" spans="2:2" ht="12.75" customHeight="1" x14ac:dyDescent="0.2">
      <c r="B17677" s="43"/>
    </row>
    <row r="17678" spans="2:2" ht="12.75" customHeight="1" x14ac:dyDescent="0.2">
      <c r="B17678" s="43"/>
    </row>
    <row r="17679" spans="2:2" ht="12.75" customHeight="1" x14ac:dyDescent="0.2">
      <c r="B17679" s="43"/>
    </row>
    <row r="17680" spans="2:2" ht="12.75" customHeight="1" x14ac:dyDescent="0.2">
      <c r="B17680" s="43"/>
    </row>
    <row r="17681" spans="2:2" ht="12.75" customHeight="1" x14ac:dyDescent="0.2">
      <c r="B17681" s="43"/>
    </row>
    <row r="17682" spans="2:2" ht="12.75" customHeight="1" x14ac:dyDescent="0.2">
      <c r="B17682" s="43"/>
    </row>
    <row r="17683" spans="2:2" ht="12.75" customHeight="1" x14ac:dyDescent="0.2">
      <c r="B17683" s="43"/>
    </row>
    <row r="17684" spans="2:2" ht="12.75" customHeight="1" x14ac:dyDescent="0.2">
      <c r="B17684" s="43"/>
    </row>
    <row r="17685" spans="2:2" ht="12.75" customHeight="1" x14ac:dyDescent="0.2">
      <c r="B17685" s="43"/>
    </row>
    <row r="17686" spans="2:2" ht="12.75" customHeight="1" x14ac:dyDescent="0.2">
      <c r="B17686" s="43"/>
    </row>
    <row r="17687" spans="2:2" ht="12.75" customHeight="1" x14ac:dyDescent="0.2">
      <c r="B17687" s="43"/>
    </row>
    <row r="17688" spans="2:2" ht="12.75" customHeight="1" x14ac:dyDescent="0.2">
      <c r="B17688" s="43"/>
    </row>
    <row r="17689" spans="2:2" ht="12.75" customHeight="1" x14ac:dyDescent="0.2">
      <c r="B17689" s="43"/>
    </row>
    <row r="17690" spans="2:2" ht="12.75" customHeight="1" x14ac:dyDescent="0.2">
      <c r="B17690" s="43"/>
    </row>
    <row r="17691" spans="2:2" ht="12.75" customHeight="1" x14ac:dyDescent="0.2">
      <c r="B17691" s="43"/>
    </row>
    <row r="17692" spans="2:2" ht="12.75" customHeight="1" x14ac:dyDescent="0.2">
      <c r="B17692" s="43"/>
    </row>
    <row r="17693" spans="2:2" ht="12.75" customHeight="1" x14ac:dyDescent="0.2">
      <c r="B17693" s="43"/>
    </row>
    <row r="17694" spans="2:2" ht="12.75" customHeight="1" x14ac:dyDescent="0.2">
      <c r="B17694" s="43"/>
    </row>
    <row r="17695" spans="2:2" ht="12.75" customHeight="1" x14ac:dyDescent="0.2">
      <c r="B17695" s="43"/>
    </row>
    <row r="17696" spans="2:2" ht="12.75" customHeight="1" x14ac:dyDescent="0.2">
      <c r="B17696" s="43"/>
    </row>
    <row r="17697" spans="2:2" ht="12.75" customHeight="1" x14ac:dyDescent="0.2">
      <c r="B17697" s="43"/>
    </row>
    <row r="17698" spans="2:2" ht="12.75" customHeight="1" x14ac:dyDescent="0.2">
      <c r="B17698" s="43"/>
    </row>
    <row r="17699" spans="2:2" ht="12.75" customHeight="1" x14ac:dyDescent="0.2">
      <c r="B17699" s="43"/>
    </row>
    <row r="17700" spans="2:2" ht="12.75" customHeight="1" x14ac:dyDescent="0.2">
      <c r="B17700" s="43"/>
    </row>
    <row r="17701" spans="2:2" ht="12.75" customHeight="1" x14ac:dyDescent="0.2">
      <c r="B17701" s="43"/>
    </row>
    <row r="17702" spans="2:2" ht="12.75" customHeight="1" x14ac:dyDescent="0.2">
      <c r="B17702" s="43"/>
    </row>
    <row r="17703" spans="2:2" ht="12.75" customHeight="1" x14ac:dyDescent="0.2">
      <c r="B17703" s="43"/>
    </row>
    <row r="17704" spans="2:2" ht="12.75" customHeight="1" x14ac:dyDescent="0.2">
      <c r="B17704" s="43"/>
    </row>
    <row r="17705" spans="2:2" ht="12.75" customHeight="1" x14ac:dyDescent="0.2">
      <c r="B17705" s="43"/>
    </row>
    <row r="17706" spans="2:2" ht="12.75" customHeight="1" x14ac:dyDescent="0.2">
      <c r="B17706" s="43"/>
    </row>
    <row r="17707" spans="2:2" ht="12.75" customHeight="1" x14ac:dyDescent="0.2">
      <c r="B17707" s="43"/>
    </row>
    <row r="17708" spans="2:2" ht="12.75" customHeight="1" x14ac:dyDescent="0.2">
      <c r="B17708" s="43"/>
    </row>
    <row r="17709" spans="2:2" ht="12.75" customHeight="1" x14ac:dyDescent="0.2">
      <c r="B17709" s="43"/>
    </row>
    <row r="17710" spans="2:2" ht="12.75" customHeight="1" x14ac:dyDescent="0.2">
      <c r="B17710" s="43"/>
    </row>
    <row r="17711" spans="2:2" ht="12.75" customHeight="1" x14ac:dyDescent="0.2">
      <c r="B17711" s="43"/>
    </row>
    <row r="17712" spans="2:2" ht="12.75" customHeight="1" x14ac:dyDescent="0.2">
      <c r="B17712" s="43"/>
    </row>
    <row r="17713" spans="2:2" ht="12.75" customHeight="1" x14ac:dyDescent="0.2">
      <c r="B17713" s="43"/>
    </row>
    <row r="17714" spans="2:2" ht="12.75" customHeight="1" x14ac:dyDescent="0.2">
      <c r="B17714" s="43"/>
    </row>
    <row r="17715" spans="2:2" ht="12.75" customHeight="1" x14ac:dyDescent="0.2">
      <c r="B17715" s="43"/>
    </row>
    <row r="17716" spans="2:2" ht="12.75" customHeight="1" x14ac:dyDescent="0.2">
      <c r="B17716" s="43"/>
    </row>
    <row r="17717" spans="2:2" ht="12.75" customHeight="1" x14ac:dyDescent="0.2">
      <c r="B17717" s="43"/>
    </row>
    <row r="17718" spans="2:2" ht="12.75" customHeight="1" x14ac:dyDescent="0.2">
      <c r="B17718" s="43"/>
    </row>
    <row r="17719" spans="2:2" ht="12.75" customHeight="1" x14ac:dyDescent="0.2">
      <c r="B17719" s="43"/>
    </row>
    <row r="17720" spans="2:2" ht="12.75" customHeight="1" x14ac:dyDescent="0.2">
      <c r="B17720" s="43"/>
    </row>
    <row r="17721" spans="2:2" ht="12.75" customHeight="1" x14ac:dyDescent="0.2">
      <c r="B17721" s="43"/>
    </row>
    <row r="17722" spans="2:2" ht="12.75" customHeight="1" x14ac:dyDescent="0.2">
      <c r="B17722" s="43"/>
    </row>
    <row r="17723" spans="2:2" ht="12.75" customHeight="1" x14ac:dyDescent="0.2">
      <c r="B17723" s="43"/>
    </row>
    <row r="17724" spans="2:2" ht="12.75" customHeight="1" x14ac:dyDescent="0.2">
      <c r="B17724" s="43"/>
    </row>
    <row r="17725" spans="2:2" ht="12.75" customHeight="1" x14ac:dyDescent="0.2">
      <c r="B17725" s="43"/>
    </row>
    <row r="17726" spans="2:2" ht="12.75" customHeight="1" x14ac:dyDescent="0.2">
      <c r="B17726" s="43"/>
    </row>
    <row r="17727" spans="2:2" ht="12.75" customHeight="1" x14ac:dyDescent="0.2">
      <c r="B17727" s="43"/>
    </row>
    <row r="17728" spans="2:2" ht="12.75" customHeight="1" x14ac:dyDescent="0.2">
      <c r="B17728" s="43"/>
    </row>
    <row r="17729" spans="2:2" ht="12.75" customHeight="1" x14ac:dyDescent="0.2">
      <c r="B17729" s="43"/>
    </row>
    <row r="17730" spans="2:2" ht="12.75" customHeight="1" x14ac:dyDescent="0.2">
      <c r="B17730" s="43"/>
    </row>
    <row r="17731" spans="2:2" ht="12.75" customHeight="1" x14ac:dyDescent="0.2">
      <c r="B17731" s="43"/>
    </row>
    <row r="17732" spans="2:2" ht="12.75" customHeight="1" x14ac:dyDescent="0.2">
      <c r="B17732" s="43"/>
    </row>
    <row r="17733" spans="2:2" ht="12.75" customHeight="1" x14ac:dyDescent="0.2">
      <c r="B17733" s="43"/>
    </row>
    <row r="17734" spans="2:2" ht="12.75" customHeight="1" x14ac:dyDescent="0.2">
      <c r="B17734" s="43"/>
    </row>
    <row r="17735" spans="2:2" ht="12.75" customHeight="1" x14ac:dyDescent="0.2">
      <c r="B17735" s="43"/>
    </row>
    <row r="17736" spans="2:2" ht="12.75" customHeight="1" x14ac:dyDescent="0.2">
      <c r="B17736" s="43"/>
    </row>
    <row r="17737" spans="2:2" ht="12.75" customHeight="1" x14ac:dyDescent="0.2">
      <c r="B17737" s="43"/>
    </row>
    <row r="17738" spans="2:2" ht="12.75" customHeight="1" x14ac:dyDescent="0.2">
      <c r="B17738" s="43"/>
    </row>
    <row r="17739" spans="2:2" ht="12.75" customHeight="1" x14ac:dyDescent="0.2">
      <c r="B17739" s="43"/>
    </row>
    <row r="17740" spans="2:2" ht="12.75" customHeight="1" x14ac:dyDescent="0.2">
      <c r="B17740" s="43"/>
    </row>
    <row r="17741" spans="2:2" ht="12.75" customHeight="1" x14ac:dyDescent="0.2">
      <c r="B17741" s="43"/>
    </row>
    <row r="17742" spans="2:2" ht="12.75" customHeight="1" x14ac:dyDescent="0.2">
      <c r="B17742" s="43"/>
    </row>
    <row r="17743" spans="2:2" ht="12.75" customHeight="1" x14ac:dyDescent="0.2">
      <c r="B17743" s="43"/>
    </row>
    <row r="17744" spans="2:2" ht="12.75" customHeight="1" x14ac:dyDescent="0.2">
      <c r="B17744" s="43"/>
    </row>
    <row r="17745" spans="2:2" ht="12.75" customHeight="1" x14ac:dyDescent="0.2">
      <c r="B17745" s="43"/>
    </row>
    <row r="17746" spans="2:2" ht="12.75" customHeight="1" x14ac:dyDescent="0.2">
      <c r="B17746" s="43"/>
    </row>
    <row r="17747" spans="2:2" ht="12.75" customHeight="1" x14ac:dyDescent="0.2">
      <c r="B17747" s="43"/>
    </row>
    <row r="17748" spans="2:2" ht="12.75" customHeight="1" x14ac:dyDescent="0.2">
      <c r="B17748" s="43"/>
    </row>
    <row r="17749" spans="2:2" ht="12.75" customHeight="1" x14ac:dyDescent="0.2">
      <c r="B17749" s="43"/>
    </row>
    <row r="17750" spans="2:2" ht="12.75" customHeight="1" x14ac:dyDescent="0.2">
      <c r="B17750" s="43"/>
    </row>
    <row r="17751" spans="2:2" ht="12.75" customHeight="1" x14ac:dyDescent="0.2">
      <c r="B17751" s="43"/>
    </row>
    <row r="17752" spans="2:2" ht="12.75" customHeight="1" x14ac:dyDescent="0.2">
      <c r="B17752" s="43"/>
    </row>
    <row r="17753" spans="2:2" ht="12.75" customHeight="1" x14ac:dyDescent="0.2">
      <c r="B17753" s="43"/>
    </row>
    <row r="17754" spans="2:2" ht="12.75" customHeight="1" x14ac:dyDescent="0.2">
      <c r="B17754" s="43"/>
    </row>
    <row r="17755" spans="2:2" ht="12.75" customHeight="1" x14ac:dyDescent="0.2">
      <c r="B17755" s="43"/>
    </row>
    <row r="17756" spans="2:2" ht="12.75" customHeight="1" x14ac:dyDescent="0.2">
      <c r="B17756" s="43"/>
    </row>
    <row r="17757" spans="2:2" ht="12.75" customHeight="1" x14ac:dyDescent="0.2">
      <c r="B17757" s="43"/>
    </row>
    <row r="17758" spans="2:2" ht="12.75" customHeight="1" x14ac:dyDescent="0.2">
      <c r="B17758" s="43"/>
    </row>
    <row r="17759" spans="2:2" ht="12.75" customHeight="1" x14ac:dyDescent="0.2">
      <c r="B17759" s="43"/>
    </row>
    <row r="17760" spans="2:2" ht="12.75" customHeight="1" x14ac:dyDescent="0.2">
      <c r="B17760" s="43"/>
    </row>
    <row r="17761" spans="2:2" ht="12.75" customHeight="1" x14ac:dyDescent="0.2">
      <c r="B17761" s="43"/>
    </row>
    <row r="17762" spans="2:2" ht="12.75" customHeight="1" x14ac:dyDescent="0.2">
      <c r="B17762" s="43"/>
    </row>
    <row r="17763" spans="2:2" ht="12.75" customHeight="1" x14ac:dyDescent="0.2">
      <c r="B17763" s="43"/>
    </row>
    <row r="17764" spans="2:2" ht="12.75" customHeight="1" x14ac:dyDescent="0.2">
      <c r="B17764" s="43"/>
    </row>
    <row r="17765" spans="2:2" ht="12.75" customHeight="1" x14ac:dyDescent="0.2">
      <c r="B17765" s="43"/>
    </row>
    <row r="17766" spans="2:2" ht="12.75" customHeight="1" x14ac:dyDescent="0.2">
      <c r="B17766" s="43"/>
    </row>
    <row r="17767" spans="2:2" ht="12.75" customHeight="1" x14ac:dyDescent="0.2">
      <c r="B17767" s="43"/>
    </row>
    <row r="17768" spans="2:2" ht="12.75" customHeight="1" x14ac:dyDescent="0.2">
      <c r="B17768" s="43"/>
    </row>
    <row r="17769" spans="2:2" ht="12.75" customHeight="1" x14ac:dyDescent="0.2">
      <c r="B17769" s="43"/>
    </row>
    <row r="17770" spans="2:2" ht="12.75" customHeight="1" x14ac:dyDescent="0.2">
      <c r="B17770" s="43"/>
    </row>
    <row r="17771" spans="2:2" ht="12.75" customHeight="1" x14ac:dyDescent="0.2">
      <c r="B17771" s="43"/>
    </row>
    <row r="17772" spans="2:2" ht="12.75" customHeight="1" x14ac:dyDescent="0.2">
      <c r="B17772" s="43"/>
    </row>
    <row r="17773" spans="2:2" ht="12.75" customHeight="1" x14ac:dyDescent="0.2">
      <c r="B17773" s="43"/>
    </row>
    <row r="17774" spans="2:2" ht="12.75" customHeight="1" x14ac:dyDescent="0.2">
      <c r="B17774" s="43"/>
    </row>
    <row r="17775" spans="2:2" ht="12.75" customHeight="1" x14ac:dyDescent="0.2">
      <c r="B17775" s="43"/>
    </row>
    <row r="17776" spans="2:2" ht="12.75" customHeight="1" x14ac:dyDescent="0.2">
      <c r="B17776" s="43"/>
    </row>
    <row r="17777" spans="2:2" ht="12.75" customHeight="1" x14ac:dyDescent="0.2">
      <c r="B17777" s="43"/>
    </row>
    <row r="17778" spans="2:2" ht="12.75" customHeight="1" x14ac:dyDescent="0.2">
      <c r="B17778" s="43"/>
    </row>
    <row r="17779" spans="2:2" ht="12.75" customHeight="1" x14ac:dyDescent="0.2">
      <c r="B17779" s="43"/>
    </row>
    <row r="17780" spans="2:2" ht="12.75" customHeight="1" x14ac:dyDescent="0.2">
      <c r="B17780" s="43"/>
    </row>
    <row r="17781" spans="2:2" ht="12.75" customHeight="1" x14ac:dyDescent="0.2">
      <c r="B17781" s="43"/>
    </row>
    <row r="17782" spans="2:2" ht="12.75" customHeight="1" x14ac:dyDescent="0.2">
      <c r="B17782" s="43"/>
    </row>
    <row r="17783" spans="2:2" ht="12.75" customHeight="1" x14ac:dyDescent="0.2">
      <c r="B17783" s="43"/>
    </row>
    <row r="17784" spans="2:2" ht="12.75" customHeight="1" x14ac:dyDescent="0.2">
      <c r="B17784" s="43"/>
    </row>
    <row r="17785" spans="2:2" ht="12.75" customHeight="1" x14ac:dyDescent="0.2">
      <c r="B17785" s="43"/>
    </row>
    <row r="17786" spans="2:2" ht="12.75" customHeight="1" x14ac:dyDescent="0.2">
      <c r="B17786" s="43"/>
    </row>
    <row r="17787" spans="2:2" ht="12.75" customHeight="1" x14ac:dyDescent="0.2">
      <c r="B17787" s="43"/>
    </row>
    <row r="17788" spans="2:2" ht="12.75" customHeight="1" x14ac:dyDescent="0.2">
      <c r="B17788" s="43"/>
    </row>
    <row r="17789" spans="2:2" ht="12.75" customHeight="1" x14ac:dyDescent="0.2">
      <c r="B17789" s="43"/>
    </row>
    <row r="17790" spans="2:2" ht="12.75" customHeight="1" x14ac:dyDescent="0.2">
      <c r="B17790" s="43"/>
    </row>
    <row r="17791" spans="2:2" ht="12.75" customHeight="1" x14ac:dyDescent="0.2">
      <c r="B17791" s="43"/>
    </row>
    <row r="17792" spans="2:2" ht="12.75" customHeight="1" x14ac:dyDescent="0.2">
      <c r="B17792" s="43"/>
    </row>
    <row r="17793" spans="2:2" ht="12.75" customHeight="1" x14ac:dyDescent="0.2">
      <c r="B17793" s="43"/>
    </row>
    <row r="17794" spans="2:2" ht="12.75" customHeight="1" x14ac:dyDescent="0.2">
      <c r="B17794" s="43"/>
    </row>
    <row r="17795" spans="2:2" ht="12.75" customHeight="1" x14ac:dyDescent="0.2">
      <c r="B17795" s="43"/>
    </row>
    <row r="17796" spans="2:2" ht="12.75" customHeight="1" x14ac:dyDescent="0.2">
      <c r="B17796" s="43"/>
    </row>
    <row r="17797" spans="2:2" ht="12.75" customHeight="1" x14ac:dyDescent="0.2">
      <c r="B17797" s="43"/>
    </row>
    <row r="17798" spans="2:2" ht="12.75" customHeight="1" x14ac:dyDescent="0.2">
      <c r="B17798" s="43"/>
    </row>
    <row r="17799" spans="2:2" ht="12.75" customHeight="1" x14ac:dyDescent="0.2">
      <c r="B17799" s="43"/>
    </row>
    <row r="17800" spans="2:2" ht="12.75" customHeight="1" x14ac:dyDescent="0.2">
      <c r="B17800" s="43"/>
    </row>
    <row r="17801" spans="2:2" ht="12.75" customHeight="1" x14ac:dyDescent="0.2">
      <c r="B17801" s="43"/>
    </row>
    <row r="17802" spans="2:2" ht="12.75" customHeight="1" x14ac:dyDescent="0.2">
      <c r="B17802" s="43"/>
    </row>
    <row r="17803" spans="2:2" ht="12.75" customHeight="1" x14ac:dyDescent="0.2">
      <c r="B17803" s="43"/>
    </row>
    <row r="17804" spans="2:2" ht="12.75" customHeight="1" x14ac:dyDescent="0.2">
      <c r="B17804" s="43"/>
    </row>
    <row r="17805" spans="2:2" ht="12.75" customHeight="1" x14ac:dyDescent="0.2">
      <c r="B17805" s="43"/>
    </row>
    <row r="17806" spans="2:2" ht="12.75" customHeight="1" x14ac:dyDescent="0.2">
      <c r="B17806" s="43"/>
    </row>
    <row r="17807" spans="2:2" ht="12.75" customHeight="1" x14ac:dyDescent="0.2">
      <c r="B17807" s="43"/>
    </row>
    <row r="17808" spans="2:2" ht="12.75" customHeight="1" x14ac:dyDescent="0.2">
      <c r="B17808" s="43"/>
    </row>
    <row r="17809" spans="2:2" ht="12.75" customHeight="1" x14ac:dyDescent="0.2">
      <c r="B17809" s="43"/>
    </row>
    <row r="17810" spans="2:2" ht="12.75" customHeight="1" x14ac:dyDescent="0.2">
      <c r="B17810" s="43"/>
    </row>
    <row r="17811" spans="2:2" ht="12.75" customHeight="1" x14ac:dyDescent="0.2">
      <c r="B17811" s="43"/>
    </row>
    <row r="17812" spans="2:2" ht="12.75" customHeight="1" x14ac:dyDescent="0.2">
      <c r="B17812" s="43"/>
    </row>
    <row r="17813" spans="2:2" ht="12.75" customHeight="1" x14ac:dyDescent="0.2">
      <c r="B17813" s="43"/>
    </row>
    <row r="17814" spans="2:2" ht="12.75" customHeight="1" x14ac:dyDescent="0.2">
      <c r="B17814" s="43"/>
    </row>
    <row r="17815" spans="2:2" ht="12.75" customHeight="1" x14ac:dyDescent="0.2">
      <c r="B17815" s="43"/>
    </row>
    <row r="17816" spans="2:2" ht="12.75" customHeight="1" x14ac:dyDescent="0.2">
      <c r="B17816" s="43"/>
    </row>
    <row r="17817" spans="2:2" ht="12.75" customHeight="1" x14ac:dyDescent="0.2">
      <c r="B17817" s="43"/>
    </row>
    <row r="17818" spans="2:2" ht="12.75" customHeight="1" x14ac:dyDescent="0.2">
      <c r="B17818" s="43"/>
    </row>
    <row r="17819" spans="2:2" ht="12.75" customHeight="1" x14ac:dyDescent="0.2">
      <c r="B17819" s="43"/>
    </row>
    <row r="17820" spans="2:2" ht="12.75" customHeight="1" x14ac:dyDescent="0.2">
      <c r="B17820" s="43"/>
    </row>
    <row r="17821" spans="2:2" ht="12.75" customHeight="1" x14ac:dyDescent="0.2">
      <c r="B17821" s="43"/>
    </row>
    <row r="17822" spans="2:2" ht="12.75" customHeight="1" x14ac:dyDescent="0.2">
      <c r="B17822" s="43"/>
    </row>
    <row r="17823" spans="2:2" ht="12.75" customHeight="1" x14ac:dyDescent="0.2">
      <c r="B17823" s="43"/>
    </row>
    <row r="17824" spans="2:2" ht="12.75" customHeight="1" x14ac:dyDescent="0.2">
      <c r="B17824" s="43"/>
    </row>
    <row r="17825" spans="2:2" ht="12.75" customHeight="1" x14ac:dyDescent="0.2">
      <c r="B17825" s="43"/>
    </row>
    <row r="17826" spans="2:2" ht="12.75" customHeight="1" x14ac:dyDescent="0.2">
      <c r="B17826" s="43"/>
    </row>
    <row r="17827" spans="2:2" ht="12.75" customHeight="1" x14ac:dyDescent="0.2">
      <c r="B17827" s="43"/>
    </row>
    <row r="17828" spans="2:2" ht="12.75" customHeight="1" x14ac:dyDescent="0.2">
      <c r="B17828" s="43"/>
    </row>
    <row r="17829" spans="2:2" ht="12.75" customHeight="1" x14ac:dyDescent="0.2">
      <c r="B17829" s="43"/>
    </row>
    <row r="17830" spans="2:2" ht="12.75" customHeight="1" x14ac:dyDescent="0.2">
      <c r="B17830" s="43"/>
    </row>
    <row r="17831" spans="2:2" ht="12.75" customHeight="1" x14ac:dyDescent="0.2">
      <c r="B17831" s="43"/>
    </row>
    <row r="17832" spans="2:2" ht="12.75" customHeight="1" x14ac:dyDescent="0.2">
      <c r="B17832" s="43"/>
    </row>
    <row r="17833" spans="2:2" ht="12.75" customHeight="1" x14ac:dyDescent="0.2">
      <c r="B17833" s="43"/>
    </row>
    <row r="17834" spans="2:2" ht="12.75" customHeight="1" x14ac:dyDescent="0.2">
      <c r="B17834" s="43"/>
    </row>
    <row r="17835" spans="2:2" ht="12.75" customHeight="1" x14ac:dyDescent="0.2">
      <c r="B17835" s="43"/>
    </row>
    <row r="17836" spans="2:2" ht="12.75" customHeight="1" x14ac:dyDescent="0.2">
      <c r="B17836" s="43"/>
    </row>
    <row r="17837" spans="2:2" ht="12.75" customHeight="1" x14ac:dyDescent="0.2">
      <c r="B17837" s="43"/>
    </row>
    <row r="17838" spans="2:2" ht="12.75" customHeight="1" x14ac:dyDescent="0.2">
      <c r="B17838" s="43"/>
    </row>
    <row r="17839" spans="2:2" ht="12.75" customHeight="1" x14ac:dyDescent="0.2">
      <c r="B17839" s="43"/>
    </row>
    <row r="17840" spans="2:2" ht="12.75" customHeight="1" x14ac:dyDescent="0.2">
      <c r="B17840" s="43"/>
    </row>
    <row r="17841" spans="2:2" ht="12.75" customHeight="1" x14ac:dyDescent="0.2">
      <c r="B17841" s="43"/>
    </row>
    <row r="17842" spans="2:2" ht="12.75" customHeight="1" x14ac:dyDescent="0.2">
      <c r="B17842" s="43"/>
    </row>
    <row r="17843" spans="2:2" ht="12.75" customHeight="1" x14ac:dyDescent="0.2">
      <c r="B17843" s="43"/>
    </row>
    <row r="17844" spans="2:2" ht="12.75" customHeight="1" x14ac:dyDescent="0.2">
      <c r="B17844" s="43"/>
    </row>
    <row r="17845" spans="2:2" ht="12.75" customHeight="1" x14ac:dyDescent="0.2">
      <c r="B17845" s="43"/>
    </row>
    <row r="17846" spans="2:2" ht="12.75" customHeight="1" x14ac:dyDescent="0.2">
      <c r="B17846" s="43"/>
    </row>
    <row r="17847" spans="2:2" ht="12.75" customHeight="1" x14ac:dyDescent="0.2">
      <c r="B17847" s="43"/>
    </row>
    <row r="17848" spans="2:2" ht="12.75" customHeight="1" x14ac:dyDescent="0.2">
      <c r="B17848" s="43"/>
    </row>
    <row r="17849" spans="2:2" ht="12.75" customHeight="1" x14ac:dyDescent="0.2">
      <c r="B17849" s="43"/>
    </row>
    <row r="17850" spans="2:2" ht="12.75" customHeight="1" x14ac:dyDescent="0.2">
      <c r="B17850" s="43"/>
    </row>
    <row r="17851" spans="2:2" ht="12.75" customHeight="1" x14ac:dyDescent="0.2">
      <c r="B17851" s="43"/>
    </row>
    <row r="17852" spans="2:2" ht="12.75" customHeight="1" x14ac:dyDescent="0.2">
      <c r="B17852" s="43"/>
    </row>
    <row r="17853" spans="2:2" ht="12.75" customHeight="1" x14ac:dyDescent="0.2">
      <c r="B17853" s="43"/>
    </row>
    <row r="17854" spans="2:2" ht="12.75" customHeight="1" x14ac:dyDescent="0.2">
      <c r="B17854" s="43"/>
    </row>
    <row r="17855" spans="2:2" ht="12.75" customHeight="1" x14ac:dyDescent="0.2">
      <c r="B17855" s="43"/>
    </row>
    <row r="17856" spans="2:2" ht="12.75" customHeight="1" x14ac:dyDescent="0.2">
      <c r="B17856" s="43"/>
    </row>
    <row r="17857" spans="2:2" ht="12.75" customHeight="1" x14ac:dyDescent="0.2">
      <c r="B17857" s="43"/>
    </row>
    <row r="17858" spans="2:2" ht="12.75" customHeight="1" x14ac:dyDescent="0.2">
      <c r="B17858" s="43"/>
    </row>
    <row r="17859" spans="2:2" ht="12.75" customHeight="1" x14ac:dyDescent="0.2">
      <c r="B17859" s="43"/>
    </row>
    <row r="17860" spans="2:2" ht="12.75" customHeight="1" x14ac:dyDescent="0.2">
      <c r="B17860" s="43"/>
    </row>
    <row r="17861" spans="2:2" ht="12.75" customHeight="1" x14ac:dyDescent="0.2">
      <c r="B17861" s="43"/>
    </row>
    <row r="17862" spans="2:2" ht="12.75" customHeight="1" x14ac:dyDescent="0.2">
      <c r="B17862" s="43"/>
    </row>
    <row r="17863" spans="2:2" ht="12.75" customHeight="1" x14ac:dyDescent="0.2">
      <c r="B17863" s="43"/>
    </row>
    <row r="17864" spans="2:2" ht="12.75" customHeight="1" x14ac:dyDescent="0.2">
      <c r="B17864" s="43"/>
    </row>
    <row r="17865" spans="2:2" ht="12.75" customHeight="1" x14ac:dyDescent="0.2">
      <c r="B17865" s="43"/>
    </row>
    <row r="17866" spans="2:2" ht="12.75" customHeight="1" x14ac:dyDescent="0.2">
      <c r="B17866" s="43"/>
    </row>
    <row r="17867" spans="2:2" ht="12.75" customHeight="1" x14ac:dyDescent="0.2">
      <c r="B17867" s="43"/>
    </row>
    <row r="17868" spans="2:2" ht="12.75" customHeight="1" x14ac:dyDescent="0.2">
      <c r="B17868" s="43"/>
    </row>
    <row r="17869" spans="2:2" ht="12.75" customHeight="1" x14ac:dyDescent="0.2">
      <c r="B17869" s="43"/>
    </row>
    <row r="17870" spans="2:2" ht="12.75" customHeight="1" x14ac:dyDescent="0.2">
      <c r="B17870" s="43"/>
    </row>
    <row r="17871" spans="2:2" ht="12.75" customHeight="1" x14ac:dyDescent="0.2">
      <c r="B17871" s="43"/>
    </row>
    <row r="17872" spans="2:2" ht="12.75" customHeight="1" x14ac:dyDescent="0.2">
      <c r="B17872" s="43"/>
    </row>
    <row r="17873" spans="2:2" ht="12.75" customHeight="1" x14ac:dyDescent="0.2">
      <c r="B17873" s="43"/>
    </row>
    <row r="17874" spans="2:2" ht="12.75" customHeight="1" x14ac:dyDescent="0.2">
      <c r="B17874" s="43"/>
    </row>
    <row r="17875" spans="2:2" ht="12.75" customHeight="1" x14ac:dyDescent="0.2">
      <c r="B17875" s="43"/>
    </row>
    <row r="17876" spans="2:2" ht="12.75" customHeight="1" x14ac:dyDescent="0.2">
      <c r="B17876" s="43"/>
    </row>
    <row r="17877" spans="2:2" ht="12.75" customHeight="1" x14ac:dyDescent="0.2">
      <c r="B17877" s="43"/>
    </row>
    <row r="17878" spans="2:2" ht="12.75" customHeight="1" x14ac:dyDescent="0.2">
      <c r="B17878" s="43"/>
    </row>
    <row r="17879" spans="2:2" ht="12.75" customHeight="1" x14ac:dyDescent="0.2">
      <c r="B17879" s="43"/>
    </row>
    <row r="17880" spans="2:2" ht="12.75" customHeight="1" x14ac:dyDescent="0.2">
      <c r="B17880" s="43"/>
    </row>
    <row r="17881" spans="2:2" ht="12.75" customHeight="1" x14ac:dyDescent="0.2">
      <c r="B17881" s="43"/>
    </row>
    <row r="17882" spans="2:2" ht="12.75" customHeight="1" x14ac:dyDescent="0.2">
      <c r="B17882" s="43"/>
    </row>
    <row r="17883" spans="2:2" ht="12.75" customHeight="1" x14ac:dyDescent="0.2">
      <c r="B17883" s="43"/>
    </row>
    <row r="17884" spans="2:2" ht="12.75" customHeight="1" x14ac:dyDescent="0.2">
      <c r="B17884" s="43"/>
    </row>
    <row r="17885" spans="2:2" ht="12.75" customHeight="1" x14ac:dyDescent="0.2">
      <c r="B17885" s="43"/>
    </row>
    <row r="17886" spans="2:2" ht="12.75" customHeight="1" x14ac:dyDescent="0.2">
      <c r="B17886" s="43"/>
    </row>
    <row r="17887" spans="2:2" ht="12.75" customHeight="1" x14ac:dyDescent="0.2">
      <c r="B17887" s="43"/>
    </row>
    <row r="17888" spans="2:2" ht="12.75" customHeight="1" x14ac:dyDescent="0.2">
      <c r="B17888" s="43"/>
    </row>
    <row r="17889" spans="2:2" ht="12.75" customHeight="1" x14ac:dyDescent="0.2">
      <c r="B17889" s="43"/>
    </row>
    <row r="17890" spans="2:2" ht="12.75" customHeight="1" x14ac:dyDescent="0.2">
      <c r="B17890" s="43"/>
    </row>
    <row r="17891" spans="2:2" ht="12.75" customHeight="1" x14ac:dyDescent="0.2">
      <c r="B17891" s="43"/>
    </row>
    <row r="17892" spans="2:2" ht="12.75" customHeight="1" x14ac:dyDescent="0.2">
      <c r="B17892" s="43"/>
    </row>
    <row r="17893" spans="2:2" ht="12.75" customHeight="1" x14ac:dyDescent="0.2">
      <c r="B17893" s="43"/>
    </row>
    <row r="17894" spans="2:2" ht="12.75" customHeight="1" x14ac:dyDescent="0.2">
      <c r="B17894" s="43"/>
    </row>
    <row r="17895" spans="2:2" ht="12.75" customHeight="1" x14ac:dyDescent="0.2">
      <c r="B17895" s="43"/>
    </row>
    <row r="17896" spans="2:2" ht="12.75" customHeight="1" x14ac:dyDescent="0.2">
      <c r="B17896" s="43"/>
    </row>
    <row r="17897" spans="2:2" ht="12.75" customHeight="1" x14ac:dyDescent="0.2">
      <c r="B17897" s="43"/>
    </row>
    <row r="17898" spans="2:2" ht="12.75" customHeight="1" x14ac:dyDescent="0.2">
      <c r="B17898" s="43"/>
    </row>
    <row r="17899" spans="2:2" ht="12.75" customHeight="1" x14ac:dyDescent="0.2">
      <c r="B17899" s="43"/>
    </row>
    <row r="17900" spans="2:2" ht="12.75" customHeight="1" x14ac:dyDescent="0.2">
      <c r="B17900" s="43"/>
    </row>
    <row r="17901" spans="2:2" ht="12.75" customHeight="1" x14ac:dyDescent="0.2">
      <c r="B17901" s="43"/>
    </row>
    <row r="17902" spans="2:2" ht="12.75" customHeight="1" x14ac:dyDescent="0.2">
      <c r="B17902" s="43"/>
    </row>
    <row r="17903" spans="2:2" ht="12.75" customHeight="1" x14ac:dyDescent="0.2">
      <c r="B17903" s="43"/>
    </row>
    <row r="17904" spans="2:2" ht="12.75" customHeight="1" x14ac:dyDescent="0.2">
      <c r="B17904" s="43"/>
    </row>
    <row r="17905" spans="2:2" ht="12.75" customHeight="1" x14ac:dyDescent="0.2">
      <c r="B17905" s="43"/>
    </row>
    <row r="17906" spans="2:2" ht="12.75" customHeight="1" x14ac:dyDescent="0.2">
      <c r="B17906" s="43"/>
    </row>
    <row r="17907" spans="2:2" ht="12.75" customHeight="1" x14ac:dyDescent="0.2">
      <c r="B17907" s="43"/>
    </row>
    <row r="17908" spans="2:2" ht="12.75" customHeight="1" x14ac:dyDescent="0.2">
      <c r="B17908" s="43"/>
    </row>
    <row r="17909" spans="2:2" ht="12.75" customHeight="1" x14ac:dyDescent="0.2">
      <c r="B17909" s="43"/>
    </row>
    <row r="17910" spans="2:2" ht="12.75" customHeight="1" x14ac:dyDescent="0.2">
      <c r="B17910" s="43"/>
    </row>
    <row r="17911" spans="2:2" ht="12.75" customHeight="1" x14ac:dyDescent="0.2">
      <c r="B17911" s="43"/>
    </row>
    <row r="17912" spans="2:2" ht="12.75" customHeight="1" x14ac:dyDescent="0.2">
      <c r="B17912" s="43"/>
    </row>
    <row r="17913" spans="2:2" ht="12.75" customHeight="1" x14ac:dyDescent="0.2">
      <c r="B17913" s="43"/>
    </row>
    <row r="17914" spans="2:2" ht="12.75" customHeight="1" x14ac:dyDescent="0.2">
      <c r="B17914" s="43"/>
    </row>
    <row r="17915" spans="2:2" ht="12.75" customHeight="1" x14ac:dyDescent="0.2">
      <c r="B17915" s="43"/>
    </row>
    <row r="17916" spans="2:2" ht="12.75" customHeight="1" x14ac:dyDescent="0.2">
      <c r="B17916" s="43"/>
    </row>
    <row r="17917" spans="2:2" ht="12.75" customHeight="1" x14ac:dyDescent="0.2">
      <c r="B17917" s="43"/>
    </row>
    <row r="17918" spans="2:2" ht="12.75" customHeight="1" x14ac:dyDescent="0.2">
      <c r="B17918" s="43"/>
    </row>
    <row r="17919" spans="2:2" ht="12.75" customHeight="1" x14ac:dyDescent="0.2">
      <c r="B17919" s="43"/>
    </row>
    <row r="17920" spans="2:2" ht="12.75" customHeight="1" x14ac:dyDescent="0.2">
      <c r="B17920" s="43"/>
    </row>
    <row r="17921" spans="2:2" ht="12.75" customHeight="1" x14ac:dyDescent="0.2">
      <c r="B17921" s="43"/>
    </row>
    <row r="17922" spans="2:2" ht="12.75" customHeight="1" x14ac:dyDescent="0.2">
      <c r="B17922" s="43"/>
    </row>
    <row r="17923" spans="2:2" ht="12.75" customHeight="1" x14ac:dyDescent="0.2">
      <c r="B17923" s="43"/>
    </row>
    <row r="17924" spans="2:2" ht="12.75" customHeight="1" x14ac:dyDescent="0.2">
      <c r="B17924" s="43"/>
    </row>
    <row r="17925" spans="2:2" ht="12.75" customHeight="1" x14ac:dyDescent="0.2">
      <c r="B17925" s="43"/>
    </row>
    <row r="17926" spans="2:2" ht="12.75" customHeight="1" x14ac:dyDescent="0.2">
      <c r="B17926" s="43"/>
    </row>
    <row r="17927" spans="2:2" ht="12.75" customHeight="1" x14ac:dyDescent="0.2">
      <c r="B17927" s="43"/>
    </row>
    <row r="17928" spans="2:2" ht="12.75" customHeight="1" x14ac:dyDescent="0.2">
      <c r="B17928" s="43"/>
    </row>
    <row r="17929" spans="2:2" ht="12.75" customHeight="1" x14ac:dyDescent="0.2">
      <c r="B17929" s="43"/>
    </row>
    <row r="17930" spans="2:2" ht="12.75" customHeight="1" x14ac:dyDescent="0.2">
      <c r="B17930" s="43"/>
    </row>
    <row r="17931" spans="2:2" ht="12.75" customHeight="1" x14ac:dyDescent="0.2">
      <c r="B17931" s="43"/>
    </row>
    <row r="17932" spans="2:2" ht="12.75" customHeight="1" x14ac:dyDescent="0.2">
      <c r="B17932" s="43"/>
    </row>
    <row r="17933" spans="2:2" ht="12.75" customHeight="1" x14ac:dyDescent="0.2">
      <c r="B17933" s="43"/>
    </row>
    <row r="17934" spans="2:2" ht="12.75" customHeight="1" x14ac:dyDescent="0.2">
      <c r="B17934" s="43"/>
    </row>
    <row r="17935" spans="2:2" ht="12.75" customHeight="1" x14ac:dyDescent="0.2">
      <c r="B17935" s="43"/>
    </row>
    <row r="17936" spans="2:2" ht="12.75" customHeight="1" x14ac:dyDescent="0.2">
      <c r="B17936" s="43"/>
    </row>
    <row r="17937" spans="2:2" ht="12.75" customHeight="1" x14ac:dyDescent="0.2">
      <c r="B17937" s="43"/>
    </row>
    <row r="17938" spans="2:2" ht="12.75" customHeight="1" x14ac:dyDescent="0.2">
      <c r="B17938" s="43"/>
    </row>
    <row r="17939" spans="2:2" ht="12.75" customHeight="1" x14ac:dyDescent="0.2">
      <c r="B17939" s="43"/>
    </row>
    <row r="17940" spans="2:2" ht="12.75" customHeight="1" x14ac:dyDescent="0.2">
      <c r="B17940" s="43"/>
    </row>
    <row r="17941" spans="2:2" ht="12.75" customHeight="1" x14ac:dyDescent="0.2">
      <c r="B17941" s="43"/>
    </row>
    <row r="17942" spans="2:2" ht="12.75" customHeight="1" x14ac:dyDescent="0.2">
      <c r="B17942" s="43"/>
    </row>
    <row r="17943" spans="2:2" ht="12.75" customHeight="1" x14ac:dyDescent="0.2">
      <c r="B17943" s="43"/>
    </row>
    <row r="17944" spans="2:2" ht="12.75" customHeight="1" x14ac:dyDescent="0.2">
      <c r="B17944" s="43"/>
    </row>
    <row r="17945" spans="2:2" ht="12.75" customHeight="1" x14ac:dyDescent="0.2">
      <c r="B17945" s="43"/>
    </row>
    <row r="17946" spans="2:2" ht="12.75" customHeight="1" x14ac:dyDescent="0.2">
      <c r="B17946" s="43"/>
    </row>
    <row r="17947" spans="2:2" ht="12.75" customHeight="1" x14ac:dyDescent="0.2">
      <c r="B17947" s="43"/>
    </row>
    <row r="17948" spans="2:2" ht="12.75" customHeight="1" x14ac:dyDescent="0.2">
      <c r="B17948" s="43"/>
    </row>
    <row r="17949" spans="2:2" ht="12.75" customHeight="1" x14ac:dyDescent="0.2">
      <c r="B17949" s="43"/>
    </row>
    <row r="17950" spans="2:2" ht="12.75" customHeight="1" x14ac:dyDescent="0.2">
      <c r="B17950" s="43"/>
    </row>
    <row r="17951" spans="2:2" ht="12.75" customHeight="1" x14ac:dyDescent="0.2">
      <c r="B17951" s="43"/>
    </row>
    <row r="17952" spans="2:2" ht="12.75" customHeight="1" x14ac:dyDescent="0.2">
      <c r="B17952" s="43"/>
    </row>
    <row r="17953" spans="2:2" ht="12.75" customHeight="1" x14ac:dyDescent="0.2">
      <c r="B17953" s="43"/>
    </row>
    <row r="17954" spans="2:2" ht="12.75" customHeight="1" x14ac:dyDescent="0.2">
      <c r="B17954" s="43"/>
    </row>
    <row r="17955" spans="2:2" ht="12.75" customHeight="1" x14ac:dyDescent="0.2">
      <c r="B17955" s="43"/>
    </row>
    <row r="17956" spans="2:2" ht="12.75" customHeight="1" x14ac:dyDescent="0.2">
      <c r="B17956" s="43"/>
    </row>
    <row r="17957" spans="2:2" ht="12.75" customHeight="1" x14ac:dyDescent="0.2">
      <c r="B17957" s="43"/>
    </row>
    <row r="17958" spans="2:2" ht="12.75" customHeight="1" x14ac:dyDescent="0.2">
      <c r="B17958" s="43"/>
    </row>
    <row r="17959" spans="2:2" ht="12.75" customHeight="1" x14ac:dyDescent="0.2">
      <c r="B17959" s="43"/>
    </row>
    <row r="17960" spans="2:2" ht="12.75" customHeight="1" x14ac:dyDescent="0.2">
      <c r="B17960" s="43"/>
    </row>
    <row r="17961" spans="2:2" ht="12.75" customHeight="1" x14ac:dyDescent="0.2">
      <c r="B17961" s="43"/>
    </row>
    <row r="17962" spans="2:2" ht="12.75" customHeight="1" x14ac:dyDescent="0.2">
      <c r="B17962" s="43"/>
    </row>
    <row r="17963" spans="2:2" ht="12.75" customHeight="1" x14ac:dyDescent="0.2">
      <c r="B17963" s="43"/>
    </row>
    <row r="17964" spans="2:2" ht="12.75" customHeight="1" x14ac:dyDescent="0.2">
      <c r="B17964" s="43"/>
    </row>
    <row r="17965" spans="2:2" ht="12.75" customHeight="1" x14ac:dyDescent="0.2">
      <c r="B17965" s="43"/>
    </row>
    <row r="17966" spans="2:2" ht="12.75" customHeight="1" x14ac:dyDescent="0.2">
      <c r="B17966" s="43"/>
    </row>
    <row r="17967" spans="2:2" ht="12.75" customHeight="1" x14ac:dyDescent="0.2">
      <c r="B17967" s="43"/>
    </row>
    <row r="17968" spans="2:2" ht="12.75" customHeight="1" x14ac:dyDescent="0.2">
      <c r="B17968" s="43"/>
    </row>
    <row r="17969" spans="2:2" ht="12.75" customHeight="1" x14ac:dyDescent="0.2">
      <c r="B17969" s="43"/>
    </row>
    <row r="17970" spans="2:2" ht="12.75" customHeight="1" x14ac:dyDescent="0.2">
      <c r="B17970" s="43"/>
    </row>
    <row r="17971" spans="2:2" ht="12.75" customHeight="1" x14ac:dyDescent="0.2">
      <c r="B17971" s="43"/>
    </row>
    <row r="17972" spans="2:2" ht="12.75" customHeight="1" x14ac:dyDescent="0.2">
      <c r="B17972" s="43"/>
    </row>
    <row r="17973" spans="2:2" ht="12.75" customHeight="1" x14ac:dyDescent="0.2">
      <c r="B17973" s="43"/>
    </row>
    <row r="17974" spans="2:2" ht="12.75" customHeight="1" x14ac:dyDescent="0.2">
      <c r="B17974" s="43"/>
    </row>
    <row r="17975" spans="2:2" ht="12.75" customHeight="1" x14ac:dyDescent="0.2">
      <c r="B17975" s="43"/>
    </row>
    <row r="17976" spans="2:2" ht="12.75" customHeight="1" x14ac:dyDescent="0.2">
      <c r="B17976" s="43"/>
    </row>
    <row r="17977" spans="2:2" ht="12.75" customHeight="1" x14ac:dyDescent="0.2">
      <c r="B17977" s="43"/>
    </row>
    <row r="17978" spans="2:2" ht="12.75" customHeight="1" x14ac:dyDescent="0.2">
      <c r="B17978" s="43"/>
    </row>
    <row r="17979" spans="2:2" ht="12.75" customHeight="1" x14ac:dyDescent="0.2">
      <c r="B17979" s="43"/>
    </row>
    <row r="17980" spans="2:2" ht="12.75" customHeight="1" x14ac:dyDescent="0.2">
      <c r="B17980" s="43"/>
    </row>
    <row r="17981" spans="2:2" ht="12.75" customHeight="1" x14ac:dyDescent="0.2">
      <c r="B17981" s="43"/>
    </row>
    <row r="17982" spans="2:2" ht="12.75" customHeight="1" x14ac:dyDescent="0.2">
      <c r="B17982" s="43"/>
    </row>
    <row r="17983" spans="2:2" ht="12.75" customHeight="1" x14ac:dyDescent="0.2">
      <c r="B17983" s="43"/>
    </row>
    <row r="17984" spans="2:2" ht="12.75" customHeight="1" x14ac:dyDescent="0.2">
      <c r="B17984" s="43"/>
    </row>
    <row r="17985" spans="2:2" ht="12.75" customHeight="1" x14ac:dyDescent="0.2">
      <c r="B17985" s="43"/>
    </row>
    <row r="17986" spans="2:2" ht="12.75" customHeight="1" x14ac:dyDescent="0.2">
      <c r="B17986" s="43"/>
    </row>
    <row r="17987" spans="2:2" ht="12.75" customHeight="1" x14ac:dyDescent="0.2">
      <c r="B17987" s="43"/>
    </row>
    <row r="17988" spans="2:2" ht="12.75" customHeight="1" x14ac:dyDescent="0.2">
      <c r="B17988" s="43"/>
    </row>
    <row r="17989" spans="2:2" ht="12.75" customHeight="1" x14ac:dyDescent="0.2">
      <c r="B17989" s="43"/>
    </row>
    <row r="17990" spans="2:2" ht="12.75" customHeight="1" x14ac:dyDescent="0.2">
      <c r="B17990" s="43"/>
    </row>
    <row r="17991" spans="2:2" ht="12.75" customHeight="1" x14ac:dyDescent="0.2">
      <c r="B17991" s="43"/>
    </row>
    <row r="17992" spans="2:2" ht="12.75" customHeight="1" x14ac:dyDescent="0.2">
      <c r="B17992" s="43"/>
    </row>
    <row r="17993" spans="2:2" ht="12.75" customHeight="1" x14ac:dyDescent="0.2">
      <c r="B17993" s="43"/>
    </row>
    <row r="17994" spans="2:2" ht="12.75" customHeight="1" x14ac:dyDescent="0.2">
      <c r="B17994" s="43"/>
    </row>
    <row r="17995" spans="2:2" ht="12.75" customHeight="1" x14ac:dyDescent="0.2">
      <c r="B17995" s="43"/>
    </row>
    <row r="17996" spans="2:2" ht="12.75" customHeight="1" x14ac:dyDescent="0.2">
      <c r="B17996" s="43"/>
    </row>
    <row r="17997" spans="2:2" ht="12.75" customHeight="1" x14ac:dyDescent="0.2">
      <c r="B17997" s="43"/>
    </row>
    <row r="17998" spans="2:2" ht="12.75" customHeight="1" x14ac:dyDescent="0.2">
      <c r="B17998" s="43"/>
    </row>
    <row r="17999" spans="2:2" ht="12.75" customHeight="1" x14ac:dyDescent="0.2">
      <c r="B17999" s="43"/>
    </row>
    <row r="18000" spans="2:2" ht="12.75" customHeight="1" x14ac:dyDescent="0.2">
      <c r="B18000" s="43"/>
    </row>
    <row r="18001" spans="2:2" ht="12.75" customHeight="1" x14ac:dyDescent="0.2">
      <c r="B18001" s="43"/>
    </row>
    <row r="18002" spans="2:2" ht="12.75" customHeight="1" x14ac:dyDescent="0.2">
      <c r="B18002" s="43"/>
    </row>
    <row r="18003" spans="2:2" ht="12.75" customHeight="1" x14ac:dyDescent="0.2">
      <c r="B18003" s="43"/>
    </row>
    <row r="18004" spans="2:2" ht="12.75" customHeight="1" x14ac:dyDescent="0.2">
      <c r="B18004" s="43"/>
    </row>
    <row r="18005" spans="2:2" ht="12.75" customHeight="1" x14ac:dyDescent="0.2">
      <c r="B18005" s="43"/>
    </row>
    <row r="18006" spans="2:2" ht="12.75" customHeight="1" x14ac:dyDescent="0.2">
      <c r="B18006" s="43"/>
    </row>
    <row r="18007" spans="2:2" ht="12.75" customHeight="1" x14ac:dyDescent="0.2">
      <c r="B18007" s="43"/>
    </row>
    <row r="18008" spans="2:2" ht="12.75" customHeight="1" x14ac:dyDescent="0.2">
      <c r="B18008" s="43"/>
    </row>
    <row r="18009" spans="2:2" ht="12.75" customHeight="1" x14ac:dyDescent="0.2">
      <c r="B18009" s="43"/>
    </row>
    <row r="18010" spans="2:2" ht="12.75" customHeight="1" x14ac:dyDescent="0.2">
      <c r="B18010" s="43"/>
    </row>
    <row r="18011" spans="2:2" ht="12.75" customHeight="1" x14ac:dyDescent="0.2">
      <c r="B18011" s="43"/>
    </row>
    <row r="18012" spans="2:2" ht="12.75" customHeight="1" x14ac:dyDescent="0.2">
      <c r="B18012" s="43"/>
    </row>
    <row r="18013" spans="2:2" ht="12.75" customHeight="1" x14ac:dyDescent="0.2">
      <c r="B18013" s="43"/>
    </row>
    <row r="18014" spans="2:2" ht="12.75" customHeight="1" x14ac:dyDescent="0.2">
      <c r="B18014" s="43"/>
    </row>
    <row r="18015" spans="2:2" ht="12.75" customHeight="1" x14ac:dyDescent="0.2">
      <c r="B18015" s="43"/>
    </row>
    <row r="18016" spans="2:2" ht="12.75" customHeight="1" x14ac:dyDescent="0.2">
      <c r="B18016" s="43"/>
    </row>
    <row r="18017" spans="2:2" ht="12.75" customHeight="1" x14ac:dyDescent="0.2">
      <c r="B18017" s="43"/>
    </row>
    <row r="18018" spans="2:2" ht="12.75" customHeight="1" x14ac:dyDescent="0.2">
      <c r="B18018" s="43"/>
    </row>
    <row r="18019" spans="2:2" ht="12.75" customHeight="1" x14ac:dyDescent="0.2">
      <c r="B18019" s="43"/>
    </row>
    <row r="18020" spans="2:2" ht="12.75" customHeight="1" x14ac:dyDescent="0.2">
      <c r="B18020" s="43"/>
    </row>
    <row r="18021" spans="2:2" ht="12.75" customHeight="1" x14ac:dyDescent="0.2">
      <c r="B18021" s="43"/>
    </row>
    <row r="18022" spans="2:2" ht="12.75" customHeight="1" x14ac:dyDescent="0.2">
      <c r="B18022" s="43"/>
    </row>
    <row r="18023" spans="2:2" ht="12.75" customHeight="1" x14ac:dyDescent="0.2">
      <c r="B18023" s="43"/>
    </row>
    <row r="18024" spans="2:2" ht="12.75" customHeight="1" x14ac:dyDescent="0.2">
      <c r="B18024" s="43"/>
    </row>
    <row r="18025" spans="2:2" ht="12.75" customHeight="1" x14ac:dyDescent="0.2">
      <c r="B18025" s="43"/>
    </row>
    <row r="18026" spans="2:2" ht="12.75" customHeight="1" x14ac:dyDescent="0.2">
      <c r="B18026" s="43"/>
    </row>
    <row r="18027" spans="2:2" ht="12.75" customHeight="1" x14ac:dyDescent="0.2">
      <c r="B18027" s="43"/>
    </row>
    <row r="18028" spans="2:2" ht="12.75" customHeight="1" x14ac:dyDescent="0.2">
      <c r="B18028" s="43"/>
    </row>
    <row r="18029" spans="2:2" ht="12.75" customHeight="1" x14ac:dyDescent="0.2">
      <c r="B18029" s="43"/>
    </row>
    <row r="18030" spans="2:2" ht="12.75" customHeight="1" x14ac:dyDescent="0.2">
      <c r="B18030" s="43"/>
    </row>
    <row r="18031" spans="2:2" ht="12.75" customHeight="1" x14ac:dyDescent="0.2">
      <c r="B18031" s="43"/>
    </row>
    <row r="18032" spans="2:2" ht="12.75" customHeight="1" x14ac:dyDescent="0.2">
      <c r="B18032" s="43"/>
    </row>
    <row r="18033" spans="2:2" ht="12.75" customHeight="1" x14ac:dyDescent="0.2">
      <c r="B18033" s="43"/>
    </row>
    <row r="18034" spans="2:2" ht="12.75" customHeight="1" x14ac:dyDescent="0.2">
      <c r="B18034" s="43"/>
    </row>
    <row r="18035" spans="2:2" ht="12.75" customHeight="1" x14ac:dyDescent="0.2">
      <c r="B18035" s="43"/>
    </row>
    <row r="18036" spans="2:2" ht="12.75" customHeight="1" x14ac:dyDescent="0.2">
      <c r="B18036" s="43"/>
    </row>
    <row r="18037" spans="2:2" ht="12.75" customHeight="1" x14ac:dyDescent="0.2">
      <c r="B18037" s="43"/>
    </row>
    <row r="18038" spans="2:2" ht="12.75" customHeight="1" x14ac:dyDescent="0.2">
      <c r="B18038" s="43"/>
    </row>
    <row r="18039" spans="2:2" ht="12.75" customHeight="1" x14ac:dyDescent="0.2">
      <c r="B18039" s="43"/>
    </row>
    <row r="18040" spans="2:2" ht="12.75" customHeight="1" x14ac:dyDescent="0.2">
      <c r="B18040" s="43"/>
    </row>
    <row r="18041" spans="2:2" ht="12.75" customHeight="1" x14ac:dyDescent="0.2">
      <c r="B18041" s="43"/>
    </row>
    <row r="18042" spans="2:2" ht="12.75" customHeight="1" x14ac:dyDescent="0.2">
      <c r="B18042" s="43"/>
    </row>
    <row r="18043" spans="2:2" ht="12.75" customHeight="1" x14ac:dyDescent="0.2">
      <c r="B18043" s="43"/>
    </row>
    <row r="18044" spans="2:2" ht="12.75" customHeight="1" x14ac:dyDescent="0.2">
      <c r="B18044" s="43"/>
    </row>
    <row r="18045" spans="2:2" ht="12.75" customHeight="1" x14ac:dyDescent="0.2">
      <c r="B18045" s="43"/>
    </row>
    <row r="18046" spans="2:2" ht="12.75" customHeight="1" x14ac:dyDescent="0.2">
      <c r="B18046" s="43"/>
    </row>
    <row r="18047" spans="2:2" ht="12.75" customHeight="1" x14ac:dyDescent="0.2">
      <c r="B18047" s="43"/>
    </row>
    <row r="18048" spans="2:2" ht="12.75" customHeight="1" x14ac:dyDescent="0.2">
      <c r="B18048" s="43"/>
    </row>
    <row r="18049" spans="2:2" ht="12.75" customHeight="1" x14ac:dyDescent="0.2">
      <c r="B18049" s="43"/>
    </row>
    <row r="18050" spans="2:2" ht="12.75" customHeight="1" x14ac:dyDescent="0.2">
      <c r="B18050" s="43"/>
    </row>
    <row r="18051" spans="2:2" ht="12.75" customHeight="1" x14ac:dyDescent="0.2">
      <c r="B18051" s="43"/>
    </row>
    <row r="18052" spans="2:2" ht="12.75" customHeight="1" x14ac:dyDescent="0.2">
      <c r="B18052" s="43"/>
    </row>
    <row r="18053" spans="2:2" ht="12.75" customHeight="1" x14ac:dyDescent="0.2">
      <c r="B18053" s="43"/>
    </row>
    <row r="18054" spans="2:2" ht="12.75" customHeight="1" x14ac:dyDescent="0.2">
      <c r="B18054" s="43"/>
    </row>
    <row r="18055" spans="2:2" ht="12.75" customHeight="1" x14ac:dyDescent="0.2">
      <c r="B18055" s="43"/>
    </row>
    <row r="18056" spans="2:2" ht="12.75" customHeight="1" x14ac:dyDescent="0.2">
      <c r="B18056" s="43"/>
    </row>
    <row r="18057" spans="2:2" ht="12.75" customHeight="1" x14ac:dyDescent="0.2">
      <c r="B18057" s="43"/>
    </row>
    <row r="18058" spans="2:2" ht="12.75" customHeight="1" x14ac:dyDescent="0.2">
      <c r="B18058" s="43"/>
    </row>
    <row r="18059" spans="2:2" ht="12.75" customHeight="1" x14ac:dyDescent="0.2">
      <c r="B18059" s="43"/>
    </row>
    <row r="18060" spans="2:2" ht="12.75" customHeight="1" x14ac:dyDescent="0.2">
      <c r="B18060" s="43"/>
    </row>
    <row r="18061" spans="2:2" ht="12.75" customHeight="1" x14ac:dyDescent="0.2">
      <c r="B18061" s="43"/>
    </row>
    <row r="18062" spans="2:2" ht="12.75" customHeight="1" x14ac:dyDescent="0.2">
      <c r="B18062" s="43"/>
    </row>
    <row r="18063" spans="2:2" ht="12.75" customHeight="1" x14ac:dyDescent="0.2">
      <c r="B18063" s="43"/>
    </row>
    <row r="18064" spans="2:2" ht="12.75" customHeight="1" x14ac:dyDescent="0.2">
      <c r="B18064" s="43"/>
    </row>
    <row r="18065" spans="2:2" ht="12.75" customHeight="1" x14ac:dyDescent="0.2">
      <c r="B18065" s="43"/>
    </row>
    <row r="18066" spans="2:2" ht="12.75" customHeight="1" x14ac:dyDescent="0.2">
      <c r="B18066" s="43"/>
    </row>
    <row r="18067" spans="2:2" ht="12.75" customHeight="1" x14ac:dyDescent="0.2">
      <c r="B18067" s="43"/>
    </row>
    <row r="18068" spans="2:2" ht="12.75" customHeight="1" x14ac:dyDescent="0.2">
      <c r="B18068" s="43"/>
    </row>
    <row r="18069" spans="2:2" ht="12.75" customHeight="1" x14ac:dyDescent="0.2">
      <c r="B18069" s="43"/>
    </row>
    <row r="18070" spans="2:2" ht="12.75" customHeight="1" x14ac:dyDescent="0.2">
      <c r="B18070" s="43"/>
    </row>
    <row r="18071" spans="2:2" ht="12.75" customHeight="1" x14ac:dyDescent="0.2">
      <c r="B18071" s="43"/>
    </row>
    <row r="18072" spans="2:2" ht="12.75" customHeight="1" x14ac:dyDescent="0.2">
      <c r="B18072" s="43"/>
    </row>
    <row r="18073" spans="2:2" ht="12.75" customHeight="1" x14ac:dyDescent="0.2">
      <c r="B18073" s="43"/>
    </row>
    <row r="18074" spans="2:2" ht="12.75" customHeight="1" x14ac:dyDescent="0.2">
      <c r="B18074" s="43"/>
    </row>
    <row r="18075" spans="2:2" ht="12.75" customHeight="1" x14ac:dyDescent="0.2">
      <c r="B18075" s="43"/>
    </row>
    <row r="18076" spans="2:2" ht="12.75" customHeight="1" x14ac:dyDescent="0.2">
      <c r="B18076" s="43"/>
    </row>
    <row r="18077" spans="2:2" ht="12.75" customHeight="1" x14ac:dyDescent="0.2">
      <c r="B18077" s="43"/>
    </row>
    <row r="18078" spans="2:2" ht="12.75" customHeight="1" x14ac:dyDescent="0.2">
      <c r="B18078" s="43"/>
    </row>
    <row r="18079" spans="2:2" ht="12.75" customHeight="1" x14ac:dyDescent="0.2">
      <c r="B18079" s="43"/>
    </row>
    <row r="18080" spans="2:2" ht="12.75" customHeight="1" x14ac:dyDescent="0.2">
      <c r="B18080" s="43"/>
    </row>
    <row r="18081" spans="2:2" ht="12.75" customHeight="1" x14ac:dyDescent="0.2">
      <c r="B18081" s="43"/>
    </row>
    <row r="18082" spans="2:2" ht="12.75" customHeight="1" x14ac:dyDescent="0.2">
      <c r="B18082" s="43"/>
    </row>
    <row r="18083" spans="2:2" ht="12.75" customHeight="1" x14ac:dyDescent="0.2">
      <c r="B18083" s="43"/>
    </row>
    <row r="18084" spans="2:2" ht="12.75" customHeight="1" x14ac:dyDescent="0.2">
      <c r="B18084" s="43"/>
    </row>
    <row r="18085" spans="2:2" ht="12.75" customHeight="1" x14ac:dyDescent="0.2">
      <c r="B18085" s="43"/>
    </row>
    <row r="18086" spans="2:2" ht="12.75" customHeight="1" x14ac:dyDescent="0.2">
      <c r="B18086" s="43"/>
    </row>
    <row r="18087" spans="2:2" ht="12.75" customHeight="1" x14ac:dyDescent="0.2">
      <c r="B18087" s="43"/>
    </row>
    <row r="18088" spans="2:2" ht="12.75" customHeight="1" x14ac:dyDescent="0.2">
      <c r="B18088" s="43"/>
    </row>
    <row r="18089" spans="2:2" ht="12.75" customHeight="1" x14ac:dyDescent="0.2">
      <c r="B18089" s="43"/>
    </row>
    <row r="18090" spans="2:2" ht="12.75" customHeight="1" x14ac:dyDescent="0.2">
      <c r="B18090" s="43"/>
    </row>
    <row r="18091" spans="2:2" ht="12.75" customHeight="1" x14ac:dyDescent="0.2">
      <c r="B18091" s="43"/>
    </row>
    <row r="18092" spans="2:2" ht="12.75" customHeight="1" x14ac:dyDescent="0.2">
      <c r="B18092" s="43"/>
    </row>
    <row r="18093" spans="2:2" ht="12.75" customHeight="1" x14ac:dyDescent="0.2">
      <c r="B18093" s="43"/>
    </row>
    <row r="18094" spans="2:2" ht="12.75" customHeight="1" x14ac:dyDescent="0.2">
      <c r="B18094" s="43"/>
    </row>
    <row r="18095" spans="2:2" ht="12.75" customHeight="1" x14ac:dyDescent="0.2">
      <c r="B18095" s="43"/>
    </row>
    <row r="18096" spans="2:2" ht="12.75" customHeight="1" x14ac:dyDescent="0.2">
      <c r="B18096" s="43"/>
    </row>
    <row r="18097" spans="2:2" ht="12.75" customHeight="1" x14ac:dyDescent="0.2">
      <c r="B18097" s="43"/>
    </row>
    <row r="18098" spans="2:2" ht="12.75" customHeight="1" x14ac:dyDescent="0.2">
      <c r="B18098" s="43"/>
    </row>
    <row r="18099" spans="2:2" ht="12.75" customHeight="1" x14ac:dyDescent="0.2">
      <c r="B18099" s="43"/>
    </row>
    <row r="18100" spans="2:2" ht="12.75" customHeight="1" x14ac:dyDescent="0.2">
      <c r="B18100" s="43"/>
    </row>
    <row r="18101" spans="2:2" ht="12.75" customHeight="1" x14ac:dyDescent="0.2">
      <c r="B18101" s="43"/>
    </row>
    <row r="18102" spans="2:2" ht="12.75" customHeight="1" x14ac:dyDescent="0.2">
      <c r="B18102" s="43"/>
    </row>
    <row r="18103" spans="2:2" ht="12.75" customHeight="1" x14ac:dyDescent="0.2">
      <c r="B18103" s="43"/>
    </row>
    <row r="18104" spans="2:2" ht="12.75" customHeight="1" x14ac:dyDescent="0.2">
      <c r="B18104" s="43"/>
    </row>
    <row r="18105" spans="2:2" ht="12.75" customHeight="1" x14ac:dyDescent="0.2">
      <c r="B18105" s="43"/>
    </row>
    <row r="18106" spans="2:2" ht="12.75" customHeight="1" x14ac:dyDescent="0.2">
      <c r="B18106" s="43"/>
    </row>
    <row r="18107" spans="2:2" ht="12.75" customHeight="1" x14ac:dyDescent="0.2">
      <c r="B18107" s="43"/>
    </row>
    <row r="18108" spans="2:2" ht="12.75" customHeight="1" x14ac:dyDescent="0.2">
      <c r="B18108" s="43"/>
    </row>
    <row r="18109" spans="2:2" ht="12.75" customHeight="1" x14ac:dyDescent="0.2">
      <c r="B18109" s="43"/>
    </row>
    <row r="18110" spans="2:2" ht="12.75" customHeight="1" x14ac:dyDescent="0.2">
      <c r="B18110" s="43"/>
    </row>
    <row r="18111" spans="2:2" ht="12.75" customHeight="1" x14ac:dyDescent="0.2">
      <c r="B18111" s="43"/>
    </row>
    <row r="18112" spans="2:2" ht="12.75" customHeight="1" x14ac:dyDescent="0.2">
      <c r="B18112" s="43"/>
    </row>
    <row r="18113" spans="2:2" ht="12.75" customHeight="1" x14ac:dyDescent="0.2">
      <c r="B18113" s="43"/>
    </row>
    <row r="18114" spans="2:2" ht="12.75" customHeight="1" x14ac:dyDescent="0.2">
      <c r="B18114" s="43"/>
    </row>
    <row r="18115" spans="2:2" ht="12.75" customHeight="1" x14ac:dyDescent="0.2">
      <c r="B18115" s="43"/>
    </row>
    <row r="18116" spans="2:2" ht="12.75" customHeight="1" x14ac:dyDescent="0.2">
      <c r="B18116" s="43"/>
    </row>
    <row r="18117" spans="2:2" ht="12.75" customHeight="1" x14ac:dyDescent="0.2">
      <c r="B18117" s="43"/>
    </row>
    <row r="18118" spans="2:2" ht="12.75" customHeight="1" x14ac:dyDescent="0.2">
      <c r="B18118" s="43"/>
    </row>
    <row r="18119" spans="2:2" ht="12.75" customHeight="1" x14ac:dyDescent="0.2">
      <c r="B18119" s="43"/>
    </row>
    <row r="18120" spans="2:2" ht="12.75" customHeight="1" x14ac:dyDescent="0.2">
      <c r="B18120" s="43"/>
    </row>
    <row r="18121" spans="2:2" ht="12.75" customHeight="1" x14ac:dyDescent="0.2">
      <c r="B18121" s="43"/>
    </row>
    <row r="18122" spans="2:2" ht="12.75" customHeight="1" x14ac:dyDescent="0.2">
      <c r="B18122" s="43"/>
    </row>
    <row r="18123" spans="2:2" ht="12.75" customHeight="1" x14ac:dyDescent="0.2">
      <c r="B18123" s="43"/>
    </row>
    <row r="18124" spans="2:2" ht="12.75" customHeight="1" x14ac:dyDescent="0.2">
      <c r="B18124" s="43"/>
    </row>
    <row r="18125" spans="2:2" ht="12.75" customHeight="1" x14ac:dyDescent="0.2">
      <c r="B18125" s="43"/>
    </row>
    <row r="18126" spans="2:2" ht="12.75" customHeight="1" x14ac:dyDescent="0.2">
      <c r="B18126" s="43"/>
    </row>
    <row r="18127" spans="2:2" ht="12.75" customHeight="1" x14ac:dyDescent="0.2">
      <c r="B18127" s="43"/>
    </row>
    <row r="18128" spans="2:2" ht="12.75" customHeight="1" x14ac:dyDescent="0.2">
      <c r="B18128" s="43"/>
    </row>
    <row r="18129" spans="2:2" ht="12.75" customHeight="1" x14ac:dyDescent="0.2">
      <c r="B18129" s="43"/>
    </row>
    <row r="18130" spans="2:2" ht="12.75" customHeight="1" x14ac:dyDescent="0.2">
      <c r="B18130" s="43"/>
    </row>
    <row r="18131" spans="2:2" ht="12.75" customHeight="1" x14ac:dyDescent="0.2">
      <c r="B18131" s="43"/>
    </row>
    <row r="18132" spans="2:2" ht="12.75" customHeight="1" x14ac:dyDescent="0.2">
      <c r="B18132" s="43"/>
    </row>
    <row r="18133" spans="2:2" ht="12.75" customHeight="1" x14ac:dyDescent="0.2">
      <c r="B18133" s="43"/>
    </row>
    <row r="18134" spans="2:2" ht="12.75" customHeight="1" x14ac:dyDescent="0.2">
      <c r="B18134" s="43"/>
    </row>
    <row r="18135" spans="2:2" ht="12.75" customHeight="1" x14ac:dyDescent="0.2">
      <c r="B18135" s="43"/>
    </row>
    <row r="18136" spans="2:2" ht="12.75" customHeight="1" x14ac:dyDescent="0.2">
      <c r="B18136" s="43"/>
    </row>
    <row r="18137" spans="2:2" ht="12.75" customHeight="1" x14ac:dyDescent="0.2">
      <c r="B18137" s="43"/>
    </row>
    <row r="18138" spans="2:2" ht="12.75" customHeight="1" x14ac:dyDescent="0.2">
      <c r="B18138" s="43"/>
    </row>
    <row r="18139" spans="2:2" ht="12.75" customHeight="1" x14ac:dyDescent="0.2">
      <c r="B18139" s="43"/>
    </row>
    <row r="18140" spans="2:2" ht="12.75" customHeight="1" x14ac:dyDescent="0.2">
      <c r="B18140" s="43"/>
    </row>
    <row r="18141" spans="2:2" ht="12.75" customHeight="1" x14ac:dyDescent="0.2">
      <c r="B18141" s="43"/>
    </row>
    <row r="18142" spans="2:2" ht="12.75" customHeight="1" x14ac:dyDescent="0.2">
      <c r="B18142" s="43"/>
    </row>
    <row r="18143" spans="2:2" ht="12.75" customHeight="1" x14ac:dyDescent="0.2">
      <c r="B18143" s="43"/>
    </row>
    <row r="18144" spans="2:2" ht="12.75" customHeight="1" x14ac:dyDescent="0.2">
      <c r="B18144" s="43"/>
    </row>
    <row r="18145" spans="2:2" ht="12.75" customHeight="1" x14ac:dyDescent="0.2">
      <c r="B18145" s="43"/>
    </row>
    <row r="18146" spans="2:2" ht="12.75" customHeight="1" x14ac:dyDescent="0.2">
      <c r="B18146" s="43"/>
    </row>
    <row r="18147" spans="2:2" ht="12.75" customHeight="1" x14ac:dyDescent="0.2">
      <c r="B18147" s="43"/>
    </row>
    <row r="18148" spans="2:2" ht="12.75" customHeight="1" x14ac:dyDescent="0.2">
      <c r="B18148" s="43"/>
    </row>
    <row r="18149" spans="2:2" ht="12.75" customHeight="1" x14ac:dyDescent="0.2">
      <c r="B18149" s="43"/>
    </row>
    <row r="18150" spans="2:2" ht="12.75" customHeight="1" x14ac:dyDescent="0.2">
      <c r="B18150" s="43"/>
    </row>
    <row r="18151" spans="2:2" ht="12.75" customHeight="1" x14ac:dyDescent="0.2">
      <c r="B18151" s="43"/>
    </row>
    <row r="18152" spans="2:2" ht="12.75" customHeight="1" x14ac:dyDescent="0.2">
      <c r="B18152" s="43"/>
    </row>
    <row r="18153" spans="2:2" ht="12.75" customHeight="1" x14ac:dyDescent="0.2">
      <c r="B18153" s="43"/>
    </row>
    <row r="18154" spans="2:2" ht="12.75" customHeight="1" x14ac:dyDescent="0.2">
      <c r="B18154" s="43"/>
    </row>
    <row r="18155" spans="2:2" ht="12.75" customHeight="1" x14ac:dyDescent="0.2">
      <c r="B18155" s="43"/>
    </row>
    <row r="18156" spans="2:2" ht="12.75" customHeight="1" x14ac:dyDescent="0.2">
      <c r="B18156" s="43"/>
    </row>
    <row r="18157" spans="2:2" ht="12.75" customHeight="1" x14ac:dyDescent="0.2">
      <c r="B18157" s="43"/>
    </row>
    <row r="18158" spans="2:2" ht="12.75" customHeight="1" x14ac:dyDescent="0.2">
      <c r="B18158" s="43"/>
    </row>
    <row r="18159" spans="2:2" ht="12.75" customHeight="1" x14ac:dyDescent="0.2">
      <c r="B18159" s="43"/>
    </row>
    <row r="18160" spans="2:2" ht="12.75" customHeight="1" x14ac:dyDescent="0.2">
      <c r="B18160" s="43"/>
    </row>
    <row r="18161" spans="2:2" ht="12.75" customHeight="1" x14ac:dyDescent="0.2">
      <c r="B18161" s="43"/>
    </row>
    <row r="18162" spans="2:2" ht="12.75" customHeight="1" x14ac:dyDescent="0.2">
      <c r="B18162" s="43"/>
    </row>
    <row r="18163" spans="2:2" ht="12.75" customHeight="1" x14ac:dyDescent="0.2">
      <c r="B18163" s="43"/>
    </row>
    <row r="18164" spans="2:2" ht="12.75" customHeight="1" x14ac:dyDescent="0.2">
      <c r="B18164" s="43"/>
    </row>
    <row r="18165" spans="2:2" ht="12.75" customHeight="1" x14ac:dyDescent="0.2">
      <c r="B18165" s="43"/>
    </row>
    <row r="18166" spans="2:2" ht="12.75" customHeight="1" x14ac:dyDescent="0.2">
      <c r="B18166" s="43"/>
    </row>
    <row r="18167" spans="2:2" ht="12.75" customHeight="1" x14ac:dyDescent="0.2">
      <c r="B18167" s="43"/>
    </row>
    <row r="18168" spans="2:2" ht="12.75" customHeight="1" x14ac:dyDescent="0.2">
      <c r="B18168" s="43"/>
    </row>
    <row r="18169" spans="2:2" ht="12.75" customHeight="1" x14ac:dyDescent="0.2">
      <c r="B18169" s="43"/>
    </row>
    <row r="18170" spans="2:2" ht="12.75" customHeight="1" x14ac:dyDescent="0.2">
      <c r="B18170" s="43"/>
    </row>
    <row r="18171" spans="2:2" ht="12.75" customHeight="1" x14ac:dyDescent="0.2">
      <c r="B18171" s="43"/>
    </row>
    <row r="18172" spans="2:2" ht="12.75" customHeight="1" x14ac:dyDescent="0.2">
      <c r="B18172" s="43"/>
    </row>
    <row r="18173" spans="2:2" ht="12.75" customHeight="1" x14ac:dyDescent="0.2">
      <c r="B18173" s="43"/>
    </row>
    <row r="18174" spans="2:2" ht="12.75" customHeight="1" x14ac:dyDescent="0.2">
      <c r="B18174" s="43"/>
    </row>
    <row r="18175" spans="2:2" ht="12.75" customHeight="1" x14ac:dyDescent="0.2">
      <c r="B18175" s="43"/>
    </row>
    <row r="18176" spans="2:2" ht="12.75" customHeight="1" x14ac:dyDescent="0.2">
      <c r="B18176" s="43"/>
    </row>
    <row r="18177" spans="2:2" ht="12.75" customHeight="1" x14ac:dyDescent="0.2">
      <c r="B18177" s="43"/>
    </row>
    <row r="18178" spans="2:2" ht="12.75" customHeight="1" x14ac:dyDescent="0.2">
      <c r="B18178" s="43"/>
    </row>
    <row r="18179" spans="2:2" ht="12.75" customHeight="1" x14ac:dyDescent="0.2">
      <c r="B18179" s="43"/>
    </row>
    <row r="18180" spans="2:2" ht="12.75" customHeight="1" x14ac:dyDescent="0.2">
      <c r="B18180" s="43"/>
    </row>
    <row r="18181" spans="2:2" ht="12.75" customHeight="1" x14ac:dyDescent="0.2">
      <c r="B18181" s="43"/>
    </row>
    <row r="18182" spans="2:2" ht="12.75" customHeight="1" x14ac:dyDescent="0.2">
      <c r="B18182" s="43"/>
    </row>
    <row r="18183" spans="2:2" ht="12.75" customHeight="1" x14ac:dyDescent="0.2">
      <c r="B18183" s="43"/>
    </row>
    <row r="18184" spans="2:2" ht="12.75" customHeight="1" x14ac:dyDescent="0.2">
      <c r="B18184" s="43"/>
    </row>
    <row r="18185" spans="2:2" ht="12.75" customHeight="1" x14ac:dyDescent="0.2">
      <c r="B18185" s="43"/>
    </row>
    <row r="18186" spans="2:2" ht="12.75" customHeight="1" x14ac:dyDescent="0.2">
      <c r="B18186" s="43"/>
    </row>
    <row r="18187" spans="2:2" ht="12.75" customHeight="1" x14ac:dyDescent="0.2">
      <c r="B18187" s="43"/>
    </row>
    <row r="18188" spans="2:2" ht="12.75" customHeight="1" x14ac:dyDescent="0.2">
      <c r="B18188" s="43"/>
    </row>
    <row r="18189" spans="2:2" ht="12.75" customHeight="1" x14ac:dyDescent="0.2">
      <c r="B18189" s="43"/>
    </row>
    <row r="18190" spans="2:2" ht="12.75" customHeight="1" x14ac:dyDescent="0.2">
      <c r="B18190" s="43"/>
    </row>
    <row r="18191" spans="2:2" ht="12.75" customHeight="1" x14ac:dyDescent="0.2">
      <c r="B18191" s="43"/>
    </row>
    <row r="18192" spans="2:2" ht="12.75" customHeight="1" x14ac:dyDescent="0.2">
      <c r="B18192" s="43"/>
    </row>
    <row r="18193" spans="2:2" ht="12.75" customHeight="1" x14ac:dyDescent="0.2">
      <c r="B18193" s="43"/>
    </row>
    <row r="18194" spans="2:2" ht="12.75" customHeight="1" x14ac:dyDescent="0.2">
      <c r="B18194" s="43"/>
    </row>
    <row r="18195" spans="2:2" ht="12.75" customHeight="1" x14ac:dyDescent="0.2">
      <c r="B18195" s="43"/>
    </row>
    <row r="18196" spans="2:2" ht="12.75" customHeight="1" x14ac:dyDescent="0.2">
      <c r="B18196" s="43"/>
    </row>
    <row r="18197" spans="2:2" ht="12.75" customHeight="1" x14ac:dyDescent="0.2">
      <c r="B18197" s="43"/>
    </row>
    <row r="18198" spans="2:2" ht="12.75" customHeight="1" x14ac:dyDescent="0.2">
      <c r="B18198" s="43"/>
    </row>
    <row r="18199" spans="2:2" ht="12.75" customHeight="1" x14ac:dyDescent="0.2">
      <c r="B18199" s="43"/>
    </row>
    <row r="18200" spans="2:2" ht="12.75" customHeight="1" x14ac:dyDescent="0.2">
      <c r="B18200" s="43"/>
    </row>
    <row r="18201" spans="2:2" ht="12.75" customHeight="1" x14ac:dyDescent="0.2">
      <c r="B18201" s="43"/>
    </row>
    <row r="18202" spans="2:2" ht="12.75" customHeight="1" x14ac:dyDescent="0.2">
      <c r="B18202" s="43"/>
    </row>
    <row r="18203" spans="2:2" ht="12.75" customHeight="1" x14ac:dyDescent="0.2">
      <c r="B18203" s="43"/>
    </row>
    <row r="18204" spans="2:2" ht="12.75" customHeight="1" x14ac:dyDescent="0.2">
      <c r="B18204" s="43"/>
    </row>
    <row r="18205" spans="2:2" ht="12.75" customHeight="1" x14ac:dyDescent="0.2">
      <c r="B18205" s="43"/>
    </row>
    <row r="18206" spans="2:2" ht="12.75" customHeight="1" x14ac:dyDescent="0.2">
      <c r="B18206" s="43"/>
    </row>
    <row r="18207" spans="2:2" ht="12.75" customHeight="1" x14ac:dyDescent="0.2">
      <c r="B18207" s="43"/>
    </row>
    <row r="18208" spans="2:2" ht="12.75" customHeight="1" x14ac:dyDescent="0.2">
      <c r="B18208" s="43"/>
    </row>
    <row r="18209" spans="2:2" ht="12.75" customHeight="1" x14ac:dyDescent="0.2">
      <c r="B18209" s="43"/>
    </row>
    <row r="18210" spans="2:2" ht="12.75" customHeight="1" x14ac:dyDescent="0.2">
      <c r="B18210" s="43"/>
    </row>
    <row r="18211" spans="2:2" ht="12.75" customHeight="1" x14ac:dyDescent="0.2">
      <c r="B18211" s="43"/>
    </row>
    <row r="18212" spans="2:2" ht="12.75" customHeight="1" x14ac:dyDescent="0.2">
      <c r="B18212" s="43"/>
    </row>
    <row r="18213" spans="2:2" ht="12.75" customHeight="1" x14ac:dyDescent="0.2">
      <c r="B18213" s="43"/>
    </row>
    <row r="18214" spans="2:2" ht="12.75" customHeight="1" x14ac:dyDescent="0.2">
      <c r="B18214" s="43"/>
    </row>
    <row r="18215" spans="2:2" ht="12.75" customHeight="1" x14ac:dyDescent="0.2">
      <c r="B18215" s="43"/>
    </row>
    <row r="18216" spans="2:2" ht="12.75" customHeight="1" x14ac:dyDescent="0.2">
      <c r="B18216" s="43"/>
    </row>
    <row r="18217" spans="2:2" ht="12.75" customHeight="1" x14ac:dyDescent="0.2">
      <c r="B18217" s="43"/>
    </row>
    <row r="18218" spans="2:2" ht="12.75" customHeight="1" x14ac:dyDescent="0.2">
      <c r="B18218" s="43"/>
    </row>
    <row r="18219" spans="2:2" ht="12.75" customHeight="1" x14ac:dyDescent="0.2">
      <c r="B18219" s="43"/>
    </row>
    <row r="18220" spans="2:2" ht="12.75" customHeight="1" x14ac:dyDescent="0.2">
      <c r="B18220" s="43"/>
    </row>
    <row r="18221" spans="2:2" ht="12.75" customHeight="1" x14ac:dyDescent="0.2">
      <c r="B18221" s="43"/>
    </row>
    <row r="18222" spans="2:2" ht="12.75" customHeight="1" x14ac:dyDescent="0.2">
      <c r="B18222" s="43"/>
    </row>
    <row r="18223" spans="2:2" ht="12.75" customHeight="1" x14ac:dyDescent="0.2">
      <c r="B18223" s="43"/>
    </row>
    <row r="18224" spans="2:2" ht="12.75" customHeight="1" x14ac:dyDescent="0.2">
      <c r="B18224" s="43"/>
    </row>
    <row r="18225" spans="2:2" ht="12.75" customHeight="1" x14ac:dyDescent="0.2">
      <c r="B18225" s="43"/>
    </row>
    <row r="18226" spans="2:2" ht="12.75" customHeight="1" x14ac:dyDescent="0.2">
      <c r="B18226" s="43"/>
    </row>
    <row r="18227" spans="2:2" ht="12.75" customHeight="1" x14ac:dyDescent="0.2">
      <c r="B18227" s="43"/>
    </row>
    <row r="18228" spans="2:2" ht="12.75" customHeight="1" x14ac:dyDescent="0.2">
      <c r="B18228" s="43"/>
    </row>
    <row r="18229" spans="2:2" ht="12.75" customHeight="1" x14ac:dyDescent="0.2">
      <c r="B18229" s="43"/>
    </row>
    <row r="18230" spans="2:2" ht="12.75" customHeight="1" x14ac:dyDescent="0.2">
      <c r="B18230" s="43"/>
    </row>
    <row r="18231" spans="2:2" ht="12.75" customHeight="1" x14ac:dyDescent="0.2">
      <c r="B18231" s="43"/>
    </row>
    <row r="18232" spans="2:2" ht="12.75" customHeight="1" x14ac:dyDescent="0.2">
      <c r="B18232" s="43"/>
    </row>
    <row r="18233" spans="2:2" ht="12.75" customHeight="1" x14ac:dyDescent="0.2">
      <c r="B18233" s="43"/>
    </row>
    <row r="18234" spans="2:2" ht="12.75" customHeight="1" x14ac:dyDescent="0.2">
      <c r="B18234" s="43"/>
    </row>
    <row r="18235" spans="2:2" ht="12.75" customHeight="1" x14ac:dyDescent="0.2">
      <c r="B18235" s="43"/>
    </row>
    <row r="18236" spans="2:2" ht="12.75" customHeight="1" x14ac:dyDescent="0.2">
      <c r="B18236" s="43"/>
    </row>
    <row r="18237" spans="2:2" ht="12.75" customHeight="1" x14ac:dyDescent="0.2">
      <c r="B18237" s="43"/>
    </row>
    <row r="18238" spans="2:2" ht="12.75" customHeight="1" x14ac:dyDescent="0.2">
      <c r="B18238" s="43"/>
    </row>
    <row r="18239" spans="2:2" ht="12.75" customHeight="1" x14ac:dyDescent="0.2">
      <c r="B18239" s="43"/>
    </row>
    <row r="18240" spans="2:2" ht="12.75" customHeight="1" x14ac:dyDescent="0.2">
      <c r="B18240" s="43"/>
    </row>
    <row r="18241" spans="2:2" ht="12.75" customHeight="1" x14ac:dyDescent="0.2">
      <c r="B18241" s="43"/>
    </row>
    <row r="18242" spans="2:2" ht="12.75" customHeight="1" x14ac:dyDescent="0.2">
      <c r="B18242" s="43"/>
    </row>
    <row r="18243" spans="2:2" ht="12.75" customHeight="1" x14ac:dyDescent="0.2">
      <c r="B18243" s="43"/>
    </row>
    <row r="18244" spans="2:2" ht="12.75" customHeight="1" x14ac:dyDescent="0.2">
      <c r="B18244" s="43"/>
    </row>
    <row r="18245" spans="2:2" ht="12.75" customHeight="1" x14ac:dyDescent="0.2">
      <c r="B18245" s="43"/>
    </row>
    <row r="18246" spans="2:2" ht="12.75" customHeight="1" x14ac:dyDescent="0.2">
      <c r="B18246" s="43"/>
    </row>
    <row r="18247" spans="2:2" ht="12.75" customHeight="1" x14ac:dyDescent="0.2">
      <c r="B18247" s="43"/>
    </row>
    <row r="18248" spans="2:2" ht="12.75" customHeight="1" x14ac:dyDescent="0.2">
      <c r="B18248" s="43"/>
    </row>
    <row r="18249" spans="2:2" ht="12.75" customHeight="1" x14ac:dyDescent="0.2">
      <c r="B18249" s="43"/>
    </row>
    <row r="18250" spans="2:2" ht="12.75" customHeight="1" x14ac:dyDescent="0.2">
      <c r="B18250" s="43"/>
    </row>
    <row r="18251" spans="2:2" ht="12.75" customHeight="1" x14ac:dyDescent="0.2">
      <c r="B18251" s="43"/>
    </row>
    <row r="18252" spans="2:2" ht="12.75" customHeight="1" x14ac:dyDescent="0.2">
      <c r="B18252" s="43"/>
    </row>
    <row r="18253" spans="2:2" ht="12.75" customHeight="1" x14ac:dyDescent="0.2">
      <c r="B18253" s="43"/>
    </row>
    <row r="18254" spans="2:2" ht="12.75" customHeight="1" x14ac:dyDescent="0.2">
      <c r="B18254" s="43"/>
    </row>
    <row r="18255" spans="2:2" ht="12.75" customHeight="1" x14ac:dyDescent="0.2">
      <c r="B18255" s="43"/>
    </row>
    <row r="18256" spans="2:2" ht="12.75" customHeight="1" x14ac:dyDescent="0.2">
      <c r="B18256" s="43"/>
    </row>
    <row r="18257" spans="2:2" ht="12.75" customHeight="1" x14ac:dyDescent="0.2">
      <c r="B18257" s="43"/>
    </row>
    <row r="18258" spans="2:2" ht="12.75" customHeight="1" x14ac:dyDescent="0.2">
      <c r="B18258" s="43"/>
    </row>
    <row r="18259" spans="2:2" ht="12.75" customHeight="1" x14ac:dyDescent="0.2">
      <c r="B18259" s="43"/>
    </row>
    <row r="18260" spans="2:2" ht="12.75" customHeight="1" x14ac:dyDescent="0.2">
      <c r="B18260" s="43"/>
    </row>
    <row r="18261" spans="2:2" ht="12.75" customHeight="1" x14ac:dyDescent="0.2">
      <c r="B18261" s="43"/>
    </row>
    <row r="18262" spans="2:2" ht="12.75" customHeight="1" x14ac:dyDescent="0.2">
      <c r="B18262" s="43"/>
    </row>
    <row r="18263" spans="2:2" ht="12.75" customHeight="1" x14ac:dyDescent="0.2">
      <c r="B18263" s="43"/>
    </row>
    <row r="18264" spans="2:2" ht="12.75" customHeight="1" x14ac:dyDescent="0.2">
      <c r="B18264" s="43"/>
    </row>
    <row r="18265" spans="2:2" ht="12.75" customHeight="1" x14ac:dyDescent="0.2">
      <c r="B18265" s="43"/>
    </row>
    <row r="18266" spans="2:2" ht="12.75" customHeight="1" x14ac:dyDescent="0.2">
      <c r="B18266" s="43"/>
    </row>
    <row r="18267" spans="2:2" ht="12.75" customHeight="1" x14ac:dyDescent="0.2">
      <c r="B18267" s="43"/>
    </row>
    <row r="18268" spans="2:2" ht="12.75" customHeight="1" x14ac:dyDescent="0.2">
      <c r="B18268" s="43"/>
    </row>
    <row r="18269" spans="2:2" ht="12.75" customHeight="1" x14ac:dyDescent="0.2">
      <c r="B18269" s="43"/>
    </row>
    <row r="18270" spans="2:2" ht="12.75" customHeight="1" x14ac:dyDescent="0.2">
      <c r="B18270" s="43"/>
    </row>
    <row r="18271" spans="2:2" ht="12.75" customHeight="1" x14ac:dyDescent="0.2">
      <c r="B18271" s="43"/>
    </row>
    <row r="18272" spans="2:2" ht="12.75" customHeight="1" x14ac:dyDescent="0.2">
      <c r="B18272" s="43"/>
    </row>
    <row r="18273" spans="2:2" ht="12.75" customHeight="1" x14ac:dyDescent="0.2">
      <c r="B18273" s="43"/>
    </row>
    <row r="18274" spans="2:2" ht="12.75" customHeight="1" x14ac:dyDescent="0.2">
      <c r="B18274" s="43"/>
    </row>
    <row r="18275" spans="2:2" ht="12.75" customHeight="1" x14ac:dyDescent="0.2">
      <c r="B18275" s="43"/>
    </row>
    <row r="18276" spans="2:2" ht="12.75" customHeight="1" x14ac:dyDescent="0.2">
      <c r="B18276" s="43"/>
    </row>
    <row r="18277" spans="2:2" ht="12.75" customHeight="1" x14ac:dyDescent="0.2">
      <c r="B18277" s="43"/>
    </row>
    <row r="18278" spans="2:2" ht="12.75" customHeight="1" x14ac:dyDescent="0.2">
      <c r="B18278" s="43"/>
    </row>
    <row r="18279" spans="2:2" ht="12.75" customHeight="1" x14ac:dyDescent="0.2">
      <c r="B18279" s="43"/>
    </row>
    <row r="18280" spans="2:2" ht="12.75" customHeight="1" x14ac:dyDescent="0.2">
      <c r="B18280" s="43"/>
    </row>
    <row r="18281" spans="2:2" ht="12.75" customHeight="1" x14ac:dyDescent="0.2">
      <c r="B18281" s="43"/>
    </row>
    <row r="18282" spans="2:2" ht="12.75" customHeight="1" x14ac:dyDescent="0.2">
      <c r="B18282" s="43"/>
    </row>
    <row r="18283" spans="2:2" ht="12.75" customHeight="1" x14ac:dyDescent="0.2">
      <c r="B18283" s="43"/>
    </row>
    <row r="18284" spans="2:2" ht="12.75" customHeight="1" x14ac:dyDescent="0.2">
      <c r="B18284" s="43"/>
    </row>
    <row r="18285" spans="2:2" ht="12.75" customHeight="1" x14ac:dyDescent="0.2">
      <c r="B18285" s="43"/>
    </row>
    <row r="18286" spans="2:2" ht="12.75" customHeight="1" x14ac:dyDescent="0.2">
      <c r="B18286" s="43"/>
    </row>
    <row r="18287" spans="2:2" ht="12.75" customHeight="1" x14ac:dyDescent="0.2">
      <c r="B18287" s="43"/>
    </row>
    <row r="18288" spans="2:2" ht="12.75" customHeight="1" x14ac:dyDescent="0.2">
      <c r="B18288" s="43"/>
    </row>
    <row r="18289" spans="2:2" ht="12.75" customHeight="1" x14ac:dyDescent="0.2">
      <c r="B18289" s="43"/>
    </row>
    <row r="18290" spans="2:2" ht="12.75" customHeight="1" x14ac:dyDescent="0.2">
      <c r="B18290" s="43"/>
    </row>
    <row r="18291" spans="2:2" ht="12.75" customHeight="1" x14ac:dyDescent="0.2">
      <c r="B18291" s="43"/>
    </row>
    <row r="18292" spans="2:2" ht="12.75" customHeight="1" x14ac:dyDescent="0.2">
      <c r="B18292" s="43"/>
    </row>
    <row r="18293" spans="2:2" ht="12.75" customHeight="1" x14ac:dyDescent="0.2">
      <c r="B18293" s="43"/>
    </row>
    <row r="18294" spans="2:2" ht="12.75" customHeight="1" x14ac:dyDescent="0.2">
      <c r="B18294" s="43"/>
    </row>
    <row r="18295" spans="2:2" ht="12.75" customHeight="1" x14ac:dyDescent="0.2">
      <c r="B18295" s="43"/>
    </row>
    <row r="18296" spans="2:2" ht="12.75" customHeight="1" x14ac:dyDescent="0.2">
      <c r="B18296" s="43"/>
    </row>
    <row r="18297" spans="2:2" ht="12.75" customHeight="1" x14ac:dyDescent="0.2">
      <c r="B18297" s="43"/>
    </row>
    <row r="18298" spans="2:2" ht="12.75" customHeight="1" x14ac:dyDescent="0.2">
      <c r="B18298" s="43"/>
    </row>
    <row r="18299" spans="2:2" ht="12.75" customHeight="1" x14ac:dyDescent="0.2">
      <c r="B18299" s="43"/>
    </row>
    <row r="18300" spans="2:2" ht="12.75" customHeight="1" x14ac:dyDescent="0.2">
      <c r="B18300" s="43"/>
    </row>
    <row r="18301" spans="2:2" ht="12.75" customHeight="1" x14ac:dyDescent="0.2">
      <c r="B18301" s="43"/>
    </row>
    <row r="18302" spans="2:2" ht="12.75" customHeight="1" x14ac:dyDescent="0.2">
      <c r="B18302" s="43"/>
    </row>
    <row r="18303" spans="2:2" ht="12.75" customHeight="1" x14ac:dyDescent="0.2">
      <c r="B18303" s="43"/>
    </row>
    <row r="18304" spans="2:2" ht="12.75" customHeight="1" x14ac:dyDescent="0.2">
      <c r="B18304" s="43"/>
    </row>
    <row r="18305" spans="2:2" ht="12.75" customHeight="1" x14ac:dyDescent="0.2">
      <c r="B18305" s="43"/>
    </row>
    <row r="18306" spans="2:2" ht="12.75" customHeight="1" x14ac:dyDescent="0.2">
      <c r="B18306" s="43"/>
    </row>
    <row r="18307" spans="2:2" ht="12.75" customHeight="1" x14ac:dyDescent="0.2">
      <c r="B18307" s="43"/>
    </row>
    <row r="18308" spans="2:2" ht="12.75" customHeight="1" x14ac:dyDescent="0.2">
      <c r="B18308" s="43"/>
    </row>
    <row r="18309" spans="2:2" ht="12.75" customHeight="1" x14ac:dyDescent="0.2">
      <c r="B18309" s="43"/>
    </row>
    <row r="18310" spans="2:2" ht="12.75" customHeight="1" x14ac:dyDescent="0.2">
      <c r="B18310" s="43"/>
    </row>
    <row r="18311" spans="2:2" ht="12.75" customHeight="1" x14ac:dyDescent="0.2">
      <c r="B18311" s="43"/>
    </row>
    <row r="18312" spans="2:2" ht="12.75" customHeight="1" x14ac:dyDescent="0.2">
      <c r="B18312" s="43"/>
    </row>
    <row r="18313" spans="2:2" ht="12.75" customHeight="1" x14ac:dyDescent="0.2">
      <c r="B18313" s="43"/>
    </row>
    <row r="18314" spans="2:2" ht="12.75" customHeight="1" x14ac:dyDescent="0.2">
      <c r="B18314" s="43"/>
    </row>
    <row r="18315" spans="2:2" ht="12.75" customHeight="1" x14ac:dyDescent="0.2">
      <c r="B18315" s="43"/>
    </row>
    <row r="18316" spans="2:2" ht="12.75" customHeight="1" x14ac:dyDescent="0.2">
      <c r="B18316" s="43"/>
    </row>
    <row r="18317" spans="2:2" ht="12.75" customHeight="1" x14ac:dyDescent="0.2">
      <c r="B18317" s="43"/>
    </row>
    <row r="18318" spans="2:2" ht="12.75" customHeight="1" x14ac:dyDescent="0.2">
      <c r="B18318" s="43"/>
    </row>
    <row r="18319" spans="2:2" ht="12.75" customHeight="1" x14ac:dyDescent="0.2">
      <c r="B18319" s="43"/>
    </row>
    <row r="18320" spans="2:2" ht="12.75" customHeight="1" x14ac:dyDescent="0.2">
      <c r="B18320" s="43"/>
    </row>
    <row r="18321" spans="2:2" ht="12.75" customHeight="1" x14ac:dyDescent="0.2">
      <c r="B18321" s="43"/>
    </row>
    <row r="18322" spans="2:2" ht="12.75" customHeight="1" x14ac:dyDescent="0.2">
      <c r="B18322" s="43"/>
    </row>
    <row r="18323" spans="2:2" ht="12.75" customHeight="1" x14ac:dyDescent="0.2">
      <c r="B18323" s="43"/>
    </row>
    <row r="18324" spans="2:2" ht="12.75" customHeight="1" x14ac:dyDescent="0.2">
      <c r="B18324" s="43"/>
    </row>
    <row r="18325" spans="2:2" ht="12.75" customHeight="1" x14ac:dyDescent="0.2">
      <c r="B18325" s="43"/>
    </row>
    <row r="18326" spans="2:2" ht="12.75" customHeight="1" x14ac:dyDescent="0.2">
      <c r="B18326" s="43"/>
    </row>
    <row r="18327" spans="2:2" ht="12.75" customHeight="1" x14ac:dyDescent="0.2">
      <c r="B18327" s="43"/>
    </row>
    <row r="18328" spans="2:2" ht="12.75" customHeight="1" x14ac:dyDescent="0.2">
      <c r="B18328" s="43"/>
    </row>
    <row r="18329" spans="2:2" ht="12.75" customHeight="1" x14ac:dyDescent="0.2">
      <c r="B18329" s="43"/>
    </row>
    <row r="18330" spans="2:2" ht="12.75" customHeight="1" x14ac:dyDescent="0.2">
      <c r="B18330" s="43"/>
    </row>
    <row r="18331" spans="2:2" ht="12.75" customHeight="1" x14ac:dyDescent="0.2">
      <c r="B18331" s="43"/>
    </row>
    <row r="18332" spans="2:2" ht="12.75" customHeight="1" x14ac:dyDescent="0.2">
      <c r="B18332" s="43"/>
    </row>
    <row r="18333" spans="2:2" ht="12.75" customHeight="1" x14ac:dyDescent="0.2">
      <c r="B18333" s="43"/>
    </row>
    <row r="18334" spans="2:2" ht="12.75" customHeight="1" x14ac:dyDescent="0.2">
      <c r="B18334" s="43"/>
    </row>
    <row r="18335" spans="2:2" ht="12.75" customHeight="1" x14ac:dyDescent="0.2">
      <c r="B18335" s="43"/>
    </row>
    <row r="18336" spans="2:2" ht="12.75" customHeight="1" x14ac:dyDescent="0.2">
      <c r="B18336" s="43"/>
    </row>
    <row r="18337" spans="2:2" ht="12.75" customHeight="1" x14ac:dyDescent="0.2">
      <c r="B18337" s="43"/>
    </row>
    <row r="18338" spans="2:2" ht="12.75" customHeight="1" x14ac:dyDescent="0.2">
      <c r="B18338" s="43"/>
    </row>
    <row r="18339" spans="2:2" ht="12.75" customHeight="1" x14ac:dyDescent="0.2">
      <c r="B18339" s="43"/>
    </row>
    <row r="18340" spans="2:2" ht="12.75" customHeight="1" x14ac:dyDescent="0.2">
      <c r="B18340" s="43"/>
    </row>
    <row r="18341" spans="2:2" ht="12.75" customHeight="1" x14ac:dyDescent="0.2">
      <c r="B18341" s="43"/>
    </row>
    <row r="18342" spans="2:2" ht="12.75" customHeight="1" x14ac:dyDescent="0.2">
      <c r="B18342" s="43"/>
    </row>
    <row r="18343" spans="2:2" ht="12.75" customHeight="1" x14ac:dyDescent="0.2">
      <c r="B18343" s="43"/>
    </row>
    <row r="18344" spans="2:2" ht="12.75" customHeight="1" x14ac:dyDescent="0.2">
      <c r="B18344" s="43"/>
    </row>
    <row r="18345" spans="2:2" ht="12.75" customHeight="1" x14ac:dyDescent="0.2">
      <c r="B18345" s="43"/>
    </row>
    <row r="18346" spans="2:2" ht="12.75" customHeight="1" x14ac:dyDescent="0.2">
      <c r="B18346" s="43"/>
    </row>
    <row r="18347" spans="2:2" ht="12.75" customHeight="1" x14ac:dyDescent="0.2">
      <c r="B18347" s="43"/>
    </row>
    <row r="18348" spans="2:2" ht="12.75" customHeight="1" x14ac:dyDescent="0.2">
      <c r="B18348" s="43"/>
    </row>
    <row r="18349" spans="2:2" ht="12.75" customHeight="1" x14ac:dyDescent="0.2">
      <c r="B18349" s="43"/>
    </row>
    <row r="18350" spans="2:2" ht="12.75" customHeight="1" x14ac:dyDescent="0.2">
      <c r="B18350" s="43"/>
    </row>
    <row r="18351" spans="2:2" ht="12.75" customHeight="1" x14ac:dyDescent="0.2">
      <c r="B18351" s="43"/>
    </row>
    <row r="18352" spans="2:2" ht="12.75" customHeight="1" x14ac:dyDescent="0.2">
      <c r="B18352" s="43"/>
    </row>
    <row r="18353" spans="2:2" ht="12.75" customHeight="1" x14ac:dyDescent="0.2">
      <c r="B18353" s="43"/>
    </row>
    <row r="18354" spans="2:2" ht="12.75" customHeight="1" x14ac:dyDescent="0.2">
      <c r="B18354" s="43"/>
    </row>
    <row r="18355" spans="2:2" ht="12.75" customHeight="1" x14ac:dyDescent="0.2">
      <c r="B18355" s="43"/>
    </row>
    <row r="18356" spans="2:2" ht="12.75" customHeight="1" x14ac:dyDescent="0.2">
      <c r="B18356" s="43"/>
    </row>
    <row r="18357" spans="2:2" ht="12.75" customHeight="1" x14ac:dyDescent="0.2">
      <c r="B18357" s="43"/>
    </row>
    <row r="18358" spans="2:2" ht="12.75" customHeight="1" x14ac:dyDescent="0.2">
      <c r="B18358" s="43"/>
    </row>
    <row r="18359" spans="2:2" ht="12.75" customHeight="1" x14ac:dyDescent="0.2">
      <c r="B18359" s="43"/>
    </row>
    <row r="18360" spans="2:2" ht="12.75" customHeight="1" x14ac:dyDescent="0.2">
      <c r="B18360" s="43"/>
    </row>
    <row r="18361" spans="2:2" ht="12.75" customHeight="1" x14ac:dyDescent="0.2">
      <c r="B18361" s="43"/>
    </row>
    <row r="18362" spans="2:2" ht="12.75" customHeight="1" x14ac:dyDescent="0.2">
      <c r="B18362" s="43"/>
    </row>
    <row r="18363" spans="2:2" ht="12.75" customHeight="1" x14ac:dyDescent="0.2">
      <c r="B18363" s="43"/>
    </row>
    <row r="18364" spans="2:2" ht="12.75" customHeight="1" x14ac:dyDescent="0.2">
      <c r="B18364" s="43"/>
    </row>
    <row r="18365" spans="2:2" ht="12.75" customHeight="1" x14ac:dyDescent="0.2">
      <c r="B18365" s="43"/>
    </row>
    <row r="18366" spans="2:2" ht="12.75" customHeight="1" x14ac:dyDescent="0.2">
      <c r="B18366" s="43"/>
    </row>
    <row r="18367" spans="2:2" ht="12.75" customHeight="1" x14ac:dyDescent="0.2">
      <c r="B18367" s="43"/>
    </row>
    <row r="18368" spans="2:2" ht="12.75" customHeight="1" x14ac:dyDescent="0.2">
      <c r="B18368" s="43"/>
    </row>
    <row r="18369" spans="2:2" ht="12.75" customHeight="1" x14ac:dyDescent="0.2">
      <c r="B18369" s="43"/>
    </row>
    <row r="18370" spans="2:2" ht="12.75" customHeight="1" x14ac:dyDescent="0.2">
      <c r="B18370" s="43"/>
    </row>
    <row r="18371" spans="2:2" ht="12.75" customHeight="1" x14ac:dyDescent="0.2">
      <c r="B18371" s="43"/>
    </row>
    <row r="18372" spans="2:2" ht="12.75" customHeight="1" x14ac:dyDescent="0.2">
      <c r="B18372" s="43"/>
    </row>
    <row r="18373" spans="2:2" ht="12.75" customHeight="1" x14ac:dyDescent="0.2">
      <c r="B18373" s="43"/>
    </row>
    <row r="18374" spans="2:2" ht="12.75" customHeight="1" x14ac:dyDescent="0.2">
      <c r="B18374" s="43"/>
    </row>
    <row r="18375" spans="2:2" ht="12.75" customHeight="1" x14ac:dyDescent="0.2">
      <c r="B18375" s="43"/>
    </row>
    <row r="18376" spans="2:2" ht="12.75" customHeight="1" x14ac:dyDescent="0.2">
      <c r="B18376" s="43"/>
    </row>
    <row r="18377" spans="2:2" ht="12.75" customHeight="1" x14ac:dyDescent="0.2">
      <c r="B18377" s="43"/>
    </row>
    <row r="18378" spans="2:2" ht="12.75" customHeight="1" x14ac:dyDescent="0.2">
      <c r="B18378" s="43"/>
    </row>
    <row r="18379" spans="2:2" ht="12.75" customHeight="1" x14ac:dyDescent="0.2">
      <c r="B18379" s="43"/>
    </row>
    <row r="18380" spans="2:2" ht="12.75" customHeight="1" x14ac:dyDescent="0.2">
      <c r="B18380" s="43"/>
    </row>
    <row r="18381" spans="2:2" ht="12.75" customHeight="1" x14ac:dyDescent="0.2">
      <c r="B18381" s="43"/>
    </row>
    <row r="18382" spans="2:2" ht="12.75" customHeight="1" x14ac:dyDescent="0.2">
      <c r="B18382" s="43"/>
    </row>
    <row r="18383" spans="2:2" ht="12.75" customHeight="1" x14ac:dyDescent="0.2">
      <c r="B18383" s="43"/>
    </row>
    <row r="18384" spans="2:2" ht="12.75" customHeight="1" x14ac:dyDescent="0.2">
      <c r="B18384" s="43"/>
    </row>
    <row r="18385" spans="2:2" ht="12.75" customHeight="1" x14ac:dyDescent="0.2">
      <c r="B18385" s="43"/>
    </row>
    <row r="18386" spans="2:2" ht="12.75" customHeight="1" x14ac:dyDescent="0.2">
      <c r="B18386" s="43"/>
    </row>
    <row r="18387" spans="2:2" ht="12.75" customHeight="1" x14ac:dyDescent="0.2">
      <c r="B18387" s="43"/>
    </row>
    <row r="18388" spans="2:2" ht="12.75" customHeight="1" x14ac:dyDescent="0.2">
      <c r="B18388" s="43"/>
    </row>
    <row r="18389" spans="2:2" ht="12.75" customHeight="1" x14ac:dyDescent="0.2">
      <c r="B18389" s="43"/>
    </row>
    <row r="18390" spans="2:2" ht="12.75" customHeight="1" x14ac:dyDescent="0.2">
      <c r="B18390" s="43"/>
    </row>
    <row r="18391" spans="2:2" ht="12.75" customHeight="1" x14ac:dyDescent="0.2">
      <c r="B18391" s="43"/>
    </row>
    <row r="18392" spans="2:2" ht="12.75" customHeight="1" x14ac:dyDescent="0.2">
      <c r="B18392" s="43"/>
    </row>
    <row r="18393" spans="2:2" ht="12.75" customHeight="1" x14ac:dyDescent="0.2">
      <c r="B18393" s="43"/>
    </row>
    <row r="18394" spans="2:2" ht="12.75" customHeight="1" x14ac:dyDescent="0.2">
      <c r="B18394" s="43"/>
    </row>
    <row r="18395" spans="2:2" ht="12.75" customHeight="1" x14ac:dyDescent="0.2">
      <c r="B18395" s="43"/>
    </row>
    <row r="18396" spans="2:2" ht="12.75" customHeight="1" x14ac:dyDescent="0.2">
      <c r="B18396" s="43"/>
    </row>
    <row r="18397" spans="2:2" ht="12.75" customHeight="1" x14ac:dyDescent="0.2">
      <c r="B18397" s="43"/>
    </row>
    <row r="18398" spans="2:2" ht="12.75" customHeight="1" x14ac:dyDescent="0.2">
      <c r="B18398" s="43"/>
    </row>
    <row r="18399" spans="2:2" ht="12.75" customHeight="1" x14ac:dyDescent="0.2">
      <c r="B18399" s="43"/>
    </row>
    <row r="18400" spans="2:2" ht="12.75" customHeight="1" x14ac:dyDescent="0.2">
      <c r="B18400" s="43"/>
    </row>
    <row r="18401" spans="2:2" ht="12.75" customHeight="1" x14ac:dyDescent="0.2">
      <c r="B18401" s="43"/>
    </row>
    <row r="18402" spans="2:2" ht="12.75" customHeight="1" x14ac:dyDescent="0.2">
      <c r="B18402" s="43"/>
    </row>
    <row r="18403" spans="2:2" ht="12.75" customHeight="1" x14ac:dyDescent="0.2">
      <c r="B18403" s="43"/>
    </row>
    <row r="18404" spans="2:2" ht="12.75" customHeight="1" x14ac:dyDescent="0.2">
      <c r="B18404" s="43"/>
    </row>
    <row r="18405" spans="2:2" ht="12.75" customHeight="1" x14ac:dyDescent="0.2">
      <c r="B18405" s="43"/>
    </row>
    <row r="18406" spans="2:2" ht="12.75" customHeight="1" x14ac:dyDescent="0.2">
      <c r="B18406" s="43"/>
    </row>
    <row r="18407" spans="2:2" ht="12.75" customHeight="1" x14ac:dyDescent="0.2">
      <c r="B18407" s="43"/>
    </row>
    <row r="18408" spans="2:2" ht="12.75" customHeight="1" x14ac:dyDescent="0.2">
      <c r="B18408" s="43"/>
    </row>
    <row r="18409" spans="2:2" ht="12.75" customHeight="1" x14ac:dyDescent="0.2">
      <c r="B18409" s="43"/>
    </row>
    <row r="18410" spans="2:2" ht="12.75" customHeight="1" x14ac:dyDescent="0.2">
      <c r="B18410" s="43"/>
    </row>
    <row r="18411" spans="2:2" ht="12.75" customHeight="1" x14ac:dyDescent="0.2">
      <c r="B18411" s="43"/>
    </row>
    <row r="18412" spans="2:2" ht="12.75" customHeight="1" x14ac:dyDescent="0.2">
      <c r="B18412" s="43"/>
    </row>
    <row r="18413" spans="2:2" ht="12.75" customHeight="1" x14ac:dyDescent="0.2">
      <c r="B18413" s="43"/>
    </row>
    <row r="18414" spans="2:2" ht="12.75" customHeight="1" x14ac:dyDescent="0.2">
      <c r="B18414" s="43"/>
    </row>
    <row r="18415" spans="2:2" ht="12.75" customHeight="1" x14ac:dyDescent="0.2">
      <c r="B18415" s="43"/>
    </row>
    <row r="18416" spans="2:2" ht="12.75" customHeight="1" x14ac:dyDescent="0.2">
      <c r="B18416" s="43"/>
    </row>
    <row r="18417" spans="2:2" ht="12.75" customHeight="1" x14ac:dyDescent="0.2">
      <c r="B18417" s="43"/>
    </row>
    <row r="18418" spans="2:2" ht="12.75" customHeight="1" x14ac:dyDescent="0.2">
      <c r="B18418" s="43"/>
    </row>
    <row r="18419" spans="2:2" ht="12.75" customHeight="1" x14ac:dyDescent="0.2">
      <c r="B18419" s="43"/>
    </row>
    <row r="18420" spans="2:2" ht="12.75" customHeight="1" x14ac:dyDescent="0.2">
      <c r="B18420" s="43"/>
    </row>
    <row r="18421" spans="2:2" ht="12.75" customHeight="1" x14ac:dyDescent="0.2">
      <c r="B18421" s="43"/>
    </row>
    <row r="18422" spans="2:2" ht="12.75" customHeight="1" x14ac:dyDescent="0.2">
      <c r="B18422" s="43"/>
    </row>
    <row r="18423" spans="2:2" ht="12.75" customHeight="1" x14ac:dyDescent="0.2">
      <c r="B18423" s="43"/>
    </row>
    <row r="18424" spans="2:2" ht="12.75" customHeight="1" x14ac:dyDescent="0.2">
      <c r="B18424" s="43"/>
    </row>
    <row r="18425" spans="2:2" ht="12.75" customHeight="1" x14ac:dyDescent="0.2">
      <c r="B18425" s="43"/>
    </row>
    <row r="18426" spans="2:2" ht="12.75" customHeight="1" x14ac:dyDescent="0.2">
      <c r="B18426" s="43"/>
    </row>
    <row r="18427" spans="2:2" ht="12.75" customHeight="1" x14ac:dyDescent="0.2">
      <c r="B18427" s="43"/>
    </row>
    <row r="18428" spans="2:2" ht="12.75" customHeight="1" x14ac:dyDescent="0.2">
      <c r="B18428" s="43"/>
    </row>
    <row r="18429" spans="2:2" ht="12.75" customHeight="1" x14ac:dyDescent="0.2">
      <c r="B18429" s="43"/>
    </row>
    <row r="18430" spans="2:2" ht="12.75" customHeight="1" x14ac:dyDescent="0.2">
      <c r="B18430" s="43"/>
    </row>
    <row r="18431" spans="2:2" ht="12.75" customHeight="1" x14ac:dyDescent="0.2">
      <c r="B18431" s="43"/>
    </row>
    <row r="18432" spans="2:2" ht="12.75" customHeight="1" x14ac:dyDescent="0.2">
      <c r="B18432" s="43"/>
    </row>
    <row r="18433" spans="2:2" ht="12.75" customHeight="1" x14ac:dyDescent="0.2">
      <c r="B18433" s="43"/>
    </row>
    <row r="18434" spans="2:2" ht="12.75" customHeight="1" x14ac:dyDescent="0.2">
      <c r="B18434" s="43"/>
    </row>
    <row r="18435" spans="2:2" ht="12.75" customHeight="1" x14ac:dyDescent="0.2">
      <c r="B18435" s="43"/>
    </row>
    <row r="18436" spans="2:2" ht="12.75" customHeight="1" x14ac:dyDescent="0.2">
      <c r="B18436" s="43"/>
    </row>
    <row r="18437" spans="2:2" ht="12.75" customHeight="1" x14ac:dyDescent="0.2">
      <c r="B18437" s="43"/>
    </row>
    <row r="18438" spans="2:2" ht="12.75" customHeight="1" x14ac:dyDescent="0.2">
      <c r="B18438" s="43"/>
    </row>
    <row r="18439" spans="2:2" ht="12.75" customHeight="1" x14ac:dyDescent="0.2">
      <c r="B18439" s="43"/>
    </row>
    <row r="18440" spans="2:2" ht="12.75" customHeight="1" x14ac:dyDescent="0.2">
      <c r="B18440" s="43"/>
    </row>
    <row r="18441" spans="2:2" ht="12.75" customHeight="1" x14ac:dyDescent="0.2">
      <c r="B18441" s="43"/>
    </row>
    <row r="18442" spans="2:2" ht="12.75" customHeight="1" x14ac:dyDescent="0.2">
      <c r="B18442" s="43"/>
    </row>
    <row r="18443" spans="2:2" ht="12.75" customHeight="1" x14ac:dyDescent="0.2">
      <c r="B18443" s="43"/>
    </row>
    <row r="18444" spans="2:2" ht="12.75" customHeight="1" x14ac:dyDescent="0.2">
      <c r="B18444" s="43"/>
    </row>
    <row r="18445" spans="2:2" ht="12.75" customHeight="1" x14ac:dyDescent="0.2">
      <c r="B18445" s="43"/>
    </row>
    <row r="18446" spans="2:2" ht="12.75" customHeight="1" x14ac:dyDescent="0.2">
      <c r="B18446" s="43"/>
    </row>
    <row r="18447" spans="2:2" ht="12.75" customHeight="1" x14ac:dyDescent="0.2">
      <c r="B18447" s="43"/>
    </row>
    <row r="18448" spans="2:2" ht="12.75" customHeight="1" x14ac:dyDescent="0.2">
      <c r="B18448" s="43"/>
    </row>
    <row r="18449" spans="2:2" ht="12.75" customHeight="1" x14ac:dyDescent="0.2">
      <c r="B18449" s="43"/>
    </row>
    <row r="18450" spans="2:2" ht="12.75" customHeight="1" x14ac:dyDescent="0.2">
      <c r="B18450" s="43"/>
    </row>
    <row r="18451" spans="2:2" ht="12.75" customHeight="1" x14ac:dyDescent="0.2">
      <c r="B18451" s="43"/>
    </row>
    <row r="18452" spans="2:2" ht="12.75" customHeight="1" x14ac:dyDescent="0.2">
      <c r="B18452" s="43"/>
    </row>
    <row r="18453" spans="2:2" ht="12.75" customHeight="1" x14ac:dyDescent="0.2">
      <c r="B18453" s="43"/>
    </row>
    <row r="18454" spans="2:2" ht="12.75" customHeight="1" x14ac:dyDescent="0.2">
      <c r="B18454" s="43"/>
    </row>
    <row r="18455" spans="2:2" ht="12.75" customHeight="1" x14ac:dyDescent="0.2">
      <c r="B18455" s="43"/>
    </row>
    <row r="18456" spans="2:2" ht="12.75" customHeight="1" x14ac:dyDescent="0.2">
      <c r="B18456" s="43"/>
    </row>
    <row r="18457" spans="2:2" ht="12.75" customHeight="1" x14ac:dyDescent="0.2">
      <c r="B18457" s="43"/>
    </row>
    <row r="18458" spans="2:2" ht="12.75" customHeight="1" x14ac:dyDescent="0.2">
      <c r="B18458" s="43"/>
    </row>
    <row r="18459" spans="2:2" ht="12.75" customHeight="1" x14ac:dyDescent="0.2">
      <c r="B18459" s="43"/>
    </row>
    <row r="18460" spans="2:2" ht="12.75" customHeight="1" x14ac:dyDescent="0.2">
      <c r="B18460" s="43"/>
    </row>
    <row r="18461" spans="2:2" ht="12.75" customHeight="1" x14ac:dyDescent="0.2">
      <c r="B18461" s="43"/>
    </row>
    <row r="18462" spans="2:2" ht="12.75" customHeight="1" x14ac:dyDescent="0.2">
      <c r="B18462" s="43"/>
    </row>
    <row r="18463" spans="2:2" ht="12.75" customHeight="1" x14ac:dyDescent="0.2">
      <c r="B18463" s="43"/>
    </row>
    <row r="18464" spans="2:2" ht="12.75" customHeight="1" x14ac:dyDescent="0.2">
      <c r="B18464" s="43"/>
    </row>
    <row r="18465" spans="2:2" ht="12.75" customHeight="1" x14ac:dyDescent="0.2">
      <c r="B18465" s="43"/>
    </row>
    <row r="18466" spans="2:2" ht="12.75" customHeight="1" x14ac:dyDescent="0.2">
      <c r="B18466" s="43"/>
    </row>
    <row r="18467" spans="2:2" ht="12.75" customHeight="1" x14ac:dyDescent="0.2">
      <c r="B18467" s="43"/>
    </row>
    <row r="18468" spans="2:2" ht="12.75" customHeight="1" x14ac:dyDescent="0.2">
      <c r="B18468" s="43"/>
    </row>
    <row r="18469" spans="2:2" ht="12.75" customHeight="1" x14ac:dyDescent="0.2">
      <c r="B18469" s="43"/>
    </row>
    <row r="18470" spans="2:2" ht="12.75" customHeight="1" x14ac:dyDescent="0.2">
      <c r="B18470" s="43"/>
    </row>
    <row r="18471" spans="2:2" ht="12.75" customHeight="1" x14ac:dyDescent="0.2">
      <c r="B18471" s="43"/>
    </row>
    <row r="18472" spans="2:2" ht="12.75" customHeight="1" x14ac:dyDescent="0.2">
      <c r="B18472" s="43"/>
    </row>
    <row r="18473" spans="2:2" ht="12.75" customHeight="1" x14ac:dyDescent="0.2">
      <c r="B18473" s="43"/>
    </row>
    <row r="18474" spans="2:2" ht="12.75" customHeight="1" x14ac:dyDescent="0.2">
      <c r="B18474" s="43"/>
    </row>
    <row r="18475" spans="2:2" ht="12.75" customHeight="1" x14ac:dyDescent="0.2">
      <c r="B18475" s="43"/>
    </row>
    <row r="18476" spans="2:2" ht="12.75" customHeight="1" x14ac:dyDescent="0.2">
      <c r="B18476" s="43"/>
    </row>
    <row r="18477" spans="2:2" ht="12.75" customHeight="1" x14ac:dyDescent="0.2">
      <c r="B18477" s="43"/>
    </row>
    <row r="18478" spans="2:2" ht="12.75" customHeight="1" x14ac:dyDescent="0.2">
      <c r="B18478" s="43"/>
    </row>
    <row r="18479" spans="2:2" ht="12.75" customHeight="1" x14ac:dyDescent="0.2">
      <c r="B18479" s="43"/>
    </row>
    <row r="18480" spans="2:2" ht="12.75" customHeight="1" x14ac:dyDescent="0.2">
      <c r="B18480" s="43"/>
    </row>
    <row r="18481" spans="2:2" ht="12.75" customHeight="1" x14ac:dyDescent="0.2">
      <c r="B18481" s="43"/>
    </row>
    <row r="18482" spans="2:2" ht="12.75" customHeight="1" x14ac:dyDescent="0.2">
      <c r="B18482" s="43"/>
    </row>
    <row r="18483" spans="2:2" ht="12.75" customHeight="1" x14ac:dyDescent="0.2">
      <c r="B18483" s="43"/>
    </row>
    <row r="18484" spans="2:2" ht="12.75" customHeight="1" x14ac:dyDescent="0.2">
      <c r="B18484" s="43"/>
    </row>
    <row r="18485" spans="2:2" ht="12.75" customHeight="1" x14ac:dyDescent="0.2">
      <c r="B18485" s="43"/>
    </row>
    <row r="18486" spans="2:2" ht="12.75" customHeight="1" x14ac:dyDescent="0.2">
      <c r="B18486" s="43"/>
    </row>
    <row r="18487" spans="2:2" ht="12.75" customHeight="1" x14ac:dyDescent="0.2">
      <c r="B18487" s="43"/>
    </row>
    <row r="18488" spans="2:2" ht="12.75" customHeight="1" x14ac:dyDescent="0.2">
      <c r="B18488" s="43"/>
    </row>
    <row r="18489" spans="2:2" ht="12.75" customHeight="1" x14ac:dyDescent="0.2">
      <c r="B18489" s="43"/>
    </row>
    <row r="18490" spans="2:2" ht="12.75" customHeight="1" x14ac:dyDescent="0.2">
      <c r="B18490" s="43"/>
    </row>
    <row r="18491" spans="2:2" ht="12.75" customHeight="1" x14ac:dyDescent="0.2">
      <c r="B18491" s="43"/>
    </row>
    <row r="18492" spans="2:2" ht="12.75" customHeight="1" x14ac:dyDescent="0.2">
      <c r="B18492" s="43"/>
    </row>
    <row r="18493" spans="2:2" ht="12.75" customHeight="1" x14ac:dyDescent="0.2">
      <c r="B18493" s="43"/>
    </row>
    <row r="18494" spans="2:2" ht="12.75" customHeight="1" x14ac:dyDescent="0.2">
      <c r="B18494" s="43"/>
    </row>
    <row r="18495" spans="2:2" ht="12.75" customHeight="1" x14ac:dyDescent="0.2">
      <c r="B18495" s="43"/>
    </row>
    <row r="18496" spans="2:2" ht="12.75" customHeight="1" x14ac:dyDescent="0.2">
      <c r="B18496" s="43"/>
    </row>
    <row r="18497" spans="2:2" ht="12.75" customHeight="1" x14ac:dyDescent="0.2">
      <c r="B18497" s="43"/>
    </row>
    <row r="18498" spans="2:2" ht="12.75" customHeight="1" x14ac:dyDescent="0.2">
      <c r="B18498" s="43"/>
    </row>
    <row r="18499" spans="2:2" ht="12.75" customHeight="1" x14ac:dyDescent="0.2">
      <c r="B18499" s="43"/>
    </row>
    <row r="18500" spans="2:2" ht="12.75" customHeight="1" x14ac:dyDescent="0.2">
      <c r="B18500" s="43"/>
    </row>
    <row r="18501" spans="2:2" ht="12.75" customHeight="1" x14ac:dyDescent="0.2">
      <c r="B18501" s="43"/>
    </row>
    <row r="18502" spans="2:2" ht="12.75" customHeight="1" x14ac:dyDescent="0.2">
      <c r="B18502" s="43"/>
    </row>
    <row r="18503" spans="2:2" ht="12.75" customHeight="1" x14ac:dyDescent="0.2">
      <c r="B18503" s="43"/>
    </row>
    <row r="18504" spans="2:2" ht="12.75" customHeight="1" x14ac:dyDescent="0.2">
      <c r="B18504" s="43"/>
    </row>
    <row r="18505" spans="2:2" ht="12.75" customHeight="1" x14ac:dyDescent="0.2">
      <c r="B18505" s="43"/>
    </row>
    <row r="18506" spans="2:2" ht="12.75" customHeight="1" x14ac:dyDescent="0.2">
      <c r="B18506" s="43"/>
    </row>
    <row r="18507" spans="2:2" ht="12.75" customHeight="1" x14ac:dyDescent="0.2">
      <c r="B18507" s="43"/>
    </row>
    <row r="18508" spans="2:2" ht="12.75" customHeight="1" x14ac:dyDescent="0.2">
      <c r="B18508" s="43"/>
    </row>
    <row r="18509" spans="2:2" ht="12.75" customHeight="1" x14ac:dyDescent="0.2">
      <c r="B18509" s="43"/>
    </row>
    <row r="18510" spans="2:2" ht="12.75" customHeight="1" x14ac:dyDescent="0.2">
      <c r="B18510" s="43"/>
    </row>
    <row r="18511" spans="2:2" ht="12.75" customHeight="1" x14ac:dyDescent="0.2">
      <c r="B18511" s="43"/>
    </row>
    <row r="18512" spans="2:2" ht="12.75" customHeight="1" x14ac:dyDescent="0.2">
      <c r="B18512" s="43"/>
    </row>
    <row r="18513" spans="2:2" ht="12.75" customHeight="1" x14ac:dyDescent="0.2">
      <c r="B18513" s="43"/>
    </row>
    <row r="18514" spans="2:2" ht="12.75" customHeight="1" x14ac:dyDescent="0.2">
      <c r="B18514" s="43"/>
    </row>
    <row r="18515" spans="2:2" ht="12.75" customHeight="1" x14ac:dyDescent="0.2">
      <c r="B18515" s="43"/>
    </row>
    <row r="18516" spans="2:2" ht="12.75" customHeight="1" x14ac:dyDescent="0.2">
      <c r="B18516" s="43"/>
    </row>
    <row r="18517" spans="2:2" ht="12.75" customHeight="1" x14ac:dyDescent="0.2">
      <c r="B18517" s="43"/>
    </row>
    <row r="18518" spans="2:2" ht="12.75" customHeight="1" x14ac:dyDescent="0.2">
      <c r="B18518" s="43"/>
    </row>
    <row r="18519" spans="2:2" ht="12.75" customHeight="1" x14ac:dyDescent="0.2">
      <c r="B18519" s="43"/>
    </row>
    <row r="18520" spans="2:2" ht="12.75" customHeight="1" x14ac:dyDescent="0.2">
      <c r="B18520" s="43"/>
    </row>
    <row r="18521" spans="2:2" ht="12.75" customHeight="1" x14ac:dyDescent="0.2">
      <c r="B18521" s="43"/>
    </row>
    <row r="18522" spans="2:2" ht="12.75" customHeight="1" x14ac:dyDescent="0.2">
      <c r="B18522" s="43"/>
    </row>
    <row r="18523" spans="2:2" ht="12.75" customHeight="1" x14ac:dyDescent="0.2">
      <c r="B18523" s="43"/>
    </row>
    <row r="18524" spans="2:2" ht="12.75" customHeight="1" x14ac:dyDescent="0.2">
      <c r="B18524" s="43"/>
    </row>
    <row r="18525" spans="2:2" ht="12.75" customHeight="1" x14ac:dyDescent="0.2">
      <c r="B18525" s="43"/>
    </row>
    <row r="18526" spans="2:2" ht="12.75" customHeight="1" x14ac:dyDescent="0.2">
      <c r="B18526" s="43"/>
    </row>
    <row r="18527" spans="2:2" ht="12.75" customHeight="1" x14ac:dyDescent="0.2">
      <c r="B18527" s="43"/>
    </row>
    <row r="18528" spans="2:2" ht="12.75" customHeight="1" x14ac:dyDescent="0.2">
      <c r="B18528" s="43"/>
    </row>
    <row r="18529" spans="2:2" ht="12.75" customHeight="1" x14ac:dyDescent="0.2">
      <c r="B18529" s="43"/>
    </row>
    <row r="18530" spans="2:2" ht="12.75" customHeight="1" x14ac:dyDescent="0.2">
      <c r="B18530" s="43"/>
    </row>
    <row r="18531" spans="2:2" ht="12.75" customHeight="1" x14ac:dyDescent="0.2">
      <c r="B18531" s="43"/>
    </row>
    <row r="18532" spans="2:2" ht="12.75" customHeight="1" x14ac:dyDescent="0.2">
      <c r="B18532" s="43"/>
    </row>
    <row r="18533" spans="2:2" ht="12.75" customHeight="1" x14ac:dyDescent="0.2">
      <c r="B18533" s="43"/>
    </row>
    <row r="18534" spans="2:2" ht="12.75" customHeight="1" x14ac:dyDescent="0.2">
      <c r="B18534" s="43"/>
    </row>
    <row r="18535" spans="2:2" ht="12.75" customHeight="1" x14ac:dyDescent="0.2">
      <c r="B18535" s="43"/>
    </row>
    <row r="18536" spans="2:2" ht="12.75" customHeight="1" x14ac:dyDescent="0.2">
      <c r="B18536" s="43"/>
    </row>
    <row r="18537" spans="2:2" ht="12.75" customHeight="1" x14ac:dyDescent="0.2">
      <c r="B18537" s="43"/>
    </row>
    <row r="18538" spans="2:2" ht="12.75" customHeight="1" x14ac:dyDescent="0.2">
      <c r="B18538" s="43"/>
    </row>
    <row r="18539" spans="2:2" ht="12.75" customHeight="1" x14ac:dyDescent="0.2">
      <c r="B18539" s="43"/>
    </row>
    <row r="18540" spans="2:2" ht="12.75" customHeight="1" x14ac:dyDescent="0.2">
      <c r="B18540" s="43"/>
    </row>
    <row r="18541" spans="2:2" ht="12.75" customHeight="1" x14ac:dyDescent="0.2">
      <c r="B18541" s="43"/>
    </row>
    <row r="18542" spans="2:2" ht="12.75" customHeight="1" x14ac:dyDescent="0.2">
      <c r="B18542" s="43"/>
    </row>
    <row r="18543" spans="2:2" ht="12.75" customHeight="1" x14ac:dyDescent="0.2">
      <c r="B18543" s="43"/>
    </row>
    <row r="18544" spans="2:2" ht="12.75" customHeight="1" x14ac:dyDescent="0.2">
      <c r="B18544" s="43"/>
    </row>
    <row r="18545" spans="2:2" ht="12.75" customHeight="1" x14ac:dyDescent="0.2">
      <c r="B18545" s="43"/>
    </row>
    <row r="18546" spans="2:2" ht="12.75" customHeight="1" x14ac:dyDescent="0.2">
      <c r="B18546" s="43"/>
    </row>
    <row r="18547" spans="2:2" ht="12.75" customHeight="1" x14ac:dyDescent="0.2">
      <c r="B18547" s="43"/>
    </row>
    <row r="18548" spans="2:2" ht="12.75" customHeight="1" x14ac:dyDescent="0.2">
      <c r="B18548" s="43"/>
    </row>
    <row r="18549" spans="2:2" ht="12.75" customHeight="1" x14ac:dyDescent="0.2">
      <c r="B18549" s="43"/>
    </row>
    <row r="18550" spans="2:2" ht="12.75" customHeight="1" x14ac:dyDescent="0.2">
      <c r="B18550" s="43"/>
    </row>
    <row r="18551" spans="2:2" ht="12.75" customHeight="1" x14ac:dyDescent="0.2">
      <c r="B18551" s="43"/>
    </row>
    <row r="18552" spans="2:2" ht="12.75" customHeight="1" x14ac:dyDescent="0.2">
      <c r="B18552" s="43"/>
    </row>
    <row r="18553" spans="2:2" ht="12.75" customHeight="1" x14ac:dyDescent="0.2">
      <c r="B18553" s="43"/>
    </row>
    <row r="18554" spans="2:2" ht="12.75" customHeight="1" x14ac:dyDescent="0.2">
      <c r="B18554" s="43"/>
    </row>
    <row r="18555" spans="2:2" ht="12.75" customHeight="1" x14ac:dyDescent="0.2">
      <c r="B18555" s="43"/>
    </row>
    <row r="18556" spans="2:2" ht="12.75" customHeight="1" x14ac:dyDescent="0.2">
      <c r="B18556" s="43"/>
    </row>
    <row r="18557" spans="2:2" ht="12.75" customHeight="1" x14ac:dyDescent="0.2">
      <c r="B18557" s="43"/>
    </row>
    <row r="18558" spans="2:2" ht="12.75" customHeight="1" x14ac:dyDescent="0.2">
      <c r="B18558" s="43"/>
    </row>
    <row r="18559" spans="2:2" ht="12.75" customHeight="1" x14ac:dyDescent="0.2">
      <c r="B18559" s="43"/>
    </row>
    <row r="18560" spans="2:2" ht="12.75" customHeight="1" x14ac:dyDescent="0.2">
      <c r="B18560" s="43"/>
    </row>
    <row r="18561" spans="2:2" ht="12.75" customHeight="1" x14ac:dyDescent="0.2">
      <c r="B18561" s="43"/>
    </row>
    <row r="18562" spans="2:2" ht="12.75" customHeight="1" x14ac:dyDescent="0.2">
      <c r="B18562" s="43"/>
    </row>
    <row r="18563" spans="2:2" ht="12.75" customHeight="1" x14ac:dyDescent="0.2">
      <c r="B18563" s="43"/>
    </row>
    <row r="18564" spans="2:2" ht="12.75" customHeight="1" x14ac:dyDescent="0.2">
      <c r="B18564" s="43"/>
    </row>
    <row r="18565" spans="2:2" ht="12.75" customHeight="1" x14ac:dyDescent="0.2">
      <c r="B18565" s="43"/>
    </row>
    <row r="18566" spans="2:2" ht="12.75" customHeight="1" x14ac:dyDescent="0.2">
      <c r="B18566" s="43"/>
    </row>
    <row r="18567" spans="2:2" ht="12.75" customHeight="1" x14ac:dyDescent="0.2">
      <c r="B18567" s="43"/>
    </row>
    <row r="18568" spans="2:2" ht="12.75" customHeight="1" x14ac:dyDescent="0.2">
      <c r="B18568" s="43"/>
    </row>
    <row r="18569" spans="2:2" ht="12.75" customHeight="1" x14ac:dyDescent="0.2">
      <c r="B18569" s="43"/>
    </row>
    <row r="18570" spans="2:2" ht="12.75" customHeight="1" x14ac:dyDescent="0.2">
      <c r="B18570" s="43"/>
    </row>
    <row r="18571" spans="2:2" ht="12.75" customHeight="1" x14ac:dyDescent="0.2">
      <c r="B18571" s="43"/>
    </row>
    <row r="18572" spans="2:2" ht="12.75" customHeight="1" x14ac:dyDescent="0.2">
      <c r="B18572" s="43"/>
    </row>
    <row r="18573" spans="2:2" ht="12.75" customHeight="1" x14ac:dyDescent="0.2">
      <c r="B18573" s="43"/>
    </row>
    <row r="18574" spans="2:2" ht="12.75" customHeight="1" x14ac:dyDescent="0.2">
      <c r="B18574" s="43"/>
    </row>
    <row r="18575" spans="2:2" ht="12.75" customHeight="1" x14ac:dyDescent="0.2">
      <c r="B18575" s="43"/>
    </row>
    <row r="18576" spans="2:2" ht="12.75" customHeight="1" x14ac:dyDescent="0.2">
      <c r="B18576" s="43"/>
    </row>
    <row r="18577" spans="2:2" ht="12.75" customHeight="1" x14ac:dyDescent="0.2">
      <c r="B18577" s="43"/>
    </row>
    <row r="18578" spans="2:2" ht="12.75" customHeight="1" x14ac:dyDescent="0.2">
      <c r="B18578" s="43"/>
    </row>
    <row r="18579" spans="2:2" ht="12.75" customHeight="1" x14ac:dyDescent="0.2">
      <c r="B18579" s="43"/>
    </row>
    <row r="18580" spans="2:2" ht="12.75" customHeight="1" x14ac:dyDescent="0.2">
      <c r="B18580" s="43"/>
    </row>
    <row r="18581" spans="2:2" ht="12.75" customHeight="1" x14ac:dyDescent="0.2">
      <c r="B18581" s="43"/>
    </row>
    <row r="18582" spans="2:2" ht="12.75" customHeight="1" x14ac:dyDescent="0.2">
      <c r="B18582" s="43"/>
    </row>
    <row r="18583" spans="2:2" ht="12.75" customHeight="1" x14ac:dyDescent="0.2">
      <c r="B18583" s="43"/>
    </row>
    <row r="18584" spans="2:2" ht="12.75" customHeight="1" x14ac:dyDescent="0.2">
      <c r="B18584" s="43"/>
    </row>
    <row r="18585" spans="2:2" ht="12.75" customHeight="1" x14ac:dyDescent="0.2">
      <c r="B18585" s="43"/>
    </row>
    <row r="18586" spans="2:2" ht="12.75" customHeight="1" x14ac:dyDescent="0.2">
      <c r="B18586" s="43"/>
    </row>
    <row r="18587" spans="2:2" ht="12.75" customHeight="1" x14ac:dyDescent="0.2">
      <c r="B18587" s="43"/>
    </row>
    <row r="18588" spans="2:2" ht="12.75" customHeight="1" x14ac:dyDescent="0.2">
      <c r="B18588" s="43"/>
    </row>
    <row r="18589" spans="2:2" ht="12.75" customHeight="1" x14ac:dyDescent="0.2">
      <c r="B18589" s="43"/>
    </row>
    <row r="18590" spans="2:2" ht="12.75" customHeight="1" x14ac:dyDescent="0.2">
      <c r="B18590" s="43"/>
    </row>
    <row r="18591" spans="2:2" ht="12.75" customHeight="1" x14ac:dyDescent="0.2">
      <c r="B18591" s="43"/>
    </row>
    <row r="18592" spans="2:2" ht="12.75" customHeight="1" x14ac:dyDescent="0.2">
      <c r="B18592" s="43"/>
    </row>
    <row r="18593" spans="2:2" ht="12.75" customHeight="1" x14ac:dyDescent="0.2">
      <c r="B18593" s="43"/>
    </row>
    <row r="18594" spans="2:2" ht="12.75" customHeight="1" x14ac:dyDescent="0.2">
      <c r="B18594" s="43"/>
    </row>
    <row r="18595" spans="2:2" ht="12.75" customHeight="1" x14ac:dyDescent="0.2">
      <c r="B18595" s="43"/>
    </row>
    <row r="18596" spans="2:2" ht="12.75" customHeight="1" x14ac:dyDescent="0.2">
      <c r="B18596" s="43"/>
    </row>
    <row r="18597" spans="2:2" ht="12.75" customHeight="1" x14ac:dyDescent="0.2">
      <c r="B18597" s="43"/>
    </row>
    <row r="18598" spans="2:2" ht="12.75" customHeight="1" x14ac:dyDescent="0.2">
      <c r="B18598" s="43"/>
    </row>
    <row r="18599" spans="2:2" ht="12.75" customHeight="1" x14ac:dyDescent="0.2">
      <c r="B18599" s="43"/>
    </row>
    <row r="18600" spans="2:2" ht="12.75" customHeight="1" x14ac:dyDescent="0.2">
      <c r="B18600" s="43"/>
    </row>
    <row r="18601" spans="2:2" ht="12.75" customHeight="1" x14ac:dyDescent="0.2">
      <c r="B18601" s="43"/>
    </row>
    <row r="18602" spans="2:2" ht="12.75" customHeight="1" x14ac:dyDescent="0.2">
      <c r="B18602" s="43"/>
    </row>
    <row r="18603" spans="2:2" ht="12.75" customHeight="1" x14ac:dyDescent="0.2">
      <c r="B18603" s="43"/>
    </row>
    <row r="18604" spans="2:2" ht="12.75" customHeight="1" x14ac:dyDescent="0.2">
      <c r="B18604" s="43"/>
    </row>
    <row r="18605" spans="2:2" ht="12.75" customHeight="1" x14ac:dyDescent="0.2">
      <c r="B18605" s="43"/>
    </row>
    <row r="18606" spans="2:2" ht="12.75" customHeight="1" x14ac:dyDescent="0.2">
      <c r="B18606" s="43"/>
    </row>
    <row r="18607" spans="2:2" ht="12.75" customHeight="1" x14ac:dyDescent="0.2">
      <c r="B18607" s="43"/>
    </row>
    <row r="18608" spans="2:2" ht="12.75" customHeight="1" x14ac:dyDescent="0.2">
      <c r="B18608" s="43"/>
    </row>
    <row r="18609" spans="2:2" ht="12.75" customHeight="1" x14ac:dyDescent="0.2">
      <c r="B18609" s="43"/>
    </row>
    <row r="18610" spans="2:2" ht="12.75" customHeight="1" x14ac:dyDescent="0.2">
      <c r="B18610" s="43"/>
    </row>
    <row r="18611" spans="2:2" ht="12.75" customHeight="1" x14ac:dyDescent="0.2">
      <c r="B18611" s="43"/>
    </row>
    <row r="18612" spans="2:2" ht="12.75" customHeight="1" x14ac:dyDescent="0.2">
      <c r="B18612" s="43"/>
    </row>
    <row r="18613" spans="2:2" ht="12.75" customHeight="1" x14ac:dyDescent="0.2">
      <c r="B18613" s="43"/>
    </row>
    <row r="18614" spans="2:2" ht="12.75" customHeight="1" x14ac:dyDescent="0.2">
      <c r="B18614" s="43"/>
    </row>
    <row r="18615" spans="2:2" ht="12.75" customHeight="1" x14ac:dyDescent="0.2">
      <c r="B18615" s="43"/>
    </row>
    <row r="18616" spans="2:2" ht="12.75" customHeight="1" x14ac:dyDescent="0.2">
      <c r="B18616" s="43"/>
    </row>
    <row r="18617" spans="2:2" ht="12.75" customHeight="1" x14ac:dyDescent="0.2">
      <c r="B18617" s="43"/>
    </row>
    <row r="18618" spans="2:2" ht="12.75" customHeight="1" x14ac:dyDescent="0.2">
      <c r="B18618" s="43"/>
    </row>
    <row r="18619" spans="2:2" ht="12.75" customHeight="1" x14ac:dyDescent="0.2">
      <c r="B18619" s="43"/>
    </row>
    <row r="18620" spans="2:2" ht="12.75" customHeight="1" x14ac:dyDescent="0.2">
      <c r="B18620" s="43"/>
    </row>
    <row r="18621" spans="2:2" ht="12.75" customHeight="1" x14ac:dyDescent="0.2">
      <c r="B18621" s="43"/>
    </row>
    <row r="18622" spans="2:2" ht="12.75" customHeight="1" x14ac:dyDescent="0.2">
      <c r="B18622" s="43"/>
    </row>
    <row r="18623" spans="2:2" ht="12.75" customHeight="1" x14ac:dyDescent="0.2">
      <c r="B18623" s="43"/>
    </row>
    <row r="18624" spans="2:2" ht="12.75" customHeight="1" x14ac:dyDescent="0.2">
      <c r="B18624" s="43"/>
    </row>
    <row r="18625" spans="2:2" ht="12.75" customHeight="1" x14ac:dyDescent="0.2">
      <c r="B18625" s="43"/>
    </row>
    <row r="18626" spans="2:2" ht="12.75" customHeight="1" x14ac:dyDescent="0.2">
      <c r="B18626" s="43"/>
    </row>
    <row r="18627" spans="2:2" ht="12.75" customHeight="1" x14ac:dyDescent="0.2">
      <c r="B18627" s="43"/>
    </row>
    <row r="18628" spans="2:2" ht="12.75" customHeight="1" x14ac:dyDescent="0.2">
      <c r="B18628" s="43"/>
    </row>
    <row r="18629" spans="2:2" ht="12.75" customHeight="1" x14ac:dyDescent="0.2">
      <c r="B18629" s="43"/>
    </row>
    <row r="18630" spans="2:2" ht="12.75" customHeight="1" x14ac:dyDescent="0.2">
      <c r="B18630" s="43"/>
    </row>
    <row r="18631" spans="2:2" ht="12.75" customHeight="1" x14ac:dyDescent="0.2">
      <c r="B18631" s="43"/>
    </row>
    <row r="18632" spans="2:2" ht="12.75" customHeight="1" x14ac:dyDescent="0.2">
      <c r="B18632" s="43"/>
    </row>
    <row r="18633" spans="2:2" ht="12.75" customHeight="1" x14ac:dyDescent="0.2">
      <c r="B18633" s="43"/>
    </row>
    <row r="18634" spans="2:2" ht="12.75" customHeight="1" x14ac:dyDescent="0.2">
      <c r="B18634" s="43"/>
    </row>
    <row r="18635" spans="2:2" ht="12.75" customHeight="1" x14ac:dyDescent="0.2">
      <c r="B18635" s="43"/>
    </row>
    <row r="18636" spans="2:2" ht="12.75" customHeight="1" x14ac:dyDescent="0.2">
      <c r="B18636" s="43"/>
    </row>
    <row r="18637" spans="2:2" ht="12.75" customHeight="1" x14ac:dyDescent="0.2">
      <c r="B18637" s="43"/>
    </row>
    <row r="18638" spans="2:2" ht="12.75" customHeight="1" x14ac:dyDescent="0.2">
      <c r="B18638" s="43"/>
    </row>
    <row r="18639" spans="2:2" ht="12.75" customHeight="1" x14ac:dyDescent="0.2">
      <c r="B18639" s="43"/>
    </row>
    <row r="18640" spans="2:2" ht="12.75" customHeight="1" x14ac:dyDescent="0.2">
      <c r="B18640" s="43"/>
    </row>
    <row r="18641" spans="2:2" ht="12.75" customHeight="1" x14ac:dyDescent="0.2">
      <c r="B18641" s="43"/>
    </row>
    <row r="18642" spans="2:2" ht="12.75" customHeight="1" x14ac:dyDescent="0.2">
      <c r="B18642" s="43"/>
    </row>
    <row r="18643" spans="2:2" ht="12.75" customHeight="1" x14ac:dyDescent="0.2">
      <c r="B18643" s="43"/>
    </row>
    <row r="18644" spans="2:2" ht="12.75" customHeight="1" x14ac:dyDescent="0.2">
      <c r="B18644" s="43"/>
    </row>
    <row r="18645" spans="2:2" ht="12.75" customHeight="1" x14ac:dyDescent="0.2">
      <c r="B18645" s="43"/>
    </row>
    <row r="18646" spans="2:2" ht="12.75" customHeight="1" x14ac:dyDescent="0.2">
      <c r="B18646" s="43"/>
    </row>
    <row r="18647" spans="2:2" ht="12.75" customHeight="1" x14ac:dyDescent="0.2">
      <c r="B18647" s="43"/>
    </row>
    <row r="18648" spans="2:2" ht="12.75" customHeight="1" x14ac:dyDescent="0.2">
      <c r="B18648" s="43"/>
    </row>
    <row r="18649" spans="2:2" ht="12.75" customHeight="1" x14ac:dyDescent="0.2">
      <c r="B18649" s="43"/>
    </row>
    <row r="18650" spans="2:2" ht="12.75" customHeight="1" x14ac:dyDescent="0.2">
      <c r="B18650" s="43"/>
    </row>
    <row r="18651" spans="2:2" ht="12.75" customHeight="1" x14ac:dyDescent="0.2">
      <c r="B18651" s="43"/>
    </row>
    <row r="18652" spans="2:2" ht="12.75" customHeight="1" x14ac:dyDescent="0.2">
      <c r="B18652" s="43"/>
    </row>
    <row r="18653" spans="2:2" ht="12.75" customHeight="1" x14ac:dyDescent="0.2">
      <c r="B18653" s="43"/>
    </row>
    <row r="18654" spans="2:2" ht="12.75" customHeight="1" x14ac:dyDescent="0.2">
      <c r="B18654" s="43"/>
    </row>
    <row r="18655" spans="2:2" ht="12.75" customHeight="1" x14ac:dyDescent="0.2">
      <c r="B18655" s="43"/>
    </row>
    <row r="18656" spans="2:2" ht="12.75" customHeight="1" x14ac:dyDescent="0.2">
      <c r="B18656" s="43"/>
    </row>
    <row r="18657" spans="2:2" ht="12.75" customHeight="1" x14ac:dyDescent="0.2">
      <c r="B18657" s="43"/>
    </row>
    <row r="18658" spans="2:2" ht="12.75" customHeight="1" x14ac:dyDescent="0.2">
      <c r="B18658" s="43"/>
    </row>
    <row r="18659" spans="2:2" ht="12.75" customHeight="1" x14ac:dyDescent="0.2">
      <c r="B18659" s="43"/>
    </row>
    <row r="18660" spans="2:2" ht="12.75" customHeight="1" x14ac:dyDescent="0.2">
      <c r="B18660" s="43"/>
    </row>
    <row r="18661" spans="2:2" ht="12.75" customHeight="1" x14ac:dyDescent="0.2">
      <c r="B18661" s="43"/>
    </row>
    <row r="18662" spans="2:2" ht="12.75" customHeight="1" x14ac:dyDescent="0.2">
      <c r="B18662" s="43"/>
    </row>
    <row r="18663" spans="2:2" ht="12.75" customHeight="1" x14ac:dyDescent="0.2">
      <c r="B18663" s="43"/>
    </row>
    <row r="18664" spans="2:2" ht="12.75" customHeight="1" x14ac:dyDescent="0.2">
      <c r="B18664" s="43"/>
    </row>
    <row r="18665" spans="2:2" ht="12.75" customHeight="1" x14ac:dyDescent="0.2">
      <c r="B18665" s="43"/>
    </row>
    <row r="18666" spans="2:2" ht="12.75" customHeight="1" x14ac:dyDescent="0.2">
      <c r="B18666" s="43"/>
    </row>
    <row r="18667" spans="2:2" ht="12.75" customHeight="1" x14ac:dyDescent="0.2">
      <c r="B18667" s="43"/>
    </row>
    <row r="18668" spans="2:2" ht="12.75" customHeight="1" x14ac:dyDescent="0.2">
      <c r="B18668" s="43"/>
    </row>
    <row r="18669" spans="2:2" ht="12.75" customHeight="1" x14ac:dyDescent="0.2">
      <c r="B18669" s="43"/>
    </row>
    <row r="18670" spans="2:2" ht="12.75" customHeight="1" x14ac:dyDescent="0.2">
      <c r="B18670" s="43"/>
    </row>
    <row r="18671" spans="2:2" ht="12.75" customHeight="1" x14ac:dyDescent="0.2">
      <c r="B18671" s="43"/>
    </row>
    <row r="18672" spans="2:2" ht="12.75" customHeight="1" x14ac:dyDescent="0.2">
      <c r="B18672" s="43"/>
    </row>
    <row r="18673" spans="2:2" ht="12.75" customHeight="1" x14ac:dyDescent="0.2">
      <c r="B18673" s="43"/>
    </row>
    <row r="18674" spans="2:2" ht="12.75" customHeight="1" x14ac:dyDescent="0.2">
      <c r="B18674" s="43"/>
    </row>
    <row r="18675" spans="2:2" ht="12.75" customHeight="1" x14ac:dyDescent="0.2">
      <c r="B18675" s="43"/>
    </row>
    <row r="18676" spans="2:2" ht="12.75" customHeight="1" x14ac:dyDescent="0.2">
      <c r="B18676" s="43"/>
    </row>
    <row r="18677" spans="2:2" ht="12.75" customHeight="1" x14ac:dyDescent="0.2">
      <c r="B18677" s="43"/>
    </row>
    <row r="18678" spans="2:2" ht="12.75" customHeight="1" x14ac:dyDescent="0.2">
      <c r="B18678" s="43"/>
    </row>
    <row r="18679" spans="2:2" ht="12.75" customHeight="1" x14ac:dyDescent="0.2">
      <c r="B18679" s="43"/>
    </row>
    <row r="18680" spans="2:2" ht="12.75" customHeight="1" x14ac:dyDescent="0.2">
      <c r="B18680" s="43"/>
    </row>
    <row r="18681" spans="2:2" ht="12.75" customHeight="1" x14ac:dyDescent="0.2">
      <c r="B18681" s="43"/>
    </row>
    <row r="18682" spans="2:2" ht="12.75" customHeight="1" x14ac:dyDescent="0.2">
      <c r="B18682" s="43"/>
    </row>
    <row r="18683" spans="2:2" ht="12.75" customHeight="1" x14ac:dyDescent="0.2">
      <c r="B18683" s="43"/>
    </row>
    <row r="18684" spans="2:2" ht="12.75" customHeight="1" x14ac:dyDescent="0.2">
      <c r="B18684" s="43"/>
    </row>
    <row r="18685" spans="2:2" ht="12.75" customHeight="1" x14ac:dyDescent="0.2">
      <c r="B18685" s="43"/>
    </row>
    <row r="18686" spans="2:2" ht="12.75" customHeight="1" x14ac:dyDescent="0.2">
      <c r="B18686" s="43"/>
    </row>
    <row r="18687" spans="2:2" ht="12.75" customHeight="1" x14ac:dyDescent="0.2">
      <c r="B18687" s="43"/>
    </row>
    <row r="18688" spans="2:2" ht="12.75" customHeight="1" x14ac:dyDescent="0.2">
      <c r="B18688" s="43"/>
    </row>
    <row r="18689" spans="2:2" ht="12.75" customHeight="1" x14ac:dyDescent="0.2">
      <c r="B18689" s="43"/>
    </row>
    <row r="18690" spans="2:2" ht="12.75" customHeight="1" x14ac:dyDescent="0.2">
      <c r="B18690" s="43"/>
    </row>
    <row r="18691" spans="2:2" ht="12.75" customHeight="1" x14ac:dyDescent="0.2">
      <c r="B18691" s="43"/>
    </row>
    <row r="18692" spans="2:2" ht="12.75" customHeight="1" x14ac:dyDescent="0.2">
      <c r="B18692" s="43"/>
    </row>
    <row r="18693" spans="2:2" ht="12.75" customHeight="1" x14ac:dyDescent="0.2">
      <c r="B18693" s="43"/>
    </row>
    <row r="18694" spans="2:2" ht="12.75" customHeight="1" x14ac:dyDescent="0.2">
      <c r="B18694" s="43"/>
    </row>
    <row r="18695" spans="2:2" ht="12.75" customHeight="1" x14ac:dyDescent="0.2">
      <c r="B18695" s="43"/>
    </row>
    <row r="18696" spans="2:2" ht="12.75" customHeight="1" x14ac:dyDescent="0.2">
      <c r="B18696" s="43"/>
    </row>
    <row r="18697" spans="2:2" ht="12.75" customHeight="1" x14ac:dyDescent="0.2">
      <c r="B18697" s="43"/>
    </row>
    <row r="18698" spans="2:2" ht="12.75" customHeight="1" x14ac:dyDescent="0.2">
      <c r="B18698" s="43"/>
    </row>
    <row r="18699" spans="2:2" ht="12.75" customHeight="1" x14ac:dyDescent="0.2">
      <c r="B18699" s="43"/>
    </row>
    <row r="18700" spans="2:2" ht="12.75" customHeight="1" x14ac:dyDescent="0.2">
      <c r="B18700" s="43"/>
    </row>
    <row r="18701" spans="2:2" ht="12.75" customHeight="1" x14ac:dyDescent="0.2">
      <c r="B18701" s="43"/>
    </row>
    <row r="18702" spans="2:2" ht="12.75" customHeight="1" x14ac:dyDescent="0.2">
      <c r="B18702" s="43"/>
    </row>
    <row r="18703" spans="2:2" ht="12.75" customHeight="1" x14ac:dyDescent="0.2">
      <c r="B18703" s="43"/>
    </row>
    <row r="18704" spans="2:2" ht="12.75" customHeight="1" x14ac:dyDescent="0.2">
      <c r="B18704" s="43"/>
    </row>
    <row r="18705" spans="2:2" ht="12.75" customHeight="1" x14ac:dyDescent="0.2">
      <c r="B18705" s="43"/>
    </row>
    <row r="18706" spans="2:2" ht="12.75" customHeight="1" x14ac:dyDescent="0.2">
      <c r="B18706" s="43"/>
    </row>
    <row r="18707" spans="2:2" ht="12.75" customHeight="1" x14ac:dyDescent="0.2">
      <c r="B18707" s="43"/>
    </row>
    <row r="18708" spans="2:2" ht="12.75" customHeight="1" x14ac:dyDescent="0.2">
      <c r="B18708" s="43"/>
    </row>
    <row r="18709" spans="2:2" ht="12.75" customHeight="1" x14ac:dyDescent="0.2">
      <c r="B18709" s="43"/>
    </row>
    <row r="18710" spans="2:2" ht="12.75" customHeight="1" x14ac:dyDescent="0.2">
      <c r="B18710" s="43"/>
    </row>
    <row r="18711" spans="2:2" ht="12.75" customHeight="1" x14ac:dyDescent="0.2">
      <c r="B18711" s="43"/>
    </row>
    <row r="18712" spans="2:2" ht="12.75" customHeight="1" x14ac:dyDescent="0.2">
      <c r="B18712" s="43"/>
    </row>
    <row r="18713" spans="2:2" ht="12.75" customHeight="1" x14ac:dyDescent="0.2">
      <c r="B18713" s="43"/>
    </row>
    <row r="18714" spans="2:2" ht="12.75" customHeight="1" x14ac:dyDescent="0.2">
      <c r="B18714" s="43"/>
    </row>
    <row r="18715" spans="2:2" ht="12.75" customHeight="1" x14ac:dyDescent="0.2">
      <c r="B18715" s="43"/>
    </row>
    <row r="18716" spans="2:2" ht="12.75" customHeight="1" x14ac:dyDescent="0.2">
      <c r="B18716" s="43"/>
    </row>
    <row r="18717" spans="2:2" ht="12.75" customHeight="1" x14ac:dyDescent="0.2">
      <c r="B18717" s="43"/>
    </row>
    <row r="18718" spans="2:2" ht="12.75" customHeight="1" x14ac:dyDescent="0.2">
      <c r="B18718" s="43"/>
    </row>
    <row r="18719" spans="2:2" ht="12.75" customHeight="1" x14ac:dyDescent="0.2">
      <c r="B18719" s="43"/>
    </row>
    <row r="18720" spans="2:2" ht="12.75" customHeight="1" x14ac:dyDescent="0.2">
      <c r="B18720" s="43"/>
    </row>
    <row r="18721" spans="2:2" ht="12.75" customHeight="1" x14ac:dyDescent="0.2">
      <c r="B18721" s="43"/>
    </row>
    <row r="18722" spans="2:2" ht="12.75" customHeight="1" x14ac:dyDescent="0.2">
      <c r="B18722" s="43"/>
    </row>
    <row r="18723" spans="2:2" ht="12.75" customHeight="1" x14ac:dyDescent="0.2">
      <c r="B18723" s="43"/>
    </row>
    <row r="18724" spans="2:2" ht="12.75" customHeight="1" x14ac:dyDescent="0.2">
      <c r="B18724" s="43"/>
    </row>
    <row r="18725" spans="2:2" ht="12.75" customHeight="1" x14ac:dyDescent="0.2">
      <c r="B18725" s="43"/>
    </row>
    <row r="18726" spans="2:2" ht="12.75" customHeight="1" x14ac:dyDescent="0.2">
      <c r="B18726" s="43"/>
    </row>
    <row r="18727" spans="2:2" ht="12.75" customHeight="1" x14ac:dyDescent="0.2">
      <c r="B18727" s="43"/>
    </row>
    <row r="18728" spans="2:2" ht="12.75" customHeight="1" x14ac:dyDescent="0.2">
      <c r="B18728" s="43"/>
    </row>
    <row r="18729" spans="2:2" ht="12.75" customHeight="1" x14ac:dyDescent="0.2">
      <c r="B18729" s="43"/>
    </row>
    <row r="18730" spans="2:2" ht="12.75" customHeight="1" x14ac:dyDescent="0.2">
      <c r="B18730" s="43"/>
    </row>
    <row r="18731" spans="2:2" ht="12.75" customHeight="1" x14ac:dyDescent="0.2">
      <c r="B18731" s="43"/>
    </row>
    <row r="18732" spans="2:2" ht="12.75" customHeight="1" x14ac:dyDescent="0.2">
      <c r="B18732" s="43"/>
    </row>
    <row r="18733" spans="2:2" ht="12.75" customHeight="1" x14ac:dyDescent="0.2">
      <c r="B18733" s="43"/>
    </row>
    <row r="18734" spans="2:2" ht="12.75" customHeight="1" x14ac:dyDescent="0.2">
      <c r="B18734" s="43"/>
    </row>
    <row r="18735" spans="2:2" ht="12.75" customHeight="1" x14ac:dyDescent="0.2">
      <c r="B18735" s="43"/>
    </row>
    <row r="18736" spans="2:2" ht="12.75" customHeight="1" x14ac:dyDescent="0.2">
      <c r="B18736" s="43"/>
    </row>
    <row r="18737" spans="2:2" ht="12.75" customHeight="1" x14ac:dyDescent="0.2">
      <c r="B18737" s="43"/>
    </row>
    <row r="18738" spans="2:2" ht="12.75" customHeight="1" x14ac:dyDescent="0.2">
      <c r="B18738" s="43"/>
    </row>
    <row r="18739" spans="2:2" ht="12.75" customHeight="1" x14ac:dyDescent="0.2">
      <c r="B18739" s="43"/>
    </row>
    <row r="18740" spans="2:2" ht="12.75" customHeight="1" x14ac:dyDescent="0.2">
      <c r="B18740" s="43"/>
    </row>
    <row r="18741" spans="2:2" ht="12.75" customHeight="1" x14ac:dyDescent="0.2">
      <c r="B18741" s="43"/>
    </row>
    <row r="18742" spans="2:2" ht="12.75" customHeight="1" x14ac:dyDescent="0.2">
      <c r="B18742" s="43"/>
    </row>
    <row r="18743" spans="2:2" ht="12.75" customHeight="1" x14ac:dyDescent="0.2">
      <c r="B18743" s="43"/>
    </row>
    <row r="18744" spans="2:2" ht="12.75" customHeight="1" x14ac:dyDescent="0.2">
      <c r="B18744" s="43"/>
    </row>
    <row r="18745" spans="2:2" ht="12.75" customHeight="1" x14ac:dyDescent="0.2">
      <c r="B18745" s="43"/>
    </row>
    <row r="18746" spans="2:2" ht="12.75" customHeight="1" x14ac:dyDescent="0.2">
      <c r="B18746" s="43"/>
    </row>
    <row r="18747" spans="2:2" ht="12.75" customHeight="1" x14ac:dyDescent="0.2">
      <c r="B18747" s="43"/>
    </row>
    <row r="18748" spans="2:2" ht="12.75" customHeight="1" x14ac:dyDescent="0.2">
      <c r="B18748" s="43"/>
    </row>
    <row r="18749" spans="2:2" ht="12.75" customHeight="1" x14ac:dyDescent="0.2">
      <c r="B18749" s="43"/>
    </row>
    <row r="18750" spans="2:2" ht="12.75" customHeight="1" x14ac:dyDescent="0.2">
      <c r="B18750" s="43"/>
    </row>
    <row r="18751" spans="2:2" ht="12.75" customHeight="1" x14ac:dyDescent="0.2">
      <c r="B18751" s="43"/>
    </row>
    <row r="18752" spans="2:2" ht="12.75" customHeight="1" x14ac:dyDescent="0.2">
      <c r="B18752" s="43"/>
    </row>
    <row r="18753" spans="2:2" ht="12.75" customHeight="1" x14ac:dyDescent="0.2">
      <c r="B18753" s="43"/>
    </row>
    <row r="18754" spans="2:2" ht="12.75" customHeight="1" x14ac:dyDescent="0.2">
      <c r="B18754" s="43"/>
    </row>
    <row r="18755" spans="2:2" ht="12.75" customHeight="1" x14ac:dyDescent="0.2">
      <c r="B18755" s="43"/>
    </row>
    <row r="18756" spans="2:2" ht="12.75" customHeight="1" x14ac:dyDescent="0.2">
      <c r="B18756" s="43"/>
    </row>
    <row r="18757" spans="2:2" ht="12.75" customHeight="1" x14ac:dyDescent="0.2">
      <c r="B18757" s="43"/>
    </row>
    <row r="18758" spans="2:2" ht="12.75" customHeight="1" x14ac:dyDescent="0.2">
      <c r="B18758" s="43"/>
    </row>
    <row r="18759" spans="2:2" ht="12.75" customHeight="1" x14ac:dyDescent="0.2">
      <c r="B18759" s="43"/>
    </row>
    <row r="18760" spans="2:2" ht="12.75" customHeight="1" x14ac:dyDescent="0.2">
      <c r="B18760" s="43"/>
    </row>
    <row r="18761" spans="2:2" ht="12.75" customHeight="1" x14ac:dyDescent="0.2">
      <c r="B18761" s="43"/>
    </row>
    <row r="18762" spans="2:2" ht="12.75" customHeight="1" x14ac:dyDescent="0.2">
      <c r="B18762" s="43"/>
    </row>
    <row r="18763" spans="2:2" ht="12.75" customHeight="1" x14ac:dyDescent="0.2">
      <c r="B18763" s="43"/>
    </row>
    <row r="18764" spans="2:2" ht="12.75" customHeight="1" x14ac:dyDescent="0.2">
      <c r="B18764" s="43"/>
    </row>
    <row r="18765" spans="2:2" ht="12.75" customHeight="1" x14ac:dyDescent="0.2">
      <c r="B18765" s="43"/>
    </row>
    <row r="18766" spans="2:2" ht="12.75" customHeight="1" x14ac:dyDescent="0.2">
      <c r="B18766" s="43"/>
    </row>
    <row r="18767" spans="2:2" ht="12.75" customHeight="1" x14ac:dyDescent="0.2">
      <c r="B18767" s="43"/>
    </row>
    <row r="18768" spans="2:2" ht="12.75" customHeight="1" x14ac:dyDescent="0.2">
      <c r="B18768" s="43"/>
    </row>
    <row r="18769" spans="2:2" ht="12.75" customHeight="1" x14ac:dyDescent="0.2">
      <c r="B18769" s="43"/>
    </row>
    <row r="18770" spans="2:2" ht="12.75" customHeight="1" x14ac:dyDescent="0.2">
      <c r="B18770" s="43"/>
    </row>
    <row r="18771" spans="2:2" ht="12.75" customHeight="1" x14ac:dyDescent="0.2">
      <c r="B18771" s="43"/>
    </row>
    <row r="18772" spans="2:2" ht="12.75" customHeight="1" x14ac:dyDescent="0.2">
      <c r="B18772" s="43"/>
    </row>
    <row r="18773" spans="2:2" ht="12.75" customHeight="1" x14ac:dyDescent="0.2">
      <c r="B18773" s="43"/>
    </row>
    <row r="18774" spans="2:2" ht="12.75" customHeight="1" x14ac:dyDescent="0.2">
      <c r="B18774" s="43"/>
    </row>
    <row r="18775" spans="2:2" ht="12.75" customHeight="1" x14ac:dyDescent="0.2">
      <c r="B18775" s="43"/>
    </row>
    <row r="18776" spans="2:2" ht="12.75" customHeight="1" x14ac:dyDescent="0.2">
      <c r="B18776" s="43"/>
    </row>
    <row r="18777" spans="2:2" ht="12.75" customHeight="1" x14ac:dyDescent="0.2">
      <c r="B18777" s="43"/>
    </row>
    <row r="18778" spans="2:2" ht="12.75" customHeight="1" x14ac:dyDescent="0.2">
      <c r="B18778" s="43"/>
    </row>
    <row r="18779" spans="2:2" ht="12.75" customHeight="1" x14ac:dyDescent="0.2">
      <c r="B18779" s="43"/>
    </row>
    <row r="18780" spans="2:2" ht="12.75" customHeight="1" x14ac:dyDescent="0.2">
      <c r="B18780" s="43"/>
    </row>
    <row r="18781" spans="2:2" ht="12.75" customHeight="1" x14ac:dyDescent="0.2">
      <c r="B18781" s="43"/>
    </row>
    <row r="18782" spans="2:2" ht="12.75" customHeight="1" x14ac:dyDescent="0.2">
      <c r="B18782" s="43"/>
    </row>
    <row r="18783" spans="2:2" ht="12.75" customHeight="1" x14ac:dyDescent="0.2">
      <c r="B18783" s="43"/>
    </row>
    <row r="18784" spans="2:2" ht="12.75" customHeight="1" x14ac:dyDescent="0.2">
      <c r="B18784" s="43"/>
    </row>
    <row r="18785" spans="2:2" ht="12.75" customHeight="1" x14ac:dyDescent="0.2">
      <c r="B18785" s="43"/>
    </row>
    <row r="18786" spans="2:2" ht="12.75" customHeight="1" x14ac:dyDescent="0.2">
      <c r="B18786" s="43"/>
    </row>
    <row r="18787" spans="2:2" ht="12.75" customHeight="1" x14ac:dyDescent="0.2">
      <c r="B18787" s="43"/>
    </row>
    <row r="18788" spans="2:2" ht="12.75" customHeight="1" x14ac:dyDescent="0.2">
      <c r="B18788" s="43"/>
    </row>
    <row r="18789" spans="2:2" ht="12.75" customHeight="1" x14ac:dyDescent="0.2">
      <c r="B18789" s="43"/>
    </row>
    <row r="18790" spans="2:2" ht="12.75" customHeight="1" x14ac:dyDescent="0.2">
      <c r="B18790" s="43"/>
    </row>
    <row r="18791" spans="2:2" ht="12.75" customHeight="1" x14ac:dyDescent="0.2">
      <c r="B18791" s="43"/>
    </row>
    <row r="18792" spans="2:2" ht="12.75" customHeight="1" x14ac:dyDescent="0.2">
      <c r="B18792" s="43"/>
    </row>
    <row r="18793" spans="2:2" ht="12.75" customHeight="1" x14ac:dyDescent="0.2">
      <c r="B18793" s="43"/>
    </row>
    <row r="18794" spans="2:2" ht="12.75" customHeight="1" x14ac:dyDescent="0.2">
      <c r="B18794" s="43"/>
    </row>
    <row r="18795" spans="2:2" ht="12.75" customHeight="1" x14ac:dyDescent="0.2">
      <c r="B18795" s="43"/>
    </row>
    <row r="18796" spans="2:2" ht="12.75" customHeight="1" x14ac:dyDescent="0.2">
      <c r="B18796" s="43"/>
    </row>
    <row r="18797" spans="2:2" ht="12.75" customHeight="1" x14ac:dyDescent="0.2">
      <c r="B18797" s="43"/>
    </row>
    <row r="18798" spans="2:2" ht="12.75" customHeight="1" x14ac:dyDescent="0.2">
      <c r="B18798" s="43"/>
    </row>
    <row r="18799" spans="2:2" ht="12.75" customHeight="1" x14ac:dyDescent="0.2">
      <c r="B18799" s="43"/>
    </row>
    <row r="18800" spans="2:2" ht="12.75" customHeight="1" x14ac:dyDescent="0.2">
      <c r="B18800" s="43"/>
    </row>
    <row r="18801" spans="2:2" ht="12.75" customHeight="1" x14ac:dyDescent="0.2">
      <c r="B18801" s="43"/>
    </row>
    <row r="18802" spans="2:2" ht="12.75" customHeight="1" x14ac:dyDescent="0.2">
      <c r="B18802" s="43"/>
    </row>
    <row r="18803" spans="2:2" ht="12.75" customHeight="1" x14ac:dyDescent="0.2">
      <c r="B18803" s="43"/>
    </row>
    <row r="18804" spans="2:2" ht="12.75" customHeight="1" x14ac:dyDescent="0.2">
      <c r="B18804" s="43"/>
    </row>
    <row r="18805" spans="2:2" ht="12.75" customHeight="1" x14ac:dyDescent="0.2">
      <c r="B18805" s="43"/>
    </row>
    <row r="18806" spans="2:2" ht="12.75" customHeight="1" x14ac:dyDescent="0.2">
      <c r="B18806" s="43"/>
    </row>
    <row r="18807" spans="2:2" ht="12.75" customHeight="1" x14ac:dyDescent="0.2">
      <c r="B18807" s="43"/>
    </row>
    <row r="18808" spans="2:2" ht="12.75" customHeight="1" x14ac:dyDescent="0.2">
      <c r="B18808" s="43"/>
    </row>
    <row r="18809" spans="2:2" ht="12.75" customHeight="1" x14ac:dyDescent="0.2">
      <c r="B18809" s="43"/>
    </row>
    <row r="18810" spans="2:2" ht="12.75" customHeight="1" x14ac:dyDescent="0.2">
      <c r="B18810" s="43"/>
    </row>
    <row r="18811" spans="2:2" ht="12.75" customHeight="1" x14ac:dyDescent="0.2">
      <c r="B18811" s="43"/>
    </row>
    <row r="18812" spans="2:2" ht="12.75" customHeight="1" x14ac:dyDescent="0.2">
      <c r="B18812" s="43"/>
    </row>
    <row r="18813" spans="2:2" ht="12.75" customHeight="1" x14ac:dyDescent="0.2">
      <c r="B18813" s="43"/>
    </row>
    <row r="18814" spans="2:2" ht="12.75" customHeight="1" x14ac:dyDescent="0.2">
      <c r="B18814" s="43"/>
    </row>
    <row r="18815" spans="2:2" ht="12.75" customHeight="1" x14ac:dyDescent="0.2">
      <c r="B18815" s="43"/>
    </row>
    <row r="18816" spans="2:2" ht="12.75" customHeight="1" x14ac:dyDescent="0.2">
      <c r="B18816" s="43"/>
    </row>
    <row r="18817" spans="2:2" ht="12.75" customHeight="1" x14ac:dyDescent="0.2">
      <c r="B18817" s="43"/>
    </row>
    <row r="18818" spans="2:2" ht="12.75" customHeight="1" x14ac:dyDescent="0.2">
      <c r="B18818" s="43"/>
    </row>
    <row r="18819" spans="2:2" ht="12.75" customHeight="1" x14ac:dyDescent="0.2">
      <c r="B18819" s="43"/>
    </row>
    <row r="18820" spans="2:2" ht="12.75" customHeight="1" x14ac:dyDescent="0.2">
      <c r="B18820" s="43"/>
    </row>
    <row r="18821" spans="2:2" ht="12.75" customHeight="1" x14ac:dyDescent="0.2">
      <c r="B18821" s="43"/>
    </row>
    <row r="18822" spans="2:2" ht="12.75" customHeight="1" x14ac:dyDescent="0.2">
      <c r="B18822" s="43"/>
    </row>
    <row r="18823" spans="2:2" ht="12.75" customHeight="1" x14ac:dyDescent="0.2">
      <c r="B18823" s="43"/>
    </row>
    <row r="18824" spans="2:2" ht="12.75" customHeight="1" x14ac:dyDescent="0.2">
      <c r="B18824" s="43"/>
    </row>
    <row r="18825" spans="2:2" ht="12.75" customHeight="1" x14ac:dyDescent="0.2">
      <c r="B18825" s="43"/>
    </row>
    <row r="18826" spans="2:2" ht="12.75" customHeight="1" x14ac:dyDescent="0.2">
      <c r="B18826" s="43"/>
    </row>
    <row r="18827" spans="2:2" ht="12.75" customHeight="1" x14ac:dyDescent="0.2">
      <c r="B18827" s="43"/>
    </row>
    <row r="18828" spans="2:2" ht="12.75" customHeight="1" x14ac:dyDescent="0.2">
      <c r="B18828" s="43"/>
    </row>
    <row r="18829" spans="2:2" ht="12.75" customHeight="1" x14ac:dyDescent="0.2">
      <c r="B18829" s="43"/>
    </row>
    <row r="18830" spans="2:2" ht="12.75" customHeight="1" x14ac:dyDescent="0.2">
      <c r="B18830" s="43"/>
    </row>
    <row r="18831" spans="2:2" ht="12.75" customHeight="1" x14ac:dyDescent="0.2">
      <c r="B18831" s="43"/>
    </row>
    <row r="18832" spans="2:2" ht="12.75" customHeight="1" x14ac:dyDescent="0.2">
      <c r="B18832" s="43"/>
    </row>
    <row r="18833" spans="2:2" ht="12.75" customHeight="1" x14ac:dyDescent="0.2">
      <c r="B18833" s="43"/>
    </row>
    <row r="18834" spans="2:2" ht="12.75" customHeight="1" x14ac:dyDescent="0.2">
      <c r="B18834" s="43"/>
    </row>
    <row r="18835" spans="2:2" ht="12.75" customHeight="1" x14ac:dyDescent="0.2">
      <c r="B18835" s="43"/>
    </row>
    <row r="18836" spans="2:2" ht="12.75" customHeight="1" x14ac:dyDescent="0.2">
      <c r="B18836" s="43"/>
    </row>
    <row r="18837" spans="2:2" ht="12.75" customHeight="1" x14ac:dyDescent="0.2">
      <c r="B18837" s="43"/>
    </row>
    <row r="18838" spans="2:2" ht="12.75" customHeight="1" x14ac:dyDescent="0.2">
      <c r="B18838" s="43"/>
    </row>
    <row r="18839" spans="2:2" ht="12.75" customHeight="1" x14ac:dyDescent="0.2">
      <c r="B18839" s="43"/>
    </row>
    <row r="18840" spans="2:2" ht="12.75" customHeight="1" x14ac:dyDescent="0.2">
      <c r="B18840" s="43"/>
    </row>
    <row r="18841" spans="2:2" ht="12.75" customHeight="1" x14ac:dyDescent="0.2">
      <c r="B18841" s="43"/>
    </row>
    <row r="18842" spans="2:2" ht="12.75" customHeight="1" x14ac:dyDescent="0.2">
      <c r="B18842" s="43"/>
    </row>
    <row r="18843" spans="2:2" ht="12.75" customHeight="1" x14ac:dyDescent="0.2">
      <c r="B18843" s="43"/>
    </row>
    <row r="18844" spans="2:2" ht="12.75" customHeight="1" x14ac:dyDescent="0.2">
      <c r="B18844" s="43"/>
    </row>
    <row r="18845" spans="2:2" ht="12.75" customHeight="1" x14ac:dyDescent="0.2">
      <c r="B18845" s="43"/>
    </row>
    <row r="18846" spans="2:2" ht="12.75" customHeight="1" x14ac:dyDescent="0.2">
      <c r="B18846" s="43"/>
    </row>
    <row r="18847" spans="2:2" ht="12.75" customHeight="1" x14ac:dyDescent="0.2">
      <c r="B18847" s="43"/>
    </row>
    <row r="18848" spans="2:2" ht="12.75" customHeight="1" x14ac:dyDescent="0.2">
      <c r="B18848" s="43"/>
    </row>
    <row r="18849" spans="2:2" ht="12.75" customHeight="1" x14ac:dyDescent="0.2">
      <c r="B18849" s="43"/>
    </row>
    <row r="18850" spans="2:2" ht="12.75" customHeight="1" x14ac:dyDescent="0.2">
      <c r="B18850" s="43"/>
    </row>
    <row r="18851" spans="2:2" ht="12.75" customHeight="1" x14ac:dyDescent="0.2">
      <c r="B18851" s="43"/>
    </row>
    <row r="18852" spans="2:2" ht="12.75" customHeight="1" x14ac:dyDescent="0.2">
      <c r="B18852" s="43"/>
    </row>
    <row r="18853" spans="2:2" ht="12.75" customHeight="1" x14ac:dyDescent="0.2">
      <c r="B18853" s="43"/>
    </row>
    <row r="18854" spans="2:2" ht="12.75" customHeight="1" x14ac:dyDescent="0.2">
      <c r="B18854" s="43"/>
    </row>
    <row r="18855" spans="2:2" ht="12.75" customHeight="1" x14ac:dyDescent="0.2">
      <c r="B18855" s="43"/>
    </row>
    <row r="18856" spans="2:2" ht="12.75" customHeight="1" x14ac:dyDescent="0.2">
      <c r="B18856" s="43"/>
    </row>
    <row r="18857" spans="2:2" ht="12.75" customHeight="1" x14ac:dyDescent="0.2">
      <c r="B18857" s="43"/>
    </row>
    <row r="18858" spans="2:2" ht="12.75" customHeight="1" x14ac:dyDescent="0.2">
      <c r="B18858" s="43"/>
    </row>
    <row r="18859" spans="2:2" ht="12.75" customHeight="1" x14ac:dyDescent="0.2">
      <c r="B18859" s="43"/>
    </row>
    <row r="18860" spans="2:2" ht="12.75" customHeight="1" x14ac:dyDescent="0.2">
      <c r="B18860" s="43"/>
    </row>
    <row r="18861" spans="2:2" ht="12.75" customHeight="1" x14ac:dyDescent="0.2">
      <c r="B18861" s="43"/>
    </row>
    <row r="18862" spans="2:2" ht="12.75" customHeight="1" x14ac:dyDescent="0.2">
      <c r="B18862" s="43"/>
    </row>
    <row r="18863" spans="2:2" ht="12.75" customHeight="1" x14ac:dyDescent="0.2">
      <c r="B18863" s="43"/>
    </row>
    <row r="18864" spans="2:2" ht="12.75" customHeight="1" x14ac:dyDescent="0.2">
      <c r="B18864" s="43"/>
    </row>
    <row r="18865" spans="2:2" ht="12.75" customHeight="1" x14ac:dyDescent="0.2">
      <c r="B18865" s="43"/>
    </row>
    <row r="18866" spans="2:2" ht="12.75" customHeight="1" x14ac:dyDescent="0.2">
      <c r="B18866" s="43"/>
    </row>
    <row r="18867" spans="2:2" ht="12.75" customHeight="1" x14ac:dyDescent="0.2">
      <c r="B18867" s="43"/>
    </row>
    <row r="18868" spans="2:2" ht="12.75" customHeight="1" x14ac:dyDescent="0.2">
      <c r="B18868" s="43"/>
    </row>
    <row r="18869" spans="2:2" ht="12.75" customHeight="1" x14ac:dyDescent="0.2">
      <c r="B18869" s="43"/>
    </row>
    <row r="18870" spans="2:2" ht="12.75" customHeight="1" x14ac:dyDescent="0.2">
      <c r="B18870" s="43"/>
    </row>
    <row r="18871" spans="2:2" ht="12.75" customHeight="1" x14ac:dyDescent="0.2">
      <c r="B18871" s="43"/>
    </row>
    <row r="18872" spans="2:2" ht="12.75" customHeight="1" x14ac:dyDescent="0.2">
      <c r="B18872" s="43"/>
    </row>
    <row r="18873" spans="2:2" ht="12.75" customHeight="1" x14ac:dyDescent="0.2">
      <c r="B18873" s="43"/>
    </row>
    <row r="18874" spans="2:2" ht="12.75" customHeight="1" x14ac:dyDescent="0.2">
      <c r="B18874" s="43"/>
    </row>
    <row r="18875" spans="2:2" ht="12.75" customHeight="1" x14ac:dyDescent="0.2">
      <c r="B18875" s="43"/>
    </row>
    <row r="18876" spans="2:2" ht="12.75" customHeight="1" x14ac:dyDescent="0.2">
      <c r="B18876" s="43"/>
    </row>
    <row r="18877" spans="2:2" ht="12.75" customHeight="1" x14ac:dyDescent="0.2">
      <c r="B18877" s="43"/>
    </row>
    <row r="18878" spans="2:2" ht="12.75" customHeight="1" x14ac:dyDescent="0.2">
      <c r="B18878" s="43"/>
    </row>
    <row r="18879" spans="2:2" ht="12.75" customHeight="1" x14ac:dyDescent="0.2">
      <c r="B18879" s="43"/>
    </row>
    <row r="18880" spans="2:2" ht="12.75" customHeight="1" x14ac:dyDescent="0.2">
      <c r="B18880" s="43"/>
    </row>
    <row r="18881" spans="2:2" ht="12.75" customHeight="1" x14ac:dyDescent="0.2">
      <c r="B18881" s="43"/>
    </row>
    <row r="18882" spans="2:2" ht="12.75" customHeight="1" x14ac:dyDescent="0.2">
      <c r="B18882" s="43"/>
    </row>
    <row r="18883" spans="2:2" ht="12.75" customHeight="1" x14ac:dyDescent="0.2">
      <c r="B18883" s="43"/>
    </row>
    <row r="18884" spans="2:2" ht="12.75" customHeight="1" x14ac:dyDescent="0.2">
      <c r="B18884" s="43"/>
    </row>
    <row r="18885" spans="2:2" ht="12.75" customHeight="1" x14ac:dyDescent="0.2">
      <c r="B18885" s="43"/>
    </row>
    <row r="18886" spans="2:2" ht="12.75" customHeight="1" x14ac:dyDescent="0.2">
      <c r="B18886" s="43"/>
    </row>
    <row r="18887" spans="2:2" ht="12.75" customHeight="1" x14ac:dyDescent="0.2">
      <c r="B18887" s="43"/>
    </row>
    <row r="18888" spans="2:2" ht="12.75" customHeight="1" x14ac:dyDescent="0.2">
      <c r="B18888" s="43"/>
    </row>
    <row r="18889" spans="2:2" ht="12.75" customHeight="1" x14ac:dyDescent="0.2">
      <c r="B18889" s="43"/>
    </row>
    <row r="18890" spans="2:2" ht="12.75" customHeight="1" x14ac:dyDescent="0.2">
      <c r="B18890" s="43"/>
    </row>
    <row r="18891" spans="2:2" ht="12.75" customHeight="1" x14ac:dyDescent="0.2">
      <c r="B18891" s="43"/>
    </row>
    <row r="18892" spans="2:2" ht="12.75" customHeight="1" x14ac:dyDescent="0.2">
      <c r="B18892" s="43"/>
    </row>
    <row r="18893" spans="2:2" ht="12.75" customHeight="1" x14ac:dyDescent="0.2">
      <c r="B18893" s="43"/>
    </row>
    <row r="18894" spans="2:2" ht="12.75" customHeight="1" x14ac:dyDescent="0.2">
      <c r="B18894" s="43"/>
    </row>
    <row r="18895" spans="2:2" ht="12.75" customHeight="1" x14ac:dyDescent="0.2">
      <c r="B18895" s="43"/>
    </row>
    <row r="18896" spans="2:2" ht="12.75" customHeight="1" x14ac:dyDescent="0.2">
      <c r="B18896" s="43"/>
    </row>
    <row r="18897" spans="2:2" ht="12.75" customHeight="1" x14ac:dyDescent="0.2">
      <c r="B18897" s="43"/>
    </row>
    <row r="18898" spans="2:2" ht="12.75" customHeight="1" x14ac:dyDescent="0.2">
      <c r="B18898" s="43"/>
    </row>
    <row r="18899" spans="2:2" ht="12.75" customHeight="1" x14ac:dyDescent="0.2">
      <c r="B18899" s="43"/>
    </row>
    <row r="18900" spans="2:2" ht="12.75" customHeight="1" x14ac:dyDescent="0.2">
      <c r="B18900" s="43"/>
    </row>
    <row r="18901" spans="2:2" ht="12.75" customHeight="1" x14ac:dyDescent="0.2">
      <c r="B18901" s="43"/>
    </row>
    <row r="18902" spans="2:2" ht="12.75" customHeight="1" x14ac:dyDescent="0.2">
      <c r="B18902" s="43"/>
    </row>
    <row r="18903" spans="2:2" ht="12.75" customHeight="1" x14ac:dyDescent="0.2">
      <c r="B18903" s="43"/>
    </row>
    <row r="18904" spans="2:2" ht="12.75" customHeight="1" x14ac:dyDescent="0.2">
      <c r="B18904" s="43"/>
    </row>
    <row r="18905" spans="2:2" ht="12.75" customHeight="1" x14ac:dyDescent="0.2">
      <c r="B18905" s="43"/>
    </row>
    <row r="18906" spans="2:2" ht="12.75" customHeight="1" x14ac:dyDescent="0.2">
      <c r="B18906" s="43"/>
    </row>
    <row r="18907" spans="2:2" ht="12.75" customHeight="1" x14ac:dyDescent="0.2">
      <c r="B18907" s="43"/>
    </row>
    <row r="18908" spans="2:2" ht="12.75" customHeight="1" x14ac:dyDescent="0.2">
      <c r="B18908" s="43"/>
    </row>
    <row r="18909" spans="2:2" ht="12.75" customHeight="1" x14ac:dyDescent="0.2">
      <c r="B18909" s="43"/>
    </row>
    <row r="18910" spans="2:2" ht="12.75" customHeight="1" x14ac:dyDescent="0.2">
      <c r="B18910" s="43"/>
    </row>
    <row r="18911" spans="2:2" ht="12.75" customHeight="1" x14ac:dyDescent="0.2">
      <c r="B18911" s="43"/>
    </row>
    <row r="18912" spans="2:2" ht="12.75" customHeight="1" x14ac:dyDescent="0.2">
      <c r="B18912" s="43"/>
    </row>
    <row r="18913" spans="2:2" ht="12.75" customHeight="1" x14ac:dyDescent="0.2">
      <c r="B18913" s="43"/>
    </row>
    <row r="18914" spans="2:2" ht="12.75" customHeight="1" x14ac:dyDescent="0.2">
      <c r="B18914" s="43"/>
    </row>
    <row r="18915" spans="2:2" ht="12.75" customHeight="1" x14ac:dyDescent="0.2">
      <c r="B18915" s="43"/>
    </row>
    <row r="18916" spans="2:2" ht="12.75" customHeight="1" x14ac:dyDescent="0.2">
      <c r="B18916" s="43"/>
    </row>
    <row r="18917" spans="2:2" ht="12.75" customHeight="1" x14ac:dyDescent="0.2">
      <c r="B18917" s="43"/>
    </row>
    <row r="18918" spans="2:2" ht="12.75" customHeight="1" x14ac:dyDescent="0.2">
      <c r="B18918" s="43"/>
    </row>
    <row r="18919" spans="2:2" ht="12.75" customHeight="1" x14ac:dyDescent="0.2">
      <c r="B18919" s="43"/>
    </row>
    <row r="18920" spans="2:2" ht="12.75" customHeight="1" x14ac:dyDescent="0.2">
      <c r="B18920" s="43"/>
    </row>
    <row r="18921" spans="2:2" ht="12.75" customHeight="1" x14ac:dyDescent="0.2">
      <c r="B18921" s="43"/>
    </row>
    <row r="18922" spans="2:2" ht="12.75" customHeight="1" x14ac:dyDescent="0.2">
      <c r="B18922" s="43"/>
    </row>
    <row r="18923" spans="2:2" ht="12.75" customHeight="1" x14ac:dyDescent="0.2">
      <c r="B18923" s="43"/>
    </row>
    <row r="18924" spans="2:2" ht="12.75" customHeight="1" x14ac:dyDescent="0.2">
      <c r="B18924" s="43"/>
    </row>
    <row r="18925" spans="2:2" ht="12.75" customHeight="1" x14ac:dyDescent="0.2">
      <c r="B18925" s="43"/>
    </row>
    <row r="18926" spans="2:2" ht="12.75" customHeight="1" x14ac:dyDescent="0.2">
      <c r="B18926" s="43"/>
    </row>
    <row r="18927" spans="2:2" ht="12.75" customHeight="1" x14ac:dyDescent="0.2">
      <c r="B18927" s="43"/>
    </row>
    <row r="18928" spans="2:2" ht="12.75" customHeight="1" x14ac:dyDescent="0.2">
      <c r="B18928" s="43"/>
    </row>
    <row r="18929" spans="2:2" ht="12.75" customHeight="1" x14ac:dyDescent="0.2">
      <c r="B18929" s="43"/>
    </row>
    <row r="18930" spans="2:2" ht="12.75" customHeight="1" x14ac:dyDescent="0.2">
      <c r="B18930" s="43"/>
    </row>
    <row r="18931" spans="2:2" ht="12.75" customHeight="1" x14ac:dyDescent="0.2">
      <c r="B18931" s="43"/>
    </row>
    <row r="18932" spans="2:2" ht="12.75" customHeight="1" x14ac:dyDescent="0.2">
      <c r="B18932" s="43"/>
    </row>
    <row r="18933" spans="2:2" ht="12.75" customHeight="1" x14ac:dyDescent="0.2">
      <c r="B18933" s="43"/>
    </row>
    <row r="18934" spans="2:2" ht="12.75" customHeight="1" x14ac:dyDescent="0.2">
      <c r="B18934" s="43"/>
    </row>
    <row r="18935" spans="2:2" ht="12.75" customHeight="1" x14ac:dyDescent="0.2">
      <c r="B18935" s="43"/>
    </row>
    <row r="18936" spans="2:2" ht="12.75" customHeight="1" x14ac:dyDescent="0.2">
      <c r="B18936" s="43"/>
    </row>
    <row r="18937" spans="2:2" ht="12.75" customHeight="1" x14ac:dyDescent="0.2">
      <c r="B18937" s="43"/>
    </row>
    <row r="18938" spans="2:2" ht="12.75" customHeight="1" x14ac:dyDescent="0.2">
      <c r="B18938" s="43"/>
    </row>
    <row r="18939" spans="2:2" ht="12.75" customHeight="1" x14ac:dyDescent="0.2">
      <c r="B18939" s="43"/>
    </row>
    <row r="18940" spans="2:2" ht="12.75" customHeight="1" x14ac:dyDescent="0.2">
      <c r="B18940" s="43"/>
    </row>
    <row r="18941" spans="2:2" ht="12.75" customHeight="1" x14ac:dyDescent="0.2">
      <c r="B18941" s="43"/>
    </row>
    <row r="18942" spans="2:2" ht="12.75" customHeight="1" x14ac:dyDescent="0.2">
      <c r="B18942" s="43"/>
    </row>
    <row r="18943" spans="2:2" ht="12.75" customHeight="1" x14ac:dyDescent="0.2">
      <c r="B18943" s="43"/>
    </row>
    <row r="18944" spans="2:2" ht="12.75" customHeight="1" x14ac:dyDescent="0.2">
      <c r="B18944" s="43"/>
    </row>
    <row r="18945" spans="2:2" ht="12.75" customHeight="1" x14ac:dyDescent="0.2">
      <c r="B18945" s="43"/>
    </row>
    <row r="18946" spans="2:2" ht="12.75" customHeight="1" x14ac:dyDescent="0.2">
      <c r="B18946" s="43"/>
    </row>
    <row r="18947" spans="2:2" ht="12.75" customHeight="1" x14ac:dyDescent="0.2">
      <c r="B18947" s="43"/>
    </row>
    <row r="18948" spans="2:2" ht="12.75" customHeight="1" x14ac:dyDescent="0.2">
      <c r="B18948" s="43"/>
    </row>
    <row r="18949" spans="2:2" ht="12.75" customHeight="1" x14ac:dyDescent="0.2">
      <c r="B18949" s="43"/>
    </row>
    <row r="18950" spans="2:2" ht="12.75" customHeight="1" x14ac:dyDescent="0.2">
      <c r="B18950" s="43"/>
    </row>
    <row r="18951" spans="2:2" ht="12.75" customHeight="1" x14ac:dyDescent="0.2">
      <c r="B18951" s="43"/>
    </row>
    <row r="18952" spans="2:2" ht="12.75" customHeight="1" x14ac:dyDescent="0.2">
      <c r="B18952" s="43"/>
    </row>
    <row r="18953" spans="2:2" ht="12.75" customHeight="1" x14ac:dyDescent="0.2">
      <c r="B18953" s="43"/>
    </row>
    <row r="18954" spans="2:2" ht="12.75" customHeight="1" x14ac:dyDescent="0.2">
      <c r="B18954" s="43"/>
    </row>
    <row r="18955" spans="2:2" ht="12.75" customHeight="1" x14ac:dyDescent="0.2">
      <c r="B18955" s="43"/>
    </row>
    <row r="18956" spans="2:2" ht="12.75" customHeight="1" x14ac:dyDescent="0.2">
      <c r="B18956" s="43"/>
    </row>
    <row r="18957" spans="2:2" ht="12.75" customHeight="1" x14ac:dyDescent="0.2">
      <c r="B18957" s="43"/>
    </row>
    <row r="18958" spans="2:2" ht="12.75" customHeight="1" x14ac:dyDescent="0.2">
      <c r="B18958" s="43"/>
    </row>
    <row r="18959" spans="2:2" ht="12.75" customHeight="1" x14ac:dyDescent="0.2">
      <c r="B18959" s="43"/>
    </row>
    <row r="18960" spans="2:2" ht="12.75" customHeight="1" x14ac:dyDescent="0.2">
      <c r="B18960" s="43"/>
    </row>
    <row r="18961" spans="2:2" ht="12.75" customHeight="1" x14ac:dyDescent="0.2">
      <c r="B18961" s="43"/>
    </row>
    <row r="18962" spans="2:2" ht="12.75" customHeight="1" x14ac:dyDescent="0.2">
      <c r="B18962" s="43"/>
    </row>
    <row r="18963" spans="2:2" ht="12.75" customHeight="1" x14ac:dyDescent="0.2">
      <c r="B18963" s="43"/>
    </row>
    <row r="18964" spans="2:2" ht="12.75" customHeight="1" x14ac:dyDescent="0.2">
      <c r="B18964" s="43"/>
    </row>
    <row r="18965" spans="2:2" ht="12.75" customHeight="1" x14ac:dyDescent="0.2">
      <c r="B18965" s="43"/>
    </row>
    <row r="18966" spans="2:2" ht="12.75" customHeight="1" x14ac:dyDescent="0.2">
      <c r="B18966" s="43"/>
    </row>
    <row r="18967" spans="2:2" ht="12.75" customHeight="1" x14ac:dyDescent="0.2">
      <c r="B18967" s="43"/>
    </row>
    <row r="18968" spans="2:2" ht="12.75" customHeight="1" x14ac:dyDescent="0.2">
      <c r="B18968" s="43"/>
    </row>
    <row r="18969" spans="2:2" ht="12.75" customHeight="1" x14ac:dyDescent="0.2">
      <c r="B18969" s="43"/>
    </row>
    <row r="18970" spans="2:2" ht="12.75" customHeight="1" x14ac:dyDescent="0.2">
      <c r="B18970" s="43"/>
    </row>
    <row r="18971" spans="2:2" ht="12.75" customHeight="1" x14ac:dyDescent="0.2">
      <c r="B18971" s="43"/>
    </row>
    <row r="18972" spans="2:2" ht="12.75" customHeight="1" x14ac:dyDescent="0.2">
      <c r="B18972" s="43"/>
    </row>
    <row r="18973" spans="2:2" ht="12.75" customHeight="1" x14ac:dyDescent="0.2">
      <c r="B18973" s="43"/>
    </row>
    <row r="18974" spans="2:2" ht="12.75" customHeight="1" x14ac:dyDescent="0.2">
      <c r="B18974" s="43"/>
    </row>
    <row r="18975" spans="2:2" ht="12.75" customHeight="1" x14ac:dyDescent="0.2">
      <c r="B18975" s="43"/>
    </row>
    <row r="18976" spans="2:2" ht="12.75" customHeight="1" x14ac:dyDescent="0.2">
      <c r="B18976" s="43"/>
    </row>
    <row r="18977" spans="2:2" ht="12.75" customHeight="1" x14ac:dyDescent="0.2">
      <c r="B18977" s="43"/>
    </row>
    <row r="18978" spans="2:2" ht="12.75" customHeight="1" x14ac:dyDescent="0.2">
      <c r="B18978" s="43"/>
    </row>
    <row r="18979" spans="2:2" ht="12.75" customHeight="1" x14ac:dyDescent="0.2">
      <c r="B18979" s="43"/>
    </row>
    <row r="18980" spans="2:2" ht="12.75" customHeight="1" x14ac:dyDescent="0.2">
      <c r="B18980" s="43"/>
    </row>
    <row r="18981" spans="2:2" ht="12.75" customHeight="1" x14ac:dyDescent="0.2">
      <c r="B18981" s="43"/>
    </row>
    <row r="18982" spans="2:2" ht="12.75" customHeight="1" x14ac:dyDescent="0.2">
      <c r="B18982" s="43"/>
    </row>
    <row r="18983" spans="2:2" ht="12.75" customHeight="1" x14ac:dyDescent="0.2">
      <c r="B18983" s="43"/>
    </row>
    <row r="18984" spans="2:2" ht="12.75" customHeight="1" x14ac:dyDescent="0.2">
      <c r="B18984" s="43"/>
    </row>
    <row r="18985" spans="2:2" ht="12.75" customHeight="1" x14ac:dyDescent="0.2">
      <c r="B18985" s="43"/>
    </row>
    <row r="18986" spans="2:2" ht="12.75" customHeight="1" x14ac:dyDescent="0.2">
      <c r="B18986" s="43"/>
    </row>
    <row r="18987" spans="2:2" ht="12.75" customHeight="1" x14ac:dyDescent="0.2">
      <c r="B18987" s="43"/>
    </row>
    <row r="18988" spans="2:2" ht="12.75" customHeight="1" x14ac:dyDescent="0.2">
      <c r="B18988" s="43"/>
    </row>
    <row r="18989" spans="2:2" ht="12.75" customHeight="1" x14ac:dyDescent="0.2">
      <c r="B18989" s="43"/>
    </row>
    <row r="18990" spans="2:2" ht="12.75" customHeight="1" x14ac:dyDescent="0.2">
      <c r="B18990" s="43"/>
    </row>
    <row r="18991" spans="2:2" ht="12.75" customHeight="1" x14ac:dyDescent="0.2">
      <c r="B18991" s="43"/>
    </row>
    <row r="18992" spans="2:2" ht="12.75" customHeight="1" x14ac:dyDescent="0.2">
      <c r="B18992" s="43"/>
    </row>
    <row r="18993" spans="2:2" ht="12.75" customHeight="1" x14ac:dyDescent="0.2">
      <c r="B18993" s="43"/>
    </row>
    <row r="18994" spans="2:2" ht="12.75" customHeight="1" x14ac:dyDescent="0.2">
      <c r="B18994" s="43"/>
    </row>
    <row r="18995" spans="2:2" ht="12.75" customHeight="1" x14ac:dyDescent="0.2">
      <c r="B18995" s="43"/>
    </row>
    <row r="18996" spans="2:2" ht="12.75" customHeight="1" x14ac:dyDescent="0.2">
      <c r="B18996" s="43"/>
    </row>
    <row r="18997" spans="2:2" ht="12.75" customHeight="1" x14ac:dyDescent="0.2">
      <c r="B18997" s="43"/>
    </row>
    <row r="18998" spans="2:2" ht="12.75" customHeight="1" x14ac:dyDescent="0.2">
      <c r="B18998" s="43"/>
    </row>
    <row r="18999" spans="2:2" ht="12.75" customHeight="1" x14ac:dyDescent="0.2">
      <c r="B18999" s="43"/>
    </row>
    <row r="19000" spans="2:2" ht="12.75" customHeight="1" x14ac:dyDescent="0.2">
      <c r="B19000" s="43"/>
    </row>
    <row r="19001" spans="2:2" ht="12.75" customHeight="1" x14ac:dyDescent="0.2">
      <c r="B19001" s="43"/>
    </row>
    <row r="19002" spans="2:2" ht="12.75" customHeight="1" x14ac:dyDescent="0.2">
      <c r="B19002" s="43"/>
    </row>
    <row r="19003" spans="2:2" ht="12.75" customHeight="1" x14ac:dyDescent="0.2">
      <c r="B19003" s="43"/>
    </row>
    <row r="19004" spans="2:2" ht="12.75" customHeight="1" x14ac:dyDescent="0.2">
      <c r="B19004" s="43"/>
    </row>
    <row r="19005" spans="2:2" ht="12.75" customHeight="1" x14ac:dyDescent="0.2">
      <c r="B19005" s="43"/>
    </row>
    <row r="19006" spans="2:2" ht="12.75" customHeight="1" x14ac:dyDescent="0.2">
      <c r="B19006" s="43"/>
    </row>
    <row r="19007" spans="2:2" ht="12.75" customHeight="1" x14ac:dyDescent="0.2">
      <c r="B19007" s="43"/>
    </row>
    <row r="19008" spans="2:2" ht="12.75" customHeight="1" x14ac:dyDescent="0.2">
      <c r="B19008" s="43"/>
    </row>
    <row r="19009" spans="2:2" ht="12.75" customHeight="1" x14ac:dyDescent="0.2">
      <c r="B19009" s="43"/>
    </row>
    <row r="19010" spans="2:2" ht="12.75" customHeight="1" x14ac:dyDescent="0.2">
      <c r="B19010" s="43"/>
    </row>
    <row r="19011" spans="2:2" ht="12.75" customHeight="1" x14ac:dyDescent="0.2">
      <c r="B19011" s="43"/>
    </row>
    <row r="19012" spans="2:2" ht="12.75" customHeight="1" x14ac:dyDescent="0.2">
      <c r="B19012" s="43"/>
    </row>
    <row r="19013" spans="2:2" ht="12.75" customHeight="1" x14ac:dyDescent="0.2">
      <c r="B19013" s="43"/>
    </row>
    <row r="19014" spans="2:2" ht="12.75" customHeight="1" x14ac:dyDescent="0.2">
      <c r="B19014" s="43"/>
    </row>
    <row r="19015" spans="2:2" ht="12.75" customHeight="1" x14ac:dyDescent="0.2">
      <c r="B19015" s="43"/>
    </row>
    <row r="19016" spans="2:2" ht="12.75" customHeight="1" x14ac:dyDescent="0.2">
      <c r="B19016" s="43"/>
    </row>
    <row r="19017" spans="2:2" ht="12.75" customHeight="1" x14ac:dyDescent="0.2">
      <c r="B19017" s="43"/>
    </row>
    <row r="19018" spans="2:2" ht="12.75" customHeight="1" x14ac:dyDescent="0.2">
      <c r="B19018" s="43"/>
    </row>
    <row r="19019" spans="2:2" ht="12.75" customHeight="1" x14ac:dyDescent="0.2">
      <c r="B19019" s="43"/>
    </row>
    <row r="19020" spans="2:2" ht="12.75" customHeight="1" x14ac:dyDescent="0.2">
      <c r="B19020" s="43"/>
    </row>
    <row r="19021" spans="2:2" ht="12.75" customHeight="1" x14ac:dyDescent="0.2">
      <c r="B19021" s="43"/>
    </row>
    <row r="19022" spans="2:2" ht="12.75" customHeight="1" x14ac:dyDescent="0.2">
      <c r="B19022" s="43"/>
    </row>
    <row r="19023" spans="2:2" ht="12.75" customHeight="1" x14ac:dyDescent="0.2">
      <c r="B19023" s="43"/>
    </row>
    <row r="19024" spans="2:2" ht="12.75" customHeight="1" x14ac:dyDescent="0.2">
      <c r="B19024" s="43"/>
    </row>
    <row r="19025" spans="2:2" ht="12.75" customHeight="1" x14ac:dyDescent="0.2">
      <c r="B19025" s="43"/>
    </row>
    <row r="19026" spans="2:2" ht="12.75" customHeight="1" x14ac:dyDescent="0.2">
      <c r="B19026" s="43"/>
    </row>
    <row r="19027" spans="2:2" ht="12.75" customHeight="1" x14ac:dyDescent="0.2">
      <c r="B19027" s="43"/>
    </row>
    <row r="19028" spans="2:2" ht="12.75" customHeight="1" x14ac:dyDescent="0.2">
      <c r="B19028" s="43"/>
    </row>
    <row r="19029" spans="2:2" ht="12.75" customHeight="1" x14ac:dyDescent="0.2">
      <c r="B19029" s="43"/>
    </row>
    <row r="19030" spans="2:2" ht="12.75" customHeight="1" x14ac:dyDescent="0.2">
      <c r="B19030" s="43"/>
    </row>
    <row r="19031" spans="2:2" ht="12.75" customHeight="1" x14ac:dyDescent="0.2">
      <c r="B19031" s="43"/>
    </row>
    <row r="19032" spans="2:2" ht="12.75" customHeight="1" x14ac:dyDescent="0.2">
      <c r="B19032" s="43"/>
    </row>
    <row r="19033" spans="2:2" ht="12.75" customHeight="1" x14ac:dyDescent="0.2">
      <c r="B19033" s="43"/>
    </row>
    <row r="19034" spans="2:2" ht="12.75" customHeight="1" x14ac:dyDescent="0.2">
      <c r="B19034" s="43"/>
    </row>
    <row r="19035" spans="2:2" ht="12.75" customHeight="1" x14ac:dyDescent="0.2">
      <c r="B19035" s="43"/>
    </row>
    <row r="19036" spans="2:2" ht="12.75" customHeight="1" x14ac:dyDescent="0.2">
      <c r="B19036" s="43"/>
    </row>
    <row r="19037" spans="2:2" ht="12.75" customHeight="1" x14ac:dyDescent="0.2">
      <c r="B19037" s="43"/>
    </row>
    <row r="19038" spans="2:2" ht="12.75" customHeight="1" x14ac:dyDescent="0.2">
      <c r="B19038" s="43"/>
    </row>
    <row r="19039" spans="2:2" ht="12.75" customHeight="1" x14ac:dyDescent="0.2">
      <c r="B19039" s="43"/>
    </row>
    <row r="19040" spans="2:2" ht="12.75" customHeight="1" x14ac:dyDescent="0.2">
      <c r="B19040" s="43"/>
    </row>
    <row r="19041" spans="2:2" ht="12.75" customHeight="1" x14ac:dyDescent="0.2">
      <c r="B19041" s="43"/>
    </row>
    <row r="19042" spans="2:2" ht="12.75" customHeight="1" x14ac:dyDescent="0.2">
      <c r="B19042" s="43"/>
    </row>
    <row r="19043" spans="2:2" ht="12.75" customHeight="1" x14ac:dyDescent="0.2">
      <c r="B19043" s="43"/>
    </row>
    <row r="19044" spans="2:2" ht="12.75" customHeight="1" x14ac:dyDescent="0.2">
      <c r="B19044" s="43"/>
    </row>
    <row r="19045" spans="2:2" ht="12.75" customHeight="1" x14ac:dyDescent="0.2">
      <c r="B19045" s="43"/>
    </row>
    <row r="19046" spans="2:2" ht="12.75" customHeight="1" x14ac:dyDescent="0.2">
      <c r="B19046" s="43"/>
    </row>
    <row r="19047" spans="2:2" ht="12.75" customHeight="1" x14ac:dyDescent="0.2">
      <c r="B19047" s="43"/>
    </row>
    <row r="19048" spans="2:2" ht="12.75" customHeight="1" x14ac:dyDescent="0.2">
      <c r="B19048" s="43"/>
    </row>
    <row r="19049" spans="2:2" ht="12.75" customHeight="1" x14ac:dyDescent="0.2">
      <c r="B19049" s="43"/>
    </row>
    <row r="19050" spans="2:2" ht="12.75" customHeight="1" x14ac:dyDescent="0.2">
      <c r="B19050" s="43"/>
    </row>
    <row r="19051" spans="2:2" ht="12.75" customHeight="1" x14ac:dyDescent="0.2">
      <c r="B19051" s="43"/>
    </row>
    <row r="19052" spans="2:2" ht="12.75" customHeight="1" x14ac:dyDescent="0.2">
      <c r="B19052" s="43"/>
    </row>
    <row r="19053" spans="2:2" ht="12.75" customHeight="1" x14ac:dyDescent="0.2">
      <c r="B19053" s="43"/>
    </row>
    <row r="19054" spans="2:2" ht="12.75" customHeight="1" x14ac:dyDescent="0.2">
      <c r="B19054" s="43"/>
    </row>
    <row r="19055" spans="2:2" ht="12.75" customHeight="1" x14ac:dyDescent="0.2">
      <c r="B19055" s="43"/>
    </row>
    <row r="19056" spans="2:2" ht="12.75" customHeight="1" x14ac:dyDescent="0.2">
      <c r="B19056" s="43"/>
    </row>
    <row r="19057" spans="2:2" ht="12.75" customHeight="1" x14ac:dyDescent="0.2">
      <c r="B19057" s="43"/>
    </row>
    <row r="19058" spans="2:2" ht="12.75" customHeight="1" x14ac:dyDescent="0.2">
      <c r="B19058" s="43"/>
    </row>
    <row r="19059" spans="2:2" ht="12.75" customHeight="1" x14ac:dyDescent="0.2">
      <c r="B19059" s="43"/>
    </row>
    <row r="19060" spans="2:2" ht="12.75" customHeight="1" x14ac:dyDescent="0.2">
      <c r="B19060" s="43"/>
    </row>
    <row r="19061" spans="2:2" ht="12.75" customHeight="1" x14ac:dyDescent="0.2">
      <c r="B19061" s="43"/>
    </row>
    <row r="19062" spans="2:2" ht="12.75" customHeight="1" x14ac:dyDescent="0.2">
      <c r="B19062" s="43"/>
    </row>
    <row r="19063" spans="2:2" ht="12.75" customHeight="1" x14ac:dyDescent="0.2">
      <c r="B19063" s="43"/>
    </row>
    <row r="19064" spans="2:2" ht="12.75" customHeight="1" x14ac:dyDescent="0.2">
      <c r="B19064" s="43"/>
    </row>
    <row r="19065" spans="2:2" ht="12.75" customHeight="1" x14ac:dyDescent="0.2">
      <c r="B19065" s="43"/>
    </row>
    <row r="19066" spans="2:2" ht="12.75" customHeight="1" x14ac:dyDescent="0.2">
      <c r="B19066" s="43"/>
    </row>
    <row r="19067" spans="2:2" ht="12.75" customHeight="1" x14ac:dyDescent="0.2">
      <c r="B19067" s="43"/>
    </row>
    <row r="19068" spans="2:2" ht="12.75" customHeight="1" x14ac:dyDescent="0.2">
      <c r="B19068" s="43"/>
    </row>
    <row r="19069" spans="2:2" ht="12.75" customHeight="1" x14ac:dyDescent="0.2">
      <c r="B19069" s="43"/>
    </row>
    <row r="19070" spans="2:2" ht="12.75" customHeight="1" x14ac:dyDescent="0.2">
      <c r="B19070" s="43"/>
    </row>
    <row r="19071" spans="2:2" ht="12.75" customHeight="1" x14ac:dyDescent="0.2">
      <c r="B19071" s="43"/>
    </row>
    <row r="19072" spans="2:2" ht="12.75" customHeight="1" x14ac:dyDescent="0.2">
      <c r="B19072" s="43"/>
    </row>
    <row r="19073" spans="2:2" ht="12.75" customHeight="1" x14ac:dyDescent="0.2">
      <c r="B19073" s="43"/>
    </row>
    <row r="19074" spans="2:2" ht="12.75" customHeight="1" x14ac:dyDescent="0.2">
      <c r="B19074" s="43"/>
    </row>
    <row r="19075" spans="2:2" ht="12.75" customHeight="1" x14ac:dyDescent="0.2">
      <c r="B19075" s="43"/>
    </row>
    <row r="19076" spans="2:2" ht="12.75" customHeight="1" x14ac:dyDescent="0.2">
      <c r="B19076" s="43"/>
    </row>
    <row r="19077" spans="2:2" ht="12.75" customHeight="1" x14ac:dyDescent="0.2">
      <c r="B19077" s="43"/>
    </row>
    <row r="19078" spans="2:2" ht="12.75" customHeight="1" x14ac:dyDescent="0.2">
      <c r="B19078" s="43"/>
    </row>
    <row r="19079" spans="2:2" ht="12.75" customHeight="1" x14ac:dyDescent="0.2">
      <c r="B19079" s="43"/>
    </row>
    <row r="19080" spans="2:2" ht="12.75" customHeight="1" x14ac:dyDescent="0.2">
      <c r="B19080" s="43"/>
    </row>
    <row r="19081" spans="2:2" ht="12.75" customHeight="1" x14ac:dyDescent="0.2">
      <c r="B19081" s="43"/>
    </row>
    <row r="19082" spans="2:2" ht="12.75" customHeight="1" x14ac:dyDescent="0.2">
      <c r="B19082" s="43"/>
    </row>
    <row r="19083" spans="2:2" ht="12.75" customHeight="1" x14ac:dyDescent="0.2">
      <c r="B19083" s="43"/>
    </row>
    <row r="19084" spans="2:2" ht="12.75" customHeight="1" x14ac:dyDescent="0.2">
      <c r="B19084" s="43"/>
    </row>
    <row r="19085" spans="2:2" ht="12.75" customHeight="1" x14ac:dyDescent="0.2">
      <c r="B19085" s="43"/>
    </row>
    <row r="19086" spans="2:2" ht="12.75" customHeight="1" x14ac:dyDescent="0.2">
      <c r="B19086" s="43"/>
    </row>
    <row r="19087" spans="2:2" ht="12.75" customHeight="1" x14ac:dyDescent="0.2">
      <c r="B19087" s="43"/>
    </row>
    <row r="19088" spans="2:2" ht="12.75" customHeight="1" x14ac:dyDescent="0.2">
      <c r="B19088" s="43"/>
    </row>
    <row r="19089" spans="2:2" ht="12.75" customHeight="1" x14ac:dyDescent="0.2">
      <c r="B19089" s="43"/>
    </row>
    <row r="19090" spans="2:2" ht="12.75" customHeight="1" x14ac:dyDescent="0.2">
      <c r="B19090" s="43"/>
    </row>
    <row r="19091" spans="2:2" ht="12.75" customHeight="1" x14ac:dyDescent="0.2">
      <c r="B19091" s="43"/>
    </row>
    <row r="19092" spans="2:2" ht="12.75" customHeight="1" x14ac:dyDescent="0.2">
      <c r="B19092" s="43"/>
    </row>
    <row r="19093" spans="2:2" ht="12.75" customHeight="1" x14ac:dyDescent="0.2">
      <c r="B19093" s="43"/>
    </row>
    <row r="19094" spans="2:2" ht="12.75" customHeight="1" x14ac:dyDescent="0.2">
      <c r="B19094" s="43"/>
    </row>
    <row r="19095" spans="2:2" ht="12.75" customHeight="1" x14ac:dyDescent="0.2">
      <c r="B19095" s="43"/>
    </row>
    <row r="19096" spans="2:2" ht="12.75" customHeight="1" x14ac:dyDescent="0.2">
      <c r="B19096" s="43"/>
    </row>
    <row r="19097" spans="2:2" ht="12.75" customHeight="1" x14ac:dyDescent="0.2">
      <c r="B19097" s="43"/>
    </row>
    <row r="19098" spans="2:2" ht="12.75" customHeight="1" x14ac:dyDescent="0.2">
      <c r="B19098" s="43"/>
    </row>
    <row r="19099" spans="2:2" ht="12.75" customHeight="1" x14ac:dyDescent="0.2">
      <c r="B19099" s="43"/>
    </row>
    <row r="19100" spans="2:2" ht="12.75" customHeight="1" x14ac:dyDescent="0.2">
      <c r="B19100" s="43"/>
    </row>
    <row r="19101" spans="2:2" ht="12.75" customHeight="1" x14ac:dyDescent="0.2">
      <c r="B19101" s="43"/>
    </row>
    <row r="19102" spans="2:2" ht="12.75" customHeight="1" x14ac:dyDescent="0.2">
      <c r="B19102" s="43"/>
    </row>
    <row r="19103" spans="2:2" ht="12.75" customHeight="1" x14ac:dyDescent="0.2">
      <c r="B19103" s="43"/>
    </row>
    <row r="19104" spans="2:2" ht="12.75" customHeight="1" x14ac:dyDescent="0.2">
      <c r="B19104" s="43"/>
    </row>
    <row r="19105" spans="2:2" ht="12.75" customHeight="1" x14ac:dyDescent="0.2">
      <c r="B19105" s="43"/>
    </row>
    <row r="19106" spans="2:2" ht="12.75" customHeight="1" x14ac:dyDescent="0.2">
      <c r="B19106" s="43"/>
    </row>
    <row r="19107" spans="2:2" ht="12.75" customHeight="1" x14ac:dyDescent="0.2">
      <c r="B19107" s="43"/>
    </row>
    <row r="19108" spans="2:2" ht="12.75" customHeight="1" x14ac:dyDescent="0.2">
      <c r="B19108" s="43"/>
    </row>
    <row r="19109" spans="2:2" ht="12.75" customHeight="1" x14ac:dyDescent="0.2">
      <c r="B19109" s="43"/>
    </row>
    <row r="19110" spans="2:2" ht="12.75" customHeight="1" x14ac:dyDescent="0.2">
      <c r="B19110" s="43"/>
    </row>
    <row r="19111" spans="2:2" ht="12.75" customHeight="1" x14ac:dyDescent="0.2">
      <c r="B19111" s="43"/>
    </row>
    <row r="19112" spans="2:2" ht="12.75" customHeight="1" x14ac:dyDescent="0.2">
      <c r="B19112" s="43"/>
    </row>
    <row r="19113" spans="2:2" ht="12.75" customHeight="1" x14ac:dyDescent="0.2">
      <c r="B19113" s="43"/>
    </row>
    <row r="19114" spans="2:2" ht="12.75" customHeight="1" x14ac:dyDescent="0.2">
      <c r="B19114" s="43"/>
    </row>
    <row r="19115" spans="2:2" ht="12.75" customHeight="1" x14ac:dyDescent="0.2">
      <c r="B19115" s="43"/>
    </row>
    <row r="19116" spans="2:2" ht="12.75" customHeight="1" x14ac:dyDescent="0.2">
      <c r="B19116" s="43"/>
    </row>
    <row r="19117" spans="2:2" ht="12.75" customHeight="1" x14ac:dyDescent="0.2">
      <c r="B19117" s="43"/>
    </row>
    <row r="19118" spans="2:2" ht="12.75" customHeight="1" x14ac:dyDescent="0.2">
      <c r="B19118" s="43"/>
    </row>
    <row r="19119" spans="2:2" ht="12.75" customHeight="1" x14ac:dyDescent="0.2">
      <c r="B19119" s="43"/>
    </row>
    <row r="19120" spans="2:2" ht="12.75" customHeight="1" x14ac:dyDescent="0.2">
      <c r="B19120" s="43"/>
    </row>
    <row r="19121" spans="2:2" ht="12.75" customHeight="1" x14ac:dyDescent="0.2">
      <c r="B19121" s="43"/>
    </row>
    <row r="19122" spans="2:2" ht="12.75" customHeight="1" x14ac:dyDescent="0.2">
      <c r="B19122" s="43"/>
    </row>
    <row r="19123" spans="2:2" ht="12.75" customHeight="1" x14ac:dyDescent="0.2">
      <c r="B19123" s="43"/>
    </row>
    <row r="19124" spans="2:2" ht="12.75" customHeight="1" x14ac:dyDescent="0.2">
      <c r="B19124" s="43"/>
    </row>
    <row r="19125" spans="2:2" ht="12.75" customHeight="1" x14ac:dyDescent="0.2">
      <c r="B19125" s="43"/>
    </row>
    <row r="19126" spans="2:2" ht="12.75" customHeight="1" x14ac:dyDescent="0.2">
      <c r="B19126" s="43"/>
    </row>
    <row r="19127" spans="2:2" ht="12.75" customHeight="1" x14ac:dyDescent="0.2">
      <c r="B19127" s="43"/>
    </row>
    <row r="19128" spans="2:2" ht="12.75" customHeight="1" x14ac:dyDescent="0.2">
      <c r="B19128" s="43"/>
    </row>
    <row r="19129" spans="2:2" ht="12.75" customHeight="1" x14ac:dyDescent="0.2">
      <c r="B19129" s="43"/>
    </row>
    <row r="19130" spans="2:2" ht="12.75" customHeight="1" x14ac:dyDescent="0.2">
      <c r="B19130" s="43"/>
    </row>
    <row r="19131" spans="2:2" ht="12.75" customHeight="1" x14ac:dyDescent="0.2">
      <c r="B19131" s="43"/>
    </row>
    <row r="19132" spans="2:2" ht="12.75" customHeight="1" x14ac:dyDescent="0.2">
      <c r="B19132" s="43"/>
    </row>
    <row r="19133" spans="2:2" ht="12.75" customHeight="1" x14ac:dyDescent="0.2">
      <c r="B19133" s="43"/>
    </row>
    <row r="19134" spans="2:2" ht="12.75" customHeight="1" x14ac:dyDescent="0.2">
      <c r="B19134" s="43"/>
    </row>
    <row r="19135" spans="2:2" ht="12.75" customHeight="1" x14ac:dyDescent="0.2">
      <c r="B19135" s="43"/>
    </row>
    <row r="19136" spans="2:2" ht="12.75" customHeight="1" x14ac:dyDescent="0.2">
      <c r="B19136" s="43"/>
    </row>
    <row r="19137" spans="2:2" ht="12.75" customHeight="1" x14ac:dyDescent="0.2">
      <c r="B19137" s="43"/>
    </row>
    <row r="19138" spans="2:2" ht="12.75" customHeight="1" x14ac:dyDescent="0.2">
      <c r="B19138" s="43"/>
    </row>
    <row r="19139" spans="2:2" ht="12.75" customHeight="1" x14ac:dyDescent="0.2">
      <c r="B19139" s="43"/>
    </row>
    <row r="19140" spans="2:2" ht="12.75" customHeight="1" x14ac:dyDescent="0.2">
      <c r="B19140" s="43"/>
    </row>
    <row r="19141" spans="2:2" ht="12.75" customHeight="1" x14ac:dyDescent="0.2">
      <c r="B19141" s="43"/>
    </row>
    <row r="19142" spans="2:2" ht="12.75" customHeight="1" x14ac:dyDescent="0.2">
      <c r="B19142" s="43"/>
    </row>
    <row r="19143" spans="2:2" ht="12.75" customHeight="1" x14ac:dyDescent="0.2">
      <c r="B19143" s="43"/>
    </row>
    <row r="19144" spans="2:2" ht="12.75" customHeight="1" x14ac:dyDescent="0.2">
      <c r="B19144" s="43"/>
    </row>
    <row r="19145" spans="2:2" ht="12.75" customHeight="1" x14ac:dyDescent="0.2">
      <c r="B19145" s="43"/>
    </row>
    <row r="19146" spans="2:2" ht="12.75" customHeight="1" x14ac:dyDescent="0.2">
      <c r="B19146" s="43"/>
    </row>
    <row r="19147" spans="2:2" ht="12.75" customHeight="1" x14ac:dyDescent="0.2">
      <c r="B19147" s="43"/>
    </row>
    <row r="19148" spans="2:2" ht="12.75" customHeight="1" x14ac:dyDescent="0.2">
      <c r="B19148" s="43"/>
    </row>
    <row r="19149" spans="2:2" ht="12.75" customHeight="1" x14ac:dyDescent="0.2">
      <c r="B19149" s="43"/>
    </row>
    <row r="19150" spans="2:2" ht="12.75" customHeight="1" x14ac:dyDescent="0.2">
      <c r="B19150" s="43"/>
    </row>
    <row r="19151" spans="2:2" ht="12.75" customHeight="1" x14ac:dyDescent="0.2">
      <c r="B19151" s="43"/>
    </row>
    <row r="19152" spans="2:2" ht="12.75" customHeight="1" x14ac:dyDescent="0.2">
      <c r="B19152" s="43"/>
    </row>
    <row r="19153" spans="2:2" ht="12.75" customHeight="1" x14ac:dyDescent="0.2">
      <c r="B19153" s="43"/>
    </row>
    <row r="19154" spans="2:2" ht="12.75" customHeight="1" x14ac:dyDescent="0.2">
      <c r="B19154" s="43"/>
    </row>
    <row r="19155" spans="2:2" ht="12.75" customHeight="1" x14ac:dyDescent="0.2">
      <c r="B19155" s="43"/>
    </row>
    <row r="19156" spans="2:2" ht="12.75" customHeight="1" x14ac:dyDescent="0.2">
      <c r="B19156" s="43"/>
    </row>
    <row r="19157" spans="2:2" ht="12.75" customHeight="1" x14ac:dyDescent="0.2">
      <c r="B19157" s="43"/>
    </row>
    <row r="19158" spans="2:2" ht="12.75" customHeight="1" x14ac:dyDescent="0.2">
      <c r="B19158" s="43"/>
    </row>
    <row r="19159" spans="2:2" ht="12.75" customHeight="1" x14ac:dyDescent="0.2">
      <c r="B19159" s="43"/>
    </row>
    <row r="19160" spans="2:2" ht="12.75" customHeight="1" x14ac:dyDescent="0.2">
      <c r="B19160" s="43"/>
    </row>
    <row r="19161" spans="2:2" ht="12.75" customHeight="1" x14ac:dyDescent="0.2">
      <c r="B19161" s="43"/>
    </row>
    <row r="19162" spans="2:2" ht="12.75" customHeight="1" x14ac:dyDescent="0.2">
      <c r="B19162" s="43"/>
    </row>
    <row r="19163" spans="2:2" ht="12.75" customHeight="1" x14ac:dyDescent="0.2">
      <c r="B19163" s="43"/>
    </row>
    <row r="19164" spans="2:2" ht="12.75" customHeight="1" x14ac:dyDescent="0.2">
      <c r="B19164" s="43"/>
    </row>
    <row r="19165" spans="2:2" ht="12.75" customHeight="1" x14ac:dyDescent="0.2">
      <c r="B19165" s="43"/>
    </row>
    <row r="19166" spans="2:2" ht="12.75" customHeight="1" x14ac:dyDescent="0.2">
      <c r="B19166" s="43"/>
    </row>
    <row r="19167" spans="2:2" ht="12.75" customHeight="1" x14ac:dyDescent="0.2">
      <c r="B19167" s="43"/>
    </row>
    <row r="19168" spans="2:2" ht="12.75" customHeight="1" x14ac:dyDescent="0.2">
      <c r="B19168" s="43"/>
    </row>
    <row r="19169" spans="2:2" ht="12.75" customHeight="1" x14ac:dyDescent="0.2">
      <c r="B19169" s="43"/>
    </row>
    <row r="19170" spans="2:2" ht="12.75" customHeight="1" x14ac:dyDescent="0.2">
      <c r="B19170" s="43"/>
    </row>
    <row r="19171" spans="2:2" ht="12.75" customHeight="1" x14ac:dyDescent="0.2">
      <c r="B19171" s="43"/>
    </row>
    <row r="19172" spans="2:2" ht="12.75" customHeight="1" x14ac:dyDescent="0.2">
      <c r="B19172" s="43"/>
    </row>
    <row r="19173" spans="2:2" ht="12.75" customHeight="1" x14ac:dyDescent="0.2">
      <c r="B19173" s="43"/>
    </row>
    <row r="19174" spans="2:2" ht="12.75" customHeight="1" x14ac:dyDescent="0.2">
      <c r="B19174" s="43"/>
    </row>
    <row r="19175" spans="2:2" ht="12.75" customHeight="1" x14ac:dyDescent="0.2">
      <c r="B19175" s="43"/>
    </row>
    <row r="19176" spans="2:2" ht="12.75" customHeight="1" x14ac:dyDescent="0.2">
      <c r="B19176" s="43"/>
    </row>
    <row r="19177" spans="2:2" ht="12.75" customHeight="1" x14ac:dyDescent="0.2">
      <c r="B19177" s="43"/>
    </row>
    <row r="19178" spans="2:2" ht="12.75" customHeight="1" x14ac:dyDescent="0.2">
      <c r="B19178" s="43"/>
    </row>
    <row r="19179" spans="2:2" ht="12.75" customHeight="1" x14ac:dyDescent="0.2">
      <c r="B19179" s="43"/>
    </row>
    <row r="19180" spans="2:2" ht="12.75" customHeight="1" x14ac:dyDescent="0.2">
      <c r="B19180" s="43"/>
    </row>
    <row r="19181" spans="2:2" ht="12.75" customHeight="1" x14ac:dyDescent="0.2">
      <c r="B19181" s="43"/>
    </row>
    <row r="19182" spans="2:2" ht="12.75" customHeight="1" x14ac:dyDescent="0.2">
      <c r="B19182" s="43"/>
    </row>
    <row r="19183" spans="2:2" ht="12.75" customHeight="1" x14ac:dyDescent="0.2">
      <c r="B19183" s="43"/>
    </row>
    <row r="19184" spans="2:2" ht="12.75" customHeight="1" x14ac:dyDescent="0.2">
      <c r="B19184" s="43"/>
    </row>
    <row r="19185" spans="2:2" ht="12.75" customHeight="1" x14ac:dyDescent="0.2">
      <c r="B19185" s="43"/>
    </row>
    <row r="19186" spans="2:2" ht="12.75" customHeight="1" x14ac:dyDescent="0.2">
      <c r="B19186" s="43"/>
    </row>
    <row r="19187" spans="2:2" ht="12.75" customHeight="1" x14ac:dyDescent="0.2">
      <c r="B19187" s="43"/>
    </row>
    <row r="19188" spans="2:2" ht="12.75" customHeight="1" x14ac:dyDescent="0.2">
      <c r="B19188" s="43"/>
    </row>
    <row r="19189" spans="2:2" ht="12.75" customHeight="1" x14ac:dyDescent="0.2">
      <c r="B19189" s="43"/>
    </row>
    <row r="19190" spans="2:2" ht="12.75" customHeight="1" x14ac:dyDescent="0.2">
      <c r="B19190" s="43"/>
    </row>
    <row r="19191" spans="2:2" ht="12.75" customHeight="1" x14ac:dyDescent="0.2">
      <c r="B19191" s="43"/>
    </row>
    <row r="19192" spans="2:2" ht="12.75" customHeight="1" x14ac:dyDescent="0.2">
      <c r="B19192" s="43"/>
    </row>
    <row r="19193" spans="2:2" ht="12.75" customHeight="1" x14ac:dyDescent="0.2">
      <c r="B19193" s="43"/>
    </row>
    <row r="19194" spans="2:2" ht="12.75" customHeight="1" x14ac:dyDescent="0.2">
      <c r="B19194" s="43"/>
    </row>
    <row r="19195" spans="2:2" ht="12.75" customHeight="1" x14ac:dyDescent="0.2">
      <c r="B19195" s="43"/>
    </row>
    <row r="19196" spans="2:2" ht="12.75" customHeight="1" x14ac:dyDescent="0.2">
      <c r="B19196" s="43"/>
    </row>
    <row r="19197" spans="2:2" ht="12.75" customHeight="1" x14ac:dyDescent="0.2">
      <c r="B19197" s="43"/>
    </row>
    <row r="19198" spans="2:2" ht="12.75" customHeight="1" x14ac:dyDescent="0.2">
      <c r="B19198" s="43"/>
    </row>
    <row r="19199" spans="2:2" ht="12.75" customHeight="1" x14ac:dyDescent="0.2">
      <c r="B19199" s="43"/>
    </row>
    <row r="19200" spans="2:2" ht="12.75" customHeight="1" x14ac:dyDescent="0.2">
      <c r="B19200" s="43"/>
    </row>
    <row r="19201" spans="2:2" ht="12.75" customHeight="1" x14ac:dyDescent="0.2">
      <c r="B19201" s="43"/>
    </row>
    <row r="19202" spans="2:2" ht="12.75" customHeight="1" x14ac:dyDescent="0.2">
      <c r="B19202" s="43"/>
    </row>
    <row r="19203" spans="2:2" ht="12.75" customHeight="1" x14ac:dyDescent="0.2">
      <c r="B19203" s="43"/>
    </row>
    <row r="19204" spans="2:2" ht="12.75" customHeight="1" x14ac:dyDescent="0.2">
      <c r="B19204" s="43"/>
    </row>
    <row r="19205" spans="2:2" ht="12.75" customHeight="1" x14ac:dyDescent="0.2">
      <c r="B19205" s="43"/>
    </row>
    <row r="19206" spans="2:2" ht="12.75" customHeight="1" x14ac:dyDescent="0.2">
      <c r="B19206" s="43"/>
    </row>
    <row r="19207" spans="2:2" ht="12.75" customHeight="1" x14ac:dyDescent="0.2">
      <c r="B19207" s="43"/>
    </row>
    <row r="19208" spans="2:2" ht="12.75" customHeight="1" x14ac:dyDescent="0.2">
      <c r="B19208" s="43"/>
    </row>
    <row r="19209" spans="2:2" ht="12.75" customHeight="1" x14ac:dyDescent="0.2">
      <c r="B19209" s="43"/>
    </row>
    <row r="19210" spans="2:2" ht="12.75" customHeight="1" x14ac:dyDescent="0.2">
      <c r="B19210" s="43"/>
    </row>
    <row r="19211" spans="2:2" ht="12.75" customHeight="1" x14ac:dyDescent="0.2">
      <c r="B19211" s="43"/>
    </row>
    <row r="19212" spans="2:2" ht="12.75" customHeight="1" x14ac:dyDescent="0.2">
      <c r="B19212" s="43"/>
    </row>
    <row r="19213" spans="2:2" ht="12.75" customHeight="1" x14ac:dyDescent="0.2">
      <c r="B19213" s="43"/>
    </row>
    <row r="19214" spans="2:2" ht="12.75" customHeight="1" x14ac:dyDescent="0.2">
      <c r="B19214" s="43"/>
    </row>
    <row r="19215" spans="2:2" ht="12.75" customHeight="1" x14ac:dyDescent="0.2">
      <c r="B19215" s="43"/>
    </row>
    <row r="19216" spans="2:2" ht="12.75" customHeight="1" x14ac:dyDescent="0.2">
      <c r="B19216" s="43"/>
    </row>
    <row r="19217" spans="2:2" ht="12.75" customHeight="1" x14ac:dyDescent="0.2">
      <c r="B19217" s="43"/>
    </row>
    <row r="19218" spans="2:2" ht="12.75" customHeight="1" x14ac:dyDescent="0.2">
      <c r="B19218" s="43"/>
    </row>
    <row r="19219" spans="2:2" ht="12.75" customHeight="1" x14ac:dyDescent="0.2">
      <c r="B19219" s="43"/>
    </row>
    <row r="19220" spans="2:2" ht="12.75" customHeight="1" x14ac:dyDescent="0.2">
      <c r="B19220" s="43"/>
    </row>
    <row r="19221" spans="2:2" ht="12.75" customHeight="1" x14ac:dyDescent="0.2">
      <c r="B19221" s="43"/>
    </row>
    <row r="19222" spans="2:2" ht="12.75" customHeight="1" x14ac:dyDescent="0.2">
      <c r="B19222" s="43"/>
    </row>
    <row r="19223" spans="2:2" ht="12.75" customHeight="1" x14ac:dyDescent="0.2">
      <c r="B19223" s="43"/>
    </row>
    <row r="19224" spans="2:2" ht="12.75" customHeight="1" x14ac:dyDescent="0.2">
      <c r="B19224" s="43"/>
    </row>
    <row r="19225" spans="2:2" ht="12.75" customHeight="1" x14ac:dyDescent="0.2">
      <c r="B19225" s="43"/>
    </row>
    <row r="19226" spans="2:2" ht="12.75" customHeight="1" x14ac:dyDescent="0.2">
      <c r="B19226" s="43"/>
    </row>
    <row r="19227" spans="2:2" ht="12.75" customHeight="1" x14ac:dyDescent="0.2">
      <c r="B19227" s="43"/>
    </row>
    <row r="19228" spans="2:2" ht="12.75" customHeight="1" x14ac:dyDescent="0.2">
      <c r="B19228" s="43"/>
    </row>
    <row r="19229" spans="2:2" ht="12.75" customHeight="1" x14ac:dyDescent="0.2">
      <c r="B19229" s="43"/>
    </row>
    <row r="19230" spans="2:2" ht="12.75" customHeight="1" x14ac:dyDescent="0.2">
      <c r="B19230" s="43"/>
    </row>
    <row r="19231" spans="2:2" ht="12.75" customHeight="1" x14ac:dyDescent="0.2">
      <c r="B19231" s="43"/>
    </row>
    <row r="19232" spans="2:2" ht="12.75" customHeight="1" x14ac:dyDescent="0.2">
      <c r="B19232" s="43"/>
    </row>
    <row r="19233" spans="2:2" ht="12.75" customHeight="1" x14ac:dyDescent="0.2">
      <c r="B19233" s="43"/>
    </row>
    <row r="19234" spans="2:2" ht="12.75" customHeight="1" x14ac:dyDescent="0.2">
      <c r="B19234" s="43"/>
    </row>
    <row r="19235" spans="2:2" ht="12.75" customHeight="1" x14ac:dyDescent="0.2">
      <c r="B19235" s="43"/>
    </row>
    <row r="19236" spans="2:2" ht="12.75" customHeight="1" x14ac:dyDescent="0.2">
      <c r="B19236" s="43"/>
    </row>
    <row r="19237" spans="2:2" ht="12.75" customHeight="1" x14ac:dyDescent="0.2">
      <c r="B19237" s="43"/>
    </row>
    <row r="19238" spans="2:2" ht="12.75" customHeight="1" x14ac:dyDescent="0.2">
      <c r="B19238" s="43"/>
    </row>
    <row r="19239" spans="2:2" ht="12.75" customHeight="1" x14ac:dyDescent="0.2">
      <c r="B19239" s="43"/>
    </row>
    <row r="19240" spans="2:2" ht="12.75" customHeight="1" x14ac:dyDescent="0.2">
      <c r="B19240" s="43"/>
    </row>
    <row r="19241" spans="2:2" ht="12.75" customHeight="1" x14ac:dyDescent="0.2">
      <c r="B19241" s="43"/>
    </row>
    <row r="19242" spans="2:2" ht="12.75" customHeight="1" x14ac:dyDescent="0.2">
      <c r="B19242" s="43"/>
    </row>
    <row r="19243" spans="2:2" ht="12.75" customHeight="1" x14ac:dyDescent="0.2">
      <c r="B19243" s="43"/>
    </row>
    <row r="19244" spans="2:2" ht="12.75" customHeight="1" x14ac:dyDescent="0.2">
      <c r="B19244" s="43"/>
    </row>
    <row r="19245" spans="2:2" ht="12.75" customHeight="1" x14ac:dyDescent="0.2">
      <c r="B19245" s="43"/>
    </row>
    <row r="19246" spans="2:2" ht="12.75" customHeight="1" x14ac:dyDescent="0.2">
      <c r="B19246" s="43"/>
    </row>
    <row r="19247" spans="2:2" ht="12.75" customHeight="1" x14ac:dyDescent="0.2">
      <c r="B19247" s="43"/>
    </row>
    <row r="19248" spans="2:2" ht="12.75" customHeight="1" x14ac:dyDescent="0.2">
      <c r="B19248" s="43"/>
    </row>
    <row r="19249" spans="2:2" ht="12.75" customHeight="1" x14ac:dyDescent="0.2">
      <c r="B19249" s="43"/>
    </row>
    <row r="19250" spans="2:2" ht="12.75" customHeight="1" x14ac:dyDescent="0.2">
      <c r="B19250" s="43"/>
    </row>
    <row r="19251" spans="2:2" ht="12.75" customHeight="1" x14ac:dyDescent="0.2">
      <c r="B19251" s="43"/>
    </row>
    <row r="19252" spans="2:2" ht="12.75" customHeight="1" x14ac:dyDescent="0.2">
      <c r="B19252" s="43"/>
    </row>
    <row r="19253" spans="2:2" ht="12.75" customHeight="1" x14ac:dyDescent="0.2">
      <c r="B19253" s="43"/>
    </row>
    <row r="19254" spans="2:2" ht="12.75" customHeight="1" x14ac:dyDescent="0.2">
      <c r="B19254" s="43"/>
    </row>
    <row r="19255" spans="2:2" ht="12.75" customHeight="1" x14ac:dyDescent="0.2">
      <c r="B19255" s="43"/>
    </row>
    <row r="19256" spans="2:2" ht="12.75" customHeight="1" x14ac:dyDescent="0.2">
      <c r="B19256" s="43"/>
    </row>
    <row r="19257" spans="2:2" ht="12.75" customHeight="1" x14ac:dyDescent="0.2">
      <c r="B19257" s="43"/>
    </row>
    <row r="19258" spans="2:2" ht="12.75" customHeight="1" x14ac:dyDescent="0.2">
      <c r="B19258" s="43"/>
    </row>
    <row r="19259" spans="2:2" ht="12.75" customHeight="1" x14ac:dyDescent="0.2">
      <c r="B19259" s="43"/>
    </row>
    <row r="19260" spans="2:2" ht="12.75" customHeight="1" x14ac:dyDescent="0.2">
      <c r="B19260" s="43"/>
    </row>
    <row r="19261" spans="2:2" ht="12.75" customHeight="1" x14ac:dyDescent="0.2">
      <c r="B19261" s="43"/>
    </row>
    <row r="19262" spans="2:2" ht="12.75" customHeight="1" x14ac:dyDescent="0.2">
      <c r="B19262" s="43"/>
    </row>
    <row r="19263" spans="2:2" ht="12.75" customHeight="1" x14ac:dyDescent="0.2">
      <c r="B19263" s="43"/>
    </row>
    <row r="19264" spans="2:2" ht="12.75" customHeight="1" x14ac:dyDescent="0.2">
      <c r="B19264" s="43"/>
    </row>
    <row r="19265" spans="2:2" ht="12.75" customHeight="1" x14ac:dyDescent="0.2">
      <c r="B19265" s="43"/>
    </row>
    <row r="19266" spans="2:2" ht="12.75" customHeight="1" x14ac:dyDescent="0.2">
      <c r="B19266" s="43"/>
    </row>
    <row r="19267" spans="2:2" ht="12.75" customHeight="1" x14ac:dyDescent="0.2">
      <c r="B19267" s="43"/>
    </row>
    <row r="19268" spans="2:2" ht="12.75" customHeight="1" x14ac:dyDescent="0.2">
      <c r="B19268" s="43"/>
    </row>
    <row r="19269" spans="2:2" ht="12.75" customHeight="1" x14ac:dyDescent="0.2">
      <c r="B19269" s="43"/>
    </row>
    <row r="19270" spans="2:2" ht="12.75" customHeight="1" x14ac:dyDescent="0.2">
      <c r="B19270" s="43"/>
    </row>
    <row r="19271" spans="2:2" ht="12.75" customHeight="1" x14ac:dyDescent="0.2">
      <c r="B19271" s="43"/>
    </row>
    <row r="19272" spans="2:2" ht="12.75" customHeight="1" x14ac:dyDescent="0.2">
      <c r="B19272" s="43"/>
    </row>
    <row r="19273" spans="2:2" ht="12.75" customHeight="1" x14ac:dyDescent="0.2">
      <c r="B19273" s="43"/>
    </row>
    <row r="19274" spans="2:2" ht="12.75" customHeight="1" x14ac:dyDescent="0.2">
      <c r="B19274" s="43"/>
    </row>
    <row r="19275" spans="2:2" ht="12.75" customHeight="1" x14ac:dyDescent="0.2">
      <c r="B19275" s="43"/>
    </row>
    <row r="19276" spans="2:2" ht="12.75" customHeight="1" x14ac:dyDescent="0.2">
      <c r="B19276" s="43"/>
    </row>
    <row r="19277" spans="2:2" ht="12.75" customHeight="1" x14ac:dyDescent="0.2">
      <c r="B19277" s="43"/>
    </row>
    <row r="19278" spans="2:2" ht="12.75" customHeight="1" x14ac:dyDescent="0.2">
      <c r="B19278" s="43"/>
    </row>
    <row r="19279" spans="2:2" ht="12.75" customHeight="1" x14ac:dyDescent="0.2">
      <c r="B19279" s="43"/>
    </row>
    <row r="19280" spans="2:2" ht="12.75" customHeight="1" x14ac:dyDescent="0.2">
      <c r="B19280" s="43"/>
    </row>
    <row r="19281" spans="2:2" ht="12.75" customHeight="1" x14ac:dyDescent="0.2">
      <c r="B19281" s="43"/>
    </row>
    <row r="19282" spans="2:2" ht="12.75" customHeight="1" x14ac:dyDescent="0.2">
      <c r="B19282" s="43"/>
    </row>
    <row r="19283" spans="2:2" ht="12.75" customHeight="1" x14ac:dyDescent="0.2">
      <c r="B19283" s="43"/>
    </row>
    <row r="19284" spans="2:2" ht="12.75" customHeight="1" x14ac:dyDescent="0.2">
      <c r="B19284" s="43"/>
    </row>
    <row r="19285" spans="2:2" ht="12.75" customHeight="1" x14ac:dyDescent="0.2">
      <c r="B19285" s="43"/>
    </row>
    <row r="19286" spans="2:2" ht="12.75" customHeight="1" x14ac:dyDescent="0.2">
      <c r="B19286" s="43"/>
    </row>
    <row r="19287" spans="2:2" ht="12.75" customHeight="1" x14ac:dyDescent="0.2">
      <c r="B19287" s="43"/>
    </row>
    <row r="19288" spans="2:2" ht="12.75" customHeight="1" x14ac:dyDescent="0.2">
      <c r="B19288" s="43"/>
    </row>
    <row r="19289" spans="2:2" ht="12.75" customHeight="1" x14ac:dyDescent="0.2">
      <c r="B19289" s="43"/>
    </row>
    <row r="19290" spans="2:2" ht="12.75" customHeight="1" x14ac:dyDescent="0.2">
      <c r="B19290" s="43"/>
    </row>
    <row r="19291" spans="2:2" ht="12.75" customHeight="1" x14ac:dyDescent="0.2">
      <c r="B19291" s="43"/>
    </row>
    <row r="19292" spans="2:2" ht="12.75" customHeight="1" x14ac:dyDescent="0.2">
      <c r="B19292" s="43"/>
    </row>
    <row r="19293" spans="2:2" ht="12.75" customHeight="1" x14ac:dyDescent="0.2">
      <c r="B19293" s="43"/>
    </row>
    <row r="19294" spans="2:2" ht="12.75" customHeight="1" x14ac:dyDescent="0.2">
      <c r="B19294" s="43"/>
    </row>
    <row r="19295" spans="2:2" ht="12.75" customHeight="1" x14ac:dyDescent="0.2">
      <c r="B19295" s="43"/>
    </row>
    <row r="19296" spans="2:2" ht="12.75" customHeight="1" x14ac:dyDescent="0.2">
      <c r="B19296" s="43"/>
    </row>
    <row r="19297" spans="2:2" ht="12.75" customHeight="1" x14ac:dyDescent="0.2">
      <c r="B19297" s="43"/>
    </row>
    <row r="19298" spans="2:2" ht="12.75" customHeight="1" x14ac:dyDescent="0.2">
      <c r="B19298" s="43"/>
    </row>
    <row r="19299" spans="2:2" ht="12.75" customHeight="1" x14ac:dyDescent="0.2">
      <c r="B19299" s="43"/>
    </row>
    <row r="19300" spans="2:2" ht="12.75" customHeight="1" x14ac:dyDescent="0.2">
      <c r="B19300" s="43"/>
    </row>
    <row r="19301" spans="2:2" ht="12.75" customHeight="1" x14ac:dyDescent="0.2">
      <c r="B19301" s="43"/>
    </row>
    <row r="19302" spans="2:2" ht="12.75" customHeight="1" x14ac:dyDescent="0.2">
      <c r="B19302" s="43"/>
    </row>
    <row r="19303" spans="2:2" ht="12.75" customHeight="1" x14ac:dyDescent="0.2">
      <c r="B19303" s="43"/>
    </row>
    <row r="19304" spans="2:2" ht="12.75" customHeight="1" x14ac:dyDescent="0.2">
      <c r="B19304" s="43"/>
    </row>
    <row r="19305" spans="2:2" ht="12.75" customHeight="1" x14ac:dyDescent="0.2">
      <c r="B19305" s="43"/>
    </row>
    <row r="19306" spans="2:2" ht="12.75" customHeight="1" x14ac:dyDescent="0.2">
      <c r="B19306" s="43"/>
    </row>
    <row r="19307" spans="2:2" ht="12.75" customHeight="1" x14ac:dyDescent="0.2">
      <c r="B19307" s="43"/>
    </row>
    <row r="19308" spans="2:2" ht="12.75" customHeight="1" x14ac:dyDescent="0.2">
      <c r="B19308" s="43"/>
    </row>
    <row r="19309" spans="2:2" ht="12.75" customHeight="1" x14ac:dyDescent="0.2">
      <c r="B19309" s="43"/>
    </row>
    <row r="19310" spans="2:2" ht="12.75" customHeight="1" x14ac:dyDescent="0.2">
      <c r="B19310" s="43"/>
    </row>
    <row r="19311" spans="2:2" ht="12.75" customHeight="1" x14ac:dyDescent="0.2">
      <c r="B19311" s="43"/>
    </row>
    <row r="19312" spans="2:2" ht="12.75" customHeight="1" x14ac:dyDescent="0.2">
      <c r="B19312" s="43"/>
    </row>
    <row r="19313" spans="2:2" ht="12.75" customHeight="1" x14ac:dyDescent="0.2">
      <c r="B19313" s="43"/>
    </row>
    <row r="19314" spans="2:2" ht="12.75" customHeight="1" x14ac:dyDescent="0.2">
      <c r="B19314" s="43"/>
    </row>
    <row r="19315" spans="2:2" ht="12.75" customHeight="1" x14ac:dyDescent="0.2">
      <c r="B19315" s="43"/>
    </row>
    <row r="19316" spans="2:2" ht="12.75" customHeight="1" x14ac:dyDescent="0.2">
      <c r="B19316" s="43"/>
    </row>
    <row r="19317" spans="2:2" ht="12.75" customHeight="1" x14ac:dyDescent="0.2">
      <c r="B19317" s="43"/>
    </row>
    <row r="19318" spans="2:2" ht="12.75" customHeight="1" x14ac:dyDescent="0.2">
      <c r="B19318" s="43"/>
    </row>
    <row r="19319" spans="2:2" ht="12.75" customHeight="1" x14ac:dyDescent="0.2">
      <c r="B19319" s="43"/>
    </row>
    <row r="19320" spans="2:2" ht="12.75" customHeight="1" x14ac:dyDescent="0.2">
      <c r="B19320" s="43"/>
    </row>
    <row r="19321" spans="2:2" ht="12.75" customHeight="1" x14ac:dyDescent="0.2">
      <c r="B19321" s="43"/>
    </row>
    <row r="19322" spans="2:2" ht="12.75" customHeight="1" x14ac:dyDescent="0.2">
      <c r="B19322" s="43"/>
    </row>
    <row r="19323" spans="2:2" ht="12.75" customHeight="1" x14ac:dyDescent="0.2">
      <c r="B19323" s="43"/>
    </row>
    <row r="19324" spans="2:2" ht="12.75" customHeight="1" x14ac:dyDescent="0.2">
      <c r="B19324" s="43"/>
    </row>
    <row r="19325" spans="2:2" ht="12.75" customHeight="1" x14ac:dyDescent="0.2">
      <c r="B19325" s="43"/>
    </row>
    <row r="19326" spans="2:2" ht="12.75" customHeight="1" x14ac:dyDescent="0.2">
      <c r="B19326" s="43"/>
    </row>
    <row r="19327" spans="2:2" ht="12.75" customHeight="1" x14ac:dyDescent="0.2">
      <c r="B19327" s="43"/>
    </row>
    <row r="19328" spans="2:2" ht="12.75" customHeight="1" x14ac:dyDescent="0.2">
      <c r="B19328" s="43"/>
    </row>
    <row r="19329" spans="2:2" ht="12.75" customHeight="1" x14ac:dyDescent="0.2">
      <c r="B19329" s="43"/>
    </row>
    <row r="19330" spans="2:2" ht="12.75" customHeight="1" x14ac:dyDescent="0.2">
      <c r="B19330" s="43"/>
    </row>
    <row r="19331" spans="2:2" ht="12.75" customHeight="1" x14ac:dyDescent="0.2">
      <c r="B19331" s="43"/>
    </row>
    <row r="19332" spans="2:2" ht="12.75" customHeight="1" x14ac:dyDescent="0.2">
      <c r="B19332" s="43"/>
    </row>
    <row r="19333" spans="2:2" ht="12.75" customHeight="1" x14ac:dyDescent="0.2">
      <c r="B19333" s="43"/>
    </row>
    <row r="19334" spans="2:2" ht="12.75" customHeight="1" x14ac:dyDescent="0.2">
      <c r="B19334" s="43"/>
    </row>
    <row r="19335" spans="2:2" ht="12.75" customHeight="1" x14ac:dyDescent="0.2">
      <c r="B19335" s="43"/>
    </row>
    <row r="19336" spans="2:2" ht="12.75" customHeight="1" x14ac:dyDescent="0.2">
      <c r="B19336" s="43"/>
    </row>
    <row r="19337" spans="2:2" ht="12.75" customHeight="1" x14ac:dyDescent="0.2">
      <c r="B19337" s="43"/>
    </row>
    <row r="19338" spans="2:2" ht="12.75" customHeight="1" x14ac:dyDescent="0.2">
      <c r="B19338" s="43"/>
    </row>
    <row r="19339" spans="2:2" ht="12.75" customHeight="1" x14ac:dyDescent="0.2">
      <c r="B19339" s="43"/>
    </row>
    <row r="19340" spans="2:2" ht="12.75" customHeight="1" x14ac:dyDescent="0.2">
      <c r="B19340" s="43"/>
    </row>
    <row r="19341" spans="2:2" ht="12.75" customHeight="1" x14ac:dyDescent="0.2">
      <c r="B19341" s="43"/>
    </row>
    <row r="19342" spans="2:2" ht="12.75" customHeight="1" x14ac:dyDescent="0.2">
      <c r="B19342" s="43"/>
    </row>
    <row r="19343" spans="2:2" ht="12.75" customHeight="1" x14ac:dyDescent="0.2">
      <c r="B19343" s="43"/>
    </row>
    <row r="19344" spans="2:2" ht="12.75" customHeight="1" x14ac:dyDescent="0.2">
      <c r="B19344" s="43"/>
    </row>
    <row r="19345" spans="2:2" ht="12.75" customHeight="1" x14ac:dyDescent="0.2">
      <c r="B19345" s="43"/>
    </row>
    <row r="19346" spans="2:2" ht="12.75" customHeight="1" x14ac:dyDescent="0.2">
      <c r="B19346" s="43"/>
    </row>
    <row r="19347" spans="2:2" ht="12.75" customHeight="1" x14ac:dyDescent="0.2">
      <c r="B19347" s="43"/>
    </row>
    <row r="19348" spans="2:2" ht="12.75" customHeight="1" x14ac:dyDescent="0.2">
      <c r="B19348" s="43"/>
    </row>
    <row r="19349" spans="2:2" ht="12.75" customHeight="1" x14ac:dyDescent="0.2">
      <c r="B19349" s="43"/>
    </row>
    <row r="19350" spans="2:2" ht="12.75" customHeight="1" x14ac:dyDescent="0.2">
      <c r="B19350" s="43"/>
    </row>
    <row r="19351" spans="2:2" ht="12.75" customHeight="1" x14ac:dyDescent="0.2">
      <c r="B19351" s="43"/>
    </row>
    <row r="19352" spans="2:2" ht="12.75" customHeight="1" x14ac:dyDescent="0.2">
      <c r="B19352" s="43"/>
    </row>
    <row r="19353" spans="2:2" ht="12.75" customHeight="1" x14ac:dyDescent="0.2">
      <c r="B19353" s="43"/>
    </row>
    <row r="19354" spans="2:2" ht="12.75" customHeight="1" x14ac:dyDescent="0.2">
      <c r="B19354" s="43"/>
    </row>
    <row r="19355" spans="2:2" ht="12.75" customHeight="1" x14ac:dyDescent="0.2">
      <c r="B19355" s="43"/>
    </row>
    <row r="19356" spans="2:2" ht="12.75" customHeight="1" x14ac:dyDescent="0.2">
      <c r="B19356" s="43"/>
    </row>
    <row r="19357" spans="2:2" ht="12.75" customHeight="1" x14ac:dyDescent="0.2">
      <c r="B19357" s="43"/>
    </row>
    <row r="19358" spans="2:2" ht="12.75" customHeight="1" x14ac:dyDescent="0.2">
      <c r="B19358" s="43"/>
    </row>
    <row r="19359" spans="2:2" ht="12.75" customHeight="1" x14ac:dyDescent="0.2">
      <c r="B19359" s="43"/>
    </row>
    <row r="19360" spans="2:2" ht="12.75" customHeight="1" x14ac:dyDescent="0.2">
      <c r="B19360" s="43"/>
    </row>
    <row r="19361" spans="2:2" ht="12.75" customHeight="1" x14ac:dyDescent="0.2">
      <c r="B19361" s="43"/>
    </row>
    <row r="19362" spans="2:2" ht="12.75" customHeight="1" x14ac:dyDescent="0.2">
      <c r="B19362" s="43"/>
    </row>
    <row r="19363" spans="2:2" ht="12.75" customHeight="1" x14ac:dyDescent="0.2">
      <c r="B19363" s="43"/>
    </row>
    <row r="19364" spans="2:2" ht="12.75" customHeight="1" x14ac:dyDescent="0.2">
      <c r="B19364" s="43"/>
    </row>
    <row r="19365" spans="2:2" ht="12.75" customHeight="1" x14ac:dyDescent="0.2">
      <c r="B19365" s="43"/>
    </row>
    <row r="19366" spans="2:2" ht="12.75" customHeight="1" x14ac:dyDescent="0.2">
      <c r="B19366" s="43"/>
    </row>
    <row r="19367" spans="2:2" ht="12.75" customHeight="1" x14ac:dyDescent="0.2">
      <c r="B19367" s="43"/>
    </row>
    <row r="19368" spans="2:2" ht="12.75" customHeight="1" x14ac:dyDescent="0.2">
      <c r="B19368" s="43"/>
    </row>
    <row r="19369" spans="2:2" ht="12.75" customHeight="1" x14ac:dyDescent="0.2">
      <c r="B19369" s="43"/>
    </row>
    <row r="19370" spans="2:2" ht="12.75" customHeight="1" x14ac:dyDescent="0.2">
      <c r="B19370" s="43"/>
    </row>
    <row r="19371" spans="2:2" ht="12.75" customHeight="1" x14ac:dyDescent="0.2">
      <c r="B19371" s="43"/>
    </row>
    <row r="19372" spans="2:2" ht="12.75" customHeight="1" x14ac:dyDescent="0.2">
      <c r="B19372" s="43"/>
    </row>
    <row r="19373" spans="2:2" ht="12.75" customHeight="1" x14ac:dyDescent="0.2">
      <c r="B19373" s="43"/>
    </row>
    <row r="19374" spans="2:2" ht="12.75" customHeight="1" x14ac:dyDescent="0.2">
      <c r="B19374" s="43"/>
    </row>
    <row r="19375" spans="2:2" ht="12.75" customHeight="1" x14ac:dyDescent="0.2">
      <c r="B19375" s="43"/>
    </row>
    <row r="19376" spans="2:2" ht="12.75" customHeight="1" x14ac:dyDescent="0.2">
      <c r="B19376" s="43"/>
    </row>
    <row r="19377" spans="2:2" ht="12.75" customHeight="1" x14ac:dyDescent="0.2">
      <c r="B19377" s="43"/>
    </row>
    <row r="19378" spans="2:2" ht="12.75" customHeight="1" x14ac:dyDescent="0.2">
      <c r="B19378" s="43"/>
    </row>
    <row r="19379" spans="2:2" ht="12.75" customHeight="1" x14ac:dyDescent="0.2">
      <c r="B19379" s="43"/>
    </row>
    <row r="19380" spans="2:2" ht="12.75" customHeight="1" x14ac:dyDescent="0.2">
      <c r="B19380" s="43"/>
    </row>
    <row r="19381" spans="2:2" ht="12.75" customHeight="1" x14ac:dyDescent="0.2">
      <c r="B19381" s="43"/>
    </row>
    <row r="19382" spans="2:2" ht="12.75" customHeight="1" x14ac:dyDescent="0.2">
      <c r="B19382" s="43"/>
    </row>
    <row r="19383" spans="2:2" ht="12.75" customHeight="1" x14ac:dyDescent="0.2">
      <c r="B19383" s="43"/>
    </row>
    <row r="19384" spans="2:2" ht="12.75" customHeight="1" x14ac:dyDescent="0.2">
      <c r="B19384" s="43"/>
    </row>
    <row r="19385" spans="2:2" ht="12.75" customHeight="1" x14ac:dyDescent="0.2">
      <c r="B19385" s="43"/>
    </row>
    <row r="19386" spans="2:2" ht="12.75" customHeight="1" x14ac:dyDescent="0.2">
      <c r="B19386" s="43"/>
    </row>
    <row r="19387" spans="2:2" ht="12.75" customHeight="1" x14ac:dyDescent="0.2">
      <c r="B19387" s="43"/>
    </row>
    <row r="19388" spans="2:2" ht="12.75" customHeight="1" x14ac:dyDescent="0.2">
      <c r="B19388" s="43"/>
    </row>
    <row r="19389" spans="2:2" ht="12.75" customHeight="1" x14ac:dyDescent="0.2">
      <c r="B19389" s="43"/>
    </row>
    <row r="19390" spans="2:2" ht="12.75" customHeight="1" x14ac:dyDescent="0.2">
      <c r="B19390" s="43"/>
    </row>
    <row r="19391" spans="2:2" ht="12.75" customHeight="1" x14ac:dyDescent="0.2">
      <c r="B19391" s="43"/>
    </row>
    <row r="19392" spans="2:2" ht="12.75" customHeight="1" x14ac:dyDescent="0.2">
      <c r="B19392" s="43"/>
    </row>
    <row r="19393" spans="2:2" ht="12.75" customHeight="1" x14ac:dyDescent="0.2">
      <c r="B19393" s="43"/>
    </row>
    <row r="19394" spans="2:2" ht="12.75" customHeight="1" x14ac:dyDescent="0.2">
      <c r="B19394" s="43"/>
    </row>
    <row r="19395" spans="2:2" ht="12.75" customHeight="1" x14ac:dyDescent="0.2">
      <c r="B19395" s="43"/>
    </row>
    <row r="19396" spans="2:2" ht="12.75" customHeight="1" x14ac:dyDescent="0.2">
      <c r="B19396" s="43"/>
    </row>
    <row r="19397" spans="2:2" ht="12.75" customHeight="1" x14ac:dyDescent="0.2">
      <c r="B19397" s="43"/>
    </row>
    <row r="19398" spans="2:2" ht="12.75" customHeight="1" x14ac:dyDescent="0.2">
      <c r="B19398" s="43"/>
    </row>
    <row r="19399" spans="2:2" ht="12.75" customHeight="1" x14ac:dyDescent="0.2">
      <c r="B19399" s="43"/>
    </row>
    <row r="19400" spans="2:2" ht="12.75" customHeight="1" x14ac:dyDescent="0.2">
      <c r="B19400" s="43"/>
    </row>
    <row r="19401" spans="2:2" ht="12.75" customHeight="1" x14ac:dyDescent="0.2">
      <c r="B19401" s="43"/>
    </row>
    <row r="19402" spans="2:2" ht="12.75" customHeight="1" x14ac:dyDescent="0.2">
      <c r="B19402" s="43"/>
    </row>
    <row r="19403" spans="2:2" ht="12.75" customHeight="1" x14ac:dyDescent="0.2">
      <c r="B19403" s="43"/>
    </row>
    <row r="19404" spans="2:2" ht="12.75" customHeight="1" x14ac:dyDescent="0.2">
      <c r="B19404" s="43"/>
    </row>
    <row r="19405" spans="2:2" ht="12.75" customHeight="1" x14ac:dyDescent="0.2">
      <c r="B19405" s="43"/>
    </row>
    <row r="19406" spans="2:2" ht="12.75" customHeight="1" x14ac:dyDescent="0.2">
      <c r="B19406" s="43"/>
    </row>
    <row r="19407" spans="2:2" ht="12.75" customHeight="1" x14ac:dyDescent="0.2">
      <c r="B19407" s="43"/>
    </row>
    <row r="19408" spans="2:2" ht="12.75" customHeight="1" x14ac:dyDescent="0.2">
      <c r="B19408" s="43"/>
    </row>
    <row r="19409" spans="2:2" ht="12.75" customHeight="1" x14ac:dyDescent="0.2">
      <c r="B19409" s="43"/>
    </row>
    <row r="19410" spans="2:2" ht="12.75" customHeight="1" x14ac:dyDescent="0.2">
      <c r="B19410" s="43"/>
    </row>
    <row r="19411" spans="2:2" ht="12.75" customHeight="1" x14ac:dyDescent="0.2">
      <c r="B19411" s="43"/>
    </row>
    <row r="19412" spans="2:2" ht="12.75" customHeight="1" x14ac:dyDescent="0.2">
      <c r="B19412" s="43"/>
    </row>
    <row r="19413" spans="2:2" ht="12.75" customHeight="1" x14ac:dyDescent="0.2">
      <c r="B19413" s="43"/>
    </row>
    <row r="19414" spans="2:2" ht="12.75" customHeight="1" x14ac:dyDescent="0.2">
      <c r="B19414" s="43"/>
    </row>
    <row r="19415" spans="2:2" ht="12.75" customHeight="1" x14ac:dyDescent="0.2">
      <c r="B19415" s="43"/>
    </row>
    <row r="19416" spans="2:2" ht="12.75" customHeight="1" x14ac:dyDescent="0.2">
      <c r="B19416" s="43"/>
    </row>
    <row r="19417" spans="2:2" ht="12.75" customHeight="1" x14ac:dyDescent="0.2">
      <c r="B19417" s="43"/>
    </row>
    <row r="19418" spans="2:2" ht="12.75" customHeight="1" x14ac:dyDescent="0.2">
      <c r="B19418" s="43"/>
    </row>
    <row r="19419" spans="2:2" ht="12.75" customHeight="1" x14ac:dyDescent="0.2">
      <c r="B19419" s="43"/>
    </row>
    <row r="19420" spans="2:2" ht="12.75" customHeight="1" x14ac:dyDescent="0.2">
      <c r="B19420" s="43"/>
    </row>
    <row r="19421" spans="2:2" ht="12.75" customHeight="1" x14ac:dyDescent="0.2">
      <c r="B19421" s="43"/>
    </row>
    <row r="19422" spans="2:2" ht="12.75" customHeight="1" x14ac:dyDescent="0.2">
      <c r="B19422" s="43"/>
    </row>
    <row r="19423" spans="2:2" ht="12.75" customHeight="1" x14ac:dyDescent="0.2">
      <c r="B19423" s="43"/>
    </row>
    <row r="19424" spans="2:2" ht="12.75" customHeight="1" x14ac:dyDescent="0.2">
      <c r="B19424" s="43"/>
    </row>
    <row r="19425" spans="2:2" ht="12.75" customHeight="1" x14ac:dyDescent="0.2">
      <c r="B19425" s="43"/>
    </row>
    <row r="19426" spans="2:2" ht="12.75" customHeight="1" x14ac:dyDescent="0.2">
      <c r="B19426" s="43"/>
    </row>
    <row r="19427" spans="2:2" ht="12.75" customHeight="1" x14ac:dyDescent="0.2">
      <c r="B19427" s="43"/>
    </row>
    <row r="19428" spans="2:2" ht="12.75" customHeight="1" x14ac:dyDescent="0.2">
      <c r="B19428" s="43"/>
    </row>
    <row r="19429" spans="2:2" ht="12.75" customHeight="1" x14ac:dyDescent="0.2">
      <c r="B19429" s="43"/>
    </row>
    <row r="19430" spans="2:2" ht="12.75" customHeight="1" x14ac:dyDescent="0.2">
      <c r="B19430" s="43"/>
    </row>
    <row r="19431" spans="2:2" ht="12.75" customHeight="1" x14ac:dyDescent="0.2">
      <c r="B19431" s="43"/>
    </row>
    <row r="19432" spans="2:2" ht="12.75" customHeight="1" x14ac:dyDescent="0.2">
      <c r="B19432" s="43"/>
    </row>
    <row r="19433" spans="2:2" ht="12.75" customHeight="1" x14ac:dyDescent="0.2">
      <c r="B19433" s="43"/>
    </row>
    <row r="19434" spans="2:2" ht="12.75" customHeight="1" x14ac:dyDescent="0.2">
      <c r="B19434" s="43"/>
    </row>
    <row r="19435" spans="2:2" ht="12.75" customHeight="1" x14ac:dyDescent="0.2">
      <c r="B19435" s="43"/>
    </row>
    <row r="19436" spans="2:2" ht="12.75" customHeight="1" x14ac:dyDescent="0.2">
      <c r="B19436" s="43"/>
    </row>
    <row r="19437" spans="2:2" ht="12.75" customHeight="1" x14ac:dyDescent="0.2">
      <c r="B19437" s="43"/>
    </row>
    <row r="19438" spans="2:2" ht="12.75" customHeight="1" x14ac:dyDescent="0.2">
      <c r="B19438" s="43"/>
    </row>
    <row r="19439" spans="2:2" ht="12.75" customHeight="1" x14ac:dyDescent="0.2">
      <c r="B19439" s="43"/>
    </row>
    <row r="19440" spans="2:2" ht="12.75" customHeight="1" x14ac:dyDescent="0.2">
      <c r="B19440" s="43"/>
    </row>
    <row r="19441" spans="2:2" ht="12.75" customHeight="1" x14ac:dyDescent="0.2">
      <c r="B19441" s="43"/>
    </row>
    <row r="19442" spans="2:2" ht="12.75" customHeight="1" x14ac:dyDescent="0.2">
      <c r="B19442" s="43"/>
    </row>
    <row r="19443" spans="2:2" ht="12.75" customHeight="1" x14ac:dyDescent="0.2">
      <c r="B19443" s="43"/>
    </row>
    <row r="19444" spans="2:2" ht="12.75" customHeight="1" x14ac:dyDescent="0.2">
      <c r="B19444" s="43"/>
    </row>
    <row r="19445" spans="2:2" ht="12.75" customHeight="1" x14ac:dyDescent="0.2">
      <c r="B19445" s="43"/>
    </row>
    <row r="19446" spans="2:2" ht="12.75" customHeight="1" x14ac:dyDescent="0.2">
      <c r="B19446" s="43"/>
    </row>
    <row r="19447" spans="2:2" ht="12.75" customHeight="1" x14ac:dyDescent="0.2">
      <c r="B19447" s="43"/>
    </row>
    <row r="19448" spans="2:2" ht="12.75" customHeight="1" x14ac:dyDescent="0.2">
      <c r="B19448" s="43"/>
    </row>
    <row r="19449" spans="2:2" ht="12.75" customHeight="1" x14ac:dyDescent="0.2">
      <c r="B19449" s="43"/>
    </row>
    <row r="19450" spans="2:2" ht="12.75" customHeight="1" x14ac:dyDescent="0.2">
      <c r="B19450" s="43"/>
    </row>
    <row r="19451" spans="2:2" ht="12.75" customHeight="1" x14ac:dyDescent="0.2">
      <c r="B19451" s="43"/>
    </row>
    <row r="19452" spans="2:2" ht="12.75" customHeight="1" x14ac:dyDescent="0.2">
      <c r="B19452" s="43"/>
    </row>
    <row r="19453" spans="2:2" ht="12.75" customHeight="1" x14ac:dyDescent="0.2">
      <c r="B19453" s="43"/>
    </row>
    <row r="19454" spans="2:2" ht="12.75" customHeight="1" x14ac:dyDescent="0.2">
      <c r="B19454" s="43"/>
    </row>
    <row r="19455" spans="2:2" ht="12.75" customHeight="1" x14ac:dyDescent="0.2">
      <c r="B19455" s="43"/>
    </row>
    <row r="19456" spans="2:2" ht="12.75" customHeight="1" x14ac:dyDescent="0.2">
      <c r="B19456" s="43"/>
    </row>
    <row r="19457" spans="2:2" ht="12.75" customHeight="1" x14ac:dyDescent="0.2">
      <c r="B19457" s="43"/>
    </row>
    <row r="19458" spans="2:2" ht="12.75" customHeight="1" x14ac:dyDescent="0.2">
      <c r="B19458" s="43"/>
    </row>
    <row r="19459" spans="2:2" ht="12.75" customHeight="1" x14ac:dyDescent="0.2">
      <c r="B19459" s="43"/>
    </row>
    <row r="19460" spans="2:2" ht="12.75" customHeight="1" x14ac:dyDescent="0.2">
      <c r="B19460" s="43"/>
    </row>
    <row r="19461" spans="2:2" ht="12.75" customHeight="1" x14ac:dyDescent="0.2">
      <c r="B19461" s="43"/>
    </row>
    <row r="19462" spans="2:2" ht="12.75" customHeight="1" x14ac:dyDescent="0.2">
      <c r="B19462" s="43"/>
    </row>
    <row r="19463" spans="2:2" ht="12.75" customHeight="1" x14ac:dyDescent="0.2">
      <c r="B19463" s="43"/>
    </row>
    <row r="19464" spans="2:2" ht="12.75" customHeight="1" x14ac:dyDescent="0.2">
      <c r="B19464" s="43"/>
    </row>
    <row r="19465" spans="2:2" ht="12.75" customHeight="1" x14ac:dyDescent="0.2">
      <c r="B19465" s="43"/>
    </row>
    <row r="19466" spans="2:2" ht="12.75" customHeight="1" x14ac:dyDescent="0.2">
      <c r="B19466" s="43"/>
    </row>
    <row r="19467" spans="2:2" ht="12.75" customHeight="1" x14ac:dyDescent="0.2">
      <c r="B19467" s="43"/>
    </row>
    <row r="19468" spans="2:2" ht="12.75" customHeight="1" x14ac:dyDescent="0.2">
      <c r="B19468" s="43"/>
    </row>
    <row r="19469" spans="2:2" ht="12.75" customHeight="1" x14ac:dyDescent="0.2">
      <c r="B19469" s="43"/>
    </row>
    <row r="19470" spans="2:2" ht="12.75" customHeight="1" x14ac:dyDescent="0.2">
      <c r="B19470" s="43"/>
    </row>
    <row r="19471" spans="2:2" ht="12.75" customHeight="1" x14ac:dyDescent="0.2">
      <c r="B19471" s="43"/>
    </row>
    <row r="19472" spans="2:2" ht="12.75" customHeight="1" x14ac:dyDescent="0.2">
      <c r="B19472" s="43"/>
    </row>
    <row r="19473" spans="2:2" ht="12.75" customHeight="1" x14ac:dyDescent="0.2">
      <c r="B19473" s="43"/>
    </row>
    <row r="19474" spans="2:2" ht="12.75" customHeight="1" x14ac:dyDescent="0.2">
      <c r="B19474" s="43"/>
    </row>
    <row r="19475" spans="2:2" ht="12.75" customHeight="1" x14ac:dyDescent="0.2">
      <c r="B19475" s="43"/>
    </row>
    <row r="19476" spans="2:2" ht="12.75" customHeight="1" x14ac:dyDescent="0.2">
      <c r="B19476" s="43"/>
    </row>
    <row r="19477" spans="2:2" ht="12.75" customHeight="1" x14ac:dyDescent="0.2">
      <c r="B19477" s="43"/>
    </row>
    <row r="19478" spans="2:2" ht="12.75" customHeight="1" x14ac:dyDescent="0.2">
      <c r="B19478" s="43"/>
    </row>
    <row r="19479" spans="2:2" ht="12.75" customHeight="1" x14ac:dyDescent="0.2">
      <c r="B19479" s="43"/>
    </row>
    <row r="19480" spans="2:2" ht="12.75" customHeight="1" x14ac:dyDescent="0.2">
      <c r="B19480" s="43"/>
    </row>
    <row r="19481" spans="2:2" ht="12.75" customHeight="1" x14ac:dyDescent="0.2">
      <c r="B19481" s="43"/>
    </row>
    <row r="19482" spans="2:2" ht="12.75" customHeight="1" x14ac:dyDescent="0.2">
      <c r="B19482" s="43"/>
    </row>
    <row r="19483" spans="2:2" ht="12.75" customHeight="1" x14ac:dyDescent="0.2">
      <c r="B19483" s="43"/>
    </row>
    <row r="19484" spans="2:2" ht="12.75" customHeight="1" x14ac:dyDescent="0.2">
      <c r="B19484" s="43"/>
    </row>
    <row r="19485" spans="2:2" ht="12.75" customHeight="1" x14ac:dyDescent="0.2">
      <c r="B19485" s="43"/>
    </row>
    <row r="19486" spans="2:2" ht="12.75" customHeight="1" x14ac:dyDescent="0.2">
      <c r="B19486" s="43"/>
    </row>
    <row r="19487" spans="2:2" ht="12.75" customHeight="1" x14ac:dyDescent="0.2">
      <c r="B19487" s="43"/>
    </row>
    <row r="19488" spans="2:2" ht="12.75" customHeight="1" x14ac:dyDescent="0.2">
      <c r="B19488" s="43"/>
    </row>
    <row r="19489" spans="2:2" ht="12.75" customHeight="1" x14ac:dyDescent="0.2">
      <c r="B19489" s="43"/>
    </row>
    <row r="19490" spans="2:2" ht="12.75" customHeight="1" x14ac:dyDescent="0.2">
      <c r="B19490" s="43"/>
    </row>
    <row r="19491" spans="2:2" ht="12.75" customHeight="1" x14ac:dyDescent="0.2">
      <c r="B19491" s="43"/>
    </row>
    <row r="19492" spans="2:2" ht="12.75" customHeight="1" x14ac:dyDescent="0.2">
      <c r="B19492" s="43"/>
    </row>
    <row r="19493" spans="2:2" ht="12.75" customHeight="1" x14ac:dyDescent="0.2">
      <c r="B19493" s="43"/>
    </row>
    <row r="19494" spans="2:2" ht="12.75" customHeight="1" x14ac:dyDescent="0.2">
      <c r="B19494" s="43"/>
    </row>
    <row r="19495" spans="2:2" ht="12.75" customHeight="1" x14ac:dyDescent="0.2">
      <c r="B19495" s="43"/>
    </row>
    <row r="19496" spans="2:2" ht="12.75" customHeight="1" x14ac:dyDescent="0.2">
      <c r="B19496" s="43"/>
    </row>
    <row r="19497" spans="2:2" ht="12.75" customHeight="1" x14ac:dyDescent="0.2">
      <c r="B19497" s="43"/>
    </row>
    <row r="19498" spans="2:2" ht="12.75" customHeight="1" x14ac:dyDescent="0.2">
      <c r="B19498" s="43"/>
    </row>
    <row r="19499" spans="2:2" ht="12.75" customHeight="1" x14ac:dyDescent="0.2">
      <c r="B19499" s="43"/>
    </row>
    <row r="19500" spans="2:2" ht="12.75" customHeight="1" x14ac:dyDescent="0.2">
      <c r="B19500" s="43"/>
    </row>
    <row r="19501" spans="2:2" ht="12.75" customHeight="1" x14ac:dyDescent="0.2">
      <c r="B19501" s="43"/>
    </row>
    <row r="19502" spans="2:2" ht="12.75" customHeight="1" x14ac:dyDescent="0.2">
      <c r="B19502" s="43"/>
    </row>
    <row r="19503" spans="2:2" ht="12.75" customHeight="1" x14ac:dyDescent="0.2">
      <c r="B19503" s="43"/>
    </row>
    <row r="19504" spans="2:2" ht="12.75" customHeight="1" x14ac:dyDescent="0.2">
      <c r="B19504" s="43"/>
    </row>
    <row r="19505" spans="2:2" ht="12.75" customHeight="1" x14ac:dyDescent="0.2">
      <c r="B19505" s="43"/>
    </row>
    <row r="19506" spans="2:2" ht="12.75" customHeight="1" x14ac:dyDescent="0.2">
      <c r="B19506" s="43"/>
    </row>
    <row r="19507" spans="2:2" ht="12.75" customHeight="1" x14ac:dyDescent="0.2">
      <c r="B19507" s="43"/>
    </row>
    <row r="19508" spans="2:2" ht="12.75" customHeight="1" x14ac:dyDescent="0.2">
      <c r="B19508" s="43"/>
    </row>
    <row r="19509" spans="2:2" ht="12.75" customHeight="1" x14ac:dyDescent="0.2">
      <c r="B19509" s="43"/>
    </row>
    <row r="19510" spans="2:2" ht="12.75" customHeight="1" x14ac:dyDescent="0.2">
      <c r="B19510" s="43"/>
    </row>
    <row r="19511" spans="2:2" ht="12.75" customHeight="1" x14ac:dyDescent="0.2">
      <c r="B19511" s="43"/>
    </row>
    <row r="19512" spans="2:2" ht="12.75" customHeight="1" x14ac:dyDescent="0.2">
      <c r="B19512" s="43"/>
    </row>
    <row r="19513" spans="2:2" ht="12.75" customHeight="1" x14ac:dyDescent="0.2">
      <c r="B19513" s="43"/>
    </row>
    <row r="19514" spans="2:2" ht="12.75" customHeight="1" x14ac:dyDescent="0.2">
      <c r="B19514" s="43"/>
    </row>
    <row r="19515" spans="2:2" ht="12.75" customHeight="1" x14ac:dyDescent="0.2">
      <c r="B19515" s="43"/>
    </row>
    <row r="19516" spans="2:2" ht="12.75" customHeight="1" x14ac:dyDescent="0.2">
      <c r="B19516" s="43"/>
    </row>
    <row r="19517" spans="2:2" ht="12.75" customHeight="1" x14ac:dyDescent="0.2">
      <c r="B19517" s="43"/>
    </row>
    <row r="19518" spans="2:2" ht="12.75" customHeight="1" x14ac:dyDescent="0.2">
      <c r="B19518" s="43"/>
    </row>
    <row r="19519" spans="2:2" ht="12.75" customHeight="1" x14ac:dyDescent="0.2">
      <c r="B19519" s="43"/>
    </row>
    <row r="19520" spans="2:2" ht="12.75" customHeight="1" x14ac:dyDescent="0.2">
      <c r="B19520" s="43"/>
    </row>
    <row r="19521" spans="2:2" ht="12.75" customHeight="1" x14ac:dyDescent="0.2">
      <c r="B19521" s="43"/>
    </row>
    <row r="19522" spans="2:2" ht="12.75" customHeight="1" x14ac:dyDescent="0.2">
      <c r="B19522" s="43"/>
    </row>
    <row r="19523" spans="2:2" ht="12.75" customHeight="1" x14ac:dyDescent="0.2">
      <c r="B19523" s="43"/>
    </row>
    <row r="19524" spans="2:2" ht="12.75" customHeight="1" x14ac:dyDescent="0.2">
      <c r="B19524" s="43"/>
    </row>
    <row r="19525" spans="2:2" ht="12.75" customHeight="1" x14ac:dyDescent="0.2">
      <c r="B19525" s="43"/>
    </row>
    <row r="19526" spans="2:2" ht="12.75" customHeight="1" x14ac:dyDescent="0.2">
      <c r="B19526" s="43"/>
    </row>
    <row r="19527" spans="2:2" ht="12.75" customHeight="1" x14ac:dyDescent="0.2">
      <c r="B19527" s="43"/>
    </row>
    <row r="19528" spans="2:2" ht="12.75" customHeight="1" x14ac:dyDescent="0.2">
      <c r="B19528" s="43"/>
    </row>
    <row r="19529" spans="2:2" ht="12.75" customHeight="1" x14ac:dyDescent="0.2">
      <c r="B19529" s="43"/>
    </row>
    <row r="19530" spans="2:2" ht="12.75" customHeight="1" x14ac:dyDescent="0.2">
      <c r="B19530" s="43"/>
    </row>
    <row r="19531" spans="2:2" ht="12.75" customHeight="1" x14ac:dyDescent="0.2">
      <c r="B19531" s="43"/>
    </row>
    <row r="19532" spans="2:2" ht="12.75" customHeight="1" x14ac:dyDescent="0.2">
      <c r="B19532" s="43"/>
    </row>
    <row r="19533" spans="2:2" ht="12.75" customHeight="1" x14ac:dyDescent="0.2">
      <c r="B19533" s="43"/>
    </row>
    <row r="19534" spans="2:2" ht="12.75" customHeight="1" x14ac:dyDescent="0.2">
      <c r="B19534" s="43"/>
    </row>
    <row r="19535" spans="2:2" ht="12.75" customHeight="1" x14ac:dyDescent="0.2">
      <c r="B19535" s="43"/>
    </row>
    <row r="19536" spans="2:2" ht="12.75" customHeight="1" x14ac:dyDescent="0.2">
      <c r="B19536" s="43"/>
    </row>
    <row r="19537" spans="2:2" ht="12.75" customHeight="1" x14ac:dyDescent="0.2">
      <c r="B19537" s="43"/>
    </row>
    <row r="19538" spans="2:2" ht="12.75" customHeight="1" x14ac:dyDescent="0.2">
      <c r="B19538" s="43"/>
    </row>
    <row r="19539" spans="2:2" ht="12.75" customHeight="1" x14ac:dyDescent="0.2">
      <c r="B19539" s="43"/>
    </row>
    <row r="19540" spans="2:2" ht="12.75" customHeight="1" x14ac:dyDescent="0.2">
      <c r="B19540" s="43"/>
    </row>
    <row r="19541" spans="2:2" ht="12.75" customHeight="1" x14ac:dyDescent="0.2">
      <c r="B19541" s="43"/>
    </row>
    <row r="19542" spans="2:2" ht="12.75" customHeight="1" x14ac:dyDescent="0.2">
      <c r="B19542" s="43"/>
    </row>
    <row r="19543" spans="2:2" ht="12.75" customHeight="1" x14ac:dyDescent="0.2">
      <c r="B19543" s="43"/>
    </row>
    <row r="19544" spans="2:2" ht="12.75" customHeight="1" x14ac:dyDescent="0.2">
      <c r="B19544" s="43"/>
    </row>
    <row r="19545" spans="2:2" ht="12.75" customHeight="1" x14ac:dyDescent="0.2">
      <c r="B19545" s="43"/>
    </row>
    <row r="19546" spans="2:2" ht="12.75" customHeight="1" x14ac:dyDescent="0.2">
      <c r="B19546" s="43"/>
    </row>
    <row r="19547" spans="2:2" ht="12.75" customHeight="1" x14ac:dyDescent="0.2">
      <c r="B19547" s="43"/>
    </row>
    <row r="19548" spans="2:2" ht="12.75" customHeight="1" x14ac:dyDescent="0.2">
      <c r="B19548" s="43"/>
    </row>
    <row r="19549" spans="2:2" ht="12.75" customHeight="1" x14ac:dyDescent="0.2">
      <c r="B19549" s="43"/>
    </row>
    <row r="19550" spans="2:2" ht="12.75" customHeight="1" x14ac:dyDescent="0.2">
      <c r="B19550" s="43"/>
    </row>
    <row r="19551" spans="2:2" ht="12.75" customHeight="1" x14ac:dyDescent="0.2">
      <c r="B19551" s="43"/>
    </row>
    <row r="19552" spans="2:2" ht="12.75" customHeight="1" x14ac:dyDescent="0.2">
      <c r="B19552" s="43"/>
    </row>
    <row r="19553" spans="2:2" ht="12.75" customHeight="1" x14ac:dyDescent="0.2">
      <c r="B19553" s="43"/>
    </row>
    <row r="19554" spans="2:2" ht="12.75" customHeight="1" x14ac:dyDescent="0.2">
      <c r="B19554" s="43"/>
    </row>
    <row r="19555" spans="2:2" ht="12.75" customHeight="1" x14ac:dyDescent="0.2">
      <c r="B19555" s="43"/>
    </row>
    <row r="19556" spans="2:2" ht="12.75" customHeight="1" x14ac:dyDescent="0.2">
      <c r="B19556" s="43"/>
    </row>
    <row r="19557" spans="2:2" ht="12.75" customHeight="1" x14ac:dyDescent="0.2">
      <c r="B19557" s="43"/>
    </row>
    <row r="19558" spans="2:2" ht="12.75" customHeight="1" x14ac:dyDescent="0.2">
      <c r="B19558" s="43"/>
    </row>
    <row r="19559" spans="2:2" ht="12.75" customHeight="1" x14ac:dyDescent="0.2">
      <c r="B19559" s="43"/>
    </row>
    <row r="19560" spans="2:2" ht="12.75" customHeight="1" x14ac:dyDescent="0.2">
      <c r="B19560" s="43"/>
    </row>
    <row r="19561" spans="2:2" ht="12.75" customHeight="1" x14ac:dyDescent="0.2">
      <c r="B19561" s="43"/>
    </row>
    <row r="19562" spans="2:2" ht="12.75" customHeight="1" x14ac:dyDescent="0.2">
      <c r="B19562" s="43"/>
    </row>
    <row r="19563" spans="2:2" ht="12.75" customHeight="1" x14ac:dyDescent="0.2">
      <c r="B19563" s="43"/>
    </row>
    <row r="19564" spans="2:2" ht="12.75" customHeight="1" x14ac:dyDescent="0.2">
      <c r="B19564" s="43"/>
    </row>
    <row r="19565" spans="2:2" ht="12.75" customHeight="1" x14ac:dyDescent="0.2">
      <c r="B19565" s="43"/>
    </row>
    <row r="19566" spans="2:2" ht="12.75" customHeight="1" x14ac:dyDescent="0.2">
      <c r="B19566" s="43"/>
    </row>
    <row r="19567" spans="2:2" ht="12.75" customHeight="1" x14ac:dyDescent="0.2">
      <c r="B19567" s="43"/>
    </row>
    <row r="19568" spans="2:2" ht="12.75" customHeight="1" x14ac:dyDescent="0.2">
      <c r="B19568" s="43"/>
    </row>
    <row r="19569" spans="2:2" ht="12.75" customHeight="1" x14ac:dyDescent="0.2">
      <c r="B19569" s="43"/>
    </row>
    <row r="19570" spans="2:2" ht="12.75" customHeight="1" x14ac:dyDescent="0.2">
      <c r="B19570" s="43"/>
    </row>
    <row r="19571" spans="2:2" ht="12.75" customHeight="1" x14ac:dyDescent="0.2">
      <c r="B19571" s="43"/>
    </row>
    <row r="19572" spans="2:2" ht="12.75" customHeight="1" x14ac:dyDescent="0.2">
      <c r="B19572" s="43"/>
    </row>
    <row r="19573" spans="2:2" ht="12.75" customHeight="1" x14ac:dyDescent="0.2">
      <c r="B19573" s="43"/>
    </row>
    <row r="19574" spans="2:2" ht="12.75" customHeight="1" x14ac:dyDescent="0.2">
      <c r="B19574" s="43"/>
    </row>
    <row r="19575" spans="2:2" ht="12.75" customHeight="1" x14ac:dyDescent="0.2">
      <c r="B19575" s="43"/>
    </row>
    <row r="19576" spans="2:2" ht="12.75" customHeight="1" x14ac:dyDescent="0.2">
      <c r="B19576" s="43"/>
    </row>
    <row r="19577" spans="2:2" ht="12.75" customHeight="1" x14ac:dyDescent="0.2">
      <c r="B19577" s="43"/>
    </row>
    <row r="19578" spans="2:2" ht="12.75" customHeight="1" x14ac:dyDescent="0.2">
      <c r="B19578" s="43"/>
    </row>
    <row r="19579" spans="2:2" ht="12.75" customHeight="1" x14ac:dyDescent="0.2">
      <c r="B19579" s="43"/>
    </row>
    <row r="19580" spans="2:2" ht="12.75" customHeight="1" x14ac:dyDescent="0.2">
      <c r="B19580" s="43"/>
    </row>
    <row r="19581" spans="2:2" ht="12.75" customHeight="1" x14ac:dyDescent="0.2">
      <c r="B19581" s="43"/>
    </row>
    <row r="19582" spans="2:2" ht="12.75" customHeight="1" x14ac:dyDescent="0.2">
      <c r="B19582" s="43"/>
    </row>
    <row r="19583" spans="2:2" ht="12.75" customHeight="1" x14ac:dyDescent="0.2">
      <c r="B19583" s="43"/>
    </row>
    <row r="19584" spans="2:2" ht="12.75" customHeight="1" x14ac:dyDescent="0.2">
      <c r="B19584" s="43"/>
    </row>
    <row r="19585" spans="2:2" ht="12.75" customHeight="1" x14ac:dyDescent="0.2">
      <c r="B19585" s="43"/>
    </row>
    <row r="19586" spans="2:2" ht="12.75" customHeight="1" x14ac:dyDescent="0.2">
      <c r="B19586" s="43"/>
    </row>
    <row r="19587" spans="2:2" ht="12.75" customHeight="1" x14ac:dyDescent="0.2">
      <c r="B19587" s="43"/>
    </row>
    <row r="19588" spans="2:2" ht="12.75" customHeight="1" x14ac:dyDescent="0.2">
      <c r="B19588" s="43"/>
    </row>
    <row r="19589" spans="2:2" ht="12.75" customHeight="1" x14ac:dyDescent="0.2">
      <c r="B19589" s="43"/>
    </row>
    <row r="19590" spans="2:2" ht="12.75" customHeight="1" x14ac:dyDescent="0.2">
      <c r="B19590" s="43"/>
    </row>
    <row r="19591" spans="2:2" ht="12.75" customHeight="1" x14ac:dyDescent="0.2">
      <c r="B19591" s="43"/>
    </row>
    <row r="19592" spans="2:2" ht="12.75" customHeight="1" x14ac:dyDescent="0.2">
      <c r="B19592" s="43"/>
    </row>
    <row r="19593" spans="2:2" ht="12.75" customHeight="1" x14ac:dyDescent="0.2">
      <c r="B19593" s="43"/>
    </row>
    <row r="19594" spans="2:2" ht="12.75" customHeight="1" x14ac:dyDescent="0.2">
      <c r="B19594" s="43"/>
    </row>
    <row r="19595" spans="2:2" ht="12.75" customHeight="1" x14ac:dyDescent="0.2">
      <c r="B19595" s="43"/>
    </row>
    <row r="19596" spans="2:2" ht="12.75" customHeight="1" x14ac:dyDescent="0.2">
      <c r="B19596" s="43"/>
    </row>
    <row r="19597" spans="2:2" ht="12.75" customHeight="1" x14ac:dyDescent="0.2">
      <c r="B19597" s="43"/>
    </row>
    <row r="19598" spans="2:2" ht="12.75" customHeight="1" x14ac:dyDescent="0.2">
      <c r="B19598" s="43"/>
    </row>
    <row r="19599" spans="2:2" ht="12.75" customHeight="1" x14ac:dyDescent="0.2">
      <c r="B19599" s="43"/>
    </row>
    <row r="19600" spans="2:2" ht="12.75" customHeight="1" x14ac:dyDescent="0.2">
      <c r="B19600" s="43"/>
    </row>
    <row r="19601" spans="2:2" ht="12.75" customHeight="1" x14ac:dyDescent="0.2">
      <c r="B19601" s="43"/>
    </row>
    <row r="19602" spans="2:2" ht="12.75" customHeight="1" x14ac:dyDescent="0.2">
      <c r="B19602" s="43"/>
    </row>
    <row r="19603" spans="2:2" ht="12.75" customHeight="1" x14ac:dyDescent="0.2">
      <c r="B19603" s="43"/>
    </row>
    <row r="19604" spans="2:2" ht="12.75" customHeight="1" x14ac:dyDescent="0.2">
      <c r="B19604" s="43"/>
    </row>
    <row r="19605" spans="2:2" ht="12.75" customHeight="1" x14ac:dyDescent="0.2">
      <c r="B19605" s="43"/>
    </row>
    <row r="19606" spans="2:2" ht="12.75" customHeight="1" x14ac:dyDescent="0.2">
      <c r="B19606" s="43"/>
    </row>
    <row r="19607" spans="2:2" ht="12.75" customHeight="1" x14ac:dyDescent="0.2">
      <c r="B19607" s="43"/>
    </row>
    <row r="19608" spans="2:2" ht="12.75" customHeight="1" x14ac:dyDescent="0.2">
      <c r="B19608" s="43"/>
    </row>
    <row r="19609" spans="2:2" ht="12.75" customHeight="1" x14ac:dyDescent="0.2">
      <c r="B19609" s="43"/>
    </row>
    <row r="19610" spans="2:2" ht="12.75" customHeight="1" x14ac:dyDescent="0.2">
      <c r="B19610" s="43"/>
    </row>
    <row r="19611" spans="2:2" ht="12.75" customHeight="1" x14ac:dyDescent="0.2">
      <c r="B19611" s="43"/>
    </row>
    <row r="19612" spans="2:2" ht="12.75" customHeight="1" x14ac:dyDescent="0.2">
      <c r="B19612" s="43"/>
    </row>
    <row r="19613" spans="2:2" ht="12.75" customHeight="1" x14ac:dyDescent="0.2">
      <c r="B19613" s="43"/>
    </row>
    <row r="19614" spans="2:2" ht="12.75" customHeight="1" x14ac:dyDescent="0.2">
      <c r="B19614" s="43"/>
    </row>
    <row r="19615" spans="2:2" ht="12.75" customHeight="1" x14ac:dyDescent="0.2">
      <c r="B19615" s="43"/>
    </row>
    <row r="19616" spans="2:2" ht="12.75" customHeight="1" x14ac:dyDescent="0.2">
      <c r="B19616" s="43"/>
    </row>
    <row r="19617" spans="2:2" ht="12.75" customHeight="1" x14ac:dyDescent="0.2">
      <c r="B19617" s="43"/>
    </row>
    <row r="19618" spans="2:2" ht="12.75" customHeight="1" x14ac:dyDescent="0.2">
      <c r="B19618" s="43"/>
    </row>
    <row r="19619" spans="2:2" ht="12.75" customHeight="1" x14ac:dyDescent="0.2">
      <c r="B19619" s="43"/>
    </row>
    <row r="19620" spans="2:2" ht="12.75" customHeight="1" x14ac:dyDescent="0.2">
      <c r="B19620" s="43"/>
    </row>
    <row r="19621" spans="2:2" ht="12.75" customHeight="1" x14ac:dyDescent="0.2">
      <c r="B19621" s="43"/>
    </row>
    <row r="19622" spans="2:2" ht="12.75" customHeight="1" x14ac:dyDescent="0.2">
      <c r="B19622" s="43"/>
    </row>
    <row r="19623" spans="2:2" ht="12.75" customHeight="1" x14ac:dyDescent="0.2">
      <c r="B19623" s="43"/>
    </row>
    <row r="19624" spans="2:2" ht="12.75" customHeight="1" x14ac:dyDescent="0.2">
      <c r="B19624" s="43"/>
    </row>
    <row r="19625" spans="2:2" ht="12.75" customHeight="1" x14ac:dyDescent="0.2">
      <c r="B19625" s="43"/>
    </row>
    <row r="19626" spans="2:2" ht="12.75" customHeight="1" x14ac:dyDescent="0.2">
      <c r="B19626" s="43"/>
    </row>
    <row r="19627" spans="2:2" ht="12.75" customHeight="1" x14ac:dyDescent="0.2">
      <c r="B19627" s="43"/>
    </row>
    <row r="19628" spans="2:2" ht="12.75" customHeight="1" x14ac:dyDescent="0.2">
      <c r="B19628" s="43"/>
    </row>
    <row r="19629" spans="2:2" ht="12.75" customHeight="1" x14ac:dyDescent="0.2">
      <c r="B19629" s="43"/>
    </row>
    <row r="19630" spans="2:2" ht="12.75" customHeight="1" x14ac:dyDescent="0.2">
      <c r="B19630" s="43"/>
    </row>
    <row r="19631" spans="2:2" ht="12.75" customHeight="1" x14ac:dyDescent="0.2">
      <c r="B19631" s="43"/>
    </row>
    <row r="19632" spans="2:2" ht="12.75" customHeight="1" x14ac:dyDescent="0.2">
      <c r="B19632" s="43"/>
    </row>
    <row r="19633" spans="2:2" ht="12.75" customHeight="1" x14ac:dyDescent="0.2">
      <c r="B19633" s="43"/>
    </row>
    <row r="19634" spans="2:2" ht="12.75" customHeight="1" x14ac:dyDescent="0.2">
      <c r="B19634" s="43"/>
    </row>
    <row r="19635" spans="2:2" ht="12.75" customHeight="1" x14ac:dyDescent="0.2">
      <c r="B19635" s="43"/>
    </row>
    <row r="19636" spans="2:2" ht="12.75" customHeight="1" x14ac:dyDescent="0.2">
      <c r="B19636" s="43"/>
    </row>
    <row r="19637" spans="2:2" ht="12.75" customHeight="1" x14ac:dyDescent="0.2">
      <c r="B19637" s="43"/>
    </row>
    <row r="19638" spans="2:2" ht="12.75" customHeight="1" x14ac:dyDescent="0.2">
      <c r="B19638" s="43"/>
    </row>
    <row r="19639" spans="2:2" ht="12.75" customHeight="1" x14ac:dyDescent="0.2">
      <c r="B19639" s="43"/>
    </row>
    <row r="19640" spans="2:2" ht="12.75" customHeight="1" x14ac:dyDescent="0.2">
      <c r="B19640" s="43"/>
    </row>
    <row r="19641" spans="2:2" ht="12.75" customHeight="1" x14ac:dyDescent="0.2">
      <c r="B19641" s="43"/>
    </row>
    <row r="19642" spans="2:2" ht="12.75" customHeight="1" x14ac:dyDescent="0.2">
      <c r="B19642" s="43"/>
    </row>
    <row r="19643" spans="2:2" ht="12.75" customHeight="1" x14ac:dyDescent="0.2">
      <c r="B19643" s="43"/>
    </row>
    <row r="19644" spans="2:2" ht="12.75" customHeight="1" x14ac:dyDescent="0.2">
      <c r="B19644" s="43"/>
    </row>
    <row r="19645" spans="2:2" ht="12.75" customHeight="1" x14ac:dyDescent="0.2">
      <c r="B19645" s="43"/>
    </row>
    <row r="19646" spans="2:2" ht="12.75" customHeight="1" x14ac:dyDescent="0.2">
      <c r="B19646" s="43"/>
    </row>
    <row r="19647" spans="2:2" ht="12.75" customHeight="1" x14ac:dyDescent="0.2">
      <c r="B19647" s="43"/>
    </row>
    <row r="19648" spans="2:2" ht="12.75" customHeight="1" x14ac:dyDescent="0.2">
      <c r="B19648" s="43"/>
    </row>
    <row r="19649" spans="2:2" ht="12.75" customHeight="1" x14ac:dyDescent="0.2">
      <c r="B19649" s="43"/>
    </row>
    <row r="19650" spans="2:2" ht="12.75" customHeight="1" x14ac:dyDescent="0.2">
      <c r="B19650" s="43"/>
    </row>
    <row r="19651" spans="2:2" ht="12.75" customHeight="1" x14ac:dyDescent="0.2">
      <c r="B19651" s="43"/>
    </row>
    <row r="19652" spans="2:2" ht="12.75" customHeight="1" x14ac:dyDescent="0.2">
      <c r="B19652" s="43"/>
    </row>
    <row r="19653" spans="2:2" ht="12.75" customHeight="1" x14ac:dyDescent="0.2">
      <c r="B19653" s="43"/>
    </row>
    <row r="19654" spans="2:2" ht="12.75" customHeight="1" x14ac:dyDescent="0.2">
      <c r="B19654" s="43"/>
    </row>
    <row r="19655" spans="2:2" ht="12.75" customHeight="1" x14ac:dyDescent="0.2">
      <c r="B19655" s="43"/>
    </row>
    <row r="19656" spans="2:2" ht="12.75" customHeight="1" x14ac:dyDescent="0.2">
      <c r="B19656" s="43"/>
    </row>
    <row r="19657" spans="2:2" ht="12.75" customHeight="1" x14ac:dyDescent="0.2">
      <c r="B19657" s="43"/>
    </row>
    <row r="19658" spans="2:2" ht="12.75" customHeight="1" x14ac:dyDescent="0.2">
      <c r="B19658" s="43"/>
    </row>
    <row r="19659" spans="2:2" ht="12.75" customHeight="1" x14ac:dyDescent="0.2">
      <c r="B19659" s="43"/>
    </row>
    <row r="19660" spans="2:2" ht="12.75" customHeight="1" x14ac:dyDescent="0.2">
      <c r="B19660" s="43"/>
    </row>
    <row r="19661" spans="2:2" ht="12.75" customHeight="1" x14ac:dyDescent="0.2">
      <c r="B19661" s="43"/>
    </row>
    <row r="19662" spans="2:2" ht="12.75" customHeight="1" x14ac:dyDescent="0.2">
      <c r="B19662" s="43"/>
    </row>
    <row r="19663" spans="2:2" ht="12.75" customHeight="1" x14ac:dyDescent="0.2">
      <c r="B19663" s="43"/>
    </row>
    <row r="19664" spans="2:2" ht="12.75" customHeight="1" x14ac:dyDescent="0.2">
      <c r="B19664" s="43"/>
    </row>
    <row r="19665" spans="2:2" ht="12.75" customHeight="1" x14ac:dyDescent="0.2">
      <c r="B19665" s="43"/>
    </row>
    <row r="19666" spans="2:2" ht="12.75" customHeight="1" x14ac:dyDescent="0.2">
      <c r="B19666" s="43"/>
    </row>
    <row r="19667" spans="2:2" ht="12.75" customHeight="1" x14ac:dyDescent="0.2">
      <c r="B19667" s="43"/>
    </row>
    <row r="19668" spans="2:2" ht="12.75" customHeight="1" x14ac:dyDescent="0.2">
      <c r="B19668" s="43"/>
    </row>
    <row r="19669" spans="2:2" ht="12.75" customHeight="1" x14ac:dyDescent="0.2">
      <c r="B19669" s="43"/>
    </row>
    <row r="19670" spans="2:2" ht="12.75" customHeight="1" x14ac:dyDescent="0.2">
      <c r="B19670" s="43"/>
    </row>
    <row r="19671" spans="2:2" ht="12.75" customHeight="1" x14ac:dyDescent="0.2">
      <c r="B19671" s="43"/>
    </row>
    <row r="19672" spans="2:2" ht="12.75" customHeight="1" x14ac:dyDescent="0.2">
      <c r="B19672" s="43"/>
    </row>
    <row r="19673" spans="2:2" ht="12.75" customHeight="1" x14ac:dyDescent="0.2">
      <c r="B19673" s="43"/>
    </row>
    <row r="19674" spans="2:2" ht="12.75" customHeight="1" x14ac:dyDescent="0.2">
      <c r="B19674" s="43"/>
    </row>
    <row r="19675" spans="2:2" ht="12.75" customHeight="1" x14ac:dyDescent="0.2">
      <c r="B19675" s="43"/>
    </row>
    <row r="19676" spans="2:2" ht="12.75" customHeight="1" x14ac:dyDescent="0.2">
      <c r="B19676" s="43"/>
    </row>
    <row r="19677" spans="2:2" ht="12.75" customHeight="1" x14ac:dyDescent="0.2">
      <c r="B19677" s="43"/>
    </row>
    <row r="19678" spans="2:2" ht="12.75" customHeight="1" x14ac:dyDescent="0.2">
      <c r="B19678" s="43"/>
    </row>
    <row r="19679" spans="2:2" ht="12.75" customHeight="1" x14ac:dyDescent="0.2">
      <c r="B19679" s="43"/>
    </row>
    <row r="19680" spans="2:2" ht="12.75" customHeight="1" x14ac:dyDescent="0.2">
      <c r="B19680" s="43"/>
    </row>
    <row r="19681" spans="2:2" ht="12.75" customHeight="1" x14ac:dyDescent="0.2">
      <c r="B19681" s="43"/>
    </row>
    <row r="19682" spans="2:2" ht="12.75" customHeight="1" x14ac:dyDescent="0.2">
      <c r="B19682" s="43"/>
    </row>
    <row r="19683" spans="2:2" ht="12.75" customHeight="1" x14ac:dyDescent="0.2">
      <c r="B19683" s="43"/>
    </row>
    <row r="19684" spans="2:2" ht="12.75" customHeight="1" x14ac:dyDescent="0.2">
      <c r="B19684" s="43"/>
    </row>
    <row r="19685" spans="2:2" ht="12.75" customHeight="1" x14ac:dyDescent="0.2">
      <c r="B19685" s="43"/>
    </row>
    <row r="19686" spans="2:2" ht="12.75" customHeight="1" x14ac:dyDescent="0.2">
      <c r="B19686" s="43"/>
    </row>
    <row r="19687" spans="2:2" ht="12.75" customHeight="1" x14ac:dyDescent="0.2">
      <c r="B19687" s="43"/>
    </row>
    <row r="19688" spans="2:2" ht="12.75" customHeight="1" x14ac:dyDescent="0.2">
      <c r="B19688" s="43"/>
    </row>
    <row r="19689" spans="2:2" ht="12.75" customHeight="1" x14ac:dyDescent="0.2">
      <c r="B19689" s="43"/>
    </row>
    <row r="19690" spans="2:2" ht="12.75" customHeight="1" x14ac:dyDescent="0.2">
      <c r="B19690" s="43"/>
    </row>
    <row r="19691" spans="2:2" ht="12.75" customHeight="1" x14ac:dyDescent="0.2">
      <c r="B19691" s="43"/>
    </row>
    <row r="19692" spans="2:2" ht="12.75" customHeight="1" x14ac:dyDescent="0.2">
      <c r="B19692" s="43"/>
    </row>
    <row r="19693" spans="2:2" ht="12.75" customHeight="1" x14ac:dyDescent="0.2">
      <c r="B19693" s="43"/>
    </row>
    <row r="19694" spans="2:2" ht="12.75" customHeight="1" x14ac:dyDescent="0.2">
      <c r="B19694" s="43"/>
    </row>
    <row r="19695" spans="2:2" ht="12.75" customHeight="1" x14ac:dyDescent="0.2">
      <c r="B19695" s="43"/>
    </row>
    <row r="19696" spans="2:2" ht="12.75" customHeight="1" x14ac:dyDescent="0.2">
      <c r="B19696" s="43"/>
    </row>
    <row r="19697" spans="2:2" ht="12.75" customHeight="1" x14ac:dyDescent="0.2">
      <c r="B19697" s="43"/>
    </row>
    <row r="19698" spans="2:2" ht="12.75" customHeight="1" x14ac:dyDescent="0.2">
      <c r="B19698" s="43"/>
    </row>
    <row r="19699" spans="2:2" ht="12.75" customHeight="1" x14ac:dyDescent="0.2">
      <c r="B19699" s="43"/>
    </row>
    <row r="19700" spans="2:2" ht="12.75" customHeight="1" x14ac:dyDescent="0.2">
      <c r="B19700" s="43"/>
    </row>
    <row r="19701" spans="2:2" ht="12.75" customHeight="1" x14ac:dyDescent="0.2">
      <c r="B19701" s="43"/>
    </row>
    <row r="19702" spans="2:2" ht="12.75" customHeight="1" x14ac:dyDescent="0.2">
      <c r="B19702" s="43"/>
    </row>
    <row r="19703" spans="2:2" ht="12.75" customHeight="1" x14ac:dyDescent="0.2">
      <c r="B19703" s="43"/>
    </row>
    <row r="19704" spans="2:2" ht="12.75" customHeight="1" x14ac:dyDescent="0.2">
      <c r="B19704" s="43"/>
    </row>
    <row r="19705" spans="2:2" ht="12.75" customHeight="1" x14ac:dyDescent="0.2">
      <c r="B19705" s="43"/>
    </row>
    <row r="19706" spans="2:2" ht="12.75" customHeight="1" x14ac:dyDescent="0.2">
      <c r="B19706" s="43"/>
    </row>
    <row r="19707" spans="2:2" ht="12.75" customHeight="1" x14ac:dyDescent="0.2">
      <c r="B19707" s="43"/>
    </row>
    <row r="19708" spans="2:2" ht="12.75" customHeight="1" x14ac:dyDescent="0.2">
      <c r="B19708" s="43"/>
    </row>
    <row r="19709" spans="2:2" ht="12.75" customHeight="1" x14ac:dyDescent="0.2">
      <c r="B19709" s="43"/>
    </row>
    <row r="19710" spans="2:2" ht="12.75" customHeight="1" x14ac:dyDescent="0.2">
      <c r="B19710" s="43"/>
    </row>
    <row r="19711" spans="2:2" ht="12.75" customHeight="1" x14ac:dyDescent="0.2">
      <c r="B19711" s="43"/>
    </row>
    <row r="19712" spans="2:2" ht="12.75" customHeight="1" x14ac:dyDescent="0.2">
      <c r="B19712" s="43"/>
    </row>
    <row r="19713" spans="2:2" ht="12.75" customHeight="1" x14ac:dyDescent="0.2">
      <c r="B19713" s="43"/>
    </row>
    <row r="19714" spans="2:2" ht="12.75" customHeight="1" x14ac:dyDescent="0.2">
      <c r="B19714" s="43"/>
    </row>
    <row r="19715" spans="2:2" ht="12.75" customHeight="1" x14ac:dyDescent="0.2">
      <c r="B19715" s="43"/>
    </row>
    <row r="19716" spans="2:2" ht="12.75" customHeight="1" x14ac:dyDescent="0.2">
      <c r="B19716" s="43"/>
    </row>
    <row r="19717" spans="2:2" ht="12.75" customHeight="1" x14ac:dyDescent="0.2">
      <c r="B19717" s="43"/>
    </row>
    <row r="19718" spans="2:2" ht="12.75" customHeight="1" x14ac:dyDescent="0.2">
      <c r="B19718" s="43"/>
    </row>
    <row r="19719" spans="2:2" ht="12.75" customHeight="1" x14ac:dyDescent="0.2">
      <c r="B19719" s="43"/>
    </row>
    <row r="19720" spans="2:2" ht="12.75" customHeight="1" x14ac:dyDescent="0.2">
      <c r="B19720" s="43"/>
    </row>
    <row r="19721" spans="2:2" ht="12.75" customHeight="1" x14ac:dyDescent="0.2">
      <c r="B19721" s="43"/>
    </row>
    <row r="19722" spans="2:2" ht="12.75" customHeight="1" x14ac:dyDescent="0.2">
      <c r="B19722" s="43"/>
    </row>
    <row r="19723" spans="2:2" ht="12.75" customHeight="1" x14ac:dyDescent="0.2">
      <c r="B19723" s="43"/>
    </row>
    <row r="19724" spans="2:2" ht="12.75" customHeight="1" x14ac:dyDescent="0.2">
      <c r="B19724" s="43"/>
    </row>
    <row r="19725" spans="2:2" ht="12.75" customHeight="1" x14ac:dyDescent="0.2">
      <c r="B19725" s="43"/>
    </row>
    <row r="19726" spans="2:2" ht="12.75" customHeight="1" x14ac:dyDescent="0.2">
      <c r="B19726" s="43"/>
    </row>
    <row r="19727" spans="2:2" ht="12.75" customHeight="1" x14ac:dyDescent="0.2">
      <c r="B19727" s="43"/>
    </row>
    <row r="19728" spans="2:2" ht="12.75" customHeight="1" x14ac:dyDescent="0.2">
      <c r="B19728" s="43"/>
    </row>
    <row r="19729" spans="2:2" ht="12.75" customHeight="1" x14ac:dyDescent="0.2">
      <c r="B19729" s="43"/>
    </row>
    <row r="19730" spans="2:2" ht="12.75" customHeight="1" x14ac:dyDescent="0.2">
      <c r="B19730" s="43"/>
    </row>
    <row r="19731" spans="2:2" ht="12.75" customHeight="1" x14ac:dyDescent="0.2">
      <c r="B19731" s="43"/>
    </row>
    <row r="19732" spans="2:2" ht="12.75" customHeight="1" x14ac:dyDescent="0.2">
      <c r="B19732" s="43"/>
    </row>
    <row r="19733" spans="2:2" ht="12.75" customHeight="1" x14ac:dyDescent="0.2">
      <c r="B19733" s="43"/>
    </row>
    <row r="19734" spans="2:2" ht="12.75" customHeight="1" x14ac:dyDescent="0.2">
      <c r="B19734" s="43"/>
    </row>
    <row r="19735" spans="2:2" ht="12.75" customHeight="1" x14ac:dyDescent="0.2">
      <c r="B19735" s="43"/>
    </row>
    <row r="19736" spans="2:2" ht="12.75" customHeight="1" x14ac:dyDescent="0.2">
      <c r="B19736" s="43"/>
    </row>
    <row r="19737" spans="2:2" ht="12.75" customHeight="1" x14ac:dyDescent="0.2">
      <c r="B19737" s="43"/>
    </row>
    <row r="19738" spans="2:2" ht="12.75" customHeight="1" x14ac:dyDescent="0.2">
      <c r="B19738" s="43"/>
    </row>
    <row r="19739" spans="2:2" ht="12.75" customHeight="1" x14ac:dyDescent="0.2">
      <c r="B19739" s="43"/>
    </row>
    <row r="19740" spans="2:2" ht="12.75" customHeight="1" x14ac:dyDescent="0.2">
      <c r="B19740" s="43"/>
    </row>
    <row r="19741" spans="2:2" ht="12.75" customHeight="1" x14ac:dyDescent="0.2">
      <c r="B19741" s="43"/>
    </row>
    <row r="19742" spans="2:2" ht="12.75" customHeight="1" x14ac:dyDescent="0.2">
      <c r="B19742" s="43"/>
    </row>
    <row r="19743" spans="2:2" ht="12.75" customHeight="1" x14ac:dyDescent="0.2">
      <c r="B19743" s="43"/>
    </row>
    <row r="19744" spans="2:2" ht="12.75" customHeight="1" x14ac:dyDescent="0.2">
      <c r="B19744" s="43"/>
    </row>
    <row r="19745" spans="2:2" ht="12.75" customHeight="1" x14ac:dyDescent="0.2">
      <c r="B19745" s="43"/>
    </row>
    <row r="19746" spans="2:2" ht="12.75" customHeight="1" x14ac:dyDescent="0.2">
      <c r="B19746" s="43"/>
    </row>
    <row r="19747" spans="2:2" ht="12.75" customHeight="1" x14ac:dyDescent="0.2">
      <c r="B19747" s="43"/>
    </row>
    <row r="19748" spans="2:2" ht="12.75" customHeight="1" x14ac:dyDescent="0.2">
      <c r="B19748" s="43"/>
    </row>
    <row r="19749" spans="2:2" ht="12.75" customHeight="1" x14ac:dyDescent="0.2">
      <c r="B19749" s="43"/>
    </row>
    <row r="19750" spans="2:2" ht="12.75" customHeight="1" x14ac:dyDescent="0.2">
      <c r="B19750" s="43"/>
    </row>
    <row r="19751" spans="2:2" ht="12.75" customHeight="1" x14ac:dyDescent="0.2">
      <c r="B19751" s="43"/>
    </row>
    <row r="19752" spans="2:2" ht="12.75" customHeight="1" x14ac:dyDescent="0.2">
      <c r="B19752" s="43"/>
    </row>
    <row r="19753" spans="2:2" ht="12.75" customHeight="1" x14ac:dyDescent="0.2">
      <c r="B19753" s="43"/>
    </row>
    <row r="19754" spans="2:2" ht="12.75" customHeight="1" x14ac:dyDescent="0.2">
      <c r="B19754" s="43"/>
    </row>
    <row r="19755" spans="2:2" ht="12.75" customHeight="1" x14ac:dyDescent="0.2">
      <c r="B19755" s="43"/>
    </row>
    <row r="19756" spans="2:2" ht="12.75" customHeight="1" x14ac:dyDescent="0.2">
      <c r="B19756" s="43"/>
    </row>
    <row r="19757" spans="2:2" ht="12.75" customHeight="1" x14ac:dyDescent="0.2">
      <c r="B19757" s="43"/>
    </row>
    <row r="19758" spans="2:2" ht="12.75" customHeight="1" x14ac:dyDescent="0.2">
      <c r="B19758" s="43"/>
    </row>
    <row r="19759" spans="2:2" ht="12.75" customHeight="1" x14ac:dyDescent="0.2">
      <c r="B19759" s="43"/>
    </row>
    <row r="19760" spans="2:2" ht="12.75" customHeight="1" x14ac:dyDescent="0.2">
      <c r="B19760" s="43"/>
    </row>
    <row r="19761" spans="2:2" ht="12.75" customHeight="1" x14ac:dyDescent="0.2">
      <c r="B19761" s="43"/>
    </row>
    <row r="19762" spans="2:2" ht="12.75" customHeight="1" x14ac:dyDescent="0.2">
      <c r="B19762" s="43"/>
    </row>
    <row r="19763" spans="2:2" ht="12.75" customHeight="1" x14ac:dyDescent="0.2">
      <c r="B19763" s="43"/>
    </row>
    <row r="19764" spans="2:2" ht="12.75" customHeight="1" x14ac:dyDescent="0.2">
      <c r="B19764" s="43"/>
    </row>
    <row r="19765" spans="2:2" ht="12.75" customHeight="1" x14ac:dyDescent="0.2">
      <c r="B19765" s="43"/>
    </row>
    <row r="19766" spans="2:2" ht="12.75" customHeight="1" x14ac:dyDescent="0.2">
      <c r="B19766" s="43"/>
    </row>
    <row r="19767" spans="2:2" ht="12.75" customHeight="1" x14ac:dyDescent="0.2">
      <c r="B19767" s="43"/>
    </row>
    <row r="19768" spans="2:2" ht="12.75" customHeight="1" x14ac:dyDescent="0.2">
      <c r="B19768" s="43"/>
    </row>
    <row r="19769" spans="2:2" ht="12.75" customHeight="1" x14ac:dyDescent="0.2">
      <c r="B19769" s="43"/>
    </row>
    <row r="19770" spans="2:2" ht="12.75" customHeight="1" x14ac:dyDescent="0.2">
      <c r="B19770" s="43"/>
    </row>
    <row r="19771" spans="2:2" ht="12.75" customHeight="1" x14ac:dyDescent="0.2">
      <c r="B19771" s="43"/>
    </row>
    <row r="19772" spans="2:2" ht="12.75" customHeight="1" x14ac:dyDescent="0.2">
      <c r="B19772" s="43"/>
    </row>
    <row r="19773" spans="2:2" ht="12.75" customHeight="1" x14ac:dyDescent="0.2">
      <c r="B19773" s="43"/>
    </row>
    <row r="19774" spans="2:2" ht="12.75" customHeight="1" x14ac:dyDescent="0.2">
      <c r="B19774" s="43"/>
    </row>
    <row r="19775" spans="2:2" ht="12.75" customHeight="1" x14ac:dyDescent="0.2">
      <c r="B19775" s="43"/>
    </row>
    <row r="19776" spans="2:2" ht="12.75" customHeight="1" x14ac:dyDescent="0.2">
      <c r="B19776" s="43"/>
    </row>
    <row r="19777" spans="2:2" ht="12.75" customHeight="1" x14ac:dyDescent="0.2">
      <c r="B19777" s="43"/>
    </row>
    <row r="19778" spans="2:2" ht="12.75" customHeight="1" x14ac:dyDescent="0.2">
      <c r="B19778" s="43"/>
    </row>
    <row r="19779" spans="2:2" ht="12.75" customHeight="1" x14ac:dyDescent="0.2">
      <c r="B19779" s="43"/>
    </row>
    <row r="19780" spans="2:2" ht="12.75" customHeight="1" x14ac:dyDescent="0.2">
      <c r="B19780" s="43"/>
    </row>
    <row r="19781" spans="2:2" ht="12.75" customHeight="1" x14ac:dyDescent="0.2">
      <c r="B19781" s="43"/>
    </row>
    <row r="19782" spans="2:2" ht="12.75" customHeight="1" x14ac:dyDescent="0.2">
      <c r="B19782" s="43"/>
    </row>
    <row r="19783" spans="2:2" ht="12.75" customHeight="1" x14ac:dyDescent="0.2">
      <c r="B19783" s="43"/>
    </row>
    <row r="19784" spans="2:2" ht="12.75" customHeight="1" x14ac:dyDescent="0.2">
      <c r="B19784" s="43"/>
    </row>
    <row r="19785" spans="2:2" ht="12.75" customHeight="1" x14ac:dyDescent="0.2">
      <c r="B19785" s="43"/>
    </row>
    <row r="19786" spans="2:2" ht="12.75" customHeight="1" x14ac:dyDescent="0.2">
      <c r="B19786" s="43"/>
    </row>
    <row r="19787" spans="2:2" ht="12.75" customHeight="1" x14ac:dyDescent="0.2">
      <c r="B19787" s="43"/>
    </row>
    <row r="19788" spans="2:2" ht="12.75" customHeight="1" x14ac:dyDescent="0.2">
      <c r="B19788" s="43"/>
    </row>
    <row r="19789" spans="2:2" ht="12.75" customHeight="1" x14ac:dyDescent="0.2">
      <c r="B19789" s="43"/>
    </row>
    <row r="19790" spans="2:2" ht="12.75" customHeight="1" x14ac:dyDescent="0.2">
      <c r="B19790" s="43"/>
    </row>
    <row r="19791" spans="2:2" ht="12.75" customHeight="1" x14ac:dyDescent="0.2">
      <c r="B19791" s="43"/>
    </row>
    <row r="19792" spans="2:2" ht="12.75" customHeight="1" x14ac:dyDescent="0.2">
      <c r="B19792" s="43"/>
    </row>
    <row r="19793" spans="2:2" ht="12.75" customHeight="1" x14ac:dyDescent="0.2">
      <c r="B19793" s="43"/>
    </row>
    <row r="19794" spans="2:2" ht="12.75" customHeight="1" x14ac:dyDescent="0.2">
      <c r="B19794" s="43"/>
    </row>
    <row r="19795" spans="2:2" ht="12.75" customHeight="1" x14ac:dyDescent="0.2">
      <c r="B19795" s="43"/>
    </row>
    <row r="19796" spans="2:2" ht="12.75" customHeight="1" x14ac:dyDescent="0.2">
      <c r="B19796" s="43"/>
    </row>
    <row r="19797" spans="2:2" ht="12.75" customHeight="1" x14ac:dyDescent="0.2">
      <c r="B19797" s="43"/>
    </row>
    <row r="19798" spans="2:2" ht="12.75" customHeight="1" x14ac:dyDescent="0.2">
      <c r="B19798" s="43"/>
    </row>
    <row r="19799" spans="2:2" ht="12.75" customHeight="1" x14ac:dyDescent="0.2">
      <c r="B19799" s="43"/>
    </row>
    <row r="19800" spans="2:2" ht="12.75" customHeight="1" x14ac:dyDescent="0.2">
      <c r="B19800" s="43"/>
    </row>
    <row r="19801" spans="2:2" ht="12.75" customHeight="1" x14ac:dyDescent="0.2">
      <c r="B19801" s="43"/>
    </row>
    <row r="19802" spans="2:2" ht="12.75" customHeight="1" x14ac:dyDescent="0.2">
      <c r="B19802" s="43"/>
    </row>
    <row r="19803" spans="2:2" ht="12.75" customHeight="1" x14ac:dyDescent="0.2">
      <c r="B19803" s="43"/>
    </row>
    <row r="19804" spans="2:2" ht="12.75" customHeight="1" x14ac:dyDescent="0.2">
      <c r="B19804" s="43"/>
    </row>
    <row r="19805" spans="2:2" ht="12.75" customHeight="1" x14ac:dyDescent="0.2">
      <c r="B19805" s="43"/>
    </row>
    <row r="19806" spans="2:2" ht="12.75" customHeight="1" x14ac:dyDescent="0.2">
      <c r="B19806" s="43"/>
    </row>
    <row r="19807" spans="2:2" ht="12.75" customHeight="1" x14ac:dyDescent="0.2">
      <c r="B19807" s="43"/>
    </row>
    <row r="19808" spans="2:2" ht="12.75" customHeight="1" x14ac:dyDescent="0.2">
      <c r="B19808" s="43"/>
    </row>
    <row r="19809" spans="2:2" ht="12.75" customHeight="1" x14ac:dyDescent="0.2">
      <c r="B19809" s="43"/>
    </row>
    <row r="19810" spans="2:2" ht="12.75" customHeight="1" x14ac:dyDescent="0.2">
      <c r="B19810" s="43"/>
    </row>
    <row r="19811" spans="2:2" ht="12.75" customHeight="1" x14ac:dyDescent="0.2">
      <c r="B19811" s="43"/>
    </row>
    <row r="19812" spans="2:2" ht="12.75" customHeight="1" x14ac:dyDescent="0.2">
      <c r="B19812" s="43"/>
    </row>
    <row r="19813" spans="2:2" ht="12.75" customHeight="1" x14ac:dyDescent="0.2">
      <c r="B19813" s="43"/>
    </row>
    <row r="19814" spans="2:2" ht="12.75" customHeight="1" x14ac:dyDescent="0.2">
      <c r="B19814" s="43"/>
    </row>
    <row r="19815" spans="2:2" ht="12.75" customHeight="1" x14ac:dyDescent="0.2">
      <c r="B19815" s="43"/>
    </row>
    <row r="19816" spans="2:2" ht="12.75" customHeight="1" x14ac:dyDescent="0.2">
      <c r="B19816" s="43"/>
    </row>
    <row r="19817" spans="2:2" ht="12.75" customHeight="1" x14ac:dyDescent="0.2">
      <c r="B19817" s="43"/>
    </row>
    <row r="19818" spans="2:2" ht="12.75" customHeight="1" x14ac:dyDescent="0.2">
      <c r="B19818" s="43"/>
    </row>
    <row r="19819" spans="2:2" ht="12.75" customHeight="1" x14ac:dyDescent="0.2">
      <c r="B19819" s="43"/>
    </row>
    <row r="19820" spans="2:2" ht="12.75" customHeight="1" x14ac:dyDescent="0.2">
      <c r="B19820" s="43"/>
    </row>
    <row r="19821" spans="2:2" ht="12.75" customHeight="1" x14ac:dyDescent="0.2">
      <c r="B19821" s="43"/>
    </row>
    <row r="19822" spans="2:2" ht="12.75" customHeight="1" x14ac:dyDescent="0.2">
      <c r="B19822" s="43"/>
    </row>
    <row r="19823" spans="2:2" ht="12.75" customHeight="1" x14ac:dyDescent="0.2">
      <c r="B19823" s="43"/>
    </row>
    <row r="19824" spans="2:2" ht="12.75" customHeight="1" x14ac:dyDescent="0.2">
      <c r="B19824" s="43"/>
    </row>
    <row r="19825" spans="2:2" ht="12.75" customHeight="1" x14ac:dyDescent="0.2">
      <c r="B19825" s="43"/>
    </row>
    <row r="19826" spans="2:2" ht="12.75" customHeight="1" x14ac:dyDescent="0.2">
      <c r="B19826" s="43"/>
    </row>
    <row r="19827" spans="2:2" ht="12.75" customHeight="1" x14ac:dyDescent="0.2">
      <c r="B19827" s="43"/>
    </row>
    <row r="19828" spans="2:2" ht="12.75" customHeight="1" x14ac:dyDescent="0.2">
      <c r="B19828" s="43"/>
    </row>
    <row r="19829" spans="2:2" ht="12.75" customHeight="1" x14ac:dyDescent="0.2">
      <c r="B19829" s="43"/>
    </row>
    <row r="19830" spans="2:2" ht="12.75" customHeight="1" x14ac:dyDescent="0.2">
      <c r="B19830" s="43"/>
    </row>
    <row r="19831" spans="2:2" ht="12.75" customHeight="1" x14ac:dyDescent="0.2">
      <c r="B19831" s="43"/>
    </row>
    <row r="19832" spans="2:2" ht="12.75" customHeight="1" x14ac:dyDescent="0.2">
      <c r="B19832" s="43"/>
    </row>
    <row r="19833" spans="2:2" ht="12.75" customHeight="1" x14ac:dyDescent="0.2">
      <c r="B19833" s="43"/>
    </row>
    <row r="19834" spans="2:2" ht="12.75" customHeight="1" x14ac:dyDescent="0.2">
      <c r="B19834" s="43"/>
    </row>
    <row r="19835" spans="2:2" ht="12.75" customHeight="1" x14ac:dyDescent="0.2">
      <c r="B19835" s="43"/>
    </row>
    <row r="19836" spans="2:2" ht="12.75" customHeight="1" x14ac:dyDescent="0.2">
      <c r="B19836" s="43"/>
    </row>
    <row r="19837" spans="2:2" ht="12.75" customHeight="1" x14ac:dyDescent="0.2">
      <c r="B19837" s="43"/>
    </row>
    <row r="19838" spans="2:2" ht="12.75" customHeight="1" x14ac:dyDescent="0.2">
      <c r="B19838" s="43"/>
    </row>
    <row r="19839" spans="2:2" ht="12.75" customHeight="1" x14ac:dyDescent="0.2">
      <c r="B19839" s="43"/>
    </row>
    <row r="19840" spans="2:2" ht="12.75" customHeight="1" x14ac:dyDescent="0.2">
      <c r="B19840" s="43"/>
    </row>
    <row r="19841" spans="2:2" ht="12.75" customHeight="1" x14ac:dyDescent="0.2">
      <c r="B19841" s="43"/>
    </row>
    <row r="19842" spans="2:2" ht="12.75" customHeight="1" x14ac:dyDescent="0.2">
      <c r="B19842" s="43"/>
    </row>
    <row r="19843" spans="2:2" ht="12.75" customHeight="1" x14ac:dyDescent="0.2">
      <c r="B19843" s="43"/>
    </row>
    <row r="19844" spans="2:2" ht="12.75" customHeight="1" x14ac:dyDescent="0.2">
      <c r="B19844" s="43"/>
    </row>
    <row r="19845" spans="2:2" ht="12.75" customHeight="1" x14ac:dyDescent="0.2">
      <c r="B19845" s="43"/>
    </row>
    <row r="19846" spans="2:2" ht="12.75" customHeight="1" x14ac:dyDescent="0.2">
      <c r="B19846" s="43"/>
    </row>
    <row r="19847" spans="2:2" ht="12.75" customHeight="1" x14ac:dyDescent="0.2">
      <c r="B19847" s="43"/>
    </row>
    <row r="19848" spans="2:2" ht="12.75" customHeight="1" x14ac:dyDescent="0.2">
      <c r="B19848" s="43"/>
    </row>
    <row r="19849" spans="2:2" ht="12.75" customHeight="1" x14ac:dyDescent="0.2">
      <c r="B19849" s="43"/>
    </row>
    <row r="19850" spans="2:2" ht="12.75" customHeight="1" x14ac:dyDescent="0.2">
      <c r="B19850" s="43"/>
    </row>
    <row r="19851" spans="2:2" ht="12.75" customHeight="1" x14ac:dyDescent="0.2">
      <c r="B19851" s="43"/>
    </row>
    <row r="19852" spans="2:2" ht="12.75" customHeight="1" x14ac:dyDescent="0.2">
      <c r="B19852" s="43"/>
    </row>
    <row r="19853" spans="2:2" ht="12.75" customHeight="1" x14ac:dyDescent="0.2">
      <c r="B19853" s="43"/>
    </row>
    <row r="19854" spans="2:2" ht="12.75" customHeight="1" x14ac:dyDescent="0.2">
      <c r="B19854" s="43"/>
    </row>
    <row r="19855" spans="2:2" ht="12.75" customHeight="1" x14ac:dyDescent="0.2">
      <c r="B19855" s="43"/>
    </row>
    <row r="19856" spans="2:2" ht="12.75" customHeight="1" x14ac:dyDescent="0.2">
      <c r="B19856" s="43"/>
    </row>
    <row r="19857" spans="2:2" ht="12.75" customHeight="1" x14ac:dyDescent="0.2">
      <c r="B19857" s="43"/>
    </row>
    <row r="19858" spans="2:2" ht="12.75" customHeight="1" x14ac:dyDescent="0.2">
      <c r="B19858" s="43"/>
    </row>
    <row r="19859" spans="2:2" ht="12.75" customHeight="1" x14ac:dyDescent="0.2">
      <c r="B19859" s="43"/>
    </row>
    <row r="19860" spans="2:2" ht="12.75" customHeight="1" x14ac:dyDescent="0.2">
      <c r="B19860" s="43"/>
    </row>
    <row r="19861" spans="2:2" ht="12.75" customHeight="1" x14ac:dyDescent="0.2">
      <c r="B19861" s="43"/>
    </row>
    <row r="19862" spans="2:2" ht="12.75" customHeight="1" x14ac:dyDescent="0.2">
      <c r="B19862" s="43"/>
    </row>
    <row r="19863" spans="2:2" ht="12.75" customHeight="1" x14ac:dyDescent="0.2">
      <c r="B19863" s="43"/>
    </row>
    <row r="19864" spans="2:2" ht="12.75" customHeight="1" x14ac:dyDescent="0.2">
      <c r="B19864" s="43"/>
    </row>
    <row r="19865" spans="2:2" ht="12.75" customHeight="1" x14ac:dyDescent="0.2">
      <c r="B19865" s="43"/>
    </row>
    <row r="19866" spans="2:2" ht="12.75" customHeight="1" x14ac:dyDescent="0.2">
      <c r="B19866" s="43"/>
    </row>
    <row r="19867" spans="2:2" ht="12.75" customHeight="1" x14ac:dyDescent="0.2">
      <c r="B19867" s="43"/>
    </row>
    <row r="19868" spans="2:2" ht="12.75" customHeight="1" x14ac:dyDescent="0.2">
      <c r="B19868" s="43"/>
    </row>
    <row r="19869" spans="2:2" ht="12.75" customHeight="1" x14ac:dyDescent="0.2">
      <c r="B19869" s="43"/>
    </row>
    <row r="19870" spans="2:2" ht="12.75" customHeight="1" x14ac:dyDescent="0.2">
      <c r="B19870" s="43"/>
    </row>
    <row r="19871" spans="2:2" ht="12.75" customHeight="1" x14ac:dyDescent="0.2">
      <c r="B19871" s="43"/>
    </row>
    <row r="19872" spans="2:2" ht="12.75" customHeight="1" x14ac:dyDescent="0.2">
      <c r="B19872" s="43"/>
    </row>
    <row r="19873" spans="2:2" ht="12.75" customHeight="1" x14ac:dyDescent="0.2">
      <c r="B19873" s="43"/>
    </row>
    <row r="19874" spans="2:2" ht="12.75" customHeight="1" x14ac:dyDescent="0.2">
      <c r="B19874" s="43"/>
    </row>
    <row r="19875" spans="2:2" ht="12.75" customHeight="1" x14ac:dyDescent="0.2">
      <c r="B19875" s="43"/>
    </row>
    <row r="19876" spans="2:2" ht="12.75" customHeight="1" x14ac:dyDescent="0.2">
      <c r="B19876" s="43"/>
    </row>
    <row r="19877" spans="2:2" ht="12.75" customHeight="1" x14ac:dyDescent="0.2">
      <c r="B19877" s="43"/>
    </row>
    <row r="19878" spans="2:2" ht="12.75" customHeight="1" x14ac:dyDescent="0.2">
      <c r="B19878" s="43"/>
    </row>
    <row r="19879" spans="2:2" ht="12.75" customHeight="1" x14ac:dyDescent="0.2">
      <c r="B19879" s="43"/>
    </row>
    <row r="19880" spans="2:2" ht="12.75" customHeight="1" x14ac:dyDescent="0.2">
      <c r="B19880" s="43"/>
    </row>
    <row r="19881" spans="2:2" ht="12.75" customHeight="1" x14ac:dyDescent="0.2">
      <c r="B19881" s="43"/>
    </row>
    <row r="19882" spans="2:2" ht="12.75" customHeight="1" x14ac:dyDescent="0.2">
      <c r="B19882" s="43"/>
    </row>
    <row r="19883" spans="2:2" ht="12.75" customHeight="1" x14ac:dyDescent="0.2">
      <c r="B19883" s="43"/>
    </row>
    <row r="19884" spans="2:2" ht="12.75" customHeight="1" x14ac:dyDescent="0.2">
      <c r="B19884" s="43"/>
    </row>
    <row r="19885" spans="2:2" ht="12.75" customHeight="1" x14ac:dyDescent="0.2">
      <c r="B19885" s="43"/>
    </row>
    <row r="19886" spans="2:2" ht="12.75" customHeight="1" x14ac:dyDescent="0.2">
      <c r="B19886" s="43"/>
    </row>
    <row r="19887" spans="2:2" ht="12.75" customHeight="1" x14ac:dyDescent="0.2">
      <c r="B19887" s="43"/>
    </row>
    <row r="19888" spans="2:2" ht="12.75" customHeight="1" x14ac:dyDescent="0.2">
      <c r="B19888" s="43"/>
    </row>
    <row r="19889" spans="2:2" ht="12.75" customHeight="1" x14ac:dyDescent="0.2">
      <c r="B19889" s="43"/>
    </row>
    <row r="19890" spans="2:2" ht="12.75" customHeight="1" x14ac:dyDescent="0.2">
      <c r="B19890" s="43"/>
    </row>
    <row r="19891" spans="2:2" ht="12.75" customHeight="1" x14ac:dyDescent="0.2">
      <c r="B19891" s="43"/>
    </row>
    <row r="19892" spans="2:2" ht="12.75" customHeight="1" x14ac:dyDescent="0.2">
      <c r="B19892" s="43"/>
    </row>
    <row r="19893" spans="2:2" ht="12.75" customHeight="1" x14ac:dyDescent="0.2">
      <c r="B19893" s="43"/>
    </row>
    <row r="19894" spans="2:2" ht="12.75" customHeight="1" x14ac:dyDescent="0.2">
      <c r="B19894" s="43"/>
    </row>
    <row r="19895" spans="2:2" ht="12.75" customHeight="1" x14ac:dyDescent="0.2">
      <c r="B19895" s="43"/>
    </row>
    <row r="19896" spans="2:2" ht="12.75" customHeight="1" x14ac:dyDescent="0.2">
      <c r="B19896" s="43"/>
    </row>
    <row r="19897" spans="2:2" ht="12.75" customHeight="1" x14ac:dyDescent="0.2">
      <c r="B19897" s="43"/>
    </row>
    <row r="19898" spans="2:2" ht="12.75" customHeight="1" x14ac:dyDescent="0.2">
      <c r="B19898" s="43"/>
    </row>
    <row r="19899" spans="2:2" ht="12.75" customHeight="1" x14ac:dyDescent="0.2">
      <c r="B19899" s="43"/>
    </row>
    <row r="19900" spans="2:2" ht="12.75" customHeight="1" x14ac:dyDescent="0.2">
      <c r="B19900" s="43"/>
    </row>
    <row r="19901" spans="2:2" ht="12.75" customHeight="1" x14ac:dyDescent="0.2">
      <c r="B19901" s="43"/>
    </row>
    <row r="19902" spans="2:2" ht="12.75" customHeight="1" x14ac:dyDescent="0.2">
      <c r="B19902" s="43"/>
    </row>
    <row r="19903" spans="2:2" ht="12.75" customHeight="1" x14ac:dyDescent="0.2">
      <c r="B19903" s="43"/>
    </row>
    <row r="19904" spans="2:2" ht="12.75" customHeight="1" x14ac:dyDescent="0.2">
      <c r="B19904" s="43"/>
    </row>
    <row r="19905" spans="2:2" ht="12.75" customHeight="1" x14ac:dyDescent="0.2">
      <c r="B19905" s="43"/>
    </row>
    <row r="19906" spans="2:2" ht="12.75" customHeight="1" x14ac:dyDescent="0.2">
      <c r="B19906" s="43"/>
    </row>
    <row r="19907" spans="2:2" ht="12.75" customHeight="1" x14ac:dyDescent="0.2">
      <c r="B19907" s="43"/>
    </row>
    <row r="19908" spans="2:2" ht="12.75" customHeight="1" x14ac:dyDescent="0.2">
      <c r="B19908" s="43"/>
    </row>
    <row r="19909" spans="2:2" ht="12.75" customHeight="1" x14ac:dyDescent="0.2">
      <c r="B19909" s="43"/>
    </row>
    <row r="19910" spans="2:2" ht="12.75" customHeight="1" x14ac:dyDescent="0.2">
      <c r="B19910" s="43"/>
    </row>
    <row r="19911" spans="2:2" ht="12.75" customHeight="1" x14ac:dyDescent="0.2">
      <c r="B19911" s="43"/>
    </row>
    <row r="19912" spans="2:2" ht="12.75" customHeight="1" x14ac:dyDescent="0.2">
      <c r="B19912" s="43"/>
    </row>
    <row r="19913" spans="2:2" ht="12.75" customHeight="1" x14ac:dyDescent="0.2">
      <c r="B19913" s="43"/>
    </row>
    <row r="19914" spans="2:2" ht="12.75" customHeight="1" x14ac:dyDescent="0.2">
      <c r="B19914" s="43"/>
    </row>
    <row r="19915" spans="2:2" ht="12.75" customHeight="1" x14ac:dyDescent="0.2">
      <c r="B19915" s="43"/>
    </row>
    <row r="19916" spans="2:2" ht="12.75" customHeight="1" x14ac:dyDescent="0.2">
      <c r="B19916" s="43"/>
    </row>
    <row r="19917" spans="2:2" ht="12.75" customHeight="1" x14ac:dyDescent="0.2">
      <c r="B19917" s="43"/>
    </row>
    <row r="19918" spans="2:2" ht="12.75" customHeight="1" x14ac:dyDescent="0.2">
      <c r="B19918" s="43"/>
    </row>
    <row r="19919" spans="2:2" ht="12.75" customHeight="1" x14ac:dyDescent="0.2">
      <c r="B19919" s="43"/>
    </row>
    <row r="19920" spans="2:2" ht="12.75" customHeight="1" x14ac:dyDescent="0.2">
      <c r="B19920" s="43"/>
    </row>
    <row r="19921" spans="2:2" ht="12.75" customHeight="1" x14ac:dyDescent="0.2">
      <c r="B19921" s="43"/>
    </row>
    <row r="19922" spans="2:2" ht="12.75" customHeight="1" x14ac:dyDescent="0.2">
      <c r="B19922" s="43"/>
    </row>
    <row r="19923" spans="2:2" ht="12.75" customHeight="1" x14ac:dyDescent="0.2">
      <c r="B19923" s="43"/>
    </row>
    <row r="19924" spans="2:2" ht="12.75" customHeight="1" x14ac:dyDescent="0.2">
      <c r="B19924" s="43"/>
    </row>
    <row r="19925" spans="2:2" ht="12.75" customHeight="1" x14ac:dyDescent="0.2">
      <c r="B19925" s="43"/>
    </row>
    <row r="19926" spans="2:2" ht="12.75" customHeight="1" x14ac:dyDescent="0.2">
      <c r="B19926" s="43"/>
    </row>
    <row r="19927" spans="2:2" ht="12.75" customHeight="1" x14ac:dyDescent="0.2">
      <c r="B19927" s="43"/>
    </row>
    <row r="19928" spans="2:2" ht="12.75" customHeight="1" x14ac:dyDescent="0.2">
      <c r="B19928" s="43"/>
    </row>
    <row r="19929" spans="2:2" ht="12.75" customHeight="1" x14ac:dyDescent="0.2">
      <c r="B19929" s="43"/>
    </row>
    <row r="19930" spans="2:2" ht="12.75" customHeight="1" x14ac:dyDescent="0.2">
      <c r="B19930" s="43"/>
    </row>
    <row r="19931" spans="2:2" ht="12.75" customHeight="1" x14ac:dyDescent="0.2">
      <c r="B19931" s="43"/>
    </row>
    <row r="19932" spans="2:2" ht="12.75" customHeight="1" x14ac:dyDescent="0.2">
      <c r="B19932" s="43"/>
    </row>
    <row r="19933" spans="2:2" ht="12.75" customHeight="1" x14ac:dyDescent="0.2">
      <c r="B19933" s="43"/>
    </row>
    <row r="19934" spans="2:2" ht="12.75" customHeight="1" x14ac:dyDescent="0.2">
      <c r="B19934" s="43"/>
    </row>
    <row r="19935" spans="2:2" ht="12.75" customHeight="1" x14ac:dyDescent="0.2">
      <c r="B19935" s="43"/>
    </row>
    <row r="19936" spans="2:2" ht="12.75" customHeight="1" x14ac:dyDescent="0.2">
      <c r="B19936" s="43"/>
    </row>
    <row r="19937" spans="2:2" ht="12.75" customHeight="1" x14ac:dyDescent="0.2">
      <c r="B19937" s="43"/>
    </row>
    <row r="19938" spans="2:2" ht="12.75" customHeight="1" x14ac:dyDescent="0.2">
      <c r="B19938" s="43"/>
    </row>
    <row r="19939" spans="2:2" ht="12.75" customHeight="1" x14ac:dyDescent="0.2">
      <c r="B19939" s="43"/>
    </row>
    <row r="19940" spans="2:2" ht="12.75" customHeight="1" x14ac:dyDescent="0.2">
      <c r="B19940" s="43"/>
    </row>
    <row r="19941" spans="2:2" ht="12.75" customHeight="1" x14ac:dyDescent="0.2">
      <c r="B19941" s="43"/>
    </row>
    <row r="19942" spans="2:2" ht="12.75" customHeight="1" x14ac:dyDescent="0.2">
      <c r="B19942" s="43"/>
    </row>
    <row r="19943" spans="2:2" ht="12.75" customHeight="1" x14ac:dyDescent="0.2">
      <c r="B19943" s="43"/>
    </row>
    <row r="19944" spans="2:2" ht="12.75" customHeight="1" x14ac:dyDescent="0.2">
      <c r="B19944" s="43"/>
    </row>
    <row r="19945" spans="2:2" ht="12.75" customHeight="1" x14ac:dyDescent="0.2">
      <c r="B19945" s="43"/>
    </row>
    <row r="19946" spans="2:2" ht="12.75" customHeight="1" x14ac:dyDescent="0.2">
      <c r="B19946" s="43"/>
    </row>
    <row r="19947" spans="2:2" ht="12.75" customHeight="1" x14ac:dyDescent="0.2">
      <c r="B19947" s="43"/>
    </row>
    <row r="19948" spans="2:2" ht="12.75" customHeight="1" x14ac:dyDescent="0.2">
      <c r="B19948" s="43"/>
    </row>
    <row r="19949" spans="2:2" ht="12.75" customHeight="1" x14ac:dyDescent="0.2">
      <c r="B19949" s="43"/>
    </row>
    <row r="19950" spans="2:2" ht="12.75" customHeight="1" x14ac:dyDescent="0.2">
      <c r="B19950" s="43"/>
    </row>
    <row r="19951" spans="2:2" ht="12.75" customHeight="1" x14ac:dyDescent="0.2">
      <c r="B19951" s="43"/>
    </row>
    <row r="19952" spans="2:2" ht="12.75" customHeight="1" x14ac:dyDescent="0.2">
      <c r="B19952" s="43"/>
    </row>
    <row r="19953" spans="2:2" ht="12.75" customHeight="1" x14ac:dyDescent="0.2">
      <c r="B19953" s="43"/>
    </row>
    <row r="19954" spans="2:2" ht="12.75" customHeight="1" x14ac:dyDescent="0.2">
      <c r="B19954" s="43"/>
    </row>
    <row r="19955" spans="2:2" ht="12.75" customHeight="1" x14ac:dyDescent="0.2">
      <c r="B19955" s="43"/>
    </row>
    <row r="19956" spans="2:2" ht="12.75" customHeight="1" x14ac:dyDescent="0.2">
      <c r="B19956" s="43"/>
    </row>
    <row r="19957" spans="2:2" ht="12.75" customHeight="1" x14ac:dyDescent="0.2">
      <c r="B19957" s="43"/>
    </row>
    <row r="19958" spans="2:2" ht="12.75" customHeight="1" x14ac:dyDescent="0.2">
      <c r="B19958" s="43"/>
    </row>
    <row r="19959" spans="2:2" ht="12.75" customHeight="1" x14ac:dyDescent="0.2">
      <c r="B19959" s="43"/>
    </row>
    <row r="19960" spans="2:2" ht="12.75" customHeight="1" x14ac:dyDescent="0.2">
      <c r="B19960" s="43"/>
    </row>
    <row r="19961" spans="2:2" ht="12.75" customHeight="1" x14ac:dyDescent="0.2">
      <c r="B19961" s="43"/>
    </row>
    <row r="19962" spans="2:2" ht="12.75" customHeight="1" x14ac:dyDescent="0.2">
      <c r="B19962" s="43"/>
    </row>
    <row r="19963" spans="2:2" ht="12.75" customHeight="1" x14ac:dyDescent="0.2">
      <c r="B19963" s="43"/>
    </row>
    <row r="19964" spans="2:2" ht="12.75" customHeight="1" x14ac:dyDescent="0.2">
      <c r="B19964" s="43"/>
    </row>
    <row r="19965" spans="2:2" ht="12.75" customHeight="1" x14ac:dyDescent="0.2">
      <c r="B19965" s="43"/>
    </row>
    <row r="19966" spans="2:2" ht="12.75" customHeight="1" x14ac:dyDescent="0.2">
      <c r="B19966" s="43"/>
    </row>
    <row r="19967" spans="2:2" ht="12.75" customHeight="1" x14ac:dyDescent="0.2">
      <c r="B19967" s="43"/>
    </row>
    <row r="19968" spans="2:2" ht="12.75" customHeight="1" x14ac:dyDescent="0.2">
      <c r="B19968" s="43"/>
    </row>
    <row r="19969" spans="2:2" ht="12.75" customHeight="1" x14ac:dyDescent="0.2">
      <c r="B19969" s="43"/>
    </row>
    <row r="19970" spans="2:2" ht="12.75" customHeight="1" x14ac:dyDescent="0.2">
      <c r="B19970" s="43"/>
    </row>
    <row r="19971" spans="2:2" ht="12.75" customHeight="1" x14ac:dyDescent="0.2">
      <c r="B19971" s="43"/>
    </row>
    <row r="19972" spans="2:2" ht="12.75" customHeight="1" x14ac:dyDescent="0.2">
      <c r="B19972" s="43"/>
    </row>
    <row r="19973" spans="2:2" ht="12.75" customHeight="1" x14ac:dyDescent="0.2">
      <c r="B19973" s="43"/>
    </row>
    <row r="19974" spans="2:2" ht="12.75" customHeight="1" x14ac:dyDescent="0.2">
      <c r="B19974" s="43"/>
    </row>
    <row r="19975" spans="2:2" ht="12.75" customHeight="1" x14ac:dyDescent="0.2">
      <c r="B19975" s="43"/>
    </row>
    <row r="19976" spans="2:2" ht="12.75" customHeight="1" x14ac:dyDescent="0.2">
      <c r="B19976" s="43"/>
    </row>
    <row r="19977" spans="2:2" ht="12.75" customHeight="1" x14ac:dyDescent="0.2">
      <c r="B19977" s="43"/>
    </row>
    <row r="19978" spans="2:2" ht="12.75" customHeight="1" x14ac:dyDescent="0.2">
      <c r="B19978" s="43"/>
    </row>
    <row r="19979" spans="2:2" ht="12.75" customHeight="1" x14ac:dyDescent="0.2">
      <c r="B19979" s="43"/>
    </row>
    <row r="19980" spans="2:2" ht="12.75" customHeight="1" x14ac:dyDescent="0.2">
      <c r="B19980" s="43"/>
    </row>
    <row r="19981" spans="2:2" ht="12.75" customHeight="1" x14ac:dyDescent="0.2">
      <c r="B19981" s="43"/>
    </row>
    <row r="19982" spans="2:2" ht="12.75" customHeight="1" x14ac:dyDescent="0.2">
      <c r="B19982" s="43"/>
    </row>
    <row r="19983" spans="2:2" ht="12.75" customHeight="1" x14ac:dyDescent="0.2">
      <c r="B19983" s="43"/>
    </row>
    <row r="19984" spans="2:2" ht="12.75" customHeight="1" x14ac:dyDescent="0.2">
      <c r="B19984" s="43"/>
    </row>
    <row r="19985" spans="2:2" ht="12.75" customHeight="1" x14ac:dyDescent="0.2">
      <c r="B19985" s="43"/>
    </row>
    <row r="19986" spans="2:2" ht="12.75" customHeight="1" x14ac:dyDescent="0.2">
      <c r="B19986" s="43"/>
    </row>
    <row r="19987" spans="2:2" ht="12.75" customHeight="1" x14ac:dyDescent="0.2">
      <c r="B19987" s="43"/>
    </row>
    <row r="19988" spans="2:2" ht="12.75" customHeight="1" x14ac:dyDescent="0.2">
      <c r="B19988" s="43"/>
    </row>
    <row r="19989" spans="2:2" ht="12.75" customHeight="1" x14ac:dyDescent="0.2">
      <c r="B19989" s="43"/>
    </row>
    <row r="19990" spans="2:2" ht="12.75" customHeight="1" x14ac:dyDescent="0.2">
      <c r="B19990" s="43"/>
    </row>
    <row r="19991" spans="2:2" ht="12.75" customHeight="1" x14ac:dyDescent="0.2">
      <c r="B19991" s="43"/>
    </row>
    <row r="19992" spans="2:2" ht="12.75" customHeight="1" x14ac:dyDescent="0.2">
      <c r="B19992" s="43"/>
    </row>
    <row r="19993" spans="2:2" ht="12.75" customHeight="1" x14ac:dyDescent="0.2">
      <c r="B19993" s="43"/>
    </row>
    <row r="19994" spans="2:2" ht="12.75" customHeight="1" x14ac:dyDescent="0.2">
      <c r="B19994" s="43"/>
    </row>
    <row r="19995" spans="2:2" ht="12.75" customHeight="1" x14ac:dyDescent="0.2">
      <c r="B19995" s="43"/>
    </row>
    <row r="19996" spans="2:2" ht="12.75" customHeight="1" x14ac:dyDescent="0.2">
      <c r="B19996" s="43"/>
    </row>
    <row r="19997" spans="2:2" ht="12.75" customHeight="1" x14ac:dyDescent="0.2">
      <c r="B19997" s="43"/>
    </row>
    <row r="19998" spans="2:2" ht="12.75" customHeight="1" x14ac:dyDescent="0.2">
      <c r="B19998" s="43"/>
    </row>
    <row r="19999" spans="2:2" ht="12.75" customHeight="1" x14ac:dyDescent="0.2">
      <c r="B19999" s="43"/>
    </row>
    <row r="20000" spans="2:2" ht="12.75" customHeight="1" x14ac:dyDescent="0.2">
      <c r="B20000" s="43"/>
    </row>
    <row r="20001" spans="2:2" ht="12.75" customHeight="1" x14ac:dyDescent="0.2">
      <c r="B20001" s="43"/>
    </row>
    <row r="20002" spans="2:2" ht="12.75" customHeight="1" x14ac:dyDescent="0.2">
      <c r="B20002" s="43"/>
    </row>
    <row r="20003" spans="2:2" ht="12.75" customHeight="1" x14ac:dyDescent="0.2">
      <c r="B20003" s="43"/>
    </row>
    <row r="20004" spans="2:2" ht="12.75" customHeight="1" x14ac:dyDescent="0.2">
      <c r="B20004" s="43"/>
    </row>
    <row r="20005" spans="2:2" ht="12.75" customHeight="1" x14ac:dyDescent="0.2">
      <c r="B20005" s="43"/>
    </row>
    <row r="20006" spans="2:2" ht="12.75" customHeight="1" x14ac:dyDescent="0.2">
      <c r="B20006" s="43"/>
    </row>
    <row r="20007" spans="2:2" ht="12.75" customHeight="1" x14ac:dyDescent="0.2">
      <c r="B20007" s="43"/>
    </row>
    <row r="20008" spans="2:2" ht="12.75" customHeight="1" x14ac:dyDescent="0.2">
      <c r="B20008" s="43"/>
    </row>
    <row r="20009" spans="2:2" ht="12.75" customHeight="1" x14ac:dyDescent="0.2">
      <c r="B20009" s="43"/>
    </row>
    <row r="20010" spans="2:2" ht="12.75" customHeight="1" x14ac:dyDescent="0.2">
      <c r="B20010" s="43"/>
    </row>
    <row r="20011" spans="2:2" ht="12.75" customHeight="1" x14ac:dyDescent="0.2">
      <c r="B20011" s="43"/>
    </row>
    <row r="20012" spans="2:2" ht="12.75" customHeight="1" x14ac:dyDescent="0.2">
      <c r="B20012" s="43"/>
    </row>
    <row r="20013" spans="2:2" ht="12.75" customHeight="1" x14ac:dyDescent="0.2">
      <c r="B20013" s="43"/>
    </row>
    <row r="20014" spans="2:2" ht="12.75" customHeight="1" x14ac:dyDescent="0.2">
      <c r="B20014" s="43"/>
    </row>
    <row r="20015" spans="2:2" ht="12.75" customHeight="1" x14ac:dyDescent="0.2">
      <c r="B20015" s="43"/>
    </row>
    <row r="20016" spans="2:2" ht="12.75" customHeight="1" x14ac:dyDescent="0.2">
      <c r="B20016" s="43"/>
    </row>
    <row r="20017" spans="2:2" ht="12.75" customHeight="1" x14ac:dyDescent="0.2">
      <c r="B20017" s="43"/>
    </row>
    <row r="20018" spans="2:2" ht="12.75" customHeight="1" x14ac:dyDescent="0.2">
      <c r="B20018" s="43"/>
    </row>
    <row r="20019" spans="2:2" ht="12.75" customHeight="1" x14ac:dyDescent="0.2">
      <c r="B20019" s="43"/>
    </row>
    <row r="20020" spans="2:2" ht="12.75" customHeight="1" x14ac:dyDescent="0.2">
      <c r="B20020" s="43"/>
    </row>
    <row r="20021" spans="2:2" ht="12.75" customHeight="1" x14ac:dyDescent="0.2">
      <c r="B20021" s="43"/>
    </row>
    <row r="20022" spans="2:2" ht="12.75" customHeight="1" x14ac:dyDescent="0.2">
      <c r="B20022" s="43"/>
    </row>
    <row r="20023" spans="2:2" ht="12.75" customHeight="1" x14ac:dyDescent="0.2">
      <c r="B20023" s="43"/>
    </row>
    <row r="20024" spans="2:2" ht="12.75" customHeight="1" x14ac:dyDescent="0.2">
      <c r="B20024" s="43"/>
    </row>
    <row r="20025" spans="2:2" ht="12.75" customHeight="1" x14ac:dyDescent="0.2">
      <c r="B20025" s="43"/>
    </row>
    <row r="20026" spans="2:2" ht="12.75" customHeight="1" x14ac:dyDescent="0.2">
      <c r="B20026" s="43"/>
    </row>
    <row r="20027" spans="2:2" ht="12.75" customHeight="1" x14ac:dyDescent="0.2">
      <c r="B20027" s="43"/>
    </row>
    <row r="20028" spans="2:2" ht="12.75" customHeight="1" x14ac:dyDescent="0.2">
      <c r="B20028" s="43"/>
    </row>
    <row r="20029" spans="2:2" ht="12.75" customHeight="1" x14ac:dyDescent="0.2">
      <c r="B20029" s="43"/>
    </row>
    <row r="20030" spans="2:2" ht="12.75" customHeight="1" x14ac:dyDescent="0.2">
      <c r="B20030" s="43"/>
    </row>
    <row r="20031" spans="2:2" ht="12.75" customHeight="1" x14ac:dyDescent="0.2">
      <c r="B20031" s="43"/>
    </row>
    <row r="20032" spans="2:2" ht="12.75" customHeight="1" x14ac:dyDescent="0.2">
      <c r="B20032" s="43"/>
    </row>
    <row r="20033" spans="2:2" ht="12.75" customHeight="1" x14ac:dyDescent="0.2">
      <c r="B20033" s="43"/>
    </row>
    <row r="20034" spans="2:2" ht="12.75" customHeight="1" x14ac:dyDescent="0.2">
      <c r="B20034" s="43"/>
    </row>
    <row r="20035" spans="2:2" ht="12.75" customHeight="1" x14ac:dyDescent="0.2">
      <c r="B20035" s="43"/>
    </row>
    <row r="20036" spans="2:2" ht="12.75" customHeight="1" x14ac:dyDescent="0.2">
      <c r="B20036" s="43"/>
    </row>
    <row r="20037" spans="2:2" ht="12.75" customHeight="1" x14ac:dyDescent="0.2">
      <c r="B20037" s="43"/>
    </row>
    <row r="20038" spans="2:2" ht="12.75" customHeight="1" x14ac:dyDescent="0.2">
      <c r="B20038" s="43"/>
    </row>
    <row r="20039" spans="2:2" ht="12.75" customHeight="1" x14ac:dyDescent="0.2">
      <c r="B20039" s="43"/>
    </row>
    <row r="20040" spans="2:2" ht="12.75" customHeight="1" x14ac:dyDescent="0.2">
      <c r="B20040" s="43"/>
    </row>
    <row r="20041" spans="2:2" ht="12.75" customHeight="1" x14ac:dyDescent="0.2">
      <c r="B20041" s="43"/>
    </row>
    <row r="20042" spans="2:2" ht="12.75" customHeight="1" x14ac:dyDescent="0.2">
      <c r="B20042" s="43"/>
    </row>
    <row r="20043" spans="2:2" ht="12.75" customHeight="1" x14ac:dyDescent="0.2">
      <c r="B20043" s="43"/>
    </row>
    <row r="20044" spans="2:2" ht="12.75" customHeight="1" x14ac:dyDescent="0.2">
      <c r="B20044" s="43"/>
    </row>
    <row r="20045" spans="2:2" ht="12.75" customHeight="1" x14ac:dyDescent="0.2">
      <c r="B20045" s="43"/>
    </row>
    <row r="20046" spans="2:2" ht="12.75" customHeight="1" x14ac:dyDescent="0.2">
      <c r="B20046" s="43"/>
    </row>
    <row r="20047" spans="2:2" ht="12.75" customHeight="1" x14ac:dyDescent="0.2">
      <c r="B20047" s="43"/>
    </row>
    <row r="20048" spans="2:2" ht="12.75" customHeight="1" x14ac:dyDescent="0.2">
      <c r="B20048" s="43"/>
    </row>
    <row r="20049" spans="2:2" ht="12.75" customHeight="1" x14ac:dyDescent="0.2">
      <c r="B20049" s="43"/>
    </row>
    <row r="20050" spans="2:2" ht="12.75" customHeight="1" x14ac:dyDescent="0.2">
      <c r="B20050" s="43"/>
    </row>
    <row r="20051" spans="2:2" ht="12.75" customHeight="1" x14ac:dyDescent="0.2">
      <c r="B20051" s="43"/>
    </row>
    <row r="20052" spans="2:2" ht="12.75" customHeight="1" x14ac:dyDescent="0.2">
      <c r="B20052" s="43"/>
    </row>
    <row r="20053" spans="2:2" ht="12.75" customHeight="1" x14ac:dyDescent="0.2">
      <c r="B20053" s="43"/>
    </row>
    <row r="20054" spans="2:2" ht="12.75" customHeight="1" x14ac:dyDescent="0.2">
      <c r="B20054" s="43"/>
    </row>
    <row r="20055" spans="2:2" ht="12.75" customHeight="1" x14ac:dyDescent="0.2">
      <c r="B20055" s="43"/>
    </row>
    <row r="20056" spans="2:2" ht="12.75" customHeight="1" x14ac:dyDescent="0.2">
      <c r="B20056" s="43"/>
    </row>
    <row r="20057" spans="2:2" ht="12.75" customHeight="1" x14ac:dyDescent="0.2">
      <c r="B20057" s="43"/>
    </row>
    <row r="20058" spans="2:2" ht="12.75" customHeight="1" x14ac:dyDescent="0.2">
      <c r="B20058" s="43"/>
    </row>
    <row r="20059" spans="2:2" ht="12.75" customHeight="1" x14ac:dyDescent="0.2">
      <c r="B20059" s="43"/>
    </row>
    <row r="20060" spans="2:2" ht="12.75" customHeight="1" x14ac:dyDescent="0.2">
      <c r="B20060" s="43"/>
    </row>
    <row r="20061" spans="2:2" ht="12.75" customHeight="1" x14ac:dyDescent="0.2">
      <c r="B20061" s="43"/>
    </row>
    <row r="20062" spans="2:2" ht="12.75" customHeight="1" x14ac:dyDescent="0.2">
      <c r="B20062" s="43"/>
    </row>
    <row r="20063" spans="2:2" ht="12.75" customHeight="1" x14ac:dyDescent="0.2">
      <c r="B20063" s="43"/>
    </row>
    <row r="20064" spans="2:2" ht="12.75" customHeight="1" x14ac:dyDescent="0.2">
      <c r="B20064" s="43"/>
    </row>
    <row r="20065" spans="2:2" ht="12.75" customHeight="1" x14ac:dyDescent="0.2">
      <c r="B20065" s="43"/>
    </row>
    <row r="20066" spans="2:2" ht="12.75" customHeight="1" x14ac:dyDescent="0.2">
      <c r="B20066" s="43"/>
    </row>
    <row r="20067" spans="2:2" ht="12.75" customHeight="1" x14ac:dyDescent="0.2">
      <c r="B20067" s="43"/>
    </row>
    <row r="20068" spans="2:2" ht="12.75" customHeight="1" x14ac:dyDescent="0.2">
      <c r="B20068" s="43"/>
    </row>
    <row r="20069" spans="2:2" ht="12.75" customHeight="1" x14ac:dyDescent="0.2">
      <c r="B20069" s="43"/>
    </row>
    <row r="20070" spans="2:2" ht="12.75" customHeight="1" x14ac:dyDescent="0.2">
      <c r="B20070" s="43"/>
    </row>
    <row r="20071" spans="2:2" ht="12.75" customHeight="1" x14ac:dyDescent="0.2">
      <c r="B20071" s="43"/>
    </row>
    <row r="20072" spans="2:2" ht="12.75" customHeight="1" x14ac:dyDescent="0.2">
      <c r="B20072" s="43"/>
    </row>
    <row r="20073" spans="2:2" ht="12.75" customHeight="1" x14ac:dyDescent="0.2">
      <c r="B20073" s="43"/>
    </row>
    <row r="20074" spans="2:2" ht="12.75" customHeight="1" x14ac:dyDescent="0.2">
      <c r="B20074" s="43"/>
    </row>
    <row r="20075" spans="2:2" ht="12.75" customHeight="1" x14ac:dyDescent="0.2">
      <c r="B20075" s="43"/>
    </row>
    <row r="20076" spans="2:2" ht="12.75" customHeight="1" x14ac:dyDescent="0.2">
      <c r="B20076" s="43"/>
    </row>
    <row r="20077" spans="2:2" ht="12.75" customHeight="1" x14ac:dyDescent="0.2">
      <c r="B20077" s="43"/>
    </row>
    <row r="20078" spans="2:2" ht="12.75" customHeight="1" x14ac:dyDescent="0.2">
      <c r="B20078" s="43"/>
    </row>
    <row r="20079" spans="2:2" ht="12.75" customHeight="1" x14ac:dyDescent="0.2">
      <c r="B20079" s="43"/>
    </row>
    <row r="20080" spans="2:2" ht="12.75" customHeight="1" x14ac:dyDescent="0.2">
      <c r="B20080" s="43"/>
    </row>
    <row r="20081" spans="2:2" ht="12.75" customHeight="1" x14ac:dyDescent="0.2">
      <c r="B20081" s="43"/>
    </row>
    <row r="20082" spans="2:2" ht="12.75" customHeight="1" x14ac:dyDescent="0.2">
      <c r="B20082" s="43"/>
    </row>
    <row r="20083" spans="2:2" ht="12.75" customHeight="1" x14ac:dyDescent="0.2">
      <c r="B20083" s="43"/>
    </row>
    <row r="20084" spans="2:2" ht="12.75" customHeight="1" x14ac:dyDescent="0.2">
      <c r="B20084" s="43"/>
    </row>
    <row r="20085" spans="2:2" ht="12.75" customHeight="1" x14ac:dyDescent="0.2">
      <c r="B20085" s="43"/>
    </row>
    <row r="20086" spans="2:2" ht="12.75" customHeight="1" x14ac:dyDescent="0.2">
      <c r="B20086" s="43"/>
    </row>
    <row r="20087" spans="2:2" ht="12.75" customHeight="1" x14ac:dyDescent="0.2">
      <c r="B20087" s="43"/>
    </row>
    <row r="20088" spans="2:2" ht="12.75" customHeight="1" x14ac:dyDescent="0.2">
      <c r="B20088" s="43"/>
    </row>
    <row r="20089" spans="2:2" ht="12.75" customHeight="1" x14ac:dyDescent="0.2">
      <c r="B20089" s="43"/>
    </row>
    <row r="20090" spans="2:2" ht="12.75" customHeight="1" x14ac:dyDescent="0.2">
      <c r="B20090" s="43"/>
    </row>
    <row r="20091" spans="2:2" ht="12.75" customHeight="1" x14ac:dyDescent="0.2">
      <c r="B20091" s="43"/>
    </row>
    <row r="20092" spans="2:2" ht="12.75" customHeight="1" x14ac:dyDescent="0.2">
      <c r="B20092" s="43"/>
    </row>
    <row r="20093" spans="2:2" ht="12.75" customHeight="1" x14ac:dyDescent="0.2">
      <c r="B20093" s="43"/>
    </row>
    <row r="20094" spans="2:2" ht="12.75" customHeight="1" x14ac:dyDescent="0.2">
      <c r="B20094" s="43"/>
    </row>
    <row r="20095" spans="2:2" ht="12.75" customHeight="1" x14ac:dyDescent="0.2">
      <c r="B20095" s="43"/>
    </row>
    <row r="20096" spans="2:2" ht="12.75" customHeight="1" x14ac:dyDescent="0.2">
      <c r="B20096" s="43"/>
    </row>
    <row r="20097" spans="2:2" ht="12.75" customHeight="1" x14ac:dyDescent="0.2">
      <c r="B20097" s="43"/>
    </row>
    <row r="20098" spans="2:2" ht="12.75" customHeight="1" x14ac:dyDescent="0.2">
      <c r="B20098" s="43"/>
    </row>
    <row r="20099" spans="2:2" ht="12.75" customHeight="1" x14ac:dyDescent="0.2">
      <c r="B20099" s="43"/>
    </row>
    <row r="20100" spans="2:2" ht="12.75" customHeight="1" x14ac:dyDescent="0.2">
      <c r="B20100" s="43"/>
    </row>
    <row r="20101" spans="2:2" ht="12.75" customHeight="1" x14ac:dyDescent="0.2">
      <c r="B20101" s="43"/>
    </row>
    <row r="20102" spans="2:2" ht="12.75" customHeight="1" x14ac:dyDescent="0.2">
      <c r="B20102" s="43"/>
    </row>
    <row r="20103" spans="2:2" ht="12.75" customHeight="1" x14ac:dyDescent="0.2">
      <c r="B20103" s="43"/>
    </row>
    <row r="20104" spans="2:2" ht="12.75" customHeight="1" x14ac:dyDescent="0.2">
      <c r="B20104" s="43"/>
    </row>
    <row r="20105" spans="2:2" ht="12.75" customHeight="1" x14ac:dyDescent="0.2">
      <c r="B20105" s="43"/>
    </row>
    <row r="20106" spans="2:2" ht="12.75" customHeight="1" x14ac:dyDescent="0.2">
      <c r="B20106" s="43"/>
    </row>
    <row r="20107" spans="2:2" ht="12.75" customHeight="1" x14ac:dyDescent="0.2">
      <c r="B20107" s="43"/>
    </row>
    <row r="20108" spans="2:2" ht="12.75" customHeight="1" x14ac:dyDescent="0.2">
      <c r="B20108" s="43"/>
    </row>
    <row r="20109" spans="2:2" ht="12.75" customHeight="1" x14ac:dyDescent="0.2">
      <c r="B20109" s="43"/>
    </row>
    <row r="20110" spans="2:2" ht="12.75" customHeight="1" x14ac:dyDescent="0.2">
      <c r="B20110" s="43"/>
    </row>
    <row r="20111" spans="2:2" ht="12.75" customHeight="1" x14ac:dyDescent="0.2">
      <c r="B20111" s="43"/>
    </row>
    <row r="20112" spans="2:2" ht="12.75" customHeight="1" x14ac:dyDescent="0.2">
      <c r="B20112" s="43"/>
    </row>
    <row r="20113" spans="2:2" ht="12.75" customHeight="1" x14ac:dyDescent="0.2">
      <c r="B20113" s="43"/>
    </row>
    <row r="20114" spans="2:2" ht="12.75" customHeight="1" x14ac:dyDescent="0.2">
      <c r="B20114" s="43"/>
    </row>
    <row r="20115" spans="2:2" ht="12.75" customHeight="1" x14ac:dyDescent="0.2">
      <c r="B20115" s="43"/>
    </row>
    <row r="20116" spans="2:2" ht="12.75" customHeight="1" x14ac:dyDescent="0.2">
      <c r="B20116" s="43"/>
    </row>
    <row r="20117" spans="2:2" ht="12.75" customHeight="1" x14ac:dyDescent="0.2">
      <c r="B20117" s="43"/>
    </row>
    <row r="20118" spans="2:2" ht="12.75" customHeight="1" x14ac:dyDescent="0.2">
      <c r="B20118" s="43"/>
    </row>
    <row r="20119" spans="2:2" ht="12.75" customHeight="1" x14ac:dyDescent="0.2">
      <c r="B20119" s="43"/>
    </row>
    <row r="20120" spans="2:2" ht="12.75" customHeight="1" x14ac:dyDescent="0.2">
      <c r="B20120" s="43"/>
    </row>
    <row r="20121" spans="2:2" ht="12.75" customHeight="1" x14ac:dyDescent="0.2">
      <c r="B20121" s="43"/>
    </row>
    <row r="20122" spans="2:2" ht="12.75" customHeight="1" x14ac:dyDescent="0.2">
      <c r="B20122" s="43"/>
    </row>
    <row r="20123" spans="2:2" ht="12.75" customHeight="1" x14ac:dyDescent="0.2">
      <c r="B20123" s="43"/>
    </row>
    <row r="20124" spans="2:2" ht="12.75" customHeight="1" x14ac:dyDescent="0.2">
      <c r="B20124" s="43"/>
    </row>
    <row r="20125" spans="2:2" ht="12.75" customHeight="1" x14ac:dyDescent="0.2">
      <c r="B20125" s="43"/>
    </row>
    <row r="20126" spans="2:2" ht="12.75" customHeight="1" x14ac:dyDescent="0.2">
      <c r="B20126" s="43"/>
    </row>
    <row r="20127" spans="2:2" ht="12.75" customHeight="1" x14ac:dyDescent="0.2">
      <c r="B20127" s="43"/>
    </row>
    <row r="20128" spans="2:2" ht="12.75" customHeight="1" x14ac:dyDescent="0.2">
      <c r="B20128" s="43"/>
    </row>
    <row r="20129" spans="2:2" ht="12.75" customHeight="1" x14ac:dyDescent="0.2">
      <c r="B20129" s="43"/>
    </row>
    <row r="20130" spans="2:2" ht="12.75" customHeight="1" x14ac:dyDescent="0.2">
      <c r="B20130" s="43"/>
    </row>
    <row r="20131" spans="2:2" ht="12.75" customHeight="1" x14ac:dyDescent="0.2">
      <c r="B20131" s="43"/>
    </row>
    <row r="20132" spans="2:2" ht="12.75" customHeight="1" x14ac:dyDescent="0.2">
      <c r="B20132" s="43"/>
    </row>
    <row r="20133" spans="2:2" ht="12.75" customHeight="1" x14ac:dyDescent="0.2">
      <c r="B20133" s="43"/>
    </row>
    <row r="20134" spans="2:2" ht="12.75" customHeight="1" x14ac:dyDescent="0.2">
      <c r="B20134" s="43"/>
    </row>
    <row r="20135" spans="2:2" ht="12.75" customHeight="1" x14ac:dyDescent="0.2">
      <c r="B20135" s="43"/>
    </row>
    <row r="20136" spans="2:2" ht="12.75" customHeight="1" x14ac:dyDescent="0.2">
      <c r="B20136" s="43"/>
    </row>
    <row r="20137" spans="2:2" ht="12.75" customHeight="1" x14ac:dyDescent="0.2">
      <c r="B20137" s="43"/>
    </row>
    <row r="20138" spans="2:2" ht="12.75" customHeight="1" x14ac:dyDescent="0.2">
      <c r="B20138" s="43"/>
    </row>
    <row r="20139" spans="2:2" ht="12.75" customHeight="1" x14ac:dyDescent="0.2">
      <c r="B20139" s="43"/>
    </row>
    <row r="20140" spans="2:2" ht="12.75" customHeight="1" x14ac:dyDescent="0.2">
      <c r="B20140" s="43"/>
    </row>
    <row r="20141" spans="2:2" ht="12.75" customHeight="1" x14ac:dyDescent="0.2">
      <c r="B20141" s="43"/>
    </row>
    <row r="20142" spans="2:2" ht="12.75" customHeight="1" x14ac:dyDescent="0.2">
      <c r="B20142" s="43"/>
    </row>
    <row r="20143" spans="2:2" ht="12.75" customHeight="1" x14ac:dyDescent="0.2">
      <c r="B20143" s="43"/>
    </row>
    <row r="20144" spans="2:2" ht="12.75" customHeight="1" x14ac:dyDescent="0.2">
      <c r="B20144" s="43"/>
    </row>
    <row r="20145" spans="2:2" ht="12.75" customHeight="1" x14ac:dyDescent="0.2">
      <c r="B20145" s="43"/>
    </row>
    <row r="20146" spans="2:2" ht="12.75" customHeight="1" x14ac:dyDescent="0.2">
      <c r="B20146" s="43"/>
    </row>
    <row r="20147" spans="2:2" ht="12.75" customHeight="1" x14ac:dyDescent="0.2">
      <c r="B20147" s="43"/>
    </row>
    <row r="20148" spans="2:2" ht="12.75" customHeight="1" x14ac:dyDescent="0.2">
      <c r="B20148" s="43"/>
    </row>
    <row r="20149" spans="2:2" ht="12.75" customHeight="1" x14ac:dyDescent="0.2">
      <c r="B20149" s="43"/>
    </row>
    <row r="20150" spans="2:2" ht="12.75" customHeight="1" x14ac:dyDescent="0.2">
      <c r="B20150" s="43"/>
    </row>
    <row r="20151" spans="2:2" ht="12.75" customHeight="1" x14ac:dyDescent="0.2">
      <c r="B20151" s="43"/>
    </row>
    <row r="20152" spans="2:2" ht="12.75" customHeight="1" x14ac:dyDescent="0.2">
      <c r="B20152" s="43"/>
    </row>
    <row r="20153" spans="2:2" ht="12.75" customHeight="1" x14ac:dyDescent="0.2">
      <c r="B20153" s="43"/>
    </row>
    <row r="20154" spans="2:2" ht="12.75" customHeight="1" x14ac:dyDescent="0.2">
      <c r="B20154" s="43"/>
    </row>
    <row r="20155" spans="2:2" ht="12.75" customHeight="1" x14ac:dyDescent="0.2">
      <c r="B20155" s="43"/>
    </row>
    <row r="20156" spans="2:2" ht="12.75" customHeight="1" x14ac:dyDescent="0.2">
      <c r="B20156" s="43"/>
    </row>
    <row r="20157" spans="2:2" ht="12.75" customHeight="1" x14ac:dyDescent="0.2">
      <c r="B20157" s="43"/>
    </row>
    <row r="20158" spans="2:2" ht="12.75" customHeight="1" x14ac:dyDescent="0.2">
      <c r="B20158" s="43"/>
    </row>
    <row r="20159" spans="2:2" ht="12.75" customHeight="1" x14ac:dyDescent="0.2">
      <c r="B20159" s="43"/>
    </row>
    <row r="20160" spans="2:2" ht="12.75" customHeight="1" x14ac:dyDescent="0.2">
      <c r="B20160" s="43"/>
    </row>
    <row r="20161" spans="2:2" ht="12.75" customHeight="1" x14ac:dyDescent="0.2">
      <c r="B20161" s="43"/>
    </row>
    <row r="20162" spans="2:2" ht="12.75" customHeight="1" x14ac:dyDescent="0.2">
      <c r="B20162" s="43"/>
    </row>
    <row r="20163" spans="2:2" ht="12.75" customHeight="1" x14ac:dyDescent="0.2">
      <c r="B20163" s="43"/>
    </row>
    <row r="20164" spans="2:2" ht="12.75" customHeight="1" x14ac:dyDescent="0.2">
      <c r="B20164" s="43"/>
    </row>
    <row r="20165" spans="2:2" ht="12.75" customHeight="1" x14ac:dyDescent="0.2">
      <c r="B20165" s="43"/>
    </row>
    <row r="20166" spans="2:2" ht="12.75" customHeight="1" x14ac:dyDescent="0.2">
      <c r="B20166" s="43"/>
    </row>
    <row r="20167" spans="2:2" ht="12.75" customHeight="1" x14ac:dyDescent="0.2">
      <c r="B20167" s="43"/>
    </row>
    <row r="20168" spans="2:2" ht="12.75" customHeight="1" x14ac:dyDescent="0.2">
      <c r="B20168" s="43"/>
    </row>
    <row r="20169" spans="2:2" ht="12.75" customHeight="1" x14ac:dyDescent="0.2">
      <c r="B20169" s="43"/>
    </row>
    <row r="20170" spans="2:2" ht="12.75" customHeight="1" x14ac:dyDescent="0.2">
      <c r="B20170" s="43"/>
    </row>
    <row r="20171" spans="2:2" ht="12.75" customHeight="1" x14ac:dyDescent="0.2">
      <c r="B20171" s="43"/>
    </row>
    <row r="20172" spans="2:2" ht="12.75" customHeight="1" x14ac:dyDescent="0.2">
      <c r="B20172" s="43"/>
    </row>
    <row r="20173" spans="2:2" ht="12.75" customHeight="1" x14ac:dyDescent="0.2">
      <c r="B20173" s="43"/>
    </row>
    <row r="20174" spans="2:2" ht="12.75" customHeight="1" x14ac:dyDescent="0.2">
      <c r="B20174" s="43"/>
    </row>
    <row r="20175" spans="2:2" ht="12.75" customHeight="1" x14ac:dyDescent="0.2">
      <c r="B20175" s="43"/>
    </row>
    <row r="20176" spans="2:2" ht="12.75" customHeight="1" x14ac:dyDescent="0.2">
      <c r="B20176" s="43"/>
    </row>
    <row r="20177" spans="2:2" ht="12.75" customHeight="1" x14ac:dyDescent="0.2">
      <c r="B20177" s="43"/>
    </row>
    <row r="20178" spans="2:2" ht="12.75" customHeight="1" x14ac:dyDescent="0.2">
      <c r="B20178" s="43"/>
    </row>
    <row r="20179" spans="2:2" ht="12.75" customHeight="1" x14ac:dyDescent="0.2">
      <c r="B20179" s="43"/>
    </row>
    <row r="20180" spans="2:2" ht="12.75" customHeight="1" x14ac:dyDescent="0.2">
      <c r="B20180" s="43"/>
    </row>
    <row r="20181" spans="2:2" ht="12.75" customHeight="1" x14ac:dyDescent="0.2">
      <c r="B20181" s="43"/>
    </row>
    <row r="20182" spans="2:2" ht="12.75" customHeight="1" x14ac:dyDescent="0.2">
      <c r="B20182" s="43"/>
    </row>
    <row r="20183" spans="2:2" ht="12.75" customHeight="1" x14ac:dyDescent="0.2">
      <c r="B20183" s="43"/>
    </row>
    <row r="20184" spans="2:2" ht="12.75" customHeight="1" x14ac:dyDescent="0.2">
      <c r="B20184" s="43"/>
    </row>
    <row r="20185" spans="2:2" ht="12.75" customHeight="1" x14ac:dyDescent="0.2">
      <c r="B20185" s="43"/>
    </row>
    <row r="20186" spans="2:2" ht="12.75" customHeight="1" x14ac:dyDescent="0.2">
      <c r="B20186" s="43"/>
    </row>
    <row r="20187" spans="2:2" ht="12.75" customHeight="1" x14ac:dyDescent="0.2">
      <c r="B20187" s="43"/>
    </row>
    <row r="20188" spans="2:2" ht="12.75" customHeight="1" x14ac:dyDescent="0.2">
      <c r="B20188" s="43"/>
    </row>
    <row r="20189" spans="2:2" ht="12.75" customHeight="1" x14ac:dyDescent="0.2">
      <c r="B20189" s="43"/>
    </row>
    <row r="20190" spans="2:2" ht="12.75" customHeight="1" x14ac:dyDescent="0.2">
      <c r="B20190" s="43"/>
    </row>
    <row r="20191" spans="2:2" ht="12.75" customHeight="1" x14ac:dyDescent="0.2">
      <c r="B20191" s="43"/>
    </row>
    <row r="20192" spans="2:2" ht="12.75" customHeight="1" x14ac:dyDescent="0.2">
      <c r="B20192" s="43"/>
    </row>
    <row r="20193" spans="2:2" ht="12.75" customHeight="1" x14ac:dyDescent="0.2">
      <c r="B20193" s="43"/>
    </row>
    <row r="20194" spans="2:2" ht="12.75" customHeight="1" x14ac:dyDescent="0.2">
      <c r="B20194" s="43"/>
    </row>
    <row r="20195" spans="2:2" ht="12.75" customHeight="1" x14ac:dyDescent="0.2">
      <c r="B20195" s="43"/>
    </row>
    <row r="20196" spans="2:2" ht="12.75" customHeight="1" x14ac:dyDescent="0.2">
      <c r="B20196" s="43"/>
    </row>
    <row r="20197" spans="2:2" ht="12.75" customHeight="1" x14ac:dyDescent="0.2">
      <c r="B20197" s="43"/>
    </row>
    <row r="20198" spans="2:2" ht="12.75" customHeight="1" x14ac:dyDescent="0.2">
      <c r="B20198" s="43"/>
    </row>
    <row r="20199" spans="2:2" ht="12.75" customHeight="1" x14ac:dyDescent="0.2">
      <c r="B20199" s="43"/>
    </row>
    <row r="20200" spans="2:2" ht="12.75" customHeight="1" x14ac:dyDescent="0.2">
      <c r="B20200" s="43"/>
    </row>
    <row r="20201" spans="2:2" ht="12.75" customHeight="1" x14ac:dyDescent="0.2">
      <c r="B20201" s="43"/>
    </row>
    <row r="20202" spans="2:2" ht="12.75" customHeight="1" x14ac:dyDescent="0.2">
      <c r="B20202" s="43"/>
    </row>
    <row r="20203" spans="2:2" ht="12.75" customHeight="1" x14ac:dyDescent="0.2">
      <c r="B20203" s="43"/>
    </row>
    <row r="20204" spans="2:2" ht="12.75" customHeight="1" x14ac:dyDescent="0.2">
      <c r="B20204" s="43"/>
    </row>
    <row r="20205" spans="2:2" ht="12.75" customHeight="1" x14ac:dyDescent="0.2">
      <c r="B20205" s="43"/>
    </row>
    <row r="20206" spans="2:2" ht="12.75" customHeight="1" x14ac:dyDescent="0.2">
      <c r="B20206" s="43"/>
    </row>
    <row r="20207" spans="2:2" ht="12.75" customHeight="1" x14ac:dyDescent="0.2">
      <c r="B20207" s="43"/>
    </row>
    <row r="20208" spans="2:2" ht="12.75" customHeight="1" x14ac:dyDescent="0.2">
      <c r="B20208" s="43"/>
    </row>
    <row r="20209" spans="2:2" ht="12.75" customHeight="1" x14ac:dyDescent="0.2">
      <c r="B20209" s="43"/>
    </row>
    <row r="20210" spans="2:2" ht="12.75" customHeight="1" x14ac:dyDescent="0.2">
      <c r="B20210" s="43"/>
    </row>
    <row r="20211" spans="2:2" ht="12.75" customHeight="1" x14ac:dyDescent="0.2">
      <c r="B20211" s="43"/>
    </row>
    <row r="20212" spans="2:2" ht="12.75" customHeight="1" x14ac:dyDescent="0.2">
      <c r="B20212" s="43"/>
    </row>
    <row r="20213" spans="2:2" ht="12.75" customHeight="1" x14ac:dyDescent="0.2">
      <c r="B20213" s="43"/>
    </row>
    <row r="20214" spans="2:2" ht="12.75" customHeight="1" x14ac:dyDescent="0.2">
      <c r="B20214" s="43"/>
    </row>
    <row r="20215" spans="2:2" ht="12.75" customHeight="1" x14ac:dyDescent="0.2">
      <c r="B20215" s="43"/>
    </row>
    <row r="20216" spans="2:2" ht="12.75" customHeight="1" x14ac:dyDescent="0.2">
      <c r="B20216" s="43"/>
    </row>
    <row r="20217" spans="2:2" ht="12.75" customHeight="1" x14ac:dyDescent="0.2">
      <c r="B20217" s="43"/>
    </row>
    <row r="20218" spans="2:2" ht="12.75" customHeight="1" x14ac:dyDescent="0.2">
      <c r="B20218" s="43"/>
    </row>
    <row r="20219" spans="2:2" ht="12.75" customHeight="1" x14ac:dyDescent="0.2">
      <c r="B20219" s="43"/>
    </row>
    <row r="20220" spans="2:2" ht="12.75" customHeight="1" x14ac:dyDescent="0.2">
      <c r="B20220" s="43"/>
    </row>
    <row r="20221" spans="2:2" ht="12.75" customHeight="1" x14ac:dyDescent="0.2">
      <c r="B20221" s="43"/>
    </row>
    <row r="20222" spans="2:2" ht="12.75" customHeight="1" x14ac:dyDescent="0.2">
      <c r="B20222" s="43"/>
    </row>
    <row r="20223" spans="2:2" ht="12.75" customHeight="1" x14ac:dyDescent="0.2">
      <c r="B20223" s="43"/>
    </row>
    <row r="20224" spans="2:2" ht="12.75" customHeight="1" x14ac:dyDescent="0.2">
      <c r="B20224" s="43"/>
    </row>
    <row r="20225" spans="2:2" ht="12.75" customHeight="1" x14ac:dyDescent="0.2">
      <c r="B20225" s="43"/>
    </row>
    <row r="20226" spans="2:2" ht="12.75" customHeight="1" x14ac:dyDescent="0.2">
      <c r="B20226" s="43"/>
    </row>
    <row r="20227" spans="2:2" ht="12.75" customHeight="1" x14ac:dyDescent="0.2">
      <c r="B20227" s="43"/>
    </row>
    <row r="20228" spans="2:2" ht="12.75" customHeight="1" x14ac:dyDescent="0.2">
      <c r="B20228" s="43"/>
    </row>
    <row r="20229" spans="2:2" ht="12.75" customHeight="1" x14ac:dyDescent="0.2">
      <c r="B20229" s="43"/>
    </row>
    <row r="20230" spans="2:2" ht="12.75" customHeight="1" x14ac:dyDescent="0.2">
      <c r="B20230" s="43"/>
    </row>
    <row r="20231" spans="2:2" ht="12.75" customHeight="1" x14ac:dyDescent="0.2">
      <c r="B20231" s="43"/>
    </row>
    <row r="20232" spans="2:2" ht="12.75" customHeight="1" x14ac:dyDescent="0.2">
      <c r="B20232" s="43"/>
    </row>
    <row r="20233" spans="2:2" ht="12.75" customHeight="1" x14ac:dyDescent="0.2">
      <c r="B20233" s="43"/>
    </row>
    <row r="20234" spans="2:2" ht="12.75" customHeight="1" x14ac:dyDescent="0.2">
      <c r="B20234" s="43"/>
    </row>
    <row r="20235" spans="2:2" ht="12.75" customHeight="1" x14ac:dyDescent="0.2">
      <c r="B20235" s="43"/>
    </row>
    <row r="20236" spans="2:2" ht="12.75" customHeight="1" x14ac:dyDescent="0.2">
      <c r="B20236" s="43"/>
    </row>
    <row r="20237" spans="2:2" ht="12.75" customHeight="1" x14ac:dyDescent="0.2">
      <c r="B20237" s="43"/>
    </row>
    <row r="20238" spans="2:2" ht="12.75" customHeight="1" x14ac:dyDescent="0.2">
      <c r="B20238" s="43"/>
    </row>
    <row r="20239" spans="2:2" ht="12.75" customHeight="1" x14ac:dyDescent="0.2">
      <c r="B20239" s="43"/>
    </row>
    <row r="20240" spans="2:2" ht="12.75" customHeight="1" x14ac:dyDescent="0.2">
      <c r="B20240" s="43"/>
    </row>
    <row r="20241" spans="2:2" ht="12.75" customHeight="1" x14ac:dyDescent="0.2">
      <c r="B20241" s="43"/>
    </row>
    <row r="20242" spans="2:2" ht="12.75" customHeight="1" x14ac:dyDescent="0.2">
      <c r="B20242" s="43"/>
    </row>
    <row r="20243" spans="2:2" ht="12.75" customHeight="1" x14ac:dyDescent="0.2">
      <c r="B20243" s="43"/>
    </row>
    <row r="20244" spans="2:2" ht="12.75" customHeight="1" x14ac:dyDescent="0.2">
      <c r="B20244" s="43"/>
    </row>
    <row r="20245" spans="2:2" ht="12.75" customHeight="1" x14ac:dyDescent="0.2">
      <c r="B20245" s="43"/>
    </row>
    <row r="20246" spans="2:2" ht="12.75" customHeight="1" x14ac:dyDescent="0.2">
      <c r="B20246" s="43"/>
    </row>
    <row r="20247" spans="2:2" ht="12.75" customHeight="1" x14ac:dyDescent="0.2">
      <c r="B20247" s="43"/>
    </row>
    <row r="20248" spans="2:2" ht="12.75" customHeight="1" x14ac:dyDescent="0.2">
      <c r="B20248" s="43"/>
    </row>
    <row r="20249" spans="2:2" ht="12.75" customHeight="1" x14ac:dyDescent="0.2">
      <c r="B20249" s="43"/>
    </row>
    <row r="20250" spans="2:2" ht="12.75" customHeight="1" x14ac:dyDescent="0.2">
      <c r="B20250" s="43"/>
    </row>
    <row r="20251" spans="2:2" ht="12.75" customHeight="1" x14ac:dyDescent="0.2">
      <c r="B20251" s="43"/>
    </row>
    <row r="20252" spans="2:2" ht="12.75" customHeight="1" x14ac:dyDescent="0.2">
      <c r="B20252" s="43"/>
    </row>
    <row r="20253" spans="2:2" ht="12.75" customHeight="1" x14ac:dyDescent="0.2">
      <c r="B20253" s="43"/>
    </row>
    <row r="20254" spans="2:2" ht="12.75" customHeight="1" x14ac:dyDescent="0.2">
      <c r="B20254" s="43"/>
    </row>
    <row r="20255" spans="2:2" ht="12.75" customHeight="1" x14ac:dyDescent="0.2">
      <c r="B20255" s="43"/>
    </row>
    <row r="20256" spans="2:2" ht="12.75" customHeight="1" x14ac:dyDescent="0.2">
      <c r="B20256" s="43"/>
    </row>
    <row r="20257" spans="2:2" ht="12.75" customHeight="1" x14ac:dyDescent="0.2">
      <c r="B20257" s="43"/>
    </row>
    <row r="20258" spans="2:2" ht="12.75" customHeight="1" x14ac:dyDescent="0.2">
      <c r="B20258" s="43"/>
    </row>
    <row r="20259" spans="2:2" ht="12.75" customHeight="1" x14ac:dyDescent="0.2">
      <c r="B20259" s="43"/>
    </row>
    <row r="20260" spans="2:2" ht="12.75" customHeight="1" x14ac:dyDescent="0.2">
      <c r="B20260" s="43"/>
    </row>
    <row r="20261" spans="2:2" ht="12.75" customHeight="1" x14ac:dyDescent="0.2">
      <c r="B20261" s="43"/>
    </row>
    <row r="20262" spans="2:2" ht="12.75" customHeight="1" x14ac:dyDescent="0.2">
      <c r="B20262" s="43"/>
    </row>
    <row r="20263" spans="2:2" ht="12.75" customHeight="1" x14ac:dyDescent="0.2">
      <c r="B20263" s="43"/>
    </row>
    <row r="20264" spans="2:2" ht="12.75" customHeight="1" x14ac:dyDescent="0.2">
      <c r="B20264" s="43"/>
    </row>
    <row r="20265" spans="2:2" ht="12.75" customHeight="1" x14ac:dyDescent="0.2">
      <c r="B20265" s="43"/>
    </row>
    <row r="20266" spans="2:2" ht="12.75" customHeight="1" x14ac:dyDescent="0.2">
      <c r="B20266" s="43"/>
    </row>
    <row r="20267" spans="2:2" ht="12.75" customHeight="1" x14ac:dyDescent="0.2">
      <c r="B20267" s="43"/>
    </row>
    <row r="20268" spans="2:2" ht="12.75" customHeight="1" x14ac:dyDescent="0.2">
      <c r="B20268" s="43"/>
    </row>
    <row r="20269" spans="2:2" ht="12.75" customHeight="1" x14ac:dyDescent="0.2">
      <c r="B20269" s="43"/>
    </row>
    <row r="20270" spans="2:2" ht="12.75" customHeight="1" x14ac:dyDescent="0.2">
      <c r="B20270" s="43"/>
    </row>
    <row r="20271" spans="2:2" ht="12.75" customHeight="1" x14ac:dyDescent="0.2">
      <c r="B20271" s="43"/>
    </row>
    <row r="20272" spans="2:2" ht="12.75" customHeight="1" x14ac:dyDescent="0.2">
      <c r="B20272" s="43"/>
    </row>
    <row r="20273" spans="2:2" ht="12.75" customHeight="1" x14ac:dyDescent="0.2">
      <c r="B20273" s="43"/>
    </row>
    <row r="20274" spans="2:2" ht="12.75" customHeight="1" x14ac:dyDescent="0.2">
      <c r="B20274" s="43"/>
    </row>
    <row r="20275" spans="2:2" ht="12.75" customHeight="1" x14ac:dyDescent="0.2">
      <c r="B20275" s="43"/>
    </row>
    <row r="20276" spans="2:2" ht="12.75" customHeight="1" x14ac:dyDescent="0.2">
      <c r="B20276" s="43"/>
    </row>
    <row r="20277" spans="2:2" ht="12.75" customHeight="1" x14ac:dyDescent="0.2">
      <c r="B20277" s="43"/>
    </row>
    <row r="20278" spans="2:2" ht="12.75" customHeight="1" x14ac:dyDescent="0.2">
      <c r="B20278" s="43"/>
    </row>
    <row r="20279" spans="2:2" ht="12.75" customHeight="1" x14ac:dyDescent="0.2">
      <c r="B20279" s="43"/>
    </row>
    <row r="20280" spans="2:2" ht="12.75" customHeight="1" x14ac:dyDescent="0.2">
      <c r="B20280" s="43"/>
    </row>
    <row r="20281" spans="2:2" ht="12.75" customHeight="1" x14ac:dyDescent="0.2">
      <c r="B20281" s="43"/>
    </row>
    <row r="20282" spans="2:2" ht="12.75" customHeight="1" x14ac:dyDescent="0.2">
      <c r="B20282" s="43"/>
    </row>
    <row r="20283" spans="2:2" ht="12.75" customHeight="1" x14ac:dyDescent="0.2">
      <c r="B20283" s="43"/>
    </row>
    <row r="20284" spans="2:2" ht="12.75" customHeight="1" x14ac:dyDescent="0.2">
      <c r="B20284" s="43"/>
    </row>
    <row r="20285" spans="2:2" ht="12.75" customHeight="1" x14ac:dyDescent="0.2">
      <c r="B20285" s="43"/>
    </row>
    <row r="20286" spans="2:2" ht="12.75" customHeight="1" x14ac:dyDescent="0.2">
      <c r="B20286" s="43"/>
    </row>
    <row r="20287" spans="2:2" ht="12.75" customHeight="1" x14ac:dyDescent="0.2">
      <c r="B20287" s="43"/>
    </row>
    <row r="20288" spans="2:2" ht="12.75" customHeight="1" x14ac:dyDescent="0.2">
      <c r="B20288" s="43"/>
    </row>
    <row r="20289" spans="2:2" ht="12.75" customHeight="1" x14ac:dyDescent="0.2">
      <c r="B20289" s="43"/>
    </row>
    <row r="20290" spans="2:2" ht="12.75" customHeight="1" x14ac:dyDescent="0.2">
      <c r="B20290" s="43"/>
    </row>
    <row r="20291" spans="2:2" ht="12.75" customHeight="1" x14ac:dyDescent="0.2">
      <c r="B20291" s="43"/>
    </row>
    <row r="20292" spans="2:2" ht="12.75" customHeight="1" x14ac:dyDescent="0.2">
      <c r="B20292" s="43"/>
    </row>
    <row r="20293" spans="2:2" ht="12.75" customHeight="1" x14ac:dyDescent="0.2">
      <c r="B20293" s="43"/>
    </row>
    <row r="20294" spans="2:2" ht="12.75" customHeight="1" x14ac:dyDescent="0.2">
      <c r="B20294" s="43"/>
    </row>
    <row r="20295" spans="2:2" ht="12.75" customHeight="1" x14ac:dyDescent="0.2">
      <c r="B20295" s="43"/>
    </row>
    <row r="20296" spans="2:2" ht="12.75" customHeight="1" x14ac:dyDescent="0.2">
      <c r="B20296" s="43"/>
    </row>
    <row r="20297" spans="2:2" ht="12.75" customHeight="1" x14ac:dyDescent="0.2">
      <c r="B20297" s="43"/>
    </row>
    <row r="20298" spans="2:2" ht="12.75" customHeight="1" x14ac:dyDescent="0.2">
      <c r="B20298" s="43"/>
    </row>
    <row r="20299" spans="2:2" ht="12.75" customHeight="1" x14ac:dyDescent="0.2">
      <c r="B20299" s="43"/>
    </row>
    <row r="20300" spans="2:2" ht="12.75" customHeight="1" x14ac:dyDescent="0.2">
      <c r="B20300" s="43"/>
    </row>
    <row r="20301" spans="2:2" ht="12.75" customHeight="1" x14ac:dyDescent="0.2">
      <c r="B20301" s="43"/>
    </row>
    <row r="20302" spans="2:2" ht="12.75" customHeight="1" x14ac:dyDescent="0.2">
      <c r="B20302" s="43"/>
    </row>
    <row r="20303" spans="2:2" ht="12.75" customHeight="1" x14ac:dyDescent="0.2">
      <c r="B20303" s="43"/>
    </row>
    <row r="20304" spans="2:2" ht="12.75" customHeight="1" x14ac:dyDescent="0.2">
      <c r="B20304" s="43"/>
    </row>
    <row r="20305" spans="2:2" ht="12.75" customHeight="1" x14ac:dyDescent="0.2">
      <c r="B20305" s="43"/>
    </row>
    <row r="20306" spans="2:2" ht="12.75" customHeight="1" x14ac:dyDescent="0.2">
      <c r="B20306" s="43"/>
    </row>
    <row r="20307" spans="2:2" ht="12.75" customHeight="1" x14ac:dyDescent="0.2">
      <c r="B20307" s="43"/>
    </row>
    <row r="20308" spans="2:2" ht="12.75" customHeight="1" x14ac:dyDescent="0.2">
      <c r="B20308" s="43"/>
    </row>
    <row r="20309" spans="2:2" ht="12.75" customHeight="1" x14ac:dyDescent="0.2">
      <c r="B20309" s="43"/>
    </row>
    <row r="20310" spans="2:2" ht="12.75" customHeight="1" x14ac:dyDescent="0.2">
      <c r="B20310" s="43"/>
    </row>
    <row r="20311" spans="2:2" ht="12.75" customHeight="1" x14ac:dyDescent="0.2">
      <c r="B20311" s="43"/>
    </row>
    <row r="20312" spans="2:2" ht="12.75" customHeight="1" x14ac:dyDescent="0.2">
      <c r="B20312" s="43"/>
    </row>
    <row r="20313" spans="2:2" ht="12.75" customHeight="1" x14ac:dyDescent="0.2">
      <c r="B20313" s="43"/>
    </row>
    <row r="20314" spans="2:2" ht="12.75" customHeight="1" x14ac:dyDescent="0.2">
      <c r="B20314" s="43"/>
    </row>
    <row r="20315" spans="2:2" ht="12.75" customHeight="1" x14ac:dyDescent="0.2">
      <c r="B20315" s="43"/>
    </row>
    <row r="20316" spans="2:2" ht="12.75" customHeight="1" x14ac:dyDescent="0.2">
      <c r="B20316" s="43"/>
    </row>
    <row r="20317" spans="2:2" ht="12.75" customHeight="1" x14ac:dyDescent="0.2">
      <c r="B20317" s="43"/>
    </row>
    <row r="20318" spans="2:2" ht="12.75" customHeight="1" x14ac:dyDescent="0.2">
      <c r="B20318" s="43"/>
    </row>
    <row r="20319" spans="2:2" ht="12.75" customHeight="1" x14ac:dyDescent="0.2">
      <c r="B20319" s="43"/>
    </row>
    <row r="20320" spans="2:2" ht="12.75" customHeight="1" x14ac:dyDescent="0.2">
      <c r="B20320" s="43"/>
    </row>
    <row r="20321" spans="2:2" ht="12.75" customHeight="1" x14ac:dyDescent="0.2">
      <c r="B20321" s="43"/>
    </row>
    <row r="20322" spans="2:2" ht="12.75" customHeight="1" x14ac:dyDescent="0.2">
      <c r="B20322" s="43"/>
    </row>
    <row r="20323" spans="2:2" ht="12.75" customHeight="1" x14ac:dyDescent="0.2">
      <c r="B20323" s="43"/>
    </row>
    <row r="20324" spans="2:2" ht="12.75" customHeight="1" x14ac:dyDescent="0.2">
      <c r="B20324" s="43"/>
    </row>
    <row r="20325" spans="2:2" ht="12.75" customHeight="1" x14ac:dyDescent="0.2">
      <c r="B20325" s="43"/>
    </row>
    <row r="20326" spans="2:2" ht="12.75" customHeight="1" x14ac:dyDescent="0.2">
      <c r="B20326" s="43"/>
    </row>
    <row r="20327" spans="2:2" ht="12.75" customHeight="1" x14ac:dyDescent="0.2">
      <c r="B20327" s="43"/>
    </row>
    <row r="20328" spans="2:2" ht="12.75" customHeight="1" x14ac:dyDescent="0.2">
      <c r="B20328" s="43"/>
    </row>
    <row r="20329" spans="2:2" ht="12.75" customHeight="1" x14ac:dyDescent="0.2">
      <c r="B20329" s="43"/>
    </row>
    <row r="20330" spans="2:2" ht="12.75" customHeight="1" x14ac:dyDescent="0.2">
      <c r="B20330" s="43"/>
    </row>
    <row r="20331" spans="2:2" ht="12.75" customHeight="1" x14ac:dyDescent="0.2">
      <c r="B20331" s="43"/>
    </row>
    <row r="20332" spans="2:2" ht="12.75" customHeight="1" x14ac:dyDescent="0.2">
      <c r="B20332" s="43"/>
    </row>
    <row r="20333" spans="2:2" ht="12.75" customHeight="1" x14ac:dyDescent="0.2">
      <c r="B20333" s="43"/>
    </row>
    <row r="20334" spans="2:2" ht="12.75" customHeight="1" x14ac:dyDescent="0.2">
      <c r="B20334" s="43"/>
    </row>
    <row r="20335" spans="2:2" ht="12.75" customHeight="1" x14ac:dyDescent="0.2">
      <c r="B20335" s="43"/>
    </row>
    <row r="20336" spans="2:2" ht="12.75" customHeight="1" x14ac:dyDescent="0.2">
      <c r="B20336" s="43"/>
    </row>
    <row r="20337" spans="2:2" ht="12.75" customHeight="1" x14ac:dyDescent="0.2">
      <c r="B20337" s="43"/>
    </row>
    <row r="20338" spans="2:2" ht="12.75" customHeight="1" x14ac:dyDescent="0.2">
      <c r="B20338" s="43"/>
    </row>
    <row r="20339" spans="2:2" ht="12.75" customHeight="1" x14ac:dyDescent="0.2">
      <c r="B20339" s="43"/>
    </row>
    <row r="20340" spans="2:2" ht="12.75" customHeight="1" x14ac:dyDescent="0.2">
      <c r="B20340" s="43"/>
    </row>
    <row r="20341" spans="2:2" ht="12.75" customHeight="1" x14ac:dyDescent="0.2">
      <c r="B20341" s="43"/>
    </row>
    <row r="20342" spans="2:2" ht="12.75" customHeight="1" x14ac:dyDescent="0.2">
      <c r="B20342" s="43"/>
    </row>
    <row r="20343" spans="2:2" ht="12.75" customHeight="1" x14ac:dyDescent="0.2">
      <c r="B20343" s="43"/>
    </row>
    <row r="20344" spans="2:2" ht="12.75" customHeight="1" x14ac:dyDescent="0.2">
      <c r="B20344" s="43"/>
    </row>
    <row r="20345" spans="2:2" ht="12.75" customHeight="1" x14ac:dyDescent="0.2">
      <c r="B20345" s="43"/>
    </row>
    <row r="20346" spans="2:2" ht="12.75" customHeight="1" x14ac:dyDescent="0.2">
      <c r="B20346" s="43"/>
    </row>
    <row r="20347" spans="2:2" ht="12.75" customHeight="1" x14ac:dyDescent="0.2">
      <c r="B20347" s="43"/>
    </row>
    <row r="20348" spans="2:2" ht="12.75" customHeight="1" x14ac:dyDescent="0.2">
      <c r="B20348" s="43"/>
    </row>
    <row r="20349" spans="2:2" ht="12.75" customHeight="1" x14ac:dyDescent="0.2">
      <c r="B20349" s="43"/>
    </row>
    <row r="20350" spans="2:2" ht="12.75" customHeight="1" x14ac:dyDescent="0.2">
      <c r="B20350" s="43"/>
    </row>
    <row r="20351" spans="2:2" ht="12.75" customHeight="1" x14ac:dyDescent="0.2">
      <c r="B20351" s="43"/>
    </row>
    <row r="20352" spans="2:2" ht="12.75" customHeight="1" x14ac:dyDescent="0.2">
      <c r="B20352" s="43"/>
    </row>
    <row r="20353" spans="2:2" ht="12.75" customHeight="1" x14ac:dyDescent="0.2">
      <c r="B20353" s="43"/>
    </row>
    <row r="20354" spans="2:2" ht="12.75" customHeight="1" x14ac:dyDescent="0.2">
      <c r="B20354" s="43"/>
    </row>
    <row r="20355" spans="2:2" ht="12.75" customHeight="1" x14ac:dyDescent="0.2">
      <c r="B20355" s="43"/>
    </row>
    <row r="20356" spans="2:2" ht="12.75" customHeight="1" x14ac:dyDescent="0.2">
      <c r="B20356" s="43"/>
    </row>
    <row r="20357" spans="2:2" ht="12.75" customHeight="1" x14ac:dyDescent="0.2">
      <c r="B20357" s="43"/>
    </row>
    <row r="20358" spans="2:2" ht="12.75" customHeight="1" x14ac:dyDescent="0.2">
      <c r="B20358" s="43"/>
    </row>
    <row r="20359" spans="2:2" ht="12.75" customHeight="1" x14ac:dyDescent="0.2">
      <c r="B20359" s="43"/>
    </row>
    <row r="20360" spans="2:2" ht="12.75" customHeight="1" x14ac:dyDescent="0.2">
      <c r="B20360" s="43"/>
    </row>
    <row r="20361" spans="2:2" ht="12.75" customHeight="1" x14ac:dyDescent="0.2">
      <c r="B20361" s="43"/>
    </row>
    <row r="20362" spans="2:2" ht="12.75" customHeight="1" x14ac:dyDescent="0.2">
      <c r="B20362" s="43"/>
    </row>
    <row r="20363" spans="2:2" ht="12.75" customHeight="1" x14ac:dyDescent="0.2">
      <c r="B20363" s="43"/>
    </row>
    <row r="20364" spans="2:2" ht="12.75" customHeight="1" x14ac:dyDescent="0.2">
      <c r="B20364" s="43"/>
    </row>
    <row r="20365" spans="2:2" ht="12.75" customHeight="1" x14ac:dyDescent="0.2">
      <c r="B20365" s="43"/>
    </row>
    <row r="20366" spans="2:2" ht="12.75" customHeight="1" x14ac:dyDescent="0.2">
      <c r="B20366" s="43"/>
    </row>
    <row r="20367" spans="2:2" ht="12.75" customHeight="1" x14ac:dyDescent="0.2">
      <c r="B20367" s="43"/>
    </row>
    <row r="20368" spans="2:2" ht="12.75" customHeight="1" x14ac:dyDescent="0.2">
      <c r="B20368" s="43"/>
    </row>
    <row r="20369" spans="2:2" ht="12.75" customHeight="1" x14ac:dyDescent="0.2">
      <c r="B20369" s="43"/>
    </row>
    <row r="20370" spans="2:2" ht="12.75" customHeight="1" x14ac:dyDescent="0.2">
      <c r="B20370" s="43"/>
    </row>
    <row r="20371" spans="2:2" ht="12.75" customHeight="1" x14ac:dyDescent="0.2">
      <c r="B20371" s="43"/>
    </row>
    <row r="20372" spans="2:2" ht="12.75" customHeight="1" x14ac:dyDescent="0.2">
      <c r="B20372" s="43"/>
    </row>
    <row r="20373" spans="2:2" ht="12.75" customHeight="1" x14ac:dyDescent="0.2">
      <c r="B20373" s="43"/>
    </row>
    <row r="20374" spans="2:2" ht="12.75" customHeight="1" x14ac:dyDescent="0.2">
      <c r="B20374" s="43"/>
    </row>
    <row r="20375" spans="2:2" ht="12.75" customHeight="1" x14ac:dyDescent="0.2">
      <c r="B20375" s="43"/>
    </row>
    <row r="20376" spans="2:2" ht="12.75" customHeight="1" x14ac:dyDescent="0.2">
      <c r="B20376" s="43"/>
    </row>
    <row r="20377" spans="2:2" ht="12.75" customHeight="1" x14ac:dyDescent="0.2">
      <c r="B20377" s="43"/>
    </row>
    <row r="20378" spans="2:2" ht="12.75" customHeight="1" x14ac:dyDescent="0.2">
      <c r="B20378" s="43"/>
    </row>
    <row r="20379" spans="2:2" ht="12.75" customHeight="1" x14ac:dyDescent="0.2">
      <c r="B20379" s="43"/>
    </row>
    <row r="20380" spans="2:2" ht="12.75" customHeight="1" x14ac:dyDescent="0.2">
      <c r="B20380" s="43"/>
    </row>
    <row r="20381" spans="2:2" ht="12.75" customHeight="1" x14ac:dyDescent="0.2">
      <c r="B20381" s="43"/>
    </row>
    <row r="20382" spans="2:2" ht="12.75" customHeight="1" x14ac:dyDescent="0.2">
      <c r="B20382" s="43"/>
    </row>
    <row r="20383" spans="2:2" ht="12.75" customHeight="1" x14ac:dyDescent="0.2">
      <c r="B20383" s="43"/>
    </row>
    <row r="20384" spans="2:2" ht="12.75" customHeight="1" x14ac:dyDescent="0.2">
      <c r="B20384" s="43"/>
    </row>
    <row r="20385" spans="2:2" ht="12.75" customHeight="1" x14ac:dyDescent="0.2">
      <c r="B20385" s="43"/>
    </row>
    <row r="20386" spans="2:2" ht="12.75" customHeight="1" x14ac:dyDescent="0.2">
      <c r="B20386" s="43"/>
    </row>
    <row r="20387" spans="2:2" ht="12.75" customHeight="1" x14ac:dyDescent="0.2">
      <c r="B20387" s="43"/>
    </row>
    <row r="20388" spans="2:2" ht="12.75" customHeight="1" x14ac:dyDescent="0.2">
      <c r="B20388" s="43"/>
    </row>
    <row r="20389" spans="2:2" ht="12.75" customHeight="1" x14ac:dyDescent="0.2">
      <c r="B20389" s="43"/>
    </row>
    <row r="20390" spans="2:2" ht="12.75" customHeight="1" x14ac:dyDescent="0.2">
      <c r="B20390" s="43"/>
    </row>
    <row r="20391" spans="2:2" ht="12.75" customHeight="1" x14ac:dyDescent="0.2">
      <c r="B20391" s="43"/>
    </row>
    <row r="20392" spans="2:2" ht="12.75" customHeight="1" x14ac:dyDescent="0.2">
      <c r="B20392" s="43"/>
    </row>
    <row r="20393" spans="2:2" ht="12.75" customHeight="1" x14ac:dyDescent="0.2">
      <c r="B20393" s="43"/>
    </row>
    <row r="20394" spans="2:2" ht="12.75" customHeight="1" x14ac:dyDescent="0.2">
      <c r="B20394" s="43"/>
    </row>
    <row r="20395" spans="2:2" ht="12.75" customHeight="1" x14ac:dyDescent="0.2">
      <c r="B20395" s="43"/>
    </row>
    <row r="20396" spans="2:2" ht="12.75" customHeight="1" x14ac:dyDescent="0.2">
      <c r="B20396" s="43"/>
    </row>
    <row r="20397" spans="2:2" ht="12.75" customHeight="1" x14ac:dyDescent="0.2">
      <c r="B20397" s="43"/>
    </row>
    <row r="20398" spans="2:2" ht="12.75" customHeight="1" x14ac:dyDescent="0.2">
      <c r="B20398" s="43"/>
    </row>
    <row r="20399" spans="2:2" ht="12.75" customHeight="1" x14ac:dyDescent="0.2">
      <c r="B20399" s="43"/>
    </row>
    <row r="20400" spans="2:2" ht="12.75" customHeight="1" x14ac:dyDescent="0.2">
      <c r="B20400" s="43"/>
    </row>
    <row r="20401" spans="2:2" ht="12.75" customHeight="1" x14ac:dyDescent="0.2">
      <c r="B20401" s="43"/>
    </row>
    <row r="20402" spans="2:2" ht="12.75" customHeight="1" x14ac:dyDescent="0.2">
      <c r="B20402" s="43"/>
    </row>
    <row r="20403" spans="2:2" ht="12.75" customHeight="1" x14ac:dyDescent="0.2">
      <c r="B20403" s="43"/>
    </row>
    <row r="20404" spans="2:2" ht="12.75" customHeight="1" x14ac:dyDescent="0.2">
      <c r="B20404" s="43"/>
    </row>
    <row r="20405" spans="2:2" ht="12.75" customHeight="1" x14ac:dyDescent="0.2">
      <c r="B20405" s="43"/>
    </row>
    <row r="20406" spans="2:2" ht="12.75" customHeight="1" x14ac:dyDescent="0.2">
      <c r="B20406" s="43"/>
    </row>
    <row r="20407" spans="2:2" ht="12.75" customHeight="1" x14ac:dyDescent="0.2">
      <c r="B20407" s="43"/>
    </row>
    <row r="20408" spans="2:2" ht="12.75" customHeight="1" x14ac:dyDescent="0.2">
      <c r="B20408" s="43"/>
    </row>
    <row r="20409" spans="2:2" ht="12.75" customHeight="1" x14ac:dyDescent="0.2">
      <c r="B20409" s="43"/>
    </row>
    <row r="20410" spans="2:2" ht="12.75" customHeight="1" x14ac:dyDescent="0.2">
      <c r="B20410" s="43"/>
    </row>
    <row r="20411" spans="2:2" ht="12.75" customHeight="1" x14ac:dyDescent="0.2">
      <c r="B20411" s="43"/>
    </row>
    <row r="20412" spans="2:2" ht="12.75" customHeight="1" x14ac:dyDescent="0.2">
      <c r="B20412" s="43"/>
    </row>
    <row r="20413" spans="2:2" ht="12.75" customHeight="1" x14ac:dyDescent="0.2">
      <c r="B20413" s="43"/>
    </row>
    <row r="20414" spans="2:2" ht="12.75" customHeight="1" x14ac:dyDescent="0.2">
      <c r="B20414" s="43"/>
    </row>
    <row r="20415" spans="2:2" ht="12.75" customHeight="1" x14ac:dyDescent="0.2">
      <c r="B20415" s="43"/>
    </row>
    <row r="20416" spans="2:2" ht="12.75" customHeight="1" x14ac:dyDescent="0.2">
      <c r="B20416" s="43"/>
    </row>
    <row r="20417" spans="2:2" ht="12.75" customHeight="1" x14ac:dyDescent="0.2">
      <c r="B20417" s="43"/>
    </row>
    <row r="20418" spans="2:2" ht="12.75" customHeight="1" x14ac:dyDescent="0.2">
      <c r="B20418" s="43"/>
    </row>
    <row r="20419" spans="2:2" ht="12.75" customHeight="1" x14ac:dyDescent="0.2">
      <c r="B20419" s="43"/>
    </row>
    <row r="20420" spans="2:2" ht="12.75" customHeight="1" x14ac:dyDescent="0.2">
      <c r="B20420" s="43"/>
    </row>
    <row r="20421" spans="2:2" ht="12.75" customHeight="1" x14ac:dyDescent="0.2">
      <c r="B20421" s="43"/>
    </row>
    <row r="20422" spans="2:2" ht="12.75" customHeight="1" x14ac:dyDescent="0.2">
      <c r="B20422" s="43"/>
    </row>
    <row r="20423" spans="2:2" ht="12.75" customHeight="1" x14ac:dyDescent="0.2">
      <c r="B20423" s="43"/>
    </row>
    <row r="20424" spans="2:2" ht="12.75" customHeight="1" x14ac:dyDescent="0.2">
      <c r="B20424" s="43"/>
    </row>
    <row r="20425" spans="2:2" ht="12.75" customHeight="1" x14ac:dyDescent="0.2">
      <c r="B20425" s="43"/>
    </row>
    <row r="20426" spans="2:2" ht="12.75" customHeight="1" x14ac:dyDescent="0.2">
      <c r="B20426" s="43"/>
    </row>
    <row r="20427" spans="2:2" ht="12.75" customHeight="1" x14ac:dyDescent="0.2">
      <c r="B20427" s="43"/>
    </row>
    <row r="20428" spans="2:2" ht="12.75" customHeight="1" x14ac:dyDescent="0.2">
      <c r="B20428" s="43"/>
    </row>
    <row r="20429" spans="2:2" ht="12.75" customHeight="1" x14ac:dyDescent="0.2">
      <c r="B20429" s="43"/>
    </row>
    <row r="20430" spans="2:2" ht="12.75" customHeight="1" x14ac:dyDescent="0.2">
      <c r="B20430" s="43"/>
    </row>
    <row r="20431" spans="2:2" ht="12.75" customHeight="1" x14ac:dyDescent="0.2">
      <c r="B20431" s="43"/>
    </row>
    <row r="20432" spans="2:2" ht="12.75" customHeight="1" x14ac:dyDescent="0.2">
      <c r="B20432" s="43"/>
    </row>
    <row r="20433" spans="2:2" ht="12.75" customHeight="1" x14ac:dyDescent="0.2">
      <c r="B20433" s="43"/>
    </row>
    <row r="20434" spans="2:2" ht="12.75" customHeight="1" x14ac:dyDescent="0.2">
      <c r="B20434" s="43"/>
    </row>
    <row r="20435" spans="2:2" ht="12.75" customHeight="1" x14ac:dyDescent="0.2">
      <c r="B20435" s="43"/>
    </row>
    <row r="20436" spans="2:2" ht="12.75" customHeight="1" x14ac:dyDescent="0.2">
      <c r="B20436" s="43"/>
    </row>
    <row r="20437" spans="2:2" ht="12.75" customHeight="1" x14ac:dyDescent="0.2">
      <c r="B20437" s="43"/>
    </row>
    <row r="20438" spans="2:2" ht="12.75" customHeight="1" x14ac:dyDescent="0.2">
      <c r="B20438" s="43"/>
    </row>
    <row r="20439" spans="2:2" ht="12.75" customHeight="1" x14ac:dyDescent="0.2">
      <c r="B20439" s="43"/>
    </row>
    <row r="20440" spans="2:2" ht="12.75" customHeight="1" x14ac:dyDescent="0.2">
      <c r="B20440" s="43"/>
    </row>
    <row r="20441" spans="2:2" ht="12.75" customHeight="1" x14ac:dyDescent="0.2">
      <c r="B20441" s="43"/>
    </row>
    <row r="20442" spans="2:2" ht="12.75" customHeight="1" x14ac:dyDescent="0.2">
      <c r="B20442" s="43"/>
    </row>
    <row r="20443" spans="2:2" ht="12.75" customHeight="1" x14ac:dyDescent="0.2">
      <c r="B20443" s="43"/>
    </row>
    <row r="20444" spans="2:2" ht="12.75" customHeight="1" x14ac:dyDescent="0.2">
      <c r="B20444" s="43"/>
    </row>
    <row r="20445" spans="2:2" ht="12.75" customHeight="1" x14ac:dyDescent="0.2">
      <c r="B20445" s="43"/>
    </row>
    <row r="20446" spans="2:2" ht="12.75" customHeight="1" x14ac:dyDescent="0.2">
      <c r="B20446" s="43"/>
    </row>
    <row r="20447" spans="2:2" ht="12.75" customHeight="1" x14ac:dyDescent="0.2">
      <c r="B20447" s="43"/>
    </row>
    <row r="20448" spans="2:2" ht="12.75" customHeight="1" x14ac:dyDescent="0.2">
      <c r="B20448" s="43"/>
    </row>
    <row r="20449" spans="2:2" ht="12.75" customHeight="1" x14ac:dyDescent="0.2">
      <c r="B20449" s="43"/>
    </row>
    <row r="20450" spans="2:2" ht="12.75" customHeight="1" x14ac:dyDescent="0.2">
      <c r="B20450" s="43"/>
    </row>
    <row r="20451" spans="2:2" ht="12.75" customHeight="1" x14ac:dyDescent="0.2">
      <c r="B20451" s="43"/>
    </row>
    <row r="20452" spans="2:2" ht="12.75" customHeight="1" x14ac:dyDescent="0.2">
      <c r="B20452" s="43"/>
    </row>
    <row r="20453" spans="2:2" ht="12.75" customHeight="1" x14ac:dyDescent="0.2">
      <c r="B20453" s="43"/>
    </row>
    <row r="20454" spans="2:2" ht="12.75" customHeight="1" x14ac:dyDescent="0.2">
      <c r="B20454" s="43"/>
    </row>
    <row r="20455" spans="2:2" ht="12.75" customHeight="1" x14ac:dyDescent="0.2">
      <c r="B20455" s="43"/>
    </row>
    <row r="20456" spans="2:2" ht="12.75" customHeight="1" x14ac:dyDescent="0.2">
      <c r="B20456" s="43"/>
    </row>
    <row r="20457" spans="2:2" ht="12.75" customHeight="1" x14ac:dyDescent="0.2">
      <c r="B20457" s="43"/>
    </row>
    <row r="20458" spans="2:2" ht="12.75" customHeight="1" x14ac:dyDescent="0.2">
      <c r="B20458" s="43"/>
    </row>
    <row r="20459" spans="2:2" ht="12.75" customHeight="1" x14ac:dyDescent="0.2">
      <c r="B20459" s="43"/>
    </row>
    <row r="20460" spans="2:2" ht="12.75" customHeight="1" x14ac:dyDescent="0.2">
      <c r="B20460" s="43"/>
    </row>
    <row r="20461" spans="2:2" ht="12.75" customHeight="1" x14ac:dyDescent="0.2">
      <c r="B20461" s="43"/>
    </row>
    <row r="20462" spans="2:2" ht="12.75" customHeight="1" x14ac:dyDescent="0.2">
      <c r="B20462" s="43"/>
    </row>
    <row r="20463" spans="2:2" ht="12.75" customHeight="1" x14ac:dyDescent="0.2">
      <c r="B20463" s="43"/>
    </row>
    <row r="20464" spans="2:2" ht="12.75" customHeight="1" x14ac:dyDescent="0.2">
      <c r="B20464" s="43"/>
    </row>
    <row r="20465" spans="2:2" ht="12.75" customHeight="1" x14ac:dyDescent="0.2">
      <c r="B20465" s="43"/>
    </row>
    <row r="20466" spans="2:2" ht="12.75" customHeight="1" x14ac:dyDescent="0.2">
      <c r="B20466" s="43"/>
    </row>
    <row r="20467" spans="2:2" ht="12.75" customHeight="1" x14ac:dyDescent="0.2">
      <c r="B20467" s="43"/>
    </row>
    <row r="20468" spans="2:2" ht="12.75" customHeight="1" x14ac:dyDescent="0.2">
      <c r="B20468" s="43"/>
    </row>
    <row r="20469" spans="2:2" ht="12.75" customHeight="1" x14ac:dyDescent="0.2">
      <c r="B20469" s="43"/>
    </row>
    <row r="20470" spans="2:2" ht="12.75" customHeight="1" x14ac:dyDescent="0.2">
      <c r="B20470" s="43"/>
    </row>
    <row r="20471" spans="2:2" ht="12.75" customHeight="1" x14ac:dyDescent="0.2">
      <c r="B20471" s="43"/>
    </row>
    <row r="20472" spans="2:2" ht="12.75" customHeight="1" x14ac:dyDescent="0.2">
      <c r="B20472" s="43"/>
    </row>
    <row r="20473" spans="2:2" ht="12.75" customHeight="1" x14ac:dyDescent="0.2">
      <c r="B20473" s="43"/>
    </row>
    <row r="20474" spans="2:2" ht="12.75" customHeight="1" x14ac:dyDescent="0.2">
      <c r="B20474" s="43"/>
    </row>
    <row r="20475" spans="2:2" ht="12.75" customHeight="1" x14ac:dyDescent="0.2">
      <c r="B20475" s="43"/>
    </row>
    <row r="20476" spans="2:2" ht="12.75" customHeight="1" x14ac:dyDescent="0.2">
      <c r="B20476" s="43"/>
    </row>
    <row r="20477" spans="2:2" ht="12.75" customHeight="1" x14ac:dyDescent="0.2">
      <c r="B20477" s="43"/>
    </row>
    <row r="20478" spans="2:2" ht="12.75" customHeight="1" x14ac:dyDescent="0.2">
      <c r="B20478" s="43"/>
    </row>
    <row r="20479" spans="2:2" ht="12.75" customHeight="1" x14ac:dyDescent="0.2">
      <c r="B20479" s="43"/>
    </row>
    <row r="20480" spans="2:2" ht="12.75" customHeight="1" x14ac:dyDescent="0.2">
      <c r="B20480" s="43"/>
    </row>
    <row r="20481" spans="2:2" ht="12.75" customHeight="1" x14ac:dyDescent="0.2">
      <c r="B20481" s="43"/>
    </row>
    <row r="20482" spans="2:2" ht="12.75" customHeight="1" x14ac:dyDescent="0.2">
      <c r="B20482" s="43"/>
    </row>
    <row r="20483" spans="2:2" ht="12.75" customHeight="1" x14ac:dyDescent="0.2">
      <c r="B20483" s="43"/>
    </row>
    <row r="20484" spans="2:2" ht="12.75" customHeight="1" x14ac:dyDescent="0.2">
      <c r="B20484" s="43"/>
    </row>
    <row r="20485" spans="2:2" ht="12.75" customHeight="1" x14ac:dyDescent="0.2">
      <c r="B20485" s="43"/>
    </row>
    <row r="20486" spans="2:2" ht="12.75" customHeight="1" x14ac:dyDescent="0.2">
      <c r="B20486" s="43"/>
    </row>
    <row r="20487" spans="2:2" ht="12.75" customHeight="1" x14ac:dyDescent="0.2">
      <c r="B20487" s="43"/>
    </row>
    <row r="20488" spans="2:2" ht="12.75" customHeight="1" x14ac:dyDescent="0.2">
      <c r="B20488" s="43"/>
    </row>
    <row r="20489" spans="2:2" ht="12.75" customHeight="1" x14ac:dyDescent="0.2">
      <c r="B20489" s="43"/>
    </row>
    <row r="20490" spans="2:2" ht="12.75" customHeight="1" x14ac:dyDescent="0.2">
      <c r="B20490" s="43"/>
    </row>
    <row r="20491" spans="2:2" ht="12.75" customHeight="1" x14ac:dyDescent="0.2">
      <c r="B20491" s="43"/>
    </row>
    <row r="20492" spans="2:2" ht="12.75" customHeight="1" x14ac:dyDescent="0.2">
      <c r="B20492" s="43"/>
    </row>
    <row r="20493" spans="2:2" ht="12.75" customHeight="1" x14ac:dyDescent="0.2">
      <c r="B20493" s="43"/>
    </row>
    <row r="20494" spans="2:2" ht="12.75" customHeight="1" x14ac:dyDescent="0.2">
      <c r="B20494" s="43"/>
    </row>
    <row r="20495" spans="2:2" ht="12.75" customHeight="1" x14ac:dyDescent="0.2">
      <c r="B20495" s="43"/>
    </row>
    <row r="20496" spans="2:2" ht="12.75" customHeight="1" x14ac:dyDescent="0.2">
      <c r="B20496" s="43"/>
    </row>
    <row r="20497" spans="2:2" ht="12.75" customHeight="1" x14ac:dyDescent="0.2">
      <c r="B20497" s="43"/>
    </row>
    <row r="20498" spans="2:2" ht="12.75" customHeight="1" x14ac:dyDescent="0.2">
      <c r="B20498" s="43"/>
    </row>
    <row r="20499" spans="2:2" ht="12.75" customHeight="1" x14ac:dyDescent="0.2">
      <c r="B20499" s="43"/>
    </row>
    <row r="20500" spans="2:2" ht="12.75" customHeight="1" x14ac:dyDescent="0.2">
      <c r="B20500" s="43"/>
    </row>
    <row r="20501" spans="2:2" ht="12.75" customHeight="1" x14ac:dyDescent="0.2">
      <c r="B20501" s="43"/>
    </row>
    <row r="20502" spans="2:2" ht="12.75" customHeight="1" x14ac:dyDescent="0.2">
      <c r="B20502" s="43"/>
    </row>
    <row r="20503" spans="2:2" ht="12.75" customHeight="1" x14ac:dyDescent="0.2">
      <c r="B20503" s="43"/>
    </row>
    <row r="20504" spans="2:2" ht="12.75" customHeight="1" x14ac:dyDescent="0.2">
      <c r="B20504" s="43"/>
    </row>
    <row r="20505" spans="2:2" ht="12.75" customHeight="1" x14ac:dyDescent="0.2">
      <c r="B20505" s="43"/>
    </row>
    <row r="20506" spans="2:2" ht="12.75" customHeight="1" x14ac:dyDescent="0.2">
      <c r="B20506" s="43"/>
    </row>
    <row r="20507" spans="2:2" ht="12.75" customHeight="1" x14ac:dyDescent="0.2">
      <c r="B20507" s="43"/>
    </row>
    <row r="20508" spans="2:2" ht="12.75" customHeight="1" x14ac:dyDescent="0.2">
      <c r="B20508" s="43"/>
    </row>
    <row r="20509" spans="2:2" ht="12.75" customHeight="1" x14ac:dyDescent="0.2">
      <c r="B20509" s="43"/>
    </row>
    <row r="20510" spans="2:2" ht="12.75" customHeight="1" x14ac:dyDescent="0.2">
      <c r="B20510" s="43"/>
    </row>
    <row r="20511" spans="2:2" ht="12.75" customHeight="1" x14ac:dyDescent="0.2">
      <c r="B20511" s="43"/>
    </row>
    <row r="20512" spans="2:2" ht="12.75" customHeight="1" x14ac:dyDescent="0.2">
      <c r="B20512" s="43"/>
    </row>
    <row r="20513" spans="2:2" ht="12.75" customHeight="1" x14ac:dyDescent="0.2">
      <c r="B20513" s="43"/>
    </row>
    <row r="20514" spans="2:2" ht="12.75" customHeight="1" x14ac:dyDescent="0.2">
      <c r="B20514" s="43"/>
    </row>
    <row r="20515" spans="2:2" ht="12.75" customHeight="1" x14ac:dyDescent="0.2">
      <c r="B20515" s="43"/>
    </row>
    <row r="20516" spans="2:2" ht="12.75" customHeight="1" x14ac:dyDescent="0.2">
      <c r="B20516" s="43"/>
    </row>
    <row r="20517" spans="2:2" ht="12.75" customHeight="1" x14ac:dyDescent="0.2">
      <c r="B20517" s="43"/>
    </row>
    <row r="20518" spans="2:2" ht="12.75" customHeight="1" x14ac:dyDescent="0.2">
      <c r="B20518" s="43"/>
    </row>
    <row r="20519" spans="2:2" ht="12.75" customHeight="1" x14ac:dyDescent="0.2">
      <c r="B20519" s="43"/>
    </row>
    <row r="20520" spans="2:2" ht="12.75" customHeight="1" x14ac:dyDescent="0.2">
      <c r="B20520" s="43"/>
    </row>
    <row r="20521" spans="2:2" ht="12.75" customHeight="1" x14ac:dyDescent="0.2">
      <c r="B20521" s="43"/>
    </row>
    <row r="20522" spans="2:2" ht="12.75" customHeight="1" x14ac:dyDescent="0.2">
      <c r="B20522" s="43"/>
    </row>
    <row r="20523" spans="2:2" ht="12.75" customHeight="1" x14ac:dyDescent="0.2">
      <c r="B20523" s="43"/>
    </row>
    <row r="20524" spans="2:2" ht="12.75" customHeight="1" x14ac:dyDescent="0.2">
      <c r="B20524" s="43"/>
    </row>
    <row r="20525" spans="2:2" ht="12.75" customHeight="1" x14ac:dyDescent="0.2">
      <c r="B20525" s="43"/>
    </row>
    <row r="20526" spans="2:2" ht="12.75" customHeight="1" x14ac:dyDescent="0.2">
      <c r="B20526" s="43"/>
    </row>
    <row r="20527" spans="2:2" ht="12.75" customHeight="1" x14ac:dyDescent="0.2">
      <c r="B20527" s="43"/>
    </row>
    <row r="20528" spans="2:2" ht="12.75" customHeight="1" x14ac:dyDescent="0.2">
      <c r="B20528" s="43"/>
    </row>
    <row r="20529" spans="2:2" ht="12.75" customHeight="1" x14ac:dyDescent="0.2">
      <c r="B20529" s="43"/>
    </row>
    <row r="20530" spans="2:2" ht="12.75" customHeight="1" x14ac:dyDescent="0.2">
      <c r="B20530" s="43"/>
    </row>
    <row r="20531" spans="2:2" ht="12.75" customHeight="1" x14ac:dyDescent="0.2">
      <c r="B20531" s="43"/>
    </row>
    <row r="20532" spans="2:2" ht="12.75" customHeight="1" x14ac:dyDescent="0.2">
      <c r="B20532" s="43"/>
    </row>
    <row r="20533" spans="2:2" ht="12.75" customHeight="1" x14ac:dyDescent="0.2">
      <c r="B20533" s="43"/>
    </row>
    <row r="20534" spans="2:2" ht="12.75" customHeight="1" x14ac:dyDescent="0.2">
      <c r="B20534" s="43"/>
    </row>
    <row r="20535" spans="2:2" ht="12.75" customHeight="1" x14ac:dyDescent="0.2">
      <c r="B20535" s="43"/>
    </row>
    <row r="20536" spans="2:2" ht="12.75" customHeight="1" x14ac:dyDescent="0.2">
      <c r="B20536" s="43"/>
    </row>
    <row r="20537" spans="2:2" ht="12.75" customHeight="1" x14ac:dyDescent="0.2">
      <c r="B20537" s="43"/>
    </row>
    <row r="20538" spans="2:2" ht="12.75" customHeight="1" x14ac:dyDescent="0.2">
      <c r="B20538" s="43"/>
    </row>
    <row r="20539" spans="2:2" ht="12.75" customHeight="1" x14ac:dyDescent="0.2">
      <c r="B20539" s="43"/>
    </row>
    <row r="20540" spans="2:2" ht="12.75" customHeight="1" x14ac:dyDescent="0.2">
      <c r="B20540" s="43"/>
    </row>
    <row r="20541" spans="2:2" ht="12.75" customHeight="1" x14ac:dyDescent="0.2">
      <c r="B20541" s="43"/>
    </row>
    <row r="20542" spans="2:2" ht="12.75" customHeight="1" x14ac:dyDescent="0.2">
      <c r="B20542" s="43"/>
    </row>
    <row r="20543" spans="2:2" ht="12.75" customHeight="1" x14ac:dyDescent="0.2">
      <c r="B20543" s="43"/>
    </row>
    <row r="20544" spans="2:2" ht="12.75" customHeight="1" x14ac:dyDescent="0.2">
      <c r="B20544" s="43"/>
    </row>
    <row r="20545" spans="2:2" ht="12.75" customHeight="1" x14ac:dyDescent="0.2">
      <c r="B20545" s="43"/>
    </row>
    <row r="20546" spans="2:2" ht="12.75" customHeight="1" x14ac:dyDescent="0.2">
      <c r="B20546" s="43"/>
    </row>
    <row r="20547" spans="2:2" ht="12.75" customHeight="1" x14ac:dyDescent="0.2">
      <c r="B20547" s="43"/>
    </row>
    <row r="20548" spans="2:2" ht="12.75" customHeight="1" x14ac:dyDescent="0.2">
      <c r="B20548" s="43"/>
    </row>
    <row r="20549" spans="2:2" ht="12.75" customHeight="1" x14ac:dyDescent="0.2">
      <c r="B20549" s="43"/>
    </row>
    <row r="20550" spans="2:2" ht="12.75" customHeight="1" x14ac:dyDescent="0.2">
      <c r="B20550" s="43"/>
    </row>
    <row r="20551" spans="2:2" ht="12.75" customHeight="1" x14ac:dyDescent="0.2">
      <c r="B20551" s="43"/>
    </row>
    <row r="20552" spans="2:2" ht="12.75" customHeight="1" x14ac:dyDescent="0.2">
      <c r="B20552" s="43"/>
    </row>
    <row r="20553" spans="2:2" ht="12.75" customHeight="1" x14ac:dyDescent="0.2">
      <c r="B20553" s="43"/>
    </row>
    <row r="20554" spans="2:2" ht="12.75" customHeight="1" x14ac:dyDescent="0.2">
      <c r="B20554" s="43"/>
    </row>
    <row r="20555" spans="2:2" ht="12.75" customHeight="1" x14ac:dyDescent="0.2">
      <c r="B20555" s="43"/>
    </row>
    <row r="20556" spans="2:2" ht="12.75" customHeight="1" x14ac:dyDescent="0.2">
      <c r="B20556" s="43"/>
    </row>
    <row r="20557" spans="2:2" ht="12.75" customHeight="1" x14ac:dyDescent="0.2">
      <c r="B20557" s="43"/>
    </row>
    <row r="20558" spans="2:2" ht="12.75" customHeight="1" x14ac:dyDescent="0.2">
      <c r="B20558" s="43"/>
    </row>
    <row r="20559" spans="2:2" ht="12.75" customHeight="1" x14ac:dyDescent="0.2">
      <c r="B20559" s="43"/>
    </row>
    <row r="20560" spans="2:2" ht="12.75" customHeight="1" x14ac:dyDescent="0.2">
      <c r="B20560" s="43"/>
    </row>
    <row r="20561" spans="2:2" ht="12.75" customHeight="1" x14ac:dyDescent="0.2">
      <c r="B20561" s="43"/>
    </row>
    <row r="20562" spans="2:2" ht="12.75" customHeight="1" x14ac:dyDescent="0.2">
      <c r="B20562" s="43"/>
    </row>
    <row r="20563" spans="2:2" ht="12.75" customHeight="1" x14ac:dyDescent="0.2">
      <c r="B20563" s="43"/>
    </row>
    <row r="20564" spans="2:2" ht="12.75" customHeight="1" x14ac:dyDescent="0.2">
      <c r="B20564" s="43"/>
    </row>
    <row r="20565" spans="2:2" ht="12.75" customHeight="1" x14ac:dyDescent="0.2">
      <c r="B20565" s="43"/>
    </row>
    <row r="20566" spans="2:2" ht="12.75" customHeight="1" x14ac:dyDescent="0.2">
      <c r="B20566" s="43"/>
    </row>
    <row r="20567" spans="2:2" ht="12.75" customHeight="1" x14ac:dyDescent="0.2">
      <c r="B20567" s="43"/>
    </row>
    <row r="20568" spans="2:2" ht="12.75" customHeight="1" x14ac:dyDescent="0.2">
      <c r="B20568" s="43"/>
    </row>
    <row r="20569" spans="2:2" ht="12.75" customHeight="1" x14ac:dyDescent="0.2">
      <c r="B20569" s="43"/>
    </row>
    <row r="20570" spans="2:2" ht="12.75" customHeight="1" x14ac:dyDescent="0.2">
      <c r="B20570" s="43"/>
    </row>
    <row r="20571" spans="2:2" ht="12.75" customHeight="1" x14ac:dyDescent="0.2">
      <c r="B20571" s="43"/>
    </row>
    <row r="20572" spans="2:2" ht="12.75" customHeight="1" x14ac:dyDescent="0.2">
      <c r="B20572" s="43"/>
    </row>
    <row r="20573" spans="2:2" ht="12.75" customHeight="1" x14ac:dyDescent="0.2">
      <c r="B20573" s="43"/>
    </row>
    <row r="20574" spans="2:2" ht="12.75" customHeight="1" x14ac:dyDescent="0.2">
      <c r="B20574" s="43"/>
    </row>
    <row r="20575" spans="2:2" ht="12.75" customHeight="1" x14ac:dyDescent="0.2">
      <c r="B20575" s="43"/>
    </row>
    <row r="20576" spans="2:2" ht="12.75" customHeight="1" x14ac:dyDescent="0.2">
      <c r="B20576" s="43"/>
    </row>
    <row r="20577" spans="2:2" ht="12.75" customHeight="1" x14ac:dyDescent="0.2">
      <c r="B20577" s="43"/>
    </row>
    <row r="20578" spans="2:2" ht="12.75" customHeight="1" x14ac:dyDescent="0.2">
      <c r="B20578" s="43"/>
    </row>
    <row r="20579" spans="2:2" ht="12.75" customHeight="1" x14ac:dyDescent="0.2">
      <c r="B20579" s="43"/>
    </row>
    <row r="20580" spans="2:2" ht="12.75" customHeight="1" x14ac:dyDescent="0.2">
      <c r="B20580" s="43"/>
    </row>
    <row r="20581" spans="2:2" ht="12.75" customHeight="1" x14ac:dyDescent="0.2">
      <c r="B20581" s="43"/>
    </row>
    <row r="20582" spans="2:2" ht="12.75" customHeight="1" x14ac:dyDescent="0.2">
      <c r="B20582" s="43"/>
    </row>
    <row r="20583" spans="2:2" ht="12.75" customHeight="1" x14ac:dyDescent="0.2">
      <c r="B20583" s="43"/>
    </row>
    <row r="20584" spans="2:2" ht="12.75" customHeight="1" x14ac:dyDescent="0.2">
      <c r="B20584" s="43"/>
    </row>
    <row r="20585" spans="2:2" ht="12.75" customHeight="1" x14ac:dyDescent="0.2">
      <c r="B20585" s="43"/>
    </row>
    <row r="20586" spans="2:2" ht="12.75" customHeight="1" x14ac:dyDescent="0.2">
      <c r="B20586" s="43"/>
    </row>
    <row r="20587" spans="2:2" ht="12.75" customHeight="1" x14ac:dyDescent="0.2">
      <c r="B20587" s="43"/>
    </row>
    <row r="20588" spans="2:2" ht="12.75" customHeight="1" x14ac:dyDescent="0.2">
      <c r="B20588" s="43"/>
    </row>
    <row r="20589" spans="2:2" ht="12.75" customHeight="1" x14ac:dyDescent="0.2">
      <c r="B20589" s="43"/>
    </row>
    <row r="20590" spans="2:2" ht="12.75" customHeight="1" x14ac:dyDescent="0.2">
      <c r="B20590" s="43"/>
    </row>
    <row r="20591" spans="2:2" ht="12.75" customHeight="1" x14ac:dyDescent="0.2">
      <c r="B20591" s="43"/>
    </row>
    <row r="20592" spans="2:2" ht="12.75" customHeight="1" x14ac:dyDescent="0.2">
      <c r="B20592" s="43"/>
    </row>
    <row r="20593" spans="2:2" ht="12.75" customHeight="1" x14ac:dyDescent="0.2">
      <c r="B20593" s="43"/>
    </row>
    <row r="20594" spans="2:2" ht="12.75" customHeight="1" x14ac:dyDescent="0.2">
      <c r="B20594" s="43"/>
    </row>
    <row r="20595" spans="2:2" ht="12.75" customHeight="1" x14ac:dyDescent="0.2">
      <c r="B20595" s="43"/>
    </row>
    <row r="20596" spans="2:2" ht="12.75" customHeight="1" x14ac:dyDescent="0.2">
      <c r="B20596" s="43"/>
    </row>
    <row r="20597" spans="2:2" ht="12.75" customHeight="1" x14ac:dyDescent="0.2">
      <c r="B20597" s="43"/>
    </row>
    <row r="20598" spans="2:2" ht="12.75" customHeight="1" x14ac:dyDescent="0.2">
      <c r="B20598" s="43"/>
    </row>
    <row r="20599" spans="2:2" ht="12.75" customHeight="1" x14ac:dyDescent="0.2">
      <c r="B20599" s="43"/>
    </row>
    <row r="20600" spans="2:2" ht="12.75" customHeight="1" x14ac:dyDescent="0.2">
      <c r="B20600" s="43"/>
    </row>
    <row r="20601" spans="2:2" ht="12.75" customHeight="1" x14ac:dyDescent="0.2">
      <c r="B20601" s="43"/>
    </row>
    <row r="20602" spans="2:2" ht="12.75" customHeight="1" x14ac:dyDescent="0.2">
      <c r="B20602" s="43"/>
    </row>
    <row r="20603" spans="2:2" ht="12.75" customHeight="1" x14ac:dyDescent="0.2">
      <c r="B20603" s="43"/>
    </row>
    <row r="20604" spans="2:2" ht="12.75" customHeight="1" x14ac:dyDescent="0.2">
      <c r="B20604" s="43"/>
    </row>
    <row r="20605" spans="2:2" ht="12.75" customHeight="1" x14ac:dyDescent="0.2">
      <c r="B20605" s="43"/>
    </row>
    <row r="20606" spans="2:2" ht="12.75" customHeight="1" x14ac:dyDescent="0.2">
      <c r="B20606" s="43"/>
    </row>
    <row r="20607" spans="2:2" ht="12.75" customHeight="1" x14ac:dyDescent="0.2">
      <c r="B20607" s="43"/>
    </row>
    <row r="20608" spans="2:2" ht="12.75" customHeight="1" x14ac:dyDescent="0.2">
      <c r="B20608" s="43"/>
    </row>
    <row r="20609" spans="2:2" ht="12.75" customHeight="1" x14ac:dyDescent="0.2">
      <c r="B20609" s="43"/>
    </row>
    <row r="20610" spans="2:2" ht="12.75" customHeight="1" x14ac:dyDescent="0.2">
      <c r="B20610" s="43"/>
    </row>
    <row r="20611" spans="2:2" ht="12.75" customHeight="1" x14ac:dyDescent="0.2">
      <c r="B20611" s="43"/>
    </row>
    <row r="20612" spans="2:2" ht="12.75" customHeight="1" x14ac:dyDescent="0.2">
      <c r="B20612" s="43"/>
    </row>
    <row r="20613" spans="2:2" ht="12.75" customHeight="1" x14ac:dyDescent="0.2">
      <c r="B20613" s="43"/>
    </row>
    <row r="20614" spans="2:2" ht="12.75" customHeight="1" x14ac:dyDescent="0.2">
      <c r="B20614" s="43"/>
    </row>
    <row r="20615" spans="2:2" ht="12.75" customHeight="1" x14ac:dyDescent="0.2">
      <c r="B20615" s="43"/>
    </row>
    <row r="20616" spans="2:2" ht="12.75" customHeight="1" x14ac:dyDescent="0.2">
      <c r="B20616" s="43"/>
    </row>
    <row r="20617" spans="2:2" ht="12.75" customHeight="1" x14ac:dyDescent="0.2">
      <c r="B20617" s="43"/>
    </row>
    <row r="20618" spans="2:2" ht="12.75" customHeight="1" x14ac:dyDescent="0.2">
      <c r="B20618" s="43"/>
    </row>
    <row r="20619" spans="2:2" ht="12.75" customHeight="1" x14ac:dyDescent="0.2">
      <c r="B20619" s="43"/>
    </row>
    <row r="20620" spans="2:2" ht="12.75" customHeight="1" x14ac:dyDescent="0.2">
      <c r="B20620" s="43"/>
    </row>
    <row r="20621" spans="2:2" ht="12.75" customHeight="1" x14ac:dyDescent="0.2">
      <c r="B20621" s="43"/>
    </row>
    <row r="20622" spans="2:2" ht="12.75" customHeight="1" x14ac:dyDescent="0.2">
      <c r="B20622" s="43"/>
    </row>
    <row r="20623" spans="2:2" ht="12.75" customHeight="1" x14ac:dyDescent="0.2">
      <c r="B20623" s="43"/>
    </row>
    <row r="20624" spans="2:2" ht="12.75" customHeight="1" x14ac:dyDescent="0.2">
      <c r="B20624" s="43"/>
    </row>
    <row r="20625" spans="2:2" ht="12.75" customHeight="1" x14ac:dyDescent="0.2">
      <c r="B20625" s="43"/>
    </row>
    <row r="20626" spans="2:2" ht="12.75" customHeight="1" x14ac:dyDescent="0.2">
      <c r="B20626" s="43"/>
    </row>
    <row r="20627" spans="2:2" ht="12.75" customHeight="1" x14ac:dyDescent="0.2">
      <c r="B20627" s="43"/>
    </row>
    <row r="20628" spans="2:2" ht="12.75" customHeight="1" x14ac:dyDescent="0.2">
      <c r="B20628" s="43"/>
    </row>
    <row r="20629" spans="2:2" ht="12.75" customHeight="1" x14ac:dyDescent="0.2">
      <c r="B20629" s="43"/>
    </row>
    <row r="20630" spans="2:2" ht="12.75" customHeight="1" x14ac:dyDescent="0.2">
      <c r="B20630" s="43"/>
    </row>
    <row r="20631" spans="2:2" ht="12.75" customHeight="1" x14ac:dyDescent="0.2">
      <c r="B20631" s="43"/>
    </row>
    <row r="20632" spans="2:2" ht="12.75" customHeight="1" x14ac:dyDescent="0.2">
      <c r="B20632" s="43"/>
    </row>
    <row r="20633" spans="2:2" ht="12.75" customHeight="1" x14ac:dyDescent="0.2">
      <c r="B20633" s="43"/>
    </row>
    <row r="20634" spans="2:2" ht="12.75" customHeight="1" x14ac:dyDescent="0.2">
      <c r="B20634" s="43"/>
    </row>
    <row r="20635" spans="2:2" ht="12.75" customHeight="1" x14ac:dyDescent="0.2">
      <c r="B20635" s="43"/>
    </row>
    <row r="20636" spans="2:2" ht="12.75" customHeight="1" x14ac:dyDescent="0.2">
      <c r="B20636" s="43"/>
    </row>
    <row r="20637" spans="2:2" ht="12.75" customHeight="1" x14ac:dyDescent="0.2">
      <c r="B20637" s="43"/>
    </row>
    <row r="20638" spans="2:2" ht="12.75" customHeight="1" x14ac:dyDescent="0.2">
      <c r="B20638" s="43"/>
    </row>
    <row r="20639" spans="2:2" ht="12.75" customHeight="1" x14ac:dyDescent="0.2">
      <c r="B20639" s="43"/>
    </row>
    <row r="20640" spans="2:2" ht="12.75" customHeight="1" x14ac:dyDescent="0.2">
      <c r="B20640" s="43"/>
    </row>
    <row r="20641" spans="2:2" ht="12.75" customHeight="1" x14ac:dyDescent="0.2">
      <c r="B20641" s="43"/>
    </row>
    <row r="20642" spans="2:2" ht="12.75" customHeight="1" x14ac:dyDescent="0.2">
      <c r="B20642" s="43"/>
    </row>
    <row r="20643" spans="2:2" ht="12.75" customHeight="1" x14ac:dyDescent="0.2">
      <c r="B20643" s="43"/>
    </row>
    <row r="20644" spans="2:2" ht="12.75" customHeight="1" x14ac:dyDescent="0.2">
      <c r="B20644" s="43"/>
    </row>
    <row r="20645" spans="2:2" ht="12.75" customHeight="1" x14ac:dyDescent="0.2">
      <c r="B20645" s="43"/>
    </row>
    <row r="20646" spans="2:2" ht="12.75" customHeight="1" x14ac:dyDescent="0.2">
      <c r="B20646" s="43"/>
    </row>
    <row r="20647" spans="2:2" ht="12.75" customHeight="1" x14ac:dyDescent="0.2">
      <c r="B20647" s="43"/>
    </row>
    <row r="20648" spans="2:2" ht="12.75" customHeight="1" x14ac:dyDescent="0.2">
      <c r="B20648" s="43"/>
    </row>
    <row r="20649" spans="2:2" ht="12.75" customHeight="1" x14ac:dyDescent="0.2">
      <c r="B20649" s="43"/>
    </row>
    <row r="20650" spans="2:2" ht="12.75" customHeight="1" x14ac:dyDescent="0.2">
      <c r="B20650" s="43"/>
    </row>
    <row r="20651" spans="2:2" ht="12.75" customHeight="1" x14ac:dyDescent="0.2">
      <c r="B20651" s="43"/>
    </row>
    <row r="20652" spans="2:2" ht="12.75" customHeight="1" x14ac:dyDescent="0.2">
      <c r="B20652" s="43"/>
    </row>
    <row r="20653" spans="2:2" ht="12.75" customHeight="1" x14ac:dyDescent="0.2">
      <c r="B20653" s="43"/>
    </row>
    <row r="20654" spans="2:2" ht="12.75" customHeight="1" x14ac:dyDescent="0.2">
      <c r="B20654" s="43"/>
    </row>
    <row r="20655" spans="2:2" ht="12.75" customHeight="1" x14ac:dyDescent="0.2">
      <c r="B20655" s="43"/>
    </row>
    <row r="20656" spans="2:2" ht="12.75" customHeight="1" x14ac:dyDescent="0.2">
      <c r="B20656" s="43"/>
    </row>
    <row r="20657" spans="2:2" ht="12.75" customHeight="1" x14ac:dyDescent="0.2">
      <c r="B20657" s="43"/>
    </row>
    <row r="20658" spans="2:2" ht="12.75" customHeight="1" x14ac:dyDescent="0.2">
      <c r="B20658" s="43"/>
    </row>
    <row r="20659" spans="2:2" ht="12.75" customHeight="1" x14ac:dyDescent="0.2">
      <c r="B20659" s="43"/>
    </row>
    <row r="20660" spans="2:2" ht="12.75" customHeight="1" x14ac:dyDescent="0.2">
      <c r="B20660" s="43"/>
    </row>
    <row r="20661" spans="2:2" ht="12.75" customHeight="1" x14ac:dyDescent="0.2">
      <c r="B20661" s="43"/>
    </row>
    <row r="20662" spans="2:2" ht="12.75" customHeight="1" x14ac:dyDescent="0.2">
      <c r="B20662" s="43"/>
    </row>
    <row r="20663" spans="2:2" ht="12.75" customHeight="1" x14ac:dyDescent="0.2">
      <c r="B20663" s="43"/>
    </row>
    <row r="20664" spans="2:2" ht="12.75" customHeight="1" x14ac:dyDescent="0.2">
      <c r="B20664" s="43"/>
    </row>
    <row r="20665" spans="2:2" ht="12.75" customHeight="1" x14ac:dyDescent="0.2">
      <c r="B20665" s="43"/>
    </row>
    <row r="20666" spans="2:2" ht="12.75" customHeight="1" x14ac:dyDescent="0.2">
      <c r="B20666" s="43"/>
    </row>
    <row r="20667" spans="2:2" ht="12.75" customHeight="1" x14ac:dyDescent="0.2">
      <c r="B20667" s="43"/>
    </row>
    <row r="20668" spans="2:2" ht="12.75" customHeight="1" x14ac:dyDescent="0.2">
      <c r="B20668" s="43"/>
    </row>
    <row r="20669" spans="2:2" ht="12.75" customHeight="1" x14ac:dyDescent="0.2">
      <c r="B20669" s="43"/>
    </row>
    <row r="20670" spans="2:2" ht="12.75" customHeight="1" x14ac:dyDescent="0.2">
      <c r="B20670" s="43"/>
    </row>
    <row r="20671" spans="2:2" ht="12.75" customHeight="1" x14ac:dyDescent="0.2">
      <c r="B20671" s="43"/>
    </row>
    <row r="20672" spans="2:2" ht="12.75" customHeight="1" x14ac:dyDescent="0.2">
      <c r="B20672" s="43"/>
    </row>
    <row r="20673" spans="2:2" ht="12.75" customHeight="1" x14ac:dyDescent="0.2">
      <c r="B20673" s="43"/>
    </row>
    <row r="20674" spans="2:2" ht="12.75" customHeight="1" x14ac:dyDescent="0.2">
      <c r="B20674" s="43"/>
    </row>
    <row r="20675" spans="2:2" ht="12.75" customHeight="1" x14ac:dyDescent="0.2">
      <c r="B20675" s="43"/>
    </row>
    <row r="20676" spans="2:2" ht="12.75" customHeight="1" x14ac:dyDescent="0.2">
      <c r="B20676" s="43"/>
    </row>
    <row r="20677" spans="2:2" ht="12.75" customHeight="1" x14ac:dyDescent="0.2">
      <c r="B20677" s="43"/>
    </row>
    <row r="20678" spans="2:2" ht="12.75" customHeight="1" x14ac:dyDescent="0.2">
      <c r="B20678" s="43"/>
    </row>
    <row r="20679" spans="2:2" ht="12.75" customHeight="1" x14ac:dyDescent="0.2">
      <c r="B20679" s="43"/>
    </row>
    <row r="20680" spans="2:2" ht="12.75" customHeight="1" x14ac:dyDescent="0.2">
      <c r="B20680" s="43"/>
    </row>
    <row r="20681" spans="2:2" ht="12.75" customHeight="1" x14ac:dyDescent="0.2">
      <c r="B20681" s="43"/>
    </row>
    <row r="20682" spans="2:2" ht="12.75" customHeight="1" x14ac:dyDescent="0.2">
      <c r="B20682" s="43"/>
    </row>
    <row r="20683" spans="2:2" ht="12.75" customHeight="1" x14ac:dyDescent="0.2">
      <c r="B20683" s="43"/>
    </row>
    <row r="20684" spans="2:2" ht="12.75" customHeight="1" x14ac:dyDescent="0.2">
      <c r="B20684" s="43"/>
    </row>
    <row r="20685" spans="2:2" ht="12.75" customHeight="1" x14ac:dyDescent="0.2">
      <c r="B20685" s="43"/>
    </row>
    <row r="20686" spans="2:2" ht="12.75" customHeight="1" x14ac:dyDescent="0.2">
      <c r="B20686" s="43"/>
    </row>
    <row r="20687" spans="2:2" ht="12.75" customHeight="1" x14ac:dyDescent="0.2">
      <c r="B20687" s="43"/>
    </row>
    <row r="20688" spans="2:2" ht="12.75" customHeight="1" x14ac:dyDescent="0.2">
      <c r="B20688" s="43"/>
    </row>
    <row r="20689" spans="2:2" ht="12.75" customHeight="1" x14ac:dyDescent="0.2">
      <c r="B20689" s="43"/>
    </row>
    <row r="20690" spans="2:2" ht="12.75" customHeight="1" x14ac:dyDescent="0.2">
      <c r="B20690" s="43"/>
    </row>
    <row r="20691" spans="2:2" ht="12.75" customHeight="1" x14ac:dyDescent="0.2">
      <c r="B20691" s="43"/>
    </row>
    <row r="20692" spans="2:2" ht="12.75" customHeight="1" x14ac:dyDescent="0.2">
      <c r="B20692" s="43"/>
    </row>
    <row r="20693" spans="2:2" ht="12.75" customHeight="1" x14ac:dyDescent="0.2">
      <c r="B20693" s="43"/>
    </row>
    <row r="20694" spans="2:2" ht="12.75" customHeight="1" x14ac:dyDescent="0.2">
      <c r="B20694" s="43"/>
    </row>
    <row r="20695" spans="2:2" ht="12.75" customHeight="1" x14ac:dyDescent="0.2">
      <c r="B20695" s="43"/>
    </row>
    <row r="20696" spans="2:2" ht="12.75" customHeight="1" x14ac:dyDescent="0.2">
      <c r="B20696" s="43"/>
    </row>
    <row r="20697" spans="2:2" ht="12.75" customHeight="1" x14ac:dyDescent="0.2">
      <c r="B20697" s="43"/>
    </row>
    <row r="20698" spans="2:2" ht="12.75" customHeight="1" x14ac:dyDescent="0.2">
      <c r="B20698" s="43"/>
    </row>
    <row r="20699" spans="2:2" ht="12.75" customHeight="1" x14ac:dyDescent="0.2">
      <c r="B20699" s="43"/>
    </row>
    <row r="20700" spans="2:2" ht="12.75" customHeight="1" x14ac:dyDescent="0.2">
      <c r="B20700" s="43"/>
    </row>
    <row r="20701" spans="2:2" ht="12.75" customHeight="1" x14ac:dyDescent="0.2">
      <c r="B20701" s="43"/>
    </row>
    <row r="20702" spans="2:2" ht="12.75" customHeight="1" x14ac:dyDescent="0.2">
      <c r="B20702" s="43"/>
    </row>
    <row r="20703" spans="2:2" ht="12.75" customHeight="1" x14ac:dyDescent="0.2">
      <c r="B20703" s="43"/>
    </row>
    <row r="20704" spans="2:2" ht="12.75" customHeight="1" x14ac:dyDescent="0.2">
      <c r="B20704" s="43"/>
    </row>
    <row r="20705" spans="2:2" ht="12.75" customHeight="1" x14ac:dyDescent="0.2">
      <c r="B20705" s="43"/>
    </row>
    <row r="20706" spans="2:2" ht="12.75" customHeight="1" x14ac:dyDescent="0.2">
      <c r="B20706" s="43"/>
    </row>
    <row r="20707" spans="2:2" ht="12.75" customHeight="1" x14ac:dyDescent="0.2">
      <c r="B20707" s="43"/>
    </row>
    <row r="20708" spans="2:2" ht="12.75" customHeight="1" x14ac:dyDescent="0.2">
      <c r="B20708" s="43"/>
    </row>
    <row r="20709" spans="2:2" ht="12.75" customHeight="1" x14ac:dyDescent="0.2">
      <c r="B20709" s="43"/>
    </row>
    <row r="20710" spans="2:2" ht="12.75" customHeight="1" x14ac:dyDescent="0.2">
      <c r="B20710" s="43"/>
    </row>
    <row r="20711" spans="2:2" ht="12.75" customHeight="1" x14ac:dyDescent="0.2">
      <c r="B20711" s="43"/>
    </row>
    <row r="20712" spans="2:2" ht="12.75" customHeight="1" x14ac:dyDescent="0.2">
      <c r="B20712" s="43"/>
    </row>
    <row r="20713" spans="2:2" ht="12.75" customHeight="1" x14ac:dyDescent="0.2">
      <c r="B20713" s="43"/>
    </row>
    <row r="20714" spans="2:2" ht="12.75" customHeight="1" x14ac:dyDescent="0.2">
      <c r="B20714" s="43"/>
    </row>
    <row r="20715" spans="2:2" ht="12.75" customHeight="1" x14ac:dyDescent="0.2">
      <c r="B20715" s="43"/>
    </row>
    <row r="20716" spans="2:2" ht="12.75" customHeight="1" x14ac:dyDescent="0.2">
      <c r="B20716" s="43"/>
    </row>
    <row r="20717" spans="2:2" ht="12.75" customHeight="1" x14ac:dyDescent="0.2">
      <c r="B20717" s="43"/>
    </row>
    <row r="20718" spans="2:2" ht="12.75" customHeight="1" x14ac:dyDescent="0.2">
      <c r="B20718" s="43"/>
    </row>
    <row r="20719" spans="2:2" ht="12.75" customHeight="1" x14ac:dyDescent="0.2">
      <c r="B20719" s="43"/>
    </row>
    <row r="20720" spans="2:2" ht="12.75" customHeight="1" x14ac:dyDescent="0.2">
      <c r="B20720" s="43"/>
    </row>
    <row r="20721" spans="2:2" ht="12.75" customHeight="1" x14ac:dyDescent="0.2">
      <c r="B20721" s="43"/>
    </row>
    <row r="20722" spans="2:2" ht="12.75" customHeight="1" x14ac:dyDescent="0.2">
      <c r="B20722" s="43"/>
    </row>
    <row r="20723" spans="2:2" ht="12.75" customHeight="1" x14ac:dyDescent="0.2">
      <c r="B20723" s="43"/>
    </row>
    <row r="20724" spans="2:2" ht="12.75" customHeight="1" x14ac:dyDescent="0.2">
      <c r="B20724" s="43"/>
    </row>
    <row r="20725" spans="2:2" ht="12.75" customHeight="1" x14ac:dyDescent="0.2">
      <c r="B20725" s="43"/>
    </row>
    <row r="20726" spans="2:2" ht="12.75" customHeight="1" x14ac:dyDescent="0.2">
      <c r="B20726" s="43"/>
    </row>
    <row r="20727" spans="2:2" ht="12.75" customHeight="1" x14ac:dyDescent="0.2">
      <c r="B20727" s="43"/>
    </row>
    <row r="20728" spans="2:2" ht="12.75" customHeight="1" x14ac:dyDescent="0.2">
      <c r="B20728" s="43"/>
    </row>
    <row r="20729" spans="2:2" ht="12.75" customHeight="1" x14ac:dyDescent="0.2">
      <c r="B20729" s="43"/>
    </row>
    <row r="20730" spans="2:2" ht="12.75" customHeight="1" x14ac:dyDescent="0.2">
      <c r="B20730" s="43"/>
    </row>
    <row r="20731" spans="2:2" ht="12.75" customHeight="1" x14ac:dyDescent="0.2">
      <c r="B20731" s="43"/>
    </row>
    <row r="20732" spans="2:2" ht="12.75" customHeight="1" x14ac:dyDescent="0.2">
      <c r="B20732" s="43"/>
    </row>
    <row r="20733" spans="2:2" ht="12.75" customHeight="1" x14ac:dyDescent="0.2">
      <c r="B20733" s="43"/>
    </row>
    <row r="20734" spans="2:2" ht="12.75" customHeight="1" x14ac:dyDescent="0.2">
      <c r="B20734" s="43"/>
    </row>
    <row r="20735" spans="2:2" ht="12.75" customHeight="1" x14ac:dyDescent="0.2">
      <c r="B20735" s="43"/>
    </row>
    <row r="20736" spans="2:2" ht="12.75" customHeight="1" x14ac:dyDescent="0.2">
      <c r="B20736" s="43"/>
    </row>
    <row r="20737" spans="2:2" ht="12.75" customHeight="1" x14ac:dyDescent="0.2">
      <c r="B20737" s="43"/>
    </row>
    <row r="20738" spans="2:2" ht="12.75" customHeight="1" x14ac:dyDescent="0.2">
      <c r="B20738" s="43"/>
    </row>
    <row r="20739" spans="2:2" ht="12.75" customHeight="1" x14ac:dyDescent="0.2">
      <c r="B20739" s="43"/>
    </row>
    <row r="20740" spans="2:2" ht="12.75" customHeight="1" x14ac:dyDescent="0.2">
      <c r="B20740" s="43"/>
    </row>
    <row r="20741" spans="2:2" ht="12.75" customHeight="1" x14ac:dyDescent="0.2">
      <c r="B20741" s="43"/>
    </row>
    <row r="20742" spans="2:2" ht="12.75" customHeight="1" x14ac:dyDescent="0.2">
      <c r="B20742" s="43"/>
    </row>
    <row r="20743" spans="2:2" ht="12.75" customHeight="1" x14ac:dyDescent="0.2">
      <c r="B20743" s="43"/>
    </row>
    <row r="20744" spans="2:2" ht="12.75" customHeight="1" x14ac:dyDescent="0.2">
      <c r="B20744" s="43"/>
    </row>
    <row r="20745" spans="2:2" ht="12.75" customHeight="1" x14ac:dyDescent="0.2">
      <c r="B20745" s="43"/>
    </row>
    <row r="20746" spans="2:2" ht="12.75" customHeight="1" x14ac:dyDescent="0.2">
      <c r="B20746" s="43"/>
    </row>
    <row r="20747" spans="2:2" ht="12.75" customHeight="1" x14ac:dyDescent="0.2">
      <c r="B20747" s="43"/>
    </row>
    <row r="20748" spans="2:2" ht="12.75" customHeight="1" x14ac:dyDescent="0.2">
      <c r="B20748" s="43"/>
    </row>
    <row r="20749" spans="2:2" ht="12.75" customHeight="1" x14ac:dyDescent="0.2">
      <c r="B20749" s="43"/>
    </row>
    <row r="20750" spans="2:2" ht="12.75" customHeight="1" x14ac:dyDescent="0.2">
      <c r="B20750" s="43"/>
    </row>
    <row r="20751" spans="2:2" ht="12.75" customHeight="1" x14ac:dyDescent="0.2">
      <c r="B20751" s="43"/>
    </row>
    <row r="20752" spans="2:2" ht="12.75" customHeight="1" x14ac:dyDescent="0.2">
      <c r="B20752" s="43"/>
    </row>
    <row r="20753" spans="2:2" ht="12.75" customHeight="1" x14ac:dyDescent="0.2">
      <c r="B20753" s="43"/>
    </row>
    <row r="20754" spans="2:2" ht="12.75" customHeight="1" x14ac:dyDescent="0.2">
      <c r="B20754" s="43"/>
    </row>
    <row r="20755" spans="2:2" ht="12.75" customHeight="1" x14ac:dyDescent="0.2">
      <c r="B20755" s="43"/>
    </row>
    <row r="20756" spans="2:2" ht="12.75" customHeight="1" x14ac:dyDescent="0.2">
      <c r="B20756" s="43"/>
    </row>
    <row r="20757" spans="2:2" ht="12.75" customHeight="1" x14ac:dyDescent="0.2">
      <c r="B20757" s="43"/>
    </row>
    <row r="20758" spans="2:2" ht="12.75" customHeight="1" x14ac:dyDescent="0.2">
      <c r="B20758" s="43"/>
    </row>
    <row r="20759" spans="2:2" ht="12.75" customHeight="1" x14ac:dyDescent="0.2">
      <c r="B20759" s="43"/>
    </row>
    <row r="20760" spans="2:2" ht="12.75" customHeight="1" x14ac:dyDescent="0.2">
      <c r="B20760" s="43"/>
    </row>
    <row r="20761" spans="2:2" ht="12.75" customHeight="1" x14ac:dyDescent="0.2">
      <c r="B20761" s="43"/>
    </row>
    <row r="20762" spans="2:2" ht="12.75" customHeight="1" x14ac:dyDescent="0.2">
      <c r="B20762" s="43"/>
    </row>
    <row r="20763" spans="2:2" ht="12.75" customHeight="1" x14ac:dyDescent="0.2">
      <c r="B20763" s="43"/>
    </row>
    <row r="20764" spans="2:2" ht="12.75" customHeight="1" x14ac:dyDescent="0.2">
      <c r="B20764" s="43"/>
    </row>
    <row r="20765" spans="2:2" ht="12.75" customHeight="1" x14ac:dyDescent="0.2">
      <c r="B20765" s="43"/>
    </row>
    <row r="20766" spans="2:2" ht="12.75" customHeight="1" x14ac:dyDescent="0.2">
      <c r="B20766" s="43"/>
    </row>
    <row r="20767" spans="2:2" ht="12.75" customHeight="1" x14ac:dyDescent="0.2">
      <c r="B20767" s="43"/>
    </row>
    <row r="20768" spans="2:2" ht="12.75" customHeight="1" x14ac:dyDescent="0.2">
      <c r="B20768" s="43"/>
    </row>
    <row r="20769" spans="2:2" ht="12.75" customHeight="1" x14ac:dyDescent="0.2">
      <c r="B20769" s="43"/>
    </row>
    <row r="20770" spans="2:2" ht="12.75" customHeight="1" x14ac:dyDescent="0.2">
      <c r="B20770" s="43"/>
    </row>
    <row r="20771" spans="2:2" ht="12.75" customHeight="1" x14ac:dyDescent="0.2">
      <c r="B20771" s="43"/>
    </row>
    <row r="20772" spans="2:2" ht="12.75" customHeight="1" x14ac:dyDescent="0.2">
      <c r="B20772" s="43"/>
    </row>
    <row r="20773" spans="2:2" ht="12.75" customHeight="1" x14ac:dyDescent="0.2">
      <c r="B20773" s="43"/>
    </row>
    <row r="20774" spans="2:2" ht="12.75" customHeight="1" x14ac:dyDescent="0.2">
      <c r="B20774" s="43"/>
    </row>
    <row r="20775" spans="2:2" ht="12.75" customHeight="1" x14ac:dyDescent="0.2">
      <c r="B20775" s="43"/>
    </row>
    <row r="20776" spans="2:2" ht="12.75" customHeight="1" x14ac:dyDescent="0.2">
      <c r="B20776" s="43"/>
    </row>
    <row r="20777" spans="2:2" ht="12.75" customHeight="1" x14ac:dyDescent="0.2">
      <c r="B20777" s="43"/>
    </row>
    <row r="20778" spans="2:2" ht="12.75" customHeight="1" x14ac:dyDescent="0.2">
      <c r="B20778" s="43"/>
    </row>
    <row r="20779" spans="2:2" ht="12.75" customHeight="1" x14ac:dyDescent="0.2">
      <c r="B20779" s="43"/>
    </row>
    <row r="20780" spans="2:2" ht="12.75" customHeight="1" x14ac:dyDescent="0.2">
      <c r="B20780" s="43"/>
    </row>
    <row r="20781" spans="2:2" ht="12.75" customHeight="1" x14ac:dyDescent="0.2">
      <c r="B20781" s="43"/>
    </row>
    <row r="20782" spans="2:2" ht="12.75" customHeight="1" x14ac:dyDescent="0.2">
      <c r="B20782" s="43"/>
    </row>
    <row r="20783" spans="2:2" ht="12.75" customHeight="1" x14ac:dyDescent="0.2">
      <c r="B20783" s="43"/>
    </row>
    <row r="20784" spans="2:2" ht="12.75" customHeight="1" x14ac:dyDescent="0.2">
      <c r="B20784" s="43"/>
    </row>
    <row r="20785" spans="2:2" ht="12.75" customHeight="1" x14ac:dyDescent="0.2">
      <c r="B20785" s="43"/>
    </row>
    <row r="20786" spans="2:2" ht="12.75" customHeight="1" x14ac:dyDescent="0.2">
      <c r="B20786" s="43"/>
    </row>
    <row r="20787" spans="2:2" ht="12.75" customHeight="1" x14ac:dyDescent="0.2">
      <c r="B20787" s="43"/>
    </row>
    <row r="20788" spans="2:2" ht="12.75" customHeight="1" x14ac:dyDescent="0.2">
      <c r="B20788" s="43"/>
    </row>
    <row r="20789" spans="2:2" ht="12.75" customHeight="1" x14ac:dyDescent="0.2">
      <c r="B20789" s="43"/>
    </row>
    <row r="20790" spans="2:2" ht="12.75" customHeight="1" x14ac:dyDescent="0.2">
      <c r="B20790" s="43"/>
    </row>
    <row r="20791" spans="2:2" ht="12.75" customHeight="1" x14ac:dyDescent="0.2">
      <c r="B20791" s="43"/>
    </row>
    <row r="20792" spans="2:2" ht="12.75" customHeight="1" x14ac:dyDescent="0.2">
      <c r="B20792" s="43"/>
    </row>
    <row r="20793" spans="2:2" ht="12.75" customHeight="1" x14ac:dyDescent="0.2">
      <c r="B20793" s="43"/>
    </row>
    <row r="20794" spans="2:2" ht="12.75" customHeight="1" x14ac:dyDescent="0.2">
      <c r="B20794" s="43"/>
    </row>
    <row r="20795" spans="2:2" ht="12.75" customHeight="1" x14ac:dyDescent="0.2">
      <c r="B20795" s="43"/>
    </row>
    <row r="20796" spans="2:2" ht="12.75" customHeight="1" x14ac:dyDescent="0.2">
      <c r="B20796" s="43"/>
    </row>
    <row r="20797" spans="2:2" ht="12.75" customHeight="1" x14ac:dyDescent="0.2">
      <c r="B20797" s="43"/>
    </row>
    <row r="20798" spans="2:2" ht="12.75" customHeight="1" x14ac:dyDescent="0.2">
      <c r="B20798" s="43"/>
    </row>
    <row r="20799" spans="2:2" ht="12.75" customHeight="1" x14ac:dyDescent="0.2">
      <c r="B20799" s="43"/>
    </row>
    <row r="20800" spans="2:2" ht="12.75" customHeight="1" x14ac:dyDescent="0.2">
      <c r="B20800" s="43"/>
    </row>
    <row r="20801" spans="2:2" ht="12.75" customHeight="1" x14ac:dyDescent="0.2">
      <c r="B20801" s="43"/>
    </row>
    <row r="20802" spans="2:2" ht="12.75" customHeight="1" x14ac:dyDescent="0.2">
      <c r="B20802" s="43"/>
    </row>
    <row r="20803" spans="2:2" ht="12.75" customHeight="1" x14ac:dyDescent="0.2">
      <c r="B20803" s="43"/>
    </row>
    <row r="20804" spans="2:2" ht="12.75" customHeight="1" x14ac:dyDescent="0.2">
      <c r="B20804" s="43"/>
    </row>
    <row r="20805" spans="2:2" ht="12.75" customHeight="1" x14ac:dyDescent="0.2">
      <c r="B20805" s="43"/>
    </row>
    <row r="20806" spans="2:2" ht="12.75" customHeight="1" x14ac:dyDescent="0.2">
      <c r="B20806" s="43"/>
    </row>
    <row r="20807" spans="2:2" ht="12.75" customHeight="1" x14ac:dyDescent="0.2">
      <c r="B20807" s="43"/>
    </row>
    <row r="20808" spans="2:2" ht="12.75" customHeight="1" x14ac:dyDescent="0.2">
      <c r="B20808" s="43"/>
    </row>
    <row r="20809" spans="2:2" ht="12.75" customHeight="1" x14ac:dyDescent="0.2">
      <c r="B20809" s="43"/>
    </row>
    <row r="20810" spans="2:2" ht="12.75" customHeight="1" x14ac:dyDescent="0.2">
      <c r="B20810" s="43"/>
    </row>
    <row r="20811" spans="2:2" ht="12.75" customHeight="1" x14ac:dyDescent="0.2">
      <c r="B20811" s="43"/>
    </row>
    <row r="20812" spans="2:2" ht="12.75" customHeight="1" x14ac:dyDescent="0.2">
      <c r="B20812" s="43"/>
    </row>
    <row r="20813" spans="2:2" ht="12.75" customHeight="1" x14ac:dyDescent="0.2">
      <c r="B20813" s="43"/>
    </row>
    <row r="20814" spans="2:2" ht="12.75" customHeight="1" x14ac:dyDescent="0.2">
      <c r="B20814" s="43"/>
    </row>
    <row r="20815" spans="2:2" ht="12.75" customHeight="1" x14ac:dyDescent="0.2">
      <c r="B20815" s="43"/>
    </row>
    <row r="20816" spans="2:2" ht="12.75" customHeight="1" x14ac:dyDescent="0.2">
      <c r="B20816" s="43"/>
    </row>
    <row r="20817" spans="2:2" ht="12.75" customHeight="1" x14ac:dyDescent="0.2">
      <c r="B20817" s="43"/>
    </row>
    <row r="20818" spans="2:2" ht="12.75" customHeight="1" x14ac:dyDescent="0.2">
      <c r="B20818" s="43"/>
    </row>
    <row r="20819" spans="2:2" ht="12.75" customHeight="1" x14ac:dyDescent="0.2">
      <c r="B20819" s="43"/>
    </row>
    <row r="20820" spans="2:2" ht="12.75" customHeight="1" x14ac:dyDescent="0.2">
      <c r="B20820" s="43"/>
    </row>
    <row r="20821" spans="2:2" ht="12.75" customHeight="1" x14ac:dyDescent="0.2">
      <c r="B20821" s="43"/>
    </row>
    <row r="20822" spans="2:2" ht="12.75" customHeight="1" x14ac:dyDescent="0.2">
      <c r="B20822" s="43"/>
    </row>
    <row r="20823" spans="2:2" ht="12.75" customHeight="1" x14ac:dyDescent="0.2">
      <c r="B20823" s="43"/>
    </row>
    <row r="20824" spans="2:2" ht="12.75" customHeight="1" x14ac:dyDescent="0.2">
      <c r="B20824" s="43"/>
    </row>
    <row r="20825" spans="2:2" ht="12.75" customHeight="1" x14ac:dyDescent="0.2">
      <c r="B20825" s="43"/>
    </row>
    <row r="20826" spans="2:2" ht="12.75" customHeight="1" x14ac:dyDescent="0.2">
      <c r="B20826" s="43"/>
    </row>
    <row r="20827" spans="2:2" ht="12.75" customHeight="1" x14ac:dyDescent="0.2">
      <c r="B20827" s="43"/>
    </row>
    <row r="20828" spans="2:2" ht="12.75" customHeight="1" x14ac:dyDescent="0.2">
      <c r="B20828" s="43"/>
    </row>
    <row r="20829" spans="2:2" ht="12.75" customHeight="1" x14ac:dyDescent="0.2">
      <c r="B20829" s="43"/>
    </row>
    <row r="20830" spans="2:2" ht="12.75" customHeight="1" x14ac:dyDescent="0.2">
      <c r="B20830" s="43"/>
    </row>
    <row r="20831" spans="2:2" ht="12.75" customHeight="1" x14ac:dyDescent="0.2">
      <c r="B20831" s="43"/>
    </row>
    <row r="20832" spans="2:2" ht="12.75" customHeight="1" x14ac:dyDescent="0.2">
      <c r="B20832" s="43"/>
    </row>
    <row r="20833" spans="2:2" ht="12.75" customHeight="1" x14ac:dyDescent="0.2">
      <c r="B20833" s="43"/>
    </row>
    <row r="20834" spans="2:2" ht="12.75" customHeight="1" x14ac:dyDescent="0.2">
      <c r="B20834" s="43"/>
    </row>
    <row r="20835" spans="2:2" ht="12.75" customHeight="1" x14ac:dyDescent="0.2">
      <c r="B20835" s="43"/>
    </row>
    <row r="20836" spans="2:2" ht="12.75" customHeight="1" x14ac:dyDescent="0.2">
      <c r="B20836" s="43"/>
    </row>
    <row r="20837" spans="2:2" ht="12.75" customHeight="1" x14ac:dyDescent="0.2">
      <c r="B20837" s="43"/>
    </row>
    <row r="20838" spans="2:2" ht="12.75" customHeight="1" x14ac:dyDescent="0.2">
      <c r="B20838" s="43"/>
    </row>
    <row r="20839" spans="2:2" ht="12.75" customHeight="1" x14ac:dyDescent="0.2">
      <c r="B20839" s="43"/>
    </row>
    <row r="20840" spans="2:2" ht="12.75" customHeight="1" x14ac:dyDescent="0.2">
      <c r="B20840" s="43"/>
    </row>
    <row r="20841" spans="2:2" ht="12.75" customHeight="1" x14ac:dyDescent="0.2">
      <c r="B20841" s="43"/>
    </row>
    <row r="20842" spans="2:2" ht="12.75" customHeight="1" x14ac:dyDescent="0.2">
      <c r="B20842" s="43"/>
    </row>
    <row r="20843" spans="2:2" ht="12.75" customHeight="1" x14ac:dyDescent="0.2">
      <c r="B20843" s="43"/>
    </row>
    <row r="20844" spans="2:2" ht="12.75" customHeight="1" x14ac:dyDescent="0.2">
      <c r="B20844" s="43"/>
    </row>
    <row r="20845" spans="2:2" ht="12.75" customHeight="1" x14ac:dyDescent="0.2">
      <c r="B20845" s="43"/>
    </row>
    <row r="20846" spans="2:2" ht="12.75" customHeight="1" x14ac:dyDescent="0.2">
      <c r="B20846" s="43"/>
    </row>
    <row r="20847" spans="2:2" ht="12.75" customHeight="1" x14ac:dyDescent="0.2">
      <c r="B20847" s="43"/>
    </row>
    <row r="20848" spans="2:2" ht="12.75" customHeight="1" x14ac:dyDescent="0.2">
      <c r="B20848" s="43"/>
    </row>
    <row r="20849" spans="2:2" ht="12.75" customHeight="1" x14ac:dyDescent="0.2">
      <c r="B20849" s="43"/>
    </row>
    <row r="20850" spans="2:2" ht="12.75" customHeight="1" x14ac:dyDescent="0.2">
      <c r="B20850" s="43"/>
    </row>
    <row r="20851" spans="2:2" ht="12.75" customHeight="1" x14ac:dyDescent="0.2">
      <c r="B20851" s="43"/>
    </row>
    <row r="20852" spans="2:2" ht="12.75" customHeight="1" x14ac:dyDescent="0.2">
      <c r="B20852" s="43"/>
    </row>
    <row r="20853" spans="2:2" ht="12.75" customHeight="1" x14ac:dyDescent="0.2">
      <c r="B20853" s="43"/>
    </row>
    <row r="20854" spans="2:2" ht="12.75" customHeight="1" x14ac:dyDescent="0.2">
      <c r="B20854" s="43"/>
    </row>
    <row r="20855" spans="2:2" ht="12.75" customHeight="1" x14ac:dyDescent="0.2">
      <c r="B20855" s="43"/>
    </row>
    <row r="20856" spans="2:2" ht="12.75" customHeight="1" x14ac:dyDescent="0.2">
      <c r="B20856" s="43"/>
    </row>
    <row r="20857" spans="2:2" ht="12.75" customHeight="1" x14ac:dyDescent="0.2">
      <c r="B20857" s="43"/>
    </row>
    <row r="20858" spans="2:2" ht="12.75" customHeight="1" x14ac:dyDescent="0.2">
      <c r="B20858" s="43"/>
    </row>
    <row r="20859" spans="2:2" ht="12.75" customHeight="1" x14ac:dyDescent="0.2">
      <c r="B20859" s="43"/>
    </row>
    <row r="20860" spans="2:2" ht="12.75" customHeight="1" x14ac:dyDescent="0.2">
      <c r="B20860" s="43"/>
    </row>
    <row r="20861" spans="2:2" ht="12.75" customHeight="1" x14ac:dyDescent="0.2">
      <c r="B20861" s="43"/>
    </row>
    <row r="20862" spans="2:2" ht="12.75" customHeight="1" x14ac:dyDescent="0.2">
      <c r="B20862" s="43"/>
    </row>
    <row r="20863" spans="2:2" ht="12.75" customHeight="1" x14ac:dyDescent="0.2">
      <c r="B20863" s="43"/>
    </row>
    <row r="20864" spans="2:2" ht="12.75" customHeight="1" x14ac:dyDescent="0.2">
      <c r="B20864" s="43"/>
    </row>
    <row r="20865" spans="2:2" ht="12.75" customHeight="1" x14ac:dyDescent="0.2">
      <c r="B20865" s="43"/>
    </row>
    <row r="20866" spans="2:2" ht="12.75" customHeight="1" x14ac:dyDescent="0.2">
      <c r="B20866" s="43"/>
    </row>
    <row r="20867" spans="2:2" ht="12.75" customHeight="1" x14ac:dyDescent="0.2">
      <c r="B20867" s="43"/>
    </row>
    <row r="20868" spans="2:2" ht="12.75" customHeight="1" x14ac:dyDescent="0.2">
      <c r="B20868" s="43"/>
    </row>
    <row r="20869" spans="2:2" ht="12.75" customHeight="1" x14ac:dyDescent="0.2">
      <c r="B20869" s="43"/>
    </row>
    <row r="20870" spans="2:2" ht="12.75" customHeight="1" x14ac:dyDescent="0.2">
      <c r="B20870" s="43"/>
    </row>
    <row r="20871" spans="2:2" ht="12.75" customHeight="1" x14ac:dyDescent="0.2">
      <c r="B20871" s="43"/>
    </row>
    <row r="20872" spans="2:2" ht="12.75" customHeight="1" x14ac:dyDescent="0.2">
      <c r="B20872" s="43"/>
    </row>
    <row r="20873" spans="2:2" ht="12.75" customHeight="1" x14ac:dyDescent="0.2">
      <c r="B20873" s="43"/>
    </row>
    <row r="20874" spans="2:2" ht="12.75" customHeight="1" x14ac:dyDescent="0.2">
      <c r="B20874" s="43"/>
    </row>
    <row r="20875" spans="2:2" ht="12.75" customHeight="1" x14ac:dyDescent="0.2">
      <c r="B20875" s="43"/>
    </row>
    <row r="20876" spans="2:2" ht="12.75" customHeight="1" x14ac:dyDescent="0.2">
      <c r="B20876" s="43"/>
    </row>
    <row r="20877" spans="2:2" ht="12.75" customHeight="1" x14ac:dyDescent="0.2">
      <c r="B20877" s="43"/>
    </row>
    <row r="20878" spans="2:2" ht="12.75" customHeight="1" x14ac:dyDescent="0.2">
      <c r="B20878" s="43"/>
    </row>
    <row r="20879" spans="2:2" ht="12.75" customHeight="1" x14ac:dyDescent="0.2">
      <c r="B20879" s="43"/>
    </row>
    <row r="20880" spans="2:2" ht="12.75" customHeight="1" x14ac:dyDescent="0.2">
      <c r="B20880" s="43"/>
    </row>
    <row r="20881" spans="2:2" ht="12.75" customHeight="1" x14ac:dyDescent="0.2">
      <c r="B20881" s="43"/>
    </row>
    <row r="20882" spans="2:2" ht="12.75" customHeight="1" x14ac:dyDescent="0.2">
      <c r="B20882" s="43"/>
    </row>
    <row r="20883" spans="2:2" ht="12.75" customHeight="1" x14ac:dyDescent="0.2">
      <c r="B20883" s="43"/>
    </row>
    <row r="20884" spans="2:2" ht="12.75" customHeight="1" x14ac:dyDescent="0.2">
      <c r="B20884" s="43"/>
    </row>
    <row r="20885" spans="2:2" ht="12.75" customHeight="1" x14ac:dyDescent="0.2">
      <c r="B20885" s="43"/>
    </row>
    <row r="20886" spans="2:2" ht="12.75" customHeight="1" x14ac:dyDescent="0.2">
      <c r="B20886" s="43"/>
    </row>
    <row r="20887" spans="2:2" ht="12.75" customHeight="1" x14ac:dyDescent="0.2">
      <c r="B20887" s="43"/>
    </row>
    <row r="20888" spans="2:2" ht="12.75" customHeight="1" x14ac:dyDescent="0.2">
      <c r="B20888" s="43"/>
    </row>
    <row r="20889" spans="2:2" ht="12.75" customHeight="1" x14ac:dyDescent="0.2">
      <c r="B20889" s="43"/>
    </row>
    <row r="20890" spans="2:2" ht="12.75" customHeight="1" x14ac:dyDescent="0.2">
      <c r="B20890" s="43"/>
    </row>
    <row r="20891" spans="2:2" ht="12.75" customHeight="1" x14ac:dyDescent="0.2">
      <c r="B20891" s="43"/>
    </row>
    <row r="20892" spans="2:2" ht="12.75" customHeight="1" x14ac:dyDescent="0.2">
      <c r="B20892" s="43"/>
    </row>
    <row r="20893" spans="2:2" ht="12.75" customHeight="1" x14ac:dyDescent="0.2">
      <c r="B20893" s="43"/>
    </row>
    <row r="20894" spans="2:2" ht="12.75" customHeight="1" x14ac:dyDescent="0.2">
      <c r="B20894" s="43"/>
    </row>
    <row r="20895" spans="2:2" ht="12.75" customHeight="1" x14ac:dyDescent="0.2">
      <c r="B20895" s="43"/>
    </row>
    <row r="20896" spans="2:2" ht="12.75" customHeight="1" x14ac:dyDescent="0.2">
      <c r="B20896" s="43"/>
    </row>
    <row r="20897" spans="2:2" ht="12.75" customHeight="1" x14ac:dyDescent="0.2">
      <c r="B20897" s="43"/>
    </row>
    <row r="20898" spans="2:2" ht="12.75" customHeight="1" x14ac:dyDescent="0.2">
      <c r="B20898" s="43"/>
    </row>
    <row r="20899" spans="2:2" ht="12.75" customHeight="1" x14ac:dyDescent="0.2">
      <c r="B20899" s="43"/>
    </row>
    <row r="20900" spans="2:2" ht="12.75" customHeight="1" x14ac:dyDescent="0.2">
      <c r="B20900" s="43"/>
    </row>
    <row r="20901" spans="2:2" ht="12.75" customHeight="1" x14ac:dyDescent="0.2">
      <c r="B20901" s="43"/>
    </row>
    <row r="20902" spans="2:2" ht="12.75" customHeight="1" x14ac:dyDescent="0.2">
      <c r="B20902" s="43"/>
    </row>
    <row r="20903" spans="2:2" ht="12.75" customHeight="1" x14ac:dyDescent="0.2">
      <c r="B20903" s="43"/>
    </row>
    <row r="20904" spans="2:2" ht="12.75" customHeight="1" x14ac:dyDescent="0.2">
      <c r="B20904" s="43"/>
    </row>
    <row r="20905" spans="2:2" ht="12.75" customHeight="1" x14ac:dyDescent="0.2">
      <c r="B20905" s="43"/>
    </row>
    <row r="20906" spans="2:2" ht="12.75" customHeight="1" x14ac:dyDescent="0.2">
      <c r="B20906" s="43"/>
    </row>
    <row r="20907" spans="2:2" ht="12.75" customHeight="1" x14ac:dyDescent="0.2">
      <c r="B20907" s="43"/>
    </row>
    <row r="20908" spans="2:2" ht="12.75" customHeight="1" x14ac:dyDescent="0.2">
      <c r="B20908" s="43"/>
    </row>
    <row r="20909" spans="2:2" ht="12.75" customHeight="1" x14ac:dyDescent="0.2">
      <c r="B20909" s="43"/>
    </row>
    <row r="20910" spans="2:2" ht="12.75" customHeight="1" x14ac:dyDescent="0.2">
      <c r="B20910" s="43"/>
    </row>
    <row r="20911" spans="2:2" ht="12.75" customHeight="1" x14ac:dyDescent="0.2">
      <c r="B20911" s="43"/>
    </row>
    <row r="20912" spans="2:2" ht="12.75" customHeight="1" x14ac:dyDescent="0.2">
      <c r="B20912" s="43"/>
    </row>
    <row r="20913" spans="2:2" ht="12.75" customHeight="1" x14ac:dyDescent="0.2">
      <c r="B20913" s="43"/>
    </row>
    <row r="20914" spans="2:2" ht="12.75" customHeight="1" x14ac:dyDescent="0.2">
      <c r="B20914" s="43"/>
    </row>
    <row r="20915" spans="2:2" ht="12.75" customHeight="1" x14ac:dyDescent="0.2">
      <c r="B20915" s="43"/>
    </row>
    <row r="20916" spans="2:2" ht="12.75" customHeight="1" x14ac:dyDescent="0.2">
      <c r="B20916" s="43"/>
    </row>
    <row r="20917" spans="2:2" ht="12.75" customHeight="1" x14ac:dyDescent="0.2">
      <c r="B20917" s="43"/>
    </row>
    <row r="20918" spans="2:2" ht="12.75" customHeight="1" x14ac:dyDescent="0.2">
      <c r="B20918" s="43"/>
    </row>
    <row r="20919" spans="2:2" ht="12.75" customHeight="1" x14ac:dyDescent="0.2">
      <c r="B20919" s="43"/>
    </row>
    <row r="20920" spans="2:2" ht="12.75" customHeight="1" x14ac:dyDescent="0.2">
      <c r="B20920" s="43"/>
    </row>
    <row r="20921" spans="2:2" ht="12.75" customHeight="1" x14ac:dyDescent="0.2">
      <c r="B20921" s="43"/>
    </row>
    <row r="20922" spans="2:2" ht="12.75" customHeight="1" x14ac:dyDescent="0.2">
      <c r="B20922" s="43"/>
    </row>
    <row r="20923" spans="2:2" ht="12.75" customHeight="1" x14ac:dyDescent="0.2">
      <c r="B20923" s="43"/>
    </row>
    <row r="20924" spans="2:2" ht="12.75" customHeight="1" x14ac:dyDescent="0.2">
      <c r="B20924" s="43"/>
    </row>
    <row r="20925" spans="2:2" ht="12.75" customHeight="1" x14ac:dyDescent="0.2">
      <c r="B20925" s="43"/>
    </row>
    <row r="20926" spans="2:2" ht="12.75" customHeight="1" x14ac:dyDescent="0.2">
      <c r="B20926" s="43"/>
    </row>
    <row r="20927" spans="2:2" ht="12.75" customHeight="1" x14ac:dyDescent="0.2">
      <c r="B20927" s="43"/>
    </row>
    <row r="20928" spans="2:2" ht="12.75" customHeight="1" x14ac:dyDescent="0.2">
      <c r="B20928" s="43"/>
    </row>
    <row r="20929" spans="2:2" ht="12.75" customHeight="1" x14ac:dyDescent="0.2">
      <c r="B20929" s="43"/>
    </row>
    <row r="20930" spans="2:2" ht="12.75" customHeight="1" x14ac:dyDescent="0.2">
      <c r="B20930" s="43"/>
    </row>
    <row r="20931" spans="2:2" ht="12.75" customHeight="1" x14ac:dyDescent="0.2">
      <c r="B20931" s="43"/>
    </row>
    <row r="20932" spans="2:2" ht="12.75" customHeight="1" x14ac:dyDescent="0.2">
      <c r="B20932" s="43"/>
    </row>
    <row r="20933" spans="2:2" ht="12.75" customHeight="1" x14ac:dyDescent="0.2">
      <c r="B20933" s="43"/>
    </row>
    <row r="20934" spans="2:2" ht="12.75" customHeight="1" x14ac:dyDescent="0.2">
      <c r="B20934" s="43"/>
    </row>
    <row r="20935" spans="2:2" ht="12.75" customHeight="1" x14ac:dyDescent="0.2">
      <c r="B20935" s="43"/>
    </row>
    <row r="20936" spans="2:2" ht="12.75" customHeight="1" x14ac:dyDescent="0.2">
      <c r="B20936" s="43"/>
    </row>
    <row r="20937" spans="2:2" ht="12.75" customHeight="1" x14ac:dyDescent="0.2">
      <c r="B20937" s="43"/>
    </row>
    <row r="20938" spans="2:2" ht="12.75" customHeight="1" x14ac:dyDescent="0.2">
      <c r="B20938" s="43"/>
    </row>
    <row r="20939" spans="2:2" ht="12.75" customHeight="1" x14ac:dyDescent="0.2">
      <c r="B20939" s="43"/>
    </row>
    <row r="20940" spans="2:2" ht="12.75" customHeight="1" x14ac:dyDescent="0.2">
      <c r="B20940" s="43"/>
    </row>
    <row r="20941" spans="2:2" ht="12.75" customHeight="1" x14ac:dyDescent="0.2">
      <c r="B20941" s="43"/>
    </row>
    <row r="20942" spans="2:2" ht="12.75" customHeight="1" x14ac:dyDescent="0.2">
      <c r="B20942" s="43"/>
    </row>
    <row r="20943" spans="2:2" ht="12.75" customHeight="1" x14ac:dyDescent="0.2">
      <c r="B20943" s="43"/>
    </row>
    <row r="20944" spans="2:2" ht="12.75" customHeight="1" x14ac:dyDescent="0.2">
      <c r="B20944" s="43"/>
    </row>
    <row r="20945" spans="2:2" ht="12.75" customHeight="1" x14ac:dyDescent="0.2">
      <c r="B20945" s="43"/>
    </row>
    <row r="20946" spans="2:2" ht="12.75" customHeight="1" x14ac:dyDescent="0.2">
      <c r="B20946" s="43"/>
    </row>
    <row r="20947" spans="2:2" ht="12.75" customHeight="1" x14ac:dyDescent="0.2">
      <c r="B20947" s="43"/>
    </row>
    <row r="20948" spans="2:2" ht="12.75" customHeight="1" x14ac:dyDescent="0.2">
      <c r="B20948" s="43"/>
    </row>
    <row r="20949" spans="2:2" ht="12.75" customHeight="1" x14ac:dyDescent="0.2">
      <c r="B20949" s="43"/>
    </row>
    <row r="20950" spans="2:2" ht="12.75" customHeight="1" x14ac:dyDescent="0.2">
      <c r="B20950" s="43"/>
    </row>
    <row r="20951" spans="2:2" ht="12.75" customHeight="1" x14ac:dyDescent="0.2">
      <c r="B20951" s="43"/>
    </row>
    <row r="20952" spans="2:2" ht="12.75" customHeight="1" x14ac:dyDescent="0.2">
      <c r="B20952" s="43"/>
    </row>
    <row r="20953" spans="2:2" ht="12.75" customHeight="1" x14ac:dyDescent="0.2">
      <c r="B20953" s="43"/>
    </row>
    <row r="20954" spans="2:2" ht="12.75" customHeight="1" x14ac:dyDescent="0.2">
      <c r="B20954" s="43"/>
    </row>
    <row r="20955" spans="2:2" ht="12.75" customHeight="1" x14ac:dyDescent="0.2">
      <c r="B20955" s="43"/>
    </row>
    <row r="20956" spans="2:2" ht="12.75" customHeight="1" x14ac:dyDescent="0.2">
      <c r="B20956" s="43"/>
    </row>
    <row r="20957" spans="2:2" ht="12.75" customHeight="1" x14ac:dyDescent="0.2">
      <c r="B20957" s="43"/>
    </row>
    <row r="20958" spans="2:2" ht="12.75" customHeight="1" x14ac:dyDescent="0.2">
      <c r="B20958" s="43"/>
    </row>
    <row r="20959" spans="2:2" ht="12.75" customHeight="1" x14ac:dyDescent="0.2">
      <c r="B20959" s="43"/>
    </row>
    <row r="20960" spans="2:2" ht="12.75" customHeight="1" x14ac:dyDescent="0.2">
      <c r="B20960" s="43"/>
    </row>
    <row r="20961" spans="2:2" ht="12.75" customHeight="1" x14ac:dyDescent="0.2">
      <c r="B20961" s="43"/>
    </row>
    <row r="20962" spans="2:2" ht="12.75" customHeight="1" x14ac:dyDescent="0.2">
      <c r="B20962" s="43"/>
    </row>
    <row r="20963" spans="2:2" ht="12.75" customHeight="1" x14ac:dyDescent="0.2">
      <c r="B20963" s="43"/>
    </row>
    <row r="20964" spans="2:2" ht="12.75" customHeight="1" x14ac:dyDescent="0.2">
      <c r="B20964" s="43"/>
    </row>
    <row r="20965" spans="2:2" ht="12.75" customHeight="1" x14ac:dyDescent="0.2">
      <c r="B20965" s="43"/>
    </row>
    <row r="20966" spans="2:2" ht="12.75" customHeight="1" x14ac:dyDescent="0.2">
      <c r="B20966" s="43"/>
    </row>
    <row r="20967" spans="2:2" ht="12.75" customHeight="1" x14ac:dyDescent="0.2">
      <c r="B20967" s="43"/>
    </row>
    <row r="20968" spans="2:2" ht="12.75" customHeight="1" x14ac:dyDescent="0.2">
      <c r="B20968" s="43"/>
    </row>
    <row r="20969" spans="2:2" ht="12.75" customHeight="1" x14ac:dyDescent="0.2">
      <c r="B20969" s="43"/>
    </row>
    <row r="20970" spans="2:2" ht="12.75" customHeight="1" x14ac:dyDescent="0.2">
      <c r="B20970" s="43"/>
    </row>
    <row r="20971" spans="2:2" ht="12.75" customHeight="1" x14ac:dyDescent="0.2">
      <c r="B20971" s="43"/>
    </row>
    <row r="20972" spans="2:2" ht="12.75" customHeight="1" x14ac:dyDescent="0.2">
      <c r="B20972" s="43"/>
    </row>
    <row r="20973" spans="2:2" ht="12.75" customHeight="1" x14ac:dyDescent="0.2">
      <c r="B20973" s="43"/>
    </row>
    <row r="20974" spans="2:2" ht="12.75" customHeight="1" x14ac:dyDescent="0.2">
      <c r="B20974" s="43"/>
    </row>
    <row r="20975" spans="2:2" ht="12.75" customHeight="1" x14ac:dyDescent="0.2">
      <c r="B20975" s="43"/>
    </row>
    <row r="20976" spans="2:2" ht="12.75" customHeight="1" x14ac:dyDescent="0.2">
      <c r="B20976" s="43"/>
    </row>
    <row r="20977" spans="2:2" ht="12.75" customHeight="1" x14ac:dyDescent="0.2">
      <c r="B20977" s="43"/>
    </row>
    <row r="20978" spans="2:2" ht="12.75" customHeight="1" x14ac:dyDescent="0.2">
      <c r="B20978" s="43"/>
    </row>
    <row r="20979" spans="2:2" ht="12.75" customHeight="1" x14ac:dyDescent="0.2">
      <c r="B20979" s="43"/>
    </row>
    <row r="20980" spans="2:2" ht="12.75" customHeight="1" x14ac:dyDescent="0.2">
      <c r="B20980" s="43"/>
    </row>
    <row r="20981" spans="2:2" ht="12.75" customHeight="1" x14ac:dyDescent="0.2">
      <c r="B20981" s="43"/>
    </row>
    <row r="20982" spans="2:2" ht="12.75" customHeight="1" x14ac:dyDescent="0.2">
      <c r="B20982" s="43"/>
    </row>
    <row r="20983" spans="2:2" ht="12.75" customHeight="1" x14ac:dyDescent="0.2">
      <c r="B20983" s="43"/>
    </row>
    <row r="20984" spans="2:2" ht="12.75" customHeight="1" x14ac:dyDescent="0.2">
      <c r="B20984" s="43"/>
    </row>
    <row r="20985" spans="2:2" ht="12.75" customHeight="1" x14ac:dyDescent="0.2">
      <c r="B20985" s="43"/>
    </row>
    <row r="20986" spans="2:2" ht="12.75" customHeight="1" x14ac:dyDescent="0.2">
      <c r="B20986" s="43"/>
    </row>
    <row r="20987" spans="2:2" ht="12.75" customHeight="1" x14ac:dyDescent="0.2">
      <c r="B20987" s="43"/>
    </row>
    <row r="20988" spans="2:2" ht="12.75" customHeight="1" x14ac:dyDescent="0.2">
      <c r="B20988" s="43"/>
    </row>
    <row r="20989" spans="2:2" ht="12.75" customHeight="1" x14ac:dyDescent="0.2">
      <c r="B20989" s="43"/>
    </row>
    <row r="20990" spans="2:2" ht="12.75" customHeight="1" x14ac:dyDescent="0.2">
      <c r="B20990" s="43"/>
    </row>
    <row r="20991" spans="2:2" ht="12.75" customHeight="1" x14ac:dyDescent="0.2">
      <c r="B20991" s="43"/>
    </row>
    <row r="20992" spans="2:2" ht="12.75" customHeight="1" x14ac:dyDescent="0.2">
      <c r="B20992" s="43"/>
    </row>
    <row r="20993" spans="2:2" ht="12.75" customHeight="1" x14ac:dyDescent="0.2">
      <c r="B20993" s="43"/>
    </row>
    <row r="20994" spans="2:2" ht="12.75" customHeight="1" x14ac:dyDescent="0.2">
      <c r="B20994" s="43"/>
    </row>
    <row r="20995" spans="2:2" ht="12.75" customHeight="1" x14ac:dyDescent="0.2">
      <c r="B20995" s="43"/>
    </row>
    <row r="20996" spans="2:2" ht="12.75" customHeight="1" x14ac:dyDescent="0.2">
      <c r="B20996" s="43"/>
    </row>
    <row r="20997" spans="2:2" ht="12.75" customHeight="1" x14ac:dyDescent="0.2">
      <c r="B20997" s="43"/>
    </row>
    <row r="20998" spans="2:2" ht="12.75" customHeight="1" x14ac:dyDescent="0.2">
      <c r="B20998" s="43"/>
    </row>
    <row r="20999" spans="2:2" ht="12.75" customHeight="1" x14ac:dyDescent="0.2">
      <c r="B20999" s="43"/>
    </row>
    <row r="21000" spans="2:2" ht="12.75" customHeight="1" x14ac:dyDescent="0.2">
      <c r="B21000" s="43"/>
    </row>
    <row r="21001" spans="2:2" ht="12.75" customHeight="1" x14ac:dyDescent="0.2">
      <c r="B21001" s="43"/>
    </row>
    <row r="21002" spans="2:2" ht="12.75" customHeight="1" x14ac:dyDescent="0.2">
      <c r="B21002" s="43"/>
    </row>
    <row r="21003" spans="2:2" ht="12.75" customHeight="1" x14ac:dyDescent="0.2">
      <c r="B21003" s="43"/>
    </row>
    <row r="21004" spans="2:2" ht="12.75" customHeight="1" x14ac:dyDescent="0.2">
      <c r="B21004" s="43"/>
    </row>
    <row r="21005" spans="2:2" ht="12.75" customHeight="1" x14ac:dyDescent="0.2">
      <c r="B21005" s="43"/>
    </row>
    <row r="21006" spans="2:2" ht="12.75" customHeight="1" x14ac:dyDescent="0.2">
      <c r="B21006" s="43"/>
    </row>
    <row r="21007" spans="2:2" ht="12.75" customHeight="1" x14ac:dyDescent="0.2">
      <c r="B21007" s="43"/>
    </row>
    <row r="21008" spans="2:2" ht="12.75" customHeight="1" x14ac:dyDescent="0.2">
      <c r="B21008" s="43"/>
    </row>
    <row r="21009" spans="2:2" ht="12.75" customHeight="1" x14ac:dyDescent="0.2">
      <c r="B21009" s="43"/>
    </row>
    <row r="21010" spans="2:2" ht="12.75" customHeight="1" x14ac:dyDescent="0.2">
      <c r="B21010" s="43"/>
    </row>
    <row r="21011" spans="2:2" ht="12.75" customHeight="1" x14ac:dyDescent="0.2">
      <c r="B21011" s="43"/>
    </row>
    <row r="21012" spans="2:2" ht="12.75" customHeight="1" x14ac:dyDescent="0.2">
      <c r="B21012" s="43"/>
    </row>
    <row r="21013" spans="2:2" ht="12.75" customHeight="1" x14ac:dyDescent="0.2">
      <c r="B21013" s="43"/>
    </row>
    <row r="21014" spans="2:2" ht="12.75" customHeight="1" x14ac:dyDescent="0.2">
      <c r="B21014" s="43"/>
    </row>
    <row r="21015" spans="2:2" ht="12.75" customHeight="1" x14ac:dyDescent="0.2">
      <c r="B21015" s="43"/>
    </row>
    <row r="21016" spans="2:2" ht="12.75" customHeight="1" x14ac:dyDescent="0.2">
      <c r="B21016" s="43"/>
    </row>
    <row r="21017" spans="2:2" ht="12.75" customHeight="1" x14ac:dyDescent="0.2">
      <c r="B21017" s="43"/>
    </row>
    <row r="21018" spans="2:2" ht="12.75" customHeight="1" x14ac:dyDescent="0.2">
      <c r="B21018" s="43"/>
    </row>
    <row r="21019" spans="2:2" ht="12.75" customHeight="1" x14ac:dyDescent="0.2">
      <c r="B21019" s="43"/>
    </row>
    <row r="21020" spans="2:2" ht="12.75" customHeight="1" x14ac:dyDescent="0.2">
      <c r="B21020" s="43"/>
    </row>
    <row r="21021" spans="2:2" ht="12.75" customHeight="1" x14ac:dyDescent="0.2">
      <c r="B21021" s="43"/>
    </row>
    <row r="21022" spans="2:2" ht="12.75" customHeight="1" x14ac:dyDescent="0.2">
      <c r="B21022" s="43"/>
    </row>
    <row r="21023" spans="2:2" ht="12.75" customHeight="1" x14ac:dyDescent="0.2">
      <c r="B21023" s="43"/>
    </row>
    <row r="21024" spans="2:2" ht="12.75" customHeight="1" x14ac:dyDescent="0.2">
      <c r="B21024" s="43"/>
    </row>
    <row r="21025" spans="2:2" ht="12.75" customHeight="1" x14ac:dyDescent="0.2">
      <c r="B21025" s="43"/>
    </row>
    <row r="21026" spans="2:2" ht="12.75" customHeight="1" x14ac:dyDescent="0.2">
      <c r="B21026" s="43"/>
    </row>
    <row r="21027" spans="2:2" ht="12.75" customHeight="1" x14ac:dyDescent="0.2">
      <c r="B21027" s="43"/>
    </row>
    <row r="21028" spans="2:2" ht="12.75" customHeight="1" x14ac:dyDescent="0.2">
      <c r="B21028" s="43"/>
    </row>
    <row r="21029" spans="2:2" ht="12.75" customHeight="1" x14ac:dyDescent="0.2">
      <c r="B21029" s="43"/>
    </row>
    <row r="21030" spans="2:2" ht="12.75" customHeight="1" x14ac:dyDescent="0.2">
      <c r="B21030" s="43"/>
    </row>
    <row r="21031" spans="2:2" ht="12.75" customHeight="1" x14ac:dyDescent="0.2">
      <c r="B21031" s="43"/>
    </row>
    <row r="21032" spans="2:2" ht="12.75" customHeight="1" x14ac:dyDescent="0.2">
      <c r="B21032" s="43"/>
    </row>
    <row r="21033" spans="2:2" ht="12.75" customHeight="1" x14ac:dyDescent="0.2">
      <c r="B21033" s="43"/>
    </row>
    <row r="21034" spans="2:2" ht="12.75" customHeight="1" x14ac:dyDescent="0.2">
      <c r="B21034" s="43"/>
    </row>
    <row r="21035" spans="2:2" ht="12.75" customHeight="1" x14ac:dyDescent="0.2">
      <c r="B21035" s="43"/>
    </row>
    <row r="21036" spans="2:2" ht="12.75" customHeight="1" x14ac:dyDescent="0.2">
      <c r="B21036" s="43"/>
    </row>
    <row r="21037" spans="2:2" ht="12.75" customHeight="1" x14ac:dyDescent="0.2">
      <c r="B21037" s="43"/>
    </row>
    <row r="21038" spans="2:2" ht="12.75" customHeight="1" x14ac:dyDescent="0.2">
      <c r="B21038" s="43"/>
    </row>
    <row r="21039" spans="2:2" ht="12.75" customHeight="1" x14ac:dyDescent="0.2">
      <c r="B21039" s="43"/>
    </row>
    <row r="21040" spans="2:2" ht="12.75" customHeight="1" x14ac:dyDescent="0.2">
      <c r="B21040" s="43"/>
    </row>
    <row r="21041" spans="2:2" ht="12.75" customHeight="1" x14ac:dyDescent="0.2">
      <c r="B21041" s="43"/>
    </row>
    <row r="21042" spans="2:2" ht="12.75" customHeight="1" x14ac:dyDescent="0.2">
      <c r="B21042" s="43"/>
    </row>
    <row r="21043" spans="2:2" ht="12.75" customHeight="1" x14ac:dyDescent="0.2">
      <c r="B21043" s="43"/>
    </row>
    <row r="21044" spans="2:2" ht="12.75" customHeight="1" x14ac:dyDescent="0.2">
      <c r="B21044" s="43"/>
    </row>
    <row r="21045" spans="2:2" ht="12.75" customHeight="1" x14ac:dyDescent="0.2">
      <c r="B21045" s="43"/>
    </row>
    <row r="21046" spans="2:2" ht="12.75" customHeight="1" x14ac:dyDescent="0.2">
      <c r="B21046" s="43"/>
    </row>
    <row r="21047" spans="2:2" ht="12.75" customHeight="1" x14ac:dyDescent="0.2">
      <c r="B21047" s="43"/>
    </row>
    <row r="21048" spans="2:2" ht="12.75" customHeight="1" x14ac:dyDescent="0.2">
      <c r="B21048" s="43"/>
    </row>
    <row r="21049" spans="2:2" ht="12.75" customHeight="1" x14ac:dyDescent="0.2">
      <c r="B21049" s="43"/>
    </row>
    <row r="21050" spans="2:2" ht="12.75" customHeight="1" x14ac:dyDescent="0.2">
      <c r="B21050" s="43"/>
    </row>
    <row r="21051" spans="2:2" ht="12.75" customHeight="1" x14ac:dyDescent="0.2">
      <c r="B21051" s="43"/>
    </row>
    <row r="21052" spans="2:2" ht="12.75" customHeight="1" x14ac:dyDescent="0.2">
      <c r="B21052" s="43"/>
    </row>
    <row r="21053" spans="2:2" ht="12.75" customHeight="1" x14ac:dyDescent="0.2">
      <c r="B21053" s="43"/>
    </row>
    <row r="21054" spans="2:2" ht="12.75" customHeight="1" x14ac:dyDescent="0.2">
      <c r="B21054" s="43"/>
    </row>
    <row r="21055" spans="2:2" ht="12.75" customHeight="1" x14ac:dyDescent="0.2">
      <c r="B21055" s="43"/>
    </row>
    <row r="21056" spans="2:2" ht="12.75" customHeight="1" x14ac:dyDescent="0.2">
      <c r="B21056" s="43"/>
    </row>
    <row r="21057" spans="2:2" ht="12.75" customHeight="1" x14ac:dyDescent="0.2">
      <c r="B21057" s="43"/>
    </row>
    <row r="21058" spans="2:2" ht="12.75" customHeight="1" x14ac:dyDescent="0.2">
      <c r="B21058" s="43"/>
    </row>
    <row r="21059" spans="2:2" ht="12.75" customHeight="1" x14ac:dyDescent="0.2">
      <c r="B21059" s="43"/>
    </row>
    <row r="21060" spans="2:2" ht="12.75" customHeight="1" x14ac:dyDescent="0.2">
      <c r="B21060" s="43"/>
    </row>
    <row r="21061" spans="2:2" ht="12.75" customHeight="1" x14ac:dyDescent="0.2">
      <c r="B21061" s="43"/>
    </row>
    <row r="21062" spans="2:2" ht="12.75" customHeight="1" x14ac:dyDescent="0.2">
      <c r="B21062" s="43"/>
    </row>
    <row r="21063" spans="2:2" ht="12.75" customHeight="1" x14ac:dyDescent="0.2">
      <c r="B21063" s="43"/>
    </row>
    <row r="21064" spans="2:2" ht="12.75" customHeight="1" x14ac:dyDescent="0.2">
      <c r="B21064" s="43"/>
    </row>
    <row r="21065" spans="2:2" ht="12.75" customHeight="1" x14ac:dyDescent="0.2">
      <c r="B21065" s="43"/>
    </row>
    <row r="21066" spans="2:2" ht="12.75" customHeight="1" x14ac:dyDescent="0.2">
      <c r="B21066" s="43"/>
    </row>
    <row r="21067" spans="2:2" ht="12.75" customHeight="1" x14ac:dyDescent="0.2">
      <c r="B21067" s="43"/>
    </row>
    <row r="21068" spans="2:2" ht="12.75" customHeight="1" x14ac:dyDescent="0.2">
      <c r="B21068" s="43"/>
    </row>
    <row r="21069" spans="2:2" ht="12.75" customHeight="1" x14ac:dyDescent="0.2">
      <c r="B21069" s="43"/>
    </row>
    <row r="21070" spans="2:2" ht="12.75" customHeight="1" x14ac:dyDescent="0.2">
      <c r="B21070" s="43"/>
    </row>
    <row r="21071" spans="2:2" ht="12.75" customHeight="1" x14ac:dyDescent="0.2">
      <c r="B21071" s="43"/>
    </row>
    <row r="21072" spans="2:2" ht="12.75" customHeight="1" x14ac:dyDescent="0.2">
      <c r="B21072" s="43"/>
    </row>
    <row r="21073" spans="2:2" ht="12.75" customHeight="1" x14ac:dyDescent="0.2">
      <c r="B21073" s="43"/>
    </row>
    <row r="21074" spans="2:2" ht="12.75" customHeight="1" x14ac:dyDescent="0.2">
      <c r="B21074" s="43"/>
    </row>
    <row r="21075" spans="2:2" ht="12.75" customHeight="1" x14ac:dyDescent="0.2">
      <c r="B21075" s="43"/>
    </row>
    <row r="21076" spans="2:2" ht="12.75" customHeight="1" x14ac:dyDescent="0.2">
      <c r="B21076" s="43"/>
    </row>
    <row r="21077" spans="2:2" ht="12.75" customHeight="1" x14ac:dyDescent="0.2">
      <c r="B21077" s="43"/>
    </row>
    <row r="21078" spans="2:2" ht="12.75" customHeight="1" x14ac:dyDescent="0.2">
      <c r="B21078" s="43"/>
    </row>
    <row r="21079" spans="2:2" ht="12.75" customHeight="1" x14ac:dyDescent="0.2">
      <c r="B21079" s="43"/>
    </row>
    <row r="21080" spans="2:2" ht="12.75" customHeight="1" x14ac:dyDescent="0.2">
      <c r="B21080" s="43"/>
    </row>
    <row r="21081" spans="2:2" ht="12.75" customHeight="1" x14ac:dyDescent="0.2">
      <c r="B21081" s="43"/>
    </row>
    <row r="21082" spans="2:2" ht="12.75" customHeight="1" x14ac:dyDescent="0.2">
      <c r="B21082" s="43"/>
    </row>
    <row r="21083" spans="2:2" ht="12.75" customHeight="1" x14ac:dyDescent="0.2">
      <c r="B21083" s="43"/>
    </row>
    <row r="21084" spans="2:2" ht="12.75" customHeight="1" x14ac:dyDescent="0.2">
      <c r="B21084" s="43"/>
    </row>
    <row r="21085" spans="2:2" ht="12.75" customHeight="1" x14ac:dyDescent="0.2">
      <c r="B21085" s="43"/>
    </row>
    <row r="21086" spans="2:2" ht="12.75" customHeight="1" x14ac:dyDescent="0.2">
      <c r="B21086" s="43"/>
    </row>
    <row r="21087" spans="2:2" ht="12.75" customHeight="1" x14ac:dyDescent="0.2">
      <c r="B21087" s="43"/>
    </row>
    <row r="21088" spans="2:2" ht="12.75" customHeight="1" x14ac:dyDescent="0.2">
      <c r="B21088" s="43"/>
    </row>
    <row r="21089" spans="2:2" ht="12.75" customHeight="1" x14ac:dyDescent="0.2">
      <c r="B21089" s="43"/>
    </row>
    <row r="21090" spans="2:2" ht="12.75" customHeight="1" x14ac:dyDescent="0.2">
      <c r="B21090" s="43"/>
    </row>
    <row r="21091" spans="2:2" ht="12.75" customHeight="1" x14ac:dyDescent="0.2">
      <c r="B21091" s="43"/>
    </row>
    <row r="21092" spans="2:2" ht="12.75" customHeight="1" x14ac:dyDescent="0.2">
      <c r="B21092" s="43"/>
    </row>
    <row r="21093" spans="2:2" ht="12.75" customHeight="1" x14ac:dyDescent="0.2">
      <c r="B21093" s="43"/>
    </row>
    <row r="21094" spans="2:2" ht="12.75" customHeight="1" x14ac:dyDescent="0.2">
      <c r="B21094" s="43"/>
    </row>
    <row r="21095" spans="2:2" ht="12.75" customHeight="1" x14ac:dyDescent="0.2">
      <c r="B21095" s="43"/>
    </row>
    <row r="21096" spans="2:2" ht="12.75" customHeight="1" x14ac:dyDescent="0.2">
      <c r="B21096" s="43"/>
    </row>
    <row r="21097" spans="2:2" ht="12.75" customHeight="1" x14ac:dyDescent="0.2">
      <c r="B21097" s="43"/>
    </row>
    <row r="21098" spans="2:2" ht="12.75" customHeight="1" x14ac:dyDescent="0.2">
      <c r="B21098" s="43"/>
    </row>
    <row r="21099" spans="2:2" ht="12.75" customHeight="1" x14ac:dyDescent="0.2">
      <c r="B21099" s="43"/>
    </row>
    <row r="21100" spans="2:2" ht="12.75" customHeight="1" x14ac:dyDescent="0.2">
      <c r="B21100" s="43"/>
    </row>
    <row r="21101" spans="2:2" ht="12.75" customHeight="1" x14ac:dyDescent="0.2">
      <c r="B21101" s="43"/>
    </row>
    <row r="21102" spans="2:2" ht="12.75" customHeight="1" x14ac:dyDescent="0.2">
      <c r="B21102" s="43"/>
    </row>
    <row r="21103" spans="2:2" ht="12.75" customHeight="1" x14ac:dyDescent="0.2">
      <c r="B21103" s="43"/>
    </row>
    <row r="21104" spans="2:2" ht="12.75" customHeight="1" x14ac:dyDescent="0.2">
      <c r="B21104" s="43"/>
    </row>
    <row r="21105" spans="2:2" ht="12.75" customHeight="1" x14ac:dyDescent="0.2">
      <c r="B21105" s="43"/>
    </row>
    <row r="21106" spans="2:2" ht="12.75" customHeight="1" x14ac:dyDescent="0.2">
      <c r="B21106" s="43"/>
    </row>
    <row r="21107" spans="2:2" ht="12.75" customHeight="1" x14ac:dyDescent="0.2">
      <c r="B21107" s="43"/>
    </row>
    <row r="21108" spans="2:2" ht="12.75" customHeight="1" x14ac:dyDescent="0.2">
      <c r="B21108" s="43"/>
    </row>
    <row r="21109" spans="2:2" ht="12.75" customHeight="1" x14ac:dyDescent="0.2">
      <c r="B21109" s="43"/>
    </row>
    <row r="21110" spans="2:2" ht="12.75" customHeight="1" x14ac:dyDescent="0.2">
      <c r="B21110" s="43"/>
    </row>
    <row r="21111" spans="2:2" ht="12.75" customHeight="1" x14ac:dyDescent="0.2">
      <c r="B21111" s="43"/>
    </row>
    <row r="21112" spans="2:2" ht="12.75" customHeight="1" x14ac:dyDescent="0.2">
      <c r="B21112" s="43"/>
    </row>
    <row r="21113" spans="2:2" ht="12.75" customHeight="1" x14ac:dyDescent="0.2">
      <c r="B21113" s="43"/>
    </row>
    <row r="21114" spans="2:2" ht="12.75" customHeight="1" x14ac:dyDescent="0.2">
      <c r="B21114" s="43"/>
    </row>
    <row r="21115" spans="2:2" ht="12.75" customHeight="1" x14ac:dyDescent="0.2">
      <c r="B21115" s="43"/>
    </row>
    <row r="21116" spans="2:2" ht="12.75" customHeight="1" x14ac:dyDescent="0.2">
      <c r="B21116" s="43"/>
    </row>
    <row r="21117" spans="2:2" ht="12.75" customHeight="1" x14ac:dyDescent="0.2">
      <c r="B21117" s="43"/>
    </row>
    <row r="21118" spans="2:2" ht="12.75" customHeight="1" x14ac:dyDescent="0.2">
      <c r="B21118" s="43"/>
    </row>
    <row r="21119" spans="2:2" ht="12.75" customHeight="1" x14ac:dyDescent="0.2">
      <c r="B21119" s="43"/>
    </row>
    <row r="21120" spans="2:2" ht="12.75" customHeight="1" x14ac:dyDescent="0.2">
      <c r="B21120" s="43"/>
    </row>
    <row r="21121" spans="2:2" ht="12.75" customHeight="1" x14ac:dyDescent="0.2">
      <c r="B21121" s="43"/>
    </row>
    <row r="21122" spans="2:2" ht="12.75" customHeight="1" x14ac:dyDescent="0.2">
      <c r="B21122" s="43"/>
    </row>
    <row r="21123" spans="2:2" ht="12.75" customHeight="1" x14ac:dyDescent="0.2">
      <c r="B21123" s="43"/>
    </row>
    <row r="21124" spans="2:2" ht="12.75" customHeight="1" x14ac:dyDescent="0.2">
      <c r="B21124" s="43"/>
    </row>
    <row r="21125" spans="2:2" ht="12.75" customHeight="1" x14ac:dyDescent="0.2">
      <c r="B21125" s="43"/>
    </row>
    <row r="21126" spans="2:2" ht="12.75" customHeight="1" x14ac:dyDescent="0.2">
      <c r="B21126" s="43"/>
    </row>
    <row r="21127" spans="2:2" ht="12.75" customHeight="1" x14ac:dyDescent="0.2">
      <c r="B21127" s="43"/>
    </row>
    <row r="21128" spans="2:2" ht="12.75" customHeight="1" x14ac:dyDescent="0.2">
      <c r="B21128" s="43"/>
    </row>
    <row r="21129" spans="2:2" ht="12.75" customHeight="1" x14ac:dyDescent="0.2">
      <c r="B21129" s="43"/>
    </row>
    <row r="21130" spans="2:2" ht="12.75" customHeight="1" x14ac:dyDescent="0.2">
      <c r="B21130" s="43"/>
    </row>
    <row r="21131" spans="2:2" ht="12.75" customHeight="1" x14ac:dyDescent="0.2">
      <c r="B21131" s="43"/>
    </row>
    <row r="21132" spans="2:2" ht="12.75" customHeight="1" x14ac:dyDescent="0.2">
      <c r="B21132" s="43"/>
    </row>
    <row r="21133" spans="2:2" ht="12.75" customHeight="1" x14ac:dyDescent="0.2">
      <c r="B21133" s="43"/>
    </row>
    <row r="21134" spans="2:2" ht="12.75" customHeight="1" x14ac:dyDescent="0.2">
      <c r="B21134" s="43"/>
    </row>
    <row r="21135" spans="2:2" ht="12.75" customHeight="1" x14ac:dyDescent="0.2">
      <c r="B21135" s="43"/>
    </row>
    <row r="21136" spans="2:2" ht="12.75" customHeight="1" x14ac:dyDescent="0.2">
      <c r="B21136" s="43"/>
    </row>
    <row r="21137" spans="2:2" ht="12.75" customHeight="1" x14ac:dyDescent="0.2">
      <c r="B21137" s="43"/>
    </row>
    <row r="21138" spans="2:2" ht="12.75" customHeight="1" x14ac:dyDescent="0.2">
      <c r="B21138" s="43"/>
    </row>
    <row r="21139" spans="2:2" ht="12.75" customHeight="1" x14ac:dyDescent="0.2">
      <c r="B21139" s="43"/>
    </row>
    <row r="21140" spans="2:2" ht="12.75" customHeight="1" x14ac:dyDescent="0.2">
      <c r="B21140" s="43"/>
    </row>
    <row r="21141" spans="2:2" ht="12.75" customHeight="1" x14ac:dyDescent="0.2">
      <c r="B21141" s="43"/>
    </row>
    <row r="21142" spans="2:2" ht="12.75" customHeight="1" x14ac:dyDescent="0.2">
      <c r="B21142" s="43"/>
    </row>
    <row r="21143" spans="2:2" ht="12.75" customHeight="1" x14ac:dyDescent="0.2">
      <c r="B21143" s="43"/>
    </row>
    <row r="21144" spans="2:2" ht="12.75" customHeight="1" x14ac:dyDescent="0.2">
      <c r="B21144" s="43"/>
    </row>
    <row r="21145" spans="2:2" ht="12.75" customHeight="1" x14ac:dyDescent="0.2">
      <c r="B21145" s="43"/>
    </row>
    <row r="21146" spans="2:2" ht="12.75" customHeight="1" x14ac:dyDescent="0.2">
      <c r="B21146" s="43"/>
    </row>
    <row r="21147" spans="2:2" ht="12.75" customHeight="1" x14ac:dyDescent="0.2">
      <c r="B21147" s="43"/>
    </row>
    <row r="21148" spans="2:2" ht="12.75" customHeight="1" x14ac:dyDescent="0.2">
      <c r="B21148" s="43"/>
    </row>
    <row r="21149" spans="2:2" ht="12.75" customHeight="1" x14ac:dyDescent="0.2">
      <c r="B21149" s="43"/>
    </row>
    <row r="21150" spans="2:2" ht="12.75" customHeight="1" x14ac:dyDescent="0.2">
      <c r="B21150" s="43"/>
    </row>
    <row r="21151" spans="2:2" ht="12.75" customHeight="1" x14ac:dyDescent="0.2">
      <c r="B21151" s="43"/>
    </row>
    <row r="21152" spans="2:2" ht="12.75" customHeight="1" x14ac:dyDescent="0.2">
      <c r="B21152" s="43"/>
    </row>
    <row r="21153" spans="2:2" ht="12.75" customHeight="1" x14ac:dyDescent="0.2">
      <c r="B21153" s="43"/>
    </row>
    <row r="21154" spans="2:2" ht="12.75" customHeight="1" x14ac:dyDescent="0.2">
      <c r="B21154" s="43"/>
    </row>
    <row r="21155" spans="2:2" ht="12.75" customHeight="1" x14ac:dyDescent="0.2">
      <c r="B21155" s="43"/>
    </row>
    <row r="21156" spans="2:2" ht="12.75" customHeight="1" x14ac:dyDescent="0.2">
      <c r="B21156" s="43"/>
    </row>
    <row r="21157" spans="2:2" ht="12.75" customHeight="1" x14ac:dyDescent="0.2">
      <c r="B21157" s="43"/>
    </row>
    <row r="21158" spans="2:2" ht="12.75" customHeight="1" x14ac:dyDescent="0.2">
      <c r="B21158" s="43"/>
    </row>
    <row r="21159" spans="2:2" ht="12.75" customHeight="1" x14ac:dyDescent="0.2">
      <c r="B21159" s="43"/>
    </row>
    <row r="21160" spans="2:2" ht="12.75" customHeight="1" x14ac:dyDescent="0.2">
      <c r="B21160" s="43"/>
    </row>
    <row r="21161" spans="2:2" ht="12.75" customHeight="1" x14ac:dyDescent="0.2">
      <c r="B21161" s="43"/>
    </row>
    <row r="21162" spans="2:2" ht="12.75" customHeight="1" x14ac:dyDescent="0.2">
      <c r="B21162" s="43"/>
    </row>
    <row r="21163" spans="2:2" ht="12.75" customHeight="1" x14ac:dyDescent="0.2">
      <c r="B21163" s="43"/>
    </row>
    <row r="21164" spans="2:2" ht="12.75" customHeight="1" x14ac:dyDescent="0.2">
      <c r="B21164" s="43"/>
    </row>
    <row r="21165" spans="2:2" ht="12.75" customHeight="1" x14ac:dyDescent="0.2">
      <c r="B21165" s="43"/>
    </row>
    <row r="21166" spans="2:2" ht="12.75" customHeight="1" x14ac:dyDescent="0.2">
      <c r="B21166" s="43"/>
    </row>
    <row r="21167" spans="2:2" ht="12.75" customHeight="1" x14ac:dyDescent="0.2">
      <c r="B21167" s="43"/>
    </row>
    <row r="21168" spans="2:2" ht="12.75" customHeight="1" x14ac:dyDescent="0.2">
      <c r="B21168" s="43"/>
    </row>
    <row r="21169" spans="2:2" ht="12.75" customHeight="1" x14ac:dyDescent="0.2">
      <c r="B21169" s="43"/>
    </row>
    <row r="21170" spans="2:2" ht="12.75" customHeight="1" x14ac:dyDescent="0.2">
      <c r="B21170" s="43"/>
    </row>
    <row r="21171" spans="2:2" ht="12.75" customHeight="1" x14ac:dyDescent="0.2">
      <c r="B21171" s="43"/>
    </row>
    <row r="21172" spans="2:2" ht="12.75" customHeight="1" x14ac:dyDescent="0.2">
      <c r="B21172" s="43"/>
    </row>
    <row r="21173" spans="2:2" ht="12.75" customHeight="1" x14ac:dyDescent="0.2">
      <c r="B21173" s="43"/>
    </row>
    <row r="21174" spans="2:2" ht="12.75" customHeight="1" x14ac:dyDescent="0.2">
      <c r="B21174" s="43"/>
    </row>
    <row r="21175" spans="2:2" ht="12.75" customHeight="1" x14ac:dyDescent="0.2">
      <c r="B21175" s="43"/>
    </row>
    <row r="21176" spans="2:2" ht="12.75" customHeight="1" x14ac:dyDescent="0.2">
      <c r="B21176" s="43"/>
    </row>
    <row r="21177" spans="2:2" ht="12.75" customHeight="1" x14ac:dyDescent="0.2">
      <c r="B21177" s="43"/>
    </row>
    <row r="21178" spans="2:2" ht="12.75" customHeight="1" x14ac:dyDescent="0.2">
      <c r="B21178" s="43"/>
    </row>
    <row r="21179" spans="2:2" ht="12.75" customHeight="1" x14ac:dyDescent="0.2">
      <c r="B21179" s="43"/>
    </row>
    <row r="21180" spans="2:2" ht="12.75" customHeight="1" x14ac:dyDescent="0.2">
      <c r="B21180" s="43"/>
    </row>
    <row r="21181" spans="2:2" ht="12.75" customHeight="1" x14ac:dyDescent="0.2">
      <c r="B21181" s="43"/>
    </row>
    <row r="21182" spans="2:2" ht="12.75" customHeight="1" x14ac:dyDescent="0.2">
      <c r="B21182" s="43"/>
    </row>
    <row r="21183" spans="2:2" ht="12.75" customHeight="1" x14ac:dyDescent="0.2">
      <c r="B21183" s="43"/>
    </row>
    <row r="21184" spans="2:2" ht="12.75" customHeight="1" x14ac:dyDescent="0.2">
      <c r="B21184" s="43"/>
    </row>
    <row r="21185" spans="2:2" ht="12.75" customHeight="1" x14ac:dyDescent="0.2">
      <c r="B21185" s="43"/>
    </row>
    <row r="21186" spans="2:2" ht="12.75" customHeight="1" x14ac:dyDescent="0.2">
      <c r="B21186" s="43"/>
    </row>
    <row r="21187" spans="2:2" ht="12.75" customHeight="1" x14ac:dyDescent="0.2">
      <c r="B21187" s="43"/>
    </row>
    <row r="21188" spans="2:2" ht="12.75" customHeight="1" x14ac:dyDescent="0.2">
      <c r="B21188" s="43"/>
    </row>
    <row r="21189" spans="2:2" ht="12.75" customHeight="1" x14ac:dyDescent="0.2">
      <c r="B21189" s="43"/>
    </row>
    <row r="21190" spans="2:2" ht="12.75" customHeight="1" x14ac:dyDescent="0.2">
      <c r="B21190" s="43"/>
    </row>
    <row r="21191" spans="2:2" ht="12.75" customHeight="1" x14ac:dyDescent="0.2">
      <c r="B21191" s="43"/>
    </row>
    <row r="21192" spans="2:2" ht="12.75" customHeight="1" x14ac:dyDescent="0.2">
      <c r="B21192" s="43"/>
    </row>
    <row r="21193" spans="2:2" ht="12.75" customHeight="1" x14ac:dyDescent="0.2">
      <c r="B21193" s="43"/>
    </row>
    <row r="21194" spans="2:2" ht="12.75" customHeight="1" x14ac:dyDescent="0.2">
      <c r="B21194" s="43"/>
    </row>
    <row r="21195" spans="2:2" ht="12.75" customHeight="1" x14ac:dyDescent="0.2">
      <c r="B21195" s="43"/>
    </row>
    <row r="21196" spans="2:2" ht="12.75" customHeight="1" x14ac:dyDescent="0.2">
      <c r="B21196" s="43"/>
    </row>
    <row r="21197" spans="2:2" ht="12.75" customHeight="1" x14ac:dyDescent="0.2">
      <c r="B21197" s="43"/>
    </row>
    <row r="21198" spans="2:2" ht="12.75" customHeight="1" x14ac:dyDescent="0.2">
      <c r="B21198" s="43"/>
    </row>
    <row r="21199" spans="2:2" ht="12.75" customHeight="1" x14ac:dyDescent="0.2">
      <c r="B21199" s="43"/>
    </row>
    <row r="21200" spans="2:2" ht="12.75" customHeight="1" x14ac:dyDescent="0.2">
      <c r="B21200" s="43"/>
    </row>
    <row r="21201" spans="2:2" ht="12.75" customHeight="1" x14ac:dyDescent="0.2">
      <c r="B21201" s="43"/>
    </row>
    <row r="21202" spans="2:2" ht="12.75" customHeight="1" x14ac:dyDescent="0.2">
      <c r="B21202" s="43"/>
    </row>
    <row r="21203" spans="2:2" ht="12.75" customHeight="1" x14ac:dyDescent="0.2">
      <c r="B21203" s="43"/>
    </row>
    <row r="21204" spans="2:2" ht="12.75" customHeight="1" x14ac:dyDescent="0.2">
      <c r="B21204" s="43"/>
    </row>
    <row r="21205" spans="2:2" ht="12.75" customHeight="1" x14ac:dyDescent="0.2">
      <c r="B21205" s="43"/>
    </row>
    <row r="21206" spans="2:2" ht="12.75" customHeight="1" x14ac:dyDescent="0.2">
      <c r="B21206" s="43"/>
    </row>
    <row r="21207" spans="2:2" ht="12.75" customHeight="1" x14ac:dyDescent="0.2">
      <c r="B21207" s="43"/>
    </row>
    <row r="21208" spans="2:2" ht="12.75" customHeight="1" x14ac:dyDescent="0.2">
      <c r="B21208" s="43"/>
    </row>
    <row r="21209" spans="2:2" ht="12.75" customHeight="1" x14ac:dyDescent="0.2">
      <c r="B21209" s="43"/>
    </row>
    <row r="21210" spans="2:2" ht="12.75" customHeight="1" x14ac:dyDescent="0.2">
      <c r="B21210" s="43"/>
    </row>
    <row r="21211" spans="2:2" ht="12.75" customHeight="1" x14ac:dyDescent="0.2">
      <c r="B21211" s="43"/>
    </row>
    <row r="21212" spans="2:2" ht="12.75" customHeight="1" x14ac:dyDescent="0.2">
      <c r="B21212" s="43"/>
    </row>
    <row r="21213" spans="2:2" ht="12.75" customHeight="1" x14ac:dyDescent="0.2">
      <c r="B21213" s="43"/>
    </row>
    <row r="21214" spans="2:2" ht="12.75" customHeight="1" x14ac:dyDescent="0.2">
      <c r="B21214" s="43"/>
    </row>
    <row r="21215" spans="2:2" ht="12.75" customHeight="1" x14ac:dyDescent="0.2">
      <c r="B21215" s="43"/>
    </row>
    <row r="21216" spans="2:2" ht="12.75" customHeight="1" x14ac:dyDescent="0.2">
      <c r="B21216" s="43"/>
    </row>
    <row r="21217" spans="2:2" ht="12.75" customHeight="1" x14ac:dyDescent="0.2">
      <c r="B21217" s="43"/>
    </row>
    <row r="21218" spans="2:2" ht="12.75" customHeight="1" x14ac:dyDescent="0.2">
      <c r="B21218" s="43"/>
    </row>
    <row r="21219" spans="2:2" ht="12.75" customHeight="1" x14ac:dyDescent="0.2">
      <c r="B21219" s="43"/>
    </row>
    <row r="21220" spans="2:2" ht="12.75" customHeight="1" x14ac:dyDescent="0.2">
      <c r="B21220" s="43"/>
    </row>
    <row r="21221" spans="2:2" ht="12.75" customHeight="1" x14ac:dyDescent="0.2">
      <c r="B21221" s="43"/>
    </row>
    <row r="21222" spans="2:2" ht="12.75" customHeight="1" x14ac:dyDescent="0.2">
      <c r="B21222" s="43"/>
    </row>
    <row r="21223" spans="2:2" ht="12.75" customHeight="1" x14ac:dyDescent="0.2">
      <c r="B21223" s="43"/>
    </row>
    <row r="21224" spans="2:2" ht="12.75" customHeight="1" x14ac:dyDescent="0.2">
      <c r="B21224" s="43"/>
    </row>
    <row r="21225" spans="2:2" ht="12.75" customHeight="1" x14ac:dyDescent="0.2">
      <c r="B21225" s="43"/>
    </row>
    <row r="21226" spans="2:2" ht="12.75" customHeight="1" x14ac:dyDescent="0.2">
      <c r="B21226" s="43"/>
    </row>
    <row r="21227" spans="2:2" ht="12.75" customHeight="1" x14ac:dyDescent="0.2">
      <c r="B21227" s="43"/>
    </row>
    <row r="21228" spans="2:2" ht="12.75" customHeight="1" x14ac:dyDescent="0.2">
      <c r="B21228" s="43"/>
    </row>
    <row r="21229" spans="2:2" ht="12.75" customHeight="1" x14ac:dyDescent="0.2">
      <c r="B21229" s="43"/>
    </row>
    <row r="21230" spans="2:2" ht="12.75" customHeight="1" x14ac:dyDescent="0.2">
      <c r="B21230" s="43"/>
    </row>
    <row r="21231" spans="2:2" ht="12.75" customHeight="1" x14ac:dyDescent="0.2">
      <c r="B21231" s="43"/>
    </row>
    <row r="21232" spans="2:2" ht="12.75" customHeight="1" x14ac:dyDescent="0.2">
      <c r="B21232" s="43"/>
    </row>
    <row r="21233" spans="2:2" ht="12.75" customHeight="1" x14ac:dyDescent="0.2">
      <c r="B21233" s="43"/>
    </row>
    <row r="21234" spans="2:2" ht="12.75" customHeight="1" x14ac:dyDescent="0.2">
      <c r="B21234" s="43"/>
    </row>
    <row r="21235" spans="2:2" ht="12.75" customHeight="1" x14ac:dyDescent="0.2">
      <c r="B21235" s="43"/>
    </row>
    <row r="21236" spans="2:2" ht="12.75" customHeight="1" x14ac:dyDescent="0.2">
      <c r="B21236" s="43"/>
    </row>
    <row r="21237" spans="2:2" ht="12.75" customHeight="1" x14ac:dyDescent="0.2">
      <c r="B21237" s="43"/>
    </row>
    <row r="21238" spans="2:2" ht="12.75" customHeight="1" x14ac:dyDescent="0.2">
      <c r="B21238" s="43"/>
    </row>
    <row r="21239" spans="2:2" ht="12.75" customHeight="1" x14ac:dyDescent="0.2">
      <c r="B21239" s="43"/>
    </row>
    <row r="21240" spans="2:2" ht="12.75" customHeight="1" x14ac:dyDescent="0.2">
      <c r="B21240" s="43"/>
    </row>
    <row r="21241" spans="2:2" ht="12.75" customHeight="1" x14ac:dyDescent="0.2">
      <c r="B21241" s="43"/>
    </row>
    <row r="21242" spans="2:2" ht="12.75" customHeight="1" x14ac:dyDescent="0.2">
      <c r="B21242" s="43"/>
    </row>
    <row r="21243" spans="2:2" ht="12.75" customHeight="1" x14ac:dyDescent="0.2">
      <c r="B21243" s="43"/>
    </row>
    <row r="21244" spans="2:2" ht="12.75" customHeight="1" x14ac:dyDescent="0.2">
      <c r="B21244" s="43"/>
    </row>
    <row r="21245" spans="2:2" ht="12.75" customHeight="1" x14ac:dyDescent="0.2">
      <c r="B21245" s="43"/>
    </row>
    <row r="21246" spans="2:2" ht="12.75" customHeight="1" x14ac:dyDescent="0.2">
      <c r="B21246" s="43"/>
    </row>
    <row r="21247" spans="2:2" ht="12.75" customHeight="1" x14ac:dyDescent="0.2">
      <c r="B21247" s="43"/>
    </row>
    <row r="21248" spans="2:2" ht="12.75" customHeight="1" x14ac:dyDescent="0.2">
      <c r="B21248" s="43"/>
    </row>
    <row r="21249" spans="2:2" ht="12.75" customHeight="1" x14ac:dyDescent="0.2">
      <c r="B21249" s="43"/>
    </row>
    <row r="21250" spans="2:2" ht="12.75" customHeight="1" x14ac:dyDescent="0.2">
      <c r="B21250" s="43"/>
    </row>
    <row r="21251" spans="2:2" ht="12.75" customHeight="1" x14ac:dyDescent="0.2">
      <c r="B21251" s="43"/>
    </row>
    <row r="21252" spans="2:2" ht="12.75" customHeight="1" x14ac:dyDescent="0.2">
      <c r="B21252" s="43"/>
    </row>
    <row r="21253" spans="2:2" ht="12.75" customHeight="1" x14ac:dyDescent="0.2">
      <c r="B21253" s="43"/>
    </row>
    <row r="21254" spans="2:2" ht="12.75" customHeight="1" x14ac:dyDescent="0.2">
      <c r="B21254" s="43"/>
    </row>
    <row r="21255" spans="2:2" ht="12.75" customHeight="1" x14ac:dyDescent="0.2">
      <c r="B21255" s="43"/>
    </row>
    <row r="21256" spans="2:2" ht="12.75" customHeight="1" x14ac:dyDescent="0.2">
      <c r="B21256" s="43"/>
    </row>
    <row r="21257" spans="2:2" ht="12.75" customHeight="1" x14ac:dyDescent="0.2">
      <c r="B21257" s="43"/>
    </row>
    <row r="21258" spans="2:2" ht="12.75" customHeight="1" x14ac:dyDescent="0.2">
      <c r="B21258" s="43"/>
    </row>
    <row r="21259" spans="2:2" ht="12.75" customHeight="1" x14ac:dyDescent="0.2">
      <c r="B21259" s="43"/>
    </row>
    <row r="21260" spans="2:2" ht="12.75" customHeight="1" x14ac:dyDescent="0.2">
      <c r="B21260" s="43"/>
    </row>
    <row r="21261" spans="2:2" ht="12.75" customHeight="1" x14ac:dyDescent="0.2">
      <c r="B21261" s="43"/>
    </row>
    <row r="21262" spans="2:2" ht="12.75" customHeight="1" x14ac:dyDescent="0.2">
      <c r="B21262" s="43"/>
    </row>
    <row r="21263" spans="2:2" ht="12.75" customHeight="1" x14ac:dyDescent="0.2">
      <c r="B21263" s="43"/>
    </row>
    <row r="21264" spans="2:2" ht="12.75" customHeight="1" x14ac:dyDescent="0.2">
      <c r="B21264" s="43"/>
    </row>
    <row r="21265" spans="2:2" ht="12.75" customHeight="1" x14ac:dyDescent="0.2">
      <c r="B21265" s="43"/>
    </row>
    <row r="21266" spans="2:2" ht="12.75" customHeight="1" x14ac:dyDescent="0.2">
      <c r="B21266" s="43"/>
    </row>
    <row r="21267" spans="2:2" ht="12.75" customHeight="1" x14ac:dyDescent="0.2">
      <c r="B21267" s="43"/>
    </row>
    <row r="21268" spans="2:2" ht="12.75" customHeight="1" x14ac:dyDescent="0.2">
      <c r="B21268" s="43"/>
    </row>
    <row r="21269" spans="2:2" ht="12.75" customHeight="1" x14ac:dyDescent="0.2">
      <c r="B21269" s="43"/>
    </row>
    <row r="21270" spans="2:2" ht="12.75" customHeight="1" x14ac:dyDescent="0.2">
      <c r="B21270" s="43"/>
    </row>
    <row r="21271" spans="2:2" ht="12.75" customHeight="1" x14ac:dyDescent="0.2">
      <c r="B21271" s="43"/>
    </row>
    <row r="21272" spans="2:2" ht="12.75" customHeight="1" x14ac:dyDescent="0.2">
      <c r="B21272" s="43"/>
    </row>
    <row r="21273" spans="2:2" ht="12.75" customHeight="1" x14ac:dyDescent="0.2">
      <c r="B21273" s="43"/>
    </row>
    <row r="21274" spans="2:2" ht="12.75" customHeight="1" x14ac:dyDescent="0.2">
      <c r="B21274" s="43"/>
    </row>
    <row r="21275" spans="2:2" ht="12.75" customHeight="1" x14ac:dyDescent="0.2">
      <c r="B21275" s="43"/>
    </row>
    <row r="21276" spans="2:2" ht="12.75" customHeight="1" x14ac:dyDescent="0.2">
      <c r="B21276" s="43"/>
    </row>
    <row r="21277" spans="2:2" ht="12.75" customHeight="1" x14ac:dyDescent="0.2">
      <c r="B21277" s="43"/>
    </row>
    <row r="21278" spans="2:2" ht="12.75" customHeight="1" x14ac:dyDescent="0.2">
      <c r="B21278" s="43"/>
    </row>
    <row r="21279" spans="2:2" ht="12.75" customHeight="1" x14ac:dyDescent="0.2">
      <c r="B21279" s="43"/>
    </row>
    <row r="21280" spans="2:2" ht="12.75" customHeight="1" x14ac:dyDescent="0.2">
      <c r="B21280" s="43"/>
    </row>
    <row r="21281" spans="2:2" ht="12.75" customHeight="1" x14ac:dyDescent="0.2">
      <c r="B21281" s="43"/>
    </row>
    <row r="21282" spans="2:2" ht="12.75" customHeight="1" x14ac:dyDescent="0.2">
      <c r="B21282" s="43"/>
    </row>
    <row r="21283" spans="2:2" ht="12.75" customHeight="1" x14ac:dyDescent="0.2">
      <c r="B21283" s="43"/>
    </row>
    <row r="21284" spans="2:2" ht="12.75" customHeight="1" x14ac:dyDescent="0.2">
      <c r="B21284" s="43"/>
    </row>
    <row r="21285" spans="2:2" ht="12.75" customHeight="1" x14ac:dyDescent="0.2">
      <c r="B21285" s="43"/>
    </row>
    <row r="21286" spans="2:2" ht="12.75" customHeight="1" x14ac:dyDescent="0.2">
      <c r="B21286" s="43"/>
    </row>
    <row r="21287" spans="2:2" ht="12.75" customHeight="1" x14ac:dyDescent="0.2">
      <c r="B21287" s="43"/>
    </row>
    <row r="21288" spans="2:2" ht="12.75" customHeight="1" x14ac:dyDescent="0.2">
      <c r="B21288" s="43"/>
    </row>
    <row r="21289" spans="2:2" ht="12.75" customHeight="1" x14ac:dyDescent="0.2">
      <c r="B21289" s="43"/>
    </row>
    <row r="21290" spans="2:2" ht="12.75" customHeight="1" x14ac:dyDescent="0.2">
      <c r="B21290" s="43"/>
    </row>
    <row r="21291" spans="2:2" ht="12.75" customHeight="1" x14ac:dyDescent="0.2">
      <c r="B21291" s="43"/>
    </row>
    <row r="21292" spans="2:2" ht="12.75" customHeight="1" x14ac:dyDescent="0.2">
      <c r="B21292" s="43"/>
    </row>
    <row r="21293" spans="2:2" ht="12.75" customHeight="1" x14ac:dyDescent="0.2">
      <c r="B21293" s="43"/>
    </row>
    <row r="21294" spans="2:2" ht="12.75" customHeight="1" x14ac:dyDescent="0.2">
      <c r="B21294" s="43"/>
    </row>
    <row r="21295" spans="2:2" ht="12.75" customHeight="1" x14ac:dyDescent="0.2">
      <c r="B21295" s="43"/>
    </row>
    <row r="21296" spans="2:2" ht="12.75" customHeight="1" x14ac:dyDescent="0.2">
      <c r="B21296" s="43"/>
    </row>
    <row r="21297" spans="2:2" ht="12.75" customHeight="1" x14ac:dyDescent="0.2">
      <c r="B21297" s="43"/>
    </row>
    <row r="21298" spans="2:2" ht="12.75" customHeight="1" x14ac:dyDescent="0.2">
      <c r="B21298" s="43"/>
    </row>
    <row r="21299" spans="2:2" ht="12.75" customHeight="1" x14ac:dyDescent="0.2">
      <c r="B21299" s="43"/>
    </row>
    <row r="21300" spans="2:2" ht="12.75" customHeight="1" x14ac:dyDescent="0.2">
      <c r="B21300" s="43"/>
    </row>
    <row r="21301" spans="2:2" ht="12.75" customHeight="1" x14ac:dyDescent="0.2">
      <c r="B21301" s="43"/>
    </row>
    <row r="21302" spans="2:2" ht="12.75" customHeight="1" x14ac:dyDescent="0.2">
      <c r="B21302" s="43"/>
    </row>
    <row r="21303" spans="2:2" ht="12.75" customHeight="1" x14ac:dyDescent="0.2">
      <c r="B21303" s="43"/>
    </row>
    <row r="21304" spans="2:2" ht="12.75" customHeight="1" x14ac:dyDescent="0.2">
      <c r="B21304" s="43"/>
    </row>
    <row r="21305" spans="2:2" ht="12.75" customHeight="1" x14ac:dyDescent="0.2">
      <c r="B21305" s="43"/>
    </row>
    <row r="21306" spans="2:2" ht="12.75" customHeight="1" x14ac:dyDescent="0.2">
      <c r="B21306" s="43"/>
    </row>
    <row r="21307" spans="2:2" ht="12.75" customHeight="1" x14ac:dyDescent="0.2">
      <c r="B21307" s="43"/>
    </row>
    <row r="21308" spans="2:2" ht="12.75" customHeight="1" x14ac:dyDescent="0.2">
      <c r="B21308" s="43"/>
    </row>
    <row r="21309" spans="2:2" ht="12.75" customHeight="1" x14ac:dyDescent="0.2">
      <c r="B21309" s="43"/>
    </row>
    <row r="21310" spans="2:2" ht="12.75" customHeight="1" x14ac:dyDescent="0.2">
      <c r="B21310" s="43"/>
    </row>
    <row r="21311" spans="2:2" ht="12.75" customHeight="1" x14ac:dyDescent="0.2">
      <c r="B21311" s="43"/>
    </row>
    <row r="21312" spans="2:2" ht="12.75" customHeight="1" x14ac:dyDescent="0.2">
      <c r="B21312" s="43"/>
    </row>
    <row r="21313" spans="2:2" ht="12.75" customHeight="1" x14ac:dyDescent="0.2">
      <c r="B21313" s="43"/>
    </row>
    <row r="21314" spans="2:2" ht="12.75" customHeight="1" x14ac:dyDescent="0.2">
      <c r="B21314" s="43"/>
    </row>
    <row r="21315" spans="2:2" ht="12.75" customHeight="1" x14ac:dyDescent="0.2">
      <c r="B21315" s="43"/>
    </row>
    <row r="21316" spans="2:2" ht="12.75" customHeight="1" x14ac:dyDescent="0.2">
      <c r="B21316" s="43"/>
    </row>
    <row r="21317" spans="2:2" ht="12.75" customHeight="1" x14ac:dyDescent="0.2">
      <c r="B21317" s="43"/>
    </row>
    <row r="21318" spans="2:2" ht="12.75" customHeight="1" x14ac:dyDescent="0.2">
      <c r="B21318" s="43"/>
    </row>
    <row r="21319" spans="2:2" ht="12.75" customHeight="1" x14ac:dyDescent="0.2">
      <c r="B21319" s="43"/>
    </row>
    <row r="21320" spans="2:2" ht="12.75" customHeight="1" x14ac:dyDescent="0.2">
      <c r="B21320" s="43"/>
    </row>
    <row r="21321" spans="2:2" ht="12.75" customHeight="1" x14ac:dyDescent="0.2">
      <c r="B21321" s="43"/>
    </row>
    <row r="21322" spans="2:2" ht="12.75" customHeight="1" x14ac:dyDescent="0.2">
      <c r="B21322" s="43"/>
    </row>
    <row r="21323" spans="2:2" ht="12.75" customHeight="1" x14ac:dyDescent="0.2">
      <c r="B21323" s="43"/>
    </row>
    <row r="21324" spans="2:2" ht="12.75" customHeight="1" x14ac:dyDescent="0.2">
      <c r="B21324" s="43"/>
    </row>
    <row r="21325" spans="2:2" ht="12.75" customHeight="1" x14ac:dyDescent="0.2">
      <c r="B21325" s="43"/>
    </row>
    <row r="21326" spans="2:2" ht="12.75" customHeight="1" x14ac:dyDescent="0.2">
      <c r="B21326" s="43"/>
    </row>
    <row r="21327" spans="2:2" ht="12.75" customHeight="1" x14ac:dyDescent="0.2">
      <c r="B21327" s="43"/>
    </row>
    <row r="21328" spans="2:2" ht="12.75" customHeight="1" x14ac:dyDescent="0.2">
      <c r="B21328" s="43"/>
    </row>
    <row r="21329" spans="2:2" ht="12.75" customHeight="1" x14ac:dyDescent="0.2">
      <c r="B21329" s="43"/>
    </row>
    <row r="21330" spans="2:2" ht="12.75" customHeight="1" x14ac:dyDescent="0.2">
      <c r="B21330" s="43"/>
    </row>
    <row r="21331" spans="2:2" ht="12.75" customHeight="1" x14ac:dyDescent="0.2">
      <c r="B21331" s="43"/>
    </row>
    <row r="21332" spans="2:2" ht="12.75" customHeight="1" x14ac:dyDescent="0.2">
      <c r="B21332" s="43"/>
    </row>
    <row r="21333" spans="2:2" ht="12.75" customHeight="1" x14ac:dyDescent="0.2">
      <c r="B21333" s="43"/>
    </row>
    <row r="21334" spans="2:2" ht="12.75" customHeight="1" x14ac:dyDescent="0.2">
      <c r="B21334" s="43"/>
    </row>
    <row r="21335" spans="2:2" ht="12.75" customHeight="1" x14ac:dyDescent="0.2">
      <c r="B21335" s="43"/>
    </row>
    <row r="21336" spans="2:2" ht="12.75" customHeight="1" x14ac:dyDescent="0.2">
      <c r="B21336" s="43"/>
    </row>
    <row r="21337" spans="2:2" ht="12.75" customHeight="1" x14ac:dyDescent="0.2">
      <c r="B21337" s="43"/>
    </row>
    <row r="21338" spans="2:2" ht="12.75" customHeight="1" x14ac:dyDescent="0.2">
      <c r="B21338" s="43"/>
    </row>
    <row r="21339" spans="2:2" ht="12.75" customHeight="1" x14ac:dyDescent="0.2">
      <c r="B21339" s="43"/>
    </row>
    <row r="21340" spans="2:2" ht="12.75" customHeight="1" x14ac:dyDescent="0.2">
      <c r="B21340" s="43"/>
    </row>
    <row r="21341" spans="2:2" ht="12.75" customHeight="1" x14ac:dyDescent="0.2">
      <c r="B21341" s="43"/>
    </row>
    <row r="21342" spans="2:2" ht="12.75" customHeight="1" x14ac:dyDescent="0.2">
      <c r="B21342" s="43"/>
    </row>
    <row r="21343" spans="2:2" ht="12.75" customHeight="1" x14ac:dyDescent="0.2">
      <c r="B21343" s="43"/>
    </row>
    <row r="21344" spans="2:2" ht="12.75" customHeight="1" x14ac:dyDescent="0.2">
      <c r="B21344" s="43"/>
    </row>
    <row r="21345" spans="2:2" ht="12.75" customHeight="1" x14ac:dyDescent="0.2">
      <c r="B21345" s="43"/>
    </row>
    <row r="21346" spans="2:2" ht="12.75" customHeight="1" x14ac:dyDescent="0.2">
      <c r="B21346" s="43"/>
    </row>
    <row r="21347" spans="2:2" ht="12.75" customHeight="1" x14ac:dyDescent="0.2">
      <c r="B21347" s="43"/>
    </row>
    <row r="21348" spans="2:2" ht="12.75" customHeight="1" x14ac:dyDescent="0.2">
      <c r="B21348" s="43"/>
    </row>
    <row r="21349" spans="2:2" ht="12.75" customHeight="1" x14ac:dyDescent="0.2">
      <c r="B21349" s="43"/>
    </row>
    <row r="21350" spans="2:2" ht="12.75" customHeight="1" x14ac:dyDescent="0.2">
      <c r="B21350" s="43"/>
    </row>
    <row r="21351" spans="2:2" ht="12.75" customHeight="1" x14ac:dyDescent="0.2">
      <c r="B21351" s="43"/>
    </row>
    <row r="21352" spans="2:2" ht="12.75" customHeight="1" x14ac:dyDescent="0.2">
      <c r="B21352" s="43"/>
    </row>
    <row r="21353" spans="2:2" ht="12.75" customHeight="1" x14ac:dyDescent="0.2">
      <c r="B21353" s="43"/>
    </row>
    <row r="21354" spans="2:2" ht="12.75" customHeight="1" x14ac:dyDescent="0.2">
      <c r="B21354" s="43"/>
    </row>
    <row r="21355" spans="2:2" ht="12.75" customHeight="1" x14ac:dyDescent="0.2">
      <c r="B21355" s="43"/>
    </row>
    <row r="21356" spans="2:2" ht="12.75" customHeight="1" x14ac:dyDescent="0.2">
      <c r="B21356" s="43"/>
    </row>
    <row r="21357" spans="2:2" ht="12.75" customHeight="1" x14ac:dyDescent="0.2">
      <c r="B21357" s="43"/>
    </row>
    <row r="21358" spans="2:2" ht="12.75" customHeight="1" x14ac:dyDescent="0.2">
      <c r="B21358" s="43"/>
    </row>
    <row r="21359" spans="2:2" ht="12.75" customHeight="1" x14ac:dyDescent="0.2">
      <c r="B21359" s="43"/>
    </row>
    <row r="21360" spans="2:2" ht="12.75" customHeight="1" x14ac:dyDescent="0.2">
      <c r="B21360" s="43"/>
    </row>
    <row r="21361" spans="2:2" ht="12.75" customHeight="1" x14ac:dyDescent="0.2">
      <c r="B21361" s="43"/>
    </row>
    <row r="21362" spans="2:2" ht="12.75" customHeight="1" x14ac:dyDescent="0.2">
      <c r="B21362" s="43"/>
    </row>
    <row r="21363" spans="2:2" ht="12.75" customHeight="1" x14ac:dyDescent="0.2">
      <c r="B21363" s="43"/>
    </row>
    <row r="21364" spans="2:2" ht="12.75" customHeight="1" x14ac:dyDescent="0.2">
      <c r="B21364" s="43"/>
    </row>
    <row r="21365" spans="2:2" ht="12.75" customHeight="1" x14ac:dyDescent="0.2">
      <c r="B21365" s="43"/>
    </row>
    <row r="21366" spans="2:2" ht="12.75" customHeight="1" x14ac:dyDescent="0.2">
      <c r="B21366" s="43"/>
    </row>
    <row r="21367" spans="2:2" ht="12.75" customHeight="1" x14ac:dyDescent="0.2">
      <c r="B21367" s="43"/>
    </row>
    <row r="21368" spans="2:2" ht="12.75" customHeight="1" x14ac:dyDescent="0.2">
      <c r="B21368" s="43"/>
    </row>
    <row r="21369" spans="2:2" ht="12.75" customHeight="1" x14ac:dyDescent="0.2">
      <c r="B21369" s="43"/>
    </row>
    <row r="21370" spans="2:2" ht="12.75" customHeight="1" x14ac:dyDescent="0.2">
      <c r="B21370" s="43"/>
    </row>
    <row r="21371" spans="2:2" ht="12.75" customHeight="1" x14ac:dyDescent="0.2">
      <c r="B21371" s="43"/>
    </row>
    <row r="21372" spans="2:2" ht="12.75" customHeight="1" x14ac:dyDescent="0.2">
      <c r="B21372" s="43"/>
    </row>
    <row r="21373" spans="2:2" ht="12.75" customHeight="1" x14ac:dyDescent="0.2">
      <c r="B21373" s="43"/>
    </row>
    <row r="21374" spans="2:2" ht="12.75" customHeight="1" x14ac:dyDescent="0.2">
      <c r="B21374" s="43"/>
    </row>
    <row r="21375" spans="2:2" ht="12.75" customHeight="1" x14ac:dyDescent="0.2">
      <c r="B21375" s="43"/>
    </row>
    <row r="21376" spans="2:2" ht="12.75" customHeight="1" x14ac:dyDescent="0.2">
      <c r="B21376" s="43"/>
    </row>
    <row r="21377" spans="2:2" ht="12.75" customHeight="1" x14ac:dyDescent="0.2">
      <c r="B21377" s="43"/>
    </row>
    <row r="21378" spans="2:2" ht="12.75" customHeight="1" x14ac:dyDescent="0.2">
      <c r="B21378" s="43"/>
    </row>
    <row r="21379" spans="2:2" ht="12.75" customHeight="1" x14ac:dyDescent="0.2">
      <c r="B21379" s="43"/>
    </row>
    <row r="21380" spans="2:2" ht="12.75" customHeight="1" x14ac:dyDescent="0.2">
      <c r="B21380" s="43"/>
    </row>
    <row r="21381" spans="2:2" ht="12.75" customHeight="1" x14ac:dyDescent="0.2">
      <c r="B21381" s="43"/>
    </row>
    <row r="21382" spans="2:2" ht="12.75" customHeight="1" x14ac:dyDescent="0.2">
      <c r="B21382" s="43"/>
    </row>
    <row r="21383" spans="2:2" ht="12.75" customHeight="1" x14ac:dyDescent="0.2">
      <c r="B21383" s="43"/>
    </row>
    <row r="21384" spans="2:2" ht="12.75" customHeight="1" x14ac:dyDescent="0.2">
      <c r="B21384" s="43"/>
    </row>
    <row r="21385" spans="2:2" ht="12.75" customHeight="1" x14ac:dyDescent="0.2">
      <c r="B21385" s="43"/>
    </row>
    <row r="21386" spans="2:2" ht="12.75" customHeight="1" x14ac:dyDescent="0.2">
      <c r="B21386" s="43"/>
    </row>
    <row r="21387" spans="2:2" ht="12.75" customHeight="1" x14ac:dyDescent="0.2">
      <c r="B21387" s="43"/>
    </row>
    <row r="21388" spans="2:2" ht="12.75" customHeight="1" x14ac:dyDescent="0.2">
      <c r="B21388" s="43"/>
    </row>
    <row r="21389" spans="2:2" ht="12.75" customHeight="1" x14ac:dyDescent="0.2">
      <c r="B21389" s="43"/>
    </row>
    <row r="21390" spans="2:2" ht="12.75" customHeight="1" x14ac:dyDescent="0.2">
      <c r="B21390" s="43"/>
    </row>
    <row r="21391" spans="2:2" ht="12.75" customHeight="1" x14ac:dyDescent="0.2">
      <c r="B21391" s="43"/>
    </row>
    <row r="21392" spans="2:2" ht="12.75" customHeight="1" x14ac:dyDescent="0.2">
      <c r="B21392" s="43"/>
    </row>
    <row r="21393" spans="2:2" ht="12.75" customHeight="1" x14ac:dyDescent="0.2">
      <c r="B21393" s="43"/>
    </row>
    <row r="21394" spans="2:2" ht="12.75" customHeight="1" x14ac:dyDescent="0.2">
      <c r="B21394" s="43"/>
    </row>
    <row r="21395" spans="2:2" ht="12.75" customHeight="1" x14ac:dyDescent="0.2">
      <c r="B21395" s="43"/>
    </row>
    <row r="21396" spans="2:2" ht="12.75" customHeight="1" x14ac:dyDescent="0.2">
      <c r="B21396" s="43"/>
    </row>
    <row r="21397" spans="2:2" ht="12.75" customHeight="1" x14ac:dyDescent="0.2">
      <c r="B21397" s="43"/>
    </row>
    <row r="21398" spans="2:2" ht="12.75" customHeight="1" x14ac:dyDescent="0.2">
      <c r="B21398" s="43"/>
    </row>
    <row r="21399" spans="2:2" ht="12.75" customHeight="1" x14ac:dyDescent="0.2">
      <c r="B21399" s="43"/>
    </row>
    <row r="21400" spans="2:2" ht="12.75" customHeight="1" x14ac:dyDescent="0.2">
      <c r="B21400" s="43"/>
    </row>
    <row r="21401" spans="2:2" ht="12.75" customHeight="1" x14ac:dyDescent="0.2">
      <c r="B21401" s="43"/>
    </row>
    <row r="21402" spans="2:2" ht="12.75" customHeight="1" x14ac:dyDescent="0.2">
      <c r="B21402" s="43"/>
    </row>
    <row r="21403" spans="2:2" ht="12.75" customHeight="1" x14ac:dyDescent="0.2">
      <c r="B21403" s="43"/>
    </row>
    <row r="21404" spans="2:2" ht="12.75" customHeight="1" x14ac:dyDescent="0.2">
      <c r="B21404" s="43"/>
    </row>
    <row r="21405" spans="2:2" ht="12.75" customHeight="1" x14ac:dyDescent="0.2">
      <c r="B21405" s="43"/>
    </row>
    <row r="21406" spans="2:2" ht="12.75" customHeight="1" x14ac:dyDescent="0.2">
      <c r="B21406" s="43"/>
    </row>
    <row r="21407" spans="2:2" ht="12.75" customHeight="1" x14ac:dyDescent="0.2">
      <c r="B21407" s="43"/>
    </row>
    <row r="21408" spans="2:2" ht="12.75" customHeight="1" x14ac:dyDescent="0.2">
      <c r="B21408" s="43"/>
    </row>
    <row r="21409" spans="2:2" ht="12.75" customHeight="1" x14ac:dyDescent="0.2">
      <c r="B21409" s="43"/>
    </row>
    <row r="21410" spans="2:2" ht="12.75" customHeight="1" x14ac:dyDescent="0.2">
      <c r="B21410" s="43"/>
    </row>
    <row r="21411" spans="2:2" ht="12.75" customHeight="1" x14ac:dyDescent="0.2">
      <c r="B21411" s="43"/>
    </row>
    <row r="21412" spans="2:2" ht="12.75" customHeight="1" x14ac:dyDescent="0.2">
      <c r="B21412" s="43"/>
    </row>
    <row r="21413" spans="2:2" ht="12.75" customHeight="1" x14ac:dyDescent="0.2">
      <c r="B21413" s="43"/>
    </row>
    <row r="21414" spans="2:2" ht="12.75" customHeight="1" x14ac:dyDescent="0.2">
      <c r="B21414" s="43"/>
    </row>
    <row r="21415" spans="2:2" ht="12.75" customHeight="1" x14ac:dyDescent="0.2">
      <c r="B21415" s="43"/>
    </row>
    <row r="21416" spans="2:2" ht="12.75" customHeight="1" x14ac:dyDescent="0.2">
      <c r="B21416" s="43"/>
    </row>
    <row r="21417" spans="2:2" ht="12.75" customHeight="1" x14ac:dyDescent="0.2">
      <c r="B21417" s="43"/>
    </row>
    <row r="21418" spans="2:2" ht="12.75" customHeight="1" x14ac:dyDescent="0.2">
      <c r="B21418" s="43"/>
    </row>
    <row r="21419" spans="2:2" ht="12.75" customHeight="1" x14ac:dyDescent="0.2">
      <c r="B21419" s="43"/>
    </row>
    <row r="21420" spans="2:2" ht="12.75" customHeight="1" x14ac:dyDescent="0.2">
      <c r="B21420" s="43"/>
    </row>
    <row r="21421" spans="2:2" ht="12.75" customHeight="1" x14ac:dyDescent="0.2">
      <c r="B21421" s="43"/>
    </row>
    <row r="21422" spans="2:2" ht="12.75" customHeight="1" x14ac:dyDescent="0.2">
      <c r="B21422" s="43"/>
    </row>
    <row r="21423" spans="2:2" ht="12.75" customHeight="1" x14ac:dyDescent="0.2">
      <c r="B21423" s="43"/>
    </row>
    <row r="21424" spans="2:2" ht="12.75" customHeight="1" x14ac:dyDescent="0.2">
      <c r="B21424" s="43"/>
    </row>
    <row r="21425" spans="2:2" ht="12.75" customHeight="1" x14ac:dyDescent="0.2">
      <c r="B21425" s="43"/>
    </row>
    <row r="21426" spans="2:2" ht="12.75" customHeight="1" x14ac:dyDescent="0.2">
      <c r="B21426" s="43"/>
    </row>
    <row r="21427" spans="2:2" ht="12.75" customHeight="1" x14ac:dyDescent="0.2">
      <c r="B21427" s="43"/>
    </row>
    <row r="21428" spans="2:2" ht="12.75" customHeight="1" x14ac:dyDescent="0.2">
      <c r="B21428" s="43"/>
    </row>
    <row r="21429" spans="2:2" ht="12.75" customHeight="1" x14ac:dyDescent="0.2">
      <c r="B21429" s="43"/>
    </row>
    <row r="21430" spans="2:2" ht="12.75" customHeight="1" x14ac:dyDescent="0.2">
      <c r="B21430" s="43"/>
    </row>
    <row r="21431" spans="2:2" ht="12.75" customHeight="1" x14ac:dyDescent="0.2">
      <c r="B21431" s="43"/>
    </row>
    <row r="21432" spans="2:2" ht="12.75" customHeight="1" x14ac:dyDescent="0.2">
      <c r="B21432" s="43"/>
    </row>
    <row r="21433" spans="2:2" ht="12.75" customHeight="1" x14ac:dyDescent="0.2">
      <c r="B21433" s="43"/>
    </row>
    <row r="21434" spans="2:2" ht="12.75" customHeight="1" x14ac:dyDescent="0.2">
      <c r="B21434" s="43"/>
    </row>
    <row r="21435" spans="2:2" ht="12.75" customHeight="1" x14ac:dyDescent="0.2">
      <c r="B21435" s="43"/>
    </row>
    <row r="21436" spans="2:2" ht="12.75" customHeight="1" x14ac:dyDescent="0.2">
      <c r="B21436" s="43"/>
    </row>
    <row r="21437" spans="2:2" ht="12.75" customHeight="1" x14ac:dyDescent="0.2">
      <c r="B21437" s="43"/>
    </row>
    <row r="21438" spans="2:2" ht="12.75" customHeight="1" x14ac:dyDescent="0.2">
      <c r="B21438" s="43"/>
    </row>
    <row r="21439" spans="2:2" ht="12.75" customHeight="1" x14ac:dyDescent="0.2">
      <c r="B21439" s="43"/>
    </row>
    <row r="21440" spans="2:2" ht="12.75" customHeight="1" x14ac:dyDescent="0.2">
      <c r="B21440" s="43"/>
    </row>
    <row r="21441" spans="2:2" ht="12.75" customHeight="1" x14ac:dyDescent="0.2">
      <c r="B21441" s="43"/>
    </row>
    <row r="21442" spans="2:2" ht="12.75" customHeight="1" x14ac:dyDescent="0.2">
      <c r="B21442" s="43"/>
    </row>
    <row r="21443" spans="2:2" ht="12.75" customHeight="1" x14ac:dyDescent="0.2">
      <c r="B21443" s="43"/>
    </row>
    <row r="21444" spans="2:2" ht="12.75" customHeight="1" x14ac:dyDescent="0.2">
      <c r="B21444" s="43"/>
    </row>
    <row r="21445" spans="2:2" ht="12.75" customHeight="1" x14ac:dyDescent="0.2">
      <c r="B21445" s="43"/>
    </row>
    <row r="21446" spans="2:2" ht="12.75" customHeight="1" x14ac:dyDescent="0.2">
      <c r="B21446" s="43"/>
    </row>
    <row r="21447" spans="2:2" ht="12.75" customHeight="1" x14ac:dyDescent="0.2">
      <c r="B21447" s="43"/>
    </row>
    <row r="21448" spans="2:2" ht="12.75" customHeight="1" x14ac:dyDescent="0.2">
      <c r="B21448" s="43"/>
    </row>
    <row r="21449" spans="2:2" ht="12.75" customHeight="1" x14ac:dyDescent="0.2">
      <c r="B21449" s="43"/>
    </row>
    <row r="21450" spans="2:2" ht="12.75" customHeight="1" x14ac:dyDescent="0.2">
      <c r="B21450" s="43"/>
    </row>
    <row r="21451" spans="2:2" ht="12.75" customHeight="1" x14ac:dyDescent="0.2">
      <c r="B21451" s="43"/>
    </row>
    <row r="21452" spans="2:2" ht="12.75" customHeight="1" x14ac:dyDescent="0.2">
      <c r="B21452" s="43"/>
    </row>
    <row r="21453" spans="2:2" ht="12.75" customHeight="1" x14ac:dyDescent="0.2">
      <c r="B21453" s="43"/>
    </row>
    <row r="21454" spans="2:2" ht="12.75" customHeight="1" x14ac:dyDescent="0.2">
      <c r="B21454" s="43"/>
    </row>
    <row r="21455" spans="2:2" ht="12.75" customHeight="1" x14ac:dyDescent="0.2">
      <c r="B21455" s="43"/>
    </row>
    <row r="21456" spans="2:2" ht="12.75" customHeight="1" x14ac:dyDescent="0.2">
      <c r="B21456" s="43"/>
    </row>
    <row r="21457" spans="2:2" ht="12.75" customHeight="1" x14ac:dyDescent="0.2">
      <c r="B21457" s="43"/>
    </row>
    <row r="21458" spans="2:2" ht="12.75" customHeight="1" x14ac:dyDescent="0.2">
      <c r="B21458" s="43"/>
    </row>
    <row r="21459" spans="2:2" ht="12.75" customHeight="1" x14ac:dyDescent="0.2">
      <c r="B21459" s="43"/>
    </row>
    <row r="21460" spans="2:2" ht="12.75" customHeight="1" x14ac:dyDescent="0.2">
      <c r="B21460" s="43"/>
    </row>
    <row r="21461" spans="2:2" ht="12.75" customHeight="1" x14ac:dyDescent="0.2">
      <c r="B21461" s="43"/>
    </row>
    <row r="21462" spans="2:2" ht="12.75" customHeight="1" x14ac:dyDescent="0.2">
      <c r="B21462" s="43"/>
    </row>
    <row r="21463" spans="2:2" ht="12.75" customHeight="1" x14ac:dyDescent="0.2">
      <c r="B21463" s="43"/>
    </row>
    <row r="21464" spans="2:2" ht="12.75" customHeight="1" x14ac:dyDescent="0.2">
      <c r="B21464" s="43"/>
    </row>
    <row r="21465" spans="2:2" ht="12.75" customHeight="1" x14ac:dyDescent="0.2">
      <c r="B21465" s="43"/>
    </row>
    <row r="21466" spans="2:2" ht="12.75" customHeight="1" x14ac:dyDescent="0.2">
      <c r="B21466" s="43"/>
    </row>
    <row r="21467" spans="2:2" ht="12.75" customHeight="1" x14ac:dyDescent="0.2">
      <c r="B21467" s="43"/>
    </row>
    <row r="21468" spans="2:2" ht="12.75" customHeight="1" x14ac:dyDescent="0.2">
      <c r="B21468" s="43"/>
    </row>
    <row r="21469" spans="2:2" ht="12.75" customHeight="1" x14ac:dyDescent="0.2">
      <c r="B21469" s="43"/>
    </row>
    <row r="21470" spans="2:2" ht="12.75" customHeight="1" x14ac:dyDescent="0.2">
      <c r="B21470" s="43"/>
    </row>
    <row r="21471" spans="2:2" ht="12.75" customHeight="1" x14ac:dyDescent="0.2">
      <c r="B21471" s="43"/>
    </row>
    <row r="21472" spans="2:2" ht="12.75" customHeight="1" x14ac:dyDescent="0.2">
      <c r="B21472" s="43"/>
    </row>
    <row r="21473" spans="2:2" ht="12.75" customHeight="1" x14ac:dyDescent="0.2">
      <c r="B21473" s="43"/>
    </row>
    <row r="21474" spans="2:2" ht="12.75" customHeight="1" x14ac:dyDescent="0.2">
      <c r="B21474" s="43"/>
    </row>
    <row r="21475" spans="2:2" ht="12.75" customHeight="1" x14ac:dyDescent="0.2">
      <c r="B21475" s="43"/>
    </row>
    <row r="21476" spans="2:2" ht="12.75" customHeight="1" x14ac:dyDescent="0.2">
      <c r="B21476" s="43"/>
    </row>
    <row r="21477" spans="2:2" ht="12.75" customHeight="1" x14ac:dyDescent="0.2">
      <c r="B21477" s="43"/>
    </row>
    <row r="21478" spans="2:2" ht="12.75" customHeight="1" x14ac:dyDescent="0.2">
      <c r="B21478" s="43"/>
    </row>
    <row r="21479" spans="2:2" ht="12.75" customHeight="1" x14ac:dyDescent="0.2">
      <c r="B21479" s="43"/>
    </row>
    <row r="21480" spans="2:2" ht="12.75" customHeight="1" x14ac:dyDescent="0.2">
      <c r="B21480" s="43"/>
    </row>
    <row r="21481" spans="2:2" ht="12.75" customHeight="1" x14ac:dyDescent="0.2">
      <c r="B21481" s="43"/>
    </row>
    <row r="21482" spans="2:2" ht="12.75" customHeight="1" x14ac:dyDescent="0.2">
      <c r="B21482" s="43"/>
    </row>
    <row r="21483" spans="2:2" ht="12.75" customHeight="1" x14ac:dyDescent="0.2">
      <c r="B21483" s="43"/>
    </row>
    <row r="21484" spans="2:2" ht="12.75" customHeight="1" x14ac:dyDescent="0.2">
      <c r="B21484" s="43"/>
    </row>
    <row r="21485" spans="2:2" ht="12.75" customHeight="1" x14ac:dyDescent="0.2">
      <c r="B21485" s="43"/>
    </row>
    <row r="21486" spans="2:2" ht="12.75" customHeight="1" x14ac:dyDescent="0.2">
      <c r="B21486" s="43"/>
    </row>
    <row r="21487" spans="2:2" ht="12.75" customHeight="1" x14ac:dyDescent="0.2">
      <c r="B21487" s="43"/>
    </row>
    <row r="21488" spans="2:2" ht="12.75" customHeight="1" x14ac:dyDescent="0.2">
      <c r="B21488" s="43"/>
    </row>
    <row r="21489" spans="2:2" ht="12.75" customHeight="1" x14ac:dyDescent="0.2">
      <c r="B21489" s="43"/>
    </row>
    <row r="21490" spans="2:2" ht="12.75" customHeight="1" x14ac:dyDescent="0.2">
      <c r="B21490" s="43"/>
    </row>
    <row r="21491" spans="2:2" ht="12.75" customHeight="1" x14ac:dyDescent="0.2">
      <c r="B21491" s="43"/>
    </row>
    <row r="21492" spans="2:2" ht="12.75" customHeight="1" x14ac:dyDescent="0.2">
      <c r="B21492" s="43"/>
    </row>
    <row r="21493" spans="2:2" ht="12.75" customHeight="1" x14ac:dyDescent="0.2">
      <c r="B21493" s="43"/>
    </row>
    <row r="21494" spans="2:2" ht="12.75" customHeight="1" x14ac:dyDescent="0.2">
      <c r="B21494" s="43"/>
    </row>
    <row r="21495" spans="2:2" ht="12.75" customHeight="1" x14ac:dyDescent="0.2">
      <c r="B21495" s="43"/>
    </row>
    <row r="21496" spans="2:2" ht="12.75" customHeight="1" x14ac:dyDescent="0.2">
      <c r="B21496" s="43"/>
    </row>
    <row r="21497" spans="2:2" ht="12.75" customHeight="1" x14ac:dyDescent="0.2">
      <c r="B21497" s="43"/>
    </row>
    <row r="21498" spans="2:2" ht="12.75" customHeight="1" x14ac:dyDescent="0.2">
      <c r="B21498" s="43"/>
    </row>
    <row r="21499" spans="2:2" ht="12.75" customHeight="1" x14ac:dyDescent="0.2">
      <c r="B21499" s="43"/>
    </row>
    <row r="21500" spans="2:2" ht="12.75" customHeight="1" x14ac:dyDescent="0.2">
      <c r="B21500" s="43"/>
    </row>
    <row r="21501" spans="2:2" ht="12.75" customHeight="1" x14ac:dyDescent="0.2">
      <c r="B21501" s="43"/>
    </row>
    <row r="21502" spans="2:2" ht="12.75" customHeight="1" x14ac:dyDescent="0.2">
      <c r="B21502" s="43"/>
    </row>
    <row r="21503" spans="2:2" ht="12.75" customHeight="1" x14ac:dyDescent="0.2">
      <c r="B21503" s="43"/>
    </row>
    <row r="21504" spans="2:2" ht="12.75" customHeight="1" x14ac:dyDescent="0.2">
      <c r="B21504" s="43"/>
    </row>
    <row r="21505" spans="2:2" ht="12.75" customHeight="1" x14ac:dyDescent="0.2">
      <c r="B21505" s="43"/>
    </row>
    <row r="21506" spans="2:2" ht="12.75" customHeight="1" x14ac:dyDescent="0.2">
      <c r="B21506" s="43"/>
    </row>
    <row r="21507" spans="2:2" ht="12.75" customHeight="1" x14ac:dyDescent="0.2">
      <c r="B21507" s="43"/>
    </row>
    <row r="21508" spans="2:2" ht="12.75" customHeight="1" x14ac:dyDescent="0.2">
      <c r="B21508" s="43"/>
    </row>
    <row r="21509" spans="2:2" ht="12.75" customHeight="1" x14ac:dyDescent="0.2">
      <c r="B21509" s="43"/>
    </row>
    <row r="21510" spans="2:2" ht="12.75" customHeight="1" x14ac:dyDescent="0.2">
      <c r="B21510" s="43"/>
    </row>
    <row r="21511" spans="2:2" ht="12.75" customHeight="1" x14ac:dyDescent="0.2">
      <c r="B21511" s="43"/>
    </row>
    <row r="21512" spans="2:2" ht="12.75" customHeight="1" x14ac:dyDescent="0.2">
      <c r="B21512" s="43"/>
    </row>
    <row r="21513" spans="2:2" ht="12.75" customHeight="1" x14ac:dyDescent="0.2">
      <c r="B21513" s="43"/>
    </row>
    <row r="21514" spans="2:2" ht="12.75" customHeight="1" x14ac:dyDescent="0.2">
      <c r="B21514" s="43"/>
    </row>
    <row r="21515" spans="2:2" ht="12.75" customHeight="1" x14ac:dyDescent="0.2">
      <c r="B21515" s="43"/>
    </row>
    <row r="21516" spans="2:2" ht="12.75" customHeight="1" x14ac:dyDescent="0.2">
      <c r="B21516" s="43"/>
    </row>
    <row r="21517" spans="2:2" ht="12.75" customHeight="1" x14ac:dyDescent="0.2">
      <c r="B21517" s="43"/>
    </row>
    <row r="21518" spans="2:2" ht="12.75" customHeight="1" x14ac:dyDescent="0.2">
      <c r="B21518" s="43"/>
    </row>
    <row r="21519" spans="2:2" ht="12.75" customHeight="1" x14ac:dyDescent="0.2">
      <c r="B21519" s="43"/>
    </row>
    <row r="21520" spans="2:2" ht="12.75" customHeight="1" x14ac:dyDescent="0.2">
      <c r="B21520" s="43"/>
    </row>
    <row r="21521" spans="2:2" ht="12.75" customHeight="1" x14ac:dyDescent="0.2">
      <c r="B21521" s="43"/>
    </row>
    <row r="21522" spans="2:2" ht="12.75" customHeight="1" x14ac:dyDescent="0.2">
      <c r="B21522" s="43"/>
    </row>
    <row r="21523" spans="2:2" ht="12.75" customHeight="1" x14ac:dyDescent="0.2">
      <c r="B21523" s="43"/>
    </row>
    <row r="21524" spans="2:2" ht="12.75" customHeight="1" x14ac:dyDescent="0.2">
      <c r="B21524" s="43"/>
    </row>
    <row r="21525" spans="2:2" ht="12.75" customHeight="1" x14ac:dyDescent="0.2">
      <c r="B21525" s="43"/>
    </row>
    <row r="21526" spans="2:2" ht="12.75" customHeight="1" x14ac:dyDescent="0.2">
      <c r="B21526" s="43"/>
    </row>
    <row r="21527" spans="2:2" ht="12.75" customHeight="1" x14ac:dyDescent="0.2">
      <c r="B21527" s="43"/>
    </row>
    <row r="21528" spans="2:2" ht="12.75" customHeight="1" x14ac:dyDescent="0.2">
      <c r="B21528" s="43"/>
    </row>
    <row r="21529" spans="2:2" ht="12.75" customHeight="1" x14ac:dyDescent="0.2">
      <c r="B21529" s="43"/>
    </row>
    <row r="21530" spans="2:2" ht="12.75" customHeight="1" x14ac:dyDescent="0.2">
      <c r="B21530" s="43"/>
    </row>
    <row r="21531" spans="2:2" ht="12.75" customHeight="1" x14ac:dyDescent="0.2">
      <c r="B21531" s="43"/>
    </row>
    <row r="21532" spans="2:2" ht="12.75" customHeight="1" x14ac:dyDescent="0.2">
      <c r="B21532" s="43"/>
    </row>
    <row r="21533" spans="2:2" ht="12.75" customHeight="1" x14ac:dyDescent="0.2">
      <c r="B21533" s="43"/>
    </row>
    <row r="21534" spans="2:2" ht="12.75" customHeight="1" x14ac:dyDescent="0.2">
      <c r="B21534" s="43"/>
    </row>
    <row r="21535" spans="2:2" ht="12.75" customHeight="1" x14ac:dyDescent="0.2">
      <c r="B21535" s="43"/>
    </row>
    <row r="21536" spans="2:2" ht="12.75" customHeight="1" x14ac:dyDescent="0.2">
      <c r="B21536" s="43"/>
    </row>
    <row r="21537" spans="2:2" ht="12.75" customHeight="1" x14ac:dyDescent="0.2">
      <c r="B21537" s="43"/>
    </row>
    <row r="21538" spans="2:2" ht="12.75" customHeight="1" x14ac:dyDescent="0.2">
      <c r="B21538" s="43"/>
    </row>
    <row r="21539" spans="2:2" ht="12.75" customHeight="1" x14ac:dyDescent="0.2">
      <c r="B21539" s="43"/>
    </row>
    <row r="21540" spans="2:2" ht="12.75" customHeight="1" x14ac:dyDescent="0.2">
      <c r="B21540" s="43"/>
    </row>
    <row r="21541" spans="2:2" ht="12.75" customHeight="1" x14ac:dyDescent="0.2">
      <c r="B21541" s="43"/>
    </row>
    <row r="21542" spans="2:2" ht="12.75" customHeight="1" x14ac:dyDescent="0.2">
      <c r="B21542" s="43"/>
    </row>
    <row r="21543" spans="2:2" ht="12.75" customHeight="1" x14ac:dyDescent="0.2">
      <c r="B21543" s="43"/>
    </row>
    <row r="21544" spans="2:2" ht="12.75" customHeight="1" x14ac:dyDescent="0.2">
      <c r="B21544" s="43"/>
    </row>
    <row r="21545" spans="2:2" ht="12.75" customHeight="1" x14ac:dyDescent="0.2">
      <c r="B21545" s="43"/>
    </row>
    <row r="21546" spans="2:2" ht="12.75" customHeight="1" x14ac:dyDescent="0.2">
      <c r="B21546" s="43"/>
    </row>
    <row r="21547" spans="2:2" ht="12.75" customHeight="1" x14ac:dyDescent="0.2">
      <c r="B21547" s="43"/>
    </row>
    <row r="21548" spans="2:2" ht="12.75" customHeight="1" x14ac:dyDescent="0.2">
      <c r="B21548" s="43"/>
    </row>
    <row r="21549" spans="2:2" ht="12.75" customHeight="1" x14ac:dyDescent="0.2">
      <c r="B21549" s="43"/>
    </row>
    <row r="21550" spans="2:2" ht="12.75" customHeight="1" x14ac:dyDescent="0.2">
      <c r="B21550" s="43"/>
    </row>
    <row r="21551" spans="2:2" ht="12.75" customHeight="1" x14ac:dyDescent="0.2">
      <c r="B21551" s="43"/>
    </row>
    <row r="21552" spans="2:2" ht="12.75" customHeight="1" x14ac:dyDescent="0.2">
      <c r="B21552" s="43"/>
    </row>
    <row r="21553" spans="2:2" ht="12.75" customHeight="1" x14ac:dyDescent="0.2">
      <c r="B21553" s="43"/>
    </row>
    <row r="21554" spans="2:2" ht="12.75" customHeight="1" x14ac:dyDescent="0.2">
      <c r="B21554" s="43"/>
    </row>
    <row r="21555" spans="2:2" ht="12.75" customHeight="1" x14ac:dyDescent="0.2">
      <c r="B21555" s="43"/>
    </row>
    <row r="21556" spans="2:2" ht="12.75" customHeight="1" x14ac:dyDescent="0.2">
      <c r="B21556" s="43"/>
    </row>
    <row r="21557" spans="2:2" ht="12.75" customHeight="1" x14ac:dyDescent="0.2">
      <c r="B21557" s="43"/>
    </row>
    <row r="21558" spans="2:2" ht="12.75" customHeight="1" x14ac:dyDescent="0.2">
      <c r="B21558" s="43"/>
    </row>
    <row r="21559" spans="2:2" ht="12.75" customHeight="1" x14ac:dyDescent="0.2">
      <c r="B21559" s="43"/>
    </row>
    <row r="21560" spans="2:2" ht="12.75" customHeight="1" x14ac:dyDescent="0.2">
      <c r="B21560" s="43"/>
    </row>
    <row r="21561" spans="2:2" ht="12.75" customHeight="1" x14ac:dyDescent="0.2">
      <c r="B21561" s="43"/>
    </row>
    <row r="21562" spans="2:2" ht="12.75" customHeight="1" x14ac:dyDescent="0.2">
      <c r="B21562" s="43"/>
    </row>
    <row r="21563" spans="2:2" ht="12.75" customHeight="1" x14ac:dyDescent="0.2">
      <c r="B21563" s="43"/>
    </row>
    <row r="21564" spans="2:2" ht="12.75" customHeight="1" x14ac:dyDescent="0.2">
      <c r="B21564" s="43"/>
    </row>
    <row r="21565" spans="2:2" ht="12.75" customHeight="1" x14ac:dyDescent="0.2">
      <c r="B21565" s="43"/>
    </row>
    <row r="21566" spans="2:2" ht="12.75" customHeight="1" x14ac:dyDescent="0.2">
      <c r="B21566" s="43"/>
    </row>
    <row r="21567" spans="2:2" ht="12.75" customHeight="1" x14ac:dyDescent="0.2">
      <c r="B21567" s="43"/>
    </row>
    <row r="21568" spans="2:2" ht="12.75" customHeight="1" x14ac:dyDescent="0.2">
      <c r="B21568" s="43"/>
    </row>
    <row r="21569" spans="2:2" ht="12.75" customHeight="1" x14ac:dyDescent="0.2">
      <c r="B21569" s="43"/>
    </row>
    <row r="21570" spans="2:2" ht="12.75" customHeight="1" x14ac:dyDescent="0.2">
      <c r="B21570" s="43"/>
    </row>
    <row r="21571" spans="2:2" ht="12.75" customHeight="1" x14ac:dyDescent="0.2">
      <c r="B21571" s="43"/>
    </row>
    <row r="21572" spans="2:2" ht="12.75" customHeight="1" x14ac:dyDescent="0.2">
      <c r="B21572" s="43"/>
    </row>
    <row r="21573" spans="2:2" ht="12.75" customHeight="1" x14ac:dyDescent="0.2">
      <c r="B21573" s="43"/>
    </row>
    <row r="21574" spans="2:2" ht="12.75" customHeight="1" x14ac:dyDescent="0.2">
      <c r="B21574" s="43"/>
    </row>
    <row r="21575" spans="2:2" ht="12.75" customHeight="1" x14ac:dyDescent="0.2">
      <c r="B21575" s="43"/>
    </row>
    <row r="21576" spans="2:2" ht="12.75" customHeight="1" x14ac:dyDescent="0.2">
      <c r="B21576" s="43"/>
    </row>
    <row r="21577" spans="2:2" ht="12.75" customHeight="1" x14ac:dyDescent="0.2">
      <c r="B21577" s="43"/>
    </row>
    <row r="21578" spans="2:2" ht="12.75" customHeight="1" x14ac:dyDescent="0.2">
      <c r="B21578" s="43"/>
    </row>
    <row r="21579" spans="2:2" ht="12.75" customHeight="1" x14ac:dyDescent="0.2">
      <c r="B21579" s="43"/>
    </row>
    <row r="21580" spans="2:2" ht="12.75" customHeight="1" x14ac:dyDescent="0.2">
      <c r="B21580" s="43"/>
    </row>
    <row r="21581" spans="2:2" ht="12.75" customHeight="1" x14ac:dyDescent="0.2">
      <c r="B21581" s="43"/>
    </row>
    <row r="21582" spans="2:2" ht="12.75" customHeight="1" x14ac:dyDescent="0.2">
      <c r="B21582" s="43"/>
    </row>
    <row r="21583" spans="2:2" ht="12.75" customHeight="1" x14ac:dyDescent="0.2">
      <c r="B21583" s="43"/>
    </row>
    <row r="21584" spans="2:2" ht="12.75" customHeight="1" x14ac:dyDescent="0.2">
      <c r="B21584" s="43"/>
    </row>
    <row r="21585" spans="2:2" ht="12.75" customHeight="1" x14ac:dyDescent="0.2">
      <c r="B21585" s="43"/>
    </row>
    <row r="21586" spans="2:2" ht="12.75" customHeight="1" x14ac:dyDescent="0.2">
      <c r="B21586" s="43"/>
    </row>
    <row r="21587" spans="2:2" ht="12.75" customHeight="1" x14ac:dyDescent="0.2">
      <c r="B21587" s="43"/>
    </row>
    <row r="21588" spans="2:2" ht="12.75" customHeight="1" x14ac:dyDescent="0.2">
      <c r="B21588" s="43"/>
    </row>
    <row r="21589" spans="2:2" ht="12.75" customHeight="1" x14ac:dyDescent="0.2">
      <c r="B21589" s="43"/>
    </row>
    <row r="21590" spans="2:2" ht="12.75" customHeight="1" x14ac:dyDescent="0.2">
      <c r="B21590" s="43"/>
    </row>
    <row r="21591" spans="2:2" ht="12.75" customHeight="1" x14ac:dyDescent="0.2">
      <c r="B21591" s="43"/>
    </row>
    <row r="21592" spans="2:2" ht="12.75" customHeight="1" x14ac:dyDescent="0.2">
      <c r="B21592" s="43"/>
    </row>
    <row r="21593" spans="2:2" ht="12.75" customHeight="1" x14ac:dyDescent="0.2">
      <c r="B21593" s="43"/>
    </row>
    <row r="21594" spans="2:2" ht="12.75" customHeight="1" x14ac:dyDescent="0.2">
      <c r="B21594" s="43"/>
    </row>
    <row r="21595" spans="2:2" ht="12.75" customHeight="1" x14ac:dyDescent="0.2">
      <c r="B21595" s="43"/>
    </row>
    <row r="21596" spans="2:2" ht="12.75" customHeight="1" x14ac:dyDescent="0.2">
      <c r="B21596" s="43"/>
    </row>
    <row r="21597" spans="2:2" ht="12.75" customHeight="1" x14ac:dyDescent="0.2">
      <c r="B21597" s="43"/>
    </row>
    <row r="21598" spans="2:2" ht="12.75" customHeight="1" x14ac:dyDescent="0.2">
      <c r="B21598" s="43"/>
    </row>
    <row r="21599" spans="2:2" ht="12.75" customHeight="1" x14ac:dyDescent="0.2">
      <c r="B21599" s="43"/>
    </row>
    <row r="21600" spans="2:2" ht="12.75" customHeight="1" x14ac:dyDescent="0.2">
      <c r="B21600" s="43"/>
    </row>
    <row r="21601" spans="2:2" ht="12.75" customHeight="1" x14ac:dyDescent="0.2">
      <c r="B21601" s="43"/>
    </row>
    <row r="21602" spans="2:2" ht="12.75" customHeight="1" x14ac:dyDescent="0.2">
      <c r="B21602" s="43"/>
    </row>
    <row r="21603" spans="2:2" ht="12.75" customHeight="1" x14ac:dyDescent="0.2">
      <c r="B21603" s="43"/>
    </row>
    <row r="21604" spans="2:2" ht="12.75" customHeight="1" x14ac:dyDescent="0.2">
      <c r="B21604" s="43"/>
    </row>
    <row r="21605" spans="2:2" ht="12.75" customHeight="1" x14ac:dyDescent="0.2">
      <c r="B21605" s="43"/>
    </row>
    <row r="21606" spans="2:2" ht="12.75" customHeight="1" x14ac:dyDescent="0.2">
      <c r="B21606" s="43"/>
    </row>
    <row r="21607" spans="2:2" ht="12.75" customHeight="1" x14ac:dyDescent="0.2">
      <c r="B21607" s="43"/>
    </row>
    <row r="21608" spans="2:2" ht="12.75" customHeight="1" x14ac:dyDescent="0.2">
      <c r="B21608" s="43"/>
    </row>
    <row r="21609" spans="2:2" ht="12.75" customHeight="1" x14ac:dyDescent="0.2">
      <c r="B21609" s="43"/>
    </row>
    <row r="21610" spans="2:2" ht="12.75" customHeight="1" x14ac:dyDescent="0.2">
      <c r="B21610" s="43"/>
    </row>
    <row r="21611" spans="2:2" ht="12.75" customHeight="1" x14ac:dyDescent="0.2">
      <c r="B21611" s="43"/>
    </row>
    <row r="21612" spans="2:2" ht="12.75" customHeight="1" x14ac:dyDescent="0.2">
      <c r="B21612" s="43"/>
    </row>
    <row r="21613" spans="2:2" ht="12.75" customHeight="1" x14ac:dyDescent="0.2">
      <c r="B21613" s="43"/>
    </row>
    <row r="21614" spans="2:2" ht="12.75" customHeight="1" x14ac:dyDescent="0.2">
      <c r="B21614" s="43"/>
    </row>
    <row r="21615" spans="2:2" ht="12.75" customHeight="1" x14ac:dyDescent="0.2">
      <c r="B21615" s="43"/>
    </row>
    <row r="21616" spans="2:2" ht="12.75" customHeight="1" x14ac:dyDescent="0.2">
      <c r="B21616" s="43"/>
    </row>
    <row r="21617" spans="2:2" ht="12.75" customHeight="1" x14ac:dyDescent="0.2">
      <c r="B21617" s="43"/>
    </row>
    <row r="21618" spans="2:2" ht="12.75" customHeight="1" x14ac:dyDescent="0.2">
      <c r="B21618" s="43"/>
    </row>
    <row r="21619" spans="2:2" ht="12.75" customHeight="1" x14ac:dyDescent="0.2">
      <c r="B21619" s="43"/>
    </row>
    <row r="21620" spans="2:2" ht="12.75" customHeight="1" x14ac:dyDescent="0.2">
      <c r="B21620" s="43"/>
    </row>
    <row r="21621" spans="2:2" ht="12.75" customHeight="1" x14ac:dyDescent="0.2">
      <c r="B21621" s="43"/>
    </row>
    <row r="21622" spans="2:2" ht="12.75" customHeight="1" x14ac:dyDescent="0.2">
      <c r="B21622" s="43"/>
    </row>
    <row r="21623" spans="2:2" ht="12.75" customHeight="1" x14ac:dyDescent="0.2">
      <c r="B21623" s="43"/>
    </row>
    <row r="21624" spans="2:2" ht="12.75" customHeight="1" x14ac:dyDescent="0.2">
      <c r="B21624" s="43"/>
    </row>
    <row r="21625" spans="2:2" ht="12.75" customHeight="1" x14ac:dyDescent="0.2">
      <c r="B21625" s="43"/>
    </row>
    <row r="21626" spans="2:2" ht="12.75" customHeight="1" x14ac:dyDescent="0.2">
      <c r="B21626" s="43"/>
    </row>
    <row r="21627" spans="2:2" ht="12.75" customHeight="1" x14ac:dyDescent="0.2">
      <c r="B21627" s="43"/>
    </row>
    <row r="21628" spans="2:2" ht="12.75" customHeight="1" x14ac:dyDescent="0.2">
      <c r="B21628" s="43"/>
    </row>
    <row r="21629" spans="2:2" ht="12.75" customHeight="1" x14ac:dyDescent="0.2">
      <c r="B21629" s="43"/>
    </row>
    <row r="21630" spans="2:2" ht="12.75" customHeight="1" x14ac:dyDescent="0.2">
      <c r="B21630" s="43"/>
    </row>
    <row r="21631" spans="2:2" ht="12.75" customHeight="1" x14ac:dyDescent="0.2">
      <c r="B21631" s="43"/>
    </row>
    <row r="21632" spans="2:2" ht="12.75" customHeight="1" x14ac:dyDescent="0.2">
      <c r="B21632" s="43"/>
    </row>
    <row r="21633" spans="2:2" ht="12.75" customHeight="1" x14ac:dyDescent="0.2">
      <c r="B21633" s="43"/>
    </row>
    <row r="21634" spans="2:2" ht="12.75" customHeight="1" x14ac:dyDescent="0.2">
      <c r="B21634" s="43"/>
    </row>
    <row r="21635" spans="2:2" ht="12.75" customHeight="1" x14ac:dyDescent="0.2">
      <c r="B21635" s="43"/>
    </row>
    <row r="21636" spans="2:2" ht="12.75" customHeight="1" x14ac:dyDescent="0.2">
      <c r="B21636" s="43"/>
    </row>
    <row r="21637" spans="2:2" ht="12.75" customHeight="1" x14ac:dyDescent="0.2">
      <c r="B21637" s="43"/>
    </row>
    <row r="21638" spans="2:2" ht="12.75" customHeight="1" x14ac:dyDescent="0.2">
      <c r="B21638" s="43"/>
    </row>
    <row r="21639" spans="2:2" ht="12.75" customHeight="1" x14ac:dyDescent="0.2">
      <c r="B21639" s="43"/>
    </row>
    <row r="21640" spans="2:2" ht="12.75" customHeight="1" x14ac:dyDescent="0.2">
      <c r="B21640" s="43"/>
    </row>
    <row r="21641" spans="2:2" ht="12.75" customHeight="1" x14ac:dyDescent="0.2">
      <c r="B21641" s="43"/>
    </row>
    <row r="21642" spans="2:2" ht="12.75" customHeight="1" x14ac:dyDescent="0.2">
      <c r="B21642" s="43"/>
    </row>
    <row r="21643" spans="2:2" ht="12.75" customHeight="1" x14ac:dyDescent="0.2">
      <c r="B21643" s="43"/>
    </row>
    <row r="21644" spans="2:2" ht="12.75" customHeight="1" x14ac:dyDescent="0.2">
      <c r="B21644" s="43"/>
    </row>
    <row r="21645" spans="2:2" ht="12.75" customHeight="1" x14ac:dyDescent="0.2">
      <c r="B21645" s="43"/>
    </row>
    <row r="21646" spans="2:2" ht="12.75" customHeight="1" x14ac:dyDescent="0.2">
      <c r="B21646" s="43"/>
    </row>
    <row r="21647" spans="2:2" ht="12.75" customHeight="1" x14ac:dyDescent="0.2">
      <c r="B21647" s="43"/>
    </row>
    <row r="21648" spans="2:2" ht="12.75" customHeight="1" x14ac:dyDescent="0.2">
      <c r="B21648" s="43"/>
    </row>
    <row r="21649" spans="2:2" ht="12.75" customHeight="1" x14ac:dyDescent="0.2">
      <c r="B21649" s="43"/>
    </row>
    <row r="21650" spans="2:2" ht="12.75" customHeight="1" x14ac:dyDescent="0.2">
      <c r="B21650" s="43"/>
    </row>
    <row r="21651" spans="2:2" ht="12.75" customHeight="1" x14ac:dyDescent="0.2">
      <c r="B21651" s="43"/>
    </row>
    <row r="21652" spans="2:2" ht="12.75" customHeight="1" x14ac:dyDescent="0.2">
      <c r="B21652" s="43"/>
    </row>
    <row r="21653" spans="2:2" ht="12.75" customHeight="1" x14ac:dyDescent="0.2">
      <c r="B21653" s="43"/>
    </row>
    <row r="21654" spans="2:2" ht="12.75" customHeight="1" x14ac:dyDescent="0.2">
      <c r="B21654" s="43"/>
    </row>
    <row r="21655" spans="2:2" ht="12.75" customHeight="1" x14ac:dyDescent="0.2">
      <c r="B21655" s="43"/>
    </row>
    <row r="21656" spans="2:2" ht="12.75" customHeight="1" x14ac:dyDescent="0.2">
      <c r="B21656" s="43"/>
    </row>
    <row r="21657" spans="2:2" ht="12.75" customHeight="1" x14ac:dyDescent="0.2">
      <c r="B21657" s="43"/>
    </row>
    <row r="21658" spans="2:2" ht="12.75" customHeight="1" x14ac:dyDescent="0.2">
      <c r="B21658" s="43"/>
    </row>
    <row r="21659" spans="2:2" ht="12.75" customHeight="1" x14ac:dyDescent="0.2">
      <c r="B21659" s="43"/>
    </row>
    <row r="21660" spans="2:2" ht="12.75" customHeight="1" x14ac:dyDescent="0.2">
      <c r="B21660" s="43"/>
    </row>
    <row r="21661" spans="2:2" ht="12.75" customHeight="1" x14ac:dyDescent="0.2">
      <c r="B21661" s="43"/>
    </row>
    <row r="21662" spans="2:2" ht="12.75" customHeight="1" x14ac:dyDescent="0.2">
      <c r="B21662" s="43"/>
    </row>
    <row r="21663" spans="2:2" ht="12.75" customHeight="1" x14ac:dyDescent="0.2">
      <c r="B21663" s="43"/>
    </row>
    <row r="21664" spans="2:2" ht="12.75" customHeight="1" x14ac:dyDescent="0.2">
      <c r="B21664" s="43"/>
    </row>
    <row r="21665" spans="2:2" ht="12.75" customHeight="1" x14ac:dyDescent="0.2">
      <c r="B21665" s="43"/>
    </row>
    <row r="21666" spans="2:2" ht="12.75" customHeight="1" x14ac:dyDescent="0.2">
      <c r="B21666" s="43"/>
    </row>
    <row r="21667" spans="2:2" ht="12.75" customHeight="1" x14ac:dyDescent="0.2">
      <c r="B21667" s="43"/>
    </row>
    <row r="21668" spans="2:2" ht="12.75" customHeight="1" x14ac:dyDescent="0.2">
      <c r="B21668" s="43"/>
    </row>
    <row r="21669" spans="2:2" ht="12.75" customHeight="1" x14ac:dyDescent="0.2">
      <c r="B21669" s="43"/>
    </row>
    <row r="21670" spans="2:2" ht="12.75" customHeight="1" x14ac:dyDescent="0.2">
      <c r="B21670" s="43"/>
    </row>
    <row r="21671" spans="2:2" ht="12.75" customHeight="1" x14ac:dyDescent="0.2">
      <c r="B21671" s="43"/>
    </row>
    <row r="21672" spans="2:2" ht="12.75" customHeight="1" x14ac:dyDescent="0.2">
      <c r="B21672" s="43"/>
    </row>
    <row r="21673" spans="2:2" ht="12.75" customHeight="1" x14ac:dyDescent="0.2">
      <c r="B21673" s="43"/>
    </row>
    <row r="21674" spans="2:2" ht="12.75" customHeight="1" x14ac:dyDescent="0.2">
      <c r="B21674" s="43"/>
    </row>
    <row r="21675" spans="2:2" ht="12.75" customHeight="1" x14ac:dyDescent="0.2">
      <c r="B21675" s="43"/>
    </row>
    <row r="21676" spans="2:2" ht="12.75" customHeight="1" x14ac:dyDescent="0.2">
      <c r="B21676" s="43"/>
    </row>
    <row r="21677" spans="2:2" ht="12.75" customHeight="1" x14ac:dyDescent="0.2">
      <c r="B21677" s="43"/>
    </row>
    <row r="21678" spans="2:2" ht="12.75" customHeight="1" x14ac:dyDescent="0.2">
      <c r="B21678" s="43"/>
    </row>
    <row r="21679" spans="2:2" ht="12.75" customHeight="1" x14ac:dyDescent="0.2">
      <c r="B21679" s="43"/>
    </row>
    <row r="21680" spans="2:2" ht="12.75" customHeight="1" x14ac:dyDescent="0.2">
      <c r="B21680" s="43"/>
    </row>
    <row r="21681" spans="2:2" ht="12.75" customHeight="1" x14ac:dyDescent="0.2">
      <c r="B21681" s="43"/>
    </row>
    <row r="21682" spans="2:2" ht="12.75" customHeight="1" x14ac:dyDescent="0.2">
      <c r="B21682" s="43"/>
    </row>
    <row r="21683" spans="2:2" ht="12.75" customHeight="1" x14ac:dyDescent="0.2">
      <c r="B21683" s="43"/>
    </row>
    <row r="21684" spans="2:2" ht="12.75" customHeight="1" x14ac:dyDescent="0.2">
      <c r="B21684" s="43"/>
    </row>
    <row r="21685" spans="2:2" ht="12.75" customHeight="1" x14ac:dyDescent="0.2">
      <c r="B21685" s="43"/>
    </row>
    <row r="21686" spans="2:2" ht="12.75" customHeight="1" x14ac:dyDescent="0.2">
      <c r="B21686" s="43"/>
    </row>
    <row r="21687" spans="2:2" ht="12.75" customHeight="1" x14ac:dyDescent="0.2">
      <c r="B21687" s="43"/>
    </row>
    <row r="21688" spans="2:2" ht="12.75" customHeight="1" x14ac:dyDescent="0.2">
      <c r="B21688" s="43"/>
    </row>
    <row r="21689" spans="2:2" ht="12.75" customHeight="1" x14ac:dyDescent="0.2">
      <c r="B21689" s="43"/>
    </row>
    <row r="21690" spans="2:2" ht="12.75" customHeight="1" x14ac:dyDescent="0.2">
      <c r="B21690" s="43"/>
    </row>
    <row r="21691" spans="2:2" ht="12.75" customHeight="1" x14ac:dyDescent="0.2">
      <c r="B21691" s="43"/>
    </row>
    <row r="21692" spans="2:2" ht="12.75" customHeight="1" x14ac:dyDescent="0.2">
      <c r="B21692" s="43"/>
    </row>
    <row r="21693" spans="2:2" ht="12.75" customHeight="1" x14ac:dyDescent="0.2">
      <c r="B21693" s="43"/>
    </row>
    <row r="21694" spans="2:2" ht="12.75" customHeight="1" x14ac:dyDescent="0.2">
      <c r="B21694" s="43"/>
    </row>
    <row r="21695" spans="2:2" ht="12.75" customHeight="1" x14ac:dyDescent="0.2">
      <c r="B21695" s="43"/>
    </row>
    <row r="21696" spans="2:2" ht="12.75" customHeight="1" x14ac:dyDescent="0.2">
      <c r="B21696" s="43"/>
    </row>
    <row r="21697" spans="2:2" ht="12.75" customHeight="1" x14ac:dyDescent="0.2">
      <c r="B21697" s="43"/>
    </row>
    <row r="21698" spans="2:2" ht="12.75" customHeight="1" x14ac:dyDescent="0.2">
      <c r="B21698" s="43"/>
    </row>
    <row r="21699" spans="2:2" ht="12.75" customHeight="1" x14ac:dyDescent="0.2">
      <c r="B21699" s="43"/>
    </row>
    <row r="21700" spans="2:2" ht="12.75" customHeight="1" x14ac:dyDescent="0.2">
      <c r="B21700" s="43"/>
    </row>
    <row r="21701" spans="2:2" ht="12.75" customHeight="1" x14ac:dyDescent="0.2">
      <c r="B21701" s="43"/>
    </row>
    <row r="21702" spans="2:2" ht="12.75" customHeight="1" x14ac:dyDescent="0.2">
      <c r="B21702" s="43"/>
    </row>
    <row r="21703" spans="2:2" ht="12.75" customHeight="1" x14ac:dyDescent="0.2">
      <c r="B21703" s="43"/>
    </row>
    <row r="21704" spans="2:2" ht="12.75" customHeight="1" x14ac:dyDescent="0.2">
      <c r="B21704" s="43"/>
    </row>
    <row r="21705" spans="2:2" ht="12.75" customHeight="1" x14ac:dyDescent="0.2">
      <c r="B21705" s="43"/>
    </row>
    <row r="21706" spans="2:2" ht="12.75" customHeight="1" x14ac:dyDescent="0.2">
      <c r="B21706" s="43"/>
    </row>
    <row r="21707" spans="2:2" ht="12.75" customHeight="1" x14ac:dyDescent="0.2">
      <c r="B21707" s="43"/>
    </row>
    <row r="21708" spans="2:2" ht="12.75" customHeight="1" x14ac:dyDescent="0.2">
      <c r="B21708" s="43"/>
    </row>
    <row r="21709" spans="2:2" ht="12.75" customHeight="1" x14ac:dyDescent="0.2">
      <c r="B21709" s="43"/>
    </row>
    <row r="21710" spans="2:2" ht="12.75" customHeight="1" x14ac:dyDescent="0.2">
      <c r="B21710" s="43"/>
    </row>
    <row r="21711" spans="2:2" ht="12.75" customHeight="1" x14ac:dyDescent="0.2">
      <c r="B21711" s="43"/>
    </row>
    <row r="21712" spans="2:2" ht="12.75" customHeight="1" x14ac:dyDescent="0.2">
      <c r="B21712" s="43"/>
    </row>
    <row r="21713" spans="2:2" ht="12.75" customHeight="1" x14ac:dyDescent="0.2">
      <c r="B21713" s="43"/>
    </row>
    <row r="21714" spans="2:2" ht="12.75" customHeight="1" x14ac:dyDescent="0.2">
      <c r="B21714" s="43"/>
    </row>
    <row r="21715" spans="2:2" ht="12.75" customHeight="1" x14ac:dyDescent="0.2">
      <c r="B21715" s="43"/>
    </row>
    <row r="21716" spans="2:2" ht="12.75" customHeight="1" x14ac:dyDescent="0.2">
      <c r="B21716" s="43"/>
    </row>
    <row r="21717" spans="2:2" ht="12.75" customHeight="1" x14ac:dyDescent="0.2">
      <c r="B21717" s="43"/>
    </row>
    <row r="21718" spans="2:2" ht="12.75" customHeight="1" x14ac:dyDescent="0.2">
      <c r="B21718" s="43"/>
    </row>
    <row r="21719" spans="2:2" ht="12.75" customHeight="1" x14ac:dyDescent="0.2">
      <c r="B21719" s="43"/>
    </row>
    <row r="21720" spans="2:2" ht="12.75" customHeight="1" x14ac:dyDescent="0.2">
      <c r="B21720" s="43"/>
    </row>
    <row r="21721" spans="2:2" ht="12.75" customHeight="1" x14ac:dyDescent="0.2">
      <c r="B21721" s="43"/>
    </row>
    <row r="21722" spans="2:2" ht="12.75" customHeight="1" x14ac:dyDescent="0.2">
      <c r="B21722" s="43"/>
    </row>
    <row r="21723" spans="2:2" ht="12.75" customHeight="1" x14ac:dyDescent="0.2">
      <c r="B21723" s="43"/>
    </row>
    <row r="21724" spans="2:2" ht="12.75" customHeight="1" x14ac:dyDescent="0.2">
      <c r="B21724" s="43"/>
    </row>
    <row r="21725" spans="2:2" ht="12.75" customHeight="1" x14ac:dyDescent="0.2">
      <c r="B21725" s="43"/>
    </row>
    <row r="21726" spans="2:2" ht="12.75" customHeight="1" x14ac:dyDescent="0.2">
      <c r="B21726" s="43"/>
    </row>
    <row r="21727" spans="2:2" ht="12.75" customHeight="1" x14ac:dyDescent="0.2">
      <c r="B21727" s="43"/>
    </row>
    <row r="21728" spans="2:2" ht="12.75" customHeight="1" x14ac:dyDescent="0.2">
      <c r="B21728" s="43"/>
    </row>
    <row r="21729" spans="2:2" ht="12.75" customHeight="1" x14ac:dyDescent="0.2">
      <c r="B21729" s="43"/>
    </row>
    <row r="21730" spans="2:2" ht="12.75" customHeight="1" x14ac:dyDescent="0.2">
      <c r="B21730" s="43"/>
    </row>
    <row r="21731" spans="2:2" ht="12.75" customHeight="1" x14ac:dyDescent="0.2">
      <c r="B21731" s="43"/>
    </row>
    <row r="21732" spans="2:2" ht="12.75" customHeight="1" x14ac:dyDescent="0.2">
      <c r="B21732" s="43"/>
    </row>
    <row r="21733" spans="2:2" ht="12.75" customHeight="1" x14ac:dyDescent="0.2">
      <c r="B21733" s="43"/>
    </row>
    <row r="21734" spans="2:2" ht="12.75" customHeight="1" x14ac:dyDescent="0.2">
      <c r="B21734" s="43"/>
    </row>
    <row r="21735" spans="2:2" ht="12.75" customHeight="1" x14ac:dyDescent="0.2">
      <c r="B21735" s="43"/>
    </row>
    <row r="21736" spans="2:2" ht="12.75" customHeight="1" x14ac:dyDescent="0.2">
      <c r="B21736" s="43"/>
    </row>
    <row r="21737" spans="2:2" ht="12.75" customHeight="1" x14ac:dyDescent="0.2">
      <c r="B21737" s="43"/>
    </row>
    <row r="21738" spans="2:2" ht="12.75" customHeight="1" x14ac:dyDescent="0.2">
      <c r="B21738" s="43"/>
    </row>
    <row r="21739" spans="2:2" ht="12.75" customHeight="1" x14ac:dyDescent="0.2">
      <c r="B21739" s="43"/>
    </row>
    <row r="21740" spans="2:2" ht="12.75" customHeight="1" x14ac:dyDescent="0.2">
      <c r="B21740" s="43"/>
    </row>
    <row r="21741" spans="2:2" ht="12.75" customHeight="1" x14ac:dyDescent="0.2">
      <c r="B21741" s="43"/>
    </row>
    <row r="21742" spans="2:2" ht="12.75" customHeight="1" x14ac:dyDescent="0.2">
      <c r="B21742" s="43"/>
    </row>
    <row r="21743" spans="2:2" ht="12.75" customHeight="1" x14ac:dyDescent="0.2">
      <c r="B21743" s="43"/>
    </row>
    <row r="21744" spans="2:2" ht="12.75" customHeight="1" x14ac:dyDescent="0.2">
      <c r="B21744" s="43"/>
    </row>
    <row r="21745" spans="2:2" ht="12.75" customHeight="1" x14ac:dyDescent="0.2">
      <c r="B21745" s="43"/>
    </row>
    <row r="21746" spans="2:2" ht="12.75" customHeight="1" x14ac:dyDescent="0.2">
      <c r="B21746" s="43"/>
    </row>
    <row r="21747" spans="2:2" ht="12.75" customHeight="1" x14ac:dyDescent="0.2">
      <c r="B21747" s="43"/>
    </row>
    <row r="21748" spans="2:2" ht="12.75" customHeight="1" x14ac:dyDescent="0.2">
      <c r="B21748" s="43"/>
    </row>
    <row r="21749" spans="2:2" ht="12.75" customHeight="1" x14ac:dyDescent="0.2">
      <c r="B21749" s="43"/>
    </row>
    <row r="21750" spans="2:2" ht="12.75" customHeight="1" x14ac:dyDescent="0.2">
      <c r="B21750" s="43"/>
    </row>
    <row r="21751" spans="2:2" ht="12.75" customHeight="1" x14ac:dyDescent="0.2">
      <c r="B21751" s="43"/>
    </row>
    <row r="21752" spans="2:2" ht="12.75" customHeight="1" x14ac:dyDescent="0.2">
      <c r="B21752" s="43"/>
    </row>
    <row r="21753" spans="2:2" ht="12.75" customHeight="1" x14ac:dyDescent="0.2">
      <c r="B21753" s="43"/>
    </row>
    <row r="21754" spans="2:2" ht="12.75" customHeight="1" x14ac:dyDescent="0.2">
      <c r="B21754" s="43"/>
    </row>
    <row r="21755" spans="2:2" ht="12.75" customHeight="1" x14ac:dyDescent="0.2">
      <c r="B21755" s="43"/>
    </row>
    <row r="21756" spans="2:2" ht="12.75" customHeight="1" x14ac:dyDescent="0.2">
      <c r="B21756" s="43"/>
    </row>
    <row r="21757" spans="2:2" ht="12.75" customHeight="1" x14ac:dyDescent="0.2">
      <c r="B21757" s="43"/>
    </row>
    <row r="21758" spans="2:2" ht="12.75" customHeight="1" x14ac:dyDescent="0.2">
      <c r="B21758" s="43"/>
    </row>
    <row r="21759" spans="2:2" ht="12.75" customHeight="1" x14ac:dyDescent="0.2">
      <c r="B21759" s="43"/>
    </row>
    <row r="21760" spans="2:2" ht="12.75" customHeight="1" x14ac:dyDescent="0.2">
      <c r="B21760" s="43"/>
    </row>
    <row r="21761" spans="2:2" ht="12.75" customHeight="1" x14ac:dyDescent="0.2">
      <c r="B21761" s="43"/>
    </row>
    <row r="21762" spans="2:2" ht="12.75" customHeight="1" x14ac:dyDescent="0.2">
      <c r="B21762" s="43"/>
    </row>
    <row r="21763" spans="2:2" ht="12.75" customHeight="1" x14ac:dyDescent="0.2">
      <c r="B21763" s="43"/>
    </row>
    <row r="21764" spans="2:2" ht="12.75" customHeight="1" x14ac:dyDescent="0.2">
      <c r="B21764" s="43"/>
    </row>
    <row r="21765" spans="2:2" ht="12.75" customHeight="1" x14ac:dyDescent="0.2">
      <c r="B21765" s="43"/>
    </row>
    <row r="21766" spans="2:2" ht="12.75" customHeight="1" x14ac:dyDescent="0.2">
      <c r="B21766" s="43"/>
    </row>
    <row r="21767" spans="2:2" ht="12.75" customHeight="1" x14ac:dyDescent="0.2">
      <c r="B21767" s="43"/>
    </row>
    <row r="21768" spans="2:2" ht="12.75" customHeight="1" x14ac:dyDescent="0.2">
      <c r="B21768" s="43"/>
    </row>
    <row r="21769" spans="2:2" ht="12.75" customHeight="1" x14ac:dyDescent="0.2">
      <c r="B21769" s="43"/>
    </row>
    <row r="21770" spans="2:2" ht="12.75" customHeight="1" x14ac:dyDescent="0.2">
      <c r="B21770" s="43"/>
    </row>
    <row r="21771" spans="2:2" ht="12.75" customHeight="1" x14ac:dyDescent="0.2">
      <c r="B21771" s="43"/>
    </row>
    <row r="21772" spans="2:2" ht="12.75" customHeight="1" x14ac:dyDescent="0.2">
      <c r="B21772" s="43"/>
    </row>
    <row r="21773" spans="2:2" ht="12.75" customHeight="1" x14ac:dyDescent="0.2">
      <c r="B21773" s="43"/>
    </row>
    <row r="21774" spans="2:2" ht="12.75" customHeight="1" x14ac:dyDescent="0.2">
      <c r="B21774" s="43"/>
    </row>
    <row r="21775" spans="2:2" ht="12.75" customHeight="1" x14ac:dyDescent="0.2">
      <c r="B21775" s="43"/>
    </row>
    <row r="21776" spans="2:2" ht="12.75" customHeight="1" x14ac:dyDescent="0.2">
      <c r="B21776" s="43"/>
    </row>
    <row r="21777" spans="2:2" ht="12.75" customHeight="1" x14ac:dyDescent="0.2">
      <c r="B21777" s="43"/>
    </row>
    <row r="21778" spans="2:2" ht="12.75" customHeight="1" x14ac:dyDescent="0.2">
      <c r="B21778" s="43"/>
    </row>
    <row r="21779" spans="2:2" ht="12.75" customHeight="1" x14ac:dyDescent="0.2">
      <c r="B21779" s="43"/>
    </row>
    <row r="21780" spans="2:2" ht="12.75" customHeight="1" x14ac:dyDescent="0.2">
      <c r="B21780" s="43"/>
    </row>
    <row r="21781" spans="2:2" ht="12.75" customHeight="1" x14ac:dyDescent="0.2">
      <c r="B21781" s="43"/>
    </row>
    <row r="21782" spans="2:2" ht="12.75" customHeight="1" x14ac:dyDescent="0.2">
      <c r="B21782" s="43"/>
    </row>
    <row r="21783" spans="2:2" ht="12.75" customHeight="1" x14ac:dyDescent="0.2">
      <c r="B21783" s="43"/>
    </row>
    <row r="21784" spans="2:2" ht="12.75" customHeight="1" x14ac:dyDescent="0.2">
      <c r="B21784" s="43"/>
    </row>
    <row r="21785" spans="2:2" ht="12.75" customHeight="1" x14ac:dyDescent="0.2">
      <c r="B21785" s="43"/>
    </row>
    <row r="21786" spans="2:2" ht="12.75" customHeight="1" x14ac:dyDescent="0.2">
      <c r="B21786" s="43"/>
    </row>
    <row r="21787" spans="2:2" ht="12.75" customHeight="1" x14ac:dyDescent="0.2">
      <c r="B21787" s="43"/>
    </row>
    <row r="21788" spans="2:2" ht="12.75" customHeight="1" x14ac:dyDescent="0.2">
      <c r="B21788" s="43"/>
    </row>
    <row r="21789" spans="2:2" ht="12.75" customHeight="1" x14ac:dyDescent="0.2">
      <c r="B21789" s="43"/>
    </row>
    <row r="21790" spans="2:2" ht="12.75" customHeight="1" x14ac:dyDescent="0.2">
      <c r="B21790" s="43"/>
    </row>
    <row r="21791" spans="2:2" ht="12.75" customHeight="1" x14ac:dyDescent="0.2">
      <c r="B21791" s="43"/>
    </row>
    <row r="21792" spans="2:2" ht="12.75" customHeight="1" x14ac:dyDescent="0.2">
      <c r="B21792" s="43"/>
    </row>
    <row r="21793" spans="2:2" ht="12.75" customHeight="1" x14ac:dyDescent="0.2">
      <c r="B21793" s="43"/>
    </row>
    <row r="21794" spans="2:2" ht="12.75" customHeight="1" x14ac:dyDescent="0.2">
      <c r="B21794" s="43"/>
    </row>
    <row r="21795" spans="2:2" ht="12.75" customHeight="1" x14ac:dyDescent="0.2">
      <c r="B21795" s="43"/>
    </row>
    <row r="21796" spans="2:2" ht="12.75" customHeight="1" x14ac:dyDescent="0.2">
      <c r="B21796" s="43"/>
    </row>
    <row r="21797" spans="2:2" ht="12.75" customHeight="1" x14ac:dyDescent="0.2">
      <c r="B21797" s="43"/>
    </row>
    <row r="21798" spans="2:2" ht="12.75" customHeight="1" x14ac:dyDescent="0.2">
      <c r="B21798" s="43"/>
    </row>
    <row r="21799" spans="2:2" ht="12.75" customHeight="1" x14ac:dyDescent="0.2">
      <c r="B21799" s="43"/>
    </row>
    <row r="21800" spans="2:2" ht="12.75" customHeight="1" x14ac:dyDescent="0.2">
      <c r="B21800" s="43"/>
    </row>
    <row r="21801" spans="2:2" ht="12.75" customHeight="1" x14ac:dyDescent="0.2">
      <c r="B21801" s="43"/>
    </row>
    <row r="21802" spans="2:2" ht="12.75" customHeight="1" x14ac:dyDescent="0.2">
      <c r="B21802" s="43"/>
    </row>
    <row r="21803" spans="2:2" ht="12.75" customHeight="1" x14ac:dyDescent="0.2">
      <c r="B21803" s="43"/>
    </row>
    <row r="21804" spans="2:2" ht="12.75" customHeight="1" x14ac:dyDescent="0.2">
      <c r="B21804" s="43"/>
    </row>
    <row r="21805" spans="2:2" ht="12.75" customHeight="1" x14ac:dyDescent="0.2">
      <c r="B21805" s="43"/>
    </row>
    <row r="21806" spans="2:2" ht="12.75" customHeight="1" x14ac:dyDescent="0.2">
      <c r="B21806" s="43"/>
    </row>
    <row r="21807" spans="2:2" ht="12.75" customHeight="1" x14ac:dyDescent="0.2">
      <c r="B21807" s="43"/>
    </row>
    <row r="21808" spans="2:2" ht="12.75" customHeight="1" x14ac:dyDescent="0.2">
      <c r="B21808" s="43"/>
    </row>
    <row r="21809" spans="2:2" ht="12.75" customHeight="1" x14ac:dyDescent="0.2">
      <c r="B21809" s="43"/>
    </row>
    <row r="21810" spans="2:2" ht="12.75" customHeight="1" x14ac:dyDescent="0.2">
      <c r="B21810" s="43"/>
    </row>
    <row r="21811" spans="2:2" ht="12.75" customHeight="1" x14ac:dyDescent="0.2">
      <c r="B21811" s="43"/>
    </row>
    <row r="21812" spans="2:2" ht="12.75" customHeight="1" x14ac:dyDescent="0.2">
      <c r="B21812" s="43"/>
    </row>
    <row r="21813" spans="2:2" ht="12.75" customHeight="1" x14ac:dyDescent="0.2">
      <c r="B21813" s="43"/>
    </row>
    <row r="21814" spans="2:2" ht="12.75" customHeight="1" x14ac:dyDescent="0.2">
      <c r="B21814" s="43"/>
    </row>
    <row r="21815" spans="2:2" ht="12.75" customHeight="1" x14ac:dyDescent="0.2">
      <c r="B21815" s="43"/>
    </row>
    <row r="21816" spans="2:2" ht="12.75" customHeight="1" x14ac:dyDescent="0.2">
      <c r="B21816" s="43"/>
    </row>
    <row r="21817" spans="2:2" ht="12.75" customHeight="1" x14ac:dyDescent="0.2">
      <c r="B21817" s="43"/>
    </row>
    <row r="21818" spans="2:2" ht="12.75" customHeight="1" x14ac:dyDescent="0.2">
      <c r="B21818" s="43"/>
    </row>
    <row r="21819" spans="2:2" ht="12.75" customHeight="1" x14ac:dyDescent="0.2">
      <c r="B21819" s="43"/>
    </row>
    <row r="21820" spans="2:2" ht="12.75" customHeight="1" x14ac:dyDescent="0.2">
      <c r="B21820" s="43"/>
    </row>
    <row r="21821" spans="2:2" ht="12.75" customHeight="1" x14ac:dyDescent="0.2">
      <c r="B21821" s="43"/>
    </row>
    <row r="21822" spans="2:2" ht="12.75" customHeight="1" x14ac:dyDescent="0.2">
      <c r="B21822" s="43"/>
    </row>
    <row r="21823" spans="2:2" ht="12.75" customHeight="1" x14ac:dyDescent="0.2">
      <c r="B21823" s="43"/>
    </row>
    <row r="21824" spans="2:2" ht="12.75" customHeight="1" x14ac:dyDescent="0.2">
      <c r="B21824" s="43"/>
    </row>
    <row r="21825" spans="2:2" ht="12.75" customHeight="1" x14ac:dyDescent="0.2">
      <c r="B21825" s="43"/>
    </row>
    <row r="21826" spans="2:2" ht="12.75" customHeight="1" x14ac:dyDescent="0.2">
      <c r="B21826" s="43"/>
    </row>
    <row r="21827" spans="2:2" ht="12.75" customHeight="1" x14ac:dyDescent="0.2">
      <c r="B21827" s="43"/>
    </row>
    <row r="21828" spans="2:2" ht="12.75" customHeight="1" x14ac:dyDescent="0.2">
      <c r="B21828" s="43"/>
    </row>
    <row r="21829" spans="2:2" ht="12.75" customHeight="1" x14ac:dyDescent="0.2">
      <c r="B21829" s="43"/>
    </row>
    <row r="21830" spans="2:2" ht="12.75" customHeight="1" x14ac:dyDescent="0.2">
      <c r="B21830" s="43"/>
    </row>
    <row r="21831" spans="2:2" ht="12.75" customHeight="1" x14ac:dyDescent="0.2">
      <c r="B21831" s="43"/>
    </row>
    <row r="21832" spans="2:2" ht="12.75" customHeight="1" x14ac:dyDescent="0.2">
      <c r="B21832" s="43"/>
    </row>
    <row r="21833" spans="2:2" ht="12.75" customHeight="1" x14ac:dyDescent="0.2">
      <c r="B21833" s="43"/>
    </row>
    <row r="21834" spans="2:2" ht="12.75" customHeight="1" x14ac:dyDescent="0.2">
      <c r="B21834" s="43"/>
    </row>
    <row r="21835" spans="2:2" ht="12.75" customHeight="1" x14ac:dyDescent="0.2">
      <c r="B21835" s="43"/>
    </row>
    <row r="21836" spans="2:2" ht="12.75" customHeight="1" x14ac:dyDescent="0.2">
      <c r="B21836" s="43"/>
    </row>
    <row r="21837" spans="2:2" ht="12.75" customHeight="1" x14ac:dyDescent="0.2">
      <c r="B21837" s="43"/>
    </row>
    <row r="21838" spans="2:2" ht="12.75" customHeight="1" x14ac:dyDescent="0.2">
      <c r="B21838" s="43"/>
    </row>
    <row r="21839" spans="2:2" ht="12.75" customHeight="1" x14ac:dyDescent="0.2">
      <c r="B21839" s="43"/>
    </row>
    <row r="21840" spans="2:2" ht="12.75" customHeight="1" x14ac:dyDescent="0.2">
      <c r="B21840" s="43"/>
    </row>
    <row r="21841" spans="2:2" ht="12.75" customHeight="1" x14ac:dyDescent="0.2">
      <c r="B21841" s="43"/>
    </row>
    <row r="21842" spans="2:2" ht="12.75" customHeight="1" x14ac:dyDescent="0.2">
      <c r="B21842" s="43"/>
    </row>
    <row r="21843" spans="2:2" ht="12.75" customHeight="1" x14ac:dyDescent="0.2">
      <c r="B21843" s="43"/>
    </row>
    <row r="21844" spans="2:2" ht="12.75" customHeight="1" x14ac:dyDescent="0.2">
      <c r="B21844" s="43"/>
    </row>
    <row r="21845" spans="2:2" ht="12.75" customHeight="1" x14ac:dyDescent="0.2">
      <c r="B21845" s="43"/>
    </row>
    <row r="21846" spans="2:2" ht="12.75" customHeight="1" x14ac:dyDescent="0.2">
      <c r="B21846" s="43"/>
    </row>
    <row r="21847" spans="2:2" ht="12.75" customHeight="1" x14ac:dyDescent="0.2">
      <c r="B21847" s="43"/>
    </row>
    <row r="21848" spans="2:2" ht="12.75" customHeight="1" x14ac:dyDescent="0.2">
      <c r="B21848" s="43"/>
    </row>
    <row r="21849" spans="2:2" ht="12.75" customHeight="1" x14ac:dyDescent="0.2">
      <c r="B21849" s="43"/>
    </row>
    <row r="21850" spans="2:2" ht="12.75" customHeight="1" x14ac:dyDescent="0.2">
      <c r="B21850" s="43"/>
    </row>
    <row r="21851" spans="2:2" ht="12.75" customHeight="1" x14ac:dyDescent="0.2">
      <c r="B21851" s="43"/>
    </row>
    <row r="21852" spans="2:2" ht="12.75" customHeight="1" x14ac:dyDescent="0.2">
      <c r="B21852" s="43"/>
    </row>
    <row r="21853" spans="2:2" ht="12.75" customHeight="1" x14ac:dyDescent="0.2">
      <c r="B21853" s="43"/>
    </row>
    <row r="21854" spans="2:2" ht="12.75" customHeight="1" x14ac:dyDescent="0.2">
      <c r="B21854" s="43"/>
    </row>
    <row r="21855" spans="2:2" ht="12.75" customHeight="1" x14ac:dyDescent="0.2">
      <c r="B21855" s="43"/>
    </row>
    <row r="21856" spans="2:2" ht="12.75" customHeight="1" x14ac:dyDescent="0.2">
      <c r="B21856" s="43"/>
    </row>
    <row r="21857" spans="2:2" ht="12.75" customHeight="1" x14ac:dyDescent="0.2">
      <c r="B21857" s="43"/>
    </row>
    <row r="21858" spans="2:2" ht="12.75" customHeight="1" x14ac:dyDescent="0.2">
      <c r="B21858" s="43"/>
    </row>
    <row r="21859" spans="2:2" ht="12.75" customHeight="1" x14ac:dyDescent="0.2">
      <c r="B21859" s="43"/>
    </row>
    <row r="21860" spans="2:2" ht="12.75" customHeight="1" x14ac:dyDescent="0.2">
      <c r="B21860" s="43"/>
    </row>
    <row r="21861" spans="2:2" ht="12.75" customHeight="1" x14ac:dyDescent="0.2">
      <c r="B21861" s="43"/>
    </row>
    <row r="21862" spans="2:2" ht="12.75" customHeight="1" x14ac:dyDescent="0.2">
      <c r="B21862" s="43"/>
    </row>
    <row r="21863" spans="2:2" ht="12.75" customHeight="1" x14ac:dyDescent="0.2">
      <c r="B21863" s="43"/>
    </row>
    <row r="21864" spans="2:2" ht="12.75" customHeight="1" x14ac:dyDescent="0.2">
      <c r="B21864" s="43"/>
    </row>
    <row r="21865" spans="2:2" ht="12.75" customHeight="1" x14ac:dyDescent="0.2">
      <c r="B21865" s="43"/>
    </row>
    <row r="21866" spans="2:2" ht="12.75" customHeight="1" x14ac:dyDescent="0.2">
      <c r="B21866" s="43"/>
    </row>
    <row r="21867" spans="2:2" ht="12.75" customHeight="1" x14ac:dyDescent="0.2">
      <c r="B21867" s="43"/>
    </row>
    <row r="21868" spans="2:2" ht="12.75" customHeight="1" x14ac:dyDescent="0.2">
      <c r="B21868" s="43"/>
    </row>
    <row r="21869" spans="2:2" ht="12.75" customHeight="1" x14ac:dyDescent="0.2">
      <c r="B21869" s="43"/>
    </row>
    <row r="21870" spans="2:2" ht="12.75" customHeight="1" x14ac:dyDescent="0.2">
      <c r="B21870" s="43"/>
    </row>
    <row r="21871" spans="2:2" ht="12.75" customHeight="1" x14ac:dyDescent="0.2">
      <c r="B21871" s="43"/>
    </row>
    <row r="21872" spans="2:2" ht="12.75" customHeight="1" x14ac:dyDescent="0.2">
      <c r="B21872" s="43"/>
    </row>
    <row r="21873" spans="2:2" ht="12.75" customHeight="1" x14ac:dyDescent="0.2">
      <c r="B21873" s="43"/>
    </row>
    <row r="21874" spans="2:2" ht="12.75" customHeight="1" x14ac:dyDescent="0.2">
      <c r="B21874" s="43"/>
    </row>
    <row r="21875" spans="2:2" ht="12.75" customHeight="1" x14ac:dyDescent="0.2">
      <c r="B21875" s="43"/>
    </row>
    <row r="21876" spans="2:2" ht="12.75" customHeight="1" x14ac:dyDescent="0.2">
      <c r="B21876" s="43"/>
    </row>
    <row r="21877" spans="2:2" ht="12.75" customHeight="1" x14ac:dyDescent="0.2">
      <c r="B21877" s="43"/>
    </row>
    <row r="21878" spans="2:2" ht="12.75" customHeight="1" x14ac:dyDescent="0.2">
      <c r="B21878" s="43"/>
    </row>
    <row r="21879" spans="2:2" ht="12.75" customHeight="1" x14ac:dyDescent="0.2">
      <c r="B21879" s="43"/>
    </row>
    <row r="21880" spans="2:2" ht="12.75" customHeight="1" x14ac:dyDescent="0.2">
      <c r="B21880" s="43"/>
    </row>
    <row r="21881" spans="2:2" ht="12.75" customHeight="1" x14ac:dyDescent="0.2">
      <c r="B21881" s="43"/>
    </row>
    <row r="21882" spans="2:2" ht="12.75" customHeight="1" x14ac:dyDescent="0.2">
      <c r="B21882" s="43"/>
    </row>
    <row r="21883" spans="2:2" ht="12.75" customHeight="1" x14ac:dyDescent="0.2">
      <c r="B21883" s="43"/>
    </row>
    <row r="21884" spans="2:2" ht="12.75" customHeight="1" x14ac:dyDescent="0.2">
      <c r="B21884" s="43"/>
    </row>
    <row r="21885" spans="2:2" ht="12.75" customHeight="1" x14ac:dyDescent="0.2">
      <c r="B21885" s="43"/>
    </row>
    <row r="21886" spans="2:2" ht="12.75" customHeight="1" x14ac:dyDescent="0.2">
      <c r="B21886" s="43"/>
    </row>
    <row r="21887" spans="2:2" ht="12.75" customHeight="1" x14ac:dyDescent="0.2">
      <c r="B21887" s="43"/>
    </row>
    <row r="21888" spans="2:2" ht="12.75" customHeight="1" x14ac:dyDescent="0.2">
      <c r="B21888" s="43"/>
    </row>
    <row r="21889" spans="2:2" ht="12.75" customHeight="1" x14ac:dyDescent="0.2">
      <c r="B21889" s="43"/>
    </row>
    <row r="21890" spans="2:2" ht="12.75" customHeight="1" x14ac:dyDescent="0.2">
      <c r="B21890" s="43"/>
    </row>
    <row r="21891" spans="2:2" ht="12.75" customHeight="1" x14ac:dyDescent="0.2">
      <c r="B21891" s="43"/>
    </row>
    <row r="21892" spans="2:2" ht="12.75" customHeight="1" x14ac:dyDescent="0.2">
      <c r="B21892" s="43"/>
    </row>
    <row r="21893" spans="2:2" ht="12.75" customHeight="1" x14ac:dyDescent="0.2">
      <c r="B21893" s="43"/>
    </row>
    <row r="21894" spans="2:2" ht="12.75" customHeight="1" x14ac:dyDescent="0.2">
      <c r="B21894" s="43"/>
    </row>
    <row r="21895" spans="2:2" ht="12.75" customHeight="1" x14ac:dyDescent="0.2">
      <c r="B21895" s="43"/>
    </row>
    <row r="21896" spans="2:2" ht="12.75" customHeight="1" x14ac:dyDescent="0.2">
      <c r="B21896" s="43"/>
    </row>
    <row r="21897" spans="2:2" ht="12.75" customHeight="1" x14ac:dyDescent="0.2">
      <c r="B21897" s="43"/>
    </row>
    <row r="21898" spans="2:2" ht="12.75" customHeight="1" x14ac:dyDescent="0.2">
      <c r="B21898" s="43"/>
    </row>
    <row r="21899" spans="2:2" ht="12.75" customHeight="1" x14ac:dyDescent="0.2">
      <c r="B21899" s="43"/>
    </row>
    <row r="21900" spans="2:2" ht="12.75" customHeight="1" x14ac:dyDescent="0.2">
      <c r="B21900" s="43"/>
    </row>
    <row r="21901" spans="2:2" ht="12.75" customHeight="1" x14ac:dyDescent="0.2">
      <c r="B21901" s="43"/>
    </row>
    <row r="21902" spans="2:2" ht="12.75" customHeight="1" x14ac:dyDescent="0.2">
      <c r="B21902" s="43"/>
    </row>
    <row r="21903" spans="2:2" ht="12.75" customHeight="1" x14ac:dyDescent="0.2">
      <c r="B21903" s="43"/>
    </row>
    <row r="21904" spans="2:2" ht="12.75" customHeight="1" x14ac:dyDescent="0.2">
      <c r="B21904" s="43"/>
    </row>
    <row r="21905" spans="2:2" ht="12.75" customHeight="1" x14ac:dyDescent="0.2">
      <c r="B21905" s="43"/>
    </row>
    <row r="21906" spans="2:2" ht="12.75" customHeight="1" x14ac:dyDescent="0.2">
      <c r="B21906" s="43"/>
    </row>
    <row r="21907" spans="2:2" ht="12.75" customHeight="1" x14ac:dyDescent="0.2">
      <c r="B21907" s="43"/>
    </row>
    <row r="21908" spans="2:2" ht="12.75" customHeight="1" x14ac:dyDescent="0.2">
      <c r="B21908" s="43"/>
    </row>
    <row r="21909" spans="2:2" ht="12.75" customHeight="1" x14ac:dyDescent="0.2">
      <c r="B21909" s="43"/>
    </row>
    <row r="21910" spans="2:2" ht="12.75" customHeight="1" x14ac:dyDescent="0.2">
      <c r="B21910" s="43"/>
    </row>
    <row r="21911" spans="2:2" ht="12.75" customHeight="1" x14ac:dyDescent="0.2">
      <c r="B21911" s="43"/>
    </row>
    <row r="21912" spans="2:2" ht="12.75" customHeight="1" x14ac:dyDescent="0.2">
      <c r="B21912" s="43"/>
    </row>
    <row r="21913" spans="2:2" ht="12.75" customHeight="1" x14ac:dyDescent="0.2">
      <c r="B21913" s="43"/>
    </row>
    <row r="21914" spans="2:2" ht="12.75" customHeight="1" x14ac:dyDescent="0.2">
      <c r="B21914" s="43"/>
    </row>
    <row r="21915" spans="2:2" ht="12.75" customHeight="1" x14ac:dyDescent="0.2">
      <c r="B21915" s="43"/>
    </row>
    <row r="21916" spans="2:2" ht="12.75" customHeight="1" x14ac:dyDescent="0.2">
      <c r="B21916" s="43"/>
    </row>
    <row r="21917" spans="2:2" ht="12.75" customHeight="1" x14ac:dyDescent="0.2">
      <c r="B21917" s="43"/>
    </row>
    <row r="21918" spans="2:2" ht="12.75" customHeight="1" x14ac:dyDescent="0.2">
      <c r="B21918" s="43"/>
    </row>
    <row r="21919" spans="2:2" ht="12.75" customHeight="1" x14ac:dyDescent="0.2">
      <c r="B21919" s="43"/>
    </row>
    <row r="21920" spans="2:2" ht="12.75" customHeight="1" x14ac:dyDescent="0.2">
      <c r="B21920" s="43"/>
    </row>
    <row r="21921" spans="2:2" ht="12.75" customHeight="1" x14ac:dyDescent="0.2">
      <c r="B21921" s="43"/>
    </row>
    <row r="21922" spans="2:2" ht="12.75" customHeight="1" x14ac:dyDescent="0.2">
      <c r="B21922" s="43"/>
    </row>
    <row r="21923" spans="2:2" ht="12.75" customHeight="1" x14ac:dyDescent="0.2">
      <c r="B21923" s="43"/>
    </row>
    <row r="21924" spans="2:2" ht="12.75" customHeight="1" x14ac:dyDescent="0.2">
      <c r="B21924" s="43"/>
    </row>
    <row r="21925" spans="2:2" ht="12.75" customHeight="1" x14ac:dyDescent="0.2">
      <c r="B21925" s="43"/>
    </row>
    <row r="21926" spans="2:2" ht="12.75" customHeight="1" x14ac:dyDescent="0.2">
      <c r="B21926" s="43"/>
    </row>
    <row r="21927" spans="2:2" ht="12.75" customHeight="1" x14ac:dyDescent="0.2">
      <c r="B21927" s="43"/>
    </row>
    <row r="21928" spans="2:2" ht="12.75" customHeight="1" x14ac:dyDescent="0.2">
      <c r="B21928" s="43"/>
    </row>
    <row r="21929" spans="2:2" ht="12.75" customHeight="1" x14ac:dyDescent="0.2">
      <c r="B21929" s="43"/>
    </row>
    <row r="21930" spans="2:2" ht="12.75" customHeight="1" x14ac:dyDescent="0.2">
      <c r="B21930" s="43"/>
    </row>
    <row r="21931" spans="2:2" ht="12.75" customHeight="1" x14ac:dyDescent="0.2">
      <c r="B21931" s="43"/>
    </row>
    <row r="21932" spans="2:2" ht="12.75" customHeight="1" x14ac:dyDescent="0.2">
      <c r="B21932" s="43"/>
    </row>
    <row r="21933" spans="2:2" ht="12.75" customHeight="1" x14ac:dyDescent="0.2">
      <c r="B21933" s="43"/>
    </row>
    <row r="21934" spans="2:2" ht="12.75" customHeight="1" x14ac:dyDescent="0.2">
      <c r="B21934" s="43"/>
    </row>
    <row r="21935" spans="2:2" ht="12.75" customHeight="1" x14ac:dyDescent="0.2">
      <c r="B21935" s="43"/>
    </row>
    <row r="21936" spans="2:2" ht="12.75" customHeight="1" x14ac:dyDescent="0.2">
      <c r="B21936" s="43"/>
    </row>
    <row r="21937" spans="2:2" ht="12.75" customHeight="1" x14ac:dyDescent="0.2">
      <c r="B21937" s="43"/>
    </row>
    <row r="21938" spans="2:2" ht="12.75" customHeight="1" x14ac:dyDescent="0.2">
      <c r="B21938" s="43"/>
    </row>
    <row r="21939" spans="2:2" ht="12.75" customHeight="1" x14ac:dyDescent="0.2">
      <c r="B21939" s="43"/>
    </row>
    <row r="21940" spans="2:2" ht="12.75" customHeight="1" x14ac:dyDescent="0.2">
      <c r="B21940" s="43"/>
    </row>
    <row r="21941" spans="2:2" ht="12.75" customHeight="1" x14ac:dyDescent="0.2">
      <c r="B21941" s="43"/>
    </row>
    <row r="21942" spans="2:2" ht="12.75" customHeight="1" x14ac:dyDescent="0.2">
      <c r="B21942" s="43"/>
    </row>
    <row r="21943" spans="2:2" ht="12.75" customHeight="1" x14ac:dyDescent="0.2">
      <c r="B21943" s="43"/>
    </row>
    <row r="21944" spans="2:2" ht="12.75" customHeight="1" x14ac:dyDescent="0.2">
      <c r="B21944" s="43"/>
    </row>
    <row r="21945" spans="2:2" ht="12.75" customHeight="1" x14ac:dyDescent="0.2">
      <c r="B21945" s="43"/>
    </row>
    <row r="21946" spans="2:2" ht="12.75" customHeight="1" x14ac:dyDescent="0.2">
      <c r="B21946" s="43"/>
    </row>
    <row r="21947" spans="2:2" ht="12.75" customHeight="1" x14ac:dyDescent="0.2">
      <c r="B21947" s="43"/>
    </row>
    <row r="21948" spans="2:2" ht="12.75" customHeight="1" x14ac:dyDescent="0.2">
      <c r="B21948" s="43"/>
    </row>
    <row r="21949" spans="2:2" ht="12.75" customHeight="1" x14ac:dyDescent="0.2">
      <c r="B21949" s="43"/>
    </row>
    <row r="21950" spans="2:2" ht="12.75" customHeight="1" x14ac:dyDescent="0.2">
      <c r="B21950" s="43"/>
    </row>
    <row r="21951" spans="2:2" ht="12.75" customHeight="1" x14ac:dyDescent="0.2">
      <c r="B21951" s="43"/>
    </row>
    <row r="21952" spans="2:2" ht="12.75" customHeight="1" x14ac:dyDescent="0.2">
      <c r="B21952" s="43"/>
    </row>
    <row r="21953" spans="2:2" ht="12.75" customHeight="1" x14ac:dyDescent="0.2">
      <c r="B21953" s="43"/>
    </row>
    <row r="21954" spans="2:2" ht="12.75" customHeight="1" x14ac:dyDescent="0.2">
      <c r="B21954" s="43"/>
    </row>
    <row r="21955" spans="2:2" ht="12.75" customHeight="1" x14ac:dyDescent="0.2">
      <c r="B21955" s="43"/>
    </row>
    <row r="21956" spans="2:2" ht="12.75" customHeight="1" x14ac:dyDescent="0.2">
      <c r="B21956" s="43"/>
    </row>
    <row r="21957" spans="2:2" ht="12.75" customHeight="1" x14ac:dyDescent="0.2">
      <c r="B21957" s="43"/>
    </row>
    <row r="21958" spans="2:2" ht="12.75" customHeight="1" x14ac:dyDescent="0.2">
      <c r="B21958" s="43"/>
    </row>
    <row r="21959" spans="2:2" ht="12.75" customHeight="1" x14ac:dyDescent="0.2">
      <c r="B21959" s="43"/>
    </row>
    <row r="21960" spans="2:2" ht="12.75" customHeight="1" x14ac:dyDescent="0.2">
      <c r="B21960" s="43"/>
    </row>
    <row r="21961" spans="2:2" ht="12.75" customHeight="1" x14ac:dyDescent="0.2">
      <c r="B21961" s="43"/>
    </row>
    <row r="21962" spans="2:2" ht="12.75" customHeight="1" x14ac:dyDescent="0.2">
      <c r="B21962" s="43"/>
    </row>
    <row r="21963" spans="2:2" ht="12.75" customHeight="1" x14ac:dyDescent="0.2">
      <c r="B21963" s="43"/>
    </row>
    <row r="21964" spans="2:2" ht="12.75" customHeight="1" x14ac:dyDescent="0.2">
      <c r="B21964" s="43"/>
    </row>
    <row r="21965" spans="2:2" ht="12.75" customHeight="1" x14ac:dyDescent="0.2">
      <c r="B21965" s="43"/>
    </row>
    <row r="21966" spans="2:2" ht="12.75" customHeight="1" x14ac:dyDescent="0.2">
      <c r="B21966" s="43"/>
    </row>
    <row r="21967" spans="2:2" ht="12.75" customHeight="1" x14ac:dyDescent="0.2">
      <c r="B21967" s="43"/>
    </row>
    <row r="21968" spans="2:2" ht="12.75" customHeight="1" x14ac:dyDescent="0.2">
      <c r="B21968" s="43"/>
    </row>
    <row r="21969" spans="2:2" ht="12.75" customHeight="1" x14ac:dyDescent="0.2">
      <c r="B21969" s="43"/>
    </row>
    <row r="21970" spans="2:2" ht="12.75" customHeight="1" x14ac:dyDescent="0.2">
      <c r="B21970" s="43"/>
    </row>
    <row r="21971" spans="2:2" ht="12.75" customHeight="1" x14ac:dyDescent="0.2">
      <c r="B21971" s="43"/>
    </row>
    <row r="21972" spans="2:2" ht="12.75" customHeight="1" x14ac:dyDescent="0.2">
      <c r="B21972" s="43"/>
    </row>
    <row r="21973" spans="2:2" ht="12.75" customHeight="1" x14ac:dyDescent="0.2">
      <c r="B21973" s="43"/>
    </row>
    <row r="21974" spans="2:2" ht="12.75" customHeight="1" x14ac:dyDescent="0.2">
      <c r="B21974" s="43"/>
    </row>
    <row r="21975" spans="2:2" ht="12.75" customHeight="1" x14ac:dyDescent="0.2">
      <c r="B21975" s="43"/>
    </row>
    <row r="21976" spans="2:2" ht="12.75" customHeight="1" x14ac:dyDescent="0.2">
      <c r="B21976" s="43"/>
    </row>
    <row r="21977" spans="2:2" ht="12.75" customHeight="1" x14ac:dyDescent="0.2">
      <c r="B21977" s="43"/>
    </row>
    <row r="21978" spans="2:2" ht="12.75" customHeight="1" x14ac:dyDescent="0.2">
      <c r="B21978" s="43"/>
    </row>
    <row r="21979" spans="2:2" ht="12.75" customHeight="1" x14ac:dyDescent="0.2">
      <c r="B21979" s="43"/>
    </row>
    <row r="21980" spans="2:2" ht="12.75" customHeight="1" x14ac:dyDescent="0.2">
      <c r="B21980" s="43"/>
    </row>
    <row r="21981" spans="2:2" ht="12.75" customHeight="1" x14ac:dyDescent="0.2">
      <c r="B21981" s="43"/>
    </row>
    <row r="21982" spans="2:2" ht="12.75" customHeight="1" x14ac:dyDescent="0.2">
      <c r="B21982" s="43"/>
    </row>
    <row r="21983" spans="2:2" ht="12.75" customHeight="1" x14ac:dyDescent="0.2">
      <c r="B21983" s="43"/>
    </row>
    <row r="21984" spans="2:2" ht="12.75" customHeight="1" x14ac:dyDescent="0.2">
      <c r="B21984" s="43"/>
    </row>
    <row r="21985" spans="2:2" ht="12.75" customHeight="1" x14ac:dyDescent="0.2">
      <c r="B21985" s="43"/>
    </row>
    <row r="21986" spans="2:2" ht="12.75" customHeight="1" x14ac:dyDescent="0.2">
      <c r="B21986" s="43"/>
    </row>
    <row r="21987" spans="2:2" ht="12.75" customHeight="1" x14ac:dyDescent="0.2">
      <c r="B21987" s="43"/>
    </row>
    <row r="21988" spans="2:2" ht="12.75" customHeight="1" x14ac:dyDescent="0.2">
      <c r="B21988" s="43"/>
    </row>
    <row r="21989" spans="2:2" ht="12.75" customHeight="1" x14ac:dyDescent="0.2">
      <c r="B21989" s="43"/>
    </row>
    <row r="21990" spans="2:2" ht="12.75" customHeight="1" x14ac:dyDescent="0.2">
      <c r="B21990" s="43"/>
    </row>
    <row r="21991" spans="2:2" ht="12.75" customHeight="1" x14ac:dyDescent="0.2">
      <c r="B21991" s="43"/>
    </row>
    <row r="21992" spans="2:2" ht="12.75" customHeight="1" x14ac:dyDescent="0.2">
      <c r="B21992" s="43"/>
    </row>
    <row r="21993" spans="2:2" ht="12.75" customHeight="1" x14ac:dyDescent="0.2">
      <c r="B21993" s="43"/>
    </row>
    <row r="21994" spans="2:2" ht="12.75" customHeight="1" x14ac:dyDescent="0.2">
      <c r="B21994" s="43"/>
    </row>
    <row r="21995" spans="2:2" ht="12.75" customHeight="1" x14ac:dyDescent="0.2">
      <c r="B21995" s="43"/>
    </row>
    <row r="21996" spans="2:2" ht="12.75" customHeight="1" x14ac:dyDescent="0.2">
      <c r="B21996" s="43"/>
    </row>
    <row r="21997" spans="2:2" ht="12.75" customHeight="1" x14ac:dyDescent="0.2">
      <c r="B21997" s="43"/>
    </row>
    <row r="21998" spans="2:2" ht="12.75" customHeight="1" x14ac:dyDescent="0.2">
      <c r="B21998" s="43"/>
    </row>
    <row r="21999" spans="2:2" ht="12.75" customHeight="1" x14ac:dyDescent="0.2">
      <c r="B21999" s="43"/>
    </row>
    <row r="22000" spans="2:2" ht="12.75" customHeight="1" x14ac:dyDescent="0.2">
      <c r="B22000" s="43"/>
    </row>
    <row r="22001" spans="2:2" ht="12.75" customHeight="1" x14ac:dyDescent="0.2">
      <c r="B22001" s="43"/>
    </row>
    <row r="22002" spans="2:2" ht="12.75" customHeight="1" x14ac:dyDescent="0.2">
      <c r="B22002" s="43"/>
    </row>
    <row r="22003" spans="2:2" ht="12.75" customHeight="1" x14ac:dyDescent="0.2">
      <c r="B22003" s="43"/>
    </row>
    <row r="22004" spans="2:2" ht="12.75" customHeight="1" x14ac:dyDescent="0.2">
      <c r="B22004" s="43"/>
    </row>
    <row r="22005" spans="2:2" ht="12.75" customHeight="1" x14ac:dyDescent="0.2">
      <c r="B22005" s="43"/>
    </row>
    <row r="22006" spans="2:2" ht="12.75" customHeight="1" x14ac:dyDescent="0.2">
      <c r="B22006" s="43"/>
    </row>
    <row r="22007" spans="2:2" ht="12.75" customHeight="1" x14ac:dyDescent="0.2">
      <c r="B22007" s="43"/>
    </row>
    <row r="22008" spans="2:2" ht="12.75" customHeight="1" x14ac:dyDescent="0.2">
      <c r="B22008" s="43"/>
    </row>
    <row r="22009" spans="2:2" ht="12.75" customHeight="1" x14ac:dyDescent="0.2">
      <c r="B22009" s="43"/>
    </row>
    <row r="22010" spans="2:2" ht="12.75" customHeight="1" x14ac:dyDescent="0.2">
      <c r="B22010" s="43"/>
    </row>
    <row r="22011" spans="2:2" ht="12.75" customHeight="1" x14ac:dyDescent="0.2">
      <c r="B22011" s="43"/>
    </row>
    <row r="22012" spans="2:2" ht="12.75" customHeight="1" x14ac:dyDescent="0.2">
      <c r="B22012" s="43"/>
    </row>
    <row r="22013" spans="2:2" ht="12.75" customHeight="1" x14ac:dyDescent="0.2">
      <c r="B22013" s="43"/>
    </row>
    <row r="22014" spans="2:2" ht="12.75" customHeight="1" x14ac:dyDescent="0.2">
      <c r="B22014" s="43"/>
    </row>
    <row r="22015" spans="2:2" ht="12.75" customHeight="1" x14ac:dyDescent="0.2">
      <c r="B22015" s="43"/>
    </row>
    <row r="22016" spans="2:2" ht="12.75" customHeight="1" x14ac:dyDescent="0.2">
      <c r="B22016" s="43"/>
    </row>
    <row r="22017" spans="2:2" ht="12.75" customHeight="1" x14ac:dyDescent="0.2">
      <c r="B22017" s="43"/>
    </row>
    <row r="22018" spans="2:2" ht="12.75" customHeight="1" x14ac:dyDescent="0.2">
      <c r="B22018" s="43"/>
    </row>
    <row r="22019" spans="2:2" ht="12.75" customHeight="1" x14ac:dyDescent="0.2">
      <c r="B22019" s="43"/>
    </row>
    <row r="22020" spans="2:2" ht="12.75" customHeight="1" x14ac:dyDescent="0.2">
      <c r="B22020" s="43"/>
    </row>
    <row r="22021" spans="2:2" ht="12.75" customHeight="1" x14ac:dyDescent="0.2">
      <c r="B22021" s="43"/>
    </row>
    <row r="22022" spans="2:2" ht="12.75" customHeight="1" x14ac:dyDescent="0.2">
      <c r="B22022" s="43"/>
    </row>
    <row r="22023" spans="2:2" ht="12.75" customHeight="1" x14ac:dyDescent="0.2">
      <c r="B22023" s="43"/>
    </row>
    <row r="22024" spans="2:2" ht="12.75" customHeight="1" x14ac:dyDescent="0.2">
      <c r="B22024" s="43"/>
    </row>
    <row r="22025" spans="2:2" ht="12.75" customHeight="1" x14ac:dyDescent="0.2">
      <c r="B22025" s="43"/>
    </row>
    <row r="22026" spans="2:2" ht="12.75" customHeight="1" x14ac:dyDescent="0.2">
      <c r="B22026" s="43"/>
    </row>
    <row r="22027" spans="2:2" ht="12.75" customHeight="1" x14ac:dyDescent="0.2">
      <c r="B22027" s="43"/>
    </row>
    <row r="22028" spans="2:2" ht="12.75" customHeight="1" x14ac:dyDescent="0.2">
      <c r="B22028" s="43"/>
    </row>
    <row r="22029" spans="2:2" ht="12.75" customHeight="1" x14ac:dyDescent="0.2">
      <c r="B22029" s="43"/>
    </row>
    <row r="22030" spans="2:2" ht="12.75" customHeight="1" x14ac:dyDescent="0.2">
      <c r="B22030" s="43"/>
    </row>
    <row r="22031" spans="2:2" ht="12.75" customHeight="1" x14ac:dyDescent="0.2">
      <c r="B22031" s="43"/>
    </row>
    <row r="22032" spans="2:2" ht="12.75" customHeight="1" x14ac:dyDescent="0.2">
      <c r="B22032" s="43"/>
    </row>
    <row r="22033" spans="2:2" ht="12.75" customHeight="1" x14ac:dyDescent="0.2">
      <c r="B22033" s="43"/>
    </row>
    <row r="22034" spans="2:2" ht="12.75" customHeight="1" x14ac:dyDescent="0.2">
      <c r="B22034" s="43"/>
    </row>
    <row r="22035" spans="2:2" ht="12.75" customHeight="1" x14ac:dyDescent="0.2">
      <c r="B22035" s="43"/>
    </row>
    <row r="22036" spans="2:2" ht="12.75" customHeight="1" x14ac:dyDescent="0.2">
      <c r="B22036" s="43"/>
    </row>
    <row r="22037" spans="2:2" ht="12.75" customHeight="1" x14ac:dyDescent="0.2">
      <c r="B22037" s="43"/>
    </row>
    <row r="22038" spans="2:2" ht="12.75" customHeight="1" x14ac:dyDescent="0.2">
      <c r="B22038" s="43"/>
    </row>
    <row r="22039" spans="2:2" ht="12.75" customHeight="1" x14ac:dyDescent="0.2">
      <c r="B22039" s="43"/>
    </row>
    <row r="22040" spans="2:2" ht="12.75" customHeight="1" x14ac:dyDescent="0.2">
      <c r="B22040" s="43"/>
    </row>
    <row r="22041" spans="2:2" ht="12.75" customHeight="1" x14ac:dyDescent="0.2">
      <c r="B22041" s="43"/>
    </row>
    <row r="22042" spans="2:2" ht="12.75" customHeight="1" x14ac:dyDescent="0.2">
      <c r="B22042" s="43"/>
    </row>
    <row r="22043" spans="2:2" ht="12.75" customHeight="1" x14ac:dyDescent="0.2">
      <c r="B22043" s="43"/>
    </row>
    <row r="22044" spans="2:2" ht="12.75" customHeight="1" x14ac:dyDescent="0.2">
      <c r="B22044" s="43"/>
    </row>
    <row r="22045" spans="2:2" ht="12.75" customHeight="1" x14ac:dyDescent="0.2">
      <c r="B22045" s="43"/>
    </row>
    <row r="22046" spans="2:2" ht="12.75" customHeight="1" x14ac:dyDescent="0.2">
      <c r="B22046" s="43"/>
    </row>
    <row r="22047" spans="2:2" ht="12.75" customHeight="1" x14ac:dyDescent="0.2">
      <c r="B22047" s="43"/>
    </row>
    <row r="22048" spans="2:2" ht="12.75" customHeight="1" x14ac:dyDescent="0.2">
      <c r="B22048" s="43"/>
    </row>
    <row r="22049" spans="2:2" ht="12.75" customHeight="1" x14ac:dyDescent="0.2">
      <c r="B22049" s="43"/>
    </row>
    <row r="22050" spans="2:2" ht="12.75" customHeight="1" x14ac:dyDescent="0.2">
      <c r="B22050" s="43"/>
    </row>
    <row r="22051" spans="2:2" ht="12.75" customHeight="1" x14ac:dyDescent="0.2">
      <c r="B22051" s="43"/>
    </row>
    <row r="22052" spans="2:2" ht="12.75" customHeight="1" x14ac:dyDescent="0.2">
      <c r="B22052" s="43"/>
    </row>
    <row r="22053" spans="2:2" ht="12.75" customHeight="1" x14ac:dyDescent="0.2">
      <c r="B22053" s="43"/>
    </row>
    <row r="22054" spans="2:2" ht="12.75" customHeight="1" x14ac:dyDescent="0.2">
      <c r="B22054" s="43"/>
    </row>
    <row r="22055" spans="2:2" ht="12.75" customHeight="1" x14ac:dyDescent="0.2">
      <c r="B22055" s="43"/>
    </row>
    <row r="22056" spans="2:2" ht="12.75" customHeight="1" x14ac:dyDescent="0.2">
      <c r="B22056" s="43"/>
    </row>
    <row r="22057" spans="2:2" ht="12.75" customHeight="1" x14ac:dyDescent="0.2">
      <c r="B22057" s="43"/>
    </row>
    <row r="22058" spans="2:2" ht="12.75" customHeight="1" x14ac:dyDescent="0.2">
      <c r="B22058" s="43"/>
    </row>
    <row r="22059" spans="2:2" ht="12.75" customHeight="1" x14ac:dyDescent="0.2">
      <c r="B22059" s="43"/>
    </row>
    <row r="22060" spans="2:2" ht="12.75" customHeight="1" x14ac:dyDescent="0.2">
      <c r="B22060" s="43"/>
    </row>
    <row r="22061" spans="2:2" ht="12.75" customHeight="1" x14ac:dyDescent="0.2">
      <c r="B22061" s="43"/>
    </row>
    <row r="22062" spans="2:2" ht="12.75" customHeight="1" x14ac:dyDescent="0.2">
      <c r="B22062" s="43"/>
    </row>
    <row r="22063" spans="2:2" ht="12.75" customHeight="1" x14ac:dyDescent="0.2">
      <c r="B22063" s="43"/>
    </row>
    <row r="22064" spans="2:2" ht="12.75" customHeight="1" x14ac:dyDescent="0.2">
      <c r="B22064" s="43"/>
    </row>
    <row r="22065" spans="2:2" ht="12.75" customHeight="1" x14ac:dyDescent="0.2">
      <c r="B22065" s="43"/>
    </row>
    <row r="22066" spans="2:2" ht="12.75" customHeight="1" x14ac:dyDescent="0.2">
      <c r="B22066" s="43"/>
    </row>
    <row r="22067" spans="2:2" ht="12.75" customHeight="1" x14ac:dyDescent="0.2">
      <c r="B22067" s="43"/>
    </row>
    <row r="22068" spans="2:2" ht="12.75" customHeight="1" x14ac:dyDescent="0.2">
      <c r="B22068" s="43"/>
    </row>
    <row r="22069" spans="2:2" ht="12.75" customHeight="1" x14ac:dyDescent="0.2">
      <c r="B22069" s="43"/>
    </row>
    <row r="22070" spans="2:2" ht="12.75" customHeight="1" x14ac:dyDescent="0.2">
      <c r="B22070" s="43"/>
    </row>
    <row r="22071" spans="2:2" ht="12.75" customHeight="1" x14ac:dyDescent="0.2">
      <c r="B22071" s="43"/>
    </row>
    <row r="22072" spans="2:2" ht="12.75" customHeight="1" x14ac:dyDescent="0.2">
      <c r="B22072" s="43"/>
    </row>
    <row r="22073" spans="2:2" ht="12.75" customHeight="1" x14ac:dyDescent="0.2">
      <c r="B22073" s="43"/>
    </row>
    <row r="22074" spans="2:2" ht="12.75" customHeight="1" x14ac:dyDescent="0.2">
      <c r="B22074" s="43"/>
    </row>
    <row r="22075" spans="2:2" ht="12.75" customHeight="1" x14ac:dyDescent="0.2">
      <c r="B22075" s="43"/>
    </row>
    <row r="22076" spans="2:2" ht="12.75" customHeight="1" x14ac:dyDescent="0.2">
      <c r="B22076" s="43"/>
    </row>
    <row r="22077" spans="2:2" ht="12.75" customHeight="1" x14ac:dyDescent="0.2">
      <c r="B22077" s="43"/>
    </row>
    <row r="22078" spans="2:2" ht="12.75" customHeight="1" x14ac:dyDescent="0.2">
      <c r="B22078" s="43"/>
    </row>
    <row r="22079" spans="2:2" ht="12.75" customHeight="1" x14ac:dyDescent="0.2">
      <c r="B22079" s="43"/>
    </row>
    <row r="22080" spans="2:2" ht="12.75" customHeight="1" x14ac:dyDescent="0.2">
      <c r="B22080" s="43"/>
    </row>
    <row r="22081" spans="2:2" ht="12.75" customHeight="1" x14ac:dyDescent="0.2">
      <c r="B22081" s="43"/>
    </row>
    <row r="22082" spans="2:2" ht="12.75" customHeight="1" x14ac:dyDescent="0.2">
      <c r="B22082" s="43"/>
    </row>
    <row r="22083" spans="2:2" ht="12.75" customHeight="1" x14ac:dyDescent="0.2">
      <c r="B22083" s="43"/>
    </row>
    <row r="22084" spans="2:2" ht="12.75" customHeight="1" x14ac:dyDescent="0.2">
      <c r="B22084" s="43"/>
    </row>
    <row r="22085" spans="2:2" ht="12.75" customHeight="1" x14ac:dyDescent="0.2">
      <c r="B22085" s="43"/>
    </row>
    <row r="22086" spans="2:2" ht="12.75" customHeight="1" x14ac:dyDescent="0.2">
      <c r="B22086" s="43"/>
    </row>
    <row r="22087" spans="2:2" ht="12.75" customHeight="1" x14ac:dyDescent="0.2">
      <c r="B22087" s="43"/>
    </row>
    <row r="22088" spans="2:2" ht="12.75" customHeight="1" x14ac:dyDescent="0.2">
      <c r="B22088" s="43"/>
    </row>
    <row r="22089" spans="2:2" ht="12.75" customHeight="1" x14ac:dyDescent="0.2">
      <c r="B22089" s="43"/>
    </row>
    <row r="22090" spans="2:2" ht="12.75" customHeight="1" x14ac:dyDescent="0.2">
      <c r="B22090" s="43"/>
    </row>
    <row r="22091" spans="2:2" ht="12.75" customHeight="1" x14ac:dyDescent="0.2">
      <c r="B22091" s="43"/>
    </row>
    <row r="22092" spans="2:2" ht="12.75" customHeight="1" x14ac:dyDescent="0.2">
      <c r="B22092" s="43"/>
    </row>
    <row r="22093" spans="2:2" ht="12.75" customHeight="1" x14ac:dyDescent="0.2">
      <c r="B22093" s="43"/>
    </row>
    <row r="22094" spans="2:2" ht="12.75" customHeight="1" x14ac:dyDescent="0.2">
      <c r="B22094" s="43"/>
    </row>
    <row r="22095" spans="2:2" ht="12.75" customHeight="1" x14ac:dyDescent="0.2">
      <c r="B22095" s="43"/>
    </row>
    <row r="22096" spans="2:2" ht="12.75" customHeight="1" x14ac:dyDescent="0.2">
      <c r="B22096" s="43"/>
    </row>
    <row r="22097" spans="2:2" ht="12.75" customHeight="1" x14ac:dyDescent="0.2">
      <c r="B22097" s="43"/>
    </row>
    <row r="22098" spans="2:2" ht="12.75" customHeight="1" x14ac:dyDescent="0.2">
      <c r="B22098" s="43"/>
    </row>
    <row r="22099" spans="2:2" ht="12.75" customHeight="1" x14ac:dyDescent="0.2">
      <c r="B22099" s="43"/>
    </row>
    <row r="22100" spans="2:2" ht="12.75" customHeight="1" x14ac:dyDescent="0.2">
      <c r="B22100" s="43"/>
    </row>
    <row r="22101" spans="2:2" ht="12.75" customHeight="1" x14ac:dyDescent="0.2">
      <c r="B22101" s="43"/>
    </row>
    <row r="22102" spans="2:2" ht="12.75" customHeight="1" x14ac:dyDescent="0.2">
      <c r="B22102" s="43"/>
    </row>
    <row r="22103" spans="2:2" ht="12.75" customHeight="1" x14ac:dyDescent="0.2">
      <c r="B22103" s="43"/>
    </row>
    <row r="22104" spans="2:2" ht="12.75" customHeight="1" x14ac:dyDescent="0.2">
      <c r="B22104" s="43"/>
    </row>
    <row r="22105" spans="2:2" ht="12.75" customHeight="1" x14ac:dyDescent="0.2">
      <c r="B22105" s="43"/>
    </row>
    <row r="22106" spans="2:2" ht="12.75" customHeight="1" x14ac:dyDescent="0.2">
      <c r="B22106" s="43"/>
    </row>
    <row r="22107" spans="2:2" ht="12.75" customHeight="1" x14ac:dyDescent="0.2">
      <c r="B22107" s="43"/>
    </row>
    <row r="22108" spans="2:2" ht="12.75" customHeight="1" x14ac:dyDescent="0.2">
      <c r="B22108" s="43"/>
    </row>
    <row r="22109" spans="2:2" ht="12.75" customHeight="1" x14ac:dyDescent="0.2">
      <c r="B22109" s="43"/>
    </row>
    <row r="22110" spans="2:2" ht="12.75" customHeight="1" x14ac:dyDescent="0.2">
      <c r="B22110" s="43"/>
    </row>
    <row r="22111" spans="2:2" ht="12.75" customHeight="1" x14ac:dyDescent="0.2">
      <c r="B22111" s="43"/>
    </row>
    <row r="22112" spans="2:2" ht="12.75" customHeight="1" x14ac:dyDescent="0.2">
      <c r="B22112" s="43"/>
    </row>
    <row r="22113" spans="2:2" ht="12.75" customHeight="1" x14ac:dyDescent="0.2">
      <c r="B22113" s="43"/>
    </row>
    <row r="22114" spans="2:2" ht="12.75" customHeight="1" x14ac:dyDescent="0.2">
      <c r="B22114" s="43"/>
    </row>
    <row r="22115" spans="2:2" ht="12.75" customHeight="1" x14ac:dyDescent="0.2">
      <c r="B22115" s="43"/>
    </row>
    <row r="22116" spans="2:2" ht="12.75" customHeight="1" x14ac:dyDescent="0.2">
      <c r="B22116" s="43"/>
    </row>
    <row r="22117" spans="2:2" ht="12.75" customHeight="1" x14ac:dyDescent="0.2">
      <c r="B22117" s="43"/>
    </row>
    <row r="22118" spans="2:2" ht="12.75" customHeight="1" x14ac:dyDescent="0.2">
      <c r="B22118" s="43"/>
    </row>
    <row r="22119" spans="2:2" ht="12.75" customHeight="1" x14ac:dyDescent="0.2">
      <c r="B22119" s="43"/>
    </row>
    <row r="22120" spans="2:2" ht="12.75" customHeight="1" x14ac:dyDescent="0.2">
      <c r="B22120" s="43"/>
    </row>
    <row r="22121" spans="2:2" ht="12.75" customHeight="1" x14ac:dyDescent="0.2">
      <c r="B22121" s="43"/>
    </row>
    <row r="22122" spans="2:2" ht="12.75" customHeight="1" x14ac:dyDescent="0.2">
      <c r="B22122" s="43"/>
    </row>
    <row r="22123" spans="2:2" ht="12.75" customHeight="1" x14ac:dyDescent="0.2">
      <c r="B22123" s="43"/>
    </row>
    <row r="22124" spans="2:2" ht="12.75" customHeight="1" x14ac:dyDescent="0.2">
      <c r="B22124" s="43"/>
    </row>
    <row r="22125" spans="2:2" ht="12.75" customHeight="1" x14ac:dyDescent="0.2">
      <c r="B22125" s="43"/>
    </row>
    <row r="22126" spans="2:2" ht="12.75" customHeight="1" x14ac:dyDescent="0.2">
      <c r="B22126" s="43"/>
    </row>
    <row r="22127" spans="2:2" ht="12.75" customHeight="1" x14ac:dyDescent="0.2">
      <c r="B22127" s="43"/>
    </row>
    <row r="22128" spans="2:2" ht="12.75" customHeight="1" x14ac:dyDescent="0.2">
      <c r="B22128" s="43"/>
    </row>
    <row r="22129" spans="2:2" ht="12.75" customHeight="1" x14ac:dyDescent="0.2">
      <c r="B22129" s="43"/>
    </row>
    <row r="22130" spans="2:2" ht="12.75" customHeight="1" x14ac:dyDescent="0.2">
      <c r="B22130" s="43"/>
    </row>
    <row r="22131" spans="2:2" ht="12.75" customHeight="1" x14ac:dyDescent="0.2">
      <c r="B22131" s="43"/>
    </row>
    <row r="22132" spans="2:2" ht="12.75" customHeight="1" x14ac:dyDescent="0.2">
      <c r="B22132" s="43"/>
    </row>
    <row r="22133" spans="2:2" ht="12.75" customHeight="1" x14ac:dyDescent="0.2">
      <c r="B22133" s="43"/>
    </row>
    <row r="22134" spans="2:2" ht="12.75" customHeight="1" x14ac:dyDescent="0.2">
      <c r="B22134" s="43"/>
    </row>
    <row r="22135" spans="2:2" ht="12.75" customHeight="1" x14ac:dyDescent="0.2">
      <c r="B22135" s="43"/>
    </row>
    <row r="22136" spans="2:2" ht="12.75" customHeight="1" x14ac:dyDescent="0.2">
      <c r="B22136" s="43"/>
    </row>
    <row r="22137" spans="2:2" ht="12.75" customHeight="1" x14ac:dyDescent="0.2">
      <c r="B22137" s="43"/>
    </row>
    <row r="22138" spans="2:2" ht="12.75" customHeight="1" x14ac:dyDescent="0.2">
      <c r="B22138" s="43"/>
    </row>
    <row r="22139" spans="2:2" ht="12.75" customHeight="1" x14ac:dyDescent="0.2">
      <c r="B22139" s="43"/>
    </row>
    <row r="22140" spans="2:2" ht="12.75" customHeight="1" x14ac:dyDescent="0.2">
      <c r="B22140" s="43"/>
    </row>
    <row r="22141" spans="2:2" ht="12.75" customHeight="1" x14ac:dyDescent="0.2">
      <c r="B22141" s="43"/>
    </row>
    <row r="22142" spans="2:2" ht="12.75" customHeight="1" x14ac:dyDescent="0.2">
      <c r="B22142" s="43"/>
    </row>
    <row r="22143" spans="2:2" ht="12.75" customHeight="1" x14ac:dyDescent="0.2">
      <c r="B22143" s="43"/>
    </row>
    <row r="22144" spans="2:2" ht="12.75" customHeight="1" x14ac:dyDescent="0.2">
      <c r="B22144" s="43"/>
    </row>
    <row r="22145" spans="2:2" ht="12.75" customHeight="1" x14ac:dyDescent="0.2">
      <c r="B22145" s="43"/>
    </row>
    <row r="22146" spans="2:2" ht="12.75" customHeight="1" x14ac:dyDescent="0.2">
      <c r="B22146" s="43"/>
    </row>
    <row r="22147" spans="2:2" ht="12.75" customHeight="1" x14ac:dyDescent="0.2">
      <c r="B22147" s="43"/>
    </row>
    <row r="22148" spans="2:2" ht="12.75" customHeight="1" x14ac:dyDescent="0.2">
      <c r="B22148" s="43"/>
    </row>
    <row r="22149" spans="2:2" ht="12.75" customHeight="1" x14ac:dyDescent="0.2">
      <c r="B22149" s="43"/>
    </row>
    <row r="22150" spans="2:2" ht="12.75" customHeight="1" x14ac:dyDescent="0.2">
      <c r="B22150" s="43"/>
    </row>
    <row r="22151" spans="2:2" ht="12.75" customHeight="1" x14ac:dyDescent="0.2">
      <c r="B22151" s="43"/>
    </row>
    <row r="22152" spans="2:2" ht="12.75" customHeight="1" x14ac:dyDescent="0.2">
      <c r="B22152" s="43"/>
    </row>
    <row r="22153" spans="2:2" ht="12.75" customHeight="1" x14ac:dyDescent="0.2">
      <c r="B22153" s="43"/>
    </row>
    <row r="22154" spans="2:2" ht="12.75" customHeight="1" x14ac:dyDescent="0.2">
      <c r="B22154" s="43"/>
    </row>
    <row r="22155" spans="2:2" ht="12.75" customHeight="1" x14ac:dyDescent="0.2">
      <c r="B22155" s="43"/>
    </row>
    <row r="22156" spans="2:2" ht="12.75" customHeight="1" x14ac:dyDescent="0.2">
      <c r="B22156" s="43"/>
    </row>
    <row r="22157" spans="2:2" ht="12.75" customHeight="1" x14ac:dyDescent="0.2">
      <c r="B22157" s="43"/>
    </row>
    <row r="22158" spans="2:2" ht="12.75" customHeight="1" x14ac:dyDescent="0.2">
      <c r="B22158" s="43"/>
    </row>
    <row r="22159" spans="2:2" ht="12.75" customHeight="1" x14ac:dyDescent="0.2">
      <c r="B22159" s="43"/>
    </row>
    <row r="22160" spans="2:2" ht="12.75" customHeight="1" x14ac:dyDescent="0.2">
      <c r="B22160" s="43"/>
    </row>
    <row r="22161" spans="2:2" ht="12.75" customHeight="1" x14ac:dyDescent="0.2">
      <c r="B22161" s="43"/>
    </row>
    <row r="22162" spans="2:2" ht="12.75" customHeight="1" x14ac:dyDescent="0.2">
      <c r="B22162" s="43"/>
    </row>
    <row r="22163" spans="2:2" ht="12.75" customHeight="1" x14ac:dyDescent="0.2">
      <c r="B22163" s="43"/>
    </row>
    <row r="22164" spans="2:2" ht="12.75" customHeight="1" x14ac:dyDescent="0.2">
      <c r="B22164" s="43"/>
    </row>
    <row r="22165" spans="2:2" ht="12.75" customHeight="1" x14ac:dyDescent="0.2">
      <c r="B22165" s="43"/>
    </row>
    <row r="22166" spans="2:2" ht="12.75" customHeight="1" x14ac:dyDescent="0.2">
      <c r="B22166" s="43"/>
    </row>
    <row r="22167" spans="2:2" ht="12.75" customHeight="1" x14ac:dyDescent="0.2">
      <c r="B22167" s="43"/>
    </row>
    <row r="22168" spans="2:2" ht="12.75" customHeight="1" x14ac:dyDescent="0.2">
      <c r="B22168" s="43"/>
    </row>
    <row r="22169" spans="2:2" ht="12.75" customHeight="1" x14ac:dyDescent="0.2">
      <c r="B22169" s="43"/>
    </row>
    <row r="22170" spans="2:2" ht="12.75" customHeight="1" x14ac:dyDescent="0.2">
      <c r="B22170" s="43"/>
    </row>
    <row r="22171" spans="2:2" ht="12.75" customHeight="1" x14ac:dyDescent="0.2">
      <c r="B22171" s="43"/>
    </row>
    <row r="22172" spans="2:2" ht="12.75" customHeight="1" x14ac:dyDescent="0.2">
      <c r="B22172" s="43"/>
    </row>
    <row r="22173" spans="2:2" ht="12.75" customHeight="1" x14ac:dyDescent="0.2">
      <c r="B22173" s="43"/>
    </row>
    <row r="22174" spans="2:2" ht="12.75" customHeight="1" x14ac:dyDescent="0.2">
      <c r="B22174" s="43"/>
    </row>
    <row r="22175" spans="2:2" ht="12.75" customHeight="1" x14ac:dyDescent="0.2">
      <c r="B22175" s="43"/>
    </row>
    <row r="22176" spans="2:2" ht="12.75" customHeight="1" x14ac:dyDescent="0.2">
      <c r="B22176" s="43"/>
    </row>
    <row r="22177" spans="2:2" ht="12.75" customHeight="1" x14ac:dyDescent="0.2">
      <c r="B22177" s="43"/>
    </row>
    <row r="22178" spans="2:2" ht="12.75" customHeight="1" x14ac:dyDescent="0.2">
      <c r="B22178" s="43"/>
    </row>
    <row r="22179" spans="2:2" ht="12.75" customHeight="1" x14ac:dyDescent="0.2">
      <c r="B22179" s="43"/>
    </row>
    <row r="22180" spans="2:2" ht="12.75" customHeight="1" x14ac:dyDescent="0.2">
      <c r="B22180" s="43"/>
    </row>
    <row r="22181" spans="2:2" ht="12.75" customHeight="1" x14ac:dyDescent="0.2">
      <c r="B22181" s="43"/>
    </row>
    <row r="22182" spans="2:2" ht="12.75" customHeight="1" x14ac:dyDescent="0.2">
      <c r="B22182" s="43"/>
    </row>
    <row r="22183" spans="2:2" ht="12.75" customHeight="1" x14ac:dyDescent="0.2">
      <c r="B22183" s="43"/>
    </row>
    <row r="22184" spans="2:2" ht="12.75" customHeight="1" x14ac:dyDescent="0.2">
      <c r="B22184" s="43"/>
    </row>
    <row r="22185" spans="2:2" ht="12.75" customHeight="1" x14ac:dyDescent="0.2">
      <c r="B22185" s="43"/>
    </row>
    <row r="22186" spans="2:2" ht="12.75" customHeight="1" x14ac:dyDescent="0.2">
      <c r="B22186" s="43"/>
    </row>
    <row r="22187" spans="2:2" ht="12.75" customHeight="1" x14ac:dyDescent="0.2">
      <c r="B22187" s="43"/>
    </row>
    <row r="22188" spans="2:2" ht="12.75" customHeight="1" x14ac:dyDescent="0.2">
      <c r="B22188" s="43"/>
    </row>
    <row r="22189" spans="2:2" ht="12.75" customHeight="1" x14ac:dyDescent="0.2">
      <c r="B22189" s="43"/>
    </row>
    <row r="22190" spans="2:2" ht="12.75" customHeight="1" x14ac:dyDescent="0.2">
      <c r="B22190" s="43"/>
    </row>
    <row r="22191" spans="2:2" ht="12.75" customHeight="1" x14ac:dyDescent="0.2">
      <c r="B22191" s="43"/>
    </row>
    <row r="22192" spans="2:2" ht="12.75" customHeight="1" x14ac:dyDescent="0.2">
      <c r="B22192" s="43"/>
    </row>
    <row r="22193" spans="2:2" ht="12.75" customHeight="1" x14ac:dyDescent="0.2">
      <c r="B22193" s="43"/>
    </row>
    <row r="22194" spans="2:2" ht="12.75" customHeight="1" x14ac:dyDescent="0.2">
      <c r="B22194" s="43"/>
    </row>
    <row r="22195" spans="2:2" ht="12.75" customHeight="1" x14ac:dyDescent="0.2">
      <c r="B22195" s="43"/>
    </row>
    <row r="22196" spans="2:2" ht="12.75" customHeight="1" x14ac:dyDescent="0.2">
      <c r="B22196" s="43"/>
    </row>
    <row r="22197" spans="2:2" ht="12.75" customHeight="1" x14ac:dyDescent="0.2">
      <c r="B22197" s="43"/>
    </row>
    <row r="22198" spans="2:2" ht="12.75" customHeight="1" x14ac:dyDescent="0.2">
      <c r="B22198" s="43"/>
    </row>
    <row r="22199" spans="2:2" ht="12.75" customHeight="1" x14ac:dyDescent="0.2">
      <c r="B22199" s="43"/>
    </row>
    <row r="22200" spans="2:2" ht="12.75" customHeight="1" x14ac:dyDescent="0.2">
      <c r="B22200" s="43"/>
    </row>
    <row r="22201" spans="2:2" ht="12.75" customHeight="1" x14ac:dyDescent="0.2">
      <c r="B22201" s="43"/>
    </row>
    <row r="22202" spans="2:2" ht="12.75" customHeight="1" x14ac:dyDescent="0.2">
      <c r="B22202" s="43"/>
    </row>
    <row r="22203" spans="2:2" ht="12.75" customHeight="1" x14ac:dyDescent="0.2">
      <c r="B22203" s="43"/>
    </row>
    <row r="22204" spans="2:2" ht="12.75" customHeight="1" x14ac:dyDescent="0.2">
      <c r="B22204" s="43"/>
    </row>
    <row r="22205" spans="2:2" ht="12.75" customHeight="1" x14ac:dyDescent="0.2">
      <c r="B22205" s="43"/>
    </row>
    <row r="22206" spans="2:2" ht="12.75" customHeight="1" x14ac:dyDescent="0.2">
      <c r="B22206" s="43"/>
    </row>
    <row r="22207" spans="2:2" ht="12.75" customHeight="1" x14ac:dyDescent="0.2">
      <c r="B22207" s="43"/>
    </row>
    <row r="22208" spans="2:2" ht="12.75" customHeight="1" x14ac:dyDescent="0.2">
      <c r="B22208" s="43"/>
    </row>
    <row r="22209" spans="2:2" ht="12.75" customHeight="1" x14ac:dyDescent="0.2">
      <c r="B22209" s="43"/>
    </row>
    <row r="22210" spans="2:2" ht="12.75" customHeight="1" x14ac:dyDescent="0.2">
      <c r="B22210" s="43"/>
    </row>
    <row r="22211" spans="2:2" ht="12.75" customHeight="1" x14ac:dyDescent="0.2">
      <c r="B22211" s="43"/>
    </row>
    <row r="22212" spans="2:2" ht="12.75" customHeight="1" x14ac:dyDescent="0.2">
      <c r="B22212" s="43"/>
    </row>
    <row r="22213" spans="2:2" ht="12.75" customHeight="1" x14ac:dyDescent="0.2">
      <c r="B22213" s="43"/>
    </row>
    <row r="22214" spans="2:2" ht="12.75" customHeight="1" x14ac:dyDescent="0.2">
      <c r="B22214" s="43"/>
    </row>
    <row r="22215" spans="2:2" ht="12.75" customHeight="1" x14ac:dyDescent="0.2">
      <c r="B22215" s="43"/>
    </row>
    <row r="22216" spans="2:2" ht="12.75" customHeight="1" x14ac:dyDescent="0.2">
      <c r="B22216" s="43"/>
    </row>
    <row r="22217" spans="2:2" ht="12.75" customHeight="1" x14ac:dyDescent="0.2">
      <c r="B22217" s="43"/>
    </row>
    <row r="22218" spans="2:2" ht="12.75" customHeight="1" x14ac:dyDescent="0.2">
      <c r="B22218" s="43"/>
    </row>
    <row r="22219" spans="2:2" ht="12.75" customHeight="1" x14ac:dyDescent="0.2">
      <c r="B22219" s="43"/>
    </row>
    <row r="22220" spans="2:2" ht="12.75" customHeight="1" x14ac:dyDescent="0.2">
      <c r="B22220" s="43"/>
    </row>
    <row r="22221" spans="2:2" ht="12.75" customHeight="1" x14ac:dyDescent="0.2">
      <c r="B22221" s="43"/>
    </row>
    <row r="22222" spans="2:2" ht="12.75" customHeight="1" x14ac:dyDescent="0.2">
      <c r="B22222" s="43"/>
    </row>
    <row r="22223" spans="2:2" ht="12.75" customHeight="1" x14ac:dyDescent="0.2">
      <c r="B22223" s="43"/>
    </row>
    <row r="22224" spans="2:2" ht="12.75" customHeight="1" x14ac:dyDescent="0.2">
      <c r="B22224" s="43"/>
    </row>
    <row r="22225" spans="2:2" ht="12.75" customHeight="1" x14ac:dyDescent="0.2">
      <c r="B22225" s="43"/>
    </row>
    <row r="22226" spans="2:2" ht="12.75" customHeight="1" x14ac:dyDescent="0.2">
      <c r="B22226" s="43"/>
    </row>
    <row r="22227" spans="2:2" ht="12.75" customHeight="1" x14ac:dyDescent="0.2">
      <c r="B22227" s="43"/>
    </row>
    <row r="22228" spans="2:2" ht="12.75" customHeight="1" x14ac:dyDescent="0.2">
      <c r="B22228" s="43"/>
    </row>
    <row r="22229" spans="2:2" ht="12.75" customHeight="1" x14ac:dyDescent="0.2">
      <c r="B22229" s="43"/>
    </row>
    <row r="22230" spans="2:2" ht="12.75" customHeight="1" x14ac:dyDescent="0.2">
      <c r="B22230" s="43"/>
    </row>
    <row r="22231" spans="2:2" ht="12.75" customHeight="1" x14ac:dyDescent="0.2">
      <c r="B22231" s="43"/>
    </row>
    <row r="22232" spans="2:2" ht="12.75" customHeight="1" x14ac:dyDescent="0.2">
      <c r="B22232" s="43"/>
    </row>
    <row r="22233" spans="2:2" ht="12.75" customHeight="1" x14ac:dyDescent="0.2">
      <c r="B22233" s="43"/>
    </row>
    <row r="22234" spans="2:2" ht="12.75" customHeight="1" x14ac:dyDescent="0.2">
      <c r="B22234" s="43"/>
    </row>
    <row r="22235" spans="2:2" ht="12.75" customHeight="1" x14ac:dyDescent="0.2">
      <c r="B22235" s="43"/>
    </row>
    <row r="22236" spans="2:2" ht="12.75" customHeight="1" x14ac:dyDescent="0.2">
      <c r="B22236" s="43"/>
    </row>
    <row r="22237" spans="2:2" ht="12.75" customHeight="1" x14ac:dyDescent="0.2">
      <c r="B22237" s="43"/>
    </row>
    <row r="22238" spans="2:2" ht="12.75" customHeight="1" x14ac:dyDescent="0.2">
      <c r="B22238" s="43"/>
    </row>
    <row r="22239" spans="2:2" ht="12.75" customHeight="1" x14ac:dyDescent="0.2">
      <c r="B22239" s="43"/>
    </row>
    <row r="22240" spans="2:2" ht="12.75" customHeight="1" x14ac:dyDescent="0.2">
      <c r="B22240" s="43"/>
    </row>
    <row r="22241" spans="2:2" ht="12.75" customHeight="1" x14ac:dyDescent="0.2">
      <c r="B22241" s="43"/>
    </row>
    <row r="22242" spans="2:2" ht="12.75" customHeight="1" x14ac:dyDescent="0.2">
      <c r="B22242" s="43"/>
    </row>
    <row r="22243" spans="2:2" ht="12.75" customHeight="1" x14ac:dyDescent="0.2">
      <c r="B22243" s="43"/>
    </row>
    <row r="22244" spans="2:2" ht="12.75" customHeight="1" x14ac:dyDescent="0.2">
      <c r="B22244" s="43"/>
    </row>
    <row r="22245" spans="2:2" ht="12.75" customHeight="1" x14ac:dyDescent="0.2">
      <c r="B22245" s="43"/>
    </row>
    <row r="22246" spans="2:2" ht="12.75" customHeight="1" x14ac:dyDescent="0.2">
      <c r="B22246" s="43"/>
    </row>
    <row r="22247" spans="2:2" ht="12.75" customHeight="1" x14ac:dyDescent="0.2">
      <c r="B22247" s="43"/>
    </row>
    <row r="22248" spans="2:2" ht="12.75" customHeight="1" x14ac:dyDescent="0.2">
      <c r="B22248" s="43"/>
    </row>
    <row r="22249" spans="2:2" ht="12.75" customHeight="1" x14ac:dyDescent="0.2">
      <c r="B22249" s="43"/>
    </row>
    <row r="22250" spans="2:2" ht="12.75" customHeight="1" x14ac:dyDescent="0.2">
      <c r="B22250" s="43"/>
    </row>
    <row r="22251" spans="2:2" ht="12.75" customHeight="1" x14ac:dyDescent="0.2">
      <c r="B22251" s="43"/>
    </row>
    <row r="22252" spans="2:2" ht="12.75" customHeight="1" x14ac:dyDescent="0.2">
      <c r="B22252" s="43"/>
    </row>
    <row r="22253" spans="2:2" ht="12.75" customHeight="1" x14ac:dyDescent="0.2">
      <c r="B22253" s="43"/>
    </row>
    <row r="22254" spans="2:2" ht="12.75" customHeight="1" x14ac:dyDescent="0.2">
      <c r="B22254" s="43"/>
    </row>
    <row r="22255" spans="2:2" ht="12.75" customHeight="1" x14ac:dyDescent="0.2">
      <c r="B22255" s="43"/>
    </row>
    <row r="22256" spans="2:2" ht="12.75" customHeight="1" x14ac:dyDescent="0.2">
      <c r="B22256" s="43"/>
    </row>
    <row r="22257" spans="2:2" ht="12.75" customHeight="1" x14ac:dyDescent="0.2">
      <c r="B22257" s="43"/>
    </row>
    <row r="22258" spans="2:2" ht="12.75" customHeight="1" x14ac:dyDescent="0.2">
      <c r="B22258" s="43"/>
    </row>
    <row r="22259" spans="2:2" ht="12.75" customHeight="1" x14ac:dyDescent="0.2">
      <c r="B22259" s="43"/>
    </row>
    <row r="22260" spans="2:2" ht="12.75" customHeight="1" x14ac:dyDescent="0.2">
      <c r="B22260" s="43"/>
    </row>
    <row r="22261" spans="2:2" ht="12.75" customHeight="1" x14ac:dyDescent="0.2">
      <c r="B22261" s="43"/>
    </row>
    <row r="22262" spans="2:2" ht="12.75" customHeight="1" x14ac:dyDescent="0.2">
      <c r="B22262" s="43"/>
    </row>
    <row r="22263" spans="2:2" ht="12.75" customHeight="1" x14ac:dyDescent="0.2">
      <c r="B22263" s="43"/>
    </row>
    <row r="22264" spans="2:2" ht="12.75" customHeight="1" x14ac:dyDescent="0.2">
      <c r="B22264" s="43"/>
    </row>
    <row r="22265" spans="2:2" ht="12.75" customHeight="1" x14ac:dyDescent="0.2">
      <c r="B22265" s="43"/>
    </row>
    <row r="22266" spans="2:2" ht="12.75" customHeight="1" x14ac:dyDescent="0.2">
      <c r="B22266" s="43"/>
    </row>
    <row r="22267" spans="2:2" ht="12.75" customHeight="1" x14ac:dyDescent="0.2">
      <c r="B22267" s="43"/>
    </row>
    <row r="22268" spans="2:2" ht="12.75" customHeight="1" x14ac:dyDescent="0.2">
      <c r="B22268" s="43"/>
    </row>
    <row r="22269" spans="2:2" ht="12.75" customHeight="1" x14ac:dyDescent="0.2">
      <c r="B22269" s="43"/>
    </row>
    <row r="22270" spans="2:2" ht="12.75" customHeight="1" x14ac:dyDescent="0.2">
      <c r="B22270" s="43"/>
    </row>
    <row r="22271" spans="2:2" ht="12.75" customHeight="1" x14ac:dyDescent="0.2">
      <c r="B22271" s="43"/>
    </row>
    <row r="22272" spans="2:2" ht="12.75" customHeight="1" x14ac:dyDescent="0.2">
      <c r="B22272" s="43"/>
    </row>
    <row r="22273" spans="2:2" ht="12.75" customHeight="1" x14ac:dyDescent="0.2">
      <c r="B22273" s="43"/>
    </row>
    <row r="22274" spans="2:2" ht="12.75" customHeight="1" x14ac:dyDescent="0.2">
      <c r="B22274" s="43"/>
    </row>
    <row r="22275" spans="2:2" ht="12.75" customHeight="1" x14ac:dyDescent="0.2">
      <c r="B22275" s="43"/>
    </row>
    <row r="22276" spans="2:2" ht="12.75" customHeight="1" x14ac:dyDescent="0.2">
      <c r="B22276" s="43"/>
    </row>
    <row r="22277" spans="2:2" ht="12.75" customHeight="1" x14ac:dyDescent="0.2">
      <c r="B22277" s="43"/>
    </row>
    <row r="22278" spans="2:2" ht="12.75" customHeight="1" x14ac:dyDescent="0.2">
      <c r="B22278" s="43"/>
    </row>
    <row r="22279" spans="2:2" ht="12.75" customHeight="1" x14ac:dyDescent="0.2">
      <c r="B22279" s="43"/>
    </row>
    <row r="22280" spans="2:2" ht="12.75" customHeight="1" x14ac:dyDescent="0.2">
      <c r="B22280" s="43"/>
    </row>
    <row r="22281" spans="2:2" ht="12.75" customHeight="1" x14ac:dyDescent="0.2">
      <c r="B22281" s="43"/>
    </row>
    <row r="22282" spans="2:2" ht="12.75" customHeight="1" x14ac:dyDescent="0.2">
      <c r="B22282" s="43"/>
    </row>
    <row r="22283" spans="2:2" ht="12.75" customHeight="1" x14ac:dyDescent="0.2">
      <c r="B22283" s="43"/>
    </row>
    <row r="22284" spans="2:2" ht="12.75" customHeight="1" x14ac:dyDescent="0.2">
      <c r="B22284" s="43"/>
    </row>
    <row r="22285" spans="2:2" ht="12.75" customHeight="1" x14ac:dyDescent="0.2">
      <c r="B22285" s="43"/>
    </row>
    <row r="22286" spans="2:2" ht="12.75" customHeight="1" x14ac:dyDescent="0.2">
      <c r="B22286" s="43"/>
    </row>
    <row r="22287" spans="2:2" ht="12.75" customHeight="1" x14ac:dyDescent="0.2">
      <c r="B22287" s="43"/>
    </row>
    <row r="22288" spans="2:2" ht="12.75" customHeight="1" x14ac:dyDescent="0.2">
      <c r="B22288" s="43"/>
    </row>
    <row r="22289" spans="2:2" ht="12.75" customHeight="1" x14ac:dyDescent="0.2">
      <c r="B22289" s="43"/>
    </row>
    <row r="22290" spans="2:2" ht="12.75" customHeight="1" x14ac:dyDescent="0.2">
      <c r="B22290" s="43"/>
    </row>
    <row r="22291" spans="2:2" ht="12.75" customHeight="1" x14ac:dyDescent="0.2">
      <c r="B22291" s="43"/>
    </row>
    <row r="22292" spans="2:2" ht="12.75" customHeight="1" x14ac:dyDescent="0.2">
      <c r="B22292" s="43"/>
    </row>
    <row r="22293" spans="2:2" ht="12.75" customHeight="1" x14ac:dyDescent="0.2">
      <c r="B22293" s="43"/>
    </row>
    <row r="22294" spans="2:2" ht="12.75" customHeight="1" x14ac:dyDescent="0.2">
      <c r="B22294" s="43"/>
    </row>
    <row r="22295" spans="2:2" ht="12.75" customHeight="1" x14ac:dyDescent="0.2">
      <c r="B22295" s="43"/>
    </row>
    <row r="22296" spans="2:2" ht="12.75" customHeight="1" x14ac:dyDescent="0.2">
      <c r="B22296" s="43"/>
    </row>
    <row r="22297" spans="2:2" ht="12.75" customHeight="1" x14ac:dyDescent="0.2">
      <c r="B22297" s="43"/>
    </row>
    <row r="22298" spans="2:2" ht="12.75" customHeight="1" x14ac:dyDescent="0.2">
      <c r="B22298" s="43"/>
    </row>
    <row r="22299" spans="2:2" ht="12.75" customHeight="1" x14ac:dyDescent="0.2">
      <c r="B22299" s="43"/>
    </row>
    <row r="22300" spans="2:2" ht="12.75" customHeight="1" x14ac:dyDescent="0.2">
      <c r="B22300" s="43"/>
    </row>
    <row r="22301" spans="2:2" ht="12.75" customHeight="1" x14ac:dyDescent="0.2">
      <c r="B22301" s="43"/>
    </row>
    <row r="22302" spans="2:2" ht="12.75" customHeight="1" x14ac:dyDescent="0.2">
      <c r="B22302" s="43"/>
    </row>
    <row r="22303" spans="2:2" ht="12.75" customHeight="1" x14ac:dyDescent="0.2">
      <c r="B22303" s="43"/>
    </row>
    <row r="22304" spans="2:2" ht="12.75" customHeight="1" x14ac:dyDescent="0.2">
      <c r="B22304" s="43"/>
    </row>
    <row r="22305" spans="2:2" ht="12.75" customHeight="1" x14ac:dyDescent="0.2">
      <c r="B22305" s="43"/>
    </row>
    <row r="22306" spans="2:2" ht="12.75" customHeight="1" x14ac:dyDescent="0.2">
      <c r="B22306" s="43"/>
    </row>
    <row r="22307" spans="2:2" ht="12.75" customHeight="1" x14ac:dyDescent="0.2">
      <c r="B22307" s="43"/>
    </row>
    <row r="22308" spans="2:2" ht="12.75" customHeight="1" x14ac:dyDescent="0.2">
      <c r="B22308" s="43"/>
    </row>
    <row r="22309" spans="2:2" ht="12.75" customHeight="1" x14ac:dyDescent="0.2">
      <c r="B22309" s="43"/>
    </row>
    <row r="22310" spans="2:2" ht="12.75" customHeight="1" x14ac:dyDescent="0.2">
      <c r="B22310" s="43"/>
    </row>
    <row r="22311" spans="2:2" ht="12.75" customHeight="1" x14ac:dyDescent="0.2">
      <c r="B22311" s="43"/>
    </row>
    <row r="22312" spans="2:2" ht="12.75" customHeight="1" x14ac:dyDescent="0.2">
      <c r="B22312" s="43"/>
    </row>
    <row r="22313" spans="2:2" ht="12.75" customHeight="1" x14ac:dyDescent="0.2">
      <c r="B22313" s="43"/>
    </row>
    <row r="22314" spans="2:2" ht="12.75" customHeight="1" x14ac:dyDescent="0.2">
      <c r="B22314" s="43"/>
    </row>
    <row r="22315" spans="2:2" ht="12.75" customHeight="1" x14ac:dyDescent="0.2">
      <c r="B22315" s="43"/>
    </row>
    <row r="22316" spans="2:2" ht="12.75" customHeight="1" x14ac:dyDescent="0.2">
      <c r="B22316" s="43"/>
    </row>
    <row r="22317" spans="2:2" ht="12.75" customHeight="1" x14ac:dyDescent="0.2">
      <c r="B22317" s="43"/>
    </row>
    <row r="22318" spans="2:2" ht="12.75" customHeight="1" x14ac:dyDescent="0.2">
      <c r="B22318" s="43"/>
    </row>
    <row r="22319" spans="2:2" ht="12.75" customHeight="1" x14ac:dyDescent="0.2">
      <c r="B22319" s="43"/>
    </row>
    <row r="22320" spans="2:2" ht="12.75" customHeight="1" x14ac:dyDescent="0.2">
      <c r="B22320" s="43"/>
    </row>
    <row r="22321" spans="2:2" ht="12.75" customHeight="1" x14ac:dyDescent="0.2">
      <c r="B22321" s="43"/>
    </row>
    <row r="22322" spans="2:2" ht="12.75" customHeight="1" x14ac:dyDescent="0.2">
      <c r="B22322" s="43"/>
    </row>
    <row r="22323" spans="2:2" ht="12.75" customHeight="1" x14ac:dyDescent="0.2">
      <c r="B22323" s="43"/>
    </row>
    <row r="22324" spans="2:2" ht="12.75" customHeight="1" x14ac:dyDescent="0.2">
      <c r="B22324" s="43"/>
    </row>
    <row r="22325" spans="2:2" ht="12.75" customHeight="1" x14ac:dyDescent="0.2">
      <c r="B22325" s="43"/>
    </row>
    <row r="22326" spans="2:2" ht="12.75" customHeight="1" x14ac:dyDescent="0.2">
      <c r="B22326" s="43"/>
    </row>
    <row r="22327" spans="2:2" ht="12.75" customHeight="1" x14ac:dyDescent="0.2">
      <c r="B22327" s="43"/>
    </row>
    <row r="22328" spans="2:2" ht="12.75" customHeight="1" x14ac:dyDescent="0.2">
      <c r="B22328" s="43"/>
    </row>
    <row r="22329" spans="2:2" ht="12.75" customHeight="1" x14ac:dyDescent="0.2">
      <c r="B22329" s="43"/>
    </row>
    <row r="22330" spans="2:2" ht="12.75" customHeight="1" x14ac:dyDescent="0.2">
      <c r="B22330" s="43"/>
    </row>
    <row r="22331" spans="2:2" ht="12.75" customHeight="1" x14ac:dyDescent="0.2">
      <c r="B22331" s="43"/>
    </row>
    <row r="22332" spans="2:2" ht="12.75" customHeight="1" x14ac:dyDescent="0.2">
      <c r="B22332" s="43"/>
    </row>
    <row r="22333" spans="2:2" ht="12.75" customHeight="1" x14ac:dyDescent="0.2">
      <c r="B22333" s="43"/>
    </row>
    <row r="22334" spans="2:2" ht="12.75" customHeight="1" x14ac:dyDescent="0.2">
      <c r="B22334" s="43"/>
    </row>
    <row r="22335" spans="2:2" ht="12.75" customHeight="1" x14ac:dyDescent="0.2">
      <c r="B22335" s="43"/>
    </row>
    <row r="22336" spans="2:2" ht="12.75" customHeight="1" x14ac:dyDescent="0.2">
      <c r="B22336" s="43"/>
    </row>
    <row r="22337" spans="2:2" ht="12.75" customHeight="1" x14ac:dyDescent="0.2">
      <c r="B22337" s="43"/>
    </row>
    <row r="22338" spans="2:2" ht="12.75" customHeight="1" x14ac:dyDescent="0.2">
      <c r="B22338" s="43"/>
    </row>
    <row r="22339" spans="2:2" ht="12.75" customHeight="1" x14ac:dyDescent="0.2">
      <c r="B22339" s="43"/>
    </row>
    <row r="22340" spans="2:2" ht="12.75" customHeight="1" x14ac:dyDescent="0.2">
      <c r="B22340" s="43"/>
    </row>
    <row r="22341" spans="2:2" ht="12.75" customHeight="1" x14ac:dyDescent="0.2">
      <c r="B22341" s="43"/>
    </row>
    <row r="22342" spans="2:2" ht="12.75" customHeight="1" x14ac:dyDescent="0.2">
      <c r="B22342" s="43"/>
    </row>
    <row r="22343" spans="2:2" ht="12.75" customHeight="1" x14ac:dyDescent="0.2">
      <c r="B22343" s="43"/>
    </row>
    <row r="22344" spans="2:2" ht="12.75" customHeight="1" x14ac:dyDescent="0.2">
      <c r="B22344" s="43"/>
    </row>
    <row r="22345" spans="2:2" ht="12.75" customHeight="1" x14ac:dyDescent="0.2">
      <c r="B22345" s="43"/>
    </row>
    <row r="22346" spans="2:2" ht="12.75" customHeight="1" x14ac:dyDescent="0.2">
      <c r="B22346" s="43"/>
    </row>
    <row r="22347" spans="2:2" ht="12.75" customHeight="1" x14ac:dyDescent="0.2">
      <c r="B22347" s="43"/>
    </row>
    <row r="22348" spans="2:2" ht="12.75" customHeight="1" x14ac:dyDescent="0.2">
      <c r="B22348" s="43"/>
    </row>
    <row r="22349" spans="2:2" ht="12.75" customHeight="1" x14ac:dyDescent="0.2">
      <c r="B22349" s="43"/>
    </row>
    <row r="22350" spans="2:2" ht="12.75" customHeight="1" x14ac:dyDescent="0.2">
      <c r="B22350" s="43"/>
    </row>
    <row r="22351" spans="2:2" ht="12.75" customHeight="1" x14ac:dyDescent="0.2">
      <c r="B22351" s="43"/>
    </row>
    <row r="22352" spans="2:2" ht="12.75" customHeight="1" x14ac:dyDescent="0.2">
      <c r="B22352" s="43"/>
    </row>
    <row r="22353" spans="2:2" ht="12.75" customHeight="1" x14ac:dyDescent="0.2">
      <c r="B22353" s="43"/>
    </row>
    <row r="22354" spans="2:2" ht="12.75" customHeight="1" x14ac:dyDescent="0.2">
      <c r="B22354" s="43"/>
    </row>
    <row r="22355" spans="2:2" ht="12.75" customHeight="1" x14ac:dyDescent="0.2">
      <c r="B22355" s="43"/>
    </row>
    <row r="22356" spans="2:2" ht="12.75" customHeight="1" x14ac:dyDescent="0.2">
      <c r="B22356" s="43"/>
    </row>
    <row r="22357" spans="2:2" ht="12.75" customHeight="1" x14ac:dyDescent="0.2">
      <c r="B22357" s="43"/>
    </row>
    <row r="22358" spans="2:2" ht="12.75" customHeight="1" x14ac:dyDescent="0.2">
      <c r="B22358" s="43"/>
    </row>
    <row r="22359" spans="2:2" ht="12.75" customHeight="1" x14ac:dyDescent="0.2">
      <c r="B22359" s="43"/>
    </row>
    <row r="22360" spans="2:2" ht="12.75" customHeight="1" x14ac:dyDescent="0.2">
      <c r="B22360" s="43"/>
    </row>
    <row r="22361" spans="2:2" ht="12.75" customHeight="1" x14ac:dyDescent="0.2">
      <c r="B22361" s="43"/>
    </row>
    <row r="22362" spans="2:2" ht="12.75" customHeight="1" x14ac:dyDescent="0.2">
      <c r="B22362" s="43"/>
    </row>
    <row r="22363" spans="2:2" ht="12.75" customHeight="1" x14ac:dyDescent="0.2">
      <c r="B22363" s="43"/>
    </row>
    <row r="22364" spans="2:2" ht="12.75" customHeight="1" x14ac:dyDescent="0.2">
      <c r="B22364" s="43"/>
    </row>
    <row r="22365" spans="2:2" ht="12.75" customHeight="1" x14ac:dyDescent="0.2">
      <c r="B22365" s="43"/>
    </row>
    <row r="22366" spans="2:2" ht="12.75" customHeight="1" x14ac:dyDescent="0.2">
      <c r="B22366" s="43"/>
    </row>
    <row r="22367" spans="2:2" ht="12.75" customHeight="1" x14ac:dyDescent="0.2">
      <c r="B22367" s="43"/>
    </row>
    <row r="22368" spans="2:2" ht="12.75" customHeight="1" x14ac:dyDescent="0.2">
      <c r="B22368" s="43"/>
    </row>
    <row r="22369" spans="2:2" ht="12.75" customHeight="1" x14ac:dyDescent="0.2">
      <c r="B22369" s="43"/>
    </row>
    <row r="22370" spans="2:2" ht="12.75" customHeight="1" x14ac:dyDescent="0.2">
      <c r="B22370" s="43"/>
    </row>
    <row r="22371" spans="2:2" ht="12.75" customHeight="1" x14ac:dyDescent="0.2">
      <c r="B22371" s="43"/>
    </row>
    <row r="22372" spans="2:2" ht="12.75" customHeight="1" x14ac:dyDescent="0.2">
      <c r="B22372" s="43"/>
    </row>
    <row r="22373" spans="2:2" ht="12.75" customHeight="1" x14ac:dyDescent="0.2">
      <c r="B22373" s="43"/>
    </row>
    <row r="22374" spans="2:2" ht="12.75" customHeight="1" x14ac:dyDescent="0.2">
      <c r="B22374" s="43"/>
    </row>
    <row r="22375" spans="2:2" ht="12.75" customHeight="1" x14ac:dyDescent="0.2">
      <c r="B22375" s="43"/>
    </row>
    <row r="22376" spans="2:2" ht="12.75" customHeight="1" x14ac:dyDescent="0.2">
      <c r="B22376" s="43"/>
    </row>
    <row r="22377" spans="2:2" ht="12.75" customHeight="1" x14ac:dyDescent="0.2">
      <c r="B22377" s="43"/>
    </row>
    <row r="22378" spans="2:2" ht="12.75" customHeight="1" x14ac:dyDescent="0.2">
      <c r="B22378" s="43"/>
    </row>
    <row r="22379" spans="2:2" ht="12.75" customHeight="1" x14ac:dyDescent="0.2">
      <c r="B22379" s="43"/>
    </row>
    <row r="22380" spans="2:2" ht="12.75" customHeight="1" x14ac:dyDescent="0.2">
      <c r="B22380" s="43"/>
    </row>
    <row r="22381" spans="2:2" ht="12.75" customHeight="1" x14ac:dyDescent="0.2">
      <c r="B22381" s="43"/>
    </row>
    <row r="22382" spans="2:2" ht="12.75" customHeight="1" x14ac:dyDescent="0.2">
      <c r="B22382" s="43"/>
    </row>
    <row r="22383" spans="2:2" ht="12.75" customHeight="1" x14ac:dyDescent="0.2">
      <c r="B22383" s="43"/>
    </row>
    <row r="22384" spans="2:2" ht="12.75" customHeight="1" x14ac:dyDescent="0.2">
      <c r="B22384" s="43"/>
    </row>
    <row r="22385" spans="2:2" ht="12.75" customHeight="1" x14ac:dyDescent="0.2">
      <c r="B22385" s="43"/>
    </row>
    <row r="22386" spans="2:2" ht="12.75" customHeight="1" x14ac:dyDescent="0.2">
      <c r="B22386" s="43"/>
    </row>
    <row r="22387" spans="2:2" ht="12.75" customHeight="1" x14ac:dyDescent="0.2">
      <c r="B22387" s="43"/>
    </row>
    <row r="22388" spans="2:2" ht="12.75" customHeight="1" x14ac:dyDescent="0.2">
      <c r="B22388" s="43"/>
    </row>
    <row r="22389" spans="2:2" ht="12.75" customHeight="1" x14ac:dyDescent="0.2">
      <c r="B22389" s="43"/>
    </row>
    <row r="22390" spans="2:2" ht="12.75" customHeight="1" x14ac:dyDescent="0.2">
      <c r="B22390" s="43"/>
    </row>
    <row r="22391" spans="2:2" ht="12.75" customHeight="1" x14ac:dyDescent="0.2">
      <c r="B22391" s="43"/>
    </row>
    <row r="22392" spans="2:2" ht="12.75" customHeight="1" x14ac:dyDescent="0.2">
      <c r="B22392" s="43"/>
    </row>
    <row r="22393" spans="2:2" ht="12.75" customHeight="1" x14ac:dyDescent="0.2">
      <c r="B22393" s="43"/>
    </row>
    <row r="22394" spans="2:2" ht="12.75" customHeight="1" x14ac:dyDescent="0.2">
      <c r="B22394" s="43"/>
    </row>
    <row r="22395" spans="2:2" ht="12.75" customHeight="1" x14ac:dyDescent="0.2">
      <c r="B22395" s="43"/>
    </row>
    <row r="22396" spans="2:2" ht="12.75" customHeight="1" x14ac:dyDescent="0.2">
      <c r="B22396" s="43"/>
    </row>
    <row r="22397" spans="2:2" ht="12.75" customHeight="1" x14ac:dyDescent="0.2">
      <c r="B22397" s="43"/>
    </row>
    <row r="22398" spans="2:2" ht="12.75" customHeight="1" x14ac:dyDescent="0.2">
      <c r="B22398" s="43"/>
    </row>
    <row r="22399" spans="2:2" ht="12.75" customHeight="1" x14ac:dyDescent="0.2">
      <c r="B22399" s="43"/>
    </row>
    <row r="22400" spans="2:2" ht="12.75" customHeight="1" x14ac:dyDescent="0.2">
      <c r="B22400" s="43"/>
    </row>
    <row r="22401" spans="2:2" ht="12.75" customHeight="1" x14ac:dyDescent="0.2">
      <c r="B22401" s="43"/>
    </row>
    <row r="22402" spans="2:2" ht="12.75" customHeight="1" x14ac:dyDescent="0.2">
      <c r="B22402" s="43"/>
    </row>
    <row r="22403" spans="2:2" ht="12.75" customHeight="1" x14ac:dyDescent="0.2">
      <c r="B22403" s="43"/>
    </row>
    <row r="22404" spans="2:2" ht="12.75" customHeight="1" x14ac:dyDescent="0.2">
      <c r="B22404" s="43"/>
    </row>
    <row r="22405" spans="2:2" ht="12.75" customHeight="1" x14ac:dyDescent="0.2">
      <c r="B22405" s="43"/>
    </row>
    <row r="22406" spans="2:2" ht="12.75" customHeight="1" x14ac:dyDescent="0.2">
      <c r="B22406" s="43"/>
    </row>
    <row r="22407" spans="2:2" ht="12.75" customHeight="1" x14ac:dyDescent="0.2">
      <c r="B22407" s="43"/>
    </row>
    <row r="22408" spans="2:2" ht="12.75" customHeight="1" x14ac:dyDescent="0.2">
      <c r="B22408" s="43"/>
    </row>
    <row r="22409" spans="2:2" ht="12.75" customHeight="1" x14ac:dyDescent="0.2">
      <c r="B22409" s="43"/>
    </row>
    <row r="22410" spans="2:2" ht="12.75" customHeight="1" x14ac:dyDescent="0.2">
      <c r="B22410" s="43"/>
    </row>
    <row r="22411" spans="2:2" ht="12.75" customHeight="1" x14ac:dyDescent="0.2">
      <c r="B22411" s="43"/>
    </row>
    <row r="22412" spans="2:2" ht="12.75" customHeight="1" x14ac:dyDescent="0.2">
      <c r="B22412" s="43"/>
    </row>
    <row r="22413" spans="2:2" ht="12.75" customHeight="1" x14ac:dyDescent="0.2">
      <c r="B22413" s="43"/>
    </row>
    <row r="22414" spans="2:2" ht="12.75" customHeight="1" x14ac:dyDescent="0.2">
      <c r="B22414" s="43"/>
    </row>
    <row r="22415" spans="2:2" ht="12.75" customHeight="1" x14ac:dyDescent="0.2">
      <c r="B22415" s="43"/>
    </row>
    <row r="22416" spans="2:2" ht="12.75" customHeight="1" x14ac:dyDescent="0.2">
      <c r="B22416" s="43"/>
    </row>
    <row r="22417" spans="2:2" ht="12.75" customHeight="1" x14ac:dyDescent="0.2">
      <c r="B22417" s="43"/>
    </row>
    <row r="22418" spans="2:2" ht="12.75" customHeight="1" x14ac:dyDescent="0.2">
      <c r="B22418" s="43"/>
    </row>
    <row r="22419" spans="2:2" ht="12.75" customHeight="1" x14ac:dyDescent="0.2">
      <c r="B22419" s="43"/>
    </row>
    <row r="22420" spans="2:2" ht="12.75" customHeight="1" x14ac:dyDescent="0.2">
      <c r="B22420" s="43"/>
    </row>
    <row r="22421" spans="2:2" ht="12.75" customHeight="1" x14ac:dyDescent="0.2">
      <c r="B22421" s="43"/>
    </row>
    <row r="22422" spans="2:2" ht="12.75" customHeight="1" x14ac:dyDescent="0.2">
      <c r="B22422" s="43"/>
    </row>
    <row r="22423" spans="2:2" ht="12.75" customHeight="1" x14ac:dyDescent="0.2">
      <c r="B22423" s="43"/>
    </row>
    <row r="22424" spans="2:2" ht="12.75" customHeight="1" x14ac:dyDescent="0.2">
      <c r="B22424" s="43"/>
    </row>
    <row r="22425" spans="2:2" ht="12.75" customHeight="1" x14ac:dyDescent="0.2">
      <c r="B22425" s="43"/>
    </row>
    <row r="22426" spans="2:2" ht="12.75" customHeight="1" x14ac:dyDescent="0.2">
      <c r="B22426" s="43"/>
    </row>
    <row r="22427" spans="2:2" ht="12.75" customHeight="1" x14ac:dyDescent="0.2">
      <c r="B22427" s="43"/>
    </row>
    <row r="22428" spans="2:2" ht="12.75" customHeight="1" x14ac:dyDescent="0.2">
      <c r="B22428" s="43"/>
    </row>
    <row r="22429" spans="2:2" ht="12.75" customHeight="1" x14ac:dyDescent="0.2">
      <c r="B22429" s="43"/>
    </row>
    <row r="22430" spans="2:2" ht="12.75" customHeight="1" x14ac:dyDescent="0.2">
      <c r="B22430" s="43"/>
    </row>
    <row r="22431" spans="2:2" ht="12.75" customHeight="1" x14ac:dyDescent="0.2">
      <c r="B22431" s="43"/>
    </row>
    <row r="22432" spans="2:2" ht="12.75" customHeight="1" x14ac:dyDescent="0.2">
      <c r="B22432" s="43"/>
    </row>
    <row r="22433" spans="2:2" ht="12.75" customHeight="1" x14ac:dyDescent="0.2">
      <c r="B22433" s="43"/>
    </row>
    <row r="22434" spans="2:2" ht="12.75" customHeight="1" x14ac:dyDescent="0.2">
      <c r="B22434" s="43"/>
    </row>
    <row r="22435" spans="2:2" ht="12.75" customHeight="1" x14ac:dyDescent="0.2">
      <c r="B22435" s="43"/>
    </row>
    <row r="22436" spans="2:2" ht="12.75" customHeight="1" x14ac:dyDescent="0.2">
      <c r="B22436" s="43"/>
    </row>
    <row r="22437" spans="2:2" ht="12.75" customHeight="1" x14ac:dyDescent="0.2">
      <c r="B22437" s="43"/>
    </row>
    <row r="22438" spans="2:2" ht="12.75" customHeight="1" x14ac:dyDescent="0.2">
      <c r="B22438" s="43"/>
    </row>
    <row r="22439" spans="2:2" ht="12.75" customHeight="1" x14ac:dyDescent="0.2">
      <c r="B22439" s="43"/>
    </row>
    <row r="22440" spans="2:2" ht="12.75" customHeight="1" x14ac:dyDescent="0.2">
      <c r="B22440" s="43"/>
    </row>
    <row r="22441" spans="2:2" ht="12.75" customHeight="1" x14ac:dyDescent="0.2">
      <c r="B22441" s="43"/>
    </row>
    <row r="22442" spans="2:2" ht="12.75" customHeight="1" x14ac:dyDescent="0.2">
      <c r="B22442" s="43"/>
    </row>
    <row r="22443" spans="2:2" ht="12.75" customHeight="1" x14ac:dyDescent="0.2">
      <c r="B22443" s="43"/>
    </row>
    <row r="22444" spans="2:2" ht="12.75" customHeight="1" x14ac:dyDescent="0.2">
      <c r="B22444" s="43"/>
    </row>
    <row r="22445" spans="2:2" ht="12.75" customHeight="1" x14ac:dyDescent="0.2">
      <c r="B22445" s="43"/>
    </row>
    <row r="22446" spans="2:2" ht="12.75" customHeight="1" x14ac:dyDescent="0.2">
      <c r="B22446" s="43"/>
    </row>
    <row r="22447" spans="2:2" ht="12.75" customHeight="1" x14ac:dyDescent="0.2">
      <c r="B22447" s="43"/>
    </row>
    <row r="22448" spans="2:2" ht="12.75" customHeight="1" x14ac:dyDescent="0.2">
      <c r="B22448" s="43"/>
    </row>
    <row r="22449" spans="2:2" ht="12.75" customHeight="1" x14ac:dyDescent="0.2">
      <c r="B22449" s="43"/>
    </row>
    <row r="22450" spans="2:2" ht="12.75" customHeight="1" x14ac:dyDescent="0.2">
      <c r="B22450" s="43"/>
    </row>
    <row r="22451" spans="2:2" ht="12.75" customHeight="1" x14ac:dyDescent="0.2">
      <c r="B22451" s="43"/>
    </row>
    <row r="22452" spans="2:2" ht="12.75" customHeight="1" x14ac:dyDescent="0.2">
      <c r="B22452" s="43"/>
    </row>
    <row r="22453" spans="2:2" ht="12.75" customHeight="1" x14ac:dyDescent="0.2">
      <c r="B22453" s="43"/>
    </row>
    <row r="22454" spans="2:2" ht="12.75" customHeight="1" x14ac:dyDescent="0.2">
      <c r="B22454" s="43"/>
    </row>
    <row r="22455" spans="2:2" ht="12.75" customHeight="1" x14ac:dyDescent="0.2">
      <c r="B22455" s="43"/>
    </row>
    <row r="22456" spans="2:2" ht="12.75" customHeight="1" x14ac:dyDescent="0.2">
      <c r="B22456" s="43"/>
    </row>
    <row r="22457" spans="2:2" ht="12.75" customHeight="1" x14ac:dyDescent="0.2">
      <c r="B22457" s="43"/>
    </row>
    <row r="22458" spans="2:2" ht="12.75" customHeight="1" x14ac:dyDescent="0.2">
      <c r="B22458" s="43"/>
    </row>
    <row r="22459" spans="2:2" ht="12.75" customHeight="1" x14ac:dyDescent="0.2">
      <c r="B22459" s="43"/>
    </row>
    <row r="22460" spans="2:2" ht="12.75" customHeight="1" x14ac:dyDescent="0.2">
      <c r="B22460" s="43"/>
    </row>
    <row r="22461" spans="2:2" ht="12.75" customHeight="1" x14ac:dyDescent="0.2">
      <c r="B22461" s="43"/>
    </row>
    <row r="22462" spans="2:2" ht="12.75" customHeight="1" x14ac:dyDescent="0.2">
      <c r="B22462" s="43"/>
    </row>
    <row r="22463" spans="2:2" ht="12.75" customHeight="1" x14ac:dyDescent="0.2">
      <c r="B22463" s="43"/>
    </row>
    <row r="22464" spans="2:2" ht="12.75" customHeight="1" x14ac:dyDescent="0.2">
      <c r="B22464" s="43"/>
    </row>
    <row r="22465" spans="2:2" ht="12.75" customHeight="1" x14ac:dyDescent="0.2">
      <c r="B22465" s="43"/>
    </row>
    <row r="22466" spans="2:2" ht="12.75" customHeight="1" x14ac:dyDescent="0.2">
      <c r="B22466" s="43"/>
    </row>
    <row r="22467" spans="2:2" ht="12.75" customHeight="1" x14ac:dyDescent="0.2">
      <c r="B22467" s="43"/>
    </row>
    <row r="22468" spans="2:2" ht="12.75" customHeight="1" x14ac:dyDescent="0.2">
      <c r="B22468" s="43"/>
    </row>
    <row r="22469" spans="2:2" ht="12.75" customHeight="1" x14ac:dyDescent="0.2">
      <c r="B22469" s="43"/>
    </row>
    <row r="22470" spans="2:2" ht="12.75" customHeight="1" x14ac:dyDescent="0.2">
      <c r="B22470" s="43"/>
    </row>
    <row r="22471" spans="2:2" ht="12.75" customHeight="1" x14ac:dyDescent="0.2">
      <c r="B22471" s="43"/>
    </row>
    <row r="22472" spans="2:2" ht="12.75" customHeight="1" x14ac:dyDescent="0.2">
      <c r="B22472" s="43"/>
    </row>
    <row r="22473" spans="2:2" ht="12.75" customHeight="1" x14ac:dyDescent="0.2">
      <c r="B22473" s="43"/>
    </row>
    <row r="22474" spans="2:2" ht="12.75" customHeight="1" x14ac:dyDescent="0.2">
      <c r="B22474" s="43"/>
    </row>
    <row r="22475" spans="2:2" ht="12.75" customHeight="1" x14ac:dyDescent="0.2">
      <c r="B22475" s="43"/>
    </row>
    <row r="22476" spans="2:2" ht="12.75" customHeight="1" x14ac:dyDescent="0.2">
      <c r="B22476" s="43"/>
    </row>
    <row r="22477" spans="2:2" ht="12.75" customHeight="1" x14ac:dyDescent="0.2">
      <c r="B22477" s="43"/>
    </row>
    <row r="22478" spans="2:2" ht="12.75" customHeight="1" x14ac:dyDescent="0.2">
      <c r="B22478" s="43"/>
    </row>
    <row r="22479" spans="2:2" ht="12.75" customHeight="1" x14ac:dyDescent="0.2">
      <c r="B22479" s="43"/>
    </row>
    <row r="22480" spans="2:2" ht="12.75" customHeight="1" x14ac:dyDescent="0.2">
      <c r="B22480" s="43"/>
    </row>
    <row r="22481" spans="2:2" ht="12.75" customHeight="1" x14ac:dyDescent="0.2">
      <c r="B22481" s="43"/>
    </row>
    <row r="22482" spans="2:2" ht="12.75" customHeight="1" x14ac:dyDescent="0.2">
      <c r="B22482" s="43"/>
    </row>
    <row r="22483" spans="2:2" ht="12.75" customHeight="1" x14ac:dyDescent="0.2">
      <c r="B22483" s="43"/>
    </row>
    <row r="22484" spans="2:2" ht="12.75" customHeight="1" x14ac:dyDescent="0.2">
      <c r="B22484" s="43"/>
    </row>
    <row r="22485" spans="2:2" ht="12.75" customHeight="1" x14ac:dyDescent="0.2">
      <c r="B22485" s="43"/>
    </row>
    <row r="22486" spans="2:2" ht="12.75" customHeight="1" x14ac:dyDescent="0.2">
      <c r="B22486" s="43"/>
    </row>
    <row r="22487" spans="2:2" ht="12.75" customHeight="1" x14ac:dyDescent="0.2">
      <c r="B22487" s="43"/>
    </row>
    <row r="22488" spans="2:2" ht="12.75" customHeight="1" x14ac:dyDescent="0.2">
      <c r="B22488" s="43"/>
    </row>
    <row r="22489" spans="2:2" ht="12.75" customHeight="1" x14ac:dyDescent="0.2">
      <c r="B22489" s="43"/>
    </row>
    <row r="22490" spans="2:2" ht="12.75" customHeight="1" x14ac:dyDescent="0.2">
      <c r="B22490" s="43"/>
    </row>
    <row r="22491" spans="2:2" ht="12.75" customHeight="1" x14ac:dyDescent="0.2">
      <c r="B22491" s="43"/>
    </row>
    <row r="22492" spans="2:2" ht="12.75" customHeight="1" x14ac:dyDescent="0.2">
      <c r="B22492" s="43"/>
    </row>
    <row r="22493" spans="2:2" ht="12.75" customHeight="1" x14ac:dyDescent="0.2">
      <c r="B22493" s="43"/>
    </row>
    <row r="22494" spans="2:2" ht="12.75" customHeight="1" x14ac:dyDescent="0.2">
      <c r="B22494" s="43"/>
    </row>
    <row r="22495" spans="2:2" ht="12.75" customHeight="1" x14ac:dyDescent="0.2">
      <c r="B22495" s="43"/>
    </row>
    <row r="22496" spans="2:2" ht="12.75" customHeight="1" x14ac:dyDescent="0.2">
      <c r="B22496" s="43"/>
    </row>
    <row r="22497" spans="2:2" ht="12.75" customHeight="1" x14ac:dyDescent="0.2">
      <c r="B22497" s="43"/>
    </row>
    <row r="22498" spans="2:2" ht="12.75" customHeight="1" x14ac:dyDescent="0.2">
      <c r="B22498" s="43"/>
    </row>
    <row r="22499" spans="2:2" ht="12.75" customHeight="1" x14ac:dyDescent="0.2">
      <c r="B22499" s="43"/>
    </row>
    <row r="22500" spans="2:2" ht="12.75" customHeight="1" x14ac:dyDescent="0.2">
      <c r="B22500" s="43"/>
    </row>
    <row r="22501" spans="2:2" ht="12.75" customHeight="1" x14ac:dyDescent="0.2">
      <c r="B22501" s="43"/>
    </row>
    <row r="22502" spans="2:2" ht="12.75" customHeight="1" x14ac:dyDescent="0.2">
      <c r="B22502" s="43"/>
    </row>
    <row r="22503" spans="2:2" ht="12.75" customHeight="1" x14ac:dyDescent="0.2">
      <c r="B22503" s="43"/>
    </row>
    <row r="22504" spans="2:2" ht="12.75" customHeight="1" x14ac:dyDescent="0.2">
      <c r="B22504" s="43"/>
    </row>
    <row r="22505" spans="2:2" ht="12.75" customHeight="1" x14ac:dyDescent="0.2">
      <c r="B22505" s="43"/>
    </row>
    <row r="22506" spans="2:2" ht="12.75" customHeight="1" x14ac:dyDescent="0.2">
      <c r="B22506" s="43"/>
    </row>
    <row r="22507" spans="2:2" ht="12.75" customHeight="1" x14ac:dyDescent="0.2">
      <c r="B22507" s="43"/>
    </row>
    <row r="22508" spans="2:2" ht="12.75" customHeight="1" x14ac:dyDescent="0.2">
      <c r="B22508" s="43"/>
    </row>
    <row r="22509" spans="2:2" ht="12.75" customHeight="1" x14ac:dyDescent="0.2">
      <c r="B22509" s="43"/>
    </row>
    <row r="22510" spans="2:2" ht="12.75" customHeight="1" x14ac:dyDescent="0.2">
      <c r="B22510" s="43"/>
    </row>
    <row r="22511" spans="2:2" ht="12.75" customHeight="1" x14ac:dyDescent="0.2">
      <c r="B22511" s="43"/>
    </row>
    <row r="22512" spans="2:2" ht="12.75" customHeight="1" x14ac:dyDescent="0.2">
      <c r="B22512" s="43"/>
    </row>
    <row r="22513" spans="2:2" ht="12.75" customHeight="1" x14ac:dyDescent="0.2">
      <c r="B22513" s="43"/>
    </row>
    <row r="22514" spans="2:2" ht="12.75" customHeight="1" x14ac:dyDescent="0.2">
      <c r="B22514" s="43"/>
    </row>
    <row r="22515" spans="2:2" ht="12.75" customHeight="1" x14ac:dyDescent="0.2">
      <c r="B22515" s="43"/>
    </row>
    <row r="22516" spans="2:2" ht="12.75" customHeight="1" x14ac:dyDescent="0.2">
      <c r="B22516" s="43"/>
    </row>
    <row r="22517" spans="2:2" ht="12.75" customHeight="1" x14ac:dyDescent="0.2">
      <c r="B22517" s="43"/>
    </row>
    <row r="22518" spans="2:2" ht="12.75" customHeight="1" x14ac:dyDescent="0.2">
      <c r="B22518" s="43"/>
    </row>
    <row r="22519" spans="2:2" ht="12.75" customHeight="1" x14ac:dyDescent="0.2">
      <c r="B22519" s="43"/>
    </row>
    <row r="22520" spans="2:2" ht="12.75" customHeight="1" x14ac:dyDescent="0.2">
      <c r="B22520" s="43"/>
    </row>
    <row r="22521" spans="2:2" ht="12.75" customHeight="1" x14ac:dyDescent="0.2">
      <c r="B22521" s="43"/>
    </row>
    <row r="22522" spans="2:2" ht="12.75" customHeight="1" x14ac:dyDescent="0.2">
      <c r="B22522" s="43"/>
    </row>
    <row r="22523" spans="2:2" ht="12.75" customHeight="1" x14ac:dyDescent="0.2">
      <c r="B22523" s="43"/>
    </row>
    <row r="22524" spans="2:2" ht="12.75" customHeight="1" x14ac:dyDescent="0.2">
      <c r="B22524" s="43"/>
    </row>
    <row r="22525" spans="2:2" ht="12.75" customHeight="1" x14ac:dyDescent="0.2">
      <c r="B22525" s="43"/>
    </row>
    <row r="22526" spans="2:2" ht="12.75" customHeight="1" x14ac:dyDescent="0.2">
      <c r="B22526" s="43"/>
    </row>
    <row r="22527" spans="2:2" ht="12.75" customHeight="1" x14ac:dyDescent="0.2">
      <c r="B22527" s="43"/>
    </row>
    <row r="22528" spans="2:2" ht="12.75" customHeight="1" x14ac:dyDescent="0.2">
      <c r="B22528" s="43"/>
    </row>
    <row r="22529" spans="2:2" ht="12.75" customHeight="1" x14ac:dyDescent="0.2">
      <c r="B22529" s="43"/>
    </row>
    <row r="22530" spans="2:2" ht="12.75" customHeight="1" x14ac:dyDescent="0.2">
      <c r="B22530" s="43"/>
    </row>
    <row r="22531" spans="2:2" ht="12.75" customHeight="1" x14ac:dyDescent="0.2">
      <c r="B22531" s="43"/>
    </row>
    <row r="22532" spans="2:2" ht="12.75" customHeight="1" x14ac:dyDescent="0.2">
      <c r="B22532" s="43"/>
    </row>
    <row r="22533" spans="2:2" ht="12.75" customHeight="1" x14ac:dyDescent="0.2">
      <c r="B22533" s="43"/>
    </row>
    <row r="22534" spans="2:2" ht="12.75" customHeight="1" x14ac:dyDescent="0.2">
      <c r="B22534" s="43"/>
    </row>
    <row r="22535" spans="2:2" ht="12.75" customHeight="1" x14ac:dyDescent="0.2">
      <c r="B22535" s="43"/>
    </row>
    <row r="22536" spans="2:2" ht="12.75" customHeight="1" x14ac:dyDescent="0.2">
      <c r="B22536" s="43"/>
    </row>
    <row r="22537" spans="2:2" ht="12.75" customHeight="1" x14ac:dyDescent="0.2">
      <c r="B22537" s="43"/>
    </row>
    <row r="22538" spans="2:2" ht="12.75" customHeight="1" x14ac:dyDescent="0.2">
      <c r="B22538" s="43"/>
    </row>
    <row r="22539" spans="2:2" ht="12.75" customHeight="1" x14ac:dyDescent="0.2">
      <c r="B22539" s="43"/>
    </row>
    <row r="22540" spans="2:2" ht="12.75" customHeight="1" x14ac:dyDescent="0.2">
      <c r="B22540" s="43"/>
    </row>
    <row r="22541" spans="2:2" ht="12.75" customHeight="1" x14ac:dyDescent="0.2">
      <c r="B22541" s="43"/>
    </row>
    <row r="22542" spans="2:2" ht="12.75" customHeight="1" x14ac:dyDescent="0.2">
      <c r="B22542" s="43"/>
    </row>
    <row r="22543" spans="2:2" ht="12.75" customHeight="1" x14ac:dyDescent="0.2">
      <c r="B22543" s="43"/>
    </row>
    <row r="22544" spans="2:2" ht="12.75" customHeight="1" x14ac:dyDescent="0.2">
      <c r="B22544" s="43"/>
    </row>
    <row r="22545" spans="2:2" ht="12.75" customHeight="1" x14ac:dyDescent="0.2">
      <c r="B22545" s="43"/>
    </row>
    <row r="22546" spans="2:2" ht="12.75" customHeight="1" x14ac:dyDescent="0.2">
      <c r="B22546" s="43"/>
    </row>
    <row r="22547" spans="2:2" ht="12.75" customHeight="1" x14ac:dyDescent="0.2">
      <c r="B22547" s="43"/>
    </row>
    <row r="22548" spans="2:2" ht="12.75" customHeight="1" x14ac:dyDescent="0.2">
      <c r="B22548" s="43"/>
    </row>
    <row r="22549" spans="2:2" ht="12.75" customHeight="1" x14ac:dyDescent="0.2">
      <c r="B22549" s="43"/>
    </row>
    <row r="22550" spans="2:2" ht="12.75" customHeight="1" x14ac:dyDescent="0.2">
      <c r="B22550" s="43"/>
    </row>
    <row r="22551" spans="2:2" ht="12.75" customHeight="1" x14ac:dyDescent="0.2">
      <c r="B22551" s="43"/>
    </row>
    <row r="22552" spans="2:2" ht="12.75" customHeight="1" x14ac:dyDescent="0.2">
      <c r="B22552" s="43"/>
    </row>
    <row r="22553" spans="2:2" ht="12.75" customHeight="1" x14ac:dyDescent="0.2">
      <c r="B22553" s="43"/>
    </row>
    <row r="22554" spans="2:2" ht="12.75" customHeight="1" x14ac:dyDescent="0.2">
      <c r="B22554" s="43"/>
    </row>
    <row r="22555" spans="2:2" ht="12.75" customHeight="1" x14ac:dyDescent="0.2">
      <c r="B22555" s="43"/>
    </row>
    <row r="22556" spans="2:2" ht="12.75" customHeight="1" x14ac:dyDescent="0.2">
      <c r="B22556" s="43"/>
    </row>
    <row r="22557" spans="2:2" ht="12.75" customHeight="1" x14ac:dyDescent="0.2">
      <c r="B22557" s="43"/>
    </row>
    <row r="22558" spans="2:2" ht="12.75" customHeight="1" x14ac:dyDescent="0.2">
      <c r="B22558" s="43"/>
    </row>
    <row r="22559" spans="2:2" ht="12.75" customHeight="1" x14ac:dyDescent="0.2">
      <c r="B22559" s="43"/>
    </row>
    <row r="22560" spans="2:2" ht="12.75" customHeight="1" x14ac:dyDescent="0.2">
      <c r="B22560" s="43"/>
    </row>
    <row r="22561" spans="2:2" ht="12.75" customHeight="1" x14ac:dyDescent="0.2">
      <c r="B22561" s="43"/>
    </row>
    <row r="22562" spans="2:2" ht="12.75" customHeight="1" x14ac:dyDescent="0.2">
      <c r="B22562" s="43"/>
    </row>
    <row r="22563" spans="2:2" ht="12.75" customHeight="1" x14ac:dyDescent="0.2">
      <c r="B22563" s="43"/>
    </row>
    <row r="22564" spans="2:2" ht="12.75" customHeight="1" x14ac:dyDescent="0.2">
      <c r="B22564" s="43"/>
    </row>
    <row r="22565" spans="2:2" ht="12.75" customHeight="1" x14ac:dyDescent="0.2">
      <c r="B22565" s="43"/>
    </row>
    <row r="22566" spans="2:2" ht="12.75" customHeight="1" x14ac:dyDescent="0.2">
      <c r="B22566" s="43"/>
    </row>
    <row r="22567" spans="2:2" ht="12.75" customHeight="1" x14ac:dyDescent="0.2">
      <c r="B22567" s="43"/>
    </row>
    <row r="22568" spans="2:2" ht="12.75" customHeight="1" x14ac:dyDescent="0.2">
      <c r="B22568" s="43"/>
    </row>
    <row r="22569" spans="2:2" ht="12.75" customHeight="1" x14ac:dyDescent="0.2">
      <c r="B22569" s="43"/>
    </row>
    <row r="22570" spans="2:2" ht="12.75" customHeight="1" x14ac:dyDescent="0.2">
      <c r="B22570" s="43"/>
    </row>
    <row r="22571" spans="2:2" ht="12.75" customHeight="1" x14ac:dyDescent="0.2">
      <c r="B22571" s="43"/>
    </row>
    <row r="22572" spans="2:2" ht="12.75" customHeight="1" x14ac:dyDescent="0.2">
      <c r="B22572" s="43"/>
    </row>
    <row r="22573" spans="2:2" ht="12.75" customHeight="1" x14ac:dyDescent="0.2">
      <c r="B22573" s="43"/>
    </row>
    <row r="22574" spans="2:2" ht="12.75" customHeight="1" x14ac:dyDescent="0.2">
      <c r="B22574" s="43"/>
    </row>
    <row r="22575" spans="2:2" ht="12.75" customHeight="1" x14ac:dyDescent="0.2">
      <c r="B22575" s="43"/>
    </row>
    <row r="22576" spans="2:2" ht="12.75" customHeight="1" x14ac:dyDescent="0.2">
      <c r="B22576" s="43"/>
    </row>
    <row r="22577" spans="2:2" ht="12.75" customHeight="1" x14ac:dyDescent="0.2">
      <c r="B22577" s="43"/>
    </row>
    <row r="22578" spans="2:2" ht="12.75" customHeight="1" x14ac:dyDescent="0.2">
      <c r="B22578" s="43"/>
    </row>
    <row r="22579" spans="2:2" ht="12.75" customHeight="1" x14ac:dyDescent="0.2">
      <c r="B22579" s="43"/>
    </row>
    <row r="22580" spans="2:2" ht="12.75" customHeight="1" x14ac:dyDescent="0.2">
      <c r="B22580" s="43"/>
    </row>
    <row r="22581" spans="2:2" ht="12.75" customHeight="1" x14ac:dyDescent="0.2">
      <c r="B22581" s="43"/>
    </row>
    <row r="22582" spans="2:2" ht="12.75" customHeight="1" x14ac:dyDescent="0.2">
      <c r="B22582" s="43"/>
    </row>
    <row r="22583" spans="2:2" ht="12.75" customHeight="1" x14ac:dyDescent="0.2">
      <c r="B22583" s="43"/>
    </row>
    <row r="22584" spans="2:2" ht="12.75" customHeight="1" x14ac:dyDescent="0.2">
      <c r="B22584" s="43"/>
    </row>
    <row r="22585" spans="2:2" ht="12.75" customHeight="1" x14ac:dyDescent="0.2">
      <c r="B22585" s="43"/>
    </row>
    <row r="22586" spans="2:2" ht="12.75" customHeight="1" x14ac:dyDescent="0.2">
      <c r="B22586" s="43"/>
    </row>
    <row r="22587" spans="2:2" ht="12.75" customHeight="1" x14ac:dyDescent="0.2">
      <c r="B22587" s="43"/>
    </row>
    <row r="22588" spans="2:2" ht="12.75" customHeight="1" x14ac:dyDescent="0.2">
      <c r="B22588" s="43"/>
    </row>
    <row r="22589" spans="2:2" ht="12.75" customHeight="1" x14ac:dyDescent="0.2">
      <c r="B22589" s="43"/>
    </row>
    <row r="22590" spans="2:2" ht="12.75" customHeight="1" x14ac:dyDescent="0.2">
      <c r="B22590" s="43"/>
    </row>
    <row r="22591" spans="2:2" ht="12.75" customHeight="1" x14ac:dyDescent="0.2">
      <c r="B22591" s="43"/>
    </row>
    <row r="22592" spans="2:2" ht="12.75" customHeight="1" x14ac:dyDescent="0.2">
      <c r="B22592" s="43"/>
    </row>
    <row r="22593" spans="2:2" ht="12.75" customHeight="1" x14ac:dyDescent="0.2">
      <c r="B22593" s="43"/>
    </row>
    <row r="22594" spans="2:2" ht="12.75" customHeight="1" x14ac:dyDescent="0.2">
      <c r="B22594" s="43"/>
    </row>
    <row r="22595" spans="2:2" ht="12.75" customHeight="1" x14ac:dyDescent="0.2">
      <c r="B22595" s="43"/>
    </row>
    <row r="22596" spans="2:2" ht="12.75" customHeight="1" x14ac:dyDescent="0.2">
      <c r="B22596" s="43"/>
    </row>
    <row r="22597" spans="2:2" ht="12.75" customHeight="1" x14ac:dyDescent="0.2">
      <c r="B22597" s="43"/>
    </row>
    <row r="22598" spans="2:2" ht="12.75" customHeight="1" x14ac:dyDescent="0.2">
      <c r="B22598" s="43"/>
    </row>
    <row r="22599" spans="2:2" ht="12.75" customHeight="1" x14ac:dyDescent="0.2">
      <c r="B22599" s="43"/>
    </row>
    <row r="22600" spans="2:2" ht="12.75" customHeight="1" x14ac:dyDescent="0.2">
      <c r="B22600" s="43"/>
    </row>
    <row r="22601" spans="2:2" ht="12.75" customHeight="1" x14ac:dyDescent="0.2">
      <c r="B22601" s="43"/>
    </row>
    <row r="22602" spans="2:2" ht="12.75" customHeight="1" x14ac:dyDescent="0.2">
      <c r="B22602" s="43"/>
    </row>
    <row r="22603" spans="2:2" ht="12.75" customHeight="1" x14ac:dyDescent="0.2">
      <c r="B22603" s="43"/>
    </row>
    <row r="22604" spans="2:2" ht="12.75" customHeight="1" x14ac:dyDescent="0.2">
      <c r="B22604" s="43"/>
    </row>
    <row r="22605" spans="2:2" ht="12.75" customHeight="1" x14ac:dyDescent="0.2">
      <c r="B22605" s="43"/>
    </row>
    <row r="22606" spans="2:2" ht="12.75" customHeight="1" x14ac:dyDescent="0.2">
      <c r="B22606" s="43"/>
    </row>
    <row r="22607" spans="2:2" ht="12.75" customHeight="1" x14ac:dyDescent="0.2">
      <c r="B22607" s="43"/>
    </row>
    <row r="22608" spans="2:2" ht="12.75" customHeight="1" x14ac:dyDescent="0.2">
      <c r="B22608" s="43"/>
    </row>
    <row r="22609" spans="2:2" ht="12.75" customHeight="1" x14ac:dyDescent="0.2">
      <c r="B22609" s="43"/>
    </row>
    <row r="22610" spans="2:2" ht="12.75" customHeight="1" x14ac:dyDescent="0.2">
      <c r="B22610" s="43"/>
    </row>
    <row r="22611" spans="2:2" ht="12.75" customHeight="1" x14ac:dyDescent="0.2">
      <c r="B22611" s="43"/>
    </row>
    <row r="22612" spans="2:2" ht="12.75" customHeight="1" x14ac:dyDescent="0.2">
      <c r="B22612" s="43"/>
    </row>
    <row r="22613" spans="2:2" ht="12.75" customHeight="1" x14ac:dyDescent="0.2">
      <c r="B22613" s="43"/>
    </row>
    <row r="22614" spans="2:2" ht="12.75" customHeight="1" x14ac:dyDescent="0.2">
      <c r="B22614" s="43"/>
    </row>
    <row r="22615" spans="2:2" ht="12.75" customHeight="1" x14ac:dyDescent="0.2">
      <c r="B22615" s="43"/>
    </row>
    <row r="22616" spans="2:2" ht="12.75" customHeight="1" x14ac:dyDescent="0.2">
      <c r="B22616" s="43"/>
    </row>
    <row r="22617" spans="2:2" ht="12.75" customHeight="1" x14ac:dyDescent="0.2">
      <c r="B22617" s="43"/>
    </row>
    <row r="22618" spans="2:2" ht="12.75" customHeight="1" x14ac:dyDescent="0.2">
      <c r="B22618" s="43"/>
    </row>
    <row r="22619" spans="2:2" ht="12.75" customHeight="1" x14ac:dyDescent="0.2">
      <c r="B22619" s="43"/>
    </row>
    <row r="22620" spans="2:2" ht="12.75" customHeight="1" x14ac:dyDescent="0.2">
      <c r="B22620" s="43"/>
    </row>
    <row r="22621" spans="2:2" ht="12.75" customHeight="1" x14ac:dyDescent="0.2">
      <c r="B22621" s="43"/>
    </row>
    <row r="22622" spans="2:2" ht="12.75" customHeight="1" x14ac:dyDescent="0.2">
      <c r="B22622" s="43"/>
    </row>
    <row r="22623" spans="2:2" ht="12.75" customHeight="1" x14ac:dyDescent="0.2">
      <c r="B22623" s="43"/>
    </row>
    <row r="22624" spans="2:2" ht="12.75" customHeight="1" x14ac:dyDescent="0.2">
      <c r="B22624" s="43"/>
    </row>
    <row r="22625" spans="2:2" ht="12.75" customHeight="1" x14ac:dyDescent="0.2">
      <c r="B22625" s="43"/>
    </row>
    <row r="22626" spans="2:2" ht="12.75" customHeight="1" x14ac:dyDescent="0.2">
      <c r="B22626" s="43"/>
    </row>
    <row r="22627" spans="2:2" ht="12.75" customHeight="1" x14ac:dyDescent="0.2">
      <c r="B22627" s="43"/>
    </row>
    <row r="22628" spans="2:2" ht="12.75" customHeight="1" x14ac:dyDescent="0.2">
      <c r="B22628" s="43"/>
    </row>
    <row r="22629" spans="2:2" ht="12.75" customHeight="1" x14ac:dyDescent="0.2">
      <c r="B22629" s="43"/>
    </row>
    <row r="22630" spans="2:2" ht="12.75" customHeight="1" x14ac:dyDescent="0.2">
      <c r="B22630" s="43"/>
    </row>
    <row r="22631" spans="2:2" ht="12.75" customHeight="1" x14ac:dyDescent="0.2">
      <c r="B22631" s="43"/>
    </row>
    <row r="22632" spans="2:2" ht="12.75" customHeight="1" x14ac:dyDescent="0.2">
      <c r="B22632" s="43"/>
    </row>
    <row r="22633" spans="2:2" ht="12.75" customHeight="1" x14ac:dyDescent="0.2">
      <c r="B22633" s="43"/>
    </row>
    <row r="22634" spans="2:2" ht="12.75" customHeight="1" x14ac:dyDescent="0.2">
      <c r="B22634" s="43"/>
    </row>
    <row r="22635" spans="2:2" ht="12.75" customHeight="1" x14ac:dyDescent="0.2">
      <c r="B22635" s="43"/>
    </row>
    <row r="22636" spans="2:2" ht="12.75" customHeight="1" x14ac:dyDescent="0.2">
      <c r="B22636" s="43"/>
    </row>
    <row r="22637" spans="2:2" ht="12.75" customHeight="1" x14ac:dyDescent="0.2">
      <c r="B22637" s="43"/>
    </row>
    <row r="22638" spans="2:2" ht="12.75" customHeight="1" x14ac:dyDescent="0.2">
      <c r="B22638" s="43"/>
    </row>
    <row r="22639" spans="2:2" ht="12.75" customHeight="1" x14ac:dyDescent="0.2">
      <c r="B22639" s="43"/>
    </row>
    <row r="22640" spans="2:2" ht="12.75" customHeight="1" x14ac:dyDescent="0.2">
      <c r="B22640" s="43"/>
    </row>
    <row r="22641" spans="2:2" ht="12.75" customHeight="1" x14ac:dyDescent="0.2">
      <c r="B22641" s="43"/>
    </row>
    <row r="22642" spans="2:2" ht="12.75" customHeight="1" x14ac:dyDescent="0.2">
      <c r="B22642" s="43"/>
    </row>
    <row r="22643" spans="2:2" ht="12.75" customHeight="1" x14ac:dyDescent="0.2">
      <c r="B22643" s="43"/>
    </row>
    <row r="22644" spans="2:2" ht="12.75" customHeight="1" x14ac:dyDescent="0.2">
      <c r="B22644" s="43"/>
    </row>
    <row r="22645" spans="2:2" ht="12.75" customHeight="1" x14ac:dyDescent="0.2">
      <c r="B22645" s="43"/>
    </row>
    <row r="22646" spans="2:2" ht="12.75" customHeight="1" x14ac:dyDescent="0.2">
      <c r="B22646" s="43"/>
    </row>
    <row r="22647" spans="2:2" ht="12.75" customHeight="1" x14ac:dyDescent="0.2">
      <c r="B22647" s="43"/>
    </row>
    <row r="22648" spans="2:2" ht="12.75" customHeight="1" x14ac:dyDescent="0.2">
      <c r="B22648" s="43"/>
    </row>
    <row r="22649" spans="2:2" ht="12.75" customHeight="1" x14ac:dyDescent="0.2">
      <c r="B22649" s="43"/>
    </row>
    <row r="22650" spans="2:2" ht="12.75" customHeight="1" x14ac:dyDescent="0.2">
      <c r="B22650" s="43"/>
    </row>
    <row r="22651" spans="2:2" ht="12.75" customHeight="1" x14ac:dyDescent="0.2">
      <c r="B22651" s="43"/>
    </row>
    <row r="22652" spans="2:2" ht="12.75" customHeight="1" x14ac:dyDescent="0.2">
      <c r="B22652" s="43"/>
    </row>
    <row r="22653" spans="2:2" ht="12.75" customHeight="1" x14ac:dyDescent="0.2">
      <c r="B22653" s="43"/>
    </row>
    <row r="22654" spans="2:2" ht="12.75" customHeight="1" x14ac:dyDescent="0.2">
      <c r="B22654" s="43"/>
    </row>
    <row r="22655" spans="2:2" ht="12.75" customHeight="1" x14ac:dyDescent="0.2">
      <c r="B22655" s="43"/>
    </row>
    <row r="22656" spans="2:2" ht="12.75" customHeight="1" x14ac:dyDescent="0.2">
      <c r="B22656" s="43"/>
    </row>
    <row r="22657" spans="2:2" ht="12.75" customHeight="1" x14ac:dyDescent="0.2">
      <c r="B22657" s="43"/>
    </row>
    <row r="22658" spans="2:2" ht="12.75" customHeight="1" x14ac:dyDescent="0.2">
      <c r="B22658" s="43"/>
    </row>
    <row r="22659" spans="2:2" ht="12.75" customHeight="1" x14ac:dyDescent="0.2">
      <c r="B22659" s="43"/>
    </row>
    <row r="22660" spans="2:2" ht="12.75" customHeight="1" x14ac:dyDescent="0.2">
      <c r="B22660" s="43"/>
    </row>
    <row r="22661" spans="2:2" ht="12.75" customHeight="1" x14ac:dyDescent="0.2">
      <c r="B22661" s="43"/>
    </row>
    <row r="22662" spans="2:2" ht="12.75" customHeight="1" x14ac:dyDescent="0.2">
      <c r="B22662" s="43"/>
    </row>
    <row r="22663" spans="2:2" ht="12.75" customHeight="1" x14ac:dyDescent="0.2">
      <c r="B22663" s="43"/>
    </row>
    <row r="22664" spans="2:2" ht="12.75" customHeight="1" x14ac:dyDescent="0.2">
      <c r="B22664" s="43"/>
    </row>
    <row r="22665" spans="2:2" ht="12.75" customHeight="1" x14ac:dyDescent="0.2">
      <c r="B22665" s="43"/>
    </row>
    <row r="22666" spans="2:2" ht="12.75" customHeight="1" x14ac:dyDescent="0.2">
      <c r="B22666" s="43"/>
    </row>
    <row r="22667" spans="2:2" ht="12.75" customHeight="1" x14ac:dyDescent="0.2">
      <c r="B22667" s="43"/>
    </row>
    <row r="22668" spans="2:2" ht="12.75" customHeight="1" x14ac:dyDescent="0.2">
      <c r="B22668" s="43"/>
    </row>
    <row r="22669" spans="2:2" ht="12.75" customHeight="1" x14ac:dyDescent="0.2">
      <c r="B22669" s="43"/>
    </row>
    <row r="22670" spans="2:2" ht="12.75" customHeight="1" x14ac:dyDescent="0.2">
      <c r="B22670" s="43"/>
    </row>
    <row r="22671" spans="2:2" ht="12.75" customHeight="1" x14ac:dyDescent="0.2">
      <c r="B22671" s="43"/>
    </row>
    <row r="22672" spans="2:2" ht="12.75" customHeight="1" x14ac:dyDescent="0.2">
      <c r="B22672" s="43"/>
    </row>
    <row r="22673" spans="2:2" ht="12.75" customHeight="1" x14ac:dyDescent="0.2">
      <c r="B22673" s="43"/>
    </row>
    <row r="22674" spans="2:2" ht="12.75" customHeight="1" x14ac:dyDescent="0.2">
      <c r="B22674" s="43"/>
    </row>
    <row r="22675" spans="2:2" ht="12.75" customHeight="1" x14ac:dyDescent="0.2">
      <c r="B22675" s="43"/>
    </row>
    <row r="22676" spans="2:2" ht="12.75" customHeight="1" x14ac:dyDescent="0.2">
      <c r="B22676" s="43"/>
    </row>
    <row r="22677" spans="2:2" ht="12.75" customHeight="1" x14ac:dyDescent="0.2">
      <c r="B22677" s="43"/>
    </row>
    <row r="22678" spans="2:2" ht="12.75" customHeight="1" x14ac:dyDescent="0.2">
      <c r="B22678" s="43"/>
    </row>
    <row r="22679" spans="2:2" ht="12.75" customHeight="1" x14ac:dyDescent="0.2">
      <c r="B22679" s="43"/>
    </row>
    <row r="22680" spans="2:2" ht="12.75" customHeight="1" x14ac:dyDescent="0.2">
      <c r="B22680" s="43"/>
    </row>
    <row r="22681" spans="2:2" ht="12.75" customHeight="1" x14ac:dyDescent="0.2">
      <c r="B22681" s="43"/>
    </row>
    <row r="22682" spans="2:2" ht="12.75" customHeight="1" x14ac:dyDescent="0.2">
      <c r="B22682" s="43"/>
    </row>
    <row r="22683" spans="2:2" ht="12.75" customHeight="1" x14ac:dyDescent="0.2">
      <c r="B22683" s="43"/>
    </row>
    <row r="22684" spans="2:2" ht="12.75" customHeight="1" x14ac:dyDescent="0.2">
      <c r="B22684" s="43"/>
    </row>
    <row r="22685" spans="2:2" ht="12.75" customHeight="1" x14ac:dyDescent="0.2">
      <c r="B22685" s="43"/>
    </row>
    <row r="22686" spans="2:2" ht="12.75" customHeight="1" x14ac:dyDescent="0.2">
      <c r="B22686" s="43"/>
    </row>
    <row r="22687" spans="2:2" ht="12.75" customHeight="1" x14ac:dyDescent="0.2">
      <c r="B22687" s="43"/>
    </row>
    <row r="22688" spans="2:2" ht="12.75" customHeight="1" x14ac:dyDescent="0.2">
      <c r="B22688" s="43"/>
    </row>
    <row r="22689" spans="2:2" ht="12.75" customHeight="1" x14ac:dyDescent="0.2">
      <c r="B22689" s="43"/>
    </row>
    <row r="22690" spans="2:2" ht="12.75" customHeight="1" x14ac:dyDescent="0.2">
      <c r="B22690" s="43"/>
    </row>
    <row r="22691" spans="2:2" ht="12.75" customHeight="1" x14ac:dyDescent="0.2">
      <c r="B22691" s="43"/>
    </row>
    <row r="22692" spans="2:2" ht="12.75" customHeight="1" x14ac:dyDescent="0.2">
      <c r="B22692" s="43"/>
    </row>
    <row r="22693" spans="2:2" ht="12.75" customHeight="1" x14ac:dyDescent="0.2">
      <c r="B22693" s="43"/>
    </row>
    <row r="22694" spans="2:2" ht="12.75" customHeight="1" x14ac:dyDescent="0.2">
      <c r="B22694" s="43"/>
    </row>
    <row r="22695" spans="2:2" ht="12.75" customHeight="1" x14ac:dyDescent="0.2">
      <c r="B22695" s="43"/>
    </row>
    <row r="22696" spans="2:2" ht="12.75" customHeight="1" x14ac:dyDescent="0.2">
      <c r="B22696" s="43"/>
    </row>
    <row r="22697" spans="2:2" ht="12.75" customHeight="1" x14ac:dyDescent="0.2">
      <c r="B22697" s="43"/>
    </row>
    <row r="22698" spans="2:2" ht="12.75" customHeight="1" x14ac:dyDescent="0.2">
      <c r="B22698" s="43"/>
    </row>
    <row r="22699" spans="2:2" ht="12.75" customHeight="1" x14ac:dyDescent="0.2">
      <c r="B22699" s="43"/>
    </row>
    <row r="22700" spans="2:2" ht="12.75" customHeight="1" x14ac:dyDescent="0.2">
      <c r="B22700" s="43"/>
    </row>
    <row r="22701" spans="2:2" ht="12.75" customHeight="1" x14ac:dyDescent="0.2">
      <c r="B22701" s="43"/>
    </row>
    <row r="22702" spans="2:2" ht="12.75" customHeight="1" x14ac:dyDescent="0.2">
      <c r="B22702" s="43"/>
    </row>
    <row r="22703" spans="2:2" ht="12.75" customHeight="1" x14ac:dyDescent="0.2">
      <c r="B22703" s="43"/>
    </row>
    <row r="22704" spans="2:2" ht="12.75" customHeight="1" x14ac:dyDescent="0.2">
      <c r="B22704" s="43"/>
    </row>
    <row r="22705" spans="2:2" ht="12.75" customHeight="1" x14ac:dyDescent="0.2">
      <c r="B22705" s="43"/>
    </row>
    <row r="22706" spans="2:2" ht="12.75" customHeight="1" x14ac:dyDescent="0.2">
      <c r="B22706" s="43"/>
    </row>
    <row r="22707" spans="2:2" ht="12.75" customHeight="1" x14ac:dyDescent="0.2">
      <c r="B22707" s="43"/>
    </row>
    <row r="22708" spans="2:2" ht="12.75" customHeight="1" x14ac:dyDescent="0.2">
      <c r="B22708" s="43"/>
    </row>
    <row r="22709" spans="2:2" ht="12.75" customHeight="1" x14ac:dyDescent="0.2">
      <c r="B22709" s="43"/>
    </row>
    <row r="22710" spans="2:2" ht="12.75" customHeight="1" x14ac:dyDescent="0.2">
      <c r="B22710" s="43"/>
    </row>
    <row r="22711" spans="2:2" ht="12.75" customHeight="1" x14ac:dyDescent="0.2">
      <c r="B22711" s="43"/>
    </row>
    <row r="22712" spans="2:2" ht="12.75" customHeight="1" x14ac:dyDescent="0.2">
      <c r="B22712" s="43"/>
    </row>
    <row r="22713" spans="2:2" ht="12.75" customHeight="1" x14ac:dyDescent="0.2">
      <c r="B22713" s="43"/>
    </row>
    <row r="22714" spans="2:2" ht="12.75" customHeight="1" x14ac:dyDescent="0.2">
      <c r="B22714" s="43"/>
    </row>
    <row r="22715" spans="2:2" ht="12.75" customHeight="1" x14ac:dyDescent="0.2">
      <c r="B22715" s="43"/>
    </row>
    <row r="22716" spans="2:2" ht="12.75" customHeight="1" x14ac:dyDescent="0.2">
      <c r="B22716" s="43"/>
    </row>
    <row r="22717" spans="2:2" ht="12.75" customHeight="1" x14ac:dyDescent="0.2">
      <c r="B22717" s="43"/>
    </row>
    <row r="22718" spans="2:2" ht="12.75" customHeight="1" x14ac:dyDescent="0.2">
      <c r="B22718" s="43"/>
    </row>
    <row r="22719" spans="2:2" ht="12.75" customHeight="1" x14ac:dyDescent="0.2">
      <c r="B22719" s="43"/>
    </row>
    <row r="22720" spans="2:2" ht="12.75" customHeight="1" x14ac:dyDescent="0.2">
      <c r="B22720" s="43"/>
    </row>
    <row r="22721" spans="2:2" ht="12.75" customHeight="1" x14ac:dyDescent="0.2">
      <c r="B22721" s="43"/>
    </row>
    <row r="22722" spans="2:2" ht="12.75" customHeight="1" x14ac:dyDescent="0.2">
      <c r="B22722" s="43"/>
    </row>
    <row r="22723" spans="2:2" ht="12.75" customHeight="1" x14ac:dyDescent="0.2">
      <c r="B22723" s="43"/>
    </row>
    <row r="22724" spans="2:2" ht="12.75" customHeight="1" x14ac:dyDescent="0.2">
      <c r="B22724" s="43"/>
    </row>
    <row r="22725" spans="2:2" ht="12.75" customHeight="1" x14ac:dyDescent="0.2">
      <c r="B22725" s="43"/>
    </row>
    <row r="22726" spans="2:2" ht="12.75" customHeight="1" x14ac:dyDescent="0.2">
      <c r="B22726" s="43"/>
    </row>
    <row r="22727" spans="2:2" ht="12.75" customHeight="1" x14ac:dyDescent="0.2">
      <c r="B22727" s="43"/>
    </row>
    <row r="22728" spans="2:2" ht="12.75" customHeight="1" x14ac:dyDescent="0.2">
      <c r="B22728" s="43"/>
    </row>
    <row r="22729" spans="2:2" ht="12.75" customHeight="1" x14ac:dyDescent="0.2">
      <c r="B22729" s="43"/>
    </row>
    <row r="22730" spans="2:2" ht="12.75" customHeight="1" x14ac:dyDescent="0.2">
      <c r="B22730" s="43"/>
    </row>
    <row r="22731" spans="2:2" ht="12.75" customHeight="1" x14ac:dyDescent="0.2">
      <c r="B22731" s="43"/>
    </row>
    <row r="22732" spans="2:2" ht="12.75" customHeight="1" x14ac:dyDescent="0.2">
      <c r="B22732" s="43"/>
    </row>
    <row r="22733" spans="2:2" ht="12.75" customHeight="1" x14ac:dyDescent="0.2">
      <c r="B22733" s="43"/>
    </row>
    <row r="22734" spans="2:2" ht="12.75" customHeight="1" x14ac:dyDescent="0.2">
      <c r="B22734" s="43"/>
    </row>
    <row r="22735" spans="2:2" ht="12.75" customHeight="1" x14ac:dyDescent="0.2">
      <c r="B22735" s="43"/>
    </row>
    <row r="22736" spans="2:2" ht="12.75" customHeight="1" x14ac:dyDescent="0.2">
      <c r="B22736" s="43"/>
    </row>
    <row r="22737" spans="2:2" ht="12.75" customHeight="1" x14ac:dyDescent="0.2">
      <c r="B22737" s="43"/>
    </row>
    <row r="22738" spans="2:2" ht="12.75" customHeight="1" x14ac:dyDescent="0.2">
      <c r="B22738" s="43"/>
    </row>
    <row r="22739" spans="2:2" ht="12.75" customHeight="1" x14ac:dyDescent="0.2">
      <c r="B22739" s="43"/>
    </row>
    <row r="22740" spans="2:2" ht="12.75" customHeight="1" x14ac:dyDescent="0.2">
      <c r="B22740" s="43"/>
    </row>
    <row r="22741" spans="2:2" ht="12.75" customHeight="1" x14ac:dyDescent="0.2">
      <c r="B22741" s="43"/>
    </row>
    <row r="22742" spans="2:2" ht="12.75" customHeight="1" x14ac:dyDescent="0.2">
      <c r="B22742" s="43"/>
    </row>
    <row r="22743" spans="2:2" ht="12.75" customHeight="1" x14ac:dyDescent="0.2">
      <c r="B22743" s="43"/>
    </row>
    <row r="22744" spans="2:2" ht="12.75" customHeight="1" x14ac:dyDescent="0.2">
      <c r="B22744" s="43"/>
    </row>
    <row r="22745" spans="2:2" ht="12.75" customHeight="1" x14ac:dyDescent="0.2">
      <c r="B22745" s="43"/>
    </row>
    <row r="22746" spans="2:2" ht="12.75" customHeight="1" x14ac:dyDescent="0.2">
      <c r="B22746" s="43"/>
    </row>
    <row r="22747" spans="2:2" ht="12.75" customHeight="1" x14ac:dyDescent="0.2">
      <c r="B22747" s="43"/>
    </row>
    <row r="22748" spans="2:2" ht="12.75" customHeight="1" x14ac:dyDescent="0.2">
      <c r="B22748" s="43"/>
    </row>
    <row r="22749" spans="2:2" ht="12.75" customHeight="1" x14ac:dyDescent="0.2">
      <c r="B22749" s="43"/>
    </row>
    <row r="22750" spans="2:2" ht="12.75" customHeight="1" x14ac:dyDescent="0.2">
      <c r="B22750" s="43"/>
    </row>
    <row r="22751" spans="2:2" ht="12.75" customHeight="1" x14ac:dyDescent="0.2">
      <c r="B22751" s="43"/>
    </row>
    <row r="22752" spans="2:2" ht="12.75" customHeight="1" x14ac:dyDescent="0.2">
      <c r="B22752" s="43"/>
    </row>
    <row r="22753" spans="2:2" ht="12.75" customHeight="1" x14ac:dyDescent="0.2">
      <c r="B22753" s="43"/>
    </row>
    <row r="22754" spans="2:2" ht="12.75" customHeight="1" x14ac:dyDescent="0.2">
      <c r="B22754" s="43"/>
    </row>
    <row r="22755" spans="2:2" ht="12.75" customHeight="1" x14ac:dyDescent="0.2">
      <c r="B22755" s="43"/>
    </row>
    <row r="22756" spans="2:2" ht="12.75" customHeight="1" x14ac:dyDescent="0.2">
      <c r="B22756" s="43"/>
    </row>
    <row r="22757" spans="2:2" ht="12.75" customHeight="1" x14ac:dyDescent="0.2">
      <c r="B22757" s="43"/>
    </row>
    <row r="22758" spans="2:2" ht="12.75" customHeight="1" x14ac:dyDescent="0.2">
      <c r="B22758" s="43"/>
    </row>
    <row r="22759" spans="2:2" ht="12.75" customHeight="1" x14ac:dyDescent="0.2">
      <c r="B22759" s="43"/>
    </row>
    <row r="22760" spans="2:2" ht="12.75" customHeight="1" x14ac:dyDescent="0.2">
      <c r="B22760" s="43"/>
    </row>
    <row r="22761" spans="2:2" ht="12.75" customHeight="1" x14ac:dyDescent="0.2">
      <c r="B22761" s="43"/>
    </row>
    <row r="22762" spans="2:2" ht="12.75" customHeight="1" x14ac:dyDescent="0.2">
      <c r="B22762" s="43"/>
    </row>
    <row r="22763" spans="2:2" ht="12.75" customHeight="1" x14ac:dyDescent="0.2">
      <c r="B22763" s="43"/>
    </row>
    <row r="22764" spans="2:2" ht="12.75" customHeight="1" x14ac:dyDescent="0.2">
      <c r="B22764" s="43"/>
    </row>
    <row r="22765" spans="2:2" ht="12.75" customHeight="1" x14ac:dyDescent="0.2">
      <c r="B22765" s="43"/>
    </row>
    <row r="22766" spans="2:2" ht="12.75" customHeight="1" x14ac:dyDescent="0.2">
      <c r="B22766" s="43"/>
    </row>
    <row r="22767" spans="2:2" ht="12.75" customHeight="1" x14ac:dyDescent="0.2">
      <c r="B22767" s="43"/>
    </row>
    <row r="22768" spans="2:2" ht="12.75" customHeight="1" x14ac:dyDescent="0.2">
      <c r="B22768" s="43"/>
    </row>
    <row r="22769" spans="2:2" ht="12.75" customHeight="1" x14ac:dyDescent="0.2">
      <c r="B22769" s="43"/>
    </row>
    <row r="22770" spans="2:2" ht="12.75" customHeight="1" x14ac:dyDescent="0.2">
      <c r="B22770" s="43"/>
    </row>
    <row r="22771" spans="2:2" ht="12.75" customHeight="1" x14ac:dyDescent="0.2">
      <c r="B22771" s="43"/>
    </row>
    <row r="22772" spans="2:2" ht="12.75" customHeight="1" x14ac:dyDescent="0.2">
      <c r="B22772" s="43"/>
    </row>
    <row r="22773" spans="2:2" ht="12.75" customHeight="1" x14ac:dyDescent="0.2">
      <c r="B22773" s="43"/>
    </row>
    <row r="22774" spans="2:2" ht="12.75" customHeight="1" x14ac:dyDescent="0.2">
      <c r="B22774" s="43"/>
    </row>
    <row r="22775" spans="2:2" ht="12.75" customHeight="1" x14ac:dyDescent="0.2">
      <c r="B22775" s="43"/>
    </row>
    <row r="22776" spans="2:2" ht="12.75" customHeight="1" x14ac:dyDescent="0.2">
      <c r="B22776" s="43"/>
    </row>
    <row r="22777" spans="2:2" ht="12.75" customHeight="1" x14ac:dyDescent="0.2">
      <c r="B22777" s="43"/>
    </row>
    <row r="22778" spans="2:2" ht="12.75" customHeight="1" x14ac:dyDescent="0.2">
      <c r="B22778" s="43"/>
    </row>
    <row r="22779" spans="2:2" ht="12.75" customHeight="1" x14ac:dyDescent="0.2">
      <c r="B22779" s="43"/>
    </row>
    <row r="22780" spans="2:2" ht="12.75" customHeight="1" x14ac:dyDescent="0.2">
      <c r="B22780" s="43"/>
    </row>
    <row r="22781" spans="2:2" ht="12.75" customHeight="1" x14ac:dyDescent="0.2">
      <c r="B22781" s="43"/>
    </row>
    <row r="22782" spans="2:2" ht="12.75" customHeight="1" x14ac:dyDescent="0.2">
      <c r="B22782" s="43"/>
    </row>
    <row r="22783" spans="2:2" ht="12.75" customHeight="1" x14ac:dyDescent="0.2">
      <c r="B22783" s="43"/>
    </row>
    <row r="22784" spans="2:2" ht="12.75" customHeight="1" x14ac:dyDescent="0.2">
      <c r="B22784" s="43"/>
    </row>
    <row r="22785" spans="2:2" ht="12.75" customHeight="1" x14ac:dyDescent="0.2">
      <c r="B22785" s="43"/>
    </row>
    <row r="22786" spans="2:2" ht="12.75" customHeight="1" x14ac:dyDescent="0.2">
      <c r="B22786" s="43"/>
    </row>
    <row r="22787" spans="2:2" ht="12.75" customHeight="1" x14ac:dyDescent="0.2">
      <c r="B22787" s="43"/>
    </row>
    <row r="22788" spans="2:2" ht="12.75" customHeight="1" x14ac:dyDescent="0.2">
      <c r="B22788" s="43"/>
    </row>
    <row r="22789" spans="2:2" ht="12.75" customHeight="1" x14ac:dyDescent="0.2">
      <c r="B22789" s="43"/>
    </row>
    <row r="22790" spans="2:2" ht="12.75" customHeight="1" x14ac:dyDescent="0.2">
      <c r="B22790" s="43"/>
    </row>
    <row r="22791" spans="2:2" ht="12.75" customHeight="1" x14ac:dyDescent="0.2">
      <c r="B22791" s="43"/>
    </row>
    <row r="22792" spans="2:2" ht="12.75" customHeight="1" x14ac:dyDescent="0.2">
      <c r="B22792" s="43"/>
    </row>
    <row r="22793" spans="2:2" ht="12.75" customHeight="1" x14ac:dyDescent="0.2">
      <c r="B22793" s="43"/>
    </row>
    <row r="22794" spans="2:2" ht="12.75" customHeight="1" x14ac:dyDescent="0.2">
      <c r="B22794" s="43"/>
    </row>
    <row r="22795" spans="2:2" ht="12.75" customHeight="1" x14ac:dyDescent="0.2">
      <c r="B22795" s="43"/>
    </row>
    <row r="22796" spans="2:2" ht="12.75" customHeight="1" x14ac:dyDescent="0.2">
      <c r="B22796" s="43"/>
    </row>
    <row r="22797" spans="2:2" ht="12.75" customHeight="1" x14ac:dyDescent="0.2">
      <c r="B22797" s="43"/>
    </row>
    <row r="22798" spans="2:2" ht="12.75" customHeight="1" x14ac:dyDescent="0.2">
      <c r="B22798" s="43"/>
    </row>
    <row r="22799" spans="2:2" ht="12.75" customHeight="1" x14ac:dyDescent="0.2">
      <c r="B22799" s="43"/>
    </row>
    <row r="22800" spans="2:2" ht="12.75" customHeight="1" x14ac:dyDescent="0.2">
      <c r="B22800" s="43"/>
    </row>
    <row r="22801" spans="2:2" ht="12.75" customHeight="1" x14ac:dyDescent="0.2">
      <c r="B22801" s="43"/>
    </row>
    <row r="22802" spans="2:2" ht="12.75" customHeight="1" x14ac:dyDescent="0.2">
      <c r="B22802" s="43"/>
    </row>
    <row r="22803" spans="2:2" ht="12.75" customHeight="1" x14ac:dyDescent="0.2">
      <c r="B22803" s="43"/>
    </row>
    <row r="22804" spans="2:2" ht="12.75" customHeight="1" x14ac:dyDescent="0.2">
      <c r="B22804" s="43"/>
    </row>
    <row r="22805" spans="2:2" ht="12.75" customHeight="1" x14ac:dyDescent="0.2">
      <c r="B22805" s="43"/>
    </row>
    <row r="22806" spans="2:2" ht="12.75" customHeight="1" x14ac:dyDescent="0.2">
      <c r="B22806" s="43"/>
    </row>
    <row r="22807" spans="2:2" ht="12.75" customHeight="1" x14ac:dyDescent="0.2">
      <c r="B22807" s="43"/>
    </row>
    <row r="22808" spans="2:2" ht="12.75" customHeight="1" x14ac:dyDescent="0.2">
      <c r="B22808" s="43"/>
    </row>
    <row r="22809" spans="2:2" ht="12.75" customHeight="1" x14ac:dyDescent="0.2">
      <c r="B22809" s="43"/>
    </row>
    <row r="22810" spans="2:2" ht="12.75" customHeight="1" x14ac:dyDescent="0.2">
      <c r="B22810" s="43"/>
    </row>
    <row r="22811" spans="2:2" ht="12.75" customHeight="1" x14ac:dyDescent="0.2">
      <c r="B22811" s="43"/>
    </row>
    <row r="22812" spans="2:2" ht="12.75" customHeight="1" x14ac:dyDescent="0.2">
      <c r="B22812" s="43"/>
    </row>
    <row r="22813" spans="2:2" ht="12.75" customHeight="1" x14ac:dyDescent="0.2">
      <c r="B22813" s="43"/>
    </row>
    <row r="22814" spans="2:2" ht="12.75" customHeight="1" x14ac:dyDescent="0.2">
      <c r="B22814" s="43"/>
    </row>
    <row r="22815" spans="2:2" ht="12.75" customHeight="1" x14ac:dyDescent="0.2">
      <c r="B22815" s="43"/>
    </row>
    <row r="22816" spans="2:2" ht="12.75" customHeight="1" x14ac:dyDescent="0.2">
      <c r="B22816" s="43"/>
    </row>
    <row r="22817" spans="2:2" ht="12.75" customHeight="1" x14ac:dyDescent="0.2">
      <c r="B22817" s="43"/>
    </row>
    <row r="22818" spans="2:2" ht="12.75" customHeight="1" x14ac:dyDescent="0.2">
      <c r="B22818" s="43"/>
    </row>
    <row r="22819" spans="2:2" ht="12.75" customHeight="1" x14ac:dyDescent="0.2">
      <c r="B22819" s="43"/>
    </row>
    <row r="22820" spans="2:2" ht="12.75" customHeight="1" x14ac:dyDescent="0.2">
      <c r="B22820" s="43"/>
    </row>
    <row r="22821" spans="2:2" ht="12.75" customHeight="1" x14ac:dyDescent="0.2">
      <c r="B22821" s="43"/>
    </row>
    <row r="22822" spans="2:2" ht="12.75" customHeight="1" x14ac:dyDescent="0.2">
      <c r="B22822" s="43"/>
    </row>
    <row r="22823" spans="2:2" ht="12.75" customHeight="1" x14ac:dyDescent="0.2">
      <c r="B22823" s="43"/>
    </row>
    <row r="22824" spans="2:2" ht="12.75" customHeight="1" x14ac:dyDescent="0.2">
      <c r="B22824" s="43"/>
    </row>
    <row r="22825" spans="2:2" ht="12.75" customHeight="1" x14ac:dyDescent="0.2">
      <c r="B22825" s="43"/>
    </row>
    <row r="22826" spans="2:2" ht="12.75" customHeight="1" x14ac:dyDescent="0.2">
      <c r="B22826" s="43"/>
    </row>
    <row r="22827" spans="2:2" ht="12.75" customHeight="1" x14ac:dyDescent="0.2">
      <c r="B22827" s="43"/>
    </row>
    <row r="22828" spans="2:2" ht="12.75" customHeight="1" x14ac:dyDescent="0.2">
      <c r="B22828" s="43"/>
    </row>
    <row r="22829" spans="2:2" ht="12.75" customHeight="1" x14ac:dyDescent="0.2">
      <c r="B22829" s="43"/>
    </row>
    <row r="22830" spans="2:2" ht="12.75" customHeight="1" x14ac:dyDescent="0.2">
      <c r="B22830" s="43"/>
    </row>
    <row r="22831" spans="2:2" ht="12.75" customHeight="1" x14ac:dyDescent="0.2">
      <c r="B22831" s="43"/>
    </row>
    <row r="22832" spans="2:2" ht="12.75" customHeight="1" x14ac:dyDescent="0.2">
      <c r="B22832" s="43"/>
    </row>
    <row r="22833" spans="2:2" ht="12.75" customHeight="1" x14ac:dyDescent="0.2">
      <c r="B22833" s="43"/>
    </row>
    <row r="22834" spans="2:2" ht="12.75" customHeight="1" x14ac:dyDescent="0.2">
      <c r="B22834" s="43"/>
    </row>
    <row r="22835" spans="2:2" ht="12.75" customHeight="1" x14ac:dyDescent="0.2">
      <c r="B22835" s="43"/>
    </row>
    <row r="22836" spans="2:2" ht="12.75" customHeight="1" x14ac:dyDescent="0.2">
      <c r="B22836" s="43"/>
    </row>
    <row r="22837" spans="2:2" ht="12.75" customHeight="1" x14ac:dyDescent="0.2">
      <c r="B22837" s="43"/>
    </row>
    <row r="22838" spans="2:2" ht="12.75" customHeight="1" x14ac:dyDescent="0.2">
      <c r="B22838" s="43"/>
    </row>
    <row r="22839" spans="2:2" ht="12.75" customHeight="1" x14ac:dyDescent="0.2">
      <c r="B22839" s="43"/>
    </row>
    <row r="22840" spans="2:2" ht="12.75" customHeight="1" x14ac:dyDescent="0.2">
      <c r="B22840" s="43"/>
    </row>
    <row r="22841" spans="2:2" ht="12.75" customHeight="1" x14ac:dyDescent="0.2">
      <c r="B22841" s="43"/>
    </row>
    <row r="22842" spans="2:2" ht="12.75" customHeight="1" x14ac:dyDescent="0.2">
      <c r="B22842" s="43"/>
    </row>
    <row r="22843" spans="2:2" ht="12.75" customHeight="1" x14ac:dyDescent="0.2">
      <c r="B22843" s="43"/>
    </row>
    <row r="22844" spans="2:2" ht="12.75" customHeight="1" x14ac:dyDescent="0.2">
      <c r="B22844" s="43"/>
    </row>
    <row r="22845" spans="2:2" ht="12.75" customHeight="1" x14ac:dyDescent="0.2">
      <c r="B22845" s="43"/>
    </row>
    <row r="22846" spans="2:2" ht="12.75" customHeight="1" x14ac:dyDescent="0.2">
      <c r="B22846" s="43"/>
    </row>
    <row r="22847" spans="2:2" ht="12.75" customHeight="1" x14ac:dyDescent="0.2">
      <c r="B22847" s="43"/>
    </row>
    <row r="22848" spans="2:2" ht="12.75" customHeight="1" x14ac:dyDescent="0.2">
      <c r="B22848" s="43"/>
    </row>
    <row r="22849" spans="2:2" ht="12.75" customHeight="1" x14ac:dyDescent="0.2">
      <c r="B22849" s="43"/>
    </row>
    <row r="22850" spans="2:2" ht="12.75" customHeight="1" x14ac:dyDescent="0.2">
      <c r="B22850" s="43"/>
    </row>
    <row r="22851" spans="2:2" ht="12.75" customHeight="1" x14ac:dyDescent="0.2">
      <c r="B22851" s="43"/>
    </row>
    <row r="22852" spans="2:2" ht="12.75" customHeight="1" x14ac:dyDescent="0.2">
      <c r="B22852" s="43"/>
    </row>
    <row r="22853" spans="2:2" ht="12.75" customHeight="1" x14ac:dyDescent="0.2">
      <c r="B22853" s="43"/>
    </row>
    <row r="22854" spans="2:2" ht="12.75" customHeight="1" x14ac:dyDescent="0.2">
      <c r="B22854" s="43"/>
    </row>
    <row r="22855" spans="2:2" ht="12.75" customHeight="1" x14ac:dyDescent="0.2">
      <c r="B22855" s="43"/>
    </row>
    <row r="22856" spans="2:2" ht="12.75" customHeight="1" x14ac:dyDescent="0.2">
      <c r="B22856" s="43"/>
    </row>
    <row r="22857" spans="2:2" ht="12.75" customHeight="1" x14ac:dyDescent="0.2">
      <c r="B22857" s="43"/>
    </row>
    <row r="22858" spans="2:2" ht="12.75" customHeight="1" x14ac:dyDescent="0.2">
      <c r="B22858" s="43"/>
    </row>
    <row r="22859" spans="2:2" ht="12.75" customHeight="1" x14ac:dyDescent="0.2">
      <c r="B22859" s="43"/>
    </row>
    <row r="22860" spans="2:2" ht="12.75" customHeight="1" x14ac:dyDescent="0.2">
      <c r="B22860" s="43"/>
    </row>
    <row r="22861" spans="2:2" ht="12.75" customHeight="1" x14ac:dyDescent="0.2">
      <c r="B22861" s="43"/>
    </row>
    <row r="22862" spans="2:2" ht="12.75" customHeight="1" x14ac:dyDescent="0.2">
      <c r="B22862" s="43"/>
    </row>
    <row r="22863" spans="2:2" ht="12.75" customHeight="1" x14ac:dyDescent="0.2">
      <c r="B22863" s="43"/>
    </row>
    <row r="22864" spans="2:2" ht="12.75" customHeight="1" x14ac:dyDescent="0.2">
      <c r="B22864" s="43"/>
    </row>
    <row r="22865" spans="2:2" ht="12.75" customHeight="1" x14ac:dyDescent="0.2">
      <c r="B22865" s="43"/>
    </row>
    <row r="22866" spans="2:2" ht="12.75" customHeight="1" x14ac:dyDescent="0.2">
      <c r="B22866" s="43"/>
    </row>
    <row r="22867" spans="2:2" ht="12.75" customHeight="1" x14ac:dyDescent="0.2">
      <c r="B22867" s="43"/>
    </row>
    <row r="22868" spans="2:2" ht="12.75" customHeight="1" x14ac:dyDescent="0.2">
      <c r="B22868" s="43"/>
    </row>
    <row r="22869" spans="2:2" ht="12.75" customHeight="1" x14ac:dyDescent="0.2">
      <c r="B22869" s="43"/>
    </row>
    <row r="22870" spans="2:2" ht="12.75" customHeight="1" x14ac:dyDescent="0.2">
      <c r="B22870" s="43"/>
    </row>
    <row r="22871" spans="2:2" ht="12.75" customHeight="1" x14ac:dyDescent="0.2">
      <c r="B22871" s="43"/>
    </row>
    <row r="22872" spans="2:2" ht="12.75" customHeight="1" x14ac:dyDescent="0.2">
      <c r="B22872" s="43"/>
    </row>
    <row r="22873" spans="2:2" ht="12.75" customHeight="1" x14ac:dyDescent="0.2">
      <c r="B22873" s="43"/>
    </row>
    <row r="22874" spans="2:2" ht="12.75" customHeight="1" x14ac:dyDescent="0.2">
      <c r="B22874" s="43"/>
    </row>
    <row r="22875" spans="2:2" ht="12.75" customHeight="1" x14ac:dyDescent="0.2">
      <c r="B22875" s="43"/>
    </row>
    <row r="22876" spans="2:2" ht="12.75" customHeight="1" x14ac:dyDescent="0.2">
      <c r="B22876" s="43"/>
    </row>
    <row r="22877" spans="2:2" ht="12.75" customHeight="1" x14ac:dyDescent="0.2">
      <c r="B22877" s="43"/>
    </row>
    <row r="22878" spans="2:2" ht="12.75" customHeight="1" x14ac:dyDescent="0.2">
      <c r="B22878" s="43"/>
    </row>
    <row r="22879" spans="2:2" ht="12.75" customHeight="1" x14ac:dyDescent="0.2">
      <c r="B22879" s="43"/>
    </row>
    <row r="22880" spans="2:2" ht="12.75" customHeight="1" x14ac:dyDescent="0.2">
      <c r="B22880" s="43"/>
    </row>
    <row r="22881" spans="2:2" ht="12.75" customHeight="1" x14ac:dyDescent="0.2">
      <c r="B22881" s="43"/>
    </row>
    <row r="22882" spans="2:2" ht="12.75" customHeight="1" x14ac:dyDescent="0.2">
      <c r="B22882" s="43"/>
    </row>
    <row r="22883" spans="2:2" ht="12.75" customHeight="1" x14ac:dyDescent="0.2">
      <c r="B22883" s="43"/>
    </row>
    <row r="22884" spans="2:2" ht="12.75" customHeight="1" x14ac:dyDescent="0.2">
      <c r="B22884" s="43"/>
    </row>
    <row r="22885" spans="2:2" ht="12.75" customHeight="1" x14ac:dyDescent="0.2">
      <c r="B22885" s="43"/>
    </row>
    <row r="22886" spans="2:2" ht="12.75" customHeight="1" x14ac:dyDescent="0.2">
      <c r="B22886" s="43"/>
    </row>
    <row r="22887" spans="2:2" ht="12.75" customHeight="1" x14ac:dyDescent="0.2">
      <c r="B22887" s="43"/>
    </row>
    <row r="22888" spans="2:2" ht="12.75" customHeight="1" x14ac:dyDescent="0.2">
      <c r="B22888" s="43"/>
    </row>
    <row r="22889" spans="2:2" ht="12.75" customHeight="1" x14ac:dyDescent="0.2">
      <c r="B22889" s="43"/>
    </row>
    <row r="22890" spans="2:2" ht="12.75" customHeight="1" x14ac:dyDescent="0.2">
      <c r="B22890" s="43"/>
    </row>
    <row r="22891" spans="2:2" ht="12.75" customHeight="1" x14ac:dyDescent="0.2">
      <c r="B22891" s="43"/>
    </row>
    <row r="22892" spans="2:2" ht="12.75" customHeight="1" x14ac:dyDescent="0.2">
      <c r="B22892" s="43"/>
    </row>
    <row r="22893" spans="2:2" ht="12.75" customHeight="1" x14ac:dyDescent="0.2">
      <c r="B22893" s="43"/>
    </row>
    <row r="22894" spans="2:2" ht="12.75" customHeight="1" x14ac:dyDescent="0.2">
      <c r="B22894" s="43"/>
    </row>
    <row r="22895" spans="2:2" ht="12.75" customHeight="1" x14ac:dyDescent="0.2">
      <c r="B22895" s="43"/>
    </row>
    <row r="22896" spans="2:2" ht="12.75" customHeight="1" x14ac:dyDescent="0.2">
      <c r="B22896" s="43"/>
    </row>
    <row r="22897" spans="2:2" ht="12.75" customHeight="1" x14ac:dyDescent="0.2">
      <c r="B22897" s="43"/>
    </row>
    <row r="22898" spans="2:2" ht="12.75" customHeight="1" x14ac:dyDescent="0.2">
      <c r="B22898" s="43"/>
    </row>
    <row r="22899" spans="2:2" ht="12.75" customHeight="1" x14ac:dyDescent="0.2">
      <c r="B22899" s="43"/>
    </row>
    <row r="22900" spans="2:2" ht="12.75" customHeight="1" x14ac:dyDescent="0.2">
      <c r="B22900" s="43"/>
    </row>
    <row r="22901" spans="2:2" ht="12.75" customHeight="1" x14ac:dyDescent="0.2">
      <c r="B22901" s="43"/>
    </row>
    <row r="22902" spans="2:2" ht="12.75" customHeight="1" x14ac:dyDescent="0.2">
      <c r="B22902" s="43"/>
    </row>
    <row r="22903" spans="2:2" ht="12.75" customHeight="1" x14ac:dyDescent="0.2">
      <c r="B22903" s="43"/>
    </row>
    <row r="22904" spans="2:2" ht="12.75" customHeight="1" x14ac:dyDescent="0.2">
      <c r="B22904" s="43"/>
    </row>
    <row r="22905" spans="2:2" ht="12.75" customHeight="1" x14ac:dyDescent="0.2">
      <c r="B22905" s="43"/>
    </row>
    <row r="22906" spans="2:2" ht="12.75" customHeight="1" x14ac:dyDescent="0.2">
      <c r="B22906" s="43"/>
    </row>
    <row r="22907" spans="2:2" ht="12.75" customHeight="1" x14ac:dyDescent="0.2">
      <c r="B22907" s="43"/>
    </row>
    <row r="22908" spans="2:2" ht="12.75" customHeight="1" x14ac:dyDescent="0.2">
      <c r="B22908" s="43"/>
    </row>
    <row r="22909" spans="2:2" ht="12.75" customHeight="1" x14ac:dyDescent="0.2">
      <c r="B22909" s="43"/>
    </row>
    <row r="22910" spans="2:2" ht="12.75" customHeight="1" x14ac:dyDescent="0.2">
      <c r="B22910" s="43"/>
    </row>
    <row r="22911" spans="2:2" ht="12.75" customHeight="1" x14ac:dyDescent="0.2">
      <c r="B22911" s="43"/>
    </row>
    <row r="22912" spans="2:2" ht="12.75" customHeight="1" x14ac:dyDescent="0.2">
      <c r="B22912" s="43"/>
    </row>
    <row r="22913" spans="2:2" ht="12.75" customHeight="1" x14ac:dyDescent="0.2">
      <c r="B22913" s="43"/>
    </row>
    <row r="22914" spans="2:2" ht="12.75" customHeight="1" x14ac:dyDescent="0.2">
      <c r="B22914" s="43"/>
    </row>
    <row r="22915" spans="2:2" ht="12.75" customHeight="1" x14ac:dyDescent="0.2">
      <c r="B22915" s="43"/>
    </row>
    <row r="22916" spans="2:2" ht="12.75" customHeight="1" x14ac:dyDescent="0.2">
      <c r="B22916" s="43"/>
    </row>
    <row r="22917" spans="2:2" ht="12.75" customHeight="1" x14ac:dyDescent="0.2">
      <c r="B22917" s="43"/>
    </row>
    <row r="22918" spans="2:2" ht="12.75" customHeight="1" x14ac:dyDescent="0.2">
      <c r="B22918" s="43"/>
    </row>
    <row r="22919" spans="2:2" ht="12.75" customHeight="1" x14ac:dyDescent="0.2">
      <c r="B22919" s="43"/>
    </row>
    <row r="22920" spans="2:2" ht="12.75" customHeight="1" x14ac:dyDescent="0.2">
      <c r="B22920" s="43"/>
    </row>
    <row r="22921" spans="2:2" ht="12.75" customHeight="1" x14ac:dyDescent="0.2">
      <c r="B22921" s="43"/>
    </row>
    <row r="22922" spans="2:2" ht="12.75" customHeight="1" x14ac:dyDescent="0.2">
      <c r="B22922" s="43"/>
    </row>
    <row r="22923" spans="2:2" ht="12.75" customHeight="1" x14ac:dyDescent="0.2">
      <c r="B22923" s="43"/>
    </row>
    <row r="22924" spans="2:2" ht="12.75" customHeight="1" x14ac:dyDescent="0.2">
      <c r="B22924" s="43"/>
    </row>
    <row r="22925" spans="2:2" ht="12.75" customHeight="1" x14ac:dyDescent="0.2">
      <c r="B22925" s="43"/>
    </row>
    <row r="22926" spans="2:2" ht="12.75" customHeight="1" x14ac:dyDescent="0.2">
      <c r="B22926" s="43"/>
    </row>
    <row r="22927" spans="2:2" ht="12.75" customHeight="1" x14ac:dyDescent="0.2">
      <c r="B22927" s="43"/>
    </row>
    <row r="22928" spans="2:2" ht="12.75" customHeight="1" x14ac:dyDescent="0.2">
      <c r="B22928" s="43"/>
    </row>
    <row r="22929" spans="2:2" ht="12.75" customHeight="1" x14ac:dyDescent="0.2">
      <c r="B22929" s="43"/>
    </row>
    <row r="22930" spans="2:2" ht="12.75" customHeight="1" x14ac:dyDescent="0.2">
      <c r="B22930" s="43"/>
    </row>
    <row r="22931" spans="2:2" ht="12.75" customHeight="1" x14ac:dyDescent="0.2">
      <c r="B22931" s="43"/>
    </row>
    <row r="22932" spans="2:2" ht="12.75" customHeight="1" x14ac:dyDescent="0.2">
      <c r="B22932" s="43"/>
    </row>
    <row r="22933" spans="2:2" ht="12.75" customHeight="1" x14ac:dyDescent="0.2">
      <c r="B22933" s="43"/>
    </row>
    <row r="22934" spans="2:2" ht="12.75" customHeight="1" x14ac:dyDescent="0.2">
      <c r="B22934" s="43"/>
    </row>
    <row r="22935" spans="2:2" ht="12.75" customHeight="1" x14ac:dyDescent="0.2">
      <c r="B22935" s="43"/>
    </row>
    <row r="22936" spans="2:2" ht="12.75" customHeight="1" x14ac:dyDescent="0.2">
      <c r="B22936" s="43"/>
    </row>
    <row r="22937" spans="2:2" ht="12.75" customHeight="1" x14ac:dyDescent="0.2">
      <c r="B22937" s="43"/>
    </row>
    <row r="22938" spans="2:2" ht="12.75" customHeight="1" x14ac:dyDescent="0.2">
      <c r="B22938" s="43"/>
    </row>
    <row r="22939" spans="2:2" ht="12.75" customHeight="1" x14ac:dyDescent="0.2">
      <c r="B22939" s="43"/>
    </row>
    <row r="22940" spans="2:2" ht="12.75" customHeight="1" x14ac:dyDescent="0.2">
      <c r="B22940" s="43"/>
    </row>
    <row r="22941" spans="2:2" ht="12.75" customHeight="1" x14ac:dyDescent="0.2">
      <c r="B22941" s="43"/>
    </row>
    <row r="22942" spans="2:2" ht="12.75" customHeight="1" x14ac:dyDescent="0.2">
      <c r="B22942" s="43"/>
    </row>
    <row r="22943" spans="2:2" ht="12.75" customHeight="1" x14ac:dyDescent="0.2">
      <c r="B22943" s="43"/>
    </row>
    <row r="22944" spans="2:2" ht="12.75" customHeight="1" x14ac:dyDescent="0.2">
      <c r="B22944" s="43"/>
    </row>
    <row r="22945" spans="2:2" ht="12.75" customHeight="1" x14ac:dyDescent="0.2">
      <c r="B22945" s="43"/>
    </row>
    <row r="22946" spans="2:2" ht="12.75" customHeight="1" x14ac:dyDescent="0.2">
      <c r="B22946" s="43"/>
    </row>
    <row r="22947" spans="2:2" ht="12.75" customHeight="1" x14ac:dyDescent="0.2">
      <c r="B22947" s="43"/>
    </row>
    <row r="22948" spans="2:2" ht="12.75" customHeight="1" x14ac:dyDescent="0.2">
      <c r="B22948" s="43"/>
    </row>
    <row r="22949" spans="2:2" ht="12.75" customHeight="1" x14ac:dyDescent="0.2">
      <c r="B22949" s="43"/>
    </row>
    <row r="22950" spans="2:2" ht="12.75" customHeight="1" x14ac:dyDescent="0.2">
      <c r="B22950" s="43"/>
    </row>
    <row r="22951" spans="2:2" ht="12.75" customHeight="1" x14ac:dyDescent="0.2">
      <c r="B22951" s="43"/>
    </row>
    <row r="22952" spans="2:2" ht="12.75" customHeight="1" x14ac:dyDescent="0.2">
      <c r="B22952" s="43"/>
    </row>
    <row r="22953" spans="2:2" ht="12.75" customHeight="1" x14ac:dyDescent="0.2">
      <c r="B22953" s="43"/>
    </row>
    <row r="22954" spans="2:2" ht="12.75" customHeight="1" x14ac:dyDescent="0.2">
      <c r="B22954" s="43"/>
    </row>
    <row r="22955" spans="2:2" ht="12.75" customHeight="1" x14ac:dyDescent="0.2">
      <c r="B22955" s="43"/>
    </row>
    <row r="22956" spans="2:2" ht="12.75" customHeight="1" x14ac:dyDescent="0.2">
      <c r="B22956" s="43"/>
    </row>
    <row r="22957" spans="2:2" ht="12.75" customHeight="1" x14ac:dyDescent="0.2">
      <c r="B22957" s="43"/>
    </row>
    <row r="22958" spans="2:2" ht="12.75" customHeight="1" x14ac:dyDescent="0.2">
      <c r="B22958" s="43"/>
    </row>
    <row r="22959" spans="2:2" ht="12.75" customHeight="1" x14ac:dyDescent="0.2">
      <c r="B22959" s="43"/>
    </row>
    <row r="22960" spans="2:2" ht="12.75" customHeight="1" x14ac:dyDescent="0.2">
      <c r="B22960" s="43"/>
    </row>
    <row r="22961" spans="2:2" ht="12.75" customHeight="1" x14ac:dyDescent="0.2">
      <c r="B22961" s="43"/>
    </row>
    <row r="22962" spans="2:2" ht="12.75" customHeight="1" x14ac:dyDescent="0.2">
      <c r="B22962" s="43"/>
    </row>
    <row r="22963" spans="2:2" ht="12.75" customHeight="1" x14ac:dyDescent="0.2">
      <c r="B22963" s="43"/>
    </row>
    <row r="22964" spans="2:2" ht="12.75" customHeight="1" x14ac:dyDescent="0.2">
      <c r="B22964" s="43"/>
    </row>
    <row r="22965" spans="2:2" ht="12.75" customHeight="1" x14ac:dyDescent="0.2">
      <c r="B22965" s="43"/>
    </row>
    <row r="22966" spans="2:2" ht="12.75" customHeight="1" x14ac:dyDescent="0.2">
      <c r="B22966" s="43"/>
    </row>
    <row r="22967" spans="2:2" ht="12.75" customHeight="1" x14ac:dyDescent="0.2">
      <c r="B22967" s="43"/>
    </row>
    <row r="22968" spans="2:2" ht="12.75" customHeight="1" x14ac:dyDescent="0.2">
      <c r="B22968" s="43"/>
    </row>
    <row r="22969" spans="2:2" ht="12.75" customHeight="1" x14ac:dyDescent="0.2">
      <c r="B22969" s="43"/>
    </row>
    <row r="22970" spans="2:2" ht="12.75" customHeight="1" x14ac:dyDescent="0.2">
      <c r="B22970" s="43"/>
    </row>
    <row r="22971" spans="2:2" ht="12.75" customHeight="1" x14ac:dyDescent="0.2">
      <c r="B22971" s="43"/>
    </row>
    <row r="22972" spans="2:2" ht="12.75" customHeight="1" x14ac:dyDescent="0.2">
      <c r="B22972" s="43"/>
    </row>
    <row r="22973" spans="2:2" ht="12.75" customHeight="1" x14ac:dyDescent="0.2">
      <c r="B22973" s="43"/>
    </row>
    <row r="22974" spans="2:2" ht="12.75" customHeight="1" x14ac:dyDescent="0.2">
      <c r="B22974" s="43"/>
    </row>
    <row r="22975" spans="2:2" ht="12.75" customHeight="1" x14ac:dyDescent="0.2">
      <c r="B22975" s="43"/>
    </row>
    <row r="22976" spans="2:2" ht="12.75" customHeight="1" x14ac:dyDescent="0.2">
      <c r="B22976" s="43"/>
    </row>
    <row r="22977" spans="2:2" ht="12.75" customHeight="1" x14ac:dyDescent="0.2">
      <c r="B22977" s="43"/>
    </row>
    <row r="22978" spans="2:2" ht="12.75" customHeight="1" x14ac:dyDescent="0.2">
      <c r="B22978" s="43"/>
    </row>
    <row r="22979" spans="2:2" ht="12.75" customHeight="1" x14ac:dyDescent="0.2">
      <c r="B22979" s="43"/>
    </row>
    <row r="22980" spans="2:2" ht="12.75" customHeight="1" x14ac:dyDescent="0.2">
      <c r="B22980" s="43"/>
    </row>
    <row r="22981" spans="2:2" ht="12.75" customHeight="1" x14ac:dyDescent="0.2">
      <c r="B22981" s="43"/>
    </row>
    <row r="22982" spans="2:2" ht="12.75" customHeight="1" x14ac:dyDescent="0.2">
      <c r="B22982" s="43"/>
    </row>
    <row r="22983" spans="2:2" ht="12.75" customHeight="1" x14ac:dyDescent="0.2">
      <c r="B22983" s="43"/>
    </row>
    <row r="22984" spans="2:2" ht="12.75" customHeight="1" x14ac:dyDescent="0.2">
      <c r="B22984" s="43"/>
    </row>
    <row r="22985" spans="2:2" ht="12.75" customHeight="1" x14ac:dyDescent="0.2">
      <c r="B22985" s="43"/>
    </row>
    <row r="22986" spans="2:2" ht="12.75" customHeight="1" x14ac:dyDescent="0.2">
      <c r="B22986" s="43"/>
    </row>
    <row r="22987" spans="2:2" ht="12.75" customHeight="1" x14ac:dyDescent="0.2">
      <c r="B22987" s="43"/>
    </row>
    <row r="22988" spans="2:2" ht="12.75" customHeight="1" x14ac:dyDescent="0.2">
      <c r="B22988" s="43"/>
    </row>
    <row r="22989" spans="2:2" ht="12.75" customHeight="1" x14ac:dyDescent="0.2">
      <c r="B22989" s="43"/>
    </row>
    <row r="22990" spans="2:2" ht="12.75" customHeight="1" x14ac:dyDescent="0.2">
      <c r="B22990" s="43"/>
    </row>
    <row r="22991" spans="2:2" ht="12.75" customHeight="1" x14ac:dyDescent="0.2">
      <c r="B22991" s="43"/>
    </row>
    <row r="22992" spans="2:2" ht="12.75" customHeight="1" x14ac:dyDescent="0.2">
      <c r="B22992" s="43"/>
    </row>
    <row r="22993" spans="2:2" ht="12.75" customHeight="1" x14ac:dyDescent="0.2">
      <c r="B22993" s="43"/>
    </row>
    <row r="22994" spans="2:2" ht="12.75" customHeight="1" x14ac:dyDescent="0.2">
      <c r="B22994" s="43"/>
    </row>
    <row r="22995" spans="2:2" ht="12.75" customHeight="1" x14ac:dyDescent="0.2">
      <c r="B22995" s="43"/>
    </row>
    <row r="22996" spans="2:2" ht="12.75" customHeight="1" x14ac:dyDescent="0.2">
      <c r="B22996" s="43"/>
    </row>
    <row r="22997" spans="2:2" ht="12.75" customHeight="1" x14ac:dyDescent="0.2">
      <c r="B22997" s="43"/>
    </row>
    <row r="22998" spans="2:2" ht="12.75" customHeight="1" x14ac:dyDescent="0.2">
      <c r="B22998" s="43"/>
    </row>
    <row r="22999" spans="2:2" ht="12.75" customHeight="1" x14ac:dyDescent="0.2">
      <c r="B22999" s="43"/>
    </row>
    <row r="23000" spans="2:2" ht="12.75" customHeight="1" x14ac:dyDescent="0.2">
      <c r="B23000" s="43"/>
    </row>
    <row r="23001" spans="2:2" ht="12.75" customHeight="1" x14ac:dyDescent="0.2">
      <c r="B23001" s="43"/>
    </row>
    <row r="23002" spans="2:2" ht="12.75" customHeight="1" x14ac:dyDescent="0.2">
      <c r="B23002" s="43"/>
    </row>
    <row r="23003" spans="2:2" ht="12.75" customHeight="1" x14ac:dyDescent="0.2">
      <c r="B23003" s="43"/>
    </row>
    <row r="23004" spans="2:2" ht="12.75" customHeight="1" x14ac:dyDescent="0.2">
      <c r="B23004" s="43"/>
    </row>
    <row r="23005" spans="2:2" ht="12.75" customHeight="1" x14ac:dyDescent="0.2">
      <c r="B23005" s="43"/>
    </row>
    <row r="23006" spans="2:2" ht="12.75" customHeight="1" x14ac:dyDescent="0.2">
      <c r="B23006" s="43"/>
    </row>
    <row r="23007" spans="2:2" ht="12.75" customHeight="1" x14ac:dyDescent="0.2">
      <c r="B23007" s="43"/>
    </row>
    <row r="23008" spans="2:2" ht="12.75" customHeight="1" x14ac:dyDescent="0.2">
      <c r="B23008" s="43"/>
    </row>
    <row r="23009" spans="2:2" ht="12.75" customHeight="1" x14ac:dyDescent="0.2">
      <c r="B23009" s="43"/>
    </row>
    <row r="23010" spans="2:2" ht="12.75" customHeight="1" x14ac:dyDescent="0.2">
      <c r="B23010" s="43"/>
    </row>
    <row r="23011" spans="2:2" ht="12.75" customHeight="1" x14ac:dyDescent="0.2">
      <c r="B23011" s="43"/>
    </row>
    <row r="23012" spans="2:2" ht="12.75" customHeight="1" x14ac:dyDescent="0.2">
      <c r="B23012" s="43"/>
    </row>
    <row r="23013" spans="2:2" ht="12.75" customHeight="1" x14ac:dyDescent="0.2">
      <c r="B23013" s="43"/>
    </row>
    <row r="23014" spans="2:2" ht="12.75" customHeight="1" x14ac:dyDescent="0.2">
      <c r="B23014" s="43"/>
    </row>
    <row r="23015" spans="2:2" ht="12.75" customHeight="1" x14ac:dyDescent="0.2">
      <c r="B23015" s="43"/>
    </row>
    <row r="23016" spans="2:2" ht="12.75" customHeight="1" x14ac:dyDescent="0.2">
      <c r="B23016" s="43"/>
    </row>
    <row r="23017" spans="2:2" ht="12.75" customHeight="1" x14ac:dyDescent="0.2">
      <c r="B23017" s="43"/>
    </row>
    <row r="23018" spans="2:2" ht="12.75" customHeight="1" x14ac:dyDescent="0.2">
      <c r="B23018" s="43"/>
    </row>
    <row r="23019" spans="2:2" ht="12.75" customHeight="1" x14ac:dyDescent="0.2">
      <c r="B23019" s="43"/>
    </row>
    <row r="23020" spans="2:2" ht="12.75" customHeight="1" x14ac:dyDescent="0.2">
      <c r="B23020" s="43"/>
    </row>
    <row r="23021" spans="2:2" ht="12.75" customHeight="1" x14ac:dyDescent="0.2">
      <c r="B23021" s="43"/>
    </row>
    <row r="23022" spans="2:2" ht="12.75" customHeight="1" x14ac:dyDescent="0.2">
      <c r="B23022" s="43"/>
    </row>
    <row r="23023" spans="2:2" ht="12.75" customHeight="1" x14ac:dyDescent="0.2">
      <c r="B23023" s="43"/>
    </row>
    <row r="23024" spans="2:2" ht="12.75" customHeight="1" x14ac:dyDescent="0.2">
      <c r="B23024" s="43"/>
    </row>
    <row r="23025" spans="2:2" ht="12.75" customHeight="1" x14ac:dyDescent="0.2">
      <c r="B23025" s="43"/>
    </row>
    <row r="23026" spans="2:2" ht="12.75" customHeight="1" x14ac:dyDescent="0.2">
      <c r="B23026" s="43"/>
    </row>
    <row r="23027" spans="2:2" ht="12.75" customHeight="1" x14ac:dyDescent="0.2">
      <c r="B23027" s="43"/>
    </row>
    <row r="23028" spans="2:2" ht="12.75" customHeight="1" x14ac:dyDescent="0.2">
      <c r="B23028" s="43"/>
    </row>
    <row r="23029" spans="2:2" ht="12.75" customHeight="1" x14ac:dyDescent="0.2">
      <c r="B23029" s="43"/>
    </row>
    <row r="23030" spans="2:2" ht="12.75" customHeight="1" x14ac:dyDescent="0.2">
      <c r="B23030" s="43"/>
    </row>
    <row r="23031" spans="2:2" ht="12.75" customHeight="1" x14ac:dyDescent="0.2">
      <c r="B23031" s="43"/>
    </row>
    <row r="23032" spans="2:2" ht="12.75" customHeight="1" x14ac:dyDescent="0.2">
      <c r="B23032" s="43"/>
    </row>
    <row r="23033" spans="2:2" ht="12.75" customHeight="1" x14ac:dyDescent="0.2">
      <c r="B23033" s="43"/>
    </row>
    <row r="23034" spans="2:2" ht="12.75" customHeight="1" x14ac:dyDescent="0.2">
      <c r="B23034" s="43"/>
    </row>
    <row r="23035" spans="2:2" ht="12.75" customHeight="1" x14ac:dyDescent="0.2">
      <c r="B23035" s="43"/>
    </row>
    <row r="23036" spans="2:2" ht="12.75" customHeight="1" x14ac:dyDescent="0.2">
      <c r="B23036" s="43"/>
    </row>
    <row r="23037" spans="2:2" ht="12.75" customHeight="1" x14ac:dyDescent="0.2">
      <c r="B23037" s="43"/>
    </row>
    <row r="23038" spans="2:2" ht="12.75" customHeight="1" x14ac:dyDescent="0.2">
      <c r="B23038" s="43"/>
    </row>
    <row r="23039" spans="2:2" ht="12.75" customHeight="1" x14ac:dyDescent="0.2">
      <c r="B23039" s="43"/>
    </row>
    <row r="23040" spans="2:2" ht="12.75" customHeight="1" x14ac:dyDescent="0.2">
      <c r="B23040" s="43"/>
    </row>
    <row r="23041" spans="2:2" ht="12.75" customHeight="1" x14ac:dyDescent="0.2">
      <c r="B23041" s="43"/>
    </row>
    <row r="23042" spans="2:2" ht="12.75" customHeight="1" x14ac:dyDescent="0.2">
      <c r="B23042" s="43"/>
    </row>
    <row r="23043" spans="2:2" ht="12.75" customHeight="1" x14ac:dyDescent="0.2">
      <c r="B23043" s="43"/>
    </row>
    <row r="23044" spans="2:2" ht="12.75" customHeight="1" x14ac:dyDescent="0.2">
      <c r="B23044" s="43"/>
    </row>
    <row r="23045" spans="2:2" ht="12.75" customHeight="1" x14ac:dyDescent="0.2">
      <c r="B23045" s="43"/>
    </row>
    <row r="23046" spans="2:2" ht="12.75" customHeight="1" x14ac:dyDescent="0.2">
      <c r="B23046" s="43"/>
    </row>
    <row r="23047" spans="2:2" ht="12.75" customHeight="1" x14ac:dyDescent="0.2">
      <c r="B23047" s="43"/>
    </row>
    <row r="23048" spans="2:2" ht="12.75" customHeight="1" x14ac:dyDescent="0.2">
      <c r="B23048" s="43"/>
    </row>
    <row r="23049" spans="2:2" ht="12.75" customHeight="1" x14ac:dyDescent="0.2">
      <c r="B23049" s="43"/>
    </row>
    <row r="23050" spans="2:2" ht="12.75" customHeight="1" x14ac:dyDescent="0.2">
      <c r="B23050" s="43"/>
    </row>
    <row r="23051" spans="2:2" ht="12.75" customHeight="1" x14ac:dyDescent="0.2">
      <c r="B23051" s="43"/>
    </row>
    <row r="23052" spans="2:2" ht="12.75" customHeight="1" x14ac:dyDescent="0.2">
      <c r="B23052" s="43"/>
    </row>
    <row r="23053" spans="2:2" ht="12.75" customHeight="1" x14ac:dyDescent="0.2">
      <c r="B23053" s="43"/>
    </row>
    <row r="23054" spans="2:2" ht="12.75" customHeight="1" x14ac:dyDescent="0.2">
      <c r="B23054" s="43"/>
    </row>
    <row r="23055" spans="2:2" ht="12.75" customHeight="1" x14ac:dyDescent="0.2">
      <c r="B23055" s="43"/>
    </row>
    <row r="23056" spans="2:2" ht="12.75" customHeight="1" x14ac:dyDescent="0.2">
      <c r="B23056" s="43"/>
    </row>
    <row r="23057" spans="2:2" ht="12.75" customHeight="1" x14ac:dyDescent="0.2">
      <c r="B23057" s="43"/>
    </row>
    <row r="23058" spans="2:2" ht="12.75" customHeight="1" x14ac:dyDescent="0.2">
      <c r="B23058" s="43"/>
    </row>
    <row r="23059" spans="2:2" ht="12.75" customHeight="1" x14ac:dyDescent="0.2">
      <c r="B23059" s="43"/>
    </row>
    <row r="23060" spans="2:2" ht="12.75" customHeight="1" x14ac:dyDescent="0.2">
      <c r="B23060" s="43"/>
    </row>
    <row r="23061" spans="2:2" ht="12.75" customHeight="1" x14ac:dyDescent="0.2">
      <c r="B23061" s="43"/>
    </row>
    <row r="23062" spans="2:2" ht="12.75" customHeight="1" x14ac:dyDescent="0.2">
      <c r="B23062" s="43"/>
    </row>
    <row r="23063" spans="2:2" ht="12.75" customHeight="1" x14ac:dyDescent="0.2">
      <c r="B23063" s="43"/>
    </row>
    <row r="23064" spans="2:2" ht="12.75" customHeight="1" x14ac:dyDescent="0.2">
      <c r="B23064" s="43"/>
    </row>
    <row r="23065" spans="2:2" ht="12.75" customHeight="1" x14ac:dyDescent="0.2">
      <c r="B23065" s="43"/>
    </row>
    <row r="23066" spans="2:2" ht="12.75" customHeight="1" x14ac:dyDescent="0.2">
      <c r="B23066" s="43"/>
    </row>
    <row r="23067" spans="2:2" ht="12.75" customHeight="1" x14ac:dyDescent="0.2">
      <c r="B23067" s="43"/>
    </row>
    <row r="23068" spans="2:2" ht="12.75" customHeight="1" x14ac:dyDescent="0.2">
      <c r="B23068" s="43"/>
    </row>
    <row r="23069" spans="2:2" ht="12.75" customHeight="1" x14ac:dyDescent="0.2">
      <c r="B23069" s="43"/>
    </row>
    <row r="23070" spans="2:2" ht="12.75" customHeight="1" x14ac:dyDescent="0.2">
      <c r="B23070" s="43"/>
    </row>
    <row r="23071" spans="2:2" ht="12.75" customHeight="1" x14ac:dyDescent="0.2">
      <c r="B23071" s="43"/>
    </row>
    <row r="23072" spans="2:2" ht="12.75" customHeight="1" x14ac:dyDescent="0.2">
      <c r="B23072" s="43"/>
    </row>
    <row r="23073" spans="2:2" ht="12.75" customHeight="1" x14ac:dyDescent="0.2">
      <c r="B23073" s="43"/>
    </row>
    <row r="23074" spans="2:2" ht="12.75" customHeight="1" x14ac:dyDescent="0.2">
      <c r="B23074" s="43"/>
    </row>
    <row r="23075" spans="2:2" ht="12.75" customHeight="1" x14ac:dyDescent="0.2">
      <c r="B23075" s="43"/>
    </row>
    <row r="23076" spans="2:2" ht="12.75" customHeight="1" x14ac:dyDescent="0.2">
      <c r="B23076" s="43"/>
    </row>
    <row r="23077" spans="2:2" ht="12.75" customHeight="1" x14ac:dyDescent="0.2">
      <c r="B23077" s="43"/>
    </row>
    <row r="23078" spans="2:2" ht="12.75" customHeight="1" x14ac:dyDescent="0.2">
      <c r="B23078" s="43"/>
    </row>
    <row r="23079" spans="2:2" ht="12.75" customHeight="1" x14ac:dyDescent="0.2">
      <c r="B23079" s="43"/>
    </row>
    <row r="23080" spans="2:2" ht="12.75" customHeight="1" x14ac:dyDescent="0.2">
      <c r="B23080" s="43"/>
    </row>
    <row r="23081" spans="2:2" ht="12.75" customHeight="1" x14ac:dyDescent="0.2">
      <c r="B23081" s="43"/>
    </row>
    <row r="23082" spans="2:2" ht="12.75" customHeight="1" x14ac:dyDescent="0.2">
      <c r="B23082" s="43"/>
    </row>
    <row r="23083" spans="2:2" ht="12.75" customHeight="1" x14ac:dyDescent="0.2">
      <c r="B23083" s="43"/>
    </row>
    <row r="23084" spans="2:2" ht="12.75" customHeight="1" x14ac:dyDescent="0.2">
      <c r="B23084" s="43"/>
    </row>
    <row r="23085" spans="2:2" ht="12.75" customHeight="1" x14ac:dyDescent="0.2">
      <c r="B23085" s="43"/>
    </row>
    <row r="23086" spans="2:2" ht="12.75" customHeight="1" x14ac:dyDescent="0.2">
      <c r="B23086" s="43"/>
    </row>
    <row r="23087" spans="2:2" ht="12.75" customHeight="1" x14ac:dyDescent="0.2">
      <c r="B23087" s="43"/>
    </row>
    <row r="23088" spans="2:2" ht="12.75" customHeight="1" x14ac:dyDescent="0.2">
      <c r="B23088" s="43"/>
    </row>
    <row r="23089" spans="2:2" ht="12.75" customHeight="1" x14ac:dyDescent="0.2">
      <c r="B23089" s="43"/>
    </row>
    <row r="23090" spans="2:2" ht="12.75" customHeight="1" x14ac:dyDescent="0.2">
      <c r="B23090" s="43"/>
    </row>
    <row r="23091" spans="2:2" ht="12.75" customHeight="1" x14ac:dyDescent="0.2">
      <c r="B23091" s="43"/>
    </row>
    <row r="23092" spans="2:2" ht="12.75" customHeight="1" x14ac:dyDescent="0.2">
      <c r="B23092" s="43"/>
    </row>
    <row r="23093" spans="2:2" ht="12.75" customHeight="1" x14ac:dyDescent="0.2">
      <c r="B23093" s="43"/>
    </row>
    <row r="23094" spans="2:2" ht="12.75" customHeight="1" x14ac:dyDescent="0.2">
      <c r="B23094" s="43"/>
    </row>
    <row r="23095" spans="2:2" ht="12.75" customHeight="1" x14ac:dyDescent="0.2">
      <c r="B23095" s="43"/>
    </row>
    <row r="23096" spans="2:2" ht="12.75" customHeight="1" x14ac:dyDescent="0.2">
      <c r="B23096" s="43"/>
    </row>
    <row r="23097" spans="2:2" ht="12.75" customHeight="1" x14ac:dyDescent="0.2">
      <c r="B23097" s="43"/>
    </row>
    <row r="23098" spans="2:2" ht="12.75" customHeight="1" x14ac:dyDescent="0.2">
      <c r="B23098" s="43"/>
    </row>
    <row r="23099" spans="2:2" ht="12.75" customHeight="1" x14ac:dyDescent="0.2">
      <c r="B23099" s="43"/>
    </row>
    <row r="23100" spans="2:2" ht="12.75" customHeight="1" x14ac:dyDescent="0.2">
      <c r="B23100" s="43"/>
    </row>
    <row r="23101" spans="2:2" ht="12.75" customHeight="1" x14ac:dyDescent="0.2">
      <c r="B23101" s="43"/>
    </row>
    <row r="23102" spans="2:2" ht="12.75" customHeight="1" x14ac:dyDescent="0.2">
      <c r="B23102" s="43"/>
    </row>
    <row r="23103" spans="2:2" ht="12.75" customHeight="1" x14ac:dyDescent="0.2">
      <c r="B23103" s="43"/>
    </row>
    <row r="23104" spans="2:2" ht="12.75" customHeight="1" x14ac:dyDescent="0.2">
      <c r="B23104" s="43"/>
    </row>
    <row r="23105" spans="2:2" ht="12.75" customHeight="1" x14ac:dyDescent="0.2">
      <c r="B23105" s="43"/>
    </row>
    <row r="23106" spans="2:2" ht="12.75" customHeight="1" x14ac:dyDescent="0.2">
      <c r="B23106" s="43"/>
    </row>
    <row r="23107" spans="2:2" ht="12.75" customHeight="1" x14ac:dyDescent="0.2">
      <c r="B23107" s="43"/>
    </row>
    <row r="23108" spans="2:2" ht="12.75" customHeight="1" x14ac:dyDescent="0.2">
      <c r="B23108" s="43"/>
    </row>
    <row r="23109" spans="2:2" ht="12.75" customHeight="1" x14ac:dyDescent="0.2">
      <c r="B23109" s="43"/>
    </row>
    <row r="23110" spans="2:2" ht="12.75" customHeight="1" x14ac:dyDescent="0.2">
      <c r="B23110" s="43"/>
    </row>
    <row r="23111" spans="2:2" ht="12.75" customHeight="1" x14ac:dyDescent="0.2">
      <c r="B23111" s="43"/>
    </row>
    <row r="23112" spans="2:2" ht="12.75" customHeight="1" x14ac:dyDescent="0.2">
      <c r="B23112" s="43"/>
    </row>
    <row r="23113" spans="2:2" ht="12.75" customHeight="1" x14ac:dyDescent="0.2">
      <c r="B23113" s="43"/>
    </row>
    <row r="23114" spans="2:2" ht="12.75" customHeight="1" x14ac:dyDescent="0.2">
      <c r="B23114" s="43"/>
    </row>
    <row r="23115" spans="2:2" ht="12.75" customHeight="1" x14ac:dyDescent="0.2">
      <c r="B23115" s="43"/>
    </row>
    <row r="23116" spans="2:2" ht="12.75" customHeight="1" x14ac:dyDescent="0.2">
      <c r="B23116" s="43"/>
    </row>
    <row r="23117" spans="2:2" ht="12.75" customHeight="1" x14ac:dyDescent="0.2">
      <c r="B23117" s="43"/>
    </row>
    <row r="23118" spans="2:2" ht="12.75" customHeight="1" x14ac:dyDescent="0.2">
      <c r="B23118" s="43"/>
    </row>
    <row r="23119" spans="2:2" ht="12.75" customHeight="1" x14ac:dyDescent="0.2">
      <c r="B23119" s="43"/>
    </row>
    <row r="23120" spans="2:2" ht="12.75" customHeight="1" x14ac:dyDescent="0.2">
      <c r="B23120" s="43"/>
    </row>
    <row r="23121" spans="2:2" ht="12.75" customHeight="1" x14ac:dyDescent="0.2">
      <c r="B23121" s="43"/>
    </row>
    <row r="23122" spans="2:2" ht="12.75" customHeight="1" x14ac:dyDescent="0.2">
      <c r="B23122" s="43"/>
    </row>
    <row r="23123" spans="2:2" ht="12.75" customHeight="1" x14ac:dyDescent="0.2">
      <c r="B23123" s="43"/>
    </row>
    <row r="23124" spans="2:2" ht="12.75" customHeight="1" x14ac:dyDescent="0.2">
      <c r="B23124" s="43"/>
    </row>
    <row r="23125" spans="2:2" ht="12.75" customHeight="1" x14ac:dyDescent="0.2">
      <c r="B23125" s="43"/>
    </row>
    <row r="23126" spans="2:2" ht="12.75" customHeight="1" x14ac:dyDescent="0.2">
      <c r="B23126" s="43"/>
    </row>
    <row r="23127" spans="2:2" ht="12.75" customHeight="1" x14ac:dyDescent="0.2">
      <c r="B23127" s="43"/>
    </row>
    <row r="23128" spans="2:2" ht="12.75" customHeight="1" x14ac:dyDescent="0.2">
      <c r="B23128" s="43"/>
    </row>
    <row r="23129" spans="2:2" ht="12.75" customHeight="1" x14ac:dyDescent="0.2">
      <c r="B23129" s="43"/>
    </row>
    <row r="23130" spans="2:2" ht="12.75" customHeight="1" x14ac:dyDescent="0.2">
      <c r="B23130" s="43"/>
    </row>
    <row r="23131" spans="2:2" ht="12.75" customHeight="1" x14ac:dyDescent="0.2">
      <c r="B23131" s="43"/>
    </row>
    <row r="23132" spans="2:2" ht="12.75" customHeight="1" x14ac:dyDescent="0.2">
      <c r="B23132" s="43"/>
    </row>
    <row r="23133" spans="2:2" ht="12.75" customHeight="1" x14ac:dyDescent="0.2">
      <c r="B23133" s="43"/>
    </row>
    <row r="23134" spans="2:2" ht="12.75" customHeight="1" x14ac:dyDescent="0.2">
      <c r="B23134" s="43"/>
    </row>
    <row r="23135" spans="2:2" ht="12.75" customHeight="1" x14ac:dyDescent="0.2">
      <c r="B23135" s="43"/>
    </row>
    <row r="23136" spans="2:2" ht="12.75" customHeight="1" x14ac:dyDescent="0.2">
      <c r="B23136" s="43"/>
    </row>
    <row r="23137" spans="2:2" ht="12.75" customHeight="1" x14ac:dyDescent="0.2">
      <c r="B23137" s="43"/>
    </row>
    <row r="23138" spans="2:2" ht="12.75" customHeight="1" x14ac:dyDescent="0.2">
      <c r="B23138" s="43"/>
    </row>
    <row r="23139" spans="2:2" ht="12.75" customHeight="1" x14ac:dyDescent="0.2">
      <c r="B23139" s="43"/>
    </row>
    <row r="23140" spans="2:2" ht="12.75" customHeight="1" x14ac:dyDescent="0.2">
      <c r="B23140" s="43"/>
    </row>
    <row r="23141" spans="2:2" ht="12.75" customHeight="1" x14ac:dyDescent="0.2">
      <c r="B23141" s="43"/>
    </row>
    <row r="23142" spans="2:2" ht="12.75" customHeight="1" x14ac:dyDescent="0.2">
      <c r="B23142" s="43"/>
    </row>
    <row r="23143" spans="2:2" ht="12.75" customHeight="1" x14ac:dyDescent="0.2">
      <c r="B23143" s="43"/>
    </row>
    <row r="23144" spans="2:2" ht="12.75" customHeight="1" x14ac:dyDescent="0.2">
      <c r="B23144" s="43"/>
    </row>
    <row r="23145" spans="2:2" ht="12.75" customHeight="1" x14ac:dyDescent="0.2">
      <c r="B23145" s="43"/>
    </row>
    <row r="23146" spans="2:2" ht="12.75" customHeight="1" x14ac:dyDescent="0.2">
      <c r="B23146" s="43"/>
    </row>
    <row r="23147" spans="2:2" ht="12.75" customHeight="1" x14ac:dyDescent="0.2">
      <c r="B23147" s="43"/>
    </row>
    <row r="23148" spans="2:2" ht="12.75" customHeight="1" x14ac:dyDescent="0.2">
      <c r="B23148" s="43"/>
    </row>
    <row r="23149" spans="2:2" ht="12.75" customHeight="1" x14ac:dyDescent="0.2">
      <c r="B23149" s="43"/>
    </row>
    <row r="23150" spans="2:2" ht="12.75" customHeight="1" x14ac:dyDescent="0.2">
      <c r="B23150" s="43"/>
    </row>
    <row r="23151" spans="2:2" ht="12.75" customHeight="1" x14ac:dyDescent="0.2">
      <c r="B23151" s="43"/>
    </row>
    <row r="23152" spans="2:2" ht="12.75" customHeight="1" x14ac:dyDescent="0.2">
      <c r="B23152" s="43"/>
    </row>
    <row r="23153" spans="2:2" ht="12.75" customHeight="1" x14ac:dyDescent="0.2">
      <c r="B23153" s="43"/>
    </row>
    <row r="23154" spans="2:2" ht="12.75" customHeight="1" x14ac:dyDescent="0.2">
      <c r="B23154" s="43"/>
    </row>
    <row r="23155" spans="2:2" ht="12.75" customHeight="1" x14ac:dyDescent="0.2">
      <c r="B23155" s="43"/>
    </row>
    <row r="23156" spans="2:2" ht="12.75" customHeight="1" x14ac:dyDescent="0.2">
      <c r="B23156" s="43"/>
    </row>
    <row r="23157" spans="2:2" ht="12.75" customHeight="1" x14ac:dyDescent="0.2">
      <c r="B23157" s="43"/>
    </row>
    <row r="23158" spans="2:2" ht="12.75" customHeight="1" x14ac:dyDescent="0.2">
      <c r="B23158" s="43"/>
    </row>
    <row r="23159" spans="2:2" ht="12.75" customHeight="1" x14ac:dyDescent="0.2">
      <c r="B23159" s="43"/>
    </row>
    <row r="23160" spans="2:2" ht="12.75" customHeight="1" x14ac:dyDescent="0.2">
      <c r="B23160" s="43"/>
    </row>
    <row r="23161" spans="2:2" ht="12.75" customHeight="1" x14ac:dyDescent="0.2">
      <c r="B23161" s="43"/>
    </row>
    <row r="23162" spans="2:2" ht="12.75" customHeight="1" x14ac:dyDescent="0.2">
      <c r="B23162" s="43"/>
    </row>
    <row r="23163" spans="2:2" ht="12.75" customHeight="1" x14ac:dyDescent="0.2">
      <c r="B23163" s="43"/>
    </row>
    <row r="23164" spans="2:2" ht="12.75" customHeight="1" x14ac:dyDescent="0.2">
      <c r="B23164" s="43"/>
    </row>
    <row r="23165" spans="2:2" ht="12.75" customHeight="1" x14ac:dyDescent="0.2">
      <c r="B23165" s="43"/>
    </row>
    <row r="23166" spans="2:2" ht="12.75" customHeight="1" x14ac:dyDescent="0.2">
      <c r="B23166" s="43"/>
    </row>
    <row r="23167" spans="2:2" ht="12.75" customHeight="1" x14ac:dyDescent="0.2">
      <c r="B23167" s="43"/>
    </row>
    <row r="23168" spans="2:2" ht="12.75" customHeight="1" x14ac:dyDescent="0.2">
      <c r="B23168" s="43"/>
    </row>
    <row r="23169" spans="2:2" ht="12.75" customHeight="1" x14ac:dyDescent="0.2">
      <c r="B23169" s="43"/>
    </row>
    <row r="23170" spans="2:2" ht="12.75" customHeight="1" x14ac:dyDescent="0.2">
      <c r="B23170" s="43"/>
    </row>
    <row r="23171" spans="2:2" ht="12.75" customHeight="1" x14ac:dyDescent="0.2">
      <c r="B23171" s="43"/>
    </row>
    <row r="23172" spans="2:2" ht="12.75" customHeight="1" x14ac:dyDescent="0.2">
      <c r="B23172" s="43"/>
    </row>
    <row r="23173" spans="2:2" ht="12.75" customHeight="1" x14ac:dyDescent="0.2">
      <c r="B23173" s="43"/>
    </row>
    <row r="23174" spans="2:2" ht="12.75" customHeight="1" x14ac:dyDescent="0.2">
      <c r="B23174" s="43"/>
    </row>
    <row r="23175" spans="2:2" ht="12.75" customHeight="1" x14ac:dyDescent="0.2">
      <c r="B23175" s="43"/>
    </row>
    <row r="23176" spans="2:2" ht="12.75" customHeight="1" x14ac:dyDescent="0.2">
      <c r="B23176" s="43"/>
    </row>
    <row r="23177" spans="2:2" ht="12.75" customHeight="1" x14ac:dyDescent="0.2">
      <c r="B23177" s="43"/>
    </row>
    <row r="23178" spans="2:2" ht="12.75" customHeight="1" x14ac:dyDescent="0.2">
      <c r="B23178" s="43"/>
    </row>
    <row r="23179" spans="2:2" ht="12.75" customHeight="1" x14ac:dyDescent="0.2">
      <c r="B23179" s="43"/>
    </row>
    <row r="23180" spans="2:2" ht="12.75" customHeight="1" x14ac:dyDescent="0.2">
      <c r="B23180" s="43"/>
    </row>
    <row r="23181" spans="2:2" ht="12.75" customHeight="1" x14ac:dyDescent="0.2">
      <c r="B23181" s="43"/>
    </row>
    <row r="23182" spans="2:2" ht="12.75" customHeight="1" x14ac:dyDescent="0.2">
      <c r="B23182" s="43"/>
    </row>
    <row r="23183" spans="2:2" ht="12.75" customHeight="1" x14ac:dyDescent="0.2">
      <c r="B23183" s="43"/>
    </row>
    <row r="23184" spans="2:2" ht="12.75" customHeight="1" x14ac:dyDescent="0.2">
      <c r="B23184" s="43"/>
    </row>
    <row r="23185" spans="2:2" ht="12.75" customHeight="1" x14ac:dyDescent="0.2">
      <c r="B23185" s="43"/>
    </row>
    <row r="23186" spans="2:2" ht="12.75" customHeight="1" x14ac:dyDescent="0.2">
      <c r="B23186" s="43"/>
    </row>
    <row r="23187" spans="2:2" ht="12.75" customHeight="1" x14ac:dyDescent="0.2">
      <c r="B23187" s="43"/>
    </row>
    <row r="23188" spans="2:2" ht="12.75" customHeight="1" x14ac:dyDescent="0.2">
      <c r="B23188" s="43"/>
    </row>
    <row r="23189" spans="2:2" ht="12.75" customHeight="1" x14ac:dyDescent="0.2">
      <c r="B23189" s="43"/>
    </row>
    <row r="23190" spans="2:2" ht="12.75" customHeight="1" x14ac:dyDescent="0.2">
      <c r="B23190" s="43"/>
    </row>
    <row r="23191" spans="2:2" ht="12.75" customHeight="1" x14ac:dyDescent="0.2">
      <c r="B23191" s="43"/>
    </row>
    <row r="23192" spans="2:2" ht="12.75" customHeight="1" x14ac:dyDescent="0.2">
      <c r="B23192" s="43"/>
    </row>
    <row r="23193" spans="2:2" ht="12.75" customHeight="1" x14ac:dyDescent="0.2">
      <c r="B23193" s="43"/>
    </row>
    <row r="23194" spans="2:2" ht="12.75" customHeight="1" x14ac:dyDescent="0.2">
      <c r="B23194" s="43"/>
    </row>
    <row r="23195" spans="2:2" ht="12.75" customHeight="1" x14ac:dyDescent="0.2">
      <c r="B23195" s="43"/>
    </row>
    <row r="23196" spans="2:2" ht="12.75" customHeight="1" x14ac:dyDescent="0.2">
      <c r="B23196" s="43"/>
    </row>
    <row r="23197" spans="2:2" ht="12.75" customHeight="1" x14ac:dyDescent="0.2">
      <c r="B23197" s="43"/>
    </row>
    <row r="23198" spans="2:2" ht="12.75" customHeight="1" x14ac:dyDescent="0.2">
      <c r="B23198" s="43"/>
    </row>
    <row r="23199" spans="2:2" ht="12.75" customHeight="1" x14ac:dyDescent="0.2">
      <c r="B23199" s="43"/>
    </row>
    <row r="23200" spans="2:2" ht="12.75" customHeight="1" x14ac:dyDescent="0.2">
      <c r="B23200" s="43"/>
    </row>
    <row r="23201" spans="2:2" ht="12.75" customHeight="1" x14ac:dyDescent="0.2">
      <c r="B23201" s="43"/>
    </row>
    <row r="23202" spans="2:2" ht="12.75" customHeight="1" x14ac:dyDescent="0.2">
      <c r="B23202" s="43"/>
    </row>
    <row r="23203" spans="2:2" ht="12.75" customHeight="1" x14ac:dyDescent="0.2">
      <c r="B23203" s="43"/>
    </row>
    <row r="23204" spans="2:2" ht="12.75" customHeight="1" x14ac:dyDescent="0.2">
      <c r="B23204" s="43"/>
    </row>
    <row r="23205" spans="2:2" ht="12.75" customHeight="1" x14ac:dyDescent="0.2">
      <c r="B23205" s="43"/>
    </row>
    <row r="23206" spans="2:2" ht="12.75" customHeight="1" x14ac:dyDescent="0.2">
      <c r="B23206" s="43"/>
    </row>
    <row r="23207" spans="2:2" ht="12.75" customHeight="1" x14ac:dyDescent="0.2">
      <c r="B23207" s="43"/>
    </row>
    <row r="23208" spans="2:2" ht="12.75" customHeight="1" x14ac:dyDescent="0.2">
      <c r="B23208" s="43"/>
    </row>
    <row r="23209" spans="2:2" ht="12.75" customHeight="1" x14ac:dyDescent="0.2">
      <c r="B23209" s="43"/>
    </row>
    <row r="23210" spans="2:2" ht="12.75" customHeight="1" x14ac:dyDescent="0.2">
      <c r="B23210" s="43"/>
    </row>
    <row r="23211" spans="2:2" ht="12.75" customHeight="1" x14ac:dyDescent="0.2">
      <c r="B23211" s="43"/>
    </row>
    <row r="23212" spans="2:2" ht="12.75" customHeight="1" x14ac:dyDescent="0.2">
      <c r="B23212" s="43"/>
    </row>
    <row r="23213" spans="2:2" ht="12.75" customHeight="1" x14ac:dyDescent="0.2">
      <c r="B23213" s="43"/>
    </row>
    <row r="23214" spans="2:2" ht="12.75" customHeight="1" x14ac:dyDescent="0.2">
      <c r="B23214" s="43"/>
    </row>
    <row r="23215" spans="2:2" ht="12.75" customHeight="1" x14ac:dyDescent="0.2">
      <c r="B23215" s="43"/>
    </row>
    <row r="23216" spans="2:2" ht="12.75" customHeight="1" x14ac:dyDescent="0.2">
      <c r="B23216" s="43"/>
    </row>
    <row r="23217" spans="2:2" ht="12.75" customHeight="1" x14ac:dyDescent="0.2">
      <c r="B23217" s="43"/>
    </row>
    <row r="23218" spans="2:2" ht="12.75" customHeight="1" x14ac:dyDescent="0.2">
      <c r="B23218" s="43"/>
    </row>
    <row r="23219" spans="2:2" ht="12.75" customHeight="1" x14ac:dyDescent="0.2">
      <c r="B23219" s="43"/>
    </row>
    <row r="23220" spans="2:2" ht="12.75" customHeight="1" x14ac:dyDescent="0.2">
      <c r="B23220" s="43"/>
    </row>
    <row r="23221" spans="2:2" ht="12.75" customHeight="1" x14ac:dyDescent="0.2">
      <c r="B23221" s="43"/>
    </row>
    <row r="23222" spans="2:2" ht="12.75" customHeight="1" x14ac:dyDescent="0.2">
      <c r="B23222" s="43"/>
    </row>
    <row r="23223" spans="2:2" ht="12.75" customHeight="1" x14ac:dyDescent="0.2">
      <c r="B23223" s="43"/>
    </row>
    <row r="23224" spans="2:2" ht="12.75" customHeight="1" x14ac:dyDescent="0.2">
      <c r="B23224" s="43"/>
    </row>
    <row r="23225" spans="2:2" ht="12.75" customHeight="1" x14ac:dyDescent="0.2">
      <c r="B23225" s="43"/>
    </row>
    <row r="23226" spans="2:2" ht="12.75" customHeight="1" x14ac:dyDescent="0.2">
      <c r="B23226" s="43"/>
    </row>
    <row r="23227" spans="2:2" ht="12.75" customHeight="1" x14ac:dyDescent="0.2">
      <c r="B23227" s="43"/>
    </row>
    <row r="23228" spans="2:2" ht="12.75" customHeight="1" x14ac:dyDescent="0.2">
      <c r="B23228" s="43"/>
    </row>
    <row r="23229" spans="2:2" ht="12.75" customHeight="1" x14ac:dyDescent="0.2">
      <c r="B23229" s="43"/>
    </row>
    <row r="23230" spans="2:2" ht="12.75" customHeight="1" x14ac:dyDescent="0.2">
      <c r="B23230" s="43"/>
    </row>
    <row r="23231" spans="2:2" ht="12.75" customHeight="1" x14ac:dyDescent="0.2">
      <c r="B23231" s="43"/>
    </row>
    <row r="23232" spans="2:2" ht="12.75" customHeight="1" x14ac:dyDescent="0.2">
      <c r="B23232" s="43"/>
    </row>
    <row r="23233" spans="2:2" ht="12.75" customHeight="1" x14ac:dyDescent="0.2">
      <c r="B23233" s="43"/>
    </row>
    <row r="23234" spans="2:2" ht="12.75" customHeight="1" x14ac:dyDescent="0.2">
      <c r="B23234" s="43"/>
    </row>
    <row r="23235" spans="2:2" ht="12.75" customHeight="1" x14ac:dyDescent="0.2">
      <c r="B23235" s="43"/>
    </row>
    <row r="23236" spans="2:2" ht="12.75" customHeight="1" x14ac:dyDescent="0.2">
      <c r="B23236" s="43"/>
    </row>
    <row r="23237" spans="2:2" ht="12.75" customHeight="1" x14ac:dyDescent="0.2">
      <c r="B23237" s="43"/>
    </row>
    <row r="23238" spans="2:2" ht="12.75" customHeight="1" x14ac:dyDescent="0.2">
      <c r="B23238" s="43"/>
    </row>
    <row r="23239" spans="2:2" ht="12.75" customHeight="1" x14ac:dyDescent="0.2">
      <c r="B23239" s="43"/>
    </row>
    <row r="23240" spans="2:2" ht="12.75" customHeight="1" x14ac:dyDescent="0.2">
      <c r="B23240" s="43"/>
    </row>
    <row r="23241" spans="2:2" ht="12.75" customHeight="1" x14ac:dyDescent="0.2">
      <c r="B23241" s="43"/>
    </row>
    <row r="23242" spans="2:2" ht="12.75" customHeight="1" x14ac:dyDescent="0.2">
      <c r="B23242" s="43"/>
    </row>
    <row r="23243" spans="2:2" ht="12.75" customHeight="1" x14ac:dyDescent="0.2">
      <c r="B23243" s="43"/>
    </row>
    <row r="23244" spans="2:2" ht="12.75" customHeight="1" x14ac:dyDescent="0.2">
      <c r="B23244" s="43"/>
    </row>
    <row r="23245" spans="2:2" ht="12.75" customHeight="1" x14ac:dyDescent="0.2">
      <c r="B23245" s="43"/>
    </row>
    <row r="23246" spans="2:2" ht="12.75" customHeight="1" x14ac:dyDescent="0.2">
      <c r="B23246" s="43"/>
    </row>
    <row r="23247" spans="2:2" ht="12.75" customHeight="1" x14ac:dyDescent="0.2">
      <c r="B23247" s="43"/>
    </row>
    <row r="23248" spans="2:2" ht="12.75" customHeight="1" x14ac:dyDescent="0.2">
      <c r="B23248" s="43"/>
    </row>
    <row r="23249" spans="2:2" ht="12.75" customHeight="1" x14ac:dyDescent="0.2">
      <c r="B23249" s="43"/>
    </row>
    <row r="23250" spans="2:2" ht="12.75" customHeight="1" x14ac:dyDescent="0.2">
      <c r="B23250" s="43"/>
    </row>
    <row r="23251" spans="2:2" ht="12.75" customHeight="1" x14ac:dyDescent="0.2">
      <c r="B23251" s="43"/>
    </row>
    <row r="23252" spans="2:2" ht="12.75" customHeight="1" x14ac:dyDescent="0.2">
      <c r="B23252" s="43"/>
    </row>
    <row r="23253" spans="2:2" ht="12.75" customHeight="1" x14ac:dyDescent="0.2">
      <c r="B23253" s="43"/>
    </row>
    <row r="23254" spans="2:2" ht="12.75" customHeight="1" x14ac:dyDescent="0.2">
      <c r="B23254" s="43"/>
    </row>
    <row r="23255" spans="2:2" ht="12.75" customHeight="1" x14ac:dyDescent="0.2">
      <c r="B23255" s="43"/>
    </row>
    <row r="23256" spans="2:2" ht="12.75" customHeight="1" x14ac:dyDescent="0.2">
      <c r="B23256" s="43"/>
    </row>
    <row r="23257" spans="2:2" ht="12.75" customHeight="1" x14ac:dyDescent="0.2">
      <c r="B23257" s="43"/>
    </row>
    <row r="23258" spans="2:2" ht="12.75" customHeight="1" x14ac:dyDescent="0.2">
      <c r="B23258" s="43"/>
    </row>
    <row r="23259" spans="2:2" ht="12.75" customHeight="1" x14ac:dyDescent="0.2">
      <c r="B23259" s="43"/>
    </row>
    <row r="23260" spans="2:2" ht="12.75" customHeight="1" x14ac:dyDescent="0.2">
      <c r="B23260" s="43"/>
    </row>
    <row r="23261" spans="2:2" ht="12.75" customHeight="1" x14ac:dyDescent="0.2">
      <c r="B23261" s="43"/>
    </row>
    <row r="23262" spans="2:2" ht="12.75" customHeight="1" x14ac:dyDescent="0.2">
      <c r="B23262" s="43"/>
    </row>
    <row r="23263" spans="2:2" ht="12.75" customHeight="1" x14ac:dyDescent="0.2">
      <c r="B23263" s="43"/>
    </row>
    <row r="23264" spans="2:2" ht="12.75" customHeight="1" x14ac:dyDescent="0.2">
      <c r="B23264" s="43"/>
    </row>
    <row r="23265" spans="2:2" ht="12.75" customHeight="1" x14ac:dyDescent="0.2">
      <c r="B23265" s="43"/>
    </row>
    <row r="23266" spans="2:2" ht="12.75" customHeight="1" x14ac:dyDescent="0.2">
      <c r="B23266" s="43"/>
    </row>
    <row r="23267" spans="2:2" ht="12.75" customHeight="1" x14ac:dyDescent="0.2">
      <c r="B23267" s="43"/>
    </row>
    <row r="23268" spans="2:2" ht="12.75" customHeight="1" x14ac:dyDescent="0.2">
      <c r="B23268" s="43"/>
    </row>
    <row r="23269" spans="2:2" ht="12.75" customHeight="1" x14ac:dyDescent="0.2">
      <c r="B23269" s="43"/>
    </row>
    <row r="23270" spans="2:2" ht="12.75" customHeight="1" x14ac:dyDescent="0.2">
      <c r="B23270" s="43"/>
    </row>
    <row r="23271" spans="2:2" ht="12.75" customHeight="1" x14ac:dyDescent="0.2">
      <c r="B23271" s="43"/>
    </row>
    <row r="23272" spans="2:2" ht="12.75" customHeight="1" x14ac:dyDescent="0.2">
      <c r="B23272" s="43"/>
    </row>
    <row r="23273" spans="2:2" ht="12.75" customHeight="1" x14ac:dyDescent="0.2">
      <c r="B23273" s="43"/>
    </row>
    <row r="23274" spans="2:2" ht="12.75" customHeight="1" x14ac:dyDescent="0.2">
      <c r="B23274" s="43"/>
    </row>
    <row r="23275" spans="2:2" ht="12.75" customHeight="1" x14ac:dyDescent="0.2">
      <c r="B23275" s="43"/>
    </row>
    <row r="23276" spans="2:2" ht="12.75" customHeight="1" x14ac:dyDescent="0.2">
      <c r="B23276" s="43"/>
    </row>
    <row r="23277" spans="2:2" ht="12.75" customHeight="1" x14ac:dyDescent="0.2">
      <c r="B23277" s="43"/>
    </row>
    <row r="23278" spans="2:2" ht="12.75" customHeight="1" x14ac:dyDescent="0.2">
      <c r="B23278" s="43"/>
    </row>
    <row r="23279" spans="2:2" ht="12.75" customHeight="1" x14ac:dyDescent="0.2">
      <c r="B23279" s="43"/>
    </row>
    <row r="23280" spans="2:2" ht="12.75" customHeight="1" x14ac:dyDescent="0.2">
      <c r="B23280" s="43"/>
    </row>
    <row r="23281" spans="2:2" ht="12.75" customHeight="1" x14ac:dyDescent="0.2">
      <c r="B23281" s="43"/>
    </row>
    <row r="23282" spans="2:2" ht="12.75" customHeight="1" x14ac:dyDescent="0.2">
      <c r="B23282" s="43"/>
    </row>
    <row r="23283" spans="2:2" ht="12.75" customHeight="1" x14ac:dyDescent="0.2">
      <c r="B23283" s="43"/>
    </row>
    <row r="23284" spans="2:2" ht="12.75" customHeight="1" x14ac:dyDescent="0.2">
      <c r="B23284" s="43"/>
    </row>
    <row r="23285" spans="2:2" ht="12.75" customHeight="1" x14ac:dyDescent="0.2">
      <c r="B23285" s="43"/>
    </row>
    <row r="23286" spans="2:2" ht="12.75" customHeight="1" x14ac:dyDescent="0.2">
      <c r="B23286" s="43"/>
    </row>
    <row r="23287" spans="2:2" ht="12.75" customHeight="1" x14ac:dyDescent="0.2">
      <c r="B23287" s="43"/>
    </row>
    <row r="23288" spans="2:2" ht="12.75" customHeight="1" x14ac:dyDescent="0.2">
      <c r="B23288" s="43"/>
    </row>
    <row r="23289" spans="2:2" ht="12.75" customHeight="1" x14ac:dyDescent="0.2">
      <c r="B23289" s="43"/>
    </row>
    <row r="23290" spans="2:2" ht="12.75" customHeight="1" x14ac:dyDescent="0.2">
      <c r="B23290" s="43"/>
    </row>
    <row r="23291" spans="2:2" ht="12.75" customHeight="1" x14ac:dyDescent="0.2">
      <c r="B23291" s="43"/>
    </row>
    <row r="23292" spans="2:2" ht="12.75" customHeight="1" x14ac:dyDescent="0.2">
      <c r="B23292" s="43"/>
    </row>
    <row r="23293" spans="2:2" ht="12.75" customHeight="1" x14ac:dyDescent="0.2">
      <c r="B23293" s="43"/>
    </row>
    <row r="23294" spans="2:2" ht="12.75" customHeight="1" x14ac:dyDescent="0.2">
      <c r="B23294" s="43"/>
    </row>
    <row r="23295" spans="2:2" ht="12.75" customHeight="1" x14ac:dyDescent="0.2">
      <c r="B23295" s="43"/>
    </row>
    <row r="23296" spans="2:2" ht="12.75" customHeight="1" x14ac:dyDescent="0.2">
      <c r="B23296" s="43"/>
    </row>
    <row r="23297" spans="2:2" ht="12.75" customHeight="1" x14ac:dyDescent="0.2">
      <c r="B23297" s="43"/>
    </row>
    <row r="23298" spans="2:2" ht="12.75" customHeight="1" x14ac:dyDescent="0.2">
      <c r="B23298" s="43"/>
    </row>
    <row r="23299" spans="2:2" ht="12.75" customHeight="1" x14ac:dyDescent="0.2">
      <c r="B23299" s="43"/>
    </row>
    <row r="23300" spans="2:2" ht="12.75" customHeight="1" x14ac:dyDescent="0.2">
      <c r="B23300" s="43"/>
    </row>
    <row r="23301" spans="2:2" ht="12.75" customHeight="1" x14ac:dyDescent="0.2">
      <c r="B23301" s="43"/>
    </row>
    <row r="23302" spans="2:2" ht="12.75" customHeight="1" x14ac:dyDescent="0.2">
      <c r="B23302" s="43"/>
    </row>
    <row r="23303" spans="2:2" ht="12.75" customHeight="1" x14ac:dyDescent="0.2">
      <c r="B23303" s="43"/>
    </row>
    <row r="23304" spans="2:2" ht="12.75" customHeight="1" x14ac:dyDescent="0.2">
      <c r="B23304" s="43"/>
    </row>
    <row r="23305" spans="2:2" ht="12.75" customHeight="1" x14ac:dyDescent="0.2">
      <c r="B23305" s="43"/>
    </row>
    <row r="23306" spans="2:2" ht="12.75" customHeight="1" x14ac:dyDescent="0.2">
      <c r="B23306" s="43"/>
    </row>
    <row r="23307" spans="2:2" ht="12.75" customHeight="1" x14ac:dyDescent="0.2">
      <c r="B23307" s="43"/>
    </row>
    <row r="23308" spans="2:2" ht="12.75" customHeight="1" x14ac:dyDescent="0.2">
      <c r="B23308" s="43"/>
    </row>
    <row r="23309" spans="2:2" ht="12.75" customHeight="1" x14ac:dyDescent="0.2">
      <c r="B23309" s="43"/>
    </row>
    <row r="23310" spans="2:2" ht="12.75" customHeight="1" x14ac:dyDescent="0.2">
      <c r="B23310" s="43"/>
    </row>
    <row r="23311" spans="2:2" ht="12.75" customHeight="1" x14ac:dyDescent="0.2">
      <c r="B23311" s="43"/>
    </row>
    <row r="23312" spans="2:2" ht="12.75" customHeight="1" x14ac:dyDescent="0.2">
      <c r="B23312" s="43"/>
    </row>
    <row r="23313" spans="2:2" ht="12.75" customHeight="1" x14ac:dyDescent="0.2">
      <c r="B23313" s="43"/>
    </row>
    <row r="23314" spans="2:2" ht="12.75" customHeight="1" x14ac:dyDescent="0.2">
      <c r="B23314" s="43"/>
    </row>
    <row r="23315" spans="2:2" ht="12.75" customHeight="1" x14ac:dyDescent="0.2">
      <c r="B23315" s="43"/>
    </row>
    <row r="23316" spans="2:2" ht="12.75" customHeight="1" x14ac:dyDescent="0.2">
      <c r="B23316" s="43"/>
    </row>
    <row r="23317" spans="2:2" ht="12.75" customHeight="1" x14ac:dyDescent="0.2">
      <c r="B23317" s="43"/>
    </row>
    <row r="23318" spans="2:2" ht="12.75" customHeight="1" x14ac:dyDescent="0.2">
      <c r="B23318" s="43"/>
    </row>
    <row r="23319" spans="2:2" ht="12.75" customHeight="1" x14ac:dyDescent="0.2">
      <c r="B23319" s="43"/>
    </row>
    <row r="23320" spans="2:2" ht="12.75" customHeight="1" x14ac:dyDescent="0.2">
      <c r="B23320" s="43"/>
    </row>
    <row r="23321" spans="2:2" ht="12.75" customHeight="1" x14ac:dyDescent="0.2">
      <c r="B23321" s="43"/>
    </row>
    <row r="23322" spans="2:2" ht="12.75" customHeight="1" x14ac:dyDescent="0.2">
      <c r="B23322" s="43"/>
    </row>
    <row r="23323" spans="2:2" ht="12.75" customHeight="1" x14ac:dyDescent="0.2">
      <c r="B23323" s="43"/>
    </row>
    <row r="23324" spans="2:2" ht="12.75" customHeight="1" x14ac:dyDescent="0.2">
      <c r="B23324" s="43"/>
    </row>
    <row r="23325" spans="2:2" ht="12.75" customHeight="1" x14ac:dyDescent="0.2">
      <c r="B23325" s="43"/>
    </row>
    <row r="23326" spans="2:2" ht="12.75" customHeight="1" x14ac:dyDescent="0.2">
      <c r="B23326" s="43"/>
    </row>
    <row r="23327" spans="2:2" ht="12.75" customHeight="1" x14ac:dyDescent="0.2">
      <c r="B23327" s="43"/>
    </row>
    <row r="23328" spans="2:2" ht="12.75" customHeight="1" x14ac:dyDescent="0.2">
      <c r="B23328" s="43"/>
    </row>
    <row r="23329" spans="2:2" ht="12.75" customHeight="1" x14ac:dyDescent="0.2">
      <c r="B23329" s="43"/>
    </row>
    <row r="23330" spans="2:2" ht="12.75" customHeight="1" x14ac:dyDescent="0.2">
      <c r="B23330" s="43"/>
    </row>
    <row r="23331" spans="2:2" ht="12.75" customHeight="1" x14ac:dyDescent="0.2">
      <c r="B23331" s="43"/>
    </row>
    <row r="23332" spans="2:2" ht="12.75" customHeight="1" x14ac:dyDescent="0.2">
      <c r="B23332" s="43"/>
    </row>
    <row r="23333" spans="2:2" ht="12.75" customHeight="1" x14ac:dyDescent="0.2">
      <c r="B23333" s="43"/>
    </row>
    <row r="23334" spans="2:2" ht="12.75" customHeight="1" x14ac:dyDescent="0.2">
      <c r="B23334" s="43"/>
    </row>
    <row r="23335" spans="2:2" ht="12.75" customHeight="1" x14ac:dyDescent="0.2">
      <c r="B23335" s="43"/>
    </row>
    <row r="23336" spans="2:2" ht="12.75" customHeight="1" x14ac:dyDescent="0.2">
      <c r="B23336" s="43"/>
    </row>
    <row r="23337" spans="2:2" ht="12.75" customHeight="1" x14ac:dyDescent="0.2">
      <c r="B23337" s="43"/>
    </row>
    <row r="23338" spans="2:2" ht="12.75" customHeight="1" x14ac:dyDescent="0.2">
      <c r="B23338" s="43"/>
    </row>
    <row r="23339" spans="2:2" ht="12.75" customHeight="1" x14ac:dyDescent="0.2">
      <c r="B23339" s="43"/>
    </row>
    <row r="23340" spans="2:2" ht="12.75" customHeight="1" x14ac:dyDescent="0.2">
      <c r="B23340" s="43"/>
    </row>
    <row r="23341" spans="2:2" ht="12.75" customHeight="1" x14ac:dyDescent="0.2">
      <c r="B23341" s="43"/>
    </row>
    <row r="23342" spans="2:2" ht="12.75" customHeight="1" x14ac:dyDescent="0.2">
      <c r="B23342" s="43"/>
    </row>
    <row r="23343" spans="2:2" ht="12.75" customHeight="1" x14ac:dyDescent="0.2">
      <c r="B23343" s="43"/>
    </row>
    <row r="23344" spans="2:2" ht="12.75" customHeight="1" x14ac:dyDescent="0.2">
      <c r="B23344" s="43"/>
    </row>
    <row r="23345" spans="2:2" ht="12.75" customHeight="1" x14ac:dyDescent="0.2">
      <c r="B23345" s="43"/>
    </row>
    <row r="23346" spans="2:2" ht="12.75" customHeight="1" x14ac:dyDescent="0.2">
      <c r="B23346" s="43"/>
    </row>
    <row r="23347" spans="2:2" ht="12.75" customHeight="1" x14ac:dyDescent="0.2">
      <c r="B23347" s="43"/>
    </row>
    <row r="23348" spans="2:2" ht="12.75" customHeight="1" x14ac:dyDescent="0.2">
      <c r="B23348" s="43"/>
    </row>
    <row r="23349" spans="2:2" ht="12.75" customHeight="1" x14ac:dyDescent="0.2">
      <c r="B23349" s="43"/>
    </row>
    <row r="23350" spans="2:2" ht="12.75" customHeight="1" x14ac:dyDescent="0.2">
      <c r="B23350" s="43"/>
    </row>
    <row r="23351" spans="2:2" ht="12.75" customHeight="1" x14ac:dyDescent="0.2">
      <c r="B23351" s="43"/>
    </row>
    <row r="23352" spans="2:2" ht="12.75" customHeight="1" x14ac:dyDescent="0.2">
      <c r="B23352" s="43"/>
    </row>
    <row r="23353" spans="2:2" ht="12.75" customHeight="1" x14ac:dyDescent="0.2">
      <c r="B23353" s="43"/>
    </row>
    <row r="23354" spans="2:2" ht="12.75" customHeight="1" x14ac:dyDescent="0.2">
      <c r="B23354" s="43"/>
    </row>
    <row r="23355" spans="2:2" ht="12.75" customHeight="1" x14ac:dyDescent="0.2">
      <c r="B23355" s="43"/>
    </row>
    <row r="23356" spans="2:2" ht="12.75" customHeight="1" x14ac:dyDescent="0.2">
      <c r="B23356" s="43"/>
    </row>
    <row r="23357" spans="2:2" ht="12.75" customHeight="1" x14ac:dyDescent="0.2">
      <c r="B23357" s="43"/>
    </row>
    <row r="23358" spans="2:2" ht="12.75" customHeight="1" x14ac:dyDescent="0.2">
      <c r="B23358" s="43"/>
    </row>
    <row r="23359" spans="2:2" ht="12.75" customHeight="1" x14ac:dyDescent="0.2">
      <c r="B23359" s="43"/>
    </row>
    <row r="23360" spans="2:2" ht="12.75" customHeight="1" x14ac:dyDescent="0.2">
      <c r="B23360" s="43"/>
    </row>
    <row r="23361" spans="2:2" ht="12.75" customHeight="1" x14ac:dyDescent="0.2">
      <c r="B23361" s="43"/>
    </row>
    <row r="23362" spans="2:2" ht="12.75" customHeight="1" x14ac:dyDescent="0.2">
      <c r="B23362" s="43"/>
    </row>
    <row r="23363" spans="2:2" ht="12.75" customHeight="1" x14ac:dyDescent="0.2">
      <c r="B23363" s="43"/>
    </row>
    <row r="23364" spans="2:2" ht="12.75" customHeight="1" x14ac:dyDescent="0.2">
      <c r="B23364" s="43"/>
    </row>
    <row r="23365" spans="2:2" ht="12.75" customHeight="1" x14ac:dyDescent="0.2">
      <c r="B23365" s="43"/>
    </row>
    <row r="23366" spans="2:2" ht="12.75" customHeight="1" x14ac:dyDescent="0.2">
      <c r="B23366" s="43"/>
    </row>
    <row r="23367" spans="2:2" ht="12.75" customHeight="1" x14ac:dyDescent="0.2">
      <c r="B23367" s="43"/>
    </row>
    <row r="23368" spans="2:2" ht="12.75" customHeight="1" x14ac:dyDescent="0.2">
      <c r="B23368" s="43"/>
    </row>
    <row r="23369" spans="2:2" ht="12.75" customHeight="1" x14ac:dyDescent="0.2">
      <c r="B23369" s="43"/>
    </row>
    <row r="23370" spans="2:2" ht="12.75" customHeight="1" x14ac:dyDescent="0.2">
      <c r="B23370" s="43"/>
    </row>
    <row r="23371" spans="2:2" ht="12.75" customHeight="1" x14ac:dyDescent="0.2">
      <c r="B23371" s="43"/>
    </row>
    <row r="23372" spans="2:2" ht="12.75" customHeight="1" x14ac:dyDescent="0.2">
      <c r="B23372" s="43"/>
    </row>
    <row r="23373" spans="2:2" ht="12.75" customHeight="1" x14ac:dyDescent="0.2">
      <c r="B23373" s="43"/>
    </row>
    <row r="23374" spans="2:2" ht="12.75" customHeight="1" x14ac:dyDescent="0.2">
      <c r="B23374" s="43"/>
    </row>
    <row r="23375" spans="2:2" ht="12.75" customHeight="1" x14ac:dyDescent="0.2">
      <c r="B23375" s="43"/>
    </row>
    <row r="23376" spans="2:2" ht="12.75" customHeight="1" x14ac:dyDescent="0.2">
      <c r="B23376" s="43"/>
    </row>
    <row r="23377" spans="2:2" ht="12.75" customHeight="1" x14ac:dyDescent="0.2">
      <c r="B23377" s="43"/>
    </row>
    <row r="23378" spans="2:2" ht="12.75" customHeight="1" x14ac:dyDescent="0.2">
      <c r="B23378" s="43"/>
    </row>
    <row r="23379" spans="2:2" ht="12.75" customHeight="1" x14ac:dyDescent="0.2">
      <c r="B23379" s="43"/>
    </row>
    <row r="23380" spans="2:2" ht="12.75" customHeight="1" x14ac:dyDescent="0.2">
      <c r="B23380" s="43"/>
    </row>
    <row r="23381" spans="2:2" ht="12.75" customHeight="1" x14ac:dyDescent="0.2">
      <c r="B23381" s="43"/>
    </row>
    <row r="23382" spans="2:2" ht="12.75" customHeight="1" x14ac:dyDescent="0.2">
      <c r="B23382" s="43"/>
    </row>
    <row r="23383" spans="2:2" ht="12.75" customHeight="1" x14ac:dyDescent="0.2">
      <c r="B23383" s="43"/>
    </row>
    <row r="23384" spans="2:2" ht="12.75" customHeight="1" x14ac:dyDescent="0.2">
      <c r="B23384" s="43"/>
    </row>
    <row r="23385" spans="2:2" ht="12.75" customHeight="1" x14ac:dyDescent="0.2">
      <c r="B23385" s="43"/>
    </row>
    <row r="23386" spans="2:2" ht="12.75" customHeight="1" x14ac:dyDescent="0.2">
      <c r="B23386" s="43"/>
    </row>
    <row r="23387" spans="2:2" ht="12.75" customHeight="1" x14ac:dyDescent="0.2">
      <c r="B23387" s="43"/>
    </row>
    <row r="23388" spans="2:2" ht="12.75" customHeight="1" x14ac:dyDescent="0.2">
      <c r="B23388" s="43"/>
    </row>
    <row r="23389" spans="2:2" ht="12.75" customHeight="1" x14ac:dyDescent="0.2">
      <c r="B23389" s="43"/>
    </row>
    <row r="23390" spans="2:2" ht="12.75" customHeight="1" x14ac:dyDescent="0.2">
      <c r="B23390" s="43"/>
    </row>
    <row r="23391" spans="2:2" ht="12.75" customHeight="1" x14ac:dyDescent="0.2">
      <c r="B23391" s="43"/>
    </row>
    <row r="23392" spans="2:2" ht="12.75" customHeight="1" x14ac:dyDescent="0.2">
      <c r="B23392" s="43"/>
    </row>
    <row r="23393" spans="2:2" ht="12.75" customHeight="1" x14ac:dyDescent="0.2">
      <c r="B23393" s="43"/>
    </row>
    <row r="23394" spans="2:2" ht="12.75" customHeight="1" x14ac:dyDescent="0.2">
      <c r="B23394" s="43"/>
    </row>
    <row r="23395" spans="2:2" ht="12.75" customHeight="1" x14ac:dyDescent="0.2">
      <c r="B23395" s="43"/>
    </row>
    <row r="23396" spans="2:2" ht="12.75" customHeight="1" x14ac:dyDescent="0.2">
      <c r="B23396" s="43"/>
    </row>
    <row r="23397" spans="2:2" ht="12.75" customHeight="1" x14ac:dyDescent="0.2">
      <c r="B23397" s="43"/>
    </row>
    <row r="23398" spans="2:2" ht="12.75" customHeight="1" x14ac:dyDescent="0.2">
      <c r="B23398" s="43"/>
    </row>
    <row r="23399" spans="2:2" ht="12.75" customHeight="1" x14ac:dyDescent="0.2">
      <c r="B23399" s="43"/>
    </row>
    <row r="23400" spans="2:2" ht="12.75" customHeight="1" x14ac:dyDescent="0.2">
      <c r="B23400" s="43"/>
    </row>
    <row r="23401" spans="2:2" ht="12.75" customHeight="1" x14ac:dyDescent="0.2">
      <c r="B23401" s="43"/>
    </row>
    <row r="23402" spans="2:2" ht="12.75" customHeight="1" x14ac:dyDescent="0.2">
      <c r="B23402" s="43"/>
    </row>
    <row r="23403" spans="2:2" ht="12.75" customHeight="1" x14ac:dyDescent="0.2">
      <c r="B23403" s="43"/>
    </row>
    <row r="23404" spans="2:2" ht="12.75" customHeight="1" x14ac:dyDescent="0.2">
      <c r="B23404" s="43"/>
    </row>
    <row r="23405" spans="2:2" ht="12.75" customHeight="1" x14ac:dyDescent="0.2">
      <c r="B23405" s="43"/>
    </row>
    <row r="23406" spans="2:2" ht="12.75" customHeight="1" x14ac:dyDescent="0.2">
      <c r="B23406" s="43"/>
    </row>
    <row r="23407" spans="2:2" ht="12.75" customHeight="1" x14ac:dyDescent="0.2">
      <c r="B23407" s="43"/>
    </row>
    <row r="23408" spans="2:2" ht="12.75" customHeight="1" x14ac:dyDescent="0.2">
      <c r="B23408" s="43"/>
    </row>
    <row r="23409" spans="2:2" ht="12.75" customHeight="1" x14ac:dyDescent="0.2">
      <c r="B23409" s="43"/>
    </row>
    <row r="23410" spans="2:2" ht="12.75" customHeight="1" x14ac:dyDescent="0.2">
      <c r="B23410" s="43"/>
    </row>
    <row r="23411" spans="2:2" ht="12.75" customHeight="1" x14ac:dyDescent="0.2">
      <c r="B23411" s="43"/>
    </row>
    <row r="23412" spans="2:2" ht="12.75" customHeight="1" x14ac:dyDescent="0.2">
      <c r="B23412" s="43"/>
    </row>
    <row r="23413" spans="2:2" ht="12.75" customHeight="1" x14ac:dyDescent="0.2">
      <c r="B23413" s="43"/>
    </row>
    <row r="23414" spans="2:2" ht="12.75" customHeight="1" x14ac:dyDescent="0.2">
      <c r="B23414" s="43"/>
    </row>
    <row r="23415" spans="2:2" ht="12.75" customHeight="1" x14ac:dyDescent="0.2">
      <c r="B23415" s="43"/>
    </row>
    <row r="23416" spans="2:2" ht="12.75" customHeight="1" x14ac:dyDescent="0.2">
      <c r="B23416" s="43"/>
    </row>
    <row r="23417" spans="2:2" ht="12.75" customHeight="1" x14ac:dyDescent="0.2">
      <c r="B23417" s="43"/>
    </row>
    <row r="23418" spans="2:2" ht="12.75" customHeight="1" x14ac:dyDescent="0.2">
      <c r="B23418" s="43"/>
    </row>
    <row r="23419" spans="2:2" ht="12.75" customHeight="1" x14ac:dyDescent="0.2">
      <c r="B23419" s="43"/>
    </row>
    <row r="23420" spans="2:2" ht="12.75" customHeight="1" x14ac:dyDescent="0.2">
      <c r="B23420" s="43"/>
    </row>
    <row r="23421" spans="2:2" ht="12.75" customHeight="1" x14ac:dyDescent="0.2">
      <c r="B23421" s="43"/>
    </row>
    <row r="23422" spans="2:2" ht="12.75" customHeight="1" x14ac:dyDescent="0.2">
      <c r="B23422" s="43"/>
    </row>
    <row r="23423" spans="2:2" ht="12.75" customHeight="1" x14ac:dyDescent="0.2">
      <c r="B23423" s="43"/>
    </row>
    <row r="23424" spans="2:2" ht="12.75" customHeight="1" x14ac:dyDescent="0.2">
      <c r="B23424" s="43"/>
    </row>
    <row r="23425" spans="2:2" ht="12.75" customHeight="1" x14ac:dyDescent="0.2">
      <c r="B23425" s="43"/>
    </row>
    <row r="23426" spans="2:2" ht="12.75" customHeight="1" x14ac:dyDescent="0.2">
      <c r="B23426" s="43"/>
    </row>
    <row r="23427" spans="2:2" ht="12.75" customHeight="1" x14ac:dyDescent="0.2">
      <c r="B23427" s="43"/>
    </row>
    <row r="23428" spans="2:2" ht="12.75" customHeight="1" x14ac:dyDescent="0.2">
      <c r="B23428" s="43"/>
    </row>
    <row r="23429" spans="2:2" ht="12.75" customHeight="1" x14ac:dyDescent="0.2">
      <c r="B23429" s="43"/>
    </row>
    <row r="23430" spans="2:2" ht="12.75" customHeight="1" x14ac:dyDescent="0.2">
      <c r="B23430" s="43"/>
    </row>
    <row r="23431" spans="2:2" ht="12.75" customHeight="1" x14ac:dyDescent="0.2">
      <c r="B23431" s="43"/>
    </row>
    <row r="23432" spans="2:2" ht="12.75" customHeight="1" x14ac:dyDescent="0.2">
      <c r="B23432" s="43"/>
    </row>
    <row r="23433" spans="2:2" ht="12.75" customHeight="1" x14ac:dyDescent="0.2">
      <c r="B23433" s="43"/>
    </row>
    <row r="23434" spans="2:2" ht="12.75" customHeight="1" x14ac:dyDescent="0.2">
      <c r="B23434" s="43"/>
    </row>
    <row r="23435" spans="2:2" ht="12.75" customHeight="1" x14ac:dyDescent="0.2">
      <c r="B23435" s="43"/>
    </row>
    <row r="23436" spans="2:2" ht="12.75" customHeight="1" x14ac:dyDescent="0.2">
      <c r="B23436" s="43"/>
    </row>
    <row r="23437" spans="2:2" ht="12.75" customHeight="1" x14ac:dyDescent="0.2">
      <c r="B23437" s="43"/>
    </row>
    <row r="23438" spans="2:2" ht="12.75" customHeight="1" x14ac:dyDescent="0.2">
      <c r="B23438" s="43"/>
    </row>
    <row r="23439" spans="2:2" ht="12.75" customHeight="1" x14ac:dyDescent="0.2">
      <c r="B23439" s="43"/>
    </row>
    <row r="23440" spans="2:2" ht="12.75" customHeight="1" x14ac:dyDescent="0.2">
      <c r="B23440" s="43"/>
    </row>
    <row r="23441" spans="2:2" ht="12.75" customHeight="1" x14ac:dyDescent="0.2">
      <c r="B23441" s="43"/>
    </row>
    <row r="23442" spans="2:2" ht="12.75" customHeight="1" x14ac:dyDescent="0.2">
      <c r="B23442" s="43"/>
    </row>
    <row r="23443" spans="2:2" ht="12.75" customHeight="1" x14ac:dyDescent="0.2">
      <c r="B23443" s="43"/>
    </row>
    <row r="23444" spans="2:2" ht="12.75" customHeight="1" x14ac:dyDescent="0.2">
      <c r="B23444" s="43"/>
    </row>
    <row r="23445" spans="2:2" ht="12.75" customHeight="1" x14ac:dyDescent="0.2">
      <c r="B23445" s="43"/>
    </row>
    <row r="23446" spans="2:2" ht="12.75" customHeight="1" x14ac:dyDescent="0.2">
      <c r="B23446" s="43"/>
    </row>
    <row r="23447" spans="2:2" ht="12.75" customHeight="1" x14ac:dyDescent="0.2">
      <c r="B23447" s="43"/>
    </row>
    <row r="23448" spans="2:2" ht="12.75" customHeight="1" x14ac:dyDescent="0.2">
      <c r="B23448" s="43"/>
    </row>
    <row r="23449" spans="2:2" ht="12.75" customHeight="1" x14ac:dyDescent="0.2">
      <c r="B23449" s="43"/>
    </row>
    <row r="23450" spans="2:2" ht="12.75" customHeight="1" x14ac:dyDescent="0.2">
      <c r="B23450" s="43"/>
    </row>
    <row r="23451" spans="2:2" ht="12.75" customHeight="1" x14ac:dyDescent="0.2">
      <c r="B23451" s="43"/>
    </row>
    <row r="23452" spans="2:2" ht="12.75" customHeight="1" x14ac:dyDescent="0.2">
      <c r="B23452" s="43"/>
    </row>
    <row r="23453" spans="2:2" ht="12.75" customHeight="1" x14ac:dyDescent="0.2">
      <c r="B23453" s="43"/>
    </row>
    <row r="23454" spans="2:2" ht="12.75" customHeight="1" x14ac:dyDescent="0.2">
      <c r="B23454" s="43"/>
    </row>
    <row r="23455" spans="2:2" ht="12.75" customHeight="1" x14ac:dyDescent="0.2">
      <c r="B23455" s="43"/>
    </row>
    <row r="23456" spans="2:2" ht="12.75" customHeight="1" x14ac:dyDescent="0.2">
      <c r="B23456" s="43"/>
    </row>
    <row r="23457" spans="2:2" ht="12.75" customHeight="1" x14ac:dyDescent="0.2">
      <c r="B23457" s="43"/>
    </row>
    <row r="23458" spans="2:2" ht="12.75" customHeight="1" x14ac:dyDescent="0.2">
      <c r="B23458" s="43"/>
    </row>
    <row r="23459" spans="2:2" ht="12.75" customHeight="1" x14ac:dyDescent="0.2">
      <c r="B23459" s="43"/>
    </row>
    <row r="23460" spans="2:2" ht="12.75" customHeight="1" x14ac:dyDescent="0.2">
      <c r="B23460" s="43"/>
    </row>
    <row r="23461" spans="2:2" ht="12.75" customHeight="1" x14ac:dyDescent="0.2">
      <c r="B23461" s="43"/>
    </row>
    <row r="23462" spans="2:2" ht="12.75" customHeight="1" x14ac:dyDescent="0.2">
      <c r="B23462" s="43"/>
    </row>
    <row r="23463" spans="2:2" ht="12.75" customHeight="1" x14ac:dyDescent="0.2">
      <c r="B23463" s="43"/>
    </row>
    <row r="23464" spans="2:2" ht="12.75" customHeight="1" x14ac:dyDescent="0.2">
      <c r="B23464" s="43"/>
    </row>
    <row r="23465" spans="2:2" ht="12.75" customHeight="1" x14ac:dyDescent="0.2">
      <c r="B23465" s="43"/>
    </row>
    <row r="23466" spans="2:2" ht="12.75" customHeight="1" x14ac:dyDescent="0.2">
      <c r="B23466" s="43"/>
    </row>
    <row r="23467" spans="2:2" ht="12.75" customHeight="1" x14ac:dyDescent="0.2">
      <c r="B23467" s="43"/>
    </row>
    <row r="23468" spans="2:2" ht="12.75" customHeight="1" x14ac:dyDescent="0.2">
      <c r="B23468" s="43"/>
    </row>
    <row r="23469" spans="2:2" ht="12.75" customHeight="1" x14ac:dyDescent="0.2">
      <c r="B23469" s="43"/>
    </row>
    <row r="23470" spans="2:2" ht="12.75" customHeight="1" x14ac:dyDescent="0.2">
      <c r="B23470" s="43"/>
    </row>
    <row r="23471" spans="2:2" ht="12.75" customHeight="1" x14ac:dyDescent="0.2">
      <c r="B23471" s="43"/>
    </row>
    <row r="23472" spans="2:2" ht="12.75" customHeight="1" x14ac:dyDescent="0.2">
      <c r="B23472" s="43"/>
    </row>
    <row r="23473" spans="2:2" ht="12.75" customHeight="1" x14ac:dyDescent="0.2">
      <c r="B23473" s="43"/>
    </row>
    <row r="23474" spans="2:2" ht="12.75" customHeight="1" x14ac:dyDescent="0.2">
      <c r="B23474" s="43"/>
    </row>
    <row r="23475" spans="2:2" ht="12.75" customHeight="1" x14ac:dyDescent="0.2">
      <c r="B23475" s="43"/>
    </row>
    <row r="23476" spans="2:2" ht="12.75" customHeight="1" x14ac:dyDescent="0.2">
      <c r="B23476" s="43"/>
    </row>
    <row r="23477" spans="2:2" ht="12.75" customHeight="1" x14ac:dyDescent="0.2">
      <c r="B23477" s="43"/>
    </row>
    <row r="23478" spans="2:2" ht="12.75" customHeight="1" x14ac:dyDescent="0.2">
      <c r="B23478" s="43"/>
    </row>
    <row r="23479" spans="2:2" ht="12.75" customHeight="1" x14ac:dyDescent="0.2">
      <c r="B23479" s="43"/>
    </row>
    <row r="23480" spans="2:2" ht="12.75" customHeight="1" x14ac:dyDescent="0.2">
      <c r="B23480" s="43"/>
    </row>
    <row r="23481" spans="2:2" ht="12.75" customHeight="1" x14ac:dyDescent="0.2">
      <c r="B23481" s="43"/>
    </row>
    <row r="23482" spans="2:2" ht="12.75" customHeight="1" x14ac:dyDescent="0.2">
      <c r="B23482" s="43"/>
    </row>
    <row r="23483" spans="2:2" ht="12.75" customHeight="1" x14ac:dyDescent="0.2">
      <c r="B23483" s="43"/>
    </row>
    <row r="23484" spans="2:2" ht="12.75" customHeight="1" x14ac:dyDescent="0.2">
      <c r="B23484" s="43"/>
    </row>
    <row r="23485" spans="2:2" ht="12.75" customHeight="1" x14ac:dyDescent="0.2">
      <c r="B23485" s="43"/>
    </row>
    <row r="23486" spans="2:2" ht="12.75" customHeight="1" x14ac:dyDescent="0.2">
      <c r="B23486" s="43"/>
    </row>
    <row r="23487" spans="2:2" ht="12.75" customHeight="1" x14ac:dyDescent="0.2">
      <c r="B23487" s="43"/>
    </row>
    <row r="23488" spans="2:2" ht="12.75" customHeight="1" x14ac:dyDescent="0.2">
      <c r="B23488" s="43"/>
    </row>
    <row r="23489" spans="2:2" ht="12.75" customHeight="1" x14ac:dyDescent="0.2">
      <c r="B23489" s="43"/>
    </row>
    <row r="23490" spans="2:2" ht="12.75" customHeight="1" x14ac:dyDescent="0.2">
      <c r="B23490" s="43"/>
    </row>
    <row r="23491" spans="2:2" ht="12.75" customHeight="1" x14ac:dyDescent="0.2">
      <c r="B23491" s="43"/>
    </row>
    <row r="23492" spans="2:2" ht="12.75" customHeight="1" x14ac:dyDescent="0.2">
      <c r="B23492" s="43"/>
    </row>
    <row r="23493" spans="2:2" ht="12.75" customHeight="1" x14ac:dyDescent="0.2">
      <c r="B23493" s="43"/>
    </row>
    <row r="23494" spans="2:2" ht="12.75" customHeight="1" x14ac:dyDescent="0.2">
      <c r="B23494" s="43"/>
    </row>
    <row r="23495" spans="2:2" ht="12.75" customHeight="1" x14ac:dyDescent="0.2">
      <c r="B23495" s="43"/>
    </row>
    <row r="23496" spans="2:2" ht="12.75" customHeight="1" x14ac:dyDescent="0.2">
      <c r="B23496" s="43"/>
    </row>
    <row r="23497" spans="2:2" ht="12.75" customHeight="1" x14ac:dyDescent="0.2">
      <c r="B23497" s="43"/>
    </row>
    <row r="23498" spans="2:2" ht="12.75" customHeight="1" x14ac:dyDescent="0.2">
      <c r="B23498" s="43"/>
    </row>
    <row r="23499" spans="2:2" ht="12.75" customHeight="1" x14ac:dyDescent="0.2">
      <c r="B23499" s="43"/>
    </row>
    <row r="23500" spans="2:2" ht="12.75" customHeight="1" x14ac:dyDescent="0.2">
      <c r="B23500" s="43"/>
    </row>
    <row r="23501" spans="2:2" ht="12.75" customHeight="1" x14ac:dyDescent="0.2">
      <c r="B23501" s="43"/>
    </row>
    <row r="23502" spans="2:2" ht="12.75" customHeight="1" x14ac:dyDescent="0.2">
      <c r="B23502" s="43"/>
    </row>
    <row r="23503" spans="2:2" ht="12.75" customHeight="1" x14ac:dyDescent="0.2">
      <c r="B23503" s="43"/>
    </row>
    <row r="23504" spans="2:2" ht="12.75" customHeight="1" x14ac:dyDescent="0.2">
      <c r="B23504" s="43"/>
    </row>
    <row r="23505" spans="2:2" ht="12.75" customHeight="1" x14ac:dyDescent="0.2">
      <c r="B23505" s="43"/>
    </row>
    <row r="23506" spans="2:2" ht="12.75" customHeight="1" x14ac:dyDescent="0.2">
      <c r="B23506" s="43"/>
    </row>
    <row r="23507" spans="2:2" ht="12.75" customHeight="1" x14ac:dyDescent="0.2">
      <c r="B23507" s="43"/>
    </row>
    <row r="23508" spans="2:2" ht="12.75" customHeight="1" x14ac:dyDescent="0.2">
      <c r="B23508" s="43"/>
    </row>
    <row r="23509" spans="2:2" ht="12.75" customHeight="1" x14ac:dyDescent="0.2">
      <c r="B23509" s="43"/>
    </row>
    <row r="23510" spans="2:2" ht="12.75" customHeight="1" x14ac:dyDescent="0.2">
      <c r="B23510" s="43"/>
    </row>
    <row r="23511" spans="2:2" ht="12.75" customHeight="1" x14ac:dyDescent="0.2">
      <c r="B23511" s="43"/>
    </row>
    <row r="23512" spans="2:2" ht="12.75" customHeight="1" x14ac:dyDescent="0.2">
      <c r="B23512" s="43"/>
    </row>
    <row r="23513" spans="2:2" ht="12.75" customHeight="1" x14ac:dyDescent="0.2">
      <c r="B23513" s="43"/>
    </row>
    <row r="23514" spans="2:2" ht="12.75" customHeight="1" x14ac:dyDescent="0.2">
      <c r="B23514" s="43"/>
    </row>
    <row r="23515" spans="2:2" ht="12.75" customHeight="1" x14ac:dyDescent="0.2">
      <c r="B23515" s="43"/>
    </row>
    <row r="23516" spans="2:2" ht="12.75" customHeight="1" x14ac:dyDescent="0.2">
      <c r="B23516" s="43"/>
    </row>
    <row r="23517" spans="2:2" ht="12.75" customHeight="1" x14ac:dyDescent="0.2">
      <c r="B23517" s="43"/>
    </row>
    <row r="23518" spans="2:2" ht="12.75" customHeight="1" x14ac:dyDescent="0.2">
      <c r="B23518" s="43"/>
    </row>
    <row r="23519" spans="2:2" ht="12.75" customHeight="1" x14ac:dyDescent="0.2">
      <c r="B23519" s="43"/>
    </row>
    <row r="23520" spans="2:2" ht="12.75" customHeight="1" x14ac:dyDescent="0.2">
      <c r="B23520" s="43"/>
    </row>
    <row r="23521" spans="2:2" ht="12.75" customHeight="1" x14ac:dyDescent="0.2">
      <c r="B23521" s="43"/>
    </row>
    <row r="23522" spans="2:2" ht="12.75" customHeight="1" x14ac:dyDescent="0.2">
      <c r="B23522" s="43"/>
    </row>
    <row r="23523" spans="2:2" ht="12.75" customHeight="1" x14ac:dyDescent="0.2">
      <c r="B23523" s="43"/>
    </row>
    <row r="23524" spans="2:2" ht="12.75" customHeight="1" x14ac:dyDescent="0.2">
      <c r="B23524" s="43"/>
    </row>
    <row r="23525" spans="2:2" ht="12.75" customHeight="1" x14ac:dyDescent="0.2">
      <c r="B23525" s="43"/>
    </row>
    <row r="23526" spans="2:2" ht="12.75" customHeight="1" x14ac:dyDescent="0.2">
      <c r="B23526" s="43"/>
    </row>
    <row r="23527" spans="2:2" ht="12.75" customHeight="1" x14ac:dyDescent="0.2">
      <c r="B23527" s="43"/>
    </row>
    <row r="23528" spans="2:2" ht="12.75" customHeight="1" x14ac:dyDescent="0.2">
      <c r="B23528" s="43"/>
    </row>
    <row r="23529" spans="2:2" ht="12.75" customHeight="1" x14ac:dyDescent="0.2">
      <c r="B23529" s="43"/>
    </row>
    <row r="23530" spans="2:2" ht="12.75" customHeight="1" x14ac:dyDescent="0.2">
      <c r="B23530" s="43"/>
    </row>
    <row r="23531" spans="2:2" ht="12.75" customHeight="1" x14ac:dyDescent="0.2">
      <c r="B23531" s="43"/>
    </row>
    <row r="23532" spans="2:2" ht="12.75" customHeight="1" x14ac:dyDescent="0.2">
      <c r="B23532" s="43"/>
    </row>
    <row r="23533" spans="2:2" ht="12.75" customHeight="1" x14ac:dyDescent="0.2">
      <c r="B23533" s="43"/>
    </row>
    <row r="23534" spans="2:2" ht="12.75" customHeight="1" x14ac:dyDescent="0.2">
      <c r="B23534" s="43"/>
    </row>
    <row r="23535" spans="2:2" ht="12.75" customHeight="1" x14ac:dyDescent="0.2">
      <c r="B23535" s="43"/>
    </row>
    <row r="23536" spans="2:2" ht="12.75" customHeight="1" x14ac:dyDescent="0.2">
      <c r="B23536" s="43"/>
    </row>
    <row r="23537" spans="2:2" ht="12.75" customHeight="1" x14ac:dyDescent="0.2">
      <c r="B23537" s="43"/>
    </row>
    <row r="23538" spans="2:2" ht="12.75" customHeight="1" x14ac:dyDescent="0.2">
      <c r="B23538" s="43"/>
    </row>
    <row r="23539" spans="2:2" ht="12.75" customHeight="1" x14ac:dyDescent="0.2">
      <c r="B23539" s="43"/>
    </row>
    <row r="23540" spans="2:2" ht="12.75" customHeight="1" x14ac:dyDescent="0.2">
      <c r="B23540" s="43"/>
    </row>
    <row r="23541" spans="2:2" ht="12.75" customHeight="1" x14ac:dyDescent="0.2">
      <c r="B23541" s="43"/>
    </row>
    <row r="23542" spans="2:2" ht="12.75" customHeight="1" x14ac:dyDescent="0.2">
      <c r="B23542" s="43"/>
    </row>
    <row r="23543" spans="2:2" ht="12.75" customHeight="1" x14ac:dyDescent="0.2">
      <c r="B23543" s="43"/>
    </row>
    <row r="23544" spans="2:2" ht="12.75" customHeight="1" x14ac:dyDescent="0.2">
      <c r="B23544" s="43"/>
    </row>
    <row r="23545" spans="2:2" ht="12.75" customHeight="1" x14ac:dyDescent="0.2">
      <c r="B23545" s="43"/>
    </row>
    <row r="23546" spans="2:2" ht="12.75" customHeight="1" x14ac:dyDescent="0.2">
      <c r="B23546" s="43"/>
    </row>
    <row r="23547" spans="2:2" ht="12.75" customHeight="1" x14ac:dyDescent="0.2">
      <c r="B23547" s="43"/>
    </row>
    <row r="23548" spans="2:2" ht="12.75" customHeight="1" x14ac:dyDescent="0.2">
      <c r="B23548" s="43"/>
    </row>
    <row r="23549" spans="2:2" ht="12.75" customHeight="1" x14ac:dyDescent="0.2">
      <c r="B23549" s="43"/>
    </row>
    <row r="23550" spans="2:2" ht="12.75" customHeight="1" x14ac:dyDescent="0.2">
      <c r="B23550" s="43"/>
    </row>
    <row r="23551" spans="2:2" ht="12.75" customHeight="1" x14ac:dyDescent="0.2">
      <c r="B23551" s="43"/>
    </row>
    <row r="23552" spans="2:2" ht="12.75" customHeight="1" x14ac:dyDescent="0.2">
      <c r="B23552" s="43"/>
    </row>
    <row r="23553" spans="2:2" ht="12.75" customHeight="1" x14ac:dyDescent="0.2">
      <c r="B23553" s="43"/>
    </row>
    <row r="23554" spans="2:2" ht="12.75" customHeight="1" x14ac:dyDescent="0.2">
      <c r="B23554" s="43"/>
    </row>
    <row r="23555" spans="2:2" ht="12.75" customHeight="1" x14ac:dyDescent="0.2">
      <c r="B23555" s="43"/>
    </row>
    <row r="23556" spans="2:2" ht="12.75" customHeight="1" x14ac:dyDescent="0.2">
      <c r="B23556" s="43"/>
    </row>
    <row r="23557" spans="2:2" ht="12.75" customHeight="1" x14ac:dyDescent="0.2">
      <c r="B23557" s="43"/>
    </row>
    <row r="23558" spans="2:2" ht="12.75" customHeight="1" x14ac:dyDescent="0.2">
      <c r="B23558" s="43"/>
    </row>
    <row r="23559" spans="2:2" ht="12.75" customHeight="1" x14ac:dyDescent="0.2">
      <c r="B23559" s="43"/>
    </row>
    <row r="23560" spans="2:2" ht="12.75" customHeight="1" x14ac:dyDescent="0.2">
      <c r="B23560" s="43"/>
    </row>
    <row r="23561" spans="2:2" ht="12.75" customHeight="1" x14ac:dyDescent="0.2">
      <c r="B23561" s="43"/>
    </row>
    <row r="23562" spans="2:2" ht="12.75" customHeight="1" x14ac:dyDescent="0.2">
      <c r="B23562" s="43"/>
    </row>
    <row r="23563" spans="2:2" ht="12.75" customHeight="1" x14ac:dyDescent="0.2">
      <c r="B23563" s="43"/>
    </row>
    <row r="23564" spans="2:2" ht="12.75" customHeight="1" x14ac:dyDescent="0.2">
      <c r="B23564" s="43"/>
    </row>
    <row r="23565" spans="2:2" ht="12.75" customHeight="1" x14ac:dyDescent="0.2">
      <c r="B23565" s="43"/>
    </row>
    <row r="23566" spans="2:2" ht="12.75" customHeight="1" x14ac:dyDescent="0.2">
      <c r="B23566" s="43"/>
    </row>
    <row r="23567" spans="2:2" ht="12.75" customHeight="1" x14ac:dyDescent="0.2">
      <c r="B23567" s="43"/>
    </row>
    <row r="23568" spans="2:2" ht="12.75" customHeight="1" x14ac:dyDescent="0.2">
      <c r="B23568" s="43"/>
    </row>
    <row r="23569" spans="2:2" ht="12.75" customHeight="1" x14ac:dyDescent="0.2">
      <c r="B23569" s="43"/>
    </row>
    <row r="23570" spans="2:2" ht="12.75" customHeight="1" x14ac:dyDescent="0.2">
      <c r="B23570" s="43"/>
    </row>
    <row r="23571" spans="2:2" ht="12.75" customHeight="1" x14ac:dyDescent="0.2">
      <c r="B23571" s="43"/>
    </row>
    <row r="23572" spans="2:2" ht="12.75" customHeight="1" x14ac:dyDescent="0.2">
      <c r="B23572" s="43"/>
    </row>
    <row r="23573" spans="2:2" ht="12.75" customHeight="1" x14ac:dyDescent="0.2">
      <c r="B23573" s="43"/>
    </row>
    <row r="23574" spans="2:2" ht="12.75" customHeight="1" x14ac:dyDescent="0.2">
      <c r="B23574" s="43"/>
    </row>
    <row r="23575" spans="2:2" ht="12.75" customHeight="1" x14ac:dyDescent="0.2">
      <c r="B23575" s="43"/>
    </row>
    <row r="23576" spans="2:2" ht="12.75" customHeight="1" x14ac:dyDescent="0.2">
      <c r="B23576" s="43"/>
    </row>
    <row r="23577" spans="2:2" ht="12.75" customHeight="1" x14ac:dyDescent="0.2">
      <c r="B23577" s="43"/>
    </row>
    <row r="23578" spans="2:2" ht="12.75" customHeight="1" x14ac:dyDescent="0.2">
      <c r="B23578" s="43"/>
    </row>
    <row r="23579" spans="2:2" ht="12.75" customHeight="1" x14ac:dyDescent="0.2">
      <c r="B23579" s="43"/>
    </row>
    <row r="23580" spans="2:2" ht="12.75" customHeight="1" x14ac:dyDescent="0.2">
      <c r="B23580" s="43"/>
    </row>
    <row r="23581" spans="2:2" ht="12.75" customHeight="1" x14ac:dyDescent="0.2">
      <c r="B23581" s="43"/>
    </row>
    <row r="23582" spans="2:2" ht="12.75" customHeight="1" x14ac:dyDescent="0.2">
      <c r="B23582" s="43"/>
    </row>
    <row r="23583" spans="2:2" ht="12.75" customHeight="1" x14ac:dyDescent="0.2">
      <c r="B23583" s="43"/>
    </row>
    <row r="23584" spans="2:2" ht="12.75" customHeight="1" x14ac:dyDescent="0.2">
      <c r="B23584" s="43"/>
    </row>
    <row r="23585" spans="2:2" ht="12.75" customHeight="1" x14ac:dyDescent="0.2">
      <c r="B23585" s="43"/>
    </row>
    <row r="23586" spans="2:2" ht="12.75" customHeight="1" x14ac:dyDescent="0.2">
      <c r="B23586" s="43"/>
    </row>
    <row r="23587" spans="2:2" ht="12.75" customHeight="1" x14ac:dyDescent="0.2">
      <c r="B23587" s="43"/>
    </row>
    <row r="23588" spans="2:2" ht="12.75" customHeight="1" x14ac:dyDescent="0.2">
      <c r="B23588" s="43"/>
    </row>
    <row r="23589" spans="2:2" ht="12.75" customHeight="1" x14ac:dyDescent="0.2">
      <c r="B23589" s="43"/>
    </row>
    <row r="23590" spans="2:2" ht="12.75" customHeight="1" x14ac:dyDescent="0.2">
      <c r="B23590" s="43"/>
    </row>
    <row r="23591" spans="2:2" ht="12.75" customHeight="1" x14ac:dyDescent="0.2">
      <c r="B23591" s="43"/>
    </row>
    <row r="23592" spans="2:2" ht="12.75" customHeight="1" x14ac:dyDescent="0.2">
      <c r="B23592" s="43"/>
    </row>
    <row r="23593" spans="2:2" ht="12.75" customHeight="1" x14ac:dyDescent="0.2">
      <c r="B23593" s="43"/>
    </row>
    <row r="23594" spans="2:2" ht="12.75" customHeight="1" x14ac:dyDescent="0.2">
      <c r="B23594" s="43"/>
    </row>
    <row r="23595" spans="2:2" ht="12.75" customHeight="1" x14ac:dyDescent="0.2">
      <c r="B23595" s="43"/>
    </row>
    <row r="23596" spans="2:2" ht="12.75" customHeight="1" x14ac:dyDescent="0.2">
      <c r="B23596" s="43"/>
    </row>
    <row r="23597" spans="2:2" ht="12.75" customHeight="1" x14ac:dyDescent="0.2">
      <c r="B23597" s="43"/>
    </row>
    <row r="23598" spans="2:2" ht="12.75" customHeight="1" x14ac:dyDescent="0.2">
      <c r="B23598" s="43"/>
    </row>
    <row r="23599" spans="2:2" ht="12.75" customHeight="1" x14ac:dyDescent="0.2">
      <c r="B23599" s="43"/>
    </row>
    <row r="23600" spans="2:2" ht="12.75" customHeight="1" x14ac:dyDescent="0.2">
      <c r="B23600" s="43"/>
    </row>
    <row r="23601" spans="2:2" ht="12.75" customHeight="1" x14ac:dyDescent="0.2">
      <c r="B23601" s="43"/>
    </row>
    <row r="23602" spans="2:2" ht="12.75" customHeight="1" x14ac:dyDescent="0.2">
      <c r="B23602" s="43"/>
    </row>
    <row r="23603" spans="2:2" ht="12.75" customHeight="1" x14ac:dyDescent="0.2">
      <c r="B23603" s="43"/>
    </row>
    <row r="23604" spans="2:2" ht="12.75" customHeight="1" x14ac:dyDescent="0.2">
      <c r="B23604" s="43"/>
    </row>
    <row r="23605" spans="2:2" ht="12.75" customHeight="1" x14ac:dyDescent="0.2">
      <c r="B23605" s="43"/>
    </row>
    <row r="23606" spans="2:2" ht="12.75" customHeight="1" x14ac:dyDescent="0.2">
      <c r="B23606" s="43"/>
    </row>
    <row r="23607" spans="2:2" ht="12.75" customHeight="1" x14ac:dyDescent="0.2">
      <c r="B23607" s="43"/>
    </row>
    <row r="23608" spans="2:2" ht="12.75" customHeight="1" x14ac:dyDescent="0.2">
      <c r="B23608" s="43"/>
    </row>
    <row r="23609" spans="2:2" ht="12.75" customHeight="1" x14ac:dyDescent="0.2">
      <c r="B23609" s="43"/>
    </row>
    <row r="23610" spans="2:2" ht="12.75" customHeight="1" x14ac:dyDescent="0.2">
      <c r="B23610" s="43"/>
    </row>
    <row r="23611" spans="2:2" ht="12.75" customHeight="1" x14ac:dyDescent="0.2">
      <c r="B23611" s="43"/>
    </row>
    <row r="23612" spans="2:2" ht="12.75" customHeight="1" x14ac:dyDescent="0.2">
      <c r="B23612" s="43"/>
    </row>
    <row r="23613" spans="2:2" ht="12.75" customHeight="1" x14ac:dyDescent="0.2">
      <c r="B23613" s="43"/>
    </row>
    <row r="23614" spans="2:2" ht="12.75" customHeight="1" x14ac:dyDescent="0.2">
      <c r="B23614" s="43"/>
    </row>
    <row r="23615" spans="2:2" ht="12.75" customHeight="1" x14ac:dyDescent="0.2">
      <c r="B23615" s="43"/>
    </row>
    <row r="23616" spans="2:2" ht="12.75" customHeight="1" x14ac:dyDescent="0.2">
      <c r="B23616" s="43"/>
    </row>
    <row r="23617" spans="2:2" ht="12.75" customHeight="1" x14ac:dyDescent="0.2">
      <c r="B23617" s="43"/>
    </row>
    <row r="23618" spans="2:2" ht="12.75" customHeight="1" x14ac:dyDescent="0.2">
      <c r="B23618" s="43"/>
    </row>
    <row r="23619" spans="2:2" ht="12.75" customHeight="1" x14ac:dyDescent="0.2">
      <c r="B23619" s="43"/>
    </row>
    <row r="23620" spans="2:2" ht="12.75" customHeight="1" x14ac:dyDescent="0.2">
      <c r="B23620" s="43"/>
    </row>
    <row r="23621" spans="2:2" ht="12.75" customHeight="1" x14ac:dyDescent="0.2">
      <c r="B23621" s="43"/>
    </row>
    <row r="23622" spans="2:2" ht="12.75" customHeight="1" x14ac:dyDescent="0.2">
      <c r="B23622" s="43"/>
    </row>
    <row r="23623" spans="2:2" ht="12.75" customHeight="1" x14ac:dyDescent="0.2">
      <c r="B23623" s="43"/>
    </row>
    <row r="23624" spans="2:2" ht="12.75" customHeight="1" x14ac:dyDescent="0.2">
      <c r="B23624" s="43"/>
    </row>
    <row r="23625" spans="2:2" ht="12.75" customHeight="1" x14ac:dyDescent="0.2">
      <c r="B23625" s="43"/>
    </row>
    <row r="23626" spans="2:2" ht="12.75" customHeight="1" x14ac:dyDescent="0.2">
      <c r="B23626" s="43"/>
    </row>
    <row r="23627" spans="2:2" ht="12.75" customHeight="1" x14ac:dyDescent="0.2">
      <c r="B23627" s="43"/>
    </row>
    <row r="23628" spans="2:2" ht="12.75" customHeight="1" x14ac:dyDescent="0.2">
      <c r="B23628" s="43"/>
    </row>
    <row r="23629" spans="2:2" ht="12.75" customHeight="1" x14ac:dyDescent="0.2">
      <c r="B23629" s="43"/>
    </row>
    <row r="23630" spans="2:2" ht="12.75" customHeight="1" x14ac:dyDescent="0.2">
      <c r="B23630" s="43"/>
    </row>
    <row r="23631" spans="2:2" ht="12.75" customHeight="1" x14ac:dyDescent="0.2">
      <c r="B23631" s="43"/>
    </row>
    <row r="23632" spans="2:2" ht="12.75" customHeight="1" x14ac:dyDescent="0.2">
      <c r="B23632" s="43"/>
    </row>
    <row r="23633" spans="2:2" ht="12.75" customHeight="1" x14ac:dyDescent="0.2">
      <c r="B23633" s="43"/>
    </row>
    <row r="23634" spans="2:2" ht="12.75" customHeight="1" x14ac:dyDescent="0.2">
      <c r="B23634" s="43"/>
    </row>
    <row r="23635" spans="2:2" ht="12.75" customHeight="1" x14ac:dyDescent="0.2">
      <c r="B23635" s="43"/>
    </row>
    <row r="23636" spans="2:2" ht="12.75" customHeight="1" x14ac:dyDescent="0.2">
      <c r="B23636" s="43"/>
    </row>
    <row r="23637" spans="2:2" ht="12.75" customHeight="1" x14ac:dyDescent="0.2">
      <c r="B23637" s="43"/>
    </row>
    <row r="23638" spans="2:2" ht="12.75" customHeight="1" x14ac:dyDescent="0.2">
      <c r="B23638" s="43"/>
    </row>
    <row r="23639" spans="2:2" ht="12.75" customHeight="1" x14ac:dyDescent="0.2">
      <c r="B23639" s="43"/>
    </row>
    <row r="23640" spans="2:2" ht="12.75" customHeight="1" x14ac:dyDescent="0.2">
      <c r="B23640" s="43"/>
    </row>
    <row r="23641" spans="2:2" ht="12.75" customHeight="1" x14ac:dyDescent="0.2">
      <c r="B23641" s="43"/>
    </row>
    <row r="23642" spans="2:2" ht="12.75" customHeight="1" x14ac:dyDescent="0.2">
      <c r="B23642" s="43"/>
    </row>
    <row r="23643" spans="2:2" ht="12.75" customHeight="1" x14ac:dyDescent="0.2">
      <c r="B23643" s="43"/>
    </row>
    <row r="23644" spans="2:2" ht="12.75" customHeight="1" x14ac:dyDescent="0.2">
      <c r="B23644" s="43"/>
    </row>
    <row r="23645" spans="2:2" ht="12.75" customHeight="1" x14ac:dyDescent="0.2">
      <c r="B23645" s="43"/>
    </row>
    <row r="23646" spans="2:2" ht="12.75" customHeight="1" x14ac:dyDescent="0.2">
      <c r="B23646" s="43"/>
    </row>
    <row r="23647" spans="2:2" ht="12.75" customHeight="1" x14ac:dyDescent="0.2">
      <c r="B23647" s="43"/>
    </row>
    <row r="23648" spans="2:2" ht="12.75" customHeight="1" x14ac:dyDescent="0.2">
      <c r="B23648" s="43"/>
    </row>
    <row r="23649" spans="2:2" ht="12.75" customHeight="1" x14ac:dyDescent="0.2">
      <c r="B23649" s="43"/>
    </row>
    <row r="23650" spans="2:2" ht="12.75" customHeight="1" x14ac:dyDescent="0.2">
      <c r="B23650" s="43"/>
    </row>
    <row r="23651" spans="2:2" ht="12.75" customHeight="1" x14ac:dyDescent="0.2">
      <c r="B23651" s="43"/>
    </row>
    <row r="23652" spans="2:2" ht="12.75" customHeight="1" x14ac:dyDescent="0.2">
      <c r="B23652" s="43"/>
    </row>
    <row r="23653" spans="2:2" ht="12.75" customHeight="1" x14ac:dyDescent="0.2">
      <c r="B23653" s="43"/>
    </row>
    <row r="23654" spans="2:2" ht="12.75" customHeight="1" x14ac:dyDescent="0.2">
      <c r="B23654" s="43"/>
    </row>
    <row r="23655" spans="2:2" ht="12.75" customHeight="1" x14ac:dyDescent="0.2">
      <c r="B23655" s="43"/>
    </row>
    <row r="23656" spans="2:2" ht="12.75" customHeight="1" x14ac:dyDescent="0.2">
      <c r="B23656" s="43"/>
    </row>
    <row r="23657" spans="2:2" ht="12.75" customHeight="1" x14ac:dyDescent="0.2">
      <c r="B23657" s="43"/>
    </row>
    <row r="23658" spans="2:2" ht="12.75" customHeight="1" x14ac:dyDescent="0.2">
      <c r="B23658" s="43"/>
    </row>
    <row r="23659" spans="2:2" ht="12.75" customHeight="1" x14ac:dyDescent="0.2">
      <c r="B23659" s="43"/>
    </row>
    <row r="23660" spans="2:2" ht="12.75" customHeight="1" x14ac:dyDescent="0.2">
      <c r="B23660" s="43"/>
    </row>
    <row r="23661" spans="2:2" ht="12.75" customHeight="1" x14ac:dyDescent="0.2">
      <c r="B23661" s="43"/>
    </row>
    <row r="23662" spans="2:2" ht="12.75" customHeight="1" x14ac:dyDescent="0.2">
      <c r="B23662" s="43"/>
    </row>
    <row r="23663" spans="2:2" ht="12.75" customHeight="1" x14ac:dyDescent="0.2">
      <c r="B23663" s="43"/>
    </row>
    <row r="23664" spans="2:2" ht="12.75" customHeight="1" x14ac:dyDescent="0.2">
      <c r="B23664" s="43"/>
    </row>
    <row r="23665" spans="2:2" ht="12.75" customHeight="1" x14ac:dyDescent="0.2">
      <c r="B23665" s="43"/>
    </row>
    <row r="23666" spans="2:2" ht="12.75" customHeight="1" x14ac:dyDescent="0.2">
      <c r="B23666" s="43"/>
    </row>
    <row r="23667" spans="2:2" ht="12.75" customHeight="1" x14ac:dyDescent="0.2">
      <c r="B23667" s="43"/>
    </row>
    <row r="23668" spans="2:2" ht="12.75" customHeight="1" x14ac:dyDescent="0.2">
      <c r="B23668" s="43"/>
    </row>
    <row r="23669" spans="2:2" ht="12.75" customHeight="1" x14ac:dyDescent="0.2">
      <c r="B23669" s="43"/>
    </row>
    <row r="23670" spans="2:2" ht="12.75" customHeight="1" x14ac:dyDescent="0.2">
      <c r="B23670" s="43"/>
    </row>
    <row r="23671" spans="2:2" ht="12.75" customHeight="1" x14ac:dyDescent="0.2">
      <c r="B23671" s="43"/>
    </row>
    <row r="23672" spans="2:2" ht="12.75" customHeight="1" x14ac:dyDescent="0.2">
      <c r="B23672" s="43"/>
    </row>
    <row r="23673" spans="2:2" ht="12.75" customHeight="1" x14ac:dyDescent="0.2">
      <c r="B23673" s="43"/>
    </row>
    <row r="23674" spans="2:2" ht="12.75" customHeight="1" x14ac:dyDescent="0.2">
      <c r="B23674" s="43"/>
    </row>
    <row r="23675" spans="2:2" ht="12.75" customHeight="1" x14ac:dyDescent="0.2">
      <c r="B23675" s="43"/>
    </row>
    <row r="23676" spans="2:2" ht="12.75" customHeight="1" x14ac:dyDescent="0.2">
      <c r="B23676" s="43"/>
    </row>
    <row r="23677" spans="2:2" ht="12.75" customHeight="1" x14ac:dyDescent="0.2">
      <c r="B23677" s="43"/>
    </row>
    <row r="23678" spans="2:2" ht="12.75" customHeight="1" x14ac:dyDescent="0.2">
      <c r="B23678" s="43"/>
    </row>
    <row r="23679" spans="2:2" ht="12.75" customHeight="1" x14ac:dyDescent="0.2">
      <c r="B23679" s="43"/>
    </row>
    <row r="23680" spans="2:2" ht="12.75" customHeight="1" x14ac:dyDescent="0.2">
      <c r="B23680" s="43"/>
    </row>
    <row r="23681" spans="2:2" ht="12.75" customHeight="1" x14ac:dyDescent="0.2">
      <c r="B23681" s="43"/>
    </row>
    <row r="23682" spans="2:2" ht="12.75" customHeight="1" x14ac:dyDescent="0.2">
      <c r="B23682" s="43"/>
    </row>
    <row r="23683" spans="2:2" ht="12.75" customHeight="1" x14ac:dyDescent="0.2">
      <c r="B23683" s="43"/>
    </row>
    <row r="23684" spans="2:2" ht="12.75" customHeight="1" x14ac:dyDescent="0.2">
      <c r="B23684" s="43"/>
    </row>
    <row r="23685" spans="2:2" ht="12.75" customHeight="1" x14ac:dyDescent="0.2">
      <c r="B23685" s="43"/>
    </row>
    <row r="23686" spans="2:2" ht="12.75" customHeight="1" x14ac:dyDescent="0.2">
      <c r="B23686" s="43"/>
    </row>
    <row r="23687" spans="2:2" ht="12.75" customHeight="1" x14ac:dyDescent="0.2">
      <c r="B23687" s="43"/>
    </row>
    <row r="23688" spans="2:2" ht="12.75" customHeight="1" x14ac:dyDescent="0.2">
      <c r="B23688" s="43"/>
    </row>
    <row r="23689" spans="2:2" ht="12.75" customHeight="1" x14ac:dyDescent="0.2">
      <c r="B23689" s="43"/>
    </row>
    <row r="23690" spans="2:2" ht="12.75" customHeight="1" x14ac:dyDescent="0.2">
      <c r="B23690" s="43"/>
    </row>
    <row r="23691" spans="2:2" ht="12.75" customHeight="1" x14ac:dyDescent="0.2">
      <c r="B23691" s="43"/>
    </row>
    <row r="23692" spans="2:2" ht="12.75" customHeight="1" x14ac:dyDescent="0.2">
      <c r="B23692" s="43"/>
    </row>
    <row r="23693" spans="2:2" ht="12.75" customHeight="1" x14ac:dyDescent="0.2">
      <c r="B23693" s="43"/>
    </row>
    <row r="23694" spans="2:2" ht="12.75" customHeight="1" x14ac:dyDescent="0.2">
      <c r="B23694" s="43"/>
    </row>
    <row r="23695" spans="2:2" ht="12.75" customHeight="1" x14ac:dyDescent="0.2">
      <c r="B23695" s="43"/>
    </row>
    <row r="23696" spans="2:2" ht="12.75" customHeight="1" x14ac:dyDescent="0.2">
      <c r="B23696" s="43"/>
    </row>
    <row r="23697" spans="2:2" ht="12.75" customHeight="1" x14ac:dyDescent="0.2">
      <c r="B23697" s="43"/>
    </row>
    <row r="23698" spans="2:2" ht="12.75" customHeight="1" x14ac:dyDescent="0.2">
      <c r="B23698" s="43"/>
    </row>
    <row r="23699" spans="2:2" ht="12.75" customHeight="1" x14ac:dyDescent="0.2">
      <c r="B23699" s="43"/>
    </row>
    <row r="23700" spans="2:2" ht="12.75" customHeight="1" x14ac:dyDescent="0.2">
      <c r="B23700" s="43"/>
    </row>
    <row r="23701" spans="2:2" ht="12.75" customHeight="1" x14ac:dyDescent="0.2">
      <c r="B23701" s="43"/>
    </row>
    <row r="23702" spans="2:2" ht="12.75" customHeight="1" x14ac:dyDescent="0.2">
      <c r="B23702" s="43"/>
    </row>
    <row r="23703" spans="2:2" ht="12.75" customHeight="1" x14ac:dyDescent="0.2">
      <c r="B23703" s="43"/>
    </row>
    <row r="23704" spans="2:2" ht="12.75" customHeight="1" x14ac:dyDescent="0.2">
      <c r="B23704" s="43"/>
    </row>
    <row r="23705" spans="2:2" ht="12.75" customHeight="1" x14ac:dyDescent="0.2">
      <c r="B23705" s="43"/>
    </row>
    <row r="23706" spans="2:2" ht="12.75" customHeight="1" x14ac:dyDescent="0.2">
      <c r="B23706" s="43"/>
    </row>
    <row r="23707" spans="2:2" ht="12.75" customHeight="1" x14ac:dyDescent="0.2">
      <c r="B23707" s="43"/>
    </row>
    <row r="23708" spans="2:2" ht="12.75" customHeight="1" x14ac:dyDescent="0.2">
      <c r="B23708" s="43"/>
    </row>
    <row r="23709" spans="2:2" ht="12.75" customHeight="1" x14ac:dyDescent="0.2">
      <c r="B23709" s="43"/>
    </row>
    <row r="23710" spans="2:2" ht="12.75" customHeight="1" x14ac:dyDescent="0.2">
      <c r="B23710" s="43"/>
    </row>
    <row r="23711" spans="2:2" ht="12.75" customHeight="1" x14ac:dyDescent="0.2">
      <c r="B23711" s="43"/>
    </row>
    <row r="23712" spans="2:2" ht="12.75" customHeight="1" x14ac:dyDescent="0.2">
      <c r="B23712" s="43"/>
    </row>
    <row r="23713" spans="2:2" ht="12.75" customHeight="1" x14ac:dyDescent="0.2">
      <c r="B23713" s="43"/>
    </row>
    <row r="23714" spans="2:2" ht="12.75" customHeight="1" x14ac:dyDescent="0.2">
      <c r="B23714" s="43"/>
    </row>
    <row r="23715" spans="2:2" ht="12.75" customHeight="1" x14ac:dyDescent="0.2">
      <c r="B23715" s="43"/>
    </row>
    <row r="23716" spans="2:2" ht="12.75" customHeight="1" x14ac:dyDescent="0.2">
      <c r="B23716" s="43"/>
    </row>
    <row r="23717" spans="2:2" ht="12.75" customHeight="1" x14ac:dyDescent="0.2">
      <c r="B23717" s="43"/>
    </row>
    <row r="23718" spans="2:2" ht="12.75" customHeight="1" x14ac:dyDescent="0.2">
      <c r="B23718" s="43"/>
    </row>
    <row r="23719" spans="2:2" ht="12.75" customHeight="1" x14ac:dyDescent="0.2">
      <c r="B23719" s="43"/>
    </row>
    <row r="23720" spans="2:2" ht="12.75" customHeight="1" x14ac:dyDescent="0.2">
      <c r="B23720" s="43"/>
    </row>
    <row r="23721" spans="2:2" ht="12.75" customHeight="1" x14ac:dyDescent="0.2">
      <c r="B23721" s="43"/>
    </row>
    <row r="23722" spans="2:2" ht="12.75" customHeight="1" x14ac:dyDescent="0.2">
      <c r="B23722" s="43"/>
    </row>
    <row r="23723" spans="2:2" ht="12.75" customHeight="1" x14ac:dyDescent="0.2">
      <c r="B23723" s="43"/>
    </row>
    <row r="23724" spans="2:2" ht="12.75" customHeight="1" x14ac:dyDescent="0.2">
      <c r="B23724" s="43"/>
    </row>
    <row r="23725" spans="2:2" ht="12.75" customHeight="1" x14ac:dyDescent="0.2">
      <c r="B23725" s="43"/>
    </row>
    <row r="23726" spans="2:2" ht="12.75" customHeight="1" x14ac:dyDescent="0.2">
      <c r="B23726" s="43"/>
    </row>
    <row r="23727" spans="2:2" ht="12.75" customHeight="1" x14ac:dyDescent="0.2">
      <c r="B23727" s="43"/>
    </row>
    <row r="23728" spans="2:2" ht="12.75" customHeight="1" x14ac:dyDescent="0.2">
      <c r="B23728" s="43"/>
    </row>
    <row r="23729" spans="2:2" ht="12.75" customHeight="1" x14ac:dyDescent="0.2">
      <c r="B23729" s="43"/>
    </row>
    <row r="23730" spans="2:2" ht="12.75" customHeight="1" x14ac:dyDescent="0.2">
      <c r="B23730" s="43"/>
    </row>
    <row r="23731" spans="2:2" ht="12.75" customHeight="1" x14ac:dyDescent="0.2">
      <c r="B23731" s="43"/>
    </row>
    <row r="23732" spans="2:2" ht="12.75" customHeight="1" x14ac:dyDescent="0.2">
      <c r="B23732" s="43"/>
    </row>
    <row r="23733" spans="2:2" ht="12.75" customHeight="1" x14ac:dyDescent="0.2">
      <c r="B23733" s="43"/>
    </row>
    <row r="23734" spans="2:2" ht="12.75" customHeight="1" x14ac:dyDescent="0.2">
      <c r="B23734" s="43"/>
    </row>
    <row r="23735" spans="2:2" ht="12.75" customHeight="1" x14ac:dyDescent="0.2">
      <c r="B23735" s="43"/>
    </row>
    <row r="23736" spans="2:2" ht="12.75" customHeight="1" x14ac:dyDescent="0.2">
      <c r="B23736" s="43"/>
    </row>
    <row r="23737" spans="2:2" ht="12.75" customHeight="1" x14ac:dyDescent="0.2">
      <c r="B23737" s="43"/>
    </row>
    <row r="23738" spans="2:2" ht="12.75" customHeight="1" x14ac:dyDescent="0.2">
      <c r="B23738" s="43"/>
    </row>
    <row r="23739" spans="2:2" ht="12.75" customHeight="1" x14ac:dyDescent="0.2">
      <c r="B23739" s="43"/>
    </row>
    <row r="23740" spans="2:2" ht="12.75" customHeight="1" x14ac:dyDescent="0.2">
      <c r="B23740" s="43"/>
    </row>
    <row r="23741" spans="2:2" ht="12.75" customHeight="1" x14ac:dyDescent="0.2">
      <c r="B23741" s="43"/>
    </row>
    <row r="23742" spans="2:2" ht="12.75" customHeight="1" x14ac:dyDescent="0.2">
      <c r="B23742" s="43"/>
    </row>
    <row r="23743" spans="2:2" ht="12.75" customHeight="1" x14ac:dyDescent="0.2">
      <c r="B23743" s="43"/>
    </row>
    <row r="23744" spans="2:2" ht="12.75" customHeight="1" x14ac:dyDescent="0.2">
      <c r="B23744" s="43"/>
    </row>
    <row r="23745" spans="2:2" ht="12.75" customHeight="1" x14ac:dyDescent="0.2">
      <c r="B23745" s="43"/>
    </row>
    <row r="23746" spans="2:2" ht="12.75" customHeight="1" x14ac:dyDescent="0.2">
      <c r="B23746" s="43"/>
    </row>
    <row r="23747" spans="2:2" ht="12.75" customHeight="1" x14ac:dyDescent="0.2">
      <c r="B23747" s="43"/>
    </row>
    <row r="23748" spans="2:2" ht="12.75" customHeight="1" x14ac:dyDescent="0.2">
      <c r="B23748" s="43"/>
    </row>
    <row r="23749" spans="2:2" ht="12.75" customHeight="1" x14ac:dyDescent="0.2">
      <c r="B23749" s="43"/>
    </row>
    <row r="23750" spans="2:2" ht="12.75" customHeight="1" x14ac:dyDescent="0.2">
      <c r="B23750" s="43"/>
    </row>
    <row r="23751" spans="2:2" ht="12.75" customHeight="1" x14ac:dyDescent="0.2">
      <c r="B23751" s="43"/>
    </row>
    <row r="23752" spans="2:2" ht="12.75" customHeight="1" x14ac:dyDescent="0.2">
      <c r="B23752" s="43"/>
    </row>
    <row r="23753" spans="2:2" ht="12.75" customHeight="1" x14ac:dyDescent="0.2">
      <c r="B23753" s="43"/>
    </row>
    <row r="23754" spans="2:2" ht="12.75" customHeight="1" x14ac:dyDescent="0.2">
      <c r="B23754" s="43"/>
    </row>
    <row r="23755" spans="2:2" ht="12.75" customHeight="1" x14ac:dyDescent="0.2">
      <c r="B23755" s="43"/>
    </row>
    <row r="23756" spans="2:2" ht="12.75" customHeight="1" x14ac:dyDescent="0.2">
      <c r="B23756" s="43"/>
    </row>
    <row r="23757" spans="2:2" ht="12.75" customHeight="1" x14ac:dyDescent="0.2">
      <c r="B23757" s="43"/>
    </row>
    <row r="23758" spans="2:2" ht="12.75" customHeight="1" x14ac:dyDescent="0.2">
      <c r="B23758" s="43"/>
    </row>
    <row r="23759" spans="2:2" ht="12.75" customHeight="1" x14ac:dyDescent="0.2">
      <c r="B23759" s="43"/>
    </row>
    <row r="23760" spans="2:2" ht="12.75" customHeight="1" x14ac:dyDescent="0.2">
      <c r="B23760" s="43"/>
    </row>
    <row r="23761" spans="2:2" ht="12.75" customHeight="1" x14ac:dyDescent="0.2">
      <c r="B23761" s="43"/>
    </row>
    <row r="23762" spans="2:2" ht="12.75" customHeight="1" x14ac:dyDescent="0.2">
      <c r="B23762" s="43"/>
    </row>
    <row r="23763" spans="2:2" ht="12.75" customHeight="1" x14ac:dyDescent="0.2">
      <c r="B23763" s="43"/>
    </row>
    <row r="23764" spans="2:2" ht="12.75" customHeight="1" x14ac:dyDescent="0.2">
      <c r="B23764" s="43"/>
    </row>
    <row r="23765" spans="2:2" ht="12.75" customHeight="1" x14ac:dyDescent="0.2">
      <c r="B23765" s="43"/>
    </row>
    <row r="23766" spans="2:2" ht="12.75" customHeight="1" x14ac:dyDescent="0.2">
      <c r="B23766" s="43"/>
    </row>
    <row r="23767" spans="2:2" ht="12.75" customHeight="1" x14ac:dyDescent="0.2">
      <c r="B23767" s="43"/>
    </row>
    <row r="23768" spans="2:2" ht="12.75" customHeight="1" x14ac:dyDescent="0.2">
      <c r="B23768" s="43"/>
    </row>
    <row r="23769" spans="2:2" ht="12.75" customHeight="1" x14ac:dyDescent="0.2">
      <c r="B23769" s="43"/>
    </row>
    <row r="23770" spans="2:2" ht="12.75" customHeight="1" x14ac:dyDescent="0.2">
      <c r="B23770" s="43"/>
    </row>
    <row r="23771" spans="2:2" ht="12.75" customHeight="1" x14ac:dyDescent="0.2">
      <c r="B23771" s="43"/>
    </row>
    <row r="23772" spans="2:2" ht="12.75" customHeight="1" x14ac:dyDescent="0.2">
      <c r="B23772" s="43"/>
    </row>
    <row r="23773" spans="2:2" ht="12.75" customHeight="1" x14ac:dyDescent="0.2">
      <c r="B23773" s="43"/>
    </row>
    <row r="23774" spans="2:2" ht="12.75" customHeight="1" x14ac:dyDescent="0.2">
      <c r="B23774" s="43"/>
    </row>
    <row r="23775" spans="2:2" ht="12.75" customHeight="1" x14ac:dyDescent="0.2">
      <c r="B23775" s="43"/>
    </row>
    <row r="23776" spans="2:2" ht="12.75" customHeight="1" x14ac:dyDescent="0.2">
      <c r="B23776" s="43"/>
    </row>
    <row r="23777" spans="2:2" ht="12.75" customHeight="1" x14ac:dyDescent="0.2">
      <c r="B23777" s="43"/>
    </row>
    <row r="23778" spans="2:2" ht="12.75" customHeight="1" x14ac:dyDescent="0.2">
      <c r="B23778" s="43"/>
    </row>
    <row r="23779" spans="2:2" ht="12.75" customHeight="1" x14ac:dyDescent="0.2">
      <c r="B23779" s="43"/>
    </row>
    <row r="23780" spans="2:2" ht="12.75" customHeight="1" x14ac:dyDescent="0.2">
      <c r="B23780" s="43"/>
    </row>
    <row r="23781" spans="2:2" ht="12.75" customHeight="1" x14ac:dyDescent="0.2">
      <c r="B23781" s="43"/>
    </row>
    <row r="23782" spans="2:2" ht="12.75" customHeight="1" x14ac:dyDescent="0.2">
      <c r="B23782" s="43"/>
    </row>
    <row r="23783" spans="2:2" ht="12.75" customHeight="1" x14ac:dyDescent="0.2">
      <c r="B23783" s="43"/>
    </row>
    <row r="23784" spans="2:2" ht="12.75" customHeight="1" x14ac:dyDescent="0.2">
      <c r="B23784" s="43"/>
    </row>
    <row r="23785" spans="2:2" ht="12.75" customHeight="1" x14ac:dyDescent="0.2">
      <c r="B23785" s="43"/>
    </row>
    <row r="23786" spans="2:2" ht="12.75" customHeight="1" x14ac:dyDescent="0.2">
      <c r="B23786" s="43"/>
    </row>
    <row r="23787" spans="2:2" ht="12.75" customHeight="1" x14ac:dyDescent="0.2">
      <c r="B23787" s="43"/>
    </row>
    <row r="23788" spans="2:2" ht="12.75" customHeight="1" x14ac:dyDescent="0.2">
      <c r="B23788" s="43"/>
    </row>
    <row r="23789" spans="2:2" ht="12.75" customHeight="1" x14ac:dyDescent="0.2">
      <c r="B23789" s="43"/>
    </row>
    <row r="23790" spans="2:2" ht="12.75" customHeight="1" x14ac:dyDescent="0.2">
      <c r="B23790" s="43"/>
    </row>
    <row r="23791" spans="2:2" ht="12.75" customHeight="1" x14ac:dyDescent="0.2">
      <c r="B23791" s="43"/>
    </row>
    <row r="23792" spans="2:2" ht="12.75" customHeight="1" x14ac:dyDescent="0.2">
      <c r="B23792" s="43"/>
    </row>
    <row r="23793" spans="2:2" ht="12.75" customHeight="1" x14ac:dyDescent="0.2">
      <c r="B23793" s="43"/>
    </row>
    <row r="23794" spans="2:2" ht="12.75" customHeight="1" x14ac:dyDescent="0.2">
      <c r="B23794" s="43"/>
    </row>
    <row r="23795" spans="2:2" ht="12.75" customHeight="1" x14ac:dyDescent="0.2">
      <c r="B23795" s="43"/>
    </row>
    <row r="23796" spans="2:2" ht="12.75" customHeight="1" x14ac:dyDescent="0.2">
      <c r="B23796" s="43"/>
    </row>
    <row r="23797" spans="2:2" ht="12.75" customHeight="1" x14ac:dyDescent="0.2">
      <c r="B23797" s="43"/>
    </row>
    <row r="23798" spans="2:2" ht="12.75" customHeight="1" x14ac:dyDescent="0.2">
      <c r="B23798" s="43"/>
    </row>
    <row r="23799" spans="2:2" ht="12.75" customHeight="1" x14ac:dyDescent="0.2">
      <c r="B23799" s="43"/>
    </row>
    <row r="23800" spans="2:2" ht="12.75" customHeight="1" x14ac:dyDescent="0.2">
      <c r="B23800" s="43"/>
    </row>
    <row r="23801" spans="2:2" ht="12.75" customHeight="1" x14ac:dyDescent="0.2">
      <c r="B23801" s="43"/>
    </row>
    <row r="23802" spans="2:2" ht="12.75" customHeight="1" x14ac:dyDescent="0.2">
      <c r="B23802" s="43"/>
    </row>
    <row r="23803" spans="2:2" ht="12.75" customHeight="1" x14ac:dyDescent="0.2">
      <c r="B23803" s="43"/>
    </row>
    <row r="23804" spans="2:2" ht="12.75" customHeight="1" x14ac:dyDescent="0.2">
      <c r="B23804" s="43"/>
    </row>
    <row r="23805" spans="2:2" ht="12.75" customHeight="1" x14ac:dyDescent="0.2">
      <c r="B23805" s="43"/>
    </row>
    <row r="23806" spans="2:2" ht="12.75" customHeight="1" x14ac:dyDescent="0.2">
      <c r="B23806" s="43"/>
    </row>
    <row r="23807" spans="2:2" ht="12.75" customHeight="1" x14ac:dyDescent="0.2">
      <c r="B23807" s="43"/>
    </row>
    <row r="23808" spans="2:2" ht="12.75" customHeight="1" x14ac:dyDescent="0.2">
      <c r="B23808" s="43"/>
    </row>
    <row r="23809" spans="2:2" ht="12.75" customHeight="1" x14ac:dyDescent="0.2">
      <c r="B23809" s="43"/>
    </row>
    <row r="23810" spans="2:2" ht="12.75" customHeight="1" x14ac:dyDescent="0.2">
      <c r="B23810" s="43"/>
    </row>
    <row r="23811" spans="2:2" ht="12.75" customHeight="1" x14ac:dyDescent="0.2">
      <c r="B23811" s="43"/>
    </row>
    <row r="23812" spans="2:2" ht="12.75" customHeight="1" x14ac:dyDescent="0.2">
      <c r="B23812" s="43"/>
    </row>
    <row r="23813" spans="2:2" ht="12.75" customHeight="1" x14ac:dyDescent="0.2">
      <c r="B23813" s="43"/>
    </row>
    <row r="23814" spans="2:2" ht="12.75" customHeight="1" x14ac:dyDescent="0.2">
      <c r="B23814" s="43"/>
    </row>
    <row r="23815" spans="2:2" ht="12.75" customHeight="1" x14ac:dyDescent="0.2">
      <c r="B23815" s="43"/>
    </row>
    <row r="23816" spans="2:2" ht="12.75" customHeight="1" x14ac:dyDescent="0.2">
      <c r="B23816" s="43"/>
    </row>
    <row r="23817" spans="2:2" ht="12.75" customHeight="1" x14ac:dyDescent="0.2">
      <c r="B23817" s="43"/>
    </row>
    <row r="23818" spans="2:2" ht="12.75" customHeight="1" x14ac:dyDescent="0.2">
      <c r="B23818" s="43"/>
    </row>
    <row r="23819" spans="2:2" ht="12.75" customHeight="1" x14ac:dyDescent="0.2">
      <c r="B23819" s="43"/>
    </row>
    <row r="23820" spans="2:2" ht="12.75" customHeight="1" x14ac:dyDescent="0.2">
      <c r="B23820" s="43"/>
    </row>
    <row r="23821" spans="2:2" ht="12.75" customHeight="1" x14ac:dyDescent="0.2">
      <c r="B23821" s="43"/>
    </row>
    <row r="23822" spans="2:2" ht="12.75" customHeight="1" x14ac:dyDescent="0.2">
      <c r="B23822" s="43"/>
    </row>
    <row r="23823" spans="2:2" ht="12.75" customHeight="1" x14ac:dyDescent="0.2">
      <c r="B23823" s="43"/>
    </row>
    <row r="23824" spans="2:2" ht="12.75" customHeight="1" x14ac:dyDescent="0.2">
      <c r="B23824" s="43"/>
    </row>
    <row r="23825" spans="2:2" ht="12.75" customHeight="1" x14ac:dyDescent="0.2">
      <c r="B23825" s="43"/>
    </row>
    <row r="23826" spans="2:2" ht="12.75" customHeight="1" x14ac:dyDescent="0.2">
      <c r="B23826" s="43"/>
    </row>
    <row r="23827" spans="2:2" ht="12.75" customHeight="1" x14ac:dyDescent="0.2">
      <c r="B23827" s="43"/>
    </row>
    <row r="23828" spans="2:2" ht="12.75" customHeight="1" x14ac:dyDescent="0.2">
      <c r="B23828" s="43"/>
    </row>
    <row r="23829" spans="2:2" ht="12.75" customHeight="1" x14ac:dyDescent="0.2">
      <c r="B23829" s="43"/>
    </row>
    <row r="23830" spans="2:2" ht="12.75" customHeight="1" x14ac:dyDescent="0.2">
      <c r="B23830" s="43"/>
    </row>
    <row r="23831" spans="2:2" ht="12.75" customHeight="1" x14ac:dyDescent="0.2">
      <c r="B23831" s="43"/>
    </row>
    <row r="23832" spans="2:2" ht="12.75" customHeight="1" x14ac:dyDescent="0.2">
      <c r="B23832" s="43"/>
    </row>
    <row r="23833" spans="2:2" ht="12.75" customHeight="1" x14ac:dyDescent="0.2">
      <c r="B23833" s="43"/>
    </row>
    <row r="23834" spans="2:2" ht="12.75" customHeight="1" x14ac:dyDescent="0.2">
      <c r="B23834" s="43"/>
    </row>
    <row r="23835" spans="2:2" ht="12.75" customHeight="1" x14ac:dyDescent="0.2">
      <c r="B23835" s="43"/>
    </row>
    <row r="23836" spans="2:2" ht="12.75" customHeight="1" x14ac:dyDescent="0.2">
      <c r="B23836" s="43"/>
    </row>
    <row r="23837" spans="2:2" ht="12.75" customHeight="1" x14ac:dyDescent="0.2">
      <c r="B23837" s="43"/>
    </row>
    <row r="23838" spans="2:2" ht="12.75" customHeight="1" x14ac:dyDescent="0.2">
      <c r="B23838" s="43"/>
    </row>
    <row r="23839" spans="2:2" ht="12.75" customHeight="1" x14ac:dyDescent="0.2">
      <c r="B23839" s="43"/>
    </row>
    <row r="23840" spans="2:2" ht="12.75" customHeight="1" x14ac:dyDescent="0.2">
      <c r="B23840" s="43"/>
    </row>
    <row r="23841" spans="2:2" ht="12.75" customHeight="1" x14ac:dyDescent="0.2">
      <c r="B23841" s="43"/>
    </row>
    <row r="23842" spans="2:2" ht="12.75" customHeight="1" x14ac:dyDescent="0.2">
      <c r="B23842" s="43"/>
    </row>
    <row r="23843" spans="2:2" ht="12.75" customHeight="1" x14ac:dyDescent="0.2">
      <c r="B23843" s="43"/>
    </row>
    <row r="23844" spans="2:2" ht="12.75" customHeight="1" x14ac:dyDescent="0.2">
      <c r="B23844" s="43"/>
    </row>
    <row r="23845" spans="2:2" ht="12.75" customHeight="1" x14ac:dyDescent="0.2">
      <c r="B23845" s="43"/>
    </row>
    <row r="23846" spans="2:2" ht="12.75" customHeight="1" x14ac:dyDescent="0.2">
      <c r="B23846" s="43"/>
    </row>
    <row r="23847" spans="2:2" ht="12.75" customHeight="1" x14ac:dyDescent="0.2">
      <c r="B23847" s="43"/>
    </row>
    <row r="23848" spans="2:2" ht="12.75" customHeight="1" x14ac:dyDescent="0.2">
      <c r="B23848" s="43"/>
    </row>
    <row r="23849" spans="2:2" ht="12.75" customHeight="1" x14ac:dyDescent="0.2">
      <c r="B23849" s="43"/>
    </row>
    <row r="23850" spans="2:2" ht="12.75" customHeight="1" x14ac:dyDescent="0.2">
      <c r="B23850" s="43"/>
    </row>
    <row r="23851" spans="2:2" ht="12.75" customHeight="1" x14ac:dyDescent="0.2">
      <c r="B23851" s="43"/>
    </row>
    <row r="23852" spans="2:2" ht="12.75" customHeight="1" x14ac:dyDescent="0.2">
      <c r="B23852" s="43"/>
    </row>
    <row r="23853" spans="2:2" ht="12.75" customHeight="1" x14ac:dyDescent="0.2">
      <c r="B23853" s="43"/>
    </row>
    <row r="23854" spans="2:2" ht="12.75" customHeight="1" x14ac:dyDescent="0.2">
      <c r="B23854" s="43"/>
    </row>
    <row r="23855" spans="2:2" ht="12.75" customHeight="1" x14ac:dyDescent="0.2">
      <c r="B23855" s="43"/>
    </row>
    <row r="23856" spans="2:2" ht="12.75" customHeight="1" x14ac:dyDescent="0.2">
      <c r="B23856" s="43"/>
    </row>
    <row r="23857" spans="2:2" ht="12.75" customHeight="1" x14ac:dyDescent="0.2">
      <c r="B23857" s="43"/>
    </row>
    <row r="23858" spans="2:2" ht="12.75" customHeight="1" x14ac:dyDescent="0.2">
      <c r="B23858" s="43"/>
    </row>
    <row r="23859" spans="2:2" ht="12.75" customHeight="1" x14ac:dyDescent="0.2">
      <c r="B23859" s="43"/>
    </row>
    <row r="23860" spans="2:2" ht="12.75" customHeight="1" x14ac:dyDescent="0.2">
      <c r="B23860" s="43"/>
    </row>
    <row r="23861" spans="2:2" ht="12.75" customHeight="1" x14ac:dyDescent="0.2">
      <c r="B23861" s="43"/>
    </row>
    <row r="23862" spans="2:2" ht="12.75" customHeight="1" x14ac:dyDescent="0.2">
      <c r="B23862" s="43"/>
    </row>
    <row r="23863" spans="2:2" ht="12.75" customHeight="1" x14ac:dyDescent="0.2">
      <c r="B23863" s="43"/>
    </row>
    <row r="23864" spans="2:2" ht="12.75" customHeight="1" x14ac:dyDescent="0.2">
      <c r="B23864" s="43"/>
    </row>
    <row r="23865" spans="2:2" ht="12.75" customHeight="1" x14ac:dyDescent="0.2">
      <c r="B23865" s="43"/>
    </row>
    <row r="23866" spans="2:2" ht="12.75" customHeight="1" x14ac:dyDescent="0.2">
      <c r="B23866" s="43"/>
    </row>
    <row r="23867" spans="2:2" ht="12.75" customHeight="1" x14ac:dyDescent="0.2">
      <c r="B23867" s="43"/>
    </row>
    <row r="23868" spans="2:2" ht="12.75" customHeight="1" x14ac:dyDescent="0.2">
      <c r="B23868" s="43"/>
    </row>
    <row r="23869" spans="2:2" ht="12.75" customHeight="1" x14ac:dyDescent="0.2">
      <c r="B23869" s="43"/>
    </row>
    <row r="23870" spans="2:2" ht="12.75" customHeight="1" x14ac:dyDescent="0.2">
      <c r="B23870" s="43"/>
    </row>
    <row r="23871" spans="2:2" ht="12.75" customHeight="1" x14ac:dyDescent="0.2">
      <c r="B23871" s="43"/>
    </row>
    <row r="23872" spans="2:2" ht="12.75" customHeight="1" x14ac:dyDescent="0.2">
      <c r="B23872" s="43"/>
    </row>
    <row r="23873" spans="2:2" ht="12.75" customHeight="1" x14ac:dyDescent="0.2">
      <c r="B23873" s="43"/>
    </row>
    <row r="23874" spans="2:2" ht="12.75" customHeight="1" x14ac:dyDescent="0.2">
      <c r="B23874" s="43"/>
    </row>
    <row r="23875" spans="2:2" ht="12.75" customHeight="1" x14ac:dyDescent="0.2">
      <c r="B23875" s="43"/>
    </row>
    <row r="23876" spans="2:2" ht="12.75" customHeight="1" x14ac:dyDescent="0.2">
      <c r="B23876" s="43"/>
    </row>
    <row r="23877" spans="2:2" ht="12.75" customHeight="1" x14ac:dyDescent="0.2">
      <c r="B23877" s="43"/>
    </row>
    <row r="23878" spans="2:2" ht="12.75" customHeight="1" x14ac:dyDescent="0.2">
      <c r="B23878" s="43"/>
    </row>
    <row r="23879" spans="2:2" ht="12.75" customHeight="1" x14ac:dyDescent="0.2">
      <c r="B23879" s="43"/>
    </row>
    <row r="23880" spans="2:2" ht="12.75" customHeight="1" x14ac:dyDescent="0.2">
      <c r="B23880" s="43"/>
    </row>
    <row r="23881" spans="2:2" ht="12.75" customHeight="1" x14ac:dyDescent="0.2">
      <c r="B23881" s="43"/>
    </row>
    <row r="23882" spans="2:2" ht="12.75" customHeight="1" x14ac:dyDescent="0.2">
      <c r="B23882" s="43"/>
    </row>
    <row r="23883" spans="2:2" ht="12.75" customHeight="1" x14ac:dyDescent="0.2">
      <c r="B23883" s="43"/>
    </row>
    <row r="23884" spans="2:2" ht="12.75" customHeight="1" x14ac:dyDescent="0.2">
      <c r="B23884" s="43"/>
    </row>
    <row r="23885" spans="2:2" ht="12.75" customHeight="1" x14ac:dyDescent="0.2">
      <c r="B23885" s="43"/>
    </row>
    <row r="23886" spans="2:2" ht="12.75" customHeight="1" x14ac:dyDescent="0.2">
      <c r="B23886" s="43"/>
    </row>
    <row r="23887" spans="2:2" ht="12.75" customHeight="1" x14ac:dyDescent="0.2">
      <c r="B23887" s="43"/>
    </row>
    <row r="23888" spans="2:2" ht="12.75" customHeight="1" x14ac:dyDescent="0.2">
      <c r="B23888" s="43"/>
    </row>
    <row r="23889" spans="2:2" ht="12.75" customHeight="1" x14ac:dyDescent="0.2">
      <c r="B23889" s="43"/>
    </row>
    <row r="23890" spans="2:2" ht="12.75" customHeight="1" x14ac:dyDescent="0.2">
      <c r="B23890" s="43"/>
    </row>
    <row r="23891" spans="2:2" ht="12.75" customHeight="1" x14ac:dyDescent="0.2">
      <c r="B23891" s="43"/>
    </row>
    <row r="23892" spans="2:2" ht="12.75" customHeight="1" x14ac:dyDescent="0.2">
      <c r="B23892" s="43"/>
    </row>
    <row r="23893" spans="2:2" ht="12.75" customHeight="1" x14ac:dyDescent="0.2">
      <c r="B23893" s="43"/>
    </row>
    <row r="23894" spans="2:2" ht="12.75" customHeight="1" x14ac:dyDescent="0.2">
      <c r="B23894" s="43"/>
    </row>
    <row r="23895" spans="2:2" ht="12.75" customHeight="1" x14ac:dyDescent="0.2">
      <c r="B23895" s="43"/>
    </row>
    <row r="23896" spans="2:2" ht="12.75" customHeight="1" x14ac:dyDescent="0.2">
      <c r="B23896" s="43"/>
    </row>
    <row r="23897" spans="2:2" ht="12.75" customHeight="1" x14ac:dyDescent="0.2">
      <c r="B23897" s="43"/>
    </row>
    <row r="23898" spans="2:2" ht="12.75" customHeight="1" x14ac:dyDescent="0.2">
      <c r="B23898" s="43"/>
    </row>
    <row r="23899" spans="2:2" ht="12.75" customHeight="1" x14ac:dyDescent="0.2">
      <c r="B23899" s="43"/>
    </row>
    <row r="23900" spans="2:2" ht="12.75" customHeight="1" x14ac:dyDescent="0.2">
      <c r="B23900" s="43"/>
    </row>
    <row r="23901" spans="2:2" ht="12.75" customHeight="1" x14ac:dyDescent="0.2">
      <c r="B23901" s="43"/>
    </row>
    <row r="23902" spans="2:2" ht="12.75" customHeight="1" x14ac:dyDescent="0.2">
      <c r="B23902" s="43"/>
    </row>
    <row r="23903" spans="2:2" ht="12.75" customHeight="1" x14ac:dyDescent="0.2">
      <c r="B23903" s="43"/>
    </row>
    <row r="23904" spans="2:2" ht="12.75" customHeight="1" x14ac:dyDescent="0.2">
      <c r="B23904" s="43"/>
    </row>
    <row r="23905" spans="2:2" ht="12.75" customHeight="1" x14ac:dyDescent="0.2">
      <c r="B23905" s="43"/>
    </row>
    <row r="23906" spans="2:2" ht="12.75" customHeight="1" x14ac:dyDescent="0.2">
      <c r="B23906" s="43"/>
    </row>
    <row r="23907" spans="2:2" ht="12.75" customHeight="1" x14ac:dyDescent="0.2">
      <c r="B23907" s="43"/>
    </row>
    <row r="23908" spans="2:2" ht="12.75" customHeight="1" x14ac:dyDescent="0.2">
      <c r="B23908" s="43"/>
    </row>
    <row r="23909" spans="2:2" ht="12.75" customHeight="1" x14ac:dyDescent="0.2">
      <c r="B23909" s="43"/>
    </row>
    <row r="23910" spans="2:2" ht="12.75" customHeight="1" x14ac:dyDescent="0.2">
      <c r="B23910" s="43"/>
    </row>
    <row r="23911" spans="2:2" ht="12.75" customHeight="1" x14ac:dyDescent="0.2">
      <c r="B23911" s="43"/>
    </row>
    <row r="23912" spans="2:2" ht="12.75" customHeight="1" x14ac:dyDescent="0.2">
      <c r="B23912" s="43"/>
    </row>
    <row r="23913" spans="2:2" ht="12.75" customHeight="1" x14ac:dyDescent="0.2">
      <c r="B23913" s="43"/>
    </row>
    <row r="23914" spans="2:2" ht="12.75" customHeight="1" x14ac:dyDescent="0.2">
      <c r="B23914" s="43"/>
    </row>
    <row r="23915" spans="2:2" ht="12.75" customHeight="1" x14ac:dyDescent="0.2">
      <c r="B23915" s="43"/>
    </row>
    <row r="23916" spans="2:2" ht="12.75" customHeight="1" x14ac:dyDescent="0.2">
      <c r="B23916" s="43"/>
    </row>
    <row r="23917" spans="2:2" ht="12.75" customHeight="1" x14ac:dyDescent="0.2">
      <c r="B23917" s="43"/>
    </row>
    <row r="23918" spans="2:2" ht="12.75" customHeight="1" x14ac:dyDescent="0.2">
      <c r="B23918" s="43"/>
    </row>
    <row r="23919" spans="2:2" ht="12.75" customHeight="1" x14ac:dyDescent="0.2">
      <c r="B23919" s="43"/>
    </row>
    <row r="23920" spans="2:2" ht="12.75" customHeight="1" x14ac:dyDescent="0.2">
      <c r="B23920" s="43"/>
    </row>
    <row r="23921" spans="2:2" ht="12.75" customHeight="1" x14ac:dyDescent="0.2">
      <c r="B23921" s="43"/>
    </row>
    <row r="23922" spans="2:2" ht="12.75" customHeight="1" x14ac:dyDescent="0.2">
      <c r="B23922" s="43"/>
    </row>
    <row r="23923" spans="2:2" ht="12.75" customHeight="1" x14ac:dyDescent="0.2">
      <c r="B23923" s="43"/>
    </row>
    <row r="23924" spans="2:2" ht="12.75" customHeight="1" x14ac:dyDescent="0.2">
      <c r="B23924" s="43"/>
    </row>
    <row r="23925" spans="2:2" ht="12.75" customHeight="1" x14ac:dyDescent="0.2">
      <c r="B23925" s="43"/>
    </row>
    <row r="23926" spans="2:2" ht="12.75" customHeight="1" x14ac:dyDescent="0.2">
      <c r="B23926" s="43"/>
    </row>
    <row r="23927" spans="2:2" ht="12.75" customHeight="1" x14ac:dyDescent="0.2">
      <c r="B23927" s="43"/>
    </row>
    <row r="23928" spans="2:2" ht="12.75" customHeight="1" x14ac:dyDescent="0.2">
      <c r="B23928" s="43"/>
    </row>
    <row r="23929" spans="2:2" ht="12.75" customHeight="1" x14ac:dyDescent="0.2">
      <c r="B23929" s="43"/>
    </row>
    <row r="23930" spans="2:2" ht="12.75" customHeight="1" x14ac:dyDescent="0.2">
      <c r="B23930" s="43"/>
    </row>
    <row r="23931" spans="2:2" ht="12.75" customHeight="1" x14ac:dyDescent="0.2">
      <c r="B23931" s="43"/>
    </row>
    <row r="23932" spans="2:2" ht="12.75" customHeight="1" x14ac:dyDescent="0.2">
      <c r="B23932" s="43"/>
    </row>
    <row r="23933" spans="2:2" ht="12.75" customHeight="1" x14ac:dyDescent="0.2">
      <c r="B23933" s="43"/>
    </row>
    <row r="23934" spans="2:2" ht="12.75" customHeight="1" x14ac:dyDescent="0.2">
      <c r="B23934" s="43"/>
    </row>
    <row r="23935" spans="2:2" ht="12.75" customHeight="1" x14ac:dyDescent="0.2">
      <c r="B23935" s="43"/>
    </row>
    <row r="23936" spans="2:2" ht="12.75" customHeight="1" x14ac:dyDescent="0.2">
      <c r="B23936" s="43"/>
    </row>
    <row r="23937" spans="2:2" ht="12.75" customHeight="1" x14ac:dyDescent="0.2">
      <c r="B23937" s="43"/>
    </row>
    <row r="23938" spans="2:2" ht="12.75" customHeight="1" x14ac:dyDescent="0.2">
      <c r="B23938" s="43"/>
    </row>
    <row r="23939" spans="2:2" ht="12.75" customHeight="1" x14ac:dyDescent="0.2">
      <c r="B23939" s="43"/>
    </row>
    <row r="23940" spans="2:2" ht="12.75" customHeight="1" x14ac:dyDescent="0.2">
      <c r="B23940" s="43"/>
    </row>
    <row r="23941" spans="2:2" ht="12.75" customHeight="1" x14ac:dyDescent="0.2">
      <c r="B23941" s="43"/>
    </row>
    <row r="23942" spans="2:2" ht="12.75" customHeight="1" x14ac:dyDescent="0.2">
      <c r="B23942" s="43"/>
    </row>
    <row r="23943" spans="2:2" ht="12.75" customHeight="1" x14ac:dyDescent="0.2">
      <c r="B23943" s="43"/>
    </row>
    <row r="23944" spans="2:2" ht="12.75" customHeight="1" x14ac:dyDescent="0.2">
      <c r="B23944" s="43"/>
    </row>
    <row r="23945" spans="2:2" ht="12.75" customHeight="1" x14ac:dyDescent="0.2">
      <c r="B23945" s="43"/>
    </row>
    <row r="23946" spans="2:2" ht="12.75" customHeight="1" x14ac:dyDescent="0.2">
      <c r="B23946" s="43"/>
    </row>
    <row r="23947" spans="2:2" ht="12.75" customHeight="1" x14ac:dyDescent="0.2">
      <c r="B23947" s="43"/>
    </row>
    <row r="23948" spans="2:2" ht="12.75" customHeight="1" x14ac:dyDescent="0.2">
      <c r="B23948" s="43"/>
    </row>
    <row r="23949" spans="2:2" ht="12.75" customHeight="1" x14ac:dyDescent="0.2">
      <c r="B23949" s="43"/>
    </row>
    <row r="23950" spans="2:2" ht="12.75" customHeight="1" x14ac:dyDescent="0.2">
      <c r="B23950" s="43"/>
    </row>
    <row r="23951" spans="2:2" ht="12.75" customHeight="1" x14ac:dyDescent="0.2">
      <c r="B23951" s="43"/>
    </row>
    <row r="23952" spans="2:2" ht="12.75" customHeight="1" x14ac:dyDescent="0.2">
      <c r="B23952" s="43"/>
    </row>
    <row r="23953" spans="2:2" ht="12.75" customHeight="1" x14ac:dyDescent="0.2">
      <c r="B23953" s="43"/>
    </row>
    <row r="23954" spans="2:2" ht="12.75" customHeight="1" x14ac:dyDescent="0.2">
      <c r="B23954" s="43"/>
    </row>
    <row r="23955" spans="2:2" ht="12.75" customHeight="1" x14ac:dyDescent="0.2">
      <c r="B23955" s="43"/>
    </row>
    <row r="23956" spans="2:2" ht="12.75" customHeight="1" x14ac:dyDescent="0.2">
      <c r="B23956" s="43"/>
    </row>
    <row r="23957" spans="2:2" ht="12.75" customHeight="1" x14ac:dyDescent="0.2">
      <c r="B23957" s="43"/>
    </row>
    <row r="23958" spans="2:2" ht="12.75" customHeight="1" x14ac:dyDescent="0.2">
      <c r="B23958" s="43"/>
    </row>
    <row r="23959" spans="2:2" ht="12.75" customHeight="1" x14ac:dyDescent="0.2">
      <c r="B23959" s="43"/>
    </row>
    <row r="23960" spans="2:2" ht="12.75" customHeight="1" x14ac:dyDescent="0.2">
      <c r="B23960" s="43"/>
    </row>
    <row r="23961" spans="2:2" ht="12.75" customHeight="1" x14ac:dyDescent="0.2">
      <c r="B23961" s="43"/>
    </row>
    <row r="23962" spans="2:2" ht="12.75" customHeight="1" x14ac:dyDescent="0.2">
      <c r="B23962" s="43"/>
    </row>
    <row r="23963" spans="2:2" ht="12.75" customHeight="1" x14ac:dyDescent="0.2">
      <c r="B23963" s="43"/>
    </row>
    <row r="23964" spans="2:2" ht="12.75" customHeight="1" x14ac:dyDescent="0.2">
      <c r="B23964" s="43"/>
    </row>
    <row r="23965" spans="2:2" ht="12.75" customHeight="1" x14ac:dyDescent="0.2">
      <c r="B23965" s="43"/>
    </row>
    <row r="23966" spans="2:2" ht="12.75" customHeight="1" x14ac:dyDescent="0.2">
      <c r="B23966" s="43"/>
    </row>
    <row r="23967" spans="2:2" ht="12.75" customHeight="1" x14ac:dyDescent="0.2">
      <c r="B23967" s="43"/>
    </row>
    <row r="23968" spans="2:2" ht="12.75" customHeight="1" x14ac:dyDescent="0.2">
      <c r="B23968" s="43"/>
    </row>
    <row r="23969" spans="2:2" ht="12.75" customHeight="1" x14ac:dyDescent="0.2">
      <c r="B23969" s="43"/>
    </row>
    <row r="23970" spans="2:2" ht="12.75" customHeight="1" x14ac:dyDescent="0.2">
      <c r="B23970" s="43"/>
    </row>
    <row r="23971" spans="2:2" ht="12.75" customHeight="1" x14ac:dyDescent="0.2">
      <c r="B23971" s="43"/>
    </row>
    <row r="23972" spans="2:2" ht="12.75" customHeight="1" x14ac:dyDescent="0.2">
      <c r="B23972" s="43"/>
    </row>
    <row r="23973" spans="2:2" ht="12.75" customHeight="1" x14ac:dyDescent="0.2">
      <c r="B23973" s="43"/>
    </row>
    <row r="23974" spans="2:2" ht="12.75" customHeight="1" x14ac:dyDescent="0.2">
      <c r="B23974" s="43"/>
    </row>
    <row r="23975" spans="2:2" ht="12.75" customHeight="1" x14ac:dyDescent="0.2">
      <c r="B23975" s="43"/>
    </row>
    <row r="23976" spans="2:2" ht="12.75" customHeight="1" x14ac:dyDescent="0.2">
      <c r="B23976" s="43"/>
    </row>
    <row r="23977" spans="2:2" ht="12.75" customHeight="1" x14ac:dyDescent="0.2">
      <c r="B23977" s="43"/>
    </row>
    <row r="23978" spans="2:2" ht="12.75" customHeight="1" x14ac:dyDescent="0.2">
      <c r="B23978" s="43"/>
    </row>
    <row r="23979" spans="2:2" ht="12.75" customHeight="1" x14ac:dyDescent="0.2">
      <c r="B23979" s="43"/>
    </row>
    <row r="23980" spans="2:2" ht="12.75" customHeight="1" x14ac:dyDescent="0.2">
      <c r="B23980" s="43"/>
    </row>
    <row r="23981" spans="2:2" ht="12.75" customHeight="1" x14ac:dyDescent="0.2">
      <c r="B23981" s="43"/>
    </row>
    <row r="23982" spans="2:2" ht="12.75" customHeight="1" x14ac:dyDescent="0.2">
      <c r="B23982" s="43"/>
    </row>
    <row r="23983" spans="2:2" ht="12.75" customHeight="1" x14ac:dyDescent="0.2">
      <c r="B23983" s="43"/>
    </row>
    <row r="23984" spans="2:2" ht="12.75" customHeight="1" x14ac:dyDescent="0.2">
      <c r="B23984" s="43"/>
    </row>
    <row r="23985" spans="2:2" ht="12.75" customHeight="1" x14ac:dyDescent="0.2">
      <c r="B23985" s="43"/>
    </row>
    <row r="23986" spans="2:2" ht="12.75" customHeight="1" x14ac:dyDescent="0.2">
      <c r="B23986" s="43"/>
    </row>
    <row r="23987" spans="2:2" ht="12.75" customHeight="1" x14ac:dyDescent="0.2">
      <c r="B23987" s="43"/>
    </row>
    <row r="23988" spans="2:2" ht="12.75" customHeight="1" x14ac:dyDescent="0.2">
      <c r="B23988" s="43"/>
    </row>
    <row r="23989" spans="2:2" ht="12.75" customHeight="1" x14ac:dyDescent="0.2">
      <c r="B23989" s="43"/>
    </row>
    <row r="23990" spans="2:2" ht="12.75" customHeight="1" x14ac:dyDescent="0.2">
      <c r="B23990" s="43"/>
    </row>
    <row r="23991" spans="2:2" ht="12.75" customHeight="1" x14ac:dyDescent="0.2">
      <c r="B23991" s="43"/>
    </row>
    <row r="23992" spans="2:2" ht="12.75" customHeight="1" x14ac:dyDescent="0.2">
      <c r="B23992" s="43"/>
    </row>
    <row r="23993" spans="2:2" ht="12.75" customHeight="1" x14ac:dyDescent="0.2">
      <c r="B23993" s="43"/>
    </row>
    <row r="23994" spans="2:2" ht="12.75" customHeight="1" x14ac:dyDescent="0.2">
      <c r="B23994" s="43"/>
    </row>
    <row r="23995" spans="2:2" ht="12.75" customHeight="1" x14ac:dyDescent="0.2">
      <c r="B23995" s="43"/>
    </row>
    <row r="23996" spans="2:2" ht="12.75" customHeight="1" x14ac:dyDescent="0.2">
      <c r="B23996" s="43"/>
    </row>
    <row r="23997" spans="2:2" ht="12.75" customHeight="1" x14ac:dyDescent="0.2">
      <c r="B23997" s="43"/>
    </row>
    <row r="23998" spans="2:2" ht="12.75" customHeight="1" x14ac:dyDescent="0.2">
      <c r="B23998" s="43"/>
    </row>
    <row r="23999" spans="2:2" ht="12.75" customHeight="1" x14ac:dyDescent="0.2">
      <c r="B23999" s="43"/>
    </row>
    <row r="24000" spans="2:2" ht="12.75" customHeight="1" x14ac:dyDescent="0.2">
      <c r="B24000" s="43"/>
    </row>
    <row r="24001" spans="2:2" ht="12.75" customHeight="1" x14ac:dyDescent="0.2">
      <c r="B24001" s="43"/>
    </row>
    <row r="24002" spans="2:2" ht="12.75" customHeight="1" x14ac:dyDescent="0.2">
      <c r="B24002" s="43"/>
    </row>
    <row r="24003" spans="2:2" ht="12.75" customHeight="1" x14ac:dyDescent="0.2">
      <c r="B24003" s="43"/>
    </row>
    <row r="24004" spans="2:2" ht="12.75" customHeight="1" x14ac:dyDescent="0.2">
      <c r="B24004" s="43"/>
    </row>
    <row r="24005" spans="2:2" ht="12.75" customHeight="1" x14ac:dyDescent="0.2">
      <c r="B24005" s="43"/>
    </row>
    <row r="24006" spans="2:2" ht="12.75" customHeight="1" x14ac:dyDescent="0.2">
      <c r="B24006" s="43"/>
    </row>
    <row r="24007" spans="2:2" ht="12.75" customHeight="1" x14ac:dyDescent="0.2">
      <c r="B24007" s="43"/>
    </row>
    <row r="24008" spans="2:2" ht="12.75" customHeight="1" x14ac:dyDescent="0.2">
      <c r="B24008" s="43"/>
    </row>
    <row r="24009" spans="2:2" ht="12.75" customHeight="1" x14ac:dyDescent="0.2">
      <c r="B24009" s="43"/>
    </row>
    <row r="24010" spans="2:2" ht="12.75" customHeight="1" x14ac:dyDescent="0.2">
      <c r="B24010" s="43"/>
    </row>
    <row r="24011" spans="2:2" ht="12.75" customHeight="1" x14ac:dyDescent="0.2">
      <c r="B24011" s="43"/>
    </row>
    <row r="24012" spans="2:2" ht="12.75" customHeight="1" x14ac:dyDescent="0.2">
      <c r="B24012" s="43"/>
    </row>
    <row r="24013" spans="2:2" ht="12.75" customHeight="1" x14ac:dyDescent="0.2">
      <c r="B24013" s="43"/>
    </row>
    <row r="24014" spans="2:2" ht="12.75" customHeight="1" x14ac:dyDescent="0.2">
      <c r="B24014" s="43"/>
    </row>
    <row r="24015" spans="2:2" ht="12.75" customHeight="1" x14ac:dyDescent="0.2">
      <c r="B24015" s="43"/>
    </row>
    <row r="24016" spans="2:2" ht="12.75" customHeight="1" x14ac:dyDescent="0.2">
      <c r="B24016" s="43"/>
    </row>
    <row r="24017" spans="2:2" ht="12.75" customHeight="1" x14ac:dyDescent="0.2">
      <c r="B24017" s="43"/>
    </row>
    <row r="24018" spans="2:2" ht="12.75" customHeight="1" x14ac:dyDescent="0.2">
      <c r="B24018" s="43"/>
    </row>
    <row r="24019" spans="2:2" ht="12.75" customHeight="1" x14ac:dyDescent="0.2">
      <c r="B24019" s="43"/>
    </row>
    <row r="24020" spans="2:2" ht="12.75" customHeight="1" x14ac:dyDescent="0.2">
      <c r="B24020" s="43"/>
    </row>
    <row r="24021" spans="2:2" ht="12.75" customHeight="1" x14ac:dyDescent="0.2">
      <c r="B24021" s="43"/>
    </row>
    <row r="24022" spans="2:2" ht="12.75" customHeight="1" x14ac:dyDescent="0.2">
      <c r="B24022" s="43"/>
    </row>
    <row r="24023" spans="2:2" ht="12.75" customHeight="1" x14ac:dyDescent="0.2">
      <c r="B24023" s="43"/>
    </row>
    <row r="24024" spans="2:2" ht="12.75" customHeight="1" x14ac:dyDescent="0.2">
      <c r="B24024" s="43"/>
    </row>
    <row r="24025" spans="2:2" ht="12.75" customHeight="1" x14ac:dyDescent="0.2">
      <c r="B24025" s="43"/>
    </row>
    <row r="24026" spans="2:2" ht="12.75" customHeight="1" x14ac:dyDescent="0.2">
      <c r="B24026" s="43"/>
    </row>
    <row r="24027" spans="2:2" ht="12.75" customHeight="1" x14ac:dyDescent="0.2">
      <c r="B24027" s="43"/>
    </row>
    <row r="24028" spans="2:2" ht="12.75" customHeight="1" x14ac:dyDescent="0.2">
      <c r="B24028" s="43"/>
    </row>
    <row r="24029" spans="2:2" ht="12.75" customHeight="1" x14ac:dyDescent="0.2">
      <c r="B24029" s="43"/>
    </row>
    <row r="24030" spans="2:2" ht="12.75" customHeight="1" x14ac:dyDescent="0.2">
      <c r="B24030" s="43"/>
    </row>
    <row r="24031" spans="2:2" ht="12.75" customHeight="1" x14ac:dyDescent="0.2">
      <c r="B24031" s="43"/>
    </row>
    <row r="24032" spans="2:2" ht="12.75" customHeight="1" x14ac:dyDescent="0.2">
      <c r="B24032" s="43"/>
    </row>
    <row r="24033" spans="2:2" ht="12.75" customHeight="1" x14ac:dyDescent="0.2">
      <c r="B24033" s="43"/>
    </row>
    <row r="24034" spans="2:2" ht="12.75" customHeight="1" x14ac:dyDescent="0.2">
      <c r="B24034" s="43"/>
    </row>
    <row r="24035" spans="2:2" ht="12.75" customHeight="1" x14ac:dyDescent="0.2">
      <c r="B24035" s="43"/>
    </row>
    <row r="24036" spans="2:2" ht="12.75" customHeight="1" x14ac:dyDescent="0.2">
      <c r="B24036" s="43"/>
    </row>
    <row r="24037" spans="2:2" ht="12.75" customHeight="1" x14ac:dyDescent="0.2">
      <c r="B24037" s="43"/>
    </row>
    <row r="24038" spans="2:2" ht="12.75" customHeight="1" x14ac:dyDescent="0.2">
      <c r="B24038" s="43"/>
    </row>
    <row r="24039" spans="2:2" ht="12.75" customHeight="1" x14ac:dyDescent="0.2">
      <c r="B24039" s="43"/>
    </row>
    <row r="24040" spans="2:2" ht="12.75" customHeight="1" x14ac:dyDescent="0.2">
      <c r="B24040" s="43"/>
    </row>
    <row r="24041" spans="2:2" ht="12.75" customHeight="1" x14ac:dyDescent="0.2">
      <c r="B24041" s="43"/>
    </row>
    <row r="24042" spans="2:2" ht="12.75" customHeight="1" x14ac:dyDescent="0.2">
      <c r="B24042" s="43"/>
    </row>
    <row r="24043" spans="2:2" ht="12.75" customHeight="1" x14ac:dyDescent="0.2">
      <c r="B24043" s="43"/>
    </row>
    <row r="24044" spans="2:2" ht="12.75" customHeight="1" x14ac:dyDescent="0.2">
      <c r="B24044" s="43"/>
    </row>
    <row r="24045" spans="2:2" ht="12.75" customHeight="1" x14ac:dyDescent="0.2">
      <c r="B24045" s="43"/>
    </row>
    <row r="24046" spans="2:2" ht="12.75" customHeight="1" x14ac:dyDescent="0.2">
      <c r="B24046" s="43"/>
    </row>
    <row r="24047" spans="2:2" ht="12.75" customHeight="1" x14ac:dyDescent="0.2">
      <c r="B24047" s="43"/>
    </row>
    <row r="24048" spans="2:2" ht="12.75" customHeight="1" x14ac:dyDescent="0.2">
      <c r="B24048" s="43"/>
    </row>
    <row r="24049" spans="2:2" ht="12.75" customHeight="1" x14ac:dyDescent="0.2">
      <c r="B24049" s="43"/>
    </row>
    <row r="24050" spans="2:2" ht="12.75" customHeight="1" x14ac:dyDescent="0.2">
      <c r="B24050" s="43"/>
    </row>
    <row r="24051" spans="2:2" ht="12.75" customHeight="1" x14ac:dyDescent="0.2">
      <c r="B24051" s="43"/>
    </row>
    <row r="24052" spans="2:2" ht="12.75" customHeight="1" x14ac:dyDescent="0.2">
      <c r="B24052" s="43"/>
    </row>
    <row r="24053" spans="2:2" ht="12.75" customHeight="1" x14ac:dyDescent="0.2">
      <c r="B24053" s="43"/>
    </row>
    <row r="24054" spans="2:2" ht="12.75" customHeight="1" x14ac:dyDescent="0.2">
      <c r="B24054" s="43"/>
    </row>
    <row r="24055" spans="2:2" ht="12.75" customHeight="1" x14ac:dyDescent="0.2">
      <c r="B24055" s="43"/>
    </row>
    <row r="24056" spans="2:2" ht="12.75" customHeight="1" x14ac:dyDescent="0.2">
      <c r="B24056" s="43"/>
    </row>
    <row r="24057" spans="2:2" ht="12.75" customHeight="1" x14ac:dyDescent="0.2">
      <c r="B24057" s="43"/>
    </row>
    <row r="24058" spans="2:2" ht="12.75" customHeight="1" x14ac:dyDescent="0.2">
      <c r="B24058" s="43"/>
    </row>
    <row r="24059" spans="2:2" ht="12.75" customHeight="1" x14ac:dyDescent="0.2">
      <c r="B24059" s="43"/>
    </row>
    <row r="24060" spans="2:2" ht="12.75" customHeight="1" x14ac:dyDescent="0.2">
      <c r="B24060" s="43"/>
    </row>
    <row r="24061" spans="2:2" ht="12.75" customHeight="1" x14ac:dyDescent="0.2">
      <c r="B24061" s="43"/>
    </row>
    <row r="24062" spans="2:2" ht="12.75" customHeight="1" x14ac:dyDescent="0.2">
      <c r="B24062" s="43"/>
    </row>
    <row r="24063" spans="2:2" ht="12.75" customHeight="1" x14ac:dyDescent="0.2">
      <c r="B24063" s="43"/>
    </row>
    <row r="24064" spans="2:2" ht="12.75" customHeight="1" x14ac:dyDescent="0.2">
      <c r="B24064" s="43"/>
    </row>
    <row r="24065" spans="2:2" ht="12.75" customHeight="1" x14ac:dyDescent="0.2">
      <c r="B24065" s="43"/>
    </row>
    <row r="24066" spans="2:2" ht="12.75" customHeight="1" x14ac:dyDescent="0.2">
      <c r="B24066" s="43"/>
    </row>
    <row r="24067" spans="2:2" ht="12.75" customHeight="1" x14ac:dyDescent="0.2">
      <c r="B24067" s="43"/>
    </row>
    <row r="24068" spans="2:2" ht="12.75" customHeight="1" x14ac:dyDescent="0.2">
      <c r="B24068" s="43"/>
    </row>
    <row r="24069" spans="2:2" ht="12.75" customHeight="1" x14ac:dyDescent="0.2">
      <c r="B24069" s="43"/>
    </row>
    <row r="24070" spans="2:2" ht="12.75" customHeight="1" x14ac:dyDescent="0.2">
      <c r="B24070" s="43"/>
    </row>
    <row r="24071" spans="2:2" ht="12.75" customHeight="1" x14ac:dyDescent="0.2">
      <c r="B24071" s="43"/>
    </row>
    <row r="24072" spans="2:2" ht="12.75" customHeight="1" x14ac:dyDescent="0.2">
      <c r="B24072" s="43"/>
    </row>
    <row r="24073" spans="2:2" ht="12.75" customHeight="1" x14ac:dyDescent="0.2">
      <c r="B24073" s="43"/>
    </row>
    <row r="24074" spans="2:2" ht="12.75" customHeight="1" x14ac:dyDescent="0.2">
      <c r="B24074" s="43"/>
    </row>
    <row r="24075" spans="2:2" ht="12.75" customHeight="1" x14ac:dyDescent="0.2">
      <c r="B24075" s="43"/>
    </row>
    <row r="24076" spans="2:2" ht="12.75" customHeight="1" x14ac:dyDescent="0.2">
      <c r="B24076" s="43"/>
    </row>
    <row r="24077" spans="2:2" ht="12.75" customHeight="1" x14ac:dyDescent="0.2">
      <c r="B24077" s="43"/>
    </row>
    <row r="24078" spans="2:2" ht="12.75" customHeight="1" x14ac:dyDescent="0.2">
      <c r="B24078" s="43"/>
    </row>
    <row r="24079" spans="2:2" ht="12.75" customHeight="1" x14ac:dyDescent="0.2">
      <c r="B24079" s="43"/>
    </row>
    <row r="24080" spans="2:2" ht="12.75" customHeight="1" x14ac:dyDescent="0.2">
      <c r="B24080" s="43"/>
    </row>
    <row r="24081" spans="2:2" ht="12.75" customHeight="1" x14ac:dyDescent="0.2">
      <c r="B24081" s="43"/>
    </row>
    <row r="24082" spans="2:2" ht="12.75" customHeight="1" x14ac:dyDescent="0.2">
      <c r="B24082" s="43"/>
    </row>
    <row r="24083" spans="2:2" ht="12.75" customHeight="1" x14ac:dyDescent="0.2">
      <c r="B24083" s="43"/>
    </row>
    <row r="24084" spans="2:2" ht="12.75" customHeight="1" x14ac:dyDescent="0.2">
      <c r="B24084" s="43"/>
    </row>
    <row r="24085" spans="2:2" ht="12.75" customHeight="1" x14ac:dyDescent="0.2">
      <c r="B24085" s="43"/>
    </row>
    <row r="24086" spans="2:2" ht="12.75" customHeight="1" x14ac:dyDescent="0.2">
      <c r="B24086" s="43"/>
    </row>
    <row r="24087" spans="2:2" ht="12.75" customHeight="1" x14ac:dyDescent="0.2">
      <c r="B24087" s="43"/>
    </row>
    <row r="24088" spans="2:2" ht="12.75" customHeight="1" x14ac:dyDescent="0.2">
      <c r="B24088" s="43"/>
    </row>
    <row r="24089" spans="2:2" ht="12.75" customHeight="1" x14ac:dyDescent="0.2">
      <c r="B24089" s="43"/>
    </row>
    <row r="24090" spans="2:2" ht="12.75" customHeight="1" x14ac:dyDescent="0.2">
      <c r="B24090" s="43"/>
    </row>
    <row r="24091" spans="2:2" ht="12.75" customHeight="1" x14ac:dyDescent="0.2">
      <c r="B24091" s="43"/>
    </row>
    <row r="24092" spans="2:2" ht="12.75" customHeight="1" x14ac:dyDescent="0.2">
      <c r="B24092" s="43"/>
    </row>
    <row r="24093" spans="2:2" ht="12.75" customHeight="1" x14ac:dyDescent="0.2">
      <c r="B24093" s="43"/>
    </row>
    <row r="24094" spans="2:2" ht="12.75" customHeight="1" x14ac:dyDescent="0.2">
      <c r="B24094" s="43"/>
    </row>
    <row r="24095" spans="2:2" ht="12.75" customHeight="1" x14ac:dyDescent="0.2">
      <c r="B24095" s="43"/>
    </row>
    <row r="24096" spans="2:2" ht="12.75" customHeight="1" x14ac:dyDescent="0.2">
      <c r="B24096" s="43"/>
    </row>
    <row r="24097" spans="2:2" ht="12.75" customHeight="1" x14ac:dyDescent="0.2">
      <c r="B24097" s="43"/>
    </row>
    <row r="24098" spans="2:2" ht="12.75" customHeight="1" x14ac:dyDescent="0.2">
      <c r="B24098" s="43"/>
    </row>
    <row r="24099" spans="2:2" ht="12.75" customHeight="1" x14ac:dyDescent="0.2">
      <c r="B24099" s="43"/>
    </row>
    <row r="24100" spans="2:2" ht="12.75" customHeight="1" x14ac:dyDescent="0.2">
      <c r="B24100" s="43"/>
    </row>
    <row r="24101" spans="2:2" ht="12.75" customHeight="1" x14ac:dyDescent="0.2">
      <c r="B24101" s="43"/>
    </row>
    <row r="24102" spans="2:2" ht="12.75" customHeight="1" x14ac:dyDescent="0.2">
      <c r="B24102" s="43"/>
    </row>
    <row r="24103" spans="2:2" ht="12.75" customHeight="1" x14ac:dyDescent="0.2">
      <c r="B24103" s="43"/>
    </row>
    <row r="24104" spans="2:2" ht="12.75" customHeight="1" x14ac:dyDescent="0.2">
      <c r="B24104" s="43"/>
    </row>
    <row r="24105" spans="2:2" ht="12.75" customHeight="1" x14ac:dyDescent="0.2">
      <c r="B24105" s="43"/>
    </row>
    <row r="24106" spans="2:2" ht="12.75" customHeight="1" x14ac:dyDescent="0.2">
      <c r="B24106" s="43"/>
    </row>
    <row r="24107" spans="2:2" ht="12.75" customHeight="1" x14ac:dyDescent="0.2">
      <c r="B24107" s="43"/>
    </row>
    <row r="24108" spans="2:2" ht="12.75" customHeight="1" x14ac:dyDescent="0.2">
      <c r="B24108" s="43"/>
    </row>
    <row r="24109" spans="2:2" ht="12.75" customHeight="1" x14ac:dyDescent="0.2">
      <c r="B24109" s="43"/>
    </row>
    <row r="24110" spans="2:2" ht="12.75" customHeight="1" x14ac:dyDescent="0.2">
      <c r="B24110" s="43"/>
    </row>
    <row r="24111" spans="2:2" ht="12.75" customHeight="1" x14ac:dyDescent="0.2">
      <c r="B24111" s="43"/>
    </row>
    <row r="24112" spans="2:2" ht="12.75" customHeight="1" x14ac:dyDescent="0.2">
      <c r="B24112" s="43"/>
    </row>
    <row r="24113" spans="2:2" ht="12.75" customHeight="1" x14ac:dyDescent="0.2">
      <c r="B24113" s="43"/>
    </row>
    <row r="24114" spans="2:2" ht="12.75" customHeight="1" x14ac:dyDescent="0.2">
      <c r="B24114" s="43"/>
    </row>
    <row r="24115" spans="2:2" ht="12.75" customHeight="1" x14ac:dyDescent="0.2">
      <c r="B24115" s="43"/>
    </row>
    <row r="24116" spans="2:2" ht="12.75" customHeight="1" x14ac:dyDescent="0.2">
      <c r="B24116" s="43"/>
    </row>
    <row r="24117" spans="2:2" ht="12.75" customHeight="1" x14ac:dyDescent="0.2">
      <c r="B24117" s="43"/>
    </row>
    <row r="24118" spans="2:2" ht="12.75" customHeight="1" x14ac:dyDescent="0.2">
      <c r="B24118" s="43"/>
    </row>
    <row r="24119" spans="2:2" ht="12.75" customHeight="1" x14ac:dyDescent="0.2">
      <c r="B24119" s="43"/>
    </row>
    <row r="24120" spans="2:2" ht="12.75" customHeight="1" x14ac:dyDescent="0.2">
      <c r="B24120" s="43"/>
    </row>
    <row r="24121" spans="2:2" ht="12.75" customHeight="1" x14ac:dyDescent="0.2">
      <c r="B24121" s="43"/>
    </row>
    <row r="24122" spans="2:2" ht="12.75" customHeight="1" x14ac:dyDescent="0.2">
      <c r="B24122" s="43"/>
    </row>
    <row r="24123" spans="2:2" ht="12.75" customHeight="1" x14ac:dyDescent="0.2">
      <c r="B24123" s="43"/>
    </row>
    <row r="24124" spans="2:2" ht="12.75" customHeight="1" x14ac:dyDescent="0.2">
      <c r="B24124" s="43"/>
    </row>
    <row r="24125" spans="2:2" ht="12.75" customHeight="1" x14ac:dyDescent="0.2">
      <c r="B24125" s="43"/>
    </row>
    <row r="24126" spans="2:2" ht="12.75" customHeight="1" x14ac:dyDescent="0.2">
      <c r="B24126" s="43"/>
    </row>
    <row r="24127" spans="2:2" ht="12.75" customHeight="1" x14ac:dyDescent="0.2">
      <c r="B24127" s="43"/>
    </row>
    <row r="24128" spans="2:2" ht="12.75" customHeight="1" x14ac:dyDescent="0.2">
      <c r="B24128" s="43"/>
    </row>
    <row r="24129" spans="2:2" ht="12.75" customHeight="1" x14ac:dyDescent="0.2">
      <c r="B24129" s="43"/>
    </row>
    <row r="24130" spans="2:2" ht="12.75" customHeight="1" x14ac:dyDescent="0.2">
      <c r="B24130" s="43"/>
    </row>
    <row r="24131" spans="2:2" ht="12.75" customHeight="1" x14ac:dyDescent="0.2">
      <c r="B24131" s="43"/>
    </row>
    <row r="24132" spans="2:2" ht="12.75" customHeight="1" x14ac:dyDescent="0.2">
      <c r="B24132" s="43"/>
    </row>
    <row r="24133" spans="2:2" ht="12.75" customHeight="1" x14ac:dyDescent="0.2">
      <c r="B24133" s="43"/>
    </row>
    <row r="24134" spans="2:2" ht="12.75" customHeight="1" x14ac:dyDescent="0.2">
      <c r="B24134" s="43"/>
    </row>
    <row r="24135" spans="2:2" ht="12.75" customHeight="1" x14ac:dyDescent="0.2">
      <c r="B24135" s="43"/>
    </row>
    <row r="24136" spans="2:2" ht="12.75" customHeight="1" x14ac:dyDescent="0.2">
      <c r="B24136" s="43"/>
    </row>
    <row r="24137" spans="2:2" ht="12.75" customHeight="1" x14ac:dyDescent="0.2">
      <c r="B24137" s="43"/>
    </row>
    <row r="24138" spans="2:2" ht="12.75" customHeight="1" x14ac:dyDescent="0.2">
      <c r="B24138" s="43"/>
    </row>
    <row r="24139" spans="2:2" ht="12.75" customHeight="1" x14ac:dyDescent="0.2">
      <c r="B24139" s="43"/>
    </row>
    <row r="24140" spans="2:2" ht="12.75" customHeight="1" x14ac:dyDescent="0.2">
      <c r="B24140" s="43"/>
    </row>
    <row r="24141" spans="2:2" ht="12.75" customHeight="1" x14ac:dyDescent="0.2">
      <c r="B24141" s="43"/>
    </row>
    <row r="24142" spans="2:2" ht="12.75" customHeight="1" x14ac:dyDescent="0.2">
      <c r="B24142" s="43"/>
    </row>
    <row r="24143" spans="2:2" ht="12.75" customHeight="1" x14ac:dyDescent="0.2">
      <c r="B24143" s="43"/>
    </row>
    <row r="24144" spans="2:2" ht="12.75" customHeight="1" x14ac:dyDescent="0.2">
      <c r="B24144" s="43"/>
    </row>
    <row r="24145" spans="2:2" ht="12.75" customHeight="1" x14ac:dyDescent="0.2">
      <c r="B24145" s="43"/>
    </row>
    <row r="24146" spans="2:2" ht="12.75" customHeight="1" x14ac:dyDescent="0.2">
      <c r="B24146" s="43"/>
    </row>
    <row r="24147" spans="2:2" ht="12.75" customHeight="1" x14ac:dyDescent="0.2">
      <c r="B24147" s="43"/>
    </row>
    <row r="24148" spans="2:2" ht="12.75" customHeight="1" x14ac:dyDescent="0.2">
      <c r="B24148" s="43"/>
    </row>
    <row r="24149" spans="2:2" ht="12.75" customHeight="1" x14ac:dyDescent="0.2">
      <c r="B24149" s="43"/>
    </row>
    <row r="24150" spans="2:2" ht="12.75" customHeight="1" x14ac:dyDescent="0.2">
      <c r="B24150" s="43"/>
    </row>
    <row r="24151" spans="2:2" ht="12.75" customHeight="1" x14ac:dyDescent="0.2">
      <c r="B24151" s="43"/>
    </row>
    <row r="24152" spans="2:2" ht="12.75" customHeight="1" x14ac:dyDescent="0.2">
      <c r="B24152" s="43"/>
    </row>
    <row r="24153" spans="2:2" ht="12.75" customHeight="1" x14ac:dyDescent="0.2">
      <c r="B24153" s="43"/>
    </row>
    <row r="24154" spans="2:2" ht="12.75" customHeight="1" x14ac:dyDescent="0.2">
      <c r="B24154" s="43"/>
    </row>
    <row r="24155" spans="2:2" ht="12.75" customHeight="1" x14ac:dyDescent="0.2">
      <c r="B24155" s="43"/>
    </row>
    <row r="24156" spans="2:2" ht="12.75" customHeight="1" x14ac:dyDescent="0.2">
      <c r="B24156" s="43"/>
    </row>
    <row r="24157" spans="2:2" ht="12.75" customHeight="1" x14ac:dyDescent="0.2">
      <c r="B24157" s="43"/>
    </row>
    <row r="24158" spans="2:2" ht="12.75" customHeight="1" x14ac:dyDescent="0.2">
      <c r="B24158" s="43"/>
    </row>
    <row r="24159" spans="2:2" ht="12.75" customHeight="1" x14ac:dyDescent="0.2">
      <c r="B24159" s="43"/>
    </row>
    <row r="24160" spans="2:2" ht="12.75" customHeight="1" x14ac:dyDescent="0.2">
      <c r="B24160" s="43"/>
    </row>
    <row r="24161" spans="2:2" ht="12.75" customHeight="1" x14ac:dyDescent="0.2">
      <c r="B24161" s="43"/>
    </row>
    <row r="24162" spans="2:2" ht="12.75" customHeight="1" x14ac:dyDescent="0.2">
      <c r="B24162" s="43"/>
    </row>
    <row r="24163" spans="2:2" ht="12.75" customHeight="1" x14ac:dyDescent="0.2">
      <c r="B24163" s="43"/>
    </row>
    <row r="24164" spans="2:2" ht="12.75" customHeight="1" x14ac:dyDescent="0.2">
      <c r="B24164" s="43"/>
    </row>
    <row r="24165" spans="2:2" ht="12.75" customHeight="1" x14ac:dyDescent="0.2">
      <c r="B24165" s="43"/>
    </row>
    <row r="24166" spans="2:2" ht="12.75" customHeight="1" x14ac:dyDescent="0.2">
      <c r="B24166" s="43"/>
    </row>
    <row r="24167" spans="2:2" ht="12.75" customHeight="1" x14ac:dyDescent="0.2">
      <c r="B24167" s="43"/>
    </row>
    <row r="24168" spans="2:2" ht="12.75" customHeight="1" x14ac:dyDescent="0.2">
      <c r="B24168" s="43"/>
    </row>
    <row r="24169" spans="2:2" ht="12.75" customHeight="1" x14ac:dyDescent="0.2">
      <c r="B24169" s="43"/>
    </row>
    <row r="24170" spans="2:2" ht="12.75" customHeight="1" x14ac:dyDescent="0.2">
      <c r="B24170" s="43"/>
    </row>
    <row r="24171" spans="2:2" ht="12.75" customHeight="1" x14ac:dyDescent="0.2">
      <c r="B24171" s="43"/>
    </row>
    <row r="24172" spans="2:2" ht="12.75" customHeight="1" x14ac:dyDescent="0.2">
      <c r="B24172" s="43"/>
    </row>
    <row r="24173" spans="2:2" ht="12.75" customHeight="1" x14ac:dyDescent="0.2">
      <c r="B24173" s="43"/>
    </row>
    <row r="24174" spans="2:2" ht="12.75" customHeight="1" x14ac:dyDescent="0.2">
      <c r="B24174" s="43"/>
    </row>
    <row r="24175" spans="2:2" ht="12.75" customHeight="1" x14ac:dyDescent="0.2">
      <c r="B24175" s="43"/>
    </row>
    <row r="24176" spans="2:2" ht="12.75" customHeight="1" x14ac:dyDescent="0.2">
      <c r="B24176" s="43"/>
    </row>
    <row r="24177" spans="2:2" ht="12.75" customHeight="1" x14ac:dyDescent="0.2">
      <c r="B24177" s="43"/>
    </row>
    <row r="24178" spans="2:2" ht="12.75" customHeight="1" x14ac:dyDescent="0.2">
      <c r="B24178" s="43"/>
    </row>
    <row r="24179" spans="2:2" ht="12.75" customHeight="1" x14ac:dyDescent="0.2">
      <c r="B24179" s="43"/>
    </row>
    <row r="24180" spans="2:2" ht="12.75" customHeight="1" x14ac:dyDescent="0.2">
      <c r="B24180" s="43"/>
    </row>
    <row r="24181" spans="2:2" ht="12.75" customHeight="1" x14ac:dyDescent="0.2">
      <c r="B24181" s="43"/>
    </row>
    <row r="24182" spans="2:2" ht="12.75" customHeight="1" x14ac:dyDescent="0.2">
      <c r="B24182" s="43"/>
    </row>
    <row r="24183" spans="2:2" ht="12.75" customHeight="1" x14ac:dyDescent="0.2">
      <c r="B24183" s="43"/>
    </row>
    <row r="24184" spans="2:2" ht="12.75" customHeight="1" x14ac:dyDescent="0.2">
      <c r="B24184" s="43"/>
    </row>
    <row r="24185" spans="2:2" ht="12.75" customHeight="1" x14ac:dyDescent="0.2">
      <c r="B24185" s="43"/>
    </row>
    <row r="24186" spans="2:2" ht="12.75" customHeight="1" x14ac:dyDescent="0.2">
      <c r="B24186" s="43"/>
    </row>
    <row r="24187" spans="2:2" ht="12.75" customHeight="1" x14ac:dyDescent="0.2">
      <c r="B24187" s="43"/>
    </row>
    <row r="24188" spans="2:2" ht="12.75" customHeight="1" x14ac:dyDescent="0.2">
      <c r="B24188" s="43"/>
    </row>
    <row r="24189" spans="2:2" ht="12.75" customHeight="1" x14ac:dyDescent="0.2">
      <c r="B24189" s="43"/>
    </row>
    <row r="24190" spans="2:2" ht="12.75" customHeight="1" x14ac:dyDescent="0.2">
      <c r="B24190" s="43"/>
    </row>
    <row r="24191" spans="2:2" ht="12.75" customHeight="1" x14ac:dyDescent="0.2">
      <c r="B24191" s="43"/>
    </row>
    <row r="24192" spans="2:2" ht="12.75" customHeight="1" x14ac:dyDescent="0.2">
      <c r="B24192" s="43"/>
    </row>
    <row r="24193" spans="2:2" ht="12.75" customHeight="1" x14ac:dyDescent="0.2">
      <c r="B24193" s="43"/>
    </row>
    <row r="24194" spans="2:2" ht="12.75" customHeight="1" x14ac:dyDescent="0.2">
      <c r="B24194" s="43"/>
    </row>
    <row r="24195" spans="2:2" ht="12.75" customHeight="1" x14ac:dyDescent="0.2">
      <c r="B24195" s="43"/>
    </row>
    <row r="24196" spans="2:2" ht="12.75" customHeight="1" x14ac:dyDescent="0.2">
      <c r="B24196" s="43"/>
    </row>
    <row r="24197" spans="2:2" ht="12.75" customHeight="1" x14ac:dyDescent="0.2">
      <c r="B24197" s="43"/>
    </row>
    <row r="24198" spans="2:2" ht="12.75" customHeight="1" x14ac:dyDescent="0.2">
      <c r="B24198" s="43"/>
    </row>
    <row r="24199" spans="2:2" ht="12.75" customHeight="1" x14ac:dyDescent="0.2">
      <c r="B24199" s="43"/>
    </row>
    <row r="24200" spans="2:2" ht="12.75" customHeight="1" x14ac:dyDescent="0.2">
      <c r="B24200" s="43"/>
    </row>
    <row r="24201" spans="2:2" ht="12.75" customHeight="1" x14ac:dyDescent="0.2">
      <c r="B24201" s="43"/>
    </row>
    <row r="24202" spans="2:2" ht="12.75" customHeight="1" x14ac:dyDescent="0.2">
      <c r="B24202" s="43"/>
    </row>
    <row r="24203" spans="2:2" ht="12.75" customHeight="1" x14ac:dyDescent="0.2">
      <c r="B24203" s="43"/>
    </row>
    <row r="24204" spans="2:2" ht="12.75" customHeight="1" x14ac:dyDescent="0.2">
      <c r="B24204" s="43"/>
    </row>
    <row r="24205" spans="2:2" ht="12.75" customHeight="1" x14ac:dyDescent="0.2">
      <c r="B24205" s="43"/>
    </row>
    <row r="24206" spans="2:2" ht="12.75" customHeight="1" x14ac:dyDescent="0.2">
      <c r="B24206" s="43"/>
    </row>
    <row r="24207" spans="2:2" ht="12.75" customHeight="1" x14ac:dyDescent="0.2">
      <c r="B24207" s="43"/>
    </row>
    <row r="24208" spans="2:2" ht="12.75" customHeight="1" x14ac:dyDescent="0.2">
      <c r="B24208" s="43"/>
    </row>
    <row r="24209" spans="2:2" ht="12.75" customHeight="1" x14ac:dyDescent="0.2">
      <c r="B24209" s="43"/>
    </row>
    <row r="24210" spans="2:2" ht="12.75" customHeight="1" x14ac:dyDescent="0.2">
      <c r="B24210" s="43"/>
    </row>
    <row r="24211" spans="2:2" ht="12.75" customHeight="1" x14ac:dyDescent="0.2">
      <c r="B24211" s="43"/>
    </row>
    <row r="24212" spans="2:2" ht="12.75" customHeight="1" x14ac:dyDescent="0.2">
      <c r="B24212" s="43"/>
    </row>
    <row r="24213" spans="2:2" ht="12.75" customHeight="1" x14ac:dyDescent="0.2">
      <c r="B24213" s="43"/>
    </row>
    <row r="24214" spans="2:2" ht="12.75" customHeight="1" x14ac:dyDescent="0.2">
      <c r="B24214" s="43"/>
    </row>
    <row r="24215" spans="2:2" ht="12.75" customHeight="1" x14ac:dyDescent="0.2">
      <c r="B24215" s="43"/>
    </row>
    <row r="24216" spans="2:2" ht="12.75" customHeight="1" x14ac:dyDescent="0.2">
      <c r="B24216" s="43"/>
    </row>
    <row r="24217" spans="2:2" ht="12.75" customHeight="1" x14ac:dyDescent="0.2">
      <c r="B24217" s="43"/>
    </row>
    <row r="24218" spans="2:2" ht="12.75" customHeight="1" x14ac:dyDescent="0.2">
      <c r="B24218" s="43"/>
    </row>
    <row r="24219" spans="2:2" ht="12.75" customHeight="1" x14ac:dyDescent="0.2">
      <c r="B24219" s="43"/>
    </row>
    <row r="24220" spans="2:2" ht="12.75" customHeight="1" x14ac:dyDescent="0.2">
      <c r="B24220" s="43"/>
    </row>
    <row r="24221" spans="2:2" ht="12.75" customHeight="1" x14ac:dyDescent="0.2">
      <c r="B24221" s="43"/>
    </row>
    <row r="24222" spans="2:2" ht="12.75" customHeight="1" x14ac:dyDescent="0.2">
      <c r="B24222" s="43"/>
    </row>
    <row r="24223" spans="2:2" ht="12.75" customHeight="1" x14ac:dyDescent="0.2">
      <c r="B24223" s="43"/>
    </row>
    <row r="24224" spans="2:2" ht="12.75" customHeight="1" x14ac:dyDescent="0.2">
      <c r="B24224" s="43"/>
    </row>
    <row r="24225" spans="2:2" ht="12.75" customHeight="1" x14ac:dyDescent="0.2">
      <c r="B24225" s="43"/>
    </row>
    <row r="24226" spans="2:2" ht="12.75" customHeight="1" x14ac:dyDescent="0.2">
      <c r="B24226" s="43"/>
    </row>
    <row r="24227" spans="2:2" ht="12.75" customHeight="1" x14ac:dyDescent="0.2">
      <c r="B24227" s="43"/>
    </row>
    <row r="24228" spans="2:2" ht="12.75" customHeight="1" x14ac:dyDescent="0.2">
      <c r="B24228" s="43"/>
    </row>
    <row r="24229" spans="2:2" ht="12.75" customHeight="1" x14ac:dyDescent="0.2">
      <c r="B24229" s="43"/>
    </row>
    <row r="24230" spans="2:2" ht="12.75" customHeight="1" x14ac:dyDescent="0.2">
      <c r="B24230" s="43"/>
    </row>
    <row r="24231" spans="2:2" ht="12.75" customHeight="1" x14ac:dyDescent="0.2">
      <c r="B24231" s="43"/>
    </row>
    <row r="24232" spans="2:2" ht="12.75" customHeight="1" x14ac:dyDescent="0.2">
      <c r="B24232" s="43"/>
    </row>
    <row r="24233" spans="2:2" ht="12.75" customHeight="1" x14ac:dyDescent="0.2">
      <c r="B24233" s="43"/>
    </row>
    <row r="24234" spans="2:2" ht="12.75" customHeight="1" x14ac:dyDescent="0.2">
      <c r="B24234" s="43"/>
    </row>
    <row r="24235" spans="2:2" ht="12.75" customHeight="1" x14ac:dyDescent="0.2">
      <c r="B24235" s="43"/>
    </row>
    <row r="24236" spans="2:2" ht="12.75" customHeight="1" x14ac:dyDescent="0.2">
      <c r="B24236" s="43"/>
    </row>
    <row r="24237" spans="2:2" ht="12.75" customHeight="1" x14ac:dyDescent="0.2">
      <c r="B24237" s="43"/>
    </row>
    <row r="24238" spans="2:2" ht="12.75" customHeight="1" x14ac:dyDescent="0.2">
      <c r="B24238" s="43"/>
    </row>
    <row r="24239" spans="2:2" ht="12.75" customHeight="1" x14ac:dyDescent="0.2">
      <c r="B24239" s="43"/>
    </row>
    <row r="24240" spans="2:2" ht="12.75" customHeight="1" x14ac:dyDescent="0.2">
      <c r="B24240" s="43"/>
    </row>
    <row r="24241" spans="2:2" ht="12.75" customHeight="1" x14ac:dyDescent="0.2">
      <c r="B24241" s="43"/>
    </row>
    <row r="24242" spans="2:2" ht="12.75" customHeight="1" x14ac:dyDescent="0.2">
      <c r="B24242" s="43"/>
    </row>
    <row r="24243" spans="2:2" ht="12.75" customHeight="1" x14ac:dyDescent="0.2">
      <c r="B24243" s="43"/>
    </row>
    <row r="24244" spans="2:2" ht="12.75" customHeight="1" x14ac:dyDescent="0.2">
      <c r="B24244" s="43"/>
    </row>
    <row r="24245" spans="2:2" ht="12.75" customHeight="1" x14ac:dyDescent="0.2">
      <c r="B24245" s="43"/>
    </row>
    <row r="24246" spans="2:2" ht="12.75" customHeight="1" x14ac:dyDescent="0.2">
      <c r="B24246" s="43"/>
    </row>
    <row r="24247" spans="2:2" ht="12.75" customHeight="1" x14ac:dyDescent="0.2">
      <c r="B24247" s="43"/>
    </row>
    <row r="24248" spans="2:2" ht="12.75" customHeight="1" x14ac:dyDescent="0.2">
      <c r="B24248" s="43"/>
    </row>
    <row r="24249" spans="2:2" ht="12.75" customHeight="1" x14ac:dyDescent="0.2">
      <c r="B24249" s="43"/>
    </row>
    <row r="24250" spans="2:2" ht="12.75" customHeight="1" x14ac:dyDescent="0.2">
      <c r="B24250" s="43"/>
    </row>
    <row r="24251" spans="2:2" ht="12.75" customHeight="1" x14ac:dyDescent="0.2">
      <c r="B24251" s="43"/>
    </row>
    <row r="24252" spans="2:2" ht="12.75" customHeight="1" x14ac:dyDescent="0.2">
      <c r="B24252" s="43"/>
    </row>
    <row r="24253" spans="2:2" ht="12.75" customHeight="1" x14ac:dyDescent="0.2">
      <c r="B24253" s="43"/>
    </row>
    <row r="24254" spans="2:2" ht="12.75" customHeight="1" x14ac:dyDescent="0.2">
      <c r="B24254" s="43"/>
    </row>
    <row r="24255" spans="2:2" ht="12.75" customHeight="1" x14ac:dyDescent="0.2">
      <c r="B24255" s="43"/>
    </row>
    <row r="24256" spans="2:2" ht="12.75" customHeight="1" x14ac:dyDescent="0.2">
      <c r="B24256" s="43"/>
    </row>
    <row r="24257" spans="2:2" ht="12.75" customHeight="1" x14ac:dyDescent="0.2">
      <c r="B24257" s="43"/>
    </row>
    <row r="24258" spans="2:2" ht="12.75" customHeight="1" x14ac:dyDescent="0.2">
      <c r="B24258" s="43"/>
    </row>
    <row r="24259" spans="2:2" ht="12.75" customHeight="1" x14ac:dyDescent="0.2">
      <c r="B24259" s="43"/>
    </row>
    <row r="24260" spans="2:2" ht="12.75" customHeight="1" x14ac:dyDescent="0.2">
      <c r="B24260" s="43"/>
    </row>
    <row r="24261" spans="2:2" ht="12.75" customHeight="1" x14ac:dyDescent="0.2">
      <c r="B24261" s="43"/>
    </row>
    <row r="24262" spans="2:2" ht="12.75" customHeight="1" x14ac:dyDescent="0.2">
      <c r="B24262" s="43"/>
    </row>
    <row r="24263" spans="2:2" ht="12.75" customHeight="1" x14ac:dyDescent="0.2">
      <c r="B24263" s="43"/>
    </row>
    <row r="24264" spans="2:2" ht="12.75" customHeight="1" x14ac:dyDescent="0.2">
      <c r="B24264" s="43"/>
    </row>
    <row r="24265" spans="2:2" ht="12.75" customHeight="1" x14ac:dyDescent="0.2">
      <c r="B24265" s="43"/>
    </row>
    <row r="24266" spans="2:2" ht="12.75" customHeight="1" x14ac:dyDescent="0.2">
      <c r="B24266" s="43"/>
    </row>
    <row r="24267" spans="2:2" ht="12.75" customHeight="1" x14ac:dyDescent="0.2">
      <c r="B24267" s="43"/>
    </row>
    <row r="24268" spans="2:2" ht="12.75" customHeight="1" x14ac:dyDescent="0.2">
      <c r="B24268" s="43"/>
    </row>
    <row r="24269" spans="2:2" ht="12.75" customHeight="1" x14ac:dyDescent="0.2">
      <c r="B24269" s="43"/>
    </row>
    <row r="24270" spans="2:2" ht="12.75" customHeight="1" x14ac:dyDescent="0.2">
      <c r="B24270" s="43"/>
    </row>
    <row r="24271" spans="2:2" ht="12.75" customHeight="1" x14ac:dyDescent="0.2">
      <c r="B24271" s="43"/>
    </row>
    <row r="24272" spans="2:2" ht="12.75" customHeight="1" x14ac:dyDescent="0.2">
      <c r="B24272" s="43"/>
    </row>
    <row r="24273" spans="2:2" ht="12.75" customHeight="1" x14ac:dyDescent="0.2">
      <c r="B24273" s="43"/>
    </row>
    <row r="24274" spans="2:2" ht="12.75" customHeight="1" x14ac:dyDescent="0.2">
      <c r="B24274" s="43"/>
    </row>
    <row r="24275" spans="2:2" ht="12.75" customHeight="1" x14ac:dyDescent="0.2">
      <c r="B24275" s="43"/>
    </row>
    <row r="24276" spans="2:2" ht="12.75" customHeight="1" x14ac:dyDescent="0.2">
      <c r="B24276" s="43"/>
    </row>
    <row r="24277" spans="2:2" ht="12.75" customHeight="1" x14ac:dyDescent="0.2">
      <c r="B24277" s="43"/>
    </row>
    <row r="24278" spans="2:2" ht="12.75" customHeight="1" x14ac:dyDescent="0.2">
      <c r="B24278" s="43"/>
    </row>
    <row r="24279" spans="2:2" ht="12.75" customHeight="1" x14ac:dyDescent="0.2">
      <c r="B24279" s="43"/>
    </row>
    <row r="24280" spans="2:2" ht="12.75" customHeight="1" x14ac:dyDescent="0.2">
      <c r="B24280" s="43"/>
    </row>
    <row r="24281" spans="2:2" ht="12.75" customHeight="1" x14ac:dyDescent="0.2">
      <c r="B24281" s="43"/>
    </row>
    <row r="24282" spans="2:2" ht="12.75" customHeight="1" x14ac:dyDescent="0.2">
      <c r="B24282" s="43"/>
    </row>
    <row r="24283" spans="2:2" ht="12.75" customHeight="1" x14ac:dyDescent="0.2">
      <c r="B24283" s="43"/>
    </row>
    <row r="24284" spans="2:2" ht="12.75" customHeight="1" x14ac:dyDescent="0.2">
      <c r="B24284" s="43"/>
    </row>
    <row r="24285" spans="2:2" ht="12.75" customHeight="1" x14ac:dyDescent="0.2">
      <c r="B24285" s="43"/>
    </row>
    <row r="24286" spans="2:2" ht="12.75" customHeight="1" x14ac:dyDescent="0.2">
      <c r="B24286" s="43"/>
    </row>
    <row r="24287" spans="2:2" ht="12.75" customHeight="1" x14ac:dyDescent="0.2">
      <c r="B24287" s="43"/>
    </row>
    <row r="24288" spans="2:2" ht="12.75" customHeight="1" x14ac:dyDescent="0.2">
      <c r="B24288" s="43"/>
    </row>
    <row r="24289" spans="2:2" ht="12.75" customHeight="1" x14ac:dyDescent="0.2">
      <c r="B24289" s="43"/>
    </row>
    <row r="24290" spans="2:2" ht="12.75" customHeight="1" x14ac:dyDescent="0.2">
      <c r="B24290" s="43"/>
    </row>
    <row r="24291" spans="2:2" ht="12.75" customHeight="1" x14ac:dyDescent="0.2">
      <c r="B24291" s="43"/>
    </row>
    <row r="24292" spans="2:2" ht="12.75" customHeight="1" x14ac:dyDescent="0.2">
      <c r="B24292" s="43"/>
    </row>
    <row r="24293" spans="2:2" ht="12.75" customHeight="1" x14ac:dyDescent="0.2">
      <c r="B24293" s="43"/>
    </row>
    <row r="24294" spans="2:2" ht="12.75" customHeight="1" x14ac:dyDescent="0.2">
      <c r="B24294" s="43"/>
    </row>
    <row r="24295" spans="2:2" ht="12.75" customHeight="1" x14ac:dyDescent="0.2">
      <c r="B24295" s="43"/>
    </row>
    <row r="24296" spans="2:2" ht="12.75" customHeight="1" x14ac:dyDescent="0.2">
      <c r="B24296" s="43"/>
    </row>
    <row r="24297" spans="2:2" ht="12.75" customHeight="1" x14ac:dyDescent="0.2">
      <c r="B24297" s="43"/>
    </row>
    <row r="24298" spans="2:2" ht="12.75" customHeight="1" x14ac:dyDescent="0.2">
      <c r="B24298" s="43"/>
    </row>
    <row r="24299" spans="2:2" ht="12.75" customHeight="1" x14ac:dyDescent="0.2">
      <c r="B24299" s="43"/>
    </row>
    <row r="24300" spans="2:2" ht="12.75" customHeight="1" x14ac:dyDescent="0.2">
      <c r="B24300" s="43"/>
    </row>
    <row r="24301" spans="2:2" ht="12.75" customHeight="1" x14ac:dyDescent="0.2">
      <c r="B24301" s="43"/>
    </row>
    <row r="24302" spans="2:2" ht="12.75" customHeight="1" x14ac:dyDescent="0.2">
      <c r="B24302" s="43"/>
    </row>
    <row r="24303" spans="2:2" ht="12.75" customHeight="1" x14ac:dyDescent="0.2">
      <c r="B24303" s="43"/>
    </row>
    <row r="24304" spans="2:2" ht="12.75" customHeight="1" x14ac:dyDescent="0.2">
      <c r="B24304" s="43"/>
    </row>
    <row r="24305" spans="2:2" ht="12.75" customHeight="1" x14ac:dyDescent="0.2">
      <c r="B24305" s="43"/>
    </row>
    <row r="24306" spans="2:2" ht="12.75" customHeight="1" x14ac:dyDescent="0.2">
      <c r="B24306" s="43"/>
    </row>
    <row r="24307" spans="2:2" ht="12.75" customHeight="1" x14ac:dyDescent="0.2">
      <c r="B24307" s="43"/>
    </row>
    <row r="24308" spans="2:2" ht="12.75" customHeight="1" x14ac:dyDescent="0.2">
      <c r="B24308" s="43"/>
    </row>
    <row r="24309" spans="2:2" ht="12.75" customHeight="1" x14ac:dyDescent="0.2">
      <c r="B24309" s="43"/>
    </row>
    <row r="24310" spans="2:2" ht="12.75" customHeight="1" x14ac:dyDescent="0.2">
      <c r="B24310" s="43"/>
    </row>
    <row r="24311" spans="2:2" ht="12.75" customHeight="1" x14ac:dyDescent="0.2">
      <c r="B24311" s="43"/>
    </row>
    <row r="24312" spans="2:2" ht="12.75" customHeight="1" x14ac:dyDescent="0.2">
      <c r="B24312" s="43"/>
    </row>
    <row r="24313" spans="2:2" ht="12.75" customHeight="1" x14ac:dyDescent="0.2">
      <c r="B24313" s="43"/>
    </row>
    <row r="24314" spans="2:2" ht="12.75" customHeight="1" x14ac:dyDescent="0.2">
      <c r="B24314" s="43"/>
    </row>
    <row r="24315" spans="2:2" ht="12.75" customHeight="1" x14ac:dyDescent="0.2">
      <c r="B24315" s="43"/>
    </row>
    <row r="24316" spans="2:2" ht="12.75" customHeight="1" x14ac:dyDescent="0.2">
      <c r="B24316" s="43"/>
    </row>
    <row r="24317" spans="2:2" ht="12.75" customHeight="1" x14ac:dyDescent="0.2">
      <c r="B24317" s="43"/>
    </row>
    <row r="24318" spans="2:2" ht="12.75" customHeight="1" x14ac:dyDescent="0.2">
      <c r="B24318" s="43"/>
    </row>
    <row r="24319" spans="2:2" ht="12.75" customHeight="1" x14ac:dyDescent="0.2">
      <c r="B24319" s="43"/>
    </row>
    <row r="24320" spans="2:2" ht="12.75" customHeight="1" x14ac:dyDescent="0.2">
      <c r="B24320" s="43"/>
    </row>
    <row r="24321" spans="2:2" ht="12.75" customHeight="1" x14ac:dyDescent="0.2">
      <c r="B24321" s="43"/>
    </row>
    <row r="24322" spans="2:2" ht="12.75" customHeight="1" x14ac:dyDescent="0.2">
      <c r="B24322" s="43"/>
    </row>
    <row r="24323" spans="2:2" ht="12.75" customHeight="1" x14ac:dyDescent="0.2">
      <c r="B24323" s="43"/>
    </row>
    <row r="24324" spans="2:2" ht="12.75" customHeight="1" x14ac:dyDescent="0.2">
      <c r="B24324" s="43"/>
    </row>
    <row r="24325" spans="2:2" ht="12.75" customHeight="1" x14ac:dyDescent="0.2">
      <c r="B24325" s="43"/>
    </row>
    <row r="24326" spans="2:2" ht="12.75" customHeight="1" x14ac:dyDescent="0.2">
      <c r="B24326" s="43"/>
    </row>
    <row r="24327" spans="2:2" ht="12.75" customHeight="1" x14ac:dyDescent="0.2">
      <c r="B24327" s="43"/>
    </row>
    <row r="24328" spans="2:2" ht="12.75" customHeight="1" x14ac:dyDescent="0.2">
      <c r="B24328" s="43"/>
    </row>
    <row r="24329" spans="2:2" ht="12.75" customHeight="1" x14ac:dyDescent="0.2">
      <c r="B24329" s="43"/>
    </row>
    <row r="24330" spans="2:2" ht="12.75" customHeight="1" x14ac:dyDescent="0.2">
      <c r="B24330" s="43"/>
    </row>
    <row r="24331" spans="2:2" ht="12.75" customHeight="1" x14ac:dyDescent="0.2">
      <c r="B24331" s="43"/>
    </row>
    <row r="24332" spans="2:2" ht="12.75" customHeight="1" x14ac:dyDescent="0.2">
      <c r="B24332" s="43"/>
    </row>
    <row r="24333" spans="2:2" ht="12.75" customHeight="1" x14ac:dyDescent="0.2">
      <c r="B24333" s="43"/>
    </row>
    <row r="24334" spans="2:2" ht="12.75" customHeight="1" x14ac:dyDescent="0.2">
      <c r="B24334" s="43"/>
    </row>
    <row r="24335" spans="2:2" ht="12.75" customHeight="1" x14ac:dyDescent="0.2">
      <c r="B24335" s="43"/>
    </row>
    <row r="24336" spans="2:2" ht="12.75" customHeight="1" x14ac:dyDescent="0.2">
      <c r="B24336" s="43"/>
    </row>
    <row r="24337" spans="2:2" ht="12.75" customHeight="1" x14ac:dyDescent="0.2">
      <c r="B24337" s="43"/>
    </row>
    <row r="24338" spans="2:2" ht="12.75" customHeight="1" x14ac:dyDescent="0.2">
      <c r="B24338" s="43"/>
    </row>
    <row r="24339" spans="2:2" ht="12.75" customHeight="1" x14ac:dyDescent="0.2">
      <c r="B24339" s="43"/>
    </row>
    <row r="24340" spans="2:2" ht="12.75" customHeight="1" x14ac:dyDescent="0.2">
      <c r="B24340" s="43"/>
    </row>
    <row r="24341" spans="2:2" ht="12.75" customHeight="1" x14ac:dyDescent="0.2">
      <c r="B24341" s="43"/>
    </row>
    <row r="24342" spans="2:2" ht="12.75" customHeight="1" x14ac:dyDescent="0.2">
      <c r="B24342" s="43"/>
    </row>
    <row r="24343" spans="2:2" ht="12.75" customHeight="1" x14ac:dyDescent="0.2">
      <c r="B24343" s="43"/>
    </row>
    <row r="24344" spans="2:2" ht="12.75" customHeight="1" x14ac:dyDescent="0.2">
      <c r="B24344" s="43"/>
    </row>
    <row r="24345" spans="2:2" ht="12.75" customHeight="1" x14ac:dyDescent="0.2">
      <c r="B24345" s="43"/>
    </row>
    <row r="24346" spans="2:2" ht="12.75" customHeight="1" x14ac:dyDescent="0.2">
      <c r="B24346" s="43"/>
    </row>
    <row r="24347" spans="2:2" ht="12.75" customHeight="1" x14ac:dyDescent="0.2">
      <c r="B24347" s="43"/>
    </row>
    <row r="24348" spans="2:2" ht="12.75" customHeight="1" x14ac:dyDescent="0.2">
      <c r="B24348" s="43"/>
    </row>
    <row r="24349" spans="2:2" ht="12.75" customHeight="1" x14ac:dyDescent="0.2">
      <c r="B24349" s="43"/>
    </row>
    <row r="24350" spans="2:2" ht="12.75" customHeight="1" x14ac:dyDescent="0.2">
      <c r="B24350" s="43"/>
    </row>
    <row r="24351" spans="2:2" ht="12.75" customHeight="1" x14ac:dyDescent="0.2">
      <c r="B24351" s="43"/>
    </row>
    <row r="24352" spans="2:2" ht="12.75" customHeight="1" x14ac:dyDescent="0.2">
      <c r="B24352" s="43"/>
    </row>
    <row r="24353" spans="2:2" ht="12.75" customHeight="1" x14ac:dyDescent="0.2">
      <c r="B24353" s="43"/>
    </row>
    <row r="24354" spans="2:2" ht="12.75" customHeight="1" x14ac:dyDescent="0.2">
      <c r="B24354" s="43"/>
    </row>
    <row r="24355" spans="2:2" ht="12.75" customHeight="1" x14ac:dyDescent="0.2">
      <c r="B24355" s="43"/>
    </row>
    <row r="24356" spans="2:2" ht="12.75" customHeight="1" x14ac:dyDescent="0.2">
      <c r="B24356" s="43"/>
    </row>
    <row r="24357" spans="2:2" ht="12.75" customHeight="1" x14ac:dyDescent="0.2">
      <c r="B24357" s="43"/>
    </row>
    <row r="24358" spans="2:2" ht="12.75" customHeight="1" x14ac:dyDescent="0.2">
      <c r="B24358" s="43"/>
    </row>
    <row r="24359" spans="2:2" ht="12.75" customHeight="1" x14ac:dyDescent="0.2">
      <c r="B24359" s="43"/>
    </row>
    <row r="24360" spans="2:2" ht="12.75" customHeight="1" x14ac:dyDescent="0.2">
      <c r="B24360" s="43"/>
    </row>
    <row r="24361" spans="2:2" ht="12.75" customHeight="1" x14ac:dyDescent="0.2">
      <c r="B24361" s="43"/>
    </row>
    <row r="24362" spans="2:2" ht="12.75" customHeight="1" x14ac:dyDescent="0.2">
      <c r="B24362" s="43"/>
    </row>
    <row r="24363" spans="2:2" ht="12.75" customHeight="1" x14ac:dyDescent="0.2">
      <c r="B24363" s="43"/>
    </row>
    <row r="24364" spans="2:2" ht="12.75" customHeight="1" x14ac:dyDescent="0.2">
      <c r="B24364" s="43"/>
    </row>
    <row r="24365" spans="2:2" ht="12.75" customHeight="1" x14ac:dyDescent="0.2">
      <c r="B24365" s="43"/>
    </row>
    <row r="24366" spans="2:2" ht="12.75" customHeight="1" x14ac:dyDescent="0.2">
      <c r="B24366" s="43"/>
    </row>
    <row r="24367" spans="2:2" ht="12.75" customHeight="1" x14ac:dyDescent="0.2">
      <c r="B24367" s="43"/>
    </row>
    <row r="24368" spans="2:2" ht="12.75" customHeight="1" x14ac:dyDescent="0.2">
      <c r="B24368" s="43"/>
    </row>
    <row r="24369" spans="2:2" ht="12.75" customHeight="1" x14ac:dyDescent="0.2">
      <c r="B24369" s="43"/>
    </row>
    <row r="24370" spans="2:2" ht="12.75" customHeight="1" x14ac:dyDescent="0.2">
      <c r="B24370" s="43"/>
    </row>
    <row r="24371" spans="2:2" ht="12.75" customHeight="1" x14ac:dyDescent="0.2">
      <c r="B24371" s="43"/>
    </row>
    <row r="24372" spans="2:2" ht="12.75" customHeight="1" x14ac:dyDescent="0.2">
      <c r="B24372" s="43"/>
    </row>
    <row r="24373" spans="2:2" ht="12.75" customHeight="1" x14ac:dyDescent="0.2">
      <c r="B24373" s="43"/>
    </row>
    <row r="24374" spans="2:2" ht="12.75" customHeight="1" x14ac:dyDescent="0.2">
      <c r="B24374" s="43"/>
    </row>
    <row r="24375" spans="2:2" ht="12.75" customHeight="1" x14ac:dyDescent="0.2">
      <c r="B24375" s="43"/>
    </row>
    <row r="24376" spans="2:2" ht="12.75" customHeight="1" x14ac:dyDescent="0.2">
      <c r="B24376" s="43"/>
    </row>
    <row r="24377" spans="2:2" ht="12.75" customHeight="1" x14ac:dyDescent="0.2">
      <c r="B24377" s="43"/>
    </row>
    <row r="24378" spans="2:2" ht="12.75" customHeight="1" x14ac:dyDescent="0.2">
      <c r="B24378" s="43"/>
    </row>
    <row r="24379" spans="2:2" ht="12.75" customHeight="1" x14ac:dyDescent="0.2">
      <c r="B24379" s="43"/>
    </row>
    <row r="24380" spans="2:2" ht="12.75" customHeight="1" x14ac:dyDescent="0.2">
      <c r="B24380" s="43"/>
    </row>
    <row r="24381" spans="2:2" ht="12.75" customHeight="1" x14ac:dyDescent="0.2">
      <c r="B24381" s="43"/>
    </row>
    <row r="24382" spans="2:2" ht="12.75" customHeight="1" x14ac:dyDescent="0.2">
      <c r="B24382" s="43"/>
    </row>
    <row r="24383" spans="2:2" ht="12.75" customHeight="1" x14ac:dyDescent="0.2">
      <c r="B24383" s="43"/>
    </row>
    <row r="24384" spans="2:2" ht="12.75" customHeight="1" x14ac:dyDescent="0.2">
      <c r="B24384" s="43"/>
    </row>
    <row r="24385" spans="2:2" ht="12.75" customHeight="1" x14ac:dyDescent="0.2">
      <c r="B24385" s="43"/>
    </row>
    <row r="24386" spans="2:2" ht="12.75" customHeight="1" x14ac:dyDescent="0.2">
      <c r="B24386" s="43"/>
    </row>
    <row r="24387" spans="2:2" ht="12.75" customHeight="1" x14ac:dyDescent="0.2">
      <c r="B24387" s="43"/>
    </row>
    <row r="24388" spans="2:2" ht="12.75" customHeight="1" x14ac:dyDescent="0.2">
      <c r="B24388" s="43"/>
    </row>
    <row r="24389" spans="2:2" ht="12.75" customHeight="1" x14ac:dyDescent="0.2">
      <c r="B24389" s="43"/>
    </row>
    <row r="24390" spans="2:2" ht="12.75" customHeight="1" x14ac:dyDescent="0.2">
      <c r="B24390" s="43"/>
    </row>
    <row r="24391" spans="2:2" ht="12.75" customHeight="1" x14ac:dyDescent="0.2">
      <c r="B24391" s="43"/>
    </row>
    <row r="24392" spans="2:2" ht="12.75" customHeight="1" x14ac:dyDescent="0.2">
      <c r="B24392" s="43"/>
    </row>
    <row r="24393" spans="2:2" ht="12.75" customHeight="1" x14ac:dyDescent="0.2">
      <c r="B24393" s="43"/>
    </row>
    <row r="24394" spans="2:2" ht="12.75" customHeight="1" x14ac:dyDescent="0.2">
      <c r="B24394" s="43"/>
    </row>
    <row r="24395" spans="2:2" ht="12.75" customHeight="1" x14ac:dyDescent="0.2">
      <c r="B24395" s="43"/>
    </row>
    <row r="24396" spans="2:2" ht="12.75" customHeight="1" x14ac:dyDescent="0.2">
      <c r="B24396" s="43"/>
    </row>
    <row r="24397" spans="2:2" ht="12.75" customHeight="1" x14ac:dyDescent="0.2">
      <c r="B24397" s="43"/>
    </row>
    <row r="24398" spans="2:2" ht="12.75" customHeight="1" x14ac:dyDescent="0.2">
      <c r="B24398" s="43"/>
    </row>
    <row r="24399" spans="2:2" ht="12.75" customHeight="1" x14ac:dyDescent="0.2">
      <c r="B24399" s="43"/>
    </row>
    <row r="24400" spans="2:2" ht="12.75" customHeight="1" x14ac:dyDescent="0.2">
      <c r="B24400" s="43"/>
    </row>
    <row r="24401" spans="2:2" ht="12.75" customHeight="1" x14ac:dyDescent="0.2">
      <c r="B24401" s="43"/>
    </row>
    <row r="24402" spans="2:2" ht="12.75" customHeight="1" x14ac:dyDescent="0.2">
      <c r="B24402" s="43"/>
    </row>
    <row r="24403" spans="2:2" ht="12.75" customHeight="1" x14ac:dyDescent="0.2">
      <c r="B24403" s="43"/>
    </row>
    <row r="24404" spans="2:2" ht="12.75" customHeight="1" x14ac:dyDescent="0.2">
      <c r="B24404" s="43"/>
    </row>
    <row r="24405" spans="2:2" ht="12.75" customHeight="1" x14ac:dyDescent="0.2">
      <c r="B24405" s="43"/>
    </row>
    <row r="24406" spans="2:2" ht="12.75" customHeight="1" x14ac:dyDescent="0.2">
      <c r="B24406" s="43"/>
    </row>
    <row r="24407" spans="2:2" ht="12.75" customHeight="1" x14ac:dyDescent="0.2">
      <c r="B24407" s="43"/>
    </row>
    <row r="24408" spans="2:2" ht="12.75" customHeight="1" x14ac:dyDescent="0.2">
      <c r="B24408" s="43"/>
    </row>
    <row r="24409" spans="2:2" ht="12.75" customHeight="1" x14ac:dyDescent="0.2">
      <c r="B24409" s="43"/>
    </row>
    <row r="24410" spans="2:2" ht="12.75" customHeight="1" x14ac:dyDescent="0.2">
      <c r="B24410" s="43"/>
    </row>
    <row r="24411" spans="2:2" ht="12.75" customHeight="1" x14ac:dyDescent="0.2">
      <c r="B24411" s="43"/>
    </row>
    <row r="24412" spans="2:2" ht="12.75" customHeight="1" x14ac:dyDescent="0.2">
      <c r="B24412" s="43"/>
    </row>
    <row r="24413" spans="2:2" ht="12.75" customHeight="1" x14ac:dyDescent="0.2">
      <c r="B24413" s="43"/>
    </row>
    <row r="24414" spans="2:2" ht="12.75" customHeight="1" x14ac:dyDescent="0.2">
      <c r="B24414" s="43"/>
    </row>
    <row r="24415" spans="2:2" ht="12.75" customHeight="1" x14ac:dyDescent="0.2">
      <c r="B24415" s="43"/>
    </row>
    <row r="24416" spans="2:2" ht="12.75" customHeight="1" x14ac:dyDescent="0.2">
      <c r="B24416" s="43"/>
    </row>
    <row r="24417" spans="2:2" ht="12.75" customHeight="1" x14ac:dyDescent="0.2">
      <c r="B24417" s="43"/>
    </row>
    <row r="24418" spans="2:2" ht="12.75" customHeight="1" x14ac:dyDescent="0.2">
      <c r="B24418" s="43"/>
    </row>
    <row r="24419" spans="2:2" ht="12.75" customHeight="1" x14ac:dyDescent="0.2">
      <c r="B24419" s="43"/>
    </row>
    <row r="24420" spans="2:2" ht="12.75" customHeight="1" x14ac:dyDescent="0.2">
      <c r="B24420" s="43"/>
    </row>
    <row r="24421" spans="2:2" ht="12.75" customHeight="1" x14ac:dyDescent="0.2">
      <c r="B24421" s="43"/>
    </row>
    <row r="24422" spans="2:2" ht="12.75" customHeight="1" x14ac:dyDescent="0.2">
      <c r="B24422" s="43"/>
    </row>
    <row r="24423" spans="2:2" ht="12.75" customHeight="1" x14ac:dyDescent="0.2">
      <c r="B24423" s="43"/>
    </row>
    <row r="24424" spans="2:2" ht="12.75" customHeight="1" x14ac:dyDescent="0.2">
      <c r="B24424" s="43"/>
    </row>
    <row r="24425" spans="2:2" ht="12.75" customHeight="1" x14ac:dyDescent="0.2">
      <c r="B24425" s="43"/>
    </row>
    <row r="24426" spans="2:2" ht="12.75" customHeight="1" x14ac:dyDescent="0.2">
      <c r="B24426" s="43"/>
    </row>
    <row r="24427" spans="2:2" ht="12.75" customHeight="1" x14ac:dyDescent="0.2">
      <c r="B24427" s="43"/>
    </row>
    <row r="24428" spans="2:2" ht="12.75" customHeight="1" x14ac:dyDescent="0.2">
      <c r="B24428" s="43"/>
    </row>
    <row r="24429" spans="2:2" ht="12.75" customHeight="1" x14ac:dyDescent="0.2">
      <c r="B24429" s="43"/>
    </row>
    <row r="24430" spans="2:2" ht="12.75" customHeight="1" x14ac:dyDescent="0.2">
      <c r="B24430" s="43"/>
    </row>
    <row r="24431" spans="2:2" ht="12.75" customHeight="1" x14ac:dyDescent="0.2">
      <c r="B24431" s="43"/>
    </row>
    <row r="24432" spans="2:2" ht="12.75" customHeight="1" x14ac:dyDescent="0.2">
      <c r="B24432" s="43"/>
    </row>
    <row r="24433" spans="2:2" ht="12.75" customHeight="1" x14ac:dyDescent="0.2">
      <c r="B24433" s="43"/>
    </row>
    <row r="24434" spans="2:2" ht="12.75" customHeight="1" x14ac:dyDescent="0.2">
      <c r="B24434" s="43"/>
    </row>
    <row r="24435" spans="2:2" ht="12.75" customHeight="1" x14ac:dyDescent="0.2">
      <c r="B24435" s="43"/>
    </row>
    <row r="24436" spans="2:2" ht="12.75" customHeight="1" x14ac:dyDescent="0.2">
      <c r="B24436" s="43"/>
    </row>
    <row r="24437" spans="2:2" ht="12.75" customHeight="1" x14ac:dyDescent="0.2">
      <c r="B24437" s="43"/>
    </row>
    <row r="24438" spans="2:2" ht="12.75" customHeight="1" x14ac:dyDescent="0.2">
      <c r="B24438" s="43"/>
    </row>
    <row r="24439" spans="2:2" ht="12.75" customHeight="1" x14ac:dyDescent="0.2">
      <c r="B24439" s="43"/>
    </row>
    <row r="24440" spans="2:2" ht="12.75" customHeight="1" x14ac:dyDescent="0.2">
      <c r="B24440" s="43"/>
    </row>
    <row r="24441" spans="2:2" ht="12.75" customHeight="1" x14ac:dyDescent="0.2">
      <c r="B24441" s="43"/>
    </row>
    <row r="24442" spans="2:2" ht="12.75" customHeight="1" x14ac:dyDescent="0.2">
      <c r="B24442" s="43"/>
    </row>
    <row r="24443" spans="2:2" ht="12.75" customHeight="1" x14ac:dyDescent="0.2">
      <c r="B24443" s="43"/>
    </row>
    <row r="24444" spans="2:2" ht="12.75" customHeight="1" x14ac:dyDescent="0.2">
      <c r="B24444" s="43"/>
    </row>
    <row r="24445" spans="2:2" ht="12.75" customHeight="1" x14ac:dyDescent="0.2">
      <c r="B24445" s="43"/>
    </row>
    <row r="24446" spans="2:2" ht="12.75" customHeight="1" x14ac:dyDescent="0.2">
      <c r="B24446" s="43"/>
    </row>
    <row r="24447" spans="2:2" ht="12.75" customHeight="1" x14ac:dyDescent="0.2">
      <c r="B24447" s="43"/>
    </row>
    <row r="24448" spans="2:2" ht="12.75" customHeight="1" x14ac:dyDescent="0.2">
      <c r="B24448" s="43"/>
    </row>
    <row r="24449" spans="2:2" ht="12.75" customHeight="1" x14ac:dyDescent="0.2">
      <c r="B24449" s="43"/>
    </row>
    <row r="24450" spans="2:2" ht="12.75" customHeight="1" x14ac:dyDescent="0.2">
      <c r="B24450" s="43"/>
    </row>
    <row r="24451" spans="2:2" ht="12.75" customHeight="1" x14ac:dyDescent="0.2">
      <c r="B24451" s="43"/>
    </row>
    <row r="24452" spans="2:2" ht="12.75" customHeight="1" x14ac:dyDescent="0.2">
      <c r="B24452" s="43"/>
    </row>
    <row r="24453" spans="2:2" ht="12.75" customHeight="1" x14ac:dyDescent="0.2">
      <c r="B24453" s="43"/>
    </row>
    <row r="24454" spans="2:2" ht="12.75" customHeight="1" x14ac:dyDescent="0.2">
      <c r="B24454" s="43"/>
    </row>
    <row r="24455" spans="2:2" ht="12.75" customHeight="1" x14ac:dyDescent="0.2">
      <c r="B24455" s="43"/>
    </row>
    <row r="24456" spans="2:2" ht="12.75" customHeight="1" x14ac:dyDescent="0.2">
      <c r="B24456" s="43"/>
    </row>
    <row r="24457" spans="2:2" ht="12.75" customHeight="1" x14ac:dyDescent="0.2">
      <c r="B24457" s="43"/>
    </row>
    <row r="24458" spans="2:2" ht="12.75" customHeight="1" x14ac:dyDescent="0.2">
      <c r="B24458" s="43"/>
    </row>
    <row r="24459" spans="2:2" ht="12.75" customHeight="1" x14ac:dyDescent="0.2">
      <c r="B24459" s="43"/>
    </row>
    <row r="24460" spans="2:2" ht="12.75" customHeight="1" x14ac:dyDescent="0.2">
      <c r="B24460" s="43"/>
    </row>
    <row r="24461" spans="2:2" ht="12.75" customHeight="1" x14ac:dyDescent="0.2">
      <c r="B24461" s="43"/>
    </row>
    <row r="24462" spans="2:2" ht="12.75" customHeight="1" x14ac:dyDescent="0.2">
      <c r="B24462" s="43"/>
    </row>
    <row r="24463" spans="2:2" ht="12.75" customHeight="1" x14ac:dyDescent="0.2">
      <c r="B24463" s="43"/>
    </row>
    <row r="24464" spans="2:2" ht="12.75" customHeight="1" x14ac:dyDescent="0.2">
      <c r="B24464" s="43"/>
    </row>
    <row r="24465" spans="2:2" ht="12.75" customHeight="1" x14ac:dyDescent="0.2">
      <c r="B24465" s="43"/>
    </row>
    <row r="24466" spans="2:2" ht="12.75" customHeight="1" x14ac:dyDescent="0.2">
      <c r="B24466" s="43"/>
    </row>
    <row r="24467" spans="2:2" ht="12.75" customHeight="1" x14ac:dyDescent="0.2">
      <c r="B24467" s="43"/>
    </row>
    <row r="24468" spans="2:2" ht="12.75" customHeight="1" x14ac:dyDescent="0.2">
      <c r="B24468" s="43"/>
    </row>
    <row r="24469" spans="2:2" ht="12.75" customHeight="1" x14ac:dyDescent="0.2">
      <c r="B24469" s="43"/>
    </row>
    <row r="24470" spans="2:2" ht="12.75" customHeight="1" x14ac:dyDescent="0.2">
      <c r="B24470" s="43"/>
    </row>
    <row r="24471" spans="2:2" ht="12.75" customHeight="1" x14ac:dyDescent="0.2">
      <c r="B24471" s="43"/>
    </row>
    <row r="24472" spans="2:2" ht="12.75" customHeight="1" x14ac:dyDescent="0.2">
      <c r="B24472" s="43"/>
    </row>
    <row r="24473" spans="2:2" ht="12.75" customHeight="1" x14ac:dyDescent="0.2">
      <c r="B24473" s="43"/>
    </row>
    <row r="24474" spans="2:2" ht="12.75" customHeight="1" x14ac:dyDescent="0.2">
      <c r="B24474" s="43"/>
    </row>
    <row r="24475" spans="2:2" ht="12.75" customHeight="1" x14ac:dyDescent="0.2">
      <c r="B24475" s="43"/>
    </row>
    <row r="24476" spans="2:2" ht="12.75" customHeight="1" x14ac:dyDescent="0.2">
      <c r="B24476" s="43"/>
    </row>
    <row r="24477" spans="2:2" ht="12.75" customHeight="1" x14ac:dyDescent="0.2">
      <c r="B24477" s="43"/>
    </row>
    <row r="24478" spans="2:2" ht="12.75" customHeight="1" x14ac:dyDescent="0.2">
      <c r="B24478" s="43"/>
    </row>
    <row r="24479" spans="2:2" ht="12.75" customHeight="1" x14ac:dyDescent="0.2">
      <c r="B24479" s="43"/>
    </row>
    <row r="24480" spans="2:2" ht="12.75" customHeight="1" x14ac:dyDescent="0.2">
      <c r="B24480" s="43"/>
    </row>
    <row r="24481" spans="2:2" ht="12.75" customHeight="1" x14ac:dyDescent="0.2">
      <c r="B24481" s="43"/>
    </row>
    <row r="24482" spans="2:2" ht="12.75" customHeight="1" x14ac:dyDescent="0.2">
      <c r="B24482" s="43"/>
    </row>
    <row r="24483" spans="2:2" ht="12.75" customHeight="1" x14ac:dyDescent="0.2">
      <c r="B24483" s="43"/>
    </row>
    <row r="24484" spans="2:2" ht="12.75" customHeight="1" x14ac:dyDescent="0.2">
      <c r="B24484" s="43"/>
    </row>
    <row r="24485" spans="2:2" ht="12.75" customHeight="1" x14ac:dyDescent="0.2">
      <c r="B24485" s="43"/>
    </row>
    <row r="24486" spans="2:2" ht="12.75" customHeight="1" x14ac:dyDescent="0.2">
      <c r="B24486" s="43"/>
    </row>
    <row r="24487" spans="2:2" ht="12.75" customHeight="1" x14ac:dyDescent="0.2">
      <c r="B24487" s="43"/>
    </row>
    <row r="24488" spans="2:2" ht="12.75" customHeight="1" x14ac:dyDescent="0.2">
      <c r="B24488" s="43"/>
    </row>
    <row r="24489" spans="2:2" ht="12.75" customHeight="1" x14ac:dyDescent="0.2">
      <c r="B24489" s="43"/>
    </row>
    <row r="24490" spans="2:2" ht="12.75" customHeight="1" x14ac:dyDescent="0.2">
      <c r="B24490" s="43"/>
    </row>
    <row r="24491" spans="2:2" ht="12.75" customHeight="1" x14ac:dyDescent="0.2">
      <c r="B24491" s="43"/>
    </row>
    <row r="24492" spans="2:2" ht="12.75" customHeight="1" x14ac:dyDescent="0.2">
      <c r="B24492" s="43"/>
    </row>
    <row r="24493" spans="2:2" ht="12.75" customHeight="1" x14ac:dyDescent="0.2">
      <c r="B24493" s="43"/>
    </row>
    <row r="24494" spans="2:2" ht="12.75" customHeight="1" x14ac:dyDescent="0.2">
      <c r="B24494" s="43"/>
    </row>
    <row r="24495" spans="2:2" ht="12.75" customHeight="1" x14ac:dyDescent="0.2">
      <c r="B24495" s="43"/>
    </row>
    <row r="24496" spans="2:2" ht="12.75" customHeight="1" x14ac:dyDescent="0.2">
      <c r="B24496" s="43"/>
    </row>
    <row r="24497" spans="2:2" ht="12.75" customHeight="1" x14ac:dyDescent="0.2">
      <c r="B24497" s="43"/>
    </row>
    <row r="24498" spans="2:2" ht="12.75" customHeight="1" x14ac:dyDescent="0.2">
      <c r="B24498" s="43"/>
    </row>
    <row r="24499" spans="2:2" ht="12.75" customHeight="1" x14ac:dyDescent="0.2">
      <c r="B24499" s="43"/>
    </row>
    <row r="24500" spans="2:2" ht="12.75" customHeight="1" x14ac:dyDescent="0.2">
      <c r="B24500" s="43"/>
    </row>
    <row r="24501" spans="2:2" ht="12.75" customHeight="1" x14ac:dyDescent="0.2">
      <c r="B24501" s="43"/>
    </row>
    <row r="24502" spans="2:2" ht="12.75" customHeight="1" x14ac:dyDescent="0.2">
      <c r="B24502" s="43"/>
    </row>
    <row r="24503" spans="2:2" ht="12.75" customHeight="1" x14ac:dyDescent="0.2">
      <c r="B24503" s="43"/>
    </row>
    <row r="24504" spans="2:2" ht="12.75" customHeight="1" x14ac:dyDescent="0.2">
      <c r="B24504" s="43"/>
    </row>
    <row r="24505" spans="2:2" ht="12.75" customHeight="1" x14ac:dyDescent="0.2">
      <c r="B24505" s="43"/>
    </row>
    <row r="24506" spans="2:2" ht="12.75" customHeight="1" x14ac:dyDescent="0.2">
      <c r="B24506" s="43"/>
    </row>
    <row r="24507" spans="2:2" ht="12.75" customHeight="1" x14ac:dyDescent="0.2">
      <c r="B24507" s="43"/>
    </row>
    <row r="24508" spans="2:2" ht="12.75" customHeight="1" x14ac:dyDescent="0.2">
      <c r="B24508" s="43"/>
    </row>
    <row r="24509" spans="2:2" ht="12.75" customHeight="1" x14ac:dyDescent="0.2">
      <c r="B24509" s="43"/>
    </row>
    <row r="24510" spans="2:2" ht="12.75" customHeight="1" x14ac:dyDescent="0.2">
      <c r="B24510" s="43"/>
    </row>
    <row r="24511" spans="2:2" ht="12.75" customHeight="1" x14ac:dyDescent="0.2">
      <c r="B24511" s="43"/>
    </row>
    <row r="24512" spans="2:2" ht="12.75" customHeight="1" x14ac:dyDescent="0.2">
      <c r="B24512" s="43"/>
    </row>
    <row r="24513" spans="2:2" ht="12.75" customHeight="1" x14ac:dyDescent="0.2">
      <c r="B24513" s="43"/>
    </row>
    <row r="24514" spans="2:2" ht="12.75" customHeight="1" x14ac:dyDescent="0.2">
      <c r="B24514" s="43"/>
    </row>
    <row r="24515" spans="2:2" ht="12.75" customHeight="1" x14ac:dyDescent="0.2">
      <c r="B24515" s="43"/>
    </row>
    <row r="24516" spans="2:2" ht="12.75" customHeight="1" x14ac:dyDescent="0.2">
      <c r="B24516" s="43"/>
    </row>
    <row r="24517" spans="2:2" ht="12.75" customHeight="1" x14ac:dyDescent="0.2">
      <c r="B24517" s="43"/>
    </row>
    <row r="24518" spans="2:2" ht="12.75" customHeight="1" x14ac:dyDescent="0.2">
      <c r="B24518" s="43"/>
    </row>
    <row r="24519" spans="2:2" ht="12.75" customHeight="1" x14ac:dyDescent="0.2">
      <c r="B24519" s="43"/>
    </row>
    <row r="24520" spans="2:2" ht="12.75" customHeight="1" x14ac:dyDescent="0.2">
      <c r="B24520" s="43"/>
    </row>
    <row r="24521" spans="2:2" ht="12.75" customHeight="1" x14ac:dyDescent="0.2">
      <c r="B24521" s="43"/>
    </row>
    <row r="24522" spans="2:2" ht="12.75" customHeight="1" x14ac:dyDescent="0.2">
      <c r="B24522" s="43"/>
    </row>
    <row r="24523" spans="2:2" ht="12.75" customHeight="1" x14ac:dyDescent="0.2">
      <c r="B24523" s="43"/>
    </row>
    <row r="24524" spans="2:2" ht="12.75" customHeight="1" x14ac:dyDescent="0.2">
      <c r="B24524" s="43"/>
    </row>
    <row r="24525" spans="2:2" ht="12.75" customHeight="1" x14ac:dyDescent="0.2">
      <c r="B24525" s="43"/>
    </row>
    <row r="24526" spans="2:2" ht="12.75" customHeight="1" x14ac:dyDescent="0.2">
      <c r="B24526" s="43"/>
    </row>
    <row r="24527" spans="2:2" ht="12.75" customHeight="1" x14ac:dyDescent="0.2">
      <c r="B24527" s="43"/>
    </row>
    <row r="24528" spans="2:2" ht="12.75" customHeight="1" x14ac:dyDescent="0.2">
      <c r="B24528" s="43"/>
    </row>
    <row r="24529" spans="2:2" ht="12.75" customHeight="1" x14ac:dyDescent="0.2">
      <c r="B24529" s="43"/>
    </row>
    <row r="24530" spans="2:2" ht="12.75" customHeight="1" x14ac:dyDescent="0.2">
      <c r="B24530" s="43"/>
    </row>
    <row r="24531" spans="2:2" ht="12.75" customHeight="1" x14ac:dyDescent="0.2">
      <c r="B24531" s="43"/>
    </row>
    <row r="24532" spans="2:2" ht="12.75" customHeight="1" x14ac:dyDescent="0.2">
      <c r="B24532" s="43"/>
    </row>
    <row r="24533" spans="2:2" ht="12.75" customHeight="1" x14ac:dyDescent="0.2">
      <c r="B24533" s="43"/>
    </row>
    <row r="24534" spans="2:2" ht="12.75" customHeight="1" x14ac:dyDescent="0.2">
      <c r="B24534" s="43"/>
    </row>
    <row r="24535" spans="2:2" ht="12.75" customHeight="1" x14ac:dyDescent="0.2">
      <c r="B24535" s="43"/>
    </row>
    <row r="24536" spans="2:2" ht="12.75" customHeight="1" x14ac:dyDescent="0.2">
      <c r="B24536" s="43"/>
    </row>
    <row r="24537" spans="2:2" ht="12.75" customHeight="1" x14ac:dyDescent="0.2">
      <c r="B24537" s="43"/>
    </row>
    <row r="24538" spans="2:2" ht="12.75" customHeight="1" x14ac:dyDescent="0.2">
      <c r="B24538" s="43"/>
    </row>
    <row r="24539" spans="2:2" ht="12.75" customHeight="1" x14ac:dyDescent="0.2">
      <c r="B24539" s="43"/>
    </row>
    <row r="24540" spans="2:2" ht="12.75" customHeight="1" x14ac:dyDescent="0.2">
      <c r="B24540" s="43"/>
    </row>
    <row r="24541" spans="2:2" ht="12.75" customHeight="1" x14ac:dyDescent="0.2">
      <c r="B24541" s="43"/>
    </row>
    <row r="24542" spans="2:2" ht="12.75" customHeight="1" x14ac:dyDescent="0.2">
      <c r="B24542" s="43"/>
    </row>
    <row r="24543" spans="2:2" ht="12.75" customHeight="1" x14ac:dyDescent="0.2">
      <c r="B24543" s="43"/>
    </row>
    <row r="24544" spans="2:2" ht="12.75" customHeight="1" x14ac:dyDescent="0.2">
      <c r="B24544" s="43"/>
    </row>
    <row r="24545" spans="2:2" ht="12.75" customHeight="1" x14ac:dyDescent="0.2">
      <c r="B24545" s="43"/>
    </row>
    <row r="24546" spans="2:2" ht="12.75" customHeight="1" x14ac:dyDescent="0.2">
      <c r="B24546" s="43"/>
    </row>
    <row r="24547" spans="2:2" ht="12.75" customHeight="1" x14ac:dyDescent="0.2">
      <c r="B24547" s="43"/>
    </row>
    <row r="24548" spans="2:2" ht="12.75" customHeight="1" x14ac:dyDescent="0.2">
      <c r="B24548" s="43"/>
    </row>
    <row r="24549" spans="2:2" ht="12.75" customHeight="1" x14ac:dyDescent="0.2">
      <c r="B24549" s="43"/>
    </row>
    <row r="24550" spans="2:2" ht="12.75" customHeight="1" x14ac:dyDescent="0.2">
      <c r="B24550" s="43"/>
    </row>
    <row r="24551" spans="2:2" ht="12.75" customHeight="1" x14ac:dyDescent="0.2">
      <c r="B24551" s="43"/>
    </row>
    <row r="24552" spans="2:2" ht="12.75" customHeight="1" x14ac:dyDescent="0.2">
      <c r="B24552" s="43"/>
    </row>
    <row r="24553" spans="2:2" ht="12.75" customHeight="1" x14ac:dyDescent="0.2">
      <c r="B24553" s="43"/>
    </row>
    <row r="24554" spans="2:2" ht="12.75" customHeight="1" x14ac:dyDescent="0.2">
      <c r="B24554" s="43"/>
    </row>
    <row r="24555" spans="2:2" ht="12.75" customHeight="1" x14ac:dyDescent="0.2">
      <c r="B24555" s="43"/>
    </row>
    <row r="24556" spans="2:2" ht="12.75" customHeight="1" x14ac:dyDescent="0.2">
      <c r="B24556" s="43"/>
    </row>
    <row r="24557" spans="2:2" ht="12.75" customHeight="1" x14ac:dyDescent="0.2">
      <c r="B24557" s="43"/>
    </row>
    <row r="24558" spans="2:2" ht="12.75" customHeight="1" x14ac:dyDescent="0.2">
      <c r="B24558" s="43"/>
    </row>
    <row r="24559" spans="2:2" ht="12.75" customHeight="1" x14ac:dyDescent="0.2">
      <c r="B24559" s="43"/>
    </row>
    <row r="24560" spans="2:2" ht="12.75" customHeight="1" x14ac:dyDescent="0.2">
      <c r="B24560" s="43"/>
    </row>
    <row r="24561" spans="2:2" ht="12.75" customHeight="1" x14ac:dyDescent="0.2">
      <c r="B24561" s="43"/>
    </row>
    <row r="24562" spans="2:2" ht="12.75" customHeight="1" x14ac:dyDescent="0.2">
      <c r="B24562" s="43"/>
    </row>
    <row r="24563" spans="2:2" ht="12.75" customHeight="1" x14ac:dyDescent="0.2">
      <c r="B24563" s="43"/>
    </row>
    <row r="24564" spans="2:2" ht="12.75" customHeight="1" x14ac:dyDescent="0.2">
      <c r="B24564" s="43"/>
    </row>
    <row r="24565" spans="2:2" ht="12.75" customHeight="1" x14ac:dyDescent="0.2">
      <c r="B24565" s="43"/>
    </row>
    <row r="24566" spans="2:2" ht="12.75" customHeight="1" x14ac:dyDescent="0.2">
      <c r="B24566" s="43"/>
    </row>
    <row r="24567" spans="2:2" ht="12.75" customHeight="1" x14ac:dyDescent="0.2">
      <c r="B24567" s="43"/>
    </row>
    <row r="24568" spans="2:2" ht="12.75" customHeight="1" x14ac:dyDescent="0.2">
      <c r="B24568" s="43"/>
    </row>
    <row r="24569" spans="2:2" ht="12.75" customHeight="1" x14ac:dyDescent="0.2">
      <c r="B24569" s="43"/>
    </row>
    <row r="24570" spans="2:2" ht="12.75" customHeight="1" x14ac:dyDescent="0.2">
      <c r="B24570" s="43"/>
    </row>
    <row r="24571" spans="2:2" ht="12.75" customHeight="1" x14ac:dyDescent="0.2">
      <c r="B24571" s="43"/>
    </row>
    <row r="24572" spans="2:2" ht="12.75" customHeight="1" x14ac:dyDescent="0.2">
      <c r="B24572" s="43"/>
    </row>
    <row r="24573" spans="2:2" ht="12.75" customHeight="1" x14ac:dyDescent="0.2">
      <c r="B24573" s="43"/>
    </row>
    <row r="24574" spans="2:2" ht="12.75" customHeight="1" x14ac:dyDescent="0.2">
      <c r="B24574" s="43"/>
    </row>
    <row r="24575" spans="2:2" ht="12.75" customHeight="1" x14ac:dyDescent="0.2">
      <c r="B24575" s="43"/>
    </row>
    <row r="24576" spans="2:2" ht="12.75" customHeight="1" x14ac:dyDescent="0.2">
      <c r="B24576" s="43"/>
    </row>
    <row r="24577" spans="2:2" ht="12.75" customHeight="1" x14ac:dyDescent="0.2">
      <c r="B24577" s="43"/>
    </row>
    <row r="24578" spans="2:2" ht="12.75" customHeight="1" x14ac:dyDescent="0.2">
      <c r="B24578" s="43"/>
    </row>
    <row r="24579" spans="2:2" ht="12.75" customHeight="1" x14ac:dyDescent="0.2">
      <c r="B24579" s="43"/>
    </row>
    <row r="24580" spans="2:2" ht="12.75" customHeight="1" x14ac:dyDescent="0.2">
      <c r="B24580" s="43"/>
    </row>
    <row r="24581" spans="2:2" ht="12.75" customHeight="1" x14ac:dyDescent="0.2">
      <c r="B24581" s="43"/>
    </row>
    <row r="24582" spans="2:2" ht="12.75" customHeight="1" x14ac:dyDescent="0.2">
      <c r="B24582" s="43"/>
    </row>
    <row r="24583" spans="2:2" ht="12.75" customHeight="1" x14ac:dyDescent="0.2">
      <c r="B24583" s="43"/>
    </row>
    <row r="24584" spans="2:2" ht="12.75" customHeight="1" x14ac:dyDescent="0.2">
      <c r="B24584" s="43"/>
    </row>
    <row r="24585" spans="2:2" ht="12.75" customHeight="1" x14ac:dyDescent="0.2">
      <c r="B24585" s="43"/>
    </row>
    <row r="24586" spans="2:2" ht="12.75" customHeight="1" x14ac:dyDescent="0.2">
      <c r="B24586" s="43"/>
    </row>
    <row r="24587" spans="2:2" ht="12.75" customHeight="1" x14ac:dyDescent="0.2">
      <c r="B24587" s="43"/>
    </row>
    <row r="24588" spans="2:2" ht="12.75" customHeight="1" x14ac:dyDescent="0.2">
      <c r="B24588" s="43"/>
    </row>
    <row r="24589" spans="2:2" ht="12.75" customHeight="1" x14ac:dyDescent="0.2">
      <c r="B24589" s="43"/>
    </row>
    <row r="24590" spans="2:2" ht="12.75" customHeight="1" x14ac:dyDescent="0.2">
      <c r="B24590" s="43"/>
    </row>
    <row r="24591" spans="2:2" ht="12.75" customHeight="1" x14ac:dyDescent="0.2">
      <c r="B24591" s="43"/>
    </row>
    <row r="24592" spans="2:2" ht="12.75" customHeight="1" x14ac:dyDescent="0.2">
      <c r="B24592" s="43"/>
    </row>
    <row r="24593" spans="2:2" ht="12.75" customHeight="1" x14ac:dyDescent="0.2">
      <c r="B24593" s="43"/>
    </row>
    <row r="24594" spans="2:2" ht="12.75" customHeight="1" x14ac:dyDescent="0.2">
      <c r="B24594" s="43"/>
    </row>
    <row r="24595" spans="2:2" ht="12.75" customHeight="1" x14ac:dyDescent="0.2">
      <c r="B24595" s="43"/>
    </row>
    <row r="24596" spans="2:2" ht="12.75" customHeight="1" x14ac:dyDescent="0.2">
      <c r="B24596" s="43"/>
    </row>
    <row r="24597" spans="2:2" ht="12.75" customHeight="1" x14ac:dyDescent="0.2">
      <c r="B24597" s="43"/>
    </row>
    <row r="24598" spans="2:2" ht="12.75" customHeight="1" x14ac:dyDescent="0.2">
      <c r="B24598" s="43"/>
    </row>
    <row r="24599" spans="2:2" ht="12.75" customHeight="1" x14ac:dyDescent="0.2">
      <c r="B24599" s="43"/>
    </row>
    <row r="24600" spans="2:2" ht="12.75" customHeight="1" x14ac:dyDescent="0.2">
      <c r="B24600" s="43"/>
    </row>
    <row r="24601" spans="2:2" ht="12.75" customHeight="1" x14ac:dyDescent="0.2">
      <c r="B24601" s="43"/>
    </row>
    <row r="24602" spans="2:2" ht="12.75" customHeight="1" x14ac:dyDescent="0.2">
      <c r="B24602" s="43"/>
    </row>
    <row r="24603" spans="2:2" ht="12.75" customHeight="1" x14ac:dyDescent="0.2">
      <c r="B24603" s="43"/>
    </row>
    <row r="24604" spans="2:2" ht="12.75" customHeight="1" x14ac:dyDescent="0.2">
      <c r="B24604" s="43"/>
    </row>
    <row r="24605" spans="2:2" ht="12.75" customHeight="1" x14ac:dyDescent="0.2">
      <c r="B24605" s="43"/>
    </row>
    <row r="24606" spans="2:2" ht="12.75" customHeight="1" x14ac:dyDescent="0.2">
      <c r="B24606" s="43"/>
    </row>
    <row r="24607" spans="2:2" ht="12.75" customHeight="1" x14ac:dyDescent="0.2">
      <c r="B24607" s="43"/>
    </row>
    <row r="24608" spans="2:2" ht="12.75" customHeight="1" x14ac:dyDescent="0.2">
      <c r="B24608" s="43"/>
    </row>
    <row r="24609" spans="2:2" ht="12.75" customHeight="1" x14ac:dyDescent="0.2">
      <c r="B24609" s="43"/>
    </row>
    <row r="24610" spans="2:2" ht="12.75" customHeight="1" x14ac:dyDescent="0.2">
      <c r="B24610" s="43"/>
    </row>
    <row r="24611" spans="2:2" ht="12.75" customHeight="1" x14ac:dyDescent="0.2">
      <c r="B24611" s="43"/>
    </row>
    <row r="24612" spans="2:2" ht="12.75" customHeight="1" x14ac:dyDescent="0.2">
      <c r="B24612" s="43"/>
    </row>
    <row r="24613" spans="2:2" ht="12.75" customHeight="1" x14ac:dyDescent="0.2">
      <c r="B24613" s="43"/>
    </row>
    <row r="24614" spans="2:2" ht="12.75" customHeight="1" x14ac:dyDescent="0.2">
      <c r="B24614" s="43"/>
    </row>
    <row r="24615" spans="2:2" ht="12.75" customHeight="1" x14ac:dyDescent="0.2">
      <c r="B24615" s="43"/>
    </row>
    <row r="24616" spans="2:2" ht="12.75" customHeight="1" x14ac:dyDescent="0.2">
      <c r="B24616" s="43"/>
    </row>
    <row r="24617" spans="2:2" ht="12.75" customHeight="1" x14ac:dyDescent="0.2">
      <c r="B24617" s="43"/>
    </row>
    <row r="24618" spans="2:2" ht="12.75" customHeight="1" x14ac:dyDescent="0.2">
      <c r="B24618" s="43"/>
    </row>
    <row r="24619" spans="2:2" ht="12.75" customHeight="1" x14ac:dyDescent="0.2">
      <c r="B24619" s="43"/>
    </row>
    <row r="24620" spans="2:2" ht="12.75" customHeight="1" x14ac:dyDescent="0.2">
      <c r="B24620" s="43"/>
    </row>
    <row r="24621" spans="2:2" ht="12.75" customHeight="1" x14ac:dyDescent="0.2">
      <c r="B24621" s="43"/>
    </row>
    <row r="24622" spans="2:2" ht="12.75" customHeight="1" x14ac:dyDescent="0.2">
      <c r="B24622" s="43"/>
    </row>
    <row r="24623" spans="2:2" ht="12.75" customHeight="1" x14ac:dyDescent="0.2">
      <c r="B24623" s="43"/>
    </row>
    <row r="24624" spans="2:2" ht="12.75" customHeight="1" x14ac:dyDescent="0.2">
      <c r="B24624" s="43"/>
    </row>
    <row r="24625" spans="2:2" ht="12.75" customHeight="1" x14ac:dyDescent="0.2">
      <c r="B24625" s="43"/>
    </row>
    <row r="24626" spans="2:2" ht="12.75" customHeight="1" x14ac:dyDescent="0.2">
      <c r="B24626" s="43"/>
    </row>
    <row r="24627" spans="2:2" ht="12.75" customHeight="1" x14ac:dyDescent="0.2">
      <c r="B24627" s="43"/>
    </row>
    <row r="24628" spans="2:2" ht="12.75" customHeight="1" x14ac:dyDescent="0.2">
      <c r="B24628" s="43"/>
    </row>
    <row r="24629" spans="2:2" ht="12.75" customHeight="1" x14ac:dyDescent="0.2">
      <c r="B24629" s="43"/>
    </row>
    <row r="24630" spans="2:2" ht="12.75" customHeight="1" x14ac:dyDescent="0.2">
      <c r="B24630" s="43"/>
    </row>
    <row r="24631" spans="2:2" ht="12.75" customHeight="1" x14ac:dyDescent="0.2">
      <c r="B24631" s="43"/>
    </row>
    <row r="24632" spans="2:2" ht="12.75" customHeight="1" x14ac:dyDescent="0.2">
      <c r="B24632" s="43"/>
    </row>
    <row r="24633" spans="2:2" ht="12.75" customHeight="1" x14ac:dyDescent="0.2">
      <c r="B24633" s="43"/>
    </row>
    <row r="24634" spans="2:2" ht="12.75" customHeight="1" x14ac:dyDescent="0.2">
      <c r="B24634" s="43"/>
    </row>
    <row r="24635" spans="2:2" ht="12.75" customHeight="1" x14ac:dyDescent="0.2">
      <c r="B24635" s="43"/>
    </row>
    <row r="24636" spans="2:2" ht="12.75" customHeight="1" x14ac:dyDescent="0.2">
      <c r="B24636" s="43"/>
    </row>
    <row r="24637" spans="2:2" ht="12.75" customHeight="1" x14ac:dyDescent="0.2">
      <c r="B24637" s="43"/>
    </row>
    <row r="24638" spans="2:2" ht="12.75" customHeight="1" x14ac:dyDescent="0.2">
      <c r="B24638" s="43"/>
    </row>
    <row r="24639" spans="2:2" ht="12.75" customHeight="1" x14ac:dyDescent="0.2">
      <c r="B24639" s="43"/>
    </row>
    <row r="24640" spans="2:2" ht="12.75" customHeight="1" x14ac:dyDescent="0.2">
      <c r="B24640" s="43"/>
    </row>
    <row r="24641" spans="2:2" ht="12.75" customHeight="1" x14ac:dyDescent="0.2">
      <c r="B24641" s="43"/>
    </row>
    <row r="24642" spans="2:2" ht="12.75" customHeight="1" x14ac:dyDescent="0.2">
      <c r="B24642" s="43"/>
    </row>
    <row r="24643" spans="2:2" ht="12.75" customHeight="1" x14ac:dyDescent="0.2">
      <c r="B24643" s="43"/>
    </row>
    <row r="24644" spans="2:2" ht="12.75" customHeight="1" x14ac:dyDescent="0.2">
      <c r="B24644" s="43"/>
    </row>
    <row r="24645" spans="2:2" ht="12.75" customHeight="1" x14ac:dyDescent="0.2">
      <c r="B24645" s="43"/>
    </row>
    <row r="24646" spans="2:2" ht="12.75" customHeight="1" x14ac:dyDescent="0.2">
      <c r="B24646" s="43"/>
    </row>
    <row r="24647" spans="2:2" ht="12.75" customHeight="1" x14ac:dyDescent="0.2">
      <c r="B24647" s="43"/>
    </row>
    <row r="24648" spans="2:2" ht="12.75" customHeight="1" x14ac:dyDescent="0.2">
      <c r="B24648" s="43"/>
    </row>
    <row r="24649" spans="2:2" ht="12.75" customHeight="1" x14ac:dyDescent="0.2">
      <c r="B24649" s="43"/>
    </row>
    <row r="24650" spans="2:2" ht="12.75" customHeight="1" x14ac:dyDescent="0.2">
      <c r="B24650" s="43"/>
    </row>
    <row r="24651" spans="2:2" ht="12.75" customHeight="1" x14ac:dyDescent="0.2">
      <c r="B24651" s="43"/>
    </row>
    <row r="24652" spans="2:2" ht="12.75" customHeight="1" x14ac:dyDescent="0.2">
      <c r="B24652" s="43"/>
    </row>
    <row r="24653" spans="2:2" ht="12.75" customHeight="1" x14ac:dyDescent="0.2">
      <c r="B24653" s="43"/>
    </row>
    <row r="24654" spans="2:2" ht="12.75" customHeight="1" x14ac:dyDescent="0.2">
      <c r="B24654" s="43"/>
    </row>
    <row r="24655" spans="2:2" ht="12.75" customHeight="1" x14ac:dyDescent="0.2">
      <c r="B24655" s="43"/>
    </row>
    <row r="24656" spans="2:2" ht="12.75" customHeight="1" x14ac:dyDescent="0.2">
      <c r="B24656" s="43"/>
    </row>
    <row r="24657" spans="2:2" ht="12.75" customHeight="1" x14ac:dyDescent="0.2">
      <c r="B24657" s="43"/>
    </row>
    <row r="24658" spans="2:2" ht="12.75" customHeight="1" x14ac:dyDescent="0.2">
      <c r="B24658" s="43"/>
    </row>
    <row r="24659" spans="2:2" ht="12.75" customHeight="1" x14ac:dyDescent="0.2">
      <c r="B24659" s="43"/>
    </row>
    <row r="24660" spans="2:2" ht="12.75" customHeight="1" x14ac:dyDescent="0.2">
      <c r="B24660" s="43"/>
    </row>
    <row r="24661" spans="2:2" ht="12.75" customHeight="1" x14ac:dyDescent="0.2">
      <c r="B24661" s="43"/>
    </row>
    <row r="24662" spans="2:2" ht="12.75" customHeight="1" x14ac:dyDescent="0.2">
      <c r="B24662" s="43"/>
    </row>
    <row r="24663" spans="2:2" ht="12.75" customHeight="1" x14ac:dyDescent="0.2">
      <c r="B24663" s="43"/>
    </row>
    <row r="24664" spans="2:2" ht="12.75" customHeight="1" x14ac:dyDescent="0.2">
      <c r="B24664" s="43"/>
    </row>
    <row r="24665" spans="2:2" ht="12.75" customHeight="1" x14ac:dyDescent="0.2">
      <c r="B24665" s="43"/>
    </row>
    <row r="24666" spans="2:2" ht="12.75" customHeight="1" x14ac:dyDescent="0.2">
      <c r="B24666" s="43"/>
    </row>
    <row r="24667" spans="2:2" ht="12.75" customHeight="1" x14ac:dyDescent="0.2">
      <c r="B24667" s="43"/>
    </row>
    <row r="24668" spans="2:2" ht="12.75" customHeight="1" x14ac:dyDescent="0.2">
      <c r="B24668" s="43"/>
    </row>
    <row r="24669" spans="2:2" ht="12.75" customHeight="1" x14ac:dyDescent="0.2">
      <c r="B24669" s="43"/>
    </row>
    <row r="24670" spans="2:2" ht="12.75" customHeight="1" x14ac:dyDescent="0.2">
      <c r="B24670" s="43"/>
    </row>
    <row r="24671" spans="2:2" ht="12.75" customHeight="1" x14ac:dyDescent="0.2">
      <c r="B24671" s="43"/>
    </row>
    <row r="24672" spans="2:2" ht="12.75" customHeight="1" x14ac:dyDescent="0.2">
      <c r="B24672" s="43"/>
    </row>
    <row r="24673" spans="2:2" ht="12.75" customHeight="1" x14ac:dyDescent="0.2">
      <c r="B24673" s="43"/>
    </row>
    <row r="24674" spans="2:2" ht="12.75" customHeight="1" x14ac:dyDescent="0.2">
      <c r="B24674" s="43"/>
    </row>
    <row r="24675" spans="2:2" ht="12.75" customHeight="1" x14ac:dyDescent="0.2">
      <c r="B24675" s="43"/>
    </row>
    <row r="24676" spans="2:2" ht="12.75" customHeight="1" x14ac:dyDescent="0.2">
      <c r="B24676" s="43"/>
    </row>
    <row r="24677" spans="2:2" ht="12.75" customHeight="1" x14ac:dyDescent="0.2">
      <c r="B24677" s="43"/>
    </row>
    <row r="24678" spans="2:2" ht="12.75" customHeight="1" x14ac:dyDescent="0.2">
      <c r="B24678" s="43"/>
    </row>
    <row r="24679" spans="2:2" ht="12.75" customHeight="1" x14ac:dyDescent="0.2">
      <c r="B24679" s="43"/>
    </row>
    <row r="24680" spans="2:2" ht="12.75" customHeight="1" x14ac:dyDescent="0.2">
      <c r="B24680" s="43"/>
    </row>
    <row r="24681" spans="2:2" ht="12.75" customHeight="1" x14ac:dyDescent="0.2">
      <c r="B24681" s="43"/>
    </row>
    <row r="24682" spans="2:2" ht="12.75" customHeight="1" x14ac:dyDescent="0.2">
      <c r="B24682" s="43"/>
    </row>
    <row r="24683" spans="2:2" ht="12.75" customHeight="1" x14ac:dyDescent="0.2">
      <c r="B24683" s="43"/>
    </row>
    <row r="24684" spans="2:2" ht="12.75" customHeight="1" x14ac:dyDescent="0.2">
      <c r="B24684" s="43"/>
    </row>
    <row r="24685" spans="2:2" ht="12.75" customHeight="1" x14ac:dyDescent="0.2">
      <c r="B24685" s="43"/>
    </row>
    <row r="24686" spans="2:2" ht="12.75" customHeight="1" x14ac:dyDescent="0.2">
      <c r="B24686" s="43"/>
    </row>
    <row r="24687" spans="2:2" ht="12.75" customHeight="1" x14ac:dyDescent="0.2">
      <c r="B24687" s="43"/>
    </row>
    <row r="24688" spans="2:2" ht="12.75" customHeight="1" x14ac:dyDescent="0.2">
      <c r="B24688" s="43"/>
    </row>
    <row r="24689" spans="2:2" ht="12.75" customHeight="1" x14ac:dyDescent="0.2">
      <c r="B24689" s="43"/>
    </row>
    <row r="24690" spans="2:2" ht="12.75" customHeight="1" x14ac:dyDescent="0.2">
      <c r="B24690" s="43"/>
    </row>
    <row r="24691" spans="2:2" ht="12.75" customHeight="1" x14ac:dyDescent="0.2">
      <c r="B24691" s="43"/>
    </row>
    <row r="24692" spans="2:2" ht="12.75" customHeight="1" x14ac:dyDescent="0.2">
      <c r="B24692" s="43"/>
    </row>
    <row r="24693" spans="2:2" ht="12.75" customHeight="1" x14ac:dyDescent="0.2">
      <c r="B24693" s="43"/>
    </row>
    <row r="24694" spans="2:2" ht="12.75" customHeight="1" x14ac:dyDescent="0.2">
      <c r="B24694" s="43"/>
    </row>
    <row r="24695" spans="2:2" ht="12.75" customHeight="1" x14ac:dyDescent="0.2">
      <c r="B24695" s="43"/>
    </row>
    <row r="24696" spans="2:2" ht="12.75" customHeight="1" x14ac:dyDescent="0.2">
      <c r="B24696" s="43"/>
    </row>
    <row r="24697" spans="2:2" ht="12.75" customHeight="1" x14ac:dyDescent="0.2">
      <c r="B24697" s="43"/>
    </row>
    <row r="24698" spans="2:2" ht="12.75" customHeight="1" x14ac:dyDescent="0.2">
      <c r="B24698" s="43"/>
    </row>
    <row r="24699" spans="2:2" ht="12.75" customHeight="1" x14ac:dyDescent="0.2">
      <c r="B24699" s="43"/>
    </row>
    <row r="24700" spans="2:2" ht="12.75" customHeight="1" x14ac:dyDescent="0.2">
      <c r="B24700" s="43"/>
    </row>
    <row r="24701" spans="2:2" ht="12.75" customHeight="1" x14ac:dyDescent="0.2">
      <c r="B24701" s="43"/>
    </row>
    <row r="24702" spans="2:2" ht="12.75" customHeight="1" x14ac:dyDescent="0.2">
      <c r="B24702" s="43"/>
    </row>
    <row r="24703" spans="2:2" ht="12.75" customHeight="1" x14ac:dyDescent="0.2">
      <c r="B24703" s="43"/>
    </row>
    <row r="24704" spans="2:2" ht="12.75" customHeight="1" x14ac:dyDescent="0.2">
      <c r="B24704" s="43"/>
    </row>
    <row r="24705" spans="2:2" ht="12.75" customHeight="1" x14ac:dyDescent="0.2">
      <c r="B24705" s="43"/>
    </row>
    <row r="24706" spans="2:2" ht="12.75" customHeight="1" x14ac:dyDescent="0.2">
      <c r="B24706" s="43"/>
    </row>
    <row r="24707" spans="2:2" ht="12.75" customHeight="1" x14ac:dyDescent="0.2">
      <c r="B24707" s="43"/>
    </row>
    <row r="24708" spans="2:2" ht="12.75" customHeight="1" x14ac:dyDescent="0.2">
      <c r="B24708" s="43"/>
    </row>
    <row r="24709" spans="2:2" ht="12.75" customHeight="1" x14ac:dyDescent="0.2">
      <c r="B24709" s="43"/>
    </row>
    <row r="24710" spans="2:2" ht="12.75" customHeight="1" x14ac:dyDescent="0.2">
      <c r="B24710" s="43"/>
    </row>
    <row r="24711" spans="2:2" ht="12.75" customHeight="1" x14ac:dyDescent="0.2">
      <c r="B24711" s="43"/>
    </row>
    <row r="24712" spans="2:2" ht="12.75" customHeight="1" x14ac:dyDescent="0.2">
      <c r="B24712" s="43"/>
    </row>
    <row r="24713" spans="2:2" ht="12.75" customHeight="1" x14ac:dyDescent="0.2">
      <c r="B24713" s="43"/>
    </row>
    <row r="24714" spans="2:2" ht="12.75" customHeight="1" x14ac:dyDescent="0.2">
      <c r="B24714" s="43"/>
    </row>
    <row r="24715" spans="2:2" ht="12.75" customHeight="1" x14ac:dyDescent="0.2">
      <c r="B24715" s="43"/>
    </row>
    <row r="24716" spans="2:2" ht="12.75" customHeight="1" x14ac:dyDescent="0.2">
      <c r="B24716" s="43"/>
    </row>
    <row r="24717" spans="2:2" ht="12.75" customHeight="1" x14ac:dyDescent="0.2">
      <c r="B24717" s="43"/>
    </row>
    <row r="24718" spans="2:2" ht="12.75" customHeight="1" x14ac:dyDescent="0.2">
      <c r="B24718" s="43"/>
    </row>
    <row r="24719" spans="2:2" ht="12.75" customHeight="1" x14ac:dyDescent="0.2">
      <c r="B24719" s="43"/>
    </row>
    <row r="24720" spans="2:2" ht="12.75" customHeight="1" x14ac:dyDescent="0.2">
      <c r="B24720" s="43"/>
    </row>
    <row r="24721" spans="2:2" ht="12.75" customHeight="1" x14ac:dyDescent="0.2">
      <c r="B24721" s="43"/>
    </row>
    <row r="24722" spans="2:2" ht="12.75" customHeight="1" x14ac:dyDescent="0.2">
      <c r="B24722" s="43"/>
    </row>
    <row r="24723" spans="2:2" ht="12.75" customHeight="1" x14ac:dyDescent="0.2">
      <c r="B24723" s="43"/>
    </row>
    <row r="24724" spans="2:2" ht="12.75" customHeight="1" x14ac:dyDescent="0.2">
      <c r="B24724" s="43"/>
    </row>
    <row r="24725" spans="2:2" ht="12.75" customHeight="1" x14ac:dyDescent="0.2">
      <c r="B24725" s="43"/>
    </row>
    <row r="24726" spans="2:2" ht="12.75" customHeight="1" x14ac:dyDescent="0.2">
      <c r="B24726" s="43"/>
    </row>
    <row r="24727" spans="2:2" ht="12.75" customHeight="1" x14ac:dyDescent="0.2">
      <c r="B24727" s="43"/>
    </row>
    <row r="24728" spans="2:2" ht="12.75" customHeight="1" x14ac:dyDescent="0.2">
      <c r="B24728" s="43"/>
    </row>
    <row r="24729" spans="2:2" ht="12.75" customHeight="1" x14ac:dyDescent="0.2">
      <c r="B24729" s="43"/>
    </row>
    <row r="24730" spans="2:2" ht="12.75" customHeight="1" x14ac:dyDescent="0.2">
      <c r="B24730" s="43"/>
    </row>
    <row r="24731" spans="2:2" ht="12.75" customHeight="1" x14ac:dyDescent="0.2">
      <c r="B24731" s="43"/>
    </row>
    <row r="24732" spans="2:2" ht="12.75" customHeight="1" x14ac:dyDescent="0.2">
      <c r="B24732" s="43"/>
    </row>
    <row r="24733" spans="2:2" ht="12.75" customHeight="1" x14ac:dyDescent="0.2">
      <c r="B24733" s="43"/>
    </row>
    <row r="24734" spans="2:2" ht="12.75" customHeight="1" x14ac:dyDescent="0.2">
      <c r="B24734" s="43"/>
    </row>
    <row r="24735" spans="2:2" ht="12.75" customHeight="1" x14ac:dyDescent="0.2">
      <c r="B24735" s="43"/>
    </row>
    <row r="24736" spans="2:2" ht="12.75" customHeight="1" x14ac:dyDescent="0.2">
      <c r="B24736" s="43"/>
    </row>
    <row r="24737" spans="2:2" ht="12.75" customHeight="1" x14ac:dyDescent="0.2">
      <c r="B24737" s="43"/>
    </row>
    <row r="24738" spans="2:2" ht="12.75" customHeight="1" x14ac:dyDescent="0.2">
      <c r="B24738" s="43"/>
    </row>
    <row r="24739" spans="2:2" ht="12.75" customHeight="1" x14ac:dyDescent="0.2">
      <c r="B24739" s="43"/>
    </row>
    <row r="24740" spans="2:2" ht="12.75" customHeight="1" x14ac:dyDescent="0.2">
      <c r="B24740" s="43"/>
    </row>
    <row r="24741" spans="2:2" ht="12.75" customHeight="1" x14ac:dyDescent="0.2">
      <c r="B24741" s="43"/>
    </row>
    <row r="24742" spans="2:2" ht="12.75" customHeight="1" x14ac:dyDescent="0.2">
      <c r="B24742" s="43"/>
    </row>
    <row r="24743" spans="2:2" ht="12.75" customHeight="1" x14ac:dyDescent="0.2">
      <c r="B24743" s="43"/>
    </row>
    <row r="24744" spans="2:2" ht="12.75" customHeight="1" x14ac:dyDescent="0.2">
      <c r="B24744" s="43"/>
    </row>
    <row r="24745" spans="2:2" ht="12.75" customHeight="1" x14ac:dyDescent="0.2">
      <c r="B24745" s="43"/>
    </row>
    <row r="24746" spans="2:2" ht="12.75" customHeight="1" x14ac:dyDescent="0.2">
      <c r="B24746" s="43"/>
    </row>
    <row r="24747" spans="2:2" ht="12.75" customHeight="1" x14ac:dyDescent="0.2">
      <c r="B24747" s="43"/>
    </row>
    <row r="24748" spans="2:2" ht="12.75" customHeight="1" x14ac:dyDescent="0.2">
      <c r="B24748" s="43"/>
    </row>
    <row r="24749" spans="2:2" ht="12.75" customHeight="1" x14ac:dyDescent="0.2">
      <c r="B24749" s="43"/>
    </row>
    <row r="24750" spans="2:2" ht="12.75" customHeight="1" x14ac:dyDescent="0.2">
      <c r="B24750" s="43"/>
    </row>
    <row r="24751" spans="2:2" ht="12.75" customHeight="1" x14ac:dyDescent="0.2">
      <c r="B24751" s="43"/>
    </row>
    <row r="24752" spans="2:2" ht="12.75" customHeight="1" x14ac:dyDescent="0.2">
      <c r="B24752" s="43"/>
    </row>
    <row r="24753" spans="2:2" ht="12.75" customHeight="1" x14ac:dyDescent="0.2">
      <c r="B24753" s="43"/>
    </row>
    <row r="24754" spans="2:2" ht="12.75" customHeight="1" x14ac:dyDescent="0.2">
      <c r="B24754" s="43"/>
    </row>
    <row r="24755" spans="2:2" ht="12.75" customHeight="1" x14ac:dyDescent="0.2">
      <c r="B24755" s="43"/>
    </row>
    <row r="24756" spans="2:2" ht="12.75" customHeight="1" x14ac:dyDescent="0.2">
      <c r="B24756" s="43"/>
    </row>
    <row r="24757" spans="2:2" ht="12.75" customHeight="1" x14ac:dyDescent="0.2">
      <c r="B24757" s="43"/>
    </row>
    <row r="24758" spans="2:2" ht="12.75" customHeight="1" x14ac:dyDescent="0.2">
      <c r="B24758" s="43"/>
    </row>
    <row r="24759" spans="2:2" ht="12.75" customHeight="1" x14ac:dyDescent="0.2">
      <c r="B24759" s="43"/>
    </row>
    <row r="24760" spans="2:2" ht="12.75" customHeight="1" x14ac:dyDescent="0.2">
      <c r="B24760" s="43"/>
    </row>
    <row r="24761" spans="2:2" ht="12.75" customHeight="1" x14ac:dyDescent="0.2">
      <c r="B24761" s="43"/>
    </row>
    <row r="24762" spans="2:2" ht="12.75" customHeight="1" x14ac:dyDescent="0.2">
      <c r="B24762" s="43"/>
    </row>
    <row r="24763" spans="2:2" ht="12.75" customHeight="1" x14ac:dyDescent="0.2">
      <c r="B24763" s="43"/>
    </row>
    <row r="24764" spans="2:2" ht="12.75" customHeight="1" x14ac:dyDescent="0.2">
      <c r="B24764" s="43"/>
    </row>
    <row r="24765" spans="2:2" ht="12.75" customHeight="1" x14ac:dyDescent="0.2">
      <c r="B24765" s="43"/>
    </row>
    <row r="24766" spans="2:2" ht="12.75" customHeight="1" x14ac:dyDescent="0.2">
      <c r="B24766" s="43"/>
    </row>
    <row r="24767" spans="2:2" ht="12.75" customHeight="1" x14ac:dyDescent="0.2">
      <c r="B24767" s="43"/>
    </row>
    <row r="24768" spans="2:2" ht="12.75" customHeight="1" x14ac:dyDescent="0.2">
      <c r="B24768" s="43"/>
    </row>
    <row r="24769" spans="2:2" ht="12.75" customHeight="1" x14ac:dyDescent="0.2">
      <c r="B24769" s="43"/>
    </row>
    <row r="24770" spans="2:2" ht="12.75" customHeight="1" x14ac:dyDescent="0.2">
      <c r="B24770" s="43"/>
    </row>
    <row r="24771" spans="2:2" ht="12.75" customHeight="1" x14ac:dyDescent="0.2">
      <c r="B24771" s="43"/>
    </row>
    <row r="24772" spans="2:2" ht="12.75" customHeight="1" x14ac:dyDescent="0.2">
      <c r="B24772" s="43"/>
    </row>
    <row r="24773" spans="2:2" ht="12.75" customHeight="1" x14ac:dyDescent="0.2">
      <c r="B24773" s="43"/>
    </row>
    <row r="24774" spans="2:2" ht="12.75" customHeight="1" x14ac:dyDescent="0.2">
      <c r="B24774" s="43"/>
    </row>
    <row r="24775" spans="2:2" ht="12.75" customHeight="1" x14ac:dyDescent="0.2">
      <c r="B24775" s="43"/>
    </row>
    <row r="24776" spans="2:2" ht="12.75" customHeight="1" x14ac:dyDescent="0.2">
      <c r="B24776" s="43"/>
    </row>
    <row r="24777" spans="2:2" ht="12.75" customHeight="1" x14ac:dyDescent="0.2">
      <c r="B24777" s="43"/>
    </row>
    <row r="24778" spans="2:2" ht="12.75" customHeight="1" x14ac:dyDescent="0.2">
      <c r="B24778" s="43"/>
    </row>
    <row r="24779" spans="2:2" ht="12.75" customHeight="1" x14ac:dyDescent="0.2">
      <c r="B24779" s="43"/>
    </row>
    <row r="24780" spans="2:2" ht="12.75" customHeight="1" x14ac:dyDescent="0.2">
      <c r="B24780" s="43"/>
    </row>
    <row r="24781" spans="2:2" ht="12.75" customHeight="1" x14ac:dyDescent="0.2">
      <c r="B24781" s="43"/>
    </row>
    <row r="24782" spans="2:2" ht="12.75" customHeight="1" x14ac:dyDescent="0.2">
      <c r="B24782" s="43"/>
    </row>
    <row r="24783" spans="2:2" ht="12.75" customHeight="1" x14ac:dyDescent="0.2">
      <c r="B24783" s="43"/>
    </row>
    <row r="24784" spans="2:2" ht="12.75" customHeight="1" x14ac:dyDescent="0.2">
      <c r="B24784" s="43"/>
    </row>
    <row r="24785" spans="2:2" ht="12.75" customHeight="1" x14ac:dyDescent="0.2">
      <c r="B24785" s="43"/>
    </row>
    <row r="24786" spans="2:2" ht="12.75" customHeight="1" x14ac:dyDescent="0.2">
      <c r="B24786" s="43"/>
    </row>
    <row r="24787" spans="2:2" ht="12.75" customHeight="1" x14ac:dyDescent="0.2">
      <c r="B24787" s="43"/>
    </row>
    <row r="24788" spans="2:2" ht="12.75" customHeight="1" x14ac:dyDescent="0.2">
      <c r="B24788" s="43"/>
    </row>
    <row r="24789" spans="2:2" ht="12.75" customHeight="1" x14ac:dyDescent="0.2">
      <c r="B24789" s="43"/>
    </row>
    <row r="24790" spans="2:2" ht="12.75" customHeight="1" x14ac:dyDescent="0.2">
      <c r="B24790" s="43"/>
    </row>
    <row r="24791" spans="2:2" ht="12.75" customHeight="1" x14ac:dyDescent="0.2">
      <c r="B24791" s="43"/>
    </row>
    <row r="24792" spans="2:2" ht="12.75" customHeight="1" x14ac:dyDescent="0.2">
      <c r="B24792" s="43"/>
    </row>
    <row r="24793" spans="2:2" ht="12.75" customHeight="1" x14ac:dyDescent="0.2">
      <c r="B24793" s="43"/>
    </row>
    <row r="24794" spans="2:2" ht="12.75" customHeight="1" x14ac:dyDescent="0.2">
      <c r="B24794" s="43"/>
    </row>
    <row r="24795" spans="2:2" ht="12.75" customHeight="1" x14ac:dyDescent="0.2">
      <c r="B24795" s="43"/>
    </row>
    <row r="24796" spans="2:2" ht="12.75" customHeight="1" x14ac:dyDescent="0.2">
      <c r="B24796" s="43"/>
    </row>
    <row r="24797" spans="2:2" ht="12.75" customHeight="1" x14ac:dyDescent="0.2">
      <c r="B24797" s="43"/>
    </row>
    <row r="24798" spans="2:2" ht="12.75" customHeight="1" x14ac:dyDescent="0.2">
      <c r="B24798" s="43"/>
    </row>
    <row r="24799" spans="2:2" ht="12.75" customHeight="1" x14ac:dyDescent="0.2">
      <c r="B24799" s="43"/>
    </row>
    <row r="24800" spans="2:2" ht="12.75" customHeight="1" x14ac:dyDescent="0.2">
      <c r="B24800" s="43"/>
    </row>
    <row r="24801" spans="2:2" ht="12.75" customHeight="1" x14ac:dyDescent="0.2">
      <c r="B24801" s="43"/>
    </row>
    <row r="24802" spans="2:2" ht="12.75" customHeight="1" x14ac:dyDescent="0.2">
      <c r="B24802" s="43"/>
    </row>
    <row r="24803" spans="2:2" ht="12.75" customHeight="1" x14ac:dyDescent="0.2">
      <c r="B24803" s="43"/>
    </row>
    <row r="24804" spans="2:2" ht="12.75" customHeight="1" x14ac:dyDescent="0.2">
      <c r="B24804" s="43"/>
    </row>
    <row r="24805" spans="2:2" ht="12.75" customHeight="1" x14ac:dyDescent="0.2">
      <c r="B24805" s="43"/>
    </row>
    <row r="24806" spans="2:2" ht="12.75" customHeight="1" x14ac:dyDescent="0.2">
      <c r="B24806" s="43"/>
    </row>
    <row r="24807" spans="2:2" ht="12.75" customHeight="1" x14ac:dyDescent="0.2">
      <c r="B24807" s="43"/>
    </row>
    <row r="24808" spans="2:2" ht="12.75" customHeight="1" x14ac:dyDescent="0.2">
      <c r="B24808" s="43"/>
    </row>
    <row r="24809" spans="2:2" ht="12.75" customHeight="1" x14ac:dyDescent="0.2">
      <c r="B24809" s="43"/>
    </row>
    <row r="24810" spans="2:2" ht="12.75" customHeight="1" x14ac:dyDescent="0.2">
      <c r="B24810" s="43"/>
    </row>
    <row r="24811" spans="2:2" ht="12.75" customHeight="1" x14ac:dyDescent="0.2">
      <c r="B24811" s="43"/>
    </row>
    <row r="24812" spans="2:2" ht="12.75" customHeight="1" x14ac:dyDescent="0.2">
      <c r="B24812" s="43"/>
    </row>
    <row r="24813" spans="2:2" ht="12.75" customHeight="1" x14ac:dyDescent="0.2">
      <c r="B24813" s="43"/>
    </row>
    <row r="24814" spans="2:2" ht="12.75" customHeight="1" x14ac:dyDescent="0.2">
      <c r="B24814" s="43"/>
    </row>
    <row r="24815" spans="2:2" ht="12.75" customHeight="1" x14ac:dyDescent="0.2">
      <c r="B24815" s="43"/>
    </row>
    <row r="24816" spans="2:2" ht="12.75" customHeight="1" x14ac:dyDescent="0.2">
      <c r="B24816" s="43"/>
    </row>
    <row r="24817" spans="2:2" ht="12.75" customHeight="1" x14ac:dyDescent="0.2">
      <c r="B24817" s="43"/>
    </row>
    <row r="24818" spans="2:2" ht="12.75" customHeight="1" x14ac:dyDescent="0.2">
      <c r="B24818" s="43"/>
    </row>
    <row r="24819" spans="2:2" ht="12.75" customHeight="1" x14ac:dyDescent="0.2">
      <c r="B24819" s="43"/>
    </row>
    <row r="24820" spans="2:2" ht="12.75" customHeight="1" x14ac:dyDescent="0.2">
      <c r="B24820" s="43"/>
    </row>
    <row r="24821" spans="2:2" ht="12.75" customHeight="1" x14ac:dyDescent="0.2">
      <c r="B24821" s="43"/>
    </row>
    <row r="24822" spans="2:2" ht="12.75" customHeight="1" x14ac:dyDescent="0.2">
      <c r="B24822" s="43"/>
    </row>
    <row r="24823" spans="2:2" ht="12.75" customHeight="1" x14ac:dyDescent="0.2">
      <c r="B24823" s="43"/>
    </row>
    <row r="24824" spans="2:2" ht="12.75" customHeight="1" x14ac:dyDescent="0.2">
      <c r="B24824" s="43"/>
    </row>
    <row r="24825" spans="2:2" ht="12.75" customHeight="1" x14ac:dyDescent="0.2">
      <c r="B24825" s="43"/>
    </row>
    <row r="24826" spans="2:2" ht="12.75" customHeight="1" x14ac:dyDescent="0.2">
      <c r="B24826" s="43"/>
    </row>
    <row r="24827" spans="2:2" ht="12.75" customHeight="1" x14ac:dyDescent="0.2">
      <c r="B24827" s="43"/>
    </row>
    <row r="24828" spans="2:2" ht="12.75" customHeight="1" x14ac:dyDescent="0.2">
      <c r="B24828" s="43"/>
    </row>
    <row r="24829" spans="2:2" ht="12.75" customHeight="1" x14ac:dyDescent="0.2">
      <c r="B24829" s="43"/>
    </row>
    <row r="24830" spans="2:2" ht="12.75" customHeight="1" x14ac:dyDescent="0.2">
      <c r="B24830" s="43"/>
    </row>
    <row r="24831" spans="2:2" ht="12.75" customHeight="1" x14ac:dyDescent="0.2">
      <c r="B24831" s="43"/>
    </row>
    <row r="24832" spans="2:2" ht="12.75" customHeight="1" x14ac:dyDescent="0.2">
      <c r="B24832" s="43"/>
    </row>
    <row r="24833" spans="2:2" ht="12.75" customHeight="1" x14ac:dyDescent="0.2">
      <c r="B24833" s="43"/>
    </row>
    <row r="24834" spans="2:2" ht="12.75" customHeight="1" x14ac:dyDescent="0.2">
      <c r="B24834" s="43"/>
    </row>
    <row r="24835" spans="2:2" ht="12.75" customHeight="1" x14ac:dyDescent="0.2">
      <c r="B24835" s="43"/>
    </row>
    <row r="24836" spans="2:2" ht="12.75" customHeight="1" x14ac:dyDescent="0.2">
      <c r="B24836" s="43"/>
    </row>
    <row r="24837" spans="2:2" ht="12.75" customHeight="1" x14ac:dyDescent="0.2">
      <c r="B24837" s="43"/>
    </row>
    <row r="24838" spans="2:2" ht="12.75" customHeight="1" x14ac:dyDescent="0.2">
      <c r="B24838" s="43"/>
    </row>
    <row r="24839" spans="2:2" ht="12.75" customHeight="1" x14ac:dyDescent="0.2">
      <c r="B24839" s="43"/>
    </row>
    <row r="24840" spans="2:2" ht="12.75" customHeight="1" x14ac:dyDescent="0.2">
      <c r="B24840" s="43"/>
    </row>
    <row r="24841" spans="2:2" ht="12.75" customHeight="1" x14ac:dyDescent="0.2">
      <c r="B24841" s="43"/>
    </row>
    <row r="24842" spans="2:2" ht="12.75" customHeight="1" x14ac:dyDescent="0.2">
      <c r="B24842" s="43"/>
    </row>
    <row r="24843" spans="2:2" ht="12.75" customHeight="1" x14ac:dyDescent="0.2">
      <c r="B24843" s="43"/>
    </row>
    <row r="24844" spans="2:2" ht="12.75" customHeight="1" x14ac:dyDescent="0.2">
      <c r="B24844" s="43"/>
    </row>
    <row r="24845" spans="2:2" ht="12.75" customHeight="1" x14ac:dyDescent="0.2">
      <c r="B24845" s="43"/>
    </row>
    <row r="24846" spans="2:2" ht="12.75" customHeight="1" x14ac:dyDescent="0.2">
      <c r="B24846" s="43"/>
    </row>
    <row r="24847" spans="2:2" ht="12.75" customHeight="1" x14ac:dyDescent="0.2">
      <c r="B24847" s="43"/>
    </row>
    <row r="24848" spans="2:2" ht="12.75" customHeight="1" x14ac:dyDescent="0.2">
      <c r="B24848" s="43"/>
    </row>
    <row r="24849" spans="2:2" ht="12.75" customHeight="1" x14ac:dyDescent="0.2">
      <c r="B24849" s="43"/>
    </row>
    <row r="24850" spans="2:2" ht="12.75" customHeight="1" x14ac:dyDescent="0.2">
      <c r="B24850" s="43"/>
    </row>
    <row r="24851" spans="2:2" ht="12.75" customHeight="1" x14ac:dyDescent="0.2">
      <c r="B24851" s="43"/>
    </row>
    <row r="24852" spans="2:2" ht="12.75" customHeight="1" x14ac:dyDescent="0.2">
      <c r="B24852" s="43"/>
    </row>
    <row r="24853" spans="2:2" ht="12.75" customHeight="1" x14ac:dyDescent="0.2">
      <c r="B24853" s="43"/>
    </row>
    <row r="24854" spans="2:2" ht="12.75" customHeight="1" x14ac:dyDescent="0.2">
      <c r="B24854" s="43"/>
    </row>
    <row r="24855" spans="2:2" ht="12.75" customHeight="1" x14ac:dyDescent="0.2">
      <c r="B24855" s="43"/>
    </row>
    <row r="24856" spans="2:2" ht="12.75" customHeight="1" x14ac:dyDescent="0.2">
      <c r="B24856" s="43"/>
    </row>
    <row r="24857" spans="2:2" ht="12.75" customHeight="1" x14ac:dyDescent="0.2">
      <c r="B24857" s="43"/>
    </row>
    <row r="24858" spans="2:2" ht="12.75" customHeight="1" x14ac:dyDescent="0.2">
      <c r="B24858" s="43"/>
    </row>
    <row r="24859" spans="2:2" ht="12.75" customHeight="1" x14ac:dyDescent="0.2">
      <c r="B24859" s="43"/>
    </row>
    <row r="24860" spans="2:2" ht="12.75" customHeight="1" x14ac:dyDescent="0.2">
      <c r="B24860" s="43"/>
    </row>
    <row r="24861" spans="2:2" ht="12.75" customHeight="1" x14ac:dyDescent="0.2">
      <c r="B24861" s="43"/>
    </row>
    <row r="24862" spans="2:2" ht="12.75" customHeight="1" x14ac:dyDescent="0.2">
      <c r="B24862" s="43"/>
    </row>
    <row r="24863" spans="2:2" ht="12.75" customHeight="1" x14ac:dyDescent="0.2">
      <c r="B24863" s="43"/>
    </row>
    <row r="24864" spans="2:2" ht="12.75" customHeight="1" x14ac:dyDescent="0.2">
      <c r="B24864" s="43"/>
    </row>
    <row r="24865" spans="2:2" ht="12.75" customHeight="1" x14ac:dyDescent="0.2">
      <c r="B24865" s="43"/>
    </row>
    <row r="24866" spans="2:2" ht="12.75" customHeight="1" x14ac:dyDescent="0.2">
      <c r="B24866" s="43"/>
    </row>
    <row r="24867" spans="2:2" ht="12.75" customHeight="1" x14ac:dyDescent="0.2">
      <c r="B24867" s="43"/>
    </row>
    <row r="24868" spans="2:2" ht="12.75" customHeight="1" x14ac:dyDescent="0.2">
      <c r="B24868" s="43"/>
    </row>
    <row r="24869" spans="2:2" ht="12.75" customHeight="1" x14ac:dyDescent="0.2">
      <c r="B24869" s="43"/>
    </row>
    <row r="24870" spans="2:2" ht="12.75" customHeight="1" x14ac:dyDescent="0.2">
      <c r="B24870" s="43"/>
    </row>
    <row r="24871" spans="2:2" ht="12.75" customHeight="1" x14ac:dyDescent="0.2">
      <c r="B24871" s="43"/>
    </row>
    <row r="24872" spans="2:2" ht="12.75" customHeight="1" x14ac:dyDescent="0.2">
      <c r="B24872" s="43"/>
    </row>
    <row r="24873" spans="2:2" ht="12.75" customHeight="1" x14ac:dyDescent="0.2">
      <c r="B24873" s="43"/>
    </row>
    <row r="24874" spans="2:2" ht="12.75" customHeight="1" x14ac:dyDescent="0.2">
      <c r="B24874" s="43"/>
    </row>
    <row r="24875" spans="2:2" ht="12.75" customHeight="1" x14ac:dyDescent="0.2">
      <c r="B24875" s="43"/>
    </row>
    <row r="24876" spans="2:2" ht="12.75" customHeight="1" x14ac:dyDescent="0.2">
      <c r="B24876" s="43"/>
    </row>
    <row r="24877" spans="2:2" ht="12.75" customHeight="1" x14ac:dyDescent="0.2">
      <c r="B24877" s="43"/>
    </row>
    <row r="24878" spans="2:2" ht="12.75" customHeight="1" x14ac:dyDescent="0.2">
      <c r="B24878" s="43"/>
    </row>
    <row r="24879" spans="2:2" ht="12.75" customHeight="1" x14ac:dyDescent="0.2">
      <c r="B24879" s="43"/>
    </row>
    <row r="24880" spans="2:2" ht="12.75" customHeight="1" x14ac:dyDescent="0.2">
      <c r="B24880" s="43"/>
    </row>
    <row r="24881" spans="2:2" ht="12.75" customHeight="1" x14ac:dyDescent="0.2">
      <c r="B24881" s="43"/>
    </row>
    <row r="24882" spans="2:2" ht="12.75" customHeight="1" x14ac:dyDescent="0.2">
      <c r="B24882" s="43"/>
    </row>
    <row r="24883" spans="2:2" ht="12.75" customHeight="1" x14ac:dyDescent="0.2">
      <c r="B24883" s="43"/>
    </row>
    <row r="24884" spans="2:2" ht="12.75" customHeight="1" x14ac:dyDescent="0.2">
      <c r="B24884" s="43"/>
    </row>
    <row r="24885" spans="2:2" ht="12.75" customHeight="1" x14ac:dyDescent="0.2">
      <c r="B24885" s="43"/>
    </row>
    <row r="24886" spans="2:2" ht="12.75" customHeight="1" x14ac:dyDescent="0.2">
      <c r="B24886" s="43"/>
    </row>
    <row r="24887" spans="2:2" ht="12.75" customHeight="1" x14ac:dyDescent="0.2">
      <c r="B24887" s="43"/>
    </row>
    <row r="24888" spans="2:2" ht="12.75" customHeight="1" x14ac:dyDescent="0.2">
      <c r="B24888" s="43"/>
    </row>
    <row r="24889" spans="2:2" ht="12.75" customHeight="1" x14ac:dyDescent="0.2">
      <c r="B24889" s="43"/>
    </row>
    <row r="24890" spans="2:2" ht="12.75" customHeight="1" x14ac:dyDescent="0.2">
      <c r="B24890" s="43"/>
    </row>
    <row r="24891" spans="2:2" ht="12.75" customHeight="1" x14ac:dyDescent="0.2">
      <c r="B24891" s="43"/>
    </row>
    <row r="24892" spans="2:2" ht="12.75" customHeight="1" x14ac:dyDescent="0.2">
      <c r="B24892" s="43"/>
    </row>
    <row r="24893" spans="2:2" ht="12.75" customHeight="1" x14ac:dyDescent="0.2">
      <c r="B24893" s="43"/>
    </row>
    <row r="24894" spans="2:2" ht="12.75" customHeight="1" x14ac:dyDescent="0.2">
      <c r="B24894" s="43"/>
    </row>
    <row r="24895" spans="2:2" ht="12.75" customHeight="1" x14ac:dyDescent="0.2">
      <c r="B24895" s="43"/>
    </row>
    <row r="24896" spans="2:2" ht="12.75" customHeight="1" x14ac:dyDescent="0.2">
      <c r="B24896" s="43"/>
    </row>
    <row r="24897" spans="2:2" ht="12.75" customHeight="1" x14ac:dyDescent="0.2">
      <c r="B24897" s="43"/>
    </row>
    <row r="24898" spans="2:2" ht="12.75" customHeight="1" x14ac:dyDescent="0.2">
      <c r="B24898" s="43"/>
    </row>
    <row r="24899" spans="2:2" ht="12.75" customHeight="1" x14ac:dyDescent="0.2">
      <c r="B24899" s="43"/>
    </row>
    <row r="24900" spans="2:2" ht="12.75" customHeight="1" x14ac:dyDescent="0.2">
      <c r="B24900" s="43"/>
    </row>
    <row r="24901" spans="2:2" ht="12.75" customHeight="1" x14ac:dyDescent="0.2">
      <c r="B24901" s="43"/>
    </row>
    <row r="24902" spans="2:2" ht="12.75" customHeight="1" x14ac:dyDescent="0.2">
      <c r="B24902" s="43"/>
    </row>
    <row r="24903" spans="2:2" ht="12.75" customHeight="1" x14ac:dyDescent="0.2">
      <c r="B24903" s="43"/>
    </row>
    <row r="24904" spans="2:2" ht="12.75" customHeight="1" x14ac:dyDescent="0.2">
      <c r="B24904" s="43"/>
    </row>
    <row r="24905" spans="2:2" ht="12.75" customHeight="1" x14ac:dyDescent="0.2">
      <c r="B24905" s="43"/>
    </row>
    <row r="24906" spans="2:2" ht="12.75" customHeight="1" x14ac:dyDescent="0.2">
      <c r="B24906" s="43"/>
    </row>
    <row r="24907" spans="2:2" ht="12.75" customHeight="1" x14ac:dyDescent="0.2">
      <c r="B24907" s="43"/>
    </row>
    <row r="24908" spans="2:2" ht="12.75" customHeight="1" x14ac:dyDescent="0.2">
      <c r="B24908" s="43"/>
    </row>
    <row r="24909" spans="2:2" ht="12.75" customHeight="1" x14ac:dyDescent="0.2">
      <c r="B24909" s="43"/>
    </row>
    <row r="24910" spans="2:2" ht="12.75" customHeight="1" x14ac:dyDescent="0.2">
      <c r="B24910" s="43"/>
    </row>
    <row r="24911" spans="2:2" ht="12.75" customHeight="1" x14ac:dyDescent="0.2">
      <c r="B24911" s="43"/>
    </row>
    <row r="24912" spans="2:2" ht="12.75" customHeight="1" x14ac:dyDescent="0.2">
      <c r="B24912" s="43"/>
    </row>
    <row r="24913" spans="2:2" ht="12.75" customHeight="1" x14ac:dyDescent="0.2">
      <c r="B24913" s="43"/>
    </row>
    <row r="24914" spans="2:2" ht="12.75" customHeight="1" x14ac:dyDescent="0.2">
      <c r="B24914" s="43"/>
    </row>
    <row r="24915" spans="2:2" ht="12.75" customHeight="1" x14ac:dyDescent="0.2">
      <c r="B24915" s="43"/>
    </row>
    <row r="24916" spans="2:2" ht="12.75" customHeight="1" x14ac:dyDescent="0.2">
      <c r="B24916" s="43"/>
    </row>
    <row r="24917" spans="2:2" ht="12.75" customHeight="1" x14ac:dyDescent="0.2">
      <c r="B24917" s="43"/>
    </row>
    <row r="24918" spans="2:2" ht="12.75" customHeight="1" x14ac:dyDescent="0.2">
      <c r="B24918" s="43"/>
    </row>
    <row r="24919" spans="2:2" ht="12.75" customHeight="1" x14ac:dyDescent="0.2">
      <c r="B24919" s="43"/>
    </row>
    <row r="24920" spans="2:2" ht="12.75" customHeight="1" x14ac:dyDescent="0.2">
      <c r="B24920" s="43"/>
    </row>
    <row r="24921" spans="2:2" ht="12.75" customHeight="1" x14ac:dyDescent="0.2">
      <c r="B24921" s="43"/>
    </row>
    <row r="24922" spans="2:2" ht="12.75" customHeight="1" x14ac:dyDescent="0.2">
      <c r="B24922" s="43"/>
    </row>
    <row r="24923" spans="2:2" ht="12.75" customHeight="1" x14ac:dyDescent="0.2">
      <c r="B24923" s="43"/>
    </row>
    <row r="24924" spans="2:2" ht="12.75" customHeight="1" x14ac:dyDescent="0.2">
      <c r="B24924" s="43"/>
    </row>
    <row r="24925" spans="2:2" ht="12.75" customHeight="1" x14ac:dyDescent="0.2">
      <c r="B24925" s="43"/>
    </row>
    <row r="24926" spans="2:2" ht="12.75" customHeight="1" x14ac:dyDescent="0.2">
      <c r="B24926" s="43"/>
    </row>
    <row r="24927" spans="2:2" ht="12.75" customHeight="1" x14ac:dyDescent="0.2">
      <c r="B24927" s="43"/>
    </row>
    <row r="24928" spans="2:2" ht="12.75" customHeight="1" x14ac:dyDescent="0.2">
      <c r="B24928" s="43"/>
    </row>
    <row r="24929" spans="2:2" ht="12.75" customHeight="1" x14ac:dyDescent="0.2">
      <c r="B24929" s="43"/>
    </row>
    <row r="24930" spans="2:2" ht="12.75" customHeight="1" x14ac:dyDescent="0.2">
      <c r="B24930" s="43"/>
    </row>
    <row r="24931" spans="2:2" ht="12.75" customHeight="1" x14ac:dyDescent="0.2">
      <c r="B24931" s="43"/>
    </row>
    <row r="24932" spans="2:2" ht="12.75" customHeight="1" x14ac:dyDescent="0.2">
      <c r="B24932" s="43"/>
    </row>
    <row r="24933" spans="2:2" ht="12.75" customHeight="1" x14ac:dyDescent="0.2">
      <c r="B24933" s="43"/>
    </row>
    <row r="24934" spans="2:2" ht="12.75" customHeight="1" x14ac:dyDescent="0.2">
      <c r="B24934" s="43"/>
    </row>
    <row r="24935" spans="2:2" ht="12.75" customHeight="1" x14ac:dyDescent="0.2">
      <c r="B24935" s="43"/>
    </row>
    <row r="24936" spans="2:2" ht="12.75" customHeight="1" x14ac:dyDescent="0.2">
      <c r="B24936" s="43"/>
    </row>
    <row r="24937" spans="2:2" ht="12.75" customHeight="1" x14ac:dyDescent="0.2">
      <c r="B24937" s="43"/>
    </row>
    <row r="24938" spans="2:2" ht="12.75" customHeight="1" x14ac:dyDescent="0.2">
      <c r="B24938" s="43"/>
    </row>
    <row r="24939" spans="2:2" ht="12.75" customHeight="1" x14ac:dyDescent="0.2">
      <c r="B24939" s="43"/>
    </row>
    <row r="24940" spans="2:2" ht="12.75" customHeight="1" x14ac:dyDescent="0.2">
      <c r="B24940" s="43"/>
    </row>
    <row r="24941" spans="2:2" ht="12.75" customHeight="1" x14ac:dyDescent="0.2">
      <c r="B24941" s="43"/>
    </row>
    <row r="24942" spans="2:2" ht="12.75" customHeight="1" x14ac:dyDescent="0.2">
      <c r="B24942" s="43"/>
    </row>
    <row r="24943" spans="2:2" ht="12.75" customHeight="1" x14ac:dyDescent="0.2">
      <c r="B24943" s="43"/>
    </row>
    <row r="24944" spans="2:2" ht="12.75" customHeight="1" x14ac:dyDescent="0.2">
      <c r="B24944" s="43"/>
    </row>
    <row r="24945" spans="2:2" ht="12.75" customHeight="1" x14ac:dyDescent="0.2">
      <c r="B24945" s="43"/>
    </row>
    <row r="24946" spans="2:2" ht="12.75" customHeight="1" x14ac:dyDescent="0.2">
      <c r="B24946" s="43"/>
    </row>
    <row r="24947" spans="2:2" ht="12.75" customHeight="1" x14ac:dyDescent="0.2">
      <c r="B24947" s="43"/>
    </row>
    <row r="24948" spans="2:2" ht="12.75" customHeight="1" x14ac:dyDescent="0.2">
      <c r="B24948" s="43"/>
    </row>
    <row r="24949" spans="2:2" ht="12.75" customHeight="1" x14ac:dyDescent="0.2">
      <c r="B24949" s="43"/>
    </row>
    <row r="24950" spans="2:2" ht="12.75" customHeight="1" x14ac:dyDescent="0.2">
      <c r="B24950" s="43"/>
    </row>
    <row r="24951" spans="2:2" ht="12.75" customHeight="1" x14ac:dyDescent="0.2">
      <c r="B24951" s="43"/>
    </row>
    <row r="24952" spans="2:2" ht="12.75" customHeight="1" x14ac:dyDescent="0.2">
      <c r="B24952" s="43"/>
    </row>
    <row r="24953" spans="2:2" ht="12.75" customHeight="1" x14ac:dyDescent="0.2">
      <c r="B24953" s="43"/>
    </row>
    <row r="24954" spans="2:2" ht="12.75" customHeight="1" x14ac:dyDescent="0.2">
      <c r="B24954" s="43"/>
    </row>
    <row r="24955" spans="2:2" ht="12.75" customHeight="1" x14ac:dyDescent="0.2">
      <c r="B24955" s="43"/>
    </row>
    <row r="24956" spans="2:2" ht="12.75" customHeight="1" x14ac:dyDescent="0.2">
      <c r="B24956" s="43"/>
    </row>
    <row r="24957" spans="2:2" ht="12.75" customHeight="1" x14ac:dyDescent="0.2">
      <c r="B24957" s="43"/>
    </row>
    <row r="24958" spans="2:2" ht="12.75" customHeight="1" x14ac:dyDescent="0.2">
      <c r="B24958" s="43"/>
    </row>
    <row r="24959" spans="2:2" ht="12.75" customHeight="1" x14ac:dyDescent="0.2">
      <c r="B24959" s="43"/>
    </row>
    <row r="24960" spans="2:2" ht="12.75" customHeight="1" x14ac:dyDescent="0.2">
      <c r="B24960" s="43"/>
    </row>
    <row r="24961" spans="2:2" ht="12.75" customHeight="1" x14ac:dyDescent="0.2">
      <c r="B24961" s="43"/>
    </row>
    <row r="24962" spans="2:2" ht="12.75" customHeight="1" x14ac:dyDescent="0.2">
      <c r="B24962" s="43"/>
    </row>
    <row r="24963" spans="2:2" ht="12.75" customHeight="1" x14ac:dyDescent="0.2">
      <c r="B24963" s="43"/>
    </row>
    <row r="24964" spans="2:2" ht="12.75" customHeight="1" x14ac:dyDescent="0.2">
      <c r="B24964" s="43"/>
    </row>
    <row r="24965" spans="2:2" ht="12.75" customHeight="1" x14ac:dyDescent="0.2">
      <c r="B24965" s="43"/>
    </row>
    <row r="24966" spans="2:2" ht="12.75" customHeight="1" x14ac:dyDescent="0.2">
      <c r="B24966" s="43"/>
    </row>
    <row r="24967" spans="2:2" ht="12.75" customHeight="1" x14ac:dyDescent="0.2">
      <c r="B24967" s="43"/>
    </row>
    <row r="24968" spans="2:2" ht="12.75" customHeight="1" x14ac:dyDescent="0.2">
      <c r="B24968" s="43"/>
    </row>
    <row r="24969" spans="2:2" ht="12.75" customHeight="1" x14ac:dyDescent="0.2">
      <c r="B24969" s="43"/>
    </row>
    <row r="24970" spans="2:2" ht="12.75" customHeight="1" x14ac:dyDescent="0.2">
      <c r="B24970" s="43"/>
    </row>
    <row r="24971" spans="2:2" ht="12.75" customHeight="1" x14ac:dyDescent="0.2">
      <c r="B24971" s="43"/>
    </row>
    <row r="24972" spans="2:2" ht="12.75" customHeight="1" x14ac:dyDescent="0.2">
      <c r="B24972" s="43"/>
    </row>
    <row r="24973" spans="2:2" ht="12.75" customHeight="1" x14ac:dyDescent="0.2">
      <c r="B24973" s="43"/>
    </row>
    <row r="24974" spans="2:2" ht="12.75" customHeight="1" x14ac:dyDescent="0.2">
      <c r="B24974" s="43"/>
    </row>
    <row r="24975" spans="2:2" ht="12.75" customHeight="1" x14ac:dyDescent="0.2">
      <c r="B24975" s="43"/>
    </row>
    <row r="24976" spans="2:2" ht="12.75" customHeight="1" x14ac:dyDescent="0.2">
      <c r="B24976" s="43"/>
    </row>
    <row r="24977" spans="2:2" ht="12.75" customHeight="1" x14ac:dyDescent="0.2">
      <c r="B24977" s="43"/>
    </row>
    <row r="24978" spans="2:2" ht="12.75" customHeight="1" x14ac:dyDescent="0.2">
      <c r="B24978" s="43"/>
    </row>
    <row r="24979" spans="2:2" ht="12.75" customHeight="1" x14ac:dyDescent="0.2">
      <c r="B24979" s="43"/>
    </row>
    <row r="24980" spans="2:2" ht="12.75" customHeight="1" x14ac:dyDescent="0.2">
      <c r="B24980" s="43"/>
    </row>
    <row r="24981" spans="2:2" ht="12.75" customHeight="1" x14ac:dyDescent="0.2">
      <c r="B24981" s="43"/>
    </row>
    <row r="24982" spans="2:2" ht="12.75" customHeight="1" x14ac:dyDescent="0.2">
      <c r="B24982" s="43"/>
    </row>
    <row r="24983" spans="2:2" ht="12.75" customHeight="1" x14ac:dyDescent="0.2">
      <c r="B24983" s="43"/>
    </row>
    <row r="24984" spans="2:2" ht="12.75" customHeight="1" x14ac:dyDescent="0.2">
      <c r="B24984" s="43"/>
    </row>
    <row r="24985" spans="2:2" ht="12.75" customHeight="1" x14ac:dyDescent="0.2">
      <c r="B24985" s="43"/>
    </row>
    <row r="24986" spans="2:2" ht="12.75" customHeight="1" x14ac:dyDescent="0.2">
      <c r="B24986" s="43"/>
    </row>
    <row r="24987" spans="2:2" ht="12.75" customHeight="1" x14ac:dyDescent="0.2">
      <c r="B24987" s="43"/>
    </row>
    <row r="24988" spans="2:2" ht="12.75" customHeight="1" x14ac:dyDescent="0.2">
      <c r="B24988" s="43"/>
    </row>
    <row r="24989" spans="2:2" ht="12.75" customHeight="1" x14ac:dyDescent="0.2">
      <c r="B24989" s="43"/>
    </row>
    <row r="24990" spans="2:2" ht="12.75" customHeight="1" x14ac:dyDescent="0.2">
      <c r="B24990" s="43"/>
    </row>
    <row r="24991" spans="2:2" ht="12.75" customHeight="1" x14ac:dyDescent="0.2">
      <c r="B24991" s="43"/>
    </row>
    <row r="24992" spans="2:2" ht="12.75" customHeight="1" x14ac:dyDescent="0.2">
      <c r="B24992" s="43"/>
    </row>
    <row r="24993" spans="2:2" ht="12.75" customHeight="1" x14ac:dyDescent="0.2">
      <c r="B24993" s="43"/>
    </row>
    <row r="24994" spans="2:2" ht="12.75" customHeight="1" x14ac:dyDescent="0.2">
      <c r="B24994" s="43"/>
    </row>
    <row r="24995" spans="2:2" ht="12.75" customHeight="1" x14ac:dyDescent="0.2">
      <c r="B24995" s="43"/>
    </row>
    <row r="24996" spans="2:2" ht="12.75" customHeight="1" x14ac:dyDescent="0.2">
      <c r="B24996" s="43"/>
    </row>
    <row r="24997" spans="2:2" ht="12.75" customHeight="1" x14ac:dyDescent="0.2">
      <c r="B24997" s="43"/>
    </row>
    <row r="24998" spans="2:2" ht="12.75" customHeight="1" x14ac:dyDescent="0.2">
      <c r="B24998" s="43"/>
    </row>
    <row r="24999" spans="2:2" ht="12.75" customHeight="1" x14ac:dyDescent="0.2">
      <c r="B24999" s="43"/>
    </row>
    <row r="25000" spans="2:2" ht="12.75" customHeight="1" x14ac:dyDescent="0.2">
      <c r="B25000" s="43"/>
    </row>
    <row r="25001" spans="2:2" ht="12.75" customHeight="1" x14ac:dyDescent="0.2">
      <c r="B25001" s="43"/>
    </row>
    <row r="25002" spans="2:2" ht="12.75" customHeight="1" x14ac:dyDescent="0.2">
      <c r="B25002" s="43"/>
    </row>
    <row r="25003" spans="2:2" ht="12.75" customHeight="1" x14ac:dyDescent="0.2">
      <c r="B25003" s="43"/>
    </row>
    <row r="25004" spans="2:2" ht="12.75" customHeight="1" x14ac:dyDescent="0.2">
      <c r="B25004" s="43"/>
    </row>
    <row r="25005" spans="2:2" ht="12.75" customHeight="1" x14ac:dyDescent="0.2">
      <c r="B25005" s="43"/>
    </row>
    <row r="25006" spans="2:2" ht="12.75" customHeight="1" x14ac:dyDescent="0.2">
      <c r="B25006" s="43"/>
    </row>
    <row r="25007" spans="2:2" ht="12.75" customHeight="1" x14ac:dyDescent="0.2">
      <c r="B25007" s="43"/>
    </row>
    <row r="25008" spans="2:2" ht="12.75" customHeight="1" x14ac:dyDescent="0.2">
      <c r="B25008" s="43"/>
    </row>
    <row r="25009" spans="2:2" ht="12.75" customHeight="1" x14ac:dyDescent="0.2">
      <c r="B25009" s="43"/>
    </row>
    <row r="25010" spans="2:2" ht="12.75" customHeight="1" x14ac:dyDescent="0.2">
      <c r="B25010" s="43"/>
    </row>
    <row r="25011" spans="2:2" ht="12.75" customHeight="1" x14ac:dyDescent="0.2">
      <c r="B25011" s="43"/>
    </row>
    <row r="25012" spans="2:2" ht="12.75" customHeight="1" x14ac:dyDescent="0.2">
      <c r="B25012" s="43"/>
    </row>
    <row r="25013" spans="2:2" ht="12.75" customHeight="1" x14ac:dyDescent="0.2">
      <c r="B25013" s="43"/>
    </row>
    <row r="25014" spans="2:2" ht="12.75" customHeight="1" x14ac:dyDescent="0.2">
      <c r="B25014" s="43"/>
    </row>
    <row r="25015" spans="2:2" ht="12.75" customHeight="1" x14ac:dyDescent="0.2">
      <c r="B25015" s="43"/>
    </row>
    <row r="25016" spans="2:2" ht="12.75" customHeight="1" x14ac:dyDescent="0.2">
      <c r="B25016" s="43"/>
    </row>
    <row r="25017" spans="2:2" ht="12.75" customHeight="1" x14ac:dyDescent="0.2">
      <c r="B25017" s="43"/>
    </row>
    <row r="25018" spans="2:2" ht="12.75" customHeight="1" x14ac:dyDescent="0.2">
      <c r="B25018" s="43"/>
    </row>
    <row r="25019" spans="2:2" ht="12.75" customHeight="1" x14ac:dyDescent="0.2">
      <c r="B25019" s="43"/>
    </row>
    <row r="25020" spans="2:2" ht="12.75" customHeight="1" x14ac:dyDescent="0.2">
      <c r="B25020" s="43"/>
    </row>
    <row r="25021" spans="2:2" ht="12.75" customHeight="1" x14ac:dyDescent="0.2">
      <c r="B25021" s="43"/>
    </row>
    <row r="25022" spans="2:2" ht="12.75" customHeight="1" x14ac:dyDescent="0.2">
      <c r="B25022" s="43"/>
    </row>
    <row r="25023" spans="2:2" ht="12.75" customHeight="1" x14ac:dyDescent="0.2">
      <c r="B25023" s="43"/>
    </row>
    <row r="25024" spans="2:2" ht="12.75" customHeight="1" x14ac:dyDescent="0.2">
      <c r="B25024" s="43"/>
    </row>
    <row r="25025" spans="2:2" ht="12.75" customHeight="1" x14ac:dyDescent="0.2">
      <c r="B25025" s="43"/>
    </row>
    <row r="25026" spans="2:2" ht="12.75" customHeight="1" x14ac:dyDescent="0.2">
      <c r="B25026" s="43"/>
    </row>
    <row r="25027" spans="2:2" ht="12.75" customHeight="1" x14ac:dyDescent="0.2">
      <c r="B25027" s="43"/>
    </row>
    <row r="25028" spans="2:2" ht="12.75" customHeight="1" x14ac:dyDescent="0.2">
      <c r="B25028" s="43"/>
    </row>
    <row r="25029" spans="2:2" ht="12.75" customHeight="1" x14ac:dyDescent="0.2">
      <c r="B25029" s="43"/>
    </row>
    <row r="25030" spans="2:2" ht="12.75" customHeight="1" x14ac:dyDescent="0.2">
      <c r="B25030" s="43"/>
    </row>
    <row r="25031" spans="2:2" ht="12.75" customHeight="1" x14ac:dyDescent="0.2">
      <c r="B25031" s="43"/>
    </row>
    <row r="25032" spans="2:2" ht="12.75" customHeight="1" x14ac:dyDescent="0.2">
      <c r="B25032" s="43"/>
    </row>
    <row r="25033" spans="2:2" ht="12.75" customHeight="1" x14ac:dyDescent="0.2">
      <c r="B25033" s="43"/>
    </row>
    <row r="25034" spans="2:2" ht="12.75" customHeight="1" x14ac:dyDescent="0.2">
      <c r="B25034" s="43"/>
    </row>
    <row r="25035" spans="2:2" ht="12.75" customHeight="1" x14ac:dyDescent="0.2">
      <c r="B25035" s="43"/>
    </row>
    <row r="25036" spans="2:2" ht="12.75" customHeight="1" x14ac:dyDescent="0.2">
      <c r="B25036" s="43"/>
    </row>
    <row r="25037" spans="2:2" ht="12.75" customHeight="1" x14ac:dyDescent="0.2">
      <c r="B25037" s="43"/>
    </row>
    <row r="25038" spans="2:2" ht="12.75" customHeight="1" x14ac:dyDescent="0.2">
      <c r="B25038" s="43"/>
    </row>
    <row r="25039" spans="2:2" ht="12.75" customHeight="1" x14ac:dyDescent="0.2">
      <c r="B25039" s="43"/>
    </row>
    <row r="25040" spans="2:2" ht="12.75" customHeight="1" x14ac:dyDescent="0.2">
      <c r="B25040" s="43"/>
    </row>
    <row r="25041" spans="2:2" ht="12.75" customHeight="1" x14ac:dyDescent="0.2">
      <c r="B25041" s="43"/>
    </row>
    <row r="25042" spans="2:2" ht="12.75" customHeight="1" x14ac:dyDescent="0.2">
      <c r="B25042" s="43"/>
    </row>
    <row r="25043" spans="2:2" ht="12.75" customHeight="1" x14ac:dyDescent="0.2">
      <c r="B25043" s="43"/>
    </row>
    <row r="25044" spans="2:2" ht="12.75" customHeight="1" x14ac:dyDescent="0.2">
      <c r="B25044" s="43"/>
    </row>
    <row r="25045" spans="2:2" ht="12.75" customHeight="1" x14ac:dyDescent="0.2">
      <c r="B25045" s="43"/>
    </row>
    <row r="25046" spans="2:2" ht="12.75" customHeight="1" x14ac:dyDescent="0.2">
      <c r="B25046" s="43"/>
    </row>
    <row r="25047" spans="2:2" ht="12.75" customHeight="1" x14ac:dyDescent="0.2">
      <c r="B25047" s="43"/>
    </row>
    <row r="25048" spans="2:2" ht="12.75" customHeight="1" x14ac:dyDescent="0.2">
      <c r="B25048" s="43"/>
    </row>
    <row r="25049" spans="2:2" ht="12.75" customHeight="1" x14ac:dyDescent="0.2">
      <c r="B25049" s="43"/>
    </row>
    <row r="25050" spans="2:2" ht="12.75" customHeight="1" x14ac:dyDescent="0.2">
      <c r="B25050" s="43"/>
    </row>
    <row r="25051" spans="2:2" ht="12.75" customHeight="1" x14ac:dyDescent="0.2">
      <c r="B25051" s="43"/>
    </row>
    <row r="25052" spans="2:2" ht="12.75" customHeight="1" x14ac:dyDescent="0.2">
      <c r="B25052" s="43"/>
    </row>
    <row r="25053" spans="2:2" ht="12.75" customHeight="1" x14ac:dyDescent="0.2">
      <c r="B25053" s="43"/>
    </row>
    <row r="25054" spans="2:2" ht="12.75" customHeight="1" x14ac:dyDescent="0.2">
      <c r="B25054" s="43"/>
    </row>
    <row r="25055" spans="2:2" ht="12.75" customHeight="1" x14ac:dyDescent="0.2">
      <c r="B25055" s="43"/>
    </row>
    <row r="25056" spans="2:2" ht="12.75" customHeight="1" x14ac:dyDescent="0.2">
      <c r="B25056" s="43"/>
    </row>
    <row r="25057" spans="2:2" ht="12.75" customHeight="1" x14ac:dyDescent="0.2">
      <c r="B25057" s="43"/>
    </row>
    <row r="25058" spans="2:2" ht="12.75" customHeight="1" x14ac:dyDescent="0.2">
      <c r="B25058" s="43"/>
    </row>
    <row r="25059" spans="2:2" ht="12.75" customHeight="1" x14ac:dyDescent="0.2">
      <c r="B25059" s="43"/>
    </row>
    <row r="25060" spans="2:2" ht="12.75" customHeight="1" x14ac:dyDescent="0.2">
      <c r="B25060" s="43"/>
    </row>
    <row r="25061" spans="2:2" ht="12.75" customHeight="1" x14ac:dyDescent="0.2">
      <c r="B25061" s="43"/>
    </row>
    <row r="25062" spans="2:2" ht="12.75" customHeight="1" x14ac:dyDescent="0.2">
      <c r="B25062" s="43"/>
    </row>
    <row r="25063" spans="2:2" ht="12.75" customHeight="1" x14ac:dyDescent="0.2">
      <c r="B25063" s="43"/>
    </row>
    <row r="25064" spans="2:2" ht="12.75" customHeight="1" x14ac:dyDescent="0.2">
      <c r="B25064" s="43"/>
    </row>
    <row r="25065" spans="2:2" ht="12.75" customHeight="1" x14ac:dyDescent="0.2">
      <c r="B25065" s="43"/>
    </row>
    <row r="25066" spans="2:2" ht="12.75" customHeight="1" x14ac:dyDescent="0.2">
      <c r="B25066" s="43"/>
    </row>
    <row r="25067" spans="2:2" ht="12.75" customHeight="1" x14ac:dyDescent="0.2">
      <c r="B25067" s="43"/>
    </row>
    <row r="25068" spans="2:2" ht="12.75" customHeight="1" x14ac:dyDescent="0.2">
      <c r="B25068" s="43"/>
    </row>
    <row r="25069" spans="2:2" ht="12.75" customHeight="1" x14ac:dyDescent="0.2">
      <c r="B25069" s="43"/>
    </row>
    <row r="25070" spans="2:2" ht="12.75" customHeight="1" x14ac:dyDescent="0.2">
      <c r="B25070" s="43"/>
    </row>
    <row r="25071" spans="2:2" ht="12.75" customHeight="1" x14ac:dyDescent="0.2">
      <c r="B25071" s="43"/>
    </row>
    <row r="25072" spans="2:2" ht="12.75" customHeight="1" x14ac:dyDescent="0.2">
      <c r="B25072" s="43"/>
    </row>
    <row r="25073" spans="2:2" ht="12.75" customHeight="1" x14ac:dyDescent="0.2">
      <c r="B25073" s="43"/>
    </row>
    <row r="25074" spans="2:2" ht="12.75" customHeight="1" x14ac:dyDescent="0.2">
      <c r="B25074" s="43"/>
    </row>
    <row r="25075" spans="2:2" ht="12.75" customHeight="1" x14ac:dyDescent="0.2">
      <c r="B25075" s="43"/>
    </row>
    <row r="25076" spans="2:2" ht="12.75" customHeight="1" x14ac:dyDescent="0.2">
      <c r="B25076" s="43"/>
    </row>
    <row r="25077" spans="2:2" ht="12.75" customHeight="1" x14ac:dyDescent="0.2">
      <c r="B25077" s="43"/>
    </row>
    <row r="25078" spans="2:2" ht="12.75" customHeight="1" x14ac:dyDescent="0.2">
      <c r="B25078" s="43"/>
    </row>
    <row r="25079" spans="2:2" ht="12.75" customHeight="1" x14ac:dyDescent="0.2">
      <c r="B25079" s="43"/>
    </row>
    <row r="25080" spans="2:2" ht="12.75" customHeight="1" x14ac:dyDescent="0.2">
      <c r="B25080" s="43"/>
    </row>
    <row r="25081" spans="2:2" ht="12.75" customHeight="1" x14ac:dyDescent="0.2">
      <c r="B25081" s="43"/>
    </row>
    <row r="25082" spans="2:2" ht="12.75" customHeight="1" x14ac:dyDescent="0.2">
      <c r="B25082" s="43"/>
    </row>
    <row r="25083" spans="2:2" ht="12.75" customHeight="1" x14ac:dyDescent="0.2">
      <c r="B25083" s="43"/>
    </row>
    <row r="25084" spans="2:2" ht="12.75" customHeight="1" x14ac:dyDescent="0.2">
      <c r="B25084" s="43"/>
    </row>
    <row r="25085" spans="2:2" ht="12.75" customHeight="1" x14ac:dyDescent="0.2">
      <c r="B25085" s="43"/>
    </row>
    <row r="25086" spans="2:2" ht="12.75" customHeight="1" x14ac:dyDescent="0.2">
      <c r="B25086" s="43"/>
    </row>
    <row r="25087" spans="2:2" ht="12.75" customHeight="1" x14ac:dyDescent="0.2">
      <c r="B25087" s="43"/>
    </row>
    <row r="25088" spans="2:2" ht="12.75" customHeight="1" x14ac:dyDescent="0.2">
      <c r="B25088" s="43"/>
    </row>
    <row r="25089" spans="2:2" ht="12.75" customHeight="1" x14ac:dyDescent="0.2">
      <c r="B25089" s="43"/>
    </row>
    <row r="25090" spans="2:2" ht="12.75" customHeight="1" x14ac:dyDescent="0.2">
      <c r="B25090" s="43"/>
    </row>
    <row r="25091" spans="2:2" ht="12.75" customHeight="1" x14ac:dyDescent="0.2">
      <c r="B25091" s="43"/>
    </row>
    <row r="25092" spans="2:2" ht="12.75" customHeight="1" x14ac:dyDescent="0.2">
      <c r="B25092" s="43"/>
    </row>
    <row r="25093" spans="2:2" ht="12.75" customHeight="1" x14ac:dyDescent="0.2">
      <c r="B25093" s="43"/>
    </row>
    <row r="25094" spans="2:2" ht="12.75" customHeight="1" x14ac:dyDescent="0.2">
      <c r="B25094" s="43"/>
    </row>
    <row r="25095" spans="2:2" ht="12.75" customHeight="1" x14ac:dyDescent="0.2">
      <c r="B25095" s="43"/>
    </row>
    <row r="25096" spans="2:2" ht="12.75" customHeight="1" x14ac:dyDescent="0.2">
      <c r="B25096" s="43"/>
    </row>
    <row r="25097" spans="2:2" ht="12.75" customHeight="1" x14ac:dyDescent="0.2">
      <c r="B25097" s="43"/>
    </row>
    <row r="25098" spans="2:2" ht="12.75" customHeight="1" x14ac:dyDescent="0.2">
      <c r="B25098" s="43"/>
    </row>
    <row r="25099" spans="2:2" ht="12.75" customHeight="1" x14ac:dyDescent="0.2">
      <c r="B25099" s="43"/>
    </row>
    <row r="25100" spans="2:2" ht="12.75" customHeight="1" x14ac:dyDescent="0.2">
      <c r="B25100" s="43"/>
    </row>
    <row r="25101" spans="2:2" ht="12.75" customHeight="1" x14ac:dyDescent="0.2">
      <c r="B25101" s="43"/>
    </row>
    <row r="25102" spans="2:2" ht="12.75" customHeight="1" x14ac:dyDescent="0.2">
      <c r="B25102" s="43"/>
    </row>
    <row r="25103" spans="2:2" ht="12.75" customHeight="1" x14ac:dyDescent="0.2">
      <c r="B25103" s="43"/>
    </row>
    <row r="25104" spans="2:2" ht="12.75" customHeight="1" x14ac:dyDescent="0.2">
      <c r="B25104" s="43"/>
    </row>
    <row r="25105" spans="2:2" ht="12.75" customHeight="1" x14ac:dyDescent="0.2">
      <c r="B25105" s="43"/>
    </row>
    <row r="25106" spans="2:2" ht="12.75" customHeight="1" x14ac:dyDescent="0.2">
      <c r="B25106" s="43"/>
    </row>
    <row r="25107" spans="2:2" ht="12.75" customHeight="1" x14ac:dyDescent="0.2">
      <c r="B25107" s="43"/>
    </row>
    <row r="25108" spans="2:2" ht="12.75" customHeight="1" x14ac:dyDescent="0.2">
      <c r="B25108" s="43"/>
    </row>
    <row r="25109" spans="2:2" ht="12.75" customHeight="1" x14ac:dyDescent="0.2">
      <c r="B25109" s="43"/>
    </row>
    <row r="25110" spans="2:2" ht="12.75" customHeight="1" x14ac:dyDescent="0.2">
      <c r="B25110" s="43"/>
    </row>
    <row r="25111" spans="2:2" ht="12.75" customHeight="1" x14ac:dyDescent="0.2">
      <c r="B25111" s="43"/>
    </row>
    <row r="25112" spans="2:2" ht="12.75" customHeight="1" x14ac:dyDescent="0.2">
      <c r="B25112" s="43"/>
    </row>
    <row r="25113" spans="2:2" ht="12.75" customHeight="1" x14ac:dyDescent="0.2">
      <c r="B25113" s="43"/>
    </row>
    <row r="25114" spans="2:2" ht="12.75" customHeight="1" x14ac:dyDescent="0.2">
      <c r="B25114" s="43"/>
    </row>
    <row r="25115" spans="2:2" ht="12.75" customHeight="1" x14ac:dyDescent="0.2">
      <c r="B25115" s="43"/>
    </row>
    <row r="25116" spans="2:2" ht="12.75" customHeight="1" x14ac:dyDescent="0.2">
      <c r="B25116" s="43"/>
    </row>
    <row r="25117" spans="2:2" ht="12.75" customHeight="1" x14ac:dyDescent="0.2">
      <c r="B25117" s="43"/>
    </row>
    <row r="25118" spans="2:2" ht="12.75" customHeight="1" x14ac:dyDescent="0.2">
      <c r="B25118" s="43"/>
    </row>
    <row r="25119" spans="2:2" ht="12.75" customHeight="1" x14ac:dyDescent="0.2">
      <c r="B25119" s="43"/>
    </row>
    <row r="25120" spans="2:2" ht="12.75" customHeight="1" x14ac:dyDescent="0.2">
      <c r="B25120" s="43"/>
    </row>
    <row r="25121" spans="2:2" ht="12.75" customHeight="1" x14ac:dyDescent="0.2">
      <c r="B25121" s="43"/>
    </row>
    <row r="25122" spans="2:2" ht="12.75" customHeight="1" x14ac:dyDescent="0.2">
      <c r="B25122" s="43"/>
    </row>
    <row r="25123" spans="2:2" ht="12.75" customHeight="1" x14ac:dyDescent="0.2">
      <c r="B25123" s="43"/>
    </row>
    <row r="25124" spans="2:2" ht="12.75" customHeight="1" x14ac:dyDescent="0.2">
      <c r="B25124" s="43"/>
    </row>
    <row r="25125" spans="2:2" ht="12.75" customHeight="1" x14ac:dyDescent="0.2">
      <c r="B25125" s="43"/>
    </row>
    <row r="25126" spans="2:2" ht="12.75" customHeight="1" x14ac:dyDescent="0.2">
      <c r="B25126" s="43"/>
    </row>
    <row r="25127" spans="2:2" ht="12.75" customHeight="1" x14ac:dyDescent="0.2">
      <c r="B25127" s="43"/>
    </row>
    <row r="25128" spans="2:2" ht="12.75" customHeight="1" x14ac:dyDescent="0.2">
      <c r="B25128" s="43"/>
    </row>
    <row r="25129" spans="2:2" ht="12.75" customHeight="1" x14ac:dyDescent="0.2">
      <c r="B25129" s="43"/>
    </row>
    <row r="25130" spans="2:2" ht="12.75" customHeight="1" x14ac:dyDescent="0.2">
      <c r="B25130" s="43"/>
    </row>
    <row r="25131" spans="2:2" ht="12.75" customHeight="1" x14ac:dyDescent="0.2">
      <c r="B25131" s="43"/>
    </row>
    <row r="25132" spans="2:2" ht="12.75" customHeight="1" x14ac:dyDescent="0.2">
      <c r="B25132" s="43"/>
    </row>
    <row r="25133" spans="2:2" ht="12.75" customHeight="1" x14ac:dyDescent="0.2">
      <c r="B25133" s="43"/>
    </row>
    <row r="25134" spans="2:2" ht="12.75" customHeight="1" x14ac:dyDescent="0.2">
      <c r="B25134" s="43"/>
    </row>
    <row r="25135" spans="2:2" ht="12.75" customHeight="1" x14ac:dyDescent="0.2">
      <c r="B25135" s="43"/>
    </row>
    <row r="25136" spans="2:2" ht="12.75" customHeight="1" x14ac:dyDescent="0.2">
      <c r="B25136" s="43"/>
    </row>
    <row r="25137" spans="2:2" ht="12.75" customHeight="1" x14ac:dyDescent="0.2">
      <c r="B25137" s="43"/>
    </row>
    <row r="25138" spans="2:2" ht="12.75" customHeight="1" x14ac:dyDescent="0.2">
      <c r="B25138" s="43"/>
    </row>
    <row r="25139" spans="2:2" ht="12.75" customHeight="1" x14ac:dyDescent="0.2">
      <c r="B25139" s="43"/>
    </row>
    <row r="25140" spans="2:2" ht="12.75" customHeight="1" x14ac:dyDescent="0.2">
      <c r="B25140" s="43"/>
    </row>
    <row r="25141" spans="2:2" ht="12.75" customHeight="1" x14ac:dyDescent="0.2">
      <c r="B25141" s="43"/>
    </row>
    <row r="25142" spans="2:2" ht="12.75" customHeight="1" x14ac:dyDescent="0.2">
      <c r="B25142" s="43"/>
    </row>
    <row r="25143" spans="2:2" ht="12.75" customHeight="1" x14ac:dyDescent="0.2">
      <c r="B25143" s="43"/>
    </row>
    <row r="25144" spans="2:2" ht="12.75" customHeight="1" x14ac:dyDescent="0.2">
      <c r="B25144" s="43"/>
    </row>
    <row r="25145" spans="2:2" ht="12.75" customHeight="1" x14ac:dyDescent="0.2">
      <c r="B25145" s="43"/>
    </row>
    <row r="25146" spans="2:2" ht="12.75" customHeight="1" x14ac:dyDescent="0.2">
      <c r="B25146" s="43"/>
    </row>
    <row r="25147" spans="2:2" ht="12.75" customHeight="1" x14ac:dyDescent="0.2">
      <c r="B25147" s="43"/>
    </row>
    <row r="25148" spans="2:2" ht="12.75" customHeight="1" x14ac:dyDescent="0.2">
      <c r="B25148" s="43"/>
    </row>
    <row r="25149" spans="2:2" ht="12.75" customHeight="1" x14ac:dyDescent="0.2">
      <c r="B25149" s="43"/>
    </row>
    <row r="25150" spans="2:2" ht="12.75" customHeight="1" x14ac:dyDescent="0.2">
      <c r="B25150" s="43"/>
    </row>
    <row r="25151" spans="2:2" ht="12.75" customHeight="1" x14ac:dyDescent="0.2">
      <c r="B25151" s="43"/>
    </row>
    <row r="25152" spans="2:2" ht="12.75" customHeight="1" x14ac:dyDescent="0.2">
      <c r="B25152" s="43"/>
    </row>
    <row r="25153" spans="2:2" ht="12.75" customHeight="1" x14ac:dyDescent="0.2">
      <c r="B25153" s="43"/>
    </row>
    <row r="25154" spans="2:2" ht="12.75" customHeight="1" x14ac:dyDescent="0.2">
      <c r="B25154" s="43"/>
    </row>
    <row r="25155" spans="2:2" ht="12.75" customHeight="1" x14ac:dyDescent="0.2">
      <c r="B25155" s="43"/>
    </row>
    <row r="25156" spans="2:2" ht="12.75" customHeight="1" x14ac:dyDescent="0.2">
      <c r="B25156" s="43"/>
    </row>
    <row r="25157" spans="2:2" ht="12.75" customHeight="1" x14ac:dyDescent="0.2">
      <c r="B25157" s="43"/>
    </row>
    <row r="25158" spans="2:2" ht="12.75" customHeight="1" x14ac:dyDescent="0.2">
      <c r="B25158" s="43"/>
    </row>
    <row r="25159" spans="2:2" ht="12.75" customHeight="1" x14ac:dyDescent="0.2">
      <c r="B25159" s="43"/>
    </row>
    <row r="25160" spans="2:2" ht="12.75" customHeight="1" x14ac:dyDescent="0.2">
      <c r="B25160" s="43"/>
    </row>
    <row r="25161" spans="2:2" ht="12.75" customHeight="1" x14ac:dyDescent="0.2">
      <c r="B25161" s="43"/>
    </row>
    <row r="25162" spans="2:2" ht="12.75" customHeight="1" x14ac:dyDescent="0.2">
      <c r="B25162" s="43"/>
    </row>
    <row r="25163" spans="2:2" ht="12.75" customHeight="1" x14ac:dyDescent="0.2">
      <c r="B25163" s="43"/>
    </row>
    <row r="25164" spans="2:2" ht="12.75" customHeight="1" x14ac:dyDescent="0.2">
      <c r="B25164" s="43"/>
    </row>
    <row r="25165" spans="2:2" ht="12.75" customHeight="1" x14ac:dyDescent="0.2">
      <c r="B25165" s="43"/>
    </row>
    <row r="25166" spans="2:2" ht="12.75" customHeight="1" x14ac:dyDescent="0.2">
      <c r="B25166" s="43"/>
    </row>
    <row r="25167" spans="2:2" ht="12.75" customHeight="1" x14ac:dyDescent="0.2">
      <c r="B25167" s="43"/>
    </row>
    <row r="25168" spans="2:2" ht="12.75" customHeight="1" x14ac:dyDescent="0.2">
      <c r="B25168" s="43"/>
    </row>
    <row r="25169" spans="2:2" ht="12.75" customHeight="1" x14ac:dyDescent="0.2">
      <c r="B25169" s="43"/>
    </row>
    <row r="25170" spans="2:2" ht="12.75" customHeight="1" x14ac:dyDescent="0.2">
      <c r="B25170" s="43"/>
    </row>
    <row r="25171" spans="2:2" ht="12.75" customHeight="1" x14ac:dyDescent="0.2">
      <c r="B25171" s="43"/>
    </row>
    <row r="25172" spans="2:2" ht="12.75" customHeight="1" x14ac:dyDescent="0.2">
      <c r="B25172" s="43"/>
    </row>
    <row r="25173" spans="2:2" ht="12.75" customHeight="1" x14ac:dyDescent="0.2">
      <c r="B25173" s="43"/>
    </row>
    <row r="25174" spans="2:2" ht="12.75" customHeight="1" x14ac:dyDescent="0.2">
      <c r="B25174" s="43"/>
    </row>
    <row r="25175" spans="2:2" ht="12.75" customHeight="1" x14ac:dyDescent="0.2">
      <c r="B25175" s="43"/>
    </row>
    <row r="25176" spans="2:2" ht="12.75" customHeight="1" x14ac:dyDescent="0.2">
      <c r="B25176" s="43"/>
    </row>
    <row r="25177" spans="2:2" ht="12.75" customHeight="1" x14ac:dyDescent="0.2">
      <c r="B25177" s="43"/>
    </row>
    <row r="25178" spans="2:2" ht="12.75" customHeight="1" x14ac:dyDescent="0.2">
      <c r="B25178" s="43"/>
    </row>
    <row r="25179" spans="2:2" ht="12.75" customHeight="1" x14ac:dyDescent="0.2">
      <c r="B25179" s="43"/>
    </row>
    <row r="25180" spans="2:2" ht="12.75" customHeight="1" x14ac:dyDescent="0.2">
      <c r="B25180" s="43"/>
    </row>
    <row r="25181" spans="2:2" ht="12.75" customHeight="1" x14ac:dyDescent="0.2">
      <c r="B25181" s="43"/>
    </row>
    <row r="25182" spans="2:2" ht="12.75" customHeight="1" x14ac:dyDescent="0.2">
      <c r="B25182" s="43"/>
    </row>
    <row r="25183" spans="2:2" ht="12.75" customHeight="1" x14ac:dyDescent="0.2">
      <c r="B25183" s="43"/>
    </row>
    <row r="25184" spans="2:2" ht="12.75" customHeight="1" x14ac:dyDescent="0.2">
      <c r="B25184" s="43"/>
    </row>
    <row r="25185" spans="2:2" ht="12.75" customHeight="1" x14ac:dyDescent="0.2">
      <c r="B25185" s="43"/>
    </row>
    <row r="25186" spans="2:2" ht="12.75" customHeight="1" x14ac:dyDescent="0.2">
      <c r="B25186" s="43"/>
    </row>
    <row r="25187" spans="2:2" ht="12.75" customHeight="1" x14ac:dyDescent="0.2">
      <c r="B25187" s="43"/>
    </row>
    <row r="25188" spans="2:2" ht="12.75" customHeight="1" x14ac:dyDescent="0.2">
      <c r="B25188" s="43"/>
    </row>
    <row r="25189" spans="2:2" ht="12.75" customHeight="1" x14ac:dyDescent="0.2">
      <c r="B25189" s="43"/>
    </row>
    <row r="25190" spans="2:2" ht="12.75" customHeight="1" x14ac:dyDescent="0.2">
      <c r="B25190" s="43"/>
    </row>
    <row r="25191" spans="2:2" ht="12.75" customHeight="1" x14ac:dyDescent="0.2">
      <c r="B25191" s="43"/>
    </row>
    <row r="25192" spans="2:2" ht="12.75" customHeight="1" x14ac:dyDescent="0.2">
      <c r="B25192" s="43"/>
    </row>
    <row r="25193" spans="2:2" ht="12.75" customHeight="1" x14ac:dyDescent="0.2">
      <c r="B25193" s="43"/>
    </row>
    <row r="25194" spans="2:2" ht="12.75" customHeight="1" x14ac:dyDescent="0.2">
      <c r="B25194" s="43"/>
    </row>
    <row r="25195" spans="2:2" ht="12.75" customHeight="1" x14ac:dyDescent="0.2">
      <c r="B25195" s="43"/>
    </row>
    <row r="25196" spans="2:2" ht="12.75" customHeight="1" x14ac:dyDescent="0.2">
      <c r="B25196" s="43"/>
    </row>
    <row r="25197" spans="2:2" ht="12.75" customHeight="1" x14ac:dyDescent="0.2">
      <c r="B25197" s="43"/>
    </row>
    <row r="25198" spans="2:2" ht="12.75" customHeight="1" x14ac:dyDescent="0.2">
      <c r="B25198" s="43"/>
    </row>
    <row r="25199" spans="2:2" ht="12.75" customHeight="1" x14ac:dyDescent="0.2">
      <c r="B25199" s="43"/>
    </row>
    <row r="25200" spans="2:2" ht="12.75" customHeight="1" x14ac:dyDescent="0.2">
      <c r="B25200" s="43"/>
    </row>
    <row r="25201" spans="2:2" ht="12.75" customHeight="1" x14ac:dyDescent="0.2">
      <c r="B25201" s="43"/>
    </row>
    <row r="25202" spans="2:2" ht="12.75" customHeight="1" x14ac:dyDescent="0.2">
      <c r="B25202" s="43"/>
    </row>
    <row r="25203" spans="2:2" ht="12.75" customHeight="1" x14ac:dyDescent="0.2">
      <c r="B25203" s="43"/>
    </row>
    <row r="25204" spans="2:2" ht="12.75" customHeight="1" x14ac:dyDescent="0.2">
      <c r="B25204" s="43"/>
    </row>
    <row r="25205" spans="2:2" ht="12.75" customHeight="1" x14ac:dyDescent="0.2">
      <c r="B25205" s="43"/>
    </row>
    <row r="25206" spans="2:2" ht="12.75" customHeight="1" x14ac:dyDescent="0.2">
      <c r="B25206" s="43"/>
    </row>
    <row r="25207" spans="2:2" ht="12.75" customHeight="1" x14ac:dyDescent="0.2">
      <c r="B25207" s="43"/>
    </row>
    <row r="25208" spans="2:2" ht="12.75" customHeight="1" x14ac:dyDescent="0.2">
      <c r="B25208" s="43"/>
    </row>
    <row r="25209" spans="2:2" ht="12.75" customHeight="1" x14ac:dyDescent="0.2">
      <c r="B25209" s="43"/>
    </row>
    <row r="25210" spans="2:2" ht="12.75" customHeight="1" x14ac:dyDescent="0.2">
      <c r="B25210" s="43"/>
    </row>
    <row r="25211" spans="2:2" ht="12.75" customHeight="1" x14ac:dyDescent="0.2">
      <c r="B25211" s="43"/>
    </row>
    <row r="25212" spans="2:2" ht="12.75" customHeight="1" x14ac:dyDescent="0.2">
      <c r="B25212" s="43"/>
    </row>
    <row r="25213" spans="2:2" ht="12.75" customHeight="1" x14ac:dyDescent="0.2">
      <c r="B25213" s="43"/>
    </row>
    <row r="25214" spans="2:2" ht="12.75" customHeight="1" x14ac:dyDescent="0.2">
      <c r="B25214" s="43"/>
    </row>
    <row r="25215" spans="2:2" ht="12.75" customHeight="1" x14ac:dyDescent="0.2">
      <c r="B25215" s="43"/>
    </row>
    <row r="25216" spans="2:2" ht="12.75" customHeight="1" x14ac:dyDescent="0.2">
      <c r="B25216" s="43"/>
    </row>
    <row r="25217" spans="2:2" ht="12.75" customHeight="1" x14ac:dyDescent="0.2">
      <c r="B25217" s="43"/>
    </row>
    <row r="25218" spans="2:2" ht="12.75" customHeight="1" x14ac:dyDescent="0.2">
      <c r="B25218" s="43"/>
    </row>
    <row r="25219" spans="2:2" ht="12.75" customHeight="1" x14ac:dyDescent="0.2">
      <c r="B25219" s="43"/>
    </row>
    <row r="25220" spans="2:2" ht="12.75" customHeight="1" x14ac:dyDescent="0.2">
      <c r="B25220" s="43"/>
    </row>
    <row r="25221" spans="2:2" ht="12.75" customHeight="1" x14ac:dyDescent="0.2">
      <c r="B25221" s="43"/>
    </row>
    <row r="25222" spans="2:2" ht="12.75" customHeight="1" x14ac:dyDescent="0.2">
      <c r="B25222" s="43"/>
    </row>
    <row r="25223" spans="2:2" ht="12.75" customHeight="1" x14ac:dyDescent="0.2">
      <c r="B25223" s="43"/>
    </row>
    <row r="25224" spans="2:2" ht="12.75" customHeight="1" x14ac:dyDescent="0.2">
      <c r="B25224" s="43"/>
    </row>
    <row r="25225" spans="2:2" ht="12.75" customHeight="1" x14ac:dyDescent="0.2">
      <c r="B25225" s="43"/>
    </row>
    <row r="25226" spans="2:2" ht="12.75" customHeight="1" x14ac:dyDescent="0.2">
      <c r="B25226" s="43"/>
    </row>
    <row r="25227" spans="2:2" ht="12.75" customHeight="1" x14ac:dyDescent="0.2">
      <c r="B25227" s="43"/>
    </row>
    <row r="25228" spans="2:2" ht="12.75" customHeight="1" x14ac:dyDescent="0.2">
      <c r="B25228" s="43"/>
    </row>
    <row r="25229" spans="2:2" ht="12.75" customHeight="1" x14ac:dyDescent="0.2">
      <c r="B25229" s="43"/>
    </row>
    <row r="25230" spans="2:2" ht="12.75" customHeight="1" x14ac:dyDescent="0.2">
      <c r="B25230" s="43"/>
    </row>
    <row r="25231" spans="2:2" ht="12.75" customHeight="1" x14ac:dyDescent="0.2">
      <c r="B25231" s="43"/>
    </row>
    <row r="25232" spans="2:2" ht="12.75" customHeight="1" x14ac:dyDescent="0.2">
      <c r="B25232" s="43"/>
    </row>
    <row r="25233" spans="2:2" ht="12.75" customHeight="1" x14ac:dyDescent="0.2">
      <c r="B25233" s="43"/>
    </row>
    <row r="25234" spans="2:2" ht="12.75" customHeight="1" x14ac:dyDescent="0.2">
      <c r="B25234" s="43"/>
    </row>
    <row r="25235" spans="2:2" ht="12.75" customHeight="1" x14ac:dyDescent="0.2">
      <c r="B25235" s="43"/>
    </row>
    <row r="25236" spans="2:2" ht="12.75" customHeight="1" x14ac:dyDescent="0.2">
      <c r="B25236" s="43"/>
    </row>
    <row r="25237" spans="2:2" ht="12.75" customHeight="1" x14ac:dyDescent="0.2">
      <c r="B25237" s="43"/>
    </row>
    <row r="25238" spans="2:2" ht="12.75" customHeight="1" x14ac:dyDescent="0.2">
      <c r="B25238" s="43"/>
    </row>
    <row r="25239" spans="2:2" ht="12.75" customHeight="1" x14ac:dyDescent="0.2">
      <c r="B25239" s="43"/>
    </row>
    <row r="25240" spans="2:2" ht="12.75" customHeight="1" x14ac:dyDescent="0.2">
      <c r="B25240" s="43"/>
    </row>
    <row r="25241" spans="2:2" ht="12.75" customHeight="1" x14ac:dyDescent="0.2">
      <c r="B25241" s="43"/>
    </row>
    <row r="25242" spans="2:2" ht="12.75" customHeight="1" x14ac:dyDescent="0.2">
      <c r="B25242" s="43"/>
    </row>
    <row r="25243" spans="2:2" ht="12.75" customHeight="1" x14ac:dyDescent="0.2">
      <c r="B25243" s="43"/>
    </row>
    <row r="25244" spans="2:2" ht="12.75" customHeight="1" x14ac:dyDescent="0.2">
      <c r="B25244" s="43"/>
    </row>
    <row r="25245" spans="2:2" ht="12.75" customHeight="1" x14ac:dyDescent="0.2">
      <c r="B25245" s="43"/>
    </row>
    <row r="25246" spans="2:2" ht="12.75" customHeight="1" x14ac:dyDescent="0.2">
      <c r="B25246" s="43"/>
    </row>
    <row r="25247" spans="2:2" ht="12.75" customHeight="1" x14ac:dyDescent="0.2">
      <c r="B25247" s="43"/>
    </row>
    <row r="25248" spans="2:2" ht="12.75" customHeight="1" x14ac:dyDescent="0.2">
      <c r="B25248" s="43"/>
    </row>
    <row r="25249" spans="2:2" ht="12.75" customHeight="1" x14ac:dyDescent="0.2">
      <c r="B25249" s="43"/>
    </row>
    <row r="25250" spans="2:2" ht="12.75" customHeight="1" x14ac:dyDescent="0.2">
      <c r="B25250" s="43"/>
    </row>
    <row r="25251" spans="2:2" ht="12.75" customHeight="1" x14ac:dyDescent="0.2">
      <c r="B25251" s="43"/>
    </row>
    <row r="25252" spans="2:2" ht="12.75" customHeight="1" x14ac:dyDescent="0.2">
      <c r="B25252" s="43"/>
    </row>
    <row r="25253" spans="2:2" ht="12.75" customHeight="1" x14ac:dyDescent="0.2">
      <c r="B25253" s="43"/>
    </row>
    <row r="25254" spans="2:2" ht="12.75" customHeight="1" x14ac:dyDescent="0.2">
      <c r="B25254" s="43"/>
    </row>
    <row r="25255" spans="2:2" ht="12.75" customHeight="1" x14ac:dyDescent="0.2">
      <c r="B25255" s="43"/>
    </row>
    <row r="25256" spans="2:2" ht="12.75" customHeight="1" x14ac:dyDescent="0.2">
      <c r="B25256" s="43"/>
    </row>
    <row r="25257" spans="2:2" ht="12.75" customHeight="1" x14ac:dyDescent="0.2">
      <c r="B25257" s="43"/>
    </row>
    <row r="25258" spans="2:2" ht="12.75" customHeight="1" x14ac:dyDescent="0.2">
      <c r="B25258" s="43"/>
    </row>
    <row r="25259" spans="2:2" ht="12.75" customHeight="1" x14ac:dyDescent="0.2">
      <c r="B25259" s="43"/>
    </row>
    <row r="25260" spans="2:2" ht="12.75" customHeight="1" x14ac:dyDescent="0.2">
      <c r="B25260" s="43"/>
    </row>
    <row r="25261" spans="2:2" ht="12.75" customHeight="1" x14ac:dyDescent="0.2">
      <c r="B25261" s="43"/>
    </row>
    <row r="25262" spans="2:2" ht="12.75" customHeight="1" x14ac:dyDescent="0.2">
      <c r="B25262" s="43"/>
    </row>
    <row r="25263" spans="2:2" ht="12.75" customHeight="1" x14ac:dyDescent="0.2">
      <c r="B25263" s="43"/>
    </row>
    <row r="25264" spans="2:2" ht="12.75" customHeight="1" x14ac:dyDescent="0.2">
      <c r="B25264" s="43"/>
    </row>
    <row r="25265" spans="2:2" ht="12.75" customHeight="1" x14ac:dyDescent="0.2">
      <c r="B25265" s="43"/>
    </row>
    <row r="25266" spans="2:2" ht="12.75" customHeight="1" x14ac:dyDescent="0.2">
      <c r="B25266" s="43"/>
    </row>
    <row r="25267" spans="2:2" ht="12.75" customHeight="1" x14ac:dyDescent="0.2">
      <c r="B25267" s="43"/>
    </row>
    <row r="25268" spans="2:2" ht="12.75" customHeight="1" x14ac:dyDescent="0.2">
      <c r="B25268" s="43"/>
    </row>
    <row r="25269" spans="2:2" ht="12.75" customHeight="1" x14ac:dyDescent="0.2">
      <c r="B25269" s="43"/>
    </row>
    <row r="25270" spans="2:2" ht="12.75" customHeight="1" x14ac:dyDescent="0.2">
      <c r="B25270" s="43"/>
    </row>
    <row r="25271" spans="2:2" ht="12.75" customHeight="1" x14ac:dyDescent="0.2">
      <c r="B25271" s="43"/>
    </row>
    <row r="25272" spans="2:2" ht="12.75" customHeight="1" x14ac:dyDescent="0.2">
      <c r="B25272" s="43"/>
    </row>
    <row r="25273" spans="2:2" ht="12.75" customHeight="1" x14ac:dyDescent="0.2">
      <c r="B25273" s="43"/>
    </row>
    <row r="25274" spans="2:2" ht="12.75" customHeight="1" x14ac:dyDescent="0.2">
      <c r="B25274" s="43"/>
    </row>
    <row r="25275" spans="2:2" ht="12.75" customHeight="1" x14ac:dyDescent="0.2">
      <c r="B25275" s="43"/>
    </row>
    <row r="25276" spans="2:2" ht="12.75" customHeight="1" x14ac:dyDescent="0.2">
      <c r="B25276" s="43"/>
    </row>
    <row r="25277" spans="2:2" ht="12.75" customHeight="1" x14ac:dyDescent="0.2">
      <c r="B25277" s="43"/>
    </row>
    <row r="25278" spans="2:2" ht="12.75" customHeight="1" x14ac:dyDescent="0.2">
      <c r="B25278" s="43"/>
    </row>
    <row r="25279" spans="2:2" ht="12.75" customHeight="1" x14ac:dyDescent="0.2">
      <c r="B25279" s="43"/>
    </row>
    <row r="25280" spans="2:2" ht="12.75" customHeight="1" x14ac:dyDescent="0.2">
      <c r="B25280" s="43"/>
    </row>
    <row r="25281" spans="2:2" ht="12.75" customHeight="1" x14ac:dyDescent="0.2">
      <c r="B25281" s="43"/>
    </row>
    <row r="25282" spans="2:2" ht="12.75" customHeight="1" x14ac:dyDescent="0.2">
      <c r="B25282" s="43"/>
    </row>
    <row r="25283" spans="2:2" ht="12.75" customHeight="1" x14ac:dyDescent="0.2">
      <c r="B25283" s="43"/>
    </row>
    <row r="25284" spans="2:2" ht="12.75" customHeight="1" x14ac:dyDescent="0.2">
      <c r="B25284" s="43"/>
    </row>
    <row r="25285" spans="2:2" ht="12.75" customHeight="1" x14ac:dyDescent="0.2">
      <c r="B25285" s="43"/>
    </row>
    <row r="25286" spans="2:2" ht="12.75" customHeight="1" x14ac:dyDescent="0.2">
      <c r="B25286" s="43"/>
    </row>
    <row r="25287" spans="2:2" ht="12.75" customHeight="1" x14ac:dyDescent="0.2">
      <c r="B25287" s="43"/>
    </row>
    <row r="25288" spans="2:2" ht="12.75" customHeight="1" x14ac:dyDescent="0.2">
      <c r="B25288" s="43"/>
    </row>
    <row r="25289" spans="2:2" ht="12.75" customHeight="1" x14ac:dyDescent="0.2">
      <c r="B25289" s="43"/>
    </row>
    <row r="25290" spans="2:2" ht="12.75" customHeight="1" x14ac:dyDescent="0.2">
      <c r="B25290" s="43"/>
    </row>
    <row r="25291" spans="2:2" ht="12.75" customHeight="1" x14ac:dyDescent="0.2">
      <c r="B25291" s="43"/>
    </row>
    <row r="25292" spans="2:2" ht="12.75" customHeight="1" x14ac:dyDescent="0.2">
      <c r="B25292" s="43"/>
    </row>
    <row r="25293" spans="2:2" ht="12.75" customHeight="1" x14ac:dyDescent="0.2">
      <c r="B25293" s="43"/>
    </row>
    <row r="25294" spans="2:2" ht="12.75" customHeight="1" x14ac:dyDescent="0.2">
      <c r="B25294" s="43"/>
    </row>
    <row r="25295" spans="2:2" ht="12.75" customHeight="1" x14ac:dyDescent="0.2">
      <c r="B25295" s="43"/>
    </row>
    <row r="25296" spans="2:2" ht="12.75" customHeight="1" x14ac:dyDescent="0.2">
      <c r="B25296" s="43"/>
    </row>
    <row r="25297" spans="2:2" ht="12.75" customHeight="1" x14ac:dyDescent="0.2">
      <c r="B25297" s="43"/>
    </row>
    <row r="25298" spans="2:2" ht="12.75" customHeight="1" x14ac:dyDescent="0.2">
      <c r="B25298" s="43"/>
    </row>
    <row r="25299" spans="2:2" ht="12.75" customHeight="1" x14ac:dyDescent="0.2">
      <c r="B25299" s="43"/>
    </row>
    <row r="25300" spans="2:2" ht="12.75" customHeight="1" x14ac:dyDescent="0.2">
      <c r="B25300" s="43"/>
    </row>
    <row r="25301" spans="2:2" ht="12.75" customHeight="1" x14ac:dyDescent="0.2">
      <c r="B25301" s="43"/>
    </row>
    <row r="25302" spans="2:2" ht="12.75" customHeight="1" x14ac:dyDescent="0.2">
      <c r="B25302" s="43"/>
    </row>
    <row r="25303" spans="2:2" ht="12.75" customHeight="1" x14ac:dyDescent="0.2">
      <c r="B25303" s="43"/>
    </row>
    <row r="25304" spans="2:2" ht="12.75" customHeight="1" x14ac:dyDescent="0.2">
      <c r="B25304" s="43"/>
    </row>
    <row r="25305" spans="2:2" ht="12.75" customHeight="1" x14ac:dyDescent="0.2">
      <c r="B25305" s="43"/>
    </row>
    <row r="25306" spans="2:2" ht="12.75" customHeight="1" x14ac:dyDescent="0.2">
      <c r="B25306" s="43"/>
    </row>
    <row r="25307" spans="2:2" ht="12.75" customHeight="1" x14ac:dyDescent="0.2">
      <c r="B25307" s="43"/>
    </row>
    <row r="25308" spans="2:2" ht="12.75" customHeight="1" x14ac:dyDescent="0.2">
      <c r="B25308" s="43"/>
    </row>
    <row r="25309" spans="2:2" ht="12.75" customHeight="1" x14ac:dyDescent="0.2">
      <c r="B25309" s="43"/>
    </row>
    <row r="25310" spans="2:2" ht="12.75" customHeight="1" x14ac:dyDescent="0.2">
      <c r="B25310" s="43"/>
    </row>
    <row r="25311" spans="2:2" ht="12.75" customHeight="1" x14ac:dyDescent="0.2">
      <c r="B25311" s="43"/>
    </row>
    <row r="25312" spans="2:2" ht="12.75" customHeight="1" x14ac:dyDescent="0.2">
      <c r="B25312" s="43"/>
    </row>
    <row r="25313" spans="2:2" ht="12.75" customHeight="1" x14ac:dyDescent="0.2">
      <c r="B25313" s="43"/>
    </row>
    <row r="25314" spans="2:2" ht="12.75" customHeight="1" x14ac:dyDescent="0.2">
      <c r="B25314" s="43"/>
    </row>
    <row r="25315" spans="2:2" ht="12.75" customHeight="1" x14ac:dyDescent="0.2">
      <c r="B25315" s="43"/>
    </row>
    <row r="25316" spans="2:2" ht="12.75" customHeight="1" x14ac:dyDescent="0.2">
      <c r="B25316" s="43"/>
    </row>
    <row r="25317" spans="2:2" ht="12.75" customHeight="1" x14ac:dyDescent="0.2">
      <c r="B25317" s="43"/>
    </row>
    <row r="25318" spans="2:2" ht="12.75" customHeight="1" x14ac:dyDescent="0.2">
      <c r="B25318" s="43"/>
    </row>
    <row r="25319" spans="2:2" ht="12.75" customHeight="1" x14ac:dyDescent="0.2">
      <c r="B25319" s="43"/>
    </row>
    <row r="25320" spans="2:2" ht="12.75" customHeight="1" x14ac:dyDescent="0.2">
      <c r="B25320" s="43"/>
    </row>
    <row r="25321" spans="2:2" ht="12.75" customHeight="1" x14ac:dyDescent="0.2">
      <c r="B25321" s="43"/>
    </row>
    <row r="25322" spans="2:2" ht="12.75" customHeight="1" x14ac:dyDescent="0.2">
      <c r="B25322" s="43"/>
    </row>
    <row r="25323" spans="2:2" ht="12.75" customHeight="1" x14ac:dyDescent="0.2">
      <c r="B25323" s="43"/>
    </row>
    <row r="25324" spans="2:2" ht="12.75" customHeight="1" x14ac:dyDescent="0.2">
      <c r="B25324" s="43"/>
    </row>
    <row r="25325" spans="2:2" ht="12.75" customHeight="1" x14ac:dyDescent="0.2">
      <c r="B25325" s="43"/>
    </row>
    <row r="25326" spans="2:2" ht="12.75" customHeight="1" x14ac:dyDescent="0.2">
      <c r="B25326" s="43"/>
    </row>
    <row r="25327" spans="2:2" ht="12.75" customHeight="1" x14ac:dyDescent="0.2">
      <c r="B25327" s="43"/>
    </row>
    <row r="25328" spans="2:2" ht="12.75" customHeight="1" x14ac:dyDescent="0.2">
      <c r="B25328" s="43"/>
    </row>
    <row r="25329" spans="2:2" ht="12.75" customHeight="1" x14ac:dyDescent="0.2">
      <c r="B25329" s="43"/>
    </row>
    <row r="25330" spans="2:2" ht="12.75" customHeight="1" x14ac:dyDescent="0.2">
      <c r="B25330" s="43"/>
    </row>
    <row r="25331" spans="2:2" ht="12.75" customHeight="1" x14ac:dyDescent="0.2">
      <c r="B25331" s="43"/>
    </row>
    <row r="25332" spans="2:2" ht="12.75" customHeight="1" x14ac:dyDescent="0.2">
      <c r="B25332" s="43"/>
    </row>
    <row r="25333" spans="2:2" ht="12.75" customHeight="1" x14ac:dyDescent="0.2">
      <c r="B25333" s="43"/>
    </row>
    <row r="25334" spans="2:2" ht="12.75" customHeight="1" x14ac:dyDescent="0.2">
      <c r="B25334" s="43"/>
    </row>
    <row r="25335" spans="2:2" ht="12.75" customHeight="1" x14ac:dyDescent="0.2">
      <c r="B25335" s="43"/>
    </row>
    <row r="25336" spans="2:2" ht="12.75" customHeight="1" x14ac:dyDescent="0.2">
      <c r="B25336" s="43"/>
    </row>
    <row r="25337" spans="2:2" ht="12.75" customHeight="1" x14ac:dyDescent="0.2">
      <c r="B25337" s="43"/>
    </row>
    <row r="25338" spans="2:2" ht="12.75" customHeight="1" x14ac:dyDescent="0.2">
      <c r="B25338" s="43"/>
    </row>
    <row r="25339" spans="2:2" ht="12.75" customHeight="1" x14ac:dyDescent="0.2">
      <c r="B25339" s="43"/>
    </row>
    <row r="25340" spans="2:2" ht="12.75" customHeight="1" x14ac:dyDescent="0.2">
      <c r="B25340" s="43"/>
    </row>
    <row r="25341" spans="2:2" ht="12.75" customHeight="1" x14ac:dyDescent="0.2">
      <c r="B25341" s="43"/>
    </row>
    <row r="25342" spans="2:2" ht="12.75" customHeight="1" x14ac:dyDescent="0.2">
      <c r="B25342" s="43"/>
    </row>
    <row r="25343" spans="2:2" ht="12.75" customHeight="1" x14ac:dyDescent="0.2">
      <c r="B25343" s="43"/>
    </row>
    <row r="25344" spans="2:2" ht="12.75" customHeight="1" x14ac:dyDescent="0.2">
      <c r="B25344" s="43"/>
    </row>
    <row r="25345" spans="2:2" ht="12.75" customHeight="1" x14ac:dyDescent="0.2">
      <c r="B25345" s="43"/>
    </row>
    <row r="25346" spans="2:2" ht="12.75" customHeight="1" x14ac:dyDescent="0.2">
      <c r="B25346" s="43"/>
    </row>
    <row r="25347" spans="2:2" ht="12.75" customHeight="1" x14ac:dyDescent="0.2">
      <c r="B25347" s="43"/>
    </row>
    <row r="25348" spans="2:2" ht="12.75" customHeight="1" x14ac:dyDescent="0.2">
      <c r="B25348" s="43"/>
    </row>
    <row r="25349" spans="2:2" ht="12.75" customHeight="1" x14ac:dyDescent="0.2">
      <c r="B25349" s="43"/>
    </row>
    <row r="25350" spans="2:2" ht="12.75" customHeight="1" x14ac:dyDescent="0.2">
      <c r="B25350" s="43"/>
    </row>
    <row r="25351" spans="2:2" ht="12.75" customHeight="1" x14ac:dyDescent="0.2">
      <c r="B25351" s="43"/>
    </row>
    <row r="25352" spans="2:2" ht="12.75" customHeight="1" x14ac:dyDescent="0.2">
      <c r="B25352" s="43"/>
    </row>
    <row r="25353" spans="2:2" ht="12.75" customHeight="1" x14ac:dyDescent="0.2">
      <c r="B25353" s="43"/>
    </row>
    <row r="25354" spans="2:2" ht="12.75" customHeight="1" x14ac:dyDescent="0.2">
      <c r="B25354" s="43"/>
    </row>
    <row r="25355" spans="2:2" ht="12.75" customHeight="1" x14ac:dyDescent="0.2">
      <c r="B25355" s="43"/>
    </row>
    <row r="25356" spans="2:2" ht="12.75" customHeight="1" x14ac:dyDescent="0.2">
      <c r="B25356" s="43"/>
    </row>
    <row r="25357" spans="2:2" ht="12.75" customHeight="1" x14ac:dyDescent="0.2">
      <c r="B25357" s="43"/>
    </row>
    <row r="25358" spans="2:2" ht="12.75" customHeight="1" x14ac:dyDescent="0.2">
      <c r="B25358" s="43"/>
    </row>
    <row r="25359" spans="2:2" ht="12.75" customHeight="1" x14ac:dyDescent="0.2">
      <c r="B25359" s="43"/>
    </row>
    <row r="25360" spans="2:2" ht="12.75" customHeight="1" x14ac:dyDescent="0.2">
      <c r="B25360" s="43"/>
    </row>
    <row r="25361" spans="2:2" ht="12.75" customHeight="1" x14ac:dyDescent="0.2">
      <c r="B25361" s="43"/>
    </row>
    <row r="25362" spans="2:2" ht="12.75" customHeight="1" x14ac:dyDescent="0.2">
      <c r="B25362" s="43"/>
    </row>
    <row r="25363" spans="2:2" ht="12.75" customHeight="1" x14ac:dyDescent="0.2">
      <c r="B25363" s="43"/>
    </row>
    <row r="25364" spans="2:2" ht="12.75" customHeight="1" x14ac:dyDescent="0.2">
      <c r="B25364" s="43"/>
    </row>
    <row r="25365" spans="2:2" ht="12.75" customHeight="1" x14ac:dyDescent="0.2">
      <c r="B25365" s="43"/>
    </row>
    <row r="25366" spans="2:2" ht="12.75" customHeight="1" x14ac:dyDescent="0.2">
      <c r="B25366" s="43"/>
    </row>
    <row r="25367" spans="2:2" ht="12.75" customHeight="1" x14ac:dyDescent="0.2">
      <c r="B25367" s="43"/>
    </row>
    <row r="25368" spans="2:2" ht="12.75" customHeight="1" x14ac:dyDescent="0.2">
      <c r="B25368" s="43"/>
    </row>
    <row r="25369" spans="2:2" ht="12.75" customHeight="1" x14ac:dyDescent="0.2">
      <c r="B25369" s="43"/>
    </row>
    <row r="25370" spans="2:2" ht="12.75" customHeight="1" x14ac:dyDescent="0.2">
      <c r="B25370" s="43"/>
    </row>
    <row r="25371" spans="2:2" ht="12.75" customHeight="1" x14ac:dyDescent="0.2">
      <c r="B25371" s="43"/>
    </row>
    <row r="25372" spans="2:2" ht="12.75" customHeight="1" x14ac:dyDescent="0.2">
      <c r="B25372" s="43"/>
    </row>
    <row r="25373" spans="2:2" ht="12.75" customHeight="1" x14ac:dyDescent="0.2">
      <c r="B25373" s="43"/>
    </row>
    <row r="25374" spans="2:2" ht="12.75" customHeight="1" x14ac:dyDescent="0.2">
      <c r="B25374" s="43"/>
    </row>
    <row r="25375" spans="2:2" ht="12.75" customHeight="1" x14ac:dyDescent="0.2">
      <c r="B25375" s="43"/>
    </row>
    <row r="25376" spans="2:2" ht="12.75" customHeight="1" x14ac:dyDescent="0.2">
      <c r="B25376" s="43"/>
    </row>
    <row r="25377" spans="2:2" ht="12.75" customHeight="1" x14ac:dyDescent="0.2">
      <c r="B25377" s="43"/>
    </row>
    <row r="25378" spans="2:2" ht="12.75" customHeight="1" x14ac:dyDescent="0.2">
      <c r="B25378" s="43"/>
    </row>
    <row r="25379" spans="2:2" ht="12.75" customHeight="1" x14ac:dyDescent="0.2">
      <c r="B25379" s="43"/>
    </row>
    <row r="25380" spans="2:2" ht="12.75" customHeight="1" x14ac:dyDescent="0.2">
      <c r="B25380" s="43"/>
    </row>
    <row r="25381" spans="2:2" ht="12.75" customHeight="1" x14ac:dyDescent="0.2">
      <c r="B25381" s="43"/>
    </row>
    <row r="25382" spans="2:2" ht="12.75" customHeight="1" x14ac:dyDescent="0.2">
      <c r="B25382" s="43"/>
    </row>
    <row r="25383" spans="2:2" ht="12.75" customHeight="1" x14ac:dyDescent="0.2">
      <c r="B25383" s="43"/>
    </row>
    <row r="25384" spans="2:2" ht="12.75" customHeight="1" x14ac:dyDescent="0.2">
      <c r="B25384" s="43"/>
    </row>
    <row r="25385" spans="2:2" ht="12.75" customHeight="1" x14ac:dyDescent="0.2">
      <c r="B25385" s="43"/>
    </row>
    <row r="25386" spans="2:2" ht="12.75" customHeight="1" x14ac:dyDescent="0.2">
      <c r="B25386" s="43"/>
    </row>
    <row r="25387" spans="2:2" ht="12.75" customHeight="1" x14ac:dyDescent="0.2">
      <c r="B25387" s="43"/>
    </row>
    <row r="25388" spans="2:2" ht="12.75" customHeight="1" x14ac:dyDescent="0.2">
      <c r="B25388" s="43"/>
    </row>
    <row r="25389" spans="2:2" ht="12.75" customHeight="1" x14ac:dyDescent="0.2">
      <c r="B25389" s="43"/>
    </row>
    <row r="25390" spans="2:2" ht="12.75" customHeight="1" x14ac:dyDescent="0.2">
      <c r="B25390" s="43"/>
    </row>
    <row r="25391" spans="2:2" ht="12.75" customHeight="1" x14ac:dyDescent="0.2">
      <c r="B25391" s="43"/>
    </row>
    <row r="25392" spans="2:2" ht="12.75" customHeight="1" x14ac:dyDescent="0.2">
      <c r="B25392" s="43"/>
    </row>
    <row r="25393" spans="2:2" ht="12.75" customHeight="1" x14ac:dyDescent="0.2">
      <c r="B25393" s="43"/>
    </row>
    <row r="25394" spans="2:2" ht="12.75" customHeight="1" x14ac:dyDescent="0.2">
      <c r="B25394" s="43"/>
    </row>
    <row r="25395" spans="2:2" ht="12.75" customHeight="1" x14ac:dyDescent="0.2">
      <c r="B25395" s="43"/>
    </row>
    <row r="25396" spans="2:2" ht="12.75" customHeight="1" x14ac:dyDescent="0.2">
      <c r="B25396" s="43"/>
    </row>
    <row r="25397" spans="2:2" ht="12.75" customHeight="1" x14ac:dyDescent="0.2">
      <c r="B25397" s="43"/>
    </row>
    <row r="25398" spans="2:2" ht="12.75" customHeight="1" x14ac:dyDescent="0.2">
      <c r="B25398" s="43"/>
    </row>
    <row r="25399" spans="2:2" ht="12.75" customHeight="1" x14ac:dyDescent="0.2">
      <c r="B25399" s="43"/>
    </row>
    <row r="25400" spans="2:2" ht="12.75" customHeight="1" x14ac:dyDescent="0.2">
      <c r="B25400" s="43"/>
    </row>
    <row r="25401" spans="2:2" ht="12.75" customHeight="1" x14ac:dyDescent="0.2">
      <c r="B25401" s="43"/>
    </row>
    <row r="25402" spans="2:2" ht="12.75" customHeight="1" x14ac:dyDescent="0.2">
      <c r="B25402" s="43"/>
    </row>
    <row r="25403" spans="2:2" ht="12.75" customHeight="1" x14ac:dyDescent="0.2">
      <c r="B25403" s="43"/>
    </row>
    <row r="25404" spans="2:2" ht="12.75" customHeight="1" x14ac:dyDescent="0.2">
      <c r="B25404" s="43"/>
    </row>
    <row r="25405" spans="2:2" ht="12.75" customHeight="1" x14ac:dyDescent="0.2">
      <c r="B25405" s="43"/>
    </row>
    <row r="25406" spans="2:2" ht="12.75" customHeight="1" x14ac:dyDescent="0.2">
      <c r="B25406" s="43"/>
    </row>
    <row r="25407" spans="2:2" ht="12.75" customHeight="1" x14ac:dyDescent="0.2">
      <c r="B25407" s="43"/>
    </row>
    <row r="25408" spans="2:2" ht="12.75" customHeight="1" x14ac:dyDescent="0.2">
      <c r="B25408" s="43"/>
    </row>
    <row r="25409" spans="2:2" ht="12.75" customHeight="1" x14ac:dyDescent="0.2">
      <c r="B25409" s="43"/>
    </row>
    <row r="25410" spans="2:2" ht="12.75" customHeight="1" x14ac:dyDescent="0.2">
      <c r="B25410" s="43"/>
    </row>
    <row r="25411" spans="2:2" ht="12.75" customHeight="1" x14ac:dyDescent="0.2">
      <c r="B25411" s="43"/>
    </row>
    <row r="25412" spans="2:2" ht="12.75" customHeight="1" x14ac:dyDescent="0.2">
      <c r="B25412" s="43"/>
    </row>
    <row r="25413" spans="2:2" ht="12.75" customHeight="1" x14ac:dyDescent="0.2">
      <c r="B25413" s="43"/>
    </row>
    <row r="25414" spans="2:2" ht="12.75" customHeight="1" x14ac:dyDescent="0.2">
      <c r="B25414" s="43"/>
    </row>
    <row r="25415" spans="2:2" ht="12.75" customHeight="1" x14ac:dyDescent="0.2">
      <c r="B25415" s="43"/>
    </row>
    <row r="25416" spans="2:2" ht="12.75" customHeight="1" x14ac:dyDescent="0.2">
      <c r="B25416" s="43"/>
    </row>
    <row r="25417" spans="2:2" ht="12.75" customHeight="1" x14ac:dyDescent="0.2">
      <c r="B25417" s="43"/>
    </row>
    <row r="25418" spans="2:2" ht="12.75" customHeight="1" x14ac:dyDescent="0.2">
      <c r="B25418" s="43"/>
    </row>
    <row r="25419" spans="2:2" ht="12.75" customHeight="1" x14ac:dyDescent="0.2">
      <c r="B25419" s="43"/>
    </row>
    <row r="25420" spans="2:2" ht="12.75" customHeight="1" x14ac:dyDescent="0.2">
      <c r="B25420" s="43"/>
    </row>
    <row r="25421" spans="2:2" ht="12.75" customHeight="1" x14ac:dyDescent="0.2">
      <c r="B25421" s="43"/>
    </row>
    <row r="25422" spans="2:2" ht="12.75" customHeight="1" x14ac:dyDescent="0.2">
      <c r="B25422" s="43"/>
    </row>
    <row r="25423" spans="2:2" ht="12.75" customHeight="1" x14ac:dyDescent="0.2">
      <c r="B25423" s="43"/>
    </row>
    <row r="25424" spans="2:2" ht="12.75" customHeight="1" x14ac:dyDescent="0.2">
      <c r="B25424" s="43"/>
    </row>
    <row r="25425" spans="2:2" ht="12.75" customHeight="1" x14ac:dyDescent="0.2">
      <c r="B25425" s="43"/>
    </row>
    <row r="25426" spans="2:2" ht="12.75" customHeight="1" x14ac:dyDescent="0.2">
      <c r="B25426" s="43"/>
    </row>
    <row r="25427" spans="2:2" ht="12.75" customHeight="1" x14ac:dyDescent="0.2">
      <c r="B25427" s="43"/>
    </row>
    <row r="25428" spans="2:2" ht="12.75" customHeight="1" x14ac:dyDescent="0.2">
      <c r="B25428" s="43"/>
    </row>
    <row r="25429" spans="2:2" ht="12.75" customHeight="1" x14ac:dyDescent="0.2">
      <c r="B25429" s="43"/>
    </row>
    <row r="25430" spans="2:2" ht="12.75" customHeight="1" x14ac:dyDescent="0.2">
      <c r="B25430" s="43"/>
    </row>
    <row r="25431" spans="2:2" ht="12.75" customHeight="1" x14ac:dyDescent="0.2">
      <c r="B25431" s="43"/>
    </row>
    <row r="25432" spans="2:2" ht="12.75" customHeight="1" x14ac:dyDescent="0.2">
      <c r="B25432" s="43"/>
    </row>
    <row r="25433" spans="2:2" ht="12.75" customHeight="1" x14ac:dyDescent="0.2">
      <c r="B25433" s="43"/>
    </row>
    <row r="25434" spans="2:2" ht="12.75" customHeight="1" x14ac:dyDescent="0.2">
      <c r="B25434" s="43"/>
    </row>
    <row r="25435" spans="2:2" ht="12.75" customHeight="1" x14ac:dyDescent="0.2">
      <c r="B25435" s="43"/>
    </row>
    <row r="25436" spans="2:2" ht="12.75" customHeight="1" x14ac:dyDescent="0.2">
      <c r="B25436" s="43"/>
    </row>
    <row r="25437" spans="2:2" ht="12.75" customHeight="1" x14ac:dyDescent="0.2">
      <c r="B25437" s="43"/>
    </row>
    <row r="25438" spans="2:2" ht="12.75" customHeight="1" x14ac:dyDescent="0.2">
      <c r="B25438" s="43"/>
    </row>
    <row r="25439" spans="2:2" ht="12.75" customHeight="1" x14ac:dyDescent="0.2">
      <c r="B25439" s="43"/>
    </row>
    <row r="25440" spans="2:2" ht="12.75" customHeight="1" x14ac:dyDescent="0.2">
      <c r="B25440" s="43"/>
    </row>
    <row r="25441" spans="2:2" ht="12.75" customHeight="1" x14ac:dyDescent="0.2">
      <c r="B25441" s="43"/>
    </row>
    <row r="25442" spans="2:2" ht="12.75" customHeight="1" x14ac:dyDescent="0.2">
      <c r="B25442" s="43"/>
    </row>
    <row r="25443" spans="2:2" ht="12.75" customHeight="1" x14ac:dyDescent="0.2">
      <c r="B25443" s="43"/>
    </row>
    <row r="25444" spans="2:2" ht="12.75" customHeight="1" x14ac:dyDescent="0.2">
      <c r="B25444" s="43"/>
    </row>
    <row r="25445" spans="2:2" ht="12.75" customHeight="1" x14ac:dyDescent="0.2">
      <c r="B25445" s="43"/>
    </row>
    <row r="25446" spans="2:2" ht="12.75" customHeight="1" x14ac:dyDescent="0.2">
      <c r="B25446" s="43"/>
    </row>
    <row r="25447" spans="2:2" ht="12.75" customHeight="1" x14ac:dyDescent="0.2">
      <c r="B25447" s="43"/>
    </row>
    <row r="25448" spans="2:2" ht="12.75" customHeight="1" x14ac:dyDescent="0.2">
      <c r="B25448" s="43"/>
    </row>
    <row r="25449" spans="2:2" ht="12.75" customHeight="1" x14ac:dyDescent="0.2">
      <c r="B25449" s="43"/>
    </row>
    <row r="25450" spans="2:2" ht="12.75" customHeight="1" x14ac:dyDescent="0.2">
      <c r="B25450" s="43"/>
    </row>
    <row r="25451" spans="2:2" ht="12.75" customHeight="1" x14ac:dyDescent="0.2">
      <c r="B25451" s="43"/>
    </row>
    <row r="25452" spans="2:2" ht="12.75" customHeight="1" x14ac:dyDescent="0.2">
      <c r="B25452" s="43"/>
    </row>
    <row r="25453" spans="2:2" ht="12.75" customHeight="1" x14ac:dyDescent="0.2">
      <c r="B25453" s="43"/>
    </row>
    <row r="25454" spans="2:2" ht="12.75" customHeight="1" x14ac:dyDescent="0.2">
      <c r="B25454" s="43"/>
    </row>
    <row r="25455" spans="2:2" ht="12.75" customHeight="1" x14ac:dyDescent="0.2">
      <c r="B25455" s="43"/>
    </row>
    <row r="25456" spans="2:2" ht="12.75" customHeight="1" x14ac:dyDescent="0.2">
      <c r="B25456" s="43"/>
    </row>
    <row r="25457" spans="2:2" ht="12.75" customHeight="1" x14ac:dyDescent="0.2">
      <c r="B25457" s="43"/>
    </row>
    <row r="25458" spans="2:2" ht="12.75" customHeight="1" x14ac:dyDescent="0.2">
      <c r="B25458" s="43"/>
    </row>
    <row r="25459" spans="2:2" ht="12.75" customHeight="1" x14ac:dyDescent="0.2">
      <c r="B25459" s="43"/>
    </row>
    <row r="25460" spans="2:2" ht="12.75" customHeight="1" x14ac:dyDescent="0.2">
      <c r="B25460" s="43"/>
    </row>
    <row r="25461" spans="2:2" ht="12.75" customHeight="1" x14ac:dyDescent="0.2">
      <c r="B25461" s="43"/>
    </row>
    <row r="25462" spans="2:2" ht="12.75" customHeight="1" x14ac:dyDescent="0.2">
      <c r="B25462" s="43"/>
    </row>
    <row r="25463" spans="2:2" ht="12.75" customHeight="1" x14ac:dyDescent="0.2">
      <c r="B25463" s="43"/>
    </row>
    <row r="25464" spans="2:2" ht="12.75" customHeight="1" x14ac:dyDescent="0.2">
      <c r="B25464" s="43"/>
    </row>
    <row r="25465" spans="2:2" ht="12.75" customHeight="1" x14ac:dyDescent="0.2">
      <c r="B25465" s="43"/>
    </row>
    <row r="25466" spans="2:2" ht="12.75" customHeight="1" x14ac:dyDescent="0.2">
      <c r="B25466" s="43"/>
    </row>
    <row r="25467" spans="2:2" ht="12.75" customHeight="1" x14ac:dyDescent="0.2">
      <c r="B25467" s="43"/>
    </row>
    <row r="25468" spans="2:2" ht="12.75" customHeight="1" x14ac:dyDescent="0.2">
      <c r="B25468" s="43"/>
    </row>
    <row r="25469" spans="2:2" ht="12.75" customHeight="1" x14ac:dyDescent="0.2">
      <c r="B25469" s="43"/>
    </row>
    <row r="25470" spans="2:2" ht="12.75" customHeight="1" x14ac:dyDescent="0.2">
      <c r="B25470" s="43"/>
    </row>
    <row r="25471" spans="2:2" ht="12.75" customHeight="1" x14ac:dyDescent="0.2">
      <c r="B25471" s="43"/>
    </row>
    <row r="25472" spans="2:2" ht="12.75" customHeight="1" x14ac:dyDescent="0.2">
      <c r="B25472" s="43"/>
    </row>
    <row r="25473" spans="2:2" ht="12.75" customHeight="1" x14ac:dyDescent="0.2">
      <c r="B25473" s="43"/>
    </row>
    <row r="25474" spans="2:2" ht="12.75" customHeight="1" x14ac:dyDescent="0.2">
      <c r="B25474" s="43"/>
    </row>
    <row r="25475" spans="2:2" ht="12.75" customHeight="1" x14ac:dyDescent="0.2">
      <c r="B25475" s="43"/>
    </row>
    <row r="25476" spans="2:2" ht="12.75" customHeight="1" x14ac:dyDescent="0.2">
      <c r="B25476" s="43"/>
    </row>
    <row r="25477" spans="2:2" ht="12.75" customHeight="1" x14ac:dyDescent="0.2">
      <c r="B25477" s="43"/>
    </row>
    <row r="25478" spans="2:2" ht="12.75" customHeight="1" x14ac:dyDescent="0.2">
      <c r="B25478" s="43"/>
    </row>
    <row r="25479" spans="2:2" ht="12.75" customHeight="1" x14ac:dyDescent="0.2">
      <c r="B25479" s="43"/>
    </row>
    <row r="25480" spans="2:2" ht="12.75" customHeight="1" x14ac:dyDescent="0.2">
      <c r="B25480" s="43"/>
    </row>
    <row r="25481" spans="2:2" ht="12.75" customHeight="1" x14ac:dyDescent="0.2">
      <c r="B25481" s="43"/>
    </row>
    <row r="25482" spans="2:2" ht="12.75" customHeight="1" x14ac:dyDescent="0.2">
      <c r="B25482" s="43"/>
    </row>
    <row r="25483" spans="2:2" ht="12.75" customHeight="1" x14ac:dyDescent="0.2">
      <c r="B25483" s="43"/>
    </row>
    <row r="25484" spans="2:2" ht="12.75" customHeight="1" x14ac:dyDescent="0.2">
      <c r="B25484" s="43"/>
    </row>
    <row r="25485" spans="2:2" ht="12.75" customHeight="1" x14ac:dyDescent="0.2">
      <c r="B25485" s="43"/>
    </row>
    <row r="25486" spans="2:2" ht="12.75" customHeight="1" x14ac:dyDescent="0.2">
      <c r="B25486" s="43"/>
    </row>
    <row r="25487" spans="2:2" ht="12.75" customHeight="1" x14ac:dyDescent="0.2">
      <c r="B25487" s="43"/>
    </row>
    <row r="25488" spans="2:2" ht="12.75" customHeight="1" x14ac:dyDescent="0.2">
      <c r="B25488" s="43"/>
    </row>
    <row r="25489" spans="2:2" ht="12.75" customHeight="1" x14ac:dyDescent="0.2">
      <c r="B25489" s="43"/>
    </row>
    <row r="25490" spans="2:2" ht="12.75" customHeight="1" x14ac:dyDescent="0.2">
      <c r="B25490" s="43"/>
    </row>
    <row r="25491" spans="2:2" ht="12.75" customHeight="1" x14ac:dyDescent="0.2">
      <c r="B25491" s="43"/>
    </row>
    <row r="25492" spans="2:2" ht="12.75" customHeight="1" x14ac:dyDescent="0.2">
      <c r="B25492" s="43"/>
    </row>
    <row r="25493" spans="2:2" ht="12.75" customHeight="1" x14ac:dyDescent="0.2">
      <c r="B25493" s="43"/>
    </row>
    <row r="25494" spans="2:2" ht="12.75" customHeight="1" x14ac:dyDescent="0.2">
      <c r="B25494" s="43"/>
    </row>
    <row r="25495" spans="2:2" ht="12.75" customHeight="1" x14ac:dyDescent="0.2">
      <c r="B25495" s="43"/>
    </row>
    <row r="25496" spans="2:2" ht="12.75" customHeight="1" x14ac:dyDescent="0.2">
      <c r="B25496" s="43"/>
    </row>
    <row r="25497" spans="2:2" ht="12.75" customHeight="1" x14ac:dyDescent="0.2">
      <c r="B25497" s="43"/>
    </row>
    <row r="25498" spans="2:2" ht="12.75" customHeight="1" x14ac:dyDescent="0.2">
      <c r="B25498" s="43"/>
    </row>
    <row r="25499" spans="2:2" ht="12.75" customHeight="1" x14ac:dyDescent="0.2">
      <c r="B25499" s="43"/>
    </row>
    <row r="25500" spans="2:2" ht="12.75" customHeight="1" x14ac:dyDescent="0.2">
      <c r="B25500" s="43"/>
    </row>
    <row r="25501" spans="2:2" ht="12.75" customHeight="1" x14ac:dyDescent="0.2">
      <c r="B25501" s="43"/>
    </row>
    <row r="25502" spans="2:2" ht="12.75" customHeight="1" x14ac:dyDescent="0.2">
      <c r="B25502" s="43"/>
    </row>
    <row r="25503" spans="2:2" ht="12.75" customHeight="1" x14ac:dyDescent="0.2">
      <c r="B25503" s="43"/>
    </row>
    <row r="25504" spans="2:2" ht="12.75" customHeight="1" x14ac:dyDescent="0.2">
      <c r="B25504" s="43"/>
    </row>
    <row r="25505" spans="2:2" ht="12.75" customHeight="1" x14ac:dyDescent="0.2">
      <c r="B25505" s="43"/>
    </row>
    <row r="25506" spans="2:2" ht="12.75" customHeight="1" x14ac:dyDescent="0.2">
      <c r="B25506" s="43"/>
    </row>
    <row r="25507" spans="2:2" ht="12.75" customHeight="1" x14ac:dyDescent="0.2">
      <c r="B25507" s="43"/>
    </row>
    <row r="25508" spans="2:2" ht="12.75" customHeight="1" x14ac:dyDescent="0.2">
      <c r="B25508" s="43"/>
    </row>
    <row r="25509" spans="2:2" ht="12.75" customHeight="1" x14ac:dyDescent="0.2">
      <c r="B25509" s="43"/>
    </row>
    <row r="25510" spans="2:2" ht="12.75" customHeight="1" x14ac:dyDescent="0.2">
      <c r="B25510" s="43"/>
    </row>
    <row r="25511" spans="2:2" ht="12.75" customHeight="1" x14ac:dyDescent="0.2">
      <c r="B25511" s="43"/>
    </row>
    <row r="25512" spans="2:2" ht="12.75" customHeight="1" x14ac:dyDescent="0.2">
      <c r="B25512" s="43"/>
    </row>
    <row r="25513" spans="2:2" ht="12.75" customHeight="1" x14ac:dyDescent="0.2">
      <c r="B25513" s="43"/>
    </row>
    <row r="25514" spans="2:2" ht="12.75" customHeight="1" x14ac:dyDescent="0.2">
      <c r="B25514" s="43"/>
    </row>
    <row r="25515" spans="2:2" ht="12.75" customHeight="1" x14ac:dyDescent="0.2">
      <c r="B25515" s="43"/>
    </row>
    <row r="25516" spans="2:2" ht="12.75" customHeight="1" x14ac:dyDescent="0.2">
      <c r="B25516" s="43"/>
    </row>
    <row r="25517" spans="2:2" ht="12.75" customHeight="1" x14ac:dyDescent="0.2">
      <c r="B25517" s="43"/>
    </row>
    <row r="25518" spans="2:2" ht="12.75" customHeight="1" x14ac:dyDescent="0.2">
      <c r="B25518" s="43"/>
    </row>
    <row r="25519" spans="2:2" ht="12.75" customHeight="1" x14ac:dyDescent="0.2">
      <c r="B25519" s="43"/>
    </row>
    <row r="25520" spans="2:2" ht="12.75" customHeight="1" x14ac:dyDescent="0.2">
      <c r="B25520" s="43"/>
    </row>
    <row r="25521" spans="2:2" ht="12.75" customHeight="1" x14ac:dyDescent="0.2">
      <c r="B25521" s="43"/>
    </row>
    <row r="25522" spans="2:2" ht="12.75" customHeight="1" x14ac:dyDescent="0.2">
      <c r="B25522" s="43"/>
    </row>
    <row r="25523" spans="2:2" ht="12.75" customHeight="1" x14ac:dyDescent="0.2">
      <c r="B25523" s="43"/>
    </row>
    <row r="25524" spans="2:2" ht="12.75" customHeight="1" x14ac:dyDescent="0.2">
      <c r="B25524" s="43"/>
    </row>
    <row r="25525" spans="2:2" ht="12.75" customHeight="1" x14ac:dyDescent="0.2">
      <c r="B25525" s="43"/>
    </row>
    <row r="25526" spans="2:2" ht="12.75" customHeight="1" x14ac:dyDescent="0.2">
      <c r="B25526" s="43"/>
    </row>
    <row r="25527" spans="2:2" ht="12.75" customHeight="1" x14ac:dyDescent="0.2">
      <c r="B25527" s="43"/>
    </row>
    <row r="25528" spans="2:2" ht="12.75" customHeight="1" x14ac:dyDescent="0.2">
      <c r="B25528" s="43"/>
    </row>
    <row r="25529" spans="2:2" ht="12.75" customHeight="1" x14ac:dyDescent="0.2">
      <c r="B25529" s="43"/>
    </row>
    <row r="25530" spans="2:2" ht="12.75" customHeight="1" x14ac:dyDescent="0.2">
      <c r="B25530" s="43"/>
    </row>
    <row r="25531" spans="2:2" ht="12.75" customHeight="1" x14ac:dyDescent="0.2">
      <c r="B25531" s="43"/>
    </row>
    <row r="25532" spans="2:2" ht="12.75" customHeight="1" x14ac:dyDescent="0.2">
      <c r="B25532" s="43"/>
    </row>
    <row r="25533" spans="2:2" ht="12.75" customHeight="1" x14ac:dyDescent="0.2">
      <c r="B25533" s="43"/>
    </row>
    <row r="25534" spans="2:2" ht="12.75" customHeight="1" x14ac:dyDescent="0.2">
      <c r="B25534" s="43"/>
    </row>
    <row r="25535" spans="2:2" ht="12.75" customHeight="1" x14ac:dyDescent="0.2">
      <c r="B25535" s="43"/>
    </row>
    <row r="25536" spans="2:2" ht="12.75" customHeight="1" x14ac:dyDescent="0.2">
      <c r="B25536" s="43"/>
    </row>
    <row r="25537" spans="2:2" ht="12.75" customHeight="1" x14ac:dyDescent="0.2">
      <c r="B25537" s="43"/>
    </row>
    <row r="25538" spans="2:2" ht="12.75" customHeight="1" x14ac:dyDescent="0.2">
      <c r="B25538" s="43"/>
    </row>
    <row r="25539" spans="2:2" ht="12.75" customHeight="1" x14ac:dyDescent="0.2">
      <c r="B25539" s="43"/>
    </row>
    <row r="25540" spans="2:2" ht="12.75" customHeight="1" x14ac:dyDescent="0.2">
      <c r="B25540" s="43"/>
    </row>
    <row r="25541" spans="2:2" ht="12.75" customHeight="1" x14ac:dyDescent="0.2">
      <c r="B25541" s="43"/>
    </row>
    <row r="25542" spans="2:2" ht="12.75" customHeight="1" x14ac:dyDescent="0.2">
      <c r="B25542" s="43"/>
    </row>
    <row r="25543" spans="2:2" ht="12.75" customHeight="1" x14ac:dyDescent="0.2">
      <c r="B25543" s="43"/>
    </row>
    <row r="25544" spans="2:2" ht="12.75" customHeight="1" x14ac:dyDescent="0.2">
      <c r="B25544" s="43"/>
    </row>
    <row r="25545" spans="2:2" ht="12.75" customHeight="1" x14ac:dyDescent="0.2">
      <c r="B25545" s="43"/>
    </row>
    <row r="25546" spans="2:2" ht="12.75" customHeight="1" x14ac:dyDescent="0.2">
      <c r="B25546" s="43"/>
    </row>
    <row r="25547" spans="2:2" ht="12.75" customHeight="1" x14ac:dyDescent="0.2">
      <c r="B25547" s="43"/>
    </row>
    <row r="25548" spans="2:2" ht="12.75" customHeight="1" x14ac:dyDescent="0.2">
      <c r="B25548" s="43"/>
    </row>
    <row r="25549" spans="2:2" ht="12.75" customHeight="1" x14ac:dyDescent="0.2">
      <c r="B25549" s="43"/>
    </row>
    <row r="25550" spans="2:2" ht="12.75" customHeight="1" x14ac:dyDescent="0.2">
      <c r="B25550" s="43"/>
    </row>
    <row r="25551" spans="2:2" ht="12.75" customHeight="1" x14ac:dyDescent="0.2">
      <c r="B25551" s="43"/>
    </row>
    <row r="25552" spans="2:2" ht="12.75" customHeight="1" x14ac:dyDescent="0.2">
      <c r="B25552" s="43"/>
    </row>
    <row r="25553" spans="2:2" ht="12.75" customHeight="1" x14ac:dyDescent="0.2">
      <c r="B25553" s="43"/>
    </row>
    <row r="25554" spans="2:2" ht="12.75" customHeight="1" x14ac:dyDescent="0.2">
      <c r="B25554" s="43"/>
    </row>
    <row r="25555" spans="2:2" ht="12.75" customHeight="1" x14ac:dyDescent="0.2">
      <c r="B25555" s="43"/>
    </row>
    <row r="25556" spans="2:2" ht="12.75" customHeight="1" x14ac:dyDescent="0.2">
      <c r="B25556" s="43"/>
    </row>
    <row r="25557" spans="2:2" ht="12.75" customHeight="1" x14ac:dyDescent="0.2">
      <c r="B25557" s="43"/>
    </row>
    <row r="25558" spans="2:2" ht="12.75" customHeight="1" x14ac:dyDescent="0.2">
      <c r="B25558" s="43"/>
    </row>
    <row r="25559" spans="2:2" ht="12.75" customHeight="1" x14ac:dyDescent="0.2">
      <c r="B25559" s="43"/>
    </row>
    <row r="25560" spans="2:2" ht="12.75" customHeight="1" x14ac:dyDescent="0.2">
      <c r="B25560" s="43"/>
    </row>
    <row r="25561" spans="2:2" ht="12.75" customHeight="1" x14ac:dyDescent="0.2">
      <c r="B25561" s="43"/>
    </row>
    <row r="25562" spans="2:2" ht="12.75" customHeight="1" x14ac:dyDescent="0.2">
      <c r="B25562" s="43"/>
    </row>
    <row r="25563" spans="2:2" ht="12.75" customHeight="1" x14ac:dyDescent="0.2">
      <c r="B25563" s="43"/>
    </row>
    <row r="25564" spans="2:2" ht="12.75" customHeight="1" x14ac:dyDescent="0.2">
      <c r="B25564" s="43"/>
    </row>
    <row r="25565" spans="2:2" ht="12.75" customHeight="1" x14ac:dyDescent="0.2">
      <c r="B25565" s="43"/>
    </row>
    <row r="25566" spans="2:2" ht="12.75" customHeight="1" x14ac:dyDescent="0.2">
      <c r="B25566" s="43"/>
    </row>
    <row r="25567" spans="2:2" ht="12.75" customHeight="1" x14ac:dyDescent="0.2">
      <c r="B25567" s="43"/>
    </row>
    <row r="25568" spans="2:2" ht="12.75" customHeight="1" x14ac:dyDescent="0.2">
      <c r="B25568" s="43"/>
    </row>
    <row r="25569" spans="2:2" ht="12.75" customHeight="1" x14ac:dyDescent="0.2">
      <c r="B25569" s="43"/>
    </row>
    <row r="25570" spans="2:2" ht="12.75" customHeight="1" x14ac:dyDescent="0.2">
      <c r="B25570" s="43"/>
    </row>
    <row r="25571" spans="2:2" ht="12.75" customHeight="1" x14ac:dyDescent="0.2">
      <c r="B25571" s="43"/>
    </row>
    <row r="25572" spans="2:2" ht="12.75" customHeight="1" x14ac:dyDescent="0.2">
      <c r="B25572" s="43"/>
    </row>
    <row r="25573" spans="2:2" ht="12.75" customHeight="1" x14ac:dyDescent="0.2">
      <c r="B25573" s="43"/>
    </row>
    <row r="25574" spans="2:2" ht="12.75" customHeight="1" x14ac:dyDescent="0.2">
      <c r="B25574" s="43"/>
    </row>
    <row r="25575" spans="2:2" ht="12.75" customHeight="1" x14ac:dyDescent="0.2">
      <c r="B25575" s="43"/>
    </row>
    <row r="25576" spans="2:2" ht="12.75" customHeight="1" x14ac:dyDescent="0.2">
      <c r="B25576" s="43"/>
    </row>
    <row r="25577" spans="2:2" ht="12.75" customHeight="1" x14ac:dyDescent="0.2">
      <c r="B25577" s="43"/>
    </row>
    <row r="25578" spans="2:2" ht="12.75" customHeight="1" x14ac:dyDescent="0.2">
      <c r="B25578" s="43"/>
    </row>
    <row r="25579" spans="2:2" ht="12.75" customHeight="1" x14ac:dyDescent="0.2">
      <c r="B25579" s="43"/>
    </row>
    <row r="25580" spans="2:2" ht="12.75" customHeight="1" x14ac:dyDescent="0.2">
      <c r="B25580" s="43"/>
    </row>
    <row r="25581" spans="2:2" ht="12.75" customHeight="1" x14ac:dyDescent="0.2">
      <c r="B25581" s="43"/>
    </row>
    <row r="25582" spans="2:2" ht="12.75" customHeight="1" x14ac:dyDescent="0.2">
      <c r="B25582" s="43"/>
    </row>
    <row r="25583" spans="2:2" ht="12.75" customHeight="1" x14ac:dyDescent="0.2">
      <c r="B25583" s="43"/>
    </row>
    <row r="25584" spans="2:2" ht="12.75" customHeight="1" x14ac:dyDescent="0.2">
      <c r="B25584" s="43"/>
    </row>
    <row r="25585" spans="2:2" ht="12.75" customHeight="1" x14ac:dyDescent="0.2">
      <c r="B25585" s="43"/>
    </row>
    <row r="25586" spans="2:2" ht="12.75" customHeight="1" x14ac:dyDescent="0.2">
      <c r="B25586" s="43"/>
    </row>
    <row r="25587" spans="2:2" ht="12.75" customHeight="1" x14ac:dyDescent="0.2">
      <c r="B25587" s="43"/>
    </row>
    <row r="25588" spans="2:2" ht="12.75" customHeight="1" x14ac:dyDescent="0.2">
      <c r="B25588" s="43"/>
    </row>
    <row r="25589" spans="2:2" ht="12.75" customHeight="1" x14ac:dyDescent="0.2">
      <c r="B25589" s="43"/>
    </row>
    <row r="25590" spans="2:2" ht="12.75" customHeight="1" x14ac:dyDescent="0.2">
      <c r="B25590" s="43"/>
    </row>
    <row r="25591" spans="2:2" ht="12.75" customHeight="1" x14ac:dyDescent="0.2">
      <c r="B25591" s="43"/>
    </row>
    <row r="25592" spans="2:2" ht="12.75" customHeight="1" x14ac:dyDescent="0.2">
      <c r="B25592" s="43"/>
    </row>
    <row r="25593" spans="2:2" ht="12.75" customHeight="1" x14ac:dyDescent="0.2">
      <c r="B25593" s="43"/>
    </row>
    <row r="25594" spans="2:2" ht="12.75" customHeight="1" x14ac:dyDescent="0.2">
      <c r="B25594" s="43"/>
    </row>
    <row r="25595" spans="2:2" ht="12.75" customHeight="1" x14ac:dyDescent="0.2">
      <c r="B25595" s="43"/>
    </row>
    <row r="25596" spans="2:2" ht="12.75" customHeight="1" x14ac:dyDescent="0.2">
      <c r="B25596" s="43"/>
    </row>
    <row r="25597" spans="2:2" ht="12.75" customHeight="1" x14ac:dyDescent="0.2">
      <c r="B25597" s="43"/>
    </row>
    <row r="25598" spans="2:2" ht="12.75" customHeight="1" x14ac:dyDescent="0.2">
      <c r="B25598" s="43"/>
    </row>
    <row r="25599" spans="2:2" ht="12.75" customHeight="1" x14ac:dyDescent="0.2">
      <c r="B25599" s="43"/>
    </row>
    <row r="25600" spans="2:2" ht="12.75" customHeight="1" x14ac:dyDescent="0.2">
      <c r="B25600" s="43"/>
    </row>
    <row r="25601" spans="2:2" ht="12.75" customHeight="1" x14ac:dyDescent="0.2">
      <c r="B25601" s="43"/>
    </row>
    <row r="25602" spans="2:2" ht="12.75" customHeight="1" x14ac:dyDescent="0.2">
      <c r="B25602" s="43"/>
    </row>
    <row r="25603" spans="2:2" ht="12.75" customHeight="1" x14ac:dyDescent="0.2">
      <c r="B25603" s="43"/>
    </row>
    <row r="25604" spans="2:2" ht="12.75" customHeight="1" x14ac:dyDescent="0.2">
      <c r="B25604" s="43"/>
    </row>
    <row r="25605" spans="2:2" ht="12.75" customHeight="1" x14ac:dyDescent="0.2">
      <c r="B25605" s="43"/>
    </row>
    <row r="25606" spans="2:2" ht="12.75" customHeight="1" x14ac:dyDescent="0.2">
      <c r="B25606" s="43"/>
    </row>
    <row r="25607" spans="2:2" ht="12.75" customHeight="1" x14ac:dyDescent="0.2">
      <c r="B25607" s="43"/>
    </row>
    <row r="25608" spans="2:2" ht="12.75" customHeight="1" x14ac:dyDescent="0.2">
      <c r="B25608" s="43"/>
    </row>
    <row r="25609" spans="2:2" ht="12.75" customHeight="1" x14ac:dyDescent="0.2">
      <c r="B25609" s="43"/>
    </row>
    <row r="25610" spans="2:2" ht="12.75" customHeight="1" x14ac:dyDescent="0.2">
      <c r="B25610" s="43"/>
    </row>
    <row r="25611" spans="2:2" ht="12.75" customHeight="1" x14ac:dyDescent="0.2">
      <c r="B25611" s="43"/>
    </row>
    <row r="25612" spans="2:2" ht="12.75" customHeight="1" x14ac:dyDescent="0.2">
      <c r="B25612" s="43"/>
    </row>
    <row r="25613" spans="2:2" ht="12.75" customHeight="1" x14ac:dyDescent="0.2">
      <c r="B25613" s="43"/>
    </row>
    <row r="25614" spans="2:2" ht="12.75" customHeight="1" x14ac:dyDescent="0.2">
      <c r="B25614" s="43"/>
    </row>
    <row r="25615" spans="2:2" ht="12.75" customHeight="1" x14ac:dyDescent="0.2">
      <c r="B25615" s="43"/>
    </row>
    <row r="25616" spans="2:2" ht="12.75" customHeight="1" x14ac:dyDescent="0.2">
      <c r="B25616" s="43"/>
    </row>
    <row r="25617" spans="2:2" ht="12.75" customHeight="1" x14ac:dyDescent="0.2">
      <c r="B25617" s="43"/>
    </row>
    <row r="25618" spans="2:2" ht="12.75" customHeight="1" x14ac:dyDescent="0.2">
      <c r="B25618" s="43"/>
    </row>
    <row r="25619" spans="2:2" ht="12.75" customHeight="1" x14ac:dyDescent="0.2">
      <c r="B25619" s="43"/>
    </row>
    <row r="25620" spans="2:2" ht="12.75" customHeight="1" x14ac:dyDescent="0.2">
      <c r="B25620" s="43"/>
    </row>
    <row r="25621" spans="2:2" ht="12.75" customHeight="1" x14ac:dyDescent="0.2">
      <c r="B25621" s="43"/>
    </row>
    <row r="25622" spans="2:2" ht="12.75" customHeight="1" x14ac:dyDescent="0.2">
      <c r="B25622" s="43"/>
    </row>
    <row r="25623" spans="2:2" ht="12.75" customHeight="1" x14ac:dyDescent="0.2">
      <c r="B25623" s="43"/>
    </row>
    <row r="25624" spans="2:2" ht="12.75" customHeight="1" x14ac:dyDescent="0.2">
      <c r="B25624" s="43"/>
    </row>
    <row r="25625" spans="2:2" ht="12.75" customHeight="1" x14ac:dyDescent="0.2">
      <c r="B25625" s="43"/>
    </row>
    <row r="25626" spans="2:2" ht="12.75" customHeight="1" x14ac:dyDescent="0.2">
      <c r="B25626" s="43"/>
    </row>
    <row r="25627" spans="2:2" ht="12.75" customHeight="1" x14ac:dyDescent="0.2">
      <c r="B25627" s="43"/>
    </row>
    <row r="25628" spans="2:2" ht="12.75" customHeight="1" x14ac:dyDescent="0.2">
      <c r="B25628" s="43"/>
    </row>
    <row r="25629" spans="2:2" ht="12.75" customHeight="1" x14ac:dyDescent="0.2">
      <c r="B25629" s="43"/>
    </row>
    <row r="25630" spans="2:2" ht="12.75" customHeight="1" x14ac:dyDescent="0.2">
      <c r="B25630" s="43"/>
    </row>
    <row r="25631" spans="2:2" ht="12.75" customHeight="1" x14ac:dyDescent="0.2">
      <c r="B25631" s="43"/>
    </row>
    <row r="25632" spans="2:2" ht="12.75" customHeight="1" x14ac:dyDescent="0.2">
      <c r="B25632" s="43"/>
    </row>
    <row r="25633" spans="2:2" ht="12.75" customHeight="1" x14ac:dyDescent="0.2">
      <c r="B25633" s="43"/>
    </row>
    <row r="25634" spans="2:2" ht="12.75" customHeight="1" x14ac:dyDescent="0.2">
      <c r="B25634" s="43"/>
    </row>
    <row r="25635" spans="2:2" ht="12.75" customHeight="1" x14ac:dyDescent="0.2">
      <c r="B25635" s="43"/>
    </row>
    <row r="25636" spans="2:2" ht="12.75" customHeight="1" x14ac:dyDescent="0.2">
      <c r="B25636" s="43"/>
    </row>
    <row r="25637" spans="2:2" ht="12.75" customHeight="1" x14ac:dyDescent="0.2">
      <c r="B25637" s="43"/>
    </row>
    <row r="25638" spans="2:2" ht="12.75" customHeight="1" x14ac:dyDescent="0.2">
      <c r="B25638" s="43"/>
    </row>
    <row r="25639" spans="2:2" ht="12.75" customHeight="1" x14ac:dyDescent="0.2">
      <c r="B25639" s="43"/>
    </row>
    <row r="25640" spans="2:2" ht="12.75" customHeight="1" x14ac:dyDescent="0.2">
      <c r="B25640" s="43"/>
    </row>
    <row r="25641" spans="2:2" ht="12.75" customHeight="1" x14ac:dyDescent="0.2">
      <c r="B25641" s="43"/>
    </row>
    <row r="25642" spans="2:2" ht="12.75" customHeight="1" x14ac:dyDescent="0.2">
      <c r="B25642" s="43"/>
    </row>
    <row r="25643" spans="2:2" ht="12.75" customHeight="1" x14ac:dyDescent="0.2">
      <c r="B25643" s="43"/>
    </row>
    <row r="25644" spans="2:2" ht="12.75" customHeight="1" x14ac:dyDescent="0.2">
      <c r="B25644" s="43"/>
    </row>
    <row r="25645" spans="2:2" ht="12.75" customHeight="1" x14ac:dyDescent="0.2">
      <c r="B25645" s="43"/>
    </row>
    <row r="25646" spans="2:2" ht="12.75" customHeight="1" x14ac:dyDescent="0.2">
      <c r="B25646" s="43"/>
    </row>
    <row r="25647" spans="2:2" ht="12.75" customHeight="1" x14ac:dyDescent="0.2">
      <c r="B25647" s="43"/>
    </row>
    <row r="25648" spans="2:2" ht="12.75" customHeight="1" x14ac:dyDescent="0.2">
      <c r="B25648" s="43"/>
    </row>
    <row r="25649" spans="2:2" ht="12.75" customHeight="1" x14ac:dyDescent="0.2">
      <c r="B25649" s="43"/>
    </row>
    <row r="25650" spans="2:2" ht="12.75" customHeight="1" x14ac:dyDescent="0.2">
      <c r="B25650" s="43"/>
    </row>
    <row r="25651" spans="2:2" ht="12.75" customHeight="1" x14ac:dyDescent="0.2">
      <c r="B25651" s="43"/>
    </row>
    <row r="25652" spans="2:2" ht="12.75" customHeight="1" x14ac:dyDescent="0.2">
      <c r="B25652" s="43"/>
    </row>
    <row r="25653" spans="2:2" ht="12.75" customHeight="1" x14ac:dyDescent="0.2">
      <c r="B25653" s="43"/>
    </row>
    <row r="25654" spans="2:2" ht="12.75" customHeight="1" x14ac:dyDescent="0.2">
      <c r="B25654" s="43"/>
    </row>
    <row r="25655" spans="2:2" ht="12.75" customHeight="1" x14ac:dyDescent="0.2">
      <c r="B25655" s="43"/>
    </row>
    <row r="25656" spans="2:2" ht="12.75" customHeight="1" x14ac:dyDescent="0.2">
      <c r="B25656" s="43"/>
    </row>
    <row r="25657" spans="2:2" ht="12.75" customHeight="1" x14ac:dyDescent="0.2">
      <c r="B25657" s="43"/>
    </row>
    <row r="25658" spans="2:2" ht="12.75" customHeight="1" x14ac:dyDescent="0.2">
      <c r="B25658" s="43"/>
    </row>
    <row r="25659" spans="2:2" ht="12.75" customHeight="1" x14ac:dyDescent="0.2">
      <c r="B25659" s="43"/>
    </row>
    <row r="25660" spans="2:2" ht="12.75" customHeight="1" x14ac:dyDescent="0.2">
      <c r="B25660" s="43"/>
    </row>
    <row r="25661" spans="2:2" ht="12.75" customHeight="1" x14ac:dyDescent="0.2">
      <c r="B25661" s="43"/>
    </row>
    <row r="25662" spans="2:2" ht="12.75" customHeight="1" x14ac:dyDescent="0.2">
      <c r="B25662" s="43"/>
    </row>
    <row r="25663" spans="2:2" ht="12.75" customHeight="1" x14ac:dyDescent="0.2">
      <c r="B25663" s="43"/>
    </row>
    <row r="25664" spans="2:2" ht="12.75" customHeight="1" x14ac:dyDescent="0.2">
      <c r="B25664" s="43"/>
    </row>
    <row r="25665" spans="2:2" ht="12.75" customHeight="1" x14ac:dyDescent="0.2">
      <c r="B25665" s="43"/>
    </row>
    <row r="25666" spans="2:2" ht="12.75" customHeight="1" x14ac:dyDescent="0.2">
      <c r="B25666" s="43"/>
    </row>
    <row r="25667" spans="2:2" ht="12.75" customHeight="1" x14ac:dyDescent="0.2">
      <c r="B25667" s="43"/>
    </row>
    <row r="25668" spans="2:2" ht="12.75" customHeight="1" x14ac:dyDescent="0.2">
      <c r="B25668" s="43"/>
    </row>
    <row r="25669" spans="2:2" ht="12.75" customHeight="1" x14ac:dyDescent="0.2">
      <c r="B25669" s="43"/>
    </row>
    <row r="25670" spans="2:2" ht="12.75" customHeight="1" x14ac:dyDescent="0.2">
      <c r="B25670" s="43"/>
    </row>
    <row r="25671" spans="2:2" ht="12.75" customHeight="1" x14ac:dyDescent="0.2">
      <c r="B25671" s="43"/>
    </row>
    <row r="25672" spans="2:2" ht="12.75" customHeight="1" x14ac:dyDescent="0.2">
      <c r="B25672" s="43"/>
    </row>
    <row r="25673" spans="2:2" ht="12.75" customHeight="1" x14ac:dyDescent="0.2">
      <c r="B25673" s="43"/>
    </row>
    <row r="25674" spans="2:2" ht="12.75" customHeight="1" x14ac:dyDescent="0.2">
      <c r="B25674" s="43"/>
    </row>
    <row r="25675" spans="2:2" ht="12.75" customHeight="1" x14ac:dyDescent="0.2">
      <c r="B25675" s="43"/>
    </row>
    <row r="25676" spans="2:2" ht="12.75" customHeight="1" x14ac:dyDescent="0.2">
      <c r="B25676" s="43"/>
    </row>
    <row r="25677" spans="2:2" ht="12.75" customHeight="1" x14ac:dyDescent="0.2">
      <c r="B25677" s="43"/>
    </row>
    <row r="25678" spans="2:2" ht="12.75" customHeight="1" x14ac:dyDescent="0.2">
      <c r="B25678" s="43"/>
    </row>
    <row r="25679" spans="2:2" ht="12.75" customHeight="1" x14ac:dyDescent="0.2">
      <c r="B25679" s="43"/>
    </row>
    <row r="25680" spans="2:2" ht="12.75" customHeight="1" x14ac:dyDescent="0.2">
      <c r="B25680" s="43"/>
    </row>
    <row r="25681" spans="2:2" ht="12.75" customHeight="1" x14ac:dyDescent="0.2">
      <c r="B25681" s="43"/>
    </row>
    <row r="25682" spans="2:2" ht="12.75" customHeight="1" x14ac:dyDescent="0.2">
      <c r="B25682" s="43"/>
    </row>
    <row r="25683" spans="2:2" ht="12.75" customHeight="1" x14ac:dyDescent="0.2">
      <c r="B25683" s="43"/>
    </row>
    <row r="25684" spans="2:2" ht="12.75" customHeight="1" x14ac:dyDescent="0.2">
      <c r="B25684" s="43"/>
    </row>
    <row r="25685" spans="2:2" ht="12.75" customHeight="1" x14ac:dyDescent="0.2">
      <c r="B25685" s="43"/>
    </row>
    <row r="25686" spans="2:2" ht="12.75" customHeight="1" x14ac:dyDescent="0.2">
      <c r="B25686" s="43"/>
    </row>
    <row r="25687" spans="2:2" ht="12.75" customHeight="1" x14ac:dyDescent="0.2">
      <c r="B25687" s="43"/>
    </row>
    <row r="25688" spans="2:2" ht="12.75" customHeight="1" x14ac:dyDescent="0.2">
      <c r="B25688" s="43"/>
    </row>
    <row r="25689" spans="2:2" ht="12.75" customHeight="1" x14ac:dyDescent="0.2">
      <c r="B25689" s="43"/>
    </row>
    <row r="25690" spans="2:2" ht="12.75" customHeight="1" x14ac:dyDescent="0.2">
      <c r="B25690" s="43"/>
    </row>
    <row r="25691" spans="2:2" ht="12.75" customHeight="1" x14ac:dyDescent="0.2">
      <c r="B25691" s="43"/>
    </row>
    <row r="25692" spans="2:2" ht="12.75" customHeight="1" x14ac:dyDescent="0.2">
      <c r="B25692" s="43"/>
    </row>
    <row r="25693" spans="2:2" ht="12.75" customHeight="1" x14ac:dyDescent="0.2">
      <c r="B25693" s="43"/>
    </row>
    <row r="25694" spans="2:2" ht="12.75" customHeight="1" x14ac:dyDescent="0.2">
      <c r="B25694" s="43"/>
    </row>
    <row r="25695" spans="2:2" ht="12.75" customHeight="1" x14ac:dyDescent="0.2">
      <c r="B25695" s="43"/>
    </row>
    <row r="25696" spans="2:2" ht="12.75" customHeight="1" x14ac:dyDescent="0.2">
      <c r="B25696" s="43"/>
    </row>
    <row r="25697" spans="2:2" ht="12.75" customHeight="1" x14ac:dyDescent="0.2">
      <c r="B25697" s="43"/>
    </row>
    <row r="25698" spans="2:2" ht="12.75" customHeight="1" x14ac:dyDescent="0.2">
      <c r="B25698" s="43"/>
    </row>
    <row r="25699" spans="2:2" ht="12.75" customHeight="1" x14ac:dyDescent="0.2">
      <c r="B25699" s="43"/>
    </row>
    <row r="25700" spans="2:2" ht="12.75" customHeight="1" x14ac:dyDescent="0.2">
      <c r="B25700" s="43"/>
    </row>
    <row r="25701" spans="2:2" ht="12.75" customHeight="1" x14ac:dyDescent="0.2">
      <c r="B25701" s="43"/>
    </row>
    <row r="25702" spans="2:2" ht="12.75" customHeight="1" x14ac:dyDescent="0.2">
      <c r="B25702" s="43"/>
    </row>
    <row r="25703" spans="2:2" ht="12.75" customHeight="1" x14ac:dyDescent="0.2">
      <c r="B25703" s="43"/>
    </row>
    <row r="25704" spans="2:2" ht="12.75" customHeight="1" x14ac:dyDescent="0.2">
      <c r="B25704" s="43"/>
    </row>
    <row r="25705" spans="2:2" ht="12.75" customHeight="1" x14ac:dyDescent="0.2">
      <c r="B25705" s="43"/>
    </row>
    <row r="25706" spans="2:2" ht="12.75" customHeight="1" x14ac:dyDescent="0.2">
      <c r="B25706" s="43"/>
    </row>
    <row r="25707" spans="2:2" ht="12.75" customHeight="1" x14ac:dyDescent="0.2">
      <c r="B25707" s="43"/>
    </row>
    <row r="25708" spans="2:2" ht="12.75" customHeight="1" x14ac:dyDescent="0.2">
      <c r="B25708" s="43"/>
    </row>
    <row r="25709" spans="2:2" ht="12.75" customHeight="1" x14ac:dyDescent="0.2">
      <c r="B25709" s="43"/>
    </row>
    <row r="25710" spans="2:2" ht="12.75" customHeight="1" x14ac:dyDescent="0.2">
      <c r="B25710" s="43"/>
    </row>
    <row r="25711" spans="2:2" ht="12.75" customHeight="1" x14ac:dyDescent="0.2">
      <c r="B25711" s="43"/>
    </row>
    <row r="25712" spans="2:2" ht="12.75" customHeight="1" x14ac:dyDescent="0.2">
      <c r="B25712" s="43"/>
    </row>
    <row r="25713" spans="2:2" ht="12.75" customHeight="1" x14ac:dyDescent="0.2">
      <c r="B25713" s="43"/>
    </row>
    <row r="25714" spans="2:2" ht="12.75" customHeight="1" x14ac:dyDescent="0.2">
      <c r="B25714" s="43"/>
    </row>
    <row r="25715" spans="2:2" ht="12.75" customHeight="1" x14ac:dyDescent="0.2">
      <c r="B25715" s="43"/>
    </row>
    <row r="25716" spans="2:2" ht="12.75" customHeight="1" x14ac:dyDescent="0.2">
      <c r="B25716" s="43"/>
    </row>
    <row r="25717" spans="2:2" ht="12.75" customHeight="1" x14ac:dyDescent="0.2">
      <c r="B25717" s="43"/>
    </row>
    <row r="25718" spans="2:2" ht="12.75" customHeight="1" x14ac:dyDescent="0.2">
      <c r="B25718" s="43"/>
    </row>
    <row r="25719" spans="2:2" ht="12.75" customHeight="1" x14ac:dyDescent="0.2">
      <c r="B25719" s="43"/>
    </row>
    <row r="25720" spans="2:2" ht="12.75" customHeight="1" x14ac:dyDescent="0.2">
      <c r="B25720" s="43"/>
    </row>
    <row r="25721" spans="2:2" ht="12.75" customHeight="1" x14ac:dyDescent="0.2">
      <c r="B25721" s="43"/>
    </row>
    <row r="25722" spans="2:2" ht="12.75" customHeight="1" x14ac:dyDescent="0.2">
      <c r="B25722" s="43"/>
    </row>
    <row r="25723" spans="2:2" ht="12.75" customHeight="1" x14ac:dyDescent="0.2">
      <c r="B25723" s="43"/>
    </row>
    <row r="25724" spans="2:2" ht="12.75" customHeight="1" x14ac:dyDescent="0.2">
      <c r="B25724" s="43"/>
    </row>
    <row r="25725" spans="2:2" ht="12.75" customHeight="1" x14ac:dyDescent="0.2">
      <c r="B25725" s="43"/>
    </row>
    <row r="25726" spans="2:2" ht="12.75" customHeight="1" x14ac:dyDescent="0.2">
      <c r="B25726" s="43"/>
    </row>
    <row r="25727" spans="2:2" ht="12.75" customHeight="1" x14ac:dyDescent="0.2">
      <c r="B25727" s="43"/>
    </row>
    <row r="25728" spans="2:2" ht="12.75" customHeight="1" x14ac:dyDescent="0.2">
      <c r="B25728" s="43"/>
    </row>
    <row r="25729" spans="2:2" ht="12.75" customHeight="1" x14ac:dyDescent="0.2">
      <c r="B25729" s="43"/>
    </row>
    <row r="25730" spans="2:2" ht="12.75" customHeight="1" x14ac:dyDescent="0.2">
      <c r="B25730" s="43"/>
    </row>
    <row r="25731" spans="2:2" ht="12.75" customHeight="1" x14ac:dyDescent="0.2">
      <c r="B25731" s="43"/>
    </row>
    <row r="25732" spans="2:2" ht="12.75" customHeight="1" x14ac:dyDescent="0.2">
      <c r="B25732" s="43"/>
    </row>
    <row r="25733" spans="2:2" ht="12.75" customHeight="1" x14ac:dyDescent="0.2">
      <c r="B25733" s="43"/>
    </row>
    <row r="25734" spans="2:2" ht="12.75" customHeight="1" x14ac:dyDescent="0.2">
      <c r="B25734" s="43"/>
    </row>
    <row r="25735" spans="2:2" ht="12.75" customHeight="1" x14ac:dyDescent="0.2">
      <c r="B25735" s="43"/>
    </row>
    <row r="25736" spans="2:2" ht="12.75" customHeight="1" x14ac:dyDescent="0.2">
      <c r="B25736" s="43"/>
    </row>
    <row r="25737" spans="2:2" ht="12.75" customHeight="1" x14ac:dyDescent="0.2">
      <c r="B25737" s="43"/>
    </row>
    <row r="25738" spans="2:2" ht="12.75" customHeight="1" x14ac:dyDescent="0.2">
      <c r="B25738" s="43"/>
    </row>
    <row r="25739" spans="2:2" ht="12.75" customHeight="1" x14ac:dyDescent="0.2">
      <c r="B25739" s="43"/>
    </row>
    <row r="25740" spans="2:2" ht="12.75" customHeight="1" x14ac:dyDescent="0.2">
      <c r="B25740" s="43"/>
    </row>
    <row r="25741" spans="2:2" ht="12.75" customHeight="1" x14ac:dyDescent="0.2">
      <c r="B25741" s="43"/>
    </row>
    <row r="25742" spans="2:2" ht="12.75" customHeight="1" x14ac:dyDescent="0.2">
      <c r="B25742" s="43"/>
    </row>
    <row r="25743" spans="2:2" ht="12.75" customHeight="1" x14ac:dyDescent="0.2">
      <c r="B25743" s="43"/>
    </row>
    <row r="25744" spans="2:2" ht="12.75" customHeight="1" x14ac:dyDescent="0.2">
      <c r="B25744" s="43"/>
    </row>
    <row r="25745" spans="2:2" ht="12.75" customHeight="1" x14ac:dyDescent="0.2">
      <c r="B25745" s="43"/>
    </row>
    <row r="25746" spans="2:2" ht="12.75" customHeight="1" x14ac:dyDescent="0.2">
      <c r="B25746" s="43"/>
    </row>
    <row r="25747" spans="2:2" ht="12.75" customHeight="1" x14ac:dyDescent="0.2">
      <c r="B25747" s="43"/>
    </row>
    <row r="25748" spans="2:2" ht="12.75" customHeight="1" x14ac:dyDescent="0.2">
      <c r="B25748" s="43"/>
    </row>
    <row r="25749" spans="2:2" ht="12.75" customHeight="1" x14ac:dyDescent="0.2">
      <c r="B25749" s="43"/>
    </row>
    <row r="25750" spans="2:2" ht="12.75" customHeight="1" x14ac:dyDescent="0.2">
      <c r="B25750" s="43"/>
    </row>
    <row r="25751" spans="2:2" ht="12.75" customHeight="1" x14ac:dyDescent="0.2">
      <c r="B25751" s="43"/>
    </row>
    <row r="25752" spans="2:2" ht="12.75" customHeight="1" x14ac:dyDescent="0.2">
      <c r="B25752" s="43"/>
    </row>
    <row r="25753" spans="2:2" ht="12.75" customHeight="1" x14ac:dyDescent="0.2">
      <c r="B25753" s="43"/>
    </row>
    <row r="25754" spans="2:2" ht="12.75" customHeight="1" x14ac:dyDescent="0.2">
      <c r="B25754" s="43"/>
    </row>
    <row r="25755" spans="2:2" ht="12.75" customHeight="1" x14ac:dyDescent="0.2">
      <c r="B25755" s="43"/>
    </row>
    <row r="25756" spans="2:2" ht="12.75" customHeight="1" x14ac:dyDescent="0.2">
      <c r="B25756" s="43"/>
    </row>
    <row r="25757" spans="2:2" ht="12.75" customHeight="1" x14ac:dyDescent="0.2">
      <c r="B25757" s="43"/>
    </row>
    <row r="25758" spans="2:2" ht="12.75" customHeight="1" x14ac:dyDescent="0.2">
      <c r="B25758" s="43"/>
    </row>
    <row r="25759" spans="2:2" ht="12.75" customHeight="1" x14ac:dyDescent="0.2">
      <c r="B25759" s="43"/>
    </row>
    <row r="25760" spans="2:2" ht="12.75" customHeight="1" x14ac:dyDescent="0.2">
      <c r="B25760" s="43"/>
    </row>
    <row r="25761" spans="2:2" ht="12.75" customHeight="1" x14ac:dyDescent="0.2">
      <c r="B25761" s="43"/>
    </row>
    <row r="25762" spans="2:2" ht="12.75" customHeight="1" x14ac:dyDescent="0.2">
      <c r="B25762" s="43"/>
    </row>
    <row r="25763" spans="2:2" ht="12.75" customHeight="1" x14ac:dyDescent="0.2">
      <c r="B25763" s="43"/>
    </row>
    <row r="25764" spans="2:2" ht="12.75" customHeight="1" x14ac:dyDescent="0.2">
      <c r="B25764" s="43"/>
    </row>
    <row r="25765" spans="2:2" ht="12.75" customHeight="1" x14ac:dyDescent="0.2">
      <c r="B25765" s="43"/>
    </row>
    <row r="25766" spans="2:2" ht="12.75" customHeight="1" x14ac:dyDescent="0.2">
      <c r="B25766" s="43"/>
    </row>
    <row r="25767" spans="2:2" ht="12.75" customHeight="1" x14ac:dyDescent="0.2">
      <c r="B25767" s="43"/>
    </row>
    <row r="25768" spans="2:2" ht="12.75" customHeight="1" x14ac:dyDescent="0.2">
      <c r="B25768" s="43"/>
    </row>
    <row r="25769" spans="2:2" ht="12.75" customHeight="1" x14ac:dyDescent="0.2">
      <c r="B25769" s="43"/>
    </row>
    <row r="25770" spans="2:2" ht="12.75" customHeight="1" x14ac:dyDescent="0.2">
      <c r="B25770" s="43"/>
    </row>
    <row r="25771" spans="2:2" ht="12.75" customHeight="1" x14ac:dyDescent="0.2">
      <c r="B25771" s="43"/>
    </row>
    <row r="25772" spans="2:2" ht="12.75" customHeight="1" x14ac:dyDescent="0.2">
      <c r="B25772" s="43"/>
    </row>
    <row r="25773" spans="2:2" ht="12.75" customHeight="1" x14ac:dyDescent="0.2">
      <c r="B25773" s="43"/>
    </row>
    <row r="25774" spans="2:2" ht="12.75" customHeight="1" x14ac:dyDescent="0.2">
      <c r="B25774" s="43"/>
    </row>
    <row r="25775" spans="2:2" ht="12.75" customHeight="1" x14ac:dyDescent="0.2">
      <c r="B25775" s="43"/>
    </row>
    <row r="25776" spans="2:2" ht="12.75" customHeight="1" x14ac:dyDescent="0.2">
      <c r="B25776" s="43"/>
    </row>
    <row r="25777" spans="2:2" ht="12.75" customHeight="1" x14ac:dyDescent="0.2">
      <c r="B25777" s="43"/>
    </row>
    <row r="25778" spans="2:2" ht="12.75" customHeight="1" x14ac:dyDescent="0.2">
      <c r="B25778" s="43"/>
    </row>
    <row r="25779" spans="2:2" ht="12.75" customHeight="1" x14ac:dyDescent="0.2">
      <c r="B25779" s="43"/>
    </row>
    <row r="25780" spans="2:2" ht="12.75" customHeight="1" x14ac:dyDescent="0.2">
      <c r="B25780" s="43"/>
    </row>
    <row r="25781" spans="2:2" ht="12.75" customHeight="1" x14ac:dyDescent="0.2">
      <c r="B25781" s="43"/>
    </row>
    <row r="25782" spans="2:2" ht="12.75" customHeight="1" x14ac:dyDescent="0.2">
      <c r="B25782" s="43"/>
    </row>
    <row r="25783" spans="2:2" ht="12.75" customHeight="1" x14ac:dyDescent="0.2">
      <c r="B25783" s="43"/>
    </row>
    <row r="25784" spans="2:2" ht="12.75" customHeight="1" x14ac:dyDescent="0.2">
      <c r="B25784" s="43"/>
    </row>
    <row r="25785" spans="2:2" ht="12.75" customHeight="1" x14ac:dyDescent="0.2">
      <c r="B25785" s="43"/>
    </row>
    <row r="25786" spans="2:2" ht="12.75" customHeight="1" x14ac:dyDescent="0.2">
      <c r="B25786" s="43"/>
    </row>
    <row r="25787" spans="2:2" ht="12.75" customHeight="1" x14ac:dyDescent="0.2">
      <c r="B25787" s="43"/>
    </row>
    <row r="25788" spans="2:2" ht="12.75" customHeight="1" x14ac:dyDescent="0.2">
      <c r="B25788" s="43"/>
    </row>
    <row r="25789" spans="2:2" ht="12.75" customHeight="1" x14ac:dyDescent="0.2">
      <c r="B25789" s="43"/>
    </row>
    <row r="25790" spans="2:2" ht="12.75" customHeight="1" x14ac:dyDescent="0.2">
      <c r="B25790" s="43"/>
    </row>
    <row r="25791" spans="2:2" ht="12.75" customHeight="1" x14ac:dyDescent="0.2">
      <c r="B25791" s="43"/>
    </row>
    <row r="25792" spans="2:2" ht="12.75" customHeight="1" x14ac:dyDescent="0.2">
      <c r="B25792" s="43"/>
    </row>
    <row r="25793" spans="2:2" ht="12.75" customHeight="1" x14ac:dyDescent="0.2">
      <c r="B25793" s="43"/>
    </row>
    <row r="25794" spans="2:2" ht="12.75" customHeight="1" x14ac:dyDescent="0.2">
      <c r="B25794" s="43"/>
    </row>
    <row r="25795" spans="2:2" ht="12.75" customHeight="1" x14ac:dyDescent="0.2">
      <c r="B25795" s="43"/>
    </row>
    <row r="25796" spans="2:2" ht="12.75" customHeight="1" x14ac:dyDescent="0.2">
      <c r="B25796" s="43"/>
    </row>
    <row r="25797" spans="2:2" ht="12.75" customHeight="1" x14ac:dyDescent="0.2">
      <c r="B25797" s="43"/>
    </row>
    <row r="25798" spans="2:2" ht="12.75" customHeight="1" x14ac:dyDescent="0.2">
      <c r="B25798" s="43"/>
    </row>
    <row r="25799" spans="2:2" ht="12.75" customHeight="1" x14ac:dyDescent="0.2">
      <c r="B25799" s="43"/>
    </row>
    <row r="25800" spans="2:2" ht="12.75" customHeight="1" x14ac:dyDescent="0.2">
      <c r="B25800" s="43"/>
    </row>
    <row r="25801" spans="2:2" ht="12.75" customHeight="1" x14ac:dyDescent="0.2">
      <c r="B25801" s="43"/>
    </row>
    <row r="25802" spans="2:2" ht="12.75" customHeight="1" x14ac:dyDescent="0.2">
      <c r="B25802" s="43"/>
    </row>
    <row r="25803" spans="2:2" ht="12.75" customHeight="1" x14ac:dyDescent="0.2">
      <c r="B25803" s="43"/>
    </row>
    <row r="25804" spans="2:2" ht="12.75" customHeight="1" x14ac:dyDescent="0.2">
      <c r="B25804" s="43"/>
    </row>
    <row r="25805" spans="2:2" ht="12.75" customHeight="1" x14ac:dyDescent="0.2">
      <c r="B25805" s="43"/>
    </row>
    <row r="25806" spans="2:2" ht="12.75" customHeight="1" x14ac:dyDescent="0.2">
      <c r="B25806" s="43"/>
    </row>
    <row r="25807" spans="2:2" ht="12.75" customHeight="1" x14ac:dyDescent="0.2">
      <c r="B25807" s="43"/>
    </row>
    <row r="25808" spans="2:2" ht="12.75" customHeight="1" x14ac:dyDescent="0.2">
      <c r="B25808" s="43"/>
    </row>
    <row r="25809" spans="2:2" ht="12.75" customHeight="1" x14ac:dyDescent="0.2">
      <c r="B25809" s="43"/>
    </row>
    <row r="25810" spans="2:2" ht="12.75" customHeight="1" x14ac:dyDescent="0.2">
      <c r="B25810" s="43"/>
    </row>
    <row r="25811" spans="2:2" ht="12.75" customHeight="1" x14ac:dyDescent="0.2">
      <c r="B25811" s="43"/>
    </row>
    <row r="25812" spans="2:2" ht="12.75" customHeight="1" x14ac:dyDescent="0.2">
      <c r="B25812" s="43"/>
    </row>
    <row r="25813" spans="2:2" ht="12.75" customHeight="1" x14ac:dyDescent="0.2">
      <c r="B25813" s="43"/>
    </row>
    <row r="25814" spans="2:2" ht="12.75" customHeight="1" x14ac:dyDescent="0.2">
      <c r="B25814" s="43"/>
    </row>
    <row r="25815" spans="2:2" ht="12.75" customHeight="1" x14ac:dyDescent="0.2">
      <c r="B25815" s="43"/>
    </row>
    <row r="25816" spans="2:2" ht="12.75" customHeight="1" x14ac:dyDescent="0.2">
      <c r="B25816" s="43"/>
    </row>
    <row r="25817" spans="2:2" ht="12.75" customHeight="1" x14ac:dyDescent="0.2">
      <c r="B25817" s="43"/>
    </row>
    <row r="25818" spans="2:2" ht="12.75" customHeight="1" x14ac:dyDescent="0.2">
      <c r="B25818" s="43"/>
    </row>
    <row r="25819" spans="2:2" ht="12.75" customHeight="1" x14ac:dyDescent="0.2">
      <c r="B25819" s="43"/>
    </row>
    <row r="25820" spans="2:2" ht="12.75" customHeight="1" x14ac:dyDescent="0.2">
      <c r="B25820" s="43"/>
    </row>
    <row r="25821" spans="2:2" ht="12.75" customHeight="1" x14ac:dyDescent="0.2">
      <c r="B25821" s="43"/>
    </row>
    <row r="25822" spans="2:2" ht="12.75" customHeight="1" x14ac:dyDescent="0.2">
      <c r="B25822" s="43"/>
    </row>
    <row r="25823" spans="2:2" ht="12.75" customHeight="1" x14ac:dyDescent="0.2">
      <c r="B25823" s="43"/>
    </row>
    <row r="25824" spans="2:2" ht="12.75" customHeight="1" x14ac:dyDescent="0.2">
      <c r="B25824" s="43"/>
    </row>
    <row r="25825" spans="2:2" ht="12.75" customHeight="1" x14ac:dyDescent="0.2">
      <c r="B25825" s="43"/>
    </row>
    <row r="25826" spans="2:2" ht="12.75" customHeight="1" x14ac:dyDescent="0.2">
      <c r="B25826" s="43"/>
    </row>
    <row r="25827" spans="2:2" ht="12.75" customHeight="1" x14ac:dyDescent="0.2">
      <c r="B25827" s="43"/>
    </row>
    <row r="25828" spans="2:2" ht="12.75" customHeight="1" x14ac:dyDescent="0.2">
      <c r="B25828" s="43"/>
    </row>
    <row r="25829" spans="2:2" ht="12.75" customHeight="1" x14ac:dyDescent="0.2">
      <c r="B25829" s="43"/>
    </row>
    <row r="25830" spans="2:2" ht="12.75" customHeight="1" x14ac:dyDescent="0.2">
      <c r="B25830" s="43"/>
    </row>
    <row r="25831" spans="2:2" ht="12.75" customHeight="1" x14ac:dyDescent="0.2">
      <c r="B25831" s="43"/>
    </row>
    <row r="25832" spans="2:2" ht="12.75" customHeight="1" x14ac:dyDescent="0.2">
      <c r="B25832" s="43"/>
    </row>
    <row r="25833" spans="2:2" ht="12.75" customHeight="1" x14ac:dyDescent="0.2">
      <c r="B25833" s="43"/>
    </row>
    <row r="25834" spans="2:2" ht="12.75" customHeight="1" x14ac:dyDescent="0.2">
      <c r="B25834" s="43"/>
    </row>
    <row r="25835" spans="2:2" ht="12.75" customHeight="1" x14ac:dyDescent="0.2">
      <c r="B25835" s="43"/>
    </row>
    <row r="25836" spans="2:2" ht="12.75" customHeight="1" x14ac:dyDescent="0.2">
      <c r="B25836" s="43"/>
    </row>
    <row r="25837" spans="2:2" ht="12.75" customHeight="1" x14ac:dyDescent="0.2">
      <c r="B25837" s="43"/>
    </row>
    <row r="25838" spans="2:2" ht="12.75" customHeight="1" x14ac:dyDescent="0.2">
      <c r="B25838" s="43"/>
    </row>
    <row r="25839" spans="2:2" ht="12.75" customHeight="1" x14ac:dyDescent="0.2">
      <c r="B25839" s="43"/>
    </row>
    <row r="25840" spans="2:2" ht="12.75" customHeight="1" x14ac:dyDescent="0.2">
      <c r="B25840" s="43"/>
    </row>
    <row r="25841" spans="2:2" ht="12.75" customHeight="1" x14ac:dyDescent="0.2">
      <c r="B25841" s="43"/>
    </row>
    <row r="25842" spans="2:2" ht="12.75" customHeight="1" x14ac:dyDescent="0.2">
      <c r="B25842" s="43"/>
    </row>
    <row r="25843" spans="2:2" ht="12.75" customHeight="1" x14ac:dyDescent="0.2">
      <c r="B25843" s="43"/>
    </row>
    <row r="25844" spans="2:2" ht="12.75" customHeight="1" x14ac:dyDescent="0.2">
      <c r="B25844" s="43"/>
    </row>
    <row r="25845" spans="2:2" ht="12.75" customHeight="1" x14ac:dyDescent="0.2">
      <c r="B25845" s="43"/>
    </row>
    <row r="25846" spans="2:2" ht="12.75" customHeight="1" x14ac:dyDescent="0.2">
      <c r="B25846" s="43"/>
    </row>
    <row r="25847" spans="2:2" ht="12.75" customHeight="1" x14ac:dyDescent="0.2">
      <c r="B25847" s="43"/>
    </row>
    <row r="25848" spans="2:2" ht="12.75" customHeight="1" x14ac:dyDescent="0.2">
      <c r="B25848" s="43"/>
    </row>
    <row r="25849" spans="2:2" ht="12.75" customHeight="1" x14ac:dyDescent="0.2">
      <c r="B25849" s="43"/>
    </row>
    <row r="25850" spans="2:2" ht="12.75" customHeight="1" x14ac:dyDescent="0.2">
      <c r="B25850" s="43"/>
    </row>
    <row r="25851" spans="2:2" ht="12.75" customHeight="1" x14ac:dyDescent="0.2">
      <c r="B25851" s="43"/>
    </row>
    <row r="25852" spans="2:2" ht="12.75" customHeight="1" x14ac:dyDescent="0.2">
      <c r="B25852" s="43"/>
    </row>
    <row r="25853" spans="2:2" ht="12.75" customHeight="1" x14ac:dyDescent="0.2">
      <c r="B25853" s="43"/>
    </row>
    <row r="25854" spans="2:2" ht="12.75" customHeight="1" x14ac:dyDescent="0.2">
      <c r="B25854" s="43"/>
    </row>
    <row r="25855" spans="2:2" ht="12.75" customHeight="1" x14ac:dyDescent="0.2">
      <c r="B25855" s="43"/>
    </row>
    <row r="25856" spans="2:2" ht="12.75" customHeight="1" x14ac:dyDescent="0.2">
      <c r="B25856" s="43"/>
    </row>
    <row r="25857" spans="2:2" ht="12.75" customHeight="1" x14ac:dyDescent="0.2">
      <c r="B25857" s="43"/>
    </row>
    <row r="25858" spans="2:2" ht="12.75" customHeight="1" x14ac:dyDescent="0.2">
      <c r="B25858" s="43"/>
    </row>
    <row r="25859" spans="2:2" ht="12.75" customHeight="1" x14ac:dyDescent="0.2">
      <c r="B25859" s="43"/>
    </row>
    <row r="25860" spans="2:2" ht="12.75" customHeight="1" x14ac:dyDescent="0.2">
      <c r="B25860" s="43"/>
    </row>
    <row r="25861" spans="2:2" ht="12.75" customHeight="1" x14ac:dyDescent="0.2">
      <c r="B25861" s="43"/>
    </row>
    <row r="25862" spans="2:2" ht="12.75" customHeight="1" x14ac:dyDescent="0.2">
      <c r="B25862" s="43"/>
    </row>
    <row r="25863" spans="2:2" ht="12.75" customHeight="1" x14ac:dyDescent="0.2">
      <c r="B25863" s="43"/>
    </row>
    <row r="25864" spans="2:2" ht="12.75" customHeight="1" x14ac:dyDescent="0.2">
      <c r="B25864" s="43"/>
    </row>
    <row r="25865" spans="2:2" ht="12.75" customHeight="1" x14ac:dyDescent="0.2">
      <c r="B25865" s="43"/>
    </row>
    <row r="25866" spans="2:2" ht="12.75" customHeight="1" x14ac:dyDescent="0.2">
      <c r="B25866" s="43"/>
    </row>
    <row r="25867" spans="2:2" ht="12.75" customHeight="1" x14ac:dyDescent="0.2">
      <c r="B25867" s="43"/>
    </row>
    <row r="25868" spans="2:2" ht="12.75" customHeight="1" x14ac:dyDescent="0.2">
      <c r="B25868" s="43"/>
    </row>
    <row r="25869" spans="2:2" ht="12.75" customHeight="1" x14ac:dyDescent="0.2">
      <c r="B25869" s="43"/>
    </row>
    <row r="25870" spans="2:2" ht="12.75" customHeight="1" x14ac:dyDescent="0.2">
      <c r="B25870" s="43"/>
    </row>
    <row r="25871" spans="2:2" ht="12.75" customHeight="1" x14ac:dyDescent="0.2">
      <c r="B25871" s="43"/>
    </row>
    <row r="25872" spans="2:2" ht="12.75" customHeight="1" x14ac:dyDescent="0.2">
      <c r="B25872" s="43"/>
    </row>
    <row r="25873" spans="2:2" ht="12.75" customHeight="1" x14ac:dyDescent="0.2">
      <c r="B25873" s="43"/>
    </row>
    <row r="25874" spans="2:2" ht="12.75" customHeight="1" x14ac:dyDescent="0.2">
      <c r="B25874" s="43"/>
    </row>
    <row r="25875" spans="2:2" ht="12.75" customHeight="1" x14ac:dyDescent="0.2">
      <c r="B25875" s="43"/>
    </row>
    <row r="25876" spans="2:2" ht="12.75" customHeight="1" x14ac:dyDescent="0.2">
      <c r="B25876" s="43"/>
    </row>
    <row r="25877" spans="2:2" ht="12.75" customHeight="1" x14ac:dyDescent="0.2">
      <c r="B25877" s="43"/>
    </row>
    <row r="25878" spans="2:2" ht="12.75" customHeight="1" x14ac:dyDescent="0.2">
      <c r="B25878" s="43"/>
    </row>
    <row r="25879" spans="2:2" ht="12.75" customHeight="1" x14ac:dyDescent="0.2">
      <c r="B25879" s="43"/>
    </row>
    <row r="25880" spans="2:2" ht="12.75" customHeight="1" x14ac:dyDescent="0.2">
      <c r="B25880" s="43"/>
    </row>
    <row r="25881" spans="2:2" ht="12.75" customHeight="1" x14ac:dyDescent="0.2">
      <c r="B25881" s="43"/>
    </row>
    <row r="25882" spans="2:2" ht="12.75" customHeight="1" x14ac:dyDescent="0.2">
      <c r="B25882" s="43"/>
    </row>
    <row r="25883" spans="2:2" ht="12.75" customHeight="1" x14ac:dyDescent="0.2">
      <c r="B25883" s="43"/>
    </row>
    <row r="25884" spans="2:2" ht="12.75" customHeight="1" x14ac:dyDescent="0.2">
      <c r="B25884" s="43"/>
    </row>
    <row r="25885" spans="2:2" ht="12.75" customHeight="1" x14ac:dyDescent="0.2">
      <c r="B25885" s="43"/>
    </row>
    <row r="25886" spans="2:2" ht="12.75" customHeight="1" x14ac:dyDescent="0.2">
      <c r="B25886" s="43"/>
    </row>
    <row r="25887" spans="2:2" ht="12.75" customHeight="1" x14ac:dyDescent="0.2">
      <c r="B25887" s="43"/>
    </row>
    <row r="25888" spans="2:2" ht="12.75" customHeight="1" x14ac:dyDescent="0.2">
      <c r="B25888" s="43"/>
    </row>
    <row r="25889" spans="2:2" ht="12.75" customHeight="1" x14ac:dyDescent="0.2">
      <c r="B25889" s="43"/>
    </row>
    <row r="25890" spans="2:2" ht="12.75" customHeight="1" x14ac:dyDescent="0.2">
      <c r="B25890" s="43"/>
    </row>
    <row r="25891" spans="2:2" ht="12.75" customHeight="1" x14ac:dyDescent="0.2">
      <c r="B25891" s="43"/>
    </row>
    <row r="25892" spans="2:2" ht="12.75" customHeight="1" x14ac:dyDescent="0.2">
      <c r="B25892" s="43"/>
    </row>
    <row r="25893" spans="2:2" ht="12.75" customHeight="1" x14ac:dyDescent="0.2">
      <c r="B25893" s="43"/>
    </row>
    <row r="25894" spans="2:2" ht="12.75" customHeight="1" x14ac:dyDescent="0.2">
      <c r="B25894" s="43"/>
    </row>
    <row r="25895" spans="2:2" ht="12.75" customHeight="1" x14ac:dyDescent="0.2">
      <c r="B25895" s="43"/>
    </row>
    <row r="25896" spans="2:2" ht="12.75" customHeight="1" x14ac:dyDescent="0.2">
      <c r="B25896" s="43"/>
    </row>
    <row r="25897" spans="2:2" ht="12.75" customHeight="1" x14ac:dyDescent="0.2">
      <c r="B25897" s="43"/>
    </row>
    <row r="25898" spans="2:2" ht="12.75" customHeight="1" x14ac:dyDescent="0.2">
      <c r="B25898" s="43"/>
    </row>
    <row r="25899" spans="2:2" ht="12.75" customHeight="1" x14ac:dyDescent="0.2">
      <c r="B25899" s="43"/>
    </row>
    <row r="25900" spans="2:2" ht="12.75" customHeight="1" x14ac:dyDescent="0.2">
      <c r="B25900" s="43"/>
    </row>
    <row r="25901" spans="2:2" ht="12.75" customHeight="1" x14ac:dyDescent="0.2">
      <c r="B25901" s="43"/>
    </row>
    <row r="25902" spans="2:2" ht="12.75" customHeight="1" x14ac:dyDescent="0.2">
      <c r="B25902" s="43"/>
    </row>
    <row r="25903" spans="2:2" ht="12.75" customHeight="1" x14ac:dyDescent="0.2">
      <c r="B25903" s="43"/>
    </row>
    <row r="25904" spans="2:2" ht="12.75" customHeight="1" x14ac:dyDescent="0.2">
      <c r="B25904" s="43"/>
    </row>
    <row r="25905" spans="2:2" ht="12.75" customHeight="1" x14ac:dyDescent="0.2">
      <c r="B25905" s="43"/>
    </row>
    <row r="25906" spans="2:2" ht="12.75" customHeight="1" x14ac:dyDescent="0.2">
      <c r="B25906" s="43"/>
    </row>
    <row r="25907" spans="2:2" ht="12.75" customHeight="1" x14ac:dyDescent="0.2">
      <c r="B25907" s="43"/>
    </row>
    <row r="25908" spans="2:2" ht="12.75" customHeight="1" x14ac:dyDescent="0.2">
      <c r="B25908" s="43"/>
    </row>
    <row r="25909" spans="2:2" ht="12.75" customHeight="1" x14ac:dyDescent="0.2">
      <c r="B25909" s="43"/>
    </row>
    <row r="25910" spans="2:2" ht="12.75" customHeight="1" x14ac:dyDescent="0.2">
      <c r="B25910" s="43"/>
    </row>
    <row r="25911" spans="2:2" ht="12.75" customHeight="1" x14ac:dyDescent="0.2">
      <c r="B25911" s="43"/>
    </row>
    <row r="25912" spans="2:2" ht="12.75" customHeight="1" x14ac:dyDescent="0.2">
      <c r="B25912" s="43"/>
    </row>
    <row r="25913" spans="2:2" ht="12.75" customHeight="1" x14ac:dyDescent="0.2">
      <c r="B25913" s="43"/>
    </row>
    <row r="25914" spans="2:2" ht="12.75" customHeight="1" x14ac:dyDescent="0.2">
      <c r="B25914" s="43"/>
    </row>
    <row r="25915" spans="2:2" ht="12.75" customHeight="1" x14ac:dyDescent="0.2">
      <c r="B25915" s="43"/>
    </row>
    <row r="25916" spans="2:2" ht="12.75" customHeight="1" x14ac:dyDescent="0.2">
      <c r="B25916" s="43"/>
    </row>
    <row r="25917" spans="2:2" ht="12.75" customHeight="1" x14ac:dyDescent="0.2">
      <c r="B25917" s="43"/>
    </row>
    <row r="25918" spans="2:2" ht="12.75" customHeight="1" x14ac:dyDescent="0.2">
      <c r="B25918" s="43"/>
    </row>
    <row r="25919" spans="2:2" ht="12.75" customHeight="1" x14ac:dyDescent="0.2">
      <c r="B25919" s="43"/>
    </row>
    <row r="25920" spans="2:2" ht="12.75" customHeight="1" x14ac:dyDescent="0.2">
      <c r="B25920" s="43"/>
    </row>
    <row r="25921" spans="2:2" ht="12.75" customHeight="1" x14ac:dyDescent="0.2">
      <c r="B25921" s="43"/>
    </row>
    <row r="25922" spans="2:2" ht="12.75" customHeight="1" x14ac:dyDescent="0.2">
      <c r="B25922" s="43"/>
    </row>
    <row r="25923" spans="2:2" ht="12.75" customHeight="1" x14ac:dyDescent="0.2">
      <c r="B25923" s="43"/>
    </row>
    <row r="25924" spans="2:2" ht="12.75" customHeight="1" x14ac:dyDescent="0.2">
      <c r="B25924" s="43"/>
    </row>
    <row r="25925" spans="2:2" ht="12.75" customHeight="1" x14ac:dyDescent="0.2">
      <c r="B25925" s="43"/>
    </row>
    <row r="25926" spans="2:2" ht="12.75" customHeight="1" x14ac:dyDescent="0.2">
      <c r="B25926" s="43"/>
    </row>
    <row r="25927" spans="2:2" ht="12.75" customHeight="1" x14ac:dyDescent="0.2">
      <c r="B25927" s="43"/>
    </row>
    <row r="25928" spans="2:2" ht="12.75" customHeight="1" x14ac:dyDescent="0.2">
      <c r="B25928" s="43"/>
    </row>
    <row r="25929" spans="2:2" ht="12.75" customHeight="1" x14ac:dyDescent="0.2">
      <c r="B25929" s="43"/>
    </row>
    <row r="25930" spans="2:2" ht="12.75" customHeight="1" x14ac:dyDescent="0.2">
      <c r="B25930" s="43"/>
    </row>
    <row r="25931" spans="2:2" ht="12.75" customHeight="1" x14ac:dyDescent="0.2">
      <c r="B25931" s="43"/>
    </row>
    <row r="25932" spans="2:2" ht="12.75" customHeight="1" x14ac:dyDescent="0.2">
      <c r="B25932" s="43"/>
    </row>
    <row r="25933" spans="2:2" ht="12.75" customHeight="1" x14ac:dyDescent="0.2">
      <c r="B25933" s="43"/>
    </row>
    <row r="25934" spans="2:2" ht="12.75" customHeight="1" x14ac:dyDescent="0.2">
      <c r="B25934" s="43"/>
    </row>
    <row r="25935" spans="2:2" ht="12.75" customHeight="1" x14ac:dyDescent="0.2">
      <c r="B25935" s="43"/>
    </row>
    <row r="25936" spans="2:2" ht="12.75" customHeight="1" x14ac:dyDescent="0.2">
      <c r="B25936" s="43"/>
    </row>
    <row r="25937" spans="2:2" ht="12.75" customHeight="1" x14ac:dyDescent="0.2">
      <c r="B25937" s="43"/>
    </row>
    <row r="25938" spans="2:2" ht="12.75" customHeight="1" x14ac:dyDescent="0.2">
      <c r="B25938" s="43"/>
    </row>
    <row r="25939" spans="2:2" ht="12.75" customHeight="1" x14ac:dyDescent="0.2">
      <c r="B25939" s="43"/>
    </row>
    <row r="25940" spans="2:2" ht="12.75" customHeight="1" x14ac:dyDescent="0.2">
      <c r="B25940" s="43"/>
    </row>
    <row r="25941" spans="2:2" ht="12.75" customHeight="1" x14ac:dyDescent="0.2">
      <c r="B25941" s="43"/>
    </row>
    <row r="25942" spans="2:2" ht="12.75" customHeight="1" x14ac:dyDescent="0.2">
      <c r="B25942" s="43"/>
    </row>
    <row r="25943" spans="2:2" ht="12.75" customHeight="1" x14ac:dyDescent="0.2">
      <c r="B25943" s="43"/>
    </row>
    <row r="25944" spans="2:2" ht="12.75" customHeight="1" x14ac:dyDescent="0.2">
      <c r="B25944" s="43"/>
    </row>
    <row r="25945" spans="2:2" ht="12.75" customHeight="1" x14ac:dyDescent="0.2">
      <c r="B25945" s="43"/>
    </row>
    <row r="25946" spans="2:2" ht="12.75" customHeight="1" x14ac:dyDescent="0.2">
      <c r="B25946" s="43"/>
    </row>
    <row r="25947" spans="2:2" ht="12.75" customHeight="1" x14ac:dyDescent="0.2">
      <c r="B25947" s="43"/>
    </row>
    <row r="25948" spans="2:2" ht="12.75" customHeight="1" x14ac:dyDescent="0.2">
      <c r="B25948" s="43"/>
    </row>
    <row r="25949" spans="2:2" ht="12.75" customHeight="1" x14ac:dyDescent="0.2">
      <c r="B25949" s="43"/>
    </row>
    <row r="25950" spans="2:2" ht="12.75" customHeight="1" x14ac:dyDescent="0.2">
      <c r="B25950" s="43"/>
    </row>
    <row r="25951" spans="2:2" ht="12.75" customHeight="1" x14ac:dyDescent="0.2">
      <c r="B25951" s="43"/>
    </row>
    <row r="25952" spans="2:2" ht="12.75" customHeight="1" x14ac:dyDescent="0.2">
      <c r="B25952" s="43"/>
    </row>
    <row r="25953" spans="2:2" ht="12.75" customHeight="1" x14ac:dyDescent="0.2">
      <c r="B25953" s="43"/>
    </row>
    <row r="25954" spans="2:2" ht="12.75" customHeight="1" x14ac:dyDescent="0.2">
      <c r="B25954" s="43"/>
    </row>
    <row r="25955" spans="2:2" ht="12.75" customHeight="1" x14ac:dyDescent="0.2">
      <c r="B25955" s="43"/>
    </row>
    <row r="25956" spans="2:2" ht="12.75" customHeight="1" x14ac:dyDescent="0.2">
      <c r="B25956" s="43"/>
    </row>
    <row r="25957" spans="2:2" ht="12.75" customHeight="1" x14ac:dyDescent="0.2">
      <c r="B25957" s="43"/>
    </row>
    <row r="25958" spans="2:2" ht="12.75" customHeight="1" x14ac:dyDescent="0.2">
      <c r="B25958" s="43"/>
    </row>
    <row r="25959" spans="2:2" ht="12.75" customHeight="1" x14ac:dyDescent="0.2">
      <c r="B25959" s="43"/>
    </row>
    <row r="25960" spans="2:2" ht="12.75" customHeight="1" x14ac:dyDescent="0.2">
      <c r="B25960" s="43"/>
    </row>
    <row r="25961" spans="2:2" ht="12.75" customHeight="1" x14ac:dyDescent="0.2">
      <c r="B25961" s="43"/>
    </row>
    <row r="25962" spans="2:2" ht="12.75" customHeight="1" x14ac:dyDescent="0.2">
      <c r="B25962" s="43"/>
    </row>
    <row r="25963" spans="2:2" ht="12.75" customHeight="1" x14ac:dyDescent="0.2">
      <c r="B25963" s="43"/>
    </row>
    <row r="25964" spans="2:2" ht="12.75" customHeight="1" x14ac:dyDescent="0.2">
      <c r="B25964" s="43"/>
    </row>
    <row r="25965" spans="2:2" ht="12.75" customHeight="1" x14ac:dyDescent="0.2">
      <c r="B25965" s="43"/>
    </row>
    <row r="25966" spans="2:2" ht="12.75" customHeight="1" x14ac:dyDescent="0.2">
      <c r="B25966" s="43"/>
    </row>
    <row r="25967" spans="2:2" ht="12.75" customHeight="1" x14ac:dyDescent="0.2">
      <c r="B25967" s="43"/>
    </row>
    <row r="25968" spans="2:2" ht="12.75" customHeight="1" x14ac:dyDescent="0.2">
      <c r="B25968" s="43"/>
    </row>
    <row r="25969" spans="2:2" ht="12.75" customHeight="1" x14ac:dyDescent="0.2">
      <c r="B25969" s="43"/>
    </row>
    <row r="25970" spans="2:2" ht="12.75" customHeight="1" x14ac:dyDescent="0.2">
      <c r="B25970" s="43"/>
    </row>
    <row r="25971" spans="2:2" ht="12.75" customHeight="1" x14ac:dyDescent="0.2">
      <c r="B25971" s="43"/>
    </row>
    <row r="25972" spans="2:2" ht="12.75" customHeight="1" x14ac:dyDescent="0.2">
      <c r="B25972" s="43"/>
    </row>
    <row r="25973" spans="2:2" ht="12.75" customHeight="1" x14ac:dyDescent="0.2">
      <c r="B25973" s="43"/>
    </row>
    <row r="25974" spans="2:2" ht="12.75" customHeight="1" x14ac:dyDescent="0.2">
      <c r="B25974" s="43"/>
    </row>
    <row r="25975" spans="2:2" ht="12.75" customHeight="1" x14ac:dyDescent="0.2">
      <c r="B25975" s="43"/>
    </row>
    <row r="25976" spans="2:2" ht="12.75" customHeight="1" x14ac:dyDescent="0.2">
      <c r="B25976" s="43"/>
    </row>
    <row r="25977" spans="2:2" ht="12.75" customHeight="1" x14ac:dyDescent="0.2">
      <c r="B25977" s="43"/>
    </row>
    <row r="25978" spans="2:2" ht="12.75" customHeight="1" x14ac:dyDescent="0.2">
      <c r="B25978" s="43"/>
    </row>
    <row r="25979" spans="2:2" ht="12.75" customHeight="1" x14ac:dyDescent="0.2">
      <c r="B25979" s="43"/>
    </row>
    <row r="25980" spans="2:2" ht="12.75" customHeight="1" x14ac:dyDescent="0.2">
      <c r="B25980" s="43"/>
    </row>
    <row r="25981" spans="2:2" ht="12.75" customHeight="1" x14ac:dyDescent="0.2">
      <c r="B25981" s="43"/>
    </row>
    <row r="25982" spans="2:2" ht="12.75" customHeight="1" x14ac:dyDescent="0.2">
      <c r="B25982" s="43"/>
    </row>
    <row r="25983" spans="2:2" ht="12.75" customHeight="1" x14ac:dyDescent="0.2">
      <c r="B25983" s="43"/>
    </row>
    <row r="25984" spans="2:2" ht="12.75" customHeight="1" x14ac:dyDescent="0.2">
      <c r="B25984" s="43"/>
    </row>
    <row r="25985" spans="2:2" ht="12.75" customHeight="1" x14ac:dyDescent="0.2">
      <c r="B25985" s="43"/>
    </row>
    <row r="25986" spans="2:2" ht="12.75" customHeight="1" x14ac:dyDescent="0.2">
      <c r="B25986" s="43"/>
    </row>
    <row r="25987" spans="2:2" ht="12.75" customHeight="1" x14ac:dyDescent="0.2">
      <c r="B25987" s="43"/>
    </row>
    <row r="25988" spans="2:2" ht="12.75" customHeight="1" x14ac:dyDescent="0.2">
      <c r="B25988" s="43"/>
    </row>
    <row r="25989" spans="2:2" ht="12.75" customHeight="1" x14ac:dyDescent="0.2">
      <c r="B25989" s="43"/>
    </row>
    <row r="25990" spans="2:2" ht="12.75" customHeight="1" x14ac:dyDescent="0.2">
      <c r="B25990" s="43"/>
    </row>
    <row r="25991" spans="2:2" ht="12.75" customHeight="1" x14ac:dyDescent="0.2">
      <c r="B25991" s="43"/>
    </row>
    <row r="25992" spans="2:2" ht="12.75" customHeight="1" x14ac:dyDescent="0.2">
      <c r="B25992" s="43"/>
    </row>
    <row r="25993" spans="2:2" ht="12.75" customHeight="1" x14ac:dyDescent="0.2">
      <c r="B25993" s="43"/>
    </row>
    <row r="25994" spans="2:2" ht="12.75" customHeight="1" x14ac:dyDescent="0.2">
      <c r="B25994" s="43"/>
    </row>
    <row r="25995" spans="2:2" ht="12.75" customHeight="1" x14ac:dyDescent="0.2">
      <c r="B25995" s="43"/>
    </row>
    <row r="25996" spans="2:2" ht="12.75" customHeight="1" x14ac:dyDescent="0.2">
      <c r="B25996" s="43"/>
    </row>
    <row r="25997" spans="2:2" ht="12.75" customHeight="1" x14ac:dyDescent="0.2">
      <c r="B25997" s="43"/>
    </row>
    <row r="25998" spans="2:2" ht="12.75" customHeight="1" x14ac:dyDescent="0.2">
      <c r="B25998" s="43"/>
    </row>
    <row r="25999" spans="2:2" ht="12.75" customHeight="1" x14ac:dyDescent="0.2">
      <c r="B25999" s="43"/>
    </row>
    <row r="26000" spans="2:2" ht="12.75" customHeight="1" x14ac:dyDescent="0.2">
      <c r="B26000" s="43"/>
    </row>
    <row r="26001" spans="2:2" ht="12.75" customHeight="1" x14ac:dyDescent="0.2">
      <c r="B26001" s="43"/>
    </row>
    <row r="26002" spans="2:2" ht="12.75" customHeight="1" x14ac:dyDescent="0.2">
      <c r="B26002" s="43"/>
    </row>
    <row r="26003" spans="2:2" ht="12.75" customHeight="1" x14ac:dyDescent="0.2">
      <c r="B26003" s="43"/>
    </row>
    <row r="26004" spans="2:2" ht="12.75" customHeight="1" x14ac:dyDescent="0.2">
      <c r="B26004" s="43"/>
    </row>
    <row r="26005" spans="2:2" ht="12.75" customHeight="1" x14ac:dyDescent="0.2">
      <c r="B26005" s="43"/>
    </row>
    <row r="26006" spans="2:2" ht="12.75" customHeight="1" x14ac:dyDescent="0.2">
      <c r="B26006" s="43"/>
    </row>
    <row r="26007" spans="2:2" ht="12.75" customHeight="1" x14ac:dyDescent="0.2">
      <c r="B26007" s="43"/>
    </row>
    <row r="26008" spans="2:2" ht="12.75" customHeight="1" x14ac:dyDescent="0.2">
      <c r="B26008" s="43"/>
    </row>
    <row r="26009" spans="2:2" ht="12.75" customHeight="1" x14ac:dyDescent="0.2">
      <c r="B26009" s="43"/>
    </row>
    <row r="26010" spans="2:2" ht="12.75" customHeight="1" x14ac:dyDescent="0.2">
      <c r="B26010" s="43"/>
    </row>
    <row r="26011" spans="2:2" ht="12.75" customHeight="1" x14ac:dyDescent="0.2">
      <c r="B26011" s="43"/>
    </row>
    <row r="26012" spans="2:2" ht="12.75" customHeight="1" x14ac:dyDescent="0.2">
      <c r="B26012" s="43"/>
    </row>
    <row r="26013" spans="2:2" ht="12.75" customHeight="1" x14ac:dyDescent="0.2">
      <c r="B26013" s="43"/>
    </row>
    <row r="26014" spans="2:2" ht="12.75" customHeight="1" x14ac:dyDescent="0.2">
      <c r="B26014" s="43"/>
    </row>
    <row r="26015" spans="2:2" ht="12.75" customHeight="1" x14ac:dyDescent="0.2">
      <c r="B26015" s="43"/>
    </row>
    <row r="26016" spans="2:2" ht="12.75" customHeight="1" x14ac:dyDescent="0.2">
      <c r="B26016" s="43"/>
    </row>
    <row r="26017" spans="2:2" ht="12.75" customHeight="1" x14ac:dyDescent="0.2">
      <c r="B26017" s="43"/>
    </row>
    <row r="26018" spans="2:2" ht="12.75" customHeight="1" x14ac:dyDescent="0.2">
      <c r="B26018" s="43"/>
    </row>
    <row r="26019" spans="2:2" ht="12.75" customHeight="1" x14ac:dyDescent="0.2">
      <c r="B26019" s="43"/>
    </row>
    <row r="26020" spans="2:2" ht="12.75" customHeight="1" x14ac:dyDescent="0.2">
      <c r="B26020" s="43"/>
    </row>
    <row r="26021" spans="2:2" ht="12.75" customHeight="1" x14ac:dyDescent="0.2">
      <c r="B26021" s="43"/>
    </row>
    <row r="26022" spans="2:2" ht="12.75" customHeight="1" x14ac:dyDescent="0.2">
      <c r="B26022" s="43"/>
    </row>
    <row r="26023" spans="2:2" ht="12.75" customHeight="1" x14ac:dyDescent="0.2">
      <c r="B26023" s="43"/>
    </row>
    <row r="26024" spans="2:2" ht="12.75" customHeight="1" x14ac:dyDescent="0.2">
      <c r="B26024" s="43"/>
    </row>
    <row r="26025" spans="2:2" ht="12.75" customHeight="1" x14ac:dyDescent="0.2">
      <c r="B26025" s="43"/>
    </row>
    <row r="26026" spans="2:2" ht="12.75" customHeight="1" x14ac:dyDescent="0.2">
      <c r="B26026" s="43"/>
    </row>
    <row r="26027" spans="2:2" ht="12.75" customHeight="1" x14ac:dyDescent="0.2">
      <c r="B26027" s="43"/>
    </row>
    <row r="26028" spans="2:2" ht="12.75" customHeight="1" x14ac:dyDescent="0.2">
      <c r="B26028" s="43"/>
    </row>
    <row r="26029" spans="2:2" ht="12.75" customHeight="1" x14ac:dyDescent="0.2">
      <c r="B26029" s="43"/>
    </row>
    <row r="26030" spans="2:2" ht="12.75" customHeight="1" x14ac:dyDescent="0.2">
      <c r="B26030" s="43"/>
    </row>
    <row r="26031" spans="2:2" ht="12.75" customHeight="1" x14ac:dyDescent="0.2">
      <c r="B26031" s="43"/>
    </row>
    <row r="26032" spans="2:2" ht="12.75" customHeight="1" x14ac:dyDescent="0.2">
      <c r="B26032" s="43"/>
    </row>
    <row r="26033" spans="2:2" ht="12.75" customHeight="1" x14ac:dyDescent="0.2">
      <c r="B26033" s="43"/>
    </row>
    <row r="26034" spans="2:2" ht="12.75" customHeight="1" x14ac:dyDescent="0.2">
      <c r="B26034" s="43"/>
    </row>
    <row r="26035" spans="2:2" ht="12.75" customHeight="1" x14ac:dyDescent="0.2">
      <c r="B26035" s="43"/>
    </row>
    <row r="26036" spans="2:2" ht="12.75" customHeight="1" x14ac:dyDescent="0.2">
      <c r="B26036" s="43"/>
    </row>
    <row r="26037" spans="2:2" ht="12.75" customHeight="1" x14ac:dyDescent="0.2">
      <c r="B26037" s="43"/>
    </row>
    <row r="26038" spans="2:2" ht="12.75" customHeight="1" x14ac:dyDescent="0.2">
      <c r="B26038" s="43"/>
    </row>
    <row r="26039" spans="2:2" ht="12.75" customHeight="1" x14ac:dyDescent="0.2">
      <c r="B26039" s="43"/>
    </row>
    <row r="26040" spans="2:2" ht="12.75" customHeight="1" x14ac:dyDescent="0.2">
      <c r="B26040" s="43"/>
    </row>
    <row r="26041" spans="2:2" ht="12.75" customHeight="1" x14ac:dyDescent="0.2">
      <c r="B26041" s="43"/>
    </row>
    <row r="26042" spans="2:2" ht="12.75" customHeight="1" x14ac:dyDescent="0.2">
      <c r="B26042" s="43"/>
    </row>
    <row r="26043" spans="2:2" ht="12.75" customHeight="1" x14ac:dyDescent="0.2">
      <c r="B26043" s="43"/>
    </row>
    <row r="26044" spans="2:2" ht="12.75" customHeight="1" x14ac:dyDescent="0.2">
      <c r="B26044" s="43"/>
    </row>
    <row r="26045" spans="2:2" ht="12.75" customHeight="1" x14ac:dyDescent="0.2">
      <c r="B26045" s="43"/>
    </row>
    <row r="26046" spans="2:2" ht="12.75" customHeight="1" x14ac:dyDescent="0.2">
      <c r="B26046" s="43"/>
    </row>
    <row r="26047" spans="2:2" ht="12.75" customHeight="1" x14ac:dyDescent="0.2">
      <c r="B26047" s="43"/>
    </row>
    <row r="26048" spans="2:2" ht="12.75" customHeight="1" x14ac:dyDescent="0.2">
      <c r="B26048" s="43"/>
    </row>
    <row r="26049" spans="2:2" ht="12.75" customHeight="1" x14ac:dyDescent="0.2">
      <c r="B26049" s="43"/>
    </row>
    <row r="26050" spans="2:2" ht="12.75" customHeight="1" x14ac:dyDescent="0.2">
      <c r="B26050" s="43"/>
    </row>
    <row r="26051" spans="2:2" ht="12.75" customHeight="1" x14ac:dyDescent="0.2">
      <c r="B26051" s="43"/>
    </row>
    <row r="26052" spans="2:2" ht="12.75" customHeight="1" x14ac:dyDescent="0.2">
      <c r="B26052" s="43"/>
    </row>
    <row r="26053" spans="2:2" ht="12.75" customHeight="1" x14ac:dyDescent="0.2">
      <c r="B26053" s="43"/>
    </row>
    <row r="26054" spans="2:2" ht="12.75" customHeight="1" x14ac:dyDescent="0.2">
      <c r="B26054" s="43"/>
    </row>
    <row r="26055" spans="2:2" ht="12.75" customHeight="1" x14ac:dyDescent="0.2">
      <c r="B26055" s="43"/>
    </row>
    <row r="26056" spans="2:2" ht="12.75" customHeight="1" x14ac:dyDescent="0.2">
      <c r="B26056" s="43"/>
    </row>
    <row r="26057" spans="2:2" ht="12.75" customHeight="1" x14ac:dyDescent="0.2">
      <c r="B26057" s="43"/>
    </row>
    <row r="26058" spans="2:2" ht="12.75" customHeight="1" x14ac:dyDescent="0.2">
      <c r="B26058" s="43"/>
    </row>
    <row r="26059" spans="2:2" ht="12.75" customHeight="1" x14ac:dyDescent="0.2">
      <c r="B26059" s="43"/>
    </row>
    <row r="26060" spans="2:2" ht="12.75" customHeight="1" x14ac:dyDescent="0.2">
      <c r="B26060" s="43"/>
    </row>
    <row r="26061" spans="2:2" ht="12.75" customHeight="1" x14ac:dyDescent="0.2">
      <c r="B26061" s="43"/>
    </row>
    <row r="26062" spans="2:2" ht="12.75" customHeight="1" x14ac:dyDescent="0.2">
      <c r="B26062" s="43"/>
    </row>
    <row r="26063" spans="2:2" ht="12.75" customHeight="1" x14ac:dyDescent="0.2">
      <c r="B26063" s="43"/>
    </row>
    <row r="26064" spans="2:2" ht="12.75" customHeight="1" x14ac:dyDescent="0.2">
      <c r="B26064" s="43"/>
    </row>
    <row r="26065" spans="2:2" ht="12.75" customHeight="1" x14ac:dyDescent="0.2">
      <c r="B26065" s="43"/>
    </row>
    <row r="26066" spans="2:2" ht="12.75" customHeight="1" x14ac:dyDescent="0.2">
      <c r="B26066" s="43"/>
    </row>
    <row r="26067" spans="2:2" ht="12.75" customHeight="1" x14ac:dyDescent="0.2">
      <c r="B26067" s="43"/>
    </row>
    <row r="26068" spans="2:2" ht="12.75" customHeight="1" x14ac:dyDescent="0.2">
      <c r="B26068" s="43"/>
    </row>
    <row r="26069" spans="2:2" ht="12.75" customHeight="1" x14ac:dyDescent="0.2">
      <c r="B26069" s="43"/>
    </row>
    <row r="26070" spans="2:2" ht="12.75" customHeight="1" x14ac:dyDescent="0.2">
      <c r="B26070" s="43"/>
    </row>
    <row r="26071" spans="2:2" ht="12.75" customHeight="1" x14ac:dyDescent="0.2">
      <c r="B26071" s="43"/>
    </row>
    <row r="26072" spans="2:2" ht="12.75" customHeight="1" x14ac:dyDescent="0.2">
      <c r="B26072" s="43"/>
    </row>
    <row r="26073" spans="2:2" ht="12.75" customHeight="1" x14ac:dyDescent="0.2">
      <c r="B26073" s="43"/>
    </row>
    <row r="26074" spans="2:2" ht="12.75" customHeight="1" x14ac:dyDescent="0.2">
      <c r="B26074" s="43"/>
    </row>
    <row r="26075" spans="2:2" ht="12.75" customHeight="1" x14ac:dyDescent="0.2">
      <c r="B26075" s="43"/>
    </row>
    <row r="26076" spans="2:2" ht="12.75" customHeight="1" x14ac:dyDescent="0.2">
      <c r="B26076" s="43"/>
    </row>
    <row r="26077" spans="2:2" ht="12.75" customHeight="1" x14ac:dyDescent="0.2">
      <c r="B26077" s="43"/>
    </row>
    <row r="26078" spans="2:2" ht="12.75" customHeight="1" x14ac:dyDescent="0.2">
      <c r="B26078" s="43"/>
    </row>
    <row r="26079" spans="2:2" ht="12.75" customHeight="1" x14ac:dyDescent="0.2">
      <c r="B26079" s="43"/>
    </row>
    <row r="26080" spans="2:2" ht="12.75" customHeight="1" x14ac:dyDescent="0.2">
      <c r="B26080" s="43"/>
    </row>
    <row r="26081" spans="2:2" ht="12.75" customHeight="1" x14ac:dyDescent="0.2">
      <c r="B26081" s="43"/>
    </row>
    <row r="26082" spans="2:2" ht="12.75" customHeight="1" x14ac:dyDescent="0.2">
      <c r="B26082" s="43"/>
    </row>
    <row r="26083" spans="2:2" ht="12.75" customHeight="1" x14ac:dyDescent="0.2">
      <c r="B26083" s="43"/>
    </row>
    <row r="26084" spans="2:2" ht="12.75" customHeight="1" x14ac:dyDescent="0.2">
      <c r="B26084" s="43"/>
    </row>
    <row r="26085" spans="2:2" ht="12.75" customHeight="1" x14ac:dyDescent="0.2">
      <c r="B26085" s="43"/>
    </row>
    <row r="26086" spans="2:2" ht="12.75" customHeight="1" x14ac:dyDescent="0.2">
      <c r="B26086" s="43"/>
    </row>
    <row r="26087" spans="2:2" ht="12.75" customHeight="1" x14ac:dyDescent="0.2">
      <c r="B26087" s="43"/>
    </row>
    <row r="26088" spans="2:2" ht="12.75" customHeight="1" x14ac:dyDescent="0.2">
      <c r="B26088" s="43"/>
    </row>
    <row r="26089" spans="2:2" ht="12.75" customHeight="1" x14ac:dyDescent="0.2">
      <c r="B26089" s="43"/>
    </row>
    <row r="26090" spans="2:2" ht="12.75" customHeight="1" x14ac:dyDescent="0.2">
      <c r="B26090" s="43"/>
    </row>
    <row r="26091" spans="2:2" ht="12.75" customHeight="1" x14ac:dyDescent="0.2">
      <c r="B26091" s="43"/>
    </row>
    <row r="26092" spans="2:2" ht="12.75" customHeight="1" x14ac:dyDescent="0.2">
      <c r="B26092" s="43"/>
    </row>
    <row r="26093" spans="2:2" ht="12.75" customHeight="1" x14ac:dyDescent="0.2">
      <c r="B26093" s="43"/>
    </row>
    <row r="26094" spans="2:2" ht="12.75" customHeight="1" x14ac:dyDescent="0.2">
      <c r="B26094" s="43"/>
    </row>
    <row r="26095" spans="2:2" ht="12.75" customHeight="1" x14ac:dyDescent="0.2">
      <c r="B26095" s="43"/>
    </row>
    <row r="26096" spans="2:2" ht="12.75" customHeight="1" x14ac:dyDescent="0.2">
      <c r="B26096" s="43"/>
    </row>
    <row r="26097" spans="2:2" ht="12.75" customHeight="1" x14ac:dyDescent="0.2">
      <c r="B26097" s="43"/>
    </row>
    <row r="26098" spans="2:2" ht="12.75" customHeight="1" x14ac:dyDescent="0.2">
      <c r="B26098" s="43"/>
    </row>
    <row r="26099" spans="2:2" ht="12.75" customHeight="1" x14ac:dyDescent="0.2">
      <c r="B26099" s="43"/>
    </row>
    <row r="26100" spans="2:2" ht="12.75" customHeight="1" x14ac:dyDescent="0.2">
      <c r="B26100" s="43"/>
    </row>
    <row r="26101" spans="2:2" ht="12.75" customHeight="1" x14ac:dyDescent="0.2">
      <c r="B26101" s="43"/>
    </row>
    <row r="26102" spans="2:2" ht="12.75" customHeight="1" x14ac:dyDescent="0.2">
      <c r="B26102" s="43"/>
    </row>
    <row r="26103" spans="2:2" ht="12.75" customHeight="1" x14ac:dyDescent="0.2">
      <c r="B26103" s="43"/>
    </row>
    <row r="26104" spans="2:2" ht="12.75" customHeight="1" x14ac:dyDescent="0.2">
      <c r="B26104" s="43"/>
    </row>
    <row r="26105" spans="2:2" ht="12.75" customHeight="1" x14ac:dyDescent="0.2">
      <c r="B26105" s="43"/>
    </row>
    <row r="26106" spans="2:2" ht="12.75" customHeight="1" x14ac:dyDescent="0.2">
      <c r="B26106" s="43"/>
    </row>
    <row r="26107" spans="2:2" ht="12.75" customHeight="1" x14ac:dyDescent="0.2">
      <c r="B26107" s="43"/>
    </row>
    <row r="26108" spans="2:2" ht="12.75" customHeight="1" x14ac:dyDescent="0.2">
      <c r="B26108" s="43"/>
    </row>
    <row r="26109" spans="2:2" ht="12.75" customHeight="1" x14ac:dyDescent="0.2">
      <c r="B26109" s="43"/>
    </row>
    <row r="26110" spans="2:2" ht="12.75" customHeight="1" x14ac:dyDescent="0.2">
      <c r="B26110" s="43"/>
    </row>
    <row r="26111" spans="2:2" ht="12.75" customHeight="1" x14ac:dyDescent="0.2">
      <c r="B26111" s="43"/>
    </row>
    <row r="26112" spans="2:2" ht="12.75" customHeight="1" x14ac:dyDescent="0.2">
      <c r="B26112" s="43"/>
    </row>
    <row r="26113" spans="2:2" ht="12.75" customHeight="1" x14ac:dyDescent="0.2">
      <c r="B26113" s="43"/>
    </row>
    <row r="26114" spans="2:2" ht="12.75" customHeight="1" x14ac:dyDescent="0.2">
      <c r="B26114" s="43"/>
    </row>
    <row r="26115" spans="2:2" ht="12.75" customHeight="1" x14ac:dyDescent="0.2">
      <c r="B26115" s="43"/>
    </row>
    <row r="26116" spans="2:2" ht="12.75" customHeight="1" x14ac:dyDescent="0.2">
      <c r="B26116" s="43"/>
    </row>
    <row r="26117" spans="2:2" ht="12.75" customHeight="1" x14ac:dyDescent="0.2">
      <c r="B26117" s="43"/>
    </row>
    <row r="26118" spans="2:2" ht="12.75" customHeight="1" x14ac:dyDescent="0.2">
      <c r="B26118" s="43"/>
    </row>
    <row r="26119" spans="2:2" ht="12.75" customHeight="1" x14ac:dyDescent="0.2">
      <c r="B26119" s="43"/>
    </row>
    <row r="26120" spans="2:2" ht="12.75" customHeight="1" x14ac:dyDescent="0.2">
      <c r="B26120" s="43"/>
    </row>
    <row r="26121" spans="2:2" ht="12.75" customHeight="1" x14ac:dyDescent="0.2">
      <c r="B26121" s="43"/>
    </row>
    <row r="26122" spans="2:2" ht="12.75" customHeight="1" x14ac:dyDescent="0.2">
      <c r="B26122" s="43"/>
    </row>
    <row r="26123" spans="2:2" ht="12.75" customHeight="1" x14ac:dyDescent="0.2">
      <c r="B26123" s="43"/>
    </row>
    <row r="26124" spans="2:2" ht="12.75" customHeight="1" x14ac:dyDescent="0.2">
      <c r="B26124" s="43"/>
    </row>
    <row r="26125" spans="2:2" ht="12.75" customHeight="1" x14ac:dyDescent="0.2">
      <c r="B26125" s="43"/>
    </row>
    <row r="26126" spans="2:2" ht="12.75" customHeight="1" x14ac:dyDescent="0.2">
      <c r="B26126" s="43"/>
    </row>
    <row r="26127" spans="2:2" ht="12.75" customHeight="1" x14ac:dyDescent="0.2">
      <c r="B26127" s="43"/>
    </row>
    <row r="26128" spans="2:2" ht="12.75" customHeight="1" x14ac:dyDescent="0.2">
      <c r="B26128" s="43"/>
    </row>
    <row r="26129" spans="2:2" ht="12.75" customHeight="1" x14ac:dyDescent="0.2">
      <c r="B26129" s="43"/>
    </row>
    <row r="26130" spans="2:2" ht="12.75" customHeight="1" x14ac:dyDescent="0.2">
      <c r="B26130" s="43"/>
    </row>
    <row r="26131" spans="2:2" ht="12.75" customHeight="1" x14ac:dyDescent="0.2">
      <c r="B26131" s="43"/>
    </row>
    <row r="26132" spans="2:2" ht="12.75" customHeight="1" x14ac:dyDescent="0.2">
      <c r="B26132" s="43"/>
    </row>
    <row r="26133" spans="2:2" ht="12.75" customHeight="1" x14ac:dyDescent="0.2">
      <c r="B26133" s="43"/>
    </row>
    <row r="26134" spans="2:2" ht="12.75" customHeight="1" x14ac:dyDescent="0.2">
      <c r="B26134" s="43"/>
    </row>
    <row r="26135" spans="2:2" ht="12.75" customHeight="1" x14ac:dyDescent="0.2">
      <c r="B26135" s="43"/>
    </row>
    <row r="26136" spans="2:2" ht="12.75" customHeight="1" x14ac:dyDescent="0.2">
      <c r="B26136" s="43"/>
    </row>
    <row r="26137" spans="2:2" ht="12.75" customHeight="1" x14ac:dyDescent="0.2">
      <c r="B26137" s="43"/>
    </row>
    <row r="26138" spans="2:2" ht="12.75" customHeight="1" x14ac:dyDescent="0.2">
      <c r="B26138" s="43"/>
    </row>
    <row r="26139" spans="2:2" ht="12.75" customHeight="1" x14ac:dyDescent="0.2">
      <c r="B26139" s="43"/>
    </row>
    <row r="26140" spans="2:2" ht="12.75" customHeight="1" x14ac:dyDescent="0.2">
      <c r="B26140" s="43"/>
    </row>
    <row r="26141" spans="2:2" ht="12.75" customHeight="1" x14ac:dyDescent="0.2">
      <c r="B26141" s="43"/>
    </row>
    <row r="26142" spans="2:2" ht="12.75" customHeight="1" x14ac:dyDescent="0.2">
      <c r="B26142" s="43"/>
    </row>
    <row r="26143" spans="2:2" ht="12.75" customHeight="1" x14ac:dyDescent="0.2">
      <c r="B26143" s="43"/>
    </row>
    <row r="26144" spans="2:2" ht="12.75" customHeight="1" x14ac:dyDescent="0.2">
      <c r="B26144" s="43"/>
    </row>
    <row r="26145" spans="2:2" ht="12.75" customHeight="1" x14ac:dyDescent="0.2">
      <c r="B26145" s="43"/>
    </row>
    <row r="26146" spans="2:2" ht="12.75" customHeight="1" x14ac:dyDescent="0.2">
      <c r="B26146" s="43"/>
    </row>
    <row r="26147" spans="2:2" ht="12.75" customHeight="1" x14ac:dyDescent="0.2">
      <c r="B26147" s="43"/>
    </row>
    <row r="26148" spans="2:2" ht="12.75" customHeight="1" x14ac:dyDescent="0.2">
      <c r="B26148" s="43"/>
    </row>
    <row r="26149" spans="2:2" ht="12.75" customHeight="1" x14ac:dyDescent="0.2">
      <c r="B26149" s="43"/>
    </row>
    <row r="26150" spans="2:2" ht="12.75" customHeight="1" x14ac:dyDescent="0.2">
      <c r="B26150" s="43"/>
    </row>
    <row r="26151" spans="2:2" ht="12.75" customHeight="1" x14ac:dyDescent="0.2">
      <c r="B26151" s="43"/>
    </row>
    <row r="26152" spans="2:2" ht="12.75" customHeight="1" x14ac:dyDescent="0.2">
      <c r="B26152" s="43"/>
    </row>
    <row r="26153" spans="2:2" ht="12.75" customHeight="1" x14ac:dyDescent="0.2">
      <c r="B26153" s="43"/>
    </row>
    <row r="26154" spans="2:2" ht="12.75" customHeight="1" x14ac:dyDescent="0.2">
      <c r="B26154" s="43"/>
    </row>
    <row r="26155" spans="2:2" ht="12.75" customHeight="1" x14ac:dyDescent="0.2">
      <c r="B26155" s="43"/>
    </row>
    <row r="26156" spans="2:2" ht="12.75" customHeight="1" x14ac:dyDescent="0.2">
      <c r="B26156" s="43"/>
    </row>
    <row r="26157" spans="2:2" ht="12.75" customHeight="1" x14ac:dyDescent="0.2">
      <c r="B26157" s="43"/>
    </row>
    <row r="26158" spans="2:2" ht="12.75" customHeight="1" x14ac:dyDescent="0.2">
      <c r="B26158" s="43"/>
    </row>
    <row r="26159" spans="2:2" ht="12.75" customHeight="1" x14ac:dyDescent="0.2">
      <c r="B26159" s="43"/>
    </row>
    <row r="26160" spans="2:2" ht="12.75" customHeight="1" x14ac:dyDescent="0.2">
      <c r="B26160" s="43"/>
    </row>
    <row r="26161" spans="2:2" ht="12.75" customHeight="1" x14ac:dyDescent="0.2">
      <c r="B26161" s="43"/>
    </row>
    <row r="26162" spans="2:2" ht="12.75" customHeight="1" x14ac:dyDescent="0.2">
      <c r="B26162" s="43"/>
    </row>
    <row r="26163" spans="2:2" ht="12.75" customHeight="1" x14ac:dyDescent="0.2">
      <c r="B26163" s="43"/>
    </row>
    <row r="26164" spans="2:2" ht="12.75" customHeight="1" x14ac:dyDescent="0.2">
      <c r="B26164" s="43"/>
    </row>
    <row r="26165" spans="2:2" ht="12.75" customHeight="1" x14ac:dyDescent="0.2">
      <c r="B26165" s="43"/>
    </row>
    <row r="26166" spans="2:2" ht="12.75" customHeight="1" x14ac:dyDescent="0.2">
      <c r="B26166" s="43"/>
    </row>
    <row r="26167" spans="2:2" ht="12.75" customHeight="1" x14ac:dyDescent="0.2">
      <c r="B26167" s="43"/>
    </row>
    <row r="26168" spans="2:2" ht="12.75" customHeight="1" x14ac:dyDescent="0.2">
      <c r="B26168" s="43"/>
    </row>
    <row r="26169" spans="2:2" ht="12.75" customHeight="1" x14ac:dyDescent="0.2">
      <c r="B26169" s="43"/>
    </row>
    <row r="26170" spans="2:2" ht="12.75" customHeight="1" x14ac:dyDescent="0.2">
      <c r="B26170" s="43"/>
    </row>
    <row r="26171" spans="2:2" ht="12.75" customHeight="1" x14ac:dyDescent="0.2">
      <c r="B26171" s="43"/>
    </row>
    <row r="26172" spans="2:2" ht="12.75" customHeight="1" x14ac:dyDescent="0.2">
      <c r="B26172" s="43"/>
    </row>
    <row r="26173" spans="2:2" ht="12.75" customHeight="1" x14ac:dyDescent="0.2">
      <c r="B26173" s="43"/>
    </row>
    <row r="26174" spans="2:2" ht="12.75" customHeight="1" x14ac:dyDescent="0.2">
      <c r="B26174" s="43"/>
    </row>
    <row r="26175" spans="2:2" ht="12.75" customHeight="1" x14ac:dyDescent="0.2">
      <c r="B26175" s="43"/>
    </row>
    <row r="26176" spans="2:2" ht="12.75" customHeight="1" x14ac:dyDescent="0.2">
      <c r="B26176" s="43"/>
    </row>
    <row r="26177" spans="2:2" ht="12.75" customHeight="1" x14ac:dyDescent="0.2">
      <c r="B26177" s="43"/>
    </row>
    <row r="26178" spans="2:2" ht="12.75" customHeight="1" x14ac:dyDescent="0.2">
      <c r="B26178" s="43"/>
    </row>
    <row r="26179" spans="2:2" ht="12.75" customHeight="1" x14ac:dyDescent="0.2">
      <c r="B26179" s="43"/>
    </row>
    <row r="26180" spans="2:2" ht="12.75" customHeight="1" x14ac:dyDescent="0.2">
      <c r="B26180" s="43"/>
    </row>
    <row r="26181" spans="2:2" ht="12.75" customHeight="1" x14ac:dyDescent="0.2">
      <c r="B26181" s="43"/>
    </row>
    <row r="26182" spans="2:2" ht="12.75" customHeight="1" x14ac:dyDescent="0.2">
      <c r="B26182" s="43"/>
    </row>
    <row r="26183" spans="2:2" ht="12.75" customHeight="1" x14ac:dyDescent="0.2">
      <c r="B26183" s="43"/>
    </row>
    <row r="26184" spans="2:2" ht="12.75" customHeight="1" x14ac:dyDescent="0.2">
      <c r="B26184" s="43"/>
    </row>
    <row r="26185" spans="2:2" ht="12.75" customHeight="1" x14ac:dyDescent="0.2">
      <c r="B26185" s="43"/>
    </row>
    <row r="26186" spans="2:2" ht="12.75" customHeight="1" x14ac:dyDescent="0.2">
      <c r="B26186" s="43"/>
    </row>
    <row r="26187" spans="2:2" ht="12.75" customHeight="1" x14ac:dyDescent="0.2">
      <c r="B26187" s="43"/>
    </row>
    <row r="26188" spans="2:2" ht="12.75" customHeight="1" x14ac:dyDescent="0.2">
      <c r="B26188" s="43"/>
    </row>
    <row r="26189" spans="2:2" ht="12.75" customHeight="1" x14ac:dyDescent="0.2">
      <c r="B26189" s="43"/>
    </row>
    <row r="26190" spans="2:2" ht="12.75" customHeight="1" x14ac:dyDescent="0.2">
      <c r="B26190" s="43"/>
    </row>
    <row r="26191" spans="2:2" ht="12.75" customHeight="1" x14ac:dyDescent="0.2">
      <c r="B26191" s="43"/>
    </row>
    <row r="26192" spans="2:2" ht="12.75" customHeight="1" x14ac:dyDescent="0.2">
      <c r="B26192" s="43"/>
    </row>
    <row r="26193" spans="2:2" ht="12.75" customHeight="1" x14ac:dyDescent="0.2">
      <c r="B26193" s="43"/>
    </row>
    <row r="26194" spans="2:2" ht="12.75" customHeight="1" x14ac:dyDescent="0.2">
      <c r="B26194" s="43"/>
    </row>
    <row r="26195" spans="2:2" ht="12.75" customHeight="1" x14ac:dyDescent="0.2">
      <c r="B26195" s="43"/>
    </row>
    <row r="26196" spans="2:2" ht="12.75" customHeight="1" x14ac:dyDescent="0.2">
      <c r="B26196" s="43"/>
    </row>
    <row r="26197" spans="2:2" ht="12.75" customHeight="1" x14ac:dyDescent="0.2">
      <c r="B26197" s="43"/>
    </row>
    <row r="26198" spans="2:2" ht="12.75" customHeight="1" x14ac:dyDescent="0.2">
      <c r="B26198" s="43"/>
    </row>
    <row r="26199" spans="2:2" ht="12.75" customHeight="1" x14ac:dyDescent="0.2">
      <c r="B26199" s="43"/>
    </row>
    <row r="26200" spans="2:2" ht="12.75" customHeight="1" x14ac:dyDescent="0.2">
      <c r="B26200" s="43"/>
    </row>
    <row r="26201" spans="2:2" ht="12.75" customHeight="1" x14ac:dyDescent="0.2">
      <c r="B26201" s="43"/>
    </row>
    <row r="26202" spans="2:2" ht="12.75" customHeight="1" x14ac:dyDescent="0.2">
      <c r="B26202" s="43"/>
    </row>
    <row r="26203" spans="2:2" ht="12.75" customHeight="1" x14ac:dyDescent="0.2">
      <c r="B26203" s="43"/>
    </row>
    <row r="26204" spans="2:2" ht="12.75" customHeight="1" x14ac:dyDescent="0.2">
      <c r="B26204" s="43"/>
    </row>
    <row r="26205" spans="2:2" ht="12.75" customHeight="1" x14ac:dyDescent="0.2">
      <c r="B26205" s="43"/>
    </row>
    <row r="26206" spans="2:2" ht="12.75" customHeight="1" x14ac:dyDescent="0.2">
      <c r="B26206" s="43"/>
    </row>
    <row r="26207" spans="2:2" ht="12.75" customHeight="1" x14ac:dyDescent="0.2">
      <c r="B26207" s="43"/>
    </row>
    <row r="26208" spans="2:2" ht="12.75" customHeight="1" x14ac:dyDescent="0.2">
      <c r="B26208" s="43"/>
    </row>
    <row r="26209" spans="2:2" ht="12.75" customHeight="1" x14ac:dyDescent="0.2">
      <c r="B26209" s="43"/>
    </row>
    <row r="26210" spans="2:2" ht="12.75" customHeight="1" x14ac:dyDescent="0.2">
      <c r="B26210" s="43"/>
    </row>
    <row r="26211" spans="2:2" ht="12.75" customHeight="1" x14ac:dyDescent="0.2">
      <c r="B26211" s="43"/>
    </row>
    <row r="26212" spans="2:2" ht="12.75" customHeight="1" x14ac:dyDescent="0.2">
      <c r="B26212" s="43"/>
    </row>
    <row r="26213" spans="2:2" ht="12.75" customHeight="1" x14ac:dyDescent="0.2">
      <c r="B26213" s="43"/>
    </row>
    <row r="26214" spans="2:2" ht="12.75" customHeight="1" x14ac:dyDescent="0.2">
      <c r="B26214" s="43"/>
    </row>
    <row r="26215" spans="2:2" ht="12.75" customHeight="1" x14ac:dyDescent="0.2">
      <c r="B26215" s="43"/>
    </row>
    <row r="26216" spans="2:2" ht="12.75" customHeight="1" x14ac:dyDescent="0.2">
      <c r="B26216" s="43"/>
    </row>
    <row r="26217" spans="2:2" ht="12.75" customHeight="1" x14ac:dyDescent="0.2">
      <c r="B26217" s="43"/>
    </row>
    <row r="26218" spans="2:2" ht="12.75" customHeight="1" x14ac:dyDescent="0.2">
      <c r="B26218" s="43"/>
    </row>
    <row r="26219" spans="2:2" ht="12.75" customHeight="1" x14ac:dyDescent="0.2">
      <c r="B26219" s="43"/>
    </row>
    <row r="26220" spans="2:2" ht="12.75" customHeight="1" x14ac:dyDescent="0.2">
      <c r="B26220" s="43"/>
    </row>
    <row r="26221" spans="2:2" ht="12.75" customHeight="1" x14ac:dyDescent="0.2">
      <c r="B26221" s="43"/>
    </row>
    <row r="26222" spans="2:2" ht="12.75" customHeight="1" x14ac:dyDescent="0.2">
      <c r="B26222" s="43"/>
    </row>
    <row r="26223" spans="2:2" ht="12.75" customHeight="1" x14ac:dyDescent="0.2">
      <c r="B26223" s="43"/>
    </row>
    <row r="26224" spans="2:2" ht="12.75" customHeight="1" x14ac:dyDescent="0.2">
      <c r="B26224" s="43"/>
    </row>
    <row r="26225" spans="2:2" ht="12.75" customHeight="1" x14ac:dyDescent="0.2">
      <c r="B26225" s="43"/>
    </row>
    <row r="26226" spans="2:2" ht="12.75" customHeight="1" x14ac:dyDescent="0.2">
      <c r="B26226" s="43"/>
    </row>
    <row r="26227" spans="2:2" ht="12.75" customHeight="1" x14ac:dyDescent="0.2">
      <c r="B26227" s="43"/>
    </row>
    <row r="26228" spans="2:2" ht="12.75" customHeight="1" x14ac:dyDescent="0.2">
      <c r="B26228" s="43"/>
    </row>
    <row r="26229" spans="2:2" ht="12.75" customHeight="1" x14ac:dyDescent="0.2">
      <c r="B26229" s="43"/>
    </row>
    <row r="26230" spans="2:2" ht="12.75" customHeight="1" x14ac:dyDescent="0.2">
      <c r="B26230" s="43"/>
    </row>
    <row r="26231" spans="2:2" ht="12.75" customHeight="1" x14ac:dyDescent="0.2">
      <c r="B26231" s="43"/>
    </row>
    <row r="26232" spans="2:2" ht="12.75" customHeight="1" x14ac:dyDescent="0.2">
      <c r="B26232" s="43"/>
    </row>
    <row r="26233" spans="2:2" ht="12.75" customHeight="1" x14ac:dyDescent="0.2">
      <c r="B26233" s="43"/>
    </row>
    <row r="26234" spans="2:2" ht="12.75" customHeight="1" x14ac:dyDescent="0.2">
      <c r="B26234" s="43"/>
    </row>
    <row r="26235" spans="2:2" ht="12.75" customHeight="1" x14ac:dyDescent="0.2">
      <c r="B26235" s="43"/>
    </row>
    <row r="26236" spans="2:2" ht="12.75" customHeight="1" x14ac:dyDescent="0.2">
      <c r="B26236" s="43"/>
    </row>
    <row r="26237" spans="2:2" ht="12.75" customHeight="1" x14ac:dyDescent="0.2">
      <c r="B26237" s="43"/>
    </row>
    <row r="26238" spans="2:2" ht="12.75" customHeight="1" x14ac:dyDescent="0.2">
      <c r="B26238" s="43"/>
    </row>
    <row r="26239" spans="2:2" ht="12.75" customHeight="1" x14ac:dyDescent="0.2">
      <c r="B26239" s="43"/>
    </row>
    <row r="26240" spans="2:2" ht="12.75" customHeight="1" x14ac:dyDescent="0.2">
      <c r="B26240" s="43"/>
    </row>
    <row r="26241" spans="2:2" ht="12.75" customHeight="1" x14ac:dyDescent="0.2">
      <c r="B26241" s="43"/>
    </row>
    <row r="26242" spans="2:2" ht="12.75" customHeight="1" x14ac:dyDescent="0.2">
      <c r="B26242" s="43"/>
    </row>
    <row r="26243" spans="2:2" ht="12.75" customHeight="1" x14ac:dyDescent="0.2">
      <c r="B26243" s="43"/>
    </row>
    <row r="26244" spans="2:2" ht="12.75" customHeight="1" x14ac:dyDescent="0.2">
      <c r="B26244" s="43"/>
    </row>
    <row r="26245" spans="2:2" ht="12.75" customHeight="1" x14ac:dyDescent="0.2">
      <c r="B26245" s="43"/>
    </row>
    <row r="26246" spans="2:2" ht="12.75" customHeight="1" x14ac:dyDescent="0.2">
      <c r="B26246" s="43"/>
    </row>
    <row r="26247" spans="2:2" ht="12.75" customHeight="1" x14ac:dyDescent="0.2">
      <c r="B26247" s="43"/>
    </row>
    <row r="26248" spans="2:2" ht="12.75" customHeight="1" x14ac:dyDescent="0.2">
      <c r="B26248" s="43"/>
    </row>
    <row r="26249" spans="2:2" ht="12.75" customHeight="1" x14ac:dyDescent="0.2">
      <c r="B26249" s="43"/>
    </row>
    <row r="26250" spans="2:2" ht="12.75" customHeight="1" x14ac:dyDescent="0.2">
      <c r="B26250" s="43"/>
    </row>
    <row r="26251" spans="2:2" ht="12.75" customHeight="1" x14ac:dyDescent="0.2">
      <c r="B26251" s="43"/>
    </row>
    <row r="26252" spans="2:2" ht="12.75" customHeight="1" x14ac:dyDescent="0.2">
      <c r="B26252" s="43"/>
    </row>
    <row r="26253" spans="2:2" ht="12.75" customHeight="1" x14ac:dyDescent="0.2">
      <c r="B26253" s="43"/>
    </row>
    <row r="26254" spans="2:2" ht="12.75" customHeight="1" x14ac:dyDescent="0.2">
      <c r="B26254" s="43"/>
    </row>
    <row r="26255" spans="2:2" ht="12.75" customHeight="1" x14ac:dyDescent="0.2">
      <c r="B26255" s="43"/>
    </row>
    <row r="26256" spans="2:2" ht="12.75" customHeight="1" x14ac:dyDescent="0.2">
      <c r="B26256" s="43"/>
    </row>
    <row r="26257" spans="2:2" ht="12.75" customHeight="1" x14ac:dyDescent="0.2">
      <c r="B26257" s="43"/>
    </row>
    <row r="26258" spans="2:2" ht="12.75" customHeight="1" x14ac:dyDescent="0.2">
      <c r="B26258" s="43"/>
    </row>
    <row r="26259" spans="2:2" ht="12.75" customHeight="1" x14ac:dyDescent="0.2">
      <c r="B26259" s="43"/>
    </row>
    <row r="26260" spans="2:2" ht="12.75" customHeight="1" x14ac:dyDescent="0.2">
      <c r="B26260" s="43"/>
    </row>
    <row r="26261" spans="2:2" ht="12.75" customHeight="1" x14ac:dyDescent="0.2">
      <c r="B26261" s="43"/>
    </row>
    <row r="26262" spans="2:2" ht="12.75" customHeight="1" x14ac:dyDescent="0.2">
      <c r="B26262" s="43"/>
    </row>
    <row r="26263" spans="2:2" ht="12.75" customHeight="1" x14ac:dyDescent="0.2">
      <c r="B26263" s="43"/>
    </row>
    <row r="26264" spans="2:2" ht="12.75" customHeight="1" x14ac:dyDescent="0.2">
      <c r="B26264" s="43"/>
    </row>
    <row r="26265" spans="2:2" ht="12.75" customHeight="1" x14ac:dyDescent="0.2">
      <c r="B26265" s="43"/>
    </row>
    <row r="26266" spans="2:2" ht="12.75" customHeight="1" x14ac:dyDescent="0.2">
      <c r="B26266" s="43"/>
    </row>
    <row r="26267" spans="2:2" ht="12.75" customHeight="1" x14ac:dyDescent="0.2">
      <c r="B26267" s="43"/>
    </row>
    <row r="26268" spans="2:2" ht="12.75" customHeight="1" x14ac:dyDescent="0.2">
      <c r="B26268" s="43"/>
    </row>
    <row r="26269" spans="2:2" ht="12.75" customHeight="1" x14ac:dyDescent="0.2">
      <c r="B26269" s="43"/>
    </row>
    <row r="26270" spans="2:2" ht="12.75" customHeight="1" x14ac:dyDescent="0.2">
      <c r="B26270" s="43"/>
    </row>
    <row r="26271" spans="2:2" ht="12.75" customHeight="1" x14ac:dyDescent="0.2">
      <c r="B26271" s="43"/>
    </row>
    <row r="26272" spans="2:2" ht="12.75" customHeight="1" x14ac:dyDescent="0.2">
      <c r="B26272" s="43"/>
    </row>
    <row r="26273" spans="2:2" ht="12.75" customHeight="1" x14ac:dyDescent="0.2">
      <c r="B26273" s="43"/>
    </row>
    <row r="26274" spans="2:2" ht="12.75" customHeight="1" x14ac:dyDescent="0.2">
      <c r="B26274" s="43"/>
    </row>
    <row r="26275" spans="2:2" ht="12.75" customHeight="1" x14ac:dyDescent="0.2">
      <c r="B26275" s="43"/>
    </row>
    <row r="26276" spans="2:2" ht="12.75" customHeight="1" x14ac:dyDescent="0.2">
      <c r="B26276" s="43"/>
    </row>
    <row r="26277" spans="2:2" ht="12.75" customHeight="1" x14ac:dyDescent="0.2">
      <c r="B26277" s="43"/>
    </row>
    <row r="26278" spans="2:2" ht="12.75" customHeight="1" x14ac:dyDescent="0.2">
      <c r="B26278" s="43"/>
    </row>
    <row r="26279" spans="2:2" ht="12.75" customHeight="1" x14ac:dyDescent="0.2">
      <c r="B26279" s="43"/>
    </row>
    <row r="26280" spans="2:2" ht="12.75" customHeight="1" x14ac:dyDescent="0.2">
      <c r="B26280" s="43"/>
    </row>
    <row r="26281" spans="2:2" ht="12.75" customHeight="1" x14ac:dyDescent="0.2">
      <c r="B26281" s="43"/>
    </row>
    <row r="26282" spans="2:2" ht="12.75" customHeight="1" x14ac:dyDescent="0.2">
      <c r="B26282" s="43"/>
    </row>
    <row r="26283" spans="2:2" ht="12.75" customHeight="1" x14ac:dyDescent="0.2">
      <c r="B26283" s="43"/>
    </row>
    <row r="26284" spans="2:2" ht="12.75" customHeight="1" x14ac:dyDescent="0.2">
      <c r="B26284" s="43"/>
    </row>
    <row r="26285" spans="2:2" ht="12.75" customHeight="1" x14ac:dyDescent="0.2">
      <c r="B26285" s="43"/>
    </row>
    <row r="26286" spans="2:2" ht="12.75" customHeight="1" x14ac:dyDescent="0.2">
      <c r="B26286" s="43"/>
    </row>
    <row r="26287" spans="2:2" ht="12.75" customHeight="1" x14ac:dyDescent="0.2">
      <c r="B26287" s="43"/>
    </row>
    <row r="26288" spans="2:2" ht="12.75" customHeight="1" x14ac:dyDescent="0.2">
      <c r="B26288" s="43"/>
    </row>
    <row r="26289" spans="2:2" ht="12.75" customHeight="1" x14ac:dyDescent="0.2">
      <c r="B26289" s="43"/>
    </row>
    <row r="26290" spans="2:2" ht="12.75" customHeight="1" x14ac:dyDescent="0.2">
      <c r="B26290" s="43"/>
    </row>
    <row r="26291" spans="2:2" ht="12.75" customHeight="1" x14ac:dyDescent="0.2">
      <c r="B26291" s="43"/>
    </row>
    <row r="26292" spans="2:2" ht="12.75" customHeight="1" x14ac:dyDescent="0.2">
      <c r="B26292" s="43"/>
    </row>
    <row r="26293" spans="2:2" ht="12.75" customHeight="1" x14ac:dyDescent="0.2">
      <c r="B26293" s="43"/>
    </row>
    <row r="26294" spans="2:2" ht="12.75" customHeight="1" x14ac:dyDescent="0.2">
      <c r="B26294" s="43"/>
    </row>
    <row r="26295" spans="2:2" ht="12.75" customHeight="1" x14ac:dyDescent="0.2">
      <c r="B26295" s="43"/>
    </row>
    <row r="26296" spans="2:2" ht="12.75" customHeight="1" x14ac:dyDescent="0.2">
      <c r="B26296" s="43"/>
    </row>
    <row r="26297" spans="2:2" ht="12.75" customHeight="1" x14ac:dyDescent="0.2">
      <c r="B26297" s="43"/>
    </row>
    <row r="26298" spans="2:2" ht="12.75" customHeight="1" x14ac:dyDescent="0.2">
      <c r="B26298" s="43"/>
    </row>
    <row r="26299" spans="2:2" ht="12.75" customHeight="1" x14ac:dyDescent="0.2">
      <c r="B26299" s="43"/>
    </row>
    <row r="26300" spans="2:2" ht="12.75" customHeight="1" x14ac:dyDescent="0.2">
      <c r="B26300" s="43"/>
    </row>
    <row r="26301" spans="2:2" ht="12.75" customHeight="1" x14ac:dyDescent="0.2">
      <c r="B26301" s="43"/>
    </row>
    <row r="26302" spans="2:2" ht="12.75" customHeight="1" x14ac:dyDescent="0.2">
      <c r="B26302" s="43"/>
    </row>
    <row r="26303" spans="2:2" ht="12.75" customHeight="1" x14ac:dyDescent="0.2">
      <c r="B26303" s="43"/>
    </row>
    <row r="26304" spans="2:2" ht="12.75" customHeight="1" x14ac:dyDescent="0.2">
      <c r="B26304" s="43"/>
    </row>
    <row r="26305" spans="2:2" ht="12.75" customHeight="1" x14ac:dyDescent="0.2">
      <c r="B26305" s="43"/>
    </row>
    <row r="26306" spans="2:2" ht="12.75" customHeight="1" x14ac:dyDescent="0.2">
      <c r="B26306" s="43"/>
    </row>
    <row r="26307" spans="2:2" ht="12.75" customHeight="1" x14ac:dyDescent="0.2">
      <c r="B26307" s="43"/>
    </row>
    <row r="26308" spans="2:2" ht="12.75" customHeight="1" x14ac:dyDescent="0.2">
      <c r="B26308" s="43"/>
    </row>
    <row r="26309" spans="2:2" ht="12.75" customHeight="1" x14ac:dyDescent="0.2">
      <c r="B26309" s="43"/>
    </row>
    <row r="26310" spans="2:2" ht="12.75" customHeight="1" x14ac:dyDescent="0.2">
      <c r="B26310" s="43"/>
    </row>
    <row r="26311" spans="2:2" ht="12.75" customHeight="1" x14ac:dyDescent="0.2">
      <c r="B26311" s="43"/>
    </row>
    <row r="26312" spans="2:2" ht="12.75" customHeight="1" x14ac:dyDescent="0.2">
      <c r="B26312" s="43"/>
    </row>
    <row r="26313" spans="2:2" ht="12.75" customHeight="1" x14ac:dyDescent="0.2">
      <c r="B26313" s="43"/>
    </row>
    <row r="26314" spans="2:2" ht="12.75" customHeight="1" x14ac:dyDescent="0.2">
      <c r="B26314" s="43"/>
    </row>
    <row r="26315" spans="2:2" ht="12.75" customHeight="1" x14ac:dyDescent="0.2">
      <c r="B26315" s="43"/>
    </row>
    <row r="26316" spans="2:2" ht="12.75" customHeight="1" x14ac:dyDescent="0.2">
      <c r="B26316" s="43"/>
    </row>
    <row r="26317" spans="2:2" ht="12.75" customHeight="1" x14ac:dyDescent="0.2">
      <c r="B26317" s="43"/>
    </row>
    <row r="26318" spans="2:2" ht="12.75" customHeight="1" x14ac:dyDescent="0.2">
      <c r="B26318" s="43"/>
    </row>
    <row r="26319" spans="2:2" ht="12.75" customHeight="1" x14ac:dyDescent="0.2">
      <c r="B26319" s="43"/>
    </row>
    <row r="26320" spans="2:2" ht="12.75" customHeight="1" x14ac:dyDescent="0.2">
      <c r="B26320" s="43"/>
    </row>
    <row r="26321" spans="2:2" ht="12.75" customHeight="1" x14ac:dyDescent="0.2">
      <c r="B26321" s="43"/>
    </row>
    <row r="26322" spans="2:2" ht="12.75" customHeight="1" x14ac:dyDescent="0.2">
      <c r="B26322" s="43"/>
    </row>
    <row r="26323" spans="2:2" ht="12.75" customHeight="1" x14ac:dyDescent="0.2">
      <c r="B26323" s="43"/>
    </row>
    <row r="26324" spans="2:2" ht="12.75" customHeight="1" x14ac:dyDescent="0.2">
      <c r="B26324" s="43"/>
    </row>
    <row r="26325" spans="2:2" ht="12.75" customHeight="1" x14ac:dyDescent="0.2">
      <c r="B26325" s="43"/>
    </row>
    <row r="26326" spans="2:2" ht="12.75" customHeight="1" x14ac:dyDescent="0.2">
      <c r="B26326" s="43"/>
    </row>
    <row r="26327" spans="2:2" ht="12.75" customHeight="1" x14ac:dyDescent="0.2">
      <c r="B26327" s="43"/>
    </row>
    <row r="26328" spans="2:2" ht="12.75" customHeight="1" x14ac:dyDescent="0.2">
      <c r="B26328" s="43"/>
    </row>
    <row r="26329" spans="2:2" ht="12.75" customHeight="1" x14ac:dyDescent="0.2">
      <c r="B26329" s="43"/>
    </row>
    <row r="26330" spans="2:2" ht="12.75" customHeight="1" x14ac:dyDescent="0.2">
      <c r="B26330" s="43"/>
    </row>
    <row r="26331" spans="2:2" ht="12.75" customHeight="1" x14ac:dyDescent="0.2">
      <c r="B26331" s="43"/>
    </row>
    <row r="26332" spans="2:2" ht="12.75" customHeight="1" x14ac:dyDescent="0.2">
      <c r="B26332" s="43"/>
    </row>
    <row r="26333" spans="2:2" ht="12.75" customHeight="1" x14ac:dyDescent="0.2">
      <c r="B26333" s="43"/>
    </row>
    <row r="26334" spans="2:2" ht="12.75" customHeight="1" x14ac:dyDescent="0.2">
      <c r="B26334" s="43"/>
    </row>
    <row r="26335" spans="2:2" ht="12.75" customHeight="1" x14ac:dyDescent="0.2">
      <c r="B26335" s="43"/>
    </row>
    <row r="26336" spans="2:2" ht="12.75" customHeight="1" x14ac:dyDescent="0.2">
      <c r="B26336" s="43"/>
    </row>
    <row r="26337" spans="2:2" ht="12.75" customHeight="1" x14ac:dyDescent="0.2">
      <c r="B26337" s="43"/>
    </row>
    <row r="26338" spans="2:2" ht="12.75" customHeight="1" x14ac:dyDescent="0.2">
      <c r="B26338" s="43"/>
    </row>
    <row r="26339" spans="2:2" ht="12.75" customHeight="1" x14ac:dyDescent="0.2">
      <c r="B26339" s="43"/>
    </row>
    <row r="26340" spans="2:2" ht="12.75" customHeight="1" x14ac:dyDescent="0.2">
      <c r="B26340" s="43"/>
    </row>
    <row r="26341" spans="2:2" ht="12.75" customHeight="1" x14ac:dyDescent="0.2">
      <c r="B26341" s="43"/>
    </row>
    <row r="26342" spans="2:2" ht="12.75" customHeight="1" x14ac:dyDescent="0.2">
      <c r="B26342" s="43"/>
    </row>
    <row r="26343" spans="2:2" ht="12.75" customHeight="1" x14ac:dyDescent="0.2">
      <c r="B26343" s="43"/>
    </row>
    <row r="26344" spans="2:2" ht="12.75" customHeight="1" x14ac:dyDescent="0.2">
      <c r="B26344" s="43"/>
    </row>
    <row r="26345" spans="2:2" ht="12.75" customHeight="1" x14ac:dyDescent="0.2">
      <c r="B26345" s="43"/>
    </row>
    <row r="26346" spans="2:2" ht="12.75" customHeight="1" x14ac:dyDescent="0.2">
      <c r="B26346" s="43"/>
    </row>
    <row r="26347" spans="2:2" ht="12.75" customHeight="1" x14ac:dyDescent="0.2">
      <c r="B26347" s="43"/>
    </row>
    <row r="26348" spans="2:2" ht="12.75" customHeight="1" x14ac:dyDescent="0.2">
      <c r="B26348" s="43"/>
    </row>
    <row r="26349" spans="2:2" ht="12.75" customHeight="1" x14ac:dyDescent="0.2">
      <c r="B26349" s="43"/>
    </row>
    <row r="26350" spans="2:2" ht="12.75" customHeight="1" x14ac:dyDescent="0.2">
      <c r="B26350" s="43"/>
    </row>
    <row r="26351" spans="2:2" ht="12.75" customHeight="1" x14ac:dyDescent="0.2">
      <c r="B26351" s="43"/>
    </row>
    <row r="26352" spans="2:2" ht="12.75" customHeight="1" x14ac:dyDescent="0.2">
      <c r="B26352" s="43"/>
    </row>
    <row r="26353" spans="2:2" ht="12.75" customHeight="1" x14ac:dyDescent="0.2">
      <c r="B26353" s="43"/>
    </row>
    <row r="26354" spans="2:2" ht="12.75" customHeight="1" x14ac:dyDescent="0.2">
      <c r="B26354" s="43"/>
    </row>
    <row r="26355" spans="2:2" ht="12.75" customHeight="1" x14ac:dyDescent="0.2">
      <c r="B26355" s="43"/>
    </row>
    <row r="26356" spans="2:2" ht="12.75" customHeight="1" x14ac:dyDescent="0.2">
      <c r="B26356" s="43"/>
    </row>
    <row r="26357" spans="2:2" ht="12.75" customHeight="1" x14ac:dyDescent="0.2">
      <c r="B26357" s="43"/>
    </row>
    <row r="26358" spans="2:2" ht="12.75" customHeight="1" x14ac:dyDescent="0.2">
      <c r="B26358" s="43"/>
    </row>
    <row r="26359" spans="2:2" ht="12.75" customHeight="1" x14ac:dyDescent="0.2">
      <c r="B26359" s="43"/>
    </row>
    <row r="26360" spans="2:2" ht="12.75" customHeight="1" x14ac:dyDescent="0.2">
      <c r="B26360" s="43"/>
    </row>
    <row r="26361" spans="2:2" ht="12.75" customHeight="1" x14ac:dyDescent="0.2">
      <c r="B26361" s="43"/>
    </row>
    <row r="26362" spans="2:2" ht="12.75" customHeight="1" x14ac:dyDescent="0.2">
      <c r="B26362" s="43"/>
    </row>
    <row r="26363" spans="2:2" ht="12.75" customHeight="1" x14ac:dyDescent="0.2">
      <c r="B26363" s="43"/>
    </row>
    <row r="26364" spans="2:2" ht="12.75" customHeight="1" x14ac:dyDescent="0.2">
      <c r="B26364" s="43"/>
    </row>
    <row r="26365" spans="2:2" ht="12.75" customHeight="1" x14ac:dyDescent="0.2">
      <c r="B26365" s="43"/>
    </row>
    <row r="26366" spans="2:2" ht="12.75" customHeight="1" x14ac:dyDescent="0.2">
      <c r="B26366" s="43"/>
    </row>
    <row r="26367" spans="2:2" ht="12.75" customHeight="1" x14ac:dyDescent="0.2">
      <c r="B26367" s="43"/>
    </row>
    <row r="26368" spans="2:2" ht="12.75" customHeight="1" x14ac:dyDescent="0.2">
      <c r="B26368" s="43"/>
    </row>
    <row r="26369" spans="2:2" ht="12.75" customHeight="1" x14ac:dyDescent="0.2">
      <c r="B26369" s="43"/>
    </row>
    <row r="26370" spans="2:2" ht="12.75" customHeight="1" x14ac:dyDescent="0.2">
      <c r="B26370" s="43"/>
    </row>
    <row r="26371" spans="2:2" ht="12.75" customHeight="1" x14ac:dyDescent="0.2">
      <c r="B26371" s="43"/>
    </row>
    <row r="26372" spans="2:2" ht="12.75" customHeight="1" x14ac:dyDescent="0.2">
      <c r="B26372" s="43"/>
    </row>
    <row r="26373" spans="2:2" ht="12.75" customHeight="1" x14ac:dyDescent="0.2">
      <c r="B26373" s="43"/>
    </row>
    <row r="26374" spans="2:2" ht="12.75" customHeight="1" x14ac:dyDescent="0.2">
      <c r="B26374" s="43"/>
    </row>
    <row r="26375" spans="2:2" ht="12.75" customHeight="1" x14ac:dyDescent="0.2">
      <c r="B26375" s="43"/>
    </row>
    <row r="26376" spans="2:2" ht="12.75" customHeight="1" x14ac:dyDescent="0.2">
      <c r="B26376" s="43"/>
    </row>
    <row r="26377" spans="2:2" ht="12.75" customHeight="1" x14ac:dyDescent="0.2">
      <c r="B26377" s="43"/>
    </row>
    <row r="26378" spans="2:2" ht="12.75" customHeight="1" x14ac:dyDescent="0.2">
      <c r="B26378" s="43"/>
    </row>
    <row r="26379" spans="2:2" ht="12.75" customHeight="1" x14ac:dyDescent="0.2">
      <c r="B26379" s="43"/>
    </row>
    <row r="26380" spans="2:2" ht="12.75" customHeight="1" x14ac:dyDescent="0.2">
      <c r="B26380" s="43"/>
    </row>
    <row r="26381" spans="2:2" ht="12.75" customHeight="1" x14ac:dyDescent="0.2">
      <c r="B26381" s="43"/>
    </row>
    <row r="26382" spans="2:2" ht="12.75" customHeight="1" x14ac:dyDescent="0.2">
      <c r="B26382" s="43"/>
    </row>
    <row r="26383" spans="2:2" ht="12.75" customHeight="1" x14ac:dyDescent="0.2">
      <c r="B26383" s="43"/>
    </row>
    <row r="26384" spans="2:2" ht="12.75" customHeight="1" x14ac:dyDescent="0.2">
      <c r="B26384" s="43"/>
    </row>
    <row r="26385" spans="2:2" ht="12.75" customHeight="1" x14ac:dyDescent="0.2">
      <c r="B26385" s="43"/>
    </row>
    <row r="26386" spans="2:2" ht="12.75" customHeight="1" x14ac:dyDescent="0.2">
      <c r="B26386" s="43"/>
    </row>
    <row r="26387" spans="2:2" ht="12.75" customHeight="1" x14ac:dyDescent="0.2">
      <c r="B26387" s="43"/>
    </row>
    <row r="26388" spans="2:2" ht="12.75" customHeight="1" x14ac:dyDescent="0.2">
      <c r="B26388" s="43"/>
    </row>
    <row r="26389" spans="2:2" ht="12.75" customHeight="1" x14ac:dyDescent="0.2">
      <c r="B26389" s="43"/>
    </row>
    <row r="26390" spans="2:2" ht="12.75" customHeight="1" x14ac:dyDescent="0.2">
      <c r="B26390" s="43"/>
    </row>
    <row r="26391" spans="2:2" ht="12.75" customHeight="1" x14ac:dyDescent="0.2">
      <c r="B26391" s="43"/>
    </row>
    <row r="26392" spans="2:2" ht="12.75" customHeight="1" x14ac:dyDescent="0.2">
      <c r="B26392" s="43"/>
    </row>
    <row r="26393" spans="2:2" ht="12.75" customHeight="1" x14ac:dyDescent="0.2">
      <c r="B26393" s="43"/>
    </row>
    <row r="26394" spans="2:2" ht="12.75" customHeight="1" x14ac:dyDescent="0.2">
      <c r="B26394" s="43"/>
    </row>
    <row r="26395" spans="2:2" ht="12.75" customHeight="1" x14ac:dyDescent="0.2">
      <c r="B26395" s="43"/>
    </row>
    <row r="26396" spans="2:2" ht="12.75" customHeight="1" x14ac:dyDescent="0.2">
      <c r="B26396" s="43"/>
    </row>
    <row r="26397" spans="2:2" ht="12.75" customHeight="1" x14ac:dyDescent="0.2">
      <c r="B26397" s="43"/>
    </row>
    <row r="26398" spans="2:2" ht="12.75" customHeight="1" x14ac:dyDescent="0.2">
      <c r="B26398" s="43"/>
    </row>
    <row r="26399" spans="2:2" ht="12.75" customHeight="1" x14ac:dyDescent="0.2">
      <c r="B26399" s="43"/>
    </row>
    <row r="26400" spans="2:2" ht="12.75" customHeight="1" x14ac:dyDescent="0.2">
      <c r="B26400" s="43"/>
    </row>
    <row r="26401" spans="2:2" ht="12.75" customHeight="1" x14ac:dyDescent="0.2">
      <c r="B26401" s="43"/>
    </row>
    <row r="26402" spans="2:2" ht="12.75" customHeight="1" x14ac:dyDescent="0.2">
      <c r="B26402" s="43"/>
    </row>
    <row r="26403" spans="2:2" ht="12.75" customHeight="1" x14ac:dyDescent="0.2">
      <c r="B26403" s="43"/>
    </row>
    <row r="26404" spans="2:2" ht="12.75" customHeight="1" x14ac:dyDescent="0.2">
      <c r="B26404" s="43"/>
    </row>
    <row r="26405" spans="2:2" ht="12.75" customHeight="1" x14ac:dyDescent="0.2">
      <c r="B26405" s="43"/>
    </row>
    <row r="26406" spans="2:2" ht="12.75" customHeight="1" x14ac:dyDescent="0.2">
      <c r="B26406" s="43"/>
    </row>
    <row r="26407" spans="2:2" ht="12.75" customHeight="1" x14ac:dyDescent="0.2">
      <c r="B26407" s="43"/>
    </row>
    <row r="26408" spans="2:2" ht="12.75" customHeight="1" x14ac:dyDescent="0.2">
      <c r="B26408" s="43"/>
    </row>
    <row r="26409" spans="2:2" ht="12.75" customHeight="1" x14ac:dyDescent="0.2">
      <c r="B26409" s="43"/>
    </row>
    <row r="26410" spans="2:2" ht="12.75" customHeight="1" x14ac:dyDescent="0.2">
      <c r="B26410" s="43"/>
    </row>
    <row r="26411" spans="2:2" ht="12.75" customHeight="1" x14ac:dyDescent="0.2">
      <c r="B26411" s="43"/>
    </row>
    <row r="26412" spans="2:2" ht="12.75" customHeight="1" x14ac:dyDescent="0.2">
      <c r="B26412" s="43"/>
    </row>
    <row r="26413" spans="2:2" ht="12.75" customHeight="1" x14ac:dyDescent="0.2">
      <c r="B26413" s="43"/>
    </row>
    <row r="26414" spans="2:2" ht="12.75" customHeight="1" x14ac:dyDescent="0.2">
      <c r="B26414" s="43"/>
    </row>
    <row r="26415" spans="2:2" ht="12.75" customHeight="1" x14ac:dyDescent="0.2">
      <c r="B26415" s="43"/>
    </row>
    <row r="26416" spans="2:2" ht="12.75" customHeight="1" x14ac:dyDescent="0.2">
      <c r="B26416" s="43"/>
    </row>
    <row r="26417" spans="2:2" ht="12.75" customHeight="1" x14ac:dyDescent="0.2">
      <c r="B26417" s="43"/>
    </row>
    <row r="26418" spans="2:2" ht="12.75" customHeight="1" x14ac:dyDescent="0.2">
      <c r="B26418" s="43"/>
    </row>
    <row r="26419" spans="2:2" ht="12.75" customHeight="1" x14ac:dyDescent="0.2">
      <c r="B26419" s="43"/>
    </row>
    <row r="26420" spans="2:2" ht="12.75" customHeight="1" x14ac:dyDescent="0.2">
      <c r="B26420" s="43"/>
    </row>
    <row r="26421" spans="2:2" ht="12.75" customHeight="1" x14ac:dyDescent="0.2">
      <c r="B26421" s="43"/>
    </row>
    <row r="26422" spans="2:2" ht="12.75" customHeight="1" x14ac:dyDescent="0.2">
      <c r="B26422" s="43"/>
    </row>
    <row r="26423" spans="2:2" ht="12.75" customHeight="1" x14ac:dyDescent="0.2">
      <c r="B26423" s="43"/>
    </row>
    <row r="26424" spans="2:2" ht="12.75" customHeight="1" x14ac:dyDescent="0.2">
      <c r="B26424" s="43"/>
    </row>
    <row r="26425" spans="2:2" ht="12.75" customHeight="1" x14ac:dyDescent="0.2">
      <c r="B26425" s="43"/>
    </row>
    <row r="26426" spans="2:2" ht="12.75" customHeight="1" x14ac:dyDescent="0.2">
      <c r="B26426" s="43"/>
    </row>
    <row r="26427" spans="2:2" ht="12.75" customHeight="1" x14ac:dyDescent="0.2">
      <c r="B26427" s="43"/>
    </row>
    <row r="26428" spans="2:2" ht="12.75" customHeight="1" x14ac:dyDescent="0.2">
      <c r="B26428" s="43"/>
    </row>
    <row r="26429" spans="2:2" ht="12.75" customHeight="1" x14ac:dyDescent="0.2">
      <c r="B26429" s="43"/>
    </row>
    <row r="26430" spans="2:2" ht="12.75" customHeight="1" x14ac:dyDescent="0.2">
      <c r="B26430" s="43"/>
    </row>
    <row r="26431" spans="2:2" ht="12.75" customHeight="1" x14ac:dyDescent="0.2">
      <c r="B26431" s="43"/>
    </row>
    <row r="26432" spans="2:2" ht="12.75" customHeight="1" x14ac:dyDescent="0.2">
      <c r="B26432" s="43"/>
    </row>
    <row r="26433" spans="2:2" ht="12.75" customHeight="1" x14ac:dyDescent="0.2">
      <c r="B26433" s="43"/>
    </row>
    <row r="26434" spans="2:2" ht="12.75" customHeight="1" x14ac:dyDescent="0.2">
      <c r="B26434" s="43"/>
    </row>
    <row r="26435" spans="2:2" ht="12.75" customHeight="1" x14ac:dyDescent="0.2">
      <c r="B26435" s="43"/>
    </row>
    <row r="26436" spans="2:2" ht="12.75" customHeight="1" x14ac:dyDescent="0.2">
      <c r="B26436" s="43"/>
    </row>
    <row r="26437" spans="2:2" ht="12.75" customHeight="1" x14ac:dyDescent="0.2">
      <c r="B26437" s="43"/>
    </row>
    <row r="26438" spans="2:2" ht="12.75" customHeight="1" x14ac:dyDescent="0.2">
      <c r="B26438" s="43"/>
    </row>
    <row r="26439" spans="2:2" ht="12.75" customHeight="1" x14ac:dyDescent="0.2">
      <c r="B26439" s="43"/>
    </row>
    <row r="26440" spans="2:2" ht="12.75" customHeight="1" x14ac:dyDescent="0.2">
      <c r="B26440" s="43"/>
    </row>
    <row r="26441" spans="2:2" ht="12.75" customHeight="1" x14ac:dyDescent="0.2">
      <c r="B26441" s="43"/>
    </row>
    <row r="26442" spans="2:2" ht="12.75" customHeight="1" x14ac:dyDescent="0.2">
      <c r="B26442" s="43"/>
    </row>
    <row r="26443" spans="2:2" ht="12.75" customHeight="1" x14ac:dyDescent="0.2">
      <c r="B26443" s="43"/>
    </row>
    <row r="26444" spans="2:2" ht="12.75" customHeight="1" x14ac:dyDescent="0.2">
      <c r="B26444" s="43"/>
    </row>
    <row r="26445" spans="2:2" ht="12.75" customHeight="1" x14ac:dyDescent="0.2">
      <c r="B26445" s="43"/>
    </row>
    <row r="26446" spans="2:2" ht="12.75" customHeight="1" x14ac:dyDescent="0.2">
      <c r="B26446" s="43"/>
    </row>
    <row r="26447" spans="2:2" ht="12.75" customHeight="1" x14ac:dyDescent="0.2">
      <c r="B26447" s="43"/>
    </row>
    <row r="26448" spans="2:2" ht="12.75" customHeight="1" x14ac:dyDescent="0.2">
      <c r="B26448" s="43"/>
    </row>
    <row r="26449" spans="2:2" ht="12.75" customHeight="1" x14ac:dyDescent="0.2">
      <c r="B26449" s="43"/>
    </row>
    <row r="26450" spans="2:2" ht="12.75" customHeight="1" x14ac:dyDescent="0.2">
      <c r="B26450" s="43"/>
    </row>
    <row r="26451" spans="2:2" ht="12.75" customHeight="1" x14ac:dyDescent="0.2">
      <c r="B26451" s="43"/>
    </row>
    <row r="26452" spans="2:2" ht="12.75" customHeight="1" x14ac:dyDescent="0.2">
      <c r="B26452" s="43"/>
    </row>
    <row r="26453" spans="2:2" ht="12.75" customHeight="1" x14ac:dyDescent="0.2">
      <c r="B26453" s="43"/>
    </row>
    <row r="26454" spans="2:2" ht="12.75" customHeight="1" x14ac:dyDescent="0.2">
      <c r="B26454" s="43"/>
    </row>
    <row r="26455" spans="2:2" ht="12.75" customHeight="1" x14ac:dyDescent="0.2">
      <c r="B26455" s="43"/>
    </row>
    <row r="26456" spans="2:2" ht="12.75" customHeight="1" x14ac:dyDescent="0.2">
      <c r="B26456" s="43"/>
    </row>
    <row r="26457" spans="2:2" ht="12.75" customHeight="1" x14ac:dyDescent="0.2">
      <c r="B26457" s="43"/>
    </row>
    <row r="26458" spans="2:2" ht="12.75" customHeight="1" x14ac:dyDescent="0.2">
      <c r="B26458" s="43"/>
    </row>
    <row r="26459" spans="2:2" ht="12.75" customHeight="1" x14ac:dyDescent="0.2">
      <c r="B26459" s="43"/>
    </row>
    <row r="26460" spans="2:2" ht="12.75" customHeight="1" x14ac:dyDescent="0.2">
      <c r="B26460" s="43"/>
    </row>
    <row r="26461" spans="2:2" ht="12.75" customHeight="1" x14ac:dyDescent="0.2">
      <c r="B26461" s="43"/>
    </row>
    <row r="26462" spans="2:2" ht="12.75" customHeight="1" x14ac:dyDescent="0.2">
      <c r="B26462" s="43"/>
    </row>
    <row r="26463" spans="2:2" ht="12.75" customHeight="1" x14ac:dyDescent="0.2">
      <c r="B26463" s="43"/>
    </row>
    <row r="26464" spans="2:2" ht="12.75" customHeight="1" x14ac:dyDescent="0.2">
      <c r="B26464" s="43"/>
    </row>
    <row r="26465" spans="2:2" ht="12.75" customHeight="1" x14ac:dyDescent="0.2">
      <c r="B26465" s="43"/>
    </row>
    <row r="26466" spans="2:2" ht="12.75" customHeight="1" x14ac:dyDescent="0.2">
      <c r="B26466" s="43"/>
    </row>
    <row r="26467" spans="2:2" ht="12.75" customHeight="1" x14ac:dyDescent="0.2">
      <c r="B26467" s="43"/>
    </row>
    <row r="26468" spans="2:2" ht="12.75" customHeight="1" x14ac:dyDescent="0.2">
      <c r="B26468" s="43"/>
    </row>
    <row r="26469" spans="2:2" ht="12.75" customHeight="1" x14ac:dyDescent="0.2">
      <c r="B26469" s="43"/>
    </row>
    <row r="26470" spans="2:2" ht="12.75" customHeight="1" x14ac:dyDescent="0.2">
      <c r="B26470" s="43"/>
    </row>
    <row r="26471" spans="2:2" ht="12.75" customHeight="1" x14ac:dyDescent="0.2">
      <c r="B26471" s="43"/>
    </row>
    <row r="26472" spans="2:2" ht="12.75" customHeight="1" x14ac:dyDescent="0.2">
      <c r="B26472" s="43"/>
    </row>
    <row r="26473" spans="2:2" ht="12.75" customHeight="1" x14ac:dyDescent="0.2">
      <c r="B26473" s="43"/>
    </row>
    <row r="26474" spans="2:2" ht="12.75" customHeight="1" x14ac:dyDescent="0.2">
      <c r="B26474" s="43"/>
    </row>
    <row r="26475" spans="2:2" ht="12.75" customHeight="1" x14ac:dyDescent="0.2">
      <c r="B26475" s="43"/>
    </row>
    <row r="26476" spans="2:2" ht="12.75" customHeight="1" x14ac:dyDescent="0.2">
      <c r="B26476" s="43"/>
    </row>
    <row r="26477" spans="2:2" ht="12.75" customHeight="1" x14ac:dyDescent="0.2">
      <c r="B26477" s="43"/>
    </row>
    <row r="26478" spans="2:2" ht="12.75" customHeight="1" x14ac:dyDescent="0.2">
      <c r="B26478" s="43"/>
    </row>
    <row r="26479" spans="2:2" ht="12.75" customHeight="1" x14ac:dyDescent="0.2">
      <c r="B26479" s="43"/>
    </row>
    <row r="26480" spans="2:2" ht="12.75" customHeight="1" x14ac:dyDescent="0.2">
      <c r="B26480" s="43"/>
    </row>
    <row r="26481" spans="2:2" ht="12.75" customHeight="1" x14ac:dyDescent="0.2">
      <c r="B26481" s="43"/>
    </row>
    <row r="26482" spans="2:2" ht="12.75" customHeight="1" x14ac:dyDescent="0.2">
      <c r="B26482" s="43"/>
    </row>
    <row r="26483" spans="2:2" ht="12.75" customHeight="1" x14ac:dyDescent="0.2">
      <c r="B26483" s="43"/>
    </row>
    <row r="26484" spans="2:2" ht="12.75" customHeight="1" x14ac:dyDescent="0.2">
      <c r="B26484" s="43"/>
    </row>
    <row r="26485" spans="2:2" ht="12.75" customHeight="1" x14ac:dyDescent="0.2">
      <c r="B26485" s="43"/>
    </row>
    <row r="26486" spans="2:2" ht="12.75" customHeight="1" x14ac:dyDescent="0.2">
      <c r="B26486" s="43"/>
    </row>
    <row r="26487" spans="2:2" ht="12.75" customHeight="1" x14ac:dyDescent="0.2">
      <c r="B26487" s="43"/>
    </row>
    <row r="26488" spans="2:2" ht="12.75" customHeight="1" x14ac:dyDescent="0.2">
      <c r="B26488" s="43"/>
    </row>
    <row r="26489" spans="2:2" ht="12.75" customHeight="1" x14ac:dyDescent="0.2">
      <c r="B26489" s="43"/>
    </row>
    <row r="26490" spans="2:2" ht="12.75" customHeight="1" x14ac:dyDescent="0.2">
      <c r="B26490" s="43"/>
    </row>
    <row r="26491" spans="2:2" ht="12.75" customHeight="1" x14ac:dyDescent="0.2">
      <c r="B26491" s="43"/>
    </row>
    <row r="26492" spans="2:2" ht="12.75" customHeight="1" x14ac:dyDescent="0.2">
      <c r="B26492" s="43"/>
    </row>
    <row r="26493" spans="2:2" ht="12.75" customHeight="1" x14ac:dyDescent="0.2">
      <c r="B26493" s="43"/>
    </row>
    <row r="26494" spans="2:2" ht="12.75" customHeight="1" x14ac:dyDescent="0.2">
      <c r="B26494" s="43"/>
    </row>
    <row r="26495" spans="2:2" ht="12.75" customHeight="1" x14ac:dyDescent="0.2">
      <c r="B26495" s="43"/>
    </row>
    <row r="26496" spans="2:2" ht="12.75" customHeight="1" x14ac:dyDescent="0.2">
      <c r="B26496" s="43"/>
    </row>
    <row r="26497" spans="2:2" ht="12.75" customHeight="1" x14ac:dyDescent="0.2">
      <c r="B26497" s="43"/>
    </row>
    <row r="26498" spans="2:2" ht="12.75" customHeight="1" x14ac:dyDescent="0.2">
      <c r="B26498" s="43"/>
    </row>
    <row r="26499" spans="2:2" ht="12.75" customHeight="1" x14ac:dyDescent="0.2">
      <c r="B26499" s="43"/>
    </row>
    <row r="26500" spans="2:2" ht="12.75" customHeight="1" x14ac:dyDescent="0.2">
      <c r="B26500" s="43"/>
    </row>
    <row r="26501" spans="2:2" ht="12.75" customHeight="1" x14ac:dyDescent="0.2">
      <c r="B26501" s="43"/>
    </row>
    <row r="26502" spans="2:2" ht="12.75" customHeight="1" x14ac:dyDescent="0.2">
      <c r="B26502" s="43"/>
    </row>
    <row r="26503" spans="2:2" ht="12.75" customHeight="1" x14ac:dyDescent="0.2">
      <c r="B26503" s="43"/>
    </row>
    <row r="26504" spans="2:2" ht="12.75" customHeight="1" x14ac:dyDescent="0.2">
      <c r="B26504" s="43"/>
    </row>
    <row r="26505" spans="2:2" ht="12.75" customHeight="1" x14ac:dyDescent="0.2">
      <c r="B26505" s="43"/>
    </row>
    <row r="26506" spans="2:2" ht="12.75" customHeight="1" x14ac:dyDescent="0.2">
      <c r="B26506" s="43"/>
    </row>
    <row r="26507" spans="2:2" ht="12.75" customHeight="1" x14ac:dyDescent="0.2">
      <c r="B26507" s="43"/>
    </row>
    <row r="26508" spans="2:2" ht="12.75" customHeight="1" x14ac:dyDescent="0.2">
      <c r="B26508" s="43"/>
    </row>
    <row r="26509" spans="2:2" ht="12.75" customHeight="1" x14ac:dyDescent="0.2">
      <c r="B26509" s="43"/>
    </row>
    <row r="26510" spans="2:2" ht="12.75" customHeight="1" x14ac:dyDescent="0.2">
      <c r="B26510" s="43"/>
    </row>
    <row r="26511" spans="2:2" ht="12.75" customHeight="1" x14ac:dyDescent="0.2">
      <c r="B26511" s="43"/>
    </row>
    <row r="26512" spans="2:2" ht="12.75" customHeight="1" x14ac:dyDescent="0.2">
      <c r="B26512" s="43"/>
    </row>
    <row r="26513" spans="2:2" ht="12.75" customHeight="1" x14ac:dyDescent="0.2">
      <c r="B26513" s="43"/>
    </row>
    <row r="26514" spans="2:2" ht="12.75" customHeight="1" x14ac:dyDescent="0.2">
      <c r="B26514" s="43"/>
    </row>
    <row r="26515" spans="2:2" ht="12.75" customHeight="1" x14ac:dyDescent="0.2">
      <c r="B26515" s="43"/>
    </row>
    <row r="26516" spans="2:2" ht="12.75" customHeight="1" x14ac:dyDescent="0.2">
      <c r="B26516" s="43"/>
    </row>
    <row r="26517" spans="2:2" ht="12.75" customHeight="1" x14ac:dyDescent="0.2">
      <c r="B26517" s="43"/>
    </row>
    <row r="26518" spans="2:2" ht="12.75" customHeight="1" x14ac:dyDescent="0.2">
      <c r="B26518" s="43"/>
    </row>
    <row r="26519" spans="2:2" ht="12.75" customHeight="1" x14ac:dyDescent="0.2">
      <c r="B26519" s="43"/>
    </row>
    <row r="26520" spans="2:2" ht="12.75" customHeight="1" x14ac:dyDescent="0.2">
      <c r="B26520" s="43"/>
    </row>
    <row r="26521" spans="2:2" ht="12.75" customHeight="1" x14ac:dyDescent="0.2">
      <c r="B26521" s="43"/>
    </row>
    <row r="26522" spans="2:2" ht="12.75" customHeight="1" x14ac:dyDescent="0.2">
      <c r="B26522" s="43"/>
    </row>
    <row r="26523" spans="2:2" ht="12.75" customHeight="1" x14ac:dyDescent="0.2">
      <c r="B26523" s="43"/>
    </row>
    <row r="26524" spans="2:2" ht="12.75" customHeight="1" x14ac:dyDescent="0.2">
      <c r="B26524" s="43"/>
    </row>
    <row r="26525" spans="2:2" ht="12.75" customHeight="1" x14ac:dyDescent="0.2">
      <c r="B26525" s="43"/>
    </row>
    <row r="26526" spans="2:2" ht="12.75" customHeight="1" x14ac:dyDescent="0.2">
      <c r="B26526" s="43"/>
    </row>
    <row r="26527" spans="2:2" ht="12.75" customHeight="1" x14ac:dyDescent="0.2">
      <c r="B26527" s="43"/>
    </row>
    <row r="26528" spans="2:2" ht="12.75" customHeight="1" x14ac:dyDescent="0.2">
      <c r="B26528" s="43"/>
    </row>
    <row r="26529" spans="2:2" ht="12.75" customHeight="1" x14ac:dyDescent="0.2">
      <c r="B26529" s="43"/>
    </row>
    <row r="26530" spans="2:2" ht="12.75" customHeight="1" x14ac:dyDescent="0.2">
      <c r="B26530" s="43"/>
    </row>
    <row r="26531" spans="2:2" ht="12.75" customHeight="1" x14ac:dyDescent="0.2">
      <c r="B26531" s="43"/>
    </row>
    <row r="26532" spans="2:2" ht="12.75" customHeight="1" x14ac:dyDescent="0.2">
      <c r="B26532" s="43"/>
    </row>
    <row r="26533" spans="2:2" ht="12.75" customHeight="1" x14ac:dyDescent="0.2">
      <c r="B26533" s="43"/>
    </row>
    <row r="26534" spans="2:2" ht="12.75" customHeight="1" x14ac:dyDescent="0.2">
      <c r="B26534" s="43"/>
    </row>
    <row r="26535" spans="2:2" ht="12.75" customHeight="1" x14ac:dyDescent="0.2">
      <c r="B26535" s="43"/>
    </row>
    <row r="26536" spans="2:2" ht="12.75" customHeight="1" x14ac:dyDescent="0.2">
      <c r="B26536" s="43"/>
    </row>
    <row r="26537" spans="2:2" ht="12.75" customHeight="1" x14ac:dyDescent="0.2">
      <c r="B26537" s="43"/>
    </row>
    <row r="26538" spans="2:2" ht="12.75" customHeight="1" x14ac:dyDescent="0.2">
      <c r="B26538" s="43"/>
    </row>
    <row r="26539" spans="2:2" ht="12.75" customHeight="1" x14ac:dyDescent="0.2">
      <c r="B26539" s="43"/>
    </row>
    <row r="26540" spans="2:2" ht="12.75" customHeight="1" x14ac:dyDescent="0.2">
      <c r="B26540" s="43"/>
    </row>
    <row r="26541" spans="2:2" ht="12.75" customHeight="1" x14ac:dyDescent="0.2">
      <c r="B26541" s="43"/>
    </row>
    <row r="26542" spans="2:2" ht="12.75" customHeight="1" x14ac:dyDescent="0.2">
      <c r="B26542" s="43"/>
    </row>
    <row r="26543" spans="2:2" ht="12.75" customHeight="1" x14ac:dyDescent="0.2">
      <c r="B26543" s="43"/>
    </row>
    <row r="26544" spans="2:2" ht="12.75" customHeight="1" x14ac:dyDescent="0.2">
      <c r="B26544" s="43"/>
    </row>
    <row r="26545" spans="2:2" ht="12.75" customHeight="1" x14ac:dyDescent="0.2">
      <c r="B26545" s="43"/>
    </row>
    <row r="26546" spans="2:2" ht="12.75" customHeight="1" x14ac:dyDescent="0.2">
      <c r="B26546" s="43"/>
    </row>
    <row r="26547" spans="2:2" ht="12.75" customHeight="1" x14ac:dyDescent="0.2">
      <c r="B26547" s="43"/>
    </row>
    <row r="26548" spans="2:2" ht="12.75" customHeight="1" x14ac:dyDescent="0.2">
      <c r="B26548" s="43"/>
    </row>
    <row r="26549" spans="2:2" ht="12.75" customHeight="1" x14ac:dyDescent="0.2">
      <c r="B26549" s="43"/>
    </row>
    <row r="26550" spans="2:2" ht="12.75" customHeight="1" x14ac:dyDescent="0.2">
      <c r="B26550" s="43"/>
    </row>
    <row r="26551" spans="2:2" ht="12.75" customHeight="1" x14ac:dyDescent="0.2">
      <c r="B26551" s="43"/>
    </row>
    <row r="26552" spans="2:2" ht="12.75" customHeight="1" x14ac:dyDescent="0.2">
      <c r="B26552" s="43"/>
    </row>
    <row r="26553" spans="2:2" ht="12.75" customHeight="1" x14ac:dyDescent="0.2">
      <c r="B26553" s="43"/>
    </row>
    <row r="26554" spans="2:2" ht="12.75" customHeight="1" x14ac:dyDescent="0.2">
      <c r="B26554" s="43"/>
    </row>
    <row r="26555" spans="2:2" ht="12.75" customHeight="1" x14ac:dyDescent="0.2">
      <c r="B26555" s="43"/>
    </row>
    <row r="26556" spans="2:2" ht="12.75" customHeight="1" x14ac:dyDescent="0.2">
      <c r="B26556" s="43"/>
    </row>
    <row r="26557" spans="2:2" ht="12.75" customHeight="1" x14ac:dyDescent="0.2">
      <c r="B26557" s="43"/>
    </row>
    <row r="26558" spans="2:2" ht="12.75" customHeight="1" x14ac:dyDescent="0.2">
      <c r="B26558" s="43"/>
    </row>
    <row r="26559" spans="2:2" ht="12.75" customHeight="1" x14ac:dyDescent="0.2">
      <c r="B26559" s="43"/>
    </row>
    <row r="26560" spans="2:2" ht="12.75" customHeight="1" x14ac:dyDescent="0.2">
      <c r="B26560" s="43"/>
    </row>
    <row r="26561" spans="2:2" ht="12.75" customHeight="1" x14ac:dyDescent="0.2">
      <c r="B26561" s="43"/>
    </row>
    <row r="26562" spans="2:2" ht="12.75" customHeight="1" x14ac:dyDescent="0.2">
      <c r="B26562" s="43"/>
    </row>
    <row r="26563" spans="2:2" ht="12.75" customHeight="1" x14ac:dyDescent="0.2">
      <c r="B26563" s="43"/>
    </row>
    <row r="26564" spans="2:2" ht="12.75" customHeight="1" x14ac:dyDescent="0.2">
      <c r="B26564" s="43"/>
    </row>
    <row r="26565" spans="2:2" ht="12.75" customHeight="1" x14ac:dyDescent="0.2">
      <c r="B26565" s="43"/>
    </row>
    <row r="26566" spans="2:2" ht="12.75" customHeight="1" x14ac:dyDescent="0.2">
      <c r="B26566" s="43"/>
    </row>
    <row r="26567" spans="2:2" ht="12.75" customHeight="1" x14ac:dyDescent="0.2">
      <c r="B26567" s="43"/>
    </row>
    <row r="26568" spans="2:2" ht="12.75" customHeight="1" x14ac:dyDescent="0.2">
      <c r="B26568" s="43"/>
    </row>
    <row r="26569" spans="2:2" ht="12.75" customHeight="1" x14ac:dyDescent="0.2">
      <c r="B26569" s="43"/>
    </row>
    <row r="26570" spans="2:2" ht="12.75" customHeight="1" x14ac:dyDescent="0.2">
      <c r="B26570" s="43"/>
    </row>
    <row r="26571" spans="2:2" ht="12.75" customHeight="1" x14ac:dyDescent="0.2">
      <c r="B26571" s="43"/>
    </row>
    <row r="26572" spans="2:2" ht="12.75" customHeight="1" x14ac:dyDescent="0.2">
      <c r="B26572" s="43"/>
    </row>
    <row r="26573" spans="2:2" ht="12.75" customHeight="1" x14ac:dyDescent="0.2">
      <c r="B26573" s="43"/>
    </row>
    <row r="26574" spans="2:2" ht="12.75" customHeight="1" x14ac:dyDescent="0.2">
      <c r="B26574" s="43"/>
    </row>
    <row r="26575" spans="2:2" ht="12.75" customHeight="1" x14ac:dyDescent="0.2">
      <c r="B26575" s="43"/>
    </row>
    <row r="26576" spans="2:2" ht="12.75" customHeight="1" x14ac:dyDescent="0.2">
      <c r="B26576" s="43"/>
    </row>
    <row r="26577" spans="2:2" ht="12.75" customHeight="1" x14ac:dyDescent="0.2">
      <c r="B26577" s="43"/>
    </row>
    <row r="26578" spans="2:2" ht="12.75" customHeight="1" x14ac:dyDescent="0.2">
      <c r="B26578" s="43"/>
    </row>
    <row r="26579" spans="2:2" ht="12.75" customHeight="1" x14ac:dyDescent="0.2">
      <c r="B26579" s="43"/>
    </row>
    <row r="26580" spans="2:2" ht="12.75" customHeight="1" x14ac:dyDescent="0.2">
      <c r="B26580" s="43"/>
    </row>
    <row r="26581" spans="2:2" ht="12.75" customHeight="1" x14ac:dyDescent="0.2">
      <c r="B26581" s="43"/>
    </row>
    <row r="26582" spans="2:2" ht="12.75" customHeight="1" x14ac:dyDescent="0.2">
      <c r="B26582" s="43"/>
    </row>
    <row r="26583" spans="2:2" ht="12.75" customHeight="1" x14ac:dyDescent="0.2">
      <c r="B26583" s="43"/>
    </row>
    <row r="26584" spans="2:2" ht="12.75" customHeight="1" x14ac:dyDescent="0.2">
      <c r="B26584" s="43"/>
    </row>
    <row r="26585" spans="2:2" ht="12.75" customHeight="1" x14ac:dyDescent="0.2">
      <c r="B26585" s="43"/>
    </row>
    <row r="26586" spans="2:2" ht="12.75" customHeight="1" x14ac:dyDescent="0.2">
      <c r="B26586" s="43"/>
    </row>
    <row r="26587" spans="2:2" ht="12.75" customHeight="1" x14ac:dyDescent="0.2">
      <c r="B26587" s="43"/>
    </row>
    <row r="26588" spans="2:2" ht="12.75" customHeight="1" x14ac:dyDescent="0.2">
      <c r="B26588" s="43"/>
    </row>
    <row r="26589" spans="2:2" ht="12.75" customHeight="1" x14ac:dyDescent="0.2">
      <c r="B26589" s="43"/>
    </row>
    <row r="26590" spans="2:2" ht="12.75" customHeight="1" x14ac:dyDescent="0.2">
      <c r="B26590" s="43"/>
    </row>
    <row r="26591" spans="2:2" ht="12.75" customHeight="1" x14ac:dyDescent="0.2">
      <c r="B26591" s="43"/>
    </row>
    <row r="26592" spans="2:2" ht="12.75" customHeight="1" x14ac:dyDescent="0.2">
      <c r="B26592" s="43"/>
    </row>
    <row r="26593" spans="2:2" ht="12.75" customHeight="1" x14ac:dyDescent="0.2">
      <c r="B26593" s="43"/>
    </row>
    <row r="26594" spans="2:2" ht="12.75" customHeight="1" x14ac:dyDescent="0.2">
      <c r="B26594" s="43"/>
    </row>
    <row r="26595" spans="2:2" ht="12.75" customHeight="1" x14ac:dyDescent="0.2">
      <c r="B26595" s="43"/>
    </row>
    <row r="26596" spans="2:2" ht="12.75" customHeight="1" x14ac:dyDescent="0.2">
      <c r="B26596" s="43"/>
    </row>
    <row r="26597" spans="2:2" ht="12.75" customHeight="1" x14ac:dyDescent="0.2">
      <c r="B26597" s="43"/>
    </row>
    <row r="26598" spans="2:2" ht="12.75" customHeight="1" x14ac:dyDescent="0.2">
      <c r="B26598" s="43"/>
    </row>
    <row r="26599" spans="2:2" ht="12.75" customHeight="1" x14ac:dyDescent="0.2">
      <c r="B26599" s="43"/>
    </row>
    <row r="26600" spans="2:2" ht="12.75" customHeight="1" x14ac:dyDescent="0.2">
      <c r="B26600" s="43"/>
    </row>
    <row r="26601" spans="2:2" ht="12.75" customHeight="1" x14ac:dyDescent="0.2">
      <c r="B26601" s="43"/>
    </row>
    <row r="26602" spans="2:2" ht="12.75" customHeight="1" x14ac:dyDescent="0.2">
      <c r="B26602" s="43"/>
    </row>
    <row r="26603" spans="2:2" ht="12.75" customHeight="1" x14ac:dyDescent="0.2">
      <c r="B26603" s="43"/>
    </row>
    <row r="26604" spans="2:2" ht="12.75" customHeight="1" x14ac:dyDescent="0.2">
      <c r="B26604" s="43"/>
    </row>
    <row r="26605" spans="2:2" ht="12.75" customHeight="1" x14ac:dyDescent="0.2">
      <c r="B26605" s="43"/>
    </row>
    <row r="26606" spans="2:2" ht="12.75" customHeight="1" x14ac:dyDescent="0.2">
      <c r="B26606" s="43"/>
    </row>
    <row r="26607" spans="2:2" ht="12.75" customHeight="1" x14ac:dyDescent="0.2">
      <c r="B26607" s="43"/>
    </row>
    <row r="26608" spans="2:2" ht="12.75" customHeight="1" x14ac:dyDescent="0.2">
      <c r="B26608" s="43"/>
    </row>
    <row r="26609" spans="2:2" ht="12.75" customHeight="1" x14ac:dyDescent="0.2">
      <c r="B26609" s="43"/>
    </row>
    <row r="26610" spans="2:2" ht="12.75" customHeight="1" x14ac:dyDescent="0.2">
      <c r="B26610" s="43"/>
    </row>
    <row r="26611" spans="2:2" ht="12.75" customHeight="1" x14ac:dyDescent="0.2">
      <c r="B26611" s="43"/>
    </row>
    <row r="26612" spans="2:2" ht="12.75" customHeight="1" x14ac:dyDescent="0.2">
      <c r="B26612" s="43"/>
    </row>
    <row r="26613" spans="2:2" ht="12.75" customHeight="1" x14ac:dyDescent="0.2">
      <c r="B26613" s="43"/>
    </row>
    <row r="26614" spans="2:2" ht="12.75" customHeight="1" x14ac:dyDescent="0.2">
      <c r="B26614" s="43"/>
    </row>
    <row r="26615" spans="2:2" ht="12.75" customHeight="1" x14ac:dyDescent="0.2">
      <c r="B26615" s="43"/>
    </row>
    <row r="26616" spans="2:2" ht="12.75" customHeight="1" x14ac:dyDescent="0.2">
      <c r="B26616" s="43"/>
    </row>
    <row r="26617" spans="2:2" ht="12.75" customHeight="1" x14ac:dyDescent="0.2">
      <c r="B26617" s="43"/>
    </row>
    <row r="26618" spans="2:2" ht="12.75" customHeight="1" x14ac:dyDescent="0.2">
      <c r="B26618" s="43"/>
    </row>
    <row r="26619" spans="2:2" ht="12.75" customHeight="1" x14ac:dyDescent="0.2">
      <c r="B26619" s="43"/>
    </row>
    <row r="26620" spans="2:2" ht="12.75" customHeight="1" x14ac:dyDescent="0.2">
      <c r="B26620" s="43"/>
    </row>
    <row r="26621" spans="2:2" ht="12.75" customHeight="1" x14ac:dyDescent="0.2">
      <c r="B26621" s="43"/>
    </row>
    <row r="26622" spans="2:2" ht="12.75" customHeight="1" x14ac:dyDescent="0.2">
      <c r="B26622" s="43"/>
    </row>
    <row r="26623" spans="2:2" ht="12.75" customHeight="1" x14ac:dyDescent="0.2">
      <c r="B26623" s="43"/>
    </row>
    <row r="26624" spans="2:2" ht="12.75" customHeight="1" x14ac:dyDescent="0.2">
      <c r="B26624" s="43"/>
    </row>
    <row r="26625" spans="2:2" ht="12.75" customHeight="1" x14ac:dyDescent="0.2">
      <c r="B26625" s="43"/>
    </row>
    <row r="26626" spans="2:2" ht="12.75" customHeight="1" x14ac:dyDescent="0.2">
      <c r="B26626" s="43"/>
    </row>
    <row r="26627" spans="2:2" ht="12.75" customHeight="1" x14ac:dyDescent="0.2">
      <c r="B26627" s="43"/>
    </row>
    <row r="26628" spans="2:2" ht="12.75" customHeight="1" x14ac:dyDescent="0.2">
      <c r="B26628" s="43"/>
    </row>
    <row r="26629" spans="2:2" ht="12.75" customHeight="1" x14ac:dyDescent="0.2">
      <c r="B26629" s="43"/>
    </row>
    <row r="26630" spans="2:2" ht="12.75" customHeight="1" x14ac:dyDescent="0.2">
      <c r="B26630" s="43"/>
    </row>
    <row r="26631" spans="2:2" ht="12.75" customHeight="1" x14ac:dyDescent="0.2">
      <c r="B26631" s="43"/>
    </row>
    <row r="26632" spans="2:2" ht="12.75" customHeight="1" x14ac:dyDescent="0.2">
      <c r="B26632" s="43"/>
    </row>
    <row r="26633" spans="2:2" ht="12.75" customHeight="1" x14ac:dyDescent="0.2">
      <c r="B26633" s="43"/>
    </row>
    <row r="26634" spans="2:2" ht="12.75" customHeight="1" x14ac:dyDescent="0.2">
      <c r="B26634" s="43"/>
    </row>
    <row r="26635" spans="2:2" ht="12.75" customHeight="1" x14ac:dyDescent="0.2">
      <c r="B26635" s="43"/>
    </row>
    <row r="26636" spans="2:2" ht="12.75" customHeight="1" x14ac:dyDescent="0.2">
      <c r="B26636" s="43"/>
    </row>
    <row r="26637" spans="2:2" ht="12.75" customHeight="1" x14ac:dyDescent="0.2">
      <c r="B26637" s="43"/>
    </row>
    <row r="26638" spans="2:2" ht="12.75" customHeight="1" x14ac:dyDescent="0.2">
      <c r="B26638" s="43"/>
    </row>
    <row r="26639" spans="2:2" ht="12.75" customHeight="1" x14ac:dyDescent="0.2">
      <c r="B26639" s="43"/>
    </row>
    <row r="26640" spans="2:2" ht="12.75" customHeight="1" x14ac:dyDescent="0.2">
      <c r="B26640" s="43"/>
    </row>
    <row r="26641" spans="2:2" ht="12.75" customHeight="1" x14ac:dyDescent="0.2">
      <c r="B26641" s="43"/>
    </row>
    <row r="26642" spans="2:2" ht="12.75" customHeight="1" x14ac:dyDescent="0.2">
      <c r="B26642" s="43"/>
    </row>
    <row r="26643" spans="2:2" ht="12.75" customHeight="1" x14ac:dyDescent="0.2">
      <c r="B26643" s="43"/>
    </row>
    <row r="26644" spans="2:2" ht="12.75" customHeight="1" x14ac:dyDescent="0.2">
      <c r="B26644" s="43"/>
    </row>
    <row r="26645" spans="2:2" ht="12.75" customHeight="1" x14ac:dyDescent="0.2">
      <c r="B26645" s="43"/>
    </row>
    <row r="26646" spans="2:2" ht="12.75" customHeight="1" x14ac:dyDescent="0.2">
      <c r="B26646" s="43"/>
    </row>
    <row r="26647" spans="2:2" ht="12.75" customHeight="1" x14ac:dyDescent="0.2">
      <c r="B26647" s="43"/>
    </row>
    <row r="26648" spans="2:2" ht="12.75" customHeight="1" x14ac:dyDescent="0.2">
      <c r="B26648" s="43"/>
    </row>
    <row r="26649" spans="2:2" ht="12.75" customHeight="1" x14ac:dyDescent="0.2">
      <c r="B26649" s="43"/>
    </row>
    <row r="26650" spans="2:2" ht="12.75" customHeight="1" x14ac:dyDescent="0.2">
      <c r="B26650" s="43"/>
    </row>
    <row r="26651" spans="2:2" ht="12.75" customHeight="1" x14ac:dyDescent="0.2">
      <c r="B26651" s="43"/>
    </row>
    <row r="26652" spans="2:2" ht="12.75" customHeight="1" x14ac:dyDescent="0.2">
      <c r="B26652" s="43"/>
    </row>
    <row r="26653" spans="2:2" ht="12.75" customHeight="1" x14ac:dyDescent="0.2">
      <c r="B26653" s="43"/>
    </row>
    <row r="26654" spans="2:2" ht="12.75" customHeight="1" x14ac:dyDescent="0.2">
      <c r="B26654" s="43"/>
    </row>
    <row r="26655" spans="2:2" ht="12.75" customHeight="1" x14ac:dyDescent="0.2">
      <c r="B26655" s="43"/>
    </row>
    <row r="26656" spans="2:2" ht="12.75" customHeight="1" x14ac:dyDescent="0.2">
      <c r="B26656" s="43"/>
    </row>
    <row r="26657" spans="2:2" ht="12.75" customHeight="1" x14ac:dyDescent="0.2">
      <c r="B26657" s="43"/>
    </row>
    <row r="26658" spans="2:2" ht="12.75" customHeight="1" x14ac:dyDescent="0.2">
      <c r="B26658" s="43"/>
    </row>
    <row r="26659" spans="2:2" ht="12.75" customHeight="1" x14ac:dyDescent="0.2">
      <c r="B26659" s="43"/>
    </row>
    <row r="26660" spans="2:2" ht="12.75" customHeight="1" x14ac:dyDescent="0.2">
      <c r="B26660" s="43"/>
    </row>
    <row r="26661" spans="2:2" ht="12.75" customHeight="1" x14ac:dyDescent="0.2">
      <c r="B26661" s="43"/>
    </row>
    <row r="26662" spans="2:2" ht="12.75" customHeight="1" x14ac:dyDescent="0.2">
      <c r="B26662" s="43"/>
    </row>
    <row r="26663" spans="2:2" ht="12.75" customHeight="1" x14ac:dyDescent="0.2">
      <c r="B26663" s="43"/>
    </row>
    <row r="26664" spans="2:2" ht="12.75" customHeight="1" x14ac:dyDescent="0.2">
      <c r="B26664" s="43"/>
    </row>
    <row r="26665" spans="2:2" ht="12.75" customHeight="1" x14ac:dyDescent="0.2">
      <c r="B26665" s="43"/>
    </row>
    <row r="26666" spans="2:2" ht="12.75" customHeight="1" x14ac:dyDescent="0.2">
      <c r="B26666" s="43"/>
    </row>
    <row r="26667" spans="2:2" ht="12.75" customHeight="1" x14ac:dyDescent="0.2">
      <c r="B26667" s="43"/>
    </row>
    <row r="26668" spans="2:2" ht="12.75" customHeight="1" x14ac:dyDescent="0.2">
      <c r="B26668" s="43"/>
    </row>
    <row r="26669" spans="2:2" ht="12.75" customHeight="1" x14ac:dyDescent="0.2">
      <c r="B26669" s="43"/>
    </row>
    <row r="26670" spans="2:2" ht="12.75" customHeight="1" x14ac:dyDescent="0.2">
      <c r="B26670" s="43"/>
    </row>
    <row r="26671" spans="2:2" ht="12.75" customHeight="1" x14ac:dyDescent="0.2">
      <c r="B26671" s="43"/>
    </row>
    <row r="26672" spans="2:2" ht="12.75" customHeight="1" x14ac:dyDescent="0.2">
      <c r="B26672" s="43"/>
    </row>
    <row r="26673" spans="2:2" ht="12.75" customHeight="1" x14ac:dyDescent="0.2">
      <c r="B26673" s="43"/>
    </row>
    <row r="26674" spans="2:2" ht="12.75" customHeight="1" x14ac:dyDescent="0.2">
      <c r="B26674" s="43"/>
    </row>
    <row r="26675" spans="2:2" ht="12.75" customHeight="1" x14ac:dyDescent="0.2">
      <c r="B26675" s="43"/>
    </row>
    <row r="26676" spans="2:2" ht="12.75" customHeight="1" x14ac:dyDescent="0.2">
      <c r="B26676" s="43"/>
    </row>
    <row r="26677" spans="2:2" ht="12.75" customHeight="1" x14ac:dyDescent="0.2">
      <c r="B26677" s="43"/>
    </row>
    <row r="26678" spans="2:2" ht="12.75" customHeight="1" x14ac:dyDescent="0.2">
      <c r="B26678" s="43"/>
    </row>
    <row r="26679" spans="2:2" ht="12.75" customHeight="1" x14ac:dyDescent="0.2">
      <c r="B26679" s="43"/>
    </row>
    <row r="26680" spans="2:2" ht="12.75" customHeight="1" x14ac:dyDescent="0.2">
      <c r="B26680" s="43"/>
    </row>
    <row r="26681" spans="2:2" ht="12.75" customHeight="1" x14ac:dyDescent="0.2">
      <c r="B26681" s="43"/>
    </row>
    <row r="26682" spans="2:2" ht="12.75" customHeight="1" x14ac:dyDescent="0.2">
      <c r="B26682" s="43"/>
    </row>
    <row r="26683" spans="2:2" ht="12.75" customHeight="1" x14ac:dyDescent="0.2">
      <c r="B26683" s="43"/>
    </row>
    <row r="26684" spans="2:2" ht="12.75" customHeight="1" x14ac:dyDescent="0.2">
      <c r="B26684" s="43"/>
    </row>
    <row r="26685" spans="2:2" ht="12.75" customHeight="1" x14ac:dyDescent="0.2">
      <c r="B26685" s="43"/>
    </row>
    <row r="26686" spans="2:2" ht="12.75" customHeight="1" x14ac:dyDescent="0.2">
      <c r="B26686" s="43"/>
    </row>
    <row r="26687" spans="2:2" ht="12.75" customHeight="1" x14ac:dyDescent="0.2">
      <c r="B26687" s="43"/>
    </row>
    <row r="26688" spans="2:2" ht="12.75" customHeight="1" x14ac:dyDescent="0.2">
      <c r="B26688" s="43"/>
    </row>
    <row r="26689" spans="2:2" ht="12.75" customHeight="1" x14ac:dyDescent="0.2">
      <c r="B26689" s="43"/>
    </row>
    <row r="26690" spans="2:2" ht="12.75" customHeight="1" x14ac:dyDescent="0.2">
      <c r="B26690" s="43"/>
    </row>
    <row r="26691" spans="2:2" ht="12.75" customHeight="1" x14ac:dyDescent="0.2">
      <c r="B26691" s="43"/>
    </row>
    <row r="26692" spans="2:2" ht="12.75" customHeight="1" x14ac:dyDescent="0.2">
      <c r="B26692" s="43"/>
    </row>
    <row r="26693" spans="2:2" ht="12.75" customHeight="1" x14ac:dyDescent="0.2">
      <c r="B26693" s="43"/>
    </row>
    <row r="26694" spans="2:2" ht="12.75" customHeight="1" x14ac:dyDescent="0.2">
      <c r="B26694" s="43"/>
    </row>
    <row r="26695" spans="2:2" ht="12.75" customHeight="1" x14ac:dyDescent="0.2">
      <c r="B26695" s="43"/>
    </row>
    <row r="26696" spans="2:2" ht="12.75" customHeight="1" x14ac:dyDescent="0.2">
      <c r="B26696" s="43"/>
    </row>
    <row r="26697" spans="2:2" ht="12.75" customHeight="1" x14ac:dyDescent="0.2">
      <c r="B26697" s="43"/>
    </row>
    <row r="26698" spans="2:2" ht="12.75" customHeight="1" x14ac:dyDescent="0.2">
      <c r="B26698" s="43"/>
    </row>
    <row r="26699" spans="2:2" ht="12.75" customHeight="1" x14ac:dyDescent="0.2">
      <c r="B26699" s="43"/>
    </row>
    <row r="26700" spans="2:2" ht="12.75" customHeight="1" x14ac:dyDescent="0.2">
      <c r="B26700" s="43"/>
    </row>
    <row r="26701" spans="2:2" ht="12.75" customHeight="1" x14ac:dyDescent="0.2">
      <c r="B26701" s="43"/>
    </row>
    <row r="26702" spans="2:2" ht="12.75" customHeight="1" x14ac:dyDescent="0.2">
      <c r="B26702" s="43"/>
    </row>
    <row r="26703" spans="2:2" ht="12.75" customHeight="1" x14ac:dyDescent="0.2">
      <c r="B26703" s="43"/>
    </row>
    <row r="26704" spans="2:2" ht="12.75" customHeight="1" x14ac:dyDescent="0.2">
      <c r="B26704" s="43"/>
    </row>
    <row r="26705" spans="2:2" ht="12.75" customHeight="1" x14ac:dyDescent="0.2">
      <c r="B26705" s="43"/>
    </row>
    <row r="26706" spans="2:2" ht="12.75" customHeight="1" x14ac:dyDescent="0.2">
      <c r="B26706" s="43"/>
    </row>
    <row r="26707" spans="2:2" ht="12.75" customHeight="1" x14ac:dyDescent="0.2">
      <c r="B26707" s="43"/>
    </row>
    <row r="26708" spans="2:2" ht="12.75" customHeight="1" x14ac:dyDescent="0.2">
      <c r="B26708" s="43"/>
    </row>
    <row r="26709" spans="2:2" ht="12.75" customHeight="1" x14ac:dyDescent="0.2">
      <c r="B26709" s="43"/>
    </row>
    <row r="26710" spans="2:2" ht="12.75" customHeight="1" x14ac:dyDescent="0.2">
      <c r="B26710" s="43"/>
    </row>
    <row r="26711" spans="2:2" ht="12.75" customHeight="1" x14ac:dyDescent="0.2">
      <c r="B26711" s="43"/>
    </row>
    <row r="26712" spans="2:2" ht="12.75" customHeight="1" x14ac:dyDescent="0.2">
      <c r="B26712" s="43"/>
    </row>
    <row r="26713" spans="2:2" ht="12.75" customHeight="1" x14ac:dyDescent="0.2">
      <c r="B26713" s="43"/>
    </row>
    <row r="26714" spans="2:2" ht="12.75" customHeight="1" x14ac:dyDescent="0.2">
      <c r="B26714" s="43"/>
    </row>
    <row r="26715" spans="2:2" ht="12.75" customHeight="1" x14ac:dyDescent="0.2">
      <c r="B26715" s="43"/>
    </row>
    <row r="26716" spans="2:2" ht="12.75" customHeight="1" x14ac:dyDescent="0.2">
      <c r="B26716" s="43"/>
    </row>
    <row r="26717" spans="2:2" ht="12.75" customHeight="1" x14ac:dyDescent="0.2">
      <c r="B26717" s="43"/>
    </row>
    <row r="26718" spans="2:2" ht="12.75" customHeight="1" x14ac:dyDescent="0.2">
      <c r="B26718" s="43"/>
    </row>
    <row r="26719" spans="2:2" ht="12.75" customHeight="1" x14ac:dyDescent="0.2">
      <c r="B26719" s="43"/>
    </row>
    <row r="26720" spans="2:2" ht="12.75" customHeight="1" x14ac:dyDescent="0.2">
      <c r="B26720" s="43"/>
    </row>
    <row r="26721" spans="2:2" ht="12.75" customHeight="1" x14ac:dyDescent="0.2">
      <c r="B26721" s="43"/>
    </row>
    <row r="26722" spans="2:2" ht="12.75" customHeight="1" x14ac:dyDescent="0.2">
      <c r="B26722" s="43"/>
    </row>
    <row r="26723" spans="2:2" ht="12.75" customHeight="1" x14ac:dyDescent="0.2">
      <c r="B26723" s="43"/>
    </row>
    <row r="26724" spans="2:2" ht="12.75" customHeight="1" x14ac:dyDescent="0.2">
      <c r="B26724" s="43"/>
    </row>
    <row r="26725" spans="2:2" ht="12.75" customHeight="1" x14ac:dyDescent="0.2">
      <c r="B26725" s="43"/>
    </row>
    <row r="26726" spans="2:2" ht="12.75" customHeight="1" x14ac:dyDescent="0.2">
      <c r="B26726" s="43"/>
    </row>
    <row r="26727" spans="2:2" ht="12.75" customHeight="1" x14ac:dyDescent="0.2">
      <c r="B26727" s="43"/>
    </row>
    <row r="26728" spans="2:2" ht="12.75" customHeight="1" x14ac:dyDescent="0.2">
      <c r="B26728" s="43"/>
    </row>
    <row r="26729" spans="2:2" ht="12.75" customHeight="1" x14ac:dyDescent="0.2">
      <c r="B26729" s="43"/>
    </row>
    <row r="26730" spans="2:2" ht="12.75" customHeight="1" x14ac:dyDescent="0.2">
      <c r="B26730" s="43"/>
    </row>
    <row r="26731" spans="2:2" ht="12.75" customHeight="1" x14ac:dyDescent="0.2">
      <c r="B26731" s="43"/>
    </row>
    <row r="26732" spans="2:2" ht="12.75" customHeight="1" x14ac:dyDescent="0.2">
      <c r="B26732" s="43"/>
    </row>
    <row r="26733" spans="2:2" ht="12.75" customHeight="1" x14ac:dyDescent="0.2">
      <c r="B26733" s="43"/>
    </row>
    <row r="26734" spans="2:2" ht="12.75" customHeight="1" x14ac:dyDescent="0.2">
      <c r="B26734" s="43"/>
    </row>
    <row r="26735" spans="2:2" ht="12.75" customHeight="1" x14ac:dyDescent="0.2">
      <c r="B26735" s="43"/>
    </row>
    <row r="26736" spans="2:2" ht="12.75" customHeight="1" x14ac:dyDescent="0.2">
      <c r="B26736" s="43"/>
    </row>
    <row r="26737" spans="2:2" ht="12.75" customHeight="1" x14ac:dyDescent="0.2">
      <c r="B26737" s="43"/>
    </row>
    <row r="26738" spans="2:2" ht="12.75" customHeight="1" x14ac:dyDescent="0.2">
      <c r="B26738" s="43"/>
    </row>
    <row r="26739" spans="2:2" ht="12.75" customHeight="1" x14ac:dyDescent="0.2">
      <c r="B26739" s="43"/>
    </row>
    <row r="26740" spans="2:2" ht="12.75" customHeight="1" x14ac:dyDescent="0.2">
      <c r="B26740" s="43"/>
    </row>
    <row r="26741" spans="2:2" ht="12.75" customHeight="1" x14ac:dyDescent="0.2">
      <c r="B26741" s="43"/>
    </row>
    <row r="26742" spans="2:2" ht="12.75" customHeight="1" x14ac:dyDescent="0.2">
      <c r="B26742" s="43"/>
    </row>
    <row r="26743" spans="2:2" ht="12.75" customHeight="1" x14ac:dyDescent="0.2">
      <c r="B26743" s="43"/>
    </row>
    <row r="26744" spans="2:2" ht="12.75" customHeight="1" x14ac:dyDescent="0.2">
      <c r="B26744" s="43"/>
    </row>
    <row r="26745" spans="2:2" ht="12.75" customHeight="1" x14ac:dyDescent="0.2">
      <c r="B26745" s="43"/>
    </row>
    <row r="26746" spans="2:2" ht="12.75" customHeight="1" x14ac:dyDescent="0.2">
      <c r="B26746" s="43"/>
    </row>
    <row r="26747" spans="2:2" ht="12.75" customHeight="1" x14ac:dyDescent="0.2">
      <c r="B26747" s="43"/>
    </row>
    <row r="26748" spans="2:2" ht="12.75" customHeight="1" x14ac:dyDescent="0.2">
      <c r="B26748" s="43"/>
    </row>
    <row r="26749" spans="2:2" ht="12.75" customHeight="1" x14ac:dyDescent="0.2">
      <c r="B26749" s="43"/>
    </row>
    <row r="26750" spans="2:2" ht="12.75" customHeight="1" x14ac:dyDescent="0.2">
      <c r="B26750" s="43"/>
    </row>
    <row r="26751" spans="2:2" ht="12.75" customHeight="1" x14ac:dyDescent="0.2">
      <c r="B26751" s="43"/>
    </row>
    <row r="26752" spans="2:2" ht="12.75" customHeight="1" x14ac:dyDescent="0.2">
      <c r="B26752" s="43"/>
    </row>
    <row r="26753" spans="2:2" ht="12.75" customHeight="1" x14ac:dyDescent="0.2">
      <c r="B26753" s="43"/>
    </row>
    <row r="26754" spans="2:2" ht="12.75" customHeight="1" x14ac:dyDescent="0.2">
      <c r="B26754" s="43"/>
    </row>
    <row r="26755" spans="2:2" ht="12.75" customHeight="1" x14ac:dyDescent="0.2">
      <c r="B26755" s="43"/>
    </row>
    <row r="26756" spans="2:2" ht="12.75" customHeight="1" x14ac:dyDescent="0.2">
      <c r="B26756" s="43"/>
    </row>
    <row r="26757" spans="2:2" ht="12.75" customHeight="1" x14ac:dyDescent="0.2">
      <c r="B26757" s="43"/>
    </row>
    <row r="26758" spans="2:2" ht="12.75" customHeight="1" x14ac:dyDescent="0.2">
      <c r="B26758" s="43"/>
    </row>
    <row r="26759" spans="2:2" ht="12.75" customHeight="1" x14ac:dyDescent="0.2">
      <c r="B26759" s="43"/>
    </row>
    <row r="26760" spans="2:2" ht="12.75" customHeight="1" x14ac:dyDescent="0.2">
      <c r="B26760" s="43"/>
    </row>
    <row r="26761" spans="2:2" ht="12.75" customHeight="1" x14ac:dyDescent="0.2">
      <c r="B26761" s="43"/>
    </row>
    <row r="26762" spans="2:2" ht="12.75" customHeight="1" x14ac:dyDescent="0.2">
      <c r="B26762" s="43"/>
    </row>
    <row r="26763" spans="2:2" ht="12.75" customHeight="1" x14ac:dyDescent="0.2">
      <c r="B26763" s="43"/>
    </row>
    <row r="26764" spans="2:2" ht="12.75" customHeight="1" x14ac:dyDescent="0.2">
      <c r="B26764" s="43"/>
    </row>
    <row r="26765" spans="2:2" ht="12.75" customHeight="1" x14ac:dyDescent="0.2">
      <c r="B26765" s="43"/>
    </row>
    <row r="26766" spans="2:2" ht="12.75" customHeight="1" x14ac:dyDescent="0.2">
      <c r="B26766" s="43"/>
    </row>
    <row r="26767" spans="2:2" ht="12.75" customHeight="1" x14ac:dyDescent="0.2">
      <c r="B26767" s="43"/>
    </row>
    <row r="26768" spans="2:2" ht="12.75" customHeight="1" x14ac:dyDescent="0.2">
      <c r="B26768" s="43"/>
    </row>
    <row r="26769" spans="2:2" ht="12.75" customHeight="1" x14ac:dyDescent="0.2">
      <c r="B26769" s="43"/>
    </row>
    <row r="26770" spans="2:2" ht="12.75" customHeight="1" x14ac:dyDescent="0.2">
      <c r="B26770" s="43"/>
    </row>
    <row r="26771" spans="2:2" ht="12.75" customHeight="1" x14ac:dyDescent="0.2">
      <c r="B26771" s="43"/>
    </row>
    <row r="26772" spans="2:2" ht="12.75" customHeight="1" x14ac:dyDescent="0.2">
      <c r="B26772" s="43"/>
    </row>
    <row r="26773" spans="2:2" ht="12.75" customHeight="1" x14ac:dyDescent="0.2">
      <c r="B26773" s="43"/>
    </row>
    <row r="26774" spans="2:2" ht="12.75" customHeight="1" x14ac:dyDescent="0.2">
      <c r="B26774" s="43"/>
    </row>
    <row r="26775" spans="2:2" ht="12.75" customHeight="1" x14ac:dyDescent="0.2">
      <c r="B26775" s="43"/>
    </row>
    <row r="26776" spans="2:2" ht="12.75" customHeight="1" x14ac:dyDescent="0.2">
      <c r="B26776" s="43"/>
    </row>
    <row r="26777" spans="2:2" ht="12.75" customHeight="1" x14ac:dyDescent="0.2">
      <c r="B26777" s="43"/>
    </row>
    <row r="26778" spans="2:2" ht="12.75" customHeight="1" x14ac:dyDescent="0.2">
      <c r="B26778" s="43"/>
    </row>
    <row r="26779" spans="2:2" ht="12.75" customHeight="1" x14ac:dyDescent="0.2">
      <c r="B26779" s="43"/>
    </row>
    <row r="26780" spans="2:2" ht="12.75" customHeight="1" x14ac:dyDescent="0.2">
      <c r="B26780" s="43"/>
    </row>
    <row r="26781" spans="2:2" ht="12.75" customHeight="1" x14ac:dyDescent="0.2">
      <c r="B26781" s="43"/>
    </row>
    <row r="26782" spans="2:2" ht="12.75" customHeight="1" x14ac:dyDescent="0.2">
      <c r="B26782" s="43"/>
    </row>
    <row r="26783" spans="2:2" ht="12.75" customHeight="1" x14ac:dyDescent="0.2">
      <c r="B26783" s="43"/>
    </row>
    <row r="26784" spans="2:2" ht="12.75" customHeight="1" x14ac:dyDescent="0.2">
      <c r="B26784" s="43"/>
    </row>
    <row r="26785" spans="2:2" ht="12.75" customHeight="1" x14ac:dyDescent="0.2">
      <c r="B26785" s="43"/>
    </row>
    <row r="26786" spans="2:2" ht="12.75" customHeight="1" x14ac:dyDescent="0.2">
      <c r="B26786" s="43"/>
    </row>
    <row r="26787" spans="2:2" ht="12.75" customHeight="1" x14ac:dyDescent="0.2">
      <c r="B26787" s="43"/>
    </row>
    <row r="26788" spans="2:2" ht="12.75" customHeight="1" x14ac:dyDescent="0.2">
      <c r="B26788" s="43"/>
    </row>
    <row r="26789" spans="2:2" ht="12.75" customHeight="1" x14ac:dyDescent="0.2">
      <c r="B26789" s="43"/>
    </row>
    <row r="26790" spans="2:2" ht="12.75" customHeight="1" x14ac:dyDescent="0.2">
      <c r="B26790" s="43"/>
    </row>
    <row r="26791" spans="2:2" ht="12.75" customHeight="1" x14ac:dyDescent="0.2">
      <c r="B26791" s="43"/>
    </row>
    <row r="26792" spans="2:2" ht="12.75" customHeight="1" x14ac:dyDescent="0.2">
      <c r="B26792" s="43"/>
    </row>
    <row r="26793" spans="2:2" ht="12.75" customHeight="1" x14ac:dyDescent="0.2">
      <c r="B26793" s="43"/>
    </row>
    <row r="26794" spans="2:2" ht="12.75" customHeight="1" x14ac:dyDescent="0.2">
      <c r="B26794" s="43"/>
    </row>
    <row r="26795" spans="2:2" ht="12.75" customHeight="1" x14ac:dyDescent="0.2">
      <c r="B26795" s="43"/>
    </row>
    <row r="26796" spans="2:2" ht="12.75" customHeight="1" x14ac:dyDescent="0.2">
      <c r="B26796" s="43"/>
    </row>
    <row r="26797" spans="2:2" ht="12.75" customHeight="1" x14ac:dyDescent="0.2">
      <c r="B26797" s="43"/>
    </row>
    <row r="26798" spans="2:2" ht="12.75" customHeight="1" x14ac:dyDescent="0.2">
      <c r="B26798" s="43"/>
    </row>
    <row r="26799" spans="2:2" ht="12.75" customHeight="1" x14ac:dyDescent="0.2">
      <c r="B26799" s="43"/>
    </row>
    <row r="26800" spans="2:2" ht="12.75" customHeight="1" x14ac:dyDescent="0.2">
      <c r="B26800" s="43"/>
    </row>
    <row r="26801" spans="2:2" ht="12.75" customHeight="1" x14ac:dyDescent="0.2">
      <c r="B26801" s="43"/>
    </row>
    <row r="26802" spans="2:2" ht="12.75" customHeight="1" x14ac:dyDescent="0.2">
      <c r="B26802" s="43"/>
    </row>
    <row r="26803" spans="2:2" ht="12.75" customHeight="1" x14ac:dyDescent="0.2">
      <c r="B26803" s="43"/>
    </row>
    <row r="26804" spans="2:2" ht="12.75" customHeight="1" x14ac:dyDescent="0.2">
      <c r="B26804" s="43"/>
    </row>
    <row r="26805" spans="2:2" ht="12.75" customHeight="1" x14ac:dyDescent="0.2">
      <c r="B26805" s="43"/>
    </row>
    <row r="26806" spans="2:2" ht="12.75" customHeight="1" x14ac:dyDescent="0.2">
      <c r="B26806" s="43"/>
    </row>
    <row r="26807" spans="2:2" ht="12.75" customHeight="1" x14ac:dyDescent="0.2">
      <c r="B26807" s="43"/>
    </row>
    <row r="26808" spans="2:2" ht="12.75" customHeight="1" x14ac:dyDescent="0.2">
      <c r="B26808" s="43"/>
    </row>
    <row r="26809" spans="2:2" ht="12.75" customHeight="1" x14ac:dyDescent="0.2">
      <c r="B26809" s="43"/>
    </row>
    <row r="26810" spans="2:2" ht="12.75" customHeight="1" x14ac:dyDescent="0.2">
      <c r="B26810" s="43"/>
    </row>
    <row r="26811" spans="2:2" ht="12.75" customHeight="1" x14ac:dyDescent="0.2">
      <c r="B26811" s="43"/>
    </row>
    <row r="26812" spans="2:2" ht="12.75" customHeight="1" x14ac:dyDescent="0.2">
      <c r="B26812" s="43"/>
    </row>
    <row r="26813" spans="2:2" ht="12.75" customHeight="1" x14ac:dyDescent="0.2">
      <c r="B26813" s="43"/>
    </row>
    <row r="26814" spans="2:2" ht="12.75" customHeight="1" x14ac:dyDescent="0.2">
      <c r="B26814" s="43"/>
    </row>
    <row r="26815" spans="2:2" ht="12.75" customHeight="1" x14ac:dyDescent="0.2">
      <c r="B26815" s="43"/>
    </row>
    <row r="26816" spans="2:2" ht="12.75" customHeight="1" x14ac:dyDescent="0.2">
      <c r="B26816" s="43"/>
    </row>
    <row r="26817" spans="2:2" ht="12.75" customHeight="1" x14ac:dyDescent="0.2">
      <c r="B26817" s="43"/>
    </row>
    <row r="26818" spans="2:2" ht="12.75" customHeight="1" x14ac:dyDescent="0.2">
      <c r="B26818" s="43"/>
    </row>
    <row r="26819" spans="2:2" ht="12.75" customHeight="1" x14ac:dyDescent="0.2">
      <c r="B26819" s="43"/>
    </row>
    <row r="26820" spans="2:2" ht="12.75" customHeight="1" x14ac:dyDescent="0.2">
      <c r="B26820" s="43"/>
    </row>
    <row r="26821" spans="2:2" ht="12.75" customHeight="1" x14ac:dyDescent="0.2">
      <c r="B26821" s="43"/>
    </row>
    <row r="26822" spans="2:2" ht="12.75" customHeight="1" x14ac:dyDescent="0.2">
      <c r="B26822" s="43"/>
    </row>
    <row r="26823" spans="2:2" ht="12.75" customHeight="1" x14ac:dyDescent="0.2">
      <c r="B26823" s="43"/>
    </row>
    <row r="26824" spans="2:2" ht="12.75" customHeight="1" x14ac:dyDescent="0.2">
      <c r="B26824" s="43"/>
    </row>
    <row r="26825" spans="2:2" ht="12.75" customHeight="1" x14ac:dyDescent="0.2">
      <c r="B26825" s="43"/>
    </row>
    <row r="26826" spans="2:2" ht="12.75" customHeight="1" x14ac:dyDescent="0.2">
      <c r="B26826" s="43"/>
    </row>
    <row r="26827" spans="2:2" ht="12.75" customHeight="1" x14ac:dyDescent="0.2">
      <c r="B26827" s="43"/>
    </row>
    <row r="26828" spans="2:2" ht="12.75" customHeight="1" x14ac:dyDescent="0.2">
      <c r="B26828" s="43"/>
    </row>
    <row r="26829" spans="2:2" ht="12.75" customHeight="1" x14ac:dyDescent="0.2">
      <c r="B26829" s="43"/>
    </row>
    <row r="26830" spans="2:2" ht="12.75" customHeight="1" x14ac:dyDescent="0.2">
      <c r="B26830" s="43"/>
    </row>
    <row r="26831" spans="2:2" ht="12.75" customHeight="1" x14ac:dyDescent="0.2">
      <c r="B26831" s="43"/>
    </row>
    <row r="26832" spans="2:2" ht="12.75" customHeight="1" x14ac:dyDescent="0.2">
      <c r="B26832" s="43"/>
    </row>
    <row r="26833" spans="2:2" ht="12.75" customHeight="1" x14ac:dyDescent="0.2">
      <c r="B26833" s="43"/>
    </row>
    <row r="26834" spans="2:2" ht="12.75" customHeight="1" x14ac:dyDescent="0.2">
      <c r="B26834" s="43"/>
    </row>
    <row r="26835" spans="2:2" ht="12.75" customHeight="1" x14ac:dyDescent="0.2">
      <c r="B26835" s="43"/>
    </row>
    <row r="26836" spans="2:2" ht="12.75" customHeight="1" x14ac:dyDescent="0.2">
      <c r="B26836" s="43"/>
    </row>
    <row r="26837" spans="2:2" ht="12.75" customHeight="1" x14ac:dyDescent="0.2">
      <c r="B26837" s="43"/>
    </row>
    <row r="26838" spans="2:2" ht="12.75" customHeight="1" x14ac:dyDescent="0.2">
      <c r="B26838" s="43"/>
    </row>
    <row r="26839" spans="2:2" ht="12.75" customHeight="1" x14ac:dyDescent="0.2">
      <c r="B26839" s="43"/>
    </row>
    <row r="26840" spans="2:2" ht="12.75" customHeight="1" x14ac:dyDescent="0.2">
      <c r="B26840" s="43"/>
    </row>
    <row r="26841" spans="2:2" ht="12.75" customHeight="1" x14ac:dyDescent="0.2">
      <c r="B26841" s="43"/>
    </row>
    <row r="26842" spans="2:2" ht="12.75" customHeight="1" x14ac:dyDescent="0.2">
      <c r="B26842" s="43"/>
    </row>
    <row r="26843" spans="2:2" ht="12.75" customHeight="1" x14ac:dyDescent="0.2">
      <c r="B26843" s="43"/>
    </row>
    <row r="26844" spans="2:2" ht="12.75" customHeight="1" x14ac:dyDescent="0.2">
      <c r="B26844" s="43"/>
    </row>
    <row r="26845" spans="2:2" ht="12.75" customHeight="1" x14ac:dyDescent="0.2">
      <c r="B26845" s="43"/>
    </row>
    <row r="26846" spans="2:2" ht="12.75" customHeight="1" x14ac:dyDescent="0.2">
      <c r="B26846" s="43"/>
    </row>
    <row r="26847" spans="2:2" ht="12.75" customHeight="1" x14ac:dyDescent="0.2">
      <c r="B26847" s="43"/>
    </row>
    <row r="26848" spans="2:2" ht="12.75" customHeight="1" x14ac:dyDescent="0.2">
      <c r="B26848" s="43"/>
    </row>
    <row r="26849" spans="2:2" ht="12.75" customHeight="1" x14ac:dyDescent="0.2">
      <c r="B26849" s="43"/>
    </row>
    <row r="26850" spans="2:2" ht="12.75" customHeight="1" x14ac:dyDescent="0.2">
      <c r="B26850" s="43"/>
    </row>
    <row r="26851" spans="2:2" ht="12.75" customHeight="1" x14ac:dyDescent="0.2">
      <c r="B26851" s="43"/>
    </row>
    <row r="26852" spans="2:2" ht="12.75" customHeight="1" x14ac:dyDescent="0.2">
      <c r="B26852" s="43"/>
    </row>
    <row r="26853" spans="2:2" ht="12.75" customHeight="1" x14ac:dyDescent="0.2">
      <c r="B26853" s="43"/>
    </row>
    <row r="26854" spans="2:2" ht="12.75" customHeight="1" x14ac:dyDescent="0.2">
      <c r="B26854" s="43"/>
    </row>
    <row r="26855" spans="2:2" ht="12.75" customHeight="1" x14ac:dyDescent="0.2">
      <c r="B26855" s="43"/>
    </row>
    <row r="26856" spans="2:2" ht="12.75" customHeight="1" x14ac:dyDescent="0.2">
      <c r="B26856" s="43"/>
    </row>
    <row r="26857" spans="2:2" ht="12.75" customHeight="1" x14ac:dyDescent="0.2">
      <c r="B26857" s="43"/>
    </row>
    <row r="26858" spans="2:2" ht="12.75" customHeight="1" x14ac:dyDescent="0.2">
      <c r="B26858" s="43"/>
    </row>
    <row r="26859" spans="2:2" ht="12.75" customHeight="1" x14ac:dyDescent="0.2">
      <c r="B26859" s="43"/>
    </row>
    <row r="26860" spans="2:2" ht="12.75" customHeight="1" x14ac:dyDescent="0.2">
      <c r="B26860" s="43"/>
    </row>
    <row r="26861" spans="2:2" ht="12.75" customHeight="1" x14ac:dyDescent="0.2">
      <c r="B26861" s="43"/>
    </row>
    <row r="26862" spans="2:2" ht="12.75" customHeight="1" x14ac:dyDescent="0.2">
      <c r="B26862" s="43"/>
    </row>
    <row r="26863" spans="2:2" ht="12.75" customHeight="1" x14ac:dyDescent="0.2">
      <c r="B26863" s="43"/>
    </row>
    <row r="26864" spans="2:2" ht="12.75" customHeight="1" x14ac:dyDescent="0.2">
      <c r="B26864" s="43"/>
    </row>
    <row r="26865" spans="2:2" ht="12.75" customHeight="1" x14ac:dyDescent="0.2">
      <c r="B26865" s="43"/>
    </row>
    <row r="26866" spans="2:2" ht="12.75" customHeight="1" x14ac:dyDescent="0.2">
      <c r="B26866" s="43"/>
    </row>
    <row r="26867" spans="2:2" ht="12.75" customHeight="1" x14ac:dyDescent="0.2">
      <c r="B26867" s="43"/>
    </row>
    <row r="26868" spans="2:2" ht="12.75" customHeight="1" x14ac:dyDescent="0.2">
      <c r="B26868" s="43"/>
    </row>
    <row r="26869" spans="2:2" ht="12.75" customHeight="1" x14ac:dyDescent="0.2">
      <c r="B26869" s="43"/>
    </row>
    <row r="26870" spans="2:2" ht="12.75" customHeight="1" x14ac:dyDescent="0.2">
      <c r="B26870" s="43"/>
    </row>
    <row r="26871" spans="2:2" ht="12.75" customHeight="1" x14ac:dyDescent="0.2">
      <c r="B26871" s="43"/>
    </row>
    <row r="26872" spans="2:2" ht="12.75" customHeight="1" x14ac:dyDescent="0.2">
      <c r="B26872" s="43"/>
    </row>
    <row r="26873" spans="2:2" ht="12.75" customHeight="1" x14ac:dyDescent="0.2">
      <c r="B26873" s="43"/>
    </row>
    <row r="26874" spans="2:2" ht="12.75" customHeight="1" x14ac:dyDescent="0.2">
      <c r="B26874" s="43"/>
    </row>
    <row r="26875" spans="2:2" ht="12.75" customHeight="1" x14ac:dyDescent="0.2">
      <c r="B26875" s="43"/>
    </row>
    <row r="26876" spans="2:2" ht="12.75" customHeight="1" x14ac:dyDescent="0.2">
      <c r="B26876" s="43"/>
    </row>
    <row r="26877" spans="2:2" ht="12.75" customHeight="1" x14ac:dyDescent="0.2">
      <c r="B26877" s="43"/>
    </row>
    <row r="26878" spans="2:2" ht="12.75" customHeight="1" x14ac:dyDescent="0.2">
      <c r="B26878" s="43"/>
    </row>
    <row r="26879" spans="2:2" ht="12.75" customHeight="1" x14ac:dyDescent="0.2">
      <c r="B26879" s="43"/>
    </row>
    <row r="26880" spans="2:2" ht="12.75" customHeight="1" x14ac:dyDescent="0.2">
      <c r="B26880" s="43"/>
    </row>
    <row r="26881" spans="2:2" ht="12.75" customHeight="1" x14ac:dyDescent="0.2">
      <c r="B26881" s="43"/>
    </row>
    <row r="26882" spans="2:2" ht="12.75" customHeight="1" x14ac:dyDescent="0.2">
      <c r="B26882" s="43"/>
    </row>
    <row r="26883" spans="2:2" ht="12.75" customHeight="1" x14ac:dyDescent="0.2">
      <c r="B26883" s="43"/>
    </row>
    <row r="26884" spans="2:2" ht="12.75" customHeight="1" x14ac:dyDescent="0.2">
      <c r="B26884" s="43"/>
    </row>
    <row r="26885" spans="2:2" ht="12.75" customHeight="1" x14ac:dyDescent="0.2">
      <c r="B26885" s="43"/>
    </row>
    <row r="26886" spans="2:2" ht="12.75" customHeight="1" x14ac:dyDescent="0.2">
      <c r="B26886" s="43"/>
    </row>
    <row r="26887" spans="2:2" ht="12.75" customHeight="1" x14ac:dyDescent="0.2">
      <c r="B26887" s="43"/>
    </row>
    <row r="26888" spans="2:2" ht="12.75" customHeight="1" x14ac:dyDescent="0.2">
      <c r="B26888" s="43"/>
    </row>
    <row r="26889" spans="2:2" ht="12.75" customHeight="1" x14ac:dyDescent="0.2">
      <c r="B26889" s="43"/>
    </row>
    <row r="26890" spans="2:2" ht="12.75" customHeight="1" x14ac:dyDescent="0.2">
      <c r="B26890" s="43"/>
    </row>
    <row r="26891" spans="2:2" ht="12.75" customHeight="1" x14ac:dyDescent="0.2">
      <c r="B26891" s="43"/>
    </row>
    <row r="26892" spans="2:2" ht="12.75" customHeight="1" x14ac:dyDescent="0.2">
      <c r="B26892" s="43"/>
    </row>
    <row r="26893" spans="2:2" ht="12.75" customHeight="1" x14ac:dyDescent="0.2">
      <c r="B26893" s="43"/>
    </row>
    <row r="26894" spans="2:2" ht="12.75" customHeight="1" x14ac:dyDescent="0.2">
      <c r="B26894" s="43"/>
    </row>
    <row r="26895" spans="2:2" ht="12.75" customHeight="1" x14ac:dyDescent="0.2">
      <c r="B26895" s="43"/>
    </row>
    <row r="26896" spans="2:2" ht="12.75" customHeight="1" x14ac:dyDescent="0.2">
      <c r="B26896" s="43"/>
    </row>
    <row r="26897" spans="2:2" ht="12.75" customHeight="1" x14ac:dyDescent="0.2">
      <c r="B26897" s="43"/>
    </row>
    <row r="26898" spans="2:2" ht="12.75" customHeight="1" x14ac:dyDescent="0.2">
      <c r="B26898" s="43"/>
    </row>
    <row r="26899" spans="2:2" ht="12.75" customHeight="1" x14ac:dyDescent="0.2">
      <c r="B26899" s="43"/>
    </row>
    <row r="26900" spans="2:2" ht="12.75" customHeight="1" x14ac:dyDescent="0.2">
      <c r="B26900" s="43"/>
    </row>
    <row r="26901" spans="2:2" ht="12.75" customHeight="1" x14ac:dyDescent="0.2">
      <c r="B26901" s="43"/>
    </row>
    <row r="26902" spans="2:2" ht="12.75" customHeight="1" x14ac:dyDescent="0.2">
      <c r="B26902" s="43"/>
    </row>
    <row r="26903" spans="2:2" ht="12.75" customHeight="1" x14ac:dyDescent="0.2">
      <c r="B26903" s="43"/>
    </row>
    <row r="26904" spans="2:2" ht="12.75" customHeight="1" x14ac:dyDescent="0.2">
      <c r="B26904" s="43"/>
    </row>
    <row r="26905" spans="2:2" ht="12.75" customHeight="1" x14ac:dyDescent="0.2">
      <c r="B26905" s="43"/>
    </row>
    <row r="26906" spans="2:2" ht="12.75" customHeight="1" x14ac:dyDescent="0.2">
      <c r="B26906" s="43"/>
    </row>
    <row r="26907" spans="2:2" ht="12.75" customHeight="1" x14ac:dyDescent="0.2">
      <c r="B26907" s="43"/>
    </row>
    <row r="26908" spans="2:2" ht="12.75" customHeight="1" x14ac:dyDescent="0.2">
      <c r="B26908" s="43"/>
    </row>
    <row r="26909" spans="2:2" ht="12.75" customHeight="1" x14ac:dyDescent="0.2">
      <c r="B26909" s="43"/>
    </row>
    <row r="26910" spans="2:2" ht="12.75" customHeight="1" x14ac:dyDescent="0.2">
      <c r="B26910" s="43"/>
    </row>
    <row r="26911" spans="2:2" ht="12.75" customHeight="1" x14ac:dyDescent="0.2">
      <c r="B26911" s="43"/>
    </row>
    <row r="26912" spans="2:2" ht="12.75" customHeight="1" x14ac:dyDescent="0.2">
      <c r="B26912" s="43"/>
    </row>
    <row r="26913" spans="2:2" ht="12.75" customHeight="1" x14ac:dyDescent="0.2">
      <c r="B26913" s="43"/>
    </row>
    <row r="26914" spans="2:2" ht="12.75" customHeight="1" x14ac:dyDescent="0.2">
      <c r="B26914" s="43"/>
    </row>
    <row r="26915" spans="2:2" ht="12.75" customHeight="1" x14ac:dyDescent="0.2">
      <c r="B26915" s="43"/>
    </row>
    <row r="26916" spans="2:2" ht="12.75" customHeight="1" x14ac:dyDescent="0.2">
      <c r="B26916" s="43"/>
    </row>
    <row r="26917" spans="2:2" ht="12.75" customHeight="1" x14ac:dyDescent="0.2">
      <c r="B26917" s="43"/>
    </row>
    <row r="26918" spans="2:2" ht="12.75" customHeight="1" x14ac:dyDescent="0.2">
      <c r="B26918" s="43"/>
    </row>
    <row r="26919" spans="2:2" ht="12.75" customHeight="1" x14ac:dyDescent="0.2">
      <c r="B26919" s="43"/>
    </row>
    <row r="26920" spans="2:2" ht="12.75" customHeight="1" x14ac:dyDescent="0.2">
      <c r="B26920" s="43"/>
    </row>
    <row r="26921" spans="2:2" ht="12.75" customHeight="1" x14ac:dyDescent="0.2">
      <c r="B26921" s="43"/>
    </row>
    <row r="26922" spans="2:2" ht="12.75" customHeight="1" x14ac:dyDescent="0.2">
      <c r="B26922" s="43"/>
    </row>
    <row r="26923" spans="2:2" ht="12.75" customHeight="1" x14ac:dyDescent="0.2">
      <c r="B26923" s="43"/>
    </row>
    <row r="26924" spans="2:2" ht="12.75" customHeight="1" x14ac:dyDescent="0.2">
      <c r="B26924" s="43"/>
    </row>
    <row r="26925" spans="2:2" ht="12.75" customHeight="1" x14ac:dyDescent="0.2">
      <c r="B26925" s="43"/>
    </row>
    <row r="26926" spans="2:2" ht="12.75" customHeight="1" x14ac:dyDescent="0.2">
      <c r="B26926" s="43"/>
    </row>
    <row r="26927" spans="2:2" ht="12.75" customHeight="1" x14ac:dyDescent="0.2">
      <c r="B26927" s="43"/>
    </row>
    <row r="26928" spans="2:2" ht="12.75" customHeight="1" x14ac:dyDescent="0.2">
      <c r="B26928" s="43"/>
    </row>
    <row r="26929" spans="2:2" ht="12.75" customHeight="1" x14ac:dyDescent="0.2">
      <c r="B26929" s="43"/>
    </row>
    <row r="26930" spans="2:2" ht="12.75" customHeight="1" x14ac:dyDescent="0.2">
      <c r="B26930" s="43"/>
    </row>
    <row r="26931" spans="2:2" ht="12.75" customHeight="1" x14ac:dyDescent="0.2">
      <c r="B26931" s="43"/>
    </row>
    <row r="26932" spans="2:2" ht="12.75" customHeight="1" x14ac:dyDescent="0.2">
      <c r="B26932" s="43"/>
    </row>
    <row r="26933" spans="2:2" ht="12.75" customHeight="1" x14ac:dyDescent="0.2">
      <c r="B26933" s="43"/>
    </row>
    <row r="26934" spans="2:2" ht="12.75" customHeight="1" x14ac:dyDescent="0.2">
      <c r="B26934" s="43"/>
    </row>
    <row r="26935" spans="2:2" ht="12.75" customHeight="1" x14ac:dyDescent="0.2">
      <c r="B26935" s="43"/>
    </row>
    <row r="26936" spans="2:2" ht="12.75" customHeight="1" x14ac:dyDescent="0.2">
      <c r="B26936" s="43"/>
    </row>
    <row r="26937" spans="2:2" ht="12.75" customHeight="1" x14ac:dyDescent="0.2">
      <c r="B26937" s="43"/>
    </row>
    <row r="26938" spans="2:2" ht="12.75" customHeight="1" x14ac:dyDescent="0.2">
      <c r="B26938" s="43"/>
    </row>
    <row r="26939" spans="2:2" ht="12.75" customHeight="1" x14ac:dyDescent="0.2">
      <c r="B26939" s="43"/>
    </row>
    <row r="26940" spans="2:2" ht="12.75" customHeight="1" x14ac:dyDescent="0.2">
      <c r="B26940" s="43"/>
    </row>
    <row r="26941" spans="2:2" ht="12.75" customHeight="1" x14ac:dyDescent="0.2">
      <c r="B26941" s="43"/>
    </row>
    <row r="26942" spans="2:2" ht="12.75" customHeight="1" x14ac:dyDescent="0.2">
      <c r="B26942" s="43"/>
    </row>
    <row r="26943" spans="2:2" ht="12.75" customHeight="1" x14ac:dyDescent="0.2">
      <c r="B26943" s="43"/>
    </row>
    <row r="26944" spans="2:2" ht="12.75" customHeight="1" x14ac:dyDescent="0.2">
      <c r="B26944" s="43"/>
    </row>
    <row r="26945" spans="2:2" ht="12.75" customHeight="1" x14ac:dyDescent="0.2">
      <c r="B26945" s="43"/>
    </row>
    <row r="26946" spans="2:2" ht="12.75" customHeight="1" x14ac:dyDescent="0.2">
      <c r="B26946" s="43"/>
    </row>
    <row r="26947" spans="2:2" ht="12.75" customHeight="1" x14ac:dyDescent="0.2">
      <c r="B26947" s="43"/>
    </row>
    <row r="26948" spans="2:2" ht="12.75" customHeight="1" x14ac:dyDescent="0.2">
      <c r="B26948" s="43"/>
    </row>
    <row r="26949" spans="2:2" ht="12.75" customHeight="1" x14ac:dyDescent="0.2">
      <c r="B26949" s="43"/>
    </row>
    <row r="26950" spans="2:2" ht="12.75" customHeight="1" x14ac:dyDescent="0.2">
      <c r="B26950" s="43"/>
    </row>
    <row r="26951" spans="2:2" ht="12.75" customHeight="1" x14ac:dyDescent="0.2">
      <c r="B26951" s="43"/>
    </row>
    <row r="26952" spans="2:2" ht="12.75" customHeight="1" x14ac:dyDescent="0.2">
      <c r="B26952" s="43"/>
    </row>
    <row r="26953" spans="2:2" ht="12.75" customHeight="1" x14ac:dyDescent="0.2">
      <c r="B26953" s="43"/>
    </row>
    <row r="26954" spans="2:2" ht="12.75" customHeight="1" x14ac:dyDescent="0.2">
      <c r="B26954" s="43"/>
    </row>
    <row r="26955" spans="2:2" ht="12.75" customHeight="1" x14ac:dyDescent="0.2">
      <c r="B26955" s="43"/>
    </row>
    <row r="26956" spans="2:2" ht="12.75" customHeight="1" x14ac:dyDescent="0.2">
      <c r="B26956" s="43"/>
    </row>
    <row r="26957" spans="2:2" ht="12.75" customHeight="1" x14ac:dyDescent="0.2">
      <c r="B26957" s="43"/>
    </row>
    <row r="26958" spans="2:2" ht="12.75" customHeight="1" x14ac:dyDescent="0.2">
      <c r="B26958" s="43"/>
    </row>
    <row r="26959" spans="2:2" ht="12.75" customHeight="1" x14ac:dyDescent="0.2">
      <c r="B26959" s="43"/>
    </row>
    <row r="26960" spans="2:2" ht="12.75" customHeight="1" x14ac:dyDescent="0.2">
      <c r="B26960" s="43"/>
    </row>
    <row r="26961" spans="2:2" ht="12.75" customHeight="1" x14ac:dyDescent="0.2">
      <c r="B26961" s="43"/>
    </row>
    <row r="26962" spans="2:2" ht="12.75" customHeight="1" x14ac:dyDescent="0.2">
      <c r="B26962" s="43"/>
    </row>
    <row r="26963" spans="2:2" ht="12.75" customHeight="1" x14ac:dyDescent="0.2">
      <c r="B26963" s="43"/>
    </row>
    <row r="26964" spans="2:2" ht="12.75" customHeight="1" x14ac:dyDescent="0.2">
      <c r="B26964" s="43"/>
    </row>
    <row r="26965" spans="2:2" ht="12.75" customHeight="1" x14ac:dyDescent="0.2">
      <c r="B26965" s="43"/>
    </row>
    <row r="26966" spans="2:2" ht="12.75" customHeight="1" x14ac:dyDescent="0.2">
      <c r="B26966" s="43"/>
    </row>
    <row r="26967" spans="2:2" ht="12.75" customHeight="1" x14ac:dyDescent="0.2">
      <c r="B26967" s="43"/>
    </row>
    <row r="26968" spans="2:2" ht="12.75" customHeight="1" x14ac:dyDescent="0.2">
      <c r="B26968" s="43"/>
    </row>
    <row r="26969" spans="2:2" ht="12.75" customHeight="1" x14ac:dyDescent="0.2">
      <c r="B26969" s="43"/>
    </row>
    <row r="26970" spans="2:2" ht="12.75" customHeight="1" x14ac:dyDescent="0.2">
      <c r="B26970" s="43"/>
    </row>
    <row r="26971" spans="2:2" ht="12.75" customHeight="1" x14ac:dyDescent="0.2">
      <c r="B26971" s="43"/>
    </row>
    <row r="26972" spans="2:2" ht="12.75" customHeight="1" x14ac:dyDescent="0.2">
      <c r="B26972" s="43"/>
    </row>
    <row r="26973" spans="2:2" ht="12.75" customHeight="1" x14ac:dyDescent="0.2">
      <c r="B26973" s="43"/>
    </row>
    <row r="26974" spans="2:2" ht="12.75" customHeight="1" x14ac:dyDescent="0.2">
      <c r="B26974" s="43"/>
    </row>
    <row r="26975" spans="2:2" ht="12.75" customHeight="1" x14ac:dyDescent="0.2">
      <c r="B26975" s="43"/>
    </row>
    <row r="26976" spans="2:2" ht="12.75" customHeight="1" x14ac:dyDescent="0.2">
      <c r="B26976" s="43"/>
    </row>
    <row r="26977" spans="2:2" ht="12.75" customHeight="1" x14ac:dyDescent="0.2">
      <c r="B26977" s="43"/>
    </row>
    <row r="26978" spans="2:2" ht="12.75" customHeight="1" x14ac:dyDescent="0.2">
      <c r="B26978" s="43"/>
    </row>
    <row r="26979" spans="2:2" ht="12.75" customHeight="1" x14ac:dyDescent="0.2">
      <c r="B26979" s="43"/>
    </row>
    <row r="26980" spans="2:2" ht="12.75" customHeight="1" x14ac:dyDescent="0.2">
      <c r="B26980" s="43"/>
    </row>
    <row r="26981" spans="2:2" ht="12.75" customHeight="1" x14ac:dyDescent="0.2">
      <c r="B26981" s="43"/>
    </row>
    <row r="26982" spans="2:2" ht="12.75" customHeight="1" x14ac:dyDescent="0.2">
      <c r="B26982" s="43"/>
    </row>
    <row r="26983" spans="2:2" ht="12.75" customHeight="1" x14ac:dyDescent="0.2">
      <c r="B26983" s="43"/>
    </row>
    <row r="26984" spans="2:2" ht="12.75" customHeight="1" x14ac:dyDescent="0.2">
      <c r="B26984" s="43"/>
    </row>
    <row r="26985" spans="2:2" ht="12.75" customHeight="1" x14ac:dyDescent="0.2">
      <c r="B26985" s="43"/>
    </row>
    <row r="26986" spans="2:2" ht="12.75" customHeight="1" x14ac:dyDescent="0.2">
      <c r="B26986" s="43"/>
    </row>
    <row r="26987" spans="2:2" ht="12.75" customHeight="1" x14ac:dyDescent="0.2">
      <c r="B26987" s="43"/>
    </row>
    <row r="26988" spans="2:2" ht="12.75" customHeight="1" x14ac:dyDescent="0.2">
      <c r="B26988" s="43"/>
    </row>
    <row r="26989" spans="2:2" ht="12.75" customHeight="1" x14ac:dyDescent="0.2">
      <c r="B26989" s="43"/>
    </row>
    <row r="26990" spans="2:2" ht="12.75" customHeight="1" x14ac:dyDescent="0.2">
      <c r="B26990" s="43"/>
    </row>
    <row r="26991" spans="2:2" ht="12.75" customHeight="1" x14ac:dyDescent="0.2">
      <c r="B26991" s="43"/>
    </row>
    <row r="26992" spans="2:2" ht="12.75" customHeight="1" x14ac:dyDescent="0.2">
      <c r="B26992" s="43"/>
    </row>
    <row r="26993" spans="2:2" ht="12.75" customHeight="1" x14ac:dyDescent="0.2">
      <c r="B26993" s="43"/>
    </row>
    <row r="26994" spans="2:2" ht="12.75" customHeight="1" x14ac:dyDescent="0.2">
      <c r="B26994" s="43"/>
    </row>
    <row r="26995" spans="2:2" ht="12.75" customHeight="1" x14ac:dyDescent="0.2">
      <c r="B26995" s="43"/>
    </row>
    <row r="26996" spans="2:2" ht="12.75" customHeight="1" x14ac:dyDescent="0.2">
      <c r="B26996" s="43"/>
    </row>
    <row r="26997" spans="2:2" ht="12.75" customHeight="1" x14ac:dyDescent="0.2">
      <c r="B26997" s="43"/>
    </row>
    <row r="26998" spans="2:2" ht="12.75" customHeight="1" x14ac:dyDescent="0.2">
      <c r="B26998" s="43"/>
    </row>
    <row r="26999" spans="2:2" ht="12.75" customHeight="1" x14ac:dyDescent="0.2">
      <c r="B26999" s="43"/>
    </row>
    <row r="27000" spans="2:2" ht="12.75" customHeight="1" x14ac:dyDescent="0.2">
      <c r="B27000" s="43"/>
    </row>
    <row r="27001" spans="2:2" ht="12.75" customHeight="1" x14ac:dyDescent="0.2">
      <c r="B27001" s="43"/>
    </row>
    <row r="27002" spans="2:2" ht="12.75" customHeight="1" x14ac:dyDescent="0.2">
      <c r="B27002" s="43"/>
    </row>
    <row r="27003" spans="2:2" ht="12.75" customHeight="1" x14ac:dyDescent="0.2">
      <c r="B27003" s="43"/>
    </row>
    <row r="27004" spans="2:2" ht="12.75" customHeight="1" x14ac:dyDescent="0.2">
      <c r="B27004" s="43"/>
    </row>
    <row r="27005" spans="2:2" ht="12.75" customHeight="1" x14ac:dyDescent="0.2">
      <c r="B27005" s="43"/>
    </row>
    <row r="27006" spans="2:2" ht="12.75" customHeight="1" x14ac:dyDescent="0.2">
      <c r="B27006" s="43"/>
    </row>
    <row r="27007" spans="2:2" ht="12.75" customHeight="1" x14ac:dyDescent="0.2">
      <c r="B27007" s="43"/>
    </row>
    <row r="27008" spans="2:2" ht="12.75" customHeight="1" x14ac:dyDescent="0.2">
      <c r="B27008" s="43"/>
    </row>
    <row r="27009" spans="2:2" ht="12.75" customHeight="1" x14ac:dyDescent="0.2">
      <c r="B27009" s="43"/>
    </row>
    <row r="27010" spans="2:2" ht="12.75" customHeight="1" x14ac:dyDescent="0.2">
      <c r="B27010" s="43"/>
    </row>
    <row r="27011" spans="2:2" ht="12.75" customHeight="1" x14ac:dyDescent="0.2">
      <c r="B27011" s="43"/>
    </row>
    <row r="27012" spans="2:2" ht="12.75" customHeight="1" x14ac:dyDescent="0.2">
      <c r="B27012" s="43"/>
    </row>
    <row r="27013" spans="2:2" ht="12.75" customHeight="1" x14ac:dyDescent="0.2">
      <c r="B27013" s="43"/>
    </row>
    <row r="27014" spans="2:2" ht="12.75" customHeight="1" x14ac:dyDescent="0.2">
      <c r="B27014" s="43"/>
    </row>
    <row r="27015" spans="2:2" ht="12.75" customHeight="1" x14ac:dyDescent="0.2">
      <c r="B27015" s="43"/>
    </row>
    <row r="27016" spans="2:2" ht="12.75" customHeight="1" x14ac:dyDescent="0.2">
      <c r="B27016" s="43"/>
    </row>
    <row r="27017" spans="2:2" ht="12.75" customHeight="1" x14ac:dyDescent="0.2">
      <c r="B27017" s="43"/>
    </row>
    <row r="27018" spans="2:2" ht="12.75" customHeight="1" x14ac:dyDescent="0.2">
      <c r="B27018" s="43"/>
    </row>
    <row r="27019" spans="2:2" ht="12.75" customHeight="1" x14ac:dyDescent="0.2">
      <c r="B27019" s="43"/>
    </row>
    <row r="27020" spans="2:2" ht="12.75" customHeight="1" x14ac:dyDescent="0.2">
      <c r="B27020" s="43"/>
    </row>
    <row r="27021" spans="2:2" ht="12.75" customHeight="1" x14ac:dyDescent="0.2">
      <c r="B27021" s="43"/>
    </row>
    <row r="27022" spans="2:2" ht="12.75" customHeight="1" x14ac:dyDescent="0.2">
      <c r="B27022" s="43"/>
    </row>
    <row r="27023" spans="2:2" ht="12.75" customHeight="1" x14ac:dyDescent="0.2">
      <c r="B27023" s="43"/>
    </row>
    <row r="27024" spans="2:2" ht="12.75" customHeight="1" x14ac:dyDescent="0.2">
      <c r="B27024" s="43"/>
    </row>
    <row r="27025" spans="2:2" ht="12.75" customHeight="1" x14ac:dyDescent="0.2">
      <c r="B27025" s="43"/>
    </row>
    <row r="27026" spans="2:2" ht="12.75" customHeight="1" x14ac:dyDescent="0.2">
      <c r="B27026" s="43"/>
    </row>
    <row r="27027" spans="2:2" ht="12.75" customHeight="1" x14ac:dyDescent="0.2">
      <c r="B27027" s="43"/>
    </row>
    <row r="27028" spans="2:2" ht="12.75" customHeight="1" x14ac:dyDescent="0.2">
      <c r="B27028" s="43"/>
    </row>
    <row r="27029" spans="2:2" ht="12.75" customHeight="1" x14ac:dyDescent="0.2">
      <c r="B27029" s="43"/>
    </row>
    <row r="27030" spans="2:2" ht="12.75" customHeight="1" x14ac:dyDescent="0.2">
      <c r="B27030" s="43"/>
    </row>
    <row r="27031" spans="2:2" ht="12.75" customHeight="1" x14ac:dyDescent="0.2">
      <c r="B27031" s="43"/>
    </row>
    <row r="27032" spans="2:2" ht="12.75" customHeight="1" x14ac:dyDescent="0.2">
      <c r="B27032" s="43"/>
    </row>
    <row r="27033" spans="2:2" ht="12.75" customHeight="1" x14ac:dyDescent="0.2">
      <c r="B27033" s="43"/>
    </row>
    <row r="27034" spans="2:2" ht="12.75" customHeight="1" x14ac:dyDescent="0.2">
      <c r="B27034" s="43"/>
    </row>
    <row r="27035" spans="2:2" ht="12.75" customHeight="1" x14ac:dyDescent="0.2">
      <c r="B27035" s="43"/>
    </row>
    <row r="27036" spans="2:2" ht="12.75" customHeight="1" x14ac:dyDescent="0.2">
      <c r="B27036" s="43"/>
    </row>
    <row r="27037" spans="2:2" ht="12.75" customHeight="1" x14ac:dyDescent="0.2">
      <c r="B27037" s="43"/>
    </row>
    <row r="27038" spans="2:2" ht="12.75" customHeight="1" x14ac:dyDescent="0.2">
      <c r="B27038" s="43"/>
    </row>
    <row r="27039" spans="2:2" ht="12.75" customHeight="1" x14ac:dyDescent="0.2">
      <c r="B27039" s="43"/>
    </row>
    <row r="27040" spans="2:2" ht="12.75" customHeight="1" x14ac:dyDescent="0.2">
      <c r="B27040" s="43"/>
    </row>
    <row r="27041" spans="2:2" ht="12.75" customHeight="1" x14ac:dyDescent="0.2">
      <c r="B27041" s="43"/>
    </row>
    <row r="27042" spans="2:2" ht="12.75" customHeight="1" x14ac:dyDescent="0.2">
      <c r="B27042" s="43"/>
    </row>
    <row r="27043" spans="2:2" ht="12.75" customHeight="1" x14ac:dyDescent="0.2">
      <c r="B27043" s="43"/>
    </row>
    <row r="27044" spans="2:2" ht="12.75" customHeight="1" x14ac:dyDescent="0.2">
      <c r="B27044" s="43"/>
    </row>
    <row r="27045" spans="2:2" ht="12.75" customHeight="1" x14ac:dyDescent="0.2">
      <c r="B27045" s="43"/>
    </row>
    <row r="27046" spans="2:2" ht="12.75" customHeight="1" x14ac:dyDescent="0.2">
      <c r="B27046" s="43"/>
    </row>
    <row r="27047" spans="2:2" ht="12.75" customHeight="1" x14ac:dyDescent="0.2">
      <c r="B27047" s="43"/>
    </row>
    <row r="27048" spans="2:2" ht="12.75" customHeight="1" x14ac:dyDescent="0.2">
      <c r="B27048" s="43"/>
    </row>
    <row r="27049" spans="2:2" ht="12.75" customHeight="1" x14ac:dyDescent="0.2">
      <c r="B27049" s="43"/>
    </row>
    <row r="27050" spans="2:2" ht="12.75" customHeight="1" x14ac:dyDescent="0.2">
      <c r="B27050" s="43"/>
    </row>
    <row r="27051" spans="2:2" ht="12.75" customHeight="1" x14ac:dyDescent="0.2">
      <c r="B27051" s="43"/>
    </row>
    <row r="27052" spans="2:2" ht="12.75" customHeight="1" x14ac:dyDescent="0.2">
      <c r="B27052" s="43"/>
    </row>
    <row r="27053" spans="2:2" ht="12.75" customHeight="1" x14ac:dyDescent="0.2">
      <c r="B27053" s="43"/>
    </row>
    <row r="27054" spans="2:2" ht="12.75" customHeight="1" x14ac:dyDescent="0.2">
      <c r="B27054" s="43"/>
    </row>
    <row r="27055" spans="2:2" ht="12.75" customHeight="1" x14ac:dyDescent="0.2">
      <c r="B27055" s="43"/>
    </row>
    <row r="27056" spans="2:2" ht="12.75" customHeight="1" x14ac:dyDescent="0.2">
      <c r="B27056" s="43"/>
    </row>
    <row r="27057" spans="2:2" ht="12.75" customHeight="1" x14ac:dyDescent="0.2">
      <c r="B27057" s="43"/>
    </row>
    <row r="27058" spans="2:2" ht="12.75" customHeight="1" x14ac:dyDescent="0.2">
      <c r="B27058" s="43"/>
    </row>
    <row r="27059" spans="2:2" ht="12.75" customHeight="1" x14ac:dyDescent="0.2">
      <c r="B27059" s="43"/>
    </row>
    <row r="27060" spans="2:2" ht="12.75" customHeight="1" x14ac:dyDescent="0.2">
      <c r="B27060" s="43"/>
    </row>
    <row r="27061" spans="2:2" ht="12.75" customHeight="1" x14ac:dyDescent="0.2">
      <c r="B27061" s="43"/>
    </row>
    <row r="27062" spans="2:2" ht="12.75" customHeight="1" x14ac:dyDescent="0.2">
      <c r="B27062" s="43"/>
    </row>
    <row r="27063" spans="2:2" ht="12.75" customHeight="1" x14ac:dyDescent="0.2">
      <c r="B27063" s="43"/>
    </row>
    <row r="27064" spans="2:2" ht="12.75" customHeight="1" x14ac:dyDescent="0.2">
      <c r="B27064" s="43"/>
    </row>
    <row r="27065" spans="2:2" ht="12.75" customHeight="1" x14ac:dyDescent="0.2">
      <c r="B27065" s="43"/>
    </row>
    <row r="27066" spans="2:2" ht="12.75" customHeight="1" x14ac:dyDescent="0.2">
      <c r="B27066" s="43"/>
    </row>
    <row r="27067" spans="2:2" ht="12.75" customHeight="1" x14ac:dyDescent="0.2">
      <c r="B27067" s="43"/>
    </row>
    <row r="27068" spans="2:2" ht="12.75" customHeight="1" x14ac:dyDescent="0.2">
      <c r="B27068" s="43"/>
    </row>
    <row r="27069" spans="2:2" ht="12.75" customHeight="1" x14ac:dyDescent="0.2">
      <c r="B27069" s="43"/>
    </row>
    <row r="27070" spans="2:2" ht="12.75" customHeight="1" x14ac:dyDescent="0.2">
      <c r="B27070" s="43"/>
    </row>
    <row r="27071" spans="2:2" ht="12.75" customHeight="1" x14ac:dyDescent="0.2">
      <c r="B27071" s="43"/>
    </row>
    <row r="27072" spans="2:2" ht="12.75" customHeight="1" x14ac:dyDescent="0.2">
      <c r="B27072" s="43"/>
    </row>
    <row r="27073" spans="2:2" ht="12.75" customHeight="1" x14ac:dyDescent="0.2">
      <c r="B27073" s="43"/>
    </row>
    <row r="27074" spans="2:2" ht="12.75" customHeight="1" x14ac:dyDescent="0.2">
      <c r="B27074" s="43"/>
    </row>
    <row r="27075" spans="2:2" ht="12.75" customHeight="1" x14ac:dyDescent="0.2">
      <c r="B27075" s="43"/>
    </row>
    <row r="27076" spans="2:2" ht="12.75" customHeight="1" x14ac:dyDescent="0.2">
      <c r="B27076" s="43"/>
    </row>
    <row r="27077" spans="2:2" ht="12.75" customHeight="1" x14ac:dyDescent="0.2">
      <c r="B27077" s="43"/>
    </row>
    <row r="27078" spans="2:2" ht="12.75" customHeight="1" x14ac:dyDescent="0.2">
      <c r="B27078" s="43"/>
    </row>
    <row r="27079" spans="2:2" ht="12.75" customHeight="1" x14ac:dyDescent="0.2">
      <c r="B27079" s="43"/>
    </row>
    <row r="27080" spans="2:2" ht="12.75" customHeight="1" x14ac:dyDescent="0.2">
      <c r="B27080" s="43"/>
    </row>
    <row r="27081" spans="2:2" ht="12.75" customHeight="1" x14ac:dyDescent="0.2">
      <c r="B27081" s="43"/>
    </row>
    <row r="27082" spans="2:2" ht="12.75" customHeight="1" x14ac:dyDescent="0.2">
      <c r="B27082" s="43"/>
    </row>
    <row r="27083" spans="2:2" ht="12.75" customHeight="1" x14ac:dyDescent="0.2">
      <c r="B27083" s="43"/>
    </row>
    <row r="27084" spans="2:2" ht="12.75" customHeight="1" x14ac:dyDescent="0.2">
      <c r="B27084" s="43"/>
    </row>
    <row r="27085" spans="2:2" ht="12.75" customHeight="1" x14ac:dyDescent="0.2">
      <c r="B27085" s="43"/>
    </row>
    <row r="27086" spans="2:2" ht="12.75" customHeight="1" x14ac:dyDescent="0.2">
      <c r="B27086" s="43"/>
    </row>
    <row r="27087" spans="2:2" ht="12.75" customHeight="1" x14ac:dyDescent="0.2">
      <c r="B27087" s="43"/>
    </row>
    <row r="27088" spans="2:2" ht="12.75" customHeight="1" x14ac:dyDescent="0.2">
      <c r="B27088" s="43"/>
    </row>
    <row r="27089" spans="2:2" ht="12.75" customHeight="1" x14ac:dyDescent="0.2">
      <c r="B27089" s="43"/>
    </row>
    <row r="27090" spans="2:2" ht="12.75" customHeight="1" x14ac:dyDescent="0.2">
      <c r="B27090" s="43"/>
    </row>
    <row r="27091" spans="2:2" ht="12.75" customHeight="1" x14ac:dyDescent="0.2">
      <c r="B27091" s="43"/>
    </row>
    <row r="27092" spans="2:2" ht="12.75" customHeight="1" x14ac:dyDescent="0.2">
      <c r="B27092" s="43"/>
    </row>
    <row r="27093" spans="2:2" ht="12.75" customHeight="1" x14ac:dyDescent="0.2">
      <c r="B27093" s="43"/>
    </row>
    <row r="27094" spans="2:2" ht="12.75" customHeight="1" x14ac:dyDescent="0.2">
      <c r="B27094" s="43"/>
    </row>
    <row r="27095" spans="2:2" ht="12.75" customHeight="1" x14ac:dyDescent="0.2">
      <c r="B27095" s="43"/>
    </row>
    <row r="27096" spans="2:2" ht="12.75" customHeight="1" x14ac:dyDescent="0.2">
      <c r="B27096" s="43"/>
    </row>
    <row r="27097" spans="2:2" ht="12.75" customHeight="1" x14ac:dyDescent="0.2">
      <c r="B27097" s="43"/>
    </row>
    <row r="27098" spans="2:2" ht="12.75" customHeight="1" x14ac:dyDescent="0.2">
      <c r="B27098" s="43"/>
    </row>
    <row r="27099" spans="2:2" ht="12.75" customHeight="1" x14ac:dyDescent="0.2">
      <c r="B27099" s="43"/>
    </row>
    <row r="27100" spans="2:2" ht="12.75" customHeight="1" x14ac:dyDescent="0.2">
      <c r="B27100" s="43"/>
    </row>
    <row r="27101" spans="2:2" ht="12.75" customHeight="1" x14ac:dyDescent="0.2">
      <c r="B27101" s="43"/>
    </row>
    <row r="27102" spans="2:2" ht="12.75" customHeight="1" x14ac:dyDescent="0.2">
      <c r="B27102" s="43"/>
    </row>
    <row r="27103" spans="2:2" ht="12.75" customHeight="1" x14ac:dyDescent="0.2">
      <c r="B27103" s="43"/>
    </row>
    <row r="27104" spans="2:2" ht="12.75" customHeight="1" x14ac:dyDescent="0.2">
      <c r="B27104" s="43"/>
    </row>
    <row r="27105" spans="2:2" ht="12.75" customHeight="1" x14ac:dyDescent="0.2">
      <c r="B27105" s="43"/>
    </row>
    <row r="27106" spans="2:2" ht="12.75" customHeight="1" x14ac:dyDescent="0.2">
      <c r="B27106" s="43"/>
    </row>
    <row r="27107" spans="2:2" ht="12.75" customHeight="1" x14ac:dyDescent="0.2">
      <c r="B27107" s="43"/>
    </row>
    <row r="27108" spans="2:2" ht="12.75" customHeight="1" x14ac:dyDescent="0.2">
      <c r="B27108" s="43"/>
    </row>
    <row r="27109" spans="2:2" ht="12.75" customHeight="1" x14ac:dyDescent="0.2">
      <c r="B27109" s="43"/>
    </row>
    <row r="27110" spans="2:2" ht="12.75" customHeight="1" x14ac:dyDescent="0.2">
      <c r="B27110" s="43"/>
    </row>
    <row r="27111" spans="2:2" ht="12.75" customHeight="1" x14ac:dyDescent="0.2">
      <c r="B27111" s="43"/>
    </row>
    <row r="27112" spans="2:2" ht="12.75" customHeight="1" x14ac:dyDescent="0.2">
      <c r="B27112" s="43"/>
    </row>
    <row r="27113" spans="2:2" ht="12.75" customHeight="1" x14ac:dyDescent="0.2">
      <c r="B27113" s="43"/>
    </row>
    <row r="27114" spans="2:2" ht="12.75" customHeight="1" x14ac:dyDescent="0.2">
      <c r="B27114" s="43"/>
    </row>
    <row r="27115" spans="2:2" ht="12.75" customHeight="1" x14ac:dyDescent="0.2">
      <c r="B27115" s="43"/>
    </row>
    <row r="27116" spans="2:2" ht="12.75" customHeight="1" x14ac:dyDescent="0.2">
      <c r="B27116" s="43"/>
    </row>
    <row r="27117" spans="2:2" ht="12.75" customHeight="1" x14ac:dyDescent="0.2">
      <c r="B27117" s="43"/>
    </row>
    <row r="27118" spans="2:2" ht="12.75" customHeight="1" x14ac:dyDescent="0.2">
      <c r="B27118" s="43"/>
    </row>
    <row r="27119" spans="2:2" ht="12.75" customHeight="1" x14ac:dyDescent="0.2">
      <c r="B27119" s="43"/>
    </row>
    <row r="27120" spans="2:2" ht="12.75" customHeight="1" x14ac:dyDescent="0.2">
      <c r="B27120" s="43"/>
    </row>
    <row r="27121" spans="2:2" ht="12.75" customHeight="1" x14ac:dyDescent="0.2">
      <c r="B27121" s="43"/>
    </row>
    <row r="27122" spans="2:2" ht="12.75" customHeight="1" x14ac:dyDescent="0.2">
      <c r="B27122" s="43"/>
    </row>
    <row r="27123" spans="2:2" ht="12.75" customHeight="1" x14ac:dyDescent="0.2">
      <c r="B27123" s="43"/>
    </row>
    <row r="27124" spans="2:2" ht="12.75" customHeight="1" x14ac:dyDescent="0.2">
      <c r="B27124" s="43"/>
    </row>
    <row r="27125" spans="2:2" ht="12.75" customHeight="1" x14ac:dyDescent="0.2">
      <c r="B27125" s="43"/>
    </row>
    <row r="27126" spans="2:2" ht="12.75" customHeight="1" x14ac:dyDescent="0.2">
      <c r="B27126" s="43"/>
    </row>
    <row r="27127" spans="2:2" ht="12.75" customHeight="1" x14ac:dyDescent="0.2">
      <c r="B27127" s="43"/>
    </row>
    <row r="27128" spans="2:2" ht="12.75" customHeight="1" x14ac:dyDescent="0.2">
      <c r="B27128" s="43"/>
    </row>
    <row r="27129" spans="2:2" ht="12.75" customHeight="1" x14ac:dyDescent="0.2">
      <c r="B27129" s="43"/>
    </row>
    <row r="27130" spans="2:2" ht="12.75" customHeight="1" x14ac:dyDescent="0.2">
      <c r="B27130" s="43"/>
    </row>
    <row r="27131" spans="2:2" ht="12.75" customHeight="1" x14ac:dyDescent="0.2">
      <c r="B27131" s="43"/>
    </row>
    <row r="27132" spans="2:2" ht="12.75" customHeight="1" x14ac:dyDescent="0.2">
      <c r="B27132" s="43"/>
    </row>
    <row r="27133" spans="2:2" ht="12.75" customHeight="1" x14ac:dyDescent="0.2">
      <c r="B27133" s="43"/>
    </row>
    <row r="27134" spans="2:2" ht="12.75" customHeight="1" x14ac:dyDescent="0.2">
      <c r="B27134" s="43"/>
    </row>
    <row r="27135" spans="2:2" ht="12.75" customHeight="1" x14ac:dyDescent="0.2">
      <c r="B27135" s="43"/>
    </row>
    <row r="27136" spans="2:2" ht="12.75" customHeight="1" x14ac:dyDescent="0.2">
      <c r="B27136" s="43"/>
    </row>
    <row r="27137" spans="2:2" ht="12.75" customHeight="1" x14ac:dyDescent="0.2">
      <c r="B27137" s="43"/>
    </row>
    <row r="27138" spans="2:2" ht="12.75" customHeight="1" x14ac:dyDescent="0.2">
      <c r="B27138" s="43"/>
    </row>
    <row r="27139" spans="2:2" ht="12.75" customHeight="1" x14ac:dyDescent="0.2">
      <c r="B27139" s="43"/>
    </row>
    <row r="27140" spans="2:2" ht="12.75" customHeight="1" x14ac:dyDescent="0.2">
      <c r="B27140" s="43"/>
    </row>
    <row r="27141" spans="2:2" ht="12.75" customHeight="1" x14ac:dyDescent="0.2">
      <c r="B27141" s="43"/>
    </row>
    <row r="27142" spans="2:2" ht="12.75" customHeight="1" x14ac:dyDescent="0.2">
      <c r="B27142" s="43"/>
    </row>
    <row r="27143" spans="2:2" ht="12.75" customHeight="1" x14ac:dyDescent="0.2">
      <c r="B27143" s="43"/>
    </row>
    <row r="27144" spans="2:2" ht="12.75" customHeight="1" x14ac:dyDescent="0.2">
      <c r="B27144" s="43"/>
    </row>
    <row r="27145" spans="2:2" ht="12.75" customHeight="1" x14ac:dyDescent="0.2">
      <c r="B27145" s="43"/>
    </row>
    <row r="27146" spans="2:2" ht="12.75" customHeight="1" x14ac:dyDescent="0.2">
      <c r="B27146" s="43"/>
    </row>
    <row r="27147" spans="2:2" ht="12.75" customHeight="1" x14ac:dyDescent="0.2">
      <c r="B27147" s="43"/>
    </row>
    <row r="27148" spans="2:2" ht="12.75" customHeight="1" x14ac:dyDescent="0.2">
      <c r="B27148" s="43"/>
    </row>
    <row r="27149" spans="2:2" ht="12.75" customHeight="1" x14ac:dyDescent="0.2">
      <c r="B27149" s="43"/>
    </row>
    <row r="27150" spans="2:2" ht="12.75" customHeight="1" x14ac:dyDescent="0.2">
      <c r="B27150" s="43"/>
    </row>
    <row r="27151" spans="2:2" ht="12.75" customHeight="1" x14ac:dyDescent="0.2">
      <c r="B27151" s="43"/>
    </row>
    <row r="27152" spans="2:2" ht="12.75" customHeight="1" x14ac:dyDescent="0.2">
      <c r="B27152" s="43"/>
    </row>
    <row r="27153" spans="2:2" ht="12.75" customHeight="1" x14ac:dyDescent="0.2">
      <c r="B27153" s="43"/>
    </row>
    <row r="27154" spans="2:2" ht="12.75" customHeight="1" x14ac:dyDescent="0.2">
      <c r="B27154" s="43"/>
    </row>
    <row r="27155" spans="2:2" ht="12.75" customHeight="1" x14ac:dyDescent="0.2">
      <c r="B27155" s="43"/>
    </row>
    <row r="27156" spans="2:2" ht="12.75" customHeight="1" x14ac:dyDescent="0.2">
      <c r="B27156" s="43"/>
    </row>
    <row r="27157" spans="2:2" ht="12.75" customHeight="1" x14ac:dyDescent="0.2">
      <c r="B27157" s="43"/>
    </row>
    <row r="27158" spans="2:2" ht="12.75" customHeight="1" x14ac:dyDescent="0.2">
      <c r="B27158" s="43"/>
    </row>
    <row r="27159" spans="2:2" ht="12.75" customHeight="1" x14ac:dyDescent="0.2">
      <c r="B27159" s="43"/>
    </row>
    <row r="27160" spans="2:2" ht="12.75" customHeight="1" x14ac:dyDescent="0.2">
      <c r="B27160" s="43"/>
    </row>
    <row r="27161" spans="2:2" ht="12.75" customHeight="1" x14ac:dyDescent="0.2">
      <c r="B27161" s="43"/>
    </row>
    <row r="27162" spans="2:2" ht="12.75" customHeight="1" x14ac:dyDescent="0.2">
      <c r="B27162" s="43"/>
    </row>
    <row r="27163" spans="2:2" ht="12.75" customHeight="1" x14ac:dyDescent="0.2">
      <c r="B27163" s="43"/>
    </row>
    <row r="27164" spans="2:2" ht="12.75" customHeight="1" x14ac:dyDescent="0.2">
      <c r="B27164" s="43"/>
    </row>
    <row r="27165" spans="2:2" ht="12.75" customHeight="1" x14ac:dyDescent="0.2">
      <c r="B27165" s="43"/>
    </row>
    <row r="27166" spans="2:2" ht="12.75" customHeight="1" x14ac:dyDescent="0.2">
      <c r="B27166" s="43"/>
    </row>
    <row r="27167" spans="2:2" ht="12.75" customHeight="1" x14ac:dyDescent="0.2">
      <c r="B27167" s="43"/>
    </row>
    <row r="27168" spans="2:2" ht="12.75" customHeight="1" x14ac:dyDescent="0.2">
      <c r="B27168" s="43"/>
    </row>
    <row r="27169" spans="2:2" ht="12.75" customHeight="1" x14ac:dyDescent="0.2">
      <c r="B27169" s="43"/>
    </row>
    <row r="27170" spans="2:2" ht="12.75" customHeight="1" x14ac:dyDescent="0.2">
      <c r="B27170" s="43"/>
    </row>
    <row r="27171" spans="2:2" ht="12.75" customHeight="1" x14ac:dyDescent="0.2">
      <c r="B27171" s="43"/>
    </row>
    <row r="27172" spans="2:2" ht="12.75" customHeight="1" x14ac:dyDescent="0.2">
      <c r="B27172" s="43"/>
    </row>
    <row r="27173" spans="2:2" ht="12.75" customHeight="1" x14ac:dyDescent="0.2">
      <c r="B27173" s="43"/>
    </row>
    <row r="27174" spans="2:2" ht="12.75" customHeight="1" x14ac:dyDescent="0.2">
      <c r="B27174" s="43"/>
    </row>
    <row r="27175" spans="2:2" ht="12.75" customHeight="1" x14ac:dyDescent="0.2">
      <c r="B27175" s="43"/>
    </row>
    <row r="27176" spans="2:2" ht="12.75" customHeight="1" x14ac:dyDescent="0.2">
      <c r="B27176" s="43"/>
    </row>
    <row r="27177" spans="2:2" ht="12.75" customHeight="1" x14ac:dyDescent="0.2">
      <c r="B27177" s="43"/>
    </row>
    <row r="27178" spans="2:2" ht="12.75" customHeight="1" x14ac:dyDescent="0.2">
      <c r="B27178" s="43"/>
    </row>
    <row r="27179" spans="2:2" ht="12.75" customHeight="1" x14ac:dyDescent="0.2">
      <c r="B27179" s="43"/>
    </row>
    <row r="27180" spans="2:2" ht="12.75" customHeight="1" x14ac:dyDescent="0.2">
      <c r="B27180" s="43"/>
    </row>
    <row r="27181" spans="2:2" ht="12.75" customHeight="1" x14ac:dyDescent="0.2">
      <c r="B27181" s="43"/>
    </row>
    <row r="27182" spans="2:2" ht="12.75" customHeight="1" x14ac:dyDescent="0.2">
      <c r="B27182" s="43"/>
    </row>
    <row r="27183" spans="2:2" ht="12.75" customHeight="1" x14ac:dyDescent="0.2">
      <c r="B27183" s="43"/>
    </row>
    <row r="27184" spans="2:2" ht="12.75" customHeight="1" x14ac:dyDescent="0.2">
      <c r="B27184" s="43"/>
    </row>
    <row r="27185" spans="2:2" ht="12.75" customHeight="1" x14ac:dyDescent="0.2">
      <c r="B27185" s="43"/>
    </row>
    <row r="27186" spans="2:2" ht="12.75" customHeight="1" x14ac:dyDescent="0.2">
      <c r="B27186" s="43"/>
    </row>
    <row r="27187" spans="2:2" ht="12.75" customHeight="1" x14ac:dyDescent="0.2">
      <c r="B27187" s="43"/>
    </row>
    <row r="27188" spans="2:2" ht="12.75" customHeight="1" x14ac:dyDescent="0.2">
      <c r="B27188" s="43"/>
    </row>
    <row r="27189" spans="2:2" ht="12.75" customHeight="1" x14ac:dyDescent="0.2">
      <c r="B27189" s="43"/>
    </row>
    <row r="27190" spans="2:2" ht="12.75" customHeight="1" x14ac:dyDescent="0.2">
      <c r="B27190" s="43"/>
    </row>
    <row r="27191" spans="2:2" ht="12.75" customHeight="1" x14ac:dyDescent="0.2">
      <c r="B27191" s="43"/>
    </row>
    <row r="27192" spans="2:2" ht="12.75" customHeight="1" x14ac:dyDescent="0.2">
      <c r="B27192" s="43"/>
    </row>
    <row r="27193" spans="2:2" ht="12.75" customHeight="1" x14ac:dyDescent="0.2">
      <c r="B27193" s="43"/>
    </row>
    <row r="27194" spans="2:2" ht="12.75" customHeight="1" x14ac:dyDescent="0.2">
      <c r="B27194" s="43"/>
    </row>
    <row r="27195" spans="2:2" ht="12.75" customHeight="1" x14ac:dyDescent="0.2">
      <c r="B27195" s="43"/>
    </row>
    <row r="27196" spans="2:2" ht="12.75" customHeight="1" x14ac:dyDescent="0.2">
      <c r="B27196" s="43"/>
    </row>
    <row r="27197" spans="2:2" ht="12.75" customHeight="1" x14ac:dyDescent="0.2">
      <c r="B27197" s="43"/>
    </row>
    <row r="27198" spans="2:2" ht="12.75" customHeight="1" x14ac:dyDescent="0.2">
      <c r="B27198" s="43"/>
    </row>
    <row r="27199" spans="2:2" ht="12.75" customHeight="1" x14ac:dyDescent="0.2">
      <c r="B27199" s="43"/>
    </row>
    <row r="27200" spans="2:2" ht="12.75" customHeight="1" x14ac:dyDescent="0.2">
      <c r="B27200" s="43"/>
    </row>
    <row r="27201" spans="2:2" ht="12.75" customHeight="1" x14ac:dyDescent="0.2">
      <c r="B27201" s="43"/>
    </row>
    <row r="27202" spans="2:2" ht="12.75" customHeight="1" x14ac:dyDescent="0.2">
      <c r="B27202" s="43"/>
    </row>
    <row r="27203" spans="2:2" ht="12.75" customHeight="1" x14ac:dyDescent="0.2">
      <c r="B27203" s="43"/>
    </row>
    <row r="27204" spans="2:2" ht="12.75" customHeight="1" x14ac:dyDescent="0.2">
      <c r="B27204" s="43"/>
    </row>
    <row r="27205" spans="2:2" ht="12.75" customHeight="1" x14ac:dyDescent="0.2">
      <c r="B27205" s="43"/>
    </row>
    <row r="27206" spans="2:2" ht="12.75" customHeight="1" x14ac:dyDescent="0.2">
      <c r="B27206" s="43"/>
    </row>
    <row r="27207" spans="2:2" ht="12.75" customHeight="1" x14ac:dyDescent="0.2">
      <c r="B27207" s="43"/>
    </row>
    <row r="27208" spans="2:2" ht="12.75" customHeight="1" x14ac:dyDescent="0.2">
      <c r="B27208" s="43"/>
    </row>
    <row r="27209" spans="2:2" ht="12.75" customHeight="1" x14ac:dyDescent="0.2">
      <c r="B27209" s="43"/>
    </row>
    <row r="27210" spans="2:2" ht="12.75" customHeight="1" x14ac:dyDescent="0.2">
      <c r="B27210" s="43"/>
    </row>
    <row r="27211" spans="2:2" ht="12.75" customHeight="1" x14ac:dyDescent="0.2">
      <c r="B27211" s="43"/>
    </row>
    <row r="27212" spans="2:2" ht="12.75" customHeight="1" x14ac:dyDescent="0.2">
      <c r="B27212" s="43"/>
    </row>
    <row r="27213" spans="2:2" ht="12.75" customHeight="1" x14ac:dyDescent="0.2">
      <c r="B27213" s="43"/>
    </row>
    <row r="27214" spans="2:2" ht="12.75" customHeight="1" x14ac:dyDescent="0.2">
      <c r="B27214" s="43"/>
    </row>
    <row r="27215" spans="2:2" ht="12.75" customHeight="1" x14ac:dyDescent="0.2">
      <c r="B27215" s="43"/>
    </row>
    <row r="27216" spans="2:2" ht="12.75" customHeight="1" x14ac:dyDescent="0.2">
      <c r="B27216" s="43"/>
    </row>
    <row r="27217" spans="2:2" ht="12.75" customHeight="1" x14ac:dyDescent="0.2">
      <c r="B27217" s="43"/>
    </row>
    <row r="27218" spans="2:2" ht="12.75" customHeight="1" x14ac:dyDescent="0.2">
      <c r="B27218" s="43"/>
    </row>
    <row r="27219" spans="2:2" ht="12.75" customHeight="1" x14ac:dyDescent="0.2">
      <c r="B27219" s="43"/>
    </row>
    <row r="27220" spans="2:2" ht="12.75" customHeight="1" x14ac:dyDescent="0.2">
      <c r="B27220" s="43"/>
    </row>
    <row r="27221" spans="2:2" ht="12.75" customHeight="1" x14ac:dyDescent="0.2">
      <c r="B27221" s="43"/>
    </row>
    <row r="27222" spans="2:2" ht="12.75" customHeight="1" x14ac:dyDescent="0.2">
      <c r="B27222" s="43"/>
    </row>
    <row r="27223" spans="2:2" ht="12.75" customHeight="1" x14ac:dyDescent="0.2">
      <c r="B27223" s="43"/>
    </row>
    <row r="27224" spans="2:2" ht="12.75" customHeight="1" x14ac:dyDescent="0.2">
      <c r="B27224" s="43"/>
    </row>
    <row r="27225" spans="2:2" ht="12.75" customHeight="1" x14ac:dyDescent="0.2">
      <c r="B27225" s="43"/>
    </row>
    <row r="27226" spans="2:2" ht="12.75" customHeight="1" x14ac:dyDescent="0.2">
      <c r="B27226" s="43"/>
    </row>
    <row r="27227" spans="2:2" ht="12.75" customHeight="1" x14ac:dyDescent="0.2">
      <c r="B27227" s="43"/>
    </row>
    <row r="27228" spans="2:2" ht="12.75" customHeight="1" x14ac:dyDescent="0.2">
      <c r="B27228" s="43"/>
    </row>
    <row r="27229" spans="2:2" ht="12.75" customHeight="1" x14ac:dyDescent="0.2">
      <c r="B27229" s="43"/>
    </row>
    <row r="27230" spans="2:2" ht="12.75" customHeight="1" x14ac:dyDescent="0.2">
      <c r="B27230" s="43"/>
    </row>
    <row r="27231" spans="2:2" ht="12.75" customHeight="1" x14ac:dyDescent="0.2">
      <c r="B27231" s="43"/>
    </row>
    <row r="27232" spans="2:2" ht="12.75" customHeight="1" x14ac:dyDescent="0.2">
      <c r="B27232" s="43"/>
    </row>
    <row r="27233" spans="2:2" ht="12.75" customHeight="1" x14ac:dyDescent="0.2">
      <c r="B27233" s="43"/>
    </row>
    <row r="27234" spans="2:2" ht="12.75" customHeight="1" x14ac:dyDescent="0.2">
      <c r="B27234" s="43"/>
    </row>
    <row r="27235" spans="2:2" ht="12.75" customHeight="1" x14ac:dyDescent="0.2">
      <c r="B27235" s="43"/>
    </row>
    <row r="27236" spans="2:2" ht="12.75" customHeight="1" x14ac:dyDescent="0.2">
      <c r="B27236" s="43"/>
    </row>
    <row r="27237" spans="2:2" ht="12.75" customHeight="1" x14ac:dyDescent="0.2">
      <c r="B27237" s="43"/>
    </row>
    <row r="27238" spans="2:2" ht="12.75" customHeight="1" x14ac:dyDescent="0.2">
      <c r="B27238" s="43"/>
    </row>
    <row r="27239" spans="2:2" ht="12.75" customHeight="1" x14ac:dyDescent="0.2">
      <c r="B27239" s="43"/>
    </row>
    <row r="27240" spans="2:2" ht="12.75" customHeight="1" x14ac:dyDescent="0.2">
      <c r="B27240" s="43"/>
    </row>
    <row r="27241" spans="2:2" ht="12.75" customHeight="1" x14ac:dyDescent="0.2">
      <c r="B27241" s="43"/>
    </row>
    <row r="27242" spans="2:2" ht="12.75" customHeight="1" x14ac:dyDescent="0.2">
      <c r="B27242" s="43"/>
    </row>
    <row r="27243" spans="2:2" ht="12.75" customHeight="1" x14ac:dyDescent="0.2">
      <c r="B27243" s="43"/>
    </row>
    <row r="27244" spans="2:2" ht="12.75" customHeight="1" x14ac:dyDescent="0.2">
      <c r="B27244" s="43"/>
    </row>
    <row r="27245" spans="2:2" ht="12.75" customHeight="1" x14ac:dyDescent="0.2">
      <c r="B27245" s="43"/>
    </row>
    <row r="27246" spans="2:2" ht="12.75" customHeight="1" x14ac:dyDescent="0.2">
      <c r="B27246" s="43"/>
    </row>
    <row r="27247" spans="2:2" ht="12.75" customHeight="1" x14ac:dyDescent="0.2">
      <c r="B27247" s="43"/>
    </row>
    <row r="27248" spans="2:2" ht="12.75" customHeight="1" x14ac:dyDescent="0.2">
      <c r="B27248" s="43"/>
    </row>
    <row r="27249" spans="2:2" ht="12.75" customHeight="1" x14ac:dyDescent="0.2">
      <c r="B27249" s="43"/>
    </row>
    <row r="27250" spans="2:2" ht="12.75" customHeight="1" x14ac:dyDescent="0.2">
      <c r="B27250" s="43"/>
    </row>
    <row r="27251" spans="2:2" ht="12.75" customHeight="1" x14ac:dyDescent="0.2">
      <c r="B27251" s="43"/>
    </row>
    <row r="27252" spans="2:2" ht="12.75" customHeight="1" x14ac:dyDescent="0.2">
      <c r="B27252" s="43"/>
    </row>
    <row r="27253" spans="2:2" ht="12.75" customHeight="1" x14ac:dyDescent="0.2">
      <c r="B27253" s="43"/>
    </row>
    <row r="27254" spans="2:2" ht="12.75" customHeight="1" x14ac:dyDescent="0.2">
      <c r="B27254" s="43"/>
    </row>
    <row r="27255" spans="2:2" ht="12.75" customHeight="1" x14ac:dyDescent="0.2">
      <c r="B27255" s="43"/>
    </row>
    <row r="27256" spans="2:2" ht="12.75" customHeight="1" x14ac:dyDescent="0.2">
      <c r="B27256" s="43"/>
    </row>
    <row r="27257" spans="2:2" ht="12.75" customHeight="1" x14ac:dyDescent="0.2">
      <c r="B27257" s="43"/>
    </row>
    <row r="27258" spans="2:2" ht="12.75" customHeight="1" x14ac:dyDescent="0.2">
      <c r="B27258" s="43"/>
    </row>
    <row r="27259" spans="2:2" ht="12.75" customHeight="1" x14ac:dyDescent="0.2">
      <c r="B27259" s="43"/>
    </row>
    <row r="27260" spans="2:2" ht="12.75" customHeight="1" x14ac:dyDescent="0.2">
      <c r="B27260" s="43"/>
    </row>
    <row r="27261" spans="2:2" ht="12.75" customHeight="1" x14ac:dyDescent="0.2">
      <c r="B27261" s="43"/>
    </row>
    <row r="27262" spans="2:2" ht="12.75" customHeight="1" x14ac:dyDescent="0.2">
      <c r="B27262" s="43"/>
    </row>
    <row r="27263" spans="2:2" ht="12.75" customHeight="1" x14ac:dyDescent="0.2">
      <c r="B27263" s="43"/>
    </row>
    <row r="27264" spans="2:2" ht="12.75" customHeight="1" x14ac:dyDescent="0.2">
      <c r="B27264" s="43"/>
    </row>
    <row r="27265" spans="2:2" ht="12.75" customHeight="1" x14ac:dyDescent="0.2">
      <c r="B27265" s="43"/>
    </row>
    <row r="27266" spans="2:2" ht="12.75" customHeight="1" x14ac:dyDescent="0.2">
      <c r="B27266" s="43"/>
    </row>
    <row r="27267" spans="2:2" ht="12.75" customHeight="1" x14ac:dyDescent="0.2">
      <c r="B27267" s="43"/>
    </row>
    <row r="27268" spans="2:2" ht="12.75" customHeight="1" x14ac:dyDescent="0.2">
      <c r="B27268" s="43"/>
    </row>
    <row r="27269" spans="2:2" ht="12.75" customHeight="1" x14ac:dyDescent="0.2">
      <c r="B27269" s="43"/>
    </row>
    <row r="27270" spans="2:2" ht="12.75" customHeight="1" x14ac:dyDescent="0.2">
      <c r="B27270" s="43"/>
    </row>
    <row r="27271" spans="2:2" ht="12.75" customHeight="1" x14ac:dyDescent="0.2">
      <c r="B27271" s="43"/>
    </row>
    <row r="27272" spans="2:2" ht="12.75" customHeight="1" x14ac:dyDescent="0.2">
      <c r="B27272" s="43"/>
    </row>
    <row r="27273" spans="2:2" ht="12.75" customHeight="1" x14ac:dyDescent="0.2">
      <c r="B27273" s="43"/>
    </row>
    <row r="27274" spans="2:2" ht="12.75" customHeight="1" x14ac:dyDescent="0.2">
      <c r="B27274" s="43"/>
    </row>
    <row r="27275" spans="2:2" ht="12.75" customHeight="1" x14ac:dyDescent="0.2">
      <c r="B27275" s="43"/>
    </row>
    <row r="27276" spans="2:2" ht="12.75" customHeight="1" x14ac:dyDescent="0.2">
      <c r="B27276" s="43"/>
    </row>
    <row r="27277" spans="2:2" ht="12.75" customHeight="1" x14ac:dyDescent="0.2">
      <c r="B27277" s="43"/>
    </row>
    <row r="27278" spans="2:2" ht="12.75" customHeight="1" x14ac:dyDescent="0.2">
      <c r="B27278" s="43"/>
    </row>
    <row r="27279" spans="2:2" ht="12.75" customHeight="1" x14ac:dyDescent="0.2">
      <c r="B27279" s="43"/>
    </row>
    <row r="27280" spans="2:2" ht="12.75" customHeight="1" x14ac:dyDescent="0.2">
      <c r="B27280" s="43"/>
    </row>
    <row r="27281" spans="2:2" ht="12.75" customHeight="1" x14ac:dyDescent="0.2">
      <c r="B27281" s="43"/>
    </row>
    <row r="27282" spans="2:2" ht="12.75" customHeight="1" x14ac:dyDescent="0.2">
      <c r="B27282" s="43"/>
    </row>
    <row r="27283" spans="2:2" ht="12.75" customHeight="1" x14ac:dyDescent="0.2">
      <c r="B27283" s="43"/>
    </row>
    <row r="27284" spans="2:2" ht="12.75" customHeight="1" x14ac:dyDescent="0.2">
      <c r="B27284" s="43"/>
    </row>
    <row r="27285" spans="2:2" ht="12.75" customHeight="1" x14ac:dyDescent="0.2">
      <c r="B27285" s="43"/>
    </row>
    <row r="27286" spans="2:2" ht="12.75" customHeight="1" x14ac:dyDescent="0.2">
      <c r="B27286" s="43"/>
    </row>
    <row r="27287" spans="2:2" ht="12.75" customHeight="1" x14ac:dyDescent="0.2">
      <c r="B27287" s="43"/>
    </row>
    <row r="27288" spans="2:2" ht="12.75" customHeight="1" x14ac:dyDescent="0.2">
      <c r="B27288" s="43"/>
    </row>
    <row r="27289" spans="2:2" ht="12.75" customHeight="1" x14ac:dyDescent="0.2">
      <c r="B27289" s="43"/>
    </row>
    <row r="27290" spans="2:2" ht="12.75" customHeight="1" x14ac:dyDescent="0.2">
      <c r="B27290" s="43"/>
    </row>
    <row r="27291" spans="2:2" ht="12.75" customHeight="1" x14ac:dyDescent="0.2">
      <c r="B27291" s="43"/>
    </row>
    <row r="27292" spans="2:2" ht="12.75" customHeight="1" x14ac:dyDescent="0.2">
      <c r="B27292" s="43"/>
    </row>
    <row r="27293" spans="2:2" ht="12.75" customHeight="1" x14ac:dyDescent="0.2">
      <c r="B27293" s="43"/>
    </row>
    <row r="27294" spans="2:2" ht="12.75" customHeight="1" x14ac:dyDescent="0.2">
      <c r="B27294" s="43"/>
    </row>
    <row r="27295" spans="2:2" ht="12.75" customHeight="1" x14ac:dyDescent="0.2">
      <c r="B27295" s="43"/>
    </row>
    <row r="27296" spans="2:2" ht="12.75" customHeight="1" x14ac:dyDescent="0.2">
      <c r="B27296" s="43"/>
    </row>
    <row r="27297" spans="2:2" ht="12.75" customHeight="1" x14ac:dyDescent="0.2">
      <c r="B27297" s="43"/>
    </row>
    <row r="27298" spans="2:2" ht="12.75" customHeight="1" x14ac:dyDescent="0.2">
      <c r="B27298" s="43"/>
    </row>
    <row r="27299" spans="2:2" ht="12.75" customHeight="1" x14ac:dyDescent="0.2">
      <c r="B27299" s="43"/>
    </row>
    <row r="27300" spans="2:2" ht="12.75" customHeight="1" x14ac:dyDescent="0.2">
      <c r="B27300" s="43"/>
    </row>
    <row r="27301" spans="2:2" ht="12.75" customHeight="1" x14ac:dyDescent="0.2">
      <c r="B27301" s="43"/>
    </row>
    <row r="27302" spans="2:2" ht="12.75" customHeight="1" x14ac:dyDescent="0.2">
      <c r="B27302" s="43"/>
    </row>
    <row r="27303" spans="2:2" ht="12.75" customHeight="1" x14ac:dyDescent="0.2">
      <c r="B27303" s="43"/>
    </row>
    <row r="27304" spans="2:2" ht="12.75" customHeight="1" x14ac:dyDescent="0.2">
      <c r="B27304" s="43"/>
    </row>
    <row r="27305" spans="2:2" ht="12.75" customHeight="1" x14ac:dyDescent="0.2">
      <c r="B27305" s="43"/>
    </row>
    <row r="27306" spans="2:2" ht="12.75" customHeight="1" x14ac:dyDescent="0.2">
      <c r="B27306" s="43"/>
    </row>
    <row r="27307" spans="2:2" ht="12.75" customHeight="1" x14ac:dyDescent="0.2">
      <c r="B27307" s="43"/>
    </row>
    <row r="27308" spans="2:2" ht="12.75" customHeight="1" x14ac:dyDescent="0.2">
      <c r="B27308" s="43"/>
    </row>
    <row r="27309" spans="2:2" ht="12.75" customHeight="1" x14ac:dyDescent="0.2">
      <c r="B27309" s="43"/>
    </row>
    <row r="27310" spans="2:2" ht="12.75" customHeight="1" x14ac:dyDescent="0.2">
      <c r="B27310" s="43"/>
    </row>
    <row r="27311" spans="2:2" ht="12.75" customHeight="1" x14ac:dyDescent="0.2">
      <c r="B27311" s="43"/>
    </row>
    <row r="27312" spans="2:2" ht="12.75" customHeight="1" x14ac:dyDescent="0.2">
      <c r="B27312" s="43"/>
    </row>
    <row r="27313" spans="2:2" ht="12.75" customHeight="1" x14ac:dyDescent="0.2">
      <c r="B27313" s="43"/>
    </row>
    <row r="27314" spans="2:2" ht="12.75" customHeight="1" x14ac:dyDescent="0.2">
      <c r="B27314" s="43"/>
    </row>
    <row r="27315" spans="2:2" ht="12.75" customHeight="1" x14ac:dyDescent="0.2">
      <c r="B27315" s="43"/>
    </row>
    <row r="27316" spans="2:2" ht="12.75" customHeight="1" x14ac:dyDescent="0.2">
      <c r="B27316" s="43"/>
    </row>
    <row r="27317" spans="2:2" ht="12.75" customHeight="1" x14ac:dyDescent="0.2">
      <c r="B27317" s="43"/>
    </row>
    <row r="27318" spans="2:2" ht="12.75" customHeight="1" x14ac:dyDescent="0.2">
      <c r="B27318" s="43"/>
    </row>
    <row r="27319" spans="2:2" ht="12.75" customHeight="1" x14ac:dyDescent="0.2">
      <c r="B27319" s="43"/>
    </row>
    <row r="27320" spans="2:2" ht="12.75" customHeight="1" x14ac:dyDescent="0.2">
      <c r="B27320" s="43"/>
    </row>
    <row r="27321" spans="2:2" ht="12.75" customHeight="1" x14ac:dyDescent="0.2">
      <c r="B27321" s="43"/>
    </row>
    <row r="27322" spans="2:2" ht="12.75" customHeight="1" x14ac:dyDescent="0.2">
      <c r="B27322" s="43"/>
    </row>
    <row r="27323" spans="2:2" ht="12.75" customHeight="1" x14ac:dyDescent="0.2">
      <c r="B27323" s="43"/>
    </row>
    <row r="27324" spans="2:2" ht="12.75" customHeight="1" x14ac:dyDescent="0.2">
      <c r="B27324" s="43"/>
    </row>
    <row r="27325" spans="2:2" ht="12.75" customHeight="1" x14ac:dyDescent="0.2">
      <c r="B27325" s="43"/>
    </row>
    <row r="27326" spans="2:2" ht="12.75" customHeight="1" x14ac:dyDescent="0.2">
      <c r="B27326" s="43"/>
    </row>
    <row r="27327" spans="2:2" ht="12.75" customHeight="1" x14ac:dyDescent="0.2">
      <c r="B27327" s="43"/>
    </row>
    <row r="27328" spans="2:2" ht="12.75" customHeight="1" x14ac:dyDescent="0.2">
      <c r="B27328" s="43"/>
    </row>
    <row r="27329" spans="2:2" ht="12.75" customHeight="1" x14ac:dyDescent="0.2">
      <c r="B27329" s="43"/>
    </row>
    <row r="27330" spans="2:2" ht="12.75" customHeight="1" x14ac:dyDescent="0.2">
      <c r="B27330" s="43"/>
    </row>
    <row r="27331" spans="2:2" ht="12.75" customHeight="1" x14ac:dyDescent="0.2">
      <c r="B27331" s="43"/>
    </row>
    <row r="27332" spans="2:2" ht="12.75" customHeight="1" x14ac:dyDescent="0.2">
      <c r="B27332" s="43"/>
    </row>
    <row r="27333" spans="2:2" ht="12.75" customHeight="1" x14ac:dyDescent="0.2">
      <c r="B27333" s="43"/>
    </row>
    <row r="27334" spans="2:2" ht="12.75" customHeight="1" x14ac:dyDescent="0.2">
      <c r="B27334" s="43"/>
    </row>
    <row r="27335" spans="2:2" ht="12.75" customHeight="1" x14ac:dyDescent="0.2">
      <c r="B27335" s="43"/>
    </row>
    <row r="27336" spans="2:2" ht="12.75" customHeight="1" x14ac:dyDescent="0.2">
      <c r="B27336" s="43"/>
    </row>
    <row r="27337" spans="2:2" ht="12.75" customHeight="1" x14ac:dyDescent="0.2">
      <c r="B27337" s="43"/>
    </row>
    <row r="27338" spans="2:2" ht="12.75" customHeight="1" x14ac:dyDescent="0.2">
      <c r="B27338" s="43"/>
    </row>
    <row r="27339" spans="2:2" ht="12.75" customHeight="1" x14ac:dyDescent="0.2">
      <c r="B27339" s="43"/>
    </row>
    <row r="27340" spans="2:2" ht="12.75" customHeight="1" x14ac:dyDescent="0.2">
      <c r="B27340" s="43"/>
    </row>
    <row r="27341" spans="2:2" ht="12.75" customHeight="1" x14ac:dyDescent="0.2">
      <c r="B27341" s="43"/>
    </row>
    <row r="27342" spans="2:2" ht="12.75" customHeight="1" x14ac:dyDescent="0.2">
      <c r="B27342" s="43"/>
    </row>
    <row r="27343" spans="2:2" ht="12.75" customHeight="1" x14ac:dyDescent="0.2">
      <c r="B27343" s="43"/>
    </row>
    <row r="27344" spans="2:2" ht="12.75" customHeight="1" x14ac:dyDescent="0.2">
      <c r="B27344" s="43"/>
    </row>
    <row r="27345" spans="2:2" ht="12.75" customHeight="1" x14ac:dyDescent="0.2">
      <c r="B27345" s="43"/>
    </row>
    <row r="27346" spans="2:2" ht="12.75" customHeight="1" x14ac:dyDescent="0.2">
      <c r="B27346" s="43"/>
    </row>
    <row r="27347" spans="2:2" ht="12.75" customHeight="1" x14ac:dyDescent="0.2">
      <c r="B27347" s="43"/>
    </row>
    <row r="27348" spans="2:2" ht="12.75" customHeight="1" x14ac:dyDescent="0.2">
      <c r="B27348" s="43"/>
    </row>
    <row r="27349" spans="2:2" ht="12.75" customHeight="1" x14ac:dyDescent="0.2">
      <c r="B27349" s="43"/>
    </row>
    <row r="27350" spans="2:2" ht="12.75" customHeight="1" x14ac:dyDescent="0.2">
      <c r="B27350" s="43"/>
    </row>
    <row r="27351" spans="2:2" ht="12.75" customHeight="1" x14ac:dyDescent="0.2">
      <c r="B27351" s="43"/>
    </row>
    <row r="27352" spans="2:2" ht="12.75" customHeight="1" x14ac:dyDescent="0.2">
      <c r="B27352" s="43"/>
    </row>
    <row r="27353" spans="2:2" ht="12.75" customHeight="1" x14ac:dyDescent="0.2">
      <c r="B27353" s="43"/>
    </row>
    <row r="27354" spans="2:2" ht="12.75" customHeight="1" x14ac:dyDescent="0.2">
      <c r="B27354" s="43"/>
    </row>
    <row r="27355" spans="2:2" ht="12.75" customHeight="1" x14ac:dyDescent="0.2">
      <c r="B27355" s="43"/>
    </row>
    <row r="27356" spans="2:2" ht="12.75" customHeight="1" x14ac:dyDescent="0.2">
      <c r="B27356" s="43"/>
    </row>
    <row r="27357" spans="2:2" ht="12.75" customHeight="1" x14ac:dyDescent="0.2">
      <c r="B27357" s="43"/>
    </row>
    <row r="27358" spans="2:2" ht="12.75" customHeight="1" x14ac:dyDescent="0.2">
      <c r="B27358" s="43"/>
    </row>
    <row r="27359" spans="2:2" ht="12.75" customHeight="1" x14ac:dyDescent="0.2">
      <c r="B27359" s="43"/>
    </row>
    <row r="27360" spans="2:2" ht="12.75" customHeight="1" x14ac:dyDescent="0.2">
      <c r="B27360" s="43"/>
    </row>
    <row r="27361" spans="2:2" ht="12.75" customHeight="1" x14ac:dyDescent="0.2">
      <c r="B27361" s="43"/>
    </row>
    <row r="27362" spans="2:2" ht="12.75" customHeight="1" x14ac:dyDescent="0.2">
      <c r="B27362" s="43"/>
    </row>
    <row r="27363" spans="2:2" ht="12.75" customHeight="1" x14ac:dyDescent="0.2">
      <c r="B27363" s="43"/>
    </row>
    <row r="27364" spans="2:2" ht="12.75" customHeight="1" x14ac:dyDescent="0.2">
      <c r="B27364" s="43"/>
    </row>
    <row r="27365" spans="2:2" ht="12.75" customHeight="1" x14ac:dyDescent="0.2">
      <c r="B27365" s="43"/>
    </row>
    <row r="27366" spans="2:2" ht="12.75" customHeight="1" x14ac:dyDescent="0.2">
      <c r="B27366" s="43"/>
    </row>
    <row r="27367" spans="2:2" ht="12.75" customHeight="1" x14ac:dyDescent="0.2">
      <c r="B27367" s="43"/>
    </row>
    <row r="27368" spans="2:2" ht="12.75" customHeight="1" x14ac:dyDescent="0.2">
      <c r="B27368" s="43"/>
    </row>
    <row r="27369" spans="2:2" ht="12.75" customHeight="1" x14ac:dyDescent="0.2">
      <c r="B27369" s="43"/>
    </row>
    <row r="27370" spans="2:2" ht="12.75" customHeight="1" x14ac:dyDescent="0.2">
      <c r="B27370" s="43"/>
    </row>
    <row r="27371" spans="2:2" ht="12.75" customHeight="1" x14ac:dyDescent="0.2">
      <c r="B27371" s="43"/>
    </row>
    <row r="27372" spans="2:2" ht="12.75" customHeight="1" x14ac:dyDescent="0.2">
      <c r="B27372" s="43"/>
    </row>
    <row r="27373" spans="2:2" ht="12.75" customHeight="1" x14ac:dyDescent="0.2">
      <c r="B27373" s="43"/>
    </row>
    <row r="27374" spans="2:2" ht="12.75" customHeight="1" x14ac:dyDescent="0.2">
      <c r="B27374" s="43"/>
    </row>
    <row r="27375" spans="2:2" ht="12.75" customHeight="1" x14ac:dyDescent="0.2">
      <c r="B27375" s="43"/>
    </row>
    <row r="27376" spans="2:2" ht="12.75" customHeight="1" x14ac:dyDescent="0.2">
      <c r="B27376" s="43"/>
    </row>
    <row r="27377" spans="2:2" ht="12.75" customHeight="1" x14ac:dyDescent="0.2">
      <c r="B27377" s="43"/>
    </row>
    <row r="27378" spans="2:2" ht="12.75" customHeight="1" x14ac:dyDescent="0.2">
      <c r="B27378" s="43"/>
    </row>
    <row r="27379" spans="2:2" ht="12.75" customHeight="1" x14ac:dyDescent="0.2">
      <c r="B27379" s="43"/>
    </row>
    <row r="27380" spans="2:2" ht="12.75" customHeight="1" x14ac:dyDescent="0.2">
      <c r="B27380" s="43"/>
    </row>
    <row r="27381" spans="2:2" ht="12.75" customHeight="1" x14ac:dyDescent="0.2">
      <c r="B27381" s="43"/>
    </row>
    <row r="27382" spans="2:2" ht="12.75" customHeight="1" x14ac:dyDescent="0.2">
      <c r="B27382" s="43"/>
    </row>
    <row r="27383" spans="2:2" ht="12.75" customHeight="1" x14ac:dyDescent="0.2">
      <c r="B27383" s="43"/>
    </row>
    <row r="27384" spans="2:2" ht="12.75" customHeight="1" x14ac:dyDescent="0.2">
      <c r="B27384" s="43"/>
    </row>
    <row r="27385" spans="2:2" ht="12.75" customHeight="1" x14ac:dyDescent="0.2">
      <c r="B27385" s="43"/>
    </row>
    <row r="27386" spans="2:2" ht="12.75" customHeight="1" x14ac:dyDescent="0.2">
      <c r="B27386" s="43"/>
    </row>
    <row r="27387" spans="2:2" ht="12.75" customHeight="1" x14ac:dyDescent="0.2">
      <c r="B27387" s="43"/>
    </row>
    <row r="27388" spans="2:2" ht="12.75" customHeight="1" x14ac:dyDescent="0.2">
      <c r="B27388" s="43"/>
    </row>
    <row r="27389" spans="2:2" ht="12.75" customHeight="1" x14ac:dyDescent="0.2">
      <c r="B27389" s="43"/>
    </row>
    <row r="27390" spans="2:2" ht="12.75" customHeight="1" x14ac:dyDescent="0.2">
      <c r="B27390" s="43"/>
    </row>
    <row r="27391" spans="2:2" ht="12.75" customHeight="1" x14ac:dyDescent="0.2">
      <c r="B27391" s="43"/>
    </row>
    <row r="27392" spans="2:2" ht="12.75" customHeight="1" x14ac:dyDescent="0.2">
      <c r="B27392" s="43"/>
    </row>
    <row r="27393" spans="2:2" ht="12.75" customHeight="1" x14ac:dyDescent="0.2">
      <c r="B27393" s="43"/>
    </row>
    <row r="27394" spans="2:2" ht="12.75" customHeight="1" x14ac:dyDescent="0.2">
      <c r="B27394" s="43"/>
    </row>
    <row r="27395" spans="2:2" ht="12.75" customHeight="1" x14ac:dyDescent="0.2">
      <c r="B27395" s="43"/>
    </row>
    <row r="27396" spans="2:2" ht="12.75" customHeight="1" x14ac:dyDescent="0.2">
      <c r="B27396" s="43"/>
    </row>
    <row r="27397" spans="2:2" ht="12.75" customHeight="1" x14ac:dyDescent="0.2">
      <c r="B27397" s="43"/>
    </row>
    <row r="27398" spans="2:2" ht="12.75" customHeight="1" x14ac:dyDescent="0.2">
      <c r="B27398" s="43"/>
    </row>
    <row r="27399" spans="2:2" ht="12.75" customHeight="1" x14ac:dyDescent="0.2">
      <c r="B27399" s="43"/>
    </row>
    <row r="27400" spans="2:2" ht="12.75" customHeight="1" x14ac:dyDescent="0.2">
      <c r="B27400" s="43"/>
    </row>
    <row r="27401" spans="2:2" ht="12.75" customHeight="1" x14ac:dyDescent="0.2">
      <c r="B27401" s="43"/>
    </row>
    <row r="27402" spans="2:2" ht="12.75" customHeight="1" x14ac:dyDescent="0.2">
      <c r="B27402" s="43"/>
    </row>
    <row r="27403" spans="2:2" ht="12.75" customHeight="1" x14ac:dyDescent="0.2">
      <c r="B27403" s="43"/>
    </row>
    <row r="27404" spans="2:2" ht="12.75" customHeight="1" x14ac:dyDescent="0.2">
      <c r="B27404" s="43"/>
    </row>
    <row r="27405" spans="2:2" ht="12.75" customHeight="1" x14ac:dyDescent="0.2">
      <c r="B27405" s="43"/>
    </row>
    <row r="27406" spans="2:2" ht="12.75" customHeight="1" x14ac:dyDescent="0.2">
      <c r="B27406" s="43"/>
    </row>
    <row r="27407" spans="2:2" ht="12.75" customHeight="1" x14ac:dyDescent="0.2">
      <c r="B27407" s="43"/>
    </row>
    <row r="27408" spans="2:2" ht="12.75" customHeight="1" x14ac:dyDescent="0.2">
      <c r="B27408" s="43"/>
    </row>
    <row r="27409" spans="2:2" ht="12.75" customHeight="1" x14ac:dyDescent="0.2">
      <c r="B27409" s="43"/>
    </row>
    <row r="27410" spans="2:2" ht="12.75" customHeight="1" x14ac:dyDescent="0.2">
      <c r="B27410" s="43"/>
    </row>
    <row r="27411" spans="2:2" ht="12.75" customHeight="1" x14ac:dyDescent="0.2">
      <c r="B27411" s="43"/>
    </row>
    <row r="27412" spans="2:2" ht="12.75" customHeight="1" x14ac:dyDescent="0.2">
      <c r="B27412" s="43"/>
    </row>
    <row r="27413" spans="2:2" ht="12.75" customHeight="1" x14ac:dyDescent="0.2">
      <c r="B27413" s="43"/>
    </row>
    <row r="27414" spans="2:2" ht="12.75" customHeight="1" x14ac:dyDescent="0.2">
      <c r="B27414" s="43"/>
    </row>
    <row r="27415" spans="2:2" ht="12.75" customHeight="1" x14ac:dyDescent="0.2">
      <c r="B27415" s="43"/>
    </row>
    <row r="27416" spans="2:2" ht="12.75" customHeight="1" x14ac:dyDescent="0.2">
      <c r="B27416" s="43"/>
    </row>
    <row r="27417" spans="2:2" ht="12.75" customHeight="1" x14ac:dyDescent="0.2">
      <c r="B27417" s="43"/>
    </row>
    <row r="27418" spans="2:2" ht="12.75" customHeight="1" x14ac:dyDescent="0.2">
      <c r="B27418" s="43"/>
    </row>
    <row r="27419" spans="2:2" ht="12.75" customHeight="1" x14ac:dyDescent="0.2">
      <c r="B27419" s="43"/>
    </row>
    <row r="27420" spans="2:2" ht="12.75" customHeight="1" x14ac:dyDescent="0.2">
      <c r="B27420" s="43"/>
    </row>
    <row r="27421" spans="2:2" ht="12.75" customHeight="1" x14ac:dyDescent="0.2">
      <c r="B27421" s="43"/>
    </row>
    <row r="27422" spans="2:2" ht="12.75" customHeight="1" x14ac:dyDescent="0.2">
      <c r="B27422" s="43"/>
    </row>
    <row r="27423" spans="2:2" ht="12.75" customHeight="1" x14ac:dyDescent="0.2">
      <c r="B27423" s="43"/>
    </row>
    <row r="27424" spans="2:2" ht="12.75" customHeight="1" x14ac:dyDescent="0.2">
      <c r="B27424" s="43"/>
    </row>
    <row r="27425" spans="2:2" ht="12.75" customHeight="1" x14ac:dyDescent="0.2">
      <c r="B27425" s="43"/>
    </row>
    <row r="27426" spans="2:2" ht="12.75" customHeight="1" x14ac:dyDescent="0.2">
      <c r="B27426" s="43"/>
    </row>
    <row r="27427" spans="2:2" ht="12.75" customHeight="1" x14ac:dyDescent="0.2">
      <c r="B27427" s="43"/>
    </row>
    <row r="27428" spans="2:2" ht="12.75" customHeight="1" x14ac:dyDescent="0.2">
      <c r="B27428" s="43"/>
    </row>
    <row r="27429" spans="2:2" ht="12.75" customHeight="1" x14ac:dyDescent="0.2">
      <c r="B27429" s="43"/>
    </row>
    <row r="27430" spans="2:2" ht="12.75" customHeight="1" x14ac:dyDescent="0.2">
      <c r="B27430" s="43"/>
    </row>
    <row r="27431" spans="2:2" ht="12.75" customHeight="1" x14ac:dyDescent="0.2">
      <c r="B27431" s="43"/>
    </row>
    <row r="27432" spans="2:2" ht="12.75" customHeight="1" x14ac:dyDescent="0.2">
      <c r="B27432" s="43"/>
    </row>
    <row r="27433" spans="2:2" ht="12.75" customHeight="1" x14ac:dyDescent="0.2">
      <c r="B27433" s="43"/>
    </row>
    <row r="27434" spans="2:2" ht="12.75" customHeight="1" x14ac:dyDescent="0.2">
      <c r="B27434" s="43"/>
    </row>
    <row r="27435" spans="2:2" ht="12.75" customHeight="1" x14ac:dyDescent="0.2">
      <c r="B27435" s="43"/>
    </row>
    <row r="27436" spans="2:2" ht="12.75" customHeight="1" x14ac:dyDescent="0.2">
      <c r="B27436" s="43"/>
    </row>
    <row r="27437" spans="2:2" ht="12.75" customHeight="1" x14ac:dyDescent="0.2">
      <c r="B27437" s="43"/>
    </row>
    <row r="27438" spans="2:2" ht="12.75" customHeight="1" x14ac:dyDescent="0.2">
      <c r="B27438" s="43"/>
    </row>
    <row r="27439" spans="2:2" ht="12.75" customHeight="1" x14ac:dyDescent="0.2">
      <c r="B27439" s="43"/>
    </row>
    <row r="27440" spans="2:2" ht="12.75" customHeight="1" x14ac:dyDescent="0.2">
      <c r="B27440" s="43"/>
    </row>
    <row r="27441" spans="2:2" ht="12.75" customHeight="1" x14ac:dyDescent="0.2">
      <c r="B27441" s="43"/>
    </row>
    <row r="27442" spans="2:2" ht="12.75" customHeight="1" x14ac:dyDescent="0.2">
      <c r="B27442" s="43"/>
    </row>
    <row r="27443" spans="2:2" ht="12.75" customHeight="1" x14ac:dyDescent="0.2">
      <c r="B27443" s="43"/>
    </row>
    <row r="27444" spans="2:2" ht="12.75" customHeight="1" x14ac:dyDescent="0.2">
      <c r="B27444" s="43"/>
    </row>
    <row r="27445" spans="2:2" ht="12.75" customHeight="1" x14ac:dyDescent="0.2">
      <c r="B27445" s="43"/>
    </row>
    <row r="27446" spans="2:2" ht="12.75" customHeight="1" x14ac:dyDescent="0.2">
      <c r="B27446" s="43"/>
    </row>
    <row r="27447" spans="2:2" ht="12.75" customHeight="1" x14ac:dyDescent="0.2">
      <c r="B27447" s="43"/>
    </row>
    <row r="27448" spans="2:2" ht="12.75" customHeight="1" x14ac:dyDescent="0.2">
      <c r="B27448" s="43"/>
    </row>
    <row r="27449" spans="2:2" ht="12.75" customHeight="1" x14ac:dyDescent="0.2">
      <c r="B27449" s="43"/>
    </row>
    <row r="27450" spans="2:2" ht="12.75" customHeight="1" x14ac:dyDescent="0.2">
      <c r="B27450" s="43"/>
    </row>
    <row r="27451" spans="2:2" ht="12.75" customHeight="1" x14ac:dyDescent="0.2">
      <c r="B27451" s="43"/>
    </row>
    <row r="27452" spans="2:2" ht="12.75" customHeight="1" x14ac:dyDescent="0.2">
      <c r="B27452" s="43"/>
    </row>
    <row r="27453" spans="2:2" ht="12.75" customHeight="1" x14ac:dyDescent="0.2">
      <c r="B27453" s="43"/>
    </row>
    <row r="27454" spans="2:2" ht="12.75" customHeight="1" x14ac:dyDescent="0.2">
      <c r="B27454" s="43"/>
    </row>
    <row r="27455" spans="2:2" ht="12.75" customHeight="1" x14ac:dyDescent="0.2">
      <c r="B27455" s="43"/>
    </row>
    <row r="27456" spans="2:2" ht="12.75" customHeight="1" x14ac:dyDescent="0.2">
      <c r="B27456" s="43"/>
    </row>
    <row r="27457" spans="2:2" ht="12.75" customHeight="1" x14ac:dyDescent="0.2">
      <c r="B27457" s="43"/>
    </row>
    <row r="27458" spans="2:2" ht="12.75" customHeight="1" x14ac:dyDescent="0.2">
      <c r="B27458" s="43"/>
    </row>
    <row r="27459" spans="2:2" ht="12.75" customHeight="1" x14ac:dyDescent="0.2">
      <c r="B27459" s="43"/>
    </row>
    <row r="27460" spans="2:2" ht="12.75" customHeight="1" x14ac:dyDescent="0.2">
      <c r="B27460" s="43"/>
    </row>
    <row r="27461" spans="2:2" ht="12.75" customHeight="1" x14ac:dyDescent="0.2">
      <c r="B27461" s="43"/>
    </row>
    <row r="27462" spans="2:2" ht="12.75" customHeight="1" x14ac:dyDescent="0.2">
      <c r="B27462" s="43"/>
    </row>
    <row r="27463" spans="2:2" ht="12.75" customHeight="1" x14ac:dyDescent="0.2">
      <c r="B27463" s="43"/>
    </row>
    <row r="27464" spans="2:2" ht="12.75" customHeight="1" x14ac:dyDescent="0.2">
      <c r="B27464" s="43"/>
    </row>
    <row r="27465" spans="2:2" ht="12.75" customHeight="1" x14ac:dyDescent="0.2">
      <c r="B27465" s="43"/>
    </row>
    <row r="27466" spans="2:2" ht="12.75" customHeight="1" x14ac:dyDescent="0.2">
      <c r="B27466" s="43"/>
    </row>
    <row r="27467" spans="2:2" ht="12.75" customHeight="1" x14ac:dyDescent="0.2">
      <c r="B27467" s="43"/>
    </row>
    <row r="27468" spans="2:2" ht="12.75" customHeight="1" x14ac:dyDescent="0.2">
      <c r="B27468" s="43"/>
    </row>
    <row r="27469" spans="2:2" ht="12.75" customHeight="1" x14ac:dyDescent="0.2">
      <c r="B27469" s="43"/>
    </row>
    <row r="27470" spans="2:2" ht="12.75" customHeight="1" x14ac:dyDescent="0.2">
      <c r="B27470" s="43"/>
    </row>
    <row r="27471" spans="2:2" ht="12.75" customHeight="1" x14ac:dyDescent="0.2">
      <c r="B27471" s="43"/>
    </row>
    <row r="27472" spans="2:2" ht="12.75" customHeight="1" x14ac:dyDescent="0.2">
      <c r="B27472" s="43"/>
    </row>
    <row r="27473" spans="2:2" ht="12.75" customHeight="1" x14ac:dyDescent="0.2">
      <c r="B27473" s="43"/>
    </row>
    <row r="27474" spans="2:2" ht="12.75" customHeight="1" x14ac:dyDescent="0.2">
      <c r="B27474" s="43"/>
    </row>
    <row r="27475" spans="2:2" ht="12.75" customHeight="1" x14ac:dyDescent="0.2">
      <c r="B27475" s="43"/>
    </row>
    <row r="27476" spans="2:2" ht="12.75" customHeight="1" x14ac:dyDescent="0.2">
      <c r="B27476" s="43"/>
    </row>
    <row r="27477" spans="2:2" ht="12.75" customHeight="1" x14ac:dyDescent="0.2">
      <c r="B27477" s="43"/>
    </row>
    <row r="27478" spans="2:2" ht="12.75" customHeight="1" x14ac:dyDescent="0.2">
      <c r="B27478" s="43"/>
    </row>
    <row r="27479" spans="2:2" ht="12.75" customHeight="1" x14ac:dyDescent="0.2">
      <c r="B27479" s="43"/>
    </row>
    <row r="27480" spans="2:2" ht="12.75" customHeight="1" x14ac:dyDescent="0.2">
      <c r="B27480" s="43"/>
    </row>
    <row r="27481" spans="2:2" ht="12.75" customHeight="1" x14ac:dyDescent="0.2">
      <c r="B27481" s="43"/>
    </row>
    <row r="27482" spans="2:2" ht="12.75" customHeight="1" x14ac:dyDescent="0.2">
      <c r="B27482" s="43"/>
    </row>
    <row r="27483" spans="2:2" ht="12.75" customHeight="1" x14ac:dyDescent="0.2">
      <c r="B27483" s="43"/>
    </row>
    <row r="27484" spans="2:2" ht="12.75" customHeight="1" x14ac:dyDescent="0.2">
      <c r="B27484" s="43"/>
    </row>
    <row r="27485" spans="2:2" ht="12.75" customHeight="1" x14ac:dyDescent="0.2">
      <c r="B27485" s="43"/>
    </row>
    <row r="27486" spans="2:2" ht="12.75" customHeight="1" x14ac:dyDescent="0.2">
      <c r="B27486" s="43"/>
    </row>
    <row r="27487" spans="2:2" ht="12.75" customHeight="1" x14ac:dyDescent="0.2">
      <c r="B27487" s="43"/>
    </row>
    <row r="27488" spans="2:2" ht="12.75" customHeight="1" x14ac:dyDescent="0.2">
      <c r="B27488" s="43"/>
    </row>
    <row r="27489" spans="2:2" ht="12.75" customHeight="1" x14ac:dyDescent="0.2">
      <c r="B27489" s="43"/>
    </row>
    <row r="27490" spans="2:2" ht="12.75" customHeight="1" x14ac:dyDescent="0.2">
      <c r="B27490" s="43"/>
    </row>
    <row r="27491" spans="2:2" ht="12.75" customHeight="1" x14ac:dyDescent="0.2">
      <c r="B27491" s="43"/>
    </row>
    <row r="27492" spans="2:2" ht="12.75" customHeight="1" x14ac:dyDescent="0.2">
      <c r="B27492" s="43"/>
    </row>
    <row r="27493" spans="2:2" ht="12.75" customHeight="1" x14ac:dyDescent="0.2">
      <c r="B27493" s="43"/>
    </row>
    <row r="27494" spans="2:2" ht="12.75" customHeight="1" x14ac:dyDescent="0.2">
      <c r="B27494" s="43"/>
    </row>
    <row r="27495" spans="2:2" ht="12.75" customHeight="1" x14ac:dyDescent="0.2">
      <c r="B27495" s="43"/>
    </row>
    <row r="27496" spans="2:2" ht="12.75" customHeight="1" x14ac:dyDescent="0.2">
      <c r="B27496" s="43"/>
    </row>
    <row r="27497" spans="2:2" ht="12.75" customHeight="1" x14ac:dyDescent="0.2">
      <c r="B27497" s="43"/>
    </row>
    <row r="27498" spans="2:2" ht="12.75" customHeight="1" x14ac:dyDescent="0.2">
      <c r="B27498" s="43"/>
    </row>
    <row r="27499" spans="2:2" ht="12.75" customHeight="1" x14ac:dyDescent="0.2">
      <c r="B27499" s="43"/>
    </row>
    <row r="27500" spans="2:2" ht="12.75" customHeight="1" x14ac:dyDescent="0.2">
      <c r="B27500" s="43"/>
    </row>
    <row r="27501" spans="2:2" ht="12.75" customHeight="1" x14ac:dyDescent="0.2">
      <c r="B27501" s="43"/>
    </row>
    <row r="27502" spans="2:2" ht="12.75" customHeight="1" x14ac:dyDescent="0.2">
      <c r="B27502" s="43"/>
    </row>
    <row r="27503" spans="2:2" ht="12.75" customHeight="1" x14ac:dyDescent="0.2">
      <c r="B27503" s="43"/>
    </row>
    <row r="27504" spans="2:2" ht="12.75" customHeight="1" x14ac:dyDescent="0.2">
      <c r="B27504" s="43"/>
    </row>
    <row r="27505" spans="2:2" ht="12.75" customHeight="1" x14ac:dyDescent="0.2">
      <c r="B27505" s="43"/>
    </row>
    <row r="27506" spans="2:2" ht="12.75" customHeight="1" x14ac:dyDescent="0.2">
      <c r="B27506" s="43"/>
    </row>
    <row r="27507" spans="2:2" ht="12.75" customHeight="1" x14ac:dyDescent="0.2">
      <c r="B27507" s="43"/>
    </row>
    <row r="27508" spans="2:2" ht="12.75" customHeight="1" x14ac:dyDescent="0.2">
      <c r="B27508" s="43"/>
    </row>
    <row r="27509" spans="2:2" ht="12.75" customHeight="1" x14ac:dyDescent="0.2">
      <c r="B27509" s="43"/>
    </row>
    <row r="27510" spans="2:2" ht="12.75" customHeight="1" x14ac:dyDescent="0.2">
      <c r="B27510" s="43"/>
    </row>
    <row r="27511" spans="2:2" ht="12.75" customHeight="1" x14ac:dyDescent="0.2">
      <c r="B27511" s="43"/>
    </row>
    <row r="27512" spans="2:2" ht="12.75" customHeight="1" x14ac:dyDescent="0.2">
      <c r="B27512" s="43"/>
    </row>
    <row r="27513" spans="2:2" ht="12.75" customHeight="1" x14ac:dyDescent="0.2">
      <c r="B27513" s="43"/>
    </row>
    <row r="27514" spans="2:2" ht="12.75" customHeight="1" x14ac:dyDescent="0.2">
      <c r="B27514" s="43"/>
    </row>
    <row r="27515" spans="2:2" ht="12.75" customHeight="1" x14ac:dyDescent="0.2">
      <c r="B27515" s="43"/>
    </row>
    <row r="27516" spans="2:2" ht="12.75" customHeight="1" x14ac:dyDescent="0.2">
      <c r="B27516" s="43"/>
    </row>
    <row r="27517" spans="2:2" ht="12.75" customHeight="1" x14ac:dyDescent="0.2">
      <c r="B27517" s="43"/>
    </row>
    <row r="27518" spans="2:2" ht="12.75" customHeight="1" x14ac:dyDescent="0.2">
      <c r="B27518" s="43"/>
    </row>
    <row r="27519" spans="2:2" ht="12.75" customHeight="1" x14ac:dyDescent="0.2">
      <c r="B27519" s="43"/>
    </row>
    <row r="27520" spans="2:2" ht="12.75" customHeight="1" x14ac:dyDescent="0.2">
      <c r="B27520" s="43"/>
    </row>
    <row r="27521" spans="2:2" ht="12.75" customHeight="1" x14ac:dyDescent="0.2">
      <c r="B27521" s="43"/>
    </row>
    <row r="27522" spans="2:2" ht="12.75" customHeight="1" x14ac:dyDescent="0.2">
      <c r="B27522" s="43"/>
    </row>
    <row r="27523" spans="2:2" ht="12.75" customHeight="1" x14ac:dyDescent="0.2">
      <c r="B27523" s="43"/>
    </row>
    <row r="27524" spans="2:2" ht="12.75" customHeight="1" x14ac:dyDescent="0.2">
      <c r="B27524" s="43"/>
    </row>
    <row r="27525" spans="2:2" ht="12.75" customHeight="1" x14ac:dyDescent="0.2">
      <c r="B27525" s="43"/>
    </row>
    <row r="27526" spans="2:2" ht="12.75" customHeight="1" x14ac:dyDescent="0.2">
      <c r="B27526" s="43"/>
    </row>
    <row r="27527" spans="2:2" ht="12.75" customHeight="1" x14ac:dyDescent="0.2">
      <c r="B27527" s="43"/>
    </row>
    <row r="27528" spans="2:2" ht="12.75" customHeight="1" x14ac:dyDescent="0.2">
      <c r="B27528" s="43"/>
    </row>
    <row r="27529" spans="2:2" ht="12.75" customHeight="1" x14ac:dyDescent="0.2">
      <c r="B27529" s="43"/>
    </row>
    <row r="27530" spans="2:2" ht="12.75" customHeight="1" x14ac:dyDescent="0.2">
      <c r="B27530" s="43"/>
    </row>
    <row r="27531" spans="2:2" ht="12.75" customHeight="1" x14ac:dyDescent="0.2">
      <c r="B27531" s="43"/>
    </row>
    <row r="27532" spans="2:2" ht="12.75" customHeight="1" x14ac:dyDescent="0.2">
      <c r="B27532" s="43"/>
    </row>
    <row r="27533" spans="2:2" ht="12.75" customHeight="1" x14ac:dyDescent="0.2">
      <c r="B27533" s="43"/>
    </row>
    <row r="27534" spans="2:2" ht="12.75" customHeight="1" x14ac:dyDescent="0.2">
      <c r="B27534" s="43"/>
    </row>
    <row r="27535" spans="2:2" ht="12.75" customHeight="1" x14ac:dyDescent="0.2">
      <c r="B27535" s="43"/>
    </row>
    <row r="27536" spans="2:2" ht="12.75" customHeight="1" x14ac:dyDescent="0.2">
      <c r="B27536" s="43"/>
    </row>
    <row r="27537" spans="2:2" ht="12.75" customHeight="1" x14ac:dyDescent="0.2">
      <c r="B27537" s="43"/>
    </row>
    <row r="27538" spans="2:2" ht="12.75" customHeight="1" x14ac:dyDescent="0.2">
      <c r="B27538" s="43"/>
    </row>
    <row r="27539" spans="2:2" ht="12.75" customHeight="1" x14ac:dyDescent="0.2">
      <c r="B27539" s="43"/>
    </row>
    <row r="27540" spans="2:2" ht="12.75" customHeight="1" x14ac:dyDescent="0.2">
      <c r="B27540" s="43"/>
    </row>
    <row r="27541" spans="2:2" ht="12.75" customHeight="1" x14ac:dyDescent="0.2">
      <c r="B27541" s="43"/>
    </row>
    <row r="27542" spans="2:2" ht="12.75" customHeight="1" x14ac:dyDescent="0.2">
      <c r="B27542" s="43"/>
    </row>
    <row r="27543" spans="2:2" ht="12.75" customHeight="1" x14ac:dyDescent="0.2">
      <c r="B27543" s="43"/>
    </row>
    <row r="27544" spans="2:2" ht="12.75" customHeight="1" x14ac:dyDescent="0.2">
      <c r="B27544" s="43"/>
    </row>
    <row r="27545" spans="2:2" ht="12.75" customHeight="1" x14ac:dyDescent="0.2">
      <c r="B27545" s="43"/>
    </row>
    <row r="27546" spans="2:2" ht="12.75" customHeight="1" x14ac:dyDescent="0.2">
      <c r="B27546" s="43"/>
    </row>
    <row r="27547" spans="2:2" ht="12.75" customHeight="1" x14ac:dyDescent="0.2">
      <c r="B27547" s="43"/>
    </row>
    <row r="27548" spans="2:2" ht="12.75" customHeight="1" x14ac:dyDescent="0.2">
      <c r="B27548" s="43"/>
    </row>
    <row r="27549" spans="2:2" ht="12.75" customHeight="1" x14ac:dyDescent="0.2">
      <c r="B27549" s="43"/>
    </row>
    <row r="27550" spans="2:2" ht="12.75" customHeight="1" x14ac:dyDescent="0.2">
      <c r="B27550" s="43"/>
    </row>
    <row r="27551" spans="2:2" ht="12.75" customHeight="1" x14ac:dyDescent="0.2">
      <c r="B27551" s="43"/>
    </row>
    <row r="27552" spans="2:2" ht="12.75" customHeight="1" x14ac:dyDescent="0.2">
      <c r="B27552" s="43"/>
    </row>
    <row r="27553" spans="2:2" ht="12.75" customHeight="1" x14ac:dyDescent="0.2">
      <c r="B27553" s="43"/>
    </row>
    <row r="27554" spans="2:2" ht="12.75" customHeight="1" x14ac:dyDescent="0.2">
      <c r="B27554" s="43"/>
    </row>
    <row r="27555" spans="2:2" ht="12.75" customHeight="1" x14ac:dyDescent="0.2">
      <c r="B27555" s="43"/>
    </row>
    <row r="27556" spans="2:2" ht="12.75" customHeight="1" x14ac:dyDescent="0.2">
      <c r="B27556" s="43"/>
    </row>
    <row r="27557" spans="2:2" ht="12.75" customHeight="1" x14ac:dyDescent="0.2">
      <c r="B27557" s="43"/>
    </row>
    <row r="27558" spans="2:2" ht="12.75" customHeight="1" x14ac:dyDescent="0.2">
      <c r="B27558" s="43"/>
    </row>
    <row r="27559" spans="2:2" ht="12.75" customHeight="1" x14ac:dyDescent="0.2">
      <c r="B27559" s="43"/>
    </row>
    <row r="27560" spans="2:2" ht="12.75" customHeight="1" x14ac:dyDescent="0.2">
      <c r="B27560" s="43"/>
    </row>
    <row r="27561" spans="2:2" ht="12.75" customHeight="1" x14ac:dyDescent="0.2">
      <c r="B27561" s="43"/>
    </row>
    <row r="27562" spans="2:2" ht="12.75" customHeight="1" x14ac:dyDescent="0.2">
      <c r="B27562" s="43"/>
    </row>
    <row r="27563" spans="2:2" ht="12.75" customHeight="1" x14ac:dyDescent="0.2">
      <c r="B27563" s="43"/>
    </row>
    <row r="27564" spans="2:2" ht="12.75" customHeight="1" x14ac:dyDescent="0.2">
      <c r="B27564" s="43"/>
    </row>
    <row r="27565" spans="2:2" ht="12.75" customHeight="1" x14ac:dyDescent="0.2">
      <c r="B27565" s="43"/>
    </row>
    <row r="27566" spans="2:2" ht="12.75" customHeight="1" x14ac:dyDescent="0.2">
      <c r="B27566" s="43"/>
    </row>
    <row r="27567" spans="2:2" ht="12.75" customHeight="1" x14ac:dyDescent="0.2">
      <c r="B27567" s="43"/>
    </row>
    <row r="27568" spans="2:2" ht="12.75" customHeight="1" x14ac:dyDescent="0.2">
      <c r="B27568" s="43"/>
    </row>
    <row r="27569" spans="2:2" ht="12.75" customHeight="1" x14ac:dyDescent="0.2">
      <c r="B27569" s="43"/>
    </row>
    <row r="27570" spans="2:2" ht="12.75" customHeight="1" x14ac:dyDescent="0.2">
      <c r="B27570" s="43"/>
    </row>
    <row r="27571" spans="2:2" ht="12.75" customHeight="1" x14ac:dyDescent="0.2">
      <c r="B27571" s="43"/>
    </row>
    <row r="27572" spans="2:2" ht="12.75" customHeight="1" x14ac:dyDescent="0.2">
      <c r="B27572" s="43"/>
    </row>
    <row r="27573" spans="2:2" ht="12.75" customHeight="1" x14ac:dyDescent="0.2">
      <c r="B27573" s="43"/>
    </row>
    <row r="27574" spans="2:2" ht="12.75" customHeight="1" x14ac:dyDescent="0.2">
      <c r="B27574" s="43"/>
    </row>
    <row r="27575" spans="2:2" ht="12.75" customHeight="1" x14ac:dyDescent="0.2">
      <c r="B27575" s="43"/>
    </row>
    <row r="27576" spans="2:2" ht="12.75" customHeight="1" x14ac:dyDescent="0.2">
      <c r="B27576" s="43"/>
    </row>
    <row r="27577" spans="2:2" ht="12.75" customHeight="1" x14ac:dyDescent="0.2">
      <c r="B27577" s="43"/>
    </row>
    <row r="27578" spans="2:2" ht="12.75" customHeight="1" x14ac:dyDescent="0.2">
      <c r="B27578" s="43"/>
    </row>
    <row r="27579" spans="2:2" ht="12.75" customHeight="1" x14ac:dyDescent="0.2">
      <c r="B27579" s="43"/>
    </row>
    <row r="27580" spans="2:2" ht="12.75" customHeight="1" x14ac:dyDescent="0.2">
      <c r="B27580" s="43"/>
    </row>
    <row r="27581" spans="2:2" ht="12.75" customHeight="1" x14ac:dyDescent="0.2">
      <c r="B27581" s="43"/>
    </row>
    <row r="27582" spans="2:2" ht="12.75" customHeight="1" x14ac:dyDescent="0.2">
      <c r="B27582" s="43"/>
    </row>
    <row r="27583" spans="2:2" ht="12.75" customHeight="1" x14ac:dyDescent="0.2">
      <c r="B27583" s="43"/>
    </row>
    <row r="27584" spans="2:2" ht="12.75" customHeight="1" x14ac:dyDescent="0.2">
      <c r="B27584" s="43"/>
    </row>
    <row r="27585" spans="2:2" ht="12.75" customHeight="1" x14ac:dyDescent="0.2">
      <c r="B27585" s="43"/>
    </row>
    <row r="27586" spans="2:2" ht="12.75" customHeight="1" x14ac:dyDescent="0.2">
      <c r="B27586" s="43"/>
    </row>
    <row r="27587" spans="2:2" ht="12.75" customHeight="1" x14ac:dyDescent="0.2">
      <c r="B27587" s="43"/>
    </row>
    <row r="27588" spans="2:2" ht="12.75" customHeight="1" x14ac:dyDescent="0.2">
      <c r="B27588" s="43"/>
    </row>
    <row r="27589" spans="2:2" ht="12.75" customHeight="1" x14ac:dyDescent="0.2">
      <c r="B27589" s="43"/>
    </row>
    <row r="27590" spans="2:2" ht="12.75" customHeight="1" x14ac:dyDescent="0.2">
      <c r="B27590" s="43"/>
    </row>
    <row r="27591" spans="2:2" ht="12.75" customHeight="1" x14ac:dyDescent="0.2">
      <c r="B27591" s="43"/>
    </row>
    <row r="27592" spans="2:2" ht="12.75" customHeight="1" x14ac:dyDescent="0.2">
      <c r="B27592" s="43"/>
    </row>
    <row r="27593" spans="2:2" ht="12.75" customHeight="1" x14ac:dyDescent="0.2">
      <c r="B27593" s="43"/>
    </row>
    <row r="27594" spans="2:2" ht="12.75" customHeight="1" x14ac:dyDescent="0.2">
      <c r="B27594" s="43"/>
    </row>
    <row r="27595" spans="2:2" ht="12.75" customHeight="1" x14ac:dyDescent="0.2">
      <c r="B27595" s="43"/>
    </row>
    <row r="27596" spans="2:2" ht="12.75" customHeight="1" x14ac:dyDescent="0.2">
      <c r="B27596" s="43"/>
    </row>
    <row r="27597" spans="2:2" ht="12.75" customHeight="1" x14ac:dyDescent="0.2">
      <c r="B27597" s="43"/>
    </row>
    <row r="27598" spans="2:2" ht="12.75" customHeight="1" x14ac:dyDescent="0.2">
      <c r="B27598" s="43"/>
    </row>
    <row r="27599" spans="2:2" ht="12.75" customHeight="1" x14ac:dyDescent="0.2">
      <c r="B27599" s="43"/>
    </row>
    <row r="27600" spans="2:2" ht="12.75" customHeight="1" x14ac:dyDescent="0.2">
      <c r="B27600" s="43"/>
    </row>
    <row r="27601" spans="2:2" ht="12.75" customHeight="1" x14ac:dyDescent="0.2">
      <c r="B27601" s="43"/>
    </row>
    <row r="27602" spans="2:2" ht="12.75" customHeight="1" x14ac:dyDescent="0.2">
      <c r="B27602" s="43"/>
    </row>
    <row r="27603" spans="2:2" ht="12.75" customHeight="1" x14ac:dyDescent="0.2">
      <c r="B27603" s="43"/>
    </row>
    <row r="27604" spans="2:2" ht="12.75" customHeight="1" x14ac:dyDescent="0.2">
      <c r="B27604" s="43"/>
    </row>
    <row r="27605" spans="2:2" ht="12.75" customHeight="1" x14ac:dyDescent="0.2">
      <c r="B27605" s="43"/>
    </row>
    <row r="27606" spans="2:2" ht="12.75" customHeight="1" x14ac:dyDescent="0.2">
      <c r="B27606" s="43"/>
    </row>
    <row r="27607" spans="2:2" ht="12.75" customHeight="1" x14ac:dyDescent="0.2">
      <c r="B27607" s="43"/>
    </row>
    <row r="27608" spans="2:2" ht="12.75" customHeight="1" x14ac:dyDescent="0.2">
      <c r="B27608" s="43"/>
    </row>
    <row r="27609" spans="2:2" ht="12.75" customHeight="1" x14ac:dyDescent="0.2">
      <c r="B27609" s="43"/>
    </row>
    <row r="27610" spans="2:2" ht="12.75" customHeight="1" x14ac:dyDescent="0.2">
      <c r="B27610" s="43"/>
    </row>
    <row r="27611" spans="2:2" ht="12.75" customHeight="1" x14ac:dyDescent="0.2">
      <c r="B27611" s="43"/>
    </row>
    <row r="27612" spans="2:2" ht="12.75" customHeight="1" x14ac:dyDescent="0.2">
      <c r="B27612" s="43"/>
    </row>
    <row r="27613" spans="2:2" ht="12.75" customHeight="1" x14ac:dyDescent="0.2">
      <c r="B27613" s="43"/>
    </row>
    <row r="27614" spans="2:2" ht="12.75" customHeight="1" x14ac:dyDescent="0.2">
      <c r="B27614" s="43"/>
    </row>
    <row r="27615" spans="2:2" ht="12.75" customHeight="1" x14ac:dyDescent="0.2">
      <c r="B27615" s="43"/>
    </row>
    <row r="27616" spans="2:2" ht="12.75" customHeight="1" x14ac:dyDescent="0.2">
      <c r="B27616" s="43"/>
    </row>
    <row r="27617" spans="2:2" ht="12.75" customHeight="1" x14ac:dyDescent="0.2">
      <c r="B27617" s="43"/>
    </row>
    <row r="27618" spans="2:2" ht="12.75" customHeight="1" x14ac:dyDescent="0.2">
      <c r="B27618" s="43"/>
    </row>
    <row r="27619" spans="2:2" ht="12.75" customHeight="1" x14ac:dyDescent="0.2">
      <c r="B27619" s="43"/>
    </row>
    <row r="27620" spans="2:2" ht="12.75" customHeight="1" x14ac:dyDescent="0.2">
      <c r="B27620" s="43"/>
    </row>
    <row r="27621" spans="2:2" ht="12.75" customHeight="1" x14ac:dyDescent="0.2">
      <c r="B27621" s="43"/>
    </row>
    <row r="27622" spans="2:2" ht="12.75" customHeight="1" x14ac:dyDescent="0.2">
      <c r="B27622" s="43"/>
    </row>
    <row r="27623" spans="2:2" ht="12.75" customHeight="1" x14ac:dyDescent="0.2">
      <c r="B27623" s="43"/>
    </row>
    <row r="27624" spans="2:2" ht="12.75" customHeight="1" x14ac:dyDescent="0.2">
      <c r="B27624" s="43"/>
    </row>
    <row r="27625" spans="2:2" ht="12.75" customHeight="1" x14ac:dyDescent="0.2">
      <c r="B27625" s="43"/>
    </row>
    <row r="27626" spans="2:2" ht="12.75" customHeight="1" x14ac:dyDescent="0.2">
      <c r="B27626" s="43"/>
    </row>
    <row r="27627" spans="2:2" ht="12.75" customHeight="1" x14ac:dyDescent="0.2">
      <c r="B27627" s="43"/>
    </row>
    <row r="27628" spans="2:2" ht="12.75" customHeight="1" x14ac:dyDescent="0.2">
      <c r="B27628" s="43"/>
    </row>
    <row r="27629" spans="2:2" ht="12.75" customHeight="1" x14ac:dyDescent="0.2">
      <c r="B27629" s="43"/>
    </row>
    <row r="27630" spans="2:2" ht="12.75" customHeight="1" x14ac:dyDescent="0.2">
      <c r="B27630" s="43"/>
    </row>
    <row r="27631" spans="2:2" ht="12.75" customHeight="1" x14ac:dyDescent="0.2">
      <c r="B27631" s="43"/>
    </row>
    <row r="27632" spans="2:2" ht="12.75" customHeight="1" x14ac:dyDescent="0.2">
      <c r="B27632" s="43"/>
    </row>
    <row r="27633" spans="2:2" ht="12.75" customHeight="1" x14ac:dyDescent="0.2">
      <c r="B27633" s="43"/>
    </row>
    <row r="27634" spans="2:2" ht="12.75" customHeight="1" x14ac:dyDescent="0.2">
      <c r="B27634" s="43"/>
    </row>
    <row r="27635" spans="2:2" ht="12.75" customHeight="1" x14ac:dyDescent="0.2">
      <c r="B27635" s="43"/>
    </row>
    <row r="27636" spans="2:2" ht="12.75" customHeight="1" x14ac:dyDescent="0.2">
      <c r="B27636" s="43"/>
    </row>
    <row r="27637" spans="2:2" ht="12.75" customHeight="1" x14ac:dyDescent="0.2">
      <c r="B27637" s="43"/>
    </row>
    <row r="27638" spans="2:2" ht="12.75" customHeight="1" x14ac:dyDescent="0.2">
      <c r="B27638" s="43"/>
    </row>
    <row r="27639" spans="2:2" ht="12.75" customHeight="1" x14ac:dyDescent="0.2">
      <c r="B27639" s="43"/>
    </row>
    <row r="27640" spans="2:2" ht="12.75" customHeight="1" x14ac:dyDescent="0.2">
      <c r="B27640" s="43"/>
    </row>
    <row r="27641" spans="2:2" ht="12.75" customHeight="1" x14ac:dyDescent="0.2">
      <c r="B27641" s="43"/>
    </row>
    <row r="27642" spans="2:2" ht="12.75" customHeight="1" x14ac:dyDescent="0.2">
      <c r="B27642" s="43"/>
    </row>
    <row r="27643" spans="2:2" ht="12.75" customHeight="1" x14ac:dyDescent="0.2">
      <c r="B27643" s="43"/>
    </row>
    <row r="27644" spans="2:2" ht="12.75" customHeight="1" x14ac:dyDescent="0.2">
      <c r="B27644" s="43"/>
    </row>
    <row r="27645" spans="2:2" ht="12.75" customHeight="1" x14ac:dyDescent="0.2">
      <c r="B27645" s="43"/>
    </row>
    <row r="27646" spans="2:2" ht="12.75" customHeight="1" x14ac:dyDescent="0.2">
      <c r="B27646" s="43"/>
    </row>
    <row r="27647" spans="2:2" ht="12.75" customHeight="1" x14ac:dyDescent="0.2">
      <c r="B27647" s="43"/>
    </row>
    <row r="27648" spans="2:2" ht="12.75" customHeight="1" x14ac:dyDescent="0.2">
      <c r="B27648" s="43"/>
    </row>
    <row r="27649" spans="2:2" ht="12.75" customHeight="1" x14ac:dyDescent="0.2">
      <c r="B27649" s="43"/>
    </row>
    <row r="27650" spans="2:2" ht="12.75" customHeight="1" x14ac:dyDescent="0.2">
      <c r="B27650" s="43"/>
    </row>
    <row r="27651" spans="2:2" ht="12.75" customHeight="1" x14ac:dyDescent="0.2">
      <c r="B27651" s="43"/>
    </row>
    <row r="27652" spans="2:2" ht="12.75" customHeight="1" x14ac:dyDescent="0.2">
      <c r="B27652" s="43"/>
    </row>
    <row r="27653" spans="2:2" ht="12.75" customHeight="1" x14ac:dyDescent="0.2">
      <c r="B27653" s="43"/>
    </row>
    <row r="27654" spans="2:2" ht="12.75" customHeight="1" x14ac:dyDescent="0.2">
      <c r="B27654" s="43"/>
    </row>
    <row r="27655" spans="2:2" ht="12.75" customHeight="1" x14ac:dyDescent="0.2">
      <c r="B27655" s="43"/>
    </row>
    <row r="27656" spans="2:2" ht="12.75" customHeight="1" x14ac:dyDescent="0.2">
      <c r="B27656" s="43"/>
    </row>
    <row r="27657" spans="2:2" ht="12.75" customHeight="1" x14ac:dyDescent="0.2">
      <c r="B27657" s="43"/>
    </row>
    <row r="27658" spans="2:2" ht="12.75" customHeight="1" x14ac:dyDescent="0.2">
      <c r="B27658" s="43"/>
    </row>
    <row r="27659" spans="2:2" ht="12.75" customHeight="1" x14ac:dyDescent="0.2">
      <c r="B27659" s="43"/>
    </row>
    <row r="27660" spans="2:2" ht="12.75" customHeight="1" x14ac:dyDescent="0.2">
      <c r="B27660" s="43"/>
    </row>
    <row r="27661" spans="2:2" ht="12.75" customHeight="1" x14ac:dyDescent="0.2">
      <c r="B27661" s="43"/>
    </row>
    <row r="27662" spans="2:2" ht="12.75" customHeight="1" x14ac:dyDescent="0.2">
      <c r="B27662" s="43"/>
    </row>
    <row r="27663" spans="2:2" ht="12.75" customHeight="1" x14ac:dyDescent="0.2">
      <c r="B27663" s="43"/>
    </row>
    <row r="27664" spans="2:2" ht="12.75" customHeight="1" x14ac:dyDescent="0.2">
      <c r="B27664" s="43"/>
    </row>
    <row r="27665" spans="2:2" ht="12.75" customHeight="1" x14ac:dyDescent="0.2">
      <c r="B27665" s="43"/>
    </row>
    <row r="27666" spans="2:2" ht="12.75" customHeight="1" x14ac:dyDescent="0.2">
      <c r="B27666" s="43"/>
    </row>
    <row r="27667" spans="2:2" ht="12.75" customHeight="1" x14ac:dyDescent="0.2">
      <c r="B27667" s="43"/>
    </row>
    <row r="27668" spans="2:2" ht="12.75" customHeight="1" x14ac:dyDescent="0.2">
      <c r="B27668" s="43"/>
    </row>
    <row r="27669" spans="2:2" ht="12.75" customHeight="1" x14ac:dyDescent="0.2">
      <c r="B27669" s="43"/>
    </row>
    <row r="27670" spans="2:2" ht="12.75" customHeight="1" x14ac:dyDescent="0.2">
      <c r="B27670" s="43"/>
    </row>
    <row r="27671" spans="2:2" ht="12.75" customHeight="1" x14ac:dyDescent="0.2">
      <c r="B27671" s="43"/>
    </row>
    <row r="27672" spans="2:2" ht="12.75" customHeight="1" x14ac:dyDescent="0.2">
      <c r="B27672" s="43"/>
    </row>
    <row r="27673" spans="2:2" ht="12.75" customHeight="1" x14ac:dyDescent="0.2">
      <c r="B27673" s="43"/>
    </row>
    <row r="27674" spans="2:2" ht="12.75" customHeight="1" x14ac:dyDescent="0.2">
      <c r="B27674" s="43"/>
    </row>
    <row r="27675" spans="2:2" ht="12.75" customHeight="1" x14ac:dyDescent="0.2">
      <c r="B27675" s="43"/>
    </row>
    <row r="27676" spans="2:2" ht="12.75" customHeight="1" x14ac:dyDescent="0.2">
      <c r="B27676" s="43"/>
    </row>
    <row r="27677" spans="2:2" ht="12.75" customHeight="1" x14ac:dyDescent="0.2">
      <c r="B27677" s="43"/>
    </row>
    <row r="27678" spans="2:2" ht="12.75" customHeight="1" x14ac:dyDescent="0.2">
      <c r="B27678" s="43"/>
    </row>
    <row r="27679" spans="2:2" ht="12.75" customHeight="1" x14ac:dyDescent="0.2">
      <c r="B27679" s="43"/>
    </row>
    <row r="27680" spans="2:2" ht="12.75" customHeight="1" x14ac:dyDescent="0.2">
      <c r="B27680" s="43"/>
    </row>
    <row r="27681" spans="2:2" ht="12.75" customHeight="1" x14ac:dyDescent="0.2">
      <c r="B27681" s="43"/>
    </row>
    <row r="27682" spans="2:2" ht="12.75" customHeight="1" x14ac:dyDescent="0.2">
      <c r="B27682" s="43"/>
    </row>
    <row r="27683" spans="2:2" ht="12.75" customHeight="1" x14ac:dyDescent="0.2">
      <c r="B27683" s="43"/>
    </row>
    <row r="27684" spans="2:2" ht="12.75" customHeight="1" x14ac:dyDescent="0.2">
      <c r="B27684" s="43"/>
    </row>
    <row r="27685" spans="2:2" ht="12.75" customHeight="1" x14ac:dyDescent="0.2">
      <c r="B27685" s="43"/>
    </row>
    <row r="27686" spans="2:2" ht="12.75" customHeight="1" x14ac:dyDescent="0.2">
      <c r="B27686" s="43"/>
    </row>
    <row r="27687" spans="2:2" ht="12.75" customHeight="1" x14ac:dyDescent="0.2">
      <c r="B27687" s="43"/>
    </row>
    <row r="27688" spans="2:2" ht="12.75" customHeight="1" x14ac:dyDescent="0.2">
      <c r="B27688" s="43"/>
    </row>
    <row r="27689" spans="2:2" ht="12.75" customHeight="1" x14ac:dyDescent="0.2">
      <c r="B27689" s="43"/>
    </row>
    <row r="27690" spans="2:2" ht="12.75" customHeight="1" x14ac:dyDescent="0.2">
      <c r="B27690" s="43"/>
    </row>
    <row r="27691" spans="2:2" ht="12.75" customHeight="1" x14ac:dyDescent="0.2">
      <c r="B27691" s="43"/>
    </row>
    <row r="27692" spans="2:2" ht="12.75" customHeight="1" x14ac:dyDescent="0.2">
      <c r="B27692" s="43"/>
    </row>
    <row r="27693" spans="2:2" ht="12.75" customHeight="1" x14ac:dyDescent="0.2">
      <c r="B27693" s="43"/>
    </row>
    <row r="27694" spans="2:2" ht="12.75" customHeight="1" x14ac:dyDescent="0.2">
      <c r="B27694" s="43"/>
    </row>
    <row r="27695" spans="2:2" ht="12.75" customHeight="1" x14ac:dyDescent="0.2">
      <c r="B27695" s="43"/>
    </row>
    <row r="27696" spans="2:2" ht="12.75" customHeight="1" x14ac:dyDescent="0.2">
      <c r="B27696" s="43"/>
    </row>
    <row r="27697" spans="2:2" ht="12.75" customHeight="1" x14ac:dyDescent="0.2">
      <c r="B27697" s="43"/>
    </row>
    <row r="27698" spans="2:2" ht="12.75" customHeight="1" x14ac:dyDescent="0.2">
      <c r="B27698" s="43"/>
    </row>
    <row r="27699" spans="2:2" ht="12.75" customHeight="1" x14ac:dyDescent="0.2">
      <c r="B27699" s="43"/>
    </row>
    <row r="27700" spans="2:2" ht="12.75" customHeight="1" x14ac:dyDescent="0.2">
      <c r="B27700" s="43"/>
    </row>
    <row r="27701" spans="2:2" ht="12.75" customHeight="1" x14ac:dyDescent="0.2">
      <c r="B27701" s="43"/>
    </row>
    <row r="27702" spans="2:2" ht="12.75" customHeight="1" x14ac:dyDescent="0.2">
      <c r="B27702" s="43"/>
    </row>
    <row r="27703" spans="2:2" ht="12.75" customHeight="1" x14ac:dyDescent="0.2">
      <c r="B27703" s="43"/>
    </row>
    <row r="27704" spans="2:2" ht="12.75" customHeight="1" x14ac:dyDescent="0.2">
      <c r="B27704" s="43"/>
    </row>
    <row r="27705" spans="2:2" ht="12.75" customHeight="1" x14ac:dyDescent="0.2">
      <c r="B27705" s="43"/>
    </row>
    <row r="27706" spans="2:2" ht="12.75" customHeight="1" x14ac:dyDescent="0.2">
      <c r="B27706" s="43"/>
    </row>
    <row r="27707" spans="2:2" ht="12.75" customHeight="1" x14ac:dyDescent="0.2">
      <c r="B27707" s="43"/>
    </row>
    <row r="27708" spans="2:2" ht="12.75" customHeight="1" x14ac:dyDescent="0.2">
      <c r="B27708" s="43"/>
    </row>
    <row r="27709" spans="2:2" ht="12.75" customHeight="1" x14ac:dyDescent="0.2">
      <c r="B27709" s="43"/>
    </row>
    <row r="27710" spans="2:2" ht="12.75" customHeight="1" x14ac:dyDescent="0.2">
      <c r="B27710" s="43"/>
    </row>
    <row r="27711" spans="2:2" ht="12.75" customHeight="1" x14ac:dyDescent="0.2">
      <c r="B27711" s="43"/>
    </row>
    <row r="27712" spans="2:2" ht="12.75" customHeight="1" x14ac:dyDescent="0.2">
      <c r="B27712" s="43"/>
    </row>
    <row r="27713" spans="2:2" ht="12.75" customHeight="1" x14ac:dyDescent="0.2">
      <c r="B27713" s="43"/>
    </row>
    <row r="27714" spans="2:2" ht="12.75" customHeight="1" x14ac:dyDescent="0.2">
      <c r="B27714" s="43"/>
    </row>
    <row r="27715" spans="2:2" ht="12.75" customHeight="1" x14ac:dyDescent="0.2">
      <c r="B27715" s="43"/>
    </row>
    <row r="27716" spans="2:2" ht="12.75" customHeight="1" x14ac:dyDescent="0.2">
      <c r="B27716" s="43"/>
    </row>
    <row r="27717" spans="2:2" ht="12.75" customHeight="1" x14ac:dyDescent="0.2">
      <c r="B27717" s="43"/>
    </row>
    <row r="27718" spans="2:2" ht="12.75" customHeight="1" x14ac:dyDescent="0.2">
      <c r="B27718" s="43"/>
    </row>
    <row r="27719" spans="2:2" ht="12.75" customHeight="1" x14ac:dyDescent="0.2">
      <c r="B27719" s="43"/>
    </row>
    <row r="27720" spans="2:2" ht="12.75" customHeight="1" x14ac:dyDescent="0.2">
      <c r="B27720" s="43"/>
    </row>
    <row r="27721" spans="2:2" ht="12.75" customHeight="1" x14ac:dyDescent="0.2">
      <c r="B27721" s="43"/>
    </row>
    <row r="27722" spans="2:2" ht="12.75" customHeight="1" x14ac:dyDescent="0.2">
      <c r="B27722" s="43"/>
    </row>
    <row r="27723" spans="2:2" ht="12.75" customHeight="1" x14ac:dyDescent="0.2">
      <c r="B27723" s="43"/>
    </row>
    <row r="27724" spans="2:2" ht="12.75" customHeight="1" x14ac:dyDescent="0.2">
      <c r="B27724" s="43"/>
    </row>
    <row r="27725" spans="2:2" ht="12.75" customHeight="1" x14ac:dyDescent="0.2">
      <c r="B27725" s="43"/>
    </row>
    <row r="27726" spans="2:2" ht="12.75" customHeight="1" x14ac:dyDescent="0.2">
      <c r="B27726" s="43"/>
    </row>
    <row r="27727" spans="2:2" ht="12.75" customHeight="1" x14ac:dyDescent="0.2">
      <c r="B27727" s="43"/>
    </row>
    <row r="27728" spans="2:2" ht="12.75" customHeight="1" x14ac:dyDescent="0.2">
      <c r="B27728" s="43"/>
    </row>
    <row r="27729" spans="2:2" ht="12.75" customHeight="1" x14ac:dyDescent="0.2">
      <c r="B27729" s="43"/>
    </row>
    <row r="27730" spans="2:2" ht="12.75" customHeight="1" x14ac:dyDescent="0.2">
      <c r="B27730" s="43"/>
    </row>
    <row r="27731" spans="2:2" ht="12.75" customHeight="1" x14ac:dyDescent="0.2">
      <c r="B27731" s="43"/>
    </row>
    <row r="27732" spans="2:2" ht="12.75" customHeight="1" x14ac:dyDescent="0.2">
      <c r="B27732" s="43"/>
    </row>
    <row r="27733" spans="2:2" ht="12.75" customHeight="1" x14ac:dyDescent="0.2">
      <c r="B27733" s="43"/>
    </row>
    <row r="27734" spans="2:2" ht="12.75" customHeight="1" x14ac:dyDescent="0.2">
      <c r="B27734" s="43"/>
    </row>
    <row r="27735" spans="2:2" ht="12.75" customHeight="1" x14ac:dyDescent="0.2">
      <c r="B27735" s="43"/>
    </row>
    <row r="27736" spans="2:2" ht="12.75" customHeight="1" x14ac:dyDescent="0.2">
      <c r="B27736" s="43"/>
    </row>
    <row r="27737" spans="2:2" ht="12.75" customHeight="1" x14ac:dyDescent="0.2">
      <c r="B27737" s="43"/>
    </row>
    <row r="27738" spans="2:2" ht="12.75" customHeight="1" x14ac:dyDescent="0.2">
      <c r="B27738" s="43"/>
    </row>
    <row r="27739" spans="2:2" ht="12.75" customHeight="1" x14ac:dyDescent="0.2">
      <c r="B27739" s="43"/>
    </row>
    <row r="27740" spans="2:2" ht="12.75" customHeight="1" x14ac:dyDescent="0.2">
      <c r="B27740" s="43"/>
    </row>
    <row r="27741" spans="2:2" ht="12.75" customHeight="1" x14ac:dyDescent="0.2">
      <c r="B27741" s="43"/>
    </row>
    <row r="27742" spans="2:2" ht="12.75" customHeight="1" x14ac:dyDescent="0.2">
      <c r="B27742" s="43"/>
    </row>
    <row r="27743" spans="2:2" ht="12.75" customHeight="1" x14ac:dyDescent="0.2">
      <c r="B27743" s="43"/>
    </row>
    <row r="27744" spans="2:2" ht="12.75" customHeight="1" x14ac:dyDescent="0.2">
      <c r="B27744" s="43"/>
    </row>
    <row r="27745" spans="2:2" ht="12.75" customHeight="1" x14ac:dyDescent="0.2">
      <c r="B27745" s="43"/>
    </row>
    <row r="27746" spans="2:2" ht="12.75" customHeight="1" x14ac:dyDescent="0.2">
      <c r="B27746" s="43"/>
    </row>
    <row r="27747" spans="2:2" ht="12.75" customHeight="1" x14ac:dyDescent="0.2">
      <c r="B27747" s="43"/>
    </row>
    <row r="27748" spans="2:2" ht="12.75" customHeight="1" x14ac:dyDescent="0.2">
      <c r="B27748" s="43"/>
    </row>
    <row r="27749" spans="2:2" ht="12.75" customHeight="1" x14ac:dyDescent="0.2">
      <c r="B27749" s="43"/>
    </row>
    <row r="27750" spans="2:2" ht="12.75" customHeight="1" x14ac:dyDescent="0.2">
      <c r="B27750" s="43"/>
    </row>
    <row r="27751" spans="2:2" ht="12.75" customHeight="1" x14ac:dyDescent="0.2">
      <c r="B27751" s="43"/>
    </row>
    <row r="27752" spans="2:2" ht="12.75" customHeight="1" x14ac:dyDescent="0.2">
      <c r="B27752" s="43"/>
    </row>
    <row r="27753" spans="2:2" ht="12.75" customHeight="1" x14ac:dyDescent="0.2">
      <c r="B27753" s="43"/>
    </row>
    <row r="27754" spans="2:2" ht="12.75" customHeight="1" x14ac:dyDescent="0.2">
      <c r="B27754" s="43"/>
    </row>
    <row r="27755" spans="2:2" ht="12.75" customHeight="1" x14ac:dyDescent="0.2">
      <c r="B27755" s="43"/>
    </row>
    <row r="27756" spans="2:2" ht="12.75" customHeight="1" x14ac:dyDescent="0.2">
      <c r="B27756" s="43"/>
    </row>
    <row r="27757" spans="2:2" ht="12.75" customHeight="1" x14ac:dyDescent="0.2">
      <c r="B27757" s="43"/>
    </row>
    <row r="27758" spans="2:2" ht="12.75" customHeight="1" x14ac:dyDescent="0.2">
      <c r="B27758" s="43"/>
    </row>
    <row r="27759" spans="2:2" ht="12.75" customHeight="1" x14ac:dyDescent="0.2">
      <c r="B27759" s="43"/>
    </row>
    <row r="27760" spans="2:2" ht="12.75" customHeight="1" x14ac:dyDescent="0.2">
      <c r="B27760" s="43"/>
    </row>
    <row r="27761" spans="2:2" ht="12.75" customHeight="1" x14ac:dyDescent="0.2">
      <c r="B27761" s="43"/>
    </row>
    <row r="27762" spans="2:2" ht="12.75" customHeight="1" x14ac:dyDescent="0.2">
      <c r="B27762" s="43"/>
    </row>
    <row r="27763" spans="2:2" ht="12.75" customHeight="1" x14ac:dyDescent="0.2">
      <c r="B27763" s="43"/>
    </row>
    <row r="27764" spans="2:2" ht="12.75" customHeight="1" x14ac:dyDescent="0.2">
      <c r="B27764" s="43"/>
    </row>
    <row r="27765" spans="2:2" ht="12.75" customHeight="1" x14ac:dyDescent="0.2">
      <c r="B27765" s="43"/>
    </row>
    <row r="27766" spans="2:2" ht="12.75" customHeight="1" x14ac:dyDescent="0.2">
      <c r="B27766" s="43"/>
    </row>
    <row r="27767" spans="2:2" ht="12.75" customHeight="1" x14ac:dyDescent="0.2">
      <c r="B27767" s="43"/>
    </row>
    <row r="27768" spans="2:2" ht="12.75" customHeight="1" x14ac:dyDescent="0.2">
      <c r="B27768" s="43"/>
    </row>
    <row r="27769" spans="2:2" ht="12.75" customHeight="1" x14ac:dyDescent="0.2">
      <c r="B27769" s="43"/>
    </row>
    <row r="27770" spans="2:2" ht="12.75" customHeight="1" x14ac:dyDescent="0.2">
      <c r="B27770" s="43"/>
    </row>
    <row r="27771" spans="2:2" ht="12.75" customHeight="1" x14ac:dyDescent="0.2">
      <c r="B27771" s="43"/>
    </row>
    <row r="27772" spans="2:2" ht="12.75" customHeight="1" x14ac:dyDescent="0.2">
      <c r="B27772" s="43"/>
    </row>
    <row r="27773" spans="2:2" ht="12.75" customHeight="1" x14ac:dyDescent="0.2">
      <c r="B27773" s="43"/>
    </row>
    <row r="27774" spans="2:2" ht="12.75" customHeight="1" x14ac:dyDescent="0.2">
      <c r="B27774" s="43"/>
    </row>
    <row r="27775" spans="2:2" ht="12.75" customHeight="1" x14ac:dyDescent="0.2">
      <c r="B27775" s="43"/>
    </row>
    <row r="27776" spans="2:2" ht="12.75" customHeight="1" x14ac:dyDescent="0.2">
      <c r="B27776" s="43"/>
    </row>
    <row r="27777" spans="2:2" ht="12.75" customHeight="1" x14ac:dyDescent="0.2">
      <c r="B27777" s="43"/>
    </row>
    <row r="27778" spans="2:2" ht="12.75" customHeight="1" x14ac:dyDescent="0.2">
      <c r="B27778" s="43"/>
    </row>
    <row r="27779" spans="2:2" ht="12.75" customHeight="1" x14ac:dyDescent="0.2">
      <c r="B27779" s="43"/>
    </row>
    <row r="27780" spans="2:2" ht="12.75" customHeight="1" x14ac:dyDescent="0.2">
      <c r="B27780" s="43"/>
    </row>
    <row r="27781" spans="2:2" ht="12.75" customHeight="1" x14ac:dyDescent="0.2">
      <c r="B27781" s="43"/>
    </row>
    <row r="27782" spans="2:2" ht="12.75" customHeight="1" x14ac:dyDescent="0.2">
      <c r="B27782" s="43"/>
    </row>
    <row r="27783" spans="2:2" ht="12.75" customHeight="1" x14ac:dyDescent="0.2">
      <c r="B27783" s="43"/>
    </row>
    <row r="27784" spans="2:2" ht="12.75" customHeight="1" x14ac:dyDescent="0.2">
      <c r="B27784" s="43"/>
    </row>
    <row r="27785" spans="2:2" ht="12.75" customHeight="1" x14ac:dyDescent="0.2">
      <c r="B27785" s="43"/>
    </row>
    <row r="27786" spans="2:2" ht="12.75" customHeight="1" x14ac:dyDescent="0.2">
      <c r="B27786" s="43"/>
    </row>
    <row r="27787" spans="2:2" ht="12.75" customHeight="1" x14ac:dyDescent="0.2">
      <c r="B27787" s="43"/>
    </row>
    <row r="27788" spans="2:2" ht="12.75" customHeight="1" x14ac:dyDescent="0.2">
      <c r="B27788" s="43"/>
    </row>
    <row r="27789" spans="2:2" ht="12.75" customHeight="1" x14ac:dyDescent="0.2">
      <c r="B27789" s="43"/>
    </row>
    <row r="27790" spans="2:2" ht="12.75" customHeight="1" x14ac:dyDescent="0.2">
      <c r="B27790" s="43"/>
    </row>
    <row r="27791" spans="2:2" ht="12.75" customHeight="1" x14ac:dyDescent="0.2">
      <c r="B27791" s="43"/>
    </row>
    <row r="27792" spans="2:2" ht="12.75" customHeight="1" x14ac:dyDescent="0.2">
      <c r="B27792" s="43"/>
    </row>
    <row r="27793" spans="2:2" ht="12.75" customHeight="1" x14ac:dyDescent="0.2">
      <c r="B27793" s="43"/>
    </row>
    <row r="27794" spans="2:2" ht="12.75" customHeight="1" x14ac:dyDescent="0.2">
      <c r="B27794" s="43"/>
    </row>
    <row r="27795" spans="2:2" ht="12.75" customHeight="1" x14ac:dyDescent="0.2">
      <c r="B27795" s="43"/>
    </row>
    <row r="27796" spans="2:2" ht="12.75" customHeight="1" x14ac:dyDescent="0.2">
      <c r="B27796" s="43"/>
    </row>
    <row r="27797" spans="2:2" ht="12.75" customHeight="1" x14ac:dyDescent="0.2">
      <c r="B27797" s="43"/>
    </row>
    <row r="27798" spans="2:2" ht="12.75" customHeight="1" x14ac:dyDescent="0.2">
      <c r="B27798" s="43"/>
    </row>
    <row r="27799" spans="2:2" ht="12.75" customHeight="1" x14ac:dyDescent="0.2">
      <c r="B27799" s="43"/>
    </row>
    <row r="27800" spans="2:2" ht="12.75" customHeight="1" x14ac:dyDescent="0.2">
      <c r="B27800" s="43"/>
    </row>
    <row r="27801" spans="2:2" ht="12.75" customHeight="1" x14ac:dyDescent="0.2">
      <c r="B27801" s="43"/>
    </row>
    <row r="27802" spans="2:2" ht="12.75" customHeight="1" x14ac:dyDescent="0.2">
      <c r="B27802" s="43"/>
    </row>
    <row r="27803" spans="2:2" ht="12.75" customHeight="1" x14ac:dyDescent="0.2">
      <c r="B27803" s="43"/>
    </row>
    <row r="27804" spans="2:2" ht="12.75" customHeight="1" x14ac:dyDescent="0.2">
      <c r="B27804" s="43"/>
    </row>
    <row r="27805" spans="2:2" ht="12.75" customHeight="1" x14ac:dyDescent="0.2">
      <c r="B27805" s="43"/>
    </row>
    <row r="27806" spans="2:2" ht="12.75" customHeight="1" x14ac:dyDescent="0.2">
      <c r="B27806" s="43"/>
    </row>
    <row r="27807" spans="2:2" ht="12.75" customHeight="1" x14ac:dyDescent="0.2">
      <c r="B27807" s="43"/>
    </row>
    <row r="27808" spans="2:2" ht="12.75" customHeight="1" x14ac:dyDescent="0.2">
      <c r="B27808" s="43"/>
    </row>
    <row r="27809" spans="2:2" ht="12.75" customHeight="1" x14ac:dyDescent="0.2">
      <c r="B27809" s="43"/>
    </row>
    <row r="27810" spans="2:2" ht="12.75" customHeight="1" x14ac:dyDescent="0.2">
      <c r="B27810" s="43"/>
    </row>
    <row r="27811" spans="2:2" ht="12.75" customHeight="1" x14ac:dyDescent="0.2">
      <c r="B27811" s="43"/>
    </row>
    <row r="27812" spans="2:2" ht="12.75" customHeight="1" x14ac:dyDescent="0.2">
      <c r="B27812" s="43"/>
    </row>
    <row r="27813" spans="2:2" ht="12.75" customHeight="1" x14ac:dyDescent="0.2">
      <c r="B27813" s="43"/>
    </row>
    <row r="27814" spans="2:2" ht="12.75" customHeight="1" x14ac:dyDescent="0.2">
      <c r="B27814" s="43"/>
    </row>
    <row r="27815" spans="2:2" ht="12.75" customHeight="1" x14ac:dyDescent="0.2">
      <c r="B27815" s="43"/>
    </row>
    <row r="27816" spans="2:2" ht="12.75" customHeight="1" x14ac:dyDescent="0.2">
      <c r="B27816" s="43"/>
    </row>
    <row r="27817" spans="2:2" ht="12.75" customHeight="1" x14ac:dyDescent="0.2">
      <c r="B27817" s="43"/>
    </row>
    <row r="27818" spans="2:2" ht="12.75" customHeight="1" x14ac:dyDescent="0.2">
      <c r="B27818" s="43"/>
    </row>
    <row r="27819" spans="2:2" ht="12.75" customHeight="1" x14ac:dyDescent="0.2">
      <c r="B27819" s="43"/>
    </row>
    <row r="27820" spans="2:2" ht="12.75" customHeight="1" x14ac:dyDescent="0.2">
      <c r="B27820" s="43"/>
    </row>
    <row r="27821" spans="2:2" ht="12.75" customHeight="1" x14ac:dyDescent="0.2">
      <c r="B27821" s="43"/>
    </row>
    <row r="27822" spans="2:2" ht="12.75" customHeight="1" x14ac:dyDescent="0.2">
      <c r="B27822" s="43"/>
    </row>
    <row r="27823" spans="2:2" ht="12.75" customHeight="1" x14ac:dyDescent="0.2">
      <c r="B27823" s="43"/>
    </row>
    <row r="27824" spans="2:2" ht="12.75" customHeight="1" x14ac:dyDescent="0.2">
      <c r="B27824" s="43"/>
    </row>
    <row r="27825" spans="2:2" ht="12.75" customHeight="1" x14ac:dyDescent="0.2">
      <c r="B27825" s="43"/>
    </row>
    <row r="27826" spans="2:2" ht="12.75" customHeight="1" x14ac:dyDescent="0.2">
      <c r="B27826" s="43"/>
    </row>
    <row r="27827" spans="2:2" ht="12.75" customHeight="1" x14ac:dyDescent="0.2">
      <c r="B27827" s="43"/>
    </row>
    <row r="27828" spans="2:2" ht="12.75" customHeight="1" x14ac:dyDescent="0.2">
      <c r="B27828" s="43"/>
    </row>
    <row r="27829" spans="2:2" ht="12.75" customHeight="1" x14ac:dyDescent="0.2">
      <c r="B27829" s="43"/>
    </row>
    <row r="27830" spans="2:2" ht="12.75" customHeight="1" x14ac:dyDescent="0.2">
      <c r="B27830" s="43"/>
    </row>
    <row r="27831" spans="2:2" ht="12.75" customHeight="1" x14ac:dyDescent="0.2">
      <c r="B27831" s="43"/>
    </row>
    <row r="27832" spans="2:2" ht="12.75" customHeight="1" x14ac:dyDescent="0.2">
      <c r="B27832" s="43"/>
    </row>
    <row r="27833" spans="2:2" ht="12.75" customHeight="1" x14ac:dyDescent="0.2">
      <c r="B27833" s="43"/>
    </row>
    <row r="27834" spans="2:2" ht="12.75" customHeight="1" x14ac:dyDescent="0.2">
      <c r="B27834" s="43"/>
    </row>
    <row r="27835" spans="2:2" ht="12.75" customHeight="1" x14ac:dyDescent="0.2">
      <c r="B27835" s="43"/>
    </row>
    <row r="27836" spans="2:2" ht="12.75" customHeight="1" x14ac:dyDescent="0.2">
      <c r="B27836" s="43"/>
    </row>
    <row r="27837" spans="2:2" ht="12.75" customHeight="1" x14ac:dyDescent="0.2">
      <c r="B27837" s="43"/>
    </row>
    <row r="27838" spans="2:2" ht="12.75" customHeight="1" x14ac:dyDescent="0.2">
      <c r="B27838" s="43"/>
    </row>
    <row r="27839" spans="2:2" ht="12.75" customHeight="1" x14ac:dyDescent="0.2">
      <c r="B27839" s="43"/>
    </row>
    <row r="27840" spans="2:2" ht="12.75" customHeight="1" x14ac:dyDescent="0.2">
      <c r="B27840" s="43"/>
    </row>
    <row r="27841" spans="2:2" ht="12.75" customHeight="1" x14ac:dyDescent="0.2">
      <c r="B27841" s="43"/>
    </row>
    <row r="27842" spans="2:2" ht="12.75" customHeight="1" x14ac:dyDescent="0.2">
      <c r="B27842" s="43"/>
    </row>
    <row r="27843" spans="2:2" ht="12.75" customHeight="1" x14ac:dyDescent="0.2">
      <c r="B27843" s="43"/>
    </row>
    <row r="27844" spans="2:2" ht="12.75" customHeight="1" x14ac:dyDescent="0.2">
      <c r="B27844" s="43"/>
    </row>
    <row r="27845" spans="2:2" ht="12.75" customHeight="1" x14ac:dyDescent="0.2">
      <c r="B27845" s="43"/>
    </row>
    <row r="27846" spans="2:2" ht="12.75" customHeight="1" x14ac:dyDescent="0.2">
      <c r="B27846" s="43"/>
    </row>
    <row r="27847" spans="2:2" ht="12.75" customHeight="1" x14ac:dyDescent="0.2">
      <c r="B27847" s="43"/>
    </row>
    <row r="27848" spans="2:2" ht="12.75" customHeight="1" x14ac:dyDescent="0.2">
      <c r="B27848" s="43"/>
    </row>
    <row r="27849" spans="2:2" ht="12.75" customHeight="1" x14ac:dyDescent="0.2">
      <c r="B27849" s="43"/>
    </row>
    <row r="27850" spans="2:2" ht="12.75" customHeight="1" x14ac:dyDescent="0.2">
      <c r="B27850" s="43"/>
    </row>
    <row r="27851" spans="2:2" ht="12.75" customHeight="1" x14ac:dyDescent="0.2">
      <c r="B27851" s="43"/>
    </row>
    <row r="27852" spans="2:2" ht="12.75" customHeight="1" x14ac:dyDescent="0.2">
      <c r="B27852" s="43"/>
    </row>
    <row r="27853" spans="2:2" ht="12.75" customHeight="1" x14ac:dyDescent="0.2">
      <c r="B27853" s="43"/>
    </row>
    <row r="27854" spans="2:2" ht="12.75" customHeight="1" x14ac:dyDescent="0.2">
      <c r="B27854" s="43"/>
    </row>
    <row r="27855" spans="2:2" ht="12.75" customHeight="1" x14ac:dyDescent="0.2">
      <c r="B27855" s="43"/>
    </row>
    <row r="27856" spans="2:2" ht="12.75" customHeight="1" x14ac:dyDescent="0.2">
      <c r="B27856" s="43"/>
    </row>
    <row r="27857" spans="2:2" ht="12.75" customHeight="1" x14ac:dyDescent="0.2">
      <c r="B27857" s="43"/>
    </row>
    <row r="27858" spans="2:2" ht="12.75" customHeight="1" x14ac:dyDescent="0.2">
      <c r="B27858" s="43"/>
    </row>
    <row r="27859" spans="2:2" ht="12.75" customHeight="1" x14ac:dyDescent="0.2">
      <c r="B27859" s="43"/>
    </row>
    <row r="27860" spans="2:2" ht="12.75" customHeight="1" x14ac:dyDescent="0.2">
      <c r="B27860" s="43"/>
    </row>
    <row r="27861" spans="2:2" ht="12.75" customHeight="1" x14ac:dyDescent="0.2">
      <c r="B27861" s="43"/>
    </row>
    <row r="27862" spans="2:2" ht="12.75" customHeight="1" x14ac:dyDescent="0.2">
      <c r="B27862" s="43"/>
    </row>
    <row r="27863" spans="2:2" ht="12.75" customHeight="1" x14ac:dyDescent="0.2">
      <c r="B27863" s="43"/>
    </row>
    <row r="27864" spans="2:2" ht="12.75" customHeight="1" x14ac:dyDescent="0.2">
      <c r="B27864" s="43"/>
    </row>
    <row r="27865" spans="2:2" ht="12.75" customHeight="1" x14ac:dyDescent="0.2">
      <c r="B27865" s="43"/>
    </row>
    <row r="27866" spans="2:2" ht="12.75" customHeight="1" x14ac:dyDescent="0.2">
      <c r="B27866" s="43"/>
    </row>
    <row r="27867" spans="2:2" ht="12.75" customHeight="1" x14ac:dyDescent="0.2">
      <c r="B27867" s="43"/>
    </row>
    <row r="27868" spans="2:2" ht="12.75" customHeight="1" x14ac:dyDescent="0.2">
      <c r="B27868" s="43"/>
    </row>
    <row r="27869" spans="2:2" ht="12.75" customHeight="1" x14ac:dyDescent="0.2">
      <c r="B27869" s="43"/>
    </row>
    <row r="27870" spans="2:2" ht="12.75" customHeight="1" x14ac:dyDescent="0.2">
      <c r="B27870" s="43"/>
    </row>
    <row r="27871" spans="2:2" ht="12.75" customHeight="1" x14ac:dyDescent="0.2">
      <c r="B27871" s="43"/>
    </row>
    <row r="27872" spans="2:2" ht="12.75" customHeight="1" x14ac:dyDescent="0.2">
      <c r="B27872" s="43"/>
    </row>
    <row r="27873" spans="2:2" ht="12.75" customHeight="1" x14ac:dyDescent="0.2">
      <c r="B27873" s="43"/>
    </row>
    <row r="27874" spans="2:2" ht="12.75" customHeight="1" x14ac:dyDescent="0.2">
      <c r="B27874" s="43"/>
    </row>
    <row r="27875" spans="2:2" ht="12.75" customHeight="1" x14ac:dyDescent="0.2">
      <c r="B27875" s="43"/>
    </row>
    <row r="27876" spans="2:2" ht="12.75" customHeight="1" x14ac:dyDescent="0.2">
      <c r="B27876" s="43"/>
    </row>
    <row r="27877" spans="2:2" ht="12.75" customHeight="1" x14ac:dyDescent="0.2">
      <c r="B27877" s="43"/>
    </row>
    <row r="27878" spans="2:2" ht="12.75" customHeight="1" x14ac:dyDescent="0.2">
      <c r="B27878" s="43"/>
    </row>
    <row r="27879" spans="2:2" ht="12.75" customHeight="1" x14ac:dyDescent="0.2">
      <c r="B27879" s="43"/>
    </row>
    <row r="27880" spans="2:2" ht="12.75" customHeight="1" x14ac:dyDescent="0.2">
      <c r="B27880" s="43"/>
    </row>
    <row r="27881" spans="2:2" ht="12.75" customHeight="1" x14ac:dyDescent="0.2">
      <c r="B27881" s="43"/>
    </row>
    <row r="27882" spans="2:2" ht="12.75" customHeight="1" x14ac:dyDescent="0.2">
      <c r="B27882" s="43"/>
    </row>
    <row r="27883" spans="2:2" ht="12.75" customHeight="1" x14ac:dyDescent="0.2">
      <c r="B27883" s="43"/>
    </row>
    <row r="27884" spans="2:2" ht="12.75" customHeight="1" x14ac:dyDescent="0.2">
      <c r="B27884" s="43"/>
    </row>
    <row r="27885" spans="2:2" ht="12.75" customHeight="1" x14ac:dyDescent="0.2">
      <c r="B27885" s="43"/>
    </row>
    <row r="27886" spans="2:2" ht="12.75" customHeight="1" x14ac:dyDescent="0.2">
      <c r="B27886" s="43"/>
    </row>
    <row r="27887" spans="2:2" ht="12.75" customHeight="1" x14ac:dyDescent="0.2">
      <c r="B27887" s="43"/>
    </row>
    <row r="27888" spans="2:2" ht="12.75" customHeight="1" x14ac:dyDescent="0.2">
      <c r="B27888" s="43"/>
    </row>
    <row r="27889" spans="2:2" ht="12.75" customHeight="1" x14ac:dyDescent="0.2">
      <c r="B27889" s="43"/>
    </row>
    <row r="27890" spans="2:2" ht="12.75" customHeight="1" x14ac:dyDescent="0.2">
      <c r="B27890" s="43"/>
    </row>
    <row r="27891" spans="2:2" ht="12.75" customHeight="1" x14ac:dyDescent="0.2">
      <c r="B27891" s="43"/>
    </row>
    <row r="27892" spans="2:2" ht="12.75" customHeight="1" x14ac:dyDescent="0.2">
      <c r="B27892" s="43"/>
    </row>
    <row r="27893" spans="2:2" ht="12.75" customHeight="1" x14ac:dyDescent="0.2">
      <c r="B27893" s="43"/>
    </row>
    <row r="27894" spans="2:2" ht="12.75" customHeight="1" x14ac:dyDescent="0.2">
      <c r="B27894" s="43"/>
    </row>
    <row r="27895" spans="2:2" ht="12.75" customHeight="1" x14ac:dyDescent="0.2">
      <c r="B27895" s="43"/>
    </row>
    <row r="27896" spans="2:2" ht="12.75" customHeight="1" x14ac:dyDescent="0.2">
      <c r="B27896" s="43"/>
    </row>
    <row r="27897" spans="2:2" ht="12.75" customHeight="1" x14ac:dyDescent="0.2">
      <c r="B27897" s="43"/>
    </row>
    <row r="27898" spans="2:2" ht="12.75" customHeight="1" x14ac:dyDescent="0.2">
      <c r="B27898" s="43"/>
    </row>
    <row r="27899" spans="2:2" ht="12.75" customHeight="1" x14ac:dyDescent="0.2">
      <c r="B27899" s="43"/>
    </row>
    <row r="27900" spans="2:2" ht="12.75" customHeight="1" x14ac:dyDescent="0.2">
      <c r="B27900" s="43"/>
    </row>
    <row r="27901" spans="2:2" ht="12.75" customHeight="1" x14ac:dyDescent="0.2">
      <c r="B27901" s="43"/>
    </row>
    <row r="27902" spans="2:2" ht="12.75" customHeight="1" x14ac:dyDescent="0.2">
      <c r="B27902" s="43"/>
    </row>
    <row r="27903" spans="2:2" ht="12.75" customHeight="1" x14ac:dyDescent="0.2">
      <c r="B27903" s="43"/>
    </row>
    <row r="27904" spans="2:2" ht="12.75" customHeight="1" x14ac:dyDescent="0.2">
      <c r="B27904" s="43"/>
    </row>
    <row r="27905" spans="2:2" ht="12.75" customHeight="1" x14ac:dyDescent="0.2">
      <c r="B27905" s="43"/>
    </row>
    <row r="27906" spans="2:2" ht="12.75" customHeight="1" x14ac:dyDescent="0.2">
      <c r="B27906" s="43"/>
    </row>
    <row r="27907" spans="2:2" ht="12.75" customHeight="1" x14ac:dyDescent="0.2">
      <c r="B27907" s="43"/>
    </row>
    <row r="27908" spans="2:2" ht="12.75" customHeight="1" x14ac:dyDescent="0.2">
      <c r="B27908" s="43"/>
    </row>
    <row r="27909" spans="2:2" ht="12.75" customHeight="1" x14ac:dyDescent="0.2">
      <c r="B27909" s="43"/>
    </row>
    <row r="27910" spans="2:2" ht="12.75" customHeight="1" x14ac:dyDescent="0.2">
      <c r="B27910" s="43"/>
    </row>
    <row r="27911" spans="2:2" ht="12.75" customHeight="1" x14ac:dyDescent="0.2">
      <c r="B27911" s="43"/>
    </row>
    <row r="27912" spans="2:2" ht="12.75" customHeight="1" x14ac:dyDescent="0.2">
      <c r="B27912" s="43"/>
    </row>
    <row r="27913" spans="2:2" ht="12.75" customHeight="1" x14ac:dyDescent="0.2">
      <c r="B27913" s="43"/>
    </row>
    <row r="27914" spans="2:2" ht="12.75" customHeight="1" x14ac:dyDescent="0.2">
      <c r="B27914" s="43"/>
    </row>
    <row r="27915" spans="2:2" ht="12.75" customHeight="1" x14ac:dyDescent="0.2">
      <c r="B27915" s="43"/>
    </row>
    <row r="27916" spans="2:2" ht="12.75" customHeight="1" x14ac:dyDescent="0.2">
      <c r="B27916" s="43"/>
    </row>
    <row r="27917" spans="2:2" ht="12.75" customHeight="1" x14ac:dyDescent="0.2">
      <c r="B27917" s="43"/>
    </row>
    <row r="27918" spans="2:2" ht="12.75" customHeight="1" x14ac:dyDescent="0.2">
      <c r="B27918" s="43"/>
    </row>
    <row r="27919" spans="2:2" ht="12.75" customHeight="1" x14ac:dyDescent="0.2">
      <c r="B27919" s="43"/>
    </row>
    <row r="27920" spans="2:2" ht="12.75" customHeight="1" x14ac:dyDescent="0.2">
      <c r="B27920" s="43"/>
    </row>
    <row r="27921" spans="2:2" ht="12.75" customHeight="1" x14ac:dyDescent="0.2">
      <c r="B27921" s="43"/>
    </row>
    <row r="27922" spans="2:2" ht="12.75" customHeight="1" x14ac:dyDescent="0.2">
      <c r="B27922" s="43"/>
    </row>
    <row r="27923" spans="2:2" ht="12.75" customHeight="1" x14ac:dyDescent="0.2">
      <c r="B27923" s="43"/>
    </row>
    <row r="27924" spans="2:2" ht="12.75" customHeight="1" x14ac:dyDescent="0.2">
      <c r="B27924" s="43"/>
    </row>
    <row r="27925" spans="2:2" ht="12.75" customHeight="1" x14ac:dyDescent="0.2">
      <c r="B27925" s="43"/>
    </row>
    <row r="27926" spans="2:2" ht="12.75" customHeight="1" x14ac:dyDescent="0.2">
      <c r="B27926" s="43"/>
    </row>
    <row r="27927" spans="2:2" ht="12.75" customHeight="1" x14ac:dyDescent="0.2">
      <c r="B27927" s="43"/>
    </row>
    <row r="27928" spans="2:2" ht="12.75" customHeight="1" x14ac:dyDescent="0.2">
      <c r="B27928" s="43"/>
    </row>
    <row r="27929" spans="2:2" ht="12.75" customHeight="1" x14ac:dyDescent="0.2">
      <c r="B27929" s="43"/>
    </row>
    <row r="27930" spans="2:2" ht="12.75" customHeight="1" x14ac:dyDescent="0.2">
      <c r="B27930" s="43"/>
    </row>
    <row r="27931" spans="2:2" ht="12.75" customHeight="1" x14ac:dyDescent="0.2">
      <c r="B27931" s="43"/>
    </row>
    <row r="27932" spans="2:2" ht="12.75" customHeight="1" x14ac:dyDescent="0.2">
      <c r="B27932" s="43"/>
    </row>
    <row r="27933" spans="2:2" ht="12.75" customHeight="1" x14ac:dyDescent="0.2">
      <c r="B27933" s="43"/>
    </row>
    <row r="27934" spans="2:2" ht="12.75" customHeight="1" x14ac:dyDescent="0.2">
      <c r="B27934" s="43"/>
    </row>
    <row r="27935" spans="2:2" ht="12.75" customHeight="1" x14ac:dyDescent="0.2">
      <c r="B27935" s="43"/>
    </row>
    <row r="27936" spans="2:2" ht="12.75" customHeight="1" x14ac:dyDescent="0.2">
      <c r="B27936" s="43"/>
    </row>
    <row r="27937" spans="2:2" ht="12.75" customHeight="1" x14ac:dyDescent="0.2">
      <c r="B27937" s="43"/>
    </row>
    <row r="27938" spans="2:2" ht="12.75" customHeight="1" x14ac:dyDescent="0.2">
      <c r="B27938" s="43"/>
    </row>
    <row r="27939" spans="2:2" ht="12.75" customHeight="1" x14ac:dyDescent="0.2">
      <c r="B27939" s="43"/>
    </row>
    <row r="27940" spans="2:2" ht="12.75" customHeight="1" x14ac:dyDescent="0.2">
      <c r="B27940" s="43"/>
    </row>
    <row r="27941" spans="2:2" ht="12.75" customHeight="1" x14ac:dyDescent="0.2">
      <c r="B27941" s="43"/>
    </row>
    <row r="27942" spans="2:2" ht="12.75" customHeight="1" x14ac:dyDescent="0.2">
      <c r="B27942" s="43"/>
    </row>
    <row r="27943" spans="2:2" ht="12.75" customHeight="1" x14ac:dyDescent="0.2">
      <c r="B27943" s="43"/>
    </row>
    <row r="27944" spans="2:2" ht="12.75" customHeight="1" x14ac:dyDescent="0.2">
      <c r="B27944" s="43"/>
    </row>
    <row r="27945" spans="2:2" ht="12.75" customHeight="1" x14ac:dyDescent="0.2">
      <c r="B27945" s="43"/>
    </row>
    <row r="27946" spans="2:2" ht="12.75" customHeight="1" x14ac:dyDescent="0.2">
      <c r="B27946" s="43"/>
    </row>
    <row r="27947" spans="2:2" ht="12.75" customHeight="1" x14ac:dyDescent="0.2">
      <c r="B27947" s="43"/>
    </row>
    <row r="27948" spans="2:2" ht="12.75" customHeight="1" x14ac:dyDescent="0.2">
      <c r="B27948" s="43"/>
    </row>
    <row r="27949" spans="2:2" ht="12.75" customHeight="1" x14ac:dyDescent="0.2">
      <c r="B27949" s="43"/>
    </row>
    <row r="27950" spans="2:2" ht="12.75" customHeight="1" x14ac:dyDescent="0.2">
      <c r="B27950" s="43"/>
    </row>
    <row r="27951" spans="2:2" ht="12.75" customHeight="1" x14ac:dyDescent="0.2">
      <c r="B27951" s="43"/>
    </row>
    <row r="27952" spans="2:2" ht="12.75" customHeight="1" x14ac:dyDescent="0.2">
      <c r="B27952" s="43"/>
    </row>
    <row r="27953" spans="2:2" ht="12.75" customHeight="1" x14ac:dyDescent="0.2">
      <c r="B27953" s="43"/>
    </row>
    <row r="27954" spans="2:2" ht="12.75" customHeight="1" x14ac:dyDescent="0.2">
      <c r="B27954" s="43"/>
    </row>
    <row r="27955" spans="2:2" ht="12.75" customHeight="1" x14ac:dyDescent="0.2">
      <c r="B27955" s="43"/>
    </row>
    <row r="27956" spans="2:2" ht="12.75" customHeight="1" x14ac:dyDescent="0.2">
      <c r="B27956" s="43"/>
    </row>
    <row r="27957" spans="2:2" ht="12.75" customHeight="1" x14ac:dyDescent="0.2">
      <c r="B27957" s="43"/>
    </row>
    <row r="27958" spans="2:2" ht="12.75" customHeight="1" x14ac:dyDescent="0.2">
      <c r="B27958" s="43"/>
    </row>
    <row r="27959" spans="2:2" ht="12.75" customHeight="1" x14ac:dyDescent="0.2">
      <c r="B27959" s="43"/>
    </row>
    <row r="27960" spans="2:2" ht="12.75" customHeight="1" x14ac:dyDescent="0.2">
      <c r="B27960" s="43"/>
    </row>
    <row r="27961" spans="2:2" ht="12.75" customHeight="1" x14ac:dyDescent="0.2">
      <c r="B27961" s="43"/>
    </row>
    <row r="27962" spans="2:2" ht="12.75" customHeight="1" x14ac:dyDescent="0.2">
      <c r="B27962" s="43"/>
    </row>
    <row r="27963" spans="2:2" ht="12.75" customHeight="1" x14ac:dyDescent="0.2">
      <c r="B27963" s="43"/>
    </row>
    <row r="27964" spans="2:2" ht="12.75" customHeight="1" x14ac:dyDescent="0.2">
      <c r="B27964" s="43"/>
    </row>
    <row r="27965" spans="2:2" ht="12.75" customHeight="1" x14ac:dyDescent="0.2">
      <c r="B27965" s="43"/>
    </row>
    <row r="27966" spans="2:2" ht="12.75" customHeight="1" x14ac:dyDescent="0.2">
      <c r="B27966" s="43"/>
    </row>
    <row r="27967" spans="2:2" ht="12.75" customHeight="1" x14ac:dyDescent="0.2">
      <c r="B27967" s="43"/>
    </row>
    <row r="27968" spans="2:2" ht="12.75" customHeight="1" x14ac:dyDescent="0.2">
      <c r="B27968" s="43"/>
    </row>
    <row r="27969" spans="2:2" ht="12.75" customHeight="1" x14ac:dyDescent="0.2">
      <c r="B27969" s="43"/>
    </row>
    <row r="27970" spans="2:2" ht="12.75" customHeight="1" x14ac:dyDescent="0.2">
      <c r="B27970" s="43"/>
    </row>
    <row r="27971" spans="2:2" ht="12.75" customHeight="1" x14ac:dyDescent="0.2">
      <c r="B27971" s="43"/>
    </row>
    <row r="27972" spans="2:2" ht="12.75" customHeight="1" x14ac:dyDescent="0.2">
      <c r="B27972" s="43"/>
    </row>
    <row r="27973" spans="2:2" ht="12.75" customHeight="1" x14ac:dyDescent="0.2">
      <c r="B27973" s="43"/>
    </row>
    <row r="27974" spans="2:2" ht="12.75" customHeight="1" x14ac:dyDescent="0.2">
      <c r="B27974" s="43"/>
    </row>
    <row r="27975" spans="2:2" ht="12.75" customHeight="1" x14ac:dyDescent="0.2">
      <c r="B27975" s="43"/>
    </row>
    <row r="27976" spans="2:2" ht="12.75" customHeight="1" x14ac:dyDescent="0.2">
      <c r="B27976" s="43"/>
    </row>
    <row r="27977" spans="2:2" ht="12.75" customHeight="1" x14ac:dyDescent="0.2">
      <c r="B27977" s="43"/>
    </row>
    <row r="27978" spans="2:2" ht="12.75" customHeight="1" x14ac:dyDescent="0.2">
      <c r="B27978" s="43"/>
    </row>
    <row r="27979" spans="2:2" ht="12.75" customHeight="1" x14ac:dyDescent="0.2">
      <c r="B27979" s="43"/>
    </row>
    <row r="27980" spans="2:2" ht="12.75" customHeight="1" x14ac:dyDescent="0.2">
      <c r="B27980" s="43"/>
    </row>
    <row r="27981" spans="2:2" ht="12.75" customHeight="1" x14ac:dyDescent="0.2">
      <c r="B27981" s="43"/>
    </row>
    <row r="27982" spans="2:2" ht="12.75" customHeight="1" x14ac:dyDescent="0.2">
      <c r="B27982" s="43"/>
    </row>
    <row r="27983" spans="2:2" ht="12.75" customHeight="1" x14ac:dyDescent="0.2">
      <c r="B27983" s="43"/>
    </row>
    <row r="27984" spans="2:2" ht="12.75" customHeight="1" x14ac:dyDescent="0.2">
      <c r="B27984" s="43"/>
    </row>
    <row r="27985" spans="2:2" ht="12.75" customHeight="1" x14ac:dyDescent="0.2">
      <c r="B27985" s="43"/>
    </row>
    <row r="27986" spans="2:2" ht="12.75" customHeight="1" x14ac:dyDescent="0.2">
      <c r="B27986" s="43"/>
    </row>
    <row r="27987" spans="2:2" ht="12.75" customHeight="1" x14ac:dyDescent="0.2">
      <c r="B27987" s="43"/>
    </row>
    <row r="27988" spans="2:2" ht="12.75" customHeight="1" x14ac:dyDescent="0.2">
      <c r="B27988" s="43"/>
    </row>
    <row r="27989" spans="2:2" ht="12.75" customHeight="1" x14ac:dyDescent="0.2">
      <c r="B27989" s="43"/>
    </row>
    <row r="27990" spans="2:2" ht="12.75" customHeight="1" x14ac:dyDescent="0.2">
      <c r="B27990" s="43"/>
    </row>
    <row r="27991" spans="2:2" ht="12.75" customHeight="1" x14ac:dyDescent="0.2">
      <c r="B27991" s="43"/>
    </row>
    <row r="27992" spans="2:2" ht="12.75" customHeight="1" x14ac:dyDescent="0.2">
      <c r="B27992" s="43"/>
    </row>
    <row r="27993" spans="2:2" ht="12.75" customHeight="1" x14ac:dyDescent="0.2">
      <c r="B27993" s="43"/>
    </row>
    <row r="27994" spans="2:2" ht="12.75" customHeight="1" x14ac:dyDescent="0.2">
      <c r="B27994" s="43"/>
    </row>
    <row r="27995" spans="2:2" ht="12.75" customHeight="1" x14ac:dyDescent="0.2">
      <c r="B27995" s="43"/>
    </row>
    <row r="27996" spans="2:2" ht="12.75" customHeight="1" x14ac:dyDescent="0.2">
      <c r="B27996" s="43"/>
    </row>
    <row r="27997" spans="2:2" ht="12.75" customHeight="1" x14ac:dyDescent="0.2">
      <c r="B27997" s="43"/>
    </row>
    <row r="27998" spans="2:2" ht="12.75" customHeight="1" x14ac:dyDescent="0.2">
      <c r="B27998" s="43"/>
    </row>
    <row r="27999" spans="2:2" ht="12.75" customHeight="1" x14ac:dyDescent="0.2">
      <c r="B27999" s="43"/>
    </row>
    <row r="28000" spans="2:2" ht="12.75" customHeight="1" x14ac:dyDescent="0.2">
      <c r="B28000" s="43"/>
    </row>
    <row r="28001" spans="2:2" ht="12.75" customHeight="1" x14ac:dyDescent="0.2">
      <c r="B28001" s="43"/>
    </row>
    <row r="28002" spans="2:2" ht="12.75" customHeight="1" x14ac:dyDescent="0.2">
      <c r="B28002" s="43"/>
    </row>
    <row r="28003" spans="2:2" ht="12.75" customHeight="1" x14ac:dyDescent="0.2">
      <c r="B28003" s="43"/>
    </row>
    <row r="28004" spans="2:2" ht="12.75" customHeight="1" x14ac:dyDescent="0.2">
      <c r="B28004" s="43"/>
    </row>
    <row r="28005" spans="2:2" ht="12.75" customHeight="1" x14ac:dyDescent="0.2">
      <c r="B28005" s="43"/>
    </row>
    <row r="28006" spans="2:2" ht="12.75" customHeight="1" x14ac:dyDescent="0.2">
      <c r="B28006" s="43"/>
    </row>
    <row r="28007" spans="2:2" ht="12.75" customHeight="1" x14ac:dyDescent="0.2">
      <c r="B28007" s="43"/>
    </row>
    <row r="28008" spans="2:2" ht="12.75" customHeight="1" x14ac:dyDescent="0.2">
      <c r="B28008" s="43"/>
    </row>
    <row r="28009" spans="2:2" ht="12.75" customHeight="1" x14ac:dyDescent="0.2">
      <c r="B28009" s="43"/>
    </row>
    <row r="28010" spans="2:2" ht="12.75" customHeight="1" x14ac:dyDescent="0.2">
      <c r="B28010" s="43"/>
    </row>
    <row r="28011" spans="2:2" ht="12.75" customHeight="1" x14ac:dyDescent="0.2">
      <c r="B28011" s="43"/>
    </row>
    <row r="28012" spans="2:2" ht="12.75" customHeight="1" x14ac:dyDescent="0.2">
      <c r="B28012" s="43"/>
    </row>
    <row r="28013" spans="2:2" ht="12.75" customHeight="1" x14ac:dyDescent="0.2">
      <c r="B28013" s="43"/>
    </row>
    <row r="28014" spans="2:2" ht="12.75" customHeight="1" x14ac:dyDescent="0.2">
      <c r="B28014" s="43"/>
    </row>
    <row r="28015" spans="2:2" ht="12.75" customHeight="1" x14ac:dyDescent="0.2">
      <c r="B28015" s="43"/>
    </row>
    <row r="28016" spans="2:2" ht="12.75" customHeight="1" x14ac:dyDescent="0.2">
      <c r="B28016" s="43"/>
    </row>
    <row r="28017" spans="2:2" ht="12.75" customHeight="1" x14ac:dyDescent="0.2">
      <c r="B28017" s="43"/>
    </row>
    <row r="28018" spans="2:2" ht="12.75" customHeight="1" x14ac:dyDescent="0.2">
      <c r="B28018" s="43"/>
    </row>
    <row r="28019" spans="2:2" ht="12.75" customHeight="1" x14ac:dyDescent="0.2">
      <c r="B28019" s="43"/>
    </row>
    <row r="28020" spans="2:2" ht="12.75" customHeight="1" x14ac:dyDescent="0.2">
      <c r="B28020" s="43"/>
    </row>
    <row r="28021" spans="2:2" ht="12.75" customHeight="1" x14ac:dyDescent="0.2">
      <c r="B28021" s="43"/>
    </row>
    <row r="28022" spans="2:2" ht="12.75" customHeight="1" x14ac:dyDescent="0.2">
      <c r="B28022" s="43"/>
    </row>
    <row r="28023" spans="2:2" ht="12.75" customHeight="1" x14ac:dyDescent="0.2">
      <c r="B28023" s="43"/>
    </row>
    <row r="28024" spans="2:2" ht="12.75" customHeight="1" x14ac:dyDescent="0.2">
      <c r="B28024" s="43"/>
    </row>
    <row r="28025" spans="2:2" ht="12.75" customHeight="1" x14ac:dyDescent="0.2">
      <c r="B28025" s="43"/>
    </row>
    <row r="28026" spans="2:2" ht="12.75" customHeight="1" x14ac:dyDescent="0.2">
      <c r="B28026" s="43"/>
    </row>
    <row r="28027" spans="2:2" ht="12.75" customHeight="1" x14ac:dyDescent="0.2">
      <c r="B28027" s="43"/>
    </row>
    <row r="28028" spans="2:2" ht="12.75" customHeight="1" x14ac:dyDescent="0.2">
      <c r="B28028" s="43"/>
    </row>
    <row r="28029" spans="2:2" ht="12.75" customHeight="1" x14ac:dyDescent="0.2">
      <c r="B28029" s="43"/>
    </row>
    <row r="28030" spans="2:2" ht="12.75" customHeight="1" x14ac:dyDescent="0.2">
      <c r="B28030" s="43"/>
    </row>
    <row r="28031" spans="2:2" ht="12.75" customHeight="1" x14ac:dyDescent="0.2">
      <c r="B28031" s="43"/>
    </row>
    <row r="28032" spans="2:2" ht="12.75" customHeight="1" x14ac:dyDescent="0.2">
      <c r="B28032" s="43"/>
    </row>
    <row r="28033" spans="2:2" ht="12.75" customHeight="1" x14ac:dyDescent="0.2">
      <c r="B28033" s="43"/>
    </row>
    <row r="28034" spans="2:2" ht="12.75" customHeight="1" x14ac:dyDescent="0.2">
      <c r="B28034" s="43"/>
    </row>
    <row r="28035" spans="2:2" ht="12.75" customHeight="1" x14ac:dyDescent="0.2">
      <c r="B28035" s="43"/>
    </row>
    <row r="28036" spans="2:2" ht="12.75" customHeight="1" x14ac:dyDescent="0.2">
      <c r="B28036" s="43"/>
    </row>
    <row r="28037" spans="2:2" ht="12.75" customHeight="1" x14ac:dyDescent="0.2">
      <c r="B28037" s="43"/>
    </row>
    <row r="28038" spans="2:2" ht="12.75" customHeight="1" x14ac:dyDescent="0.2">
      <c r="B28038" s="43"/>
    </row>
    <row r="28039" spans="2:2" ht="12.75" customHeight="1" x14ac:dyDescent="0.2">
      <c r="B28039" s="43"/>
    </row>
    <row r="28040" spans="2:2" ht="12.75" customHeight="1" x14ac:dyDescent="0.2">
      <c r="B28040" s="43"/>
    </row>
    <row r="28041" spans="2:2" ht="12.75" customHeight="1" x14ac:dyDescent="0.2">
      <c r="B28041" s="43"/>
    </row>
    <row r="28042" spans="2:2" ht="12.75" customHeight="1" x14ac:dyDescent="0.2">
      <c r="B28042" s="43"/>
    </row>
    <row r="28043" spans="2:2" ht="12.75" customHeight="1" x14ac:dyDescent="0.2">
      <c r="B28043" s="43"/>
    </row>
    <row r="28044" spans="2:2" ht="12.75" customHeight="1" x14ac:dyDescent="0.2">
      <c r="B28044" s="43"/>
    </row>
    <row r="28045" spans="2:2" ht="12.75" customHeight="1" x14ac:dyDescent="0.2">
      <c r="B28045" s="43"/>
    </row>
    <row r="28046" spans="2:2" ht="12.75" customHeight="1" x14ac:dyDescent="0.2">
      <c r="B28046" s="43"/>
    </row>
    <row r="28047" spans="2:2" ht="12.75" customHeight="1" x14ac:dyDescent="0.2">
      <c r="B28047" s="43"/>
    </row>
    <row r="28048" spans="2:2" ht="12.75" customHeight="1" x14ac:dyDescent="0.2">
      <c r="B28048" s="43"/>
    </row>
    <row r="28049" spans="2:2" ht="12.75" customHeight="1" x14ac:dyDescent="0.2">
      <c r="B28049" s="43"/>
    </row>
    <row r="28050" spans="2:2" ht="12.75" customHeight="1" x14ac:dyDescent="0.2">
      <c r="B28050" s="43"/>
    </row>
    <row r="28051" spans="2:2" ht="12.75" customHeight="1" x14ac:dyDescent="0.2">
      <c r="B28051" s="43"/>
    </row>
    <row r="28052" spans="2:2" ht="12.75" customHeight="1" x14ac:dyDescent="0.2">
      <c r="B28052" s="43"/>
    </row>
    <row r="28053" spans="2:2" ht="12.75" customHeight="1" x14ac:dyDescent="0.2">
      <c r="B28053" s="43"/>
    </row>
    <row r="28054" spans="2:2" ht="12.75" customHeight="1" x14ac:dyDescent="0.2">
      <c r="B28054" s="43"/>
    </row>
    <row r="28055" spans="2:2" ht="12.75" customHeight="1" x14ac:dyDescent="0.2">
      <c r="B28055" s="43"/>
    </row>
    <row r="28056" spans="2:2" ht="12.75" customHeight="1" x14ac:dyDescent="0.2">
      <c r="B28056" s="43"/>
    </row>
    <row r="28057" spans="2:2" ht="12.75" customHeight="1" x14ac:dyDescent="0.2">
      <c r="B28057" s="43"/>
    </row>
    <row r="28058" spans="2:2" ht="12.75" customHeight="1" x14ac:dyDescent="0.2">
      <c r="B28058" s="43"/>
    </row>
    <row r="28059" spans="2:2" ht="12.75" customHeight="1" x14ac:dyDescent="0.2">
      <c r="B28059" s="43"/>
    </row>
    <row r="28060" spans="2:2" ht="12.75" customHeight="1" x14ac:dyDescent="0.2">
      <c r="B28060" s="43"/>
    </row>
    <row r="28061" spans="2:2" ht="12.75" customHeight="1" x14ac:dyDescent="0.2">
      <c r="B28061" s="43"/>
    </row>
    <row r="28062" spans="2:2" ht="12.75" customHeight="1" x14ac:dyDescent="0.2">
      <c r="B28062" s="43"/>
    </row>
    <row r="28063" spans="2:2" ht="12.75" customHeight="1" x14ac:dyDescent="0.2">
      <c r="B28063" s="43"/>
    </row>
    <row r="28064" spans="2:2" ht="12.75" customHeight="1" x14ac:dyDescent="0.2">
      <c r="B28064" s="43"/>
    </row>
    <row r="28065" spans="2:2" ht="12.75" customHeight="1" x14ac:dyDescent="0.2">
      <c r="B28065" s="43"/>
    </row>
    <row r="28066" spans="2:2" ht="12.75" customHeight="1" x14ac:dyDescent="0.2">
      <c r="B28066" s="43"/>
    </row>
    <row r="28067" spans="2:2" ht="12.75" customHeight="1" x14ac:dyDescent="0.2">
      <c r="B28067" s="43"/>
    </row>
    <row r="28068" spans="2:2" ht="12.75" customHeight="1" x14ac:dyDescent="0.2">
      <c r="B28068" s="43"/>
    </row>
    <row r="28069" spans="2:2" ht="12.75" customHeight="1" x14ac:dyDescent="0.2">
      <c r="B28069" s="43"/>
    </row>
    <row r="28070" spans="2:2" ht="12.75" customHeight="1" x14ac:dyDescent="0.2">
      <c r="B28070" s="43"/>
    </row>
    <row r="28071" spans="2:2" ht="12.75" customHeight="1" x14ac:dyDescent="0.2">
      <c r="B28071" s="43"/>
    </row>
    <row r="28072" spans="2:2" ht="12.75" customHeight="1" x14ac:dyDescent="0.2">
      <c r="B28072" s="43"/>
    </row>
    <row r="28073" spans="2:2" ht="12.75" customHeight="1" x14ac:dyDescent="0.2">
      <c r="B28073" s="43"/>
    </row>
    <row r="28074" spans="2:2" ht="12.75" customHeight="1" x14ac:dyDescent="0.2">
      <c r="B28074" s="43"/>
    </row>
    <row r="28075" spans="2:2" ht="12.75" customHeight="1" x14ac:dyDescent="0.2">
      <c r="B28075" s="43"/>
    </row>
    <row r="28076" spans="2:2" ht="12.75" customHeight="1" x14ac:dyDescent="0.2">
      <c r="B28076" s="43"/>
    </row>
    <row r="28077" spans="2:2" ht="12.75" customHeight="1" x14ac:dyDescent="0.2">
      <c r="B28077" s="43"/>
    </row>
    <row r="28078" spans="2:2" ht="12.75" customHeight="1" x14ac:dyDescent="0.2">
      <c r="B28078" s="43"/>
    </row>
    <row r="28079" spans="2:2" ht="12.75" customHeight="1" x14ac:dyDescent="0.2">
      <c r="B28079" s="43"/>
    </row>
    <row r="28080" spans="2:2" ht="12.75" customHeight="1" x14ac:dyDescent="0.2">
      <c r="B28080" s="43"/>
    </row>
    <row r="28081" spans="2:2" ht="12.75" customHeight="1" x14ac:dyDescent="0.2">
      <c r="B28081" s="43"/>
    </row>
    <row r="28082" spans="2:2" ht="12.75" customHeight="1" x14ac:dyDescent="0.2">
      <c r="B28082" s="43"/>
    </row>
    <row r="28083" spans="2:2" ht="12.75" customHeight="1" x14ac:dyDescent="0.2">
      <c r="B28083" s="43"/>
    </row>
    <row r="28084" spans="2:2" ht="12.75" customHeight="1" x14ac:dyDescent="0.2">
      <c r="B28084" s="43"/>
    </row>
    <row r="28085" spans="2:2" ht="12.75" customHeight="1" x14ac:dyDescent="0.2">
      <c r="B28085" s="43"/>
    </row>
    <row r="28086" spans="2:2" ht="12.75" customHeight="1" x14ac:dyDescent="0.2">
      <c r="B28086" s="43"/>
    </row>
    <row r="28087" spans="2:2" ht="12.75" customHeight="1" x14ac:dyDescent="0.2">
      <c r="B28087" s="43"/>
    </row>
    <row r="28088" spans="2:2" ht="12.75" customHeight="1" x14ac:dyDescent="0.2">
      <c r="B28088" s="43"/>
    </row>
    <row r="28089" spans="2:2" ht="12.75" customHeight="1" x14ac:dyDescent="0.2">
      <c r="B28089" s="43"/>
    </row>
    <row r="28090" spans="2:2" ht="12.75" customHeight="1" x14ac:dyDescent="0.2">
      <c r="B28090" s="43"/>
    </row>
    <row r="28091" spans="2:2" ht="12.75" customHeight="1" x14ac:dyDescent="0.2">
      <c r="B28091" s="43"/>
    </row>
    <row r="28092" spans="2:2" ht="12.75" customHeight="1" x14ac:dyDescent="0.2">
      <c r="B28092" s="43"/>
    </row>
    <row r="28093" spans="2:2" ht="12.75" customHeight="1" x14ac:dyDescent="0.2">
      <c r="B28093" s="43"/>
    </row>
    <row r="28094" spans="2:2" ht="12.75" customHeight="1" x14ac:dyDescent="0.2">
      <c r="B28094" s="43"/>
    </row>
    <row r="28095" spans="2:2" ht="12.75" customHeight="1" x14ac:dyDescent="0.2">
      <c r="B28095" s="43"/>
    </row>
    <row r="28096" spans="2:2" ht="12.75" customHeight="1" x14ac:dyDescent="0.2">
      <c r="B28096" s="43"/>
    </row>
    <row r="28097" spans="2:2" ht="12.75" customHeight="1" x14ac:dyDescent="0.2">
      <c r="B28097" s="43"/>
    </row>
    <row r="28098" spans="2:2" ht="12.75" customHeight="1" x14ac:dyDescent="0.2">
      <c r="B28098" s="43"/>
    </row>
    <row r="28099" spans="2:2" ht="12.75" customHeight="1" x14ac:dyDescent="0.2">
      <c r="B28099" s="43"/>
    </row>
    <row r="28100" spans="2:2" ht="12.75" customHeight="1" x14ac:dyDescent="0.2">
      <c r="B28100" s="43"/>
    </row>
    <row r="28101" spans="2:2" ht="12.75" customHeight="1" x14ac:dyDescent="0.2">
      <c r="B28101" s="43"/>
    </row>
    <row r="28102" spans="2:2" ht="12.75" customHeight="1" x14ac:dyDescent="0.2">
      <c r="B28102" s="43"/>
    </row>
    <row r="28103" spans="2:2" ht="12.75" customHeight="1" x14ac:dyDescent="0.2">
      <c r="B28103" s="43"/>
    </row>
    <row r="28104" spans="2:2" ht="12.75" customHeight="1" x14ac:dyDescent="0.2">
      <c r="B28104" s="43"/>
    </row>
    <row r="28105" spans="2:2" ht="12.75" customHeight="1" x14ac:dyDescent="0.2">
      <c r="B28105" s="43"/>
    </row>
    <row r="28106" spans="2:2" ht="12.75" customHeight="1" x14ac:dyDescent="0.2">
      <c r="B28106" s="43"/>
    </row>
    <row r="28107" spans="2:2" ht="12.75" customHeight="1" x14ac:dyDescent="0.2">
      <c r="B28107" s="43"/>
    </row>
    <row r="28108" spans="2:2" ht="12.75" customHeight="1" x14ac:dyDescent="0.2">
      <c r="B28108" s="43"/>
    </row>
    <row r="28109" spans="2:2" ht="12.75" customHeight="1" x14ac:dyDescent="0.2">
      <c r="B28109" s="43"/>
    </row>
    <row r="28110" spans="2:2" ht="12.75" customHeight="1" x14ac:dyDescent="0.2">
      <c r="B28110" s="43"/>
    </row>
    <row r="28111" spans="2:2" ht="12.75" customHeight="1" x14ac:dyDescent="0.2">
      <c r="B28111" s="43"/>
    </row>
    <row r="28112" spans="2:2" ht="12.75" customHeight="1" x14ac:dyDescent="0.2">
      <c r="B28112" s="43"/>
    </row>
    <row r="28113" spans="2:2" ht="12.75" customHeight="1" x14ac:dyDescent="0.2">
      <c r="B28113" s="43"/>
    </row>
    <row r="28114" spans="2:2" ht="12.75" customHeight="1" x14ac:dyDescent="0.2">
      <c r="B28114" s="43"/>
    </row>
    <row r="28115" spans="2:2" ht="12.75" customHeight="1" x14ac:dyDescent="0.2">
      <c r="B28115" s="43"/>
    </row>
    <row r="28116" spans="2:2" ht="12.75" customHeight="1" x14ac:dyDescent="0.2">
      <c r="B28116" s="43"/>
    </row>
    <row r="28117" spans="2:2" ht="12.75" customHeight="1" x14ac:dyDescent="0.2">
      <c r="B28117" s="43"/>
    </row>
    <row r="28118" spans="2:2" ht="12.75" customHeight="1" x14ac:dyDescent="0.2">
      <c r="B28118" s="43"/>
    </row>
    <row r="28119" spans="2:2" ht="12.75" customHeight="1" x14ac:dyDescent="0.2">
      <c r="B28119" s="43"/>
    </row>
    <row r="28120" spans="2:2" ht="12.75" customHeight="1" x14ac:dyDescent="0.2">
      <c r="B28120" s="43"/>
    </row>
    <row r="28121" spans="2:2" ht="12.75" customHeight="1" x14ac:dyDescent="0.2">
      <c r="B28121" s="43"/>
    </row>
    <row r="28122" spans="2:2" ht="12.75" customHeight="1" x14ac:dyDescent="0.2">
      <c r="B28122" s="43"/>
    </row>
    <row r="28123" spans="2:2" ht="12.75" customHeight="1" x14ac:dyDescent="0.2">
      <c r="B28123" s="43"/>
    </row>
    <row r="28124" spans="2:2" ht="12.75" customHeight="1" x14ac:dyDescent="0.2">
      <c r="B28124" s="43"/>
    </row>
    <row r="28125" spans="2:2" ht="12.75" customHeight="1" x14ac:dyDescent="0.2">
      <c r="B28125" s="43"/>
    </row>
    <row r="28126" spans="2:2" ht="12.75" customHeight="1" x14ac:dyDescent="0.2">
      <c r="B28126" s="43"/>
    </row>
    <row r="28127" spans="2:2" ht="12.75" customHeight="1" x14ac:dyDescent="0.2">
      <c r="B28127" s="43"/>
    </row>
    <row r="28128" spans="2:2" ht="12.75" customHeight="1" x14ac:dyDescent="0.2">
      <c r="B28128" s="43"/>
    </row>
    <row r="28129" spans="2:2" ht="12.75" customHeight="1" x14ac:dyDescent="0.2">
      <c r="B28129" s="43"/>
    </row>
    <row r="28130" spans="2:2" ht="12.75" customHeight="1" x14ac:dyDescent="0.2">
      <c r="B28130" s="43"/>
    </row>
    <row r="28131" spans="2:2" ht="12.75" customHeight="1" x14ac:dyDescent="0.2">
      <c r="B28131" s="43"/>
    </row>
    <row r="28132" spans="2:2" ht="12.75" customHeight="1" x14ac:dyDescent="0.2">
      <c r="B28132" s="43"/>
    </row>
    <row r="28133" spans="2:2" ht="12.75" customHeight="1" x14ac:dyDescent="0.2">
      <c r="B28133" s="43"/>
    </row>
    <row r="28134" spans="2:2" ht="12.75" customHeight="1" x14ac:dyDescent="0.2">
      <c r="B28134" s="43"/>
    </row>
    <row r="28135" spans="2:2" ht="12.75" customHeight="1" x14ac:dyDescent="0.2">
      <c r="B28135" s="43"/>
    </row>
    <row r="28136" spans="2:2" ht="12.75" customHeight="1" x14ac:dyDescent="0.2">
      <c r="B28136" s="43"/>
    </row>
    <row r="28137" spans="2:2" ht="12.75" customHeight="1" x14ac:dyDescent="0.2">
      <c r="B28137" s="43"/>
    </row>
    <row r="28138" spans="2:2" ht="12.75" customHeight="1" x14ac:dyDescent="0.2">
      <c r="B28138" s="43"/>
    </row>
    <row r="28139" spans="2:2" ht="12.75" customHeight="1" x14ac:dyDescent="0.2">
      <c r="B28139" s="43"/>
    </row>
    <row r="28140" spans="2:2" ht="12.75" customHeight="1" x14ac:dyDescent="0.2">
      <c r="B28140" s="43"/>
    </row>
    <row r="28141" spans="2:2" ht="12.75" customHeight="1" x14ac:dyDescent="0.2">
      <c r="B28141" s="43"/>
    </row>
    <row r="28142" spans="2:2" ht="12.75" customHeight="1" x14ac:dyDescent="0.2">
      <c r="B28142" s="43"/>
    </row>
    <row r="28143" spans="2:2" ht="12.75" customHeight="1" x14ac:dyDescent="0.2">
      <c r="B28143" s="43"/>
    </row>
    <row r="28144" spans="2:2" ht="12.75" customHeight="1" x14ac:dyDescent="0.2">
      <c r="B28144" s="43"/>
    </row>
    <row r="28145" spans="2:2" ht="12.75" customHeight="1" x14ac:dyDescent="0.2">
      <c r="B28145" s="43"/>
    </row>
    <row r="28146" spans="2:2" ht="12.75" customHeight="1" x14ac:dyDescent="0.2">
      <c r="B28146" s="43"/>
    </row>
    <row r="28147" spans="2:2" ht="12.75" customHeight="1" x14ac:dyDescent="0.2">
      <c r="B28147" s="43"/>
    </row>
    <row r="28148" spans="2:2" ht="12.75" customHeight="1" x14ac:dyDescent="0.2">
      <c r="B28148" s="43"/>
    </row>
    <row r="28149" spans="2:2" ht="12.75" customHeight="1" x14ac:dyDescent="0.2">
      <c r="B28149" s="43"/>
    </row>
    <row r="28150" spans="2:2" ht="12.75" customHeight="1" x14ac:dyDescent="0.2">
      <c r="B28150" s="43"/>
    </row>
    <row r="28151" spans="2:2" ht="12.75" customHeight="1" x14ac:dyDescent="0.2">
      <c r="B28151" s="43"/>
    </row>
    <row r="28152" spans="2:2" ht="12.75" customHeight="1" x14ac:dyDescent="0.2">
      <c r="B28152" s="43"/>
    </row>
    <row r="28153" spans="2:2" ht="12.75" customHeight="1" x14ac:dyDescent="0.2">
      <c r="B28153" s="43"/>
    </row>
    <row r="28154" spans="2:2" ht="12.75" customHeight="1" x14ac:dyDescent="0.2">
      <c r="B28154" s="43"/>
    </row>
    <row r="28155" spans="2:2" ht="12.75" customHeight="1" x14ac:dyDescent="0.2">
      <c r="B28155" s="43"/>
    </row>
    <row r="28156" spans="2:2" ht="12.75" customHeight="1" x14ac:dyDescent="0.2">
      <c r="B28156" s="43"/>
    </row>
    <row r="28157" spans="2:2" ht="12.75" customHeight="1" x14ac:dyDescent="0.2">
      <c r="B28157" s="43"/>
    </row>
    <row r="28158" spans="2:2" ht="12.75" customHeight="1" x14ac:dyDescent="0.2">
      <c r="B28158" s="43"/>
    </row>
    <row r="28159" spans="2:2" ht="12.75" customHeight="1" x14ac:dyDescent="0.2">
      <c r="B28159" s="43"/>
    </row>
    <row r="28160" spans="2:2" ht="12.75" customHeight="1" x14ac:dyDescent="0.2">
      <c r="B28160" s="43"/>
    </row>
    <row r="28161" spans="2:2" ht="12.75" customHeight="1" x14ac:dyDescent="0.2">
      <c r="B28161" s="43"/>
    </row>
    <row r="28162" spans="2:2" ht="12.75" customHeight="1" x14ac:dyDescent="0.2">
      <c r="B28162" s="43"/>
    </row>
    <row r="28163" spans="2:2" ht="12.75" customHeight="1" x14ac:dyDescent="0.2">
      <c r="B28163" s="43"/>
    </row>
    <row r="28164" spans="2:2" ht="12.75" customHeight="1" x14ac:dyDescent="0.2">
      <c r="B28164" s="43"/>
    </row>
    <row r="28165" spans="2:2" ht="12.75" customHeight="1" x14ac:dyDescent="0.2">
      <c r="B28165" s="43"/>
    </row>
    <row r="28166" spans="2:2" ht="12.75" customHeight="1" x14ac:dyDescent="0.2">
      <c r="B28166" s="43"/>
    </row>
    <row r="28167" spans="2:2" ht="12.75" customHeight="1" x14ac:dyDescent="0.2">
      <c r="B28167" s="43"/>
    </row>
    <row r="28168" spans="2:2" ht="12.75" customHeight="1" x14ac:dyDescent="0.2">
      <c r="B28168" s="43"/>
    </row>
    <row r="28169" spans="2:2" ht="12.75" customHeight="1" x14ac:dyDescent="0.2">
      <c r="B28169" s="43"/>
    </row>
    <row r="28170" spans="2:2" ht="12.75" customHeight="1" x14ac:dyDescent="0.2">
      <c r="B28170" s="43"/>
    </row>
    <row r="28171" spans="2:2" ht="12.75" customHeight="1" x14ac:dyDescent="0.2">
      <c r="B28171" s="43"/>
    </row>
    <row r="28172" spans="2:2" ht="12.75" customHeight="1" x14ac:dyDescent="0.2">
      <c r="B28172" s="43"/>
    </row>
    <row r="28173" spans="2:2" ht="12.75" customHeight="1" x14ac:dyDescent="0.2">
      <c r="B28173" s="43"/>
    </row>
    <row r="28174" spans="2:2" ht="12.75" customHeight="1" x14ac:dyDescent="0.2">
      <c r="B28174" s="43"/>
    </row>
    <row r="28175" spans="2:2" ht="12.75" customHeight="1" x14ac:dyDescent="0.2">
      <c r="B28175" s="43"/>
    </row>
    <row r="28176" spans="2:2" ht="12.75" customHeight="1" x14ac:dyDescent="0.2">
      <c r="B28176" s="43"/>
    </row>
    <row r="28177" spans="2:2" ht="12.75" customHeight="1" x14ac:dyDescent="0.2">
      <c r="B28177" s="43"/>
    </row>
    <row r="28178" spans="2:2" ht="12.75" customHeight="1" x14ac:dyDescent="0.2">
      <c r="B28178" s="43"/>
    </row>
    <row r="28179" spans="2:2" ht="12.75" customHeight="1" x14ac:dyDescent="0.2">
      <c r="B28179" s="43"/>
    </row>
    <row r="28180" spans="2:2" ht="12.75" customHeight="1" x14ac:dyDescent="0.2">
      <c r="B28180" s="43"/>
    </row>
    <row r="28181" spans="2:2" ht="12.75" customHeight="1" x14ac:dyDescent="0.2">
      <c r="B28181" s="43"/>
    </row>
    <row r="28182" spans="2:2" ht="12.75" customHeight="1" x14ac:dyDescent="0.2">
      <c r="B28182" s="43"/>
    </row>
    <row r="28183" spans="2:2" ht="12.75" customHeight="1" x14ac:dyDescent="0.2">
      <c r="B28183" s="43"/>
    </row>
    <row r="28184" spans="2:2" ht="12.75" customHeight="1" x14ac:dyDescent="0.2">
      <c r="B28184" s="43"/>
    </row>
    <row r="28185" spans="2:2" ht="12.75" customHeight="1" x14ac:dyDescent="0.2">
      <c r="B28185" s="43"/>
    </row>
    <row r="28186" spans="2:2" ht="12.75" customHeight="1" x14ac:dyDescent="0.2">
      <c r="B28186" s="43"/>
    </row>
    <row r="28187" spans="2:2" ht="12.75" customHeight="1" x14ac:dyDescent="0.2">
      <c r="B28187" s="43"/>
    </row>
    <row r="28188" spans="2:2" ht="12.75" customHeight="1" x14ac:dyDescent="0.2">
      <c r="B28188" s="43"/>
    </row>
    <row r="28189" spans="2:2" ht="12.75" customHeight="1" x14ac:dyDescent="0.2">
      <c r="B28189" s="43"/>
    </row>
    <row r="28190" spans="2:2" ht="12.75" customHeight="1" x14ac:dyDescent="0.2">
      <c r="B28190" s="43"/>
    </row>
    <row r="28191" spans="2:2" ht="12.75" customHeight="1" x14ac:dyDescent="0.2">
      <c r="B28191" s="43"/>
    </row>
    <row r="28192" spans="2:2" ht="12.75" customHeight="1" x14ac:dyDescent="0.2">
      <c r="B28192" s="43"/>
    </row>
    <row r="28193" spans="2:2" ht="12.75" customHeight="1" x14ac:dyDescent="0.2">
      <c r="B28193" s="43"/>
    </row>
    <row r="28194" spans="2:2" ht="12.75" customHeight="1" x14ac:dyDescent="0.2">
      <c r="B28194" s="43"/>
    </row>
    <row r="28195" spans="2:2" ht="12.75" customHeight="1" x14ac:dyDescent="0.2">
      <c r="B28195" s="43"/>
    </row>
    <row r="28196" spans="2:2" ht="12.75" customHeight="1" x14ac:dyDescent="0.2">
      <c r="B28196" s="43"/>
    </row>
    <row r="28197" spans="2:2" ht="12.75" customHeight="1" x14ac:dyDescent="0.2">
      <c r="B28197" s="43"/>
    </row>
    <row r="28198" spans="2:2" ht="12.75" customHeight="1" x14ac:dyDescent="0.2">
      <c r="B28198" s="43"/>
    </row>
    <row r="28199" spans="2:2" ht="12.75" customHeight="1" x14ac:dyDescent="0.2">
      <c r="B28199" s="43"/>
    </row>
    <row r="28200" spans="2:2" ht="12.75" customHeight="1" x14ac:dyDescent="0.2">
      <c r="B28200" s="43"/>
    </row>
    <row r="28201" spans="2:2" ht="12.75" customHeight="1" x14ac:dyDescent="0.2">
      <c r="B28201" s="43"/>
    </row>
    <row r="28202" spans="2:2" ht="12.75" customHeight="1" x14ac:dyDescent="0.2">
      <c r="B28202" s="43"/>
    </row>
    <row r="28203" spans="2:2" ht="12.75" customHeight="1" x14ac:dyDescent="0.2">
      <c r="B28203" s="43"/>
    </row>
    <row r="28204" spans="2:2" ht="12.75" customHeight="1" x14ac:dyDescent="0.2">
      <c r="B28204" s="43"/>
    </row>
    <row r="28205" spans="2:2" ht="12.75" customHeight="1" x14ac:dyDescent="0.2">
      <c r="B28205" s="43"/>
    </row>
    <row r="28206" spans="2:2" ht="12.75" customHeight="1" x14ac:dyDescent="0.2">
      <c r="B28206" s="43"/>
    </row>
    <row r="28207" spans="2:2" ht="12.75" customHeight="1" x14ac:dyDescent="0.2">
      <c r="B28207" s="43"/>
    </row>
    <row r="28208" spans="2:2" ht="12.75" customHeight="1" x14ac:dyDescent="0.2">
      <c r="B28208" s="43"/>
    </row>
    <row r="28209" spans="2:2" ht="12.75" customHeight="1" x14ac:dyDescent="0.2">
      <c r="B28209" s="43"/>
    </row>
    <row r="28210" spans="2:2" ht="12.75" customHeight="1" x14ac:dyDescent="0.2">
      <c r="B28210" s="43"/>
    </row>
    <row r="28211" spans="2:2" ht="12.75" customHeight="1" x14ac:dyDescent="0.2">
      <c r="B28211" s="43"/>
    </row>
    <row r="28212" spans="2:2" ht="12.75" customHeight="1" x14ac:dyDescent="0.2">
      <c r="B28212" s="43"/>
    </row>
    <row r="28213" spans="2:2" ht="12.75" customHeight="1" x14ac:dyDescent="0.2">
      <c r="B28213" s="43"/>
    </row>
    <row r="28214" spans="2:2" ht="12.75" customHeight="1" x14ac:dyDescent="0.2">
      <c r="B28214" s="43"/>
    </row>
    <row r="28215" spans="2:2" ht="12.75" customHeight="1" x14ac:dyDescent="0.2">
      <c r="B28215" s="43"/>
    </row>
    <row r="28216" spans="2:2" ht="12.75" customHeight="1" x14ac:dyDescent="0.2">
      <c r="B28216" s="43"/>
    </row>
    <row r="28217" spans="2:2" ht="12.75" customHeight="1" x14ac:dyDescent="0.2">
      <c r="B28217" s="43"/>
    </row>
    <row r="28218" spans="2:2" ht="12.75" customHeight="1" x14ac:dyDescent="0.2">
      <c r="B28218" s="43"/>
    </row>
    <row r="28219" spans="2:2" ht="12.75" customHeight="1" x14ac:dyDescent="0.2">
      <c r="B28219" s="43"/>
    </row>
    <row r="28220" spans="2:2" ht="12.75" customHeight="1" x14ac:dyDescent="0.2">
      <c r="B28220" s="43"/>
    </row>
    <row r="28221" spans="2:2" ht="12.75" customHeight="1" x14ac:dyDescent="0.2">
      <c r="B28221" s="43"/>
    </row>
    <row r="28222" spans="2:2" ht="12.75" customHeight="1" x14ac:dyDescent="0.2">
      <c r="B28222" s="43"/>
    </row>
    <row r="28223" spans="2:2" ht="12.75" customHeight="1" x14ac:dyDescent="0.2">
      <c r="B28223" s="43"/>
    </row>
    <row r="28224" spans="2:2" ht="12.75" customHeight="1" x14ac:dyDescent="0.2">
      <c r="B28224" s="43"/>
    </row>
    <row r="28225" spans="2:2" ht="12.75" customHeight="1" x14ac:dyDescent="0.2">
      <c r="B28225" s="43"/>
    </row>
    <row r="28226" spans="2:2" ht="12.75" customHeight="1" x14ac:dyDescent="0.2">
      <c r="B28226" s="43"/>
    </row>
    <row r="28227" spans="2:2" ht="12.75" customHeight="1" x14ac:dyDescent="0.2">
      <c r="B28227" s="43"/>
    </row>
    <row r="28228" spans="2:2" ht="12.75" customHeight="1" x14ac:dyDescent="0.2">
      <c r="B28228" s="43"/>
    </row>
    <row r="28229" spans="2:2" ht="12.75" customHeight="1" x14ac:dyDescent="0.2">
      <c r="B28229" s="43"/>
    </row>
    <row r="28230" spans="2:2" ht="12.75" customHeight="1" x14ac:dyDescent="0.2">
      <c r="B28230" s="43"/>
    </row>
    <row r="28231" spans="2:2" ht="12.75" customHeight="1" x14ac:dyDescent="0.2">
      <c r="B28231" s="43"/>
    </row>
    <row r="28232" spans="2:2" ht="12.75" customHeight="1" x14ac:dyDescent="0.2">
      <c r="B28232" s="43"/>
    </row>
    <row r="28233" spans="2:2" ht="12.75" customHeight="1" x14ac:dyDescent="0.2">
      <c r="B28233" s="43"/>
    </row>
    <row r="28234" spans="2:2" ht="12.75" customHeight="1" x14ac:dyDescent="0.2">
      <c r="B28234" s="43"/>
    </row>
    <row r="28235" spans="2:2" ht="12.75" customHeight="1" x14ac:dyDescent="0.2">
      <c r="B28235" s="43"/>
    </row>
    <row r="28236" spans="2:2" ht="12.75" customHeight="1" x14ac:dyDescent="0.2">
      <c r="B28236" s="43"/>
    </row>
    <row r="28237" spans="2:2" ht="12.75" customHeight="1" x14ac:dyDescent="0.2">
      <c r="B28237" s="43"/>
    </row>
    <row r="28238" spans="2:2" ht="12.75" customHeight="1" x14ac:dyDescent="0.2">
      <c r="B28238" s="43"/>
    </row>
    <row r="28239" spans="2:2" ht="12.75" customHeight="1" x14ac:dyDescent="0.2">
      <c r="B28239" s="43"/>
    </row>
    <row r="28240" spans="2:2" ht="12.75" customHeight="1" x14ac:dyDescent="0.2">
      <c r="B28240" s="43"/>
    </row>
    <row r="28241" spans="2:2" ht="12.75" customHeight="1" x14ac:dyDescent="0.2">
      <c r="B28241" s="43"/>
    </row>
    <row r="28242" spans="2:2" ht="12.75" customHeight="1" x14ac:dyDescent="0.2">
      <c r="B28242" s="43"/>
    </row>
    <row r="28243" spans="2:2" ht="12.75" customHeight="1" x14ac:dyDescent="0.2">
      <c r="B28243" s="43"/>
    </row>
    <row r="28244" spans="2:2" ht="12.75" customHeight="1" x14ac:dyDescent="0.2">
      <c r="B28244" s="43"/>
    </row>
    <row r="28245" spans="2:2" ht="12.75" customHeight="1" x14ac:dyDescent="0.2">
      <c r="B28245" s="43"/>
    </row>
    <row r="28246" spans="2:2" ht="12.75" customHeight="1" x14ac:dyDescent="0.2">
      <c r="B28246" s="43"/>
    </row>
    <row r="28247" spans="2:2" ht="12.75" customHeight="1" x14ac:dyDescent="0.2">
      <c r="B28247" s="43"/>
    </row>
    <row r="28248" spans="2:2" ht="12.75" customHeight="1" x14ac:dyDescent="0.2">
      <c r="B28248" s="43"/>
    </row>
    <row r="28249" spans="2:2" ht="12.75" customHeight="1" x14ac:dyDescent="0.2">
      <c r="B28249" s="43"/>
    </row>
    <row r="28250" spans="2:2" ht="12.75" customHeight="1" x14ac:dyDescent="0.2">
      <c r="B28250" s="43"/>
    </row>
    <row r="28251" spans="2:2" ht="12.75" customHeight="1" x14ac:dyDescent="0.2">
      <c r="B28251" s="43"/>
    </row>
    <row r="28252" spans="2:2" ht="12.75" customHeight="1" x14ac:dyDescent="0.2">
      <c r="B28252" s="43"/>
    </row>
    <row r="28253" spans="2:2" ht="12.75" customHeight="1" x14ac:dyDescent="0.2">
      <c r="B28253" s="43"/>
    </row>
    <row r="28254" spans="2:2" ht="12.75" customHeight="1" x14ac:dyDescent="0.2">
      <c r="B28254" s="43"/>
    </row>
    <row r="28255" spans="2:2" ht="12.75" customHeight="1" x14ac:dyDescent="0.2">
      <c r="B28255" s="43"/>
    </row>
    <row r="28256" spans="2:2" ht="12.75" customHeight="1" x14ac:dyDescent="0.2">
      <c r="B28256" s="43"/>
    </row>
    <row r="28257" spans="2:2" ht="12.75" customHeight="1" x14ac:dyDescent="0.2">
      <c r="B28257" s="43"/>
    </row>
    <row r="28258" spans="2:2" ht="12.75" customHeight="1" x14ac:dyDescent="0.2">
      <c r="B28258" s="43"/>
    </row>
    <row r="28259" spans="2:2" ht="12.75" customHeight="1" x14ac:dyDescent="0.2">
      <c r="B28259" s="43"/>
    </row>
    <row r="28260" spans="2:2" ht="12.75" customHeight="1" x14ac:dyDescent="0.2">
      <c r="B28260" s="43"/>
    </row>
    <row r="28261" spans="2:2" ht="12.75" customHeight="1" x14ac:dyDescent="0.2">
      <c r="B28261" s="43"/>
    </row>
    <row r="28262" spans="2:2" ht="12.75" customHeight="1" x14ac:dyDescent="0.2">
      <c r="B28262" s="43"/>
    </row>
    <row r="28263" spans="2:2" ht="12.75" customHeight="1" x14ac:dyDescent="0.2">
      <c r="B28263" s="43"/>
    </row>
    <row r="28264" spans="2:2" ht="12.75" customHeight="1" x14ac:dyDescent="0.2">
      <c r="B28264" s="43"/>
    </row>
    <row r="28265" spans="2:2" ht="12.75" customHeight="1" x14ac:dyDescent="0.2">
      <c r="B28265" s="43"/>
    </row>
    <row r="28266" spans="2:2" ht="12.75" customHeight="1" x14ac:dyDescent="0.2">
      <c r="B28266" s="43"/>
    </row>
    <row r="28267" spans="2:2" ht="12.75" customHeight="1" x14ac:dyDescent="0.2">
      <c r="B28267" s="43"/>
    </row>
    <row r="28268" spans="2:2" ht="12.75" customHeight="1" x14ac:dyDescent="0.2">
      <c r="B28268" s="43"/>
    </row>
    <row r="28269" spans="2:2" ht="12.75" customHeight="1" x14ac:dyDescent="0.2">
      <c r="B28269" s="43"/>
    </row>
    <row r="28270" spans="2:2" ht="12.75" customHeight="1" x14ac:dyDescent="0.2">
      <c r="B28270" s="43"/>
    </row>
    <row r="28271" spans="2:2" ht="12.75" customHeight="1" x14ac:dyDescent="0.2">
      <c r="B28271" s="43"/>
    </row>
    <row r="28272" spans="2:2" ht="12.75" customHeight="1" x14ac:dyDescent="0.2">
      <c r="B28272" s="43"/>
    </row>
    <row r="28273" spans="2:2" ht="12.75" customHeight="1" x14ac:dyDescent="0.2">
      <c r="B28273" s="43"/>
    </row>
    <row r="28274" spans="2:2" ht="12.75" customHeight="1" x14ac:dyDescent="0.2">
      <c r="B28274" s="43"/>
    </row>
    <row r="28275" spans="2:2" ht="12.75" customHeight="1" x14ac:dyDescent="0.2">
      <c r="B28275" s="43"/>
    </row>
    <row r="28276" spans="2:2" ht="12.75" customHeight="1" x14ac:dyDescent="0.2">
      <c r="B28276" s="43"/>
    </row>
    <row r="28277" spans="2:2" ht="12.75" customHeight="1" x14ac:dyDescent="0.2">
      <c r="B28277" s="43"/>
    </row>
    <row r="28278" spans="2:2" ht="12.75" customHeight="1" x14ac:dyDescent="0.2">
      <c r="B28278" s="43"/>
    </row>
    <row r="28279" spans="2:2" ht="12.75" customHeight="1" x14ac:dyDescent="0.2">
      <c r="B28279" s="43"/>
    </row>
    <row r="28280" spans="2:2" ht="12.75" customHeight="1" x14ac:dyDescent="0.2">
      <c r="B28280" s="43"/>
    </row>
    <row r="28281" spans="2:2" ht="12.75" customHeight="1" x14ac:dyDescent="0.2">
      <c r="B28281" s="43"/>
    </row>
    <row r="28282" spans="2:2" ht="12.75" customHeight="1" x14ac:dyDescent="0.2">
      <c r="B28282" s="43"/>
    </row>
    <row r="28283" spans="2:2" ht="12.75" customHeight="1" x14ac:dyDescent="0.2">
      <c r="B28283" s="43"/>
    </row>
    <row r="28284" spans="2:2" ht="12.75" customHeight="1" x14ac:dyDescent="0.2">
      <c r="B28284" s="43"/>
    </row>
    <row r="28285" spans="2:2" ht="12.75" customHeight="1" x14ac:dyDescent="0.2">
      <c r="B28285" s="43"/>
    </row>
    <row r="28286" spans="2:2" ht="12.75" customHeight="1" x14ac:dyDescent="0.2">
      <c r="B28286" s="43"/>
    </row>
    <row r="28287" spans="2:2" ht="12.75" customHeight="1" x14ac:dyDescent="0.2">
      <c r="B28287" s="43"/>
    </row>
    <row r="28288" spans="2:2" ht="12.75" customHeight="1" x14ac:dyDescent="0.2">
      <c r="B28288" s="43"/>
    </row>
    <row r="28289" spans="2:2" ht="12.75" customHeight="1" x14ac:dyDescent="0.2">
      <c r="B28289" s="43"/>
    </row>
    <row r="28290" spans="2:2" ht="12.75" customHeight="1" x14ac:dyDescent="0.2">
      <c r="B28290" s="43"/>
    </row>
    <row r="28291" spans="2:2" ht="12.75" customHeight="1" x14ac:dyDescent="0.2">
      <c r="B28291" s="43"/>
    </row>
    <row r="28292" spans="2:2" ht="12.75" customHeight="1" x14ac:dyDescent="0.2">
      <c r="B28292" s="43"/>
    </row>
    <row r="28293" spans="2:2" ht="12.75" customHeight="1" x14ac:dyDescent="0.2">
      <c r="B28293" s="43"/>
    </row>
    <row r="28294" spans="2:2" ht="12.75" customHeight="1" x14ac:dyDescent="0.2">
      <c r="B28294" s="43"/>
    </row>
    <row r="28295" spans="2:2" ht="12.75" customHeight="1" x14ac:dyDescent="0.2">
      <c r="B28295" s="43"/>
    </row>
    <row r="28296" spans="2:2" ht="12.75" customHeight="1" x14ac:dyDescent="0.2">
      <c r="B28296" s="43"/>
    </row>
    <row r="28297" spans="2:2" ht="12.75" customHeight="1" x14ac:dyDescent="0.2">
      <c r="B28297" s="43"/>
    </row>
    <row r="28298" spans="2:2" ht="12.75" customHeight="1" x14ac:dyDescent="0.2">
      <c r="B28298" s="43"/>
    </row>
    <row r="28299" spans="2:2" ht="12.75" customHeight="1" x14ac:dyDescent="0.2">
      <c r="B28299" s="43"/>
    </row>
    <row r="28300" spans="2:2" ht="12.75" customHeight="1" x14ac:dyDescent="0.2">
      <c r="B28300" s="43"/>
    </row>
    <row r="28301" spans="2:2" ht="12.75" customHeight="1" x14ac:dyDescent="0.2">
      <c r="B28301" s="43"/>
    </row>
    <row r="28302" spans="2:2" ht="12.75" customHeight="1" x14ac:dyDescent="0.2">
      <c r="B28302" s="43"/>
    </row>
    <row r="28303" spans="2:2" ht="12.75" customHeight="1" x14ac:dyDescent="0.2">
      <c r="B28303" s="43"/>
    </row>
    <row r="28304" spans="2:2" ht="12.75" customHeight="1" x14ac:dyDescent="0.2">
      <c r="B28304" s="43"/>
    </row>
    <row r="28305" spans="2:2" ht="12.75" customHeight="1" x14ac:dyDescent="0.2">
      <c r="B28305" s="43"/>
    </row>
    <row r="28306" spans="2:2" ht="12.75" customHeight="1" x14ac:dyDescent="0.2">
      <c r="B28306" s="43"/>
    </row>
    <row r="28307" spans="2:2" ht="12.75" customHeight="1" x14ac:dyDescent="0.2">
      <c r="B28307" s="43"/>
    </row>
    <row r="28308" spans="2:2" ht="12.75" customHeight="1" x14ac:dyDescent="0.2">
      <c r="B28308" s="43"/>
    </row>
    <row r="28309" spans="2:2" ht="12.75" customHeight="1" x14ac:dyDescent="0.2">
      <c r="B28309" s="43"/>
    </row>
    <row r="28310" spans="2:2" ht="12.75" customHeight="1" x14ac:dyDescent="0.2">
      <c r="B28310" s="43"/>
    </row>
    <row r="28311" spans="2:2" ht="12.75" customHeight="1" x14ac:dyDescent="0.2">
      <c r="B28311" s="43"/>
    </row>
    <row r="28312" spans="2:2" ht="12.75" customHeight="1" x14ac:dyDescent="0.2">
      <c r="B28312" s="43"/>
    </row>
    <row r="28313" spans="2:2" ht="12.75" customHeight="1" x14ac:dyDescent="0.2">
      <c r="B28313" s="43"/>
    </row>
    <row r="28314" spans="2:2" ht="12.75" customHeight="1" x14ac:dyDescent="0.2">
      <c r="B28314" s="43"/>
    </row>
    <row r="28315" spans="2:2" ht="12.75" customHeight="1" x14ac:dyDescent="0.2">
      <c r="B28315" s="43"/>
    </row>
    <row r="28316" spans="2:2" ht="12.75" customHeight="1" x14ac:dyDescent="0.2">
      <c r="B28316" s="43"/>
    </row>
    <row r="28317" spans="2:2" ht="12.75" customHeight="1" x14ac:dyDescent="0.2">
      <c r="B28317" s="43"/>
    </row>
    <row r="28318" spans="2:2" ht="12.75" customHeight="1" x14ac:dyDescent="0.2">
      <c r="B28318" s="43"/>
    </row>
    <row r="28319" spans="2:2" ht="12.75" customHeight="1" x14ac:dyDescent="0.2">
      <c r="B28319" s="43"/>
    </row>
    <row r="28320" spans="2:2" ht="12.75" customHeight="1" x14ac:dyDescent="0.2">
      <c r="B28320" s="43"/>
    </row>
    <row r="28321" spans="2:2" ht="12.75" customHeight="1" x14ac:dyDescent="0.2">
      <c r="B28321" s="43"/>
    </row>
    <row r="28322" spans="2:2" ht="12.75" customHeight="1" x14ac:dyDescent="0.2">
      <c r="B28322" s="43"/>
    </row>
    <row r="28323" spans="2:2" ht="12.75" customHeight="1" x14ac:dyDescent="0.2">
      <c r="B28323" s="43"/>
    </row>
    <row r="28324" spans="2:2" ht="12.75" customHeight="1" x14ac:dyDescent="0.2">
      <c r="B28324" s="43"/>
    </row>
    <row r="28325" spans="2:2" ht="12.75" customHeight="1" x14ac:dyDescent="0.2">
      <c r="B28325" s="43"/>
    </row>
    <row r="28326" spans="2:2" ht="12.75" customHeight="1" x14ac:dyDescent="0.2">
      <c r="B28326" s="43"/>
    </row>
    <row r="28327" spans="2:2" ht="12.75" customHeight="1" x14ac:dyDescent="0.2">
      <c r="B28327" s="43"/>
    </row>
    <row r="28328" spans="2:2" ht="12.75" customHeight="1" x14ac:dyDescent="0.2">
      <c r="B28328" s="43"/>
    </row>
    <row r="28329" spans="2:2" ht="12.75" customHeight="1" x14ac:dyDescent="0.2">
      <c r="B28329" s="43"/>
    </row>
    <row r="28330" spans="2:2" ht="12.75" customHeight="1" x14ac:dyDescent="0.2">
      <c r="B28330" s="43"/>
    </row>
    <row r="28331" spans="2:2" ht="12.75" customHeight="1" x14ac:dyDescent="0.2">
      <c r="B28331" s="43"/>
    </row>
    <row r="28332" spans="2:2" ht="12.75" customHeight="1" x14ac:dyDescent="0.2">
      <c r="B28332" s="43"/>
    </row>
    <row r="28333" spans="2:2" ht="12.75" customHeight="1" x14ac:dyDescent="0.2">
      <c r="B28333" s="43"/>
    </row>
    <row r="28334" spans="2:2" ht="12.75" customHeight="1" x14ac:dyDescent="0.2">
      <c r="B28334" s="43"/>
    </row>
    <row r="28335" spans="2:2" ht="12.75" customHeight="1" x14ac:dyDescent="0.2">
      <c r="B28335" s="43"/>
    </row>
    <row r="28336" spans="2:2" ht="12.75" customHeight="1" x14ac:dyDescent="0.2">
      <c r="B28336" s="43"/>
    </row>
    <row r="28337" spans="2:2" ht="12.75" customHeight="1" x14ac:dyDescent="0.2">
      <c r="B28337" s="43"/>
    </row>
    <row r="28338" spans="2:2" ht="12.75" customHeight="1" x14ac:dyDescent="0.2">
      <c r="B28338" s="43"/>
    </row>
    <row r="28339" spans="2:2" ht="12.75" customHeight="1" x14ac:dyDescent="0.2">
      <c r="B28339" s="43"/>
    </row>
    <row r="28340" spans="2:2" ht="12.75" customHeight="1" x14ac:dyDescent="0.2">
      <c r="B28340" s="43"/>
    </row>
    <row r="28341" spans="2:2" ht="12.75" customHeight="1" x14ac:dyDescent="0.2">
      <c r="B28341" s="43"/>
    </row>
    <row r="28342" spans="2:2" ht="12.75" customHeight="1" x14ac:dyDescent="0.2">
      <c r="B28342" s="43"/>
    </row>
    <row r="28343" spans="2:2" ht="12.75" customHeight="1" x14ac:dyDescent="0.2">
      <c r="B28343" s="43"/>
    </row>
    <row r="28344" spans="2:2" ht="12.75" customHeight="1" x14ac:dyDescent="0.2">
      <c r="B28344" s="43"/>
    </row>
    <row r="28345" spans="2:2" ht="12.75" customHeight="1" x14ac:dyDescent="0.2">
      <c r="B28345" s="43"/>
    </row>
    <row r="28346" spans="2:2" ht="12.75" customHeight="1" x14ac:dyDescent="0.2">
      <c r="B28346" s="43"/>
    </row>
    <row r="28347" spans="2:2" ht="12.75" customHeight="1" x14ac:dyDescent="0.2">
      <c r="B28347" s="43"/>
    </row>
    <row r="28348" spans="2:2" ht="12.75" customHeight="1" x14ac:dyDescent="0.2">
      <c r="B28348" s="43"/>
    </row>
    <row r="28349" spans="2:2" ht="12.75" customHeight="1" x14ac:dyDescent="0.2">
      <c r="B28349" s="43"/>
    </row>
    <row r="28350" spans="2:2" ht="12.75" customHeight="1" x14ac:dyDescent="0.2">
      <c r="B28350" s="43"/>
    </row>
    <row r="28351" spans="2:2" ht="12.75" customHeight="1" x14ac:dyDescent="0.2">
      <c r="B28351" s="43"/>
    </row>
    <row r="28352" spans="2:2" ht="12.75" customHeight="1" x14ac:dyDescent="0.2">
      <c r="B28352" s="43"/>
    </row>
    <row r="28353" spans="2:2" ht="12.75" customHeight="1" x14ac:dyDescent="0.2">
      <c r="B28353" s="43"/>
    </row>
    <row r="28354" spans="2:2" ht="12.75" customHeight="1" x14ac:dyDescent="0.2">
      <c r="B28354" s="43"/>
    </row>
    <row r="28355" spans="2:2" ht="12.75" customHeight="1" x14ac:dyDescent="0.2">
      <c r="B28355" s="43"/>
    </row>
    <row r="28356" spans="2:2" ht="12.75" customHeight="1" x14ac:dyDescent="0.2">
      <c r="B28356" s="43"/>
    </row>
    <row r="28357" spans="2:2" ht="12.75" customHeight="1" x14ac:dyDescent="0.2">
      <c r="B28357" s="43"/>
    </row>
    <row r="28358" spans="2:2" ht="12.75" customHeight="1" x14ac:dyDescent="0.2">
      <c r="B28358" s="43"/>
    </row>
    <row r="28359" spans="2:2" ht="12.75" customHeight="1" x14ac:dyDescent="0.2">
      <c r="B28359" s="43"/>
    </row>
    <row r="28360" spans="2:2" ht="12.75" customHeight="1" x14ac:dyDescent="0.2">
      <c r="B28360" s="43"/>
    </row>
    <row r="28361" spans="2:2" ht="12.75" customHeight="1" x14ac:dyDescent="0.2">
      <c r="B28361" s="43"/>
    </row>
    <row r="28362" spans="2:2" ht="12.75" customHeight="1" x14ac:dyDescent="0.2">
      <c r="B28362" s="43"/>
    </row>
    <row r="28363" spans="2:2" ht="12.75" customHeight="1" x14ac:dyDescent="0.2">
      <c r="B28363" s="43"/>
    </row>
    <row r="28364" spans="2:2" ht="12.75" customHeight="1" x14ac:dyDescent="0.2">
      <c r="B28364" s="43"/>
    </row>
    <row r="28365" spans="2:2" ht="12.75" customHeight="1" x14ac:dyDescent="0.2">
      <c r="B28365" s="43"/>
    </row>
    <row r="28366" spans="2:2" ht="12.75" customHeight="1" x14ac:dyDescent="0.2">
      <c r="B28366" s="43"/>
    </row>
    <row r="28367" spans="2:2" ht="12.75" customHeight="1" x14ac:dyDescent="0.2">
      <c r="B28367" s="43"/>
    </row>
    <row r="28368" spans="2:2" ht="12.75" customHeight="1" x14ac:dyDescent="0.2">
      <c r="B28368" s="43"/>
    </row>
    <row r="28369" spans="2:2" ht="12.75" customHeight="1" x14ac:dyDescent="0.2">
      <c r="B28369" s="43"/>
    </row>
    <row r="28370" spans="2:2" ht="12.75" customHeight="1" x14ac:dyDescent="0.2">
      <c r="B28370" s="43"/>
    </row>
    <row r="28371" spans="2:2" ht="12.75" customHeight="1" x14ac:dyDescent="0.2">
      <c r="B28371" s="43"/>
    </row>
    <row r="28372" spans="2:2" ht="12.75" customHeight="1" x14ac:dyDescent="0.2">
      <c r="B28372" s="43"/>
    </row>
    <row r="28373" spans="2:2" ht="12.75" customHeight="1" x14ac:dyDescent="0.2">
      <c r="B28373" s="43"/>
    </row>
    <row r="28374" spans="2:2" ht="12.75" customHeight="1" x14ac:dyDescent="0.2">
      <c r="B28374" s="43"/>
    </row>
    <row r="28375" spans="2:2" ht="12.75" customHeight="1" x14ac:dyDescent="0.2">
      <c r="B28375" s="43"/>
    </row>
    <row r="28376" spans="2:2" ht="12.75" customHeight="1" x14ac:dyDescent="0.2">
      <c r="B28376" s="43"/>
    </row>
    <row r="28377" spans="2:2" ht="12.75" customHeight="1" x14ac:dyDescent="0.2">
      <c r="B28377" s="43"/>
    </row>
    <row r="28378" spans="2:2" ht="12.75" customHeight="1" x14ac:dyDescent="0.2">
      <c r="B28378" s="43"/>
    </row>
    <row r="28379" spans="2:2" ht="12.75" customHeight="1" x14ac:dyDescent="0.2">
      <c r="B28379" s="43"/>
    </row>
    <row r="28380" spans="2:2" ht="12.75" customHeight="1" x14ac:dyDescent="0.2">
      <c r="B28380" s="43"/>
    </row>
    <row r="28381" spans="2:2" ht="12.75" customHeight="1" x14ac:dyDescent="0.2">
      <c r="B28381" s="43"/>
    </row>
    <row r="28382" spans="2:2" ht="12.75" customHeight="1" x14ac:dyDescent="0.2">
      <c r="B28382" s="43"/>
    </row>
    <row r="28383" spans="2:2" ht="12.75" customHeight="1" x14ac:dyDescent="0.2">
      <c r="B28383" s="43"/>
    </row>
    <row r="28384" spans="2:2" ht="12.75" customHeight="1" x14ac:dyDescent="0.2">
      <c r="B28384" s="43"/>
    </row>
    <row r="28385" spans="2:2" ht="12.75" customHeight="1" x14ac:dyDescent="0.2">
      <c r="B28385" s="43"/>
    </row>
    <row r="28386" spans="2:2" ht="12.75" customHeight="1" x14ac:dyDescent="0.2">
      <c r="B28386" s="43"/>
    </row>
    <row r="28387" spans="2:2" ht="12.75" customHeight="1" x14ac:dyDescent="0.2">
      <c r="B28387" s="43"/>
    </row>
    <row r="28388" spans="2:2" ht="12.75" customHeight="1" x14ac:dyDescent="0.2">
      <c r="B28388" s="43"/>
    </row>
    <row r="28389" spans="2:2" ht="12.75" customHeight="1" x14ac:dyDescent="0.2">
      <c r="B28389" s="43"/>
    </row>
    <row r="28390" spans="2:2" ht="12.75" customHeight="1" x14ac:dyDescent="0.2">
      <c r="B28390" s="43"/>
    </row>
    <row r="28391" spans="2:2" ht="12.75" customHeight="1" x14ac:dyDescent="0.2">
      <c r="B28391" s="43"/>
    </row>
    <row r="28392" spans="2:2" ht="12.75" customHeight="1" x14ac:dyDescent="0.2">
      <c r="B28392" s="43"/>
    </row>
    <row r="28393" spans="2:2" ht="12.75" customHeight="1" x14ac:dyDescent="0.2">
      <c r="B28393" s="43"/>
    </row>
    <row r="28394" spans="2:2" ht="12.75" customHeight="1" x14ac:dyDescent="0.2">
      <c r="B28394" s="43"/>
    </row>
    <row r="28395" spans="2:2" ht="12.75" customHeight="1" x14ac:dyDescent="0.2">
      <c r="B28395" s="43"/>
    </row>
    <row r="28396" spans="2:2" ht="12.75" customHeight="1" x14ac:dyDescent="0.2">
      <c r="B28396" s="43"/>
    </row>
    <row r="28397" spans="2:2" ht="12.75" customHeight="1" x14ac:dyDescent="0.2">
      <c r="B28397" s="43"/>
    </row>
    <row r="28398" spans="2:2" ht="12.75" customHeight="1" x14ac:dyDescent="0.2">
      <c r="B28398" s="43"/>
    </row>
    <row r="28399" spans="2:2" ht="12.75" customHeight="1" x14ac:dyDescent="0.2">
      <c r="B28399" s="43"/>
    </row>
    <row r="28400" spans="2:2" ht="12.75" customHeight="1" x14ac:dyDescent="0.2">
      <c r="B28400" s="43"/>
    </row>
    <row r="28401" spans="2:2" ht="12.75" customHeight="1" x14ac:dyDescent="0.2">
      <c r="B28401" s="43"/>
    </row>
    <row r="28402" spans="2:2" ht="12.75" customHeight="1" x14ac:dyDescent="0.2">
      <c r="B28402" s="43"/>
    </row>
    <row r="28403" spans="2:2" ht="12.75" customHeight="1" x14ac:dyDescent="0.2">
      <c r="B28403" s="43"/>
    </row>
    <row r="28404" spans="2:2" ht="12.75" customHeight="1" x14ac:dyDescent="0.2">
      <c r="B28404" s="43"/>
    </row>
    <row r="28405" spans="2:2" ht="12.75" customHeight="1" x14ac:dyDescent="0.2">
      <c r="B28405" s="43"/>
    </row>
    <row r="28406" spans="2:2" ht="12.75" customHeight="1" x14ac:dyDescent="0.2">
      <c r="B28406" s="43"/>
    </row>
    <row r="28407" spans="2:2" ht="12.75" customHeight="1" x14ac:dyDescent="0.2">
      <c r="B28407" s="43"/>
    </row>
    <row r="28408" spans="2:2" ht="12.75" customHeight="1" x14ac:dyDescent="0.2">
      <c r="B28408" s="43"/>
    </row>
    <row r="28409" spans="2:2" ht="12.75" customHeight="1" x14ac:dyDescent="0.2">
      <c r="B28409" s="43"/>
    </row>
    <row r="28410" spans="2:2" ht="12.75" customHeight="1" x14ac:dyDescent="0.2">
      <c r="B28410" s="43"/>
    </row>
    <row r="28411" spans="2:2" ht="12.75" customHeight="1" x14ac:dyDescent="0.2">
      <c r="B28411" s="43"/>
    </row>
    <row r="28412" spans="2:2" ht="12.75" customHeight="1" x14ac:dyDescent="0.2">
      <c r="B28412" s="43"/>
    </row>
    <row r="28413" spans="2:2" ht="12.75" customHeight="1" x14ac:dyDescent="0.2">
      <c r="B28413" s="43"/>
    </row>
    <row r="28414" spans="2:2" ht="12.75" customHeight="1" x14ac:dyDescent="0.2">
      <c r="B28414" s="43"/>
    </row>
    <row r="28415" spans="2:2" ht="12.75" customHeight="1" x14ac:dyDescent="0.2">
      <c r="B28415" s="43"/>
    </row>
    <row r="28416" spans="2:2" ht="12.75" customHeight="1" x14ac:dyDescent="0.2">
      <c r="B28416" s="43"/>
    </row>
    <row r="28417" spans="2:2" ht="12.75" customHeight="1" x14ac:dyDescent="0.2">
      <c r="B28417" s="43"/>
    </row>
    <row r="28418" spans="2:2" ht="12.75" customHeight="1" x14ac:dyDescent="0.2">
      <c r="B28418" s="43"/>
    </row>
    <row r="28419" spans="2:2" ht="12.75" customHeight="1" x14ac:dyDescent="0.2">
      <c r="B28419" s="43"/>
    </row>
    <row r="28420" spans="2:2" ht="12.75" customHeight="1" x14ac:dyDescent="0.2">
      <c r="B28420" s="43"/>
    </row>
    <row r="28421" spans="2:2" ht="12.75" customHeight="1" x14ac:dyDescent="0.2">
      <c r="B28421" s="43"/>
    </row>
    <row r="28422" spans="2:2" ht="12.75" customHeight="1" x14ac:dyDescent="0.2">
      <c r="B28422" s="43"/>
    </row>
    <row r="28423" spans="2:2" ht="12.75" customHeight="1" x14ac:dyDescent="0.2">
      <c r="B28423" s="43"/>
    </row>
    <row r="28424" spans="2:2" ht="12.75" customHeight="1" x14ac:dyDescent="0.2">
      <c r="B28424" s="43"/>
    </row>
    <row r="28425" spans="2:2" ht="12.75" customHeight="1" x14ac:dyDescent="0.2">
      <c r="B28425" s="43"/>
    </row>
    <row r="28426" spans="2:2" ht="12.75" customHeight="1" x14ac:dyDescent="0.2">
      <c r="B28426" s="43"/>
    </row>
    <row r="28427" spans="2:2" ht="12.75" customHeight="1" x14ac:dyDescent="0.2">
      <c r="B28427" s="43"/>
    </row>
    <row r="28428" spans="2:2" ht="12.75" customHeight="1" x14ac:dyDescent="0.2">
      <c r="B28428" s="43"/>
    </row>
    <row r="28429" spans="2:2" ht="12.75" customHeight="1" x14ac:dyDescent="0.2">
      <c r="B28429" s="43"/>
    </row>
    <row r="28430" spans="2:2" ht="12.75" customHeight="1" x14ac:dyDescent="0.2">
      <c r="B28430" s="43"/>
    </row>
    <row r="28431" spans="2:2" ht="12.75" customHeight="1" x14ac:dyDescent="0.2">
      <c r="B28431" s="43"/>
    </row>
    <row r="28432" spans="2:2" ht="12.75" customHeight="1" x14ac:dyDescent="0.2">
      <c r="B28432" s="43"/>
    </row>
    <row r="28433" spans="2:2" ht="12.75" customHeight="1" x14ac:dyDescent="0.2">
      <c r="B28433" s="43"/>
    </row>
    <row r="28434" spans="2:2" ht="12.75" customHeight="1" x14ac:dyDescent="0.2">
      <c r="B28434" s="43"/>
    </row>
    <row r="28435" spans="2:2" ht="12.75" customHeight="1" x14ac:dyDescent="0.2">
      <c r="B28435" s="43"/>
    </row>
    <row r="28436" spans="2:2" ht="12.75" customHeight="1" x14ac:dyDescent="0.2">
      <c r="B28436" s="43"/>
    </row>
    <row r="28437" spans="2:2" ht="12.75" customHeight="1" x14ac:dyDescent="0.2">
      <c r="B28437" s="43"/>
    </row>
    <row r="28438" spans="2:2" ht="12.75" customHeight="1" x14ac:dyDescent="0.2">
      <c r="B28438" s="43"/>
    </row>
    <row r="28439" spans="2:2" ht="12.75" customHeight="1" x14ac:dyDescent="0.2">
      <c r="B28439" s="43"/>
    </row>
    <row r="28440" spans="2:2" ht="12.75" customHeight="1" x14ac:dyDescent="0.2">
      <c r="B28440" s="43"/>
    </row>
    <row r="28441" spans="2:2" ht="12.75" customHeight="1" x14ac:dyDescent="0.2">
      <c r="B28441" s="43"/>
    </row>
    <row r="28442" spans="2:2" ht="12.75" customHeight="1" x14ac:dyDescent="0.2">
      <c r="B28442" s="43"/>
    </row>
    <row r="28443" spans="2:2" ht="12.75" customHeight="1" x14ac:dyDescent="0.2">
      <c r="B28443" s="43"/>
    </row>
    <row r="28444" spans="2:2" ht="12.75" customHeight="1" x14ac:dyDescent="0.2">
      <c r="B28444" s="43"/>
    </row>
    <row r="28445" spans="2:2" ht="12.75" customHeight="1" x14ac:dyDescent="0.2">
      <c r="B28445" s="43"/>
    </row>
    <row r="28446" spans="2:2" ht="12.75" customHeight="1" x14ac:dyDescent="0.2">
      <c r="B28446" s="43"/>
    </row>
    <row r="28447" spans="2:2" ht="12.75" customHeight="1" x14ac:dyDescent="0.2">
      <c r="B28447" s="43"/>
    </row>
    <row r="28448" spans="2:2" ht="12.75" customHeight="1" x14ac:dyDescent="0.2">
      <c r="B28448" s="43"/>
    </row>
    <row r="28449" spans="2:2" ht="12.75" customHeight="1" x14ac:dyDescent="0.2">
      <c r="B28449" s="43"/>
    </row>
    <row r="28450" spans="2:2" ht="12.75" customHeight="1" x14ac:dyDescent="0.2">
      <c r="B28450" s="43"/>
    </row>
    <row r="28451" spans="2:2" ht="12.75" customHeight="1" x14ac:dyDescent="0.2">
      <c r="B28451" s="43"/>
    </row>
    <row r="28452" spans="2:2" ht="12.75" customHeight="1" x14ac:dyDescent="0.2">
      <c r="B28452" s="43"/>
    </row>
    <row r="28453" spans="2:2" ht="12.75" customHeight="1" x14ac:dyDescent="0.2">
      <c r="B28453" s="43"/>
    </row>
    <row r="28454" spans="2:2" ht="12.75" customHeight="1" x14ac:dyDescent="0.2">
      <c r="B28454" s="43"/>
    </row>
    <row r="28455" spans="2:2" ht="12.75" customHeight="1" x14ac:dyDescent="0.2">
      <c r="B28455" s="43"/>
    </row>
    <row r="28456" spans="2:2" ht="12.75" customHeight="1" x14ac:dyDescent="0.2">
      <c r="B28456" s="43"/>
    </row>
    <row r="28457" spans="2:2" ht="12.75" customHeight="1" x14ac:dyDescent="0.2">
      <c r="B28457" s="43"/>
    </row>
    <row r="28458" spans="2:2" ht="12.75" customHeight="1" x14ac:dyDescent="0.2">
      <c r="B28458" s="43"/>
    </row>
    <row r="28459" spans="2:2" ht="12.75" customHeight="1" x14ac:dyDescent="0.2">
      <c r="B28459" s="43"/>
    </row>
    <row r="28460" spans="2:2" ht="12.75" customHeight="1" x14ac:dyDescent="0.2">
      <c r="B28460" s="43"/>
    </row>
    <row r="28461" spans="2:2" ht="12.75" customHeight="1" x14ac:dyDescent="0.2">
      <c r="B28461" s="43"/>
    </row>
    <row r="28462" spans="2:2" ht="12.75" customHeight="1" x14ac:dyDescent="0.2">
      <c r="B28462" s="43"/>
    </row>
    <row r="28463" spans="2:2" ht="12.75" customHeight="1" x14ac:dyDescent="0.2">
      <c r="B28463" s="43"/>
    </row>
    <row r="28464" spans="2:2" ht="12.75" customHeight="1" x14ac:dyDescent="0.2">
      <c r="B28464" s="43"/>
    </row>
    <row r="28465" spans="2:2" ht="12.75" customHeight="1" x14ac:dyDescent="0.2">
      <c r="B28465" s="43"/>
    </row>
    <row r="28466" spans="2:2" ht="12.75" customHeight="1" x14ac:dyDescent="0.2">
      <c r="B28466" s="43"/>
    </row>
    <row r="28467" spans="2:2" ht="12.75" customHeight="1" x14ac:dyDescent="0.2">
      <c r="B28467" s="43"/>
    </row>
    <row r="28468" spans="2:2" ht="12.75" customHeight="1" x14ac:dyDescent="0.2">
      <c r="B28468" s="43"/>
    </row>
    <row r="28469" spans="2:2" ht="12.75" customHeight="1" x14ac:dyDescent="0.2">
      <c r="B28469" s="43"/>
    </row>
    <row r="28470" spans="2:2" ht="12.75" customHeight="1" x14ac:dyDescent="0.2">
      <c r="B28470" s="43"/>
    </row>
    <row r="28471" spans="2:2" ht="12.75" customHeight="1" x14ac:dyDescent="0.2">
      <c r="B28471" s="43"/>
    </row>
    <row r="28472" spans="2:2" ht="12.75" customHeight="1" x14ac:dyDescent="0.2">
      <c r="B28472" s="43"/>
    </row>
    <row r="28473" spans="2:2" ht="12.75" customHeight="1" x14ac:dyDescent="0.2">
      <c r="B28473" s="43"/>
    </row>
    <row r="28474" spans="2:2" ht="12.75" customHeight="1" x14ac:dyDescent="0.2">
      <c r="B28474" s="43"/>
    </row>
    <row r="28475" spans="2:2" ht="12.75" customHeight="1" x14ac:dyDescent="0.2">
      <c r="B28475" s="43"/>
    </row>
    <row r="28476" spans="2:2" ht="12.75" customHeight="1" x14ac:dyDescent="0.2">
      <c r="B28476" s="43"/>
    </row>
    <row r="28477" spans="2:2" ht="12.75" customHeight="1" x14ac:dyDescent="0.2">
      <c r="B28477" s="43"/>
    </row>
    <row r="28478" spans="2:2" ht="12.75" customHeight="1" x14ac:dyDescent="0.2">
      <c r="B28478" s="43"/>
    </row>
    <row r="28479" spans="2:2" ht="12.75" customHeight="1" x14ac:dyDescent="0.2">
      <c r="B28479" s="43"/>
    </row>
    <row r="28480" spans="2:2" ht="12.75" customHeight="1" x14ac:dyDescent="0.2">
      <c r="B28480" s="43"/>
    </row>
    <row r="28481" spans="2:2" ht="12.75" customHeight="1" x14ac:dyDescent="0.2">
      <c r="B28481" s="43"/>
    </row>
    <row r="28482" spans="2:2" ht="12.75" customHeight="1" x14ac:dyDescent="0.2">
      <c r="B28482" s="43"/>
    </row>
    <row r="28483" spans="2:2" ht="12.75" customHeight="1" x14ac:dyDescent="0.2">
      <c r="B28483" s="43"/>
    </row>
    <row r="28484" spans="2:2" ht="12.75" customHeight="1" x14ac:dyDescent="0.2">
      <c r="B28484" s="43"/>
    </row>
    <row r="28485" spans="2:2" ht="12.75" customHeight="1" x14ac:dyDescent="0.2">
      <c r="B28485" s="43"/>
    </row>
    <row r="28486" spans="2:2" ht="12.75" customHeight="1" x14ac:dyDescent="0.2">
      <c r="B28486" s="43"/>
    </row>
    <row r="28487" spans="2:2" ht="12.75" customHeight="1" x14ac:dyDescent="0.2">
      <c r="B28487" s="43"/>
    </row>
    <row r="28488" spans="2:2" ht="12.75" customHeight="1" x14ac:dyDescent="0.2">
      <c r="B28488" s="43"/>
    </row>
    <row r="28489" spans="2:2" ht="12.75" customHeight="1" x14ac:dyDescent="0.2">
      <c r="B28489" s="43"/>
    </row>
    <row r="28490" spans="2:2" ht="12.75" customHeight="1" x14ac:dyDescent="0.2">
      <c r="B28490" s="43"/>
    </row>
    <row r="28491" spans="2:2" ht="12.75" customHeight="1" x14ac:dyDescent="0.2">
      <c r="B28491" s="43"/>
    </row>
    <row r="28492" spans="2:2" ht="12.75" customHeight="1" x14ac:dyDescent="0.2">
      <c r="B28492" s="43"/>
    </row>
    <row r="28493" spans="2:2" ht="12.75" customHeight="1" x14ac:dyDescent="0.2">
      <c r="B28493" s="43"/>
    </row>
    <row r="28494" spans="2:2" ht="12.75" customHeight="1" x14ac:dyDescent="0.2">
      <c r="B28494" s="43"/>
    </row>
    <row r="28495" spans="2:2" ht="12.75" customHeight="1" x14ac:dyDescent="0.2">
      <c r="B28495" s="43"/>
    </row>
    <row r="28496" spans="2:2" ht="12.75" customHeight="1" x14ac:dyDescent="0.2">
      <c r="B28496" s="43"/>
    </row>
    <row r="28497" spans="2:2" ht="12.75" customHeight="1" x14ac:dyDescent="0.2">
      <c r="B28497" s="43"/>
    </row>
    <row r="28498" spans="2:2" ht="12.75" customHeight="1" x14ac:dyDescent="0.2">
      <c r="B28498" s="43"/>
    </row>
    <row r="28499" spans="2:2" ht="12.75" customHeight="1" x14ac:dyDescent="0.2">
      <c r="B28499" s="43"/>
    </row>
    <row r="28500" spans="2:2" ht="12.75" customHeight="1" x14ac:dyDescent="0.2">
      <c r="B28500" s="43"/>
    </row>
    <row r="28501" spans="2:2" ht="12.75" customHeight="1" x14ac:dyDescent="0.2">
      <c r="B28501" s="43"/>
    </row>
    <row r="28502" spans="2:2" ht="12.75" customHeight="1" x14ac:dyDescent="0.2">
      <c r="B28502" s="43"/>
    </row>
    <row r="28503" spans="2:2" ht="12.75" customHeight="1" x14ac:dyDescent="0.2">
      <c r="B28503" s="43"/>
    </row>
    <row r="28504" spans="2:2" ht="12.75" customHeight="1" x14ac:dyDescent="0.2">
      <c r="B28504" s="43"/>
    </row>
    <row r="28505" spans="2:2" ht="12.75" customHeight="1" x14ac:dyDescent="0.2">
      <c r="B28505" s="43"/>
    </row>
    <row r="28506" spans="2:2" ht="12.75" customHeight="1" x14ac:dyDescent="0.2">
      <c r="B28506" s="43"/>
    </row>
    <row r="28507" spans="2:2" ht="12.75" customHeight="1" x14ac:dyDescent="0.2">
      <c r="B28507" s="43"/>
    </row>
    <row r="28508" spans="2:2" ht="12.75" customHeight="1" x14ac:dyDescent="0.2">
      <c r="B28508" s="43"/>
    </row>
    <row r="28509" spans="2:2" ht="12.75" customHeight="1" x14ac:dyDescent="0.2">
      <c r="B28509" s="43"/>
    </row>
    <row r="28510" spans="2:2" ht="12.75" customHeight="1" x14ac:dyDescent="0.2">
      <c r="B28510" s="43"/>
    </row>
    <row r="28511" spans="2:2" ht="12.75" customHeight="1" x14ac:dyDescent="0.2">
      <c r="B28511" s="43"/>
    </row>
    <row r="28512" spans="2:2" ht="12.75" customHeight="1" x14ac:dyDescent="0.2">
      <c r="B28512" s="43"/>
    </row>
    <row r="28513" spans="2:2" ht="12.75" customHeight="1" x14ac:dyDescent="0.2">
      <c r="B28513" s="43"/>
    </row>
    <row r="28514" spans="2:2" ht="12.75" customHeight="1" x14ac:dyDescent="0.2">
      <c r="B28514" s="43"/>
    </row>
    <row r="28515" spans="2:2" ht="12.75" customHeight="1" x14ac:dyDescent="0.2">
      <c r="B28515" s="43"/>
    </row>
    <row r="28516" spans="2:2" ht="12.75" customHeight="1" x14ac:dyDescent="0.2">
      <c r="B28516" s="43"/>
    </row>
    <row r="28517" spans="2:2" ht="12.75" customHeight="1" x14ac:dyDescent="0.2">
      <c r="B28517" s="43"/>
    </row>
    <row r="28518" spans="2:2" ht="12.75" customHeight="1" x14ac:dyDescent="0.2">
      <c r="B28518" s="43"/>
    </row>
    <row r="28519" spans="2:2" ht="12.75" customHeight="1" x14ac:dyDescent="0.2">
      <c r="B28519" s="43"/>
    </row>
    <row r="28520" spans="2:2" ht="12.75" customHeight="1" x14ac:dyDescent="0.2">
      <c r="B28520" s="43"/>
    </row>
    <row r="28521" spans="2:2" ht="12.75" customHeight="1" x14ac:dyDescent="0.2">
      <c r="B28521" s="43"/>
    </row>
    <row r="28522" spans="2:2" ht="12.75" customHeight="1" x14ac:dyDescent="0.2">
      <c r="B28522" s="43"/>
    </row>
    <row r="28523" spans="2:2" ht="12.75" customHeight="1" x14ac:dyDescent="0.2">
      <c r="B28523" s="43"/>
    </row>
    <row r="28524" spans="2:2" ht="12.75" customHeight="1" x14ac:dyDescent="0.2">
      <c r="B28524" s="43"/>
    </row>
    <row r="28525" spans="2:2" ht="12.75" customHeight="1" x14ac:dyDescent="0.2">
      <c r="B28525" s="43"/>
    </row>
    <row r="28526" spans="2:2" ht="12.75" customHeight="1" x14ac:dyDescent="0.2">
      <c r="B28526" s="43"/>
    </row>
    <row r="28527" spans="2:2" ht="12.75" customHeight="1" x14ac:dyDescent="0.2">
      <c r="B28527" s="43"/>
    </row>
    <row r="28528" spans="2:2" ht="12.75" customHeight="1" x14ac:dyDescent="0.2">
      <c r="B28528" s="43"/>
    </row>
    <row r="28529" spans="2:2" ht="12.75" customHeight="1" x14ac:dyDescent="0.2">
      <c r="B28529" s="43"/>
    </row>
    <row r="28530" spans="2:2" ht="12.75" customHeight="1" x14ac:dyDescent="0.2">
      <c r="B28530" s="43"/>
    </row>
    <row r="28531" spans="2:2" ht="12.75" customHeight="1" x14ac:dyDescent="0.2">
      <c r="B28531" s="43"/>
    </row>
    <row r="28532" spans="2:2" ht="12.75" customHeight="1" x14ac:dyDescent="0.2">
      <c r="B28532" s="43"/>
    </row>
    <row r="28533" spans="2:2" ht="12.75" customHeight="1" x14ac:dyDescent="0.2">
      <c r="B28533" s="43"/>
    </row>
    <row r="28534" spans="2:2" ht="12.75" customHeight="1" x14ac:dyDescent="0.2">
      <c r="B28534" s="43"/>
    </row>
    <row r="28535" spans="2:2" ht="12.75" customHeight="1" x14ac:dyDescent="0.2">
      <c r="B28535" s="43"/>
    </row>
    <row r="28536" spans="2:2" ht="12.75" customHeight="1" x14ac:dyDescent="0.2">
      <c r="B28536" s="43"/>
    </row>
    <row r="28537" spans="2:2" ht="12.75" customHeight="1" x14ac:dyDescent="0.2">
      <c r="B28537" s="43"/>
    </row>
    <row r="28538" spans="2:2" ht="12.75" customHeight="1" x14ac:dyDescent="0.2">
      <c r="B28538" s="43"/>
    </row>
    <row r="28539" spans="2:2" ht="12.75" customHeight="1" x14ac:dyDescent="0.2">
      <c r="B28539" s="43"/>
    </row>
    <row r="28540" spans="2:2" ht="12.75" customHeight="1" x14ac:dyDescent="0.2">
      <c r="B28540" s="43"/>
    </row>
    <row r="28541" spans="2:2" ht="12.75" customHeight="1" x14ac:dyDescent="0.2">
      <c r="B28541" s="43"/>
    </row>
    <row r="28542" spans="2:2" ht="12.75" customHeight="1" x14ac:dyDescent="0.2">
      <c r="B28542" s="43"/>
    </row>
    <row r="28543" spans="2:2" ht="12.75" customHeight="1" x14ac:dyDescent="0.2">
      <c r="B28543" s="43"/>
    </row>
    <row r="28544" spans="2:2" ht="12.75" customHeight="1" x14ac:dyDescent="0.2">
      <c r="B28544" s="43"/>
    </row>
    <row r="28545" spans="2:2" ht="12.75" customHeight="1" x14ac:dyDescent="0.2">
      <c r="B28545" s="43"/>
    </row>
    <row r="28546" spans="2:2" ht="12.75" customHeight="1" x14ac:dyDescent="0.2">
      <c r="B28546" s="43"/>
    </row>
    <row r="28547" spans="2:2" ht="12.75" customHeight="1" x14ac:dyDescent="0.2">
      <c r="B28547" s="43"/>
    </row>
    <row r="28548" spans="2:2" ht="12.75" customHeight="1" x14ac:dyDescent="0.2">
      <c r="B28548" s="43"/>
    </row>
    <row r="28549" spans="2:2" ht="12.75" customHeight="1" x14ac:dyDescent="0.2">
      <c r="B28549" s="43"/>
    </row>
    <row r="28550" spans="2:2" ht="12.75" customHeight="1" x14ac:dyDescent="0.2">
      <c r="B28550" s="43"/>
    </row>
    <row r="28551" spans="2:2" ht="12.75" customHeight="1" x14ac:dyDescent="0.2">
      <c r="B28551" s="43"/>
    </row>
    <row r="28552" spans="2:2" ht="12.75" customHeight="1" x14ac:dyDescent="0.2">
      <c r="B28552" s="43"/>
    </row>
    <row r="28553" spans="2:2" ht="12.75" customHeight="1" x14ac:dyDescent="0.2">
      <c r="B28553" s="43"/>
    </row>
    <row r="28554" spans="2:2" ht="12.75" customHeight="1" x14ac:dyDescent="0.2">
      <c r="B28554" s="43"/>
    </row>
    <row r="28555" spans="2:2" ht="12.75" customHeight="1" x14ac:dyDescent="0.2">
      <c r="B28555" s="43"/>
    </row>
    <row r="28556" spans="2:2" ht="12.75" customHeight="1" x14ac:dyDescent="0.2">
      <c r="B28556" s="43"/>
    </row>
    <row r="28557" spans="2:2" ht="12.75" customHeight="1" x14ac:dyDescent="0.2">
      <c r="B28557" s="43"/>
    </row>
    <row r="28558" spans="2:2" ht="12.75" customHeight="1" x14ac:dyDescent="0.2">
      <c r="B28558" s="43"/>
    </row>
    <row r="28559" spans="2:2" ht="12.75" customHeight="1" x14ac:dyDescent="0.2">
      <c r="B28559" s="43"/>
    </row>
    <row r="28560" spans="2:2" ht="12.75" customHeight="1" x14ac:dyDescent="0.2">
      <c r="B28560" s="43"/>
    </row>
    <row r="28561" spans="2:2" ht="12.75" customHeight="1" x14ac:dyDescent="0.2">
      <c r="B28561" s="43"/>
    </row>
    <row r="28562" spans="2:2" ht="12.75" customHeight="1" x14ac:dyDescent="0.2">
      <c r="B28562" s="43"/>
    </row>
    <row r="28563" spans="2:2" ht="12.75" customHeight="1" x14ac:dyDescent="0.2">
      <c r="B28563" s="43"/>
    </row>
    <row r="28564" spans="2:2" ht="12.75" customHeight="1" x14ac:dyDescent="0.2">
      <c r="B28564" s="43"/>
    </row>
    <row r="28565" spans="2:2" ht="12.75" customHeight="1" x14ac:dyDescent="0.2">
      <c r="B28565" s="43"/>
    </row>
    <row r="28566" spans="2:2" ht="12.75" customHeight="1" x14ac:dyDescent="0.2">
      <c r="B28566" s="43"/>
    </row>
    <row r="28567" spans="2:2" ht="12.75" customHeight="1" x14ac:dyDescent="0.2">
      <c r="B28567" s="43"/>
    </row>
    <row r="28568" spans="2:2" ht="12.75" customHeight="1" x14ac:dyDescent="0.2">
      <c r="B28568" s="43"/>
    </row>
    <row r="28569" spans="2:2" ht="12.75" customHeight="1" x14ac:dyDescent="0.2">
      <c r="B28569" s="43"/>
    </row>
    <row r="28570" spans="2:2" ht="12.75" customHeight="1" x14ac:dyDescent="0.2">
      <c r="B28570" s="43"/>
    </row>
    <row r="28571" spans="2:2" ht="12.75" customHeight="1" x14ac:dyDescent="0.2">
      <c r="B28571" s="43"/>
    </row>
    <row r="28572" spans="2:2" ht="12.75" customHeight="1" x14ac:dyDescent="0.2">
      <c r="B28572" s="43"/>
    </row>
    <row r="28573" spans="2:2" ht="12.75" customHeight="1" x14ac:dyDescent="0.2">
      <c r="B28573" s="43"/>
    </row>
    <row r="28574" spans="2:2" ht="12.75" customHeight="1" x14ac:dyDescent="0.2">
      <c r="B28574" s="43"/>
    </row>
    <row r="28575" spans="2:2" ht="12.75" customHeight="1" x14ac:dyDescent="0.2">
      <c r="B28575" s="43"/>
    </row>
    <row r="28576" spans="2:2" ht="12.75" customHeight="1" x14ac:dyDescent="0.2">
      <c r="B28576" s="43"/>
    </row>
    <row r="28577" spans="2:2" ht="12.75" customHeight="1" x14ac:dyDescent="0.2">
      <c r="B28577" s="43"/>
    </row>
    <row r="28578" spans="2:2" ht="12.75" customHeight="1" x14ac:dyDescent="0.2">
      <c r="B28578" s="43"/>
    </row>
    <row r="28579" spans="2:2" ht="12.75" customHeight="1" x14ac:dyDescent="0.2">
      <c r="B28579" s="43"/>
    </row>
    <row r="28580" spans="2:2" ht="12.75" customHeight="1" x14ac:dyDescent="0.2">
      <c r="B28580" s="43"/>
    </row>
    <row r="28581" spans="2:2" ht="12.75" customHeight="1" x14ac:dyDescent="0.2">
      <c r="B28581" s="43"/>
    </row>
    <row r="28582" spans="2:2" ht="12.75" customHeight="1" x14ac:dyDescent="0.2">
      <c r="B28582" s="43"/>
    </row>
    <row r="28583" spans="2:2" ht="12.75" customHeight="1" x14ac:dyDescent="0.2">
      <c r="B28583" s="43"/>
    </row>
    <row r="28584" spans="2:2" ht="12.75" customHeight="1" x14ac:dyDescent="0.2">
      <c r="B28584" s="43"/>
    </row>
    <row r="28585" spans="2:2" ht="12.75" customHeight="1" x14ac:dyDescent="0.2">
      <c r="B28585" s="43"/>
    </row>
    <row r="28586" spans="2:2" ht="12.75" customHeight="1" x14ac:dyDescent="0.2">
      <c r="B28586" s="43"/>
    </row>
    <row r="28587" spans="2:2" ht="12.75" customHeight="1" x14ac:dyDescent="0.2">
      <c r="B28587" s="43"/>
    </row>
    <row r="28588" spans="2:2" ht="12.75" customHeight="1" x14ac:dyDescent="0.2">
      <c r="B28588" s="43"/>
    </row>
    <row r="28589" spans="2:2" ht="12.75" customHeight="1" x14ac:dyDescent="0.2">
      <c r="B28589" s="43"/>
    </row>
    <row r="28590" spans="2:2" ht="12.75" customHeight="1" x14ac:dyDescent="0.2">
      <c r="B28590" s="43"/>
    </row>
    <row r="28591" spans="2:2" ht="12.75" customHeight="1" x14ac:dyDescent="0.2">
      <c r="B28591" s="43"/>
    </row>
    <row r="28592" spans="2:2" ht="12.75" customHeight="1" x14ac:dyDescent="0.2">
      <c r="B28592" s="43"/>
    </row>
    <row r="28593" spans="2:2" ht="12.75" customHeight="1" x14ac:dyDescent="0.2">
      <c r="B28593" s="43"/>
    </row>
    <row r="28594" spans="2:2" ht="12.75" customHeight="1" x14ac:dyDescent="0.2">
      <c r="B28594" s="43"/>
    </row>
    <row r="28595" spans="2:2" ht="12.75" customHeight="1" x14ac:dyDescent="0.2">
      <c r="B28595" s="43"/>
    </row>
    <row r="28596" spans="2:2" ht="12.75" customHeight="1" x14ac:dyDescent="0.2">
      <c r="B28596" s="43"/>
    </row>
    <row r="28597" spans="2:2" ht="12.75" customHeight="1" x14ac:dyDescent="0.2">
      <c r="B28597" s="43"/>
    </row>
    <row r="28598" spans="2:2" ht="12.75" customHeight="1" x14ac:dyDescent="0.2">
      <c r="B28598" s="43"/>
    </row>
    <row r="28599" spans="2:2" ht="12.75" customHeight="1" x14ac:dyDescent="0.2">
      <c r="B28599" s="43"/>
    </row>
    <row r="28600" spans="2:2" ht="12.75" customHeight="1" x14ac:dyDescent="0.2">
      <c r="B28600" s="43"/>
    </row>
    <row r="28601" spans="2:2" ht="12.75" customHeight="1" x14ac:dyDescent="0.2">
      <c r="B28601" s="43"/>
    </row>
    <row r="28602" spans="2:2" ht="12.75" customHeight="1" x14ac:dyDescent="0.2">
      <c r="B28602" s="43"/>
    </row>
    <row r="28603" spans="2:2" ht="12.75" customHeight="1" x14ac:dyDescent="0.2">
      <c r="B28603" s="43"/>
    </row>
    <row r="28604" spans="2:2" ht="12.75" customHeight="1" x14ac:dyDescent="0.2">
      <c r="B28604" s="43"/>
    </row>
    <row r="28605" spans="2:2" ht="12.75" customHeight="1" x14ac:dyDescent="0.2">
      <c r="B28605" s="43"/>
    </row>
    <row r="28606" spans="2:2" ht="12.75" customHeight="1" x14ac:dyDescent="0.2">
      <c r="B28606" s="43"/>
    </row>
    <row r="28607" spans="2:2" ht="12.75" customHeight="1" x14ac:dyDescent="0.2">
      <c r="B28607" s="43"/>
    </row>
    <row r="28608" spans="2:2" ht="12.75" customHeight="1" x14ac:dyDescent="0.2">
      <c r="B28608" s="43"/>
    </row>
    <row r="28609" spans="2:2" ht="12.75" customHeight="1" x14ac:dyDescent="0.2">
      <c r="B28609" s="43"/>
    </row>
    <row r="28610" spans="2:2" ht="12.75" customHeight="1" x14ac:dyDescent="0.2">
      <c r="B28610" s="43"/>
    </row>
    <row r="28611" spans="2:2" ht="12.75" customHeight="1" x14ac:dyDescent="0.2">
      <c r="B28611" s="43"/>
    </row>
    <row r="28612" spans="2:2" ht="12.75" customHeight="1" x14ac:dyDescent="0.2">
      <c r="B28612" s="43"/>
    </row>
    <row r="28613" spans="2:2" ht="12.75" customHeight="1" x14ac:dyDescent="0.2">
      <c r="B28613" s="43"/>
    </row>
    <row r="28614" spans="2:2" ht="12.75" customHeight="1" x14ac:dyDescent="0.2">
      <c r="B28614" s="43"/>
    </row>
    <row r="28615" spans="2:2" ht="12.75" customHeight="1" x14ac:dyDescent="0.2">
      <c r="B28615" s="43"/>
    </row>
    <row r="28616" spans="2:2" ht="12.75" customHeight="1" x14ac:dyDescent="0.2">
      <c r="B28616" s="43"/>
    </row>
    <row r="28617" spans="2:2" ht="12.75" customHeight="1" x14ac:dyDescent="0.2">
      <c r="B28617" s="43"/>
    </row>
    <row r="28618" spans="2:2" ht="12.75" customHeight="1" x14ac:dyDescent="0.2">
      <c r="B28618" s="43"/>
    </row>
    <row r="28619" spans="2:2" ht="12.75" customHeight="1" x14ac:dyDescent="0.2">
      <c r="B28619" s="43"/>
    </row>
    <row r="28620" spans="2:2" ht="12.75" customHeight="1" x14ac:dyDescent="0.2">
      <c r="B28620" s="43"/>
    </row>
    <row r="28621" spans="2:2" ht="12.75" customHeight="1" x14ac:dyDescent="0.2">
      <c r="B28621" s="43"/>
    </row>
    <row r="28622" spans="2:2" ht="12.75" customHeight="1" x14ac:dyDescent="0.2">
      <c r="B28622" s="43"/>
    </row>
    <row r="28623" spans="2:2" ht="12.75" customHeight="1" x14ac:dyDescent="0.2">
      <c r="B28623" s="43"/>
    </row>
    <row r="28624" spans="2:2" ht="12.75" customHeight="1" x14ac:dyDescent="0.2">
      <c r="B28624" s="43"/>
    </row>
    <row r="28625" spans="2:2" ht="12.75" customHeight="1" x14ac:dyDescent="0.2">
      <c r="B28625" s="43"/>
    </row>
    <row r="28626" spans="2:2" ht="12.75" customHeight="1" x14ac:dyDescent="0.2">
      <c r="B28626" s="43"/>
    </row>
    <row r="28627" spans="2:2" ht="12.75" customHeight="1" x14ac:dyDescent="0.2">
      <c r="B28627" s="43"/>
    </row>
    <row r="28628" spans="2:2" ht="12.75" customHeight="1" x14ac:dyDescent="0.2">
      <c r="B28628" s="43"/>
    </row>
    <row r="28629" spans="2:2" ht="12.75" customHeight="1" x14ac:dyDescent="0.2">
      <c r="B28629" s="43"/>
    </row>
    <row r="28630" spans="2:2" ht="12.75" customHeight="1" x14ac:dyDescent="0.2">
      <c r="B28630" s="43"/>
    </row>
    <row r="28631" spans="2:2" ht="12.75" customHeight="1" x14ac:dyDescent="0.2">
      <c r="B28631" s="43"/>
    </row>
    <row r="28632" spans="2:2" ht="12.75" customHeight="1" x14ac:dyDescent="0.2">
      <c r="B28632" s="43"/>
    </row>
    <row r="28633" spans="2:2" ht="12.75" customHeight="1" x14ac:dyDescent="0.2">
      <c r="B28633" s="43"/>
    </row>
    <row r="28634" spans="2:2" ht="12.75" customHeight="1" x14ac:dyDescent="0.2">
      <c r="B28634" s="43"/>
    </row>
    <row r="28635" spans="2:2" ht="12.75" customHeight="1" x14ac:dyDescent="0.2">
      <c r="B28635" s="43"/>
    </row>
    <row r="28636" spans="2:2" ht="12.75" customHeight="1" x14ac:dyDescent="0.2">
      <c r="B28636" s="43"/>
    </row>
    <row r="28637" spans="2:2" ht="12.75" customHeight="1" x14ac:dyDescent="0.2">
      <c r="B28637" s="43"/>
    </row>
    <row r="28638" spans="2:2" ht="12.75" customHeight="1" x14ac:dyDescent="0.2">
      <c r="B28638" s="43"/>
    </row>
    <row r="28639" spans="2:2" ht="12.75" customHeight="1" x14ac:dyDescent="0.2">
      <c r="B28639" s="43"/>
    </row>
    <row r="28640" spans="2:2" ht="12.75" customHeight="1" x14ac:dyDescent="0.2">
      <c r="B28640" s="43"/>
    </row>
    <row r="28641" spans="2:2" ht="12.75" customHeight="1" x14ac:dyDescent="0.2">
      <c r="B28641" s="43"/>
    </row>
    <row r="28642" spans="2:2" ht="12.75" customHeight="1" x14ac:dyDescent="0.2">
      <c r="B28642" s="43"/>
    </row>
    <row r="28643" spans="2:2" ht="12.75" customHeight="1" x14ac:dyDescent="0.2">
      <c r="B28643" s="43"/>
    </row>
    <row r="28644" spans="2:2" ht="12.75" customHeight="1" x14ac:dyDescent="0.2">
      <c r="B28644" s="43"/>
    </row>
    <row r="28645" spans="2:2" ht="12.75" customHeight="1" x14ac:dyDescent="0.2">
      <c r="B28645" s="43"/>
    </row>
    <row r="28646" spans="2:2" ht="12.75" customHeight="1" x14ac:dyDescent="0.2">
      <c r="B28646" s="43"/>
    </row>
    <row r="28647" spans="2:2" ht="12.75" customHeight="1" x14ac:dyDescent="0.2">
      <c r="B28647" s="43"/>
    </row>
    <row r="28648" spans="2:2" ht="12.75" customHeight="1" x14ac:dyDescent="0.2">
      <c r="B28648" s="43"/>
    </row>
    <row r="28649" spans="2:2" ht="12.75" customHeight="1" x14ac:dyDescent="0.2">
      <c r="B28649" s="43"/>
    </row>
    <row r="28650" spans="2:2" ht="12.75" customHeight="1" x14ac:dyDescent="0.2">
      <c r="B28650" s="43"/>
    </row>
    <row r="28651" spans="2:2" ht="12.75" customHeight="1" x14ac:dyDescent="0.2">
      <c r="B28651" s="43"/>
    </row>
    <row r="28652" spans="2:2" ht="12.75" customHeight="1" x14ac:dyDescent="0.2">
      <c r="B28652" s="43"/>
    </row>
    <row r="28653" spans="2:2" ht="12.75" customHeight="1" x14ac:dyDescent="0.2">
      <c r="B28653" s="43"/>
    </row>
    <row r="28654" spans="2:2" ht="12.75" customHeight="1" x14ac:dyDescent="0.2">
      <c r="B28654" s="43"/>
    </row>
    <row r="28655" spans="2:2" ht="12.75" customHeight="1" x14ac:dyDescent="0.2">
      <c r="B28655" s="43"/>
    </row>
    <row r="28656" spans="2:2" ht="12.75" customHeight="1" x14ac:dyDescent="0.2">
      <c r="B28656" s="43"/>
    </row>
    <row r="28657" spans="2:2" ht="12.75" customHeight="1" x14ac:dyDescent="0.2">
      <c r="B28657" s="43"/>
    </row>
    <row r="28658" spans="2:2" ht="12.75" customHeight="1" x14ac:dyDescent="0.2">
      <c r="B28658" s="43"/>
    </row>
    <row r="28659" spans="2:2" ht="12.75" customHeight="1" x14ac:dyDescent="0.2">
      <c r="B28659" s="43"/>
    </row>
    <row r="28660" spans="2:2" ht="12.75" customHeight="1" x14ac:dyDescent="0.2">
      <c r="B28660" s="43"/>
    </row>
    <row r="28661" spans="2:2" ht="12.75" customHeight="1" x14ac:dyDescent="0.2">
      <c r="B28661" s="43"/>
    </row>
    <row r="28662" spans="2:2" ht="12.75" customHeight="1" x14ac:dyDescent="0.2">
      <c r="B28662" s="43"/>
    </row>
    <row r="28663" spans="2:2" ht="12.75" customHeight="1" x14ac:dyDescent="0.2">
      <c r="B28663" s="43"/>
    </row>
    <row r="28664" spans="2:2" ht="12.75" customHeight="1" x14ac:dyDescent="0.2">
      <c r="B28664" s="43"/>
    </row>
    <row r="28665" spans="2:2" ht="12.75" customHeight="1" x14ac:dyDescent="0.2">
      <c r="B28665" s="43"/>
    </row>
    <row r="28666" spans="2:2" ht="12.75" customHeight="1" x14ac:dyDescent="0.2">
      <c r="B28666" s="43"/>
    </row>
    <row r="28667" spans="2:2" ht="12.75" customHeight="1" x14ac:dyDescent="0.2">
      <c r="B28667" s="43"/>
    </row>
    <row r="28668" spans="2:2" ht="12.75" customHeight="1" x14ac:dyDescent="0.2">
      <c r="B28668" s="43"/>
    </row>
    <row r="28669" spans="2:2" ht="12.75" customHeight="1" x14ac:dyDescent="0.2">
      <c r="B28669" s="43"/>
    </row>
    <row r="28670" spans="2:2" ht="12.75" customHeight="1" x14ac:dyDescent="0.2">
      <c r="B28670" s="43"/>
    </row>
    <row r="28671" spans="2:2" ht="12.75" customHeight="1" x14ac:dyDescent="0.2">
      <c r="B28671" s="43"/>
    </row>
    <row r="28672" spans="2:2" ht="12.75" customHeight="1" x14ac:dyDescent="0.2">
      <c r="B28672" s="43"/>
    </row>
    <row r="28673" spans="2:2" ht="12.75" customHeight="1" x14ac:dyDescent="0.2">
      <c r="B28673" s="43"/>
    </row>
    <row r="28674" spans="2:2" ht="12.75" customHeight="1" x14ac:dyDescent="0.2">
      <c r="B28674" s="43"/>
    </row>
    <row r="28675" spans="2:2" ht="12.75" customHeight="1" x14ac:dyDescent="0.2">
      <c r="B28675" s="43"/>
    </row>
    <row r="28676" spans="2:2" ht="12.75" customHeight="1" x14ac:dyDescent="0.2">
      <c r="B28676" s="43"/>
    </row>
    <row r="28677" spans="2:2" ht="12.75" customHeight="1" x14ac:dyDescent="0.2">
      <c r="B28677" s="43"/>
    </row>
    <row r="28678" spans="2:2" ht="12.75" customHeight="1" x14ac:dyDescent="0.2">
      <c r="B28678" s="43"/>
    </row>
    <row r="28679" spans="2:2" ht="12.75" customHeight="1" x14ac:dyDescent="0.2">
      <c r="B28679" s="43"/>
    </row>
    <row r="28680" spans="2:2" ht="12.75" customHeight="1" x14ac:dyDescent="0.2">
      <c r="B28680" s="43"/>
    </row>
    <row r="28681" spans="2:2" ht="12.75" customHeight="1" x14ac:dyDescent="0.2">
      <c r="B28681" s="43"/>
    </row>
    <row r="28682" spans="2:2" ht="12.75" customHeight="1" x14ac:dyDescent="0.2">
      <c r="B28682" s="43"/>
    </row>
    <row r="28683" spans="2:2" ht="12.75" customHeight="1" x14ac:dyDescent="0.2">
      <c r="B28683" s="43"/>
    </row>
    <row r="28684" spans="2:2" ht="12.75" customHeight="1" x14ac:dyDescent="0.2">
      <c r="B28684" s="43"/>
    </row>
    <row r="28685" spans="2:2" ht="12.75" customHeight="1" x14ac:dyDescent="0.2">
      <c r="B28685" s="43"/>
    </row>
    <row r="28686" spans="2:2" ht="12.75" customHeight="1" x14ac:dyDescent="0.2">
      <c r="B28686" s="43"/>
    </row>
    <row r="28687" spans="2:2" ht="12.75" customHeight="1" x14ac:dyDescent="0.2">
      <c r="B28687" s="43"/>
    </row>
    <row r="28688" spans="2:2" ht="12.75" customHeight="1" x14ac:dyDescent="0.2">
      <c r="B28688" s="43"/>
    </row>
    <row r="28689" spans="2:2" ht="12.75" customHeight="1" x14ac:dyDescent="0.2">
      <c r="B28689" s="43"/>
    </row>
    <row r="28690" spans="2:2" ht="12.75" customHeight="1" x14ac:dyDescent="0.2">
      <c r="B28690" s="43"/>
    </row>
    <row r="28691" spans="2:2" ht="12.75" customHeight="1" x14ac:dyDescent="0.2">
      <c r="B28691" s="43"/>
    </row>
    <row r="28692" spans="2:2" ht="12.75" customHeight="1" x14ac:dyDescent="0.2">
      <c r="B28692" s="43"/>
    </row>
    <row r="28693" spans="2:2" ht="12.75" customHeight="1" x14ac:dyDescent="0.2">
      <c r="B28693" s="43"/>
    </row>
    <row r="28694" spans="2:2" ht="12.75" customHeight="1" x14ac:dyDescent="0.2">
      <c r="B28694" s="43"/>
    </row>
    <row r="28695" spans="2:2" ht="12.75" customHeight="1" x14ac:dyDescent="0.2">
      <c r="B28695" s="43"/>
    </row>
    <row r="28696" spans="2:2" ht="12.75" customHeight="1" x14ac:dyDescent="0.2">
      <c r="B28696" s="43"/>
    </row>
    <row r="28697" spans="2:2" ht="12.75" customHeight="1" x14ac:dyDescent="0.2">
      <c r="B28697" s="43"/>
    </row>
    <row r="28698" spans="2:2" ht="12.75" customHeight="1" x14ac:dyDescent="0.2">
      <c r="B28698" s="43"/>
    </row>
    <row r="28699" spans="2:2" ht="12.75" customHeight="1" x14ac:dyDescent="0.2">
      <c r="B28699" s="43"/>
    </row>
    <row r="28700" spans="2:2" ht="12.75" customHeight="1" x14ac:dyDescent="0.2">
      <c r="B28700" s="43"/>
    </row>
    <row r="28701" spans="2:2" ht="12.75" customHeight="1" x14ac:dyDescent="0.2">
      <c r="B28701" s="43"/>
    </row>
    <row r="28702" spans="2:2" ht="12.75" customHeight="1" x14ac:dyDescent="0.2">
      <c r="B28702" s="43"/>
    </row>
    <row r="28703" spans="2:2" ht="12.75" customHeight="1" x14ac:dyDescent="0.2">
      <c r="B28703" s="43"/>
    </row>
    <row r="28704" spans="2:2" ht="12.75" customHeight="1" x14ac:dyDescent="0.2">
      <c r="B28704" s="43"/>
    </row>
    <row r="28705" spans="2:2" ht="12.75" customHeight="1" x14ac:dyDescent="0.2">
      <c r="B28705" s="43"/>
    </row>
    <row r="28706" spans="2:2" ht="12.75" customHeight="1" x14ac:dyDescent="0.2">
      <c r="B28706" s="43"/>
    </row>
    <row r="28707" spans="2:2" ht="12.75" customHeight="1" x14ac:dyDescent="0.2">
      <c r="B28707" s="43"/>
    </row>
    <row r="28708" spans="2:2" ht="12.75" customHeight="1" x14ac:dyDescent="0.2">
      <c r="B28708" s="43"/>
    </row>
    <row r="28709" spans="2:2" ht="12.75" customHeight="1" x14ac:dyDescent="0.2">
      <c r="B28709" s="43"/>
    </row>
    <row r="28710" spans="2:2" ht="12.75" customHeight="1" x14ac:dyDescent="0.2">
      <c r="B28710" s="43"/>
    </row>
    <row r="28711" spans="2:2" ht="12.75" customHeight="1" x14ac:dyDescent="0.2">
      <c r="B28711" s="43"/>
    </row>
    <row r="28712" spans="2:2" ht="12.75" customHeight="1" x14ac:dyDescent="0.2">
      <c r="B28712" s="43"/>
    </row>
    <row r="28713" spans="2:2" ht="12.75" customHeight="1" x14ac:dyDescent="0.2">
      <c r="B28713" s="43"/>
    </row>
    <row r="28714" spans="2:2" ht="12.75" customHeight="1" x14ac:dyDescent="0.2">
      <c r="B28714" s="43"/>
    </row>
    <row r="28715" spans="2:2" ht="12.75" customHeight="1" x14ac:dyDescent="0.2">
      <c r="B28715" s="43"/>
    </row>
    <row r="28716" spans="2:2" ht="12.75" customHeight="1" x14ac:dyDescent="0.2">
      <c r="B28716" s="43"/>
    </row>
    <row r="28717" spans="2:2" ht="12.75" customHeight="1" x14ac:dyDescent="0.2">
      <c r="B28717" s="43"/>
    </row>
    <row r="28718" spans="2:2" ht="12.75" customHeight="1" x14ac:dyDescent="0.2">
      <c r="B28718" s="43"/>
    </row>
    <row r="28719" spans="2:2" ht="12.75" customHeight="1" x14ac:dyDescent="0.2">
      <c r="B28719" s="43"/>
    </row>
    <row r="28720" spans="2:2" ht="12.75" customHeight="1" x14ac:dyDescent="0.2">
      <c r="B28720" s="43"/>
    </row>
    <row r="28721" spans="2:2" ht="12.75" customHeight="1" x14ac:dyDescent="0.2">
      <c r="B28721" s="43"/>
    </row>
    <row r="28722" spans="2:2" ht="12.75" customHeight="1" x14ac:dyDescent="0.2">
      <c r="B28722" s="43"/>
    </row>
    <row r="28723" spans="2:2" ht="12.75" customHeight="1" x14ac:dyDescent="0.2">
      <c r="B28723" s="43"/>
    </row>
    <row r="28724" spans="2:2" ht="12.75" customHeight="1" x14ac:dyDescent="0.2">
      <c r="B28724" s="43"/>
    </row>
    <row r="28725" spans="2:2" ht="12.75" customHeight="1" x14ac:dyDescent="0.2">
      <c r="B28725" s="43"/>
    </row>
    <row r="28726" spans="2:2" ht="12.75" customHeight="1" x14ac:dyDescent="0.2">
      <c r="B28726" s="43"/>
    </row>
    <row r="28727" spans="2:2" ht="12.75" customHeight="1" x14ac:dyDescent="0.2">
      <c r="B28727" s="43"/>
    </row>
    <row r="28728" spans="2:2" ht="12.75" customHeight="1" x14ac:dyDescent="0.2">
      <c r="B28728" s="43"/>
    </row>
    <row r="28729" spans="2:2" ht="12.75" customHeight="1" x14ac:dyDescent="0.2">
      <c r="B28729" s="43"/>
    </row>
    <row r="28730" spans="2:2" ht="12.75" customHeight="1" x14ac:dyDescent="0.2">
      <c r="B28730" s="43"/>
    </row>
    <row r="28731" spans="2:2" ht="12.75" customHeight="1" x14ac:dyDescent="0.2">
      <c r="B28731" s="43"/>
    </row>
    <row r="28732" spans="2:2" ht="12.75" customHeight="1" x14ac:dyDescent="0.2">
      <c r="B28732" s="43"/>
    </row>
    <row r="28733" spans="2:2" ht="12.75" customHeight="1" x14ac:dyDescent="0.2">
      <c r="B28733" s="43"/>
    </row>
    <row r="28734" spans="2:2" ht="12.75" customHeight="1" x14ac:dyDescent="0.2">
      <c r="B28734" s="43"/>
    </row>
    <row r="28735" spans="2:2" ht="12.75" customHeight="1" x14ac:dyDescent="0.2">
      <c r="B28735" s="43"/>
    </row>
    <row r="28736" spans="2:2" ht="12.75" customHeight="1" x14ac:dyDescent="0.2">
      <c r="B28736" s="43"/>
    </row>
    <row r="28737" spans="2:2" ht="12.75" customHeight="1" x14ac:dyDescent="0.2">
      <c r="B28737" s="43"/>
    </row>
    <row r="28738" spans="2:2" ht="12.75" customHeight="1" x14ac:dyDescent="0.2">
      <c r="B28738" s="43"/>
    </row>
    <row r="28739" spans="2:2" ht="12.75" customHeight="1" x14ac:dyDescent="0.2">
      <c r="B28739" s="43"/>
    </row>
    <row r="28740" spans="2:2" ht="12.75" customHeight="1" x14ac:dyDescent="0.2">
      <c r="B28740" s="43"/>
    </row>
    <row r="28741" spans="2:2" ht="12.75" customHeight="1" x14ac:dyDescent="0.2">
      <c r="B28741" s="43"/>
    </row>
    <row r="28742" spans="2:2" ht="12.75" customHeight="1" x14ac:dyDescent="0.2">
      <c r="B28742" s="43"/>
    </row>
    <row r="28743" spans="2:2" ht="12.75" customHeight="1" x14ac:dyDescent="0.2">
      <c r="B28743" s="43"/>
    </row>
    <row r="28744" spans="2:2" ht="12.75" customHeight="1" x14ac:dyDescent="0.2">
      <c r="B28744" s="43"/>
    </row>
    <row r="28745" spans="2:2" ht="12.75" customHeight="1" x14ac:dyDescent="0.2">
      <c r="B28745" s="43"/>
    </row>
    <row r="28746" spans="2:2" ht="12.75" customHeight="1" x14ac:dyDescent="0.2">
      <c r="B28746" s="43"/>
    </row>
    <row r="28747" spans="2:2" ht="12.75" customHeight="1" x14ac:dyDescent="0.2">
      <c r="B28747" s="43"/>
    </row>
    <row r="28748" spans="2:2" ht="12.75" customHeight="1" x14ac:dyDescent="0.2">
      <c r="B28748" s="43"/>
    </row>
    <row r="28749" spans="2:2" ht="12.75" customHeight="1" x14ac:dyDescent="0.2">
      <c r="B28749" s="43"/>
    </row>
    <row r="28750" spans="2:2" ht="12.75" customHeight="1" x14ac:dyDescent="0.2">
      <c r="B28750" s="43"/>
    </row>
    <row r="28751" spans="2:2" ht="12.75" customHeight="1" x14ac:dyDescent="0.2">
      <c r="B28751" s="43"/>
    </row>
    <row r="28752" spans="2:2" ht="12.75" customHeight="1" x14ac:dyDescent="0.2">
      <c r="B28752" s="43"/>
    </row>
    <row r="28753" spans="2:2" ht="12.75" customHeight="1" x14ac:dyDescent="0.2">
      <c r="B28753" s="43"/>
    </row>
    <row r="28754" spans="2:2" ht="12.75" customHeight="1" x14ac:dyDescent="0.2">
      <c r="B28754" s="43"/>
    </row>
    <row r="28755" spans="2:2" ht="12.75" customHeight="1" x14ac:dyDescent="0.2">
      <c r="B28755" s="43"/>
    </row>
    <row r="28756" spans="2:2" ht="12.75" customHeight="1" x14ac:dyDescent="0.2">
      <c r="B28756" s="43"/>
    </row>
    <row r="28757" spans="2:2" ht="12.75" customHeight="1" x14ac:dyDescent="0.2">
      <c r="B28757" s="43"/>
    </row>
    <row r="28758" spans="2:2" ht="12.75" customHeight="1" x14ac:dyDescent="0.2">
      <c r="B28758" s="43"/>
    </row>
    <row r="28759" spans="2:2" ht="12.75" customHeight="1" x14ac:dyDescent="0.2">
      <c r="B28759" s="43"/>
    </row>
    <row r="28760" spans="2:2" ht="12.75" customHeight="1" x14ac:dyDescent="0.2">
      <c r="B28760" s="43"/>
    </row>
    <row r="28761" spans="2:2" ht="12.75" customHeight="1" x14ac:dyDescent="0.2">
      <c r="B28761" s="43"/>
    </row>
    <row r="28762" spans="2:2" ht="12.75" customHeight="1" x14ac:dyDescent="0.2">
      <c r="B28762" s="43"/>
    </row>
    <row r="28763" spans="2:2" ht="12.75" customHeight="1" x14ac:dyDescent="0.2">
      <c r="B28763" s="43"/>
    </row>
    <row r="28764" spans="2:2" ht="12.75" customHeight="1" x14ac:dyDescent="0.2">
      <c r="B28764" s="43"/>
    </row>
    <row r="28765" spans="2:2" ht="12.75" customHeight="1" x14ac:dyDescent="0.2">
      <c r="B28765" s="43"/>
    </row>
    <row r="28766" spans="2:2" ht="12.75" customHeight="1" x14ac:dyDescent="0.2">
      <c r="B28766" s="43"/>
    </row>
    <row r="28767" spans="2:2" ht="12.75" customHeight="1" x14ac:dyDescent="0.2">
      <c r="B28767" s="43"/>
    </row>
    <row r="28768" spans="2:2" ht="12.75" customHeight="1" x14ac:dyDescent="0.2">
      <c r="B28768" s="43"/>
    </row>
    <row r="28769" spans="2:2" ht="12.75" customHeight="1" x14ac:dyDescent="0.2">
      <c r="B28769" s="43"/>
    </row>
    <row r="28770" spans="2:2" ht="12.75" customHeight="1" x14ac:dyDescent="0.2">
      <c r="B28770" s="43"/>
    </row>
    <row r="28771" spans="2:2" ht="12.75" customHeight="1" x14ac:dyDescent="0.2">
      <c r="B28771" s="43"/>
    </row>
    <row r="28772" spans="2:2" ht="12.75" customHeight="1" x14ac:dyDescent="0.2">
      <c r="B28772" s="43"/>
    </row>
    <row r="28773" spans="2:2" ht="12.75" customHeight="1" x14ac:dyDescent="0.2">
      <c r="B28773" s="43"/>
    </row>
    <row r="28774" spans="2:2" ht="12.75" customHeight="1" x14ac:dyDescent="0.2">
      <c r="B28774" s="43"/>
    </row>
    <row r="28775" spans="2:2" ht="12.75" customHeight="1" x14ac:dyDescent="0.2">
      <c r="B28775" s="43"/>
    </row>
    <row r="28776" spans="2:2" ht="12.75" customHeight="1" x14ac:dyDescent="0.2">
      <c r="B28776" s="43"/>
    </row>
    <row r="28777" spans="2:2" ht="12.75" customHeight="1" x14ac:dyDescent="0.2">
      <c r="B28777" s="43"/>
    </row>
    <row r="28778" spans="2:2" ht="12.75" customHeight="1" x14ac:dyDescent="0.2">
      <c r="B28778" s="43"/>
    </row>
    <row r="28779" spans="2:2" ht="12.75" customHeight="1" x14ac:dyDescent="0.2">
      <c r="B28779" s="43"/>
    </row>
    <row r="28780" spans="2:2" ht="12.75" customHeight="1" x14ac:dyDescent="0.2">
      <c r="B28780" s="43"/>
    </row>
    <row r="28781" spans="2:2" ht="12.75" customHeight="1" x14ac:dyDescent="0.2">
      <c r="B28781" s="43"/>
    </row>
    <row r="28782" spans="2:2" ht="12.75" customHeight="1" x14ac:dyDescent="0.2">
      <c r="B28782" s="43"/>
    </row>
    <row r="28783" spans="2:2" ht="12.75" customHeight="1" x14ac:dyDescent="0.2">
      <c r="B28783" s="43"/>
    </row>
    <row r="28784" spans="2:2" ht="12.75" customHeight="1" x14ac:dyDescent="0.2">
      <c r="B28784" s="43"/>
    </row>
    <row r="28785" spans="2:2" ht="12.75" customHeight="1" x14ac:dyDescent="0.2">
      <c r="B28785" s="43"/>
    </row>
    <row r="28786" spans="2:2" ht="12.75" customHeight="1" x14ac:dyDescent="0.2">
      <c r="B28786" s="43"/>
    </row>
    <row r="28787" spans="2:2" ht="12.75" customHeight="1" x14ac:dyDescent="0.2">
      <c r="B28787" s="43"/>
    </row>
    <row r="28788" spans="2:2" ht="12.75" customHeight="1" x14ac:dyDescent="0.2">
      <c r="B28788" s="43"/>
    </row>
    <row r="28789" spans="2:2" ht="12.75" customHeight="1" x14ac:dyDescent="0.2">
      <c r="B28789" s="43"/>
    </row>
    <row r="28790" spans="2:2" ht="12.75" customHeight="1" x14ac:dyDescent="0.2">
      <c r="B28790" s="43"/>
    </row>
    <row r="28791" spans="2:2" ht="12.75" customHeight="1" x14ac:dyDescent="0.2">
      <c r="B28791" s="43"/>
    </row>
    <row r="28792" spans="2:2" ht="12.75" customHeight="1" x14ac:dyDescent="0.2">
      <c r="B28792" s="43"/>
    </row>
    <row r="28793" spans="2:2" ht="12.75" customHeight="1" x14ac:dyDescent="0.2">
      <c r="B28793" s="43"/>
    </row>
    <row r="28794" spans="2:2" ht="12.75" customHeight="1" x14ac:dyDescent="0.2">
      <c r="B28794" s="43"/>
    </row>
    <row r="28795" spans="2:2" ht="12.75" customHeight="1" x14ac:dyDescent="0.2">
      <c r="B28795" s="43"/>
    </row>
    <row r="28796" spans="2:2" ht="12.75" customHeight="1" x14ac:dyDescent="0.2">
      <c r="B28796" s="43"/>
    </row>
    <row r="28797" spans="2:2" ht="12.75" customHeight="1" x14ac:dyDescent="0.2">
      <c r="B28797" s="43"/>
    </row>
    <row r="28798" spans="2:2" ht="12.75" customHeight="1" x14ac:dyDescent="0.2">
      <c r="B28798" s="43"/>
    </row>
    <row r="28799" spans="2:2" ht="12.75" customHeight="1" x14ac:dyDescent="0.2">
      <c r="B28799" s="43"/>
    </row>
    <row r="28800" spans="2:2" ht="12.75" customHeight="1" x14ac:dyDescent="0.2">
      <c r="B28800" s="43"/>
    </row>
    <row r="28801" spans="2:2" ht="12.75" customHeight="1" x14ac:dyDescent="0.2">
      <c r="B28801" s="43"/>
    </row>
    <row r="28802" spans="2:2" ht="12.75" customHeight="1" x14ac:dyDescent="0.2">
      <c r="B28802" s="43"/>
    </row>
    <row r="28803" spans="2:2" ht="12.75" customHeight="1" x14ac:dyDescent="0.2">
      <c r="B28803" s="43"/>
    </row>
    <row r="28804" spans="2:2" ht="12.75" customHeight="1" x14ac:dyDescent="0.2">
      <c r="B28804" s="43"/>
    </row>
    <row r="28805" spans="2:2" ht="12.75" customHeight="1" x14ac:dyDescent="0.2">
      <c r="B28805" s="43"/>
    </row>
    <row r="28806" spans="2:2" ht="12.75" customHeight="1" x14ac:dyDescent="0.2">
      <c r="B28806" s="43"/>
    </row>
    <row r="28807" spans="2:2" ht="12.75" customHeight="1" x14ac:dyDescent="0.2">
      <c r="B28807" s="43"/>
    </row>
    <row r="28808" spans="2:2" ht="12.75" customHeight="1" x14ac:dyDescent="0.2">
      <c r="B28808" s="43"/>
    </row>
    <row r="28809" spans="2:2" ht="12.75" customHeight="1" x14ac:dyDescent="0.2">
      <c r="B28809" s="43"/>
    </row>
    <row r="28810" spans="2:2" ht="12.75" customHeight="1" x14ac:dyDescent="0.2">
      <c r="B28810" s="43"/>
    </row>
    <row r="28811" spans="2:2" ht="12.75" customHeight="1" x14ac:dyDescent="0.2">
      <c r="B28811" s="43"/>
    </row>
    <row r="28812" spans="2:2" ht="12.75" customHeight="1" x14ac:dyDescent="0.2">
      <c r="B28812" s="43"/>
    </row>
    <row r="28813" spans="2:2" ht="12.75" customHeight="1" x14ac:dyDescent="0.2">
      <c r="B28813" s="43"/>
    </row>
    <row r="28814" spans="2:2" ht="12.75" customHeight="1" x14ac:dyDescent="0.2">
      <c r="B28814" s="43"/>
    </row>
    <row r="28815" spans="2:2" ht="12.75" customHeight="1" x14ac:dyDescent="0.2">
      <c r="B28815" s="43"/>
    </row>
    <row r="28816" spans="2:2" ht="12.75" customHeight="1" x14ac:dyDescent="0.2">
      <c r="B28816" s="43"/>
    </row>
    <row r="28817" spans="2:2" ht="12.75" customHeight="1" x14ac:dyDescent="0.2">
      <c r="B28817" s="43"/>
    </row>
    <row r="28818" spans="2:2" ht="12.75" customHeight="1" x14ac:dyDescent="0.2">
      <c r="B28818" s="43"/>
    </row>
    <row r="28819" spans="2:2" ht="12.75" customHeight="1" x14ac:dyDescent="0.2">
      <c r="B28819" s="43"/>
    </row>
    <row r="28820" spans="2:2" ht="12.75" customHeight="1" x14ac:dyDescent="0.2">
      <c r="B28820" s="43"/>
    </row>
    <row r="28821" spans="2:2" ht="12.75" customHeight="1" x14ac:dyDescent="0.2">
      <c r="B28821" s="43"/>
    </row>
    <row r="28822" spans="2:2" ht="12.75" customHeight="1" x14ac:dyDescent="0.2">
      <c r="B28822" s="43"/>
    </row>
    <row r="28823" spans="2:2" ht="12.75" customHeight="1" x14ac:dyDescent="0.2">
      <c r="B28823" s="43"/>
    </row>
    <row r="28824" spans="2:2" ht="12.75" customHeight="1" x14ac:dyDescent="0.2">
      <c r="B28824" s="43"/>
    </row>
    <row r="28825" spans="2:2" ht="12.75" customHeight="1" x14ac:dyDescent="0.2">
      <c r="B28825" s="43"/>
    </row>
    <row r="28826" spans="2:2" ht="12.75" customHeight="1" x14ac:dyDescent="0.2">
      <c r="B28826" s="43"/>
    </row>
    <row r="28827" spans="2:2" ht="12.75" customHeight="1" x14ac:dyDescent="0.2">
      <c r="B28827" s="43"/>
    </row>
    <row r="28828" spans="2:2" ht="12.75" customHeight="1" x14ac:dyDescent="0.2">
      <c r="B28828" s="43"/>
    </row>
    <row r="28829" spans="2:2" ht="12.75" customHeight="1" x14ac:dyDescent="0.2">
      <c r="B28829" s="43"/>
    </row>
    <row r="28830" spans="2:2" ht="12.75" customHeight="1" x14ac:dyDescent="0.2">
      <c r="B28830" s="43"/>
    </row>
    <row r="28831" spans="2:2" ht="12.75" customHeight="1" x14ac:dyDescent="0.2">
      <c r="B28831" s="43"/>
    </row>
    <row r="28832" spans="2:2" ht="12.75" customHeight="1" x14ac:dyDescent="0.2">
      <c r="B28832" s="43"/>
    </row>
    <row r="28833" spans="2:2" ht="12.75" customHeight="1" x14ac:dyDescent="0.2">
      <c r="B28833" s="43"/>
    </row>
    <row r="28834" spans="2:2" ht="12.75" customHeight="1" x14ac:dyDescent="0.2">
      <c r="B28834" s="43"/>
    </row>
    <row r="28835" spans="2:2" ht="12.75" customHeight="1" x14ac:dyDescent="0.2">
      <c r="B28835" s="43"/>
    </row>
    <row r="28836" spans="2:2" ht="12.75" customHeight="1" x14ac:dyDescent="0.2">
      <c r="B28836" s="43"/>
    </row>
    <row r="28837" spans="2:2" ht="12.75" customHeight="1" x14ac:dyDescent="0.2">
      <c r="B28837" s="43"/>
    </row>
    <row r="28838" spans="2:2" ht="12.75" customHeight="1" x14ac:dyDescent="0.2">
      <c r="B28838" s="43"/>
    </row>
    <row r="28839" spans="2:2" ht="12.75" customHeight="1" x14ac:dyDescent="0.2">
      <c r="B28839" s="43"/>
    </row>
    <row r="28840" spans="2:2" ht="12.75" customHeight="1" x14ac:dyDescent="0.2">
      <c r="B28840" s="43"/>
    </row>
    <row r="28841" spans="2:2" ht="12.75" customHeight="1" x14ac:dyDescent="0.2">
      <c r="B28841" s="43"/>
    </row>
    <row r="28842" spans="2:2" ht="12.75" customHeight="1" x14ac:dyDescent="0.2">
      <c r="B28842" s="43"/>
    </row>
    <row r="28843" spans="2:2" ht="12.75" customHeight="1" x14ac:dyDescent="0.2">
      <c r="B28843" s="43"/>
    </row>
    <row r="28844" spans="2:2" ht="12.75" customHeight="1" x14ac:dyDescent="0.2">
      <c r="B28844" s="43"/>
    </row>
    <row r="28845" spans="2:2" ht="12.75" customHeight="1" x14ac:dyDescent="0.2">
      <c r="B28845" s="43"/>
    </row>
    <row r="28846" spans="2:2" ht="12.75" customHeight="1" x14ac:dyDescent="0.2">
      <c r="B28846" s="43"/>
    </row>
    <row r="28847" spans="2:2" ht="12.75" customHeight="1" x14ac:dyDescent="0.2">
      <c r="B28847" s="43"/>
    </row>
    <row r="28848" spans="2:2" ht="12.75" customHeight="1" x14ac:dyDescent="0.2">
      <c r="B28848" s="43"/>
    </row>
    <row r="28849" spans="2:2" ht="12.75" customHeight="1" x14ac:dyDescent="0.2">
      <c r="B28849" s="43"/>
    </row>
    <row r="28850" spans="2:2" ht="12.75" customHeight="1" x14ac:dyDescent="0.2">
      <c r="B28850" s="43"/>
    </row>
    <row r="28851" spans="2:2" ht="12.75" customHeight="1" x14ac:dyDescent="0.2">
      <c r="B28851" s="43"/>
    </row>
    <row r="28852" spans="2:2" ht="12.75" customHeight="1" x14ac:dyDescent="0.2">
      <c r="B28852" s="43"/>
    </row>
    <row r="28853" spans="2:2" ht="12.75" customHeight="1" x14ac:dyDescent="0.2">
      <c r="B28853" s="43"/>
    </row>
    <row r="28854" spans="2:2" ht="12.75" customHeight="1" x14ac:dyDescent="0.2">
      <c r="B28854" s="43"/>
    </row>
    <row r="28855" spans="2:2" ht="12.75" customHeight="1" x14ac:dyDescent="0.2">
      <c r="B28855" s="43"/>
    </row>
    <row r="28856" spans="2:2" ht="12.75" customHeight="1" x14ac:dyDescent="0.2">
      <c r="B28856" s="43"/>
    </row>
    <row r="28857" spans="2:2" ht="12.75" customHeight="1" x14ac:dyDescent="0.2">
      <c r="B28857" s="43"/>
    </row>
    <row r="28858" spans="2:2" ht="12.75" customHeight="1" x14ac:dyDescent="0.2">
      <c r="B28858" s="43"/>
    </row>
    <row r="28859" spans="2:2" ht="12.75" customHeight="1" x14ac:dyDescent="0.2">
      <c r="B28859" s="43"/>
    </row>
    <row r="28860" spans="2:2" ht="12.75" customHeight="1" x14ac:dyDescent="0.2">
      <c r="B28860" s="43"/>
    </row>
    <row r="28861" spans="2:2" ht="12.75" customHeight="1" x14ac:dyDescent="0.2">
      <c r="B28861" s="43"/>
    </row>
    <row r="28862" spans="2:2" ht="12.75" customHeight="1" x14ac:dyDescent="0.2">
      <c r="B28862" s="43"/>
    </row>
    <row r="28863" spans="2:2" ht="12.75" customHeight="1" x14ac:dyDescent="0.2">
      <c r="B28863" s="43"/>
    </row>
    <row r="28864" spans="2:2" ht="12.75" customHeight="1" x14ac:dyDescent="0.2">
      <c r="B28864" s="43"/>
    </row>
    <row r="28865" spans="2:2" ht="12.75" customHeight="1" x14ac:dyDescent="0.2">
      <c r="B28865" s="43"/>
    </row>
    <row r="28866" spans="2:2" ht="12.75" customHeight="1" x14ac:dyDescent="0.2">
      <c r="B28866" s="43"/>
    </row>
    <row r="28867" spans="2:2" ht="12.75" customHeight="1" x14ac:dyDescent="0.2">
      <c r="B28867" s="43"/>
    </row>
    <row r="28868" spans="2:2" ht="12.75" customHeight="1" x14ac:dyDescent="0.2">
      <c r="B28868" s="43"/>
    </row>
    <row r="28869" spans="2:2" ht="12.75" customHeight="1" x14ac:dyDescent="0.2">
      <c r="B28869" s="43"/>
    </row>
    <row r="28870" spans="2:2" ht="12.75" customHeight="1" x14ac:dyDescent="0.2">
      <c r="B28870" s="43"/>
    </row>
    <row r="28871" spans="2:2" ht="12.75" customHeight="1" x14ac:dyDescent="0.2">
      <c r="B28871" s="43"/>
    </row>
    <row r="28872" spans="2:2" ht="12.75" customHeight="1" x14ac:dyDescent="0.2">
      <c r="B28872" s="43"/>
    </row>
    <row r="28873" spans="2:2" ht="12.75" customHeight="1" x14ac:dyDescent="0.2">
      <c r="B28873" s="43"/>
    </row>
    <row r="28874" spans="2:2" ht="12.75" customHeight="1" x14ac:dyDescent="0.2">
      <c r="B28874" s="43"/>
    </row>
    <row r="28875" spans="2:2" ht="12.75" customHeight="1" x14ac:dyDescent="0.2">
      <c r="B28875" s="43"/>
    </row>
    <row r="28876" spans="2:2" ht="12.75" customHeight="1" x14ac:dyDescent="0.2">
      <c r="B28876" s="43"/>
    </row>
    <row r="28877" spans="2:2" ht="12.75" customHeight="1" x14ac:dyDescent="0.2">
      <c r="B28877" s="43"/>
    </row>
    <row r="28878" spans="2:2" ht="12.75" customHeight="1" x14ac:dyDescent="0.2">
      <c r="B28878" s="43"/>
    </row>
    <row r="28879" spans="2:2" ht="12.75" customHeight="1" x14ac:dyDescent="0.2">
      <c r="B28879" s="43"/>
    </row>
    <row r="28880" spans="2:2" ht="12.75" customHeight="1" x14ac:dyDescent="0.2">
      <c r="B28880" s="43"/>
    </row>
    <row r="28881" spans="2:2" ht="12.75" customHeight="1" x14ac:dyDescent="0.2">
      <c r="B28881" s="43"/>
    </row>
    <row r="28882" spans="2:2" ht="12.75" customHeight="1" x14ac:dyDescent="0.2">
      <c r="B28882" s="43"/>
    </row>
    <row r="28883" spans="2:2" ht="12.75" customHeight="1" x14ac:dyDescent="0.2">
      <c r="B28883" s="43"/>
    </row>
    <row r="28884" spans="2:2" ht="12.75" customHeight="1" x14ac:dyDescent="0.2">
      <c r="B28884" s="43"/>
    </row>
    <row r="28885" spans="2:2" ht="12.75" customHeight="1" x14ac:dyDescent="0.2">
      <c r="B28885" s="43"/>
    </row>
    <row r="28886" spans="2:2" ht="12.75" customHeight="1" x14ac:dyDescent="0.2">
      <c r="B28886" s="43"/>
    </row>
    <row r="28887" spans="2:2" ht="12.75" customHeight="1" x14ac:dyDescent="0.2">
      <c r="B28887" s="43"/>
    </row>
    <row r="28888" spans="2:2" ht="12.75" customHeight="1" x14ac:dyDescent="0.2">
      <c r="B28888" s="43"/>
    </row>
    <row r="28889" spans="2:2" ht="12.75" customHeight="1" x14ac:dyDescent="0.2">
      <c r="B28889" s="43"/>
    </row>
    <row r="28890" spans="2:2" ht="12.75" customHeight="1" x14ac:dyDescent="0.2">
      <c r="B28890" s="43"/>
    </row>
    <row r="28891" spans="2:2" ht="12.75" customHeight="1" x14ac:dyDescent="0.2">
      <c r="B28891" s="43"/>
    </row>
    <row r="28892" spans="2:2" ht="12.75" customHeight="1" x14ac:dyDescent="0.2">
      <c r="B28892" s="43"/>
    </row>
    <row r="28893" spans="2:2" ht="12.75" customHeight="1" x14ac:dyDescent="0.2">
      <c r="B28893" s="43"/>
    </row>
    <row r="28894" spans="2:2" ht="12.75" customHeight="1" x14ac:dyDescent="0.2">
      <c r="B28894" s="43"/>
    </row>
    <row r="28895" spans="2:2" ht="12.75" customHeight="1" x14ac:dyDescent="0.2">
      <c r="B28895" s="43"/>
    </row>
    <row r="28896" spans="2:2" ht="12.75" customHeight="1" x14ac:dyDescent="0.2">
      <c r="B28896" s="43"/>
    </row>
    <row r="28897" spans="2:2" ht="12.75" customHeight="1" x14ac:dyDescent="0.2">
      <c r="B28897" s="43"/>
    </row>
    <row r="28898" spans="2:2" ht="12.75" customHeight="1" x14ac:dyDescent="0.2">
      <c r="B28898" s="43"/>
    </row>
    <row r="28899" spans="2:2" ht="12.75" customHeight="1" x14ac:dyDescent="0.2">
      <c r="B28899" s="43"/>
    </row>
    <row r="28900" spans="2:2" ht="12.75" customHeight="1" x14ac:dyDescent="0.2">
      <c r="B28900" s="43"/>
    </row>
    <row r="28901" spans="2:2" ht="12.75" customHeight="1" x14ac:dyDescent="0.2">
      <c r="B28901" s="43"/>
    </row>
    <row r="28902" spans="2:2" ht="12.75" customHeight="1" x14ac:dyDescent="0.2">
      <c r="B28902" s="43"/>
    </row>
    <row r="28903" spans="2:2" ht="12.75" customHeight="1" x14ac:dyDescent="0.2">
      <c r="B28903" s="43"/>
    </row>
    <row r="28904" spans="2:2" ht="12.75" customHeight="1" x14ac:dyDescent="0.2">
      <c r="B28904" s="43"/>
    </row>
    <row r="28905" spans="2:2" ht="12.75" customHeight="1" x14ac:dyDescent="0.2">
      <c r="B28905" s="43"/>
    </row>
    <row r="28906" spans="2:2" ht="12.75" customHeight="1" x14ac:dyDescent="0.2">
      <c r="B28906" s="43"/>
    </row>
    <row r="28907" spans="2:2" ht="12.75" customHeight="1" x14ac:dyDescent="0.2">
      <c r="B28907" s="43"/>
    </row>
    <row r="28908" spans="2:2" ht="12.75" customHeight="1" x14ac:dyDescent="0.2">
      <c r="B28908" s="43"/>
    </row>
    <row r="28909" spans="2:2" ht="12.75" customHeight="1" x14ac:dyDescent="0.2">
      <c r="B28909" s="43"/>
    </row>
    <row r="28910" spans="2:2" ht="12.75" customHeight="1" x14ac:dyDescent="0.2">
      <c r="B28910" s="43"/>
    </row>
    <row r="28911" spans="2:2" ht="12.75" customHeight="1" x14ac:dyDescent="0.2">
      <c r="B28911" s="43"/>
    </row>
    <row r="28912" spans="2:2" ht="12.75" customHeight="1" x14ac:dyDescent="0.2">
      <c r="B28912" s="43"/>
    </row>
    <row r="28913" spans="2:2" ht="12.75" customHeight="1" x14ac:dyDescent="0.2">
      <c r="B28913" s="43"/>
    </row>
    <row r="28914" spans="2:2" ht="12.75" customHeight="1" x14ac:dyDescent="0.2">
      <c r="B28914" s="43"/>
    </row>
    <row r="28915" spans="2:2" ht="12.75" customHeight="1" x14ac:dyDescent="0.2">
      <c r="B28915" s="43"/>
    </row>
    <row r="28916" spans="2:2" ht="12.75" customHeight="1" x14ac:dyDescent="0.2">
      <c r="B28916" s="43"/>
    </row>
    <row r="28917" spans="2:2" ht="12.75" customHeight="1" x14ac:dyDescent="0.2">
      <c r="B28917" s="43"/>
    </row>
    <row r="28918" spans="2:2" ht="12.75" customHeight="1" x14ac:dyDescent="0.2">
      <c r="B28918" s="43"/>
    </row>
    <row r="28919" spans="2:2" ht="12.75" customHeight="1" x14ac:dyDescent="0.2">
      <c r="B28919" s="43"/>
    </row>
    <row r="28920" spans="2:2" ht="12.75" customHeight="1" x14ac:dyDescent="0.2">
      <c r="B28920" s="43"/>
    </row>
    <row r="28921" spans="2:2" ht="12.75" customHeight="1" x14ac:dyDescent="0.2">
      <c r="B28921" s="43"/>
    </row>
    <row r="28922" spans="2:2" ht="12.75" customHeight="1" x14ac:dyDescent="0.2">
      <c r="B28922" s="43"/>
    </row>
    <row r="28923" spans="2:2" ht="12.75" customHeight="1" x14ac:dyDescent="0.2">
      <c r="B28923" s="43"/>
    </row>
    <row r="28924" spans="2:2" ht="12.75" customHeight="1" x14ac:dyDescent="0.2">
      <c r="B28924" s="43"/>
    </row>
    <row r="28925" spans="2:2" ht="12.75" customHeight="1" x14ac:dyDescent="0.2">
      <c r="B28925" s="43"/>
    </row>
    <row r="28926" spans="2:2" ht="12.75" customHeight="1" x14ac:dyDescent="0.2">
      <c r="B28926" s="43"/>
    </row>
    <row r="28927" spans="2:2" ht="12.75" customHeight="1" x14ac:dyDescent="0.2">
      <c r="B28927" s="43"/>
    </row>
    <row r="28928" spans="2:2" ht="12.75" customHeight="1" x14ac:dyDescent="0.2">
      <c r="B28928" s="43"/>
    </row>
    <row r="28929" spans="2:2" ht="12.75" customHeight="1" x14ac:dyDescent="0.2">
      <c r="B28929" s="43"/>
    </row>
    <row r="28930" spans="2:2" ht="12.75" customHeight="1" x14ac:dyDescent="0.2">
      <c r="B28930" s="43"/>
    </row>
    <row r="28931" spans="2:2" ht="12.75" customHeight="1" x14ac:dyDescent="0.2">
      <c r="B28931" s="43"/>
    </row>
    <row r="28932" spans="2:2" ht="12.75" customHeight="1" x14ac:dyDescent="0.2">
      <c r="B28932" s="43"/>
    </row>
    <row r="28933" spans="2:2" ht="12.75" customHeight="1" x14ac:dyDescent="0.2">
      <c r="B28933" s="43"/>
    </row>
    <row r="28934" spans="2:2" ht="12.75" customHeight="1" x14ac:dyDescent="0.2">
      <c r="B28934" s="43"/>
    </row>
    <row r="28935" spans="2:2" ht="12.75" customHeight="1" x14ac:dyDescent="0.2">
      <c r="B28935" s="43"/>
    </row>
    <row r="28936" spans="2:2" ht="12.75" customHeight="1" x14ac:dyDescent="0.2">
      <c r="B28936" s="43"/>
    </row>
    <row r="28937" spans="2:2" ht="12.75" customHeight="1" x14ac:dyDescent="0.2">
      <c r="B28937" s="43"/>
    </row>
    <row r="28938" spans="2:2" ht="12.75" customHeight="1" x14ac:dyDescent="0.2">
      <c r="B28938" s="43"/>
    </row>
    <row r="28939" spans="2:2" ht="12.75" customHeight="1" x14ac:dyDescent="0.2">
      <c r="B28939" s="43"/>
    </row>
    <row r="28940" spans="2:2" ht="12.75" customHeight="1" x14ac:dyDescent="0.2">
      <c r="B28940" s="43"/>
    </row>
    <row r="28941" spans="2:2" ht="12.75" customHeight="1" x14ac:dyDescent="0.2">
      <c r="B28941" s="43"/>
    </row>
    <row r="28942" spans="2:2" ht="12.75" customHeight="1" x14ac:dyDescent="0.2">
      <c r="B28942" s="43"/>
    </row>
    <row r="28943" spans="2:2" ht="12.75" customHeight="1" x14ac:dyDescent="0.2">
      <c r="B28943" s="43"/>
    </row>
    <row r="28944" spans="2:2" ht="12.75" customHeight="1" x14ac:dyDescent="0.2">
      <c r="B28944" s="43"/>
    </row>
    <row r="28945" spans="2:2" ht="12.75" customHeight="1" x14ac:dyDescent="0.2">
      <c r="B28945" s="43"/>
    </row>
    <row r="28946" spans="2:2" ht="12.75" customHeight="1" x14ac:dyDescent="0.2">
      <c r="B28946" s="43"/>
    </row>
    <row r="28947" spans="2:2" ht="12.75" customHeight="1" x14ac:dyDescent="0.2">
      <c r="B28947" s="43"/>
    </row>
    <row r="28948" spans="2:2" ht="12.75" customHeight="1" x14ac:dyDescent="0.2">
      <c r="B28948" s="43"/>
    </row>
    <row r="28949" spans="2:2" ht="12.75" customHeight="1" x14ac:dyDescent="0.2">
      <c r="B28949" s="43"/>
    </row>
    <row r="28950" spans="2:2" ht="12.75" customHeight="1" x14ac:dyDescent="0.2">
      <c r="B28950" s="43"/>
    </row>
    <row r="28951" spans="2:2" ht="12.75" customHeight="1" x14ac:dyDescent="0.2">
      <c r="B28951" s="43"/>
    </row>
    <row r="28952" spans="2:2" ht="12.75" customHeight="1" x14ac:dyDescent="0.2">
      <c r="B28952" s="43"/>
    </row>
    <row r="28953" spans="2:2" ht="12.75" customHeight="1" x14ac:dyDescent="0.2">
      <c r="B28953" s="43"/>
    </row>
    <row r="28954" spans="2:2" ht="12.75" customHeight="1" x14ac:dyDescent="0.2">
      <c r="B28954" s="43"/>
    </row>
    <row r="28955" spans="2:2" ht="12.75" customHeight="1" x14ac:dyDescent="0.2">
      <c r="B28955" s="43"/>
    </row>
    <row r="28956" spans="2:2" ht="12.75" customHeight="1" x14ac:dyDescent="0.2">
      <c r="B28956" s="43"/>
    </row>
    <row r="28957" spans="2:2" ht="12.75" customHeight="1" x14ac:dyDescent="0.2">
      <c r="B28957" s="43"/>
    </row>
    <row r="28958" spans="2:2" ht="12.75" customHeight="1" x14ac:dyDescent="0.2">
      <c r="B28958" s="43"/>
    </row>
    <row r="28959" spans="2:2" ht="12.75" customHeight="1" x14ac:dyDescent="0.2">
      <c r="B28959" s="43"/>
    </row>
    <row r="28960" spans="2:2" ht="12.75" customHeight="1" x14ac:dyDescent="0.2">
      <c r="B28960" s="43"/>
    </row>
    <row r="28961" spans="2:2" ht="12.75" customHeight="1" x14ac:dyDescent="0.2">
      <c r="B28961" s="43"/>
    </row>
    <row r="28962" spans="2:2" ht="12.75" customHeight="1" x14ac:dyDescent="0.2">
      <c r="B28962" s="43"/>
    </row>
    <row r="28963" spans="2:2" ht="12.75" customHeight="1" x14ac:dyDescent="0.2">
      <c r="B28963" s="43"/>
    </row>
    <row r="28964" spans="2:2" ht="12.75" customHeight="1" x14ac:dyDescent="0.2">
      <c r="B28964" s="43"/>
    </row>
    <row r="28965" spans="2:2" ht="12.75" customHeight="1" x14ac:dyDescent="0.2">
      <c r="B28965" s="43"/>
    </row>
    <row r="28966" spans="2:2" ht="12.75" customHeight="1" x14ac:dyDescent="0.2">
      <c r="B28966" s="43"/>
    </row>
    <row r="28967" spans="2:2" ht="12.75" customHeight="1" x14ac:dyDescent="0.2">
      <c r="B28967" s="43"/>
    </row>
    <row r="28968" spans="2:2" ht="12.75" customHeight="1" x14ac:dyDescent="0.2">
      <c r="B28968" s="43"/>
    </row>
    <row r="28969" spans="2:2" ht="12.75" customHeight="1" x14ac:dyDescent="0.2">
      <c r="B28969" s="43"/>
    </row>
    <row r="28970" spans="2:2" ht="12.75" customHeight="1" x14ac:dyDescent="0.2">
      <c r="B28970" s="43"/>
    </row>
    <row r="28971" spans="2:2" ht="12.75" customHeight="1" x14ac:dyDescent="0.2">
      <c r="B28971" s="43"/>
    </row>
    <row r="28972" spans="2:2" ht="12.75" customHeight="1" x14ac:dyDescent="0.2">
      <c r="B28972" s="43"/>
    </row>
    <row r="28973" spans="2:2" ht="12.75" customHeight="1" x14ac:dyDescent="0.2">
      <c r="B28973" s="43"/>
    </row>
    <row r="28974" spans="2:2" ht="12.75" customHeight="1" x14ac:dyDescent="0.2">
      <c r="B28974" s="43"/>
    </row>
    <row r="28975" spans="2:2" ht="12.75" customHeight="1" x14ac:dyDescent="0.2">
      <c r="B28975" s="43"/>
    </row>
    <row r="28976" spans="2:2" ht="12.75" customHeight="1" x14ac:dyDescent="0.2">
      <c r="B28976" s="43"/>
    </row>
    <row r="28977" spans="2:2" ht="12.75" customHeight="1" x14ac:dyDescent="0.2">
      <c r="B28977" s="43"/>
    </row>
    <row r="28978" spans="2:2" ht="12.75" customHeight="1" x14ac:dyDescent="0.2">
      <c r="B28978" s="43"/>
    </row>
    <row r="28979" spans="2:2" ht="12.75" customHeight="1" x14ac:dyDescent="0.2">
      <c r="B28979" s="43"/>
    </row>
    <row r="28980" spans="2:2" ht="12.75" customHeight="1" x14ac:dyDescent="0.2">
      <c r="B28980" s="43"/>
    </row>
    <row r="28981" spans="2:2" ht="12.75" customHeight="1" x14ac:dyDescent="0.2">
      <c r="B28981" s="43"/>
    </row>
    <row r="28982" spans="2:2" ht="12.75" customHeight="1" x14ac:dyDescent="0.2">
      <c r="B28982" s="43"/>
    </row>
    <row r="28983" spans="2:2" ht="12.75" customHeight="1" x14ac:dyDescent="0.2">
      <c r="B28983" s="43"/>
    </row>
    <row r="28984" spans="2:2" ht="12.75" customHeight="1" x14ac:dyDescent="0.2">
      <c r="B28984" s="43"/>
    </row>
    <row r="28985" spans="2:2" ht="12.75" customHeight="1" x14ac:dyDescent="0.2">
      <c r="B28985" s="43"/>
    </row>
    <row r="28986" spans="2:2" ht="12.75" customHeight="1" x14ac:dyDescent="0.2">
      <c r="B28986" s="43"/>
    </row>
    <row r="28987" spans="2:2" ht="12.75" customHeight="1" x14ac:dyDescent="0.2">
      <c r="B28987" s="43"/>
    </row>
    <row r="28988" spans="2:2" ht="12.75" customHeight="1" x14ac:dyDescent="0.2">
      <c r="B28988" s="43"/>
    </row>
    <row r="28989" spans="2:2" ht="12.75" customHeight="1" x14ac:dyDescent="0.2">
      <c r="B28989" s="43"/>
    </row>
    <row r="28990" spans="2:2" ht="12.75" customHeight="1" x14ac:dyDescent="0.2">
      <c r="B28990" s="43"/>
    </row>
    <row r="28991" spans="2:2" ht="12.75" customHeight="1" x14ac:dyDescent="0.2">
      <c r="B28991" s="43"/>
    </row>
    <row r="28992" spans="2:2" ht="12.75" customHeight="1" x14ac:dyDescent="0.2">
      <c r="B28992" s="43"/>
    </row>
    <row r="28993" spans="2:2" ht="12.75" customHeight="1" x14ac:dyDescent="0.2">
      <c r="B28993" s="43"/>
    </row>
    <row r="28994" spans="2:2" ht="12.75" customHeight="1" x14ac:dyDescent="0.2">
      <c r="B28994" s="43"/>
    </row>
    <row r="28995" spans="2:2" ht="12.75" customHeight="1" x14ac:dyDescent="0.2">
      <c r="B28995" s="43"/>
    </row>
    <row r="28996" spans="2:2" ht="12.75" customHeight="1" x14ac:dyDescent="0.2">
      <c r="B28996" s="43"/>
    </row>
    <row r="28997" spans="2:2" ht="12.75" customHeight="1" x14ac:dyDescent="0.2">
      <c r="B28997" s="43"/>
    </row>
    <row r="28998" spans="2:2" ht="12.75" customHeight="1" x14ac:dyDescent="0.2">
      <c r="B28998" s="43"/>
    </row>
    <row r="28999" spans="2:2" ht="12.75" customHeight="1" x14ac:dyDescent="0.2">
      <c r="B28999" s="43"/>
    </row>
    <row r="29000" spans="2:2" ht="12.75" customHeight="1" x14ac:dyDescent="0.2">
      <c r="B29000" s="43"/>
    </row>
    <row r="29001" spans="2:2" ht="12.75" customHeight="1" x14ac:dyDescent="0.2">
      <c r="B29001" s="43"/>
    </row>
    <row r="29002" spans="2:2" ht="12.75" customHeight="1" x14ac:dyDescent="0.2">
      <c r="B29002" s="43"/>
    </row>
    <row r="29003" spans="2:2" ht="12.75" customHeight="1" x14ac:dyDescent="0.2">
      <c r="B29003" s="43"/>
    </row>
    <row r="29004" spans="2:2" ht="12.75" customHeight="1" x14ac:dyDescent="0.2">
      <c r="B29004" s="43"/>
    </row>
    <row r="29005" spans="2:2" ht="12.75" customHeight="1" x14ac:dyDescent="0.2">
      <c r="B29005" s="43"/>
    </row>
    <row r="29006" spans="2:2" ht="12.75" customHeight="1" x14ac:dyDescent="0.2">
      <c r="B29006" s="43"/>
    </row>
    <row r="29007" spans="2:2" ht="12.75" customHeight="1" x14ac:dyDescent="0.2">
      <c r="B29007" s="43"/>
    </row>
    <row r="29008" spans="2:2" ht="12.75" customHeight="1" x14ac:dyDescent="0.2">
      <c r="B29008" s="43"/>
    </row>
    <row r="29009" spans="2:2" ht="12.75" customHeight="1" x14ac:dyDescent="0.2">
      <c r="B29009" s="43"/>
    </row>
    <row r="29010" spans="2:2" ht="12.75" customHeight="1" x14ac:dyDescent="0.2">
      <c r="B29010" s="43"/>
    </row>
    <row r="29011" spans="2:2" ht="12.75" customHeight="1" x14ac:dyDescent="0.2">
      <c r="B29011" s="43"/>
    </row>
    <row r="29012" spans="2:2" ht="12.75" customHeight="1" x14ac:dyDescent="0.2">
      <c r="B29012" s="43"/>
    </row>
    <row r="29013" spans="2:2" ht="12.75" customHeight="1" x14ac:dyDescent="0.2">
      <c r="B29013" s="43"/>
    </row>
    <row r="29014" spans="2:2" ht="12.75" customHeight="1" x14ac:dyDescent="0.2">
      <c r="B29014" s="43"/>
    </row>
    <row r="29015" spans="2:2" ht="12.75" customHeight="1" x14ac:dyDescent="0.2">
      <c r="B29015" s="43"/>
    </row>
    <row r="29016" spans="2:2" ht="12.75" customHeight="1" x14ac:dyDescent="0.2">
      <c r="B29016" s="43"/>
    </row>
    <row r="29017" spans="2:2" ht="12.75" customHeight="1" x14ac:dyDescent="0.2">
      <c r="B29017" s="43"/>
    </row>
    <row r="29018" spans="2:2" ht="12.75" customHeight="1" x14ac:dyDescent="0.2">
      <c r="B29018" s="43"/>
    </row>
    <row r="29019" spans="2:2" ht="12.75" customHeight="1" x14ac:dyDescent="0.2">
      <c r="B29019" s="43"/>
    </row>
    <row r="29020" spans="2:2" ht="12.75" customHeight="1" x14ac:dyDescent="0.2">
      <c r="B29020" s="43"/>
    </row>
    <row r="29021" spans="2:2" ht="12.75" customHeight="1" x14ac:dyDescent="0.2">
      <c r="B29021" s="43"/>
    </row>
    <row r="29022" spans="2:2" ht="12.75" customHeight="1" x14ac:dyDescent="0.2">
      <c r="B29022" s="43"/>
    </row>
    <row r="29023" spans="2:2" ht="12.75" customHeight="1" x14ac:dyDescent="0.2">
      <c r="B29023" s="43"/>
    </row>
    <row r="29024" spans="2:2" ht="12.75" customHeight="1" x14ac:dyDescent="0.2">
      <c r="B29024" s="43"/>
    </row>
    <row r="29025" spans="2:2" ht="12.75" customHeight="1" x14ac:dyDescent="0.2">
      <c r="B29025" s="43"/>
    </row>
    <row r="29026" spans="2:2" ht="12.75" customHeight="1" x14ac:dyDescent="0.2">
      <c r="B29026" s="43"/>
    </row>
    <row r="29027" spans="2:2" ht="12.75" customHeight="1" x14ac:dyDescent="0.2">
      <c r="B29027" s="43"/>
    </row>
    <row r="29028" spans="2:2" ht="12.75" customHeight="1" x14ac:dyDescent="0.2">
      <c r="B29028" s="43"/>
    </row>
    <row r="29029" spans="2:2" ht="12.75" customHeight="1" x14ac:dyDescent="0.2">
      <c r="B29029" s="43"/>
    </row>
    <row r="29030" spans="2:2" ht="12.75" customHeight="1" x14ac:dyDescent="0.2">
      <c r="B29030" s="43"/>
    </row>
    <row r="29031" spans="2:2" ht="12.75" customHeight="1" x14ac:dyDescent="0.2">
      <c r="B29031" s="43"/>
    </row>
    <row r="29032" spans="2:2" ht="12.75" customHeight="1" x14ac:dyDescent="0.2">
      <c r="B29032" s="43"/>
    </row>
    <row r="29033" spans="2:2" ht="12.75" customHeight="1" x14ac:dyDescent="0.2">
      <c r="B29033" s="43"/>
    </row>
    <row r="29034" spans="2:2" ht="12.75" customHeight="1" x14ac:dyDescent="0.2">
      <c r="B29034" s="43"/>
    </row>
    <row r="29035" spans="2:2" ht="12.75" customHeight="1" x14ac:dyDescent="0.2">
      <c r="B29035" s="43"/>
    </row>
    <row r="29036" spans="2:2" ht="12.75" customHeight="1" x14ac:dyDescent="0.2">
      <c r="B29036" s="43"/>
    </row>
    <row r="29037" spans="2:2" ht="12.75" customHeight="1" x14ac:dyDescent="0.2">
      <c r="B29037" s="43"/>
    </row>
    <row r="29038" spans="2:2" ht="12.75" customHeight="1" x14ac:dyDescent="0.2">
      <c r="B29038" s="43"/>
    </row>
    <row r="29039" spans="2:2" ht="12.75" customHeight="1" x14ac:dyDescent="0.2">
      <c r="B29039" s="43"/>
    </row>
    <row r="29040" spans="2:2" ht="12.75" customHeight="1" x14ac:dyDescent="0.2">
      <c r="B29040" s="43"/>
    </row>
    <row r="29041" spans="2:2" ht="12.75" customHeight="1" x14ac:dyDescent="0.2">
      <c r="B29041" s="43"/>
    </row>
    <row r="29042" spans="2:2" ht="12.75" customHeight="1" x14ac:dyDescent="0.2">
      <c r="B29042" s="43"/>
    </row>
    <row r="29043" spans="2:2" ht="12.75" customHeight="1" x14ac:dyDescent="0.2">
      <c r="B29043" s="43"/>
    </row>
    <row r="29044" spans="2:2" ht="12.75" customHeight="1" x14ac:dyDescent="0.2">
      <c r="B29044" s="43"/>
    </row>
    <row r="29045" spans="2:2" ht="12.75" customHeight="1" x14ac:dyDescent="0.2">
      <c r="B29045" s="43"/>
    </row>
    <row r="29046" spans="2:2" ht="12.75" customHeight="1" x14ac:dyDescent="0.2">
      <c r="B29046" s="43"/>
    </row>
    <row r="29047" spans="2:2" ht="12.75" customHeight="1" x14ac:dyDescent="0.2">
      <c r="B29047" s="43"/>
    </row>
    <row r="29048" spans="2:2" ht="12.75" customHeight="1" x14ac:dyDescent="0.2">
      <c r="B29048" s="43"/>
    </row>
    <row r="29049" spans="2:2" ht="12.75" customHeight="1" x14ac:dyDescent="0.2">
      <c r="B29049" s="43"/>
    </row>
    <row r="29050" spans="2:2" ht="12.75" customHeight="1" x14ac:dyDescent="0.2">
      <c r="B29050" s="43"/>
    </row>
    <row r="29051" spans="2:2" ht="12.75" customHeight="1" x14ac:dyDescent="0.2">
      <c r="B29051" s="43"/>
    </row>
    <row r="29052" spans="2:2" ht="12.75" customHeight="1" x14ac:dyDescent="0.2">
      <c r="B29052" s="43"/>
    </row>
    <row r="29053" spans="2:2" ht="12.75" customHeight="1" x14ac:dyDescent="0.2">
      <c r="B29053" s="43"/>
    </row>
    <row r="29054" spans="2:2" ht="12.75" customHeight="1" x14ac:dyDescent="0.2">
      <c r="B29054" s="43"/>
    </row>
    <row r="29055" spans="2:2" ht="12.75" customHeight="1" x14ac:dyDescent="0.2">
      <c r="B29055" s="43"/>
    </row>
    <row r="29056" spans="2:2" ht="12.75" customHeight="1" x14ac:dyDescent="0.2">
      <c r="B29056" s="43"/>
    </row>
    <row r="29057" spans="2:2" ht="12.75" customHeight="1" x14ac:dyDescent="0.2">
      <c r="B29057" s="43"/>
    </row>
    <row r="29058" spans="2:2" ht="12.75" customHeight="1" x14ac:dyDescent="0.2">
      <c r="B29058" s="43"/>
    </row>
    <row r="29059" spans="2:2" ht="12.75" customHeight="1" x14ac:dyDescent="0.2">
      <c r="B29059" s="43"/>
    </row>
    <row r="29060" spans="2:2" ht="12.75" customHeight="1" x14ac:dyDescent="0.2">
      <c r="B29060" s="43"/>
    </row>
    <row r="29061" spans="2:2" ht="12.75" customHeight="1" x14ac:dyDescent="0.2">
      <c r="B29061" s="43"/>
    </row>
    <row r="29062" spans="2:2" ht="12.75" customHeight="1" x14ac:dyDescent="0.2">
      <c r="B29062" s="43"/>
    </row>
    <row r="29063" spans="2:2" ht="12.75" customHeight="1" x14ac:dyDescent="0.2">
      <c r="B29063" s="43"/>
    </row>
    <row r="29064" spans="2:2" ht="12.75" customHeight="1" x14ac:dyDescent="0.2">
      <c r="B29064" s="43"/>
    </row>
    <row r="29065" spans="2:2" ht="12.75" customHeight="1" x14ac:dyDescent="0.2">
      <c r="B29065" s="43"/>
    </row>
    <row r="29066" spans="2:2" ht="12.75" customHeight="1" x14ac:dyDescent="0.2">
      <c r="B29066" s="43"/>
    </row>
    <row r="29067" spans="2:2" ht="12.75" customHeight="1" x14ac:dyDescent="0.2">
      <c r="B29067" s="43"/>
    </row>
    <row r="29068" spans="2:2" ht="12.75" customHeight="1" x14ac:dyDescent="0.2">
      <c r="B29068" s="43"/>
    </row>
    <row r="29069" spans="2:2" ht="12.75" customHeight="1" x14ac:dyDescent="0.2">
      <c r="B29069" s="43"/>
    </row>
    <row r="29070" spans="2:2" ht="12.75" customHeight="1" x14ac:dyDescent="0.2">
      <c r="B29070" s="43"/>
    </row>
    <row r="29071" spans="2:2" ht="12.75" customHeight="1" x14ac:dyDescent="0.2">
      <c r="B29071" s="43"/>
    </row>
    <row r="29072" spans="2:2" ht="12.75" customHeight="1" x14ac:dyDescent="0.2">
      <c r="B29072" s="43"/>
    </row>
    <row r="29073" spans="2:2" ht="12.75" customHeight="1" x14ac:dyDescent="0.2">
      <c r="B29073" s="43"/>
    </row>
    <row r="29074" spans="2:2" ht="12.75" customHeight="1" x14ac:dyDescent="0.2">
      <c r="B29074" s="43"/>
    </row>
    <row r="29075" spans="2:2" ht="12.75" customHeight="1" x14ac:dyDescent="0.2">
      <c r="B29075" s="43"/>
    </row>
    <row r="29076" spans="2:2" ht="12.75" customHeight="1" x14ac:dyDescent="0.2">
      <c r="B29076" s="43"/>
    </row>
    <row r="29077" spans="2:2" ht="12.75" customHeight="1" x14ac:dyDescent="0.2">
      <c r="B29077" s="43"/>
    </row>
    <row r="29078" spans="2:2" ht="12.75" customHeight="1" x14ac:dyDescent="0.2">
      <c r="B29078" s="43"/>
    </row>
    <row r="29079" spans="2:2" ht="12.75" customHeight="1" x14ac:dyDescent="0.2">
      <c r="B29079" s="43"/>
    </row>
    <row r="29080" spans="2:2" ht="12.75" customHeight="1" x14ac:dyDescent="0.2">
      <c r="B29080" s="43"/>
    </row>
    <row r="29081" spans="2:2" ht="12.75" customHeight="1" x14ac:dyDescent="0.2">
      <c r="B29081" s="43"/>
    </row>
    <row r="29082" spans="2:2" ht="12.75" customHeight="1" x14ac:dyDescent="0.2">
      <c r="B29082" s="43"/>
    </row>
    <row r="29083" spans="2:2" ht="12.75" customHeight="1" x14ac:dyDescent="0.2">
      <c r="B29083" s="43"/>
    </row>
    <row r="29084" spans="2:2" ht="12.75" customHeight="1" x14ac:dyDescent="0.2">
      <c r="B29084" s="43"/>
    </row>
    <row r="29085" spans="2:2" ht="12.75" customHeight="1" x14ac:dyDescent="0.2">
      <c r="B29085" s="43"/>
    </row>
    <row r="29086" spans="2:2" ht="12.75" customHeight="1" x14ac:dyDescent="0.2">
      <c r="B29086" s="43"/>
    </row>
    <row r="29087" spans="2:2" ht="12.75" customHeight="1" x14ac:dyDescent="0.2">
      <c r="B29087" s="43"/>
    </row>
    <row r="29088" spans="2:2" ht="12.75" customHeight="1" x14ac:dyDescent="0.2">
      <c r="B29088" s="43"/>
    </row>
    <row r="29089" spans="2:2" ht="12.75" customHeight="1" x14ac:dyDescent="0.2">
      <c r="B29089" s="43"/>
    </row>
    <row r="29090" spans="2:2" ht="12.75" customHeight="1" x14ac:dyDescent="0.2">
      <c r="B29090" s="43"/>
    </row>
    <row r="29091" spans="2:2" ht="12.75" customHeight="1" x14ac:dyDescent="0.2">
      <c r="B29091" s="43"/>
    </row>
    <row r="29092" spans="2:2" ht="12.75" customHeight="1" x14ac:dyDescent="0.2">
      <c r="B29092" s="43"/>
    </row>
    <row r="29093" spans="2:2" ht="12.75" customHeight="1" x14ac:dyDescent="0.2">
      <c r="B29093" s="43"/>
    </row>
    <row r="29094" spans="2:2" ht="12.75" customHeight="1" x14ac:dyDescent="0.2">
      <c r="B29094" s="43"/>
    </row>
    <row r="29095" spans="2:2" ht="12.75" customHeight="1" x14ac:dyDescent="0.2">
      <c r="B29095" s="43"/>
    </row>
    <row r="29096" spans="2:2" ht="12.75" customHeight="1" x14ac:dyDescent="0.2">
      <c r="B29096" s="43"/>
    </row>
    <row r="29097" spans="2:2" ht="12.75" customHeight="1" x14ac:dyDescent="0.2">
      <c r="B29097" s="43"/>
    </row>
    <row r="29098" spans="2:2" ht="12.75" customHeight="1" x14ac:dyDescent="0.2">
      <c r="B29098" s="43"/>
    </row>
    <row r="29099" spans="2:2" ht="12.75" customHeight="1" x14ac:dyDescent="0.2">
      <c r="B29099" s="43"/>
    </row>
    <row r="29100" spans="2:2" ht="12.75" customHeight="1" x14ac:dyDescent="0.2">
      <c r="B29100" s="43"/>
    </row>
    <row r="29101" spans="2:2" ht="12.75" customHeight="1" x14ac:dyDescent="0.2">
      <c r="B29101" s="43"/>
    </row>
    <row r="29102" spans="2:2" ht="12.75" customHeight="1" x14ac:dyDescent="0.2">
      <c r="B29102" s="43"/>
    </row>
    <row r="29103" spans="2:2" ht="12.75" customHeight="1" x14ac:dyDescent="0.2">
      <c r="B29103" s="43"/>
    </row>
    <row r="29104" spans="2:2" ht="12.75" customHeight="1" x14ac:dyDescent="0.2">
      <c r="B29104" s="43"/>
    </row>
    <row r="29105" spans="2:2" ht="12.75" customHeight="1" x14ac:dyDescent="0.2">
      <c r="B29105" s="43"/>
    </row>
    <row r="29106" spans="2:2" ht="12.75" customHeight="1" x14ac:dyDescent="0.2">
      <c r="B29106" s="43"/>
    </row>
    <row r="29107" spans="2:2" ht="12.75" customHeight="1" x14ac:dyDescent="0.2">
      <c r="B29107" s="43"/>
    </row>
    <row r="29108" spans="2:2" ht="12.75" customHeight="1" x14ac:dyDescent="0.2">
      <c r="B29108" s="43"/>
    </row>
    <row r="29109" spans="2:2" ht="12.75" customHeight="1" x14ac:dyDescent="0.2">
      <c r="B29109" s="43"/>
    </row>
    <row r="29110" spans="2:2" ht="12.75" customHeight="1" x14ac:dyDescent="0.2">
      <c r="B29110" s="43"/>
    </row>
    <row r="29111" spans="2:2" ht="12.75" customHeight="1" x14ac:dyDescent="0.2">
      <c r="B29111" s="43"/>
    </row>
    <row r="29112" spans="2:2" ht="12.75" customHeight="1" x14ac:dyDescent="0.2">
      <c r="B29112" s="43"/>
    </row>
    <row r="29113" spans="2:2" ht="12.75" customHeight="1" x14ac:dyDescent="0.2">
      <c r="B29113" s="43"/>
    </row>
    <row r="29114" spans="2:2" ht="12.75" customHeight="1" x14ac:dyDescent="0.2">
      <c r="B29114" s="43"/>
    </row>
    <row r="29115" spans="2:2" ht="12.75" customHeight="1" x14ac:dyDescent="0.2">
      <c r="B29115" s="43"/>
    </row>
    <row r="29116" spans="2:2" ht="12.75" customHeight="1" x14ac:dyDescent="0.2">
      <c r="B29116" s="43"/>
    </row>
    <row r="29117" spans="2:2" ht="12.75" customHeight="1" x14ac:dyDescent="0.2">
      <c r="B29117" s="43"/>
    </row>
    <row r="29118" spans="2:2" ht="12.75" customHeight="1" x14ac:dyDescent="0.2">
      <c r="B29118" s="43"/>
    </row>
    <row r="29119" spans="2:2" ht="12.75" customHeight="1" x14ac:dyDescent="0.2">
      <c r="B29119" s="43"/>
    </row>
    <row r="29120" spans="2:2" ht="12.75" customHeight="1" x14ac:dyDescent="0.2">
      <c r="B29120" s="43"/>
    </row>
    <row r="29121" spans="2:2" ht="12.75" customHeight="1" x14ac:dyDescent="0.2">
      <c r="B29121" s="43"/>
    </row>
    <row r="29122" spans="2:2" ht="12.75" customHeight="1" x14ac:dyDescent="0.2">
      <c r="B29122" s="43"/>
    </row>
    <row r="29123" spans="2:2" ht="12.75" customHeight="1" x14ac:dyDescent="0.2">
      <c r="B29123" s="43"/>
    </row>
    <row r="29124" spans="2:2" ht="12.75" customHeight="1" x14ac:dyDescent="0.2">
      <c r="B29124" s="43"/>
    </row>
    <row r="29125" spans="2:2" ht="12.75" customHeight="1" x14ac:dyDescent="0.2">
      <c r="B29125" s="43"/>
    </row>
    <row r="29126" spans="2:2" ht="12.75" customHeight="1" x14ac:dyDescent="0.2">
      <c r="B29126" s="43"/>
    </row>
    <row r="29127" spans="2:2" ht="12.75" customHeight="1" x14ac:dyDescent="0.2">
      <c r="B29127" s="43"/>
    </row>
    <row r="29128" spans="2:2" ht="12.75" customHeight="1" x14ac:dyDescent="0.2">
      <c r="B29128" s="43"/>
    </row>
    <row r="29129" spans="2:2" ht="12.75" customHeight="1" x14ac:dyDescent="0.2">
      <c r="B29129" s="43"/>
    </row>
    <row r="29130" spans="2:2" ht="12.75" customHeight="1" x14ac:dyDescent="0.2">
      <c r="B29130" s="43"/>
    </row>
    <row r="29131" spans="2:2" ht="12.75" customHeight="1" x14ac:dyDescent="0.2">
      <c r="B29131" s="43"/>
    </row>
    <row r="29132" spans="2:2" ht="12.75" customHeight="1" x14ac:dyDescent="0.2">
      <c r="B29132" s="43"/>
    </row>
    <row r="29133" spans="2:2" ht="12.75" customHeight="1" x14ac:dyDescent="0.2">
      <c r="B29133" s="43"/>
    </row>
    <row r="29134" spans="2:2" ht="12.75" customHeight="1" x14ac:dyDescent="0.2">
      <c r="B29134" s="43"/>
    </row>
    <row r="29135" spans="2:2" ht="12.75" customHeight="1" x14ac:dyDescent="0.2">
      <c r="B29135" s="43"/>
    </row>
    <row r="29136" spans="2:2" ht="12.75" customHeight="1" x14ac:dyDescent="0.2">
      <c r="B29136" s="43"/>
    </row>
    <row r="29137" spans="2:2" ht="12.75" customHeight="1" x14ac:dyDescent="0.2">
      <c r="B29137" s="43"/>
    </row>
    <row r="29138" spans="2:2" ht="12.75" customHeight="1" x14ac:dyDescent="0.2">
      <c r="B29138" s="43"/>
    </row>
    <row r="29139" spans="2:2" ht="12.75" customHeight="1" x14ac:dyDescent="0.2">
      <c r="B29139" s="43"/>
    </row>
    <row r="29140" spans="2:2" ht="12.75" customHeight="1" x14ac:dyDescent="0.2">
      <c r="B29140" s="43"/>
    </row>
    <row r="29141" spans="2:2" ht="12.75" customHeight="1" x14ac:dyDescent="0.2">
      <c r="B29141" s="43"/>
    </row>
    <row r="29142" spans="2:2" ht="12.75" customHeight="1" x14ac:dyDescent="0.2">
      <c r="B29142" s="43"/>
    </row>
    <row r="29143" spans="2:2" ht="12.75" customHeight="1" x14ac:dyDescent="0.2">
      <c r="B29143" s="43"/>
    </row>
    <row r="29144" spans="2:2" ht="12.75" customHeight="1" x14ac:dyDescent="0.2">
      <c r="B29144" s="43"/>
    </row>
    <row r="29145" spans="2:2" ht="12.75" customHeight="1" x14ac:dyDescent="0.2">
      <c r="B29145" s="43"/>
    </row>
    <row r="29146" spans="2:2" ht="12.75" customHeight="1" x14ac:dyDescent="0.2">
      <c r="B29146" s="43"/>
    </row>
    <row r="29147" spans="2:2" ht="12.75" customHeight="1" x14ac:dyDescent="0.2">
      <c r="B29147" s="43"/>
    </row>
    <row r="29148" spans="2:2" ht="12.75" customHeight="1" x14ac:dyDescent="0.2">
      <c r="B29148" s="43"/>
    </row>
    <row r="29149" spans="2:2" ht="12.75" customHeight="1" x14ac:dyDescent="0.2">
      <c r="B29149" s="43"/>
    </row>
    <row r="29150" spans="2:2" ht="12.75" customHeight="1" x14ac:dyDescent="0.2">
      <c r="B29150" s="43"/>
    </row>
    <row r="29151" spans="2:2" ht="12.75" customHeight="1" x14ac:dyDescent="0.2">
      <c r="B29151" s="43"/>
    </row>
    <row r="29152" spans="2:2" ht="12.75" customHeight="1" x14ac:dyDescent="0.2">
      <c r="B29152" s="43"/>
    </row>
    <row r="29153" spans="2:2" ht="12.75" customHeight="1" x14ac:dyDescent="0.2">
      <c r="B29153" s="43"/>
    </row>
    <row r="29154" spans="2:2" ht="12.75" customHeight="1" x14ac:dyDescent="0.2">
      <c r="B29154" s="43"/>
    </row>
    <row r="29155" spans="2:2" ht="12.75" customHeight="1" x14ac:dyDescent="0.2">
      <c r="B29155" s="43"/>
    </row>
    <row r="29156" spans="2:2" ht="12.75" customHeight="1" x14ac:dyDescent="0.2">
      <c r="B29156" s="43"/>
    </row>
    <row r="29157" spans="2:2" ht="12.75" customHeight="1" x14ac:dyDescent="0.2">
      <c r="B29157" s="43"/>
    </row>
    <row r="29158" spans="2:2" ht="12.75" customHeight="1" x14ac:dyDescent="0.2">
      <c r="B29158" s="43"/>
    </row>
    <row r="29159" spans="2:2" ht="12.75" customHeight="1" x14ac:dyDescent="0.2">
      <c r="B29159" s="43"/>
    </row>
    <row r="29160" spans="2:2" ht="12.75" customHeight="1" x14ac:dyDescent="0.2">
      <c r="B29160" s="43"/>
    </row>
    <row r="29161" spans="2:2" ht="12.75" customHeight="1" x14ac:dyDescent="0.2">
      <c r="B29161" s="43"/>
    </row>
    <row r="29162" spans="2:2" ht="12.75" customHeight="1" x14ac:dyDescent="0.2">
      <c r="B29162" s="43"/>
    </row>
    <row r="29163" spans="2:2" ht="12.75" customHeight="1" x14ac:dyDescent="0.2">
      <c r="B29163" s="43"/>
    </row>
    <row r="29164" spans="2:2" ht="12.75" customHeight="1" x14ac:dyDescent="0.2">
      <c r="B29164" s="43"/>
    </row>
    <row r="29165" spans="2:2" ht="12.75" customHeight="1" x14ac:dyDescent="0.2">
      <c r="B29165" s="43"/>
    </row>
    <row r="29166" spans="2:2" ht="12.75" customHeight="1" x14ac:dyDescent="0.2">
      <c r="B29166" s="43"/>
    </row>
    <row r="29167" spans="2:2" ht="12.75" customHeight="1" x14ac:dyDescent="0.2">
      <c r="B29167" s="43"/>
    </row>
    <row r="29168" spans="2:2" ht="12.75" customHeight="1" x14ac:dyDescent="0.2">
      <c r="B29168" s="43"/>
    </row>
    <row r="29169" spans="2:2" ht="12.75" customHeight="1" x14ac:dyDescent="0.2">
      <c r="B29169" s="43"/>
    </row>
    <row r="29170" spans="2:2" ht="12.75" customHeight="1" x14ac:dyDescent="0.2">
      <c r="B29170" s="43"/>
    </row>
    <row r="29171" spans="2:2" ht="12.75" customHeight="1" x14ac:dyDescent="0.2">
      <c r="B29171" s="43"/>
    </row>
    <row r="29172" spans="2:2" ht="12.75" customHeight="1" x14ac:dyDescent="0.2">
      <c r="B29172" s="43"/>
    </row>
    <row r="29173" spans="2:2" ht="12.75" customHeight="1" x14ac:dyDescent="0.2">
      <c r="B29173" s="43"/>
    </row>
    <row r="29174" spans="2:2" ht="12.75" customHeight="1" x14ac:dyDescent="0.2">
      <c r="B29174" s="43"/>
    </row>
    <row r="29175" spans="2:2" ht="12.75" customHeight="1" x14ac:dyDescent="0.2">
      <c r="B29175" s="43"/>
    </row>
    <row r="29176" spans="2:2" ht="12.75" customHeight="1" x14ac:dyDescent="0.2">
      <c r="B29176" s="43"/>
    </row>
    <row r="29177" spans="2:2" ht="12.75" customHeight="1" x14ac:dyDescent="0.2">
      <c r="B29177" s="43"/>
    </row>
    <row r="29178" spans="2:2" ht="12.75" customHeight="1" x14ac:dyDescent="0.2">
      <c r="B29178" s="43"/>
    </row>
    <row r="29179" spans="2:2" ht="12.75" customHeight="1" x14ac:dyDescent="0.2">
      <c r="B29179" s="43"/>
    </row>
    <row r="29180" spans="2:2" ht="12.75" customHeight="1" x14ac:dyDescent="0.2">
      <c r="B29180" s="43"/>
    </row>
    <row r="29181" spans="2:2" ht="12.75" customHeight="1" x14ac:dyDescent="0.2">
      <c r="B29181" s="43"/>
    </row>
    <row r="29182" spans="2:2" ht="12.75" customHeight="1" x14ac:dyDescent="0.2">
      <c r="B29182" s="43"/>
    </row>
    <row r="29183" spans="2:2" ht="12.75" customHeight="1" x14ac:dyDescent="0.2">
      <c r="B29183" s="43"/>
    </row>
    <row r="29184" spans="2:2" ht="12.75" customHeight="1" x14ac:dyDescent="0.2">
      <c r="B29184" s="43"/>
    </row>
    <row r="29185" spans="2:2" ht="12.75" customHeight="1" x14ac:dyDescent="0.2">
      <c r="B29185" s="43"/>
    </row>
    <row r="29186" spans="2:2" ht="12.75" customHeight="1" x14ac:dyDescent="0.2">
      <c r="B29186" s="43"/>
    </row>
    <row r="29187" spans="2:2" ht="12.75" customHeight="1" x14ac:dyDescent="0.2">
      <c r="B29187" s="43"/>
    </row>
    <row r="29188" spans="2:2" ht="12.75" customHeight="1" x14ac:dyDescent="0.2">
      <c r="B29188" s="43"/>
    </row>
    <row r="29189" spans="2:2" ht="12.75" customHeight="1" x14ac:dyDescent="0.2">
      <c r="B29189" s="43"/>
    </row>
    <row r="29190" spans="2:2" ht="12.75" customHeight="1" x14ac:dyDescent="0.2">
      <c r="B29190" s="43"/>
    </row>
    <row r="29191" spans="2:2" ht="12.75" customHeight="1" x14ac:dyDescent="0.2">
      <c r="B29191" s="43"/>
    </row>
    <row r="29192" spans="2:2" ht="12.75" customHeight="1" x14ac:dyDescent="0.2">
      <c r="B29192" s="43"/>
    </row>
    <row r="29193" spans="2:2" ht="12.75" customHeight="1" x14ac:dyDescent="0.2">
      <c r="B29193" s="43"/>
    </row>
    <row r="29194" spans="2:2" ht="12.75" customHeight="1" x14ac:dyDescent="0.2">
      <c r="B29194" s="43"/>
    </row>
    <row r="29195" spans="2:2" ht="12.75" customHeight="1" x14ac:dyDescent="0.2">
      <c r="B29195" s="43"/>
    </row>
    <row r="29196" spans="2:2" ht="12.75" customHeight="1" x14ac:dyDescent="0.2">
      <c r="B29196" s="43"/>
    </row>
    <row r="29197" spans="2:2" ht="12.75" customHeight="1" x14ac:dyDescent="0.2">
      <c r="B29197" s="43"/>
    </row>
    <row r="29198" spans="2:2" ht="12.75" customHeight="1" x14ac:dyDescent="0.2">
      <c r="B29198" s="43"/>
    </row>
    <row r="29199" spans="2:2" ht="12.75" customHeight="1" x14ac:dyDescent="0.2">
      <c r="B29199" s="43"/>
    </row>
    <row r="29200" spans="2:2" ht="12.75" customHeight="1" x14ac:dyDescent="0.2">
      <c r="B29200" s="43"/>
    </row>
    <row r="29201" spans="2:2" ht="12.75" customHeight="1" x14ac:dyDescent="0.2">
      <c r="B29201" s="43"/>
    </row>
    <row r="29202" spans="2:2" ht="12.75" customHeight="1" x14ac:dyDescent="0.2">
      <c r="B29202" s="43"/>
    </row>
    <row r="29203" spans="2:2" ht="12.75" customHeight="1" x14ac:dyDescent="0.2">
      <c r="B29203" s="43"/>
    </row>
    <row r="29204" spans="2:2" ht="12.75" customHeight="1" x14ac:dyDescent="0.2">
      <c r="B29204" s="43"/>
    </row>
    <row r="29205" spans="2:2" ht="12.75" customHeight="1" x14ac:dyDescent="0.2">
      <c r="B29205" s="43"/>
    </row>
    <row r="29206" spans="2:2" ht="12.75" customHeight="1" x14ac:dyDescent="0.2">
      <c r="B29206" s="43"/>
    </row>
    <row r="29207" spans="2:2" ht="12.75" customHeight="1" x14ac:dyDescent="0.2">
      <c r="B29207" s="43"/>
    </row>
    <row r="29208" spans="2:2" ht="12.75" customHeight="1" x14ac:dyDescent="0.2">
      <c r="B29208" s="43"/>
    </row>
    <row r="29209" spans="2:2" ht="12.75" customHeight="1" x14ac:dyDescent="0.2">
      <c r="B29209" s="43"/>
    </row>
    <row r="29210" spans="2:2" ht="12.75" customHeight="1" x14ac:dyDescent="0.2">
      <c r="B29210" s="43"/>
    </row>
    <row r="29211" spans="2:2" ht="12.75" customHeight="1" x14ac:dyDescent="0.2">
      <c r="B29211" s="43"/>
    </row>
    <row r="29212" spans="2:2" ht="12.75" customHeight="1" x14ac:dyDescent="0.2">
      <c r="B29212" s="43"/>
    </row>
    <row r="29213" spans="2:2" ht="12.75" customHeight="1" x14ac:dyDescent="0.2">
      <c r="B29213" s="43"/>
    </row>
    <row r="29214" spans="2:2" ht="12.75" customHeight="1" x14ac:dyDescent="0.2">
      <c r="B29214" s="43"/>
    </row>
    <row r="29215" spans="2:2" ht="12.75" customHeight="1" x14ac:dyDescent="0.2">
      <c r="B29215" s="43"/>
    </row>
    <row r="29216" spans="2:2" ht="12.75" customHeight="1" x14ac:dyDescent="0.2">
      <c r="B29216" s="43"/>
    </row>
    <row r="29217" spans="2:2" ht="12.75" customHeight="1" x14ac:dyDescent="0.2">
      <c r="B29217" s="43"/>
    </row>
    <row r="29218" spans="2:2" ht="12.75" customHeight="1" x14ac:dyDescent="0.2">
      <c r="B29218" s="43"/>
    </row>
    <row r="29219" spans="2:2" ht="12.75" customHeight="1" x14ac:dyDescent="0.2">
      <c r="B29219" s="43"/>
    </row>
    <row r="29220" spans="2:2" ht="12.75" customHeight="1" x14ac:dyDescent="0.2">
      <c r="B29220" s="43"/>
    </row>
    <row r="29221" spans="2:2" ht="12.75" customHeight="1" x14ac:dyDescent="0.2">
      <c r="B29221" s="43"/>
    </row>
    <row r="29222" spans="2:2" ht="12.75" customHeight="1" x14ac:dyDescent="0.2">
      <c r="B29222" s="43"/>
    </row>
    <row r="29223" spans="2:2" ht="12.75" customHeight="1" x14ac:dyDescent="0.2">
      <c r="B29223" s="43"/>
    </row>
    <row r="29224" spans="2:2" ht="12.75" customHeight="1" x14ac:dyDescent="0.2">
      <c r="B29224" s="43"/>
    </row>
    <row r="29225" spans="2:2" ht="12.75" customHeight="1" x14ac:dyDescent="0.2">
      <c r="B29225" s="43"/>
    </row>
    <row r="29226" spans="2:2" ht="12.75" customHeight="1" x14ac:dyDescent="0.2">
      <c r="B29226" s="43"/>
    </row>
    <row r="29227" spans="2:2" ht="12.75" customHeight="1" x14ac:dyDescent="0.2">
      <c r="B29227" s="43"/>
    </row>
    <row r="29228" spans="2:2" ht="12.75" customHeight="1" x14ac:dyDescent="0.2">
      <c r="B29228" s="43"/>
    </row>
    <row r="29229" spans="2:2" ht="12.75" customHeight="1" x14ac:dyDescent="0.2">
      <c r="B29229" s="43"/>
    </row>
    <row r="29230" spans="2:2" ht="12.75" customHeight="1" x14ac:dyDescent="0.2">
      <c r="B29230" s="43"/>
    </row>
    <row r="29231" spans="2:2" ht="12.75" customHeight="1" x14ac:dyDescent="0.2">
      <c r="B29231" s="43"/>
    </row>
    <row r="29232" spans="2:2" ht="12.75" customHeight="1" x14ac:dyDescent="0.2">
      <c r="B29232" s="43"/>
    </row>
    <row r="29233" spans="2:2" ht="12.75" customHeight="1" x14ac:dyDescent="0.2">
      <c r="B29233" s="43"/>
    </row>
    <row r="29234" spans="2:2" ht="12.75" customHeight="1" x14ac:dyDescent="0.2">
      <c r="B29234" s="43"/>
    </row>
    <row r="29235" spans="2:2" ht="12.75" customHeight="1" x14ac:dyDescent="0.2">
      <c r="B29235" s="43"/>
    </row>
    <row r="29236" spans="2:2" ht="12.75" customHeight="1" x14ac:dyDescent="0.2">
      <c r="B29236" s="43"/>
    </row>
    <row r="29237" spans="2:2" ht="12.75" customHeight="1" x14ac:dyDescent="0.2">
      <c r="B29237" s="43"/>
    </row>
    <row r="29238" spans="2:2" ht="12.75" customHeight="1" x14ac:dyDescent="0.2">
      <c r="B29238" s="43"/>
    </row>
    <row r="29239" spans="2:2" ht="12.75" customHeight="1" x14ac:dyDescent="0.2">
      <c r="B29239" s="43"/>
    </row>
    <row r="29240" spans="2:2" ht="12.75" customHeight="1" x14ac:dyDescent="0.2">
      <c r="B29240" s="43"/>
    </row>
    <row r="29241" spans="2:2" ht="12.75" customHeight="1" x14ac:dyDescent="0.2">
      <c r="B29241" s="43"/>
    </row>
    <row r="29242" spans="2:2" ht="12.75" customHeight="1" x14ac:dyDescent="0.2">
      <c r="B29242" s="43"/>
    </row>
    <row r="29243" spans="2:2" ht="12.75" customHeight="1" x14ac:dyDescent="0.2">
      <c r="B29243" s="43"/>
    </row>
    <row r="29244" spans="2:2" ht="12.75" customHeight="1" x14ac:dyDescent="0.2">
      <c r="B29244" s="43"/>
    </row>
    <row r="29245" spans="2:2" ht="12.75" customHeight="1" x14ac:dyDescent="0.2">
      <c r="B29245" s="43"/>
    </row>
    <row r="29246" spans="2:2" ht="12.75" customHeight="1" x14ac:dyDescent="0.2">
      <c r="B29246" s="43"/>
    </row>
    <row r="29247" spans="2:2" ht="12.75" customHeight="1" x14ac:dyDescent="0.2">
      <c r="B29247" s="43"/>
    </row>
    <row r="29248" spans="2:2" ht="12.75" customHeight="1" x14ac:dyDescent="0.2">
      <c r="B29248" s="43"/>
    </row>
    <row r="29249" spans="2:2" ht="12.75" customHeight="1" x14ac:dyDescent="0.2">
      <c r="B29249" s="43"/>
    </row>
    <row r="29250" spans="2:2" ht="12.75" customHeight="1" x14ac:dyDescent="0.2">
      <c r="B29250" s="43"/>
    </row>
    <row r="29251" spans="2:2" ht="12.75" customHeight="1" x14ac:dyDescent="0.2">
      <c r="B29251" s="43"/>
    </row>
    <row r="29252" spans="2:2" ht="12.75" customHeight="1" x14ac:dyDescent="0.2">
      <c r="B29252" s="43"/>
    </row>
    <row r="29253" spans="2:2" ht="12.75" customHeight="1" x14ac:dyDescent="0.2">
      <c r="B29253" s="43"/>
    </row>
    <row r="29254" spans="2:2" ht="12.75" customHeight="1" x14ac:dyDescent="0.2">
      <c r="B29254" s="43"/>
    </row>
    <row r="29255" spans="2:2" ht="12.75" customHeight="1" x14ac:dyDescent="0.2">
      <c r="B29255" s="43"/>
    </row>
    <row r="29256" spans="2:2" ht="12.75" customHeight="1" x14ac:dyDescent="0.2">
      <c r="B29256" s="43"/>
    </row>
    <row r="29257" spans="2:2" ht="12.75" customHeight="1" x14ac:dyDescent="0.2">
      <c r="B29257" s="43"/>
    </row>
    <row r="29258" spans="2:2" ht="12.75" customHeight="1" x14ac:dyDescent="0.2">
      <c r="B29258" s="43"/>
    </row>
    <row r="29259" spans="2:2" ht="12.75" customHeight="1" x14ac:dyDescent="0.2">
      <c r="B29259" s="43"/>
    </row>
    <row r="29260" spans="2:2" ht="12.75" customHeight="1" x14ac:dyDescent="0.2">
      <c r="B29260" s="43"/>
    </row>
    <row r="29261" spans="2:2" ht="12.75" customHeight="1" x14ac:dyDescent="0.2">
      <c r="B29261" s="43"/>
    </row>
    <row r="29262" spans="2:2" ht="12.75" customHeight="1" x14ac:dyDescent="0.2">
      <c r="B29262" s="43"/>
    </row>
    <row r="29263" spans="2:2" ht="12.75" customHeight="1" x14ac:dyDescent="0.2">
      <c r="B29263" s="43"/>
    </row>
    <row r="29264" spans="2:2" ht="12.75" customHeight="1" x14ac:dyDescent="0.2">
      <c r="B29264" s="43"/>
    </row>
    <row r="29265" spans="2:2" ht="12.75" customHeight="1" x14ac:dyDescent="0.2">
      <c r="B29265" s="43"/>
    </row>
    <row r="29266" spans="2:2" ht="12.75" customHeight="1" x14ac:dyDescent="0.2">
      <c r="B29266" s="43"/>
    </row>
    <row r="29267" spans="2:2" ht="12.75" customHeight="1" x14ac:dyDescent="0.2">
      <c r="B29267" s="43"/>
    </row>
    <row r="29268" spans="2:2" ht="12.75" customHeight="1" x14ac:dyDescent="0.2">
      <c r="B29268" s="43"/>
    </row>
    <row r="29269" spans="2:2" ht="12.75" customHeight="1" x14ac:dyDescent="0.2">
      <c r="B29269" s="43"/>
    </row>
    <row r="29270" spans="2:2" ht="12.75" customHeight="1" x14ac:dyDescent="0.2">
      <c r="B29270" s="43"/>
    </row>
    <row r="29271" spans="2:2" ht="12.75" customHeight="1" x14ac:dyDescent="0.2">
      <c r="B29271" s="43"/>
    </row>
    <row r="29272" spans="2:2" ht="12.75" customHeight="1" x14ac:dyDescent="0.2">
      <c r="B29272" s="43"/>
    </row>
    <row r="29273" spans="2:2" ht="12.75" customHeight="1" x14ac:dyDescent="0.2">
      <c r="B29273" s="43"/>
    </row>
    <row r="29274" spans="2:2" ht="12.75" customHeight="1" x14ac:dyDescent="0.2">
      <c r="B29274" s="43"/>
    </row>
    <row r="29275" spans="2:2" ht="12.75" customHeight="1" x14ac:dyDescent="0.2">
      <c r="B29275" s="43"/>
    </row>
    <row r="29276" spans="2:2" ht="12.75" customHeight="1" x14ac:dyDescent="0.2">
      <c r="B29276" s="43"/>
    </row>
    <row r="29277" spans="2:2" ht="12.75" customHeight="1" x14ac:dyDescent="0.2">
      <c r="B29277" s="43"/>
    </row>
    <row r="29278" spans="2:2" ht="12.75" customHeight="1" x14ac:dyDescent="0.2">
      <c r="B29278" s="43"/>
    </row>
    <row r="29279" spans="2:2" ht="12.75" customHeight="1" x14ac:dyDescent="0.2">
      <c r="B29279" s="43"/>
    </row>
    <row r="29280" spans="2:2" ht="12.75" customHeight="1" x14ac:dyDescent="0.2">
      <c r="B29280" s="43"/>
    </row>
    <row r="29281" spans="2:2" ht="12.75" customHeight="1" x14ac:dyDescent="0.2">
      <c r="B29281" s="43"/>
    </row>
    <row r="29282" spans="2:2" ht="12.75" customHeight="1" x14ac:dyDescent="0.2">
      <c r="B29282" s="43"/>
    </row>
    <row r="29283" spans="2:2" ht="12.75" customHeight="1" x14ac:dyDescent="0.2">
      <c r="B29283" s="43"/>
    </row>
    <row r="29284" spans="2:2" ht="12.75" customHeight="1" x14ac:dyDescent="0.2">
      <c r="B29284" s="43"/>
    </row>
    <row r="29285" spans="2:2" ht="12.75" customHeight="1" x14ac:dyDescent="0.2">
      <c r="B29285" s="43"/>
    </row>
    <row r="29286" spans="2:2" ht="12.75" customHeight="1" x14ac:dyDescent="0.2">
      <c r="B29286" s="43"/>
    </row>
    <row r="29287" spans="2:2" ht="12.75" customHeight="1" x14ac:dyDescent="0.2">
      <c r="B29287" s="43"/>
    </row>
    <row r="29288" spans="2:2" ht="12.75" customHeight="1" x14ac:dyDescent="0.2">
      <c r="B29288" s="43"/>
    </row>
    <row r="29289" spans="2:2" ht="12.75" customHeight="1" x14ac:dyDescent="0.2">
      <c r="B29289" s="43"/>
    </row>
    <row r="29290" spans="2:2" ht="12.75" customHeight="1" x14ac:dyDescent="0.2">
      <c r="B29290" s="43"/>
    </row>
    <row r="29291" spans="2:2" ht="12.75" customHeight="1" x14ac:dyDescent="0.2">
      <c r="B29291" s="43"/>
    </row>
    <row r="29292" spans="2:2" ht="12.75" customHeight="1" x14ac:dyDescent="0.2">
      <c r="B29292" s="43"/>
    </row>
    <row r="29293" spans="2:2" ht="12.75" customHeight="1" x14ac:dyDescent="0.2">
      <c r="B29293" s="43"/>
    </row>
    <row r="29294" spans="2:2" ht="12.75" customHeight="1" x14ac:dyDescent="0.2">
      <c r="B29294" s="43"/>
    </row>
    <row r="29295" spans="2:2" ht="12.75" customHeight="1" x14ac:dyDescent="0.2">
      <c r="B29295" s="43"/>
    </row>
    <row r="29296" spans="2:2" ht="12.75" customHeight="1" x14ac:dyDescent="0.2">
      <c r="B29296" s="43"/>
    </row>
    <row r="29297" spans="2:2" ht="12.75" customHeight="1" x14ac:dyDescent="0.2">
      <c r="B29297" s="43"/>
    </row>
    <row r="29298" spans="2:2" ht="12.75" customHeight="1" x14ac:dyDescent="0.2">
      <c r="B29298" s="43"/>
    </row>
    <row r="29299" spans="2:2" ht="12.75" customHeight="1" x14ac:dyDescent="0.2">
      <c r="B29299" s="43"/>
    </row>
    <row r="29300" spans="2:2" ht="12.75" customHeight="1" x14ac:dyDescent="0.2">
      <c r="B29300" s="43"/>
    </row>
    <row r="29301" spans="2:2" ht="12.75" customHeight="1" x14ac:dyDescent="0.2">
      <c r="B29301" s="43"/>
    </row>
    <row r="29302" spans="2:2" ht="12.75" customHeight="1" x14ac:dyDescent="0.2">
      <c r="B29302" s="43"/>
    </row>
    <row r="29303" spans="2:2" ht="12.75" customHeight="1" x14ac:dyDescent="0.2">
      <c r="B29303" s="43"/>
    </row>
    <row r="29304" spans="2:2" ht="12.75" customHeight="1" x14ac:dyDescent="0.2">
      <c r="B29304" s="43"/>
    </row>
    <row r="29305" spans="2:2" ht="12.75" customHeight="1" x14ac:dyDescent="0.2">
      <c r="B29305" s="43"/>
    </row>
    <row r="29306" spans="2:2" ht="12.75" customHeight="1" x14ac:dyDescent="0.2">
      <c r="B29306" s="43"/>
    </row>
    <row r="29307" spans="2:2" ht="12.75" customHeight="1" x14ac:dyDescent="0.2">
      <c r="B29307" s="43"/>
    </row>
    <row r="29308" spans="2:2" ht="12.75" customHeight="1" x14ac:dyDescent="0.2">
      <c r="B29308" s="43"/>
    </row>
    <row r="29309" spans="2:2" ht="12.75" customHeight="1" x14ac:dyDescent="0.2">
      <c r="B29309" s="43"/>
    </row>
    <row r="29310" spans="2:2" ht="12.75" customHeight="1" x14ac:dyDescent="0.2">
      <c r="B29310" s="43"/>
    </row>
    <row r="29311" spans="2:2" ht="12.75" customHeight="1" x14ac:dyDescent="0.2">
      <c r="B29311" s="43"/>
    </row>
    <row r="29312" spans="2:2" ht="12.75" customHeight="1" x14ac:dyDescent="0.2">
      <c r="B29312" s="43"/>
    </row>
    <row r="29313" spans="2:2" ht="12.75" customHeight="1" x14ac:dyDescent="0.2">
      <c r="B29313" s="43"/>
    </row>
    <row r="29314" spans="2:2" ht="12.75" customHeight="1" x14ac:dyDescent="0.2">
      <c r="B29314" s="43"/>
    </row>
    <row r="29315" spans="2:2" ht="12.75" customHeight="1" x14ac:dyDescent="0.2">
      <c r="B29315" s="43"/>
    </row>
    <row r="29316" spans="2:2" ht="12.75" customHeight="1" x14ac:dyDescent="0.2">
      <c r="B29316" s="43"/>
    </row>
    <row r="29317" spans="2:2" ht="12.75" customHeight="1" x14ac:dyDescent="0.2">
      <c r="B29317" s="43"/>
    </row>
    <row r="29318" spans="2:2" ht="12.75" customHeight="1" x14ac:dyDescent="0.2">
      <c r="B29318" s="43"/>
    </row>
    <row r="29319" spans="2:2" ht="12.75" customHeight="1" x14ac:dyDescent="0.2">
      <c r="B29319" s="43"/>
    </row>
    <row r="29320" spans="2:2" ht="12.75" customHeight="1" x14ac:dyDescent="0.2">
      <c r="B29320" s="43"/>
    </row>
    <row r="29321" spans="2:2" ht="12.75" customHeight="1" x14ac:dyDescent="0.2">
      <c r="B29321" s="43"/>
    </row>
    <row r="29322" spans="2:2" ht="12.75" customHeight="1" x14ac:dyDescent="0.2">
      <c r="B29322" s="43"/>
    </row>
    <row r="29323" spans="2:2" ht="12.75" customHeight="1" x14ac:dyDescent="0.2">
      <c r="B29323" s="43"/>
    </row>
    <row r="29324" spans="2:2" ht="12.75" customHeight="1" x14ac:dyDescent="0.2">
      <c r="B29324" s="43"/>
    </row>
    <row r="29325" spans="2:2" ht="12.75" customHeight="1" x14ac:dyDescent="0.2">
      <c r="B29325" s="43"/>
    </row>
    <row r="29326" spans="2:2" ht="12.75" customHeight="1" x14ac:dyDescent="0.2">
      <c r="B29326" s="43"/>
    </row>
    <row r="29327" spans="2:2" ht="12.75" customHeight="1" x14ac:dyDescent="0.2">
      <c r="B29327" s="43"/>
    </row>
    <row r="29328" spans="2:2" ht="12.75" customHeight="1" x14ac:dyDescent="0.2">
      <c r="B29328" s="43"/>
    </row>
    <row r="29329" spans="2:2" ht="12.75" customHeight="1" x14ac:dyDescent="0.2">
      <c r="B29329" s="43"/>
    </row>
    <row r="29330" spans="2:2" ht="12.75" customHeight="1" x14ac:dyDescent="0.2">
      <c r="B29330" s="43"/>
    </row>
    <row r="29331" spans="2:2" ht="12.75" customHeight="1" x14ac:dyDescent="0.2">
      <c r="B29331" s="43"/>
    </row>
    <row r="29332" spans="2:2" ht="12.75" customHeight="1" x14ac:dyDescent="0.2">
      <c r="B29332" s="43"/>
    </row>
    <row r="29333" spans="2:2" ht="12.75" customHeight="1" x14ac:dyDescent="0.2">
      <c r="B29333" s="43"/>
    </row>
    <row r="29334" spans="2:2" ht="12.75" customHeight="1" x14ac:dyDescent="0.2">
      <c r="B29334" s="43"/>
    </row>
    <row r="29335" spans="2:2" ht="12.75" customHeight="1" x14ac:dyDescent="0.2">
      <c r="B29335" s="43"/>
    </row>
    <row r="29336" spans="2:2" ht="12.75" customHeight="1" x14ac:dyDescent="0.2">
      <c r="B29336" s="43"/>
    </row>
    <row r="29337" spans="2:2" ht="12.75" customHeight="1" x14ac:dyDescent="0.2">
      <c r="B29337" s="43"/>
    </row>
    <row r="29338" spans="2:2" ht="12.75" customHeight="1" x14ac:dyDescent="0.2">
      <c r="B29338" s="43"/>
    </row>
    <row r="29339" spans="2:2" ht="12.75" customHeight="1" x14ac:dyDescent="0.2">
      <c r="B29339" s="43"/>
    </row>
    <row r="29340" spans="2:2" ht="12.75" customHeight="1" x14ac:dyDescent="0.2">
      <c r="B29340" s="43"/>
    </row>
    <row r="29341" spans="2:2" ht="12.75" customHeight="1" x14ac:dyDescent="0.2">
      <c r="B29341" s="43"/>
    </row>
    <row r="29342" spans="2:2" ht="12.75" customHeight="1" x14ac:dyDescent="0.2">
      <c r="B29342" s="43"/>
    </row>
    <row r="29343" spans="2:2" ht="12.75" customHeight="1" x14ac:dyDescent="0.2">
      <c r="B29343" s="43"/>
    </row>
    <row r="29344" spans="2:2" ht="12.75" customHeight="1" x14ac:dyDescent="0.2">
      <c r="B29344" s="43"/>
    </row>
    <row r="29345" spans="2:2" ht="12.75" customHeight="1" x14ac:dyDescent="0.2">
      <c r="B29345" s="43"/>
    </row>
    <row r="29346" spans="2:2" ht="12.75" customHeight="1" x14ac:dyDescent="0.2">
      <c r="B29346" s="43"/>
    </row>
    <row r="29347" spans="2:2" ht="12.75" customHeight="1" x14ac:dyDescent="0.2">
      <c r="B29347" s="43"/>
    </row>
    <row r="29348" spans="2:2" ht="12.75" customHeight="1" x14ac:dyDescent="0.2">
      <c r="B29348" s="43"/>
    </row>
    <row r="29349" spans="2:2" ht="12.75" customHeight="1" x14ac:dyDescent="0.2">
      <c r="B29349" s="43"/>
    </row>
    <row r="29350" spans="2:2" ht="12.75" customHeight="1" x14ac:dyDescent="0.2">
      <c r="B29350" s="43"/>
    </row>
    <row r="29351" spans="2:2" ht="12.75" customHeight="1" x14ac:dyDescent="0.2">
      <c r="B29351" s="43"/>
    </row>
    <row r="29352" spans="2:2" ht="12.75" customHeight="1" x14ac:dyDescent="0.2">
      <c r="B29352" s="43"/>
    </row>
    <row r="29353" spans="2:2" ht="12.75" customHeight="1" x14ac:dyDescent="0.2">
      <c r="B29353" s="43"/>
    </row>
    <row r="29354" spans="2:2" ht="12.75" customHeight="1" x14ac:dyDescent="0.2">
      <c r="B29354" s="43"/>
    </row>
    <row r="29355" spans="2:2" ht="12.75" customHeight="1" x14ac:dyDescent="0.2">
      <c r="B29355" s="43"/>
    </row>
    <row r="29356" spans="2:2" ht="12.75" customHeight="1" x14ac:dyDescent="0.2">
      <c r="B29356" s="43"/>
    </row>
    <row r="29357" spans="2:2" ht="12.75" customHeight="1" x14ac:dyDescent="0.2">
      <c r="B29357" s="43"/>
    </row>
    <row r="29358" spans="2:2" ht="12.75" customHeight="1" x14ac:dyDescent="0.2">
      <c r="B29358" s="43"/>
    </row>
    <row r="29359" spans="2:2" ht="12.75" customHeight="1" x14ac:dyDescent="0.2">
      <c r="B29359" s="43"/>
    </row>
    <row r="29360" spans="2:2" ht="12.75" customHeight="1" x14ac:dyDescent="0.2">
      <c r="B29360" s="43"/>
    </row>
    <row r="29361" spans="2:2" ht="12.75" customHeight="1" x14ac:dyDescent="0.2">
      <c r="B29361" s="43"/>
    </row>
    <row r="29362" spans="2:2" ht="12.75" customHeight="1" x14ac:dyDescent="0.2">
      <c r="B29362" s="43"/>
    </row>
    <row r="29363" spans="2:2" ht="12.75" customHeight="1" x14ac:dyDescent="0.2">
      <c r="B29363" s="43"/>
    </row>
    <row r="29364" spans="2:2" ht="12.75" customHeight="1" x14ac:dyDescent="0.2">
      <c r="B29364" s="43"/>
    </row>
    <row r="29365" spans="2:2" ht="12.75" customHeight="1" x14ac:dyDescent="0.2">
      <c r="B29365" s="43"/>
    </row>
    <row r="29366" spans="2:2" ht="12.75" customHeight="1" x14ac:dyDescent="0.2">
      <c r="B29366" s="43"/>
    </row>
    <row r="29367" spans="2:2" ht="12.75" customHeight="1" x14ac:dyDescent="0.2">
      <c r="B29367" s="43"/>
    </row>
    <row r="29368" spans="2:2" ht="12.75" customHeight="1" x14ac:dyDescent="0.2">
      <c r="B29368" s="43"/>
    </row>
    <row r="29369" spans="2:2" ht="12.75" customHeight="1" x14ac:dyDescent="0.2">
      <c r="B29369" s="43"/>
    </row>
    <row r="29370" spans="2:2" ht="12.75" customHeight="1" x14ac:dyDescent="0.2">
      <c r="B29370" s="43"/>
    </row>
    <row r="29371" spans="2:2" ht="12.75" customHeight="1" x14ac:dyDescent="0.2">
      <c r="B29371" s="43"/>
    </row>
    <row r="29372" spans="2:2" ht="12.75" customHeight="1" x14ac:dyDescent="0.2">
      <c r="B29372" s="43"/>
    </row>
    <row r="29373" spans="2:2" ht="12.75" customHeight="1" x14ac:dyDescent="0.2">
      <c r="B29373" s="43"/>
    </row>
    <row r="29374" spans="2:2" ht="12.75" customHeight="1" x14ac:dyDescent="0.2">
      <c r="B29374" s="43"/>
    </row>
    <row r="29375" spans="2:2" ht="12.75" customHeight="1" x14ac:dyDescent="0.2">
      <c r="B29375" s="43"/>
    </row>
    <row r="29376" spans="2:2" ht="12.75" customHeight="1" x14ac:dyDescent="0.2">
      <c r="B29376" s="43"/>
    </row>
    <row r="29377" spans="2:2" ht="12.75" customHeight="1" x14ac:dyDescent="0.2">
      <c r="B29377" s="43"/>
    </row>
    <row r="29378" spans="2:2" ht="12.75" customHeight="1" x14ac:dyDescent="0.2">
      <c r="B29378" s="43"/>
    </row>
    <row r="29379" spans="2:2" ht="12.75" customHeight="1" x14ac:dyDescent="0.2">
      <c r="B29379" s="43"/>
    </row>
    <row r="29380" spans="2:2" ht="12.75" customHeight="1" x14ac:dyDescent="0.2">
      <c r="B29380" s="43"/>
    </row>
    <row r="29381" spans="2:2" ht="12.75" customHeight="1" x14ac:dyDescent="0.2">
      <c r="B29381" s="43"/>
    </row>
    <row r="29382" spans="2:2" ht="12.75" customHeight="1" x14ac:dyDescent="0.2">
      <c r="B29382" s="43"/>
    </row>
    <row r="29383" spans="2:2" ht="12.75" customHeight="1" x14ac:dyDescent="0.2">
      <c r="B29383" s="43"/>
    </row>
    <row r="29384" spans="2:2" ht="12.75" customHeight="1" x14ac:dyDescent="0.2">
      <c r="B29384" s="43"/>
    </row>
    <row r="29385" spans="2:2" ht="12.75" customHeight="1" x14ac:dyDescent="0.2">
      <c r="B29385" s="43"/>
    </row>
    <row r="29386" spans="2:2" ht="12.75" customHeight="1" x14ac:dyDescent="0.2">
      <c r="B29386" s="43"/>
    </row>
    <row r="29387" spans="2:2" ht="12.75" customHeight="1" x14ac:dyDescent="0.2">
      <c r="B29387" s="43"/>
    </row>
    <row r="29388" spans="2:2" ht="12.75" customHeight="1" x14ac:dyDescent="0.2">
      <c r="B29388" s="43"/>
    </row>
    <row r="29389" spans="2:2" ht="12.75" customHeight="1" x14ac:dyDescent="0.2">
      <c r="B29389" s="43"/>
    </row>
    <row r="29390" spans="2:2" ht="12.75" customHeight="1" x14ac:dyDescent="0.2">
      <c r="B29390" s="43"/>
    </row>
    <row r="29391" spans="2:2" ht="12.75" customHeight="1" x14ac:dyDescent="0.2">
      <c r="B29391" s="43"/>
    </row>
    <row r="29392" spans="2:2" ht="12.75" customHeight="1" x14ac:dyDescent="0.2">
      <c r="B29392" s="43"/>
    </row>
    <row r="29393" spans="2:2" ht="12.75" customHeight="1" x14ac:dyDescent="0.2">
      <c r="B29393" s="43"/>
    </row>
    <row r="29394" spans="2:2" ht="12.75" customHeight="1" x14ac:dyDescent="0.2">
      <c r="B29394" s="43"/>
    </row>
    <row r="29395" spans="2:2" ht="12.75" customHeight="1" x14ac:dyDescent="0.2">
      <c r="B29395" s="43"/>
    </row>
    <row r="29396" spans="2:2" ht="12.75" customHeight="1" x14ac:dyDescent="0.2">
      <c r="B29396" s="43"/>
    </row>
    <row r="29397" spans="2:2" ht="12.75" customHeight="1" x14ac:dyDescent="0.2">
      <c r="B29397" s="43"/>
    </row>
    <row r="29398" spans="2:2" ht="12.75" customHeight="1" x14ac:dyDescent="0.2">
      <c r="B29398" s="43"/>
    </row>
    <row r="29399" spans="2:2" ht="12.75" customHeight="1" x14ac:dyDescent="0.2">
      <c r="B29399" s="43"/>
    </row>
    <row r="29400" spans="2:2" ht="12.75" customHeight="1" x14ac:dyDescent="0.2">
      <c r="B29400" s="43"/>
    </row>
    <row r="29401" spans="2:2" ht="12.75" customHeight="1" x14ac:dyDescent="0.2">
      <c r="B29401" s="43"/>
    </row>
    <row r="29402" spans="2:2" ht="12.75" customHeight="1" x14ac:dyDescent="0.2">
      <c r="B29402" s="43"/>
    </row>
    <row r="29403" spans="2:2" ht="12.75" customHeight="1" x14ac:dyDescent="0.2">
      <c r="B29403" s="43"/>
    </row>
    <row r="29404" spans="2:2" ht="12.75" customHeight="1" x14ac:dyDescent="0.2">
      <c r="B29404" s="43"/>
    </row>
    <row r="29405" spans="2:2" ht="12.75" customHeight="1" x14ac:dyDescent="0.2">
      <c r="B29405" s="43"/>
    </row>
    <row r="29406" spans="2:2" ht="12.75" customHeight="1" x14ac:dyDescent="0.2">
      <c r="B29406" s="43"/>
    </row>
    <row r="29407" spans="2:2" ht="12.75" customHeight="1" x14ac:dyDescent="0.2">
      <c r="B29407" s="43"/>
    </row>
    <row r="29408" spans="2:2" ht="12.75" customHeight="1" x14ac:dyDescent="0.2">
      <c r="B29408" s="43"/>
    </row>
    <row r="29409" spans="2:2" ht="12.75" customHeight="1" x14ac:dyDescent="0.2">
      <c r="B29409" s="43"/>
    </row>
    <row r="29410" spans="2:2" ht="12.75" customHeight="1" x14ac:dyDescent="0.2">
      <c r="B29410" s="43"/>
    </row>
    <row r="29411" spans="2:2" ht="12.75" customHeight="1" x14ac:dyDescent="0.2">
      <c r="B29411" s="43"/>
    </row>
    <row r="29412" spans="2:2" ht="12.75" customHeight="1" x14ac:dyDescent="0.2">
      <c r="B29412" s="43"/>
    </row>
    <row r="29413" spans="2:2" ht="12.75" customHeight="1" x14ac:dyDescent="0.2">
      <c r="B29413" s="43"/>
    </row>
    <row r="29414" spans="2:2" ht="12.75" customHeight="1" x14ac:dyDescent="0.2">
      <c r="B29414" s="43"/>
    </row>
    <row r="29415" spans="2:2" ht="12.75" customHeight="1" x14ac:dyDescent="0.2">
      <c r="B29415" s="43"/>
    </row>
    <row r="29416" spans="2:2" ht="12.75" customHeight="1" x14ac:dyDescent="0.2">
      <c r="B29416" s="43"/>
    </row>
    <row r="29417" spans="2:2" ht="12.75" customHeight="1" x14ac:dyDescent="0.2">
      <c r="B29417" s="43"/>
    </row>
    <row r="29418" spans="2:2" ht="12.75" customHeight="1" x14ac:dyDescent="0.2">
      <c r="B29418" s="43"/>
    </row>
    <row r="29419" spans="2:2" ht="12.75" customHeight="1" x14ac:dyDescent="0.2">
      <c r="B29419" s="43"/>
    </row>
    <row r="29420" spans="2:2" ht="12.75" customHeight="1" x14ac:dyDescent="0.2">
      <c r="B29420" s="43"/>
    </row>
    <row r="29421" spans="2:2" ht="12.75" customHeight="1" x14ac:dyDescent="0.2">
      <c r="B29421" s="43"/>
    </row>
    <row r="29422" spans="2:2" ht="12.75" customHeight="1" x14ac:dyDescent="0.2">
      <c r="B29422" s="43"/>
    </row>
    <row r="29423" spans="2:2" ht="12.75" customHeight="1" x14ac:dyDescent="0.2">
      <c r="B29423" s="43"/>
    </row>
    <row r="29424" spans="2:2" ht="12.75" customHeight="1" x14ac:dyDescent="0.2">
      <c r="B29424" s="43"/>
    </row>
    <row r="29425" spans="2:2" ht="12.75" customHeight="1" x14ac:dyDescent="0.2">
      <c r="B29425" s="43"/>
    </row>
    <row r="29426" spans="2:2" ht="12.75" customHeight="1" x14ac:dyDescent="0.2">
      <c r="B29426" s="43"/>
    </row>
    <row r="29427" spans="2:2" ht="12.75" customHeight="1" x14ac:dyDescent="0.2">
      <c r="B29427" s="43"/>
    </row>
    <row r="29428" spans="2:2" ht="12.75" customHeight="1" x14ac:dyDescent="0.2">
      <c r="B29428" s="43"/>
    </row>
    <row r="29429" spans="2:2" ht="12.75" customHeight="1" x14ac:dyDescent="0.2">
      <c r="B29429" s="43"/>
    </row>
    <row r="29430" spans="2:2" ht="12.75" customHeight="1" x14ac:dyDescent="0.2">
      <c r="B29430" s="43"/>
    </row>
    <row r="29431" spans="2:2" ht="12.75" customHeight="1" x14ac:dyDescent="0.2">
      <c r="B29431" s="43"/>
    </row>
    <row r="29432" spans="2:2" ht="12.75" customHeight="1" x14ac:dyDescent="0.2">
      <c r="B29432" s="43"/>
    </row>
    <row r="29433" spans="2:2" ht="12.75" customHeight="1" x14ac:dyDescent="0.2">
      <c r="B29433" s="43"/>
    </row>
    <row r="29434" spans="2:2" ht="12.75" customHeight="1" x14ac:dyDescent="0.2">
      <c r="B29434" s="43"/>
    </row>
    <row r="29435" spans="2:2" ht="12.75" customHeight="1" x14ac:dyDescent="0.2">
      <c r="B29435" s="43"/>
    </row>
    <row r="29436" spans="2:2" ht="12.75" customHeight="1" x14ac:dyDescent="0.2">
      <c r="B29436" s="43"/>
    </row>
    <row r="29437" spans="2:2" ht="12.75" customHeight="1" x14ac:dyDescent="0.2">
      <c r="B29437" s="43"/>
    </row>
    <row r="29438" spans="2:2" ht="12.75" customHeight="1" x14ac:dyDescent="0.2">
      <c r="B29438" s="43"/>
    </row>
    <row r="29439" spans="2:2" ht="12.75" customHeight="1" x14ac:dyDescent="0.2">
      <c r="B29439" s="43"/>
    </row>
    <row r="29440" spans="2:2" ht="12.75" customHeight="1" x14ac:dyDescent="0.2">
      <c r="B29440" s="43"/>
    </row>
    <row r="29441" spans="2:2" ht="12.75" customHeight="1" x14ac:dyDescent="0.2">
      <c r="B29441" s="43"/>
    </row>
    <row r="29442" spans="2:2" ht="12.75" customHeight="1" x14ac:dyDescent="0.2">
      <c r="B29442" s="43"/>
    </row>
    <row r="29443" spans="2:2" ht="12.75" customHeight="1" x14ac:dyDescent="0.2">
      <c r="B29443" s="43"/>
    </row>
    <row r="29444" spans="2:2" ht="12.75" customHeight="1" x14ac:dyDescent="0.2">
      <c r="B29444" s="43"/>
    </row>
    <row r="29445" spans="2:2" ht="12.75" customHeight="1" x14ac:dyDescent="0.2">
      <c r="B29445" s="43"/>
    </row>
    <row r="29446" spans="2:2" ht="12.75" customHeight="1" x14ac:dyDescent="0.2">
      <c r="B29446" s="43"/>
    </row>
    <row r="29447" spans="2:2" ht="12.75" customHeight="1" x14ac:dyDescent="0.2">
      <c r="B29447" s="43"/>
    </row>
    <row r="29448" spans="2:2" ht="12.75" customHeight="1" x14ac:dyDescent="0.2">
      <c r="B29448" s="43"/>
    </row>
    <row r="29449" spans="2:2" ht="12.75" customHeight="1" x14ac:dyDescent="0.2">
      <c r="B29449" s="43"/>
    </row>
    <row r="29450" spans="2:2" ht="12.75" customHeight="1" x14ac:dyDescent="0.2">
      <c r="B29450" s="43"/>
    </row>
    <row r="29451" spans="2:2" ht="12.75" customHeight="1" x14ac:dyDescent="0.2">
      <c r="B29451" s="43"/>
    </row>
    <row r="29452" spans="2:2" ht="12.75" customHeight="1" x14ac:dyDescent="0.2">
      <c r="B29452" s="43"/>
    </row>
    <row r="29453" spans="2:2" ht="12.75" customHeight="1" x14ac:dyDescent="0.2">
      <c r="B29453" s="43"/>
    </row>
    <row r="29454" spans="2:2" ht="12.75" customHeight="1" x14ac:dyDescent="0.2">
      <c r="B29454" s="43"/>
    </row>
    <row r="29455" spans="2:2" ht="12.75" customHeight="1" x14ac:dyDescent="0.2">
      <c r="B29455" s="43"/>
    </row>
    <row r="29456" spans="2:2" ht="12.75" customHeight="1" x14ac:dyDescent="0.2">
      <c r="B29456" s="43"/>
    </row>
    <row r="29457" spans="2:2" ht="12.75" customHeight="1" x14ac:dyDescent="0.2">
      <c r="B29457" s="43"/>
    </row>
    <row r="29458" spans="2:2" ht="12.75" customHeight="1" x14ac:dyDescent="0.2">
      <c r="B29458" s="43"/>
    </row>
    <row r="29459" spans="2:2" ht="12.75" customHeight="1" x14ac:dyDescent="0.2">
      <c r="B29459" s="43"/>
    </row>
    <row r="29460" spans="2:2" ht="12.75" customHeight="1" x14ac:dyDescent="0.2">
      <c r="B29460" s="43"/>
    </row>
    <row r="29461" spans="2:2" ht="12.75" customHeight="1" x14ac:dyDescent="0.2">
      <c r="B29461" s="43"/>
    </row>
    <row r="29462" spans="2:2" ht="12.75" customHeight="1" x14ac:dyDescent="0.2">
      <c r="B29462" s="43"/>
    </row>
    <row r="29463" spans="2:2" ht="12.75" customHeight="1" x14ac:dyDescent="0.2">
      <c r="B29463" s="43"/>
    </row>
    <row r="29464" spans="2:2" ht="12.75" customHeight="1" x14ac:dyDescent="0.2">
      <c r="B29464" s="43"/>
    </row>
    <row r="29465" spans="2:2" ht="12.75" customHeight="1" x14ac:dyDescent="0.2">
      <c r="B29465" s="43"/>
    </row>
    <row r="29466" spans="2:2" ht="12.75" customHeight="1" x14ac:dyDescent="0.2">
      <c r="B29466" s="43"/>
    </row>
    <row r="29467" spans="2:2" ht="12.75" customHeight="1" x14ac:dyDescent="0.2">
      <c r="B29467" s="43"/>
    </row>
    <row r="29468" spans="2:2" ht="12.75" customHeight="1" x14ac:dyDescent="0.2">
      <c r="B29468" s="43"/>
    </row>
    <row r="29469" spans="2:2" ht="12.75" customHeight="1" x14ac:dyDescent="0.2">
      <c r="B29469" s="43"/>
    </row>
    <row r="29470" spans="2:2" ht="12.75" customHeight="1" x14ac:dyDescent="0.2">
      <c r="B29470" s="43"/>
    </row>
    <row r="29471" spans="2:2" ht="12.75" customHeight="1" x14ac:dyDescent="0.2">
      <c r="B29471" s="43"/>
    </row>
    <row r="29472" spans="2:2" ht="12.75" customHeight="1" x14ac:dyDescent="0.2">
      <c r="B29472" s="43"/>
    </row>
    <row r="29473" spans="2:2" ht="12.75" customHeight="1" x14ac:dyDescent="0.2">
      <c r="B29473" s="43"/>
    </row>
    <row r="29474" spans="2:2" ht="12.75" customHeight="1" x14ac:dyDescent="0.2">
      <c r="B29474" s="43"/>
    </row>
    <row r="29475" spans="2:2" ht="12.75" customHeight="1" x14ac:dyDescent="0.2">
      <c r="B29475" s="43"/>
    </row>
    <row r="29476" spans="2:2" ht="12.75" customHeight="1" x14ac:dyDescent="0.2">
      <c r="B29476" s="43"/>
    </row>
    <row r="29477" spans="2:2" ht="12.75" customHeight="1" x14ac:dyDescent="0.2">
      <c r="B29477" s="43"/>
    </row>
    <row r="29478" spans="2:2" ht="12.75" customHeight="1" x14ac:dyDescent="0.2">
      <c r="B29478" s="43"/>
    </row>
    <row r="29479" spans="2:2" ht="12.75" customHeight="1" x14ac:dyDescent="0.2">
      <c r="B29479" s="43"/>
    </row>
    <row r="29480" spans="2:2" ht="12.75" customHeight="1" x14ac:dyDescent="0.2">
      <c r="B29480" s="43"/>
    </row>
    <row r="29481" spans="2:2" ht="12.75" customHeight="1" x14ac:dyDescent="0.2">
      <c r="B29481" s="43"/>
    </row>
    <row r="29482" spans="2:2" ht="12.75" customHeight="1" x14ac:dyDescent="0.2">
      <c r="B29482" s="43"/>
    </row>
    <row r="29483" spans="2:2" ht="12.75" customHeight="1" x14ac:dyDescent="0.2">
      <c r="B29483" s="43"/>
    </row>
    <row r="29484" spans="2:2" ht="12.75" customHeight="1" x14ac:dyDescent="0.2">
      <c r="B29484" s="43"/>
    </row>
    <row r="29485" spans="2:2" ht="12.75" customHeight="1" x14ac:dyDescent="0.2">
      <c r="B29485" s="43"/>
    </row>
    <row r="29486" spans="2:2" ht="12.75" customHeight="1" x14ac:dyDescent="0.2">
      <c r="B29486" s="43"/>
    </row>
    <row r="29487" spans="2:2" ht="12.75" customHeight="1" x14ac:dyDescent="0.2">
      <c r="B29487" s="43"/>
    </row>
    <row r="29488" spans="2:2" ht="12.75" customHeight="1" x14ac:dyDescent="0.2">
      <c r="B29488" s="43"/>
    </row>
    <row r="29489" spans="2:2" ht="12.75" customHeight="1" x14ac:dyDescent="0.2">
      <c r="B29489" s="43"/>
    </row>
    <row r="29490" spans="2:2" ht="12.75" customHeight="1" x14ac:dyDescent="0.2">
      <c r="B29490" s="43"/>
    </row>
    <row r="29491" spans="2:2" ht="12.75" customHeight="1" x14ac:dyDescent="0.2">
      <c r="B29491" s="43"/>
    </row>
    <row r="29492" spans="2:2" ht="12.75" customHeight="1" x14ac:dyDescent="0.2">
      <c r="B29492" s="43"/>
    </row>
    <row r="29493" spans="2:2" ht="12.75" customHeight="1" x14ac:dyDescent="0.2">
      <c r="B29493" s="43"/>
    </row>
    <row r="29494" spans="2:2" ht="12.75" customHeight="1" x14ac:dyDescent="0.2">
      <c r="B29494" s="43"/>
    </row>
    <row r="29495" spans="2:2" ht="12.75" customHeight="1" x14ac:dyDescent="0.2">
      <c r="B29495" s="43"/>
    </row>
    <row r="29496" spans="2:2" ht="12.75" customHeight="1" x14ac:dyDescent="0.2">
      <c r="B29496" s="43"/>
    </row>
    <row r="29497" spans="2:2" ht="12.75" customHeight="1" x14ac:dyDescent="0.2">
      <c r="B29497" s="43"/>
    </row>
    <row r="29498" spans="2:2" ht="12.75" customHeight="1" x14ac:dyDescent="0.2">
      <c r="B29498" s="43"/>
    </row>
    <row r="29499" spans="2:2" ht="12.75" customHeight="1" x14ac:dyDescent="0.2">
      <c r="B29499" s="43"/>
    </row>
    <row r="29500" spans="2:2" ht="12.75" customHeight="1" x14ac:dyDescent="0.2">
      <c r="B29500" s="43"/>
    </row>
    <row r="29501" spans="2:2" ht="12.75" customHeight="1" x14ac:dyDescent="0.2">
      <c r="B29501" s="43"/>
    </row>
    <row r="29502" spans="2:2" ht="12.75" customHeight="1" x14ac:dyDescent="0.2">
      <c r="B29502" s="43"/>
    </row>
    <row r="29503" spans="2:2" ht="12.75" customHeight="1" x14ac:dyDescent="0.2">
      <c r="B29503" s="43"/>
    </row>
    <row r="29504" spans="2:2" ht="12.75" customHeight="1" x14ac:dyDescent="0.2">
      <c r="B29504" s="43"/>
    </row>
    <row r="29505" spans="2:2" ht="12.75" customHeight="1" x14ac:dyDescent="0.2">
      <c r="B29505" s="43"/>
    </row>
    <row r="29506" spans="2:2" ht="12.75" customHeight="1" x14ac:dyDescent="0.2">
      <c r="B29506" s="43"/>
    </row>
    <row r="29507" spans="2:2" ht="12.75" customHeight="1" x14ac:dyDescent="0.2">
      <c r="B29507" s="43"/>
    </row>
    <row r="29508" spans="2:2" ht="12.75" customHeight="1" x14ac:dyDescent="0.2">
      <c r="B29508" s="43"/>
    </row>
    <row r="29509" spans="2:2" ht="12.75" customHeight="1" x14ac:dyDescent="0.2">
      <c r="B29509" s="43"/>
    </row>
    <row r="29510" spans="2:2" ht="12.75" customHeight="1" x14ac:dyDescent="0.2">
      <c r="B29510" s="43"/>
    </row>
    <row r="29511" spans="2:2" ht="12.75" customHeight="1" x14ac:dyDescent="0.2">
      <c r="B29511" s="43"/>
    </row>
    <row r="29512" spans="2:2" ht="12.75" customHeight="1" x14ac:dyDescent="0.2">
      <c r="B29512" s="43"/>
    </row>
    <row r="29513" spans="2:2" ht="12.75" customHeight="1" x14ac:dyDescent="0.2">
      <c r="B29513" s="43"/>
    </row>
    <row r="29514" spans="2:2" ht="12.75" customHeight="1" x14ac:dyDescent="0.2">
      <c r="B29514" s="43"/>
    </row>
    <row r="29515" spans="2:2" ht="12.75" customHeight="1" x14ac:dyDescent="0.2">
      <c r="B29515" s="43"/>
    </row>
    <row r="29516" spans="2:2" ht="12.75" customHeight="1" x14ac:dyDescent="0.2">
      <c r="B29516" s="43"/>
    </row>
    <row r="29517" spans="2:2" ht="12.75" customHeight="1" x14ac:dyDescent="0.2">
      <c r="B29517" s="43"/>
    </row>
    <row r="29518" spans="2:2" ht="12.75" customHeight="1" x14ac:dyDescent="0.2">
      <c r="B29518" s="43"/>
    </row>
    <row r="29519" spans="2:2" ht="12.75" customHeight="1" x14ac:dyDescent="0.2">
      <c r="B29519" s="43"/>
    </row>
    <row r="29520" spans="2:2" ht="12.75" customHeight="1" x14ac:dyDescent="0.2">
      <c r="B29520" s="43"/>
    </row>
    <row r="29521" spans="2:2" ht="12.75" customHeight="1" x14ac:dyDescent="0.2">
      <c r="B29521" s="43"/>
    </row>
    <row r="29522" spans="2:2" ht="12.75" customHeight="1" x14ac:dyDescent="0.2">
      <c r="B29522" s="43"/>
    </row>
    <row r="29523" spans="2:2" ht="12.75" customHeight="1" x14ac:dyDescent="0.2">
      <c r="B29523" s="43"/>
    </row>
    <row r="29524" spans="2:2" ht="12.75" customHeight="1" x14ac:dyDescent="0.2">
      <c r="B29524" s="43"/>
    </row>
    <row r="29525" spans="2:2" ht="12.75" customHeight="1" x14ac:dyDescent="0.2">
      <c r="B29525" s="43"/>
    </row>
    <row r="29526" spans="2:2" ht="12.75" customHeight="1" x14ac:dyDescent="0.2">
      <c r="B29526" s="43"/>
    </row>
    <row r="29527" spans="2:2" ht="12.75" customHeight="1" x14ac:dyDescent="0.2">
      <c r="B29527" s="43"/>
    </row>
    <row r="29528" spans="2:2" ht="12.75" customHeight="1" x14ac:dyDescent="0.2">
      <c r="B29528" s="43"/>
    </row>
    <row r="29529" spans="2:2" ht="12.75" customHeight="1" x14ac:dyDescent="0.2">
      <c r="B29529" s="43"/>
    </row>
    <row r="29530" spans="2:2" ht="12.75" customHeight="1" x14ac:dyDescent="0.2">
      <c r="B29530" s="43"/>
    </row>
    <row r="29531" spans="2:2" ht="12.75" customHeight="1" x14ac:dyDescent="0.2">
      <c r="B29531" s="43"/>
    </row>
    <row r="29532" spans="2:2" ht="12.75" customHeight="1" x14ac:dyDescent="0.2">
      <c r="B29532" s="43"/>
    </row>
    <row r="29533" spans="2:2" ht="12.75" customHeight="1" x14ac:dyDescent="0.2">
      <c r="B29533" s="43"/>
    </row>
    <row r="29534" spans="2:2" ht="12.75" customHeight="1" x14ac:dyDescent="0.2">
      <c r="B29534" s="43"/>
    </row>
    <row r="29535" spans="2:2" ht="12.75" customHeight="1" x14ac:dyDescent="0.2">
      <c r="B29535" s="43"/>
    </row>
    <row r="29536" spans="2:2" ht="12.75" customHeight="1" x14ac:dyDescent="0.2">
      <c r="B29536" s="43"/>
    </row>
    <row r="29537" spans="2:2" ht="12.75" customHeight="1" x14ac:dyDescent="0.2">
      <c r="B29537" s="43"/>
    </row>
    <row r="29538" spans="2:2" ht="12.75" customHeight="1" x14ac:dyDescent="0.2">
      <c r="B29538" s="43"/>
    </row>
    <row r="29539" spans="2:2" ht="12.75" customHeight="1" x14ac:dyDescent="0.2">
      <c r="B29539" s="43"/>
    </row>
    <row r="29540" spans="2:2" ht="12.75" customHeight="1" x14ac:dyDescent="0.2">
      <c r="B29540" s="43"/>
    </row>
    <row r="29541" spans="2:2" ht="12.75" customHeight="1" x14ac:dyDescent="0.2">
      <c r="B29541" s="43"/>
    </row>
    <row r="29542" spans="2:2" ht="12.75" customHeight="1" x14ac:dyDescent="0.2">
      <c r="B29542" s="43"/>
    </row>
    <row r="29543" spans="2:2" ht="12.75" customHeight="1" x14ac:dyDescent="0.2">
      <c r="B29543" s="43"/>
    </row>
    <row r="29544" spans="2:2" ht="12.75" customHeight="1" x14ac:dyDescent="0.2">
      <c r="B29544" s="43"/>
    </row>
    <row r="29545" spans="2:2" ht="12.75" customHeight="1" x14ac:dyDescent="0.2">
      <c r="B29545" s="43"/>
    </row>
    <row r="29546" spans="2:2" ht="12.75" customHeight="1" x14ac:dyDescent="0.2">
      <c r="B29546" s="43"/>
    </row>
    <row r="29547" spans="2:2" ht="12.75" customHeight="1" x14ac:dyDescent="0.2">
      <c r="B29547" s="43"/>
    </row>
    <row r="29548" spans="2:2" ht="12.75" customHeight="1" x14ac:dyDescent="0.2">
      <c r="B29548" s="43"/>
    </row>
    <row r="29549" spans="2:2" ht="12.75" customHeight="1" x14ac:dyDescent="0.2">
      <c r="B29549" s="43"/>
    </row>
    <row r="29550" spans="2:2" ht="12.75" customHeight="1" x14ac:dyDescent="0.2">
      <c r="B29550" s="43"/>
    </row>
    <row r="29551" spans="2:2" ht="12.75" customHeight="1" x14ac:dyDescent="0.2">
      <c r="B29551" s="43"/>
    </row>
    <row r="29552" spans="2:2" ht="12.75" customHeight="1" x14ac:dyDescent="0.2">
      <c r="B29552" s="43"/>
    </row>
    <row r="29553" spans="2:2" ht="12.75" customHeight="1" x14ac:dyDescent="0.2">
      <c r="B29553" s="43"/>
    </row>
    <row r="29554" spans="2:2" ht="12.75" customHeight="1" x14ac:dyDescent="0.2">
      <c r="B29554" s="43"/>
    </row>
    <row r="29555" spans="2:2" ht="12.75" customHeight="1" x14ac:dyDescent="0.2">
      <c r="B29555" s="43"/>
    </row>
    <row r="29556" spans="2:2" ht="12.75" customHeight="1" x14ac:dyDescent="0.2">
      <c r="B29556" s="43"/>
    </row>
    <row r="29557" spans="2:2" ht="12.75" customHeight="1" x14ac:dyDescent="0.2">
      <c r="B29557" s="43"/>
    </row>
    <row r="29558" spans="2:2" ht="12.75" customHeight="1" x14ac:dyDescent="0.2">
      <c r="B29558" s="43"/>
    </row>
    <row r="29559" spans="2:2" ht="12.75" customHeight="1" x14ac:dyDescent="0.2">
      <c r="B29559" s="43"/>
    </row>
    <row r="29560" spans="2:2" ht="12.75" customHeight="1" x14ac:dyDescent="0.2">
      <c r="B29560" s="43"/>
    </row>
    <row r="29561" spans="2:2" ht="12.75" customHeight="1" x14ac:dyDescent="0.2">
      <c r="B29561" s="43"/>
    </row>
    <row r="29562" spans="2:2" ht="12.75" customHeight="1" x14ac:dyDescent="0.2">
      <c r="B29562" s="43"/>
    </row>
    <row r="29563" spans="2:2" ht="12.75" customHeight="1" x14ac:dyDescent="0.2">
      <c r="B29563" s="43"/>
    </row>
    <row r="29564" spans="2:2" ht="12.75" customHeight="1" x14ac:dyDescent="0.2">
      <c r="B29564" s="43"/>
    </row>
    <row r="29565" spans="2:2" ht="12.75" customHeight="1" x14ac:dyDescent="0.2">
      <c r="B29565" s="43"/>
    </row>
    <row r="29566" spans="2:2" ht="12.75" customHeight="1" x14ac:dyDescent="0.2">
      <c r="B29566" s="43"/>
    </row>
    <row r="29567" spans="2:2" ht="12.75" customHeight="1" x14ac:dyDescent="0.2">
      <c r="B29567" s="43"/>
    </row>
    <row r="29568" spans="2:2" ht="12.75" customHeight="1" x14ac:dyDescent="0.2">
      <c r="B29568" s="43"/>
    </row>
    <row r="29569" spans="2:2" ht="12.75" customHeight="1" x14ac:dyDescent="0.2">
      <c r="B29569" s="43"/>
    </row>
    <row r="29570" spans="2:2" ht="12.75" customHeight="1" x14ac:dyDescent="0.2">
      <c r="B29570" s="43"/>
    </row>
    <row r="29571" spans="2:2" ht="12.75" customHeight="1" x14ac:dyDescent="0.2">
      <c r="B29571" s="43"/>
    </row>
    <row r="29572" spans="2:2" ht="12.75" customHeight="1" x14ac:dyDescent="0.2">
      <c r="B29572" s="43"/>
    </row>
    <row r="29573" spans="2:2" ht="12.75" customHeight="1" x14ac:dyDescent="0.2">
      <c r="B29573" s="43"/>
    </row>
    <row r="29574" spans="2:2" ht="12.75" customHeight="1" x14ac:dyDescent="0.2">
      <c r="B29574" s="43"/>
    </row>
    <row r="29575" spans="2:2" ht="12.75" customHeight="1" x14ac:dyDescent="0.2">
      <c r="B29575" s="43"/>
    </row>
    <row r="29576" spans="2:2" ht="12.75" customHeight="1" x14ac:dyDescent="0.2">
      <c r="B29576" s="43"/>
    </row>
    <row r="29577" spans="2:2" ht="12.75" customHeight="1" x14ac:dyDescent="0.2">
      <c r="B29577" s="43"/>
    </row>
    <row r="29578" spans="2:2" ht="12.75" customHeight="1" x14ac:dyDescent="0.2">
      <c r="B29578" s="43"/>
    </row>
    <row r="29579" spans="2:2" ht="12.75" customHeight="1" x14ac:dyDescent="0.2">
      <c r="B29579" s="43"/>
    </row>
    <row r="29580" spans="2:2" ht="12.75" customHeight="1" x14ac:dyDescent="0.2">
      <c r="B29580" s="43"/>
    </row>
    <row r="29581" spans="2:2" ht="12.75" customHeight="1" x14ac:dyDescent="0.2">
      <c r="B29581" s="43"/>
    </row>
    <row r="29582" spans="2:2" ht="12.75" customHeight="1" x14ac:dyDescent="0.2">
      <c r="B29582" s="43"/>
    </row>
    <row r="29583" spans="2:2" ht="12.75" customHeight="1" x14ac:dyDescent="0.2">
      <c r="B29583" s="43"/>
    </row>
    <row r="29584" spans="2:2" ht="12.75" customHeight="1" x14ac:dyDescent="0.2">
      <c r="B29584" s="43"/>
    </row>
    <row r="29585" spans="2:2" ht="12.75" customHeight="1" x14ac:dyDescent="0.2">
      <c r="B29585" s="43"/>
    </row>
    <row r="29586" spans="2:2" ht="12.75" customHeight="1" x14ac:dyDescent="0.2">
      <c r="B29586" s="43"/>
    </row>
    <row r="29587" spans="2:2" ht="12.75" customHeight="1" x14ac:dyDescent="0.2">
      <c r="B29587" s="43"/>
    </row>
    <row r="29588" spans="2:2" ht="12.75" customHeight="1" x14ac:dyDescent="0.2">
      <c r="B29588" s="43"/>
    </row>
    <row r="29589" spans="2:2" ht="12.75" customHeight="1" x14ac:dyDescent="0.2">
      <c r="B29589" s="43"/>
    </row>
    <row r="29590" spans="2:2" ht="12.75" customHeight="1" x14ac:dyDescent="0.2">
      <c r="B29590" s="43"/>
    </row>
    <row r="29591" spans="2:2" ht="12.75" customHeight="1" x14ac:dyDescent="0.2">
      <c r="B29591" s="43"/>
    </row>
    <row r="29592" spans="2:2" ht="12.75" customHeight="1" x14ac:dyDescent="0.2">
      <c r="B29592" s="43"/>
    </row>
    <row r="29593" spans="2:2" ht="12.75" customHeight="1" x14ac:dyDescent="0.2">
      <c r="B29593" s="43"/>
    </row>
    <row r="29594" spans="2:2" ht="12.75" customHeight="1" x14ac:dyDescent="0.2">
      <c r="B29594" s="43"/>
    </row>
    <row r="29595" spans="2:2" ht="12.75" customHeight="1" x14ac:dyDescent="0.2">
      <c r="B29595" s="43"/>
    </row>
    <row r="29596" spans="2:2" ht="12.75" customHeight="1" x14ac:dyDescent="0.2">
      <c r="B29596" s="43"/>
    </row>
    <row r="29597" spans="2:2" ht="12.75" customHeight="1" x14ac:dyDescent="0.2">
      <c r="B29597" s="43"/>
    </row>
    <row r="29598" spans="2:2" ht="12.75" customHeight="1" x14ac:dyDescent="0.2">
      <c r="B29598" s="43"/>
    </row>
    <row r="29599" spans="2:2" ht="12.75" customHeight="1" x14ac:dyDescent="0.2">
      <c r="B29599" s="43"/>
    </row>
    <row r="29600" spans="2:2" ht="12.75" customHeight="1" x14ac:dyDescent="0.2">
      <c r="B29600" s="43"/>
    </row>
    <row r="29601" spans="2:2" ht="12.75" customHeight="1" x14ac:dyDescent="0.2">
      <c r="B29601" s="43"/>
    </row>
    <row r="29602" spans="2:2" ht="12.75" customHeight="1" x14ac:dyDescent="0.2">
      <c r="B29602" s="43"/>
    </row>
    <row r="29603" spans="2:2" ht="12.75" customHeight="1" x14ac:dyDescent="0.2">
      <c r="B29603" s="43"/>
    </row>
    <row r="29604" spans="2:2" ht="12.75" customHeight="1" x14ac:dyDescent="0.2">
      <c r="B29604" s="43"/>
    </row>
    <row r="29605" spans="2:2" ht="12.75" customHeight="1" x14ac:dyDescent="0.2">
      <c r="B29605" s="43"/>
    </row>
    <row r="29606" spans="2:2" ht="12.75" customHeight="1" x14ac:dyDescent="0.2">
      <c r="B29606" s="43"/>
    </row>
    <row r="29607" spans="2:2" ht="12.75" customHeight="1" x14ac:dyDescent="0.2">
      <c r="B29607" s="43"/>
    </row>
    <row r="29608" spans="2:2" ht="12.75" customHeight="1" x14ac:dyDescent="0.2">
      <c r="B29608" s="43"/>
    </row>
    <row r="29609" spans="2:2" ht="12.75" customHeight="1" x14ac:dyDescent="0.2">
      <c r="B29609" s="43"/>
    </row>
    <row r="29610" spans="2:2" ht="12.75" customHeight="1" x14ac:dyDescent="0.2">
      <c r="B29610" s="43"/>
    </row>
    <row r="29611" spans="2:2" ht="12.75" customHeight="1" x14ac:dyDescent="0.2">
      <c r="B29611" s="43"/>
    </row>
    <row r="29612" spans="2:2" ht="12.75" customHeight="1" x14ac:dyDescent="0.2">
      <c r="B29612" s="43"/>
    </row>
    <row r="29613" spans="2:2" ht="12.75" customHeight="1" x14ac:dyDescent="0.2">
      <c r="B29613" s="43"/>
    </row>
    <row r="29614" spans="2:2" ht="12.75" customHeight="1" x14ac:dyDescent="0.2">
      <c r="B29614" s="43"/>
    </row>
    <row r="29615" spans="2:2" ht="12.75" customHeight="1" x14ac:dyDescent="0.2">
      <c r="B29615" s="43"/>
    </row>
    <row r="29616" spans="2:2" ht="12.75" customHeight="1" x14ac:dyDescent="0.2">
      <c r="B29616" s="43"/>
    </row>
    <row r="29617" spans="2:2" ht="12.75" customHeight="1" x14ac:dyDescent="0.2">
      <c r="B29617" s="43"/>
    </row>
    <row r="29618" spans="2:2" ht="12.75" customHeight="1" x14ac:dyDescent="0.2">
      <c r="B29618" s="43"/>
    </row>
    <row r="29619" spans="2:2" ht="12.75" customHeight="1" x14ac:dyDescent="0.2">
      <c r="B29619" s="43"/>
    </row>
    <row r="29620" spans="2:2" ht="12.75" customHeight="1" x14ac:dyDescent="0.2">
      <c r="B29620" s="43"/>
    </row>
    <row r="29621" spans="2:2" ht="12.75" customHeight="1" x14ac:dyDescent="0.2">
      <c r="B29621" s="43"/>
    </row>
    <row r="29622" spans="2:2" ht="12.75" customHeight="1" x14ac:dyDescent="0.2">
      <c r="B29622" s="43"/>
    </row>
    <row r="29623" spans="2:2" ht="12.75" customHeight="1" x14ac:dyDescent="0.2">
      <c r="B29623" s="43"/>
    </row>
    <row r="29624" spans="2:2" ht="12.75" customHeight="1" x14ac:dyDescent="0.2">
      <c r="B29624" s="43"/>
    </row>
    <row r="29625" spans="2:2" ht="12.75" customHeight="1" x14ac:dyDescent="0.2">
      <c r="B29625" s="43"/>
    </row>
    <row r="29626" spans="2:2" ht="12.75" customHeight="1" x14ac:dyDescent="0.2">
      <c r="B29626" s="43"/>
    </row>
    <row r="29627" spans="2:2" ht="12.75" customHeight="1" x14ac:dyDescent="0.2">
      <c r="B29627" s="43"/>
    </row>
    <row r="29628" spans="2:2" ht="12.75" customHeight="1" x14ac:dyDescent="0.2">
      <c r="B29628" s="43"/>
    </row>
    <row r="29629" spans="2:2" ht="12.75" customHeight="1" x14ac:dyDescent="0.2">
      <c r="B29629" s="43"/>
    </row>
    <row r="29630" spans="2:2" ht="12.75" customHeight="1" x14ac:dyDescent="0.2">
      <c r="B29630" s="43"/>
    </row>
    <row r="29631" spans="2:2" ht="12.75" customHeight="1" x14ac:dyDescent="0.2">
      <c r="B29631" s="43"/>
    </row>
    <row r="29632" spans="2:2" ht="12.75" customHeight="1" x14ac:dyDescent="0.2">
      <c r="B29632" s="43"/>
    </row>
    <row r="29633" spans="2:2" ht="12.75" customHeight="1" x14ac:dyDescent="0.2">
      <c r="B29633" s="43"/>
    </row>
    <row r="29634" spans="2:2" ht="12.75" customHeight="1" x14ac:dyDescent="0.2">
      <c r="B29634" s="43"/>
    </row>
    <row r="29635" spans="2:2" ht="12.75" customHeight="1" x14ac:dyDescent="0.2">
      <c r="B29635" s="43"/>
    </row>
    <row r="29636" spans="2:2" ht="12.75" customHeight="1" x14ac:dyDescent="0.2">
      <c r="B29636" s="43"/>
    </row>
    <row r="29637" spans="2:2" ht="12.75" customHeight="1" x14ac:dyDescent="0.2">
      <c r="B29637" s="43"/>
    </row>
    <row r="29638" spans="2:2" ht="12.75" customHeight="1" x14ac:dyDescent="0.2">
      <c r="B29638" s="43"/>
    </row>
    <row r="29639" spans="2:2" ht="12.75" customHeight="1" x14ac:dyDescent="0.2">
      <c r="B29639" s="43"/>
    </row>
    <row r="29640" spans="2:2" ht="12.75" customHeight="1" x14ac:dyDescent="0.2">
      <c r="B29640" s="43"/>
    </row>
    <row r="29641" spans="2:2" ht="12.75" customHeight="1" x14ac:dyDescent="0.2">
      <c r="B29641" s="43"/>
    </row>
    <row r="29642" spans="2:2" ht="12.75" customHeight="1" x14ac:dyDescent="0.2">
      <c r="B29642" s="43"/>
    </row>
    <row r="29643" spans="2:2" ht="12.75" customHeight="1" x14ac:dyDescent="0.2">
      <c r="B29643" s="43"/>
    </row>
    <row r="29644" spans="2:2" ht="12.75" customHeight="1" x14ac:dyDescent="0.2">
      <c r="B29644" s="43"/>
    </row>
    <row r="29645" spans="2:2" ht="12.75" customHeight="1" x14ac:dyDescent="0.2">
      <c r="B29645" s="43"/>
    </row>
    <row r="29646" spans="2:2" ht="12.75" customHeight="1" x14ac:dyDescent="0.2">
      <c r="B29646" s="43"/>
    </row>
    <row r="29647" spans="2:2" ht="12.75" customHeight="1" x14ac:dyDescent="0.2">
      <c r="B29647" s="43"/>
    </row>
    <row r="29648" spans="2:2" ht="12.75" customHeight="1" x14ac:dyDescent="0.2">
      <c r="B29648" s="43"/>
    </row>
    <row r="29649" spans="2:2" ht="12.75" customHeight="1" x14ac:dyDescent="0.2">
      <c r="B29649" s="43"/>
    </row>
    <row r="29650" spans="2:2" ht="12.75" customHeight="1" x14ac:dyDescent="0.2">
      <c r="B29650" s="43"/>
    </row>
    <row r="29651" spans="2:2" ht="12.75" customHeight="1" x14ac:dyDescent="0.2">
      <c r="B29651" s="43"/>
    </row>
    <row r="29652" spans="2:2" ht="12.75" customHeight="1" x14ac:dyDescent="0.2">
      <c r="B29652" s="43"/>
    </row>
    <row r="29653" spans="2:2" ht="12.75" customHeight="1" x14ac:dyDescent="0.2">
      <c r="B29653" s="43"/>
    </row>
    <row r="29654" spans="2:2" ht="12.75" customHeight="1" x14ac:dyDescent="0.2">
      <c r="B29654" s="43"/>
    </row>
    <row r="29655" spans="2:2" ht="12.75" customHeight="1" x14ac:dyDescent="0.2">
      <c r="B29655" s="43"/>
    </row>
    <row r="29656" spans="2:2" ht="12.75" customHeight="1" x14ac:dyDescent="0.2">
      <c r="B29656" s="43"/>
    </row>
    <row r="29657" spans="2:2" ht="12.75" customHeight="1" x14ac:dyDescent="0.2">
      <c r="B29657" s="43"/>
    </row>
    <row r="29658" spans="2:2" ht="12.75" customHeight="1" x14ac:dyDescent="0.2">
      <c r="B29658" s="43"/>
    </row>
    <row r="29659" spans="2:2" ht="12.75" customHeight="1" x14ac:dyDescent="0.2">
      <c r="B29659" s="43"/>
    </row>
    <row r="29660" spans="2:2" ht="12.75" customHeight="1" x14ac:dyDescent="0.2">
      <c r="B29660" s="43"/>
    </row>
    <row r="29661" spans="2:2" ht="12.75" customHeight="1" x14ac:dyDescent="0.2">
      <c r="B29661" s="43"/>
    </row>
    <row r="29662" spans="2:2" ht="12.75" customHeight="1" x14ac:dyDescent="0.2">
      <c r="B29662" s="43"/>
    </row>
    <row r="29663" spans="2:2" ht="12.75" customHeight="1" x14ac:dyDescent="0.2">
      <c r="B29663" s="43"/>
    </row>
    <row r="29664" spans="2:2" ht="12.75" customHeight="1" x14ac:dyDescent="0.2">
      <c r="B29664" s="43"/>
    </row>
    <row r="29665" spans="2:2" ht="12.75" customHeight="1" x14ac:dyDescent="0.2">
      <c r="B29665" s="43"/>
    </row>
    <row r="29666" spans="2:2" ht="12.75" customHeight="1" x14ac:dyDescent="0.2">
      <c r="B29666" s="43"/>
    </row>
    <row r="29667" spans="2:2" ht="12.75" customHeight="1" x14ac:dyDescent="0.2">
      <c r="B29667" s="43"/>
    </row>
    <row r="29668" spans="2:2" ht="12.75" customHeight="1" x14ac:dyDescent="0.2">
      <c r="B29668" s="43"/>
    </row>
    <row r="29669" spans="2:2" ht="12.75" customHeight="1" x14ac:dyDescent="0.2">
      <c r="B29669" s="43"/>
    </row>
    <row r="29670" spans="2:2" ht="12.75" customHeight="1" x14ac:dyDescent="0.2">
      <c r="B29670" s="43"/>
    </row>
    <row r="29671" spans="2:2" ht="12.75" customHeight="1" x14ac:dyDescent="0.2">
      <c r="B29671" s="43"/>
    </row>
    <row r="29672" spans="2:2" ht="12.75" customHeight="1" x14ac:dyDescent="0.2">
      <c r="B29672" s="43"/>
    </row>
    <row r="29673" spans="2:2" ht="12.75" customHeight="1" x14ac:dyDescent="0.2">
      <c r="B29673" s="43"/>
    </row>
    <row r="29674" spans="2:2" ht="12.75" customHeight="1" x14ac:dyDescent="0.2">
      <c r="B29674" s="43"/>
    </row>
    <row r="29675" spans="2:2" ht="12.75" customHeight="1" x14ac:dyDescent="0.2">
      <c r="B29675" s="43"/>
    </row>
    <row r="29676" spans="2:2" ht="12.75" customHeight="1" x14ac:dyDescent="0.2">
      <c r="B29676" s="43"/>
    </row>
    <row r="29677" spans="2:2" ht="12.75" customHeight="1" x14ac:dyDescent="0.2">
      <c r="B29677" s="43"/>
    </row>
    <row r="29678" spans="2:2" ht="12.75" customHeight="1" x14ac:dyDescent="0.2">
      <c r="B29678" s="43"/>
    </row>
    <row r="29679" spans="2:2" ht="12.75" customHeight="1" x14ac:dyDescent="0.2">
      <c r="B29679" s="43"/>
    </row>
    <row r="29680" spans="2:2" ht="12.75" customHeight="1" x14ac:dyDescent="0.2">
      <c r="B29680" s="43"/>
    </row>
    <row r="29681" spans="2:2" ht="12.75" customHeight="1" x14ac:dyDescent="0.2">
      <c r="B29681" s="43"/>
    </row>
    <row r="29682" spans="2:2" ht="12.75" customHeight="1" x14ac:dyDescent="0.2">
      <c r="B29682" s="43"/>
    </row>
    <row r="29683" spans="2:2" ht="12.75" customHeight="1" x14ac:dyDescent="0.2">
      <c r="B29683" s="43"/>
    </row>
    <row r="29684" spans="2:2" ht="12.75" customHeight="1" x14ac:dyDescent="0.2">
      <c r="B29684" s="43"/>
    </row>
    <row r="29685" spans="2:2" ht="12.75" customHeight="1" x14ac:dyDescent="0.2">
      <c r="B29685" s="43"/>
    </row>
    <row r="29686" spans="2:2" ht="12.75" customHeight="1" x14ac:dyDescent="0.2">
      <c r="B29686" s="43"/>
    </row>
    <row r="29687" spans="2:2" ht="12.75" customHeight="1" x14ac:dyDescent="0.2">
      <c r="B29687" s="43"/>
    </row>
    <row r="29688" spans="2:2" ht="12.75" customHeight="1" x14ac:dyDescent="0.2">
      <c r="B29688" s="43"/>
    </row>
    <row r="29689" spans="2:2" ht="12.75" customHeight="1" x14ac:dyDescent="0.2">
      <c r="B29689" s="43"/>
    </row>
    <row r="29690" spans="2:2" ht="12.75" customHeight="1" x14ac:dyDescent="0.2">
      <c r="B29690" s="43"/>
    </row>
    <row r="29691" spans="2:2" ht="12.75" customHeight="1" x14ac:dyDescent="0.2">
      <c r="B29691" s="43"/>
    </row>
    <row r="29692" spans="2:2" ht="12.75" customHeight="1" x14ac:dyDescent="0.2">
      <c r="B29692" s="43"/>
    </row>
    <row r="29693" spans="2:2" ht="12.75" customHeight="1" x14ac:dyDescent="0.2">
      <c r="B29693" s="43"/>
    </row>
    <row r="29694" spans="2:2" ht="12.75" customHeight="1" x14ac:dyDescent="0.2">
      <c r="B29694" s="43"/>
    </row>
    <row r="29695" spans="2:2" ht="12.75" customHeight="1" x14ac:dyDescent="0.2">
      <c r="B29695" s="43"/>
    </row>
    <row r="29696" spans="2:2" ht="12.75" customHeight="1" x14ac:dyDescent="0.2">
      <c r="B29696" s="43"/>
    </row>
    <row r="29697" spans="2:2" ht="12.75" customHeight="1" x14ac:dyDescent="0.2">
      <c r="B29697" s="43"/>
    </row>
    <row r="29698" spans="2:2" ht="12.75" customHeight="1" x14ac:dyDescent="0.2">
      <c r="B29698" s="43"/>
    </row>
    <row r="29699" spans="2:2" ht="12.75" customHeight="1" x14ac:dyDescent="0.2">
      <c r="B29699" s="43"/>
    </row>
    <row r="29700" spans="2:2" ht="12.75" customHeight="1" x14ac:dyDescent="0.2">
      <c r="B29700" s="43"/>
    </row>
    <row r="29701" spans="2:2" ht="12.75" customHeight="1" x14ac:dyDescent="0.2">
      <c r="B29701" s="43"/>
    </row>
    <row r="29702" spans="2:2" ht="12.75" customHeight="1" x14ac:dyDescent="0.2">
      <c r="B29702" s="43"/>
    </row>
    <row r="29703" spans="2:2" ht="12.75" customHeight="1" x14ac:dyDescent="0.2">
      <c r="B29703" s="43"/>
    </row>
    <row r="29704" spans="2:2" ht="12.75" customHeight="1" x14ac:dyDescent="0.2">
      <c r="B29704" s="43"/>
    </row>
    <row r="29705" spans="2:2" ht="12.75" customHeight="1" x14ac:dyDescent="0.2">
      <c r="B29705" s="43"/>
    </row>
    <row r="29706" spans="2:2" ht="12.75" customHeight="1" x14ac:dyDescent="0.2">
      <c r="B29706" s="43"/>
    </row>
    <row r="29707" spans="2:2" ht="12.75" customHeight="1" x14ac:dyDescent="0.2">
      <c r="B29707" s="43"/>
    </row>
    <row r="29708" spans="2:2" ht="12.75" customHeight="1" x14ac:dyDescent="0.2">
      <c r="B29708" s="43"/>
    </row>
    <row r="29709" spans="2:2" ht="12.75" customHeight="1" x14ac:dyDescent="0.2">
      <c r="B29709" s="43"/>
    </row>
    <row r="29710" spans="2:2" ht="12.75" customHeight="1" x14ac:dyDescent="0.2">
      <c r="B29710" s="43"/>
    </row>
    <row r="29711" spans="2:2" ht="12.75" customHeight="1" x14ac:dyDescent="0.2">
      <c r="B29711" s="43"/>
    </row>
    <row r="29712" spans="2:2" ht="12.75" customHeight="1" x14ac:dyDescent="0.2">
      <c r="B29712" s="43"/>
    </row>
    <row r="29713" spans="2:2" ht="12.75" customHeight="1" x14ac:dyDescent="0.2">
      <c r="B29713" s="43"/>
    </row>
    <row r="29714" spans="2:2" ht="12.75" customHeight="1" x14ac:dyDescent="0.2">
      <c r="B29714" s="43"/>
    </row>
    <row r="29715" spans="2:2" ht="12.75" customHeight="1" x14ac:dyDescent="0.2">
      <c r="B29715" s="43"/>
    </row>
    <row r="29716" spans="2:2" ht="12.75" customHeight="1" x14ac:dyDescent="0.2">
      <c r="B29716" s="43"/>
    </row>
    <row r="29717" spans="2:2" ht="12.75" customHeight="1" x14ac:dyDescent="0.2">
      <c r="B29717" s="43"/>
    </row>
    <row r="29718" spans="2:2" ht="12.75" customHeight="1" x14ac:dyDescent="0.2">
      <c r="B29718" s="43"/>
    </row>
    <row r="29719" spans="2:2" ht="12.75" customHeight="1" x14ac:dyDescent="0.2">
      <c r="B29719" s="43"/>
    </row>
    <row r="29720" spans="2:2" ht="12.75" customHeight="1" x14ac:dyDescent="0.2">
      <c r="B29720" s="43"/>
    </row>
    <row r="29721" spans="2:2" ht="12.75" customHeight="1" x14ac:dyDescent="0.2">
      <c r="B29721" s="43"/>
    </row>
    <row r="29722" spans="2:2" ht="12.75" customHeight="1" x14ac:dyDescent="0.2">
      <c r="B29722" s="43"/>
    </row>
    <row r="29723" spans="2:2" ht="12.75" customHeight="1" x14ac:dyDescent="0.2">
      <c r="B29723" s="43"/>
    </row>
    <row r="29724" spans="2:2" ht="12.75" customHeight="1" x14ac:dyDescent="0.2">
      <c r="B29724" s="43"/>
    </row>
    <row r="29725" spans="2:2" ht="12.75" customHeight="1" x14ac:dyDescent="0.2">
      <c r="B29725" s="43"/>
    </row>
    <row r="29726" spans="2:2" ht="12.75" customHeight="1" x14ac:dyDescent="0.2">
      <c r="B29726" s="43"/>
    </row>
    <row r="29727" spans="2:2" ht="12.75" customHeight="1" x14ac:dyDescent="0.2">
      <c r="B29727" s="43"/>
    </row>
    <row r="29728" spans="2:2" ht="12.75" customHeight="1" x14ac:dyDescent="0.2">
      <c r="B29728" s="43"/>
    </row>
    <row r="29729" spans="2:2" ht="12.75" customHeight="1" x14ac:dyDescent="0.2">
      <c r="B29729" s="43"/>
    </row>
    <row r="29730" spans="2:2" ht="12.75" customHeight="1" x14ac:dyDescent="0.2">
      <c r="B29730" s="43"/>
    </row>
    <row r="29731" spans="2:2" ht="12.75" customHeight="1" x14ac:dyDescent="0.2">
      <c r="B29731" s="43"/>
    </row>
    <row r="29732" spans="2:2" ht="12.75" customHeight="1" x14ac:dyDescent="0.2">
      <c r="B29732" s="43"/>
    </row>
    <row r="29733" spans="2:2" ht="12.75" customHeight="1" x14ac:dyDescent="0.2">
      <c r="B29733" s="43"/>
    </row>
    <row r="29734" spans="2:2" ht="12.75" customHeight="1" x14ac:dyDescent="0.2">
      <c r="B29734" s="43"/>
    </row>
    <row r="29735" spans="2:2" ht="12.75" customHeight="1" x14ac:dyDescent="0.2">
      <c r="B29735" s="43"/>
    </row>
    <row r="29736" spans="2:2" ht="12.75" customHeight="1" x14ac:dyDescent="0.2">
      <c r="B29736" s="43"/>
    </row>
    <row r="29737" spans="2:2" ht="12.75" customHeight="1" x14ac:dyDescent="0.2">
      <c r="B29737" s="43"/>
    </row>
    <row r="29738" spans="2:2" ht="12.75" customHeight="1" x14ac:dyDescent="0.2">
      <c r="B29738" s="43"/>
    </row>
    <row r="29739" spans="2:2" ht="12.75" customHeight="1" x14ac:dyDescent="0.2">
      <c r="B29739" s="43"/>
    </row>
    <row r="29740" spans="2:2" ht="12.75" customHeight="1" x14ac:dyDescent="0.2">
      <c r="B29740" s="43"/>
    </row>
    <row r="29741" spans="2:2" ht="12.75" customHeight="1" x14ac:dyDescent="0.2">
      <c r="B29741" s="43"/>
    </row>
    <row r="29742" spans="2:2" ht="12.75" customHeight="1" x14ac:dyDescent="0.2">
      <c r="B29742" s="43"/>
    </row>
    <row r="29743" spans="2:2" ht="12.75" customHeight="1" x14ac:dyDescent="0.2">
      <c r="B29743" s="43"/>
    </row>
    <row r="29744" spans="2:2" ht="12.75" customHeight="1" x14ac:dyDescent="0.2">
      <c r="B29744" s="43"/>
    </row>
    <row r="29745" spans="2:2" ht="12.75" customHeight="1" x14ac:dyDescent="0.2">
      <c r="B29745" s="43"/>
    </row>
    <row r="29746" spans="2:2" ht="12.75" customHeight="1" x14ac:dyDescent="0.2">
      <c r="B29746" s="43"/>
    </row>
    <row r="29747" spans="2:2" ht="12.75" customHeight="1" x14ac:dyDescent="0.2">
      <c r="B29747" s="43"/>
    </row>
    <row r="29748" spans="2:2" ht="12.75" customHeight="1" x14ac:dyDescent="0.2">
      <c r="B29748" s="43"/>
    </row>
    <row r="29749" spans="2:2" ht="12.75" customHeight="1" x14ac:dyDescent="0.2">
      <c r="B29749" s="43"/>
    </row>
    <row r="29750" spans="2:2" ht="12.75" customHeight="1" x14ac:dyDescent="0.2">
      <c r="B29750" s="43"/>
    </row>
    <row r="29751" spans="2:2" ht="12.75" customHeight="1" x14ac:dyDescent="0.2">
      <c r="B29751" s="43"/>
    </row>
    <row r="29752" spans="2:2" ht="12.75" customHeight="1" x14ac:dyDescent="0.2">
      <c r="B29752" s="43"/>
    </row>
    <row r="29753" spans="2:2" ht="12.75" customHeight="1" x14ac:dyDescent="0.2">
      <c r="B29753" s="43"/>
    </row>
    <row r="29754" spans="2:2" ht="12.75" customHeight="1" x14ac:dyDescent="0.2">
      <c r="B29754" s="43"/>
    </row>
    <row r="29755" spans="2:2" ht="12.75" customHeight="1" x14ac:dyDescent="0.2">
      <c r="B29755" s="43"/>
    </row>
    <row r="29756" spans="2:2" ht="12.75" customHeight="1" x14ac:dyDescent="0.2">
      <c r="B29756" s="43"/>
    </row>
    <row r="29757" spans="2:2" ht="12.75" customHeight="1" x14ac:dyDescent="0.2">
      <c r="B29757" s="43"/>
    </row>
    <row r="29758" spans="2:2" ht="12.75" customHeight="1" x14ac:dyDescent="0.2">
      <c r="B29758" s="43"/>
    </row>
    <row r="29759" spans="2:2" ht="12.75" customHeight="1" x14ac:dyDescent="0.2">
      <c r="B29759" s="43"/>
    </row>
    <row r="29760" spans="2:2" ht="12.75" customHeight="1" x14ac:dyDescent="0.2">
      <c r="B29760" s="43"/>
    </row>
    <row r="29761" spans="2:2" ht="12.75" customHeight="1" x14ac:dyDescent="0.2">
      <c r="B29761" s="43"/>
    </row>
    <row r="29762" spans="2:2" ht="12.75" customHeight="1" x14ac:dyDescent="0.2">
      <c r="B29762" s="43"/>
    </row>
    <row r="29763" spans="2:2" ht="12.75" customHeight="1" x14ac:dyDescent="0.2">
      <c r="B29763" s="43"/>
    </row>
    <row r="29764" spans="2:2" ht="12.75" customHeight="1" x14ac:dyDescent="0.2">
      <c r="B29764" s="43"/>
    </row>
    <row r="29765" spans="2:2" ht="12.75" customHeight="1" x14ac:dyDescent="0.2">
      <c r="B29765" s="43"/>
    </row>
    <row r="29766" spans="2:2" ht="12.75" customHeight="1" x14ac:dyDescent="0.2">
      <c r="B29766" s="43"/>
    </row>
    <row r="29767" spans="2:2" ht="12.75" customHeight="1" x14ac:dyDescent="0.2">
      <c r="B29767" s="43"/>
    </row>
    <row r="29768" spans="2:2" ht="12.75" customHeight="1" x14ac:dyDescent="0.2">
      <c r="B29768" s="43"/>
    </row>
    <row r="29769" spans="2:2" ht="12.75" customHeight="1" x14ac:dyDescent="0.2">
      <c r="B29769" s="43"/>
    </row>
    <row r="29770" spans="2:2" ht="12.75" customHeight="1" x14ac:dyDescent="0.2">
      <c r="B29770" s="43"/>
    </row>
    <row r="29771" spans="2:2" ht="12.75" customHeight="1" x14ac:dyDescent="0.2">
      <c r="B29771" s="43"/>
    </row>
    <row r="29772" spans="2:2" ht="12.75" customHeight="1" x14ac:dyDescent="0.2">
      <c r="B29772" s="43"/>
    </row>
    <row r="29773" spans="2:2" ht="12.75" customHeight="1" x14ac:dyDescent="0.2">
      <c r="B29773" s="43"/>
    </row>
    <row r="29774" spans="2:2" ht="12.75" customHeight="1" x14ac:dyDescent="0.2">
      <c r="B29774" s="43"/>
    </row>
    <row r="29775" spans="2:2" ht="12.75" customHeight="1" x14ac:dyDescent="0.2">
      <c r="B29775" s="43"/>
    </row>
    <row r="29776" spans="2:2" ht="12.75" customHeight="1" x14ac:dyDescent="0.2">
      <c r="B29776" s="43"/>
    </row>
    <row r="29777" spans="2:2" ht="12.75" customHeight="1" x14ac:dyDescent="0.2">
      <c r="B29777" s="43"/>
    </row>
    <row r="29778" spans="2:2" ht="12.75" customHeight="1" x14ac:dyDescent="0.2">
      <c r="B29778" s="43"/>
    </row>
    <row r="29779" spans="2:2" ht="12.75" customHeight="1" x14ac:dyDescent="0.2">
      <c r="B29779" s="43"/>
    </row>
    <row r="29780" spans="2:2" ht="12.75" customHeight="1" x14ac:dyDescent="0.2">
      <c r="B29780" s="43"/>
    </row>
    <row r="29781" spans="2:2" ht="12.75" customHeight="1" x14ac:dyDescent="0.2">
      <c r="B29781" s="43"/>
    </row>
    <row r="29782" spans="2:2" ht="12.75" customHeight="1" x14ac:dyDescent="0.2">
      <c r="B29782" s="43"/>
    </row>
    <row r="29783" spans="2:2" ht="12.75" customHeight="1" x14ac:dyDescent="0.2">
      <c r="B29783" s="43"/>
    </row>
    <row r="29784" spans="2:2" ht="12.75" customHeight="1" x14ac:dyDescent="0.2">
      <c r="B29784" s="43"/>
    </row>
    <row r="29785" spans="2:2" ht="12.75" customHeight="1" x14ac:dyDescent="0.2">
      <c r="B29785" s="43"/>
    </row>
    <row r="29786" spans="2:2" ht="12.75" customHeight="1" x14ac:dyDescent="0.2">
      <c r="B29786" s="43"/>
    </row>
    <row r="29787" spans="2:2" ht="12.75" customHeight="1" x14ac:dyDescent="0.2">
      <c r="B29787" s="43"/>
    </row>
    <row r="29788" spans="2:2" ht="12.75" customHeight="1" x14ac:dyDescent="0.2">
      <c r="B29788" s="43"/>
    </row>
    <row r="29789" spans="2:2" ht="12.75" customHeight="1" x14ac:dyDescent="0.2">
      <c r="B29789" s="43"/>
    </row>
    <row r="29790" spans="2:2" ht="12.75" customHeight="1" x14ac:dyDescent="0.2">
      <c r="B29790" s="43"/>
    </row>
    <row r="29791" spans="2:2" ht="12.75" customHeight="1" x14ac:dyDescent="0.2">
      <c r="B29791" s="43"/>
    </row>
    <row r="29792" spans="2:2" ht="12.75" customHeight="1" x14ac:dyDescent="0.2">
      <c r="B29792" s="43"/>
    </row>
    <row r="29793" spans="2:2" ht="12.75" customHeight="1" x14ac:dyDescent="0.2">
      <c r="B29793" s="43"/>
    </row>
    <row r="29794" spans="2:2" ht="12.75" customHeight="1" x14ac:dyDescent="0.2">
      <c r="B29794" s="43"/>
    </row>
    <row r="29795" spans="2:2" ht="12.75" customHeight="1" x14ac:dyDescent="0.2">
      <c r="B29795" s="43"/>
    </row>
    <row r="29796" spans="2:2" ht="12.75" customHeight="1" x14ac:dyDescent="0.2">
      <c r="B29796" s="43"/>
    </row>
    <row r="29797" spans="2:2" ht="12.75" customHeight="1" x14ac:dyDescent="0.2">
      <c r="B29797" s="43"/>
    </row>
    <row r="29798" spans="2:2" ht="12.75" customHeight="1" x14ac:dyDescent="0.2">
      <c r="B29798" s="43"/>
    </row>
    <row r="29799" spans="2:2" ht="12.75" customHeight="1" x14ac:dyDescent="0.2">
      <c r="B29799" s="43"/>
    </row>
    <row r="29800" spans="2:2" ht="12.75" customHeight="1" x14ac:dyDescent="0.2">
      <c r="B29800" s="43"/>
    </row>
    <row r="29801" spans="2:2" ht="12.75" customHeight="1" x14ac:dyDescent="0.2">
      <c r="B29801" s="43"/>
    </row>
    <row r="29802" spans="2:2" ht="12.75" customHeight="1" x14ac:dyDescent="0.2">
      <c r="B29802" s="43"/>
    </row>
    <row r="29803" spans="2:2" ht="12.75" customHeight="1" x14ac:dyDescent="0.2">
      <c r="B29803" s="43"/>
    </row>
    <row r="29804" spans="2:2" ht="12.75" customHeight="1" x14ac:dyDescent="0.2">
      <c r="B29804" s="43"/>
    </row>
    <row r="29805" spans="2:2" ht="12.75" customHeight="1" x14ac:dyDescent="0.2">
      <c r="B29805" s="43"/>
    </row>
    <row r="29806" spans="2:2" ht="12.75" customHeight="1" x14ac:dyDescent="0.2">
      <c r="B29806" s="43"/>
    </row>
    <row r="29807" spans="2:2" ht="12.75" customHeight="1" x14ac:dyDescent="0.2">
      <c r="B29807" s="43"/>
    </row>
    <row r="29808" spans="2:2" ht="12.75" customHeight="1" x14ac:dyDescent="0.2">
      <c r="B29808" s="43"/>
    </row>
    <row r="29809" spans="2:2" ht="12.75" customHeight="1" x14ac:dyDescent="0.2">
      <c r="B29809" s="43"/>
    </row>
    <row r="29810" spans="2:2" ht="12.75" customHeight="1" x14ac:dyDescent="0.2">
      <c r="B29810" s="43"/>
    </row>
    <row r="29811" spans="2:2" ht="12.75" customHeight="1" x14ac:dyDescent="0.2">
      <c r="B29811" s="43"/>
    </row>
    <row r="29812" spans="2:2" ht="12.75" customHeight="1" x14ac:dyDescent="0.2">
      <c r="B29812" s="43"/>
    </row>
    <row r="29813" spans="2:2" ht="12.75" customHeight="1" x14ac:dyDescent="0.2">
      <c r="B29813" s="43"/>
    </row>
    <row r="29814" spans="2:2" ht="12.75" customHeight="1" x14ac:dyDescent="0.2">
      <c r="B29814" s="43"/>
    </row>
    <row r="29815" spans="2:2" ht="12.75" customHeight="1" x14ac:dyDescent="0.2">
      <c r="B29815" s="43"/>
    </row>
    <row r="29816" spans="2:2" ht="12.75" customHeight="1" x14ac:dyDescent="0.2">
      <c r="B29816" s="43"/>
    </row>
    <row r="29817" spans="2:2" ht="12.75" customHeight="1" x14ac:dyDescent="0.2">
      <c r="B29817" s="43"/>
    </row>
    <row r="29818" spans="2:2" ht="12.75" customHeight="1" x14ac:dyDescent="0.2">
      <c r="B29818" s="43"/>
    </row>
    <row r="29819" spans="2:2" ht="12.75" customHeight="1" x14ac:dyDescent="0.2">
      <c r="B29819" s="43"/>
    </row>
    <row r="29820" spans="2:2" ht="12.75" customHeight="1" x14ac:dyDescent="0.2">
      <c r="B29820" s="43"/>
    </row>
    <row r="29821" spans="2:2" ht="12.75" customHeight="1" x14ac:dyDescent="0.2">
      <c r="B29821" s="43"/>
    </row>
    <row r="29822" spans="2:2" ht="12.75" customHeight="1" x14ac:dyDescent="0.2">
      <c r="B29822" s="43"/>
    </row>
    <row r="29823" spans="2:2" ht="12.75" customHeight="1" x14ac:dyDescent="0.2">
      <c r="B29823" s="43"/>
    </row>
    <row r="29824" spans="2:2" ht="12.75" customHeight="1" x14ac:dyDescent="0.2">
      <c r="B29824" s="43"/>
    </row>
    <row r="29825" spans="2:2" ht="12.75" customHeight="1" x14ac:dyDescent="0.2">
      <c r="B29825" s="43"/>
    </row>
    <row r="29826" spans="2:2" ht="12.75" customHeight="1" x14ac:dyDescent="0.2">
      <c r="B29826" s="43"/>
    </row>
    <row r="29827" spans="2:2" ht="12.75" customHeight="1" x14ac:dyDescent="0.2">
      <c r="B29827" s="43"/>
    </row>
    <row r="29828" spans="2:2" ht="12.75" customHeight="1" x14ac:dyDescent="0.2">
      <c r="B29828" s="43"/>
    </row>
    <row r="29829" spans="2:2" ht="12.75" customHeight="1" x14ac:dyDescent="0.2">
      <c r="B29829" s="43"/>
    </row>
    <row r="29830" spans="2:2" ht="12.75" customHeight="1" x14ac:dyDescent="0.2">
      <c r="B29830" s="43"/>
    </row>
    <row r="29831" spans="2:2" ht="12.75" customHeight="1" x14ac:dyDescent="0.2">
      <c r="B29831" s="43"/>
    </row>
    <row r="29832" spans="2:2" ht="12.75" customHeight="1" x14ac:dyDescent="0.2">
      <c r="B29832" s="43"/>
    </row>
    <row r="29833" spans="2:2" ht="12.75" customHeight="1" x14ac:dyDescent="0.2">
      <c r="B29833" s="43"/>
    </row>
    <row r="29834" spans="2:2" ht="12.75" customHeight="1" x14ac:dyDescent="0.2">
      <c r="B29834" s="43"/>
    </row>
    <row r="29835" spans="2:2" ht="12.75" customHeight="1" x14ac:dyDescent="0.2">
      <c r="B29835" s="43"/>
    </row>
    <row r="29836" spans="2:2" ht="12.75" customHeight="1" x14ac:dyDescent="0.2">
      <c r="B29836" s="43"/>
    </row>
    <row r="29837" spans="2:2" ht="12.75" customHeight="1" x14ac:dyDescent="0.2">
      <c r="B29837" s="43"/>
    </row>
    <row r="29838" spans="2:2" ht="12.75" customHeight="1" x14ac:dyDescent="0.2">
      <c r="B29838" s="43"/>
    </row>
    <row r="29839" spans="2:2" ht="12.75" customHeight="1" x14ac:dyDescent="0.2">
      <c r="B29839" s="43"/>
    </row>
    <row r="29840" spans="2:2" ht="12.75" customHeight="1" x14ac:dyDescent="0.2">
      <c r="B29840" s="43"/>
    </row>
    <row r="29841" spans="2:2" ht="12.75" customHeight="1" x14ac:dyDescent="0.2">
      <c r="B29841" s="43"/>
    </row>
    <row r="29842" spans="2:2" ht="12.75" customHeight="1" x14ac:dyDescent="0.2">
      <c r="B29842" s="43"/>
    </row>
    <row r="29843" spans="2:2" ht="12.75" customHeight="1" x14ac:dyDescent="0.2">
      <c r="B29843" s="43"/>
    </row>
    <row r="29844" spans="2:2" ht="12.75" customHeight="1" x14ac:dyDescent="0.2">
      <c r="B29844" s="43"/>
    </row>
    <row r="29845" spans="2:2" ht="12.75" customHeight="1" x14ac:dyDescent="0.2">
      <c r="B29845" s="43"/>
    </row>
    <row r="29846" spans="2:2" ht="12.75" customHeight="1" x14ac:dyDescent="0.2">
      <c r="B29846" s="43"/>
    </row>
    <row r="29847" spans="2:2" ht="12.75" customHeight="1" x14ac:dyDescent="0.2">
      <c r="B29847" s="43"/>
    </row>
    <row r="29848" spans="2:2" ht="12.75" customHeight="1" x14ac:dyDescent="0.2">
      <c r="B29848" s="43"/>
    </row>
    <row r="29849" spans="2:2" ht="12.75" customHeight="1" x14ac:dyDescent="0.2">
      <c r="B29849" s="43"/>
    </row>
    <row r="29850" spans="2:2" ht="12.75" customHeight="1" x14ac:dyDescent="0.2">
      <c r="B29850" s="43"/>
    </row>
    <row r="29851" spans="2:2" ht="12.75" customHeight="1" x14ac:dyDescent="0.2">
      <c r="B29851" s="43"/>
    </row>
    <row r="29852" spans="2:2" ht="12.75" customHeight="1" x14ac:dyDescent="0.2">
      <c r="B29852" s="43"/>
    </row>
    <row r="29853" spans="2:2" ht="12.75" customHeight="1" x14ac:dyDescent="0.2">
      <c r="B29853" s="43"/>
    </row>
    <row r="29854" spans="2:2" ht="12.75" customHeight="1" x14ac:dyDescent="0.2">
      <c r="B29854" s="43"/>
    </row>
    <row r="29855" spans="2:2" ht="12.75" customHeight="1" x14ac:dyDescent="0.2">
      <c r="B29855" s="43"/>
    </row>
    <row r="29856" spans="2:2" ht="12.75" customHeight="1" x14ac:dyDescent="0.2">
      <c r="B29856" s="43"/>
    </row>
    <row r="29857" spans="2:2" ht="12.75" customHeight="1" x14ac:dyDescent="0.2">
      <c r="B29857" s="43"/>
    </row>
    <row r="29858" spans="2:2" ht="12.75" customHeight="1" x14ac:dyDescent="0.2">
      <c r="B29858" s="43"/>
    </row>
    <row r="29859" spans="2:2" ht="12.75" customHeight="1" x14ac:dyDescent="0.2">
      <c r="B29859" s="43"/>
    </row>
    <row r="29860" spans="2:2" ht="12.75" customHeight="1" x14ac:dyDescent="0.2">
      <c r="B29860" s="43"/>
    </row>
    <row r="29861" spans="2:2" ht="12.75" customHeight="1" x14ac:dyDescent="0.2">
      <c r="B29861" s="43"/>
    </row>
    <row r="29862" spans="2:2" ht="12.75" customHeight="1" x14ac:dyDescent="0.2">
      <c r="B29862" s="43"/>
    </row>
    <row r="29863" spans="2:2" ht="12.75" customHeight="1" x14ac:dyDescent="0.2">
      <c r="B29863" s="43"/>
    </row>
    <row r="29864" spans="2:2" ht="12.75" customHeight="1" x14ac:dyDescent="0.2">
      <c r="B29864" s="43"/>
    </row>
    <row r="29865" spans="2:2" ht="12.75" customHeight="1" x14ac:dyDescent="0.2">
      <c r="B29865" s="43"/>
    </row>
    <row r="29866" spans="2:2" ht="12.75" customHeight="1" x14ac:dyDescent="0.2">
      <c r="B29866" s="43"/>
    </row>
    <row r="29867" spans="2:2" ht="12.75" customHeight="1" x14ac:dyDescent="0.2">
      <c r="B29867" s="43"/>
    </row>
    <row r="29868" spans="2:2" ht="12.75" customHeight="1" x14ac:dyDescent="0.2">
      <c r="B29868" s="43"/>
    </row>
    <row r="29869" spans="2:2" ht="12.75" customHeight="1" x14ac:dyDescent="0.2">
      <c r="B29869" s="43"/>
    </row>
    <row r="29870" spans="2:2" ht="12.75" customHeight="1" x14ac:dyDescent="0.2">
      <c r="B29870" s="43"/>
    </row>
    <row r="29871" spans="2:2" ht="12.75" customHeight="1" x14ac:dyDescent="0.2">
      <c r="B29871" s="43"/>
    </row>
    <row r="29872" spans="2:2" ht="12.75" customHeight="1" x14ac:dyDescent="0.2">
      <c r="B29872" s="43"/>
    </row>
    <row r="29873" spans="2:2" ht="12.75" customHeight="1" x14ac:dyDescent="0.2">
      <c r="B29873" s="43"/>
    </row>
    <row r="29874" spans="2:2" ht="12.75" customHeight="1" x14ac:dyDescent="0.2">
      <c r="B29874" s="43"/>
    </row>
    <row r="29875" spans="2:2" ht="12.75" customHeight="1" x14ac:dyDescent="0.2">
      <c r="B29875" s="43"/>
    </row>
    <row r="29876" spans="2:2" ht="12.75" customHeight="1" x14ac:dyDescent="0.2">
      <c r="B29876" s="43"/>
    </row>
    <row r="29877" spans="2:2" ht="12.75" customHeight="1" x14ac:dyDescent="0.2">
      <c r="B29877" s="43"/>
    </row>
    <row r="29878" spans="2:2" ht="12.75" customHeight="1" x14ac:dyDescent="0.2">
      <c r="B29878" s="43"/>
    </row>
    <row r="29879" spans="2:2" ht="12.75" customHeight="1" x14ac:dyDescent="0.2">
      <c r="B29879" s="43"/>
    </row>
    <row r="29880" spans="2:2" ht="12.75" customHeight="1" x14ac:dyDescent="0.2">
      <c r="B29880" s="43"/>
    </row>
    <row r="29881" spans="2:2" ht="12.75" customHeight="1" x14ac:dyDescent="0.2">
      <c r="B29881" s="43"/>
    </row>
    <row r="29882" spans="2:2" ht="12.75" customHeight="1" x14ac:dyDescent="0.2">
      <c r="B29882" s="43"/>
    </row>
    <row r="29883" spans="2:2" ht="12.75" customHeight="1" x14ac:dyDescent="0.2">
      <c r="B29883" s="43"/>
    </row>
    <row r="29884" spans="2:2" ht="12.75" customHeight="1" x14ac:dyDescent="0.2">
      <c r="B29884" s="43"/>
    </row>
    <row r="29885" spans="2:2" ht="12.75" customHeight="1" x14ac:dyDescent="0.2">
      <c r="B29885" s="43"/>
    </row>
    <row r="29886" spans="2:2" ht="12.75" customHeight="1" x14ac:dyDescent="0.2">
      <c r="B29886" s="43"/>
    </row>
    <row r="29887" spans="2:2" ht="12.75" customHeight="1" x14ac:dyDescent="0.2">
      <c r="B29887" s="43"/>
    </row>
    <row r="29888" spans="2:2" ht="12.75" customHeight="1" x14ac:dyDescent="0.2">
      <c r="B29888" s="43"/>
    </row>
    <row r="29889" spans="2:2" ht="12.75" customHeight="1" x14ac:dyDescent="0.2">
      <c r="B29889" s="43"/>
    </row>
    <row r="29890" spans="2:2" ht="12.75" customHeight="1" x14ac:dyDescent="0.2">
      <c r="B29890" s="43"/>
    </row>
    <row r="29891" spans="2:2" ht="12.75" customHeight="1" x14ac:dyDescent="0.2">
      <c r="B29891" s="43"/>
    </row>
    <row r="29892" spans="2:2" ht="12.75" customHeight="1" x14ac:dyDescent="0.2">
      <c r="B29892" s="43"/>
    </row>
    <row r="29893" spans="2:2" ht="12.75" customHeight="1" x14ac:dyDescent="0.2">
      <c r="B29893" s="43"/>
    </row>
    <row r="29894" spans="2:2" ht="12.75" customHeight="1" x14ac:dyDescent="0.2">
      <c r="B29894" s="43"/>
    </row>
    <row r="29895" spans="2:2" ht="12.75" customHeight="1" x14ac:dyDescent="0.2">
      <c r="B29895" s="43"/>
    </row>
    <row r="29896" spans="2:2" ht="12.75" customHeight="1" x14ac:dyDescent="0.2">
      <c r="B29896" s="43"/>
    </row>
    <row r="29897" spans="2:2" ht="12.75" customHeight="1" x14ac:dyDescent="0.2">
      <c r="B29897" s="43"/>
    </row>
    <row r="29898" spans="2:2" ht="12.75" customHeight="1" x14ac:dyDescent="0.2">
      <c r="B29898" s="43"/>
    </row>
    <row r="29899" spans="2:2" ht="12.75" customHeight="1" x14ac:dyDescent="0.2">
      <c r="B29899" s="43"/>
    </row>
    <row r="29900" spans="2:2" ht="12.75" customHeight="1" x14ac:dyDescent="0.2">
      <c r="B29900" s="43"/>
    </row>
    <row r="29901" spans="2:2" ht="12.75" customHeight="1" x14ac:dyDescent="0.2">
      <c r="B29901" s="43"/>
    </row>
    <row r="29902" spans="2:2" ht="12.75" customHeight="1" x14ac:dyDescent="0.2">
      <c r="B29902" s="43"/>
    </row>
    <row r="29903" spans="2:2" ht="12.75" customHeight="1" x14ac:dyDescent="0.2">
      <c r="B29903" s="43"/>
    </row>
    <row r="29904" spans="2:2" ht="12.75" customHeight="1" x14ac:dyDescent="0.2">
      <c r="B29904" s="43"/>
    </row>
    <row r="29905" spans="2:2" ht="12.75" customHeight="1" x14ac:dyDescent="0.2">
      <c r="B29905" s="43"/>
    </row>
    <row r="29906" spans="2:2" ht="12.75" customHeight="1" x14ac:dyDescent="0.2">
      <c r="B29906" s="43"/>
    </row>
    <row r="29907" spans="2:2" ht="12.75" customHeight="1" x14ac:dyDescent="0.2">
      <c r="B29907" s="43"/>
    </row>
    <row r="29908" spans="2:2" ht="12.75" customHeight="1" x14ac:dyDescent="0.2">
      <c r="B29908" s="43"/>
    </row>
    <row r="29909" spans="2:2" ht="12.75" customHeight="1" x14ac:dyDescent="0.2">
      <c r="B29909" s="43"/>
    </row>
    <row r="29910" spans="2:2" ht="12.75" customHeight="1" x14ac:dyDescent="0.2">
      <c r="B29910" s="43"/>
    </row>
    <row r="29911" spans="2:2" ht="12.75" customHeight="1" x14ac:dyDescent="0.2">
      <c r="B29911" s="43"/>
    </row>
    <row r="29912" spans="2:2" ht="12.75" customHeight="1" x14ac:dyDescent="0.2">
      <c r="B29912" s="43"/>
    </row>
    <row r="29913" spans="2:2" ht="12.75" customHeight="1" x14ac:dyDescent="0.2">
      <c r="B29913" s="43"/>
    </row>
    <row r="29914" spans="2:2" ht="12.75" customHeight="1" x14ac:dyDescent="0.2">
      <c r="B29914" s="43"/>
    </row>
    <row r="29915" spans="2:2" ht="12.75" customHeight="1" x14ac:dyDescent="0.2">
      <c r="B29915" s="43"/>
    </row>
    <row r="29916" spans="2:2" ht="12.75" customHeight="1" x14ac:dyDescent="0.2">
      <c r="B29916" s="43"/>
    </row>
    <row r="29917" spans="2:2" ht="12.75" customHeight="1" x14ac:dyDescent="0.2">
      <c r="B29917" s="43"/>
    </row>
    <row r="29918" spans="2:2" ht="12.75" customHeight="1" x14ac:dyDescent="0.2">
      <c r="B29918" s="43"/>
    </row>
    <row r="29919" spans="2:2" ht="12.75" customHeight="1" x14ac:dyDescent="0.2">
      <c r="B29919" s="43"/>
    </row>
    <row r="29920" spans="2:2" ht="12.75" customHeight="1" x14ac:dyDescent="0.2">
      <c r="B29920" s="43"/>
    </row>
    <row r="29921" spans="2:2" ht="12.75" customHeight="1" x14ac:dyDescent="0.2">
      <c r="B29921" s="43"/>
    </row>
    <row r="29922" spans="2:2" ht="12.75" customHeight="1" x14ac:dyDescent="0.2">
      <c r="B29922" s="43"/>
    </row>
    <row r="29923" spans="2:2" ht="12.75" customHeight="1" x14ac:dyDescent="0.2">
      <c r="B29923" s="43"/>
    </row>
    <row r="29924" spans="2:2" ht="12.75" customHeight="1" x14ac:dyDescent="0.2">
      <c r="B29924" s="43"/>
    </row>
    <row r="29925" spans="2:2" ht="12.75" customHeight="1" x14ac:dyDescent="0.2">
      <c r="B29925" s="43"/>
    </row>
    <row r="29926" spans="2:2" ht="12.75" customHeight="1" x14ac:dyDescent="0.2">
      <c r="B29926" s="43"/>
    </row>
    <row r="29927" spans="2:2" ht="12.75" customHeight="1" x14ac:dyDescent="0.2">
      <c r="B29927" s="43"/>
    </row>
    <row r="29928" spans="2:2" ht="12.75" customHeight="1" x14ac:dyDescent="0.2">
      <c r="B29928" s="43"/>
    </row>
    <row r="29929" spans="2:2" ht="12.75" customHeight="1" x14ac:dyDescent="0.2">
      <c r="B29929" s="43"/>
    </row>
    <row r="29930" spans="2:2" ht="12.75" customHeight="1" x14ac:dyDescent="0.2">
      <c r="B29930" s="43"/>
    </row>
    <row r="29931" spans="2:2" ht="12.75" customHeight="1" x14ac:dyDescent="0.2">
      <c r="B29931" s="43"/>
    </row>
    <row r="29932" spans="2:2" ht="12.75" customHeight="1" x14ac:dyDescent="0.2">
      <c r="B29932" s="43"/>
    </row>
    <row r="29933" spans="2:2" ht="12.75" customHeight="1" x14ac:dyDescent="0.2">
      <c r="B29933" s="43"/>
    </row>
    <row r="29934" spans="2:2" ht="12.75" customHeight="1" x14ac:dyDescent="0.2">
      <c r="B29934" s="43"/>
    </row>
    <row r="29935" spans="2:2" ht="12.75" customHeight="1" x14ac:dyDescent="0.2">
      <c r="B29935" s="43"/>
    </row>
    <row r="29936" spans="2:2" ht="12.75" customHeight="1" x14ac:dyDescent="0.2">
      <c r="B29936" s="43"/>
    </row>
    <row r="29937" spans="2:2" ht="12.75" customHeight="1" x14ac:dyDescent="0.2">
      <c r="B29937" s="43"/>
    </row>
    <row r="29938" spans="2:2" ht="12.75" customHeight="1" x14ac:dyDescent="0.2">
      <c r="B29938" s="43"/>
    </row>
    <row r="29939" spans="2:2" ht="12.75" customHeight="1" x14ac:dyDescent="0.2">
      <c r="B29939" s="43"/>
    </row>
    <row r="29940" spans="2:2" ht="12.75" customHeight="1" x14ac:dyDescent="0.2">
      <c r="B29940" s="43"/>
    </row>
    <row r="29941" spans="2:2" ht="12.75" customHeight="1" x14ac:dyDescent="0.2">
      <c r="B29941" s="43"/>
    </row>
    <row r="29942" spans="2:2" ht="12.75" customHeight="1" x14ac:dyDescent="0.2">
      <c r="B29942" s="43"/>
    </row>
    <row r="29943" spans="2:2" ht="12.75" customHeight="1" x14ac:dyDescent="0.2">
      <c r="B29943" s="43"/>
    </row>
    <row r="29944" spans="2:2" ht="12.75" customHeight="1" x14ac:dyDescent="0.2">
      <c r="B29944" s="43"/>
    </row>
    <row r="29945" spans="2:2" ht="12.75" customHeight="1" x14ac:dyDescent="0.2">
      <c r="B29945" s="43"/>
    </row>
    <row r="29946" spans="2:2" ht="12.75" customHeight="1" x14ac:dyDescent="0.2">
      <c r="B29946" s="43"/>
    </row>
    <row r="29947" spans="2:2" ht="12.75" customHeight="1" x14ac:dyDescent="0.2">
      <c r="B29947" s="43"/>
    </row>
    <row r="29948" spans="2:2" ht="12.75" customHeight="1" x14ac:dyDescent="0.2">
      <c r="B29948" s="43"/>
    </row>
    <row r="29949" spans="2:2" ht="12.75" customHeight="1" x14ac:dyDescent="0.2">
      <c r="B29949" s="43"/>
    </row>
    <row r="29950" spans="2:2" ht="12.75" customHeight="1" x14ac:dyDescent="0.2">
      <c r="B29950" s="43"/>
    </row>
    <row r="29951" spans="2:2" ht="12.75" customHeight="1" x14ac:dyDescent="0.2">
      <c r="B29951" s="43"/>
    </row>
    <row r="29952" spans="2:2" ht="12.75" customHeight="1" x14ac:dyDescent="0.2">
      <c r="B29952" s="43"/>
    </row>
    <row r="29953" spans="2:2" ht="12.75" customHeight="1" x14ac:dyDescent="0.2">
      <c r="B29953" s="43"/>
    </row>
    <row r="29954" spans="2:2" ht="12.75" customHeight="1" x14ac:dyDescent="0.2">
      <c r="B29954" s="43"/>
    </row>
    <row r="29955" spans="2:2" ht="12.75" customHeight="1" x14ac:dyDescent="0.2">
      <c r="B29955" s="43"/>
    </row>
    <row r="29956" spans="2:2" ht="12.75" customHeight="1" x14ac:dyDescent="0.2">
      <c r="B29956" s="43"/>
    </row>
    <row r="29957" spans="2:2" ht="12.75" customHeight="1" x14ac:dyDescent="0.2">
      <c r="B29957" s="43"/>
    </row>
    <row r="29958" spans="2:2" ht="12.75" customHeight="1" x14ac:dyDescent="0.2">
      <c r="B29958" s="43"/>
    </row>
    <row r="29959" spans="2:2" ht="12.75" customHeight="1" x14ac:dyDescent="0.2">
      <c r="B29959" s="43"/>
    </row>
    <row r="29960" spans="2:2" ht="12.75" customHeight="1" x14ac:dyDescent="0.2">
      <c r="B29960" s="43"/>
    </row>
    <row r="29961" spans="2:2" ht="12.75" customHeight="1" x14ac:dyDescent="0.2">
      <c r="B29961" s="43"/>
    </row>
    <row r="29962" spans="2:2" ht="12.75" customHeight="1" x14ac:dyDescent="0.2">
      <c r="B29962" s="43"/>
    </row>
    <row r="29963" spans="2:2" ht="12.75" customHeight="1" x14ac:dyDescent="0.2">
      <c r="B29963" s="43"/>
    </row>
    <row r="29964" spans="2:2" ht="12.75" customHeight="1" x14ac:dyDescent="0.2">
      <c r="B29964" s="43"/>
    </row>
    <row r="29965" spans="2:2" ht="12.75" customHeight="1" x14ac:dyDescent="0.2">
      <c r="B29965" s="43"/>
    </row>
    <row r="29966" spans="2:2" ht="12.75" customHeight="1" x14ac:dyDescent="0.2">
      <c r="B29966" s="43"/>
    </row>
    <row r="29967" spans="2:2" ht="12.75" customHeight="1" x14ac:dyDescent="0.2">
      <c r="B29967" s="43"/>
    </row>
    <row r="29968" spans="2:2" ht="12.75" customHeight="1" x14ac:dyDescent="0.2">
      <c r="B29968" s="43"/>
    </row>
    <row r="29969" spans="2:2" ht="12.75" customHeight="1" x14ac:dyDescent="0.2">
      <c r="B29969" s="43"/>
    </row>
    <row r="29970" spans="2:2" ht="12.75" customHeight="1" x14ac:dyDescent="0.2">
      <c r="B29970" s="43"/>
    </row>
    <row r="29971" spans="2:2" ht="12.75" customHeight="1" x14ac:dyDescent="0.2">
      <c r="B29971" s="43"/>
    </row>
    <row r="29972" spans="2:2" ht="12.75" customHeight="1" x14ac:dyDescent="0.2">
      <c r="B29972" s="43"/>
    </row>
    <row r="29973" spans="2:2" ht="12.75" customHeight="1" x14ac:dyDescent="0.2">
      <c r="B29973" s="43"/>
    </row>
    <row r="29974" spans="2:2" ht="12.75" customHeight="1" x14ac:dyDescent="0.2">
      <c r="B29974" s="43"/>
    </row>
    <row r="29975" spans="2:2" ht="12.75" customHeight="1" x14ac:dyDescent="0.2">
      <c r="B29975" s="43"/>
    </row>
    <row r="29976" spans="2:2" ht="12.75" customHeight="1" x14ac:dyDescent="0.2">
      <c r="B29976" s="43"/>
    </row>
    <row r="29977" spans="2:2" ht="12.75" customHeight="1" x14ac:dyDescent="0.2">
      <c r="B29977" s="43"/>
    </row>
    <row r="29978" spans="2:2" ht="12.75" customHeight="1" x14ac:dyDescent="0.2">
      <c r="B29978" s="43"/>
    </row>
    <row r="29979" spans="2:2" ht="12.75" customHeight="1" x14ac:dyDescent="0.2">
      <c r="B29979" s="43"/>
    </row>
    <row r="29980" spans="2:2" ht="12.75" customHeight="1" x14ac:dyDescent="0.2">
      <c r="B29980" s="43"/>
    </row>
    <row r="29981" spans="2:2" ht="12.75" customHeight="1" x14ac:dyDescent="0.2">
      <c r="B29981" s="43"/>
    </row>
    <row r="29982" spans="2:2" ht="12.75" customHeight="1" x14ac:dyDescent="0.2">
      <c r="B29982" s="43"/>
    </row>
    <row r="29983" spans="2:2" ht="12.75" customHeight="1" x14ac:dyDescent="0.2">
      <c r="B29983" s="43"/>
    </row>
    <row r="29984" spans="2:2" ht="12.75" customHeight="1" x14ac:dyDescent="0.2">
      <c r="B29984" s="43"/>
    </row>
    <row r="29985" spans="2:2" ht="12.75" customHeight="1" x14ac:dyDescent="0.2">
      <c r="B29985" s="43"/>
    </row>
    <row r="29986" spans="2:2" ht="12.75" customHeight="1" x14ac:dyDescent="0.2">
      <c r="B29986" s="43"/>
    </row>
    <row r="29987" spans="2:2" ht="12.75" customHeight="1" x14ac:dyDescent="0.2">
      <c r="B29987" s="43"/>
    </row>
    <row r="29988" spans="2:2" ht="12.75" customHeight="1" x14ac:dyDescent="0.2">
      <c r="B29988" s="43"/>
    </row>
    <row r="29989" spans="2:2" ht="12.75" customHeight="1" x14ac:dyDescent="0.2">
      <c r="B29989" s="43"/>
    </row>
    <row r="29990" spans="2:2" ht="12.75" customHeight="1" x14ac:dyDescent="0.2">
      <c r="B29990" s="43"/>
    </row>
    <row r="29991" spans="2:2" ht="12.75" customHeight="1" x14ac:dyDescent="0.2">
      <c r="B29991" s="43"/>
    </row>
    <row r="29992" spans="2:2" ht="12.75" customHeight="1" x14ac:dyDescent="0.2">
      <c r="B29992" s="43"/>
    </row>
    <row r="29993" spans="2:2" ht="12.75" customHeight="1" x14ac:dyDescent="0.2">
      <c r="B29993" s="43"/>
    </row>
    <row r="29994" spans="2:2" ht="12.75" customHeight="1" x14ac:dyDescent="0.2">
      <c r="B29994" s="43"/>
    </row>
    <row r="29995" spans="2:2" ht="12.75" customHeight="1" x14ac:dyDescent="0.2">
      <c r="B29995" s="43"/>
    </row>
    <row r="29996" spans="2:2" ht="12.75" customHeight="1" x14ac:dyDescent="0.2">
      <c r="B29996" s="43"/>
    </row>
    <row r="29997" spans="2:2" ht="12.75" customHeight="1" x14ac:dyDescent="0.2">
      <c r="B29997" s="43"/>
    </row>
    <row r="29998" spans="2:2" ht="12.75" customHeight="1" x14ac:dyDescent="0.2">
      <c r="B29998" s="43"/>
    </row>
    <row r="29999" spans="2:2" ht="12.75" customHeight="1" x14ac:dyDescent="0.2">
      <c r="B29999" s="43"/>
    </row>
    <row r="30000" spans="2:2" ht="12.75" customHeight="1" x14ac:dyDescent="0.2">
      <c r="B30000" s="43"/>
    </row>
    <row r="30001" spans="2:2" ht="12.75" customHeight="1" x14ac:dyDescent="0.2">
      <c r="B30001" s="43"/>
    </row>
    <row r="30002" spans="2:2" ht="12.75" customHeight="1" x14ac:dyDescent="0.2">
      <c r="B30002" s="43"/>
    </row>
    <row r="30003" spans="2:2" ht="12.75" customHeight="1" x14ac:dyDescent="0.2">
      <c r="B30003" s="43"/>
    </row>
    <row r="30004" spans="2:2" ht="12.75" customHeight="1" x14ac:dyDescent="0.2">
      <c r="B30004" s="43"/>
    </row>
    <row r="30005" spans="2:2" ht="12.75" customHeight="1" x14ac:dyDescent="0.2">
      <c r="B30005" s="43"/>
    </row>
    <row r="30006" spans="2:2" ht="12.75" customHeight="1" x14ac:dyDescent="0.2">
      <c r="B30006" s="43"/>
    </row>
    <row r="30007" spans="2:2" ht="12.75" customHeight="1" x14ac:dyDescent="0.2">
      <c r="B30007" s="43"/>
    </row>
    <row r="30008" spans="2:2" ht="12.75" customHeight="1" x14ac:dyDescent="0.2">
      <c r="B30008" s="43"/>
    </row>
    <row r="30009" spans="2:2" ht="12.75" customHeight="1" x14ac:dyDescent="0.2">
      <c r="B30009" s="43"/>
    </row>
    <row r="30010" spans="2:2" ht="12.75" customHeight="1" x14ac:dyDescent="0.2">
      <c r="B30010" s="43"/>
    </row>
    <row r="30011" spans="2:2" ht="12.75" customHeight="1" x14ac:dyDescent="0.2">
      <c r="B30011" s="43"/>
    </row>
    <row r="30012" spans="2:2" ht="12.75" customHeight="1" x14ac:dyDescent="0.2">
      <c r="B30012" s="43"/>
    </row>
    <row r="30013" spans="2:2" ht="12.75" customHeight="1" x14ac:dyDescent="0.2">
      <c r="B30013" s="43"/>
    </row>
    <row r="30014" spans="2:2" ht="12.75" customHeight="1" x14ac:dyDescent="0.2">
      <c r="B30014" s="43"/>
    </row>
    <row r="30015" spans="2:2" ht="12.75" customHeight="1" x14ac:dyDescent="0.2">
      <c r="B30015" s="43"/>
    </row>
    <row r="30016" spans="2:2" ht="12.75" customHeight="1" x14ac:dyDescent="0.2">
      <c r="B30016" s="43"/>
    </row>
    <row r="30017" spans="2:2" ht="12.75" customHeight="1" x14ac:dyDescent="0.2">
      <c r="B30017" s="43"/>
    </row>
    <row r="30018" spans="2:2" ht="12.75" customHeight="1" x14ac:dyDescent="0.2">
      <c r="B30018" s="43"/>
    </row>
    <row r="30019" spans="2:2" ht="12.75" customHeight="1" x14ac:dyDescent="0.2">
      <c r="B30019" s="43"/>
    </row>
    <row r="30020" spans="2:2" ht="12.75" customHeight="1" x14ac:dyDescent="0.2">
      <c r="B30020" s="43"/>
    </row>
    <row r="30021" spans="2:2" ht="12.75" customHeight="1" x14ac:dyDescent="0.2">
      <c r="B30021" s="43"/>
    </row>
    <row r="30022" spans="2:2" ht="12.75" customHeight="1" x14ac:dyDescent="0.2">
      <c r="B30022" s="43"/>
    </row>
    <row r="30023" spans="2:2" ht="12.75" customHeight="1" x14ac:dyDescent="0.2">
      <c r="B30023" s="43"/>
    </row>
    <row r="30024" spans="2:2" ht="12.75" customHeight="1" x14ac:dyDescent="0.2">
      <c r="B30024" s="43"/>
    </row>
    <row r="30025" spans="2:2" ht="12.75" customHeight="1" x14ac:dyDescent="0.2">
      <c r="B30025" s="43"/>
    </row>
    <row r="30026" spans="2:2" ht="12.75" customHeight="1" x14ac:dyDescent="0.2">
      <c r="B30026" s="43"/>
    </row>
    <row r="30027" spans="2:2" ht="12.75" customHeight="1" x14ac:dyDescent="0.2">
      <c r="B30027" s="43"/>
    </row>
    <row r="30028" spans="2:2" ht="12.75" customHeight="1" x14ac:dyDescent="0.2">
      <c r="B30028" s="43"/>
    </row>
    <row r="30029" spans="2:2" ht="12.75" customHeight="1" x14ac:dyDescent="0.2">
      <c r="B30029" s="43"/>
    </row>
    <row r="30030" spans="2:2" ht="12.75" customHeight="1" x14ac:dyDescent="0.2">
      <c r="B30030" s="43"/>
    </row>
    <row r="30031" spans="2:2" ht="12.75" customHeight="1" x14ac:dyDescent="0.2">
      <c r="B30031" s="43"/>
    </row>
    <row r="30032" spans="2:2" ht="12.75" customHeight="1" x14ac:dyDescent="0.2">
      <c r="B30032" s="43"/>
    </row>
    <row r="30033" spans="2:2" ht="12.75" customHeight="1" x14ac:dyDescent="0.2">
      <c r="B30033" s="43"/>
    </row>
    <row r="30034" spans="2:2" ht="12.75" customHeight="1" x14ac:dyDescent="0.2">
      <c r="B30034" s="43"/>
    </row>
    <row r="30035" spans="2:2" ht="12.75" customHeight="1" x14ac:dyDescent="0.2">
      <c r="B30035" s="43"/>
    </row>
    <row r="30036" spans="2:2" ht="12.75" customHeight="1" x14ac:dyDescent="0.2">
      <c r="B30036" s="43"/>
    </row>
    <row r="30037" spans="2:2" ht="12.75" customHeight="1" x14ac:dyDescent="0.2">
      <c r="B30037" s="43"/>
    </row>
    <row r="30038" spans="2:2" ht="12.75" customHeight="1" x14ac:dyDescent="0.2">
      <c r="B30038" s="43"/>
    </row>
    <row r="30039" spans="2:2" ht="12.75" customHeight="1" x14ac:dyDescent="0.2">
      <c r="B30039" s="43"/>
    </row>
    <row r="30040" spans="2:2" ht="12.75" customHeight="1" x14ac:dyDescent="0.2">
      <c r="B30040" s="43"/>
    </row>
    <row r="30041" spans="2:2" ht="12.75" customHeight="1" x14ac:dyDescent="0.2">
      <c r="B30041" s="43"/>
    </row>
    <row r="30042" spans="2:2" ht="12.75" customHeight="1" x14ac:dyDescent="0.2">
      <c r="B30042" s="43"/>
    </row>
    <row r="30043" spans="2:2" ht="12.75" customHeight="1" x14ac:dyDescent="0.2">
      <c r="B30043" s="43"/>
    </row>
    <row r="30044" spans="2:2" ht="12.75" customHeight="1" x14ac:dyDescent="0.2">
      <c r="B30044" s="43"/>
    </row>
    <row r="30045" spans="2:2" ht="12.75" customHeight="1" x14ac:dyDescent="0.2">
      <c r="B30045" s="43"/>
    </row>
    <row r="30046" spans="2:2" ht="12.75" customHeight="1" x14ac:dyDescent="0.2">
      <c r="B30046" s="43"/>
    </row>
    <row r="30047" spans="2:2" ht="12.75" customHeight="1" x14ac:dyDescent="0.2">
      <c r="B30047" s="43"/>
    </row>
    <row r="30048" spans="2:2" ht="12.75" customHeight="1" x14ac:dyDescent="0.2">
      <c r="B30048" s="43"/>
    </row>
    <row r="30049" spans="2:2" ht="12.75" customHeight="1" x14ac:dyDescent="0.2">
      <c r="B30049" s="43"/>
    </row>
    <row r="30050" spans="2:2" ht="12.75" customHeight="1" x14ac:dyDescent="0.2">
      <c r="B30050" s="43"/>
    </row>
    <row r="30051" spans="2:2" ht="12.75" customHeight="1" x14ac:dyDescent="0.2">
      <c r="B30051" s="43"/>
    </row>
    <row r="30052" spans="2:2" ht="12.75" customHeight="1" x14ac:dyDescent="0.2">
      <c r="B30052" s="43"/>
    </row>
    <row r="30053" spans="2:2" ht="12.75" customHeight="1" x14ac:dyDescent="0.2">
      <c r="B30053" s="43"/>
    </row>
    <row r="30054" spans="2:2" ht="12.75" customHeight="1" x14ac:dyDescent="0.2">
      <c r="B30054" s="43"/>
    </row>
    <row r="30055" spans="2:2" ht="12.75" customHeight="1" x14ac:dyDescent="0.2">
      <c r="B30055" s="43"/>
    </row>
    <row r="30056" spans="2:2" ht="12.75" customHeight="1" x14ac:dyDescent="0.2">
      <c r="B30056" s="43"/>
    </row>
    <row r="30057" spans="2:2" ht="12.75" customHeight="1" x14ac:dyDescent="0.2">
      <c r="B30057" s="43"/>
    </row>
    <row r="30058" spans="2:2" ht="12.75" customHeight="1" x14ac:dyDescent="0.2">
      <c r="B30058" s="43"/>
    </row>
    <row r="30059" spans="2:2" ht="12.75" customHeight="1" x14ac:dyDescent="0.2">
      <c r="B30059" s="43"/>
    </row>
    <row r="30060" spans="2:2" ht="12.75" customHeight="1" x14ac:dyDescent="0.2">
      <c r="B30060" s="43"/>
    </row>
    <row r="30061" spans="2:2" ht="12.75" customHeight="1" x14ac:dyDescent="0.2">
      <c r="B30061" s="43"/>
    </row>
    <row r="30062" spans="2:2" ht="12.75" customHeight="1" x14ac:dyDescent="0.2">
      <c r="B30062" s="43"/>
    </row>
    <row r="30063" spans="2:2" ht="12.75" customHeight="1" x14ac:dyDescent="0.2">
      <c r="B30063" s="43"/>
    </row>
    <row r="30064" spans="2:2" ht="12.75" customHeight="1" x14ac:dyDescent="0.2">
      <c r="B30064" s="43"/>
    </row>
    <row r="30065" spans="2:2" ht="12.75" customHeight="1" x14ac:dyDescent="0.2">
      <c r="B30065" s="43"/>
    </row>
    <row r="30066" spans="2:2" ht="12.75" customHeight="1" x14ac:dyDescent="0.2">
      <c r="B30066" s="43"/>
    </row>
    <row r="30067" spans="2:2" ht="12.75" customHeight="1" x14ac:dyDescent="0.2">
      <c r="B30067" s="43"/>
    </row>
    <row r="30068" spans="2:2" ht="12.75" customHeight="1" x14ac:dyDescent="0.2">
      <c r="B30068" s="43"/>
    </row>
    <row r="30069" spans="2:2" ht="12.75" customHeight="1" x14ac:dyDescent="0.2">
      <c r="B30069" s="43"/>
    </row>
    <row r="30070" spans="2:2" ht="12.75" customHeight="1" x14ac:dyDescent="0.2">
      <c r="B30070" s="43"/>
    </row>
    <row r="30071" spans="2:2" ht="12.75" customHeight="1" x14ac:dyDescent="0.2">
      <c r="B30071" s="43"/>
    </row>
    <row r="30072" spans="2:2" ht="12.75" customHeight="1" x14ac:dyDescent="0.2">
      <c r="B30072" s="43"/>
    </row>
    <row r="30073" spans="2:2" ht="12.75" customHeight="1" x14ac:dyDescent="0.2">
      <c r="B30073" s="43"/>
    </row>
    <row r="30074" spans="2:2" ht="12.75" customHeight="1" x14ac:dyDescent="0.2">
      <c r="B30074" s="43"/>
    </row>
    <row r="30075" spans="2:2" ht="12.75" customHeight="1" x14ac:dyDescent="0.2">
      <c r="B30075" s="43"/>
    </row>
    <row r="30076" spans="2:2" ht="12.75" customHeight="1" x14ac:dyDescent="0.2">
      <c r="B30076" s="43"/>
    </row>
    <row r="30077" spans="2:2" ht="12.75" customHeight="1" x14ac:dyDescent="0.2">
      <c r="B30077" s="43"/>
    </row>
    <row r="30078" spans="2:2" ht="12.75" customHeight="1" x14ac:dyDescent="0.2">
      <c r="B30078" s="43"/>
    </row>
    <row r="30079" spans="2:2" ht="12.75" customHeight="1" x14ac:dyDescent="0.2">
      <c r="B30079" s="43"/>
    </row>
    <row r="30080" spans="2:2" ht="12.75" customHeight="1" x14ac:dyDescent="0.2">
      <c r="B30080" s="43"/>
    </row>
    <row r="30081" spans="2:2" ht="12.75" customHeight="1" x14ac:dyDescent="0.2">
      <c r="B30081" s="43"/>
    </row>
    <row r="30082" spans="2:2" ht="12.75" customHeight="1" x14ac:dyDescent="0.2">
      <c r="B30082" s="43"/>
    </row>
    <row r="30083" spans="2:2" ht="12.75" customHeight="1" x14ac:dyDescent="0.2">
      <c r="B30083" s="43"/>
    </row>
    <row r="30084" spans="2:2" ht="12.75" customHeight="1" x14ac:dyDescent="0.2">
      <c r="B30084" s="43"/>
    </row>
    <row r="30085" spans="2:2" ht="12.75" customHeight="1" x14ac:dyDescent="0.2">
      <c r="B30085" s="43"/>
    </row>
    <row r="30086" spans="2:2" ht="12.75" customHeight="1" x14ac:dyDescent="0.2">
      <c r="B30086" s="43"/>
    </row>
    <row r="30087" spans="2:2" ht="12.75" customHeight="1" x14ac:dyDescent="0.2">
      <c r="B30087" s="43"/>
    </row>
    <row r="30088" spans="2:2" ht="12.75" customHeight="1" x14ac:dyDescent="0.2">
      <c r="B30088" s="43"/>
    </row>
    <row r="30089" spans="2:2" ht="12.75" customHeight="1" x14ac:dyDescent="0.2">
      <c r="B30089" s="43"/>
    </row>
    <row r="30090" spans="2:2" ht="12.75" customHeight="1" x14ac:dyDescent="0.2">
      <c r="B30090" s="43"/>
    </row>
    <row r="30091" spans="2:2" ht="12.75" customHeight="1" x14ac:dyDescent="0.2">
      <c r="B30091" s="43"/>
    </row>
    <row r="30092" spans="2:2" ht="12.75" customHeight="1" x14ac:dyDescent="0.2">
      <c r="B30092" s="43"/>
    </row>
    <row r="30093" spans="2:2" ht="12.75" customHeight="1" x14ac:dyDescent="0.2">
      <c r="B30093" s="43"/>
    </row>
    <row r="30094" spans="2:2" ht="12.75" customHeight="1" x14ac:dyDescent="0.2">
      <c r="B30094" s="43"/>
    </row>
    <row r="30095" spans="2:2" ht="12.75" customHeight="1" x14ac:dyDescent="0.2">
      <c r="B30095" s="43"/>
    </row>
    <row r="30096" spans="2:2" ht="12.75" customHeight="1" x14ac:dyDescent="0.2">
      <c r="B30096" s="43"/>
    </row>
    <row r="30097" spans="2:2" ht="12.75" customHeight="1" x14ac:dyDescent="0.2">
      <c r="B30097" s="43"/>
    </row>
    <row r="30098" spans="2:2" ht="12.75" customHeight="1" x14ac:dyDescent="0.2">
      <c r="B30098" s="43"/>
    </row>
    <row r="30099" spans="2:2" ht="12.75" customHeight="1" x14ac:dyDescent="0.2">
      <c r="B30099" s="43"/>
    </row>
    <row r="30100" spans="2:2" ht="12.75" customHeight="1" x14ac:dyDescent="0.2">
      <c r="B30100" s="43"/>
    </row>
    <row r="30101" spans="2:2" ht="12.75" customHeight="1" x14ac:dyDescent="0.2">
      <c r="B30101" s="43"/>
    </row>
    <row r="30102" spans="2:2" ht="12.75" customHeight="1" x14ac:dyDescent="0.2">
      <c r="B30102" s="43"/>
    </row>
    <row r="30103" spans="2:2" ht="12.75" customHeight="1" x14ac:dyDescent="0.2">
      <c r="B30103" s="43"/>
    </row>
    <row r="30104" spans="2:2" ht="12.75" customHeight="1" x14ac:dyDescent="0.2">
      <c r="B30104" s="43"/>
    </row>
    <row r="30105" spans="2:2" ht="12.75" customHeight="1" x14ac:dyDescent="0.2">
      <c r="B30105" s="43"/>
    </row>
    <row r="30106" spans="2:2" ht="12.75" customHeight="1" x14ac:dyDescent="0.2">
      <c r="B30106" s="43"/>
    </row>
    <row r="30107" spans="2:2" ht="12.75" customHeight="1" x14ac:dyDescent="0.2">
      <c r="B30107" s="43"/>
    </row>
    <row r="30108" spans="2:2" ht="12.75" customHeight="1" x14ac:dyDescent="0.2">
      <c r="B30108" s="43"/>
    </row>
    <row r="30109" spans="2:2" ht="12.75" customHeight="1" x14ac:dyDescent="0.2">
      <c r="B30109" s="43"/>
    </row>
    <row r="30110" spans="2:2" ht="12.75" customHeight="1" x14ac:dyDescent="0.2">
      <c r="B30110" s="43"/>
    </row>
    <row r="30111" spans="2:2" ht="12.75" customHeight="1" x14ac:dyDescent="0.2">
      <c r="B30111" s="43"/>
    </row>
    <row r="30112" spans="2:2" ht="12.75" customHeight="1" x14ac:dyDescent="0.2">
      <c r="B30112" s="43"/>
    </row>
    <row r="30113" spans="2:2" ht="12.75" customHeight="1" x14ac:dyDescent="0.2">
      <c r="B30113" s="43"/>
    </row>
    <row r="30114" spans="2:2" ht="12.75" customHeight="1" x14ac:dyDescent="0.2">
      <c r="B30114" s="43"/>
    </row>
    <row r="30115" spans="2:2" ht="12.75" customHeight="1" x14ac:dyDescent="0.2">
      <c r="B30115" s="43"/>
    </row>
    <row r="30116" spans="2:2" ht="12.75" customHeight="1" x14ac:dyDescent="0.2">
      <c r="B30116" s="43"/>
    </row>
    <row r="30117" spans="2:2" ht="12.75" customHeight="1" x14ac:dyDescent="0.2">
      <c r="B30117" s="43"/>
    </row>
    <row r="30118" spans="2:2" ht="12.75" customHeight="1" x14ac:dyDescent="0.2">
      <c r="B30118" s="43"/>
    </row>
    <row r="30119" spans="2:2" ht="12.75" customHeight="1" x14ac:dyDescent="0.2">
      <c r="B30119" s="43"/>
    </row>
    <row r="30120" spans="2:2" ht="12.75" customHeight="1" x14ac:dyDescent="0.2">
      <c r="B30120" s="43"/>
    </row>
    <row r="30121" spans="2:2" ht="12.75" customHeight="1" x14ac:dyDescent="0.2">
      <c r="B30121" s="43"/>
    </row>
    <row r="30122" spans="2:2" ht="12.75" customHeight="1" x14ac:dyDescent="0.2">
      <c r="B30122" s="43"/>
    </row>
    <row r="30123" spans="2:2" ht="12.75" customHeight="1" x14ac:dyDescent="0.2">
      <c r="B30123" s="43"/>
    </row>
    <row r="30124" spans="2:2" ht="12.75" customHeight="1" x14ac:dyDescent="0.2">
      <c r="B30124" s="43"/>
    </row>
    <row r="30125" spans="2:2" ht="12.75" customHeight="1" x14ac:dyDescent="0.2">
      <c r="B30125" s="43"/>
    </row>
    <row r="30126" spans="2:2" ht="12.75" customHeight="1" x14ac:dyDescent="0.2">
      <c r="B30126" s="43"/>
    </row>
    <row r="30127" spans="2:2" ht="12.75" customHeight="1" x14ac:dyDescent="0.2">
      <c r="B30127" s="43"/>
    </row>
    <row r="30128" spans="2:2" ht="12.75" customHeight="1" x14ac:dyDescent="0.2">
      <c r="B30128" s="43"/>
    </row>
    <row r="30129" spans="2:2" ht="12.75" customHeight="1" x14ac:dyDescent="0.2">
      <c r="B30129" s="43"/>
    </row>
    <row r="30130" spans="2:2" ht="12.75" customHeight="1" x14ac:dyDescent="0.2">
      <c r="B30130" s="43"/>
    </row>
    <row r="30131" spans="2:2" ht="12.75" customHeight="1" x14ac:dyDescent="0.2">
      <c r="B30131" s="43"/>
    </row>
    <row r="30132" spans="2:2" ht="12.75" customHeight="1" x14ac:dyDescent="0.2">
      <c r="B30132" s="43"/>
    </row>
    <row r="30133" spans="2:2" ht="12.75" customHeight="1" x14ac:dyDescent="0.2">
      <c r="B30133" s="43"/>
    </row>
    <row r="30134" spans="2:2" ht="12.75" customHeight="1" x14ac:dyDescent="0.2">
      <c r="B30134" s="43"/>
    </row>
    <row r="30135" spans="2:2" ht="12.75" customHeight="1" x14ac:dyDescent="0.2">
      <c r="B30135" s="43"/>
    </row>
    <row r="30136" spans="2:2" ht="12.75" customHeight="1" x14ac:dyDescent="0.2">
      <c r="B30136" s="43"/>
    </row>
    <row r="30137" spans="2:2" ht="12.75" customHeight="1" x14ac:dyDescent="0.2">
      <c r="B30137" s="43"/>
    </row>
    <row r="30138" spans="2:2" ht="12.75" customHeight="1" x14ac:dyDescent="0.2">
      <c r="B30138" s="43"/>
    </row>
    <row r="30139" spans="2:2" ht="12.75" customHeight="1" x14ac:dyDescent="0.2">
      <c r="B30139" s="43"/>
    </row>
    <row r="30140" spans="2:2" ht="12.75" customHeight="1" x14ac:dyDescent="0.2">
      <c r="B30140" s="43"/>
    </row>
    <row r="30141" spans="2:2" ht="12.75" customHeight="1" x14ac:dyDescent="0.2">
      <c r="B30141" s="43"/>
    </row>
    <row r="30142" spans="2:2" ht="12.75" customHeight="1" x14ac:dyDescent="0.2">
      <c r="B30142" s="43"/>
    </row>
    <row r="30143" spans="2:2" ht="12.75" customHeight="1" x14ac:dyDescent="0.2">
      <c r="B30143" s="43"/>
    </row>
    <row r="30144" spans="2:2" ht="12.75" customHeight="1" x14ac:dyDescent="0.2">
      <c r="B30144" s="43"/>
    </row>
    <row r="30145" spans="2:2" ht="12.75" customHeight="1" x14ac:dyDescent="0.2">
      <c r="B30145" s="43"/>
    </row>
    <row r="30146" spans="2:2" ht="12.75" customHeight="1" x14ac:dyDescent="0.2">
      <c r="B30146" s="43"/>
    </row>
    <row r="30147" spans="2:2" ht="12.75" customHeight="1" x14ac:dyDescent="0.2">
      <c r="B30147" s="43"/>
    </row>
    <row r="30148" spans="2:2" ht="12.75" customHeight="1" x14ac:dyDescent="0.2">
      <c r="B30148" s="43"/>
    </row>
    <row r="30149" spans="2:2" ht="12.75" customHeight="1" x14ac:dyDescent="0.2">
      <c r="B30149" s="43"/>
    </row>
    <row r="30150" spans="2:2" ht="12.75" customHeight="1" x14ac:dyDescent="0.2">
      <c r="B30150" s="43"/>
    </row>
    <row r="30151" spans="2:2" ht="12.75" customHeight="1" x14ac:dyDescent="0.2">
      <c r="B30151" s="43"/>
    </row>
    <row r="30152" spans="2:2" ht="12.75" customHeight="1" x14ac:dyDescent="0.2">
      <c r="B30152" s="43"/>
    </row>
    <row r="30153" spans="2:2" ht="12.75" customHeight="1" x14ac:dyDescent="0.2">
      <c r="B30153" s="43"/>
    </row>
    <row r="30154" spans="2:2" ht="12.75" customHeight="1" x14ac:dyDescent="0.2">
      <c r="B30154" s="43"/>
    </row>
    <row r="30155" spans="2:2" ht="12.75" customHeight="1" x14ac:dyDescent="0.2">
      <c r="B30155" s="43"/>
    </row>
    <row r="30156" spans="2:2" ht="12.75" customHeight="1" x14ac:dyDescent="0.2">
      <c r="B30156" s="43"/>
    </row>
    <row r="30157" spans="2:2" ht="12.75" customHeight="1" x14ac:dyDescent="0.2">
      <c r="B30157" s="43"/>
    </row>
    <row r="30158" spans="2:2" ht="12.75" customHeight="1" x14ac:dyDescent="0.2">
      <c r="B30158" s="43"/>
    </row>
    <row r="30159" spans="2:2" ht="12.75" customHeight="1" x14ac:dyDescent="0.2">
      <c r="B30159" s="43"/>
    </row>
    <row r="30160" spans="2:2" ht="12.75" customHeight="1" x14ac:dyDescent="0.2">
      <c r="B30160" s="43"/>
    </row>
    <row r="30161" spans="2:2" ht="12.75" customHeight="1" x14ac:dyDescent="0.2">
      <c r="B30161" s="43"/>
    </row>
    <row r="30162" spans="2:2" ht="12.75" customHeight="1" x14ac:dyDescent="0.2">
      <c r="B30162" s="43"/>
    </row>
    <row r="30163" spans="2:2" ht="12.75" customHeight="1" x14ac:dyDescent="0.2">
      <c r="B30163" s="43"/>
    </row>
    <row r="30164" spans="2:2" ht="12.75" customHeight="1" x14ac:dyDescent="0.2">
      <c r="B30164" s="43"/>
    </row>
    <row r="30165" spans="2:2" ht="12.75" customHeight="1" x14ac:dyDescent="0.2">
      <c r="B30165" s="43"/>
    </row>
    <row r="30166" spans="2:2" ht="12.75" customHeight="1" x14ac:dyDescent="0.2">
      <c r="B30166" s="43"/>
    </row>
    <row r="30167" spans="2:2" ht="12.75" customHeight="1" x14ac:dyDescent="0.2">
      <c r="B30167" s="43"/>
    </row>
    <row r="30168" spans="2:2" ht="12.75" customHeight="1" x14ac:dyDescent="0.2">
      <c r="B30168" s="43"/>
    </row>
    <row r="30169" spans="2:2" ht="12.75" customHeight="1" x14ac:dyDescent="0.2">
      <c r="B30169" s="43"/>
    </row>
    <row r="30170" spans="2:2" ht="12.75" customHeight="1" x14ac:dyDescent="0.2">
      <c r="B30170" s="43"/>
    </row>
    <row r="30171" spans="2:2" ht="12.75" customHeight="1" x14ac:dyDescent="0.2">
      <c r="B30171" s="43"/>
    </row>
    <row r="30172" spans="2:2" ht="12.75" customHeight="1" x14ac:dyDescent="0.2">
      <c r="B30172" s="43"/>
    </row>
    <row r="30173" spans="2:2" ht="12.75" customHeight="1" x14ac:dyDescent="0.2">
      <c r="B30173" s="43"/>
    </row>
    <row r="30174" spans="2:2" ht="12.75" customHeight="1" x14ac:dyDescent="0.2">
      <c r="B30174" s="43"/>
    </row>
    <row r="30175" spans="2:2" ht="12.75" customHeight="1" x14ac:dyDescent="0.2">
      <c r="B30175" s="43"/>
    </row>
    <row r="30176" spans="2:2" ht="12.75" customHeight="1" x14ac:dyDescent="0.2">
      <c r="B30176" s="43"/>
    </row>
    <row r="30177" spans="2:2" ht="12.75" customHeight="1" x14ac:dyDescent="0.2">
      <c r="B30177" s="43"/>
    </row>
    <row r="30178" spans="2:2" ht="12.75" customHeight="1" x14ac:dyDescent="0.2">
      <c r="B30178" s="43"/>
    </row>
    <row r="30179" spans="2:2" ht="12.75" customHeight="1" x14ac:dyDescent="0.2">
      <c r="B30179" s="43"/>
    </row>
    <row r="30180" spans="2:2" ht="12.75" customHeight="1" x14ac:dyDescent="0.2">
      <c r="B30180" s="43"/>
    </row>
    <row r="30181" spans="2:2" ht="12.75" customHeight="1" x14ac:dyDescent="0.2">
      <c r="B30181" s="43"/>
    </row>
    <row r="30182" spans="2:2" ht="12.75" customHeight="1" x14ac:dyDescent="0.2">
      <c r="B30182" s="43"/>
    </row>
    <row r="30183" spans="2:2" ht="12.75" customHeight="1" x14ac:dyDescent="0.2">
      <c r="B30183" s="43"/>
    </row>
    <row r="30184" spans="2:2" ht="12.75" customHeight="1" x14ac:dyDescent="0.2">
      <c r="B30184" s="43"/>
    </row>
    <row r="30185" spans="2:2" ht="12.75" customHeight="1" x14ac:dyDescent="0.2">
      <c r="B30185" s="43"/>
    </row>
    <row r="30186" spans="2:2" ht="12.75" customHeight="1" x14ac:dyDescent="0.2">
      <c r="B30186" s="43"/>
    </row>
    <row r="30187" spans="2:2" ht="12.75" customHeight="1" x14ac:dyDescent="0.2">
      <c r="B30187" s="43"/>
    </row>
    <row r="30188" spans="2:2" ht="12.75" customHeight="1" x14ac:dyDescent="0.2">
      <c r="B30188" s="43"/>
    </row>
    <row r="30189" spans="2:2" ht="12.75" customHeight="1" x14ac:dyDescent="0.2">
      <c r="B30189" s="43"/>
    </row>
    <row r="30190" spans="2:2" ht="12.75" customHeight="1" x14ac:dyDescent="0.2">
      <c r="B30190" s="43"/>
    </row>
    <row r="30191" spans="2:2" ht="12.75" customHeight="1" x14ac:dyDescent="0.2">
      <c r="B30191" s="43"/>
    </row>
    <row r="30192" spans="2:2" ht="12.75" customHeight="1" x14ac:dyDescent="0.2">
      <c r="B30192" s="43"/>
    </row>
    <row r="30193" spans="2:2" ht="12.75" customHeight="1" x14ac:dyDescent="0.2">
      <c r="B30193" s="43"/>
    </row>
    <row r="30194" spans="2:2" ht="12.75" customHeight="1" x14ac:dyDescent="0.2">
      <c r="B30194" s="43"/>
    </row>
    <row r="30195" spans="2:2" ht="12.75" customHeight="1" x14ac:dyDescent="0.2">
      <c r="B30195" s="43"/>
    </row>
    <row r="30196" spans="2:2" ht="12.75" customHeight="1" x14ac:dyDescent="0.2">
      <c r="B30196" s="43"/>
    </row>
    <row r="30197" spans="2:2" ht="12.75" customHeight="1" x14ac:dyDescent="0.2">
      <c r="B30197" s="43"/>
    </row>
    <row r="30198" spans="2:2" ht="12.75" customHeight="1" x14ac:dyDescent="0.2">
      <c r="B30198" s="43"/>
    </row>
    <row r="30199" spans="2:2" ht="12.75" customHeight="1" x14ac:dyDescent="0.2">
      <c r="B30199" s="43"/>
    </row>
    <row r="30200" spans="2:2" ht="12.75" customHeight="1" x14ac:dyDescent="0.2">
      <c r="B30200" s="43"/>
    </row>
    <row r="30201" spans="2:2" ht="12.75" customHeight="1" x14ac:dyDescent="0.2">
      <c r="B30201" s="43"/>
    </row>
    <row r="30202" spans="2:2" ht="12.75" customHeight="1" x14ac:dyDescent="0.2">
      <c r="B30202" s="43"/>
    </row>
    <row r="30203" spans="2:2" ht="12.75" customHeight="1" x14ac:dyDescent="0.2">
      <c r="B30203" s="43"/>
    </row>
    <row r="30204" spans="2:2" ht="12.75" customHeight="1" x14ac:dyDescent="0.2">
      <c r="B30204" s="43"/>
    </row>
    <row r="30205" spans="2:2" ht="12.75" customHeight="1" x14ac:dyDescent="0.2">
      <c r="B30205" s="43"/>
    </row>
    <row r="30206" spans="2:2" ht="12.75" customHeight="1" x14ac:dyDescent="0.2">
      <c r="B30206" s="43"/>
    </row>
    <row r="30207" spans="2:2" ht="12.75" customHeight="1" x14ac:dyDescent="0.2">
      <c r="B30207" s="43"/>
    </row>
    <row r="30208" spans="2:2" ht="12.75" customHeight="1" x14ac:dyDescent="0.2">
      <c r="B30208" s="43"/>
    </row>
    <row r="30209" spans="2:2" ht="12.75" customHeight="1" x14ac:dyDescent="0.2">
      <c r="B30209" s="43"/>
    </row>
    <row r="30210" spans="2:2" ht="12.75" customHeight="1" x14ac:dyDescent="0.2">
      <c r="B30210" s="43"/>
    </row>
    <row r="30211" spans="2:2" ht="12.75" customHeight="1" x14ac:dyDescent="0.2">
      <c r="B30211" s="43"/>
    </row>
    <row r="30212" spans="2:2" ht="12.75" customHeight="1" x14ac:dyDescent="0.2">
      <c r="B30212" s="43"/>
    </row>
    <row r="30213" spans="2:2" ht="12.75" customHeight="1" x14ac:dyDescent="0.2">
      <c r="B30213" s="43"/>
    </row>
    <row r="30214" spans="2:2" ht="12.75" customHeight="1" x14ac:dyDescent="0.2">
      <c r="B30214" s="43"/>
    </row>
    <row r="30215" spans="2:2" ht="12.75" customHeight="1" x14ac:dyDescent="0.2">
      <c r="B30215" s="43"/>
    </row>
    <row r="30216" spans="2:2" ht="12.75" customHeight="1" x14ac:dyDescent="0.2">
      <c r="B30216" s="43"/>
    </row>
    <row r="30217" spans="2:2" ht="12.75" customHeight="1" x14ac:dyDescent="0.2">
      <c r="B30217" s="43"/>
    </row>
    <row r="30218" spans="2:2" ht="12.75" customHeight="1" x14ac:dyDescent="0.2">
      <c r="B30218" s="43"/>
    </row>
    <row r="30219" spans="2:2" ht="12.75" customHeight="1" x14ac:dyDescent="0.2">
      <c r="B30219" s="43"/>
    </row>
    <row r="30220" spans="2:2" ht="12.75" customHeight="1" x14ac:dyDescent="0.2">
      <c r="B30220" s="43"/>
    </row>
    <row r="30221" spans="2:2" ht="12.75" customHeight="1" x14ac:dyDescent="0.2">
      <c r="B30221" s="43"/>
    </row>
    <row r="30222" spans="2:2" ht="12.75" customHeight="1" x14ac:dyDescent="0.2">
      <c r="B30222" s="43"/>
    </row>
    <row r="30223" spans="2:2" ht="12.75" customHeight="1" x14ac:dyDescent="0.2">
      <c r="B30223" s="43"/>
    </row>
    <row r="30224" spans="2:2" ht="12.75" customHeight="1" x14ac:dyDescent="0.2">
      <c r="B30224" s="43"/>
    </row>
    <row r="30225" spans="2:2" ht="12.75" customHeight="1" x14ac:dyDescent="0.2">
      <c r="B30225" s="43"/>
    </row>
    <row r="30226" spans="2:2" ht="12.75" customHeight="1" x14ac:dyDescent="0.2">
      <c r="B30226" s="43"/>
    </row>
    <row r="30227" spans="2:2" ht="12.75" customHeight="1" x14ac:dyDescent="0.2">
      <c r="B30227" s="43"/>
    </row>
    <row r="30228" spans="2:2" ht="12.75" customHeight="1" x14ac:dyDescent="0.2">
      <c r="B30228" s="43"/>
    </row>
    <row r="30229" spans="2:2" ht="12.75" customHeight="1" x14ac:dyDescent="0.2">
      <c r="B30229" s="43"/>
    </row>
    <row r="30230" spans="2:2" ht="12.75" customHeight="1" x14ac:dyDescent="0.2">
      <c r="B30230" s="43"/>
    </row>
    <row r="30231" spans="2:2" ht="12.75" customHeight="1" x14ac:dyDescent="0.2">
      <c r="B30231" s="43"/>
    </row>
    <row r="30232" spans="2:2" ht="12.75" customHeight="1" x14ac:dyDescent="0.2">
      <c r="B30232" s="43"/>
    </row>
    <row r="30233" spans="2:2" ht="12.75" customHeight="1" x14ac:dyDescent="0.2">
      <c r="B30233" s="43"/>
    </row>
    <row r="30234" spans="2:2" ht="12.75" customHeight="1" x14ac:dyDescent="0.2">
      <c r="B30234" s="43"/>
    </row>
    <row r="30235" spans="2:2" ht="12.75" customHeight="1" x14ac:dyDescent="0.2">
      <c r="B30235" s="43"/>
    </row>
    <row r="30236" spans="2:2" ht="12.75" customHeight="1" x14ac:dyDescent="0.2">
      <c r="B30236" s="43"/>
    </row>
    <row r="30237" spans="2:2" ht="12.75" customHeight="1" x14ac:dyDescent="0.2">
      <c r="B30237" s="43"/>
    </row>
    <row r="30238" spans="2:2" ht="12.75" customHeight="1" x14ac:dyDescent="0.2">
      <c r="B30238" s="43"/>
    </row>
    <row r="30239" spans="2:2" ht="12.75" customHeight="1" x14ac:dyDescent="0.2">
      <c r="B30239" s="43"/>
    </row>
    <row r="30240" spans="2:2" ht="12.75" customHeight="1" x14ac:dyDescent="0.2">
      <c r="B30240" s="43"/>
    </row>
    <row r="30241" spans="2:2" ht="12.75" customHeight="1" x14ac:dyDescent="0.2">
      <c r="B30241" s="43"/>
    </row>
    <row r="30242" spans="2:2" ht="12.75" customHeight="1" x14ac:dyDescent="0.2">
      <c r="B30242" s="43"/>
    </row>
    <row r="30243" spans="2:2" ht="12.75" customHeight="1" x14ac:dyDescent="0.2">
      <c r="B30243" s="43"/>
    </row>
    <row r="30244" spans="2:2" ht="12.75" customHeight="1" x14ac:dyDescent="0.2">
      <c r="B30244" s="43"/>
    </row>
    <row r="30245" spans="2:2" ht="12.75" customHeight="1" x14ac:dyDescent="0.2">
      <c r="B30245" s="43"/>
    </row>
    <row r="30246" spans="2:2" ht="12.75" customHeight="1" x14ac:dyDescent="0.2">
      <c r="B30246" s="43"/>
    </row>
    <row r="30247" spans="2:2" ht="12.75" customHeight="1" x14ac:dyDescent="0.2">
      <c r="B30247" s="43"/>
    </row>
    <row r="30248" spans="2:2" ht="12.75" customHeight="1" x14ac:dyDescent="0.2">
      <c r="B30248" s="43"/>
    </row>
    <row r="30249" spans="2:2" ht="12.75" customHeight="1" x14ac:dyDescent="0.2">
      <c r="B30249" s="43"/>
    </row>
    <row r="30250" spans="2:2" ht="12.75" customHeight="1" x14ac:dyDescent="0.2">
      <c r="B30250" s="43"/>
    </row>
    <row r="30251" spans="2:2" ht="12.75" customHeight="1" x14ac:dyDescent="0.2">
      <c r="B30251" s="43"/>
    </row>
    <row r="30252" spans="2:2" ht="12.75" customHeight="1" x14ac:dyDescent="0.2">
      <c r="B30252" s="43"/>
    </row>
    <row r="30253" spans="2:2" ht="12.75" customHeight="1" x14ac:dyDescent="0.2">
      <c r="B30253" s="43"/>
    </row>
    <row r="30254" spans="2:2" ht="12.75" customHeight="1" x14ac:dyDescent="0.2">
      <c r="B30254" s="43"/>
    </row>
    <row r="30255" spans="2:2" ht="12.75" customHeight="1" x14ac:dyDescent="0.2">
      <c r="B30255" s="43"/>
    </row>
    <row r="30256" spans="2:2" ht="12.75" customHeight="1" x14ac:dyDescent="0.2">
      <c r="B30256" s="43"/>
    </row>
    <row r="30257" spans="2:2" ht="12.75" customHeight="1" x14ac:dyDescent="0.2">
      <c r="B30257" s="43"/>
    </row>
    <row r="30258" spans="2:2" ht="12.75" customHeight="1" x14ac:dyDescent="0.2">
      <c r="B30258" s="43"/>
    </row>
    <row r="30259" spans="2:2" ht="12.75" customHeight="1" x14ac:dyDescent="0.2">
      <c r="B30259" s="43"/>
    </row>
    <row r="30260" spans="2:2" ht="12.75" customHeight="1" x14ac:dyDescent="0.2">
      <c r="B30260" s="43"/>
    </row>
    <row r="30261" spans="2:2" ht="12.75" customHeight="1" x14ac:dyDescent="0.2">
      <c r="B30261" s="43"/>
    </row>
    <row r="30262" spans="2:2" ht="12.75" customHeight="1" x14ac:dyDescent="0.2">
      <c r="B30262" s="43"/>
    </row>
    <row r="30263" spans="2:2" ht="12.75" customHeight="1" x14ac:dyDescent="0.2">
      <c r="B30263" s="43"/>
    </row>
    <row r="30264" spans="2:2" ht="12.75" customHeight="1" x14ac:dyDescent="0.2">
      <c r="B30264" s="43"/>
    </row>
    <row r="30265" spans="2:2" ht="12.75" customHeight="1" x14ac:dyDescent="0.2">
      <c r="B30265" s="43"/>
    </row>
    <row r="30266" spans="2:2" ht="12.75" customHeight="1" x14ac:dyDescent="0.2">
      <c r="B30266" s="43"/>
    </row>
    <row r="30267" spans="2:2" ht="12.75" customHeight="1" x14ac:dyDescent="0.2">
      <c r="B30267" s="43"/>
    </row>
    <row r="30268" spans="2:2" ht="12.75" customHeight="1" x14ac:dyDescent="0.2">
      <c r="B30268" s="43"/>
    </row>
    <row r="30269" spans="2:2" ht="12.75" customHeight="1" x14ac:dyDescent="0.2">
      <c r="B30269" s="43"/>
    </row>
    <row r="30270" spans="2:2" ht="12.75" customHeight="1" x14ac:dyDescent="0.2">
      <c r="B30270" s="43"/>
    </row>
    <row r="30271" spans="2:2" ht="12.75" customHeight="1" x14ac:dyDescent="0.2">
      <c r="B30271" s="43"/>
    </row>
    <row r="30272" spans="2:2" ht="12.75" customHeight="1" x14ac:dyDescent="0.2">
      <c r="B30272" s="43"/>
    </row>
    <row r="30273" spans="2:2" ht="12.75" customHeight="1" x14ac:dyDescent="0.2">
      <c r="B30273" s="43"/>
    </row>
    <row r="30274" spans="2:2" ht="12.75" customHeight="1" x14ac:dyDescent="0.2">
      <c r="B30274" s="43"/>
    </row>
    <row r="30275" spans="2:2" ht="12.75" customHeight="1" x14ac:dyDescent="0.2">
      <c r="B30275" s="43"/>
    </row>
    <row r="30276" spans="2:2" ht="12.75" customHeight="1" x14ac:dyDescent="0.2">
      <c r="B30276" s="43"/>
    </row>
    <row r="30277" spans="2:2" ht="12.75" customHeight="1" x14ac:dyDescent="0.2">
      <c r="B30277" s="43"/>
    </row>
    <row r="30278" spans="2:2" ht="12.75" customHeight="1" x14ac:dyDescent="0.2">
      <c r="B30278" s="43"/>
    </row>
    <row r="30279" spans="2:2" ht="12.75" customHeight="1" x14ac:dyDescent="0.2">
      <c r="B30279" s="43"/>
    </row>
    <row r="30280" spans="2:2" ht="12.75" customHeight="1" x14ac:dyDescent="0.2">
      <c r="B30280" s="43"/>
    </row>
    <row r="30281" spans="2:2" ht="12.75" customHeight="1" x14ac:dyDescent="0.2">
      <c r="B30281" s="43"/>
    </row>
    <row r="30282" spans="2:2" ht="12.75" customHeight="1" x14ac:dyDescent="0.2">
      <c r="B30282" s="43"/>
    </row>
    <row r="30283" spans="2:2" ht="12.75" customHeight="1" x14ac:dyDescent="0.2">
      <c r="B30283" s="43"/>
    </row>
    <row r="30284" spans="2:2" ht="12.75" customHeight="1" x14ac:dyDescent="0.2">
      <c r="B30284" s="43"/>
    </row>
    <row r="30285" spans="2:2" ht="12.75" customHeight="1" x14ac:dyDescent="0.2">
      <c r="B30285" s="43"/>
    </row>
    <row r="30286" spans="2:2" ht="12.75" customHeight="1" x14ac:dyDescent="0.2">
      <c r="B30286" s="43"/>
    </row>
    <row r="30287" spans="2:2" ht="12.75" customHeight="1" x14ac:dyDescent="0.2">
      <c r="B30287" s="43"/>
    </row>
    <row r="30288" spans="2:2" ht="12.75" customHeight="1" x14ac:dyDescent="0.2">
      <c r="B30288" s="43"/>
    </row>
    <row r="30289" spans="2:2" ht="12.75" customHeight="1" x14ac:dyDescent="0.2">
      <c r="B30289" s="43"/>
    </row>
    <row r="30290" spans="2:2" ht="12.75" customHeight="1" x14ac:dyDescent="0.2">
      <c r="B30290" s="43"/>
    </row>
    <row r="30291" spans="2:2" ht="12.75" customHeight="1" x14ac:dyDescent="0.2">
      <c r="B30291" s="43"/>
    </row>
    <row r="30292" spans="2:2" ht="12.75" customHeight="1" x14ac:dyDescent="0.2">
      <c r="B30292" s="43"/>
    </row>
    <row r="30293" spans="2:2" ht="12.75" customHeight="1" x14ac:dyDescent="0.2">
      <c r="B30293" s="43"/>
    </row>
    <row r="30294" spans="2:2" ht="12.75" customHeight="1" x14ac:dyDescent="0.2">
      <c r="B30294" s="43"/>
    </row>
    <row r="30295" spans="2:2" ht="12.75" customHeight="1" x14ac:dyDescent="0.2">
      <c r="B30295" s="43"/>
    </row>
    <row r="30296" spans="2:2" ht="12.75" customHeight="1" x14ac:dyDescent="0.2">
      <c r="B30296" s="43"/>
    </row>
    <row r="30297" spans="2:2" ht="12.75" customHeight="1" x14ac:dyDescent="0.2">
      <c r="B30297" s="43"/>
    </row>
    <row r="30298" spans="2:2" ht="12.75" customHeight="1" x14ac:dyDescent="0.2">
      <c r="B30298" s="43"/>
    </row>
    <row r="30299" spans="2:2" ht="12.75" customHeight="1" x14ac:dyDescent="0.2">
      <c r="B30299" s="43"/>
    </row>
    <row r="30300" spans="2:2" ht="12.75" customHeight="1" x14ac:dyDescent="0.2">
      <c r="B30300" s="43"/>
    </row>
    <row r="30301" spans="2:2" ht="12.75" customHeight="1" x14ac:dyDescent="0.2">
      <c r="B30301" s="43"/>
    </row>
    <row r="30302" spans="2:2" ht="12.75" customHeight="1" x14ac:dyDescent="0.2">
      <c r="B30302" s="43"/>
    </row>
    <row r="30303" spans="2:2" ht="12.75" customHeight="1" x14ac:dyDescent="0.2">
      <c r="B30303" s="43"/>
    </row>
    <row r="30304" spans="2:2" ht="12.75" customHeight="1" x14ac:dyDescent="0.2">
      <c r="B30304" s="43"/>
    </row>
    <row r="30305" spans="2:2" ht="12.75" customHeight="1" x14ac:dyDescent="0.2">
      <c r="B30305" s="43"/>
    </row>
    <row r="30306" spans="2:2" ht="12.75" customHeight="1" x14ac:dyDescent="0.2">
      <c r="B30306" s="43"/>
    </row>
    <row r="30307" spans="2:2" ht="12.75" customHeight="1" x14ac:dyDescent="0.2">
      <c r="B30307" s="43"/>
    </row>
    <row r="30308" spans="2:2" ht="12.75" customHeight="1" x14ac:dyDescent="0.2">
      <c r="B30308" s="43"/>
    </row>
    <row r="30309" spans="2:2" ht="12.75" customHeight="1" x14ac:dyDescent="0.2">
      <c r="B30309" s="43"/>
    </row>
    <row r="30310" spans="2:2" ht="12.75" customHeight="1" x14ac:dyDescent="0.2">
      <c r="B30310" s="43"/>
    </row>
    <row r="30311" spans="2:2" ht="12.75" customHeight="1" x14ac:dyDescent="0.2">
      <c r="B30311" s="43"/>
    </row>
    <row r="30312" spans="2:2" ht="12.75" customHeight="1" x14ac:dyDescent="0.2">
      <c r="B30312" s="43"/>
    </row>
    <row r="30313" spans="2:2" ht="12.75" customHeight="1" x14ac:dyDescent="0.2">
      <c r="B30313" s="43"/>
    </row>
    <row r="30314" spans="2:2" ht="12.75" customHeight="1" x14ac:dyDescent="0.2">
      <c r="B30314" s="43"/>
    </row>
    <row r="30315" spans="2:2" ht="12.75" customHeight="1" x14ac:dyDescent="0.2">
      <c r="B30315" s="43"/>
    </row>
    <row r="30316" spans="2:2" ht="12.75" customHeight="1" x14ac:dyDescent="0.2">
      <c r="B30316" s="43"/>
    </row>
    <row r="30317" spans="2:2" ht="12.75" customHeight="1" x14ac:dyDescent="0.2">
      <c r="B30317" s="43"/>
    </row>
    <row r="30318" spans="2:2" ht="12.75" customHeight="1" x14ac:dyDescent="0.2">
      <c r="B30318" s="43"/>
    </row>
    <row r="30319" spans="2:2" ht="12.75" customHeight="1" x14ac:dyDescent="0.2">
      <c r="B30319" s="43"/>
    </row>
    <row r="30320" spans="2:2" ht="12.75" customHeight="1" x14ac:dyDescent="0.2">
      <c r="B30320" s="43"/>
    </row>
    <row r="30321" spans="2:2" ht="12.75" customHeight="1" x14ac:dyDescent="0.2">
      <c r="B30321" s="43"/>
    </row>
    <row r="30322" spans="2:2" ht="12.75" customHeight="1" x14ac:dyDescent="0.2">
      <c r="B30322" s="43"/>
    </row>
    <row r="30323" spans="2:2" ht="12.75" customHeight="1" x14ac:dyDescent="0.2">
      <c r="B30323" s="43"/>
    </row>
    <row r="30324" spans="2:2" ht="12.75" customHeight="1" x14ac:dyDescent="0.2">
      <c r="B30324" s="43"/>
    </row>
    <row r="30325" spans="2:2" ht="12.75" customHeight="1" x14ac:dyDescent="0.2">
      <c r="B30325" s="43"/>
    </row>
    <row r="30326" spans="2:2" ht="12.75" customHeight="1" x14ac:dyDescent="0.2">
      <c r="B30326" s="43"/>
    </row>
    <row r="30327" spans="2:2" ht="12.75" customHeight="1" x14ac:dyDescent="0.2">
      <c r="B30327" s="43"/>
    </row>
    <row r="30328" spans="2:2" ht="12.75" customHeight="1" x14ac:dyDescent="0.2">
      <c r="B30328" s="43"/>
    </row>
    <row r="30329" spans="2:2" ht="12.75" customHeight="1" x14ac:dyDescent="0.2">
      <c r="B30329" s="43"/>
    </row>
    <row r="30330" spans="2:2" ht="12.75" customHeight="1" x14ac:dyDescent="0.2">
      <c r="B30330" s="43"/>
    </row>
    <row r="30331" spans="2:2" ht="12.75" customHeight="1" x14ac:dyDescent="0.2">
      <c r="B30331" s="43"/>
    </row>
    <row r="30332" spans="2:2" ht="12.75" customHeight="1" x14ac:dyDescent="0.2">
      <c r="B30332" s="43"/>
    </row>
    <row r="30333" spans="2:2" ht="12.75" customHeight="1" x14ac:dyDescent="0.2">
      <c r="B30333" s="43"/>
    </row>
    <row r="30334" spans="2:2" ht="12.75" customHeight="1" x14ac:dyDescent="0.2">
      <c r="B30334" s="43"/>
    </row>
    <row r="30335" spans="2:2" ht="12.75" customHeight="1" x14ac:dyDescent="0.2">
      <c r="B30335" s="43"/>
    </row>
    <row r="30336" spans="2:2" ht="12.75" customHeight="1" x14ac:dyDescent="0.2">
      <c r="B30336" s="43"/>
    </row>
    <row r="30337" spans="2:2" ht="12.75" customHeight="1" x14ac:dyDescent="0.2">
      <c r="B30337" s="43"/>
    </row>
    <row r="30338" spans="2:2" ht="12.75" customHeight="1" x14ac:dyDescent="0.2">
      <c r="B30338" s="43"/>
    </row>
    <row r="30339" spans="2:2" ht="12.75" customHeight="1" x14ac:dyDescent="0.2">
      <c r="B30339" s="43"/>
    </row>
    <row r="30340" spans="2:2" ht="12.75" customHeight="1" x14ac:dyDescent="0.2">
      <c r="B30340" s="43"/>
    </row>
    <row r="30341" spans="2:2" ht="12.75" customHeight="1" x14ac:dyDescent="0.2">
      <c r="B30341" s="43"/>
    </row>
    <row r="30342" spans="2:2" ht="12.75" customHeight="1" x14ac:dyDescent="0.2">
      <c r="B30342" s="43"/>
    </row>
    <row r="30343" spans="2:2" ht="12.75" customHeight="1" x14ac:dyDescent="0.2">
      <c r="B30343" s="43"/>
    </row>
    <row r="30344" spans="2:2" ht="12.75" customHeight="1" x14ac:dyDescent="0.2">
      <c r="B30344" s="43"/>
    </row>
    <row r="30345" spans="2:2" ht="12.75" customHeight="1" x14ac:dyDescent="0.2">
      <c r="B30345" s="43"/>
    </row>
    <row r="30346" spans="2:2" ht="12.75" customHeight="1" x14ac:dyDescent="0.2">
      <c r="B30346" s="43"/>
    </row>
    <row r="30347" spans="2:2" ht="12.75" customHeight="1" x14ac:dyDescent="0.2">
      <c r="B30347" s="43"/>
    </row>
    <row r="30348" spans="2:2" ht="12.75" customHeight="1" x14ac:dyDescent="0.2">
      <c r="B30348" s="43"/>
    </row>
    <row r="30349" spans="2:2" ht="12.75" customHeight="1" x14ac:dyDescent="0.2">
      <c r="B30349" s="43"/>
    </row>
    <row r="30350" spans="2:2" ht="12.75" customHeight="1" x14ac:dyDescent="0.2">
      <c r="B30350" s="43"/>
    </row>
    <row r="30351" spans="2:2" ht="12.75" customHeight="1" x14ac:dyDescent="0.2">
      <c r="B30351" s="43"/>
    </row>
    <row r="30352" spans="2:2" ht="12.75" customHeight="1" x14ac:dyDescent="0.2">
      <c r="B30352" s="43"/>
    </row>
    <row r="30353" spans="2:2" ht="12.75" customHeight="1" x14ac:dyDescent="0.2">
      <c r="B30353" s="43"/>
    </row>
    <row r="30354" spans="2:2" ht="12.75" customHeight="1" x14ac:dyDescent="0.2">
      <c r="B30354" s="43"/>
    </row>
    <row r="30355" spans="2:2" ht="12.75" customHeight="1" x14ac:dyDescent="0.2">
      <c r="B30355" s="43"/>
    </row>
    <row r="30356" spans="2:2" ht="12.75" customHeight="1" x14ac:dyDescent="0.2">
      <c r="B30356" s="43"/>
    </row>
    <row r="30357" spans="2:2" ht="12.75" customHeight="1" x14ac:dyDescent="0.2">
      <c r="B30357" s="43"/>
    </row>
    <row r="30358" spans="2:2" ht="12.75" customHeight="1" x14ac:dyDescent="0.2">
      <c r="B30358" s="43"/>
    </row>
    <row r="30359" spans="2:2" ht="12.75" customHeight="1" x14ac:dyDescent="0.2">
      <c r="B30359" s="43"/>
    </row>
    <row r="30360" spans="2:2" ht="12.75" customHeight="1" x14ac:dyDescent="0.2">
      <c r="B30360" s="43"/>
    </row>
    <row r="30361" spans="2:2" ht="12.75" customHeight="1" x14ac:dyDescent="0.2">
      <c r="B30361" s="43"/>
    </row>
    <row r="30362" spans="2:2" ht="12.75" customHeight="1" x14ac:dyDescent="0.2">
      <c r="B30362" s="43"/>
    </row>
    <row r="30363" spans="2:2" ht="12.75" customHeight="1" x14ac:dyDescent="0.2">
      <c r="B30363" s="43"/>
    </row>
    <row r="30364" spans="2:2" ht="12.75" customHeight="1" x14ac:dyDescent="0.2">
      <c r="B30364" s="43"/>
    </row>
    <row r="30365" spans="2:2" ht="12.75" customHeight="1" x14ac:dyDescent="0.2">
      <c r="B30365" s="43"/>
    </row>
    <row r="30366" spans="2:2" ht="12.75" customHeight="1" x14ac:dyDescent="0.2">
      <c r="B30366" s="43"/>
    </row>
    <row r="30367" spans="2:2" ht="12.75" customHeight="1" x14ac:dyDescent="0.2">
      <c r="B30367" s="43"/>
    </row>
    <row r="30368" spans="2:2" ht="12.75" customHeight="1" x14ac:dyDescent="0.2">
      <c r="B30368" s="43"/>
    </row>
    <row r="30369" spans="2:2" ht="12.75" customHeight="1" x14ac:dyDescent="0.2">
      <c r="B30369" s="43"/>
    </row>
    <row r="30370" spans="2:2" ht="12.75" customHeight="1" x14ac:dyDescent="0.2">
      <c r="B30370" s="43"/>
    </row>
    <row r="30371" spans="2:2" ht="12.75" customHeight="1" x14ac:dyDescent="0.2">
      <c r="B30371" s="43"/>
    </row>
    <row r="30372" spans="2:2" ht="12.75" customHeight="1" x14ac:dyDescent="0.2">
      <c r="B30372" s="43"/>
    </row>
    <row r="30373" spans="2:2" ht="12.75" customHeight="1" x14ac:dyDescent="0.2">
      <c r="B30373" s="43"/>
    </row>
    <row r="30374" spans="2:2" ht="12.75" customHeight="1" x14ac:dyDescent="0.2">
      <c r="B30374" s="43"/>
    </row>
    <row r="30375" spans="2:2" ht="12.75" customHeight="1" x14ac:dyDescent="0.2">
      <c r="B30375" s="43"/>
    </row>
    <row r="30376" spans="2:2" ht="12.75" customHeight="1" x14ac:dyDescent="0.2">
      <c r="B30376" s="43"/>
    </row>
    <row r="30377" spans="2:2" ht="12.75" customHeight="1" x14ac:dyDescent="0.2">
      <c r="B30377" s="43"/>
    </row>
    <row r="30378" spans="2:2" ht="12.75" customHeight="1" x14ac:dyDescent="0.2">
      <c r="B30378" s="43"/>
    </row>
    <row r="30379" spans="2:2" ht="12.75" customHeight="1" x14ac:dyDescent="0.2">
      <c r="B30379" s="43"/>
    </row>
    <row r="30380" spans="2:2" ht="12.75" customHeight="1" x14ac:dyDescent="0.2">
      <c r="B30380" s="43"/>
    </row>
    <row r="30381" spans="2:2" ht="12.75" customHeight="1" x14ac:dyDescent="0.2">
      <c r="B30381" s="43"/>
    </row>
    <row r="30382" spans="2:2" ht="12.75" customHeight="1" x14ac:dyDescent="0.2">
      <c r="B30382" s="43"/>
    </row>
    <row r="30383" spans="2:2" ht="12.75" customHeight="1" x14ac:dyDescent="0.2">
      <c r="B30383" s="43"/>
    </row>
    <row r="30384" spans="2:2" ht="12.75" customHeight="1" x14ac:dyDescent="0.2">
      <c r="B30384" s="43"/>
    </row>
    <row r="30385" spans="2:2" ht="12.75" customHeight="1" x14ac:dyDescent="0.2">
      <c r="B30385" s="43"/>
    </row>
    <row r="30386" spans="2:2" ht="12.75" customHeight="1" x14ac:dyDescent="0.2">
      <c r="B30386" s="43"/>
    </row>
    <row r="30387" spans="2:2" ht="12.75" customHeight="1" x14ac:dyDescent="0.2">
      <c r="B30387" s="43"/>
    </row>
    <row r="30388" spans="2:2" ht="12.75" customHeight="1" x14ac:dyDescent="0.2">
      <c r="B30388" s="43"/>
    </row>
    <row r="30389" spans="2:2" ht="12.75" customHeight="1" x14ac:dyDescent="0.2">
      <c r="B30389" s="43"/>
    </row>
    <row r="30390" spans="2:2" ht="12.75" customHeight="1" x14ac:dyDescent="0.2">
      <c r="B30390" s="43"/>
    </row>
    <row r="30391" spans="2:2" ht="12.75" customHeight="1" x14ac:dyDescent="0.2">
      <c r="B30391" s="43"/>
    </row>
    <row r="30392" spans="2:2" ht="12.75" customHeight="1" x14ac:dyDescent="0.2">
      <c r="B30392" s="43"/>
    </row>
    <row r="30393" spans="2:2" ht="12.75" customHeight="1" x14ac:dyDescent="0.2">
      <c r="B30393" s="43"/>
    </row>
    <row r="30394" spans="2:2" ht="12.75" customHeight="1" x14ac:dyDescent="0.2">
      <c r="B30394" s="43"/>
    </row>
    <row r="30395" spans="2:2" ht="12.75" customHeight="1" x14ac:dyDescent="0.2">
      <c r="B30395" s="43"/>
    </row>
    <row r="30396" spans="2:2" ht="12.75" customHeight="1" x14ac:dyDescent="0.2">
      <c r="B30396" s="43"/>
    </row>
    <row r="30397" spans="2:2" ht="12.75" customHeight="1" x14ac:dyDescent="0.2">
      <c r="B30397" s="43"/>
    </row>
    <row r="30398" spans="2:2" ht="12.75" customHeight="1" x14ac:dyDescent="0.2">
      <c r="B30398" s="43"/>
    </row>
    <row r="30399" spans="2:2" ht="12.75" customHeight="1" x14ac:dyDescent="0.2">
      <c r="B30399" s="43"/>
    </row>
    <row r="30400" spans="2:2" ht="12.75" customHeight="1" x14ac:dyDescent="0.2">
      <c r="B30400" s="43"/>
    </row>
    <row r="30401" spans="2:2" ht="12.75" customHeight="1" x14ac:dyDescent="0.2">
      <c r="B30401" s="43"/>
    </row>
    <row r="30402" spans="2:2" ht="12.75" customHeight="1" x14ac:dyDescent="0.2">
      <c r="B30402" s="43"/>
    </row>
    <row r="30403" spans="2:2" ht="12.75" customHeight="1" x14ac:dyDescent="0.2">
      <c r="B30403" s="43"/>
    </row>
    <row r="30404" spans="2:2" ht="12.75" customHeight="1" x14ac:dyDescent="0.2">
      <c r="B30404" s="43"/>
    </row>
    <row r="30405" spans="2:2" ht="12.75" customHeight="1" x14ac:dyDescent="0.2">
      <c r="B30405" s="43"/>
    </row>
    <row r="30406" spans="2:2" ht="12.75" customHeight="1" x14ac:dyDescent="0.2">
      <c r="B30406" s="43"/>
    </row>
    <row r="30407" spans="2:2" ht="12.75" customHeight="1" x14ac:dyDescent="0.2">
      <c r="B30407" s="43"/>
    </row>
    <row r="30408" spans="2:2" ht="12.75" customHeight="1" x14ac:dyDescent="0.2">
      <c r="B30408" s="43"/>
    </row>
    <row r="30409" spans="2:2" ht="12.75" customHeight="1" x14ac:dyDescent="0.2">
      <c r="B30409" s="43"/>
    </row>
    <row r="30410" spans="2:2" ht="12.75" customHeight="1" x14ac:dyDescent="0.2">
      <c r="B30410" s="43"/>
    </row>
    <row r="30411" spans="2:2" ht="12.75" customHeight="1" x14ac:dyDescent="0.2">
      <c r="B30411" s="43"/>
    </row>
    <row r="30412" spans="2:2" ht="12.75" customHeight="1" x14ac:dyDescent="0.2">
      <c r="B30412" s="43"/>
    </row>
    <row r="30413" spans="2:2" ht="12.75" customHeight="1" x14ac:dyDescent="0.2">
      <c r="B30413" s="43"/>
    </row>
    <row r="30414" spans="2:2" ht="12.75" customHeight="1" x14ac:dyDescent="0.2">
      <c r="B30414" s="43"/>
    </row>
    <row r="30415" spans="2:2" ht="12.75" customHeight="1" x14ac:dyDescent="0.2">
      <c r="B30415" s="43"/>
    </row>
    <row r="30416" spans="2:2" ht="12.75" customHeight="1" x14ac:dyDescent="0.2">
      <c r="B30416" s="43"/>
    </row>
    <row r="30417" spans="2:2" ht="12.75" customHeight="1" x14ac:dyDescent="0.2">
      <c r="B30417" s="43"/>
    </row>
    <row r="30418" spans="2:2" ht="12.75" customHeight="1" x14ac:dyDescent="0.2">
      <c r="B30418" s="43"/>
    </row>
    <row r="30419" spans="2:2" ht="12.75" customHeight="1" x14ac:dyDescent="0.2">
      <c r="B30419" s="43"/>
    </row>
    <row r="30420" spans="2:2" ht="12.75" customHeight="1" x14ac:dyDescent="0.2">
      <c r="B30420" s="43"/>
    </row>
    <row r="30421" spans="2:2" ht="12.75" customHeight="1" x14ac:dyDescent="0.2">
      <c r="B30421" s="43"/>
    </row>
    <row r="30422" spans="2:2" ht="12.75" customHeight="1" x14ac:dyDescent="0.2">
      <c r="B30422" s="43"/>
    </row>
    <row r="30423" spans="2:2" ht="12.75" customHeight="1" x14ac:dyDescent="0.2">
      <c r="B30423" s="43"/>
    </row>
    <row r="30424" spans="2:2" ht="12.75" customHeight="1" x14ac:dyDescent="0.2">
      <c r="B30424" s="43"/>
    </row>
    <row r="30425" spans="2:2" ht="12.75" customHeight="1" x14ac:dyDescent="0.2">
      <c r="B30425" s="43"/>
    </row>
    <row r="30426" spans="2:2" ht="12.75" customHeight="1" x14ac:dyDescent="0.2">
      <c r="B30426" s="43"/>
    </row>
    <row r="30427" spans="2:2" ht="12.75" customHeight="1" x14ac:dyDescent="0.2">
      <c r="B30427" s="43"/>
    </row>
    <row r="30428" spans="2:2" ht="12.75" customHeight="1" x14ac:dyDescent="0.2">
      <c r="B30428" s="43"/>
    </row>
    <row r="30429" spans="2:2" ht="12.75" customHeight="1" x14ac:dyDescent="0.2">
      <c r="B30429" s="43"/>
    </row>
    <row r="30430" spans="2:2" ht="12.75" customHeight="1" x14ac:dyDescent="0.2">
      <c r="B30430" s="43"/>
    </row>
    <row r="30431" spans="2:2" ht="12.75" customHeight="1" x14ac:dyDescent="0.2">
      <c r="B30431" s="43"/>
    </row>
    <row r="30432" spans="2:2" ht="12.75" customHeight="1" x14ac:dyDescent="0.2">
      <c r="B30432" s="43"/>
    </row>
    <row r="30433" spans="2:2" ht="12.75" customHeight="1" x14ac:dyDescent="0.2">
      <c r="B30433" s="43"/>
    </row>
    <row r="30434" spans="2:2" ht="12.75" customHeight="1" x14ac:dyDescent="0.2">
      <c r="B30434" s="43"/>
    </row>
    <row r="30435" spans="2:2" ht="12.75" customHeight="1" x14ac:dyDescent="0.2">
      <c r="B30435" s="43"/>
    </row>
    <row r="30436" spans="2:2" ht="12.75" customHeight="1" x14ac:dyDescent="0.2">
      <c r="B30436" s="43"/>
    </row>
    <row r="30437" spans="2:2" ht="12.75" customHeight="1" x14ac:dyDescent="0.2">
      <c r="B30437" s="43"/>
    </row>
    <row r="30438" spans="2:2" ht="12.75" customHeight="1" x14ac:dyDescent="0.2">
      <c r="B30438" s="43"/>
    </row>
    <row r="30439" spans="2:2" ht="12.75" customHeight="1" x14ac:dyDescent="0.2">
      <c r="B30439" s="43"/>
    </row>
    <row r="30440" spans="2:2" ht="12.75" customHeight="1" x14ac:dyDescent="0.2">
      <c r="B30440" s="43"/>
    </row>
    <row r="30441" spans="2:2" ht="12.75" customHeight="1" x14ac:dyDescent="0.2">
      <c r="B30441" s="43"/>
    </row>
    <row r="30442" spans="2:2" ht="12.75" customHeight="1" x14ac:dyDescent="0.2">
      <c r="B30442" s="43"/>
    </row>
    <row r="30443" spans="2:2" ht="12.75" customHeight="1" x14ac:dyDescent="0.2">
      <c r="B30443" s="43"/>
    </row>
    <row r="30444" spans="2:2" ht="12.75" customHeight="1" x14ac:dyDescent="0.2">
      <c r="B30444" s="43"/>
    </row>
    <row r="30445" spans="2:2" ht="12.75" customHeight="1" x14ac:dyDescent="0.2">
      <c r="B30445" s="43"/>
    </row>
    <row r="30446" spans="2:2" ht="12.75" customHeight="1" x14ac:dyDescent="0.2">
      <c r="B30446" s="43"/>
    </row>
    <row r="30447" spans="2:2" ht="12.75" customHeight="1" x14ac:dyDescent="0.2">
      <c r="B30447" s="43"/>
    </row>
    <row r="30448" spans="2:2" ht="12.75" customHeight="1" x14ac:dyDescent="0.2">
      <c r="B30448" s="43"/>
    </row>
    <row r="30449" spans="2:2" ht="12.75" customHeight="1" x14ac:dyDescent="0.2">
      <c r="B30449" s="43"/>
    </row>
    <row r="30450" spans="2:2" ht="12.75" customHeight="1" x14ac:dyDescent="0.2">
      <c r="B30450" s="43"/>
    </row>
    <row r="30451" spans="2:2" ht="12.75" customHeight="1" x14ac:dyDescent="0.2">
      <c r="B30451" s="43"/>
    </row>
    <row r="30452" spans="2:2" ht="12.75" customHeight="1" x14ac:dyDescent="0.2">
      <c r="B30452" s="43"/>
    </row>
    <row r="30453" spans="2:2" ht="12.75" customHeight="1" x14ac:dyDescent="0.2">
      <c r="B30453" s="43"/>
    </row>
    <row r="30454" spans="2:2" ht="12.75" customHeight="1" x14ac:dyDescent="0.2">
      <c r="B30454" s="43"/>
    </row>
    <row r="30455" spans="2:2" ht="12.75" customHeight="1" x14ac:dyDescent="0.2">
      <c r="B30455" s="43"/>
    </row>
    <row r="30456" spans="2:2" ht="12.75" customHeight="1" x14ac:dyDescent="0.2">
      <c r="B30456" s="43"/>
    </row>
    <row r="30457" spans="2:2" ht="12.75" customHeight="1" x14ac:dyDescent="0.2">
      <c r="B30457" s="43"/>
    </row>
    <row r="30458" spans="2:2" ht="12.75" customHeight="1" x14ac:dyDescent="0.2">
      <c r="B30458" s="43"/>
    </row>
    <row r="30459" spans="2:2" ht="12.75" customHeight="1" x14ac:dyDescent="0.2">
      <c r="B30459" s="43"/>
    </row>
    <row r="30460" spans="2:2" ht="12.75" customHeight="1" x14ac:dyDescent="0.2">
      <c r="B30460" s="43"/>
    </row>
    <row r="30461" spans="2:2" ht="12.75" customHeight="1" x14ac:dyDescent="0.2">
      <c r="B30461" s="43"/>
    </row>
    <row r="30462" spans="2:2" ht="12.75" customHeight="1" x14ac:dyDescent="0.2">
      <c r="B30462" s="43"/>
    </row>
    <row r="30463" spans="2:2" ht="12.75" customHeight="1" x14ac:dyDescent="0.2">
      <c r="B30463" s="43"/>
    </row>
    <row r="30464" spans="2:2" ht="12.75" customHeight="1" x14ac:dyDescent="0.2">
      <c r="B30464" s="43"/>
    </row>
    <row r="30465" spans="2:2" ht="12.75" customHeight="1" x14ac:dyDescent="0.2">
      <c r="B30465" s="43"/>
    </row>
    <row r="30466" spans="2:2" ht="12.75" customHeight="1" x14ac:dyDescent="0.2">
      <c r="B30466" s="43"/>
    </row>
    <row r="30467" spans="2:2" ht="12.75" customHeight="1" x14ac:dyDescent="0.2">
      <c r="B30467" s="43"/>
    </row>
    <row r="30468" spans="2:2" ht="12.75" customHeight="1" x14ac:dyDescent="0.2">
      <c r="B30468" s="43"/>
    </row>
    <row r="30469" spans="2:2" ht="12.75" customHeight="1" x14ac:dyDescent="0.2">
      <c r="B30469" s="43"/>
    </row>
    <row r="30470" spans="2:2" ht="12.75" customHeight="1" x14ac:dyDescent="0.2">
      <c r="B30470" s="43"/>
    </row>
    <row r="30471" spans="2:2" ht="12.75" customHeight="1" x14ac:dyDescent="0.2">
      <c r="B30471" s="43"/>
    </row>
    <row r="30472" spans="2:2" ht="12.75" customHeight="1" x14ac:dyDescent="0.2">
      <c r="B30472" s="43"/>
    </row>
    <row r="30473" spans="2:2" ht="12.75" customHeight="1" x14ac:dyDescent="0.2">
      <c r="B30473" s="43"/>
    </row>
    <row r="30474" spans="2:2" ht="12.75" customHeight="1" x14ac:dyDescent="0.2">
      <c r="B30474" s="43"/>
    </row>
    <row r="30475" spans="2:2" ht="12.75" customHeight="1" x14ac:dyDescent="0.2">
      <c r="B30475" s="43"/>
    </row>
    <row r="30476" spans="2:2" ht="12.75" customHeight="1" x14ac:dyDescent="0.2">
      <c r="B30476" s="43"/>
    </row>
    <row r="30477" spans="2:2" ht="12.75" customHeight="1" x14ac:dyDescent="0.2">
      <c r="B30477" s="43"/>
    </row>
    <row r="30478" spans="2:2" ht="12.75" customHeight="1" x14ac:dyDescent="0.2">
      <c r="B30478" s="43"/>
    </row>
    <row r="30479" spans="2:2" ht="12.75" customHeight="1" x14ac:dyDescent="0.2">
      <c r="B30479" s="43"/>
    </row>
    <row r="30480" spans="2:2" ht="12.75" customHeight="1" x14ac:dyDescent="0.2">
      <c r="B30480" s="43"/>
    </row>
    <row r="30481" spans="2:2" ht="12.75" customHeight="1" x14ac:dyDescent="0.2">
      <c r="B30481" s="43"/>
    </row>
    <row r="30482" spans="2:2" ht="12.75" customHeight="1" x14ac:dyDescent="0.2">
      <c r="B30482" s="43"/>
    </row>
    <row r="30483" spans="2:2" ht="12.75" customHeight="1" x14ac:dyDescent="0.2">
      <c r="B30483" s="43"/>
    </row>
    <row r="30484" spans="2:2" ht="12.75" customHeight="1" x14ac:dyDescent="0.2">
      <c r="B30484" s="43"/>
    </row>
    <row r="30485" spans="2:2" ht="12.75" customHeight="1" x14ac:dyDescent="0.2">
      <c r="B30485" s="43"/>
    </row>
    <row r="30486" spans="2:2" ht="12.75" customHeight="1" x14ac:dyDescent="0.2">
      <c r="B30486" s="43"/>
    </row>
    <row r="30487" spans="2:2" ht="12.75" customHeight="1" x14ac:dyDescent="0.2">
      <c r="B30487" s="43"/>
    </row>
    <row r="30488" spans="2:2" ht="12.75" customHeight="1" x14ac:dyDescent="0.2">
      <c r="B30488" s="43"/>
    </row>
    <row r="30489" spans="2:2" ht="12.75" customHeight="1" x14ac:dyDescent="0.2">
      <c r="B30489" s="43"/>
    </row>
    <row r="30490" spans="2:2" ht="12.75" customHeight="1" x14ac:dyDescent="0.2">
      <c r="B30490" s="43"/>
    </row>
    <row r="30491" spans="2:2" ht="12.75" customHeight="1" x14ac:dyDescent="0.2">
      <c r="B30491" s="43"/>
    </row>
    <row r="30492" spans="2:2" ht="12.75" customHeight="1" x14ac:dyDescent="0.2">
      <c r="B30492" s="43"/>
    </row>
    <row r="30493" spans="2:2" ht="12.75" customHeight="1" x14ac:dyDescent="0.2">
      <c r="B30493" s="43"/>
    </row>
    <row r="30494" spans="2:2" ht="12.75" customHeight="1" x14ac:dyDescent="0.2">
      <c r="B30494" s="43"/>
    </row>
    <row r="30495" spans="2:2" ht="12.75" customHeight="1" x14ac:dyDescent="0.2">
      <c r="B30495" s="43"/>
    </row>
    <row r="30496" spans="2:2" ht="12.75" customHeight="1" x14ac:dyDescent="0.2">
      <c r="B30496" s="43"/>
    </row>
    <row r="30497" spans="2:2" ht="12.75" customHeight="1" x14ac:dyDescent="0.2">
      <c r="B30497" s="43"/>
    </row>
    <row r="30498" spans="2:2" ht="12.75" customHeight="1" x14ac:dyDescent="0.2">
      <c r="B30498" s="43"/>
    </row>
    <row r="30499" spans="2:2" ht="12.75" customHeight="1" x14ac:dyDescent="0.2">
      <c r="B30499" s="43"/>
    </row>
    <row r="30500" spans="2:2" ht="12.75" customHeight="1" x14ac:dyDescent="0.2">
      <c r="B30500" s="43"/>
    </row>
    <row r="30501" spans="2:2" ht="12.75" customHeight="1" x14ac:dyDescent="0.2">
      <c r="B30501" s="43"/>
    </row>
    <row r="30502" spans="2:2" ht="12.75" customHeight="1" x14ac:dyDescent="0.2">
      <c r="B30502" s="43"/>
    </row>
    <row r="30503" spans="2:2" ht="12.75" customHeight="1" x14ac:dyDescent="0.2">
      <c r="B30503" s="43"/>
    </row>
    <row r="30504" spans="2:2" ht="12.75" customHeight="1" x14ac:dyDescent="0.2">
      <c r="B30504" s="43"/>
    </row>
    <row r="30505" spans="2:2" ht="12.75" customHeight="1" x14ac:dyDescent="0.2">
      <c r="B30505" s="43"/>
    </row>
    <row r="30506" spans="2:2" ht="12.75" customHeight="1" x14ac:dyDescent="0.2">
      <c r="B30506" s="43"/>
    </row>
    <row r="30507" spans="2:2" ht="12.75" customHeight="1" x14ac:dyDescent="0.2">
      <c r="B30507" s="43"/>
    </row>
    <row r="30508" spans="2:2" ht="12.75" customHeight="1" x14ac:dyDescent="0.2">
      <c r="B30508" s="43"/>
    </row>
    <row r="30509" spans="2:2" ht="12.75" customHeight="1" x14ac:dyDescent="0.2">
      <c r="B30509" s="43"/>
    </row>
    <row r="30510" spans="2:2" ht="12.75" customHeight="1" x14ac:dyDescent="0.2">
      <c r="B30510" s="43"/>
    </row>
    <row r="30511" spans="2:2" ht="12.75" customHeight="1" x14ac:dyDescent="0.2">
      <c r="B30511" s="43"/>
    </row>
    <row r="30512" spans="2:2" ht="12.75" customHeight="1" x14ac:dyDescent="0.2">
      <c r="B30512" s="43"/>
    </row>
    <row r="30513" spans="2:2" ht="12.75" customHeight="1" x14ac:dyDescent="0.2">
      <c r="B30513" s="43"/>
    </row>
    <row r="30514" spans="2:2" ht="12.75" customHeight="1" x14ac:dyDescent="0.2">
      <c r="B30514" s="43"/>
    </row>
    <row r="30515" spans="2:2" ht="12.75" customHeight="1" x14ac:dyDescent="0.2">
      <c r="B30515" s="43"/>
    </row>
    <row r="30516" spans="2:2" ht="12.75" customHeight="1" x14ac:dyDescent="0.2">
      <c r="B30516" s="43"/>
    </row>
    <row r="30517" spans="2:2" ht="12.75" customHeight="1" x14ac:dyDescent="0.2">
      <c r="B30517" s="43"/>
    </row>
    <row r="30518" spans="2:2" ht="12.75" customHeight="1" x14ac:dyDescent="0.2">
      <c r="B30518" s="43"/>
    </row>
    <row r="30519" spans="2:2" ht="12.75" customHeight="1" x14ac:dyDescent="0.2">
      <c r="B30519" s="43"/>
    </row>
    <row r="30520" spans="2:2" ht="12.75" customHeight="1" x14ac:dyDescent="0.2">
      <c r="B30520" s="43"/>
    </row>
    <row r="30521" spans="2:2" ht="12.75" customHeight="1" x14ac:dyDescent="0.2">
      <c r="B30521" s="43"/>
    </row>
    <row r="30522" spans="2:2" ht="12.75" customHeight="1" x14ac:dyDescent="0.2">
      <c r="B30522" s="43"/>
    </row>
    <row r="30523" spans="2:2" ht="12.75" customHeight="1" x14ac:dyDescent="0.2">
      <c r="B30523" s="43"/>
    </row>
    <row r="30524" spans="2:2" ht="12.75" customHeight="1" x14ac:dyDescent="0.2">
      <c r="B30524" s="43"/>
    </row>
    <row r="30525" spans="2:2" ht="12.75" customHeight="1" x14ac:dyDescent="0.2">
      <c r="B30525" s="43"/>
    </row>
    <row r="30526" spans="2:2" ht="12.75" customHeight="1" x14ac:dyDescent="0.2">
      <c r="B30526" s="43"/>
    </row>
    <row r="30527" spans="2:2" ht="12.75" customHeight="1" x14ac:dyDescent="0.2">
      <c r="B30527" s="43"/>
    </row>
    <row r="30528" spans="2:2" ht="12.75" customHeight="1" x14ac:dyDescent="0.2">
      <c r="B30528" s="43"/>
    </row>
    <row r="30529" spans="2:2" ht="12.75" customHeight="1" x14ac:dyDescent="0.2">
      <c r="B30529" s="43"/>
    </row>
    <row r="30530" spans="2:2" ht="12.75" customHeight="1" x14ac:dyDescent="0.2">
      <c r="B30530" s="43"/>
    </row>
    <row r="30531" spans="2:2" ht="12.75" customHeight="1" x14ac:dyDescent="0.2">
      <c r="B30531" s="43"/>
    </row>
    <row r="30532" spans="2:2" ht="12.75" customHeight="1" x14ac:dyDescent="0.2">
      <c r="B30532" s="43"/>
    </row>
    <row r="30533" spans="2:2" ht="12.75" customHeight="1" x14ac:dyDescent="0.2">
      <c r="B30533" s="43"/>
    </row>
    <row r="30534" spans="2:2" ht="12.75" customHeight="1" x14ac:dyDescent="0.2">
      <c r="B30534" s="43"/>
    </row>
    <row r="30535" spans="2:2" ht="12.75" customHeight="1" x14ac:dyDescent="0.2">
      <c r="B30535" s="43"/>
    </row>
    <row r="30536" spans="2:2" ht="12.75" customHeight="1" x14ac:dyDescent="0.2">
      <c r="B30536" s="43"/>
    </row>
    <row r="30537" spans="2:2" ht="12.75" customHeight="1" x14ac:dyDescent="0.2">
      <c r="B30537" s="43"/>
    </row>
    <row r="30538" spans="2:2" ht="12.75" customHeight="1" x14ac:dyDescent="0.2">
      <c r="B30538" s="43"/>
    </row>
    <row r="30539" spans="2:2" ht="12.75" customHeight="1" x14ac:dyDescent="0.2">
      <c r="B30539" s="43"/>
    </row>
    <row r="30540" spans="2:2" ht="12.75" customHeight="1" x14ac:dyDescent="0.2">
      <c r="B30540" s="43"/>
    </row>
    <row r="30541" spans="2:2" ht="12.75" customHeight="1" x14ac:dyDescent="0.2">
      <c r="B30541" s="43"/>
    </row>
    <row r="30542" spans="2:2" ht="12.75" customHeight="1" x14ac:dyDescent="0.2">
      <c r="B30542" s="43"/>
    </row>
    <row r="30543" spans="2:2" ht="12.75" customHeight="1" x14ac:dyDescent="0.2">
      <c r="B30543" s="43"/>
    </row>
    <row r="30544" spans="2:2" ht="12.75" customHeight="1" x14ac:dyDescent="0.2">
      <c r="B30544" s="43"/>
    </row>
    <row r="30545" spans="2:2" ht="12.75" customHeight="1" x14ac:dyDescent="0.2">
      <c r="B30545" s="43"/>
    </row>
    <row r="30546" spans="2:2" ht="12.75" customHeight="1" x14ac:dyDescent="0.2">
      <c r="B30546" s="43"/>
    </row>
    <row r="30547" spans="2:2" ht="12.75" customHeight="1" x14ac:dyDescent="0.2">
      <c r="B30547" s="43"/>
    </row>
    <row r="30548" spans="2:2" ht="12.75" customHeight="1" x14ac:dyDescent="0.2">
      <c r="B30548" s="43"/>
    </row>
    <row r="30549" spans="2:2" ht="12.75" customHeight="1" x14ac:dyDescent="0.2">
      <c r="B30549" s="43"/>
    </row>
    <row r="30550" spans="2:2" ht="12.75" customHeight="1" x14ac:dyDescent="0.2">
      <c r="B30550" s="43"/>
    </row>
    <row r="30551" spans="2:2" ht="12.75" customHeight="1" x14ac:dyDescent="0.2">
      <c r="B30551" s="43"/>
    </row>
    <row r="30552" spans="2:2" ht="12.75" customHeight="1" x14ac:dyDescent="0.2">
      <c r="B30552" s="43"/>
    </row>
    <row r="30553" spans="2:2" ht="12.75" customHeight="1" x14ac:dyDescent="0.2">
      <c r="B30553" s="43"/>
    </row>
    <row r="30554" spans="2:2" ht="12.75" customHeight="1" x14ac:dyDescent="0.2">
      <c r="B30554" s="43"/>
    </row>
    <row r="30555" spans="2:2" ht="12.75" customHeight="1" x14ac:dyDescent="0.2">
      <c r="B30555" s="43"/>
    </row>
    <row r="30556" spans="2:2" ht="12.75" customHeight="1" x14ac:dyDescent="0.2">
      <c r="B30556" s="43"/>
    </row>
    <row r="30557" spans="2:2" ht="12.75" customHeight="1" x14ac:dyDescent="0.2">
      <c r="B30557" s="43"/>
    </row>
    <row r="30558" spans="2:2" ht="12.75" customHeight="1" x14ac:dyDescent="0.2">
      <c r="B30558" s="43"/>
    </row>
    <row r="30559" spans="2:2" ht="12.75" customHeight="1" x14ac:dyDescent="0.2">
      <c r="B30559" s="43"/>
    </row>
    <row r="30560" spans="2:2" ht="12.75" customHeight="1" x14ac:dyDescent="0.2">
      <c r="B30560" s="43"/>
    </row>
    <row r="30561" spans="2:2" ht="12.75" customHeight="1" x14ac:dyDescent="0.2">
      <c r="B30561" s="43"/>
    </row>
    <row r="30562" spans="2:2" ht="12.75" customHeight="1" x14ac:dyDescent="0.2">
      <c r="B30562" s="43"/>
    </row>
    <row r="30563" spans="2:2" ht="12.75" customHeight="1" x14ac:dyDescent="0.2">
      <c r="B30563" s="43"/>
    </row>
    <row r="30564" spans="2:2" ht="12.75" customHeight="1" x14ac:dyDescent="0.2">
      <c r="B30564" s="43"/>
    </row>
    <row r="30565" spans="2:2" ht="12.75" customHeight="1" x14ac:dyDescent="0.2">
      <c r="B30565" s="43"/>
    </row>
    <row r="30566" spans="2:2" ht="12.75" customHeight="1" x14ac:dyDescent="0.2">
      <c r="B30566" s="43"/>
    </row>
    <row r="30567" spans="2:2" ht="12.75" customHeight="1" x14ac:dyDescent="0.2">
      <c r="B30567" s="43"/>
    </row>
    <row r="30568" spans="2:2" ht="12.75" customHeight="1" x14ac:dyDescent="0.2">
      <c r="B30568" s="43"/>
    </row>
    <row r="30569" spans="2:2" ht="12.75" customHeight="1" x14ac:dyDescent="0.2">
      <c r="B30569" s="43"/>
    </row>
    <row r="30570" spans="2:2" ht="12.75" customHeight="1" x14ac:dyDescent="0.2">
      <c r="B30570" s="43"/>
    </row>
    <row r="30571" spans="2:2" ht="12.75" customHeight="1" x14ac:dyDescent="0.2">
      <c r="B30571" s="43"/>
    </row>
    <row r="30572" spans="2:2" ht="12.75" customHeight="1" x14ac:dyDescent="0.2">
      <c r="B30572" s="43"/>
    </row>
    <row r="30573" spans="2:2" ht="12.75" customHeight="1" x14ac:dyDescent="0.2">
      <c r="B30573" s="43"/>
    </row>
    <row r="30574" spans="2:2" ht="12.75" customHeight="1" x14ac:dyDescent="0.2">
      <c r="B30574" s="43"/>
    </row>
    <row r="30575" spans="2:2" ht="12.75" customHeight="1" x14ac:dyDescent="0.2">
      <c r="B30575" s="43"/>
    </row>
    <row r="30576" spans="2:2" ht="12.75" customHeight="1" x14ac:dyDescent="0.2">
      <c r="B30576" s="43"/>
    </row>
    <row r="30577" spans="2:2" ht="12.75" customHeight="1" x14ac:dyDescent="0.2">
      <c r="B30577" s="43"/>
    </row>
    <row r="30578" spans="2:2" ht="12.75" customHeight="1" x14ac:dyDescent="0.2">
      <c r="B30578" s="43"/>
    </row>
    <row r="30579" spans="2:2" ht="12.75" customHeight="1" x14ac:dyDescent="0.2">
      <c r="B30579" s="43"/>
    </row>
    <row r="30580" spans="2:2" ht="12.75" customHeight="1" x14ac:dyDescent="0.2">
      <c r="B30580" s="43"/>
    </row>
    <row r="30581" spans="2:2" ht="12.75" customHeight="1" x14ac:dyDescent="0.2">
      <c r="B30581" s="43"/>
    </row>
    <row r="30582" spans="2:2" ht="12.75" customHeight="1" x14ac:dyDescent="0.2">
      <c r="B30582" s="43"/>
    </row>
    <row r="30583" spans="2:2" ht="12.75" customHeight="1" x14ac:dyDescent="0.2">
      <c r="B30583" s="43"/>
    </row>
    <row r="30584" spans="2:2" ht="12.75" customHeight="1" x14ac:dyDescent="0.2">
      <c r="B30584" s="43"/>
    </row>
    <row r="30585" spans="2:2" ht="12.75" customHeight="1" x14ac:dyDescent="0.2">
      <c r="B30585" s="43"/>
    </row>
    <row r="30586" spans="2:2" ht="12.75" customHeight="1" x14ac:dyDescent="0.2">
      <c r="B30586" s="43"/>
    </row>
    <row r="30587" spans="2:2" ht="12.75" customHeight="1" x14ac:dyDescent="0.2">
      <c r="B30587" s="43"/>
    </row>
    <row r="30588" spans="2:2" ht="12.75" customHeight="1" x14ac:dyDescent="0.2">
      <c r="B30588" s="43"/>
    </row>
    <row r="30589" spans="2:2" ht="12.75" customHeight="1" x14ac:dyDescent="0.2">
      <c r="B30589" s="43"/>
    </row>
    <row r="30590" spans="2:2" ht="12.75" customHeight="1" x14ac:dyDescent="0.2">
      <c r="B30590" s="43"/>
    </row>
    <row r="30591" spans="2:2" ht="12.75" customHeight="1" x14ac:dyDescent="0.2">
      <c r="B30591" s="43"/>
    </row>
    <row r="30592" spans="2:2" ht="12.75" customHeight="1" x14ac:dyDescent="0.2">
      <c r="B30592" s="43"/>
    </row>
    <row r="30593" spans="2:2" ht="12.75" customHeight="1" x14ac:dyDescent="0.2">
      <c r="B30593" s="43"/>
    </row>
    <row r="30594" spans="2:2" ht="12.75" customHeight="1" x14ac:dyDescent="0.2">
      <c r="B30594" s="43"/>
    </row>
    <row r="30595" spans="2:2" ht="12.75" customHeight="1" x14ac:dyDescent="0.2">
      <c r="B30595" s="43"/>
    </row>
    <row r="30596" spans="2:2" ht="12.75" customHeight="1" x14ac:dyDescent="0.2">
      <c r="B30596" s="43"/>
    </row>
    <row r="30597" spans="2:2" ht="12.75" customHeight="1" x14ac:dyDescent="0.2">
      <c r="B30597" s="43"/>
    </row>
    <row r="30598" spans="2:2" ht="12.75" customHeight="1" x14ac:dyDescent="0.2">
      <c r="B30598" s="43"/>
    </row>
    <row r="30599" spans="2:2" ht="12.75" customHeight="1" x14ac:dyDescent="0.2">
      <c r="B30599" s="43"/>
    </row>
    <row r="30600" spans="2:2" ht="12.75" customHeight="1" x14ac:dyDescent="0.2">
      <c r="B30600" s="43"/>
    </row>
    <row r="30601" spans="2:2" ht="12.75" customHeight="1" x14ac:dyDescent="0.2">
      <c r="B30601" s="43"/>
    </row>
    <row r="30602" spans="2:2" ht="12.75" customHeight="1" x14ac:dyDescent="0.2">
      <c r="B30602" s="43"/>
    </row>
    <row r="30603" spans="2:2" ht="12.75" customHeight="1" x14ac:dyDescent="0.2">
      <c r="B30603" s="43"/>
    </row>
    <row r="30604" spans="2:2" ht="12.75" customHeight="1" x14ac:dyDescent="0.2">
      <c r="B30604" s="43"/>
    </row>
    <row r="30605" spans="2:2" ht="12.75" customHeight="1" x14ac:dyDescent="0.2">
      <c r="B30605" s="43"/>
    </row>
    <row r="30606" spans="2:2" ht="12.75" customHeight="1" x14ac:dyDescent="0.2">
      <c r="B30606" s="43"/>
    </row>
    <row r="30607" spans="2:2" ht="12.75" customHeight="1" x14ac:dyDescent="0.2">
      <c r="B30607" s="43"/>
    </row>
    <row r="30608" spans="2:2" ht="12.75" customHeight="1" x14ac:dyDescent="0.2">
      <c r="B30608" s="43"/>
    </row>
    <row r="30609" spans="2:2" ht="12.75" customHeight="1" x14ac:dyDescent="0.2">
      <c r="B30609" s="43"/>
    </row>
    <row r="30610" spans="2:2" ht="12.75" customHeight="1" x14ac:dyDescent="0.2">
      <c r="B30610" s="43"/>
    </row>
    <row r="30611" spans="2:2" ht="12.75" customHeight="1" x14ac:dyDescent="0.2">
      <c r="B30611" s="43"/>
    </row>
    <row r="30612" spans="2:2" ht="12.75" customHeight="1" x14ac:dyDescent="0.2">
      <c r="B30612" s="43"/>
    </row>
    <row r="30613" spans="2:2" ht="12.75" customHeight="1" x14ac:dyDescent="0.2">
      <c r="B30613" s="43"/>
    </row>
    <row r="30614" spans="2:2" ht="12.75" customHeight="1" x14ac:dyDescent="0.2">
      <c r="B30614" s="43"/>
    </row>
    <row r="30615" spans="2:2" ht="12.75" customHeight="1" x14ac:dyDescent="0.2">
      <c r="B30615" s="43"/>
    </row>
    <row r="30616" spans="2:2" ht="12.75" customHeight="1" x14ac:dyDescent="0.2">
      <c r="B30616" s="43"/>
    </row>
    <row r="30617" spans="2:2" ht="12.75" customHeight="1" x14ac:dyDescent="0.2">
      <c r="B30617" s="43"/>
    </row>
    <row r="30618" spans="2:2" ht="12.75" customHeight="1" x14ac:dyDescent="0.2">
      <c r="B30618" s="43"/>
    </row>
    <row r="30619" spans="2:2" ht="12.75" customHeight="1" x14ac:dyDescent="0.2">
      <c r="B30619" s="43"/>
    </row>
    <row r="30620" spans="2:2" ht="12.75" customHeight="1" x14ac:dyDescent="0.2">
      <c r="B30620" s="43"/>
    </row>
    <row r="30621" spans="2:2" ht="12.75" customHeight="1" x14ac:dyDescent="0.2">
      <c r="B30621" s="43"/>
    </row>
    <row r="30622" spans="2:2" ht="12.75" customHeight="1" x14ac:dyDescent="0.2">
      <c r="B30622" s="43"/>
    </row>
    <row r="30623" spans="2:2" ht="12.75" customHeight="1" x14ac:dyDescent="0.2">
      <c r="B30623" s="43"/>
    </row>
    <row r="30624" spans="2:2" ht="12.75" customHeight="1" x14ac:dyDescent="0.2">
      <c r="B30624" s="43"/>
    </row>
    <row r="30625" spans="2:2" ht="12.75" customHeight="1" x14ac:dyDescent="0.2">
      <c r="B30625" s="43"/>
    </row>
    <row r="30626" spans="2:2" ht="12.75" customHeight="1" x14ac:dyDescent="0.2">
      <c r="B30626" s="43"/>
    </row>
    <row r="30627" spans="2:2" ht="12.75" customHeight="1" x14ac:dyDescent="0.2">
      <c r="B30627" s="43"/>
    </row>
    <row r="30628" spans="2:2" ht="12.75" customHeight="1" x14ac:dyDescent="0.2">
      <c r="B30628" s="43"/>
    </row>
    <row r="30629" spans="2:2" ht="12.75" customHeight="1" x14ac:dyDescent="0.2">
      <c r="B30629" s="43"/>
    </row>
    <row r="30630" spans="2:2" ht="12.75" customHeight="1" x14ac:dyDescent="0.2">
      <c r="B30630" s="43"/>
    </row>
    <row r="30631" spans="2:2" ht="12.75" customHeight="1" x14ac:dyDescent="0.2">
      <c r="B30631" s="43"/>
    </row>
    <row r="30632" spans="2:2" ht="12.75" customHeight="1" x14ac:dyDescent="0.2">
      <c r="B30632" s="43"/>
    </row>
    <row r="30633" spans="2:2" ht="12.75" customHeight="1" x14ac:dyDescent="0.2">
      <c r="B30633" s="43"/>
    </row>
    <row r="30634" spans="2:2" ht="12.75" customHeight="1" x14ac:dyDescent="0.2">
      <c r="B30634" s="43"/>
    </row>
    <row r="30635" spans="2:2" ht="12.75" customHeight="1" x14ac:dyDescent="0.2">
      <c r="B30635" s="43"/>
    </row>
    <row r="30636" spans="2:2" ht="12.75" customHeight="1" x14ac:dyDescent="0.2">
      <c r="B30636" s="43"/>
    </row>
    <row r="30637" spans="2:2" ht="12.75" customHeight="1" x14ac:dyDescent="0.2">
      <c r="B30637" s="43"/>
    </row>
    <row r="30638" spans="2:2" ht="12.75" customHeight="1" x14ac:dyDescent="0.2">
      <c r="B30638" s="43"/>
    </row>
    <row r="30639" spans="2:2" ht="12.75" customHeight="1" x14ac:dyDescent="0.2">
      <c r="B30639" s="43"/>
    </row>
    <row r="30640" spans="2:2" ht="12.75" customHeight="1" x14ac:dyDescent="0.2">
      <c r="B30640" s="43"/>
    </row>
    <row r="30641" spans="2:2" ht="12.75" customHeight="1" x14ac:dyDescent="0.2">
      <c r="B30641" s="43"/>
    </row>
    <row r="30642" spans="2:2" ht="12.75" customHeight="1" x14ac:dyDescent="0.2">
      <c r="B30642" s="43"/>
    </row>
    <row r="30643" spans="2:2" ht="12.75" customHeight="1" x14ac:dyDescent="0.2">
      <c r="B30643" s="43"/>
    </row>
    <row r="30644" spans="2:2" ht="12.75" customHeight="1" x14ac:dyDescent="0.2">
      <c r="B30644" s="43"/>
    </row>
    <row r="30645" spans="2:2" ht="12.75" customHeight="1" x14ac:dyDescent="0.2">
      <c r="B30645" s="43"/>
    </row>
    <row r="30646" spans="2:2" ht="12.75" customHeight="1" x14ac:dyDescent="0.2">
      <c r="B30646" s="43"/>
    </row>
    <row r="30647" spans="2:2" ht="12.75" customHeight="1" x14ac:dyDescent="0.2">
      <c r="B30647" s="43"/>
    </row>
    <row r="30648" spans="2:2" ht="12.75" customHeight="1" x14ac:dyDescent="0.2">
      <c r="B30648" s="43"/>
    </row>
    <row r="30649" spans="2:2" ht="12.75" customHeight="1" x14ac:dyDescent="0.2">
      <c r="B30649" s="43"/>
    </row>
    <row r="30650" spans="2:2" ht="12.75" customHeight="1" x14ac:dyDescent="0.2">
      <c r="B30650" s="43"/>
    </row>
    <row r="30651" spans="2:2" ht="12.75" customHeight="1" x14ac:dyDescent="0.2">
      <c r="B30651" s="43"/>
    </row>
    <row r="30652" spans="2:2" ht="12.75" customHeight="1" x14ac:dyDescent="0.2">
      <c r="B30652" s="43"/>
    </row>
    <row r="30653" spans="2:2" ht="12.75" customHeight="1" x14ac:dyDescent="0.2">
      <c r="B30653" s="43"/>
    </row>
    <row r="30654" spans="2:2" ht="12.75" customHeight="1" x14ac:dyDescent="0.2">
      <c r="B30654" s="43"/>
    </row>
    <row r="30655" spans="2:2" ht="12.75" customHeight="1" x14ac:dyDescent="0.2">
      <c r="B30655" s="43"/>
    </row>
    <row r="30656" spans="2:2" ht="12.75" customHeight="1" x14ac:dyDescent="0.2">
      <c r="B30656" s="43"/>
    </row>
    <row r="30657" spans="2:2" ht="12.75" customHeight="1" x14ac:dyDescent="0.2">
      <c r="B30657" s="43"/>
    </row>
    <row r="30658" spans="2:2" ht="12.75" customHeight="1" x14ac:dyDescent="0.2">
      <c r="B30658" s="43"/>
    </row>
    <row r="30659" spans="2:2" ht="12.75" customHeight="1" x14ac:dyDescent="0.2">
      <c r="B30659" s="43"/>
    </row>
    <row r="30660" spans="2:2" ht="12.75" customHeight="1" x14ac:dyDescent="0.2">
      <c r="B30660" s="43"/>
    </row>
    <row r="30661" spans="2:2" ht="12.75" customHeight="1" x14ac:dyDescent="0.2">
      <c r="B30661" s="43"/>
    </row>
    <row r="30662" spans="2:2" ht="12.75" customHeight="1" x14ac:dyDescent="0.2">
      <c r="B30662" s="43"/>
    </row>
    <row r="30663" spans="2:2" ht="12.75" customHeight="1" x14ac:dyDescent="0.2">
      <c r="B30663" s="43"/>
    </row>
    <row r="30664" spans="2:2" ht="12.75" customHeight="1" x14ac:dyDescent="0.2">
      <c r="B30664" s="43"/>
    </row>
    <row r="30665" spans="2:2" ht="12.75" customHeight="1" x14ac:dyDescent="0.2">
      <c r="B30665" s="43"/>
    </row>
    <row r="30666" spans="2:2" ht="12.75" customHeight="1" x14ac:dyDescent="0.2">
      <c r="B30666" s="43"/>
    </row>
    <row r="30667" spans="2:2" ht="12.75" customHeight="1" x14ac:dyDescent="0.2">
      <c r="B30667" s="43"/>
    </row>
    <row r="30668" spans="2:2" ht="12.75" customHeight="1" x14ac:dyDescent="0.2">
      <c r="B30668" s="43"/>
    </row>
    <row r="30669" spans="2:2" ht="12.75" customHeight="1" x14ac:dyDescent="0.2">
      <c r="B30669" s="43"/>
    </row>
    <row r="30670" spans="2:2" ht="12.75" customHeight="1" x14ac:dyDescent="0.2">
      <c r="B30670" s="43"/>
    </row>
    <row r="30671" spans="2:2" ht="12.75" customHeight="1" x14ac:dyDescent="0.2">
      <c r="B30671" s="43"/>
    </row>
    <row r="30672" spans="2:2" ht="12.75" customHeight="1" x14ac:dyDescent="0.2">
      <c r="B30672" s="43"/>
    </row>
    <row r="30673" spans="2:2" ht="12.75" customHeight="1" x14ac:dyDescent="0.2">
      <c r="B30673" s="43"/>
    </row>
    <row r="30674" spans="2:2" ht="12.75" customHeight="1" x14ac:dyDescent="0.2">
      <c r="B30674" s="43"/>
    </row>
    <row r="30675" spans="2:2" ht="12.75" customHeight="1" x14ac:dyDescent="0.2">
      <c r="B30675" s="43"/>
    </row>
    <row r="30676" spans="2:2" ht="12.75" customHeight="1" x14ac:dyDescent="0.2">
      <c r="B30676" s="43"/>
    </row>
    <row r="30677" spans="2:2" ht="12.75" customHeight="1" x14ac:dyDescent="0.2">
      <c r="B30677" s="43"/>
    </row>
    <row r="30678" spans="2:2" ht="12.75" customHeight="1" x14ac:dyDescent="0.2">
      <c r="B30678" s="43"/>
    </row>
    <row r="30679" spans="2:2" ht="12.75" customHeight="1" x14ac:dyDescent="0.2">
      <c r="B30679" s="43"/>
    </row>
    <row r="30680" spans="2:2" ht="12.75" customHeight="1" x14ac:dyDescent="0.2">
      <c r="B30680" s="43"/>
    </row>
    <row r="30681" spans="2:2" ht="12.75" customHeight="1" x14ac:dyDescent="0.2">
      <c r="B30681" s="43"/>
    </row>
    <row r="30682" spans="2:2" ht="12.75" customHeight="1" x14ac:dyDescent="0.2">
      <c r="B30682" s="43"/>
    </row>
    <row r="30683" spans="2:2" ht="12.75" customHeight="1" x14ac:dyDescent="0.2">
      <c r="B30683" s="43"/>
    </row>
    <row r="30684" spans="2:2" ht="12.75" customHeight="1" x14ac:dyDescent="0.2">
      <c r="B30684" s="43"/>
    </row>
    <row r="30685" spans="2:2" ht="12.75" customHeight="1" x14ac:dyDescent="0.2">
      <c r="B30685" s="43"/>
    </row>
    <row r="30686" spans="2:2" ht="12.75" customHeight="1" x14ac:dyDescent="0.2">
      <c r="B30686" s="43"/>
    </row>
    <row r="30687" spans="2:2" ht="12.75" customHeight="1" x14ac:dyDescent="0.2">
      <c r="B30687" s="43"/>
    </row>
    <row r="30688" spans="2:2" ht="12.75" customHeight="1" x14ac:dyDescent="0.2">
      <c r="B30688" s="43"/>
    </row>
    <row r="30689" spans="2:2" ht="12.75" customHeight="1" x14ac:dyDescent="0.2">
      <c r="B30689" s="43"/>
    </row>
    <row r="30690" spans="2:2" ht="12.75" customHeight="1" x14ac:dyDescent="0.2">
      <c r="B30690" s="43"/>
    </row>
    <row r="30691" spans="2:2" ht="12.75" customHeight="1" x14ac:dyDescent="0.2">
      <c r="B30691" s="43"/>
    </row>
    <row r="30692" spans="2:2" ht="12.75" customHeight="1" x14ac:dyDescent="0.2">
      <c r="B30692" s="43"/>
    </row>
    <row r="30693" spans="2:2" ht="12.75" customHeight="1" x14ac:dyDescent="0.2">
      <c r="B30693" s="43"/>
    </row>
    <row r="30694" spans="2:2" ht="12.75" customHeight="1" x14ac:dyDescent="0.2">
      <c r="B30694" s="43"/>
    </row>
    <row r="30695" spans="2:2" ht="12.75" customHeight="1" x14ac:dyDescent="0.2">
      <c r="B30695" s="43"/>
    </row>
    <row r="30696" spans="2:2" ht="12.75" customHeight="1" x14ac:dyDescent="0.2">
      <c r="B30696" s="43"/>
    </row>
    <row r="30697" spans="2:2" ht="12.75" customHeight="1" x14ac:dyDescent="0.2">
      <c r="B30697" s="43"/>
    </row>
    <row r="30698" spans="2:2" ht="12.75" customHeight="1" x14ac:dyDescent="0.2">
      <c r="B30698" s="43"/>
    </row>
    <row r="30699" spans="2:2" ht="12.75" customHeight="1" x14ac:dyDescent="0.2">
      <c r="B30699" s="43"/>
    </row>
    <row r="30700" spans="2:2" ht="12.75" customHeight="1" x14ac:dyDescent="0.2">
      <c r="B30700" s="43"/>
    </row>
    <row r="30701" spans="2:2" ht="12.75" customHeight="1" x14ac:dyDescent="0.2">
      <c r="B30701" s="43"/>
    </row>
    <row r="30702" spans="2:2" ht="12.75" customHeight="1" x14ac:dyDescent="0.2">
      <c r="B30702" s="43"/>
    </row>
    <row r="30703" spans="2:2" ht="12.75" customHeight="1" x14ac:dyDescent="0.2">
      <c r="B30703" s="43"/>
    </row>
    <row r="30704" spans="2:2" ht="12.75" customHeight="1" x14ac:dyDescent="0.2">
      <c r="B30704" s="43"/>
    </row>
    <row r="30705" spans="2:2" ht="12.75" customHeight="1" x14ac:dyDescent="0.2">
      <c r="B30705" s="43"/>
    </row>
    <row r="30706" spans="2:2" ht="12.75" customHeight="1" x14ac:dyDescent="0.2">
      <c r="B30706" s="43"/>
    </row>
    <row r="30707" spans="2:2" ht="12.75" customHeight="1" x14ac:dyDescent="0.2">
      <c r="B30707" s="43"/>
    </row>
    <row r="30708" spans="2:2" ht="12.75" customHeight="1" x14ac:dyDescent="0.2">
      <c r="B30708" s="43"/>
    </row>
    <row r="30709" spans="2:2" ht="12.75" customHeight="1" x14ac:dyDescent="0.2">
      <c r="B30709" s="43"/>
    </row>
    <row r="30710" spans="2:2" ht="12.75" customHeight="1" x14ac:dyDescent="0.2">
      <c r="B30710" s="43"/>
    </row>
    <row r="30711" spans="2:2" ht="12.75" customHeight="1" x14ac:dyDescent="0.2">
      <c r="B30711" s="43"/>
    </row>
    <row r="30712" spans="2:2" ht="12.75" customHeight="1" x14ac:dyDescent="0.2">
      <c r="B30712" s="43"/>
    </row>
    <row r="30713" spans="2:2" ht="12.75" customHeight="1" x14ac:dyDescent="0.2">
      <c r="B30713" s="43"/>
    </row>
    <row r="30714" spans="2:2" ht="12.75" customHeight="1" x14ac:dyDescent="0.2">
      <c r="B30714" s="43"/>
    </row>
    <row r="30715" spans="2:2" ht="12.75" customHeight="1" x14ac:dyDescent="0.2">
      <c r="B30715" s="43"/>
    </row>
    <row r="30716" spans="2:2" ht="12.75" customHeight="1" x14ac:dyDescent="0.2">
      <c r="B30716" s="43"/>
    </row>
    <row r="30717" spans="2:2" ht="12.75" customHeight="1" x14ac:dyDescent="0.2">
      <c r="B30717" s="43"/>
    </row>
    <row r="30718" spans="2:2" ht="12.75" customHeight="1" x14ac:dyDescent="0.2">
      <c r="B30718" s="43"/>
    </row>
    <row r="30719" spans="2:2" ht="12.75" customHeight="1" x14ac:dyDescent="0.2">
      <c r="B30719" s="43"/>
    </row>
    <row r="30720" spans="2:2" ht="12.75" customHeight="1" x14ac:dyDescent="0.2">
      <c r="B30720" s="43"/>
    </row>
    <row r="30721" spans="2:2" ht="12.75" customHeight="1" x14ac:dyDescent="0.2">
      <c r="B30721" s="43"/>
    </row>
    <row r="30722" spans="2:2" ht="12.75" customHeight="1" x14ac:dyDescent="0.2">
      <c r="B30722" s="43"/>
    </row>
    <row r="30723" spans="2:2" ht="12.75" customHeight="1" x14ac:dyDescent="0.2">
      <c r="B30723" s="43"/>
    </row>
    <row r="30724" spans="2:2" ht="12.75" customHeight="1" x14ac:dyDescent="0.2">
      <c r="B30724" s="43"/>
    </row>
    <row r="30725" spans="2:2" ht="12.75" customHeight="1" x14ac:dyDescent="0.2">
      <c r="B30725" s="43"/>
    </row>
    <row r="30726" spans="2:2" ht="12.75" customHeight="1" x14ac:dyDescent="0.2">
      <c r="B30726" s="43"/>
    </row>
    <row r="30727" spans="2:2" ht="12.75" customHeight="1" x14ac:dyDescent="0.2">
      <c r="B30727" s="43"/>
    </row>
    <row r="30728" spans="2:2" ht="12.75" customHeight="1" x14ac:dyDescent="0.2">
      <c r="B30728" s="43"/>
    </row>
    <row r="30729" spans="2:2" ht="12.75" customHeight="1" x14ac:dyDescent="0.2">
      <c r="B30729" s="43"/>
    </row>
    <row r="30730" spans="2:2" ht="12.75" customHeight="1" x14ac:dyDescent="0.2">
      <c r="B30730" s="43"/>
    </row>
    <row r="30731" spans="2:2" ht="12.75" customHeight="1" x14ac:dyDescent="0.2">
      <c r="B30731" s="43"/>
    </row>
    <row r="30732" spans="2:2" ht="12.75" customHeight="1" x14ac:dyDescent="0.2">
      <c r="B30732" s="43"/>
    </row>
    <row r="30733" spans="2:2" ht="12.75" customHeight="1" x14ac:dyDescent="0.2">
      <c r="B30733" s="43"/>
    </row>
    <row r="30734" spans="2:2" ht="12.75" customHeight="1" x14ac:dyDescent="0.2">
      <c r="B30734" s="43"/>
    </row>
    <row r="30735" spans="2:2" ht="12.75" customHeight="1" x14ac:dyDescent="0.2">
      <c r="B30735" s="43"/>
    </row>
    <row r="30736" spans="2:2" ht="12.75" customHeight="1" x14ac:dyDescent="0.2">
      <c r="B30736" s="43"/>
    </row>
    <row r="30737" spans="2:2" ht="12.75" customHeight="1" x14ac:dyDescent="0.2">
      <c r="B30737" s="43"/>
    </row>
    <row r="30738" spans="2:2" ht="12.75" customHeight="1" x14ac:dyDescent="0.2">
      <c r="B30738" s="43"/>
    </row>
    <row r="30739" spans="2:2" ht="12.75" customHeight="1" x14ac:dyDescent="0.2">
      <c r="B30739" s="43"/>
    </row>
    <row r="30740" spans="2:2" ht="12.75" customHeight="1" x14ac:dyDescent="0.2">
      <c r="B30740" s="43"/>
    </row>
    <row r="30741" spans="2:2" ht="12.75" customHeight="1" x14ac:dyDescent="0.2">
      <c r="B30741" s="43"/>
    </row>
    <row r="30742" spans="2:2" ht="12.75" customHeight="1" x14ac:dyDescent="0.2">
      <c r="B30742" s="43"/>
    </row>
    <row r="30743" spans="2:2" ht="12.75" customHeight="1" x14ac:dyDescent="0.2">
      <c r="B30743" s="43"/>
    </row>
    <row r="30744" spans="2:2" ht="12.75" customHeight="1" x14ac:dyDescent="0.2">
      <c r="B30744" s="43"/>
    </row>
    <row r="30745" spans="2:2" ht="12.75" customHeight="1" x14ac:dyDescent="0.2">
      <c r="B30745" s="43"/>
    </row>
    <row r="30746" spans="2:2" ht="12.75" customHeight="1" x14ac:dyDescent="0.2">
      <c r="B30746" s="43"/>
    </row>
    <row r="30747" spans="2:2" ht="12.75" customHeight="1" x14ac:dyDescent="0.2">
      <c r="B30747" s="43"/>
    </row>
    <row r="30748" spans="2:2" ht="12.75" customHeight="1" x14ac:dyDescent="0.2">
      <c r="B30748" s="43"/>
    </row>
    <row r="30749" spans="2:2" ht="12.75" customHeight="1" x14ac:dyDescent="0.2">
      <c r="B30749" s="43"/>
    </row>
    <row r="30750" spans="2:2" ht="12.75" customHeight="1" x14ac:dyDescent="0.2">
      <c r="B30750" s="43"/>
    </row>
    <row r="30751" spans="2:2" ht="12.75" customHeight="1" x14ac:dyDescent="0.2">
      <c r="B30751" s="43"/>
    </row>
    <row r="30752" spans="2:2" ht="12.75" customHeight="1" x14ac:dyDescent="0.2">
      <c r="B30752" s="43"/>
    </row>
    <row r="30753" spans="2:2" ht="12.75" customHeight="1" x14ac:dyDescent="0.2">
      <c r="B30753" s="43"/>
    </row>
    <row r="30754" spans="2:2" ht="12.75" customHeight="1" x14ac:dyDescent="0.2">
      <c r="B30754" s="43"/>
    </row>
    <row r="30755" spans="2:2" ht="12.75" customHeight="1" x14ac:dyDescent="0.2">
      <c r="B30755" s="43"/>
    </row>
    <row r="30756" spans="2:2" ht="12.75" customHeight="1" x14ac:dyDescent="0.2">
      <c r="B30756" s="43"/>
    </row>
    <row r="30757" spans="2:2" ht="12.75" customHeight="1" x14ac:dyDescent="0.2">
      <c r="B30757" s="43"/>
    </row>
    <row r="30758" spans="2:2" ht="12.75" customHeight="1" x14ac:dyDescent="0.2">
      <c r="B30758" s="43"/>
    </row>
    <row r="30759" spans="2:2" ht="12.75" customHeight="1" x14ac:dyDescent="0.2">
      <c r="B30759" s="43"/>
    </row>
    <row r="30760" spans="2:2" ht="12.75" customHeight="1" x14ac:dyDescent="0.2">
      <c r="B30760" s="43"/>
    </row>
    <row r="30761" spans="2:2" ht="12.75" customHeight="1" x14ac:dyDescent="0.2">
      <c r="B30761" s="43"/>
    </row>
    <row r="30762" spans="2:2" ht="12.75" customHeight="1" x14ac:dyDescent="0.2">
      <c r="B30762" s="43"/>
    </row>
    <row r="30763" spans="2:2" ht="12.75" customHeight="1" x14ac:dyDescent="0.2">
      <c r="B30763" s="43"/>
    </row>
    <row r="30764" spans="2:2" ht="12.75" customHeight="1" x14ac:dyDescent="0.2">
      <c r="B30764" s="43"/>
    </row>
    <row r="30765" spans="2:2" ht="12.75" customHeight="1" x14ac:dyDescent="0.2">
      <c r="B30765" s="43"/>
    </row>
    <row r="30766" spans="2:2" ht="12.75" customHeight="1" x14ac:dyDescent="0.2">
      <c r="B30766" s="43"/>
    </row>
    <row r="30767" spans="2:2" ht="12.75" customHeight="1" x14ac:dyDescent="0.2">
      <c r="B30767" s="43"/>
    </row>
    <row r="30768" spans="2:2" ht="12.75" customHeight="1" x14ac:dyDescent="0.2">
      <c r="B30768" s="43"/>
    </row>
    <row r="30769" spans="2:2" ht="12.75" customHeight="1" x14ac:dyDescent="0.2">
      <c r="B30769" s="43"/>
    </row>
    <row r="30770" spans="2:2" ht="12.75" customHeight="1" x14ac:dyDescent="0.2">
      <c r="B30770" s="43"/>
    </row>
    <row r="30771" spans="2:2" ht="12.75" customHeight="1" x14ac:dyDescent="0.2">
      <c r="B30771" s="43"/>
    </row>
    <row r="30772" spans="2:2" ht="12.75" customHeight="1" x14ac:dyDescent="0.2">
      <c r="B30772" s="43"/>
    </row>
    <row r="30773" spans="2:2" ht="12.75" customHeight="1" x14ac:dyDescent="0.2">
      <c r="B30773" s="43"/>
    </row>
    <row r="30774" spans="2:2" ht="12.75" customHeight="1" x14ac:dyDescent="0.2">
      <c r="B30774" s="43"/>
    </row>
    <row r="30775" spans="2:2" ht="12.75" customHeight="1" x14ac:dyDescent="0.2">
      <c r="B30775" s="43"/>
    </row>
    <row r="30776" spans="2:2" ht="12.75" customHeight="1" x14ac:dyDescent="0.2">
      <c r="B30776" s="43"/>
    </row>
    <row r="30777" spans="2:2" ht="12.75" customHeight="1" x14ac:dyDescent="0.2">
      <c r="B30777" s="43"/>
    </row>
    <row r="30778" spans="2:2" ht="12.75" customHeight="1" x14ac:dyDescent="0.2">
      <c r="B30778" s="43"/>
    </row>
    <row r="30779" spans="2:2" ht="12.75" customHeight="1" x14ac:dyDescent="0.2">
      <c r="B30779" s="43"/>
    </row>
    <row r="30780" spans="2:2" ht="12.75" customHeight="1" x14ac:dyDescent="0.2">
      <c r="B30780" s="43"/>
    </row>
    <row r="30781" spans="2:2" ht="12.75" customHeight="1" x14ac:dyDescent="0.2">
      <c r="B30781" s="43"/>
    </row>
    <row r="30782" spans="2:2" ht="12.75" customHeight="1" x14ac:dyDescent="0.2">
      <c r="B30782" s="43"/>
    </row>
    <row r="30783" spans="2:2" ht="12.75" customHeight="1" x14ac:dyDescent="0.2">
      <c r="B30783" s="43"/>
    </row>
    <row r="30784" spans="2:2" ht="12.75" customHeight="1" x14ac:dyDescent="0.2">
      <c r="B30784" s="43"/>
    </row>
    <row r="30785" spans="2:2" ht="12.75" customHeight="1" x14ac:dyDescent="0.2">
      <c r="B30785" s="43"/>
    </row>
    <row r="30786" spans="2:2" ht="12.75" customHeight="1" x14ac:dyDescent="0.2">
      <c r="B30786" s="43"/>
    </row>
    <row r="30787" spans="2:2" ht="12.75" customHeight="1" x14ac:dyDescent="0.2">
      <c r="B30787" s="43"/>
    </row>
    <row r="30788" spans="2:2" ht="12.75" customHeight="1" x14ac:dyDescent="0.2">
      <c r="B30788" s="43"/>
    </row>
    <row r="30789" spans="2:2" ht="12.75" customHeight="1" x14ac:dyDescent="0.2">
      <c r="B30789" s="43"/>
    </row>
    <row r="30790" spans="2:2" ht="12.75" customHeight="1" x14ac:dyDescent="0.2">
      <c r="B30790" s="43"/>
    </row>
    <row r="30791" spans="2:2" ht="12.75" customHeight="1" x14ac:dyDescent="0.2">
      <c r="B30791" s="43"/>
    </row>
    <row r="30792" spans="2:2" ht="12.75" customHeight="1" x14ac:dyDescent="0.2">
      <c r="B30792" s="43"/>
    </row>
    <row r="30793" spans="2:2" ht="12.75" customHeight="1" x14ac:dyDescent="0.2">
      <c r="B30793" s="43"/>
    </row>
    <row r="30794" spans="2:2" ht="12.75" customHeight="1" x14ac:dyDescent="0.2">
      <c r="B30794" s="43"/>
    </row>
    <row r="30795" spans="2:2" ht="12.75" customHeight="1" x14ac:dyDescent="0.2">
      <c r="B30795" s="43"/>
    </row>
    <row r="30796" spans="2:2" ht="12.75" customHeight="1" x14ac:dyDescent="0.2">
      <c r="B30796" s="43"/>
    </row>
    <row r="30797" spans="2:2" ht="12.75" customHeight="1" x14ac:dyDescent="0.2">
      <c r="B30797" s="43"/>
    </row>
    <row r="30798" spans="2:2" ht="12.75" customHeight="1" x14ac:dyDescent="0.2">
      <c r="B30798" s="43"/>
    </row>
    <row r="30799" spans="2:2" ht="12.75" customHeight="1" x14ac:dyDescent="0.2">
      <c r="B30799" s="43"/>
    </row>
    <row r="30800" spans="2:2" ht="12.75" customHeight="1" x14ac:dyDescent="0.2">
      <c r="B30800" s="43"/>
    </row>
    <row r="30801" spans="2:2" ht="12.75" customHeight="1" x14ac:dyDescent="0.2">
      <c r="B30801" s="43"/>
    </row>
    <row r="30802" spans="2:2" ht="12.75" customHeight="1" x14ac:dyDescent="0.2">
      <c r="B30802" s="43"/>
    </row>
    <row r="30803" spans="2:2" ht="12.75" customHeight="1" x14ac:dyDescent="0.2">
      <c r="B30803" s="43"/>
    </row>
    <row r="30804" spans="2:2" ht="12.75" customHeight="1" x14ac:dyDescent="0.2">
      <c r="B30804" s="43"/>
    </row>
    <row r="30805" spans="2:2" ht="12.75" customHeight="1" x14ac:dyDescent="0.2">
      <c r="B30805" s="43"/>
    </row>
    <row r="30806" spans="2:2" ht="12.75" customHeight="1" x14ac:dyDescent="0.2">
      <c r="B30806" s="43"/>
    </row>
    <row r="30807" spans="2:2" ht="12.75" customHeight="1" x14ac:dyDescent="0.2">
      <c r="B30807" s="43"/>
    </row>
    <row r="30808" spans="2:2" ht="12.75" customHeight="1" x14ac:dyDescent="0.2">
      <c r="B30808" s="43"/>
    </row>
    <row r="30809" spans="2:2" ht="12.75" customHeight="1" x14ac:dyDescent="0.2">
      <c r="B30809" s="43"/>
    </row>
    <row r="30810" spans="2:2" ht="12.75" customHeight="1" x14ac:dyDescent="0.2">
      <c r="B30810" s="43"/>
    </row>
    <row r="30811" spans="2:2" ht="12.75" customHeight="1" x14ac:dyDescent="0.2">
      <c r="B30811" s="43"/>
    </row>
    <row r="30812" spans="2:2" ht="12.75" customHeight="1" x14ac:dyDescent="0.2">
      <c r="B30812" s="43"/>
    </row>
    <row r="30813" spans="2:2" ht="12.75" customHeight="1" x14ac:dyDescent="0.2">
      <c r="B30813" s="43"/>
    </row>
    <row r="30814" spans="2:2" ht="12.75" customHeight="1" x14ac:dyDescent="0.2">
      <c r="B30814" s="43"/>
    </row>
    <row r="30815" spans="2:2" ht="12.75" customHeight="1" x14ac:dyDescent="0.2">
      <c r="B30815" s="43"/>
    </row>
    <row r="30816" spans="2:2" ht="12.75" customHeight="1" x14ac:dyDescent="0.2">
      <c r="B30816" s="43"/>
    </row>
    <row r="30817" spans="2:2" ht="12.75" customHeight="1" x14ac:dyDescent="0.2">
      <c r="B30817" s="43"/>
    </row>
    <row r="30818" spans="2:2" ht="12.75" customHeight="1" x14ac:dyDescent="0.2">
      <c r="B30818" s="43"/>
    </row>
    <row r="30819" spans="2:2" ht="12.75" customHeight="1" x14ac:dyDescent="0.2">
      <c r="B30819" s="43"/>
    </row>
    <row r="30820" spans="2:2" ht="12.75" customHeight="1" x14ac:dyDescent="0.2">
      <c r="B30820" s="43"/>
    </row>
    <row r="30821" spans="2:2" ht="12.75" customHeight="1" x14ac:dyDescent="0.2">
      <c r="B30821" s="43"/>
    </row>
    <row r="30822" spans="2:2" ht="12.75" customHeight="1" x14ac:dyDescent="0.2">
      <c r="B30822" s="43"/>
    </row>
    <row r="30823" spans="2:2" ht="12.75" customHeight="1" x14ac:dyDescent="0.2">
      <c r="B30823" s="43"/>
    </row>
    <row r="30824" spans="2:2" ht="12.75" customHeight="1" x14ac:dyDescent="0.2">
      <c r="B30824" s="43"/>
    </row>
    <row r="30825" spans="2:2" ht="12.75" customHeight="1" x14ac:dyDescent="0.2">
      <c r="B30825" s="43"/>
    </row>
    <row r="30826" spans="2:2" ht="12.75" customHeight="1" x14ac:dyDescent="0.2">
      <c r="B30826" s="43"/>
    </row>
    <row r="30827" spans="2:2" ht="12.75" customHeight="1" x14ac:dyDescent="0.2">
      <c r="B30827" s="43"/>
    </row>
    <row r="30828" spans="2:2" ht="12.75" customHeight="1" x14ac:dyDescent="0.2">
      <c r="B30828" s="43"/>
    </row>
    <row r="30829" spans="2:2" ht="12.75" customHeight="1" x14ac:dyDescent="0.2">
      <c r="B30829" s="43"/>
    </row>
    <row r="30830" spans="2:2" ht="12.75" customHeight="1" x14ac:dyDescent="0.2">
      <c r="B30830" s="43"/>
    </row>
    <row r="30831" spans="2:2" ht="12.75" customHeight="1" x14ac:dyDescent="0.2">
      <c r="B30831" s="43"/>
    </row>
    <row r="30832" spans="2:2" ht="12.75" customHeight="1" x14ac:dyDescent="0.2">
      <c r="B30832" s="43"/>
    </row>
    <row r="30833" spans="2:2" ht="12.75" customHeight="1" x14ac:dyDescent="0.2">
      <c r="B30833" s="43"/>
    </row>
    <row r="30834" spans="2:2" ht="12.75" customHeight="1" x14ac:dyDescent="0.2">
      <c r="B30834" s="43"/>
    </row>
    <row r="30835" spans="2:2" ht="12.75" customHeight="1" x14ac:dyDescent="0.2">
      <c r="B30835" s="43"/>
    </row>
    <row r="30836" spans="2:2" ht="12.75" customHeight="1" x14ac:dyDescent="0.2">
      <c r="B30836" s="43"/>
    </row>
    <row r="30837" spans="2:2" ht="12.75" customHeight="1" x14ac:dyDescent="0.2">
      <c r="B30837" s="43"/>
    </row>
    <row r="30838" spans="2:2" ht="12.75" customHeight="1" x14ac:dyDescent="0.2">
      <c r="B30838" s="43"/>
    </row>
    <row r="30839" spans="2:2" ht="12.75" customHeight="1" x14ac:dyDescent="0.2">
      <c r="B30839" s="43"/>
    </row>
    <row r="30840" spans="2:2" ht="12.75" customHeight="1" x14ac:dyDescent="0.2">
      <c r="B30840" s="43"/>
    </row>
    <row r="30841" spans="2:2" ht="12.75" customHeight="1" x14ac:dyDescent="0.2">
      <c r="B30841" s="43"/>
    </row>
    <row r="30842" spans="2:2" ht="12.75" customHeight="1" x14ac:dyDescent="0.2">
      <c r="B30842" s="43"/>
    </row>
    <row r="30843" spans="2:2" ht="12.75" customHeight="1" x14ac:dyDescent="0.2">
      <c r="B30843" s="43"/>
    </row>
    <row r="30844" spans="2:2" ht="12.75" customHeight="1" x14ac:dyDescent="0.2">
      <c r="B30844" s="43"/>
    </row>
    <row r="30845" spans="2:2" ht="12.75" customHeight="1" x14ac:dyDescent="0.2">
      <c r="B30845" s="43"/>
    </row>
    <row r="30846" spans="2:2" ht="12.75" customHeight="1" x14ac:dyDescent="0.2">
      <c r="B30846" s="43"/>
    </row>
    <row r="30847" spans="2:2" ht="12.75" customHeight="1" x14ac:dyDescent="0.2">
      <c r="B30847" s="43"/>
    </row>
    <row r="30848" spans="2:2" ht="12.75" customHeight="1" x14ac:dyDescent="0.2">
      <c r="B30848" s="43"/>
    </row>
    <row r="30849" spans="2:2" ht="12.75" customHeight="1" x14ac:dyDescent="0.2">
      <c r="B30849" s="43"/>
    </row>
    <row r="30850" spans="2:2" ht="12.75" customHeight="1" x14ac:dyDescent="0.2">
      <c r="B30850" s="43"/>
    </row>
    <row r="30851" spans="2:2" ht="12.75" customHeight="1" x14ac:dyDescent="0.2">
      <c r="B30851" s="43"/>
    </row>
    <row r="30852" spans="2:2" ht="12.75" customHeight="1" x14ac:dyDescent="0.2">
      <c r="B30852" s="43"/>
    </row>
    <row r="30853" spans="2:2" ht="12.75" customHeight="1" x14ac:dyDescent="0.2">
      <c r="B30853" s="43"/>
    </row>
    <row r="30854" spans="2:2" ht="12.75" customHeight="1" x14ac:dyDescent="0.2">
      <c r="B30854" s="43"/>
    </row>
    <row r="30855" spans="2:2" ht="12.75" customHeight="1" x14ac:dyDescent="0.2">
      <c r="B30855" s="43"/>
    </row>
    <row r="30856" spans="2:2" ht="12.75" customHeight="1" x14ac:dyDescent="0.2">
      <c r="B30856" s="43"/>
    </row>
    <row r="30857" spans="2:2" ht="12.75" customHeight="1" x14ac:dyDescent="0.2">
      <c r="B30857" s="43"/>
    </row>
    <row r="30858" spans="2:2" ht="12.75" customHeight="1" x14ac:dyDescent="0.2">
      <c r="B30858" s="43"/>
    </row>
    <row r="30859" spans="2:2" ht="12.75" customHeight="1" x14ac:dyDescent="0.2">
      <c r="B30859" s="43"/>
    </row>
    <row r="30860" spans="2:2" ht="12.75" customHeight="1" x14ac:dyDescent="0.2">
      <c r="B30860" s="43"/>
    </row>
    <row r="30861" spans="2:2" ht="12.75" customHeight="1" x14ac:dyDescent="0.2">
      <c r="B30861" s="43"/>
    </row>
    <row r="30862" spans="2:2" ht="12.75" customHeight="1" x14ac:dyDescent="0.2">
      <c r="B30862" s="43"/>
    </row>
    <row r="30863" spans="2:2" ht="12.75" customHeight="1" x14ac:dyDescent="0.2">
      <c r="B30863" s="43"/>
    </row>
    <row r="30864" spans="2:2" ht="12.75" customHeight="1" x14ac:dyDescent="0.2">
      <c r="B30864" s="43"/>
    </row>
    <row r="30865" spans="2:2" ht="12.75" customHeight="1" x14ac:dyDescent="0.2">
      <c r="B30865" s="43"/>
    </row>
    <row r="30866" spans="2:2" ht="12.75" customHeight="1" x14ac:dyDescent="0.2">
      <c r="B30866" s="43"/>
    </row>
    <row r="30867" spans="2:2" ht="12.75" customHeight="1" x14ac:dyDescent="0.2">
      <c r="B30867" s="43"/>
    </row>
    <row r="30868" spans="2:2" ht="12.75" customHeight="1" x14ac:dyDescent="0.2">
      <c r="B30868" s="43"/>
    </row>
    <row r="30869" spans="2:2" ht="12.75" customHeight="1" x14ac:dyDescent="0.2">
      <c r="B30869" s="43"/>
    </row>
    <row r="30870" spans="2:2" ht="12.75" customHeight="1" x14ac:dyDescent="0.2">
      <c r="B30870" s="43"/>
    </row>
    <row r="30871" spans="2:2" ht="12.75" customHeight="1" x14ac:dyDescent="0.2">
      <c r="B30871" s="43"/>
    </row>
    <row r="30872" spans="2:2" ht="12.75" customHeight="1" x14ac:dyDescent="0.2">
      <c r="B30872" s="43"/>
    </row>
    <row r="30873" spans="2:2" ht="12.75" customHeight="1" x14ac:dyDescent="0.2">
      <c r="B30873" s="43"/>
    </row>
    <row r="30874" spans="2:2" ht="12.75" customHeight="1" x14ac:dyDescent="0.2">
      <c r="B30874" s="43"/>
    </row>
    <row r="30875" spans="2:2" ht="12.75" customHeight="1" x14ac:dyDescent="0.2">
      <c r="B30875" s="43"/>
    </row>
    <row r="30876" spans="2:2" ht="12.75" customHeight="1" x14ac:dyDescent="0.2">
      <c r="B30876" s="43"/>
    </row>
    <row r="30877" spans="2:2" ht="12.75" customHeight="1" x14ac:dyDescent="0.2">
      <c r="B30877" s="43"/>
    </row>
    <row r="30878" spans="2:2" ht="12.75" customHeight="1" x14ac:dyDescent="0.2">
      <c r="B30878" s="43"/>
    </row>
    <row r="30879" spans="2:2" ht="12.75" customHeight="1" x14ac:dyDescent="0.2">
      <c r="B30879" s="43"/>
    </row>
    <row r="30880" spans="2:2" ht="12.75" customHeight="1" x14ac:dyDescent="0.2">
      <c r="B30880" s="43"/>
    </row>
    <row r="30881" spans="2:2" ht="12.75" customHeight="1" x14ac:dyDescent="0.2">
      <c r="B30881" s="43"/>
    </row>
    <row r="30882" spans="2:2" ht="12.75" customHeight="1" x14ac:dyDescent="0.2">
      <c r="B30882" s="43"/>
    </row>
    <row r="30883" spans="2:2" ht="12.75" customHeight="1" x14ac:dyDescent="0.2">
      <c r="B30883" s="43"/>
    </row>
    <row r="30884" spans="2:2" ht="12.75" customHeight="1" x14ac:dyDescent="0.2">
      <c r="B30884" s="43"/>
    </row>
    <row r="30885" spans="2:2" ht="12.75" customHeight="1" x14ac:dyDescent="0.2">
      <c r="B30885" s="43"/>
    </row>
    <row r="30886" spans="2:2" ht="12.75" customHeight="1" x14ac:dyDescent="0.2">
      <c r="B30886" s="43"/>
    </row>
    <row r="30887" spans="2:2" ht="12.75" customHeight="1" x14ac:dyDescent="0.2">
      <c r="B30887" s="43"/>
    </row>
    <row r="30888" spans="2:2" ht="12.75" customHeight="1" x14ac:dyDescent="0.2">
      <c r="B30888" s="43"/>
    </row>
    <row r="30889" spans="2:2" ht="12.75" customHeight="1" x14ac:dyDescent="0.2">
      <c r="B30889" s="43"/>
    </row>
    <row r="30890" spans="2:2" ht="12.75" customHeight="1" x14ac:dyDescent="0.2">
      <c r="B30890" s="43"/>
    </row>
    <row r="30891" spans="2:2" ht="12.75" customHeight="1" x14ac:dyDescent="0.2">
      <c r="B30891" s="43"/>
    </row>
    <row r="30892" spans="2:2" ht="12.75" customHeight="1" x14ac:dyDescent="0.2">
      <c r="B30892" s="43"/>
    </row>
    <row r="30893" spans="2:2" ht="12.75" customHeight="1" x14ac:dyDescent="0.2">
      <c r="B30893" s="43"/>
    </row>
    <row r="30894" spans="2:2" ht="12.75" customHeight="1" x14ac:dyDescent="0.2">
      <c r="B30894" s="43"/>
    </row>
    <row r="30895" spans="2:2" ht="12.75" customHeight="1" x14ac:dyDescent="0.2">
      <c r="B30895" s="43"/>
    </row>
    <row r="30896" spans="2:2" ht="12.75" customHeight="1" x14ac:dyDescent="0.2">
      <c r="B30896" s="43"/>
    </row>
    <row r="30897" spans="2:2" ht="12.75" customHeight="1" x14ac:dyDescent="0.2">
      <c r="B30897" s="43"/>
    </row>
    <row r="30898" spans="2:2" ht="12.75" customHeight="1" x14ac:dyDescent="0.2">
      <c r="B30898" s="43"/>
    </row>
    <row r="30899" spans="2:2" ht="12.75" customHeight="1" x14ac:dyDescent="0.2">
      <c r="B30899" s="43"/>
    </row>
    <row r="30900" spans="2:2" ht="12.75" customHeight="1" x14ac:dyDescent="0.2">
      <c r="B30900" s="43"/>
    </row>
    <row r="30901" spans="2:2" ht="12.75" customHeight="1" x14ac:dyDescent="0.2">
      <c r="B30901" s="43"/>
    </row>
    <row r="30902" spans="2:2" ht="12.75" customHeight="1" x14ac:dyDescent="0.2">
      <c r="B30902" s="43"/>
    </row>
    <row r="30903" spans="2:2" ht="12.75" customHeight="1" x14ac:dyDescent="0.2">
      <c r="B30903" s="43"/>
    </row>
    <row r="30904" spans="2:2" ht="12.75" customHeight="1" x14ac:dyDescent="0.2">
      <c r="B30904" s="43"/>
    </row>
    <row r="30905" spans="2:2" ht="12.75" customHeight="1" x14ac:dyDescent="0.2">
      <c r="B30905" s="43"/>
    </row>
    <row r="30906" spans="2:2" ht="12.75" customHeight="1" x14ac:dyDescent="0.2">
      <c r="B30906" s="43"/>
    </row>
    <row r="30907" spans="2:2" ht="12.75" customHeight="1" x14ac:dyDescent="0.2">
      <c r="B30907" s="43"/>
    </row>
    <row r="30908" spans="2:2" ht="12.75" customHeight="1" x14ac:dyDescent="0.2">
      <c r="B30908" s="43"/>
    </row>
    <row r="30909" spans="2:2" ht="12.75" customHeight="1" x14ac:dyDescent="0.2">
      <c r="B30909" s="43"/>
    </row>
    <row r="30910" spans="2:2" ht="12.75" customHeight="1" x14ac:dyDescent="0.2">
      <c r="B30910" s="43"/>
    </row>
    <row r="30911" spans="2:2" ht="12.75" customHeight="1" x14ac:dyDescent="0.2">
      <c r="B30911" s="43"/>
    </row>
    <row r="30912" spans="2:2" ht="12.75" customHeight="1" x14ac:dyDescent="0.2">
      <c r="B30912" s="43"/>
    </row>
    <row r="30913" spans="2:2" ht="12.75" customHeight="1" x14ac:dyDescent="0.2">
      <c r="B30913" s="43"/>
    </row>
    <row r="30914" spans="2:2" ht="12.75" customHeight="1" x14ac:dyDescent="0.2">
      <c r="B30914" s="43"/>
    </row>
    <row r="30915" spans="2:2" ht="12.75" customHeight="1" x14ac:dyDescent="0.2">
      <c r="B30915" s="43"/>
    </row>
    <row r="30916" spans="2:2" ht="12.75" customHeight="1" x14ac:dyDescent="0.2">
      <c r="B30916" s="43"/>
    </row>
    <row r="30917" spans="2:2" ht="12.75" customHeight="1" x14ac:dyDescent="0.2">
      <c r="B30917" s="43"/>
    </row>
    <row r="30918" spans="2:2" ht="12.75" customHeight="1" x14ac:dyDescent="0.2">
      <c r="B30918" s="43"/>
    </row>
    <row r="30919" spans="2:2" ht="12.75" customHeight="1" x14ac:dyDescent="0.2">
      <c r="B30919" s="43"/>
    </row>
    <row r="30920" spans="2:2" ht="12.75" customHeight="1" x14ac:dyDescent="0.2">
      <c r="B30920" s="43"/>
    </row>
    <row r="30921" spans="2:2" ht="12.75" customHeight="1" x14ac:dyDescent="0.2">
      <c r="B30921" s="43"/>
    </row>
    <row r="30922" spans="2:2" ht="12.75" customHeight="1" x14ac:dyDescent="0.2">
      <c r="B30922" s="43"/>
    </row>
    <row r="30923" spans="2:2" ht="12.75" customHeight="1" x14ac:dyDescent="0.2">
      <c r="B30923" s="43"/>
    </row>
    <row r="30924" spans="2:2" ht="12.75" customHeight="1" x14ac:dyDescent="0.2">
      <c r="B30924" s="43"/>
    </row>
    <row r="30925" spans="2:2" ht="12.75" customHeight="1" x14ac:dyDescent="0.2">
      <c r="B30925" s="43"/>
    </row>
    <row r="30926" spans="2:2" ht="12.75" customHeight="1" x14ac:dyDescent="0.2">
      <c r="B30926" s="43"/>
    </row>
    <row r="30927" spans="2:2" ht="12.75" customHeight="1" x14ac:dyDescent="0.2">
      <c r="B30927" s="43"/>
    </row>
    <row r="30928" spans="2:2" ht="12.75" customHeight="1" x14ac:dyDescent="0.2">
      <c r="B30928" s="43"/>
    </row>
    <row r="30929" spans="2:2" ht="12.75" customHeight="1" x14ac:dyDescent="0.2">
      <c r="B30929" s="43"/>
    </row>
    <row r="30930" spans="2:2" ht="12.75" customHeight="1" x14ac:dyDescent="0.2">
      <c r="B30930" s="43"/>
    </row>
    <row r="30931" spans="2:2" ht="12.75" customHeight="1" x14ac:dyDescent="0.2">
      <c r="B30931" s="43"/>
    </row>
    <row r="30932" spans="2:2" ht="12.75" customHeight="1" x14ac:dyDescent="0.2">
      <c r="B30932" s="43"/>
    </row>
    <row r="30933" spans="2:2" ht="12.75" customHeight="1" x14ac:dyDescent="0.2">
      <c r="B30933" s="43"/>
    </row>
    <row r="30934" spans="2:2" ht="12.75" customHeight="1" x14ac:dyDescent="0.2">
      <c r="B30934" s="43"/>
    </row>
    <row r="30935" spans="2:2" ht="12.75" customHeight="1" x14ac:dyDescent="0.2">
      <c r="B30935" s="43"/>
    </row>
    <row r="30936" spans="2:2" ht="12.75" customHeight="1" x14ac:dyDescent="0.2">
      <c r="B30936" s="43"/>
    </row>
    <row r="30937" spans="2:2" ht="12.75" customHeight="1" x14ac:dyDescent="0.2">
      <c r="B30937" s="43"/>
    </row>
    <row r="30938" spans="2:2" ht="12.75" customHeight="1" x14ac:dyDescent="0.2">
      <c r="B30938" s="43"/>
    </row>
    <row r="30939" spans="2:2" ht="12.75" customHeight="1" x14ac:dyDescent="0.2">
      <c r="B30939" s="43"/>
    </row>
    <row r="30940" spans="2:2" ht="12.75" customHeight="1" x14ac:dyDescent="0.2">
      <c r="B30940" s="43"/>
    </row>
    <row r="30941" spans="2:2" ht="12.75" customHeight="1" x14ac:dyDescent="0.2">
      <c r="B30941" s="43"/>
    </row>
    <row r="30942" spans="2:2" ht="12.75" customHeight="1" x14ac:dyDescent="0.2">
      <c r="B30942" s="43"/>
    </row>
    <row r="30943" spans="2:2" ht="12.75" customHeight="1" x14ac:dyDescent="0.2">
      <c r="B30943" s="43"/>
    </row>
    <row r="30944" spans="2:2" ht="12.75" customHeight="1" x14ac:dyDescent="0.2">
      <c r="B30944" s="43"/>
    </row>
    <row r="30945" spans="2:2" ht="12.75" customHeight="1" x14ac:dyDescent="0.2">
      <c r="B30945" s="43"/>
    </row>
    <row r="30946" spans="2:2" ht="12.75" customHeight="1" x14ac:dyDescent="0.2">
      <c r="B30946" s="43"/>
    </row>
    <row r="30947" spans="2:2" ht="12.75" customHeight="1" x14ac:dyDescent="0.2">
      <c r="B30947" s="43"/>
    </row>
    <row r="30948" spans="2:2" ht="12.75" customHeight="1" x14ac:dyDescent="0.2">
      <c r="B30948" s="43"/>
    </row>
    <row r="30949" spans="2:2" ht="12.75" customHeight="1" x14ac:dyDescent="0.2">
      <c r="B30949" s="43"/>
    </row>
    <row r="30950" spans="2:2" ht="12.75" customHeight="1" x14ac:dyDescent="0.2">
      <c r="B30950" s="43"/>
    </row>
    <row r="30951" spans="2:2" ht="12.75" customHeight="1" x14ac:dyDescent="0.2">
      <c r="B30951" s="43"/>
    </row>
    <row r="30952" spans="2:2" ht="12.75" customHeight="1" x14ac:dyDescent="0.2">
      <c r="B30952" s="43"/>
    </row>
    <row r="30953" spans="2:2" ht="12.75" customHeight="1" x14ac:dyDescent="0.2">
      <c r="B30953" s="43"/>
    </row>
    <row r="30954" spans="2:2" ht="12.75" customHeight="1" x14ac:dyDescent="0.2">
      <c r="B30954" s="43"/>
    </row>
    <row r="30955" spans="2:2" ht="12.75" customHeight="1" x14ac:dyDescent="0.2">
      <c r="B30955" s="43"/>
    </row>
    <row r="30956" spans="2:2" ht="12.75" customHeight="1" x14ac:dyDescent="0.2">
      <c r="B30956" s="43"/>
    </row>
    <row r="30957" spans="2:2" ht="12.75" customHeight="1" x14ac:dyDescent="0.2">
      <c r="B30957" s="43"/>
    </row>
    <row r="30958" spans="2:2" ht="12.75" customHeight="1" x14ac:dyDescent="0.2">
      <c r="B30958" s="43"/>
    </row>
    <row r="30959" spans="2:2" ht="12.75" customHeight="1" x14ac:dyDescent="0.2">
      <c r="B30959" s="43"/>
    </row>
    <row r="30960" spans="2:2" ht="12.75" customHeight="1" x14ac:dyDescent="0.2">
      <c r="B30960" s="43"/>
    </row>
    <row r="30961" spans="2:2" ht="12.75" customHeight="1" x14ac:dyDescent="0.2">
      <c r="B30961" s="43"/>
    </row>
    <row r="30962" spans="2:2" ht="12.75" customHeight="1" x14ac:dyDescent="0.2">
      <c r="B30962" s="43"/>
    </row>
    <row r="30963" spans="2:2" ht="12.75" customHeight="1" x14ac:dyDescent="0.2">
      <c r="B30963" s="43"/>
    </row>
    <row r="30964" spans="2:2" ht="12.75" customHeight="1" x14ac:dyDescent="0.2">
      <c r="B30964" s="43"/>
    </row>
    <row r="30965" spans="2:2" ht="12.75" customHeight="1" x14ac:dyDescent="0.2">
      <c r="B30965" s="43"/>
    </row>
    <row r="30966" spans="2:2" ht="12.75" customHeight="1" x14ac:dyDescent="0.2">
      <c r="B30966" s="43"/>
    </row>
    <row r="30967" spans="2:2" ht="12.75" customHeight="1" x14ac:dyDescent="0.2">
      <c r="B30967" s="43"/>
    </row>
    <row r="30968" spans="2:2" ht="12.75" customHeight="1" x14ac:dyDescent="0.2">
      <c r="B30968" s="43"/>
    </row>
    <row r="30969" spans="2:2" ht="12.75" customHeight="1" x14ac:dyDescent="0.2">
      <c r="B30969" s="43"/>
    </row>
    <row r="30970" spans="2:2" ht="12.75" customHeight="1" x14ac:dyDescent="0.2">
      <c r="B30970" s="43"/>
    </row>
    <row r="30971" spans="2:2" ht="12.75" customHeight="1" x14ac:dyDescent="0.2">
      <c r="B30971" s="43"/>
    </row>
    <row r="30972" spans="2:2" ht="12.75" customHeight="1" x14ac:dyDescent="0.2">
      <c r="B30972" s="43"/>
    </row>
    <row r="30973" spans="2:2" ht="12.75" customHeight="1" x14ac:dyDescent="0.2">
      <c r="B30973" s="43"/>
    </row>
    <row r="30974" spans="2:2" ht="12.75" customHeight="1" x14ac:dyDescent="0.2">
      <c r="B30974" s="43"/>
    </row>
    <row r="30975" spans="2:2" ht="12.75" customHeight="1" x14ac:dyDescent="0.2">
      <c r="B30975" s="43"/>
    </row>
    <row r="30976" spans="2:2" ht="12.75" customHeight="1" x14ac:dyDescent="0.2">
      <c r="B30976" s="43"/>
    </row>
    <row r="30977" spans="2:2" ht="12.75" customHeight="1" x14ac:dyDescent="0.2">
      <c r="B30977" s="43"/>
    </row>
    <row r="30978" spans="2:2" ht="12.75" customHeight="1" x14ac:dyDescent="0.2">
      <c r="B30978" s="43"/>
    </row>
    <row r="30979" spans="2:2" ht="12.75" customHeight="1" x14ac:dyDescent="0.2">
      <c r="B30979" s="43"/>
    </row>
    <row r="30980" spans="2:2" ht="12.75" customHeight="1" x14ac:dyDescent="0.2">
      <c r="B30980" s="43"/>
    </row>
    <row r="30981" spans="2:2" ht="12.75" customHeight="1" x14ac:dyDescent="0.2">
      <c r="B30981" s="43"/>
    </row>
    <row r="30982" spans="2:2" ht="12.75" customHeight="1" x14ac:dyDescent="0.2">
      <c r="B30982" s="43"/>
    </row>
    <row r="30983" spans="2:2" ht="12.75" customHeight="1" x14ac:dyDescent="0.2">
      <c r="B30983" s="43"/>
    </row>
    <row r="30984" spans="2:2" ht="12.75" customHeight="1" x14ac:dyDescent="0.2">
      <c r="B30984" s="43"/>
    </row>
    <row r="30985" spans="2:2" ht="12.75" customHeight="1" x14ac:dyDescent="0.2">
      <c r="B30985" s="43"/>
    </row>
    <row r="30986" spans="2:2" ht="12.75" customHeight="1" x14ac:dyDescent="0.2">
      <c r="B30986" s="43"/>
    </row>
    <row r="30987" spans="2:2" ht="12.75" customHeight="1" x14ac:dyDescent="0.2">
      <c r="B30987" s="43"/>
    </row>
    <row r="30988" spans="2:2" ht="12.75" customHeight="1" x14ac:dyDescent="0.2">
      <c r="B30988" s="43"/>
    </row>
    <row r="30989" spans="2:2" ht="12.75" customHeight="1" x14ac:dyDescent="0.2">
      <c r="B30989" s="43"/>
    </row>
    <row r="30990" spans="2:2" ht="12.75" customHeight="1" x14ac:dyDescent="0.2">
      <c r="B30990" s="43"/>
    </row>
    <row r="30991" spans="2:2" ht="12.75" customHeight="1" x14ac:dyDescent="0.2">
      <c r="B30991" s="43"/>
    </row>
    <row r="30992" spans="2:2" ht="12.75" customHeight="1" x14ac:dyDescent="0.2">
      <c r="B30992" s="43"/>
    </row>
    <row r="30993" spans="2:2" ht="12.75" customHeight="1" x14ac:dyDescent="0.2">
      <c r="B30993" s="43"/>
    </row>
    <row r="30994" spans="2:2" ht="12.75" customHeight="1" x14ac:dyDescent="0.2">
      <c r="B30994" s="43"/>
    </row>
    <row r="30995" spans="2:2" ht="12.75" customHeight="1" x14ac:dyDescent="0.2">
      <c r="B30995" s="43"/>
    </row>
    <row r="30996" spans="2:2" ht="12.75" customHeight="1" x14ac:dyDescent="0.2">
      <c r="B30996" s="43"/>
    </row>
    <row r="30997" spans="2:2" ht="12.75" customHeight="1" x14ac:dyDescent="0.2">
      <c r="B30997" s="43"/>
    </row>
    <row r="30998" spans="2:2" ht="12.75" customHeight="1" x14ac:dyDescent="0.2">
      <c r="B30998" s="43"/>
    </row>
    <row r="30999" spans="2:2" ht="12.75" customHeight="1" x14ac:dyDescent="0.2">
      <c r="B30999" s="43"/>
    </row>
    <row r="31000" spans="2:2" ht="12.75" customHeight="1" x14ac:dyDescent="0.2">
      <c r="B31000" s="43"/>
    </row>
    <row r="31001" spans="2:2" ht="12.75" customHeight="1" x14ac:dyDescent="0.2">
      <c r="B31001" s="43"/>
    </row>
    <row r="31002" spans="2:2" ht="12.75" customHeight="1" x14ac:dyDescent="0.2">
      <c r="B31002" s="43"/>
    </row>
    <row r="31003" spans="2:2" ht="12.75" customHeight="1" x14ac:dyDescent="0.2">
      <c r="B31003" s="43"/>
    </row>
    <row r="31004" spans="2:2" ht="12.75" customHeight="1" x14ac:dyDescent="0.2">
      <c r="B31004" s="43"/>
    </row>
    <row r="31005" spans="2:2" ht="12.75" customHeight="1" x14ac:dyDescent="0.2">
      <c r="B31005" s="43"/>
    </row>
    <row r="31006" spans="2:2" ht="12.75" customHeight="1" x14ac:dyDescent="0.2">
      <c r="B31006" s="43"/>
    </row>
    <row r="31007" spans="2:2" ht="12.75" customHeight="1" x14ac:dyDescent="0.2">
      <c r="B31007" s="43"/>
    </row>
    <row r="31008" spans="2:2" ht="12.75" customHeight="1" x14ac:dyDescent="0.2">
      <c r="B31008" s="43"/>
    </row>
    <row r="31009" spans="2:2" ht="12.75" customHeight="1" x14ac:dyDescent="0.2">
      <c r="B31009" s="43"/>
    </row>
    <row r="31010" spans="2:2" ht="12.75" customHeight="1" x14ac:dyDescent="0.2">
      <c r="B31010" s="43"/>
    </row>
    <row r="31011" spans="2:2" ht="12.75" customHeight="1" x14ac:dyDescent="0.2">
      <c r="B31011" s="43"/>
    </row>
    <row r="31012" spans="2:2" ht="12.75" customHeight="1" x14ac:dyDescent="0.2">
      <c r="B31012" s="43"/>
    </row>
    <row r="31013" spans="2:2" ht="12.75" customHeight="1" x14ac:dyDescent="0.2">
      <c r="B31013" s="43"/>
    </row>
    <row r="31014" spans="2:2" ht="12.75" customHeight="1" x14ac:dyDescent="0.2">
      <c r="B31014" s="43"/>
    </row>
    <row r="31015" spans="2:2" ht="12.75" customHeight="1" x14ac:dyDescent="0.2">
      <c r="B31015" s="43"/>
    </row>
    <row r="31016" spans="2:2" ht="12.75" customHeight="1" x14ac:dyDescent="0.2">
      <c r="B31016" s="43"/>
    </row>
    <row r="31017" spans="2:2" ht="12.75" customHeight="1" x14ac:dyDescent="0.2">
      <c r="B31017" s="43"/>
    </row>
    <row r="31018" spans="2:2" ht="12.75" customHeight="1" x14ac:dyDescent="0.2">
      <c r="B31018" s="43"/>
    </row>
    <row r="31019" spans="2:2" ht="12.75" customHeight="1" x14ac:dyDescent="0.2">
      <c r="B31019" s="43"/>
    </row>
    <row r="31020" spans="2:2" ht="12.75" customHeight="1" x14ac:dyDescent="0.2">
      <c r="B31020" s="43"/>
    </row>
    <row r="31021" spans="2:2" ht="12.75" customHeight="1" x14ac:dyDescent="0.2">
      <c r="B31021" s="43"/>
    </row>
    <row r="31022" spans="2:2" ht="12.75" customHeight="1" x14ac:dyDescent="0.2">
      <c r="B31022" s="43"/>
    </row>
    <row r="31023" spans="2:2" ht="12.75" customHeight="1" x14ac:dyDescent="0.2">
      <c r="B31023" s="43"/>
    </row>
    <row r="31024" spans="2:2" ht="12.75" customHeight="1" x14ac:dyDescent="0.2">
      <c r="B31024" s="43"/>
    </row>
    <row r="31025" spans="2:2" ht="12.75" customHeight="1" x14ac:dyDescent="0.2">
      <c r="B31025" s="43"/>
    </row>
    <row r="31026" spans="2:2" ht="12.75" customHeight="1" x14ac:dyDescent="0.2">
      <c r="B31026" s="43"/>
    </row>
    <row r="31027" spans="2:2" ht="12.75" customHeight="1" x14ac:dyDescent="0.2">
      <c r="B31027" s="43"/>
    </row>
    <row r="31028" spans="2:2" ht="12.75" customHeight="1" x14ac:dyDescent="0.2">
      <c r="B31028" s="43"/>
    </row>
    <row r="31029" spans="2:2" ht="12.75" customHeight="1" x14ac:dyDescent="0.2">
      <c r="B31029" s="43"/>
    </row>
    <row r="31030" spans="2:2" ht="12.75" customHeight="1" x14ac:dyDescent="0.2">
      <c r="B31030" s="43"/>
    </row>
    <row r="31031" spans="2:2" ht="12.75" customHeight="1" x14ac:dyDescent="0.2">
      <c r="B31031" s="43"/>
    </row>
    <row r="31032" spans="2:2" ht="12.75" customHeight="1" x14ac:dyDescent="0.2">
      <c r="B31032" s="43"/>
    </row>
    <row r="31033" spans="2:2" ht="12.75" customHeight="1" x14ac:dyDescent="0.2">
      <c r="B31033" s="43"/>
    </row>
    <row r="31034" spans="2:2" ht="12.75" customHeight="1" x14ac:dyDescent="0.2">
      <c r="B31034" s="43"/>
    </row>
    <row r="31035" spans="2:2" ht="12.75" customHeight="1" x14ac:dyDescent="0.2">
      <c r="B31035" s="43"/>
    </row>
    <row r="31036" spans="2:2" ht="12.75" customHeight="1" x14ac:dyDescent="0.2">
      <c r="B31036" s="43"/>
    </row>
    <row r="31037" spans="2:2" ht="12.75" customHeight="1" x14ac:dyDescent="0.2">
      <c r="B31037" s="43"/>
    </row>
    <row r="31038" spans="2:2" ht="12.75" customHeight="1" x14ac:dyDescent="0.2">
      <c r="B31038" s="43"/>
    </row>
    <row r="31039" spans="2:2" ht="12.75" customHeight="1" x14ac:dyDescent="0.2">
      <c r="B31039" s="43"/>
    </row>
    <row r="31040" spans="2:2" ht="12.75" customHeight="1" x14ac:dyDescent="0.2">
      <c r="B31040" s="43"/>
    </row>
    <row r="31041" spans="2:2" ht="12.75" customHeight="1" x14ac:dyDescent="0.2">
      <c r="B31041" s="43"/>
    </row>
    <row r="31042" spans="2:2" ht="12.75" customHeight="1" x14ac:dyDescent="0.2">
      <c r="B31042" s="43"/>
    </row>
    <row r="31043" spans="2:2" ht="12.75" customHeight="1" x14ac:dyDescent="0.2">
      <c r="B31043" s="43"/>
    </row>
    <row r="31044" spans="2:2" ht="12.75" customHeight="1" x14ac:dyDescent="0.2">
      <c r="B31044" s="43"/>
    </row>
    <row r="31045" spans="2:2" ht="12.75" customHeight="1" x14ac:dyDescent="0.2">
      <c r="B31045" s="43"/>
    </row>
    <row r="31046" spans="2:2" ht="12.75" customHeight="1" x14ac:dyDescent="0.2">
      <c r="B31046" s="43"/>
    </row>
    <row r="31047" spans="2:2" ht="12.75" customHeight="1" x14ac:dyDescent="0.2">
      <c r="B31047" s="43"/>
    </row>
    <row r="31048" spans="2:2" ht="12.75" customHeight="1" x14ac:dyDescent="0.2">
      <c r="B31048" s="43"/>
    </row>
    <row r="31049" spans="2:2" ht="12.75" customHeight="1" x14ac:dyDescent="0.2">
      <c r="B31049" s="43"/>
    </row>
    <row r="31050" spans="2:2" ht="12.75" customHeight="1" x14ac:dyDescent="0.2">
      <c r="B31050" s="43"/>
    </row>
    <row r="31051" spans="2:2" ht="12.75" customHeight="1" x14ac:dyDescent="0.2">
      <c r="B31051" s="43"/>
    </row>
    <row r="31052" spans="2:2" ht="12.75" customHeight="1" x14ac:dyDescent="0.2">
      <c r="B31052" s="43"/>
    </row>
    <row r="31053" spans="2:2" ht="12.75" customHeight="1" x14ac:dyDescent="0.2">
      <c r="B31053" s="43"/>
    </row>
    <row r="31054" spans="2:2" ht="12.75" customHeight="1" x14ac:dyDescent="0.2">
      <c r="B31054" s="43"/>
    </row>
    <row r="31055" spans="2:2" ht="12.75" customHeight="1" x14ac:dyDescent="0.2">
      <c r="B31055" s="43"/>
    </row>
    <row r="31056" spans="2:2" ht="12.75" customHeight="1" x14ac:dyDescent="0.2">
      <c r="B31056" s="43"/>
    </row>
    <row r="31057" spans="2:2" ht="12.75" customHeight="1" x14ac:dyDescent="0.2">
      <c r="B31057" s="43"/>
    </row>
    <row r="31058" spans="2:2" ht="12.75" customHeight="1" x14ac:dyDescent="0.2">
      <c r="B31058" s="43"/>
    </row>
    <row r="31059" spans="2:2" ht="12.75" customHeight="1" x14ac:dyDescent="0.2">
      <c r="B31059" s="43"/>
    </row>
    <row r="31060" spans="2:2" ht="12.75" customHeight="1" x14ac:dyDescent="0.2">
      <c r="B31060" s="43"/>
    </row>
    <row r="31061" spans="2:2" ht="12.75" customHeight="1" x14ac:dyDescent="0.2">
      <c r="B31061" s="43"/>
    </row>
    <row r="31062" spans="2:2" ht="12.75" customHeight="1" x14ac:dyDescent="0.2">
      <c r="B31062" s="43"/>
    </row>
    <row r="31063" spans="2:2" ht="12.75" customHeight="1" x14ac:dyDescent="0.2">
      <c r="B31063" s="43"/>
    </row>
    <row r="31064" spans="2:2" ht="12.75" customHeight="1" x14ac:dyDescent="0.2">
      <c r="B31064" s="43"/>
    </row>
    <row r="31065" spans="2:2" ht="12.75" customHeight="1" x14ac:dyDescent="0.2">
      <c r="B31065" s="43"/>
    </row>
    <row r="31066" spans="2:2" ht="12.75" customHeight="1" x14ac:dyDescent="0.2">
      <c r="B31066" s="43"/>
    </row>
    <row r="31067" spans="2:2" ht="12.75" customHeight="1" x14ac:dyDescent="0.2">
      <c r="B31067" s="43"/>
    </row>
    <row r="31068" spans="2:2" ht="12.75" customHeight="1" x14ac:dyDescent="0.2">
      <c r="B31068" s="43"/>
    </row>
    <row r="31069" spans="2:2" ht="12.75" customHeight="1" x14ac:dyDescent="0.2">
      <c r="B31069" s="43"/>
    </row>
    <row r="31070" spans="2:2" ht="12.75" customHeight="1" x14ac:dyDescent="0.2">
      <c r="B31070" s="43"/>
    </row>
    <row r="31071" spans="2:2" ht="12.75" customHeight="1" x14ac:dyDescent="0.2">
      <c r="B31071" s="43"/>
    </row>
    <row r="31072" spans="2:2" ht="12.75" customHeight="1" x14ac:dyDescent="0.2">
      <c r="B31072" s="43"/>
    </row>
    <row r="31073" spans="2:2" ht="12.75" customHeight="1" x14ac:dyDescent="0.2">
      <c r="B31073" s="43"/>
    </row>
    <row r="31074" spans="2:2" ht="12.75" customHeight="1" x14ac:dyDescent="0.2">
      <c r="B31074" s="43"/>
    </row>
    <row r="31075" spans="2:2" ht="12.75" customHeight="1" x14ac:dyDescent="0.2">
      <c r="B31075" s="43"/>
    </row>
    <row r="31076" spans="2:2" ht="12.75" customHeight="1" x14ac:dyDescent="0.2">
      <c r="B31076" s="43"/>
    </row>
    <row r="31077" spans="2:2" ht="12.75" customHeight="1" x14ac:dyDescent="0.2">
      <c r="B31077" s="43"/>
    </row>
    <row r="31078" spans="2:2" ht="12.75" customHeight="1" x14ac:dyDescent="0.2">
      <c r="B31078" s="43"/>
    </row>
    <row r="31079" spans="2:2" ht="12.75" customHeight="1" x14ac:dyDescent="0.2">
      <c r="B31079" s="43"/>
    </row>
    <row r="31080" spans="2:2" ht="12.75" customHeight="1" x14ac:dyDescent="0.2">
      <c r="B31080" s="43"/>
    </row>
    <row r="31081" spans="2:2" ht="12.75" customHeight="1" x14ac:dyDescent="0.2">
      <c r="B31081" s="43"/>
    </row>
    <row r="31082" spans="2:2" ht="12.75" customHeight="1" x14ac:dyDescent="0.2">
      <c r="B31082" s="43"/>
    </row>
    <row r="31083" spans="2:2" ht="12.75" customHeight="1" x14ac:dyDescent="0.2">
      <c r="B31083" s="43"/>
    </row>
    <row r="31084" spans="2:2" ht="12.75" customHeight="1" x14ac:dyDescent="0.2">
      <c r="B31084" s="43"/>
    </row>
    <row r="31085" spans="2:2" ht="12.75" customHeight="1" x14ac:dyDescent="0.2">
      <c r="B31085" s="43"/>
    </row>
    <row r="31086" spans="2:2" ht="12.75" customHeight="1" x14ac:dyDescent="0.2">
      <c r="B31086" s="43"/>
    </row>
    <row r="31087" spans="2:2" ht="12.75" customHeight="1" x14ac:dyDescent="0.2">
      <c r="B31087" s="43"/>
    </row>
    <row r="31088" spans="2:2" ht="12.75" customHeight="1" x14ac:dyDescent="0.2">
      <c r="B31088" s="43"/>
    </row>
    <row r="31089" spans="2:2" ht="12.75" customHeight="1" x14ac:dyDescent="0.2">
      <c r="B31089" s="43"/>
    </row>
    <row r="31090" spans="2:2" ht="12.75" customHeight="1" x14ac:dyDescent="0.2">
      <c r="B31090" s="43"/>
    </row>
    <row r="31091" spans="2:2" ht="12.75" customHeight="1" x14ac:dyDescent="0.2">
      <c r="B31091" s="43"/>
    </row>
    <row r="31092" spans="2:2" ht="12.75" customHeight="1" x14ac:dyDescent="0.2">
      <c r="B31092" s="43"/>
    </row>
    <row r="31093" spans="2:2" ht="12.75" customHeight="1" x14ac:dyDescent="0.2">
      <c r="B31093" s="43"/>
    </row>
    <row r="31094" spans="2:2" ht="12.75" customHeight="1" x14ac:dyDescent="0.2">
      <c r="B31094" s="43"/>
    </row>
    <row r="31095" spans="2:2" ht="12.75" customHeight="1" x14ac:dyDescent="0.2">
      <c r="B31095" s="43"/>
    </row>
    <row r="31096" spans="2:2" ht="12.75" customHeight="1" x14ac:dyDescent="0.2">
      <c r="B31096" s="43"/>
    </row>
    <row r="31097" spans="2:2" ht="12.75" customHeight="1" x14ac:dyDescent="0.2">
      <c r="B31097" s="43"/>
    </row>
    <row r="31098" spans="2:2" ht="12.75" customHeight="1" x14ac:dyDescent="0.2">
      <c r="B31098" s="43"/>
    </row>
    <row r="31099" spans="2:2" ht="12.75" customHeight="1" x14ac:dyDescent="0.2">
      <c r="B31099" s="43"/>
    </row>
    <row r="31100" spans="2:2" ht="12.75" customHeight="1" x14ac:dyDescent="0.2">
      <c r="B31100" s="43"/>
    </row>
    <row r="31101" spans="2:2" ht="12.75" customHeight="1" x14ac:dyDescent="0.2">
      <c r="B31101" s="43"/>
    </row>
    <row r="31102" spans="2:2" ht="12.75" customHeight="1" x14ac:dyDescent="0.2">
      <c r="B31102" s="43"/>
    </row>
    <row r="31103" spans="2:2" ht="12.75" customHeight="1" x14ac:dyDescent="0.2">
      <c r="B31103" s="43"/>
    </row>
    <row r="31104" spans="2:2" ht="12.75" customHeight="1" x14ac:dyDescent="0.2">
      <c r="B31104" s="43"/>
    </row>
    <row r="31105" spans="2:2" ht="12.75" customHeight="1" x14ac:dyDescent="0.2">
      <c r="B31105" s="43"/>
    </row>
    <row r="31106" spans="2:2" ht="12.75" customHeight="1" x14ac:dyDescent="0.2">
      <c r="B31106" s="43"/>
    </row>
    <row r="31107" spans="2:2" ht="12.75" customHeight="1" x14ac:dyDescent="0.2">
      <c r="B31107" s="43"/>
    </row>
    <row r="31108" spans="2:2" ht="12.75" customHeight="1" x14ac:dyDescent="0.2">
      <c r="B31108" s="43"/>
    </row>
    <row r="31109" spans="2:2" ht="12.75" customHeight="1" x14ac:dyDescent="0.2">
      <c r="B31109" s="43"/>
    </row>
    <row r="31110" spans="2:2" ht="12.75" customHeight="1" x14ac:dyDescent="0.2">
      <c r="B31110" s="43"/>
    </row>
    <row r="31111" spans="2:2" ht="12.75" customHeight="1" x14ac:dyDescent="0.2">
      <c r="B31111" s="43"/>
    </row>
    <row r="31112" spans="2:2" ht="12.75" customHeight="1" x14ac:dyDescent="0.2">
      <c r="B31112" s="43"/>
    </row>
    <row r="31113" spans="2:2" ht="12.75" customHeight="1" x14ac:dyDescent="0.2">
      <c r="B31113" s="43"/>
    </row>
    <row r="31114" spans="2:2" ht="12.75" customHeight="1" x14ac:dyDescent="0.2">
      <c r="B31114" s="43"/>
    </row>
    <row r="31115" spans="2:2" ht="12.75" customHeight="1" x14ac:dyDescent="0.2">
      <c r="B31115" s="43"/>
    </row>
    <row r="31116" spans="2:2" ht="12.75" customHeight="1" x14ac:dyDescent="0.2">
      <c r="B31116" s="43"/>
    </row>
    <row r="31117" spans="2:2" ht="12.75" customHeight="1" x14ac:dyDescent="0.2">
      <c r="B31117" s="43"/>
    </row>
    <row r="31118" spans="2:2" ht="12.75" customHeight="1" x14ac:dyDescent="0.2">
      <c r="B31118" s="43"/>
    </row>
    <row r="31119" spans="2:2" ht="12.75" customHeight="1" x14ac:dyDescent="0.2">
      <c r="B31119" s="43"/>
    </row>
    <row r="31120" spans="2:2" ht="12.75" customHeight="1" x14ac:dyDescent="0.2">
      <c r="B31120" s="43"/>
    </row>
    <row r="31121" spans="2:2" ht="12.75" customHeight="1" x14ac:dyDescent="0.2">
      <c r="B31121" s="43"/>
    </row>
    <row r="31122" spans="2:2" ht="12.75" customHeight="1" x14ac:dyDescent="0.2">
      <c r="B31122" s="43"/>
    </row>
    <row r="31123" spans="2:2" ht="12.75" customHeight="1" x14ac:dyDescent="0.2">
      <c r="B31123" s="43"/>
    </row>
    <row r="31124" spans="2:2" ht="12.75" customHeight="1" x14ac:dyDescent="0.2">
      <c r="B31124" s="43"/>
    </row>
    <row r="31125" spans="2:2" ht="12.75" customHeight="1" x14ac:dyDescent="0.2">
      <c r="B31125" s="43"/>
    </row>
    <row r="31126" spans="2:2" ht="12.75" customHeight="1" x14ac:dyDescent="0.2">
      <c r="B31126" s="43"/>
    </row>
    <row r="31127" spans="2:2" ht="12.75" customHeight="1" x14ac:dyDescent="0.2">
      <c r="B31127" s="43"/>
    </row>
    <row r="31128" spans="2:2" ht="12.75" customHeight="1" x14ac:dyDescent="0.2">
      <c r="B31128" s="43"/>
    </row>
    <row r="31129" spans="2:2" ht="12.75" customHeight="1" x14ac:dyDescent="0.2">
      <c r="B31129" s="43"/>
    </row>
    <row r="31130" spans="2:2" ht="12.75" customHeight="1" x14ac:dyDescent="0.2">
      <c r="B31130" s="43"/>
    </row>
    <row r="31131" spans="2:2" ht="12.75" customHeight="1" x14ac:dyDescent="0.2">
      <c r="B31131" s="43"/>
    </row>
    <row r="31132" spans="2:2" ht="12.75" customHeight="1" x14ac:dyDescent="0.2">
      <c r="B31132" s="43"/>
    </row>
    <row r="31133" spans="2:2" ht="12.75" customHeight="1" x14ac:dyDescent="0.2">
      <c r="B31133" s="43"/>
    </row>
    <row r="31134" spans="2:2" ht="12.75" customHeight="1" x14ac:dyDescent="0.2">
      <c r="B31134" s="43"/>
    </row>
    <row r="31135" spans="2:2" ht="12.75" customHeight="1" x14ac:dyDescent="0.2">
      <c r="B31135" s="43"/>
    </row>
    <row r="31136" spans="2:2" ht="12.75" customHeight="1" x14ac:dyDescent="0.2">
      <c r="B31136" s="43"/>
    </row>
    <row r="31137" spans="2:2" ht="12.75" customHeight="1" x14ac:dyDescent="0.2">
      <c r="B31137" s="43"/>
    </row>
    <row r="31138" spans="2:2" ht="12.75" customHeight="1" x14ac:dyDescent="0.2">
      <c r="B31138" s="43"/>
    </row>
    <row r="31139" spans="2:2" ht="12.75" customHeight="1" x14ac:dyDescent="0.2">
      <c r="B31139" s="43"/>
    </row>
    <row r="31140" spans="2:2" ht="12.75" customHeight="1" x14ac:dyDescent="0.2">
      <c r="B31140" s="43"/>
    </row>
    <row r="31141" spans="2:2" ht="12.75" customHeight="1" x14ac:dyDescent="0.2">
      <c r="B31141" s="43"/>
    </row>
    <row r="31142" spans="2:2" ht="12.75" customHeight="1" x14ac:dyDescent="0.2">
      <c r="B31142" s="43"/>
    </row>
    <row r="31143" spans="2:2" ht="12.75" customHeight="1" x14ac:dyDescent="0.2">
      <c r="B31143" s="43"/>
    </row>
    <row r="31144" spans="2:2" ht="12.75" customHeight="1" x14ac:dyDescent="0.2">
      <c r="B31144" s="43"/>
    </row>
    <row r="31145" spans="2:2" ht="12.75" customHeight="1" x14ac:dyDescent="0.2">
      <c r="B31145" s="43"/>
    </row>
    <row r="31146" spans="2:2" ht="12.75" customHeight="1" x14ac:dyDescent="0.2">
      <c r="B31146" s="43"/>
    </row>
    <row r="31147" spans="2:2" ht="12.75" customHeight="1" x14ac:dyDescent="0.2">
      <c r="B31147" s="43"/>
    </row>
    <row r="31148" spans="2:2" ht="12.75" customHeight="1" x14ac:dyDescent="0.2">
      <c r="B31148" s="43"/>
    </row>
    <row r="31149" spans="2:2" ht="12.75" customHeight="1" x14ac:dyDescent="0.2">
      <c r="B31149" s="43"/>
    </row>
    <row r="31150" spans="2:2" ht="12.75" customHeight="1" x14ac:dyDescent="0.2">
      <c r="B31150" s="43"/>
    </row>
    <row r="31151" spans="2:2" ht="12.75" customHeight="1" x14ac:dyDescent="0.2">
      <c r="B31151" s="43"/>
    </row>
    <row r="31152" spans="2:2" ht="12.75" customHeight="1" x14ac:dyDescent="0.2">
      <c r="B31152" s="43"/>
    </row>
    <row r="31153" spans="2:2" ht="12.75" customHeight="1" x14ac:dyDescent="0.2">
      <c r="B31153" s="43"/>
    </row>
    <row r="31154" spans="2:2" ht="12.75" customHeight="1" x14ac:dyDescent="0.2">
      <c r="B31154" s="43"/>
    </row>
    <row r="31155" spans="2:2" ht="12.75" customHeight="1" x14ac:dyDescent="0.2">
      <c r="B31155" s="43"/>
    </row>
    <row r="31156" spans="2:2" ht="12.75" customHeight="1" x14ac:dyDescent="0.2">
      <c r="B31156" s="43"/>
    </row>
    <row r="31157" spans="2:2" ht="12.75" customHeight="1" x14ac:dyDescent="0.2">
      <c r="B31157" s="43"/>
    </row>
    <row r="31158" spans="2:2" ht="12.75" customHeight="1" x14ac:dyDescent="0.2">
      <c r="B31158" s="43"/>
    </row>
    <row r="31159" spans="2:2" ht="12.75" customHeight="1" x14ac:dyDescent="0.2">
      <c r="B31159" s="43"/>
    </row>
    <row r="31160" spans="2:2" ht="12.75" customHeight="1" x14ac:dyDescent="0.2">
      <c r="B31160" s="43"/>
    </row>
    <row r="31161" spans="2:2" ht="12.75" customHeight="1" x14ac:dyDescent="0.2">
      <c r="B31161" s="43"/>
    </row>
    <row r="31162" spans="2:2" ht="12.75" customHeight="1" x14ac:dyDescent="0.2">
      <c r="B31162" s="43"/>
    </row>
    <row r="31163" spans="2:2" ht="12.75" customHeight="1" x14ac:dyDescent="0.2">
      <c r="B31163" s="43"/>
    </row>
    <row r="31164" spans="2:2" ht="12.75" customHeight="1" x14ac:dyDescent="0.2">
      <c r="B31164" s="43"/>
    </row>
    <row r="31165" spans="2:2" ht="12.75" customHeight="1" x14ac:dyDescent="0.2">
      <c r="B31165" s="43"/>
    </row>
    <row r="31166" spans="2:2" ht="12.75" customHeight="1" x14ac:dyDescent="0.2">
      <c r="B31166" s="43"/>
    </row>
    <row r="31167" spans="2:2" ht="12.75" customHeight="1" x14ac:dyDescent="0.2">
      <c r="B31167" s="43"/>
    </row>
    <row r="31168" spans="2:2" ht="12.75" customHeight="1" x14ac:dyDescent="0.2">
      <c r="B31168" s="43"/>
    </row>
    <row r="31169" spans="2:2" ht="12.75" customHeight="1" x14ac:dyDescent="0.2">
      <c r="B31169" s="43"/>
    </row>
    <row r="31170" spans="2:2" ht="12.75" customHeight="1" x14ac:dyDescent="0.2">
      <c r="B31170" s="43"/>
    </row>
    <row r="31171" spans="2:2" ht="12.75" customHeight="1" x14ac:dyDescent="0.2">
      <c r="B31171" s="43"/>
    </row>
    <row r="31172" spans="2:2" ht="12.75" customHeight="1" x14ac:dyDescent="0.2">
      <c r="B31172" s="43"/>
    </row>
    <row r="31173" spans="2:2" ht="12.75" customHeight="1" x14ac:dyDescent="0.2">
      <c r="B31173" s="43"/>
    </row>
    <row r="31174" spans="2:2" ht="12.75" customHeight="1" x14ac:dyDescent="0.2">
      <c r="B31174" s="43"/>
    </row>
    <row r="31175" spans="2:2" ht="12.75" customHeight="1" x14ac:dyDescent="0.2">
      <c r="B31175" s="43"/>
    </row>
    <row r="31176" spans="2:2" ht="12.75" customHeight="1" x14ac:dyDescent="0.2">
      <c r="B31176" s="43"/>
    </row>
    <row r="31177" spans="2:2" ht="12.75" customHeight="1" x14ac:dyDescent="0.2">
      <c r="B31177" s="43"/>
    </row>
    <row r="31178" spans="2:2" ht="12.75" customHeight="1" x14ac:dyDescent="0.2">
      <c r="B31178" s="43"/>
    </row>
    <row r="31179" spans="2:2" ht="12.75" customHeight="1" x14ac:dyDescent="0.2">
      <c r="B31179" s="43"/>
    </row>
    <row r="31180" spans="2:2" ht="12.75" customHeight="1" x14ac:dyDescent="0.2">
      <c r="B31180" s="43"/>
    </row>
    <row r="31181" spans="2:2" ht="12.75" customHeight="1" x14ac:dyDescent="0.2">
      <c r="B31181" s="43"/>
    </row>
    <row r="31182" spans="2:2" ht="12.75" customHeight="1" x14ac:dyDescent="0.2">
      <c r="B31182" s="43"/>
    </row>
    <row r="31183" spans="2:2" ht="12.75" customHeight="1" x14ac:dyDescent="0.2">
      <c r="B31183" s="43"/>
    </row>
    <row r="31184" spans="2:2" ht="12.75" customHeight="1" x14ac:dyDescent="0.2">
      <c r="B31184" s="43"/>
    </row>
    <row r="31185" spans="2:2" ht="12.75" customHeight="1" x14ac:dyDescent="0.2">
      <c r="B31185" s="43"/>
    </row>
    <row r="31186" spans="2:2" ht="12.75" customHeight="1" x14ac:dyDescent="0.2">
      <c r="B31186" s="43"/>
    </row>
    <row r="31187" spans="2:2" ht="12.75" customHeight="1" x14ac:dyDescent="0.2">
      <c r="B31187" s="43"/>
    </row>
    <row r="31188" spans="2:2" ht="12.75" customHeight="1" x14ac:dyDescent="0.2">
      <c r="B31188" s="43"/>
    </row>
    <row r="31189" spans="2:2" ht="12.75" customHeight="1" x14ac:dyDescent="0.2">
      <c r="B31189" s="43"/>
    </row>
    <row r="31190" spans="2:2" ht="12.75" customHeight="1" x14ac:dyDescent="0.2">
      <c r="B31190" s="43"/>
    </row>
    <row r="31191" spans="2:2" ht="12.75" customHeight="1" x14ac:dyDescent="0.2">
      <c r="B31191" s="43"/>
    </row>
    <row r="31192" spans="2:2" ht="12.75" customHeight="1" x14ac:dyDescent="0.2">
      <c r="B31192" s="43"/>
    </row>
    <row r="31193" spans="2:2" ht="12.75" customHeight="1" x14ac:dyDescent="0.2">
      <c r="B31193" s="43"/>
    </row>
    <row r="31194" spans="2:2" ht="12.75" customHeight="1" x14ac:dyDescent="0.2">
      <c r="B31194" s="43"/>
    </row>
    <row r="31195" spans="2:2" ht="12.75" customHeight="1" x14ac:dyDescent="0.2">
      <c r="B31195" s="43"/>
    </row>
    <row r="31196" spans="2:2" ht="12.75" customHeight="1" x14ac:dyDescent="0.2">
      <c r="B31196" s="43"/>
    </row>
    <row r="31197" spans="2:2" ht="12.75" customHeight="1" x14ac:dyDescent="0.2">
      <c r="B31197" s="43"/>
    </row>
    <row r="31198" spans="2:2" ht="12.75" customHeight="1" x14ac:dyDescent="0.2">
      <c r="B31198" s="43"/>
    </row>
    <row r="31199" spans="2:2" ht="12.75" customHeight="1" x14ac:dyDescent="0.2">
      <c r="B31199" s="43"/>
    </row>
    <row r="31200" spans="2:2" ht="12.75" customHeight="1" x14ac:dyDescent="0.2">
      <c r="B31200" s="43"/>
    </row>
    <row r="31201" spans="2:2" ht="12.75" customHeight="1" x14ac:dyDescent="0.2">
      <c r="B31201" s="43"/>
    </row>
    <row r="31202" spans="2:2" ht="12.75" customHeight="1" x14ac:dyDescent="0.2">
      <c r="B31202" s="43"/>
    </row>
    <row r="31203" spans="2:2" ht="12.75" customHeight="1" x14ac:dyDescent="0.2">
      <c r="B31203" s="43"/>
    </row>
    <row r="31204" spans="2:2" ht="12.75" customHeight="1" x14ac:dyDescent="0.2">
      <c r="B31204" s="43"/>
    </row>
    <row r="31205" spans="2:2" ht="12.75" customHeight="1" x14ac:dyDescent="0.2">
      <c r="B31205" s="43"/>
    </row>
    <row r="31206" spans="2:2" ht="12.75" customHeight="1" x14ac:dyDescent="0.2">
      <c r="B31206" s="43"/>
    </row>
    <row r="31207" spans="2:2" ht="12.75" customHeight="1" x14ac:dyDescent="0.2">
      <c r="B31207" s="43"/>
    </row>
    <row r="31208" spans="2:2" ht="12.75" customHeight="1" x14ac:dyDescent="0.2">
      <c r="B31208" s="43"/>
    </row>
    <row r="31209" spans="2:2" ht="12.75" customHeight="1" x14ac:dyDescent="0.2">
      <c r="B31209" s="43"/>
    </row>
    <row r="31210" spans="2:2" ht="12.75" customHeight="1" x14ac:dyDescent="0.2">
      <c r="B31210" s="43"/>
    </row>
    <row r="31211" spans="2:2" ht="12.75" customHeight="1" x14ac:dyDescent="0.2">
      <c r="B31211" s="43"/>
    </row>
    <row r="31212" spans="2:2" ht="12.75" customHeight="1" x14ac:dyDescent="0.2">
      <c r="B31212" s="43"/>
    </row>
    <row r="31213" spans="2:2" ht="12.75" customHeight="1" x14ac:dyDescent="0.2">
      <c r="B31213" s="43"/>
    </row>
    <row r="31214" spans="2:2" ht="12.75" customHeight="1" x14ac:dyDescent="0.2">
      <c r="B31214" s="43"/>
    </row>
    <row r="31215" spans="2:2" ht="12.75" customHeight="1" x14ac:dyDescent="0.2">
      <c r="B31215" s="43"/>
    </row>
    <row r="31216" spans="2:2" ht="12.75" customHeight="1" x14ac:dyDescent="0.2">
      <c r="B31216" s="43"/>
    </row>
    <row r="31217" spans="2:2" ht="12.75" customHeight="1" x14ac:dyDescent="0.2">
      <c r="B31217" s="43"/>
    </row>
    <row r="31218" spans="2:2" ht="12.75" customHeight="1" x14ac:dyDescent="0.2">
      <c r="B31218" s="43"/>
    </row>
    <row r="31219" spans="2:2" ht="12.75" customHeight="1" x14ac:dyDescent="0.2">
      <c r="B31219" s="43"/>
    </row>
    <row r="31220" spans="2:2" ht="12.75" customHeight="1" x14ac:dyDescent="0.2">
      <c r="B31220" s="43"/>
    </row>
    <row r="31221" spans="2:2" ht="12.75" customHeight="1" x14ac:dyDescent="0.2">
      <c r="B31221" s="43"/>
    </row>
    <row r="31222" spans="2:2" ht="12.75" customHeight="1" x14ac:dyDescent="0.2">
      <c r="B31222" s="43"/>
    </row>
    <row r="31223" spans="2:2" ht="12.75" customHeight="1" x14ac:dyDescent="0.2">
      <c r="B31223" s="43"/>
    </row>
    <row r="31224" spans="2:2" ht="12.75" customHeight="1" x14ac:dyDescent="0.2">
      <c r="B31224" s="43"/>
    </row>
    <row r="31225" spans="2:2" ht="12.75" customHeight="1" x14ac:dyDescent="0.2">
      <c r="B31225" s="43"/>
    </row>
    <row r="31226" spans="2:2" ht="12.75" customHeight="1" x14ac:dyDescent="0.2">
      <c r="B31226" s="43"/>
    </row>
    <row r="31227" spans="2:2" ht="12.75" customHeight="1" x14ac:dyDescent="0.2">
      <c r="B31227" s="43"/>
    </row>
    <row r="31228" spans="2:2" ht="12.75" customHeight="1" x14ac:dyDescent="0.2">
      <c r="B31228" s="43"/>
    </row>
    <row r="31229" spans="2:2" ht="12.75" customHeight="1" x14ac:dyDescent="0.2">
      <c r="B31229" s="43"/>
    </row>
    <row r="31230" spans="2:2" ht="12.75" customHeight="1" x14ac:dyDescent="0.2">
      <c r="B31230" s="43"/>
    </row>
    <row r="31231" spans="2:2" ht="12.75" customHeight="1" x14ac:dyDescent="0.2">
      <c r="B31231" s="43"/>
    </row>
    <row r="31232" spans="2:2" ht="12.75" customHeight="1" x14ac:dyDescent="0.2">
      <c r="B31232" s="43"/>
    </row>
    <row r="31233" spans="2:2" ht="12.75" customHeight="1" x14ac:dyDescent="0.2">
      <c r="B31233" s="43"/>
    </row>
    <row r="31234" spans="2:2" ht="12.75" customHeight="1" x14ac:dyDescent="0.2">
      <c r="B31234" s="43"/>
    </row>
    <row r="31235" spans="2:2" ht="12.75" customHeight="1" x14ac:dyDescent="0.2">
      <c r="B31235" s="43"/>
    </row>
    <row r="31236" spans="2:2" ht="12.75" customHeight="1" x14ac:dyDescent="0.2">
      <c r="B31236" s="43"/>
    </row>
    <row r="31237" spans="2:2" ht="12.75" customHeight="1" x14ac:dyDescent="0.2">
      <c r="B31237" s="43"/>
    </row>
    <row r="31238" spans="2:2" ht="12.75" customHeight="1" x14ac:dyDescent="0.2">
      <c r="B31238" s="43"/>
    </row>
    <row r="31239" spans="2:2" ht="12.75" customHeight="1" x14ac:dyDescent="0.2">
      <c r="B31239" s="43"/>
    </row>
    <row r="31240" spans="2:2" ht="12.75" customHeight="1" x14ac:dyDescent="0.2">
      <c r="B31240" s="43"/>
    </row>
    <row r="31241" spans="2:2" ht="12.75" customHeight="1" x14ac:dyDescent="0.2">
      <c r="B31241" s="43"/>
    </row>
    <row r="31242" spans="2:2" ht="12.75" customHeight="1" x14ac:dyDescent="0.2">
      <c r="B31242" s="43"/>
    </row>
    <row r="31243" spans="2:2" ht="12.75" customHeight="1" x14ac:dyDescent="0.2">
      <c r="B31243" s="43"/>
    </row>
    <row r="31244" spans="2:2" ht="12.75" customHeight="1" x14ac:dyDescent="0.2">
      <c r="B31244" s="43"/>
    </row>
    <row r="31245" spans="2:2" ht="12.75" customHeight="1" x14ac:dyDescent="0.2">
      <c r="B31245" s="43"/>
    </row>
    <row r="31246" spans="2:2" ht="12.75" customHeight="1" x14ac:dyDescent="0.2">
      <c r="B31246" s="43"/>
    </row>
    <row r="31247" spans="2:2" ht="12.75" customHeight="1" x14ac:dyDescent="0.2">
      <c r="B31247" s="43"/>
    </row>
    <row r="31248" spans="2:2" ht="12.75" customHeight="1" x14ac:dyDescent="0.2">
      <c r="B31248" s="43"/>
    </row>
    <row r="31249" spans="2:2" ht="12.75" customHeight="1" x14ac:dyDescent="0.2">
      <c r="B31249" s="43"/>
    </row>
    <row r="31250" spans="2:2" ht="12.75" customHeight="1" x14ac:dyDescent="0.2">
      <c r="B31250" s="43"/>
    </row>
    <row r="31251" spans="2:2" ht="12.75" customHeight="1" x14ac:dyDescent="0.2">
      <c r="B31251" s="43"/>
    </row>
    <row r="31252" spans="2:2" ht="12.75" customHeight="1" x14ac:dyDescent="0.2">
      <c r="B31252" s="43"/>
    </row>
    <row r="31253" spans="2:2" ht="12.75" customHeight="1" x14ac:dyDescent="0.2">
      <c r="B31253" s="43"/>
    </row>
    <row r="31254" spans="2:2" ht="12.75" customHeight="1" x14ac:dyDescent="0.2">
      <c r="B31254" s="43"/>
    </row>
    <row r="31255" spans="2:2" ht="12.75" customHeight="1" x14ac:dyDescent="0.2">
      <c r="B31255" s="43"/>
    </row>
    <row r="31256" spans="2:2" ht="12.75" customHeight="1" x14ac:dyDescent="0.2">
      <c r="B31256" s="43"/>
    </row>
    <row r="31257" spans="2:2" ht="12.75" customHeight="1" x14ac:dyDescent="0.2">
      <c r="B31257" s="43"/>
    </row>
    <row r="31258" spans="2:2" ht="12.75" customHeight="1" x14ac:dyDescent="0.2">
      <c r="B31258" s="43"/>
    </row>
    <row r="31259" spans="2:2" ht="12.75" customHeight="1" x14ac:dyDescent="0.2">
      <c r="B31259" s="43"/>
    </row>
    <row r="31260" spans="2:2" ht="12.75" customHeight="1" x14ac:dyDescent="0.2">
      <c r="B31260" s="43"/>
    </row>
    <row r="31261" spans="2:2" ht="12.75" customHeight="1" x14ac:dyDescent="0.2">
      <c r="B31261" s="43"/>
    </row>
    <row r="31262" spans="2:2" ht="12.75" customHeight="1" x14ac:dyDescent="0.2">
      <c r="B31262" s="43"/>
    </row>
    <row r="31263" spans="2:2" ht="12.75" customHeight="1" x14ac:dyDescent="0.2">
      <c r="B31263" s="43"/>
    </row>
    <row r="31264" spans="2:2" ht="12.75" customHeight="1" x14ac:dyDescent="0.2">
      <c r="B31264" s="43"/>
    </row>
    <row r="31265" spans="2:2" ht="12.75" customHeight="1" x14ac:dyDescent="0.2">
      <c r="B31265" s="43"/>
    </row>
    <row r="31266" spans="2:2" ht="12.75" customHeight="1" x14ac:dyDescent="0.2">
      <c r="B31266" s="43"/>
    </row>
    <row r="31267" spans="2:2" ht="12.75" customHeight="1" x14ac:dyDescent="0.2">
      <c r="B31267" s="43"/>
    </row>
    <row r="31268" spans="2:2" ht="12.75" customHeight="1" x14ac:dyDescent="0.2">
      <c r="B31268" s="43"/>
    </row>
    <row r="31269" spans="2:2" ht="12.75" customHeight="1" x14ac:dyDescent="0.2">
      <c r="B31269" s="43"/>
    </row>
    <row r="31270" spans="2:2" ht="12.75" customHeight="1" x14ac:dyDescent="0.2">
      <c r="B31270" s="43"/>
    </row>
    <row r="31271" spans="2:2" ht="12.75" customHeight="1" x14ac:dyDescent="0.2">
      <c r="B31271" s="43"/>
    </row>
    <row r="31272" spans="2:2" ht="12.75" customHeight="1" x14ac:dyDescent="0.2">
      <c r="B31272" s="43"/>
    </row>
    <row r="31273" spans="2:2" ht="12.75" customHeight="1" x14ac:dyDescent="0.2">
      <c r="B31273" s="43"/>
    </row>
    <row r="31274" spans="2:2" ht="12.75" customHeight="1" x14ac:dyDescent="0.2">
      <c r="B31274" s="43"/>
    </row>
    <row r="31275" spans="2:2" ht="12.75" customHeight="1" x14ac:dyDescent="0.2">
      <c r="B31275" s="43"/>
    </row>
    <row r="31276" spans="2:2" ht="12.75" customHeight="1" x14ac:dyDescent="0.2">
      <c r="B31276" s="43"/>
    </row>
    <row r="31277" spans="2:2" ht="12.75" customHeight="1" x14ac:dyDescent="0.2">
      <c r="B31277" s="43"/>
    </row>
    <row r="31278" spans="2:2" ht="12.75" customHeight="1" x14ac:dyDescent="0.2">
      <c r="B31278" s="43"/>
    </row>
    <row r="31279" spans="2:2" ht="12.75" customHeight="1" x14ac:dyDescent="0.2">
      <c r="B31279" s="43"/>
    </row>
    <row r="31280" spans="2:2" ht="12.75" customHeight="1" x14ac:dyDescent="0.2">
      <c r="B31280" s="43"/>
    </row>
    <row r="31281" spans="2:2" ht="12.75" customHeight="1" x14ac:dyDescent="0.2">
      <c r="B31281" s="43"/>
    </row>
    <row r="31282" spans="2:2" ht="12.75" customHeight="1" x14ac:dyDescent="0.2">
      <c r="B31282" s="43"/>
    </row>
    <row r="31283" spans="2:2" ht="12.75" customHeight="1" x14ac:dyDescent="0.2">
      <c r="B31283" s="43"/>
    </row>
    <row r="31284" spans="2:2" ht="12.75" customHeight="1" x14ac:dyDescent="0.2">
      <c r="B31284" s="43"/>
    </row>
    <row r="31285" spans="2:2" ht="12.75" customHeight="1" x14ac:dyDescent="0.2">
      <c r="B31285" s="43"/>
    </row>
    <row r="31286" spans="2:2" ht="12.75" customHeight="1" x14ac:dyDescent="0.2">
      <c r="B31286" s="43"/>
    </row>
    <row r="31287" spans="2:2" ht="12.75" customHeight="1" x14ac:dyDescent="0.2">
      <c r="B31287" s="43"/>
    </row>
    <row r="31288" spans="2:2" ht="12.75" customHeight="1" x14ac:dyDescent="0.2">
      <c r="B31288" s="43"/>
    </row>
    <row r="31289" spans="2:2" ht="12.75" customHeight="1" x14ac:dyDescent="0.2">
      <c r="B31289" s="43"/>
    </row>
    <row r="31290" spans="2:2" ht="12.75" customHeight="1" x14ac:dyDescent="0.2">
      <c r="B31290" s="43"/>
    </row>
    <row r="31291" spans="2:2" ht="12.75" customHeight="1" x14ac:dyDescent="0.2">
      <c r="B31291" s="43"/>
    </row>
    <row r="31292" spans="2:2" ht="12.75" customHeight="1" x14ac:dyDescent="0.2">
      <c r="B31292" s="43"/>
    </row>
    <row r="31293" spans="2:2" ht="12.75" customHeight="1" x14ac:dyDescent="0.2">
      <c r="B31293" s="43"/>
    </row>
    <row r="31294" spans="2:2" ht="12.75" customHeight="1" x14ac:dyDescent="0.2">
      <c r="B31294" s="43"/>
    </row>
    <row r="31295" spans="2:2" ht="12.75" customHeight="1" x14ac:dyDescent="0.2">
      <c r="B31295" s="43"/>
    </row>
    <row r="31296" spans="2:2" ht="12.75" customHeight="1" x14ac:dyDescent="0.2">
      <c r="B31296" s="43"/>
    </row>
    <row r="31297" spans="2:2" ht="12.75" customHeight="1" x14ac:dyDescent="0.2">
      <c r="B31297" s="43"/>
    </row>
    <row r="31298" spans="2:2" ht="12.75" customHeight="1" x14ac:dyDescent="0.2">
      <c r="B31298" s="43"/>
    </row>
    <row r="31299" spans="2:2" ht="12.75" customHeight="1" x14ac:dyDescent="0.2">
      <c r="B31299" s="43"/>
    </row>
    <row r="31300" spans="2:2" ht="12.75" customHeight="1" x14ac:dyDescent="0.2">
      <c r="B31300" s="43"/>
    </row>
    <row r="31301" spans="2:2" ht="12.75" customHeight="1" x14ac:dyDescent="0.2">
      <c r="B31301" s="43"/>
    </row>
    <row r="31302" spans="2:2" ht="12.75" customHeight="1" x14ac:dyDescent="0.2">
      <c r="B31302" s="43"/>
    </row>
    <row r="31303" spans="2:2" ht="12.75" customHeight="1" x14ac:dyDescent="0.2">
      <c r="B31303" s="43"/>
    </row>
    <row r="31304" spans="2:2" ht="12.75" customHeight="1" x14ac:dyDescent="0.2">
      <c r="B31304" s="43"/>
    </row>
    <row r="31305" spans="2:2" ht="12.75" customHeight="1" x14ac:dyDescent="0.2">
      <c r="B31305" s="43"/>
    </row>
    <row r="31306" spans="2:2" ht="12.75" customHeight="1" x14ac:dyDescent="0.2">
      <c r="B31306" s="43"/>
    </row>
    <row r="31307" spans="2:2" ht="12.75" customHeight="1" x14ac:dyDescent="0.2">
      <c r="B31307" s="43"/>
    </row>
    <row r="31308" spans="2:2" ht="12.75" customHeight="1" x14ac:dyDescent="0.2">
      <c r="B31308" s="43"/>
    </row>
    <row r="31309" spans="2:2" ht="12.75" customHeight="1" x14ac:dyDescent="0.2">
      <c r="B31309" s="43"/>
    </row>
    <row r="31310" spans="2:2" ht="12.75" customHeight="1" x14ac:dyDescent="0.2">
      <c r="B31310" s="43"/>
    </row>
    <row r="31311" spans="2:2" ht="12.75" customHeight="1" x14ac:dyDescent="0.2">
      <c r="B31311" s="43"/>
    </row>
    <row r="31312" spans="2:2" ht="12.75" customHeight="1" x14ac:dyDescent="0.2">
      <c r="B31312" s="43"/>
    </row>
    <row r="31313" spans="2:2" ht="12.75" customHeight="1" x14ac:dyDescent="0.2">
      <c r="B31313" s="43"/>
    </row>
    <row r="31314" spans="2:2" ht="12.75" customHeight="1" x14ac:dyDescent="0.2">
      <c r="B31314" s="43"/>
    </row>
    <row r="31315" spans="2:2" ht="12.75" customHeight="1" x14ac:dyDescent="0.2">
      <c r="B31315" s="43"/>
    </row>
    <row r="31316" spans="2:2" ht="12.75" customHeight="1" x14ac:dyDescent="0.2">
      <c r="B31316" s="43"/>
    </row>
    <row r="31317" spans="2:2" ht="12.75" customHeight="1" x14ac:dyDescent="0.2">
      <c r="B31317" s="43"/>
    </row>
    <row r="31318" spans="2:2" ht="12.75" customHeight="1" x14ac:dyDescent="0.2">
      <c r="B31318" s="43"/>
    </row>
    <row r="31319" spans="2:2" ht="12.75" customHeight="1" x14ac:dyDescent="0.2">
      <c r="B31319" s="43"/>
    </row>
    <row r="31320" spans="2:2" ht="12.75" customHeight="1" x14ac:dyDescent="0.2">
      <c r="B31320" s="43"/>
    </row>
    <row r="31321" spans="2:2" ht="12.75" customHeight="1" x14ac:dyDescent="0.2">
      <c r="B31321" s="43"/>
    </row>
    <row r="31322" spans="2:2" ht="12.75" customHeight="1" x14ac:dyDescent="0.2">
      <c r="B31322" s="43"/>
    </row>
    <row r="31323" spans="2:2" ht="12.75" customHeight="1" x14ac:dyDescent="0.2">
      <c r="B31323" s="43"/>
    </row>
    <row r="31324" spans="2:2" ht="12.75" customHeight="1" x14ac:dyDescent="0.2">
      <c r="B31324" s="43"/>
    </row>
    <row r="31325" spans="2:2" ht="12.75" customHeight="1" x14ac:dyDescent="0.2">
      <c r="B31325" s="43"/>
    </row>
    <row r="31326" spans="2:2" ht="12.75" customHeight="1" x14ac:dyDescent="0.2">
      <c r="B31326" s="43"/>
    </row>
    <row r="31327" spans="2:2" ht="12.75" customHeight="1" x14ac:dyDescent="0.2">
      <c r="B31327" s="43"/>
    </row>
    <row r="31328" spans="2:2" ht="12.75" customHeight="1" x14ac:dyDescent="0.2">
      <c r="B31328" s="43"/>
    </row>
    <row r="31329" spans="2:2" ht="12.75" customHeight="1" x14ac:dyDescent="0.2">
      <c r="B31329" s="43"/>
    </row>
    <row r="31330" spans="2:2" ht="12.75" customHeight="1" x14ac:dyDescent="0.2">
      <c r="B31330" s="43"/>
    </row>
    <row r="31331" spans="2:2" ht="12.75" customHeight="1" x14ac:dyDescent="0.2">
      <c r="B31331" s="43"/>
    </row>
    <row r="31332" spans="2:2" ht="12.75" customHeight="1" x14ac:dyDescent="0.2">
      <c r="B31332" s="43"/>
    </row>
    <row r="31333" spans="2:2" ht="12.75" customHeight="1" x14ac:dyDescent="0.2">
      <c r="B31333" s="43"/>
    </row>
    <row r="31334" spans="2:2" ht="12.75" customHeight="1" x14ac:dyDescent="0.2">
      <c r="B31334" s="43"/>
    </row>
    <row r="31335" spans="2:2" ht="12.75" customHeight="1" x14ac:dyDescent="0.2">
      <c r="B31335" s="43"/>
    </row>
    <row r="31336" spans="2:2" ht="12.75" customHeight="1" x14ac:dyDescent="0.2">
      <c r="B31336" s="43"/>
    </row>
    <row r="31337" spans="2:2" ht="12.75" customHeight="1" x14ac:dyDescent="0.2">
      <c r="B31337" s="43"/>
    </row>
    <row r="31338" spans="2:2" ht="12.75" customHeight="1" x14ac:dyDescent="0.2">
      <c r="B31338" s="43"/>
    </row>
    <row r="31339" spans="2:2" ht="12.75" customHeight="1" x14ac:dyDescent="0.2">
      <c r="B31339" s="43"/>
    </row>
    <row r="31340" spans="2:2" ht="12.75" customHeight="1" x14ac:dyDescent="0.2">
      <c r="B31340" s="43"/>
    </row>
    <row r="31341" spans="2:2" ht="12.75" customHeight="1" x14ac:dyDescent="0.2">
      <c r="B31341" s="43"/>
    </row>
    <row r="31342" spans="2:2" ht="12.75" customHeight="1" x14ac:dyDescent="0.2">
      <c r="B31342" s="43"/>
    </row>
    <row r="31343" spans="2:2" ht="12.75" customHeight="1" x14ac:dyDescent="0.2">
      <c r="B31343" s="43"/>
    </row>
    <row r="31344" spans="2:2" ht="12.75" customHeight="1" x14ac:dyDescent="0.2">
      <c r="B31344" s="43"/>
    </row>
    <row r="31345" spans="2:2" ht="12.75" customHeight="1" x14ac:dyDescent="0.2">
      <c r="B31345" s="43"/>
    </row>
    <row r="31346" spans="2:2" ht="12.75" customHeight="1" x14ac:dyDescent="0.2">
      <c r="B31346" s="43"/>
    </row>
    <row r="31347" spans="2:2" ht="12.75" customHeight="1" x14ac:dyDescent="0.2">
      <c r="B31347" s="43"/>
    </row>
    <row r="31348" spans="2:2" ht="12.75" customHeight="1" x14ac:dyDescent="0.2">
      <c r="B31348" s="43"/>
    </row>
    <row r="31349" spans="2:2" ht="12.75" customHeight="1" x14ac:dyDescent="0.2">
      <c r="B31349" s="43"/>
    </row>
    <row r="31350" spans="2:2" ht="12.75" customHeight="1" x14ac:dyDescent="0.2">
      <c r="B31350" s="43"/>
    </row>
    <row r="31351" spans="2:2" ht="12.75" customHeight="1" x14ac:dyDescent="0.2">
      <c r="B31351" s="43"/>
    </row>
    <row r="31352" spans="2:2" ht="12.75" customHeight="1" x14ac:dyDescent="0.2">
      <c r="B31352" s="43"/>
    </row>
    <row r="31353" spans="2:2" ht="12.75" customHeight="1" x14ac:dyDescent="0.2">
      <c r="B31353" s="43"/>
    </row>
    <row r="31354" spans="2:2" ht="12.75" customHeight="1" x14ac:dyDescent="0.2">
      <c r="B31354" s="43"/>
    </row>
    <row r="31355" spans="2:2" ht="12.75" customHeight="1" x14ac:dyDescent="0.2">
      <c r="B31355" s="43"/>
    </row>
    <row r="31356" spans="2:2" ht="12.75" customHeight="1" x14ac:dyDescent="0.2">
      <c r="B31356" s="43"/>
    </row>
    <row r="31357" spans="2:2" ht="12.75" customHeight="1" x14ac:dyDescent="0.2">
      <c r="B31357" s="43"/>
    </row>
    <row r="31358" spans="2:2" ht="12.75" customHeight="1" x14ac:dyDescent="0.2">
      <c r="B31358" s="43"/>
    </row>
    <row r="31359" spans="2:2" ht="12.75" customHeight="1" x14ac:dyDescent="0.2">
      <c r="B31359" s="43"/>
    </row>
    <row r="31360" spans="2:2" ht="12.75" customHeight="1" x14ac:dyDescent="0.2">
      <c r="B31360" s="43"/>
    </row>
    <row r="31361" spans="2:2" ht="12.75" customHeight="1" x14ac:dyDescent="0.2">
      <c r="B31361" s="43"/>
    </row>
    <row r="31362" spans="2:2" ht="12.75" customHeight="1" x14ac:dyDescent="0.2">
      <c r="B31362" s="43"/>
    </row>
    <row r="31363" spans="2:2" ht="12.75" customHeight="1" x14ac:dyDescent="0.2">
      <c r="B31363" s="43"/>
    </row>
    <row r="31364" spans="2:2" ht="12.75" customHeight="1" x14ac:dyDescent="0.2">
      <c r="B31364" s="43"/>
    </row>
    <row r="31365" spans="2:2" ht="12.75" customHeight="1" x14ac:dyDescent="0.2">
      <c r="B31365" s="43"/>
    </row>
    <row r="31366" spans="2:2" ht="12.75" customHeight="1" x14ac:dyDescent="0.2">
      <c r="B31366" s="43"/>
    </row>
    <row r="31367" spans="2:2" ht="12.75" customHeight="1" x14ac:dyDescent="0.2">
      <c r="B31367" s="43"/>
    </row>
    <row r="31368" spans="2:2" ht="12.75" customHeight="1" x14ac:dyDescent="0.2">
      <c r="B31368" s="43"/>
    </row>
    <row r="31369" spans="2:2" ht="12.75" customHeight="1" x14ac:dyDescent="0.2">
      <c r="B31369" s="43"/>
    </row>
    <row r="31370" spans="2:2" ht="12.75" customHeight="1" x14ac:dyDescent="0.2">
      <c r="B31370" s="43"/>
    </row>
    <row r="31371" spans="2:2" ht="12.75" customHeight="1" x14ac:dyDescent="0.2">
      <c r="B31371" s="43"/>
    </row>
    <row r="31372" spans="2:2" ht="12.75" customHeight="1" x14ac:dyDescent="0.2">
      <c r="B31372" s="43"/>
    </row>
    <row r="31373" spans="2:2" ht="12.75" customHeight="1" x14ac:dyDescent="0.2">
      <c r="B31373" s="43"/>
    </row>
    <row r="31374" spans="2:2" ht="12.75" customHeight="1" x14ac:dyDescent="0.2">
      <c r="B31374" s="43"/>
    </row>
    <row r="31375" spans="2:2" ht="12.75" customHeight="1" x14ac:dyDescent="0.2">
      <c r="B31375" s="43"/>
    </row>
    <row r="31376" spans="2:2" ht="12.75" customHeight="1" x14ac:dyDescent="0.2">
      <c r="B31376" s="43"/>
    </row>
    <row r="31377" spans="2:2" ht="12.75" customHeight="1" x14ac:dyDescent="0.2">
      <c r="B31377" s="43"/>
    </row>
    <row r="31378" spans="2:2" ht="12.75" customHeight="1" x14ac:dyDescent="0.2">
      <c r="B31378" s="43"/>
    </row>
    <row r="31379" spans="2:2" ht="12.75" customHeight="1" x14ac:dyDescent="0.2">
      <c r="B31379" s="43"/>
    </row>
    <row r="31380" spans="2:2" ht="12.75" customHeight="1" x14ac:dyDescent="0.2">
      <c r="B31380" s="43"/>
    </row>
    <row r="31381" spans="2:2" ht="12.75" customHeight="1" x14ac:dyDescent="0.2">
      <c r="B31381" s="43"/>
    </row>
    <row r="31382" spans="2:2" ht="12.75" customHeight="1" x14ac:dyDescent="0.2">
      <c r="B31382" s="43"/>
    </row>
    <row r="31383" spans="2:2" ht="12.75" customHeight="1" x14ac:dyDescent="0.2">
      <c r="B31383" s="43"/>
    </row>
    <row r="31384" spans="2:2" ht="12.75" customHeight="1" x14ac:dyDescent="0.2">
      <c r="B31384" s="43"/>
    </row>
    <row r="31385" spans="2:2" ht="12.75" customHeight="1" x14ac:dyDescent="0.2">
      <c r="B31385" s="43"/>
    </row>
    <row r="31386" spans="2:2" ht="12.75" customHeight="1" x14ac:dyDescent="0.2">
      <c r="B31386" s="43"/>
    </row>
    <row r="31387" spans="2:2" ht="12.75" customHeight="1" x14ac:dyDescent="0.2">
      <c r="B31387" s="43"/>
    </row>
    <row r="31388" spans="2:2" ht="12.75" customHeight="1" x14ac:dyDescent="0.2">
      <c r="B31388" s="43"/>
    </row>
    <row r="31389" spans="2:2" ht="12.75" customHeight="1" x14ac:dyDescent="0.2">
      <c r="B31389" s="43"/>
    </row>
    <row r="31390" spans="2:2" ht="12.75" customHeight="1" x14ac:dyDescent="0.2">
      <c r="B31390" s="43"/>
    </row>
    <row r="31391" spans="2:2" ht="12.75" customHeight="1" x14ac:dyDescent="0.2">
      <c r="B31391" s="43"/>
    </row>
    <row r="31392" spans="2:2" ht="12.75" customHeight="1" x14ac:dyDescent="0.2">
      <c r="B31392" s="43"/>
    </row>
    <row r="31393" spans="2:2" ht="12.75" customHeight="1" x14ac:dyDescent="0.2">
      <c r="B31393" s="43"/>
    </row>
    <row r="31394" spans="2:2" ht="12.75" customHeight="1" x14ac:dyDescent="0.2">
      <c r="B31394" s="43"/>
    </row>
    <row r="31395" spans="2:2" ht="12.75" customHeight="1" x14ac:dyDescent="0.2">
      <c r="B31395" s="43"/>
    </row>
    <row r="31396" spans="2:2" ht="12.75" customHeight="1" x14ac:dyDescent="0.2">
      <c r="B31396" s="43"/>
    </row>
    <row r="31397" spans="2:2" ht="12.75" customHeight="1" x14ac:dyDescent="0.2">
      <c r="B31397" s="43"/>
    </row>
    <row r="31398" spans="2:2" ht="12.75" customHeight="1" x14ac:dyDescent="0.2">
      <c r="B31398" s="43"/>
    </row>
    <row r="31399" spans="2:2" ht="12.75" customHeight="1" x14ac:dyDescent="0.2">
      <c r="B31399" s="43"/>
    </row>
    <row r="31400" spans="2:2" ht="12.75" customHeight="1" x14ac:dyDescent="0.2">
      <c r="B31400" s="43"/>
    </row>
    <row r="31401" spans="2:2" ht="12.75" customHeight="1" x14ac:dyDescent="0.2">
      <c r="B31401" s="43"/>
    </row>
    <row r="31402" spans="2:2" ht="12.75" customHeight="1" x14ac:dyDescent="0.2">
      <c r="B31402" s="43"/>
    </row>
    <row r="31403" spans="2:2" ht="12.75" customHeight="1" x14ac:dyDescent="0.2">
      <c r="B31403" s="43"/>
    </row>
    <row r="31404" spans="2:2" ht="12.75" customHeight="1" x14ac:dyDescent="0.2">
      <c r="B31404" s="43"/>
    </row>
    <row r="31405" spans="2:2" ht="12.75" customHeight="1" x14ac:dyDescent="0.2">
      <c r="B31405" s="43"/>
    </row>
    <row r="31406" spans="2:2" ht="12.75" customHeight="1" x14ac:dyDescent="0.2">
      <c r="B31406" s="43"/>
    </row>
    <row r="31407" spans="2:2" ht="12.75" customHeight="1" x14ac:dyDescent="0.2">
      <c r="B31407" s="43"/>
    </row>
    <row r="31408" spans="2:2" ht="12.75" customHeight="1" x14ac:dyDescent="0.2">
      <c r="B31408" s="43"/>
    </row>
    <row r="31409" spans="2:2" ht="12.75" customHeight="1" x14ac:dyDescent="0.2">
      <c r="B31409" s="43"/>
    </row>
    <row r="31410" spans="2:2" ht="12.75" customHeight="1" x14ac:dyDescent="0.2">
      <c r="B31410" s="43"/>
    </row>
    <row r="31411" spans="2:2" ht="12.75" customHeight="1" x14ac:dyDescent="0.2">
      <c r="B31411" s="43"/>
    </row>
    <row r="31412" spans="2:2" ht="12.75" customHeight="1" x14ac:dyDescent="0.2">
      <c r="B31412" s="43"/>
    </row>
    <row r="31413" spans="2:2" ht="12.75" customHeight="1" x14ac:dyDescent="0.2">
      <c r="B31413" s="43"/>
    </row>
    <row r="31414" spans="2:2" ht="12.75" customHeight="1" x14ac:dyDescent="0.2">
      <c r="B31414" s="43"/>
    </row>
    <row r="31415" spans="2:2" ht="12.75" customHeight="1" x14ac:dyDescent="0.2">
      <c r="B31415" s="43"/>
    </row>
    <row r="31416" spans="2:2" ht="12.75" customHeight="1" x14ac:dyDescent="0.2">
      <c r="B31416" s="43"/>
    </row>
    <row r="31417" spans="2:2" ht="12.75" customHeight="1" x14ac:dyDescent="0.2">
      <c r="B31417" s="43"/>
    </row>
    <row r="31418" spans="2:2" ht="12.75" customHeight="1" x14ac:dyDescent="0.2">
      <c r="B31418" s="43"/>
    </row>
    <row r="31419" spans="2:2" ht="12.75" customHeight="1" x14ac:dyDescent="0.2">
      <c r="B31419" s="43"/>
    </row>
    <row r="31420" spans="2:2" ht="12.75" customHeight="1" x14ac:dyDescent="0.2">
      <c r="B31420" s="43"/>
    </row>
    <row r="31421" spans="2:2" ht="12.75" customHeight="1" x14ac:dyDescent="0.2">
      <c r="B31421" s="43"/>
    </row>
    <row r="31422" spans="2:2" ht="12.75" customHeight="1" x14ac:dyDescent="0.2">
      <c r="B31422" s="43"/>
    </row>
    <row r="31423" spans="2:2" ht="12.75" customHeight="1" x14ac:dyDescent="0.2">
      <c r="B31423" s="43"/>
    </row>
    <row r="31424" spans="2:2" ht="12.75" customHeight="1" x14ac:dyDescent="0.2">
      <c r="B31424" s="43"/>
    </row>
    <row r="31425" spans="2:2" ht="12.75" customHeight="1" x14ac:dyDescent="0.2">
      <c r="B31425" s="43"/>
    </row>
    <row r="31426" spans="2:2" ht="12.75" customHeight="1" x14ac:dyDescent="0.2">
      <c r="B31426" s="43"/>
    </row>
    <row r="31427" spans="2:2" ht="12.75" customHeight="1" x14ac:dyDescent="0.2">
      <c r="B31427" s="43"/>
    </row>
    <row r="31428" spans="2:2" ht="12.75" customHeight="1" x14ac:dyDescent="0.2">
      <c r="B31428" s="43"/>
    </row>
    <row r="31429" spans="2:2" ht="12.75" customHeight="1" x14ac:dyDescent="0.2">
      <c r="B31429" s="43"/>
    </row>
    <row r="31430" spans="2:2" ht="12.75" customHeight="1" x14ac:dyDescent="0.2">
      <c r="B31430" s="43"/>
    </row>
    <row r="31431" spans="2:2" ht="12.75" customHeight="1" x14ac:dyDescent="0.2">
      <c r="B31431" s="43"/>
    </row>
    <row r="31432" spans="2:2" ht="12.75" customHeight="1" x14ac:dyDescent="0.2">
      <c r="B31432" s="43"/>
    </row>
    <row r="31433" spans="2:2" ht="12.75" customHeight="1" x14ac:dyDescent="0.2">
      <c r="B31433" s="43"/>
    </row>
    <row r="31434" spans="2:2" ht="12.75" customHeight="1" x14ac:dyDescent="0.2">
      <c r="B31434" s="43"/>
    </row>
    <row r="31435" spans="2:2" ht="12.75" customHeight="1" x14ac:dyDescent="0.2">
      <c r="B31435" s="43"/>
    </row>
    <row r="31436" spans="2:2" ht="12.75" customHeight="1" x14ac:dyDescent="0.2">
      <c r="B31436" s="43"/>
    </row>
    <row r="31437" spans="2:2" ht="12.75" customHeight="1" x14ac:dyDescent="0.2">
      <c r="B31437" s="43"/>
    </row>
    <row r="31438" spans="2:2" ht="12.75" customHeight="1" x14ac:dyDescent="0.2">
      <c r="B31438" s="43"/>
    </row>
    <row r="31439" spans="2:2" ht="12.75" customHeight="1" x14ac:dyDescent="0.2">
      <c r="B31439" s="43"/>
    </row>
    <row r="31440" spans="2:2" ht="12.75" customHeight="1" x14ac:dyDescent="0.2">
      <c r="B31440" s="43"/>
    </row>
    <row r="31441" spans="2:2" ht="12.75" customHeight="1" x14ac:dyDescent="0.2">
      <c r="B31441" s="43"/>
    </row>
    <row r="31442" spans="2:2" ht="12.75" customHeight="1" x14ac:dyDescent="0.2">
      <c r="B31442" s="43"/>
    </row>
    <row r="31443" spans="2:2" ht="12.75" customHeight="1" x14ac:dyDescent="0.2">
      <c r="B31443" s="43"/>
    </row>
    <row r="31444" spans="2:2" ht="12.75" customHeight="1" x14ac:dyDescent="0.2">
      <c r="B31444" s="43"/>
    </row>
    <row r="31445" spans="2:2" ht="12.75" customHeight="1" x14ac:dyDescent="0.2">
      <c r="B31445" s="43"/>
    </row>
    <row r="31446" spans="2:2" ht="12.75" customHeight="1" x14ac:dyDescent="0.2">
      <c r="B31446" s="43"/>
    </row>
    <row r="31447" spans="2:2" ht="12.75" customHeight="1" x14ac:dyDescent="0.2">
      <c r="B31447" s="43"/>
    </row>
    <row r="31448" spans="2:2" ht="12.75" customHeight="1" x14ac:dyDescent="0.2">
      <c r="B31448" s="43"/>
    </row>
    <row r="31449" spans="2:2" ht="12.75" customHeight="1" x14ac:dyDescent="0.2">
      <c r="B31449" s="43"/>
    </row>
    <row r="31450" spans="2:2" ht="12.75" customHeight="1" x14ac:dyDescent="0.2">
      <c r="B31450" s="43"/>
    </row>
    <row r="31451" spans="2:2" ht="12.75" customHeight="1" x14ac:dyDescent="0.2">
      <c r="B31451" s="43"/>
    </row>
    <row r="31452" spans="2:2" ht="12.75" customHeight="1" x14ac:dyDescent="0.2">
      <c r="B31452" s="43"/>
    </row>
    <row r="31453" spans="2:2" ht="12.75" customHeight="1" x14ac:dyDescent="0.2">
      <c r="B31453" s="43"/>
    </row>
    <row r="31454" spans="2:2" ht="12.75" customHeight="1" x14ac:dyDescent="0.2">
      <c r="B31454" s="43"/>
    </row>
    <row r="31455" spans="2:2" ht="12.75" customHeight="1" x14ac:dyDescent="0.2">
      <c r="B31455" s="43"/>
    </row>
    <row r="31456" spans="2:2" ht="12.75" customHeight="1" x14ac:dyDescent="0.2">
      <c r="B31456" s="43"/>
    </row>
    <row r="31457" spans="2:2" ht="12.75" customHeight="1" x14ac:dyDescent="0.2">
      <c r="B31457" s="43"/>
    </row>
    <row r="31458" spans="2:2" ht="12.75" customHeight="1" x14ac:dyDescent="0.2">
      <c r="B31458" s="43"/>
    </row>
    <row r="31459" spans="2:2" ht="12.75" customHeight="1" x14ac:dyDescent="0.2">
      <c r="B31459" s="43"/>
    </row>
    <row r="31460" spans="2:2" ht="12.75" customHeight="1" x14ac:dyDescent="0.2">
      <c r="B31460" s="43"/>
    </row>
    <row r="31461" spans="2:2" ht="12.75" customHeight="1" x14ac:dyDescent="0.2">
      <c r="B31461" s="43"/>
    </row>
    <row r="31462" spans="2:2" ht="12.75" customHeight="1" x14ac:dyDescent="0.2">
      <c r="B31462" s="43"/>
    </row>
    <row r="31463" spans="2:2" ht="12.75" customHeight="1" x14ac:dyDescent="0.2">
      <c r="B31463" s="43"/>
    </row>
    <row r="31464" spans="2:2" ht="12.75" customHeight="1" x14ac:dyDescent="0.2">
      <c r="B31464" s="43"/>
    </row>
    <row r="31465" spans="2:2" ht="12.75" customHeight="1" x14ac:dyDescent="0.2">
      <c r="B31465" s="43"/>
    </row>
    <row r="31466" spans="2:2" ht="12.75" customHeight="1" x14ac:dyDescent="0.2">
      <c r="B31466" s="43"/>
    </row>
    <row r="31467" spans="2:2" ht="12.75" customHeight="1" x14ac:dyDescent="0.2">
      <c r="B31467" s="43"/>
    </row>
    <row r="31468" spans="2:2" ht="12.75" customHeight="1" x14ac:dyDescent="0.2">
      <c r="B31468" s="43"/>
    </row>
    <row r="31469" spans="2:2" ht="12.75" customHeight="1" x14ac:dyDescent="0.2">
      <c r="B31469" s="43"/>
    </row>
    <row r="31470" spans="2:2" ht="12.75" customHeight="1" x14ac:dyDescent="0.2">
      <c r="B31470" s="43"/>
    </row>
    <row r="31471" spans="2:2" ht="12.75" customHeight="1" x14ac:dyDescent="0.2">
      <c r="B31471" s="43"/>
    </row>
    <row r="31472" spans="2:2" ht="12.75" customHeight="1" x14ac:dyDescent="0.2">
      <c r="B31472" s="43"/>
    </row>
    <row r="31473" spans="2:2" ht="12.75" customHeight="1" x14ac:dyDescent="0.2">
      <c r="B31473" s="43"/>
    </row>
    <row r="31474" spans="2:2" ht="12.75" customHeight="1" x14ac:dyDescent="0.2">
      <c r="B31474" s="43"/>
    </row>
    <row r="31475" spans="2:2" ht="12.75" customHeight="1" x14ac:dyDescent="0.2">
      <c r="B31475" s="43"/>
    </row>
    <row r="31476" spans="2:2" ht="12.75" customHeight="1" x14ac:dyDescent="0.2">
      <c r="B31476" s="43"/>
    </row>
    <row r="31477" spans="2:2" ht="12.75" customHeight="1" x14ac:dyDescent="0.2">
      <c r="B31477" s="43"/>
    </row>
    <row r="31478" spans="2:2" ht="12.75" customHeight="1" x14ac:dyDescent="0.2">
      <c r="B31478" s="43"/>
    </row>
    <row r="31479" spans="2:2" ht="12.75" customHeight="1" x14ac:dyDescent="0.2">
      <c r="B31479" s="43"/>
    </row>
    <row r="31480" spans="2:2" ht="12.75" customHeight="1" x14ac:dyDescent="0.2">
      <c r="B31480" s="43"/>
    </row>
    <row r="31481" spans="2:2" ht="12.75" customHeight="1" x14ac:dyDescent="0.2">
      <c r="B31481" s="43"/>
    </row>
    <row r="31482" spans="2:2" ht="12.75" customHeight="1" x14ac:dyDescent="0.2">
      <c r="B31482" s="43"/>
    </row>
    <row r="31483" spans="2:2" ht="12.75" customHeight="1" x14ac:dyDescent="0.2">
      <c r="B31483" s="43"/>
    </row>
    <row r="31484" spans="2:2" ht="12.75" customHeight="1" x14ac:dyDescent="0.2">
      <c r="B31484" s="43"/>
    </row>
    <row r="31485" spans="2:2" ht="12.75" customHeight="1" x14ac:dyDescent="0.2">
      <c r="B31485" s="43"/>
    </row>
    <row r="31486" spans="2:2" ht="12.75" customHeight="1" x14ac:dyDescent="0.2">
      <c r="B31486" s="43"/>
    </row>
    <row r="31487" spans="2:2" ht="12.75" customHeight="1" x14ac:dyDescent="0.2">
      <c r="B31487" s="43"/>
    </row>
    <row r="31488" spans="2:2" ht="12.75" customHeight="1" x14ac:dyDescent="0.2">
      <c r="B31488" s="43"/>
    </row>
    <row r="31489" spans="2:2" ht="12.75" customHeight="1" x14ac:dyDescent="0.2">
      <c r="B31489" s="43"/>
    </row>
    <row r="31490" spans="2:2" ht="12.75" customHeight="1" x14ac:dyDescent="0.2">
      <c r="B31490" s="43"/>
    </row>
    <row r="31491" spans="2:2" ht="12.75" customHeight="1" x14ac:dyDescent="0.2">
      <c r="B31491" s="43"/>
    </row>
    <row r="31492" spans="2:2" ht="12.75" customHeight="1" x14ac:dyDescent="0.2">
      <c r="B31492" s="43"/>
    </row>
    <row r="31493" spans="2:2" ht="12.75" customHeight="1" x14ac:dyDescent="0.2">
      <c r="B31493" s="43"/>
    </row>
    <row r="31494" spans="2:2" ht="12.75" customHeight="1" x14ac:dyDescent="0.2">
      <c r="B31494" s="43"/>
    </row>
    <row r="31495" spans="2:2" ht="12.75" customHeight="1" x14ac:dyDescent="0.2">
      <c r="B31495" s="43"/>
    </row>
    <row r="31496" spans="2:2" ht="12.75" customHeight="1" x14ac:dyDescent="0.2">
      <c r="B31496" s="43"/>
    </row>
    <row r="31497" spans="2:2" ht="12.75" customHeight="1" x14ac:dyDescent="0.2">
      <c r="B31497" s="43"/>
    </row>
    <row r="31498" spans="2:2" ht="12.75" customHeight="1" x14ac:dyDescent="0.2">
      <c r="B31498" s="43"/>
    </row>
    <row r="31499" spans="2:2" ht="12.75" customHeight="1" x14ac:dyDescent="0.2">
      <c r="B31499" s="43"/>
    </row>
    <row r="31500" spans="2:2" ht="12.75" customHeight="1" x14ac:dyDescent="0.2">
      <c r="B31500" s="43"/>
    </row>
    <row r="31501" spans="2:2" ht="12.75" customHeight="1" x14ac:dyDescent="0.2">
      <c r="B31501" s="43"/>
    </row>
    <row r="31502" spans="2:2" ht="12.75" customHeight="1" x14ac:dyDescent="0.2">
      <c r="B31502" s="43"/>
    </row>
    <row r="31503" spans="2:2" ht="12.75" customHeight="1" x14ac:dyDescent="0.2">
      <c r="B31503" s="43"/>
    </row>
    <row r="31504" spans="2:2" ht="12.75" customHeight="1" x14ac:dyDescent="0.2">
      <c r="B31504" s="43"/>
    </row>
    <row r="31505" spans="2:2" ht="12.75" customHeight="1" x14ac:dyDescent="0.2">
      <c r="B31505" s="43"/>
    </row>
    <row r="31506" spans="2:2" ht="12.75" customHeight="1" x14ac:dyDescent="0.2">
      <c r="B31506" s="43"/>
    </row>
    <row r="31507" spans="2:2" ht="12.75" customHeight="1" x14ac:dyDescent="0.2">
      <c r="B31507" s="43"/>
    </row>
    <row r="31508" spans="2:2" ht="12.75" customHeight="1" x14ac:dyDescent="0.2">
      <c r="B31508" s="43"/>
    </row>
    <row r="31509" spans="2:2" ht="12.75" customHeight="1" x14ac:dyDescent="0.2">
      <c r="B31509" s="43"/>
    </row>
    <row r="31510" spans="2:2" ht="12.75" customHeight="1" x14ac:dyDescent="0.2">
      <c r="B31510" s="43"/>
    </row>
    <row r="31511" spans="2:2" ht="12.75" customHeight="1" x14ac:dyDescent="0.2">
      <c r="B31511" s="43"/>
    </row>
    <row r="31512" spans="2:2" ht="12.75" customHeight="1" x14ac:dyDescent="0.2">
      <c r="B31512" s="43"/>
    </row>
    <row r="31513" spans="2:2" ht="12.75" customHeight="1" x14ac:dyDescent="0.2">
      <c r="B31513" s="43"/>
    </row>
    <row r="31514" spans="2:2" ht="12.75" customHeight="1" x14ac:dyDescent="0.2">
      <c r="B31514" s="43"/>
    </row>
    <row r="31515" spans="2:2" ht="12.75" customHeight="1" x14ac:dyDescent="0.2">
      <c r="B31515" s="43"/>
    </row>
    <row r="31516" spans="2:2" ht="12.75" customHeight="1" x14ac:dyDescent="0.2">
      <c r="B31516" s="43"/>
    </row>
    <row r="31517" spans="2:2" ht="12.75" customHeight="1" x14ac:dyDescent="0.2">
      <c r="B31517" s="43"/>
    </row>
    <row r="31518" spans="2:2" ht="12.75" customHeight="1" x14ac:dyDescent="0.2">
      <c r="B31518" s="43"/>
    </row>
    <row r="31519" spans="2:2" ht="12.75" customHeight="1" x14ac:dyDescent="0.2">
      <c r="B31519" s="43"/>
    </row>
    <row r="31520" spans="2:2" ht="12.75" customHeight="1" x14ac:dyDescent="0.2">
      <c r="B31520" s="43"/>
    </row>
    <row r="31521" spans="2:2" ht="12.75" customHeight="1" x14ac:dyDescent="0.2">
      <c r="B31521" s="43"/>
    </row>
    <row r="31522" spans="2:2" ht="12.75" customHeight="1" x14ac:dyDescent="0.2">
      <c r="B31522" s="43"/>
    </row>
    <row r="31523" spans="2:2" ht="12.75" customHeight="1" x14ac:dyDescent="0.2">
      <c r="B31523" s="43"/>
    </row>
    <row r="31524" spans="2:2" ht="12.75" customHeight="1" x14ac:dyDescent="0.2">
      <c r="B31524" s="43"/>
    </row>
    <row r="31525" spans="2:2" ht="12.75" customHeight="1" x14ac:dyDescent="0.2">
      <c r="B31525" s="43"/>
    </row>
    <row r="31526" spans="2:2" ht="12.75" customHeight="1" x14ac:dyDescent="0.2">
      <c r="B31526" s="43"/>
    </row>
    <row r="31527" spans="2:2" ht="12.75" customHeight="1" x14ac:dyDescent="0.2">
      <c r="B31527" s="43"/>
    </row>
    <row r="31528" spans="2:2" ht="12.75" customHeight="1" x14ac:dyDescent="0.2">
      <c r="B31528" s="43"/>
    </row>
    <row r="31529" spans="2:2" ht="12.75" customHeight="1" x14ac:dyDescent="0.2">
      <c r="B31529" s="43"/>
    </row>
    <row r="31530" spans="2:2" ht="12.75" customHeight="1" x14ac:dyDescent="0.2">
      <c r="B31530" s="43"/>
    </row>
    <row r="31531" spans="2:2" ht="12.75" customHeight="1" x14ac:dyDescent="0.2">
      <c r="B31531" s="43"/>
    </row>
    <row r="31532" spans="2:2" ht="12.75" customHeight="1" x14ac:dyDescent="0.2">
      <c r="B31532" s="43"/>
    </row>
    <row r="31533" spans="2:2" ht="12.75" customHeight="1" x14ac:dyDescent="0.2">
      <c r="B31533" s="43"/>
    </row>
    <row r="31534" spans="2:2" ht="12.75" customHeight="1" x14ac:dyDescent="0.2">
      <c r="B31534" s="43"/>
    </row>
    <row r="31535" spans="2:2" ht="12.75" customHeight="1" x14ac:dyDescent="0.2">
      <c r="B31535" s="43"/>
    </row>
    <row r="31536" spans="2:2" ht="12.75" customHeight="1" x14ac:dyDescent="0.2">
      <c r="B31536" s="43"/>
    </row>
    <row r="31537" spans="2:2" ht="12.75" customHeight="1" x14ac:dyDescent="0.2">
      <c r="B31537" s="43"/>
    </row>
    <row r="31538" spans="2:2" ht="12.75" customHeight="1" x14ac:dyDescent="0.2">
      <c r="B31538" s="43"/>
    </row>
    <row r="31539" spans="2:2" ht="12.75" customHeight="1" x14ac:dyDescent="0.2">
      <c r="B31539" s="43"/>
    </row>
    <row r="31540" spans="2:2" ht="12.75" customHeight="1" x14ac:dyDescent="0.2">
      <c r="B31540" s="43"/>
    </row>
    <row r="31541" spans="2:2" ht="12.75" customHeight="1" x14ac:dyDescent="0.2">
      <c r="B31541" s="43"/>
    </row>
    <row r="31542" spans="2:2" ht="12.75" customHeight="1" x14ac:dyDescent="0.2">
      <c r="B31542" s="43"/>
    </row>
    <row r="31543" spans="2:2" ht="12.75" customHeight="1" x14ac:dyDescent="0.2">
      <c r="B31543" s="43"/>
    </row>
    <row r="31544" spans="2:2" ht="12.75" customHeight="1" x14ac:dyDescent="0.2">
      <c r="B31544" s="43"/>
    </row>
    <row r="31545" spans="2:2" ht="12.75" customHeight="1" x14ac:dyDescent="0.2">
      <c r="B31545" s="43"/>
    </row>
    <row r="31546" spans="2:2" ht="12.75" customHeight="1" x14ac:dyDescent="0.2">
      <c r="B31546" s="43"/>
    </row>
    <row r="31547" spans="2:2" ht="12.75" customHeight="1" x14ac:dyDescent="0.2">
      <c r="B31547" s="43"/>
    </row>
    <row r="31548" spans="2:2" ht="12.75" customHeight="1" x14ac:dyDescent="0.2">
      <c r="B31548" s="43"/>
    </row>
    <row r="31549" spans="2:2" ht="12.75" customHeight="1" x14ac:dyDescent="0.2">
      <c r="B31549" s="43"/>
    </row>
    <row r="31550" spans="2:2" ht="12.75" customHeight="1" x14ac:dyDescent="0.2">
      <c r="B31550" s="43"/>
    </row>
    <row r="31551" spans="2:2" ht="12.75" customHeight="1" x14ac:dyDescent="0.2">
      <c r="B31551" s="43"/>
    </row>
    <row r="31552" spans="2:2" ht="12.75" customHeight="1" x14ac:dyDescent="0.2">
      <c r="B31552" s="43"/>
    </row>
    <row r="31553" spans="2:2" ht="12.75" customHeight="1" x14ac:dyDescent="0.2">
      <c r="B31553" s="43"/>
    </row>
    <row r="31554" spans="2:2" ht="12.75" customHeight="1" x14ac:dyDescent="0.2">
      <c r="B31554" s="43"/>
    </row>
    <row r="31555" spans="2:2" ht="12.75" customHeight="1" x14ac:dyDescent="0.2">
      <c r="B31555" s="43"/>
    </row>
    <row r="31556" spans="2:2" ht="12.75" customHeight="1" x14ac:dyDescent="0.2">
      <c r="B31556" s="43"/>
    </row>
    <row r="31557" spans="2:2" ht="12.75" customHeight="1" x14ac:dyDescent="0.2">
      <c r="B31557" s="43"/>
    </row>
    <row r="31558" spans="2:2" ht="12.75" customHeight="1" x14ac:dyDescent="0.2">
      <c r="B31558" s="43"/>
    </row>
    <row r="31559" spans="2:2" ht="12.75" customHeight="1" x14ac:dyDescent="0.2">
      <c r="B31559" s="43"/>
    </row>
    <row r="31560" spans="2:2" ht="12.75" customHeight="1" x14ac:dyDescent="0.2">
      <c r="B31560" s="43"/>
    </row>
    <row r="31561" spans="2:2" ht="12.75" customHeight="1" x14ac:dyDescent="0.2">
      <c r="B31561" s="43"/>
    </row>
    <row r="31562" spans="2:2" ht="12.75" customHeight="1" x14ac:dyDescent="0.2">
      <c r="B31562" s="43"/>
    </row>
    <row r="31563" spans="2:2" ht="12.75" customHeight="1" x14ac:dyDescent="0.2">
      <c r="B31563" s="43"/>
    </row>
    <row r="31564" spans="2:2" ht="12.75" customHeight="1" x14ac:dyDescent="0.2">
      <c r="B31564" s="43"/>
    </row>
    <row r="31565" spans="2:2" ht="12.75" customHeight="1" x14ac:dyDescent="0.2">
      <c r="B31565" s="43"/>
    </row>
    <row r="31566" spans="2:2" ht="12.75" customHeight="1" x14ac:dyDescent="0.2">
      <c r="B31566" s="43"/>
    </row>
    <row r="31567" spans="2:2" ht="12.75" customHeight="1" x14ac:dyDescent="0.2">
      <c r="B31567" s="43"/>
    </row>
    <row r="31568" spans="2:2" ht="12.75" customHeight="1" x14ac:dyDescent="0.2">
      <c r="B31568" s="43"/>
    </row>
    <row r="31569" spans="2:2" ht="12.75" customHeight="1" x14ac:dyDescent="0.2">
      <c r="B31569" s="43"/>
    </row>
    <row r="31570" spans="2:2" ht="12.75" customHeight="1" x14ac:dyDescent="0.2">
      <c r="B31570" s="43"/>
    </row>
    <row r="31571" spans="2:2" ht="12.75" customHeight="1" x14ac:dyDescent="0.2">
      <c r="B31571" s="43"/>
    </row>
    <row r="31572" spans="2:2" ht="12.75" customHeight="1" x14ac:dyDescent="0.2">
      <c r="B31572" s="43"/>
    </row>
    <row r="31573" spans="2:2" ht="12.75" customHeight="1" x14ac:dyDescent="0.2">
      <c r="B31573" s="43"/>
    </row>
    <row r="31574" spans="2:2" ht="12.75" customHeight="1" x14ac:dyDescent="0.2">
      <c r="B31574" s="43"/>
    </row>
    <row r="31575" spans="2:2" ht="12.75" customHeight="1" x14ac:dyDescent="0.2">
      <c r="B31575" s="43"/>
    </row>
    <row r="31576" spans="2:2" ht="12.75" customHeight="1" x14ac:dyDescent="0.2">
      <c r="B31576" s="43"/>
    </row>
    <row r="31577" spans="2:2" ht="12.75" customHeight="1" x14ac:dyDescent="0.2">
      <c r="B31577" s="43"/>
    </row>
    <row r="31578" spans="2:2" ht="12.75" customHeight="1" x14ac:dyDescent="0.2">
      <c r="B31578" s="43"/>
    </row>
    <row r="31579" spans="2:2" ht="12.75" customHeight="1" x14ac:dyDescent="0.2">
      <c r="B31579" s="43"/>
    </row>
    <row r="31580" spans="2:2" ht="12.75" customHeight="1" x14ac:dyDescent="0.2">
      <c r="B31580" s="43"/>
    </row>
    <row r="31581" spans="2:2" ht="12.75" customHeight="1" x14ac:dyDescent="0.2">
      <c r="B31581" s="43"/>
    </row>
    <row r="31582" spans="2:2" ht="12.75" customHeight="1" x14ac:dyDescent="0.2">
      <c r="B31582" s="43"/>
    </row>
    <row r="31583" spans="2:2" ht="12.75" customHeight="1" x14ac:dyDescent="0.2">
      <c r="B31583" s="43"/>
    </row>
    <row r="31584" spans="2:2" ht="12.75" customHeight="1" x14ac:dyDescent="0.2">
      <c r="B31584" s="43"/>
    </row>
    <row r="31585" spans="2:2" ht="12.75" customHeight="1" x14ac:dyDescent="0.2">
      <c r="B31585" s="43"/>
    </row>
    <row r="31586" spans="2:2" ht="12.75" customHeight="1" x14ac:dyDescent="0.2">
      <c r="B31586" s="43"/>
    </row>
    <row r="31587" spans="2:2" ht="12.75" customHeight="1" x14ac:dyDescent="0.2">
      <c r="B31587" s="43"/>
    </row>
    <row r="31588" spans="2:2" ht="12.75" customHeight="1" x14ac:dyDescent="0.2">
      <c r="B31588" s="43"/>
    </row>
    <row r="31589" spans="2:2" ht="12.75" customHeight="1" x14ac:dyDescent="0.2">
      <c r="B31589" s="43"/>
    </row>
    <row r="31590" spans="2:2" ht="12.75" customHeight="1" x14ac:dyDescent="0.2">
      <c r="B31590" s="43"/>
    </row>
    <row r="31591" spans="2:2" ht="12.75" customHeight="1" x14ac:dyDescent="0.2">
      <c r="B31591" s="43"/>
    </row>
    <row r="31592" spans="2:2" ht="12.75" customHeight="1" x14ac:dyDescent="0.2">
      <c r="B31592" s="43"/>
    </row>
    <row r="31593" spans="2:2" ht="12.75" customHeight="1" x14ac:dyDescent="0.2">
      <c r="B31593" s="43"/>
    </row>
    <row r="31594" spans="2:2" ht="12.75" customHeight="1" x14ac:dyDescent="0.2">
      <c r="B31594" s="43"/>
    </row>
    <row r="31595" spans="2:2" ht="12.75" customHeight="1" x14ac:dyDescent="0.2">
      <c r="B31595" s="43"/>
    </row>
    <row r="31596" spans="2:2" ht="12.75" customHeight="1" x14ac:dyDescent="0.2">
      <c r="B31596" s="43"/>
    </row>
    <row r="31597" spans="2:2" ht="12.75" customHeight="1" x14ac:dyDescent="0.2">
      <c r="B31597" s="43"/>
    </row>
    <row r="31598" spans="2:2" ht="12.75" customHeight="1" x14ac:dyDescent="0.2">
      <c r="B31598" s="43"/>
    </row>
    <row r="31599" spans="2:2" ht="12.75" customHeight="1" x14ac:dyDescent="0.2">
      <c r="B31599" s="43"/>
    </row>
    <row r="31600" spans="2:2" ht="12.75" customHeight="1" x14ac:dyDescent="0.2">
      <c r="B31600" s="43"/>
    </row>
    <row r="31601" spans="2:2" ht="12.75" customHeight="1" x14ac:dyDescent="0.2">
      <c r="B31601" s="43"/>
    </row>
    <row r="31602" spans="2:2" ht="12.75" customHeight="1" x14ac:dyDescent="0.2">
      <c r="B31602" s="43"/>
    </row>
    <row r="31603" spans="2:2" ht="12.75" customHeight="1" x14ac:dyDescent="0.2">
      <c r="B31603" s="43"/>
    </row>
    <row r="31604" spans="2:2" ht="12.75" customHeight="1" x14ac:dyDescent="0.2">
      <c r="B31604" s="43"/>
    </row>
    <row r="31605" spans="2:2" ht="12.75" customHeight="1" x14ac:dyDescent="0.2">
      <c r="B31605" s="43"/>
    </row>
    <row r="31606" spans="2:2" ht="12.75" customHeight="1" x14ac:dyDescent="0.2">
      <c r="B31606" s="43"/>
    </row>
    <row r="31607" spans="2:2" ht="12.75" customHeight="1" x14ac:dyDescent="0.2">
      <c r="B31607" s="43"/>
    </row>
    <row r="31608" spans="2:2" ht="12.75" customHeight="1" x14ac:dyDescent="0.2">
      <c r="B31608" s="43"/>
    </row>
    <row r="31609" spans="2:2" ht="12.75" customHeight="1" x14ac:dyDescent="0.2">
      <c r="B31609" s="43"/>
    </row>
    <row r="31610" spans="2:2" ht="12.75" customHeight="1" x14ac:dyDescent="0.2">
      <c r="B31610" s="43"/>
    </row>
    <row r="31611" spans="2:2" ht="12.75" customHeight="1" x14ac:dyDescent="0.2">
      <c r="B31611" s="43"/>
    </row>
    <row r="31612" spans="2:2" ht="12.75" customHeight="1" x14ac:dyDescent="0.2">
      <c r="B31612" s="43"/>
    </row>
    <row r="31613" spans="2:2" ht="12.75" customHeight="1" x14ac:dyDescent="0.2">
      <c r="B31613" s="43"/>
    </row>
    <row r="31614" spans="2:2" ht="12.75" customHeight="1" x14ac:dyDescent="0.2">
      <c r="B31614" s="43"/>
    </row>
    <row r="31615" spans="2:2" ht="12.75" customHeight="1" x14ac:dyDescent="0.2">
      <c r="B31615" s="43"/>
    </row>
    <row r="31616" spans="2:2" ht="12.75" customHeight="1" x14ac:dyDescent="0.2">
      <c r="B31616" s="43"/>
    </row>
    <row r="31617" spans="2:2" ht="12.75" customHeight="1" x14ac:dyDescent="0.2">
      <c r="B31617" s="43"/>
    </row>
    <row r="31618" spans="2:2" ht="12.75" customHeight="1" x14ac:dyDescent="0.2">
      <c r="B31618" s="43"/>
    </row>
    <row r="31619" spans="2:2" ht="12.75" customHeight="1" x14ac:dyDescent="0.2">
      <c r="B31619" s="43"/>
    </row>
    <row r="31620" spans="2:2" ht="12.75" customHeight="1" x14ac:dyDescent="0.2">
      <c r="B31620" s="43"/>
    </row>
    <row r="31621" spans="2:2" ht="12.75" customHeight="1" x14ac:dyDescent="0.2">
      <c r="B31621" s="43"/>
    </row>
    <row r="31622" spans="2:2" ht="12.75" customHeight="1" x14ac:dyDescent="0.2">
      <c r="B31622" s="43"/>
    </row>
    <row r="31623" spans="2:2" ht="12.75" customHeight="1" x14ac:dyDescent="0.2">
      <c r="B31623" s="43"/>
    </row>
    <row r="31624" spans="2:2" ht="12.75" customHeight="1" x14ac:dyDescent="0.2">
      <c r="B31624" s="43"/>
    </row>
    <row r="31625" spans="2:2" ht="12.75" customHeight="1" x14ac:dyDescent="0.2">
      <c r="B31625" s="43"/>
    </row>
    <row r="31626" spans="2:2" ht="12.75" customHeight="1" x14ac:dyDescent="0.2">
      <c r="B31626" s="43"/>
    </row>
    <row r="31627" spans="2:2" ht="12.75" customHeight="1" x14ac:dyDescent="0.2">
      <c r="B31627" s="43"/>
    </row>
    <row r="31628" spans="2:2" ht="12.75" customHeight="1" x14ac:dyDescent="0.2">
      <c r="B31628" s="43"/>
    </row>
    <row r="31629" spans="2:2" ht="12.75" customHeight="1" x14ac:dyDescent="0.2">
      <c r="B31629" s="43"/>
    </row>
    <row r="31630" spans="2:2" ht="12.75" customHeight="1" x14ac:dyDescent="0.2">
      <c r="B31630" s="43"/>
    </row>
    <row r="31631" spans="2:2" ht="12.75" customHeight="1" x14ac:dyDescent="0.2">
      <c r="B31631" s="43"/>
    </row>
    <row r="31632" spans="2:2" ht="12.75" customHeight="1" x14ac:dyDescent="0.2">
      <c r="B31632" s="43"/>
    </row>
    <row r="31633" spans="2:2" ht="12.75" customHeight="1" x14ac:dyDescent="0.2">
      <c r="B31633" s="43"/>
    </row>
    <row r="31634" spans="2:2" ht="12.75" customHeight="1" x14ac:dyDescent="0.2">
      <c r="B31634" s="43"/>
    </row>
    <row r="31635" spans="2:2" ht="12.75" customHeight="1" x14ac:dyDescent="0.2">
      <c r="B31635" s="43"/>
    </row>
    <row r="31636" spans="2:2" ht="12.75" customHeight="1" x14ac:dyDescent="0.2">
      <c r="B31636" s="43"/>
    </row>
    <row r="31637" spans="2:2" ht="12.75" customHeight="1" x14ac:dyDescent="0.2">
      <c r="B31637" s="43"/>
    </row>
    <row r="31638" spans="2:2" ht="12.75" customHeight="1" x14ac:dyDescent="0.2">
      <c r="B31638" s="43"/>
    </row>
    <row r="31639" spans="2:2" ht="12.75" customHeight="1" x14ac:dyDescent="0.2">
      <c r="B31639" s="43"/>
    </row>
    <row r="31640" spans="2:2" ht="12.75" customHeight="1" x14ac:dyDescent="0.2">
      <c r="B31640" s="43"/>
    </row>
    <row r="31641" spans="2:2" ht="12.75" customHeight="1" x14ac:dyDescent="0.2">
      <c r="B31641" s="43"/>
    </row>
    <row r="31642" spans="2:2" ht="12.75" customHeight="1" x14ac:dyDescent="0.2">
      <c r="B31642" s="43"/>
    </row>
    <row r="31643" spans="2:2" ht="12.75" customHeight="1" x14ac:dyDescent="0.2">
      <c r="B31643" s="43"/>
    </row>
    <row r="31644" spans="2:2" ht="12.75" customHeight="1" x14ac:dyDescent="0.2">
      <c r="B31644" s="43"/>
    </row>
    <row r="31645" spans="2:2" ht="12.75" customHeight="1" x14ac:dyDescent="0.2">
      <c r="B31645" s="43"/>
    </row>
    <row r="31646" spans="2:2" ht="12.75" customHeight="1" x14ac:dyDescent="0.2">
      <c r="B31646" s="43"/>
    </row>
    <row r="31647" spans="2:2" ht="12.75" customHeight="1" x14ac:dyDescent="0.2">
      <c r="B31647" s="43"/>
    </row>
    <row r="31648" spans="2:2" ht="12.75" customHeight="1" x14ac:dyDescent="0.2">
      <c r="B31648" s="43"/>
    </row>
    <row r="31649" spans="2:2" ht="12.75" customHeight="1" x14ac:dyDescent="0.2">
      <c r="B31649" s="43"/>
    </row>
    <row r="31650" spans="2:2" ht="12.75" customHeight="1" x14ac:dyDescent="0.2">
      <c r="B31650" s="43"/>
    </row>
    <row r="31651" spans="2:2" ht="12.75" customHeight="1" x14ac:dyDescent="0.2">
      <c r="B31651" s="43"/>
    </row>
    <row r="31652" spans="2:2" ht="12.75" customHeight="1" x14ac:dyDescent="0.2">
      <c r="B31652" s="43"/>
    </row>
    <row r="31653" spans="2:2" ht="12.75" customHeight="1" x14ac:dyDescent="0.2">
      <c r="B31653" s="43"/>
    </row>
    <row r="31654" spans="2:2" ht="12.75" customHeight="1" x14ac:dyDescent="0.2">
      <c r="B31654" s="43"/>
    </row>
    <row r="31655" spans="2:2" ht="12.75" customHeight="1" x14ac:dyDescent="0.2">
      <c r="B31655" s="43"/>
    </row>
    <row r="31656" spans="2:2" ht="12.75" customHeight="1" x14ac:dyDescent="0.2">
      <c r="B31656" s="43"/>
    </row>
    <row r="31657" spans="2:2" ht="12.75" customHeight="1" x14ac:dyDescent="0.2">
      <c r="B31657" s="43"/>
    </row>
    <row r="31658" spans="2:2" ht="12.75" customHeight="1" x14ac:dyDescent="0.2">
      <c r="B31658" s="43"/>
    </row>
    <row r="31659" spans="2:2" ht="12.75" customHeight="1" x14ac:dyDescent="0.2">
      <c r="B31659" s="43"/>
    </row>
    <row r="31660" spans="2:2" ht="12.75" customHeight="1" x14ac:dyDescent="0.2">
      <c r="B31660" s="43"/>
    </row>
    <row r="31661" spans="2:2" ht="12.75" customHeight="1" x14ac:dyDescent="0.2">
      <c r="B31661" s="43"/>
    </row>
    <row r="31662" spans="2:2" ht="12.75" customHeight="1" x14ac:dyDescent="0.2">
      <c r="B31662" s="43"/>
    </row>
    <row r="31663" spans="2:2" ht="12.75" customHeight="1" x14ac:dyDescent="0.2">
      <c r="B31663" s="43"/>
    </row>
    <row r="31664" spans="2:2" ht="12.75" customHeight="1" x14ac:dyDescent="0.2">
      <c r="B31664" s="43"/>
    </row>
    <row r="31665" spans="2:2" ht="12.75" customHeight="1" x14ac:dyDescent="0.2">
      <c r="B31665" s="43"/>
    </row>
    <row r="31666" spans="2:2" ht="12.75" customHeight="1" x14ac:dyDescent="0.2">
      <c r="B31666" s="43"/>
    </row>
    <row r="31667" spans="2:2" ht="12.75" customHeight="1" x14ac:dyDescent="0.2">
      <c r="B31667" s="43"/>
    </row>
    <row r="31668" spans="2:2" ht="12.75" customHeight="1" x14ac:dyDescent="0.2">
      <c r="B31668" s="43"/>
    </row>
    <row r="31669" spans="2:2" ht="12.75" customHeight="1" x14ac:dyDescent="0.2">
      <c r="B31669" s="43"/>
    </row>
    <row r="31670" spans="2:2" ht="12.75" customHeight="1" x14ac:dyDescent="0.2">
      <c r="B31670" s="43"/>
    </row>
    <row r="31671" spans="2:2" ht="12.75" customHeight="1" x14ac:dyDescent="0.2">
      <c r="B31671" s="43"/>
    </row>
    <row r="31672" spans="2:2" ht="12.75" customHeight="1" x14ac:dyDescent="0.2">
      <c r="B31672" s="43"/>
    </row>
    <row r="31673" spans="2:2" ht="12.75" customHeight="1" x14ac:dyDescent="0.2">
      <c r="B31673" s="43"/>
    </row>
    <row r="31674" spans="2:2" ht="12.75" customHeight="1" x14ac:dyDescent="0.2">
      <c r="B31674" s="43"/>
    </row>
    <row r="31675" spans="2:2" ht="12.75" customHeight="1" x14ac:dyDescent="0.2">
      <c r="B31675" s="43"/>
    </row>
    <row r="31676" spans="2:2" ht="12.75" customHeight="1" x14ac:dyDescent="0.2">
      <c r="B31676" s="43"/>
    </row>
    <row r="31677" spans="2:2" ht="12.75" customHeight="1" x14ac:dyDescent="0.2">
      <c r="B31677" s="43"/>
    </row>
    <row r="31678" spans="2:2" ht="12.75" customHeight="1" x14ac:dyDescent="0.2">
      <c r="B31678" s="43"/>
    </row>
    <row r="31679" spans="2:2" ht="12.75" customHeight="1" x14ac:dyDescent="0.2">
      <c r="B31679" s="43"/>
    </row>
    <row r="31680" spans="2:2" ht="12.75" customHeight="1" x14ac:dyDescent="0.2">
      <c r="B31680" s="43"/>
    </row>
    <row r="31681" spans="2:2" ht="12.75" customHeight="1" x14ac:dyDescent="0.2">
      <c r="B31681" s="43"/>
    </row>
    <row r="31682" spans="2:2" ht="12.75" customHeight="1" x14ac:dyDescent="0.2">
      <c r="B31682" s="43"/>
    </row>
    <row r="31683" spans="2:2" ht="12.75" customHeight="1" x14ac:dyDescent="0.2">
      <c r="B31683" s="43"/>
    </row>
    <row r="31684" spans="2:2" ht="12.75" customHeight="1" x14ac:dyDescent="0.2">
      <c r="B31684" s="43"/>
    </row>
    <row r="31685" spans="2:2" ht="12.75" customHeight="1" x14ac:dyDescent="0.2">
      <c r="B31685" s="43"/>
    </row>
    <row r="31686" spans="2:2" ht="12.75" customHeight="1" x14ac:dyDescent="0.2">
      <c r="B31686" s="43"/>
    </row>
    <row r="31687" spans="2:2" ht="12.75" customHeight="1" x14ac:dyDescent="0.2">
      <c r="B31687" s="43"/>
    </row>
    <row r="31688" spans="2:2" ht="12.75" customHeight="1" x14ac:dyDescent="0.2">
      <c r="B31688" s="43"/>
    </row>
    <row r="31689" spans="2:2" ht="12.75" customHeight="1" x14ac:dyDescent="0.2">
      <c r="B31689" s="43"/>
    </row>
    <row r="31690" spans="2:2" ht="12.75" customHeight="1" x14ac:dyDescent="0.2">
      <c r="B31690" s="43"/>
    </row>
    <row r="31691" spans="2:2" ht="12.75" customHeight="1" x14ac:dyDescent="0.2">
      <c r="B31691" s="43"/>
    </row>
    <row r="31692" spans="2:2" ht="12.75" customHeight="1" x14ac:dyDescent="0.2">
      <c r="B31692" s="43"/>
    </row>
    <row r="31693" spans="2:2" ht="12.75" customHeight="1" x14ac:dyDescent="0.2">
      <c r="B31693" s="43"/>
    </row>
    <row r="31694" spans="2:2" ht="12.75" customHeight="1" x14ac:dyDescent="0.2">
      <c r="B31694" s="43"/>
    </row>
    <row r="31695" spans="2:2" ht="12.75" customHeight="1" x14ac:dyDescent="0.2">
      <c r="B31695" s="43"/>
    </row>
    <row r="31696" spans="2:2" ht="12.75" customHeight="1" x14ac:dyDescent="0.2">
      <c r="B31696" s="43"/>
    </row>
    <row r="31697" spans="2:2" ht="12.75" customHeight="1" x14ac:dyDescent="0.2">
      <c r="B31697" s="43"/>
    </row>
    <row r="31698" spans="2:2" ht="12.75" customHeight="1" x14ac:dyDescent="0.2">
      <c r="B31698" s="43"/>
    </row>
    <row r="31699" spans="2:2" ht="12.75" customHeight="1" x14ac:dyDescent="0.2">
      <c r="B31699" s="43"/>
    </row>
    <row r="31700" spans="2:2" ht="12.75" customHeight="1" x14ac:dyDescent="0.2">
      <c r="B31700" s="43"/>
    </row>
    <row r="31701" spans="2:2" ht="12.75" customHeight="1" x14ac:dyDescent="0.2">
      <c r="B31701" s="43"/>
    </row>
    <row r="31702" spans="2:2" ht="12.75" customHeight="1" x14ac:dyDescent="0.2">
      <c r="B31702" s="43"/>
    </row>
    <row r="31703" spans="2:2" ht="12.75" customHeight="1" x14ac:dyDescent="0.2">
      <c r="B31703" s="43"/>
    </row>
    <row r="31704" spans="2:2" ht="12.75" customHeight="1" x14ac:dyDescent="0.2">
      <c r="B31704" s="43"/>
    </row>
    <row r="31705" spans="2:2" ht="12.75" customHeight="1" x14ac:dyDescent="0.2">
      <c r="B31705" s="43"/>
    </row>
    <row r="31706" spans="2:2" ht="12.75" customHeight="1" x14ac:dyDescent="0.2">
      <c r="B31706" s="43"/>
    </row>
    <row r="31707" spans="2:2" ht="12.75" customHeight="1" x14ac:dyDescent="0.2">
      <c r="B31707" s="43"/>
    </row>
    <row r="31708" spans="2:2" ht="12.75" customHeight="1" x14ac:dyDescent="0.2">
      <c r="B31708" s="43"/>
    </row>
    <row r="31709" spans="2:2" ht="12.75" customHeight="1" x14ac:dyDescent="0.2">
      <c r="B31709" s="43"/>
    </row>
    <row r="31710" spans="2:2" ht="12.75" customHeight="1" x14ac:dyDescent="0.2">
      <c r="B31710" s="43"/>
    </row>
    <row r="31711" spans="2:2" ht="12.75" customHeight="1" x14ac:dyDescent="0.2">
      <c r="B31711" s="43"/>
    </row>
    <row r="31712" spans="2:2" ht="12.75" customHeight="1" x14ac:dyDescent="0.2">
      <c r="B31712" s="43"/>
    </row>
    <row r="31713" spans="2:2" ht="12.75" customHeight="1" x14ac:dyDescent="0.2">
      <c r="B31713" s="43"/>
    </row>
    <row r="31714" spans="2:2" ht="12.75" customHeight="1" x14ac:dyDescent="0.2">
      <c r="B31714" s="43"/>
    </row>
    <row r="31715" spans="2:2" ht="12.75" customHeight="1" x14ac:dyDescent="0.2">
      <c r="B31715" s="43"/>
    </row>
    <row r="31716" spans="2:2" ht="12.75" customHeight="1" x14ac:dyDescent="0.2">
      <c r="B31716" s="43"/>
    </row>
    <row r="31717" spans="2:2" ht="12.75" customHeight="1" x14ac:dyDescent="0.2">
      <c r="B31717" s="43"/>
    </row>
    <row r="31718" spans="2:2" ht="12.75" customHeight="1" x14ac:dyDescent="0.2">
      <c r="B31718" s="43"/>
    </row>
    <row r="31719" spans="2:2" ht="12.75" customHeight="1" x14ac:dyDescent="0.2">
      <c r="B31719" s="43"/>
    </row>
    <row r="31720" spans="2:2" ht="12.75" customHeight="1" x14ac:dyDescent="0.2">
      <c r="B31720" s="43"/>
    </row>
    <row r="31721" spans="2:2" ht="12.75" customHeight="1" x14ac:dyDescent="0.2">
      <c r="B31721" s="43"/>
    </row>
    <row r="31722" spans="2:2" ht="12.75" customHeight="1" x14ac:dyDescent="0.2">
      <c r="B31722" s="43"/>
    </row>
    <row r="31723" spans="2:2" ht="12.75" customHeight="1" x14ac:dyDescent="0.2">
      <c r="B31723" s="43"/>
    </row>
    <row r="31724" spans="2:2" ht="12.75" customHeight="1" x14ac:dyDescent="0.2">
      <c r="B31724" s="43"/>
    </row>
    <row r="31725" spans="2:2" ht="12.75" customHeight="1" x14ac:dyDescent="0.2">
      <c r="B31725" s="43"/>
    </row>
    <row r="31726" spans="2:2" ht="12.75" customHeight="1" x14ac:dyDescent="0.2">
      <c r="B31726" s="43"/>
    </row>
    <row r="31727" spans="2:2" ht="12.75" customHeight="1" x14ac:dyDescent="0.2">
      <c r="B31727" s="43"/>
    </row>
    <row r="31728" spans="2:2" ht="12.75" customHeight="1" x14ac:dyDescent="0.2">
      <c r="B31728" s="43"/>
    </row>
    <row r="31729" spans="2:2" ht="12.75" customHeight="1" x14ac:dyDescent="0.2">
      <c r="B31729" s="43"/>
    </row>
    <row r="31730" spans="2:2" ht="12.75" customHeight="1" x14ac:dyDescent="0.2">
      <c r="B31730" s="43"/>
    </row>
    <row r="31731" spans="2:2" ht="12.75" customHeight="1" x14ac:dyDescent="0.2">
      <c r="B31731" s="43"/>
    </row>
    <row r="31732" spans="2:2" ht="12.75" customHeight="1" x14ac:dyDescent="0.2">
      <c r="B31732" s="43"/>
    </row>
    <row r="31733" spans="2:2" ht="12.75" customHeight="1" x14ac:dyDescent="0.2">
      <c r="B31733" s="43"/>
    </row>
    <row r="31734" spans="2:2" ht="12.75" customHeight="1" x14ac:dyDescent="0.2">
      <c r="B31734" s="43"/>
    </row>
    <row r="31735" spans="2:2" ht="12.75" customHeight="1" x14ac:dyDescent="0.2">
      <c r="B31735" s="43"/>
    </row>
    <row r="31736" spans="2:2" ht="12.75" customHeight="1" x14ac:dyDescent="0.2">
      <c r="B31736" s="43"/>
    </row>
    <row r="31737" spans="2:2" ht="12.75" customHeight="1" x14ac:dyDescent="0.2">
      <c r="B31737" s="43"/>
    </row>
    <row r="31738" spans="2:2" ht="12.75" customHeight="1" x14ac:dyDescent="0.2">
      <c r="B31738" s="43"/>
    </row>
    <row r="31739" spans="2:2" ht="12.75" customHeight="1" x14ac:dyDescent="0.2">
      <c r="B31739" s="43"/>
    </row>
    <row r="31740" spans="2:2" ht="12.75" customHeight="1" x14ac:dyDescent="0.2">
      <c r="B31740" s="43"/>
    </row>
    <row r="31741" spans="2:2" ht="12.75" customHeight="1" x14ac:dyDescent="0.2">
      <c r="B31741" s="43"/>
    </row>
    <row r="31742" spans="2:2" ht="12.75" customHeight="1" x14ac:dyDescent="0.2">
      <c r="B31742" s="43"/>
    </row>
    <row r="31743" spans="2:2" ht="12.75" customHeight="1" x14ac:dyDescent="0.2">
      <c r="B31743" s="43"/>
    </row>
    <row r="31744" spans="2:2" ht="12.75" customHeight="1" x14ac:dyDescent="0.2">
      <c r="B31744" s="43"/>
    </row>
    <row r="31745" spans="2:2" ht="12.75" customHeight="1" x14ac:dyDescent="0.2">
      <c r="B31745" s="43"/>
    </row>
    <row r="31746" spans="2:2" ht="12.75" customHeight="1" x14ac:dyDescent="0.2">
      <c r="B31746" s="43"/>
    </row>
    <row r="31747" spans="2:2" ht="12.75" customHeight="1" x14ac:dyDescent="0.2">
      <c r="B31747" s="43"/>
    </row>
    <row r="31748" spans="2:2" ht="12.75" customHeight="1" x14ac:dyDescent="0.2">
      <c r="B31748" s="43"/>
    </row>
    <row r="31749" spans="2:2" ht="12.75" customHeight="1" x14ac:dyDescent="0.2">
      <c r="B31749" s="43"/>
    </row>
    <row r="31750" spans="2:2" ht="12.75" customHeight="1" x14ac:dyDescent="0.2">
      <c r="B31750" s="43"/>
    </row>
    <row r="31751" spans="2:2" ht="12.75" customHeight="1" x14ac:dyDescent="0.2">
      <c r="B31751" s="43"/>
    </row>
    <row r="31752" spans="2:2" ht="12.75" customHeight="1" x14ac:dyDescent="0.2">
      <c r="B31752" s="43"/>
    </row>
    <row r="31753" spans="2:2" ht="12.75" customHeight="1" x14ac:dyDescent="0.2">
      <c r="B31753" s="43"/>
    </row>
    <row r="31754" spans="2:2" ht="12.75" customHeight="1" x14ac:dyDescent="0.2">
      <c r="B31754" s="43"/>
    </row>
    <row r="31755" spans="2:2" ht="12.75" customHeight="1" x14ac:dyDescent="0.2">
      <c r="B31755" s="43"/>
    </row>
    <row r="31756" spans="2:2" ht="12.75" customHeight="1" x14ac:dyDescent="0.2">
      <c r="B31756" s="43"/>
    </row>
    <row r="31757" spans="2:2" ht="12.75" customHeight="1" x14ac:dyDescent="0.2">
      <c r="B31757" s="43"/>
    </row>
    <row r="31758" spans="2:2" ht="12.75" customHeight="1" x14ac:dyDescent="0.2">
      <c r="B31758" s="43"/>
    </row>
    <row r="31759" spans="2:2" ht="12.75" customHeight="1" x14ac:dyDescent="0.2">
      <c r="B31759" s="43"/>
    </row>
    <row r="31760" spans="2:2" ht="12.75" customHeight="1" x14ac:dyDescent="0.2">
      <c r="B31760" s="43"/>
    </row>
    <row r="31761" spans="2:2" ht="12.75" customHeight="1" x14ac:dyDescent="0.2">
      <c r="B31761" s="43"/>
    </row>
    <row r="31762" spans="2:2" ht="12.75" customHeight="1" x14ac:dyDescent="0.2">
      <c r="B31762" s="43"/>
    </row>
    <row r="31763" spans="2:2" ht="12.75" customHeight="1" x14ac:dyDescent="0.2">
      <c r="B31763" s="43"/>
    </row>
    <row r="31764" spans="2:2" ht="12.75" customHeight="1" x14ac:dyDescent="0.2">
      <c r="B31764" s="43"/>
    </row>
    <row r="31765" spans="2:2" ht="12.75" customHeight="1" x14ac:dyDescent="0.2">
      <c r="B31765" s="43"/>
    </row>
    <row r="31766" spans="2:2" ht="12.75" customHeight="1" x14ac:dyDescent="0.2">
      <c r="B31766" s="43"/>
    </row>
    <row r="31767" spans="2:2" ht="12.75" customHeight="1" x14ac:dyDescent="0.2">
      <c r="B31767" s="43"/>
    </row>
    <row r="31768" spans="2:2" ht="12.75" customHeight="1" x14ac:dyDescent="0.2">
      <c r="B31768" s="43"/>
    </row>
    <row r="31769" spans="2:2" ht="12.75" customHeight="1" x14ac:dyDescent="0.2">
      <c r="B31769" s="43"/>
    </row>
    <row r="31770" spans="2:2" ht="12.75" customHeight="1" x14ac:dyDescent="0.2">
      <c r="B31770" s="43"/>
    </row>
    <row r="31771" spans="2:2" ht="12.75" customHeight="1" x14ac:dyDescent="0.2">
      <c r="B31771" s="43"/>
    </row>
    <row r="31772" spans="2:2" ht="12.75" customHeight="1" x14ac:dyDescent="0.2">
      <c r="B31772" s="43"/>
    </row>
    <row r="31773" spans="2:2" ht="12.75" customHeight="1" x14ac:dyDescent="0.2">
      <c r="B31773" s="43"/>
    </row>
    <row r="31774" spans="2:2" ht="12.75" customHeight="1" x14ac:dyDescent="0.2">
      <c r="B31774" s="43"/>
    </row>
    <row r="31775" spans="2:2" ht="12.75" customHeight="1" x14ac:dyDescent="0.2">
      <c r="B31775" s="43"/>
    </row>
    <row r="31776" spans="2:2" ht="12.75" customHeight="1" x14ac:dyDescent="0.2">
      <c r="B31776" s="43"/>
    </row>
    <row r="31777" spans="2:2" ht="12.75" customHeight="1" x14ac:dyDescent="0.2">
      <c r="B31777" s="43"/>
    </row>
    <row r="31778" spans="2:2" ht="12.75" customHeight="1" x14ac:dyDescent="0.2">
      <c r="B31778" s="43"/>
    </row>
    <row r="31779" spans="2:2" ht="12.75" customHeight="1" x14ac:dyDescent="0.2">
      <c r="B31779" s="43"/>
    </row>
    <row r="31780" spans="2:2" ht="12.75" customHeight="1" x14ac:dyDescent="0.2">
      <c r="B31780" s="43"/>
    </row>
    <row r="31781" spans="2:2" ht="12.75" customHeight="1" x14ac:dyDescent="0.2">
      <c r="B31781" s="43"/>
    </row>
    <row r="31782" spans="2:2" ht="12.75" customHeight="1" x14ac:dyDescent="0.2">
      <c r="B31782" s="43"/>
    </row>
    <row r="31783" spans="2:2" ht="12.75" customHeight="1" x14ac:dyDescent="0.2">
      <c r="B31783" s="43"/>
    </row>
    <row r="31784" spans="2:2" ht="12.75" customHeight="1" x14ac:dyDescent="0.2">
      <c r="B31784" s="43"/>
    </row>
    <row r="31785" spans="2:2" ht="12.75" customHeight="1" x14ac:dyDescent="0.2">
      <c r="B31785" s="43"/>
    </row>
    <row r="31786" spans="2:2" ht="12.75" customHeight="1" x14ac:dyDescent="0.2">
      <c r="B31786" s="43"/>
    </row>
    <row r="31787" spans="2:2" ht="12.75" customHeight="1" x14ac:dyDescent="0.2">
      <c r="B31787" s="43"/>
    </row>
    <row r="31788" spans="2:2" ht="12.75" customHeight="1" x14ac:dyDescent="0.2">
      <c r="B31788" s="43"/>
    </row>
    <row r="31789" spans="2:2" ht="12.75" customHeight="1" x14ac:dyDescent="0.2">
      <c r="B31789" s="43"/>
    </row>
    <row r="31790" spans="2:2" ht="12.75" customHeight="1" x14ac:dyDescent="0.2">
      <c r="B31790" s="43"/>
    </row>
    <row r="31791" spans="2:2" ht="12.75" customHeight="1" x14ac:dyDescent="0.2">
      <c r="B31791" s="43"/>
    </row>
    <row r="31792" spans="2:2" ht="12.75" customHeight="1" x14ac:dyDescent="0.2">
      <c r="B31792" s="43"/>
    </row>
    <row r="31793" spans="2:2" ht="12.75" customHeight="1" x14ac:dyDescent="0.2">
      <c r="B31793" s="43"/>
    </row>
    <row r="31794" spans="2:2" ht="12.75" customHeight="1" x14ac:dyDescent="0.2">
      <c r="B31794" s="43"/>
    </row>
    <row r="31795" spans="2:2" ht="12.75" customHeight="1" x14ac:dyDescent="0.2">
      <c r="B31795" s="43"/>
    </row>
    <row r="31796" spans="2:2" ht="12.75" customHeight="1" x14ac:dyDescent="0.2">
      <c r="B31796" s="43"/>
    </row>
    <row r="31797" spans="2:2" ht="12.75" customHeight="1" x14ac:dyDescent="0.2">
      <c r="B31797" s="43"/>
    </row>
    <row r="31798" spans="2:2" ht="12.75" customHeight="1" x14ac:dyDescent="0.2">
      <c r="B31798" s="43"/>
    </row>
    <row r="31799" spans="2:2" ht="12.75" customHeight="1" x14ac:dyDescent="0.2">
      <c r="B31799" s="43"/>
    </row>
    <row r="31800" spans="2:2" ht="12.75" customHeight="1" x14ac:dyDescent="0.2">
      <c r="B31800" s="43"/>
    </row>
    <row r="31801" spans="2:2" ht="12.75" customHeight="1" x14ac:dyDescent="0.2">
      <c r="B31801" s="43"/>
    </row>
    <row r="31802" spans="2:2" ht="12.75" customHeight="1" x14ac:dyDescent="0.2">
      <c r="B31802" s="43"/>
    </row>
    <row r="31803" spans="2:2" ht="12.75" customHeight="1" x14ac:dyDescent="0.2">
      <c r="B31803" s="43"/>
    </row>
    <row r="31804" spans="2:2" ht="12.75" customHeight="1" x14ac:dyDescent="0.2">
      <c r="B31804" s="43"/>
    </row>
    <row r="31805" spans="2:2" ht="12.75" customHeight="1" x14ac:dyDescent="0.2">
      <c r="B31805" s="43"/>
    </row>
    <row r="31806" spans="2:2" ht="12.75" customHeight="1" x14ac:dyDescent="0.2">
      <c r="B31806" s="43"/>
    </row>
    <row r="31807" spans="2:2" ht="12.75" customHeight="1" x14ac:dyDescent="0.2">
      <c r="B31807" s="43"/>
    </row>
    <row r="31808" spans="2:2" ht="12.75" customHeight="1" x14ac:dyDescent="0.2">
      <c r="B31808" s="43"/>
    </row>
    <row r="31809" spans="2:2" ht="12.75" customHeight="1" x14ac:dyDescent="0.2">
      <c r="B31809" s="43"/>
    </row>
    <row r="31810" spans="2:2" ht="12.75" customHeight="1" x14ac:dyDescent="0.2">
      <c r="B31810" s="43"/>
    </row>
    <row r="31811" spans="2:2" ht="12.75" customHeight="1" x14ac:dyDescent="0.2">
      <c r="B31811" s="43"/>
    </row>
    <row r="31812" spans="2:2" ht="12.75" customHeight="1" x14ac:dyDescent="0.2">
      <c r="B31812" s="43"/>
    </row>
    <row r="31813" spans="2:2" ht="12.75" customHeight="1" x14ac:dyDescent="0.2">
      <c r="B31813" s="43"/>
    </row>
    <row r="31814" spans="2:2" ht="12.75" customHeight="1" x14ac:dyDescent="0.2">
      <c r="B31814" s="43"/>
    </row>
    <row r="31815" spans="2:2" ht="12.75" customHeight="1" x14ac:dyDescent="0.2">
      <c r="B31815" s="43"/>
    </row>
    <row r="31816" spans="2:2" ht="12.75" customHeight="1" x14ac:dyDescent="0.2">
      <c r="B31816" s="43"/>
    </row>
    <row r="31817" spans="2:2" ht="12.75" customHeight="1" x14ac:dyDescent="0.2">
      <c r="B31817" s="43"/>
    </row>
    <row r="31818" spans="2:2" ht="12.75" customHeight="1" x14ac:dyDescent="0.2">
      <c r="B31818" s="43"/>
    </row>
    <row r="31819" spans="2:2" ht="12.75" customHeight="1" x14ac:dyDescent="0.2">
      <c r="B31819" s="43"/>
    </row>
    <row r="31820" spans="2:2" ht="12.75" customHeight="1" x14ac:dyDescent="0.2">
      <c r="B31820" s="43"/>
    </row>
    <row r="31821" spans="2:2" ht="12.75" customHeight="1" x14ac:dyDescent="0.2">
      <c r="B31821" s="43"/>
    </row>
    <row r="31822" spans="2:2" ht="12.75" customHeight="1" x14ac:dyDescent="0.2">
      <c r="B31822" s="43"/>
    </row>
    <row r="31823" spans="2:2" ht="12.75" customHeight="1" x14ac:dyDescent="0.2">
      <c r="B31823" s="43"/>
    </row>
    <row r="31824" spans="2:2" ht="12.75" customHeight="1" x14ac:dyDescent="0.2">
      <c r="B31824" s="43"/>
    </row>
    <row r="31825" spans="2:2" ht="12.75" customHeight="1" x14ac:dyDescent="0.2">
      <c r="B31825" s="43"/>
    </row>
    <row r="31826" spans="2:2" ht="12.75" customHeight="1" x14ac:dyDescent="0.2">
      <c r="B31826" s="43"/>
    </row>
    <row r="31827" spans="2:2" ht="12.75" customHeight="1" x14ac:dyDescent="0.2">
      <c r="B31827" s="43"/>
    </row>
    <row r="31828" spans="2:2" ht="12.75" customHeight="1" x14ac:dyDescent="0.2">
      <c r="B31828" s="43"/>
    </row>
    <row r="31829" spans="2:2" ht="12.75" customHeight="1" x14ac:dyDescent="0.2">
      <c r="B31829" s="43"/>
    </row>
    <row r="31830" spans="2:2" ht="12.75" customHeight="1" x14ac:dyDescent="0.2">
      <c r="B31830" s="43"/>
    </row>
    <row r="31831" spans="2:2" ht="12.75" customHeight="1" x14ac:dyDescent="0.2">
      <c r="B31831" s="43"/>
    </row>
    <row r="31832" spans="2:2" ht="12.75" customHeight="1" x14ac:dyDescent="0.2">
      <c r="B31832" s="43"/>
    </row>
    <row r="31833" spans="2:2" ht="12.75" customHeight="1" x14ac:dyDescent="0.2">
      <c r="B31833" s="43"/>
    </row>
    <row r="31834" spans="2:2" ht="12.75" customHeight="1" x14ac:dyDescent="0.2">
      <c r="B31834" s="43"/>
    </row>
    <row r="31835" spans="2:2" ht="12.75" customHeight="1" x14ac:dyDescent="0.2">
      <c r="B31835" s="43"/>
    </row>
    <row r="31836" spans="2:2" ht="12.75" customHeight="1" x14ac:dyDescent="0.2">
      <c r="B31836" s="43"/>
    </row>
    <row r="31837" spans="2:2" ht="12.75" customHeight="1" x14ac:dyDescent="0.2">
      <c r="B31837" s="43"/>
    </row>
    <row r="31838" spans="2:2" ht="12.75" customHeight="1" x14ac:dyDescent="0.2">
      <c r="B31838" s="43"/>
    </row>
    <row r="31839" spans="2:2" ht="12.75" customHeight="1" x14ac:dyDescent="0.2">
      <c r="B31839" s="43"/>
    </row>
    <row r="31840" spans="2:2" ht="12.75" customHeight="1" x14ac:dyDescent="0.2">
      <c r="B31840" s="43"/>
    </row>
    <row r="31841" spans="2:2" ht="12.75" customHeight="1" x14ac:dyDescent="0.2">
      <c r="B31841" s="43"/>
    </row>
    <row r="31842" spans="2:2" ht="12.75" customHeight="1" x14ac:dyDescent="0.2">
      <c r="B31842" s="43"/>
    </row>
    <row r="31843" spans="2:2" ht="12.75" customHeight="1" x14ac:dyDescent="0.2">
      <c r="B31843" s="43"/>
    </row>
    <row r="31844" spans="2:2" ht="12.75" customHeight="1" x14ac:dyDescent="0.2">
      <c r="B31844" s="43"/>
    </row>
    <row r="31845" spans="2:2" ht="12.75" customHeight="1" x14ac:dyDescent="0.2">
      <c r="B31845" s="43"/>
    </row>
    <row r="31846" spans="2:2" ht="12.75" customHeight="1" x14ac:dyDescent="0.2">
      <c r="B31846" s="43"/>
    </row>
    <row r="31847" spans="2:2" ht="12.75" customHeight="1" x14ac:dyDescent="0.2">
      <c r="B31847" s="43"/>
    </row>
    <row r="31848" spans="2:2" ht="12.75" customHeight="1" x14ac:dyDescent="0.2">
      <c r="B31848" s="43"/>
    </row>
    <row r="31849" spans="2:2" ht="12.75" customHeight="1" x14ac:dyDescent="0.2">
      <c r="B31849" s="43"/>
    </row>
    <row r="31850" spans="2:2" ht="12.75" customHeight="1" x14ac:dyDescent="0.2">
      <c r="B31850" s="43"/>
    </row>
    <row r="31851" spans="2:2" ht="12.75" customHeight="1" x14ac:dyDescent="0.2">
      <c r="B31851" s="43"/>
    </row>
    <row r="31852" spans="2:2" ht="12.75" customHeight="1" x14ac:dyDescent="0.2">
      <c r="B31852" s="43"/>
    </row>
    <row r="31853" spans="2:2" ht="12.75" customHeight="1" x14ac:dyDescent="0.2">
      <c r="B31853" s="43"/>
    </row>
    <row r="31854" spans="2:2" ht="12.75" customHeight="1" x14ac:dyDescent="0.2">
      <c r="B31854" s="43"/>
    </row>
    <row r="31855" spans="2:2" ht="12.75" customHeight="1" x14ac:dyDescent="0.2">
      <c r="B31855" s="43"/>
    </row>
    <row r="31856" spans="2:2" ht="12.75" customHeight="1" x14ac:dyDescent="0.2">
      <c r="B31856" s="43"/>
    </row>
    <row r="31857" spans="2:2" ht="12.75" customHeight="1" x14ac:dyDescent="0.2">
      <c r="B31857" s="43"/>
    </row>
    <row r="31858" spans="2:2" ht="12.75" customHeight="1" x14ac:dyDescent="0.2">
      <c r="B31858" s="43"/>
    </row>
    <row r="31859" spans="2:2" ht="12.75" customHeight="1" x14ac:dyDescent="0.2">
      <c r="B31859" s="43"/>
    </row>
    <row r="31860" spans="2:2" ht="12.75" customHeight="1" x14ac:dyDescent="0.2">
      <c r="B31860" s="43"/>
    </row>
    <row r="31861" spans="2:2" ht="12.75" customHeight="1" x14ac:dyDescent="0.2">
      <c r="B31861" s="43"/>
    </row>
    <row r="31862" spans="2:2" ht="12.75" customHeight="1" x14ac:dyDescent="0.2">
      <c r="B31862" s="43"/>
    </row>
    <row r="31863" spans="2:2" ht="12.75" customHeight="1" x14ac:dyDescent="0.2">
      <c r="B31863" s="43"/>
    </row>
    <row r="31864" spans="2:2" ht="12.75" customHeight="1" x14ac:dyDescent="0.2">
      <c r="B31864" s="43"/>
    </row>
    <row r="31865" spans="2:2" ht="12.75" customHeight="1" x14ac:dyDescent="0.2">
      <c r="B31865" s="43"/>
    </row>
    <row r="31866" spans="2:2" ht="12.75" customHeight="1" x14ac:dyDescent="0.2">
      <c r="B31866" s="43"/>
    </row>
    <row r="31867" spans="2:2" ht="12.75" customHeight="1" x14ac:dyDescent="0.2">
      <c r="B31867" s="43"/>
    </row>
    <row r="31868" spans="2:2" ht="12.75" customHeight="1" x14ac:dyDescent="0.2">
      <c r="B31868" s="43"/>
    </row>
    <row r="31869" spans="2:2" ht="12.75" customHeight="1" x14ac:dyDescent="0.2">
      <c r="B31869" s="43"/>
    </row>
    <row r="31870" spans="2:2" ht="12.75" customHeight="1" x14ac:dyDescent="0.2">
      <c r="B31870" s="43"/>
    </row>
    <row r="31871" spans="2:2" ht="12.75" customHeight="1" x14ac:dyDescent="0.2">
      <c r="B31871" s="43"/>
    </row>
    <row r="31872" spans="2:2" ht="12.75" customHeight="1" x14ac:dyDescent="0.2">
      <c r="B31872" s="43"/>
    </row>
    <row r="31873" spans="2:2" ht="12.75" customHeight="1" x14ac:dyDescent="0.2">
      <c r="B31873" s="43"/>
    </row>
    <row r="31874" spans="2:2" ht="12.75" customHeight="1" x14ac:dyDescent="0.2">
      <c r="B31874" s="43"/>
    </row>
    <row r="31875" spans="2:2" ht="12.75" customHeight="1" x14ac:dyDescent="0.2">
      <c r="B31875" s="43"/>
    </row>
    <row r="31876" spans="2:2" ht="12.75" customHeight="1" x14ac:dyDescent="0.2">
      <c r="B31876" s="43"/>
    </row>
    <row r="31877" spans="2:2" ht="12.75" customHeight="1" x14ac:dyDescent="0.2">
      <c r="B31877" s="43"/>
    </row>
    <row r="31878" spans="2:2" ht="12.75" customHeight="1" x14ac:dyDescent="0.2">
      <c r="B31878" s="43"/>
    </row>
    <row r="31879" spans="2:2" ht="12.75" customHeight="1" x14ac:dyDescent="0.2">
      <c r="B31879" s="43"/>
    </row>
    <row r="31880" spans="2:2" ht="12.75" customHeight="1" x14ac:dyDescent="0.2">
      <c r="B31880" s="43"/>
    </row>
    <row r="31881" spans="2:2" ht="12.75" customHeight="1" x14ac:dyDescent="0.2">
      <c r="B31881" s="43"/>
    </row>
    <row r="31882" spans="2:2" ht="12.75" customHeight="1" x14ac:dyDescent="0.2">
      <c r="B31882" s="43"/>
    </row>
    <row r="31883" spans="2:2" ht="12.75" customHeight="1" x14ac:dyDescent="0.2">
      <c r="B31883" s="43"/>
    </row>
    <row r="31884" spans="2:2" ht="12.75" customHeight="1" x14ac:dyDescent="0.2">
      <c r="B31884" s="43"/>
    </row>
    <row r="31885" spans="2:2" ht="12.75" customHeight="1" x14ac:dyDescent="0.2">
      <c r="B31885" s="43"/>
    </row>
    <row r="31886" spans="2:2" ht="12.75" customHeight="1" x14ac:dyDescent="0.2">
      <c r="B31886" s="43"/>
    </row>
    <row r="31887" spans="2:2" ht="12.75" customHeight="1" x14ac:dyDescent="0.2">
      <c r="B31887" s="43"/>
    </row>
    <row r="31888" spans="2:2" ht="12.75" customHeight="1" x14ac:dyDescent="0.2">
      <c r="B31888" s="43"/>
    </row>
    <row r="31889" spans="2:2" ht="12.75" customHeight="1" x14ac:dyDescent="0.2">
      <c r="B31889" s="43"/>
    </row>
    <row r="31890" spans="2:2" ht="12.75" customHeight="1" x14ac:dyDescent="0.2">
      <c r="B31890" s="43"/>
    </row>
    <row r="31891" spans="2:2" ht="12.75" customHeight="1" x14ac:dyDescent="0.2">
      <c r="B31891" s="43"/>
    </row>
    <row r="31892" spans="2:2" ht="12.75" customHeight="1" x14ac:dyDescent="0.2">
      <c r="B31892" s="43"/>
    </row>
    <row r="31893" spans="2:2" ht="12.75" customHeight="1" x14ac:dyDescent="0.2">
      <c r="B31893" s="43"/>
    </row>
    <row r="31894" spans="2:2" ht="12.75" customHeight="1" x14ac:dyDescent="0.2">
      <c r="B31894" s="43"/>
    </row>
    <row r="31895" spans="2:2" ht="12.75" customHeight="1" x14ac:dyDescent="0.2">
      <c r="B31895" s="43"/>
    </row>
    <row r="31896" spans="2:2" ht="12.75" customHeight="1" x14ac:dyDescent="0.2">
      <c r="B31896" s="43"/>
    </row>
    <row r="31897" spans="2:2" ht="12.75" customHeight="1" x14ac:dyDescent="0.2">
      <c r="B31897" s="43"/>
    </row>
    <row r="31898" spans="2:2" ht="12.75" customHeight="1" x14ac:dyDescent="0.2">
      <c r="B31898" s="43"/>
    </row>
    <row r="31899" spans="2:2" ht="12.75" customHeight="1" x14ac:dyDescent="0.2">
      <c r="B31899" s="43"/>
    </row>
    <row r="31900" spans="2:2" ht="12.75" customHeight="1" x14ac:dyDescent="0.2">
      <c r="B31900" s="43"/>
    </row>
    <row r="31901" spans="2:2" ht="12.75" customHeight="1" x14ac:dyDescent="0.2">
      <c r="B31901" s="43"/>
    </row>
    <row r="31902" spans="2:2" ht="12.75" customHeight="1" x14ac:dyDescent="0.2">
      <c r="B31902" s="43"/>
    </row>
    <row r="31903" spans="2:2" ht="12.75" customHeight="1" x14ac:dyDescent="0.2">
      <c r="B31903" s="43"/>
    </row>
    <row r="31904" spans="2:2" ht="12.75" customHeight="1" x14ac:dyDescent="0.2">
      <c r="B31904" s="43"/>
    </row>
    <row r="31905" spans="2:2" ht="12.75" customHeight="1" x14ac:dyDescent="0.2">
      <c r="B31905" s="43"/>
    </row>
    <row r="31906" spans="2:2" ht="12.75" customHeight="1" x14ac:dyDescent="0.2">
      <c r="B31906" s="43"/>
    </row>
    <row r="31907" spans="2:2" ht="12.75" customHeight="1" x14ac:dyDescent="0.2">
      <c r="B31907" s="43"/>
    </row>
    <row r="31908" spans="2:2" ht="12.75" customHeight="1" x14ac:dyDescent="0.2">
      <c r="B31908" s="43"/>
    </row>
    <row r="31909" spans="2:2" ht="12.75" customHeight="1" x14ac:dyDescent="0.2">
      <c r="B31909" s="43"/>
    </row>
    <row r="31910" spans="2:2" ht="12.75" customHeight="1" x14ac:dyDescent="0.2">
      <c r="B31910" s="43"/>
    </row>
    <row r="31911" spans="2:2" ht="12.75" customHeight="1" x14ac:dyDescent="0.2">
      <c r="B31911" s="43"/>
    </row>
    <row r="31912" spans="2:2" ht="12.75" customHeight="1" x14ac:dyDescent="0.2">
      <c r="B31912" s="43"/>
    </row>
    <row r="31913" spans="2:2" ht="12.75" customHeight="1" x14ac:dyDescent="0.2">
      <c r="B31913" s="43"/>
    </row>
    <row r="31914" spans="2:2" ht="12.75" customHeight="1" x14ac:dyDescent="0.2">
      <c r="B31914" s="43"/>
    </row>
    <row r="31915" spans="2:2" ht="12.75" customHeight="1" x14ac:dyDescent="0.2">
      <c r="B31915" s="43"/>
    </row>
    <row r="31916" spans="2:2" ht="12.75" customHeight="1" x14ac:dyDescent="0.2">
      <c r="B31916" s="43"/>
    </row>
    <row r="31917" spans="2:2" ht="12.75" customHeight="1" x14ac:dyDescent="0.2">
      <c r="B31917" s="43"/>
    </row>
    <row r="31918" spans="2:2" ht="12.75" customHeight="1" x14ac:dyDescent="0.2">
      <c r="B31918" s="43"/>
    </row>
    <row r="31919" spans="2:2" ht="12.75" customHeight="1" x14ac:dyDescent="0.2">
      <c r="B31919" s="43"/>
    </row>
    <row r="31920" spans="2:2" ht="12.75" customHeight="1" x14ac:dyDescent="0.2">
      <c r="B31920" s="43"/>
    </row>
    <row r="31921" spans="2:2" ht="12.75" customHeight="1" x14ac:dyDescent="0.2">
      <c r="B31921" s="43"/>
    </row>
    <row r="31922" spans="2:2" ht="12.75" customHeight="1" x14ac:dyDescent="0.2">
      <c r="B31922" s="43"/>
    </row>
    <row r="31923" spans="2:2" ht="12.75" customHeight="1" x14ac:dyDescent="0.2">
      <c r="B31923" s="43"/>
    </row>
    <row r="31924" spans="2:2" ht="12.75" customHeight="1" x14ac:dyDescent="0.2">
      <c r="B31924" s="43"/>
    </row>
    <row r="31925" spans="2:2" ht="12.75" customHeight="1" x14ac:dyDescent="0.2">
      <c r="B31925" s="43"/>
    </row>
    <row r="31926" spans="2:2" ht="12.75" customHeight="1" x14ac:dyDescent="0.2">
      <c r="B31926" s="43"/>
    </row>
    <row r="31927" spans="2:2" ht="12.75" customHeight="1" x14ac:dyDescent="0.2">
      <c r="B31927" s="43"/>
    </row>
    <row r="31928" spans="2:2" ht="12.75" customHeight="1" x14ac:dyDescent="0.2">
      <c r="B31928" s="43"/>
    </row>
    <row r="31929" spans="2:2" ht="12.75" customHeight="1" x14ac:dyDescent="0.2">
      <c r="B31929" s="43"/>
    </row>
    <row r="31930" spans="2:2" ht="12.75" customHeight="1" x14ac:dyDescent="0.2">
      <c r="B31930" s="43"/>
    </row>
    <row r="31931" spans="2:2" ht="12.75" customHeight="1" x14ac:dyDescent="0.2">
      <c r="B31931" s="43"/>
    </row>
    <row r="31932" spans="2:2" ht="12.75" customHeight="1" x14ac:dyDescent="0.2">
      <c r="B31932" s="43"/>
    </row>
    <row r="31933" spans="2:2" ht="12.75" customHeight="1" x14ac:dyDescent="0.2">
      <c r="B31933" s="43"/>
    </row>
    <row r="31934" spans="2:2" ht="12.75" customHeight="1" x14ac:dyDescent="0.2">
      <c r="B31934" s="43"/>
    </row>
    <row r="31935" spans="2:2" ht="12.75" customHeight="1" x14ac:dyDescent="0.2">
      <c r="B31935" s="43"/>
    </row>
    <row r="31936" spans="2:2" ht="12.75" customHeight="1" x14ac:dyDescent="0.2">
      <c r="B31936" s="43"/>
    </row>
    <row r="31937" spans="2:2" ht="12.75" customHeight="1" x14ac:dyDescent="0.2">
      <c r="B31937" s="43"/>
    </row>
    <row r="31938" spans="2:2" ht="12.75" customHeight="1" x14ac:dyDescent="0.2">
      <c r="B31938" s="43"/>
    </row>
    <row r="31939" spans="2:2" ht="12.75" customHeight="1" x14ac:dyDescent="0.2">
      <c r="B31939" s="43"/>
    </row>
    <row r="31940" spans="2:2" ht="12.75" customHeight="1" x14ac:dyDescent="0.2">
      <c r="B31940" s="43"/>
    </row>
    <row r="31941" spans="2:2" ht="12.75" customHeight="1" x14ac:dyDescent="0.2">
      <c r="B31941" s="43"/>
    </row>
    <row r="31942" spans="2:2" ht="12.75" customHeight="1" x14ac:dyDescent="0.2">
      <c r="B31942" s="43"/>
    </row>
    <row r="31943" spans="2:2" ht="12.75" customHeight="1" x14ac:dyDescent="0.2">
      <c r="B31943" s="43"/>
    </row>
    <row r="31944" spans="2:2" ht="12.75" customHeight="1" x14ac:dyDescent="0.2">
      <c r="B31944" s="43"/>
    </row>
    <row r="31945" spans="2:2" ht="12.75" customHeight="1" x14ac:dyDescent="0.2">
      <c r="B31945" s="43"/>
    </row>
    <row r="31946" spans="2:2" ht="12.75" customHeight="1" x14ac:dyDescent="0.2">
      <c r="B31946" s="43"/>
    </row>
    <row r="31947" spans="2:2" ht="12.75" customHeight="1" x14ac:dyDescent="0.2">
      <c r="B31947" s="43"/>
    </row>
    <row r="31948" spans="2:2" ht="12.75" customHeight="1" x14ac:dyDescent="0.2">
      <c r="B31948" s="43"/>
    </row>
    <row r="31949" spans="2:2" ht="12.75" customHeight="1" x14ac:dyDescent="0.2">
      <c r="B31949" s="43"/>
    </row>
    <row r="31950" spans="2:2" ht="12.75" customHeight="1" x14ac:dyDescent="0.2">
      <c r="B31950" s="43"/>
    </row>
    <row r="31951" spans="2:2" ht="12.75" customHeight="1" x14ac:dyDescent="0.2">
      <c r="B31951" s="43"/>
    </row>
    <row r="31952" spans="2:2" ht="12.75" customHeight="1" x14ac:dyDescent="0.2">
      <c r="B31952" s="43"/>
    </row>
    <row r="31953" spans="2:2" ht="12.75" customHeight="1" x14ac:dyDescent="0.2">
      <c r="B31953" s="43"/>
    </row>
    <row r="31954" spans="2:2" ht="12.75" customHeight="1" x14ac:dyDescent="0.2">
      <c r="B31954" s="43"/>
    </row>
    <row r="31955" spans="2:2" ht="12.75" customHeight="1" x14ac:dyDescent="0.2">
      <c r="B31955" s="43"/>
    </row>
    <row r="31956" spans="2:2" ht="12.75" customHeight="1" x14ac:dyDescent="0.2">
      <c r="B31956" s="43"/>
    </row>
    <row r="31957" spans="2:2" ht="12.75" customHeight="1" x14ac:dyDescent="0.2">
      <c r="B31957" s="43"/>
    </row>
    <row r="31958" spans="2:2" ht="12.75" customHeight="1" x14ac:dyDescent="0.2">
      <c r="B31958" s="43"/>
    </row>
    <row r="31959" spans="2:2" ht="12.75" customHeight="1" x14ac:dyDescent="0.2">
      <c r="B31959" s="43"/>
    </row>
    <row r="31960" spans="2:2" ht="12.75" customHeight="1" x14ac:dyDescent="0.2">
      <c r="B31960" s="43"/>
    </row>
    <row r="31961" spans="2:2" ht="12.75" customHeight="1" x14ac:dyDescent="0.2">
      <c r="B31961" s="43"/>
    </row>
    <row r="31962" spans="2:2" ht="12.75" customHeight="1" x14ac:dyDescent="0.2">
      <c r="B31962" s="43"/>
    </row>
    <row r="31963" spans="2:2" ht="12.75" customHeight="1" x14ac:dyDescent="0.2">
      <c r="B31963" s="43"/>
    </row>
    <row r="31964" spans="2:2" ht="12.75" customHeight="1" x14ac:dyDescent="0.2">
      <c r="B31964" s="43"/>
    </row>
    <row r="31965" spans="2:2" ht="12.75" customHeight="1" x14ac:dyDescent="0.2">
      <c r="B31965" s="43"/>
    </row>
    <row r="31966" spans="2:2" ht="12.75" customHeight="1" x14ac:dyDescent="0.2">
      <c r="B31966" s="43"/>
    </row>
    <row r="31967" spans="2:2" ht="12.75" customHeight="1" x14ac:dyDescent="0.2">
      <c r="B31967" s="43"/>
    </row>
    <row r="31968" spans="2:2" ht="12.75" customHeight="1" x14ac:dyDescent="0.2">
      <c r="B31968" s="43"/>
    </row>
    <row r="31969" spans="2:2" ht="12.75" customHeight="1" x14ac:dyDescent="0.2">
      <c r="B31969" s="43"/>
    </row>
    <row r="31970" spans="2:2" ht="12.75" customHeight="1" x14ac:dyDescent="0.2">
      <c r="B31970" s="43"/>
    </row>
    <row r="31971" spans="2:2" ht="12.75" customHeight="1" x14ac:dyDescent="0.2">
      <c r="B31971" s="43"/>
    </row>
    <row r="31972" spans="2:2" ht="12.75" customHeight="1" x14ac:dyDescent="0.2">
      <c r="B31972" s="43"/>
    </row>
    <row r="31973" spans="2:2" ht="12.75" customHeight="1" x14ac:dyDescent="0.2">
      <c r="B31973" s="43"/>
    </row>
    <row r="31974" spans="2:2" ht="12.75" customHeight="1" x14ac:dyDescent="0.2">
      <c r="B31974" s="43"/>
    </row>
    <row r="31975" spans="2:2" ht="12.75" customHeight="1" x14ac:dyDescent="0.2">
      <c r="B31975" s="43"/>
    </row>
    <row r="31976" spans="2:2" ht="12.75" customHeight="1" x14ac:dyDescent="0.2">
      <c r="B31976" s="43"/>
    </row>
    <row r="31977" spans="2:2" ht="12.75" customHeight="1" x14ac:dyDescent="0.2">
      <c r="B31977" s="43"/>
    </row>
    <row r="31978" spans="2:2" ht="12.75" customHeight="1" x14ac:dyDescent="0.2">
      <c r="B31978" s="43"/>
    </row>
    <row r="31979" spans="2:2" ht="12.75" customHeight="1" x14ac:dyDescent="0.2">
      <c r="B31979" s="43"/>
    </row>
    <row r="31980" spans="2:2" ht="12.75" customHeight="1" x14ac:dyDescent="0.2">
      <c r="B31980" s="43"/>
    </row>
    <row r="31981" spans="2:2" ht="12.75" customHeight="1" x14ac:dyDescent="0.2">
      <c r="B31981" s="43"/>
    </row>
    <row r="31982" spans="2:2" ht="12.75" customHeight="1" x14ac:dyDescent="0.2">
      <c r="B31982" s="43"/>
    </row>
    <row r="31983" spans="2:2" ht="12.75" customHeight="1" x14ac:dyDescent="0.2">
      <c r="B31983" s="43"/>
    </row>
    <row r="31984" spans="2:2" ht="12.75" customHeight="1" x14ac:dyDescent="0.2">
      <c r="B31984" s="43"/>
    </row>
    <row r="31985" spans="2:2" ht="12.75" customHeight="1" x14ac:dyDescent="0.2">
      <c r="B31985" s="43"/>
    </row>
    <row r="31986" spans="2:2" ht="12.75" customHeight="1" x14ac:dyDescent="0.2">
      <c r="B31986" s="43"/>
    </row>
    <row r="31987" spans="2:2" ht="12.75" customHeight="1" x14ac:dyDescent="0.2">
      <c r="B31987" s="43"/>
    </row>
    <row r="31988" spans="2:2" ht="12.75" customHeight="1" x14ac:dyDescent="0.2">
      <c r="B31988" s="43"/>
    </row>
    <row r="31989" spans="2:2" ht="12.75" customHeight="1" x14ac:dyDescent="0.2">
      <c r="B31989" s="43"/>
    </row>
    <row r="31990" spans="2:2" ht="12.75" customHeight="1" x14ac:dyDescent="0.2">
      <c r="B31990" s="43"/>
    </row>
    <row r="31991" spans="2:2" ht="12.75" customHeight="1" x14ac:dyDescent="0.2">
      <c r="B31991" s="43"/>
    </row>
    <row r="31992" spans="2:2" ht="12.75" customHeight="1" x14ac:dyDescent="0.2">
      <c r="B31992" s="43"/>
    </row>
    <row r="31993" spans="2:2" ht="12.75" customHeight="1" x14ac:dyDescent="0.2">
      <c r="B31993" s="43"/>
    </row>
    <row r="31994" spans="2:2" ht="12.75" customHeight="1" x14ac:dyDescent="0.2">
      <c r="B31994" s="43"/>
    </row>
    <row r="31995" spans="2:2" ht="12.75" customHeight="1" x14ac:dyDescent="0.2">
      <c r="B31995" s="43"/>
    </row>
    <row r="31996" spans="2:2" ht="12.75" customHeight="1" x14ac:dyDescent="0.2">
      <c r="B31996" s="43"/>
    </row>
    <row r="31997" spans="2:2" ht="12.75" customHeight="1" x14ac:dyDescent="0.2">
      <c r="B31997" s="43"/>
    </row>
    <row r="31998" spans="2:2" ht="12.75" customHeight="1" x14ac:dyDescent="0.2">
      <c r="B31998" s="43"/>
    </row>
    <row r="31999" spans="2:2" ht="12.75" customHeight="1" x14ac:dyDescent="0.2">
      <c r="B31999" s="43"/>
    </row>
    <row r="32000" spans="2:2" ht="12.75" customHeight="1" x14ac:dyDescent="0.2">
      <c r="B32000" s="43"/>
    </row>
    <row r="32001" spans="2:2" ht="12.75" customHeight="1" x14ac:dyDescent="0.2">
      <c r="B32001" s="43"/>
    </row>
    <row r="32002" spans="2:2" ht="12.75" customHeight="1" x14ac:dyDescent="0.2">
      <c r="B32002" s="43"/>
    </row>
    <row r="32003" spans="2:2" ht="12.75" customHeight="1" x14ac:dyDescent="0.2">
      <c r="B32003" s="43"/>
    </row>
    <row r="32004" spans="2:2" ht="12.75" customHeight="1" x14ac:dyDescent="0.2">
      <c r="B32004" s="43"/>
    </row>
    <row r="32005" spans="2:2" ht="12.75" customHeight="1" x14ac:dyDescent="0.2">
      <c r="B32005" s="43"/>
    </row>
    <row r="32006" spans="2:2" ht="12.75" customHeight="1" x14ac:dyDescent="0.2">
      <c r="B32006" s="43"/>
    </row>
    <row r="32007" spans="2:2" ht="12.75" customHeight="1" x14ac:dyDescent="0.2">
      <c r="B32007" s="43"/>
    </row>
    <row r="32008" spans="2:2" ht="12.75" customHeight="1" x14ac:dyDescent="0.2">
      <c r="B32008" s="43"/>
    </row>
    <row r="32009" spans="2:2" ht="12.75" customHeight="1" x14ac:dyDescent="0.2">
      <c r="B32009" s="43"/>
    </row>
    <row r="32010" spans="2:2" ht="12.75" customHeight="1" x14ac:dyDescent="0.2">
      <c r="B32010" s="43"/>
    </row>
    <row r="32011" spans="2:2" ht="12.75" customHeight="1" x14ac:dyDescent="0.2">
      <c r="B32011" s="43"/>
    </row>
    <row r="32012" spans="2:2" ht="12.75" customHeight="1" x14ac:dyDescent="0.2">
      <c r="B32012" s="43"/>
    </row>
    <row r="32013" spans="2:2" ht="12.75" customHeight="1" x14ac:dyDescent="0.2">
      <c r="B32013" s="43"/>
    </row>
    <row r="32014" spans="2:2" ht="12.75" customHeight="1" x14ac:dyDescent="0.2">
      <c r="B32014" s="43"/>
    </row>
    <row r="32015" spans="2:2" ht="12.75" customHeight="1" x14ac:dyDescent="0.2">
      <c r="B32015" s="43"/>
    </row>
    <row r="32016" spans="2:2" ht="12.75" customHeight="1" x14ac:dyDescent="0.2">
      <c r="B32016" s="43"/>
    </row>
    <row r="32017" spans="2:2" ht="12.75" customHeight="1" x14ac:dyDescent="0.2">
      <c r="B32017" s="43"/>
    </row>
    <row r="32018" spans="2:2" ht="12.75" customHeight="1" x14ac:dyDescent="0.2">
      <c r="B32018" s="43"/>
    </row>
    <row r="32019" spans="2:2" ht="12.75" customHeight="1" x14ac:dyDescent="0.2">
      <c r="B32019" s="43"/>
    </row>
    <row r="32020" spans="2:2" ht="12.75" customHeight="1" x14ac:dyDescent="0.2">
      <c r="B32020" s="43"/>
    </row>
    <row r="32021" spans="2:2" ht="12.75" customHeight="1" x14ac:dyDescent="0.2">
      <c r="B32021" s="43"/>
    </row>
    <row r="32022" spans="2:2" ht="12.75" customHeight="1" x14ac:dyDescent="0.2">
      <c r="B32022" s="43"/>
    </row>
    <row r="32023" spans="2:2" ht="12.75" customHeight="1" x14ac:dyDescent="0.2">
      <c r="B32023" s="43"/>
    </row>
    <row r="32024" spans="2:2" ht="12.75" customHeight="1" x14ac:dyDescent="0.2">
      <c r="B32024" s="43"/>
    </row>
    <row r="32025" spans="2:2" ht="12.75" customHeight="1" x14ac:dyDescent="0.2">
      <c r="B32025" s="43"/>
    </row>
    <row r="32026" spans="2:2" ht="12.75" customHeight="1" x14ac:dyDescent="0.2">
      <c r="B32026" s="43"/>
    </row>
    <row r="32027" spans="2:2" ht="12.75" customHeight="1" x14ac:dyDescent="0.2">
      <c r="B32027" s="43"/>
    </row>
    <row r="32028" spans="2:2" ht="12.75" customHeight="1" x14ac:dyDescent="0.2">
      <c r="B32028" s="43"/>
    </row>
    <row r="32029" spans="2:2" ht="12.75" customHeight="1" x14ac:dyDescent="0.2">
      <c r="B32029" s="43"/>
    </row>
    <row r="32030" spans="2:2" ht="12.75" customHeight="1" x14ac:dyDescent="0.2">
      <c r="B32030" s="43"/>
    </row>
    <row r="32031" spans="2:2" ht="12.75" customHeight="1" x14ac:dyDescent="0.2">
      <c r="B32031" s="43"/>
    </row>
    <row r="32032" spans="2:2" ht="12.75" customHeight="1" x14ac:dyDescent="0.2">
      <c r="B32032" s="43"/>
    </row>
    <row r="32033" spans="2:2" ht="12.75" customHeight="1" x14ac:dyDescent="0.2">
      <c r="B32033" s="43"/>
    </row>
    <row r="32034" spans="2:2" ht="12.75" customHeight="1" x14ac:dyDescent="0.2">
      <c r="B32034" s="43"/>
    </row>
    <row r="32035" spans="2:2" ht="12.75" customHeight="1" x14ac:dyDescent="0.2">
      <c r="B32035" s="43"/>
    </row>
    <row r="32036" spans="2:2" ht="12.75" customHeight="1" x14ac:dyDescent="0.2">
      <c r="B32036" s="43"/>
    </row>
    <row r="32037" spans="2:2" ht="12.75" customHeight="1" x14ac:dyDescent="0.2">
      <c r="B32037" s="43"/>
    </row>
    <row r="32038" spans="2:2" ht="12.75" customHeight="1" x14ac:dyDescent="0.2">
      <c r="B32038" s="43"/>
    </row>
    <row r="32039" spans="2:2" ht="12.75" customHeight="1" x14ac:dyDescent="0.2">
      <c r="B32039" s="43"/>
    </row>
    <row r="32040" spans="2:2" ht="12.75" customHeight="1" x14ac:dyDescent="0.2">
      <c r="B32040" s="43"/>
    </row>
    <row r="32041" spans="2:2" ht="12.75" customHeight="1" x14ac:dyDescent="0.2">
      <c r="B32041" s="43"/>
    </row>
    <row r="32042" spans="2:2" ht="12.75" customHeight="1" x14ac:dyDescent="0.2">
      <c r="B32042" s="43"/>
    </row>
    <row r="32043" spans="2:2" ht="12.75" customHeight="1" x14ac:dyDescent="0.2">
      <c r="B32043" s="43"/>
    </row>
    <row r="32044" spans="2:2" ht="12.75" customHeight="1" x14ac:dyDescent="0.2">
      <c r="B32044" s="43"/>
    </row>
    <row r="32045" spans="2:2" ht="12.75" customHeight="1" x14ac:dyDescent="0.2">
      <c r="B32045" s="43"/>
    </row>
    <row r="32046" spans="2:2" ht="12.75" customHeight="1" x14ac:dyDescent="0.2">
      <c r="B32046" s="43"/>
    </row>
    <row r="32047" spans="2:2" ht="12.75" customHeight="1" x14ac:dyDescent="0.2">
      <c r="B32047" s="43"/>
    </row>
    <row r="32048" spans="2:2" ht="12.75" customHeight="1" x14ac:dyDescent="0.2">
      <c r="B32048" s="43"/>
    </row>
    <row r="32049" spans="2:2" ht="12.75" customHeight="1" x14ac:dyDescent="0.2">
      <c r="B32049" s="43"/>
    </row>
    <row r="32050" spans="2:2" ht="12.75" customHeight="1" x14ac:dyDescent="0.2">
      <c r="B32050" s="43"/>
    </row>
    <row r="32051" spans="2:2" ht="12.75" customHeight="1" x14ac:dyDescent="0.2">
      <c r="B32051" s="43"/>
    </row>
    <row r="32052" spans="2:2" ht="12.75" customHeight="1" x14ac:dyDescent="0.2">
      <c r="B32052" s="43"/>
    </row>
    <row r="32053" spans="2:2" ht="12.75" customHeight="1" x14ac:dyDescent="0.2">
      <c r="B32053" s="43"/>
    </row>
    <row r="32054" spans="2:2" ht="12.75" customHeight="1" x14ac:dyDescent="0.2">
      <c r="B32054" s="43"/>
    </row>
    <row r="32055" spans="2:2" ht="12.75" customHeight="1" x14ac:dyDescent="0.2">
      <c r="B32055" s="43"/>
    </row>
    <row r="32056" spans="2:2" ht="12.75" customHeight="1" x14ac:dyDescent="0.2">
      <c r="B32056" s="43"/>
    </row>
    <row r="32057" spans="2:2" ht="12.75" customHeight="1" x14ac:dyDescent="0.2">
      <c r="B32057" s="43"/>
    </row>
    <row r="32058" spans="2:2" ht="12.75" customHeight="1" x14ac:dyDescent="0.2">
      <c r="B32058" s="43"/>
    </row>
    <row r="32059" spans="2:2" ht="12.75" customHeight="1" x14ac:dyDescent="0.2">
      <c r="B32059" s="43"/>
    </row>
    <row r="32060" spans="2:2" ht="12.75" customHeight="1" x14ac:dyDescent="0.2">
      <c r="B32060" s="43"/>
    </row>
    <row r="32061" spans="2:2" ht="12.75" customHeight="1" x14ac:dyDescent="0.2">
      <c r="B32061" s="43"/>
    </row>
    <row r="32062" spans="2:2" ht="12.75" customHeight="1" x14ac:dyDescent="0.2">
      <c r="B32062" s="43"/>
    </row>
    <row r="32063" spans="2:2" ht="12.75" customHeight="1" x14ac:dyDescent="0.2">
      <c r="B32063" s="43"/>
    </row>
    <row r="32064" spans="2:2" ht="12.75" customHeight="1" x14ac:dyDescent="0.2">
      <c r="B32064" s="43"/>
    </row>
    <row r="32065" spans="2:2" ht="12.75" customHeight="1" x14ac:dyDescent="0.2">
      <c r="B32065" s="43"/>
    </row>
    <row r="32066" spans="2:2" ht="12.75" customHeight="1" x14ac:dyDescent="0.2">
      <c r="B32066" s="43"/>
    </row>
    <row r="32067" spans="2:2" ht="12.75" customHeight="1" x14ac:dyDescent="0.2">
      <c r="B32067" s="43"/>
    </row>
    <row r="32068" spans="2:2" ht="12.75" customHeight="1" x14ac:dyDescent="0.2">
      <c r="B32068" s="43"/>
    </row>
    <row r="32069" spans="2:2" ht="12.75" customHeight="1" x14ac:dyDescent="0.2">
      <c r="B32069" s="43"/>
    </row>
    <row r="32070" spans="2:2" ht="12.75" customHeight="1" x14ac:dyDescent="0.2">
      <c r="B32070" s="43"/>
    </row>
    <row r="32071" spans="2:2" ht="12.75" customHeight="1" x14ac:dyDescent="0.2">
      <c r="B32071" s="43"/>
    </row>
    <row r="32072" spans="2:2" ht="12.75" customHeight="1" x14ac:dyDescent="0.2">
      <c r="B32072" s="43"/>
    </row>
    <row r="32073" spans="2:2" ht="12.75" customHeight="1" x14ac:dyDescent="0.2">
      <c r="B32073" s="43"/>
    </row>
    <row r="32074" spans="2:2" ht="12.75" customHeight="1" x14ac:dyDescent="0.2">
      <c r="B32074" s="43"/>
    </row>
    <row r="32075" spans="2:2" ht="12.75" customHeight="1" x14ac:dyDescent="0.2">
      <c r="B32075" s="43"/>
    </row>
    <row r="32076" spans="2:2" ht="12.75" customHeight="1" x14ac:dyDescent="0.2">
      <c r="B32076" s="43"/>
    </row>
    <row r="32077" spans="2:2" ht="12.75" customHeight="1" x14ac:dyDescent="0.2">
      <c r="B32077" s="43"/>
    </row>
    <row r="32078" spans="2:2" ht="12.75" customHeight="1" x14ac:dyDescent="0.2">
      <c r="B32078" s="43"/>
    </row>
    <row r="32079" spans="2:2" ht="12.75" customHeight="1" x14ac:dyDescent="0.2">
      <c r="B32079" s="43"/>
    </row>
    <row r="32080" spans="2:2" ht="12.75" customHeight="1" x14ac:dyDescent="0.2">
      <c r="B32080" s="43"/>
    </row>
    <row r="32081" spans="2:2" ht="12.75" customHeight="1" x14ac:dyDescent="0.2">
      <c r="B32081" s="43"/>
    </row>
    <row r="32082" spans="2:2" ht="12.75" customHeight="1" x14ac:dyDescent="0.2">
      <c r="B32082" s="43"/>
    </row>
    <row r="32083" spans="2:2" ht="12.75" customHeight="1" x14ac:dyDescent="0.2">
      <c r="B32083" s="43"/>
    </row>
    <row r="32084" spans="2:2" ht="12.75" customHeight="1" x14ac:dyDescent="0.2">
      <c r="B32084" s="43"/>
    </row>
    <row r="32085" spans="2:2" ht="12.75" customHeight="1" x14ac:dyDescent="0.2">
      <c r="B32085" s="43"/>
    </row>
    <row r="32086" spans="2:2" ht="12.75" customHeight="1" x14ac:dyDescent="0.2">
      <c r="B32086" s="43"/>
    </row>
    <row r="32087" spans="2:2" ht="12.75" customHeight="1" x14ac:dyDescent="0.2">
      <c r="B32087" s="43"/>
    </row>
    <row r="32088" spans="2:2" ht="12.75" customHeight="1" x14ac:dyDescent="0.2">
      <c r="B32088" s="43"/>
    </row>
    <row r="32089" spans="2:2" ht="12.75" customHeight="1" x14ac:dyDescent="0.2">
      <c r="B32089" s="43"/>
    </row>
    <row r="32090" spans="2:2" ht="12.75" customHeight="1" x14ac:dyDescent="0.2">
      <c r="B32090" s="43"/>
    </row>
    <row r="32091" spans="2:2" ht="12.75" customHeight="1" x14ac:dyDescent="0.2">
      <c r="B32091" s="43"/>
    </row>
    <row r="32092" spans="2:2" ht="12.75" customHeight="1" x14ac:dyDescent="0.2">
      <c r="B32092" s="43"/>
    </row>
    <row r="32093" spans="2:2" ht="12.75" customHeight="1" x14ac:dyDescent="0.2">
      <c r="B32093" s="43"/>
    </row>
    <row r="32094" spans="2:2" ht="12.75" customHeight="1" x14ac:dyDescent="0.2">
      <c r="B32094" s="43"/>
    </row>
    <row r="32095" spans="2:2" ht="12.75" customHeight="1" x14ac:dyDescent="0.2">
      <c r="B32095" s="43"/>
    </row>
    <row r="32096" spans="2:2" ht="12.75" customHeight="1" x14ac:dyDescent="0.2">
      <c r="B32096" s="43"/>
    </row>
    <row r="32097" spans="2:2" ht="12.75" customHeight="1" x14ac:dyDescent="0.2">
      <c r="B32097" s="43"/>
    </row>
    <row r="32098" spans="2:2" ht="12.75" customHeight="1" x14ac:dyDescent="0.2">
      <c r="B32098" s="43"/>
    </row>
    <row r="32099" spans="2:2" ht="12.75" customHeight="1" x14ac:dyDescent="0.2">
      <c r="B32099" s="43"/>
    </row>
    <row r="32100" spans="2:2" ht="12.75" customHeight="1" x14ac:dyDescent="0.2">
      <c r="B32100" s="43"/>
    </row>
    <row r="32101" spans="2:2" ht="12.75" customHeight="1" x14ac:dyDescent="0.2">
      <c r="B32101" s="43"/>
    </row>
    <row r="32102" spans="2:2" ht="12.75" customHeight="1" x14ac:dyDescent="0.2">
      <c r="B32102" s="43"/>
    </row>
    <row r="32103" spans="2:2" ht="12.75" customHeight="1" x14ac:dyDescent="0.2">
      <c r="B32103" s="43"/>
    </row>
    <row r="32104" spans="2:2" ht="12.75" customHeight="1" x14ac:dyDescent="0.2">
      <c r="B32104" s="43"/>
    </row>
    <row r="32105" spans="2:2" ht="12.75" customHeight="1" x14ac:dyDescent="0.2">
      <c r="B32105" s="43"/>
    </row>
    <row r="32106" spans="2:2" ht="12.75" customHeight="1" x14ac:dyDescent="0.2">
      <c r="B32106" s="43"/>
    </row>
    <row r="32107" spans="2:2" ht="12.75" customHeight="1" x14ac:dyDescent="0.2">
      <c r="B32107" s="43"/>
    </row>
    <row r="32108" spans="2:2" ht="12.75" customHeight="1" x14ac:dyDescent="0.2">
      <c r="B32108" s="43"/>
    </row>
    <row r="32109" spans="2:2" ht="12.75" customHeight="1" x14ac:dyDescent="0.2">
      <c r="B32109" s="43"/>
    </row>
    <row r="32110" spans="2:2" ht="12.75" customHeight="1" x14ac:dyDescent="0.2">
      <c r="B32110" s="43"/>
    </row>
    <row r="32111" spans="2:2" ht="12.75" customHeight="1" x14ac:dyDescent="0.2">
      <c r="B32111" s="43"/>
    </row>
    <row r="32112" spans="2:2" ht="12.75" customHeight="1" x14ac:dyDescent="0.2">
      <c r="B32112" s="43"/>
    </row>
    <row r="32113" spans="2:2" ht="12.75" customHeight="1" x14ac:dyDescent="0.2">
      <c r="B32113" s="43"/>
    </row>
    <row r="32114" spans="2:2" ht="12.75" customHeight="1" x14ac:dyDescent="0.2">
      <c r="B32114" s="43"/>
    </row>
    <row r="32115" spans="2:2" ht="12.75" customHeight="1" x14ac:dyDescent="0.2">
      <c r="B32115" s="43"/>
    </row>
    <row r="32116" spans="2:2" ht="12.75" customHeight="1" x14ac:dyDescent="0.2">
      <c r="B32116" s="43"/>
    </row>
    <row r="32117" spans="2:2" ht="12.75" customHeight="1" x14ac:dyDescent="0.2">
      <c r="B32117" s="43"/>
    </row>
    <row r="32118" spans="2:2" ht="12.75" customHeight="1" x14ac:dyDescent="0.2">
      <c r="B32118" s="43"/>
    </row>
    <row r="32119" spans="2:2" ht="12.75" customHeight="1" x14ac:dyDescent="0.2">
      <c r="B32119" s="43"/>
    </row>
    <row r="32120" spans="2:2" ht="12.75" customHeight="1" x14ac:dyDescent="0.2">
      <c r="B32120" s="43"/>
    </row>
    <row r="32121" spans="2:2" ht="12.75" customHeight="1" x14ac:dyDescent="0.2">
      <c r="B32121" s="43"/>
    </row>
    <row r="32122" spans="2:2" ht="12.75" customHeight="1" x14ac:dyDescent="0.2">
      <c r="B32122" s="43"/>
    </row>
    <row r="32123" spans="2:2" ht="12.75" customHeight="1" x14ac:dyDescent="0.2">
      <c r="B32123" s="43"/>
    </row>
    <row r="32124" spans="2:2" ht="12.75" customHeight="1" x14ac:dyDescent="0.2">
      <c r="B32124" s="43"/>
    </row>
    <row r="32125" spans="2:2" ht="12.75" customHeight="1" x14ac:dyDescent="0.2">
      <c r="B32125" s="43"/>
    </row>
    <row r="32126" spans="2:2" ht="12.75" customHeight="1" x14ac:dyDescent="0.2">
      <c r="B32126" s="43"/>
    </row>
    <row r="32127" spans="2:2" ht="12.75" customHeight="1" x14ac:dyDescent="0.2">
      <c r="B32127" s="43"/>
    </row>
    <row r="32128" spans="2:2" ht="12.75" customHeight="1" x14ac:dyDescent="0.2">
      <c r="B32128" s="43"/>
    </row>
    <row r="32129" spans="2:2" ht="12.75" customHeight="1" x14ac:dyDescent="0.2">
      <c r="B32129" s="43"/>
    </row>
    <row r="32130" spans="2:2" ht="12.75" customHeight="1" x14ac:dyDescent="0.2">
      <c r="B32130" s="43"/>
    </row>
    <row r="32131" spans="2:2" ht="12.75" customHeight="1" x14ac:dyDescent="0.2">
      <c r="B32131" s="43"/>
    </row>
    <row r="32132" spans="2:2" ht="12.75" customHeight="1" x14ac:dyDescent="0.2">
      <c r="B32132" s="43"/>
    </row>
    <row r="32133" spans="2:2" ht="12.75" customHeight="1" x14ac:dyDescent="0.2">
      <c r="B32133" s="43"/>
    </row>
    <row r="32134" spans="2:2" ht="12.75" customHeight="1" x14ac:dyDescent="0.2">
      <c r="B32134" s="43"/>
    </row>
    <row r="32135" spans="2:2" ht="12.75" customHeight="1" x14ac:dyDescent="0.2">
      <c r="B32135" s="43"/>
    </row>
    <row r="32136" spans="2:2" ht="12.75" customHeight="1" x14ac:dyDescent="0.2">
      <c r="B32136" s="43"/>
    </row>
    <row r="32137" spans="2:2" ht="12.75" customHeight="1" x14ac:dyDescent="0.2">
      <c r="B32137" s="43"/>
    </row>
    <row r="32138" spans="2:2" ht="12.75" customHeight="1" x14ac:dyDescent="0.2">
      <c r="B32138" s="43"/>
    </row>
    <row r="32139" spans="2:2" ht="12.75" customHeight="1" x14ac:dyDescent="0.2">
      <c r="B32139" s="43"/>
    </row>
    <row r="32140" spans="2:2" ht="12.75" customHeight="1" x14ac:dyDescent="0.2">
      <c r="B32140" s="43"/>
    </row>
    <row r="32141" spans="2:2" ht="12.75" customHeight="1" x14ac:dyDescent="0.2">
      <c r="B32141" s="43"/>
    </row>
    <row r="32142" spans="2:2" ht="12.75" customHeight="1" x14ac:dyDescent="0.2">
      <c r="B32142" s="43"/>
    </row>
    <row r="32143" spans="2:2" ht="12.75" customHeight="1" x14ac:dyDescent="0.2">
      <c r="B32143" s="43"/>
    </row>
    <row r="32144" spans="2:2" ht="12.75" customHeight="1" x14ac:dyDescent="0.2">
      <c r="B32144" s="43"/>
    </row>
    <row r="32145" spans="2:2" ht="12.75" customHeight="1" x14ac:dyDescent="0.2">
      <c r="B32145" s="43"/>
    </row>
    <row r="32146" spans="2:2" ht="12.75" customHeight="1" x14ac:dyDescent="0.2">
      <c r="B32146" s="43"/>
    </row>
    <row r="32147" spans="2:2" ht="12.75" customHeight="1" x14ac:dyDescent="0.2">
      <c r="B32147" s="43"/>
    </row>
    <row r="32148" spans="2:2" ht="12.75" customHeight="1" x14ac:dyDescent="0.2">
      <c r="B32148" s="43"/>
    </row>
    <row r="32149" spans="2:2" ht="12.75" customHeight="1" x14ac:dyDescent="0.2">
      <c r="B32149" s="43"/>
    </row>
    <row r="32150" spans="2:2" ht="12.75" customHeight="1" x14ac:dyDescent="0.2">
      <c r="B32150" s="43"/>
    </row>
    <row r="32151" spans="2:2" ht="12.75" customHeight="1" x14ac:dyDescent="0.2">
      <c r="B32151" s="43"/>
    </row>
    <row r="32152" spans="2:2" ht="12.75" customHeight="1" x14ac:dyDescent="0.2">
      <c r="B32152" s="43"/>
    </row>
    <row r="32153" spans="2:2" ht="12.75" customHeight="1" x14ac:dyDescent="0.2">
      <c r="B32153" s="43"/>
    </row>
    <row r="32154" spans="2:2" ht="12.75" customHeight="1" x14ac:dyDescent="0.2">
      <c r="B32154" s="43"/>
    </row>
    <row r="32155" spans="2:2" ht="12.75" customHeight="1" x14ac:dyDescent="0.2">
      <c r="B32155" s="43"/>
    </row>
    <row r="32156" spans="2:2" ht="12.75" customHeight="1" x14ac:dyDescent="0.2">
      <c r="B32156" s="43"/>
    </row>
    <row r="32157" spans="2:2" ht="12.75" customHeight="1" x14ac:dyDescent="0.2">
      <c r="B32157" s="43"/>
    </row>
    <row r="32158" spans="2:2" ht="12.75" customHeight="1" x14ac:dyDescent="0.2">
      <c r="B32158" s="43"/>
    </row>
    <row r="32159" spans="2:2" ht="12.75" customHeight="1" x14ac:dyDescent="0.2">
      <c r="B32159" s="43"/>
    </row>
    <row r="32160" spans="2:2" ht="12.75" customHeight="1" x14ac:dyDescent="0.2">
      <c r="B32160" s="43"/>
    </row>
    <row r="32161" spans="2:2" ht="12.75" customHeight="1" x14ac:dyDescent="0.2">
      <c r="B32161" s="43"/>
    </row>
    <row r="32162" spans="2:2" ht="12.75" customHeight="1" x14ac:dyDescent="0.2">
      <c r="B32162" s="43"/>
    </row>
    <row r="32163" spans="2:2" ht="12.75" customHeight="1" x14ac:dyDescent="0.2">
      <c r="B32163" s="43"/>
    </row>
    <row r="32164" spans="2:2" ht="12.75" customHeight="1" x14ac:dyDescent="0.2">
      <c r="B32164" s="43"/>
    </row>
    <row r="32165" spans="2:2" ht="12.75" customHeight="1" x14ac:dyDescent="0.2">
      <c r="B32165" s="43"/>
    </row>
    <row r="32166" spans="2:2" ht="12.75" customHeight="1" x14ac:dyDescent="0.2">
      <c r="B32166" s="43"/>
    </row>
    <row r="32167" spans="2:2" ht="12.75" customHeight="1" x14ac:dyDescent="0.2">
      <c r="B32167" s="43"/>
    </row>
    <row r="32168" spans="2:2" ht="12.75" customHeight="1" x14ac:dyDescent="0.2">
      <c r="B32168" s="43"/>
    </row>
    <row r="32169" spans="2:2" ht="12.75" customHeight="1" x14ac:dyDescent="0.2">
      <c r="B32169" s="43"/>
    </row>
    <row r="32170" spans="2:2" ht="12.75" customHeight="1" x14ac:dyDescent="0.2">
      <c r="B32170" s="43"/>
    </row>
    <row r="32171" spans="2:2" ht="12.75" customHeight="1" x14ac:dyDescent="0.2">
      <c r="B32171" s="43"/>
    </row>
    <row r="32172" spans="2:2" ht="12.75" customHeight="1" x14ac:dyDescent="0.2">
      <c r="B32172" s="43"/>
    </row>
    <row r="32173" spans="2:2" ht="12.75" customHeight="1" x14ac:dyDescent="0.2">
      <c r="B32173" s="43"/>
    </row>
    <row r="32174" spans="2:2" ht="12.75" customHeight="1" x14ac:dyDescent="0.2">
      <c r="B32174" s="43"/>
    </row>
    <row r="32175" spans="2:2" ht="12.75" customHeight="1" x14ac:dyDescent="0.2">
      <c r="B32175" s="43"/>
    </row>
    <row r="32176" spans="2:2" ht="12.75" customHeight="1" x14ac:dyDescent="0.2">
      <c r="B32176" s="43"/>
    </row>
    <row r="32177" spans="2:2" ht="12.75" customHeight="1" x14ac:dyDescent="0.2">
      <c r="B32177" s="43"/>
    </row>
    <row r="32178" spans="2:2" ht="12.75" customHeight="1" x14ac:dyDescent="0.2">
      <c r="B32178" s="43"/>
    </row>
    <row r="32179" spans="2:2" ht="12.75" customHeight="1" x14ac:dyDescent="0.2">
      <c r="B32179" s="43"/>
    </row>
    <row r="32180" spans="2:2" ht="12.75" customHeight="1" x14ac:dyDescent="0.2">
      <c r="B32180" s="43"/>
    </row>
    <row r="32181" spans="2:2" ht="12.75" customHeight="1" x14ac:dyDescent="0.2">
      <c r="B32181" s="43"/>
    </row>
    <row r="32182" spans="2:2" ht="12.75" customHeight="1" x14ac:dyDescent="0.2">
      <c r="B32182" s="43"/>
    </row>
    <row r="32183" spans="2:2" ht="12.75" customHeight="1" x14ac:dyDescent="0.2">
      <c r="B32183" s="43"/>
    </row>
    <row r="32184" spans="2:2" ht="12.75" customHeight="1" x14ac:dyDescent="0.2">
      <c r="B32184" s="43"/>
    </row>
    <row r="32185" spans="2:2" ht="12.75" customHeight="1" x14ac:dyDescent="0.2">
      <c r="B32185" s="43"/>
    </row>
    <row r="32186" spans="2:2" ht="12.75" customHeight="1" x14ac:dyDescent="0.2">
      <c r="B32186" s="43"/>
    </row>
    <row r="32187" spans="2:2" ht="12.75" customHeight="1" x14ac:dyDescent="0.2">
      <c r="B32187" s="43"/>
    </row>
    <row r="32188" spans="2:2" ht="12.75" customHeight="1" x14ac:dyDescent="0.2">
      <c r="B32188" s="43"/>
    </row>
    <row r="32189" spans="2:2" ht="12.75" customHeight="1" x14ac:dyDescent="0.2">
      <c r="B32189" s="43"/>
    </row>
    <row r="32190" spans="2:2" ht="12.75" customHeight="1" x14ac:dyDescent="0.2">
      <c r="B32190" s="43"/>
    </row>
    <row r="32191" spans="2:2" ht="12.75" customHeight="1" x14ac:dyDescent="0.2">
      <c r="B32191" s="43"/>
    </row>
    <row r="32192" spans="2:2" ht="12.75" customHeight="1" x14ac:dyDescent="0.2">
      <c r="B32192" s="43"/>
    </row>
    <row r="32193" spans="2:2" ht="12.75" customHeight="1" x14ac:dyDescent="0.2">
      <c r="B32193" s="43"/>
    </row>
    <row r="32194" spans="2:2" ht="12.75" customHeight="1" x14ac:dyDescent="0.2">
      <c r="B32194" s="43"/>
    </row>
    <row r="32195" spans="2:2" ht="12.75" customHeight="1" x14ac:dyDescent="0.2">
      <c r="B32195" s="43"/>
    </row>
    <row r="32196" spans="2:2" ht="12.75" customHeight="1" x14ac:dyDescent="0.2">
      <c r="B32196" s="43"/>
    </row>
    <row r="32197" spans="2:2" ht="12.75" customHeight="1" x14ac:dyDescent="0.2">
      <c r="B32197" s="43"/>
    </row>
    <row r="32198" spans="2:2" ht="12.75" customHeight="1" x14ac:dyDescent="0.2">
      <c r="B32198" s="43"/>
    </row>
    <row r="32199" spans="2:2" ht="12.75" customHeight="1" x14ac:dyDescent="0.2">
      <c r="B32199" s="43"/>
    </row>
    <row r="32200" spans="2:2" ht="12.75" customHeight="1" x14ac:dyDescent="0.2">
      <c r="B32200" s="43"/>
    </row>
    <row r="32201" spans="2:2" ht="12.75" customHeight="1" x14ac:dyDescent="0.2">
      <c r="B32201" s="43"/>
    </row>
    <row r="32202" spans="2:2" ht="12.75" customHeight="1" x14ac:dyDescent="0.2">
      <c r="B32202" s="43"/>
    </row>
    <row r="32203" spans="2:2" ht="12.75" customHeight="1" x14ac:dyDescent="0.2">
      <c r="B32203" s="43"/>
    </row>
    <row r="32204" spans="2:2" ht="12.75" customHeight="1" x14ac:dyDescent="0.2">
      <c r="B32204" s="43"/>
    </row>
    <row r="32205" spans="2:2" ht="12.75" customHeight="1" x14ac:dyDescent="0.2">
      <c r="B32205" s="43"/>
    </row>
    <row r="32206" spans="2:2" ht="12.75" customHeight="1" x14ac:dyDescent="0.2">
      <c r="B32206" s="43"/>
    </row>
    <row r="32207" spans="2:2" ht="12.75" customHeight="1" x14ac:dyDescent="0.2">
      <c r="B32207" s="43"/>
    </row>
    <row r="32208" spans="2:2" ht="12.75" customHeight="1" x14ac:dyDescent="0.2">
      <c r="B32208" s="43"/>
    </row>
    <row r="32209" spans="2:2" ht="12.75" customHeight="1" x14ac:dyDescent="0.2">
      <c r="B32209" s="43"/>
    </row>
    <row r="32210" spans="2:2" ht="12.75" customHeight="1" x14ac:dyDescent="0.2">
      <c r="B32210" s="43"/>
    </row>
    <row r="32211" spans="2:2" ht="12.75" customHeight="1" x14ac:dyDescent="0.2">
      <c r="B32211" s="43"/>
    </row>
    <row r="32212" spans="2:2" ht="12.75" customHeight="1" x14ac:dyDescent="0.2">
      <c r="B32212" s="43"/>
    </row>
    <row r="32213" spans="2:2" ht="12.75" customHeight="1" x14ac:dyDescent="0.2">
      <c r="B32213" s="43"/>
    </row>
    <row r="32214" spans="2:2" ht="12.75" customHeight="1" x14ac:dyDescent="0.2">
      <c r="B32214" s="43"/>
    </row>
    <row r="32215" spans="2:2" ht="12.75" customHeight="1" x14ac:dyDescent="0.2">
      <c r="B32215" s="43"/>
    </row>
    <row r="32216" spans="2:2" ht="12.75" customHeight="1" x14ac:dyDescent="0.2">
      <c r="B32216" s="43"/>
    </row>
    <row r="32217" spans="2:2" ht="12.75" customHeight="1" x14ac:dyDescent="0.2">
      <c r="B32217" s="43"/>
    </row>
    <row r="32218" spans="2:2" ht="12.75" customHeight="1" x14ac:dyDescent="0.2">
      <c r="B32218" s="43"/>
    </row>
    <row r="32219" spans="2:2" ht="12.75" customHeight="1" x14ac:dyDescent="0.2">
      <c r="B32219" s="43"/>
    </row>
    <row r="32220" spans="2:2" ht="12.75" customHeight="1" x14ac:dyDescent="0.2">
      <c r="B32220" s="43"/>
    </row>
    <row r="32221" spans="2:2" ht="12.75" customHeight="1" x14ac:dyDescent="0.2">
      <c r="B32221" s="43"/>
    </row>
    <row r="32222" spans="2:2" ht="12.75" customHeight="1" x14ac:dyDescent="0.2">
      <c r="B32222" s="43"/>
    </row>
    <row r="32223" spans="2:2" ht="12.75" customHeight="1" x14ac:dyDescent="0.2">
      <c r="B32223" s="43"/>
    </row>
    <row r="32224" spans="2:2" ht="12.75" customHeight="1" x14ac:dyDescent="0.2">
      <c r="B32224" s="43"/>
    </row>
    <row r="32225" spans="2:2" ht="12.75" customHeight="1" x14ac:dyDescent="0.2">
      <c r="B32225" s="43"/>
    </row>
    <row r="32226" spans="2:2" ht="12.75" customHeight="1" x14ac:dyDescent="0.2">
      <c r="B32226" s="43"/>
    </row>
    <row r="32227" spans="2:2" ht="12.75" customHeight="1" x14ac:dyDescent="0.2">
      <c r="B32227" s="43"/>
    </row>
    <row r="32228" spans="2:2" ht="12.75" customHeight="1" x14ac:dyDescent="0.2">
      <c r="B32228" s="43"/>
    </row>
    <row r="32229" spans="2:2" ht="12.75" customHeight="1" x14ac:dyDescent="0.2">
      <c r="B32229" s="43"/>
    </row>
    <row r="32230" spans="2:2" ht="12.75" customHeight="1" x14ac:dyDescent="0.2">
      <c r="B32230" s="43"/>
    </row>
    <row r="32231" spans="2:2" ht="12.75" customHeight="1" x14ac:dyDescent="0.2">
      <c r="B32231" s="43"/>
    </row>
    <row r="32232" spans="2:2" ht="12.75" customHeight="1" x14ac:dyDescent="0.2">
      <c r="B32232" s="43"/>
    </row>
    <row r="32233" spans="2:2" ht="12.75" customHeight="1" x14ac:dyDescent="0.2">
      <c r="B32233" s="43"/>
    </row>
    <row r="32234" spans="2:2" ht="12.75" customHeight="1" x14ac:dyDescent="0.2">
      <c r="B32234" s="43"/>
    </row>
    <row r="32235" spans="2:2" ht="12.75" customHeight="1" x14ac:dyDescent="0.2">
      <c r="B32235" s="43"/>
    </row>
    <row r="32236" spans="2:2" ht="12.75" customHeight="1" x14ac:dyDescent="0.2">
      <c r="B32236" s="43"/>
    </row>
    <row r="32237" spans="2:2" ht="12.75" customHeight="1" x14ac:dyDescent="0.2">
      <c r="B32237" s="43"/>
    </row>
    <row r="32238" spans="2:2" ht="12.75" customHeight="1" x14ac:dyDescent="0.2">
      <c r="B32238" s="43"/>
    </row>
    <row r="32239" spans="2:2" ht="12.75" customHeight="1" x14ac:dyDescent="0.2">
      <c r="B32239" s="43"/>
    </row>
    <row r="32240" spans="2:2" ht="12.75" customHeight="1" x14ac:dyDescent="0.2">
      <c r="B32240" s="43"/>
    </row>
    <row r="32241" spans="2:2" ht="12.75" customHeight="1" x14ac:dyDescent="0.2">
      <c r="B32241" s="43"/>
    </row>
    <row r="32242" spans="2:2" ht="12.75" customHeight="1" x14ac:dyDescent="0.2">
      <c r="B32242" s="43"/>
    </row>
    <row r="32243" spans="2:2" ht="12.75" customHeight="1" x14ac:dyDescent="0.2">
      <c r="B32243" s="43"/>
    </row>
    <row r="32244" spans="2:2" ht="12.75" customHeight="1" x14ac:dyDescent="0.2">
      <c r="B32244" s="43"/>
    </row>
    <row r="32245" spans="2:2" ht="12.75" customHeight="1" x14ac:dyDescent="0.2">
      <c r="B32245" s="43"/>
    </row>
    <row r="32246" spans="2:2" ht="12.75" customHeight="1" x14ac:dyDescent="0.2">
      <c r="B32246" s="43"/>
    </row>
    <row r="32247" spans="2:2" ht="12.75" customHeight="1" x14ac:dyDescent="0.2">
      <c r="B32247" s="43"/>
    </row>
    <row r="32248" spans="2:2" ht="12.75" customHeight="1" x14ac:dyDescent="0.2">
      <c r="B32248" s="43"/>
    </row>
    <row r="32249" spans="2:2" ht="12.75" customHeight="1" x14ac:dyDescent="0.2">
      <c r="B32249" s="43"/>
    </row>
    <row r="32250" spans="2:2" ht="12.75" customHeight="1" x14ac:dyDescent="0.2">
      <c r="B32250" s="43"/>
    </row>
    <row r="32251" spans="2:2" ht="12.75" customHeight="1" x14ac:dyDescent="0.2">
      <c r="B32251" s="43"/>
    </row>
    <row r="32252" spans="2:2" ht="12.75" customHeight="1" x14ac:dyDescent="0.2">
      <c r="B32252" s="43"/>
    </row>
    <row r="32253" spans="2:2" ht="12.75" customHeight="1" x14ac:dyDescent="0.2">
      <c r="B32253" s="43"/>
    </row>
    <row r="32254" spans="2:2" ht="12.75" customHeight="1" x14ac:dyDescent="0.2">
      <c r="B32254" s="43"/>
    </row>
    <row r="32255" spans="2:2" ht="12.75" customHeight="1" x14ac:dyDescent="0.2">
      <c r="B32255" s="43"/>
    </row>
    <row r="32256" spans="2:2" ht="12.75" customHeight="1" x14ac:dyDescent="0.2">
      <c r="B32256" s="43"/>
    </row>
    <row r="32257" spans="2:2" ht="12.75" customHeight="1" x14ac:dyDescent="0.2">
      <c r="B32257" s="43"/>
    </row>
    <row r="32258" spans="2:2" ht="12.75" customHeight="1" x14ac:dyDescent="0.2">
      <c r="B32258" s="43"/>
    </row>
    <row r="32259" spans="2:2" ht="12.75" customHeight="1" x14ac:dyDescent="0.2">
      <c r="B32259" s="43"/>
    </row>
    <row r="32260" spans="2:2" ht="12.75" customHeight="1" x14ac:dyDescent="0.2">
      <c r="B32260" s="43"/>
    </row>
    <row r="32261" spans="2:2" ht="12.75" customHeight="1" x14ac:dyDescent="0.2">
      <c r="B32261" s="43"/>
    </row>
    <row r="32262" spans="2:2" ht="12.75" customHeight="1" x14ac:dyDescent="0.2">
      <c r="B32262" s="43"/>
    </row>
    <row r="32263" spans="2:2" ht="12.75" customHeight="1" x14ac:dyDescent="0.2">
      <c r="B32263" s="43"/>
    </row>
    <row r="32264" spans="2:2" ht="12.75" customHeight="1" x14ac:dyDescent="0.2">
      <c r="B32264" s="43"/>
    </row>
    <row r="32265" spans="2:2" ht="12.75" customHeight="1" x14ac:dyDescent="0.2">
      <c r="B32265" s="43"/>
    </row>
    <row r="32266" spans="2:2" ht="12.75" customHeight="1" x14ac:dyDescent="0.2">
      <c r="B32266" s="43"/>
    </row>
    <row r="32267" spans="2:2" ht="12.75" customHeight="1" x14ac:dyDescent="0.2">
      <c r="B32267" s="43"/>
    </row>
    <row r="32268" spans="2:2" ht="12.75" customHeight="1" x14ac:dyDescent="0.2">
      <c r="B32268" s="43"/>
    </row>
    <row r="32269" spans="2:2" ht="12.75" customHeight="1" x14ac:dyDescent="0.2">
      <c r="B32269" s="43"/>
    </row>
    <row r="32270" spans="2:2" ht="12.75" customHeight="1" x14ac:dyDescent="0.2">
      <c r="B32270" s="43"/>
    </row>
    <row r="32271" spans="2:2" ht="12.75" customHeight="1" x14ac:dyDescent="0.2">
      <c r="B32271" s="43"/>
    </row>
    <row r="32272" spans="2:2" ht="12.75" customHeight="1" x14ac:dyDescent="0.2">
      <c r="B32272" s="43"/>
    </row>
    <row r="32273" spans="2:2" ht="12.75" customHeight="1" x14ac:dyDescent="0.2">
      <c r="B32273" s="43"/>
    </row>
    <row r="32274" spans="2:2" ht="12.75" customHeight="1" x14ac:dyDescent="0.2">
      <c r="B32274" s="43"/>
    </row>
    <row r="32275" spans="2:2" ht="12.75" customHeight="1" x14ac:dyDescent="0.2">
      <c r="B32275" s="43"/>
    </row>
    <row r="32276" spans="2:2" ht="12.75" customHeight="1" x14ac:dyDescent="0.2">
      <c r="B32276" s="43"/>
    </row>
    <row r="32277" spans="2:2" ht="12.75" customHeight="1" x14ac:dyDescent="0.2">
      <c r="B32277" s="43"/>
    </row>
    <row r="32278" spans="2:2" ht="12.75" customHeight="1" x14ac:dyDescent="0.2">
      <c r="B32278" s="43"/>
    </row>
    <row r="32279" spans="2:2" ht="12.75" customHeight="1" x14ac:dyDescent="0.2">
      <c r="B32279" s="43"/>
    </row>
    <row r="32280" spans="2:2" ht="12.75" customHeight="1" x14ac:dyDescent="0.2">
      <c r="B32280" s="43"/>
    </row>
    <row r="32281" spans="2:2" ht="12.75" customHeight="1" x14ac:dyDescent="0.2">
      <c r="B32281" s="43"/>
    </row>
    <row r="32282" spans="2:2" ht="12.75" customHeight="1" x14ac:dyDescent="0.2">
      <c r="B32282" s="43"/>
    </row>
    <row r="32283" spans="2:2" ht="12.75" customHeight="1" x14ac:dyDescent="0.2">
      <c r="B32283" s="43"/>
    </row>
    <row r="32284" spans="2:2" ht="12.75" customHeight="1" x14ac:dyDescent="0.2">
      <c r="B32284" s="43"/>
    </row>
    <row r="32285" spans="2:2" ht="12.75" customHeight="1" x14ac:dyDescent="0.2">
      <c r="B32285" s="43"/>
    </row>
    <row r="32286" spans="2:2" ht="12.75" customHeight="1" x14ac:dyDescent="0.2">
      <c r="B32286" s="43"/>
    </row>
    <row r="32287" spans="2:2" ht="12.75" customHeight="1" x14ac:dyDescent="0.2">
      <c r="B32287" s="43"/>
    </row>
    <row r="32288" spans="2:2" ht="12.75" customHeight="1" x14ac:dyDescent="0.2">
      <c r="B32288" s="43"/>
    </row>
    <row r="32289" spans="2:2" ht="12.75" customHeight="1" x14ac:dyDescent="0.2">
      <c r="B32289" s="43"/>
    </row>
    <row r="32290" spans="2:2" ht="12.75" customHeight="1" x14ac:dyDescent="0.2">
      <c r="B32290" s="43"/>
    </row>
    <row r="32291" spans="2:2" ht="12.75" customHeight="1" x14ac:dyDescent="0.2">
      <c r="B32291" s="43"/>
    </row>
    <row r="32292" spans="2:2" ht="12.75" customHeight="1" x14ac:dyDescent="0.2">
      <c r="B32292" s="43"/>
    </row>
    <row r="32293" spans="2:2" ht="12.75" customHeight="1" x14ac:dyDescent="0.2">
      <c r="B32293" s="43"/>
    </row>
    <row r="32294" spans="2:2" ht="12.75" customHeight="1" x14ac:dyDescent="0.2">
      <c r="B32294" s="43"/>
    </row>
    <row r="32295" spans="2:2" ht="12.75" customHeight="1" x14ac:dyDescent="0.2">
      <c r="B32295" s="43"/>
    </row>
    <row r="32296" spans="2:2" ht="12.75" customHeight="1" x14ac:dyDescent="0.2">
      <c r="B32296" s="43"/>
    </row>
    <row r="32297" spans="2:2" ht="12.75" customHeight="1" x14ac:dyDescent="0.2">
      <c r="B32297" s="43"/>
    </row>
    <row r="32298" spans="2:2" ht="12.75" customHeight="1" x14ac:dyDescent="0.2">
      <c r="B32298" s="43"/>
    </row>
    <row r="32299" spans="2:2" ht="12.75" customHeight="1" x14ac:dyDescent="0.2">
      <c r="B32299" s="43"/>
    </row>
    <row r="32300" spans="2:2" ht="12.75" customHeight="1" x14ac:dyDescent="0.2">
      <c r="B32300" s="43"/>
    </row>
    <row r="32301" spans="2:2" ht="12.75" customHeight="1" x14ac:dyDescent="0.2">
      <c r="B32301" s="43"/>
    </row>
    <row r="32302" spans="2:2" ht="12.75" customHeight="1" x14ac:dyDescent="0.2">
      <c r="B32302" s="43"/>
    </row>
    <row r="32303" spans="2:2" ht="12.75" customHeight="1" x14ac:dyDescent="0.2">
      <c r="B32303" s="43"/>
    </row>
    <row r="32304" spans="2:2" ht="12.75" customHeight="1" x14ac:dyDescent="0.2">
      <c r="B32304" s="43"/>
    </row>
    <row r="32305" spans="2:2" ht="12.75" customHeight="1" x14ac:dyDescent="0.2">
      <c r="B32305" s="43"/>
    </row>
    <row r="32306" spans="2:2" ht="12.75" customHeight="1" x14ac:dyDescent="0.2">
      <c r="B32306" s="43"/>
    </row>
    <row r="32307" spans="2:2" ht="12.75" customHeight="1" x14ac:dyDescent="0.2">
      <c r="B32307" s="43"/>
    </row>
    <row r="32308" spans="2:2" ht="12.75" customHeight="1" x14ac:dyDescent="0.2">
      <c r="B32308" s="43"/>
    </row>
    <row r="32309" spans="2:2" ht="12.75" customHeight="1" x14ac:dyDescent="0.2">
      <c r="B32309" s="43"/>
    </row>
    <row r="32310" spans="2:2" ht="12.75" customHeight="1" x14ac:dyDescent="0.2">
      <c r="B32310" s="43"/>
    </row>
    <row r="32311" spans="2:2" ht="12.75" customHeight="1" x14ac:dyDescent="0.2">
      <c r="B32311" s="43"/>
    </row>
    <row r="32312" spans="2:2" ht="12.75" customHeight="1" x14ac:dyDescent="0.2">
      <c r="B32312" s="43"/>
    </row>
    <row r="32313" spans="2:2" ht="12.75" customHeight="1" x14ac:dyDescent="0.2">
      <c r="B32313" s="43"/>
    </row>
    <row r="32314" spans="2:2" ht="12.75" customHeight="1" x14ac:dyDescent="0.2">
      <c r="B32314" s="43"/>
    </row>
    <row r="32315" spans="2:2" ht="12.75" customHeight="1" x14ac:dyDescent="0.2">
      <c r="B32315" s="43"/>
    </row>
    <row r="32316" spans="2:2" ht="12.75" customHeight="1" x14ac:dyDescent="0.2">
      <c r="B32316" s="43"/>
    </row>
    <row r="32317" spans="2:2" ht="12.75" customHeight="1" x14ac:dyDescent="0.2">
      <c r="B32317" s="43"/>
    </row>
    <row r="32318" spans="2:2" ht="12.75" customHeight="1" x14ac:dyDescent="0.2">
      <c r="B32318" s="43"/>
    </row>
    <row r="32319" spans="2:2" ht="12.75" customHeight="1" x14ac:dyDescent="0.2">
      <c r="B32319" s="43"/>
    </row>
    <row r="32320" spans="2:2" ht="12.75" customHeight="1" x14ac:dyDescent="0.2">
      <c r="B32320" s="43"/>
    </row>
    <row r="32321" spans="2:2" ht="12.75" customHeight="1" x14ac:dyDescent="0.2">
      <c r="B32321" s="43"/>
    </row>
    <row r="32322" spans="2:2" ht="12.75" customHeight="1" x14ac:dyDescent="0.2">
      <c r="B32322" s="43"/>
    </row>
    <row r="32323" spans="2:2" ht="12.75" customHeight="1" x14ac:dyDescent="0.2">
      <c r="B32323" s="43"/>
    </row>
    <row r="32324" spans="2:2" ht="12.75" customHeight="1" x14ac:dyDescent="0.2">
      <c r="B32324" s="43"/>
    </row>
    <row r="32325" spans="2:2" ht="12.75" customHeight="1" x14ac:dyDescent="0.2">
      <c r="B32325" s="43"/>
    </row>
    <row r="32326" spans="2:2" ht="12.75" customHeight="1" x14ac:dyDescent="0.2">
      <c r="B32326" s="43"/>
    </row>
    <row r="32327" spans="2:2" ht="12.75" customHeight="1" x14ac:dyDescent="0.2">
      <c r="B32327" s="43"/>
    </row>
    <row r="32328" spans="2:2" ht="12.75" customHeight="1" x14ac:dyDescent="0.2">
      <c r="B32328" s="43"/>
    </row>
    <row r="32329" spans="2:2" ht="12.75" customHeight="1" x14ac:dyDescent="0.2">
      <c r="B32329" s="43"/>
    </row>
    <row r="32330" spans="2:2" ht="12.75" customHeight="1" x14ac:dyDescent="0.2">
      <c r="B32330" s="43"/>
    </row>
    <row r="32331" spans="2:2" ht="12.75" customHeight="1" x14ac:dyDescent="0.2">
      <c r="B32331" s="43"/>
    </row>
    <row r="32332" spans="2:2" ht="12.75" customHeight="1" x14ac:dyDescent="0.2">
      <c r="B32332" s="43"/>
    </row>
    <row r="32333" spans="2:2" ht="12.75" customHeight="1" x14ac:dyDescent="0.2">
      <c r="B32333" s="43"/>
    </row>
    <row r="32334" spans="2:2" ht="12.75" customHeight="1" x14ac:dyDescent="0.2">
      <c r="B32334" s="43"/>
    </row>
    <row r="32335" spans="2:2" ht="12.75" customHeight="1" x14ac:dyDescent="0.2">
      <c r="B32335" s="43"/>
    </row>
    <row r="32336" spans="2:2" ht="12.75" customHeight="1" x14ac:dyDescent="0.2">
      <c r="B32336" s="43"/>
    </row>
    <row r="32337" spans="2:2" ht="12.75" customHeight="1" x14ac:dyDescent="0.2">
      <c r="B32337" s="43"/>
    </row>
    <row r="32338" spans="2:2" ht="12.75" customHeight="1" x14ac:dyDescent="0.2">
      <c r="B32338" s="43"/>
    </row>
    <row r="32339" spans="2:2" ht="12.75" customHeight="1" x14ac:dyDescent="0.2">
      <c r="B32339" s="43"/>
    </row>
    <row r="32340" spans="2:2" ht="12.75" customHeight="1" x14ac:dyDescent="0.2">
      <c r="B32340" s="43"/>
    </row>
    <row r="32341" spans="2:2" ht="12.75" customHeight="1" x14ac:dyDescent="0.2">
      <c r="B32341" s="43"/>
    </row>
    <row r="32342" spans="2:2" ht="12.75" customHeight="1" x14ac:dyDescent="0.2">
      <c r="B32342" s="43"/>
    </row>
    <row r="32343" spans="2:2" ht="12.75" customHeight="1" x14ac:dyDescent="0.2">
      <c r="B32343" s="43"/>
    </row>
    <row r="32344" spans="2:2" ht="12.75" customHeight="1" x14ac:dyDescent="0.2">
      <c r="B32344" s="43"/>
    </row>
    <row r="32345" spans="2:2" ht="12.75" customHeight="1" x14ac:dyDescent="0.2">
      <c r="B32345" s="43"/>
    </row>
    <row r="32346" spans="2:2" ht="12.75" customHeight="1" x14ac:dyDescent="0.2">
      <c r="B32346" s="43"/>
    </row>
    <row r="32347" spans="2:2" ht="12.75" customHeight="1" x14ac:dyDescent="0.2">
      <c r="B32347" s="43"/>
    </row>
    <row r="32348" spans="2:2" ht="12.75" customHeight="1" x14ac:dyDescent="0.2">
      <c r="B32348" s="43"/>
    </row>
    <row r="32349" spans="2:2" ht="12.75" customHeight="1" x14ac:dyDescent="0.2">
      <c r="B32349" s="43"/>
    </row>
    <row r="32350" spans="2:2" ht="12.75" customHeight="1" x14ac:dyDescent="0.2">
      <c r="B32350" s="43"/>
    </row>
    <row r="32351" spans="2:2" ht="12.75" customHeight="1" x14ac:dyDescent="0.2">
      <c r="B32351" s="43"/>
    </row>
    <row r="32352" spans="2:2" ht="12.75" customHeight="1" x14ac:dyDescent="0.2">
      <c r="B32352" s="43"/>
    </row>
    <row r="32353" spans="2:2" ht="12.75" customHeight="1" x14ac:dyDescent="0.2">
      <c r="B32353" s="43"/>
    </row>
    <row r="32354" spans="2:2" ht="12.75" customHeight="1" x14ac:dyDescent="0.2">
      <c r="B32354" s="43"/>
    </row>
    <row r="32355" spans="2:2" ht="12.75" customHeight="1" x14ac:dyDescent="0.2">
      <c r="B32355" s="43"/>
    </row>
    <row r="32356" spans="2:2" ht="12.75" customHeight="1" x14ac:dyDescent="0.2">
      <c r="B32356" s="43"/>
    </row>
    <row r="32357" spans="2:2" ht="12.75" customHeight="1" x14ac:dyDescent="0.2">
      <c r="B32357" s="43"/>
    </row>
    <row r="32358" spans="2:2" ht="12.75" customHeight="1" x14ac:dyDescent="0.2">
      <c r="B32358" s="43"/>
    </row>
    <row r="32359" spans="2:2" ht="12.75" customHeight="1" x14ac:dyDescent="0.2">
      <c r="B32359" s="43"/>
    </row>
    <row r="32360" spans="2:2" ht="12.75" customHeight="1" x14ac:dyDescent="0.2">
      <c r="B32360" s="43"/>
    </row>
    <row r="32361" spans="2:2" ht="12.75" customHeight="1" x14ac:dyDescent="0.2">
      <c r="B32361" s="43"/>
    </row>
    <row r="32362" spans="2:2" ht="12.75" customHeight="1" x14ac:dyDescent="0.2">
      <c r="B32362" s="43"/>
    </row>
    <row r="32363" spans="2:2" ht="12.75" customHeight="1" x14ac:dyDescent="0.2">
      <c r="B32363" s="43"/>
    </row>
    <row r="32364" spans="2:2" ht="12.75" customHeight="1" x14ac:dyDescent="0.2">
      <c r="B32364" s="43"/>
    </row>
    <row r="32365" spans="2:2" ht="12.75" customHeight="1" x14ac:dyDescent="0.2">
      <c r="B32365" s="43"/>
    </row>
    <row r="32366" spans="2:2" ht="12.75" customHeight="1" x14ac:dyDescent="0.2">
      <c r="B32366" s="43"/>
    </row>
    <row r="32367" spans="2:2" ht="12.75" customHeight="1" x14ac:dyDescent="0.2">
      <c r="B32367" s="43"/>
    </row>
    <row r="32368" spans="2:2" ht="12.75" customHeight="1" x14ac:dyDescent="0.2">
      <c r="B32368" s="43"/>
    </row>
    <row r="32369" spans="2:2" ht="12.75" customHeight="1" x14ac:dyDescent="0.2">
      <c r="B32369" s="43"/>
    </row>
    <row r="32370" spans="2:2" ht="12.75" customHeight="1" x14ac:dyDescent="0.2">
      <c r="B32370" s="43"/>
    </row>
    <row r="32371" spans="2:2" ht="12.75" customHeight="1" x14ac:dyDescent="0.2">
      <c r="B32371" s="43"/>
    </row>
    <row r="32372" spans="2:2" ht="12.75" customHeight="1" x14ac:dyDescent="0.2">
      <c r="B32372" s="43"/>
    </row>
    <row r="32373" spans="2:2" ht="12.75" customHeight="1" x14ac:dyDescent="0.2">
      <c r="B32373" s="43"/>
    </row>
    <row r="32374" spans="2:2" ht="12.75" customHeight="1" x14ac:dyDescent="0.2">
      <c r="B32374" s="43"/>
    </row>
    <row r="32375" spans="2:2" ht="12.75" customHeight="1" x14ac:dyDescent="0.2">
      <c r="B32375" s="43"/>
    </row>
    <row r="32376" spans="2:2" ht="12.75" customHeight="1" x14ac:dyDescent="0.2">
      <c r="B32376" s="43"/>
    </row>
    <row r="32377" spans="2:2" ht="12.75" customHeight="1" x14ac:dyDescent="0.2">
      <c r="B32377" s="43"/>
    </row>
    <row r="32378" spans="2:2" ht="12.75" customHeight="1" x14ac:dyDescent="0.2">
      <c r="B32378" s="43"/>
    </row>
    <row r="32379" spans="2:2" ht="12.75" customHeight="1" x14ac:dyDescent="0.2">
      <c r="B32379" s="43"/>
    </row>
    <row r="32380" spans="2:2" ht="12.75" customHeight="1" x14ac:dyDescent="0.2">
      <c r="B32380" s="43"/>
    </row>
    <row r="32381" spans="2:2" ht="12.75" customHeight="1" x14ac:dyDescent="0.2">
      <c r="B32381" s="43"/>
    </row>
    <row r="32382" spans="2:2" ht="12.75" customHeight="1" x14ac:dyDescent="0.2">
      <c r="B32382" s="43"/>
    </row>
    <row r="32383" spans="2:2" ht="12.75" customHeight="1" x14ac:dyDescent="0.2">
      <c r="B32383" s="43"/>
    </row>
    <row r="32384" spans="2:2" ht="12.75" customHeight="1" x14ac:dyDescent="0.2">
      <c r="B32384" s="43"/>
    </row>
    <row r="32385" spans="2:2" ht="12.75" customHeight="1" x14ac:dyDescent="0.2">
      <c r="B32385" s="43"/>
    </row>
    <row r="32386" spans="2:2" ht="12.75" customHeight="1" x14ac:dyDescent="0.2">
      <c r="B32386" s="43"/>
    </row>
    <row r="32387" spans="2:2" ht="12.75" customHeight="1" x14ac:dyDescent="0.2">
      <c r="B32387" s="43"/>
    </row>
    <row r="32388" spans="2:2" ht="12.75" customHeight="1" x14ac:dyDescent="0.2">
      <c r="B32388" s="43"/>
    </row>
    <row r="32389" spans="2:2" ht="12.75" customHeight="1" x14ac:dyDescent="0.2">
      <c r="B32389" s="43"/>
    </row>
    <row r="32390" spans="2:2" ht="12.75" customHeight="1" x14ac:dyDescent="0.2">
      <c r="B32390" s="43"/>
    </row>
    <row r="32391" spans="2:2" ht="12.75" customHeight="1" x14ac:dyDescent="0.2">
      <c r="B32391" s="43"/>
    </row>
    <row r="32392" spans="2:2" ht="12.75" customHeight="1" x14ac:dyDescent="0.2">
      <c r="B32392" s="43"/>
    </row>
    <row r="32393" spans="2:2" ht="12.75" customHeight="1" x14ac:dyDescent="0.2">
      <c r="B32393" s="43"/>
    </row>
    <row r="32394" spans="2:2" ht="12.75" customHeight="1" x14ac:dyDescent="0.2">
      <c r="B32394" s="43"/>
    </row>
    <row r="32395" spans="2:2" ht="12.75" customHeight="1" x14ac:dyDescent="0.2">
      <c r="B32395" s="43"/>
    </row>
    <row r="32396" spans="2:2" ht="12.75" customHeight="1" x14ac:dyDescent="0.2">
      <c r="B32396" s="43"/>
    </row>
    <row r="32397" spans="2:2" ht="12.75" customHeight="1" x14ac:dyDescent="0.2">
      <c r="B32397" s="43"/>
    </row>
    <row r="32398" spans="2:2" ht="12.75" customHeight="1" x14ac:dyDescent="0.2">
      <c r="B32398" s="43"/>
    </row>
    <row r="32399" spans="2:2" ht="12.75" customHeight="1" x14ac:dyDescent="0.2">
      <c r="B32399" s="43"/>
    </row>
    <row r="32400" spans="2:2" ht="12.75" customHeight="1" x14ac:dyDescent="0.2">
      <c r="B32400" s="43"/>
    </row>
    <row r="32401" spans="2:2" ht="12.75" customHeight="1" x14ac:dyDescent="0.2">
      <c r="B32401" s="43"/>
    </row>
    <row r="32402" spans="2:2" ht="12.75" customHeight="1" x14ac:dyDescent="0.2">
      <c r="B32402" s="43"/>
    </row>
    <row r="32403" spans="2:2" ht="12.75" customHeight="1" x14ac:dyDescent="0.2">
      <c r="B32403" s="43"/>
    </row>
    <row r="32404" spans="2:2" ht="12.75" customHeight="1" x14ac:dyDescent="0.2">
      <c r="B32404" s="43"/>
    </row>
    <row r="32405" spans="2:2" ht="12.75" customHeight="1" x14ac:dyDescent="0.2">
      <c r="B32405" s="43"/>
    </row>
    <row r="32406" spans="2:2" ht="12.75" customHeight="1" x14ac:dyDescent="0.2">
      <c r="B32406" s="43"/>
    </row>
    <row r="32407" spans="2:2" ht="12.75" customHeight="1" x14ac:dyDescent="0.2">
      <c r="B32407" s="43"/>
    </row>
    <row r="32408" spans="2:2" ht="12.75" customHeight="1" x14ac:dyDescent="0.2">
      <c r="B32408" s="43"/>
    </row>
    <row r="32409" spans="2:2" ht="12.75" customHeight="1" x14ac:dyDescent="0.2">
      <c r="B32409" s="43"/>
    </row>
    <row r="32410" spans="2:2" ht="12.75" customHeight="1" x14ac:dyDescent="0.2">
      <c r="B32410" s="43"/>
    </row>
    <row r="32411" spans="2:2" ht="12.75" customHeight="1" x14ac:dyDescent="0.2">
      <c r="B32411" s="43"/>
    </row>
    <row r="32412" spans="2:2" ht="12.75" customHeight="1" x14ac:dyDescent="0.2">
      <c r="B32412" s="43"/>
    </row>
    <row r="32413" spans="2:2" ht="12.75" customHeight="1" x14ac:dyDescent="0.2">
      <c r="B32413" s="43"/>
    </row>
    <row r="32414" spans="2:2" ht="12.75" customHeight="1" x14ac:dyDescent="0.2">
      <c r="B32414" s="43"/>
    </row>
    <row r="32415" spans="2:2" ht="12.75" customHeight="1" x14ac:dyDescent="0.2">
      <c r="B32415" s="43"/>
    </row>
    <row r="32416" spans="2:2" ht="12.75" customHeight="1" x14ac:dyDescent="0.2">
      <c r="B32416" s="43"/>
    </row>
    <row r="32417" spans="2:2" ht="12.75" customHeight="1" x14ac:dyDescent="0.2">
      <c r="B32417" s="43"/>
    </row>
    <row r="32418" spans="2:2" ht="12.75" customHeight="1" x14ac:dyDescent="0.2">
      <c r="B32418" s="43"/>
    </row>
    <row r="32419" spans="2:2" ht="12.75" customHeight="1" x14ac:dyDescent="0.2">
      <c r="B32419" s="43"/>
    </row>
    <row r="32420" spans="2:2" ht="12.75" customHeight="1" x14ac:dyDescent="0.2">
      <c r="B32420" s="43"/>
    </row>
    <row r="32421" spans="2:2" ht="12.75" customHeight="1" x14ac:dyDescent="0.2">
      <c r="B32421" s="43"/>
    </row>
    <row r="32422" spans="2:2" ht="12.75" customHeight="1" x14ac:dyDescent="0.2">
      <c r="B32422" s="43"/>
    </row>
    <row r="32423" spans="2:2" ht="12.75" customHeight="1" x14ac:dyDescent="0.2">
      <c r="B32423" s="43"/>
    </row>
    <row r="32424" spans="2:2" ht="12.75" customHeight="1" x14ac:dyDescent="0.2">
      <c r="B32424" s="43"/>
    </row>
    <row r="32425" spans="2:2" ht="12.75" customHeight="1" x14ac:dyDescent="0.2">
      <c r="B32425" s="43"/>
    </row>
    <row r="32426" spans="2:2" ht="12.75" customHeight="1" x14ac:dyDescent="0.2">
      <c r="B32426" s="43"/>
    </row>
    <row r="32427" spans="2:2" ht="12.75" customHeight="1" x14ac:dyDescent="0.2">
      <c r="B32427" s="43"/>
    </row>
    <row r="32428" spans="2:2" ht="12.75" customHeight="1" x14ac:dyDescent="0.2">
      <c r="B32428" s="43"/>
    </row>
    <row r="32429" spans="2:2" ht="12.75" customHeight="1" x14ac:dyDescent="0.2">
      <c r="B32429" s="43"/>
    </row>
    <row r="32430" spans="2:2" ht="12.75" customHeight="1" x14ac:dyDescent="0.2">
      <c r="B32430" s="43"/>
    </row>
    <row r="32431" spans="2:2" ht="12.75" customHeight="1" x14ac:dyDescent="0.2">
      <c r="B32431" s="43"/>
    </row>
    <row r="32432" spans="2:2" ht="12.75" customHeight="1" x14ac:dyDescent="0.2">
      <c r="B32432" s="43"/>
    </row>
    <row r="32433" spans="2:2" ht="12.75" customHeight="1" x14ac:dyDescent="0.2">
      <c r="B32433" s="43"/>
    </row>
    <row r="32434" spans="2:2" ht="12.75" customHeight="1" x14ac:dyDescent="0.2">
      <c r="B32434" s="43"/>
    </row>
    <row r="32435" spans="2:2" ht="12.75" customHeight="1" x14ac:dyDescent="0.2">
      <c r="B32435" s="43"/>
    </row>
    <row r="32436" spans="2:2" ht="12.75" customHeight="1" x14ac:dyDescent="0.2">
      <c r="B32436" s="43"/>
    </row>
    <row r="32437" spans="2:2" ht="12.75" customHeight="1" x14ac:dyDescent="0.2">
      <c r="B32437" s="43"/>
    </row>
    <row r="32438" spans="2:2" ht="12.75" customHeight="1" x14ac:dyDescent="0.2">
      <c r="B32438" s="43"/>
    </row>
    <row r="32439" spans="2:2" ht="12.75" customHeight="1" x14ac:dyDescent="0.2">
      <c r="B32439" s="43"/>
    </row>
    <row r="32440" spans="2:2" ht="12.75" customHeight="1" x14ac:dyDescent="0.2">
      <c r="B32440" s="43"/>
    </row>
    <row r="32441" spans="2:2" ht="12.75" customHeight="1" x14ac:dyDescent="0.2">
      <c r="B32441" s="43"/>
    </row>
    <row r="32442" spans="2:2" ht="12.75" customHeight="1" x14ac:dyDescent="0.2">
      <c r="B32442" s="43"/>
    </row>
    <row r="32443" spans="2:2" ht="12.75" customHeight="1" x14ac:dyDescent="0.2">
      <c r="B32443" s="43"/>
    </row>
    <row r="32444" spans="2:2" ht="12.75" customHeight="1" x14ac:dyDescent="0.2">
      <c r="B32444" s="43"/>
    </row>
    <row r="32445" spans="2:2" ht="12.75" customHeight="1" x14ac:dyDescent="0.2">
      <c r="B32445" s="43"/>
    </row>
    <row r="32446" spans="2:2" ht="12.75" customHeight="1" x14ac:dyDescent="0.2">
      <c r="B32446" s="43"/>
    </row>
    <row r="32447" spans="2:2" ht="12.75" customHeight="1" x14ac:dyDescent="0.2">
      <c r="B32447" s="43"/>
    </row>
    <row r="32448" spans="2:2" ht="12.75" customHeight="1" x14ac:dyDescent="0.2">
      <c r="B32448" s="43"/>
    </row>
    <row r="32449" spans="2:2" ht="12.75" customHeight="1" x14ac:dyDescent="0.2">
      <c r="B32449" s="43"/>
    </row>
    <row r="32450" spans="2:2" ht="12.75" customHeight="1" x14ac:dyDescent="0.2">
      <c r="B32450" s="43"/>
    </row>
    <row r="32451" spans="2:2" ht="12.75" customHeight="1" x14ac:dyDescent="0.2">
      <c r="B32451" s="43"/>
    </row>
    <row r="32452" spans="2:2" ht="12.75" customHeight="1" x14ac:dyDescent="0.2">
      <c r="B32452" s="43"/>
    </row>
    <row r="32453" spans="2:2" ht="12.75" customHeight="1" x14ac:dyDescent="0.2">
      <c r="B32453" s="43"/>
    </row>
    <row r="32454" spans="2:2" ht="12.75" customHeight="1" x14ac:dyDescent="0.2">
      <c r="B32454" s="43"/>
    </row>
    <row r="32455" spans="2:2" ht="12.75" customHeight="1" x14ac:dyDescent="0.2">
      <c r="B32455" s="43"/>
    </row>
    <row r="32456" spans="2:2" ht="12.75" customHeight="1" x14ac:dyDescent="0.2">
      <c r="B32456" s="43"/>
    </row>
    <row r="32457" spans="2:2" ht="12.75" customHeight="1" x14ac:dyDescent="0.2">
      <c r="B32457" s="43"/>
    </row>
    <row r="32458" spans="2:2" ht="12.75" customHeight="1" x14ac:dyDescent="0.2">
      <c r="B32458" s="43"/>
    </row>
    <row r="32459" spans="2:2" ht="12.75" customHeight="1" x14ac:dyDescent="0.2">
      <c r="B32459" s="43"/>
    </row>
    <row r="32460" spans="2:2" ht="12.75" customHeight="1" x14ac:dyDescent="0.2">
      <c r="B32460" s="43"/>
    </row>
    <row r="32461" spans="2:2" ht="12.75" customHeight="1" x14ac:dyDescent="0.2">
      <c r="B32461" s="43"/>
    </row>
    <row r="32462" spans="2:2" ht="12.75" customHeight="1" x14ac:dyDescent="0.2">
      <c r="B32462" s="43"/>
    </row>
    <row r="32463" spans="2:2" ht="12.75" customHeight="1" x14ac:dyDescent="0.2">
      <c r="B32463" s="43"/>
    </row>
    <row r="32464" spans="2:2" ht="12.75" customHeight="1" x14ac:dyDescent="0.2">
      <c r="B32464" s="43"/>
    </row>
    <row r="32465" spans="2:2" ht="12.75" customHeight="1" x14ac:dyDescent="0.2">
      <c r="B32465" s="43"/>
    </row>
    <row r="32466" spans="2:2" ht="12.75" customHeight="1" x14ac:dyDescent="0.2">
      <c r="B32466" s="43"/>
    </row>
    <row r="32467" spans="2:2" ht="12.75" customHeight="1" x14ac:dyDescent="0.2">
      <c r="B32467" s="43"/>
    </row>
    <row r="32468" spans="2:2" ht="12.75" customHeight="1" x14ac:dyDescent="0.2">
      <c r="B32468" s="43"/>
    </row>
    <row r="32469" spans="2:2" ht="12.75" customHeight="1" x14ac:dyDescent="0.2">
      <c r="B32469" s="43"/>
    </row>
    <row r="32470" spans="2:2" ht="12.75" customHeight="1" x14ac:dyDescent="0.2">
      <c r="B32470" s="43"/>
    </row>
    <row r="32471" spans="2:2" ht="12.75" customHeight="1" x14ac:dyDescent="0.2">
      <c r="B32471" s="43"/>
    </row>
    <row r="32472" spans="2:2" ht="12.75" customHeight="1" x14ac:dyDescent="0.2">
      <c r="B32472" s="43"/>
    </row>
    <row r="32473" spans="2:2" ht="12.75" customHeight="1" x14ac:dyDescent="0.2">
      <c r="B32473" s="43"/>
    </row>
    <row r="32474" spans="2:2" ht="12.75" customHeight="1" x14ac:dyDescent="0.2">
      <c r="B32474" s="43"/>
    </row>
    <row r="32475" spans="2:2" ht="12.75" customHeight="1" x14ac:dyDescent="0.2">
      <c r="B32475" s="43"/>
    </row>
    <row r="32476" spans="2:2" ht="12.75" customHeight="1" x14ac:dyDescent="0.2">
      <c r="B32476" s="43"/>
    </row>
    <row r="32477" spans="2:2" ht="12.75" customHeight="1" x14ac:dyDescent="0.2">
      <c r="B32477" s="43"/>
    </row>
    <row r="32478" spans="2:2" ht="12.75" customHeight="1" x14ac:dyDescent="0.2">
      <c r="B32478" s="43"/>
    </row>
    <row r="32479" spans="2:2" ht="12.75" customHeight="1" x14ac:dyDescent="0.2">
      <c r="B32479" s="43"/>
    </row>
    <row r="32480" spans="2:2" ht="12.75" customHeight="1" x14ac:dyDescent="0.2">
      <c r="B32480" s="43"/>
    </row>
    <row r="32481" spans="2:2" ht="12.75" customHeight="1" x14ac:dyDescent="0.2">
      <c r="B32481" s="43"/>
    </row>
    <row r="32482" spans="2:2" ht="12.75" customHeight="1" x14ac:dyDescent="0.2">
      <c r="B32482" s="43"/>
    </row>
    <row r="32483" spans="2:2" ht="12.75" customHeight="1" x14ac:dyDescent="0.2">
      <c r="B32483" s="43"/>
    </row>
    <row r="32484" spans="2:2" ht="12.75" customHeight="1" x14ac:dyDescent="0.2">
      <c r="B32484" s="43"/>
    </row>
    <row r="32485" spans="2:2" ht="12.75" customHeight="1" x14ac:dyDescent="0.2">
      <c r="B32485" s="43"/>
    </row>
    <row r="32486" spans="2:2" ht="12.75" customHeight="1" x14ac:dyDescent="0.2">
      <c r="B32486" s="43"/>
    </row>
    <row r="32487" spans="2:2" ht="12.75" customHeight="1" x14ac:dyDescent="0.2">
      <c r="B32487" s="43"/>
    </row>
    <row r="32488" spans="2:2" ht="12.75" customHeight="1" x14ac:dyDescent="0.2">
      <c r="B32488" s="43"/>
    </row>
    <row r="32489" spans="2:2" ht="12.75" customHeight="1" x14ac:dyDescent="0.2">
      <c r="B32489" s="43"/>
    </row>
    <row r="32490" spans="2:2" ht="12.75" customHeight="1" x14ac:dyDescent="0.2">
      <c r="B32490" s="43"/>
    </row>
    <row r="32491" spans="2:2" ht="12.75" customHeight="1" x14ac:dyDescent="0.2">
      <c r="B32491" s="43"/>
    </row>
    <row r="32492" spans="2:2" ht="12.75" customHeight="1" x14ac:dyDescent="0.2">
      <c r="B32492" s="43"/>
    </row>
    <row r="32493" spans="2:2" ht="12.75" customHeight="1" x14ac:dyDescent="0.2">
      <c r="B32493" s="43"/>
    </row>
    <row r="32494" spans="2:2" ht="12.75" customHeight="1" x14ac:dyDescent="0.2">
      <c r="B32494" s="43"/>
    </row>
    <row r="32495" spans="2:2" ht="12.75" customHeight="1" x14ac:dyDescent="0.2">
      <c r="B32495" s="43"/>
    </row>
    <row r="32496" spans="2:2" ht="12.75" customHeight="1" x14ac:dyDescent="0.2">
      <c r="B32496" s="43"/>
    </row>
    <row r="32497" spans="2:2" ht="12.75" customHeight="1" x14ac:dyDescent="0.2">
      <c r="B32497" s="43"/>
    </row>
    <row r="32498" spans="2:2" ht="12.75" customHeight="1" x14ac:dyDescent="0.2">
      <c r="B32498" s="43"/>
    </row>
    <row r="32499" spans="2:2" ht="12.75" customHeight="1" x14ac:dyDescent="0.2">
      <c r="B32499" s="43"/>
    </row>
    <row r="32500" spans="2:2" ht="12.75" customHeight="1" x14ac:dyDescent="0.2">
      <c r="B32500" s="43"/>
    </row>
    <row r="32501" spans="2:2" ht="12.75" customHeight="1" x14ac:dyDescent="0.2">
      <c r="B32501" s="43"/>
    </row>
    <row r="32502" spans="2:2" ht="12.75" customHeight="1" x14ac:dyDescent="0.2">
      <c r="B32502" s="43"/>
    </row>
    <row r="32503" spans="2:2" ht="12.75" customHeight="1" x14ac:dyDescent="0.2">
      <c r="B32503" s="43"/>
    </row>
    <row r="32504" spans="2:2" ht="12.75" customHeight="1" x14ac:dyDescent="0.2">
      <c r="B32504" s="43"/>
    </row>
    <row r="32505" spans="2:2" ht="12.75" customHeight="1" x14ac:dyDescent="0.2">
      <c r="B32505" s="43"/>
    </row>
    <row r="32506" spans="2:2" ht="12.75" customHeight="1" x14ac:dyDescent="0.2">
      <c r="B32506" s="43"/>
    </row>
    <row r="32507" spans="2:2" ht="12.75" customHeight="1" x14ac:dyDescent="0.2">
      <c r="B32507" s="43"/>
    </row>
    <row r="32508" spans="2:2" ht="12.75" customHeight="1" x14ac:dyDescent="0.2">
      <c r="B32508" s="43"/>
    </row>
    <row r="32509" spans="2:2" ht="12.75" customHeight="1" x14ac:dyDescent="0.2">
      <c r="B32509" s="43"/>
    </row>
    <row r="32510" spans="2:2" ht="12.75" customHeight="1" x14ac:dyDescent="0.2">
      <c r="B32510" s="43"/>
    </row>
    <row r="32511" spans="2:2" ht="12.75" customHeight="1" x14ac:dyDescent="0.2">
      <c r="B32511" s="43"/>
    </row>
    <row r="32512" spans="2:2" ht="12.75" customHeight="1" x14ac:dyDescent="0.2">
      <c r="B32512" s="43"/>
    </row>
    <row r="32513" spans="2:2" ht="12.75" customHeight="1" x14ac:dyDescent="0.2">
      <c r="B32513" s="43"/>
    </row>
    <row r="32514" spans="2:2" ht="12.75" customHeight="1" x14ac:dyDescent="0.2">
      <c r="B32514" s="43"/>
    </row>
    <row r="32515" spans="2:2" ht="12.75" customHeight="1" x14ac:dyDescent="0.2">
      <c r="B32515" s="43"/>
    </row>
    <row r="32516" spans="2:2" ht="12.75" customHeight="1" x14ac:dyDescent="0.2">
      <c r="B32516" s="43"/>
    </row>
    <row r="32517" spans="2:2" ht="12.75" customHeight="1" x14ac:dyDescent="0.2">
      <c r="B32517" s="43"/>
    </row>
    <row r="32518" spans="2:2" ht="12.75" customHeight="1" x14ac:dyDescent="0.2">
      <c r="B32518" s="43"/>
    </row>
    <row r="32519" spans="2:2" ht="12.75" customHeight="1" x14ac:dyDescent="0.2">
      <c r="B32519" s="43"/>
    </row>
    <row r="32520" spans="2:2" ht="12.75" customHeight="1" x14ac:dyDescent="0.2">
      <c r="B32520" s="43"/>
    </row>
    <row r="32521" spans="2:2" ht="12.75" customHeight="1" x14ac:dyDescent="0.2">
      <c r="B32521" s="43"/>
    </row>
    <row r="32522" spans="2:2" ht="12.75" customHeight="1" x14ac:dyDescent="0.2">
      <c r="B32522" s="43"/>
    </row>
    <row r="32523" spans="2:2" ht="12.75" customHeight="1" x14ac:dyDescent="0.2">
      <c r="B32523" s="43"/>
    </row>
    <row r="32524" spans="2:2" ht="12.75" customHeight="1" x14ac:dyDescent="0.2">
      <c r="B32524" s="43"/>
    </row>
    <row r="32525" spans="2:2" ht="12.75" customHeight="1" x14ac:dyDescent="0.2">
      <c r="B32525" s="43"/>
    </row>
    <row r="32526" spans="2:2" ht="12.75" customHeight="1" x14ac:dyDescent="0.2">
      <c r="B32526" s="43"/>
    </row>
    <row r="32527" spans="2:2" ht="12.75" customHeight="1" x14ac:dyDescent="0.2">
      <c r="B32527" s="43"/>
    </row>
    <row r="32528" spans="2:2" ht="12.75" customHeight="1" x14ac:dyDescent="0.2">
      <c r="B32528" s="43"/>
    </row>
    <row r="32529" spans="2:2" ht="12.75" customHeight="1" x14ac:dyDescent="0.2">
      <c r="B32529" s="43"/>
    </row>
    <row r="32530" spans="2:2" ht="12.75" customHeight="1" x14ac:dyDescent="0.2">
      <c r="B32530" s="43"/>
    </row>
    <row r="32531" spans="2:2" ht="12.75" customHeight="1" x14ac:dyDescent="0.2">
      <c r="B32531" s="43"/>
    </row>
    <row r="32532" spans="2:2" ht="12.75" customHeight="1" x14ac:dyDescent="0.2">
      <c r="B32532" s="43"/>
    </row>
    <row r="32533" spans="2:2" ht="12.75" customHeight="1" x14ac:dyDescent="0.2">
      <c r="B32533" s="43"/>
    </row>
    <row r="32534" spans="2:2" ht="12.75" customHeight="1" x14ac:dyDescent="0.2">
      <c r="B32534" s="43"/>
    </row>
    <row r="32535" spans="2:2" ht="12.75" customHeight="1" x14ac:dyDescent="0.2">
      <c r="B32535" s="43"/>
    </row>
    <row r="32536" spans="2:2" ht="12.75" customHeight="1" x14ac:dyDescent="0.2">
      <c r="B32536" s="43"/>
    </row>
    <row r="32537" spans="2:2" ht="12.75" customHeight="1" x14ac:dyDescent="0.2">
      <c r="B32537" s="43"/>
    </row>
    <row r="32538" spans="2:2" ht="12.75" customHeight="1" x14ac:dyDescent="0.2">
      <c r="B32538" s="43"/>
    </row>
    <row r="32539" spans="2:2" ht="12.75" customHeight="1" x14ac:dyDescent="0.2">
      <c r="B32539" s="43"/>
    </row>
    <row r="32540" spans="2:2" ht="12.75" customHeight="1" x14ac:dyDescent="0.2">
      <c r="B32540" s="43"/>
    </row>
    <row r="32541" spans="2:2" ht="12.75" customHeight="1" x14ac:dyDescent="0.2">
      <c r="B32541" s="43"/>
    </row>
    <row r="32542" spans="2:2" ht="12.75" customHeight="1" x14ac:dyDescent="0.2">
      <c r="B32542" s="43"/>
    </row>
    <row r="32543" spans="2:2" ht="12.75" customHeight="1" x14ac:dyDescent="0.2">
      <c r="B32543" s="43"/>
    </row>
    <row r="32544" spans="2:2" ht="12.75" customHeight="1" x14ac:dyDescent="0.2">
      <c r="B32544" s="43"/>
    </row>
    <row r="32545" spans="2:2" ht="12.75" customHeight="1" x14ac:dyDescent="0.2">
      <c r="B32545" s="43"/>
    </row>
    <row r="32546" spans="2:2" ht="12.75" customHeight="1" x14ac:dyDescent="0.2">
      <c r="B32546" s="43"/>
    </row>
    <row r="32547" spans="2:2" ht="12.75" customHeight="1" x14ac:dyDescent="0.2">
      <c r="B32547" s="43"/>
    </row>
    <row r="32548" spans="2:2" ht="12.75" customHeight="1" x14ac:dyDescent="0.2">
      <c r="B32548" s="43"/>
    </row>
    <row r="32549" spans="2:2" ht="12.75" customHeight="1" x14ac:dyDescent="0.2">
      <c r="B32549" s="43"/>
    </row>
    <row r="32550" spans="2:2" ht="12.75" customHeight="1" x14ac:dyDescent="0.2">
      <c r="B32550" s="43"/>
    </row>
    <row r="32551" spans="2:2" ht="12.75" customHeight="1" x14ac:dyDescent="0.2">
      <c r="B32551" s="43"/>
    </row>
    <row r="32552" spans="2:2" ht="12.75" customHeight="1" x14ac:dyDescent="0.2">
      <c r="B32552" s="43"/>
    </row>
    <row r="32553" spans="2:2" ht="12.75" customHeight="1" x14ac:dyDescent="0.2">
      <c r="B32553" s="43"/>
    </row>
    <row r="32554" spans="2:2" ht="12.75" customHeight="1" x14ac:dyDescent="0.2">
      <c r="B32554" s="43"/>
    </row>
    <row r="32555" spans="2:2" ht="12.75" customHeight="1" x14ac:dyDescent="0.2">
      <c r="B32555" s="43"/>
    </row>
    <row r="32556" spans="2:2" ht="12.75" customHeight="1" x14ac:dyDescent="0.2">
      <c r="B32556" s="43"/>
    </row>
    <row r="32557" spans="2:2" ht="12.75" customHeight="1" x14ac:dyDescent="0.2">
      <c r="B32557" s="43"/>
    </row>
    <row r="32558" spans="2:2" ht="12.75" customHeight="1" x14ac:dyDescent="0.2">
      <c r="B32558" s="43"/>
    </row>
    <row r="32559" spans="2:2" ht="12.75" customHeight="1" x14ac:dyDescent="0.2">
      <c r="B32559" s="43"/>
    </row>
    <row r="32560" spans="2:2" ht="12.75" customHeight="1" x14ac:dyDescent="0.2">
      <c r="B32560" s="43"/>
    </row>
    <row r="32561" spans="2:2" ht="12.75" customHeight="1" x14ac:dyDescent="0.2">
      <c r="B32561" s="43"/>
    </row>
    <row r="32562" spans="2:2" ht="12.75" customHeight="1" x14ac:dyDescent="0.2">
      <c r="B32562" s="43"/>
    </row>
    <row r="32563" spans="2:2" ht="12.75" customHeight="1" x14ac:dyDescent="0.2">
      <c r="B32563" s="43"/>
    </row>
    <row r="32564" spans="2:2" ht="12.75" customHeight="1" x14ac:dyDescent="0.2">
      <c r="B32564" s="43"/>
    </row>
    <row r="32565" spans="2:2" ht="12.75" customHeight="1" x14ac:dyDescent="0.2">
      <c r="B32565" s="43"/>
    </row>
    <row r="32566" spans="2:2" ht="12.75" customHeight="1" x14ac:dyDescent="0.2">
      <c r="B32566" s="43"/>
    </row>
    <row r="32567" spans="2:2" ht="12.75" customHeight="1" x14ac:dyDescent="0.2">
      <c r="B32567" s="43"/>
    </row>
    <row r="32568" spans="2:2" ht="12.75" customHeight="1" x14ac:dyDescent="0.2">
      <c r="B32568" s="43"/>
    </row>
    <row r="32569" spans="2:2" ht="12.75" customHeight="1" x14ac:dyDescent="0.2">
      <c r="B32569" s="43"/>
    </row>
    <row r="32570" spans="2:2" ht="12.75" customHeight="1" x14ac:dyDescent="0.2">
      <c r="B32570" s="43"/>
    </row>
    <row r="32571" spans="2:2" ht="12.75" customHeight="1" x14ac:dyDescent="0.2">
      <c r="B32571" s="43"/>
    </row>
    <row r="32572" spans="2:2" ht="12.75" customHeight="1" x14ac:dyDescent="0.2">
      <c r="B32572" s="43"/>
    </row>
    <row r="32573" spans="2:2" ht="12.75" customHeight="1" x14ac:dyDescent="0.2">
      <c r="B32573" s="43"/>
    </row>
    <row r="32574" spans="2:2" ht="12.75" customHeight="1" x14ac:dyDescent="0.2">
      <c r="B32574" s="43"/>
    </row>
    <row r="32575" spans="2:2" ht="12.75" customHeight="1" x14ac:dyDescent="0.2">
      <c r="B32575" s="43"/>
    </row>
    <row r="32576" spans="2:2" ht="12.75" customHeight="1" x14ac:dyDescent="0.2">
      <c r="B32576" s="43"/>
    </row>
    <row r="32577" spans="2:2" ht="12.75" customHeight="1" x14ac:dyDescent="0.2">
      <c r="B32577" s="43"/>
    </row>
    <row r="32578" spans="2:2" ht="12.75" customHeight="1" x14ac:dyDescent="0.2">
      <c r="B32578" s="43"/>
    </row>
    <row r="32579" spans="2:2" ht="12.75" customHeight="1" x14ac:dyDescent="0.2">
      <c r="B32579" s="43"/>
    </row>
    <row r="32580" spans="2:2" ht="12.75" customHeight="1" x14ac:dyDescent="0.2">
      <c r="B32580" s="43"/>
    </row>
    <row r="32581" spans="2:2" ht="12.75" customHeight="1" x14ac:dyDescent="0.2">
      <c r="B32581" s="43"/>
    </row>
    <row r="32582" spans="2:2" ht="12.75" customHeight="1" x14ac:dyDescent="0.2">
      <c r="B32582" s="43"/>
    </row>
    <row r="32583" spans="2:2" ht="12.75" customHeight="1" x14ac:dyDescent="0.2">
      <c r="B32583" s="43"/>
    </row>
    <row r="32584" spans="2:2" ht="12.75" customHeight="1" x14ac:dyDescent="0.2">
      <c r="B32584" s="43"/>
    </row>
    <row r="32585" spans="2:2" ht="12.75" customHeight="1" x14ac:dyDescent="0.2">
      <c r="B32585" s="43"/>
    </row>
    <row r="32586" spans="2:2" ht="12.75" customHeight="1" x14ac:dyDescent="0.2">
      <c r="B32586" s="43"/>
    </row>
    <row r="32587" spans="2:2" ht="12.75" customHeight="1" x14ac:dyDescent="0.2">
      <c r="B32587" s="43"/>
    </row>
    <row r="32588" spans="2:2" ht="12.75" customHeight="1" x14ac:dyDescent="0.2">
      <c r="B32588" s="43"/>
    </row>
    <row r="32589" spans="2:2" ht="12.75" customHeight="1" x14ac:dyDescent="0.2">
      <c r="B32589" s="43"/>
    </row>
    <row r="32590" spans="2:2" ht="12.75" customHeight="1" x14ac:dyDescent="0.2">
      <c r="B32590" s="43"/>
    </row>
    <row r="32591" spans="2:2" ht="12.75" customHeight="1" x14ac:dyDescent="0.2">
      <c r="B32591" s="43"/>
    </row>
    <row r="32592" spans="2:2" ht="12.75" customHeight="1" x14ac:dyDescent="0.2">
      <c r="B32592" s="43"/>
    </row>
    <row r="32593" spans="2:2" ht="12.75" customHeight="1" x14ac:dyDescent="0.2">
      <c r="B32593" s="43"/>
    </row>
    <row r="32594" spans="2:2" ht="12.75" customHeight="1" x14ac:dyDescent="0.2">
      <c r="B32594" s="43"/>
    </row>
    <row r="32595" spans="2:2" ht="12.75" customHeight="1" x14ac:dyDescent="0.2">
      <c r="B32595" s="43"/>
    </row>
    <row r="32596" spans="2:2" ht="12.75" customHeight="1" x14ac:dyDescent="0.2">
      <c r="B32596" s="43"/>
    </row>
    <row r="32597" spans="2:2" ht="12.75" customHeight="1" x14ac:dyDescent="0.2">
      <c r="B32597" s="43"/>
    </row>
    <row r="32598" spans="2:2" ht="12.75" customHeight="1" x14ac:dyDescent="0.2">
      <c r="B32598" s="43"/>
    </row>
    <row r="32599" spans="2:2" ht="12.75" customHeight="1" x14ac:dyDescent="0.2">
      <c r="B32599" s="43"/>
    </row>
    <row r="32600" spans="2:2" ht="12.75" customHeight="1" x14ac:dyDescent="0.2">
      <c r="B32600" s="43"/>
    </row>
    <row r="32601" spans="2:2" ht="12.75" customHeight="1" x14ac:dyDescent="0.2">
      <c r="B32601" s="43"/>
    </row>
    <row r="32602" spans="2:2" ht="12.75" customHeight="1" x14ac:dyDescent="0.2">
      <c r="B32602" s="43"/>
    </row>
    <row r="32603" spans="2:2" ht="12.75" customHeight="1" x14ac:dyDescent="0.2">
      <c r="B32603" s="43"/>
    </row>
    <row r="32604" spans="2:2" ht="12.75" customHeight="1" x14ac:dyDescent="0.2">
      <c r="B32604" s="43"/>
    </row>
    <row r="32605" spans="2:2" ht="12.75" customHeight="1" x14ac:dyDescent="0.2">
      <c r="B32605" s="43"/>
    </row>
    <row r="32606" spans="2:2" ht="12.75" customHeight="1" x14ac:dyDescent="0.2">
      <c r="B32606" s="43"/>
    </row>
    <row r="32607" spans="2:2" ht="12.75" customHeight="1" x14ac:dyDescent="0.2">
      <c r="B32607" s="43"/>
    </row>
    <row r="32608" spans="2:2" ht="12.75" customHeight="1" x14ac:dyDescent="0.2">
      <c r="B32608" s="43"/>
    </row>
    <row r="32609" spans="2:2" ht="12.75" customHeight="1" x14ac:dyDescent="0.2">
      <c r="B32609" s="43"/>
    </row>
    <row r="32610" spans="2:2" ht="12.75" customHeight="1" x14ac:dyDescent="0.2">
      <c r="B32610" s="43"/>
    </row>
    <row r="32611" spans="2:2" ht="12.75" customHeight="1" x14ac:dyDescent="0.2">
      <c r="B32611" s="43"/>
    </row>
    <row r="32612" spans="2:2" ht="12.75" customHeight="1" x14ac:dyDescent="0.2">
      <c r="B32612" s="43"/>
    </row>
    <row r="32613" spans="2:2" ht="12.75" customHeight="1" x14ac:dyDescent="0.2">
      <c r="B32613" s="43"/>
    </row>
    <row r="32614" spans="2:2" ht="12.75" customHeight="1" x14ac:dyDescent="0.2">
      <c r="B32614" s="43"/>
    </row>
    <row r="32615" spans="2:2" ht="12.75" customHeight="1" x14ac:dyDescent="0.2">
      <c r="B32615" s="43"/>
    </row>
    <row r="32616" spans="2:2" ht="12.75" customHeight="1" x14ac:dyDescent="0.2">
      <c r="B32616" s="43"/>
    </row>
    <row r="32617" spans="2:2" ht="12.75" customHeight="1" x14ac:dyDescent="0.2">
      <c r="B32617" s="43"/>
    </row>
    <row r="32618" spans="2:2" ht="12.75" customHeight="1" x14ac:dyDescent="0.2">
      <c r="B32618" s="43"/>
    </row>
    <row r="32619" spans="2:2" ht="12.75" customHeight="1" x14ac:dyDescent="0.2">
      <c r="B32619" s="43"/>
    </row>
    <row r="32620" spans="2:2" ht="12.75" customHeight="1" x14ac:dyDescent="0.2">
      <c r="B32620" s="43"/>
    </row>
    <row r="32621" spans="2:2" ht="12.75" customHeight="1" x14ac:dyDescent="0.2">
      <c r="B32621" s="43"/>
    </row>
    <row r="32622" spans="2:2" ht="12.75" customHeight="1" x14ac:dyDescent="0.2">
      <c r="B32622" s="43"/>
    </row>
    <row r="32623" spans="2:2" ht="12.75" customHeight="1" x14ac:dyDescent="0.2">
      <c r="B32623" s="43"/>
    </row>
    <row r="32624" spans="2:2" ht="12.75" customHeight="1" x14ac:dyDescent="0.2">
      <c r="B32624" s="43"/>
    </row>
    <row r="32625" spans="2:2" ht="12.75" customHeight="1" x14ac:dyDescent="0.2">
      <c r="B32625" s="43"/>
    </row>
    <row r="32626" spans="2:2" ht="12.75" customHeight="1" x14ac:dyDescent="0.2">
      <c r="B32626" s="43"/>
    </row>
    <row r="32627" spans="2:2" ht="12.75" customHeight="1" x14ac:dyDescent="0.2">
      <c r="B32627" s="43"/>
    </row>
    <row r="32628" spans="2:2" ht="12.75" customHeight="1" x14ac:dyDescent="0.2">
      <c r="B32628" s="43"/>
    </row>
    <row r="32629" spans="2:2" ht="12.75" customHeight="1" x14ac:dyDescent="0.2">
      <c r="B32629" s="43"/>
    </row>
    <row r="32630" spans="2:2" ht="12.75" customHeight="1" x14ac:dyDescent="0.2">
      <c r="B32630" s="43"/>
    </row>
    <row r="32631" spans="2:2" ht="12.75" customHeight="1" x14ac:dyDescent="0.2">
      <c r="B32631" s="43"/>
    </row>
    <row r="32632" spans="2:2" ht="12.75" customHeight="1" x14ac:dyDescent="0.2">
      <c r="B32632" s="43"/>
    </row>
    <row r="32633" spans="2:2" ht="12.75" customHeight="1" x14ac:dyDescent="0.2">
      <c r="B32633" s="43"/>
    </row>
    <row r="32634" spans="2:2" ht="12.75" customHeight="1" x14ac:dyDescent="0.2">
      <c r="B32634" s="43"/>
    </row>
    <row r="32635" spans="2:2" ht="12.75" customHeight="1" x14ac:dyDescent="0.2">
      <c r="B32635" s="43"/>
    </row>
    <row r="32636" spans="2:2" ht="12.75" customHeight="1" x14ac:dyDescent="0.2">
      <c r="B32636" s="43"/>
    </row>
    <row r="32637" spans="2:2" ht="12.75" customHeight="1" x14ac:dyDescent="0.2">
      <c r="B32637" s="43"/>
    </row>
    <row r="32638" spans="2:2" ht="12.75" customHeight="1" x14ac:dyDescent="0.2">
      <c r="B32638" s="43"/>
    </row>
    <row r="32639" spans="2:2" ht="12.75" customHeight="1" x14ac:dyDescent="0.2">
      <c r="B32639" s="43"/>
    </row>
    <row r="32640" spans="2:2" ht="12.75" customHeight="1" x14ac:dyDescent="0.2">
      <c r="B32640" s="43"/>
    </row>
    <row r="32641" spans="2:2" ht="12.75" customHeight="1" x14ac:dyDescent="0.2">
      <c r="B32641" s="43"/>
    </row>
    <row r="32642" spans="2:2" ht="12.75" customHeight="1" x14ac:dyDescent="0.2">
      <c r="B32642" s="43"/>
    </row>
    <row r="32643" spans="2:2" ht="12.75" customHeight="1" x14ac:dyDescent="0.2">
      <c r="B32643" s="43"/>
    </row>
    <row r="32644" spans="2:2" ht="12.75" customHeight="1" x14ac:dyDescent="0.2">
      <c r="B32644" s="43"/>
    </row>
    <row r="32645" spans="2:2" ht="12.75" customHeight="1" x14ac:dyDescent="0.2">
      <c r="B32645" s="43"/>
    </row>
    <row r="32646" spans="2:2" ht="12.75" customHeight="1" x14ac:dyDescent="0.2">
      <c r="B32646" s="43"/>
    </row>
    <row r="32647" spans="2:2" ht="12.75" customHeight="1" x14ac:dyDescent="0.2">
      <c r="B32647" s="43"/>
    </row>
    <row r="32648" spans="2:2" ht="12.75" customHeight="1" x14ac:dyDescent="0.2">
      <c r="B32648" s="43"/>
    </row>
    <row r="32649" spans="2:2" ht="12.75" customHeight="1" x14ac:dyDescent="0.2">
      <c r="B32649" s="43"/>
    </row>
    <row r="32650" spans="2:2" ht="12.75" customHeight="1" x14ac:dyDescent="0.2">
      <c r="B32650" s="43"/>
    </row>
    <row r="32651" spans="2:2" ht="12.75" customHeight="1" x14ac:dyDescent="0.2">
      <c r="B32651" s="43"/>
    </row>
    <row r="32652" spans="2:2" ht="12.75" customHeight="1" x14ac:dyDescent="0.2">
      <c r="B32652" s="43"/>
    </row>
    <row r="32653" spans="2:2" ht="12.75" customHeight="1" x14ac:dyDescent="0.2">
      <c r="B32653" s="43"/>
    </row>
    <row r="32654" spans="2:2" ht="12.75" customHeight="1" x14ac:dyDescent="0.2">
      <c r="B32654" s="43"/>
    </row>
    <row r="32655" spans="2:2" ht="12.75" customHeight="1" x14ac:dyDescent="0.2">
      <c r="B32655" s="43"/>
    </row>
    <row r="32656" spans="2:2" ht="12.75" customHeight="1" x14ac:dyDescent="0.2">
      <c r="B32656" s="43"/>
    </row>
    <row r="32657" spans="2:2" ht="12.75" customHeight="1" x14ac:dyDescent="0.2">
      <c r="B32657" s="43"/>
    </row>
    <row r="32658" spans="2:2" ht="12.75" customHeight="1" x14ac:dyDescent="0.2">
      <c r="B32658" s="43"/>
    </row>
    <row r="32659" spans="2:2" ht="12.75" customHeight="1" x14ac:dyDescent="0.2">
      <c r="B32659" s="43"/>
    </row>
    <row r="32660" spans="2:2" ht="12.75" customHeight="1" x14ac:dyDescent="0.2">
      <c r="B32660" s="43"/>
    </row>
    <row r="32661" spans="2:2" ht="12.75" customHeight="1" x14ac:dyDescent="0.2">
      <c r="B32661" s="43"/>
    </row>
    <row r="32662" spans="2:2" ht="12.75" customHeight="1" x14ac:dyDescent="0.2">
      <c r="B32662" s="43"/>
    </row>
    <row r="32663" spans="2:2" ht="12.75" customHeight="1" x14ac:dyDescent="0.2">
      <c r="B32663" s="43"/>
    </row>
    <row r="32664" spans="2:2" ht="12.75" customHeight="1" x14ac:dyDescent="0.2">
      <c r="B32664" s="43"/>
    </row>
    <row r="32665" spans="2:2" ht="12.75" customHeight="1" x14ac:dyDescent="0.2">
      <c r="B32665" s="43"/>
    </row>
    <row r="32666" spans="2:2" ht="12.75" customHeight="1" x14ac:dyDescent="0.2">
      <c r="B32666" s="43"/>
    </row>
    <row r="32667" spans="2:2" ht="12.75" customHeight="1" x14ac:dyDescent="0.2">
      <c r="B32667" s="43"/>
    </row>
    <row r="32668" spans="2:2" ht="12.75" customHeight="1" x14ac:dyDescent="0.2">
      <c r="B32668" s="43"/>
    </row>
    <row r="32669" spans="2:2" ht="12.75" customHeight="1" x14ac:dyDescent="0.2">
      <c r="B32669" s="43"/>
    </row>
    <row r="32670" spans="2:2" ht="12.75" customHeight="1" x14ac:dyDescent="0.2">
      <c r="B32670" s="43"/>
    </row>
    <row r="32671" spans="2:2" ht="12.75" customHeight="1" x14ac:dyDescent="0.2">
      <c r="B32671" s="43"/>
    </row>
    <row r="32672" spans="2:2" ht="12.75" customHeight="1" x14ac:dyDescent="0.2">
      <c r="B32672" s="43"/>
    </row>
    <row r="32673" spans="2:2" ht="12.75" customHeight="1" x14ac:dyDescent="0.2">
      <c r="B32673" s="43"/>
    </row>
    <row r="32674" spans="2:2" ht="12.75" customHeight="1" x14ac:dyDescent="0.2">
      <c r="B32674" s="43"/>
    </row>
    <row r="32675" spans="2:2" ht="12.75" customHeight="1" x14ac:dyDescent="0.2">
      <c r="B32675" s="43"/>
    </row>
    <row r="32676" spans="2:2" ht="12.75" customHeight="1" x14ac:dyDescent="0.2">
      <c r="B32676" s="43"/>
    </row>
    <row r="32677" spans="2:2" ht="12.75" customHeight="1" x14ac:dyDescent="0.2">
      <c r="B32677" s="43"/>
    </row>
    <row r="32678" spans="2:2" ht="12.75" customHeight="1" x14ac:dyDescent="0.2">
      <c r="B32678" s="43"/>
    </row>
    <row r="32679" spans="2:2" ht="12.75" customHeight="1" x14ac:dyDescent="0.2">
      <c r="B32679" s="43"/>
    </row>
    <row r="32680" spans="2:2" ht="12.75" customHeight="1" x14ac:dyDescent="0.2">
      <c r="B32680" s="43"/>
    </row>
    <row r="32681" spans="2:2" ht="12.75" customHeight="1" x14ac:dyDescent="0.2">
      <c r="B32681" s="43"/>
    </row>
    <row r="32682" spans="2:2" ht="12.75" customHeight="1" x14ac:dyDescent="0.2">
      <c r="B32682" s="43"/>
    </row>
    <row r="32683" spans="2:2" ht="12.75" customHeight="1" x14ac:dyDescent="0.2">
      <c r="B32683" s="43"/>
    </row>
    <row r="32684" spans="2:2" ht="12.75" customHeight="1" x14ac:dyDescent="0.2">
      <c r="B32684" s="43"/>
    </row>
    <row r="32685" spans="2:2" ht="12.75" customHeight="1" x14ac:dyDescent="0.2">
      <c r="B32685" s="43"/>
    </row>
    <row r="32686" spans="2:2" ht="12.75" customHeight="1" x14ac:dyDescent="0.2">
      <c r="B32686" s="43"/>
    </row>
    <row r="32687" spans="2:2" ht="12.75" customHeight="1" x14ac:dyDescent="0.2">
      <c r="B32687" s="43"/>
    </row>
    <row r="32688" spans="2:2" ht="12.75" customHeight="1" x14ac:dyDescent="0.2">
      <c r="B32688" s="43"/>
    </row>
    <row r="32689" spans="2:2" ht="12.75" customHeight="1" x14ac:dyDescent="0.2">
      <c r="B32689" s="43"/>
    </row>
    <row r="32690" spans="2:2" ht="12.75" customHeight="1" x14ac:dyDescent="0.2">
      <c r="B32690" s="43"/>
    </row>
    <row r="32691" spans="2:2" ht="12.75" customHeight="1" x14ac:dyDescent="0.2">
      <c r="B32691" s="43"/>
    </row>
    <row r="32692" spans="2:2" ht="12.75" customHeight="1" x14ac:dyDescent="0.2">
      <c r="B32692" s="43"/>
    </row>
    <row r="32693" spans="2:2" ht="12.75" customHeight="1" x14ac:dyDescent="0.2">
      <c r="B32693" s="43"/>
    </row>
    <row r="32694" spans="2:2" ht="12.75" customHeight="1" x14ac:dyDescent="0.2">
      <c r="B32694" s="43"/>
    </row>
    <row r="32695" spans="2:2" ht="12.75" customHeight="1" x14ac:dyDescent="0.2">
      <c r="B32695" s="43"/>
    </row>
    <row r="32696" spans="2:2" ht="12.75" customHeight="1" x14ac:dyDescent="0.2">
      <c r="B32696" s="43"/>
    </row>
    <row r="32697" spans="2:2" ht="12.75" customHeight="1" x14ac:dyDescent="0.2">
      <c r="B32697" s="43"/>
    </row>
    <row r="32698" spans="2:2" ht="12.75" customHeight="1" x14ac:dyDescent="0.2">
      <c r="B32698" s="43"/>
    </row>
    <row r="32699" spans="2:2" ht="12.75" customHeight="1" x14ac:dyDescent="0.2">
      <c r="B32699" s="43"/>
    </row>
    <row r="32700" spans="2:2" ht="12.75" customHeight="1" x14ac:dyDescent="0.2">
      <c r="B32700" s="43"/>
    </row>
    <row r="32701" spans="2:2" ht="12.75" customHeight="1" x14ac:dyDescent="0.2">
      <c r="B32701" s="43"/>
    </row>
    <row r="32702" spans="2:2" ht="12.75" customHeight="1" x14ac:dyDescent="0.2">
      <c r="B32702" s="43"/>
    </row>
    <row r="32703" spans="2:2" ht="12.75" customHeight="1" x14ac:dyDescent="0.2">
      <c r="B32703" s="43"/>
    </row>
    <row r="32704" spans="2:2" ht="12.75" customHeight="1" x14ac:dyDescent="0.2">
      <c r="B32704" s="43"/>
    </row>
    <row r="32705" spans="2:2" ht="12.75" customHeight="1" x14ac:dyDescent="0.2">
      <c r="B32705" s="43"/>
    </row>
    <row r="32706" spans="2:2" ht="12.75" customHeight="1" x14ac:dyDescent="0.2">
      <c r="B32706" s="43"/>
    </row>
    <row r="32707" spans="2:2" ht="12.75" customHeight="1" x14ac:dyDescent="0.2">
      <c r="B32707" s="43"/>
    </row>
    <row r="32708" spans="2:2" ht="12.75" customHeight="1" x14ac:dyDescent="0.2">
      <c r="B32708" s="43"/>
    </row>
    <row r="32709" spans="2:2" ht="12.75" customHeight="1" x14ac:dyDescent="0.2">
      <c r="B32709" s="43"/>
    </row>
    <row r="32710" spans="2:2" ht="12.75" customHeight="1" x14ac:dyDescent="0.2">
      <c r="B32710" s="43"/>
    </row>
    <row r="32711" spans="2:2" ht="12.75" customHeight="1" x14ac:dyDescent="0.2">
      <c r="B32711" s="43"/>
    </row>
    <row r="32712" spans="2:2" ht="12.75" customHeight="1" x14ac:dyDescent="0.2">
      <c r="B32712" s="43"/>
    </row>
    <row r="32713" spans="2:2" ht="12.75" customHeight="1" x14ac:dyDescent="0.2">
      <c r="B32713" s="43"/>
    </row>
    <row r="32714" spans="2:2" ht="12.75" customHeight="1" x14ac:dyDescent="0.2">
      <c r="B32714" s="43"/>
    </row>
    <row r="32715" spans="2:2" ht="12.75" customHeight="1" x14ac:dyDescent="0.2">
      <c r="B32715" s="43"/>
    </row>
    <row r="32716" spans="2:2" ht="12.75" customHeight="1" x14ac:dyDescent="0.2">
      <c r="B32716" s="43"/>
    </row>
    <row r="32717" spans="2:2" ht="12.75" customHeight="1" x14ac:dyDescent="0.2">
      <c r="B32717" s="43"/>
    </row>
    <row r="32718" spans="2:2" ht="12.75" customHeight="1" x14ac:dyDescent="0.2">
      <c r="B32718" s="43"/>
    </row>
    <row r="32719" spans="2:2" ht="12.75" customHeight="1" x14ac:dyDescent="0.2">
      <c r="B32719" s="43"/>
    </row>
    <row r="32720" spans="2:2" ht="12.75" customHeight="1" x14ac:dyDescent="0.2">
      <c r="B32720" s="43"/>
    </row>
    <row r="32721" spans="2:2" ht="12.75" customHeight="1" x14ac:dyDescent="0.2">
      <c r="B32721" s="43"/>
    </row>
    <row r="32722" spans="2:2" ht="12.75" customHeight="1" x14ac:dyDescent="0.2">
      <c r="B32722" s="43"/>
    </row>
    <row r="32723" spans="2:2" ht="12.75" customHeight="1" x14ac:dyDescent="0.2">
      <c r="B32723" s="43"/>
    </row>
    <row r="32724" spans="2:2" ht="12.75" customHeight="1" x14ac:dyDescent="0.2">
      <c r="B32724" s="43"/>
    </row>
    <row r="32725" spans="2:2" ht="12.75" customHeight="1" x14ac:dyDescent="0.2">
      <c r="B32725" s="43"/>
    </row>
    <row r="32726" spans="2:2" ht="12.75" customHeight="1" x14ac:dyDescent="0.2">
      <c r="B32726" s="43"/>
    </row>
    <row r="32727" spans="2:2" ht="12.75" customHeight="1" x14ac:dyDescent="0.2">
      <c r="B32727" s="43"/>
    </row>
    <row r="32728" spans="2:2" ht="12.75" customHeight="1" x14ac:dyDescent="0.2">
      <c r="B32728" s="43"/>
    </row>
    <row r="32729" spans="2:2" ht="12.75" customHeight="1" x14ac:dyDescent="0.2">
      <c r="B32729" s="43"/>
    </row>
    <row r="32730" spans="2:2" ht="12.75" customHeight="1" x14ac:dyDescent="0.2">
      <c r="B32730" s="43"/>
    </row>
    <row r="32731" spans="2:2" ht="12.75" customHeight="1" x14ac:dyDescent="0.2">
      <c r="B32731" s="43"/>
    </row>
    <row r="32732" spans="2:2" ht="12.75" customHeight="1" x14ac:dyDescent="0.2">
      <c r="B32732" s="43"/>
    </row>
    <row r="32733" spans="2:2" ht="12.75" customHeight="1" x14ac:dyDescent="0.2">
      <c r="B32733" s="43"/>
    </row>
    <row r="32734" spans="2:2" ht="12.75" customHeight="1" x14ac:dyDescent="0.2">
      <c r="B32734" s="43"/>
    </row>
    <row r="32735" spans="2:2" ht="12.75" customHeight="1" x14ac:dyDescent="0.2">
      <c r="B32735" s="43"/>
    </row>
    <row r="32736" spans="2:2" ht="12.75" customHeight="1" x14ac:dyDescent="0.2">
      <c r="B32736" s="43"/>
    </row>
    <row r="32737" spans="2:2" ht="12.75" customHeight="1" x14ac:dyDescent="0.2">
      <c r="B32737" s="43"/>
    </row>
    <row r="32738" spans="2:2" ht="12.75" customHeight="1" x14ac:dyDescent="0.2">
      <c r="B32738" s="43"/>
    </row>
    <row r="32739" spans="2:2" ht="12.75" customHeight="1" x14ac:dyDescent="0.2">
      <c r="B32739" s="43"/>
    </row>
    <row r="32740" spans="2:2" ht="12.75" customHeight="1" x14ac:dyDescent="0.2">
      <c r="B32740" s="43"/>
    </row>
    <row r="32741" spans="2:2" ht="12.75" customHeight="1" x14ac:dyDescent="0.2">
      <c r="B32741" s="43"/>
    </row>
    <row r="32742" spans="2:2" ht="12.75" customHeight="1" x14ac:dyDescent="0.2">
      <c r="B32742" s="43"/>
    </row>
    <row r="32743" spans="2:2" ht="12.75" customHeight="1" x14ac:dyDescent="0.2">
      <c r="B32743" s="43"/>
    </row>
    <row r="32744" spans="2:2" ht="12.75" customHeight="1" x14ac:dyDescent="0.2">
      <c r="B32744" s="43"/>
    </row>
    <row r="32745" spans="2:2" ht="12.75" customHeight="1" x14ac:dyDescent="0.2">
      <c r="B32745" s="43"/>
    </row>
    <row r="32746" spans="2:2" ht="12.75" customHeight="1" x14ac:dyDescent="0.2">
      <c r="B32746" s="43"/>
    </row>
    <row r="32747" spans="2:2" ht="12.75" customHeight="1" x14ac:dyDescent="0.2">
      <c r="B32747" s="43"/>
    </row>
    <row r="32748" spans="2:2" ht="12.75" customHeight="1" x14ac:dyDescent="0.2">
      <c r="B32748" s="43"/>
    </row>
    <row r="32749" spans="2:2" ht="12.75" customHeight="1" x14ac:dyDescent="0.2">
      <c r="B32749" s="43"/>
    </row>
    <row r="32750" spans="2:2" ht="12.75" customHeight="1" x14ac:dyDescent="0.2">
      <c r="B32750" s="43"/>
    </row>
    <row r="32751" spans="2:2" ht="12.75" customHeight="1" x14ac:dyDescent="0.2">
      <c r="B32751" s="43"/>
    </row>
    <row r="32752" spans="2:2" ht="12.75" customHeight="1" x14ac:dyDescent="0.2">
      <c r="B32752" s="43"/>
    </row>
    <row r="32753" spans="2:2" ht="12.75" customHeight="1" x14ac:dyDescent="0.2">
      <c r="B32753" s="43"/>
    </row>
    <row r="32754" spans="2:2" ht="12.75" customHeight="1" x14ac:dyDescent="0.2">
      <c r="B32754" s="43"/>
    </row>
    <row r="32755" spans="2:2" ht="12.75" customHeight="1" x14ac:dyDescent="0.2">
      <c r="B32755" s="43"/>
    </row>
    <row r="32756" spans="2:2" ht="12.75" customHeight="1" x14ac:dyDescent="0.2">
      <c r="B32756" s="43"/>
    </row>
    <row r="32757" spans="2:2" ht="12.75" customHeight="1" x14ac:dyDescent="0.2">
      <c r="B32757" s="43"/>
    </row>
    <row r="32758" spans="2:2" ht="12.75" customHeight="1" x14ac:dyDescent="0.2">
      <c r="B32758" s="43"/>
    </row>
    <row r="32759" spans="2:2" ht="12.75" customHeight="1" x14ac:dyDescent="0.2">
      <c r="B32759" s="43"/>
    </row>
    <row r="32760" spans="2:2" ht="12.75" customHeight="1" x14ac:dyDescent="0.2">
      <c r="B32760" s="43"/>
    </row>
    <row r="32761" spans="2:2" ht="12.75" customHeight="1" x14ac:dyDescent="0.2">
      <c r="B32761" s="43"/>
    </row>
    <row r="32762" spans="2:2" ht="12.75" customHeight="1" x14ac:dyDescent="0.2">
      <c r="B32762" s="43"/>
    </row>
    <row r="32763" spans="2:2" ht="12.75" customHeight="1" x14ac:dyDescent="0.2">
      <c r="B32763" s="43"/>
    </row>
    <row r="32764" spans="2:2" ht="12.75" customHeight="1" x14ac:dyDescent="0.2">
      <c r="B32764" s="43"/>
    </row>
    <row r="32765" spans="2:2" ht="12.75" customHeight="1" x14ac:dyDescent="0.2">
      <c r="B32765" s="43"/>
    </row>
    <row r="32766" spans="2:2" ht="12.75" customHeight="1" x14ac:dyDescent="0.2">
      <c r="B32766" s="43"/>
    </row>
    <row r="32767" spans="2:2" ht="12.75" customHeight="1" x14ac:dyDescent="0.2">
      <c r="B32767" s="43"/>
    </row>
    <row r="32768" spans="2:2" ht="12.75" customHeight="1" x14ac:dyDescent="0.2">
      <c r="B32768" s="43"/>
    </row>
    <row r="32769" spans="2:2" ht="12.75" customHeight="1" x14ac:dyDescent="0.2">
      <c r="B32769" s="43"/>
    </row>
    <row r="32770" spans="2:2" ht="12.75" customHeight="1" x14ac:dyDescent="0.2">
      <c r="B32770" s="43"/>
    </row>
    <row r="32771" spans="2:2" ht="12.75" customHeight="1" x14ac:dyDescent="0.2">
      <c r="B32771" s="43"/>
    </row>
    <row r="32772" spans="2:2" ht="12.75" customHeight="1" x14ac:dyDescent="0.2">
      <c r="B32772" s="43"/>
    </row>
    <row r="32773" spans="2:2" ht="12.75" customHeight="1" x14ac:dyDescent="0.2">
      <c r="B32773" s="43"/>
    </row>
    <row r="32774" spans="2:2" ht="12.75" customHeight="1" x14ac:dyDescent="0.2">
      <c r="B32774" s="43"/>
    </row>
    <row r="32775" spans="2:2" ht="12.75" customHeight="1" x14ac:dyDescent="0.2">
      <c r="B32775" s="43"/>
    </row>
    <row r="32776" spans="2:2" ht="12.75" customHeight="1" x14ac:dyDescent="0.2">
      <c r="B32776" s="43"/>
    </row>
    <row r="32777" spans="2:2" ht="12.75" customHeight="1" x14ac:dyDescent="0.2">
      <c r="B32777" s="43"/>
    </row>
    <row r="32778" spans="2:2" ht="12.75" customHeight="1" x14ac:dyDescent="0.2">
      <c r="B32778" s="43"/>
    </row>
    <row r="32779" spans="2:2" ht="12.75" customHeight="1" x14ac:dyDescent="0.2">
      <c r="B32779" s="43"/>
    </row>
    <row r="32780" spans="2:2" ht="12.75" customHeight="1" x14ac:dyDescent="0.2">
      <c r="B32780" s="43"/>
    </row>
    <row r="32781" spans="2:2" ht="12.75" customHeight="1" x14ac:dyDescent="0.2">
      <c r="B32781" s="43"/>
    </row>
    <row r="32782" spans="2:2" ht="12.75" customHeight="1" x14ac:dyDescent="0.2">
      <c r="B32782" s="43"/>
    </row>
    <row r="32783" spans="2:2" ht="12.75" customHeight="1" x14ac:dyDescent="0.2">
      <c r="B32783" s="43"/>
    </row>
    <row r="32784" spans="2:2" ht="12.75" customHeight="1" x14ac:dyDescent="0.2">
      <c r="B32784" s="43"/>
    </row>
    <row r="32785" spans="2:2" ht="12.75" customHeight="1" x14ac:dyDescent="0.2">
      <c r="B32785" s="43"/>
    </row>
    <row r="32786" spans="2:2" ht="12.75" customHeight="1" x14ac:dyDescent="0.2">
      <c r="B32786" s="43"/>
    </row>
    <row r="32787" spans="2:2" ht="12.75" customHeight="1" x14ac:dyDescent="0.2">
      <c r="B32787" s="43"/>
    </row>
    <row r="32788" spans="2:2" ht="12.75" customHeight="1" x14ac:dyDescent="0.2">
      <c r="B32788" s="43"/>
    </row>
    <row r="32789" spans="2:2" ht="12.75" customHeight="1" x14ac:dyDescent="0.2">
      <c r="B32789" s="43"/>
    </row>
    <row r="32790" spans="2:2" ht="12.75" customHeight="1" x14ac:dyDescent="0.2">
      <c r="B32790" s="43"/>
    </row>
    <row r="32791" spans="2:2" ht="12.75" customHeight="1" x14ac:dyDescent="0.2">
      <c r="B32791" s="43"/>
    </row>
    <row r="32792" spans="2:2" ht="12.75" customHeight="1" x14ac:dyDescent="0.2">
      <c r="B32792" s="43"/>
    </row>
    <row r="32793" spans="2:2" ht="12.75" customHeight="1" x14ac:dyDescent="0.2">
      <c r="B32793" s="43"/>
    </row>
    <row r="32794" spans="2:2" ht="12.75" customHeight="1" x14ac:dyDescent="0.2">
      <c r="B32794" s="43"/>
    </row>
    <row r="32795" spans="2:2" ht="12.75" customHeight="1" x14ac:dyDescent="0.2">
      <c r="B32795" s="43"/>
    </row>
    <row r="32796" spans="2:2" ht="12.75" customHeight="1" x14ac:dyDescent="0.2">
      <c r="B32796" s="43"/>
    </row>
    <row r="32797" spans="2:2" ht="12.75" customHeight="1" x14ac:dyDescent="0.2">
      <c r="B32797" s="43"/>
    </row>
    <row r="32798" spans="2:2" ht="12.75" customHeight="1" x14ac:dyDescent="0.2">
      <c r="B32798" s="43"/>
    </row>
    <row r="32799" spans="2:2" ht="12.75" customHeight="1" x14ac:dyDescent="0.2">
      <c r="B32799" s="43"/>
    </row>
    <row r="32800" spans="2:2" ht="12.75" customHeight="1" x14ac:dyDescent="0.2">
      <c r="B32800" s="43"/>
    </row>
    <row r="32801" spans="2:2" ht="12.75" customHeight="1" x14ac:dyDescent="0.2">
      <c r="B32801" s="43"/>
    </row>
    <row r="32802" spans="2:2" ht="12.75" customHeight="1" x14ac:dyDescent="0.2">
      <c r="B32802" s="43"/>
    </row>
    <row r="32803" spans="2:2" ht="12.75" customHeight="1" x14ac:dyDescent="0.2">
      <c r="B32803" s="43"/>
    </row>
    <row r="32804" spans="2:2" ht="12.75" customHeight="1" x14ac:dyDescent="0.2">
      <c r="B32804" s="43"/>
    </row>
    <row r="32805" spans="2:2" ht="12.75" customHeight="1" x14ac:dyDescent="0.2">
      <c r="B32805" s="43"/>
    </row>
    <row r="32806" spans="2:2" ht="12.75" customHeight="1" x14ac:dyDescent="0.2">
      <c r="B32806" s="43"/>
    </row>
    <row r="32807" spans="2:2" ht="12.75" customHeight="1" x14ac:dyDescent="0.2">
      <c r="B32807" s="43"/>
    </row>
    <row r="32808" spans="2:2" ht="12.75" customHeight="1" x14ac:dyDescent="0.2">
      <c r="B32808" s="43"/>
    </row>
    <row r="32809" spans="2:2" ht="12.75" customHeight="1" x14ac:dyDescent="0.2">
      <c r="B32809" s="43"/>
    </row>
    <row r="32810" spans="2:2" ht="12.75" customHeight="1" x14ac:dyDescent="0.2">
      <c r="B32810" s="43"/>
    </row>
    <row r="32811" spans="2:2" ht="12.75" customHeight="1" x14ac:dyDescent="0.2">
      <c r="B32811" s="43"/>
    </row>
    <row r="32812" spans="2:2" ht="12.75" customHeight="1" x14ac:dyDescent="0.2">
      <c r="B32812" s="43"/>
    </row>
    <row r="32813" spans="2:2" ht="12.75" customHeight="1" x14ac:dyDescent="0.2">
      <c r="B32813" s="43"/>
    </row>
    <row r="32814" spans="2:2" ht="12.75" customHeight="1" x14ac:dyDescent="0.2">
      <c r="B32814" s="43"/>
    </row>
    <row r="32815" spans="2:2" ht="12.75" customHeight="1" x14ac:dyDescent="0.2">
      <c r="B32815" s="43"/>
    </row>
    <row r="32816" spans="2:2" ht="12.75" customHeight="1" x14ac:dyDescent="0.2">
      <c r="B32816" s="43"/>
    </row>
    <row r="32817" spans="2:2" ht="12.75" customHeight="1" x14ac:dyDescent="0.2">
      <c r="B32817" s="43"/>
    </row>
    <row r="32818" spans="2:2" ht="12.75" customHeight="1" x14ac:dyDescent="0.2">
      <c r="B32818" s="43"/>
    </row>
    <row r="32819" spans="2:2" ht="12.75" customHeight="1" x14ac:dyDescent="0.2">
      <c r="B32819" s="43"/>
    </row>
    <row r="32820" spans="2:2" ht="12.75" customHeight="1" x14ac:dyDescent="0.2">
      <c r="B32820" s="43"/>
    </row>
    <row r="32821" spans="2:2" ht="12.75" customHeight="1" x14ac:dyDescent="0.2">
      <c r="B32821" s="43"/>
    </row>
    <row r="32822" spans="2:2" ht="12.75" customHeight="1" x14ac:dyDescent="0.2">
      <c r="B32822" s="43"/>
    </row>
    <row r="32823" spans="2:2" ht="12.75" customHeight="1" x14ac:dyDescent="0.2">
      <c r="B32823" s="43"/>
    </row>
    <row r="32824" spans="2:2" ht="12.75" customHeight="1" x14ac:dyDescent="0.2">
      <c r="B32824" s="43"/>
    </row>
    <row r="32825" spans="2:2" ht="12.75" customHeight="1" x14ac:dyDescent="0.2">
      <c r="B32825" s="43"/>
    </row>
    <row r="32826" spans="2:2" ht="12.75" customHeight="1" x14ac:dyDescent="0.2">
      <c r="B32826" s="43"/>
    </row>
    <row r="32827" spans="2:2" ht="12.75" customHeight="1" x14ac:dyDescent="0.2">
      <c r="B32827" s="43"/>
    </row>
    <row r="32828" spans="2:2" ht="12.75" customHeight="1" x14ac:dyDescent="0.2">
      <c r="B32828" s="43"/>
    </row>
    <row r="32829" spans="2:2" ht="12.75" customHeight="1" x14ac:dyDescent="0.2">
      <c r="B32829" s="43"/>
    </row>
    <row r="32830" spans="2:2" ht="12.75" customHeight="1" x14ac:dyDescent="0.2">
      <c r="B32830" s="43"/>
    </row>
    <row r="32831" spans="2:2" ht="12.75" customHeight="1" x14ac:dyDescent="0.2">
      <c r="B32831" s="43"/>
    </row>
    <row r="32832" spans="2:2" ht="12.75" customHeight="1" x14ac:dyDescent="0.2">
      <c r="B32832" s="43"/>
    </row>
    <row r="32833" spans="2:2" ht="12.75" customHeight="1" x14ac:dyDescent="0.2">
      <c r="B32833" s="43"/>
    </row>
    <row r="32834" spans="2:2" ht="12.75" customHeight="1" x14ac:dyDescent="0.2">
      <c r="B32834" s="43"/>
    </row>
    <row r="32835" spans="2:2" ht="12.75" customHeight="1" x14ac:dyDescent="0.2">
      <c r="B32835" s="43"/>
    </row>
    <row r="32836" spans="2:2" ht="12.75" customHeight="1" x14ac:dyDescent="0.2">
      <c r="B32836" s="43"/>
    </row>
    <row r="32837" spans="2:2" ht="12.75" customHeight="1" x14ac:dyDescent="0.2">
      <c r="B32837" s="43"/>
    </row>
    <row r="32838" spans="2:2" ht="12.75" customHeight="1" x14ac:dyDescent="0.2">
      <c r="B32838" s="43"/>
    </row>
    <row r="32839" spans="2:2" ht="12.75" customHeight="1" x14ac:dyDescent="0.2">
      <c r="B32839" s="43"/>
    </row>
    <row r="32840" spans="2:2" ht="12.75" customHeight="1" x14ac:dyDescent="0.2">
      <c r="B32840" s="43"/>
    </row>
    <row r="32841" spans="2:2" ht="12.75" customHeight="1" x14ac:dyDescent="0.2">
      <c r="B32841" s="43"/>
    </row>
    <row r="32842" spans="2:2" ht="12.75" customHeight="1" x14ac:dyDescent="0.2">
      <c r="B32842" s="43"/>
    </row>
    <row r="32843" spans="2:2" ht="12.75" customHeight="1" x14ac:dyDescent="0.2">
      <c r="B32843" s="43"/>
    </row>
    <row r="32844" spans="2:2" ht="12.75" customHeight="1" x14ac:dyDescent="0.2">
      <c r="B32844" s="43"/>
    </row>
    <row r="32845" spans="2:2" ht="12.75" customHeight="1" x14ac:dyDescent="0.2">
      <c r="B32845" s="43"/>
    </row>
    <row r="32846" spans="2:2" ht="12.75" customHeight="1" x14ac:dyDescent="0.2">
      <c r="B32846" s="43"/>
    </row>
    <row r="32847" spans="2:2" ht="12.75" customHeight="1" x14ac:dyDescent="0.2">
      <c r="B32847" s="43"/>
    </row>
    <row r="32848" spans="2:2" ht="12.75" customHeight="1" x14ac:dyDescent="0.2">
      <c r="B32848" s="43"/>
    </row>
    <row r="32849" spans="2:2" ht="12.75" customHeight="1" x14ac:dyDescent="0.2">
      <c r="B32849" s="43"/>
    </row>
    <row r="32850" spans="2:2" ht="12.75" customHeight="1" x14ac:dyDescent="0.2">
      <c r="B32850" s="43"/>
    </row>
    <row r="32851" spans="2:2" ht="12.75" customHeight="1" x14ac:dyDescent="0.2">
      <c r="B32851" s="43"/>
    </row>
    <row r="32852" spans="2:2" ht="12.75" customHeight="1" x14ac:dyDescent="0.2">
      <c r="B32852" s="43"/>
    </row>
    <row r="32853" spans="2:2" ht="12.75" customHeight="1" x14ac:dyDescent="0.2">
      <c r="B32853" s="43"/>
    </row>
    <row r="32854" spans="2:2" ht="12.75" customHeight="1" x14ac:dyDescent="0.2">
      <c r="B32854" s="43"/>
    </row>
    <row r="32855" spans="2:2" ht="12.75" customHeight="1" x14ac:dyDescent="0.2">
      <c r="B32855" s="43"/>
    </row>
    <row r="32856" spans="2:2" ht="12.75" customHeight="1" x14ac:dyDescent="0.2">
      <c r="B32856" s="43"/>
    </row>
    <row r="32857" spans="2:2" ht="12.75" customHeight="1" x14ac:dyDescent="0.2">
      <c r="B32857" s="43"/>
    </row>
    <row r="32858" spans="2:2" ht="12.75" customHeight="1" x14ac:dyDescent="0.2">
      <c r="B32858" s="43"/>
    </row>
    <row r="32859" spans="2:2" ht="12.75" customHeight="1" x14ac:dyDescent="0.2">
      <c r="B32859" s="43"/>
    </row>
    <row r="32860" spans="2:2" ht="12.75" customHeight="1" x14ac:dyDescent="0.2">
      <c r="B32860" s="43"/>
    </row>
    <row r="32861" spans="2:2" ht="12.75" customHeight="1" x14ac:dyDescent="0.2">
      <c r="B32861" s="43"/>
    </row>
    <row r="32862" spans="2:2" ht="12.75" customHeight="1" x14ac:dyDescent="0.2">
      <c r="B32862" s="43"/>
    </row>
    <row r="32863" spans="2:2" ht="12.75" customHeight="1" x14ac:dyDescent="0.2">
      <c r="B32863" s="43"/>
    </row>
    <row r="32864" spans="2:2" ht="12.75" customHeight="1" x14ac:dyDescent="0.2">
      <c r="B32864" s="43"/>
    </row>
    <row r="32865" spans="2:2" ht="12.75" customHeight="1" x14ac:dyDescent="0.2">
      <c r="B32865" s="43"/>
    </row>
    <row r="32866" spans="2:2" ht="12.75" customHeight="1" x14ac:dyDescent="0.2">
      <c r="B32866" s="43"/>
    </row>
    <row r="32867" spans="2:2" ht="12.75" customHeight="1" x14ac:dyDescent="0.2">
      <c r="B32867" s="43"/>
    </row>
    <row r="32868" spans="2:2" ht="12.75" customHeight="1" x14ac:dyDescent="0.2">
      <c r="B32868" s="43"/>
    </row>
    <row r="32869" spans="2:2" ht="12.75" customHeight="1" x14ac:dyDescent="0.2">
      <c r="B32869" s="43"/>
    </row>
    <row r="32870" spans="2:2" ht="12.75" customHeight="1" x14ac:dyDescent="0.2">
      <c r="B32870" s="43"/>
    </row>
    <row r="32871" spans="2:2" ht="12.75" customHeight="1" x14ac:dyDescent="0.2">
      <c r="B32871" s="43"/>
    </row>
    <row r="32872" spans="2:2" ht="12.75" customHeight="1" x14ac:dyDescent="0.2">
      <c r="B32872" s="43"/>
    </row>
    <row r="32873" spans="2:2" ht="12.75" customHeight="1" x14ac:dyDescent="0.2">
      <c r="B32873" s="43"/>
    </row>
    <row r="32874" spans="2:2" ht="12.75" customHeight="1" x14ac:dyDescent="0.2">
      <c r="B32874" s="43"/>
    </row>
    <row r="32875" spans="2:2" ht="12.75" customHeight="1" x14ac:dyDescent="0.2">
      <c r="B32875" s="43"/>
    </row>
    <row r="32876" spans="2:2" ht="12.75" customHeight="1" x14ac:dyDescent="0.2">
      <c r="B32876" s="43"/>
    </row>
    <row r="32877" spans="2:2" ht="12.75" customHeight="1" x14ac:dyDescent="0.2">
      <c r="B32877" s="43"/>
    </row>
    <row r="32878" spans="2:2" ht="12.75" customHeight="1" x14ac:dyDescent="0.2">
      <c r="B32878" s="43"/>
    </row>
    <row r="32879" spans="2:2" ht="12.75" customHeight="1" x14ac:dyDescent="0.2">
      <c r="B32879" s="43"/>
    </row>
    <row r="32880" spans="2:2" ht="12.75" customHeight="1" x14ac:dyDescent="0.2">
      <c r="B32880" s="43"/>
    </row>
    <row r="32881" spans="2:2" ht="12.75" customHeight="1" x14ac:dyDescent="0.2">
      <c r="B32881" s="43"/>
    </row>
    <row r="32882" spans="2:2" ht="12.75" customHeight="1" x14ac:dyDescent="0.2">
      <c r="B32882" s="43"/>
    </row>
    <row r="32883" spans="2:2" ht="12.75" customHeight="1" x14ac:dyDescent="0.2">
      <c r="B32883" s="43"/>
    </row>
    <row r="32884" spans="2:2" ht="12.75" customHeight="1" x14ac:dyDescent="0.2">
      <c r="B32884" s="43"/>
    </row>
    <row r="32885" spans="2:2" ht="12.75" customHeight="1" x14ac:dyDescent="0.2">
      <c r="B32885" s="43"/>
    </row>
    <row r="32886" spans="2:2" ht="12.75" customHeight="1" x14ac:dyDescent="0.2">
      <c r="B32886" s="43"/>
    </row>
    <row r="32887" spans="2:2" ht="12.75" customHeight="1" x14ac:dyDescent="0.2">
      <c r="B32887" s="43"/>
    </row>
    <row r="32888" spans="2:2" ht="12.75" customHeight="1" x14ac:dyDescent="0.2">
      <c r="B32888" s="43"/>
    </row>
    <row r="32889" spans="2:2" ht="12.75" customHeight="1" x14ac:dyDescent="0.2">
      <c r="B32889" s="43"/>
    </row>
    <row r="32890" spans="2:2" ht="12.75" customHeight="1" x14ac:dyDescent="0.2">
      <c r="B32890" s="43"/>
    </row>
    <row r="32891" spans="2:2" ht="12.75" customHeight="1" x14ac:dyDescent="0.2">
      <c r="B32891" s="43"/>
    </row>
    <row r="32892" spans="2:2" ht="12.75" customHeight="1" x14ac:dyDescent="0.2">
      <c r="B32892" s="43"/>
    </row>
    <row r="32893" spans="2:2" ht="12.75" customHeight="1" x14ac:dyDescent="0.2">
      <c r="B32893" s="43"/>
    </row>
    <row r="32894" spans="2:2" ht="12.75" customHeight="1" x14ac:dyDescent="0.2">
      <c r="B32894" s="43"/>
    </row>
    <row r="32895" spans="2:2" ht="12.75" customHeight="1" x14ac:dyDescent="0.2">
      <c r="B32895" s="43"/>
    </row>
    <row r="32896" spans="2:2" ht="12.75" customHeight="1" x14ac:dyDescent="0.2">
      <c r="B32896" s="43"/>
    </row>
    <row r="32897" spans="2:2" ht="12.75" customHeight="1" x14ac:dyDescent="0.2">
      <c r="B32897" s="43"/>
    </row>
    <row r="32898" spans="2:2" ht="12.75" customHeight="1" x14ac:dyDescent="0.2">
      <c r="B32898" s="43"/>
    </row>
    <row r="32899" spans="2:2" ht="12.75" customHeight="1" x14ac:dyDescent="0.2">
      <c r="B32899" s="43"/>
    </row>
    <row r="32900" spans="2:2" ht="12.75" customHeight="1" x14ac:dyDescent="0.2">
      <c r="B32900" s="43"/>
    </row>
    <row r="32901" spans="2:2" ht="12.75" customHeight="1" x14ac:dyDescent="0.2">
      <c r="B32901" s="43"/>
    </row>
    <row r="32902" spans="2:2" ht="12.75" customHeight="1" x14ac:dyDescent="0.2">
      <c r="B32902" s="43"/>
    </row>
    <row r="32903" spans="2:2" ht="12.75" customHeight="1" x14ac:dyDescent="0.2">
      <c r="B32903" s="43"/>
    </row>
    <row r="32904" spans="2:2" ht="12.75" customHeight="1" x14ac:dyDescent="0.2">
      <c r="B32904" s="43"/>
    </row>
    <row r="32905" spans="2:2" ht="12.75" customHeight="1" x14ac:dyDescent="0.2">
      <c r="B32905" s="43"/>
    </row>
    <row r="32906" spans="2:2" ht="12.75" customHeight="1" x14ac:dyDescent="0.2">
      <c r="B32906" s="43"/>
    </row>
    <row r="32907" spans="2:2" ht="12.75" customHeight="1" x14ac:dyDescent="0.2">
      <c r="B32907" s="43"/>
    </row>
    <row r="32908" spans="2:2" ht="12.75" customHeight="1" x14ac:dyDescent="0.2">
      <c r="B32908" s="43"/>
    </row>
    <row r="32909" spans="2:2" ht="12.75" customHeight="1" x14ac:dyDescent="0.2">
      <c r="B32909" s="43"/>
    </row>
    <row r="32910" spans="2:2" ht="12.75" customHeight="1" x14ac:dyDescent="0.2">
      <c r="B32910" s="43"/>
    </row>
    <row r="32911" spans="2:2" ht="12.75" customHeight="1" x14ac:dyDescent="0.2">
      <c r="B32911" s="43"/>
    </row>
    <row r="32912" spans="2:2" ht="12.75" customHeight="1" x14ac:dyDescent="0.2">
      <c r="B32912" s="43"/>
    </row>
    <row r="32913" spans="2:2" ht="12.75" customHeight="1" x14ac:dyDescent="0.2">
      <c r="B32913" s="43"/>
    </row>
    <row r="32914" spans="2:2" ht="12.75" customHeight="1" x14ac:dyDescent="0.2">
      <c r="B32914" s="43"/>
    </row>
    <row r="32915" spans="2:2" ht="12.75" customHeight="1" x14ac:dyDescent="0.2">
      <c r="B32915" s="43"/>
    </row>
    <row r="32916" spans="2:2" ht="12.75" customHeight="1" x14ac:dyDescent="0.2">
      <c r="B32916" s="43"/>
    </row>
    <row r="32917" spans="2:2" ht="12.75" customHeight="1" x14ac:dyDescent="0.2">
      <c r="B32917" s="43"/>
    </row>
    <row r="32918" spans="2:2" ht="12.75" customHeight="1" x14ac:dyDescent="0.2">
      <c r="B32918" s="43"/>
    </row>
    <row r="32919" spans="2:2" ht="12.75" customHeight="1" x14ac:dyDescent="0.2">
      <c r="B32919" s="43"/>
    </row>
    <row r="32920" spans="2:2" ht="12.75" customHeight="1" x14ac:dyDescent="0.2">
      <c r="B32920" s="43"/>
    </row>
    <row r="32921" spans="2:2" ht="12.75" customHeight="1" x14ac:dyDescent="0.2">
      <c r="B32921" s="43"/>
    </row>
    <row r="32922" spans="2:2" ht="12.75" customHeight="1" x14ac:dyDescent="0.2">
      <c r="B32922" s="43"/>
    </row>
    <row r="32923" spans="2:2" ht="12.75" customHeight="1" x14ac:dyDescent="0.2">
      <c r="B32923" s="43"/>
    </row>
    <row r="32924" spans="2:2" ht="12.75" customHeight="1" x14ac:dyDescent="0.2">
      <c r="B32924" s="43"/>
    </row>
    <row r="32925" spans="2:2" ht="12.75" customHeight="1" x14ac:dyDescent="0.2">
      <c r="B32925" s="43"/>
    </row>
    <row r="32926" spans="2:2" ht="12.75" customHeight="1" x14ac:dyDescent="0.2">
      <c r="B32926" s="43"/>
    </row>
    <row r="32927" spans="2:2" ht="12.75" customHeight="1" x14ac:dyDescent="0.2">
      <c r="B32927" s="43"/>
    </row>
    <row r="32928" spans="2:2" ht="12.75" customHeight="1" x14ac:dyDescent="0.2">
      <c r="B32928" s="43"/>
    </row>
    <row r="32929" spans="2:2" ht="12.75" customHeight="1" x14ac:dyDescent="0.2">
      <c r="B32929" s="43"/>
    </row>
    <row r="32930" spans="2:2" ht="12.75" customHeight="1" x14ac:dyDescent="0.2">
      <c r="B32930" s="43"/>
    </row>
    <row r="32931" spans="2:2" ht="12.75" customHeight="1" x14ac:dyDescent="0.2">
      <c r="B32931" s="43"/>
    </row>
    <row r="32932" spans="2:2" ht="12.75" customHeight="1" x14ac:dyDescent="0.2">
      <c r="B32932" s="43"/>
    </row>
    <row r="32933" spans="2:2" ht="12.75" customHeight="1" x14ac:dyDescent="0.2">
      <c r="B32933" s="43"/>
    </row>
    <row r="32934" spans="2:2" ht="12.75" customHeight="1" x14ac:dyDescent="0.2">
      <c r="B32934" s="43"/>
    </row>
    <row r="32935" spans="2:2" ht="12.75" customHeight="1" x14ac:dyDescent="0.2">
      <c r="B32935" s="43"/>
    </row>
    <row r="32936" spans="2:2" ht="12.75" customHeight="1" x14ac:dyDescent="0.2">
      <c r="B32936" s="43"/>
    </row>
    <row r="32937" spans="2:2" ht="12.75" customHeight="1" x14ac:dyDescent="0.2">
      <c r="B32937" s="43"/>
    </row>
    <row r="32938" spans="2:2" ht="12.75" customHeight="1" x14ac:dyDescent="0.2">
      <c r="B32938" s="43"/>
    </row>
    <row r="32939" spans="2:2" ht="12.75" customHeight="1" x14ac:dyDescent="0.2">
      <c r="B32939" s="43"/>
    </row>
    <row r="32940" spans="2:2" ht="12.75" customHeight="1" x14ac:dyDescent="0.2">
      <c r="B32940" s="43"/>
    </row>
    <row r="32941" spans="2:2" ht="12.75" customHeight="1" x14ac:dyDescent="0.2">
      <c r="B32941" s="43"/>
    </row>
    <row r="32942" spans="2:2" ht="12.75" customHeight="1" x14ac:dyDescent="0.2">
      <c r="B32942" s="43"/>
    </row>
    <row r="32943" spans="2:2" ht="12.75" customHeight="1" x14ac:dyDescent="0.2">
      <c r="B32943" s="43"/>
    </row>
    <row r="32944" spans="2:2" ht="12.75" customHeight="1" x14ac:dyDescent="0.2">
      <c r="B32944" s="43"/>
    </row>
    <row r="32945" spans="2:2" ht="12.75" customHeight="1" x14ac:dyDescent="0.2">
      <c r="B32945" s="43"/>
    </row>
    <row r="32946" spans="2:2" ht="12.75" customHeight="1" x14ac:dyDescent="0.2">
      <c r="B32946" s="43"/>
    </row>
    <row r="32947" spans="2:2" ht="12.75" customHeight="1" x14ac:dyDescent="0.2">
      <c r="B32947" s="43"/>
    </row>
    <row r="32948" spans="2:2" ht="12.75" customHeight="1" x14ac:dyDescent="0.2">
      <c r="B32948" s="43"/>
    </row>
    <row r="32949" spans="2:2" ht="12.75" customHeight="1" x14ac:dyDescent="0.2">
      <c r="B32949" s="43"/>
    </row>
    <row r="32950" spans="2:2" ht="12.75" customHeight="1" x14ac:dyDescent="0.2">
      <c r="B32950" s="43"/>
    </row>
    <row r="32951" spans="2:2" ht="12.75" customHeight="1" x14ac:dyDescent="0.2">
      <c r="B32951" s="43"/>
    </row>
    <row r="32952" spans="2:2" ht="12.75" customHeight="1" x14ac:dyDescent="0.2">
      <c r="B32952" s="43"/>
    </row>
    <row r="32953" spans="2:2" ht="12.75" customHeight="1" x14ac:dyDescent="0.2">
      <c r="B32953" s="43"/>
    </row>
    <row r="32954" spans="2:2" ht="12.75" customHeight="1" x14ac:dyDescent="0.2">
      <c r="B32954" s="43"/>
    </row>
    <row r="32955" spans="2:2" ht="12.75" customHeight="1" x14ac:dyDescent="0.2">
      <c r="B32955" s="43"/>
    </row>
    <row r="32956" spans="2:2" ht="12.75" customHeight="1" x14ac:dyDescent="0.2">
      <c r="B32956" s="43"/>
    </row>
    <row r="32957" spans="2:2" ht="12.75" customHeight="1" x14ac:dyDescent="0.2">
      <c r="B32957" s="43"/>
    </row>
    <row r="32958" spans="2:2" ht="12.75" customHeight="1" x14ac:dyDescent="0.2">
      <c r="B32958" s="43"/>
    </row>
    <row r="32959" spans="2:2" ht="12.75" customHeight="1" x14ac:dyDescent="0.2">
      <c r="B32959" s="43"/>
    </row>
    <row r="32960" spans="2:2" ht="12.75" customHeight="1" x14ac:dyDescent="0.2">
      <c r="B32960" s="43"/>
    </row>
    <row r="32961" spans="2:2" ht="12.75" customHeight="1" x14ac:dyDescent="0.2">
      <c r="B32961" s="43"/>
    </row>
    <row r="32962" spans="2:2" ht="12.75" customHeight="1" x14ac:dyDescent="0.2">
      <c r="B32962" s="43"/>
    </row>
    <row r="32963" spans="2:2" ht="12.75" customHeight="1" x14ac:dyDescent="0.2">
      <c r="B32963" s="43"/>
    </row>
    <row r="32964" spans="2:2" ht="12.75" customHeight="1" x14ac:dyDescent="0.2">
      <c r="B32964" s="43"/>
    </row>
    <row r="32965" spans="2:2" ht="12.75" customHeight="1" x14ac:dyDescent="0.2">
      <c r="B32965" s="43"/>
    </row>
    <row r="32966" spans="2:2" ht="12.75" customHeight="1" x14ac:dyDescent="0.2">
      <c r="B32966" s="43"/>
    </row>
    <row r="32967" spans="2:2" ht="12.75" customHeight="1" x14ac:dyDescent="0.2">
      <c r="B32967" s="43"/>
    </row>
    <row r="32968" spans="2:2" ht="12.75" customHeight="1" x14ac:dyDescent="0.2">
      <c r="B32968" s="43"/>
    </row>
    <row r="32969" spans="2:2" ht="12.75" customHeight="1" x14ac:dyDescent="0.2">
      <c r="B32969" s="43"/>
    </row>
    <row r="32970" spans="2:2" ht="12.75" customHeight="1" x14ac:dyDescent="0.2">
      <c r="B32970" s="43"/>
    </row>
    <row r="32971" spans="2:2" ht="12.75" customHeight="1" x14ac:dyDescent="0.2">
      <c r="B32971" s="43"/>
    </row>
    <row r="32972" spans="2:2" ht="12.75" customHeight="1" x14ac:dyDescent="0.2">
      <c r="B32972" s="43"/>
    </row>
    <row r="32973" spans="2:2" ht="12.75" customHeight="1" x14ac:dyDescent="0.2">
      <c r="B32973" s="43"/>
    </row>
    <row r="32974" spans="2:2" ht="12.75" customHeight="1" x14ac:dyDescent="0.2">
      <c r="B32974" s="43"/>
    </row>
    <row r="32975" spans="2:2" ht="12.75" customHeight="1" x14ac:dyDescent="0.2">
      <c r="B32975" s="43"/>
    </row>
    <row r="32976" spans="2:2" ht="12.75" customHeight="1" x14ac:dyDescent="0.2">
      <c r="B32976" s="43"/>
    </row>
    <row r="32977" spans="2:2" ht="12.75" customHeight="1" x14ac:dyDescent="0.2">
      <c r="B32977" s="43"/>
    </row>
    <row r="32978" spans="2:2" ht="12.75" customHeight="1" x14ac:dyDescent="0.2">
      <c r="B32978" s="43"/>
    </row>
    <row r="32979" spans="2:2" ht="12.75" customHeight="1" x14ac:dyDescent="0.2">
      <c r="B32979" s="43"/>
    </row>
    <row r="32980" spans="2:2" ht="12.75" customHeight="1" x14ac:dyDescent="0.2">
      <c r="B32980" s="43"/>
    </row>
    <row r="32981" spans="2:2" ht="12.75" customHeight="1" x14ac:dyDescent="0.2">
      <c r="B32981" s="43"/>
    </row>
    <row r="32982" spans="2:2" ht="12.75" customHeight="1" x14ac:dyDescent="0.2">
      <c r="B32982" s="43"/>
    </row>
    <row r="32983" spans="2:2" ht="12.75" customHeight="1" x14ac:dyDescent="0.2">
      <c r="B32983" s="43"/>
    </row>
    <row r="32984" spans="2:2" ht="12.75" customHeight="1" x14ac:dyDescent="0.2">
      <c r="B32984" s="43"/>
    </row>
    <row r="32985" spans="2:2" ht="12.75" customHeight="1" x14ac:dyDescent="0.2">
      <c r="B32985" s="43"/>
    </row>
    <row r="32986" spans="2:2" ht="12.75" customHeight="1" x14ac:dyDescent="0.2">
      <c r="B32986" s="43"/>
    </row>
    <row r="32987" spans="2:2" ht="12.75" customHeight="1" x14ac:dyDescent="0.2">
      <c r="B32987" s="43"/>
    </row>
    <row r="32988" spans="2:2" ht="12.75" customHeight="1" x14ac:dyDescent="0.2">
      <c r="B32988" s="43"/>
    </row>
    <row r="32989" spans="2:2" ht="12.75" customHeight="1" x14ac:dyDescent="0.2">
      <c r="B32989" s="43"/>
    </row>
    <row r="32990" spans="2:2" ht="12.75" customHeight="1" x14ac:dyDescent="0.2">
      <c r="B32990" s="43"/>
    </row>
    <row r="32991" spans="2:2" ht="12.75" customHeight="1" x14ac:dyDescent="0.2">
      <c r="B32991" s="43"/>
    </row>
    <row r="32992" spans="2:2" ht="12.75" customHeight="1" x14ac:dyDescent="0.2">
      <c r="B32992" s="43"/>
    </row>
    <row r="32993" spans="2:2" ht="12.75" customHeight="1" x14ac:dyDescent="0.2">
      <c r="B32993" s="43"/>
    </row>
    <row r="32994" spans="2:2" ht="12.75" customHeight="1" x14ac:dyDescent="0.2">
      <c r="B32994" s="43"/>
    </row>
    <row r="32995" spans="2:2" ht="12.75" customHeight="1" x14ac:dyDescent="0.2">
      <c r="B32995" s="43"/>
    </row>
    <row r="32996" spans="2:2" ht="12.75" customHeight="1" x14ac:dyDescent="0.2">
      <c r="B32996" s="43"/>
    </row>
    <row r="32997" spans="2:2" ht="12.75" customHeight="1" x14ac:dyDescent="0.2">
      <c r="B32997" s="43"/>
    </row>
    <row r="32998" spans="2:2" ht="12.75" customHeight="1" x14ac:dyDescent="0.2">
      <c r="B32998" s="43"/>
    </row>
    <row r="32999" spans="2:2" ht="12.75" customHeight="1" x14ac:dyDescent="0.2">
      <c r="B32999" s="43"/>
    </row>
    <row r="33000" spans="2:2" ht="12.75" customHeight="1" x14ac:dyDescent="0.2">
      <c r="B33000" s="43"/>
    </row>
    <row r="33001" spans="2:2" ht="12.75" customHeight="1" x14ac:dyDescent="0.2">
      <c r="B33001" s="43"/>
    </row>
    <row r="33002" spans="2:2" ht="12.75" customHeight="1" x14ac:dyDescent="0.2">
      <c r="B33002" s="43"/>
    </row>
    <row r="33003" spans="2:2" ht="12.75" customHeight="1" x14ac:dyDescent="0.2">
      <c r="B33003" s="43"/>
    </row>
    <row r="33004" spans="2:2" ht="12.75" customHeight="1" x14ac:dyDescent="0.2">
      <c r="B33004" s="43"/>
    </row>
    <row r="33005" spans="2:2" ht="12.75" customHeight="1" x14ac:dyDescent="0.2">
      <c r="B33005" s="43"/>
    </row>
    <row r="33006" spans="2:2" ht="12.75" customHeight="1" x14ac:dyDescent="0.2">
      <c r="B33006" s="43"/>
    </row>
    <row r="33007" spans="2:2" ht="12.75" customHeight="1" x14ac:dyDescent="0.2">
      <c r="B33007" s="43"/>
    </row>
    <row r="33008" spans="2:2" ht="12.75" customHeight="1" x14ac:dyDescent="0.2">
      <c r="B33008" s="43"/>
    </row>
    <row r="33009" spans="2:2" ht="12.75" customHeight="1" x14ac:dyDescent="0.2">
      <c r="B33009" s="43"/>
    </row>
    <row r="33010" spans="2:2" ht="12.75" customHeight="1" x14ac:dyDescent="0.2">
      <c r="B33010" s="43"/>
    </row>
    <row r="33011" spans="2:2" ht="12.75" customHeight="1" x14ac:dyDescent="0.2">
      <c r="B33011" s="43"/>
    </row>
    <row r="33012" spans="2:2" ht="12.75" customHeight="1" x14ac:dyDescent="0.2">
      <c r="B33012" s="43"/>
    </row>
    <row r="33013" spans="2:2" ht="12.75" customHeight="1" x14ac:dyDescent="0.2">
      <c r="B33013" s="43"/>
    </row>
    <row r="33014" spans="2:2" ht="12.75" customHeight="1" x14ac:dyDescent="0.2">
      <c r="B33014" s="43"/>
    </row>
    <row r="33015" spans="2:2" ht="12.75" customHeight="1" x14ac:dyDescent="0.2">
      <c r="B33015" s="43"/>
    </row>
    <row r="33016" spans="2:2" ht="12.75" customHeight="1" x14ac:dyDescent="0.2">
      <c r="B33016" s="43"/>
    </row>
    <row r="33017" spans="2:2" ht="12.75" customHeight="1" x14ac:dyDescent="0.2">
      <c r="B33017" s="43"/>
    </row>
    <row r="33018" spans="2:2" ht="12.75" customHeight="1" x14ac:dyDescent="0.2">
      <c r="B33018" s="43"/>
    </row>
    <row r="33019" spans="2:2" ht="12.75" customHeight="1" x14ac:dyDescent="0.2">
      <c r="B33019" s="43"/>
    </row>
    <row r="33020" spans="2:2" ht="12.75" customHeight="1" x14ac:dyDescent="0.2">
      <c r="B33020" s="43"/>
    </row>
    <row r="33021" spans="2:2" ht="12.75" customHeight="1" x14ac:dyDescent="0.2">
      <c r="B33021" s="43"/>
    </row>
    <row r="33022" spans="2:2" ht="12.75" customHeight="1" x14ac:dyDescent="0.2">
      <c r="B33022" s="43"/>
    </row>
    <row r="33023" spans="2:2" ht="12.75" customHeight="1" x14ac:dyDescent="0.2">
      <c r="B33023" s="43"/>
    </row>
    <row r="33024" spans="2:2" ht="12.75" customHeight="1" x14ac:dyDescent="0.2">
      <c r="B33024" s="43"/>
    </row>
    <row r="33025" spans="2:2" ht="12.75" customHeight="1" x14ac:dyDescent="0.2">
      <c r="B33025" s="43"/>
    </row>
    <row r="33026" spans="2:2" ht="12.75" customHeight="1" x14ac:dyDescent="0.2">
      <c r="B33026" s="43"/>
    </row>
    <row r="33027" spans="2:2" ht="12.75" customHeight="1" x14ac:dyDescent="0.2">
      <c r="B33027" s="43"/>
    </row>
    <row r="33028" spans="2:2" ht="12.75" customHeight="1" x14ac:dyDescent="0.2">
      <c r="B33028" s="43"/>
    </row>
    <row r="33029" spans="2:2" ht="12.75" customHeight="1" x14ac:dyDescent="0.2">
      <c r="B33029" s="43"/>
    </row>
    <row r="33030" spans="2:2" ht="12.75" customHeight="1" x14ac:dyDescent="0.2">
      <c r="B33030" s="43"/>
    </row>
    <row r="33031" spans="2:2" ht="12.75" customHeight="1" x14ac:dyDescent="0.2">
      <c r="B33031" s="43"/>
    </row>
    <row r="33032" spans="2:2" ht="12.75" customHeight="1" x14ac:dyDescent="0.2">
      <c r="B33032" s="43"/>
    </row>
    <row r="33033" spans="2:2" ht="12.75" customHeight="1" x14ac:dyDescent="0.2">
      <c r="B33033" s="43"/>
    </row>
    <row r="33034" spans="2:2" ht="12.75" customHeight="1" x14ac:dyDescent="0.2">
      <c r="B33034" s="43"/>
    </row>
    <row r="33035" spans="2:2" ht="12.75" customHeight="1" x14ac:dyDescent="0.2">
      <c r="B33035" s="43"/>
    </row>
    <row r="33036" spans="2:2" ht="12.75" customHeight="1" x14ac:dyDescent="0.2">
      <c r="B33036" s="43"/>
    </row>
    <row r="33037" spans="2:2" ht="12.75" customHeight="1" x14ac:dyDescent="0.2">
      <c r="B33037" s="43"/>
    </row>
    <row r="33038" spans="2:2" ht="12.75" customHeight="1" x14ac:dyDescent="0.2">
      <c r="B33038" s="43"/>
    </row>
    <row r="33039" spans="2:2" ht="12.75" customHeight="1" x14ac:dyDescent="0.2">
      <c r="B33039" s="43"/>
    </row>
    <row r="33040" spans="2:2" ht="12.75" customHeight="1" x14ac:dyDescent="0.2">
      <c r="B33040" s="43"/>
    </row>
    <row r="33041" spans="2:2" ht="12.75" customHeight="1" x14ac:dyDescent="0.2">
      <c r="B33041" s="43"/>
    </row>
    <row r="33042" spans="2:2" ht="12.75" customHeight="1" x14ac:dyDescent="0.2">
      <c r="B33042" s="43"/>
    </row>
    <row r="33043" spans="2:2" ht="12.75" customHeight="1" x14ac:dyDescent="0.2">
      <c r="B33043" s="43"/>
    </row>
    <row r="33044" spans="2:2" ht="12.75" customHeight="1" x14ac:dyDescent="0.2">
      <c r="B33044" s="43"/>
    </row>
    <row r="33045" spans="2:2" ht="12.75" customHeight="1" x14ac:dyDescent="0.2">
      <c r="B33045" s="43"/>
    </row>
    <row r="33046" spans="2:2" ht="12.75" customHeight="1" x14ac:dyDescent="0.2">
      <c r="B33046" s="43"/>
    </row>
    <row r="33047" spans="2:2" ht="12.75" customHeight="1" x14ac:dyDescent="0.2">
      <c r="B33047" s="43"/>
    </row>
    <row r="33048" spans="2:2" ht="12.75" customHeight="1" x14ac:dyDescent="0.2">
      <c r="B33048" s="43"/>
    </row>
    <row r="33049" spans="2:2" ht="12.75" customHeight="1" x14ac:dyDescent="0.2">
      <c r="B33049" s="43"/>
    </row>
    <row r="33050" spans="2:2" ht="12.75" customHeight="1" x14ac:dyDescent="0.2">
      <c r="B33050" s="43"/>
    </row>
    <row r="33051" spans="2:2" ht="12.75" customHeight="1" x14ac:dyDescent="0.2">
      <c r="B33051" s="43"/>
    </row>
    <row r="33052" spans="2:2" ht="12.75" customHeight="1" x14ac:dyDescent="0.2">
      <c r="B33052" s="43"/>
    </row>
    <row r="33053" spans="2:2" ht="12.75" customHeight="1" x14ac:dyDescent="0.2">
      <c r="B33053" s="43"/>
    </row>
    <row r="33054" spans="2:2" ht="12.75" customHeight="1" x14ac:dyDescent="0.2">
      <c r="B33054" s="43"/>
    </row>
    <row r="33055" spans="2:2" ht="12.75" customHeight="1" x14ac:dyDescent="0.2">
      <c r="B33055" s="43"/>
    </row>
    <row r="33056" spans="2:2" ht="12.75" customHeight="1" x14ac:dyDescent="0.2">
      <c r="B33056" s="43"/>
    </row>
    <row r="33057" spans="2:2" ht="12.75" customHeight="1" x14ac:dyDescent="0.2">
      <c r="B33057" s="43"/>
    </row>
    <row r="33058" spans="2:2" ht="12.75" customHeight="1" x14ac:dyDescent="0.2">
      <c r="B33058" s="43"/>
    </row>
    <row r="33059" spans="2:2" ht="12.75" customHeight="1" x14ac:dyDescent="0.2">
      <c r="B33059" s="43"/>
    </row>
    <row r="33060" spans="2:2" ht="12.75" customHeight="1" x14ac:dyDescent="0.2">
      <c r="B33060" s="43"/>
    </row>
    <row r="33061" spans="2:2" ht="12.75" customHeight="1" x14ac:dyDescent="0.2">
      <c r="B33061" s="43"/>
    </row>
    <row r="33062" spans="2:2" ht="12.75" customHeight="1" x14ac:dyDescent="0.2">
      <c r="B33062" s="43"/>
    </row>
    <row r="33063" spans="2:2" ht="12.75" customHeight="1" x14ac:dyDescent="0.2">
      <c r="B33063" s="43"/>
    </row>
    <row r="33064" spans="2:2" ht="12.75" customHeight="1" x14ac:dyDescent="0.2">
      <c r="B33064" s="43"/>
    </row>
    <row r="33065" spans="2:2" ht="12.75" customHeight="1" x14ac:dyDescent="0.2">
      <c r="B33065" s="43"/>
    </row>
    <row r="33066" spans="2:2" ht="12.75" customHeight="1" x14ac:dyDescent="0.2">
      <c r="B33066" s="43"/>
    </row>
    <row r="33067" spans="2:2" ht="12.75" customHeight="1" x14ac:dyDescent="0.2">
      <c r="B33067" s="43"/>
    </row>
    <row r="33068" spans="2:2" ht="12.75" customHeight="1" x14ac:dyDescent="0.2">
      <c r="B33068" s="43"/>
    </row>
    <row r="33069" spans="2:2" ht="12.75" customHeight="1" x14ac:dyDescent="0.2">
      <c r="B33069" s="43"/>
    </row>
    <row r="33070" spans="2:2" ht="12.75" customHeight="1" x14ac:dyDescent="0.2">
      <c r="B33070" s="43"/>
    </row>
    <row r="33071" spans="2:2" ht="12.75" customHeight="1" x14ac:dyDescent="0.2">
      <c r="B33071" s="43"/>
    </row>
    <row r="33072" spans="2:2" ht="12.75" customHeight="1" x14ac:dyDescent="0.2">
      <c r="B33072" s="43"/>
    </row>
    <row r="33073" spans="2:2" ht="12.75" customHeight="1" x14ac:dyDescent="0.2">
      <c r="B33073" s="43"/>
    </row>
    <row r="33074" spans="2:2" ht="12.75" customHeight="1" x14ac:dyDescent="0.2">
      <c r="B33074" s="43"/>
    </row>
    <row r="33075" spans="2:2" ht="12.75" customHeight="1" x14ac:dyDescent="0.2">
      <c r="B33075" s="43"/>
    </row>
    <row r="33076" spans="2:2" ht="12.75" customHeight="1" x14ac:dyDescent="0.2">
      <c r="B33076" s="43"/>
    </row>
    <row r="33077" spans="2:2" ht="12.75" customHeight="1" x14ac:dyDescent="0.2">
      <c r="B33077" s="43"/>
    </row>
    <row r="33078" spans="2:2" ht="12.75" customHeight="1" x14ac:dyDescent="0.2">
      <c r="B33078" s="43"/>
    </row>
    <row r="33079" spans="2:2" ht="12.75" customHeight="1" x14ac:dyDescent="0.2">
      <c r="B33079" s="43"/>
    </row>
    <row r="33080" spans="2:2" ht="12.75" customHeight="1" x14ac:dyDescent="0.2">
      <c r="B33080" s="43"/>
    </row>
    <row r="33081" spans="2:2" ht="12.75" customHeight="1" x14ac:dyDescent="0.2">
      <c r="B33081" s="43"/>
    </row>
    <row r="33082" spans="2:2" ht="12.75" customHeight="1" x14ac:dyDescent="0.2">
      <c r="B33082" s="43"/>
    </row>
    <row r="33083" spans="2:2" ht="12.75" customHeight="1" x14ac:dyDescent="0.2">
      <c r="B33083" s="43"/>
    </row>
    <row r="33084" spans="2:2" ht="12.75" customHeight="1" x14ac:dyDescent="0.2">
      <c r="B33084" s="43"/>
    </row>
    <row r="33085" spans="2:2" ht="12.75" customHeight="1" x14ac:dyDescent="0.2">
      <c r="B33085" s="43"/>
    </row>
    <row r="33086" spans="2:2" ht="12.75" customHeight="1" x14ac:dyDescent="0.2">
      <c r="B33086" s="43"/>
    </row>
    <row r="33087" spans="2:2" ht="12.75" customHeight="1" x14ac:dyDescent="0.2">
      <c r="B33087" s="43"/>
    </row>
    <row r="33088" spans="2:2" ht="12.75" customHeight="1" x14ac:dyDescent="0.2">
      <c r="B33088" s="43"/>
    </row>
    <row r="33089" spans="2:2" ht="12.75" customHeight="1" x14ac:dyDescent="0.2">
      <c r="B33089" s="43"/>
    </row>
    <row r="33090" spans="2:2" ht="12.75" customHeight="1" x14ac:dyDescent="0.2">
      <c r="B33090" s="43"/>
    </row>
    <row r="33091" spans="2:2" ht="12.75" customHeight="1" x14ac:dyDescent="0.2">
      <c r="B33091" s="43"/>
    </row>
    <row r="33092" spans="2:2" ht="12.75" customHeight="1" x14ac:dyDescent="0.2">
      <c r="B33092" s="43"/>
    </row>
    <row r="33093" spans="2:2" ht="12.75" customHeight="1" x14ac:dyDescent="0.2">
      <c r="B33093" s="43"/>
    </row>
    <row r="33094" spans="2:2" ht="12.75" customHeight="1" x14ac:dyDescent="0.2">
      <c r="B33094" s="43"/>
    </row>
    <row r="33095" spans="2:2" ht="12.75" customHeight="1" x14ac:dyDescent="0.2">
      <c r="B33095" s="43"/>
    </row>
    <row r="33096" spans="2:2" ht="12.75" customHeight="1" x14ac:dyDescent="0.2">
      <c r="B33096" s="43"/>
    </row>
    <row r="33097" spans="2:2" ht="12.75" customHeight="1" x14ac:dyDescent="0.2">
      <c r="B33097" s="43"/>
    </row>
    <row r="33098" spans="2:2" ht="12.75" customHeight="1" x14ac:dyDescent="0.2">
      <c r="B33098" s="43"/>
    </row>
    <row r="33099" spans="2:2" ht="12.75" customHeight="1" x14ac:dyDescent="0.2">
      <c r="B33099" s="43"/>
    </row>
    <row r="33100" spans="2:2" ht="12.75" customHeight="1" x14ac:dyDescent="0.2">
      <c r="B33100" s="43"/>
    </row>
    <row r="33101" spans="2:2" ht="12.75" customHeight="1" x14ac:dyDescent="0.2">
      <c r="B33101" s="43"/>
    </row>
    <row r="33102" spans="2:2" ht="12.75" customHeight="1" x14ac:dyDescent="0.2">
      <c r="B33102" s="43"/>
    </row>
    <row r="33103" spans="2:2" ht="12.75" customHeight="1" x14ac:dyDescent="0.2">
      <c r="B33103" s="43"/>
    </row>
    <row r="33104" spans="2:2" ht="12.75" customHeight="1" x14ac:dyDescent="0.2">
      <c r="B33104" s="43"/>
    </row>
    <row r="33105" spans="2:2" ht="12.75" customHeight="1" x14ac:dyDescent="0.2">
      <c r="B33105" s="43"/>
    </row>
    <row r="33106" spans="2:2" ht="12.75" customHeight="1" x14ac:dyDescent="0.2">
      <c r="B33106" s="43"/>
    </row>
    <row r="33107" spans="2:2" ht="12.75" customHeight="1" x14ac:dyDescent="0.2">
      <c r="B33107" s="43"/>
    </row>
    <row r="33108" spans="2:2" ht="12.75" customHeight="1" x14ac:dyDescent="0.2">
      <c r="B33108" s="43"/>
    </row>
    <row r="33109" spans="2:2" ht="12.75" customHeight="1" x14ac:dyDescent="0.2">
      <c r="B33109" s="43"/>
    </row>
    <row r="33110" spans="2:2" ht="12.75" customHeight="1" x14ac:dyDescent="0.2">
      <c r="B33110" s="43"/>
    </row>
    <row r="33111" spans="2:2" ht="12.75" customHeight="1" x14ac:dyDescent="0.2">
      <c r="B33111" s="43"/>
    </row>
    <row r="33112" spans="2:2" ht="12.75" customHeight="1" x14ac:dyDescent="0.2">
      <c r="B33112" s="43"/>
    </row>
    <row r="33113" spans="2:2" ht="12.75" customHeight="1" x14ac:dyDescent="0.2">
      <c r="B33113" s="43"/>
    </row>
    <row r="33114" spans="2:2" ht="12.75" customHeight="1" x14ac:dyDescent="0.2">
      <c r="B33114" s="43"/>
    </row>
    <row r="33115" spans="2:2" ht="12.75" customHeight="1" x14ac:dyDescent="0.2">
      <c r="B33115" s="43"/>
    </row>
    <row r="33116" spans="2:2" ht="12.75" customHeight="1" x14ac:dyDescent="0.2">
      <c r="B33116" s="43"/>
    </row>
    <row r="33117" spans="2:2" ht="12.75" customHeight="1" x14ac:dyDescent="0.2">
      <c r="B33117" s="43"/>
    </row>
    <row r="33118" spans="2:2" ht="12.75" customHeight="1" x14ac:dyDescent="0.2">
      <c r="B33118" s="43"/>
    </row>
    <row r="33119" spans="2:2" ht="12.75" customHeight="1" x14ac:dyDescent="0.2">
      <c r="B33119" s="43"/>
    </row>
    <row r="33120" spans="2:2" ht="12.75" customHeight="1" x14ac:dyDescent="0.2">
      <c r="B33120" s="43"/>
    </row>
    <row r="33121" spans="2:2" ht="12.75" customHeight="1" x14ac:dyDescent="0.2">
      <c r="B33121" s="43"/>
    </row>
    <row r="33122" spans="2:2" ht="12.75" customHeight="1" x14ac:dyDescent="0.2">
      <c r="B33122" s="43"/>
    </row>
    <row r="33123" spans="2:2" ht="12.75" customHeight="1" x14ac:dyDescent="0.2">
      <c r="B33123" s="43"/>
    </row>
    <row r="33124" spans="2:2" ht="12.75" customHeight="1" x14ac:dyDescent="0.2">
      <c r="B33124" s="43"/>
    </row>
    <row r="33125" spans="2:2" ht="12.75" customHeight="1" x14ac:dyDescent="0.2">
      <c r="B33125" s="43"/>
    </row>
    <row r="33126" spans="2:2" ht="12.75" customHeight="1" x14ac:dyDescent="0.2">
      <c r="B33126" s="43"/>
    </row>
    <row r="33127" spans="2:2" ht="12.75" customHeight="1" x14ac:dyDescent="0.2">
      <c r="B33127" s="43"/>
    </row>
    <row r="33128" spans="2:2" ht="12.75" customHeight="1" x14ac:dyDescent="0.2">
      <c r="B33128" s="43"/>
    </row>
    <row r="33129" spans="2:2" ht="12.75" customHeight="1" x14ac:dyDescent="0.2">
      <c r="B33129" s="43"/>
    </row>
    <row r="33130" spans="2:2" ht="12.75" customHeight="1" x14ac:dyDescent="0.2">
      <c r="B33130" s="43"/>
    </row>
    <row r="33131" spans="2:2" ht="12.75" customHeight="1" x14ac:dyDescent="0.2">
      <c r="B33131" s="43"/>
    </row>
    <row r="33132" spans="2:2" ht="12.75" customHeight="1" x14ac:dyDescent="0.2">
      <c r="B33132" s="43"/>
    </row>
    <row r="33133" spans="2:2" ht="12.75" customHeight="1" x14ac:dyDescent="0.2">
      <c r="B33133" s="43"/>
    </row>
    <row r="33134" spans="2:2" ht="12.75" customHeight="1" x14ac:dyDescent="0.2">
      <c r="B33134" s="43"/>
    </row>
    <row r="33135" spans="2:2" ht="12.75" customHeight="1" x14ac:dyDescent="0.2">
      <c r="B33135" s="43"/>
    </row>
    <row r="33136" spans="2:2" ht="12.75" customHeight="1" x14ac:dyDescent="0.2">
      <c r="B33136" s="43"/>
    </row>
    <row r="33137" spans="2:2" ht="12.75" customHeight="1" x14ac:dyDescent="0.2">
      <c r="B33137" s="43"/>
    </row>
    <row r="33138" spans="2:2" ht="12.75" customHeight="1" x14ac:dyDescent="0.2">
      <c r="B33138" s="43"/>
    </row>
    <row r="33139" spans="2:2" ht="12.75" customHeight="1" x14ac:dyDescent="0.2">
      <c r="B33139" s="43"/>
    </row>
    <row r="33140" spans="2:2" ht="12.75" customHeight="1" x14ac:dyDescent="0.2">
      <c r="B33140" s="43"/>
    </row>
    <row r="33141" spans="2:2" ht="12.75" customHeight="1" x14ac:dyDescent="0.2">
      <c r="B33141" s="43"/>
    </row>
    <row r="33142" spans="2:2" ht="12.75" customHeight="1" x14ac:dyDescent="0.2">
      <c r="B33142" s="43"/>
    </row>
    <row r="33143" spans="2:2" ht="12.75" customHeight="1" x14ac:dyDescent="0.2">
      <c r="B33143" s="43"/>
    </row>
    <row r="33144" spans="2:2" ht="12.75" customHeight="1" x14ac:dyDescent="0.2">
      <c r="B33144" s="43"/>
    </row>
    <row r="33145" spans="2:2" ht="12.75" customHeight="1" x14ac:dyDescent="0.2">
      <c r="B33145" s="43"/>
    </row>
    <row r="33146" spans="2:2" ht="12.75" customHeight="1" x14ac:dyDescent="0.2">
      <c r="B33146" s="43"/>
    </row>
    <row r="33147" spans="2:2" ht="12.75" customHeight="1" x14ac:dyDescent="0.2">
      <c r="B33147" s="43"/>
    </row>
    <row r="33148" spans="2:2" ht="12.75" customHeight="1" x14ac:dyDescent="0.2">
      <c r="B33148" s="43"/>
    </row>
    <row r="33149" spans="2:2" ht="12.75" customHeight="1" x14ac:dyDescent="0.2">
      <c r="B33149" s="43"/>
    </row>
    <row r="33150" spans="2:2" ht="12.75" customHeight="1" x14ac:dyDescent="0.2">
      <c r="B33150" s="43"/>
    </row>
    <row r="33151" spans="2:2" ht="12.75" customHeight="1" x14ac:dyDescent="0.2">
      <c r="B33151" s="43"/>
    </row>
    <row r="33152" spans="2:2" ht="12.75" customHeight="1" x14ac:dyDescent="0.2">
      <c r="B33152" s="43"/>
    </row>
    <row r="33153" spans="2:2" ht="12.75" customHeight="1" x14ac:dyDescent="0.2">
      <c r="B33153" s="43"/>
    </row>
    <row r="33154" spans="2:2" ht="12.75" customHeight="1" x14ac:dyDescent="0.2">
      <c r="B33154" s="43"/>
    </row>
    <row r="33155" spans="2:2" ht="12.75" customHeight="1" x14ac:dyDescent="0.2">
      <c r="B33155" s="43"/>
    </row>
    <row r="33156" spans="2:2" ht="12.75" customHeight="1" x14ac:dyDescent="0.2">
      <c r="B33156" s="43"/>
    </row>
    <row r="33157" spans="2:2" ht="12.75" customHeight="1" x14ac:dyDescent="0.2">
      <c r="B33157" s="43"/>
    </row>
    <row r="33158" spans="2:2" ht="12.75" customHeight="1" x14ac:dyDescent="0.2">
      <c r="B33158" s="43"/>
    </row>
    <row r="33159" spans="2:2" ht="12.75" customHeight="1" x14ac:dyDescent="0.2">
      <c r="B33159" s="43"/>
    </row>
    <row r="33160" spans="2:2" ht="12.75" customHeight="1" x14ac:dyDescent="0.2">
      <c r="B33160" s="43"/>
    </row>
    <row r="33161" spans="2:2" ht="12.75" customHeight="1" x14ac:dyDescent="0.2">
      <c r="B33161" s="43"/>
    </row>
    <row r="33162" spans="2:2" ht="12.75" customHeight="1" x14ac:dyDescent="0.2">
      <c r="B33162" s="43"/>
    </row>
    <row r="33163" spans="2:2" ht="12.75" customHeight="1" x14ac:dyDescent="0.2">
      <c r="B33163" s="43"/>
    </row>
    <row r="33164" spans="2:2" ht="12.75" customHeight="1" x14ac:dyDescent="0.2">
      <c r="B33164" s="43"/>
    </row>
    <row r="33165" spans="2:2" ht="12.75" customHeight="1" x14ac:dyDescent="0.2">
      <c r="B33165" s="43"/>
    </row>
    <row r="33166" spans="2:2" ht="12.75" customHeight="1" x14ac:dyDescent="0.2">
      <c r="B33166" s="43"/>
    </row>
    <row r="33167" spans="2:2" ht="12.75" customHeight="1" x14ac:dyDescent="0.2">
      <c r="B33167" s="43"/>
    </row>
    <row r="33168" spans="2:2" ht="12.75" customHeight="1" x14ac:dyDescent="0.2">
      <c r="B33168" s="43"/>
    </row>
    <row r="33169" spans="2:2" ht="12.75" customHeight="1" x14ac:dyDescent="0.2">
      <c r="B33169" s="43"/>
    </row>
    <row r="33170" spans="2:2" ht="12.75" customHeight="1" x14ac:dyDescent="0.2">
      <c r="B33170" s="43"/>
    </row>
    <row r="33171" spans="2:2" ht="12.75" customHeight="1" x14ac:dyDescent="0.2">
      <c r="B33171" s="43"/>
    </row>
    <row r="33172" spans="2:2" ht="12.75" customHeight="1" x14ac:dyDescent="0.2">
      <c r="B33172" s="43"/>
    </row>
    <row r="33173" spans="2:2" ht="12.75" customHeight="1" x14ac:dyDescent="0.2">
      <c r="B33173" s="43"/>
    </row>
    <row r="33174" spans="2:2" ht="12.75" customHeight="1" x14ac:dyDescent="0.2">
      <c r="B33174" s="43"/>
    </row>
    <row r="33175" spans="2:2" ht="12.75" customHeight="1" x14ac:dyDescent="0.2">
      <c r="B33175" s="43"/>
    </row>
    <row r="33176" spans="2:2" ht="12.75" customHeight="1" x14ac:dyDescent="0.2">
      <c r="B33176" s="43"/>
    </row>
    <row r="33177" spans="2:2" ht="12.75" customHeight="1" x14ac:dyDescent="0.2">
      <c r="B33177" s="43"/>
    </row>
    <row r="33178" spans="2:2" ht="12.75" customHeight="1" x14ac:dyDescent="0.2">
      <c r="B33178" s="43"/>
    </row>
    <row r="33179" spans="2:2" ht="12.75" customHeight="1" x14ac:dyDescent="0.2">
      <c r="B33179" s="43"/>
    </row>
    <row r="33180" spans="2:2" ht="12.75" customHeight="1" x14ac:dyDescent="0.2">
      <c r="B33180" s="43"/>
    </row>
    <row r="33181" spans="2:2" ht="12.75" customHeight="1" x14ac:dyDescent="0.2">
      <c r="B33181" s="43"/>
    </row>
    <row r="33182" spans="2:2" ht="12.75" customHeight="1" x14ac:dyDescent="0.2">
      <c r="B33182" s="43"/>
    </row>
    <row r="33183" spans="2:2" ht="12.75" customHeight="1" x14ac:dyDescent="0.2">
      <c r="B33183" s="43"/>
    </row>
    <row r="33184" spans="2:2" ht="12.75" customHeight="1" x14ac:dyDescent="0.2">
      <c r="B33184" s="43"/>
    </row>
    <row r="33185" spans="2:2" ht="12.75" customHeight="1" x14ac:dyDescent="0.2">
      <c r="B33185" s="43"/>
    </row>
    <row r="33186" spans="2:2" ht="12.75" customHeight="1" x14ac:dyDescent="0.2">
      <c r="B33186" s="43"/>
    </row>
    <row r="33187" spans="2:2" ht="12.75" customHeight="1" x14ac:dyDescent="0.2">
      <c r="B33187" s="43"/>
    </row>
    <row r="33188" spans="2:2" ht="12.75" customHeight="1" x14ac:dyDescent="0.2">
      <c r="B33188" s="43"/>
    </row>
    <row r="33189" spans="2:2" ht="12.75" customHeight="1" x14ac:dyDescent="0.2">
      <c r="B33189" s="43"/>
    </row>
    <row r="33190" spans="2:2" ht="12.75" customHeight="1" x14ac:dyDescent="0.2">
      <c r="B33190" s="43"/>
    </row>
    <row r="33191" spans="2:2" ht="12.75" customHeight="1" x14ac:dyDescent="0.2">
      <c r="B33191" s="43"/>
    </row>
    <row r="33192" spans="2:2" ht="12.75" customHeight="1" x14ac:dyDescent="0.2">
      <c r="B33192" s="43"/>
    </row>
    <row r="33193" spans="2:2" ht="12.75" customHeight="1" x14ac:dyDescent="0.2">
      <c r="B33193" s="43"/>
    </row>
    <row r="33194" spans="2:2" ht="12.75" customHeight="1" x14ac:dyDescent="0.2">
      <c r="B33194" s="43"/>
    </row>
    <row r="33195" spans="2:2" ht="12.75" customHeight="1" x14ac:dyDescent="0.2">
      <c r="B33195" s="43"/>
    </row>
    <row r="33196" spans="2:2" ht="12.75" customHeight="1" x14ac:dyDescent="0.2">
      <c r="B33196" s="43"/>
    </row>
    <row r="33197" spans="2:2" ht="12.75" customHeight="1" x14ac:dyDescent="0.2">
      <c r="B33197" s="43"/>
    </row>
    <row r="33198" spans="2:2" ht="12.75" customHeight="1" x14ac:dyDescent="0.2">
      <c r="B33198" s="43"/>
    </row>
    <row r="33199" spans="2:2" ht="12.75" customHeight="1" x14ac:dyDescent="0.2">
      <c r="B33199" s="43"/>
    </row>
    <row r="33200" spans="2:2" ht="12.75" customHeight="1" x14ac:dyDescent="0.2">
      <c r="B33200" s="43"/>
    </row>
    <row r="33201" spans="2:2" ht="12.75" customHeight="1" x14ac:dyDescent="0.2">
      <c r="B33201" s="43"/>
    </row>
    <row r="33202" spans="2:2" ht="12.75" customHeight="1" x14ac:dyDescent="0.2">
      <c r="B33202" s="43"/>
    </row>
    <row r="33203" spans="2:2" ht="12.75" customHeight="1" x14ac:dyDescent="0.2">
      <c r="B33203" s="43"/>
    </row>
    <row r="33204" spans="2:2" ht="12.75" customHeight="1" x14ac:dyDescent="0.2">
      <c r="B33204" s="43"/>
    </row>
    <row r="33205" spans="2:2" ht="12.75" customHeight="1" x14ac:dyDescent="0.2">
      <c r="B33205" s="43"/>
    </row>
    <row r="33206" spans="2:2" ht="12.75" customHeight="1" x14ac:dyDescent="0.2">
      <c r="B33206" s="43"/>
    </row>
    <row r="33207" spans="2:2" ht="12.75" customHeight="1" x14ac:dyDescent="0.2">
      <c r="B33207" s="43"/>
    </row>
    <row r="33208" spans="2:2" ht="12.75" customHeight="1" x14ac:dyDescent="0.2">
      <c r="B33208" s="43"/>
    </row>
    <row r="33209" spans="2:2" ht="12.75" customHeight="1" x14ac:dyDescent="0.2">
      <c r="B33209" s="43"/>
    </row>
    <row r="33210" spans="2:2" ht="12.75" customHeight="1" x14ac:dyDescent="0.2">
      <c r="B33210" s="43"/>
    </row>
    <row r="33211" spans="2:2" ht="12.75" customHeight="1" x14ac:dyDescent="0.2">
      <c r="B33211" s="43"/>
    </row>
    <row r="33212" spans="2:2" ht="12.75" customHeight="1" x14ac:dyDescent="0.2">
      <c r="B33212" s="43"/>
    </row>
    <row r="33213" spans="2:2" ht="12.75" customHeight="1" x14ac:dyDescent="0.2">
      <c r="B33213" s="43"/>
    </row>
    <row r="33214" spans="2:2" ht="12.75" customHeight="1" x14ac:dyDescent="0.2">
      <c r="B33214" s="43"/>
    </row>
    <row r="33215" spans="2:2" ht="12.75" customHeight="1" x14ac:dyDescent="0.2">
      <c r="B33215" s="43"/>
    </row>
    <row r="33216" spans="2:2" ht="12.75" customHeight="1" x14ac:dyDescent="0.2">
      <c r="B33216" s="43"/>
    </row>
    <row r="33217" spans="2:2" ht="12.75" customHeight="1" x14ac:dyDescent="0.2">
      <c r="B33217" s="43"/>
    </row>
    <row r="33218" spans="2:2" ht="12.75" customHeight="1" x14ac:dyDescent="0.2">
      <c r="B33218" s="43"/>
    </row>
    <row r="33219" spans="2:2" ht="12.75" customHeight="1" x14ac:dyDescent="0.2">
      <c r="B33219" s="43"/>
    </row>
    <row r="33220" spans="2:2" ht="12.75" customHeight="1" x14ac:dyDescent="0.2">
      <c r="B33220" s="43"/>
    </row>
    <row r="33221" spans="2:2" ht="12.75" customHeight="1" x14ac:dyDescent="0.2">
      <c r="B33221" s="43"/>
    </row>
    <row r="33222" spans="2:2" ht="12.75" customHeight="1" x14ac:dyDescent="0.2">
      <c r="B33222" s="43"/>
    </row>
    <row r="33223" spans="2:2" ht="12.75" customHeight="1" x14ac:dyDescent="0.2">
      <c r="B33223" s="43"/>
    </row>
    <row r="33224" spans="2:2" ht="12.75" customHeight="1" x14ac:dyDescent="0.2">
      <c r="B33224" s="43"/>
    </row>
    <row r="33225" spans="2:2" ht="12.75" customHeight="1" x14ac:dyDescent="0.2">
      <c r="B33225" s="43"/>
    </row>
    <row r="33226" spans="2:2" ht="12.75" customHeight="1" x14ac:dyDescent="0.2">
      <c r="B33226" s="43"/>
    </row>
    <row r="33227" spans="2:2" ht="12.75" customHeight="1" x14ac:dyDescent="0.2">
      <c r="B33227" s="43"/>
    </row>
    <row r="33228" spans="2:2" ht="12.75" customHeight="1" x14ac:dyDescent="0.2">
      <c r="B33228" s="43"/>
    </row>
    <row r="33229" spans="2:2" ht="12.75" customHeight="1" x14ac:dyDescent="0.2">
      <c r="B33229" s="43"/>
    </row>
    <row r="33230" spans="2:2" ht="12.75" customHeight="1" x14ac:dyDescent="0.2">
      <c r="B33230" s="43"/>
    </row>
    <row r="33231" spans="2:2" ht="12.75" customHeight="1" x14ac:dyDescent="0.2">
      <c r="B33231" s="43"/>
    </row>
    <row r="33232" spans="2:2" ht="12.75" customHeight="1" x14ac:dyDescent="0.2">
      <c r="B33232" s="43"/>
    </row>
    <row r="33233" spans="2:2" ht="12.75" customHeight="1" x14ac:dyDescent="0.2">
      <c r="B33233" s="43"/>
    </row>
    <row r="33234" spans="2:2" ht="12.75" customHeight="1" x14ac:dyDescent="0.2">
      <c r="B33234" s="43"/>
    </row>
    <row r="33235" spans="2:2" ht="12.75" customHeight="1" x14ac:dyDescent="0.2">
      <c r="B33235" s="43"/>
    </row>
    <row r="33236" spans="2:2" ht="12.75" customHeight="1" x14ac:dyDescent="0.2">
      <c r="B33236" s="43"/>
    </row>
    <row r="33237" spans="2:2" ht="12.75" customHeight="1" x14ac:dyDescent="0.2">
      <c r="B33237" s="43"/>
    </row>
    <row r="33238" spans="2:2" ht="12.75" customHeight="1" x14ac:dyDescent="0.2">
      <c r="B33238" s="43"/>
    </row>
    <row r="33239" spans="2:2" ht="12.75" customHeight="1" x14ac:dyDescent="0.2">
      <c r="B33239" s="43"/>
    </row>
    <row r="33240" spans="2:2" ht="12.75" customHeight="1" x14ac:dyDescent="0.2">
      <c r="B33240" s="43"/>
    </row>
    <row r="33241" spans="2:2" ht="12.75" customHeight="1" x14ac:dyDescent="0.2">
      <c r="B33241" s="43"/>
    </row>
    <row r="33242" spans="2:2" ht="12.75" customHeight="1" x14ac:dyDescent="0.2">
      <c r="B33242" s="43"/>
    </row>
    <row r="33243" spans="2:2" ht="12.75" customHeight="1" x14ac:dyDescent="0.2">
      <c r="B33243" s="43"/>
    </row>
    <row r="33244" spans="2:2" ht="12.75" customHeight="1" x14ac:dyDescent="0.2">
      <c r="B33244" s="43"/>
    </row>
    <row r="33245" spans="2:2" ht="12.75" customHeight="1" x14ac:dyDescent="0.2">
      <c r="B33245" s="43"/>
    </row>
    <row r="33246" spans="2:2" ht="12.75" customHeight="1" x14ac:dyDescent="0.2">
      <c r="B33246" s="43"/>
    </row>
    <row r="33247" spans="2:2" ht="12.75" customHeight="1" x14ac:dyDescent="0.2">
      <c r="B33247" s="43"/>
    </row>
    <row r="33248" spans="2:2" ht="12.75" customHeight="1" x14ac:dyDescent="0.2">
      <c r="B33248" s="43"/>
    </row>
    <row r="33249" spans="2:2" ht="12.75" customHeight="1" x14ac:dyDescent="0.2">
      <c r="B33249" s="43"/>
    </row>
    <row r="33250" spans="2:2" ht="12.75" customHeight="1" x14ac:dyDescent="0.2">
      <c r="B33250" s="43"/>
    </row>
    <row r="33251" spans="2:2" ht="12.75" customHeight="1" x14ac:dyDescent="0.2">
      <c r="B33251" s="43"/>
    </row>
    <row r="33252" spans="2:2" ht="12.75" customHeight="1" x14ac:dyDescent="0.2">
      <c r="B33252" s="43"/>
    </row>
    <row r="33253" spans="2:2" ht="12.75" customHeight="1" x14ac:dyDescent="0.2">
      <c r="B33253" s="43"/>
    </row>
    <row r="33254" spans="2:2" ht="12.75" customHeight="1" x14ac:dyDescent="0.2">
      <c r="B33254" s="43"/>
    </row>
    <row r="33255" spans="2:2" ht="12.75" customHeight="1" x14ac:dyDescent="0.2">
      <c r="B33255" s="43"/>
    </row>
    <row r="33256" spans="2:2" ht="12.75" customHeight="1" x14ac:dyDescent="0.2">
      <c r="B33256" s="43"/>
    </row>
    <row r="33257" spans="2:2" ht="12.75" customHeight="1" x14ac:dyDescent="0.2">
      <c r="B33257" s="43"/>
    </row>
    <row r="33258" spans="2:2" ht="12.75" customHeight="1" x14ac:dyDescent="0.2">
      <c r="B33258" s="43"/>
    </row>
    <row r="33259" spans="2:2" ht="12.75" customHeight="1" x14ac:dyDescent="0.2">
      <c r="B33259" s="43"/>
    </row>
    <row r="33260" spans="2:2" ht="12.75" customHeight="1" x14ac:dyDescent="0.2">
      <c r="B33260" s="43"/>
    </row>
    <row r="33261" spans="2:2" ht="12.75" customHeight="1" x14ac:dyDescent="0.2">
      <c r="B33261" s="43"/>
    </row>
    <row r="33262" spans="2:2" ht="12.75" customHeight="1" x14ac:dyDescent="0.2">
      <c r="B33262" s="43"/>
    </row>
    <row r="33263" spans="2:2" ht="12.75" customHeight="1" x14ac:dyDescent="0.2">
      <c r="B33263" s="43"/>
    </row>
    <row r="33264" spans="2:2" ht="12.75" customHeight="1" x14ac:dyDescent="0.2">
      <c r="B33264" s="43"/>
    </row>
    <row r="33265" spans="2:2" ht="12.75" customHeight="1" x14ac:dyDescent="0.2">
      <c r="B33265" s="43"/>
    </row>
    <row r="33266" spans="2:2" ht="12.75" customHeight="1" x14ac:dyDescent="0.2">
      <c r="B33266" s="43"/>
    </row>
    <row r="33267" spans="2:2" ht="12.75" customHeight="1" x14ac:dyDescent="0.2">
      <c r="B33267" s="43"/>
    </row>
    <row r="33268" spans="2:2" ht="12.75" customHeight="1" x14ac:dyDescent="0.2">
      <c r="B33268" s="43"/>
    </row>
    <row r="33269" spans="2:2" ht="12.75" customHeight="1" x14ac:dyDescent="0.2">
      <c r="B33269" s="43"/>
    </row>
    <row r="33270" spans="2:2" ht="12.75" customHeight="1" x14ac:dyDescent="0.2">
      <c r="B33270" s="43"/>
    </row>
    <row r="33271" spans="2:2" ht="12.75" customHeight="1" x14ac:dyDescent="0.2">
      <c r="B33271" s="43"/>
    </row>
    <row r="33272" spans="2:2" ht="12.75" customHeight="1" x14ac:dyDescent="0.2">
      <c r="B33272" s="43"/>
    </row>
    <row r="33273" spans="2:2" ht="12.75" customHeight="1" x14ac:dyDescent="0.2">
      <c r="B33273" s="43"/>
    </row>
    <row r="33274" spans="2:2" ht="12.75" customHeight="1" x14ac:dyDescent="0.2">
      <c r="B33274" s="43"/>
    </row>
    <row r="33275" spans="2:2" ht="12.75" customHeight="1" x14ac:dyDescent="0.2">
      <c r="B33275" s="43"/>
    </row>
    <row r="33276" spans="2:2" ht="12.75" customHeight="1" x14ac:dyDescent="0.2">
      <c r="B33276" s="43"/>
    </row>
    <row r="33277" spans="2:2" ht="12.75" customHeight="1" x14ac:dyDescent="0.2">
      <c r="B33277" s="43"/>
    </row>
    <row r="33278" spans="2:2" ht="12.75" customHeight="1" x14ac:dyDescent="0.2">
      <c r="B33278" s="43"/>
    </row>
    <row r="33279" spans="2:2" ht="12.75" customHeight="1" x14ac:dyDescent="0.2">
      <c r="B33279" s="43"/>
    </row>
    <row r="33280" spans="2:2" ht="12.75" customHeight="1" x14ac:dyDescent="0.2">
      <c r="B33280" s="43"/>
    </row>
    <row r="33281" spans="2:2" ht="12.75" customHeight="1" x14ac:dyDescent="0.2">
      <c r="B33281" s="43"/>
    </row>
    <row r="33282" spans="2:2" ht="12.75" customHeight="1" x14ac:dyDescent="0.2">
      <c r="B33282" s="43"/>
    </row>
    <row r="33283" spans="2:2" ht="12.75" customHeight="1" x14ac:dyDescent="0.2">
      <c r="B33283" s="43"/>
    </row>
    <row r="33284" spans="2:2" ht="12.75" customHeight="1" x14ac:dyDescent="0.2">
      <c r="B33284" s="43"/>
    </row>
    <row r="33285" spans="2:2" ht="12.75" customHeight="1" x14ac:dyDescent="0.2">
      <c r="B33285" s="43"/>
    </row>
    <row r="33286" spans="2:2" ht="12.75" customHeight="1" x14ac:dyDescent="0.2">
      <c r="B33286" s="43"/>
    </row>
    <row r="33287" spans="2:2" ht="12.75" customHeight="1" x14ac:dyDescent="0.2">
      <c r="B33287" s="43"/>
    </row>
    <row r="33288" spans="2:2" ht="12.75" customHeight="1" x14ac:dyDescent="0.2">
      <c r="B33288" s="43"/>
    </row>
    <row r="33289" spans="2:2" ht="12.75" customHeight="1" x14ac:dyDescent="0.2">
      <c r="B33289" s="43"/>
    </row>
    <row r="33290" spans="2:2" ht="12.75" customHeight="1" x14ac:dyDescent="0.2">
      <c r="B33290" s="43"/>
    </row>
    <row r="33291" spans="2:2" ht="12.75" customHeight="1" x14ac:dyDescent="0.2">
      <c r="B33291" s="43"/>
    </row>
    <row r="33292" spans="2:2" ht="12.75" customHeight="1" x14ac:dyDescent="0.2">
      <c r="B33292" s="43"/>
    </row>
    <row r="33293" spans="2:2" ht="12.75" customHeight="1" x14ac:dyDescent="0.2">
      <c r="B33293" s="43"/>
    </row>
    <row r="33294" spans="2:2" ht="12.75" customHeight="1" x14ac:dyDescent="0.2">
      <c r="B33294" s="43"/>
    </row>
    <row r="33295" spans="2:2" ht="12.75" customHeight="1" x14ac:dyDescent="0.2">
      <c r="B33295" s="43"/>
    </row>
    <row r="33296" spans="2:2" ht="12.75" customHeight="1" x14ac:dyDescent="0.2">
      <c r="B33296" s="43"/>
    </row>
    <row r="33297" spans="2:2" ht="12.75" customHeight="1" x14ac:dyDescent="0.2">
      <c r="B33297" s="43"/>
    </row>
    <row r="33298" spans="2:2" ht="12.75" customHeight="1" x14ac:dyDescent="0.2">
      <c r="B33298" s="43"/>
    </row>
    <row r="33299" spans="2:2" ht="12.75" customHeight="1" x14ac:dyDescent="0.2">
      <c r="B33299" s="43"/>
    </row>
    <row r="33300" spans="2:2" ht="12.75" customHeight="1" x14ac:dyDescent="0.2">
      <c r="B33300" s="43"/>
    </row>
    <row r="33301" spans="2:2" ht="12.75" customHeight="1" x14ac:dyDescent="0.2">
      <c r="B33301" s="43"/>
    </row>
    <row r="33302" spans="2:2" ht="12.75" customHeight="1" x14ac:dyDescent="0.2">
      <c r="B33302" s="43"/>
    </row>
    <row r="33303" spans="2:2" ht="12.75" customHeight="1" x14ac:dyDescent="0.2">
      <c r="B33303" s="43"/>
    </row>
    <row r="33304" spans="2:2" ht="12.75" customHeight="1" x14ac:dyDescent="0.2">
      <c r="B33304" s="43"/>
    </row>
    <row r="33305" spans="2:2" ht="12.75" customHeight="1" x14ac:dyDescent="0.2">
      <c r="B33305" s="43"/>
    </row>
    <row r="33306" spans="2:2" ht="12.75" customHeight="1" x14ac:dyDescent="0.2">
      <c r="B33306" s="43"/>
    </row>
    <row r="33307" spans="2:2" ht="12.75" customHeight="1" x14ac:dyDescent="0.2">
      <c r="B33307" s="43"/>
    </row>
    <row r="33308" spans="2:2" ht="12.75" customHeight="1" x14ac:dyDescent="0.2">
      <c r="B33308" s="43"/>
    </row>
    <row r="33309" spans="2:2" ht="12.75" customHeight="1" x14ac:dyDescent="0.2">
      <c r="B33309" s="43"/>
    </row>
    <row r="33310" spans="2:2" ht="12.75" customHeight="1" x14ac:dyDescent="0.2">
      <c r="B33310" s="43"/>
    </row>
    <row r="33311" spans="2:2" ht="12.75" customHeight="1" x14ac:dyDescent="0.2">
      <c r="B33311" s="43"/>
    </row>
    <row r="33312" spans="2:2" ht="12.75" customHeight="1" x14ac:dyDescent="0.2">
      <c r="B33312" s="43"/>
    </row>
    <row r="33313" spans="2:2" ht="12.75" customHeight="1" x14ac:dyDescent="0.2">
      <c r="B33313" s="43"/>
    </row>
    <row r="33314" spans="2:2" ht="12.75" customHeight="1" x14ac:dyDescent="0.2">
      <c r="B33314" s="43"/>
    </row>
    <row r="33315" spans="2:2" ht="12.75" customHeight="1" x14ac:dyDescent="0.2">
      <c r="B33315" s="43"/>
    </row>
    <row r="33316" spans="2:2" ht="12.75" customHeight="1" x14ac:dyDescent="0.2">
      <c r="B33316" s="43"/>
    </row>
    <row r="33317" spans="2:2" ht="12.75" customHeight="1" x14ac:dyDescent="0.2">
      <c r="B33317" s="43"/>
    </row>
    <row r="33318" spans="2:2" ht="12.75" customHeight="1" x14ac:dyDescent="0.2">
      <c r="B33318" s="43"/>
    </row>
    <row r="33319" spans="2:2" ht="12.75" customHeight="1" x14ac:dyDescent="0.2">
      <c r="B33319" s="43"/>
    </row>
    <row r="33320" spans="2:2" ht="12.75" customHeight="1" x14ac:dyDescent="0.2">
      <c r="B33320" s="43"/>
    </row>
    <row r="33321" spans="2:2" ht="12.75" customHeight="1" x14ac:dyDescent="0.2">
      <c r="B33321" s="43"/>
    </row>
    <row r="33322" spans="2:2" ht="12.75" customHeight="1" x14ac:dyDescent="0.2">
      <c r="B33322" s="43"/>
    </row>
    <row r="33323" spans="2:2" ht="12.75" customHeight="1" x14ac:dyDescent="0.2">
      <c r="B33323" s="43"/>
    </row>
    <row r="33324" spans="2:2" ht="12.75" customHeight="1" x14ac:dyDescent="0.2">
      <c r="B33324" s="43"/>
    </row>
    <row r="33325" spans="2:2" ht="12.75" customHeight="1" x14ac:dyDescent="0.2">
      <c r="B33325" s="43"/>
    </row>
    <row r="33326" spans="2:2" ht="12.75" customHeight="1" x14ac:dyDescent="0.2">
      <c r="B33326" s="43"/>
    </row>
    <row r="33327" spans="2:2" ht="12.75" customHeight="1" x14ac:dyDescent="0.2">
      <c r="B33327" s="43"/>
    </row>
    <row r="33328" spans="2:2" ht="12.75" customHeight="1" x14ac:dyDescent="0.2">
      <c r="B33328" s="43"/>
    </row>
    <row r="33329" spans="2:2" ht="12.75" customHeight="1" x14ac:dyDescent="0.2">
      <c r="B33329" s="43"/>
    </row>
    <row r="33330" spans="2:2" ht="12.75" customHeight="1" x14ac:dyDescent="0.2">
      <c r="B33330" s="43"/>
    </row>
    <row r="33331" spans="2:2" ht="12.75" customHeight="1" x14ac:dyDescent="0.2">
      <c r="B33331" s="43"/>
    </row>
    <row r="33332" spans="2:2" ht="12.75" customHeight="1" x14ac:dyDescent="0.2">
      <c r="B33332" s="43"/>
    </row>
    <row r="33333" spans="2:2" ht="12.75" customHeight="1" x14ac:dyDescent="0.2">
      <c r="B33333" s="43"/>
    </row>
    <row r="33334" spans="2:2" ht="12.75" customHeight="1" x14ac:dyDescent="0.2">
      <c r="B33334" s="43"/>
    </row>
    <row r="33335" spans="2:2" ht="12.75" customHeight="1" x14ac:dyDescent="0.2">
      <c r="B33335" s="43"/>
    </row>
    <row r="33336" spans="2:2" ht="12.75" customHeight="1" x14ac:dyDescent="0.2">
      <c r="B33336" s="43"/>
    </row>
    <row r="33337" spans="2:2" ht="12.75" customHeight="1" x14ac:dyDescent="0.2">
      <c r="B33337" s="43"/>
    </row>
    <row r="33338" spans="2:2" ht="12.75" customHeight="1" x14ac:dyDescent="0.2">
      <c r="B33338" s="43"/>
    </row>
    <row r="33339" spans="2:2" ht="12.75" customHeight="1" x14ac:dyDescent="0.2">
      <c r="B33339" s="43"/>
    </row>
    <row r="33340" spans="2:2" ht="12.75" customHeight="1" x14ac:dyDescent="0.2">
      <c r="B33340" s="43"/>
    </row>
    <row r="33341" spans="2:2" ht="12.75" customHeight="1" x14ac:dyDescent="0.2">
      <c r="B33341" s="43"/>
    </row>
    <row r="33342" spans="2:2" ht="12.75" customHeight="1" x14ac:dyDescent="0.2">
      <c r="B33342" s="43"/>
    </row>
    <row r="33343" spans="2:2" ht="12.75" customHeight="1" x14ac:dyDescent="0.2">
      <c r="B33343" s="43"/>
    </row>
    <row r="33344" spans="2:2" ht="12.75" customHeight="1" x14ac:dyDescent="0.2">
      <c r="B33344" s="43"/>
    </row>
    <row r="33345" spans="2:2" ht="12.75" customHeight="1" x14ac:dyDescent="0.2">
      <c r="B33345" s="43"/>
    </row>
    <row r="33346" spans="2:2" ht="12.75" customHeight="1" x14ac:dyDescent="0.2">
      <c r="B33346" s="43"/>
    </row>
    <row r="33347" spans="2:2" ht="12.75" customHeight="1" x14ac:dyDescent="0.2">
      <c r="B33347" s="43"/>
    </row>
    <row r="33348" spans="2:2" ht="12.75" customHeight="1" x14ac:dyDescent="0.2">
      <c r="B33348" s="43"/>
    </row>
    <row r="33349" spans="2:2" ht="12.75" customHeight="1" x14ac:dyDescent="0.2">
      <c r="B33349" s="43"/>
    </row>
    <row r="33350" spans="2:2" ht="12.75" customHeight="1" x14ac:dyDescent="0.2">
      <c r="B33350" s="43"/>
    </row>
    <row r="33351" spans="2:2" ht="12.75" customHeight="1" x14ac:dyDescent="0.2">
      <c r="B33351" s="43"/>
    </row>
    <row r="33352" spans="2:2" ht="12.75" customHeight="1" x14ac:dyDescent="0.2">
      <c r="B33352" s="43"/>
    </row>
    <row r="33353" spans="2:2" ht="12.75" customHeight="1" x14ac:dyDescent="0.2">
      <c r="B33353" s="43"/>
    </row>
    <row r="33354" spans="2:2" ht="12.75" customHeight="1" x14ac:dyDescent="0.2">
      <c r="B33354" s="43"/>
    </row>
    <row r="33355" spans="2:2" ht="12.75" customHeight="1" x14ac:dyDescent="0.2">
      <c r="B33355" s="43"/>
    </row>
    <row r="33356" spans="2:2" ht="12.75" customHeight="1" x14ac:dyDescent="0.2">
      <c r="B33356" s="43"/>
    </row>
    <row r="33357" spans="2:2" ht="12.75" customHeight="1" x14ac:dyDescent="0.2">
      <c r="B33357" s="43"/>
    </row>
    <row r="33358" spans="2:2" ht="12.75" customHeight="1" x14ac:dyDescent="0.2">
      <c r="B33358" s="43"/>
    </row>
    <row r="33359" spans="2:2" ht="12.75" customHeight="1" x14ac:dyDescent="0.2">
      <c r="B33359" s="43"/>
    </row>
    <row r="33360" spans="2:2" ht="12.75" customHeight="1" x14ac:dyDescent="0.2">
      <c r="B33360" s="43"/>
    </row>
    <row r="33361" spans="2:2" ht="12.75" customHeight="1" x14ac:dyDescent="0.2">
      <c r="B33361" s="43"/>
    </row>
    <row r="33362" spans="2:2" ht="12.75" customHeight="1" x14ac:dyDescent="0.2">
      <c r="B33362" s="43"/>
    </row>
    <row r="33363" spans="2:2" ht="12.75" customHeight="1" x14ac:dyDescent="0.2">
      <c r="B33363" s="43"/>
    </row>
    <row r="33364" spans="2:2" ht="12.75" customHeight="1" x14ac:dyDescent="0.2">
      <c r="B33364" s="43"/>
    </row>
    <row r="33365" spans="2:2" ht="12.75" customHeight="1" x14ac:dyDescent="0.2">
      <c r="B33365" s="43"/>
    </row>
    <row r="33366" spans="2:2" ht="12.75" customHeight="1" x14ac:dyDescent="0.2">
      <c r="B33366" s="43"/>
    </row>
    <row r="33367" spans="2:2" ht="12.75" customHeight="1" x14ac:dyDescent="0.2">
      <c r="B33367" s="43"/>
    </row>
    <row r="33368" spans="2:2" ht="12.75" customHeight="1" x14ac:dyDescent="0.2">
      <c r="B33368" s="43"/>
    </row>
    <row r="33369" spans="2:2" ht="12.75" customHeight="1" x14ac:dyDescent="0.2">
      <c r="B33369" s="43"/>
    </row>
    <row r="33370" spans="2:2" ht="12.75" customHeight="1" x14ac:dyDescent="0.2">
      <c r="B33370" s="43"/>
    </row>
    <row r="33371" spans="2:2" ht="12.75" customHeight="1" x14ac:dyDescent="0.2">
      <c r="B33371" s="43"/>
    </row>
    <row r="33372" spans="2:2" ht="12.75" customHeight="1" x14ac:dyDescent="0.2">
      <c r="B33372" s="43"/>
    </row>
    <row r="33373" spans="2:2" ht="12.75" customHeight="1" x14ac:dyDescent="0.2">
      <c r="B33373" s="43"/>
    </row>
    <row r="33374" spans="2:2" ht="12.75" customHeight="1" x14ac:dyDescent="0.2">
      <c r="B33374" s="43"/>
    </row>
    <row r="33375" spans="2:2" ht="12.75" customHeight="1" x14ac:dyDescent="0.2">
      <c r="B33375" s="43"/>
    </row>
    <row r="33376" spans="2:2" ht="12.75" customHeight="1" x14ac:dyDescent="0.2">
      <c r="B33376" s="43"/>
    </row>
    <row r="33377" spans="2:2" ht="12.75" customHeight="1" x14ac:dyDescent="0.2">
      <c r="B33377" s="43"/>
    </row>
    <row r="33378" spans="2:2" ht="12.75" customHeight="1" x14ac:dyDescent="0.2">
      <c r="B33378" s="43"/>
    </row>
    <row r="33379" spans="2:2" ht="12.75" customHeight="1" x14ac:dyDescent="0.2">
      <c r="B33379" s="43"/>
    </row>
    <row r="33380" spans="2:2" ht="12.75" customHeight="1" x14ac:dyDescent="0.2">
      <c r="B33380" s="43"/>
    </row>
    <row r="33381" spans="2:2" ht="12.75" customHeight="1" x14ac:dyDescent="0.2">
      <c r="B33381" s="43"/>
    </row>
    <row r="33382" spans="2:2" ht="12.75" customHeight="1" x14ac:dyDescent="0.2">
      <c r="B33382" s="43"/>
    </row>
    <row r="33383" spans="2:2" ht="12.75" customHeight="1" x14ac:dyDescent="0.2">
      <c r="B33383" s="43"/>
    </row>
    <row r="33384" spans="2:2" ht="12.75" customHeight="1" x14ac:dyDescent="0.2">
      <c r="B33384" s="43"/>
    </row>
    <row r="33385" spans="2:2" ht="12.75" customHeight="1" x14ac:dyDescent="0.2">
      <c r="B33385" s="43"/>
    </row>
    <row r="33386" spans="2:2" ht="12.75" customHeight="1" x14ac:dyDescent="0.2">
      <c r="B33386" s="43"/>
    </row>
    <row r="33387" spans="2:2" ht="12.75" customHeight="1" x14ac:dyDescent="0.2">
      <c r="B33387" s="43"/>
    </row>
    <row r="33388" spans="2:2" ht="12.75" customHeight="1" x14ac:dyDescent="0.2">
      <c r="B33388" s="43"/>
    </row>
    <row r="33389" spans="2:2" ht="12.75" customHeight="1" x14ac:dyDescent="0.2">
      <c r="B33389" s="43"/>
    </row>
    <row r="33390" spans="2:2" ht="12.75" customHeight="1" x14ac:dyDescent="0.2">
      <c r="B33390" s="43"/>
    </row>
    <row r="33391" spans="2:2" ht="12.75" customHeight="1" x14ac:dyDescent="0.2">
      <c r="B33391" s="43"/>
    </row>
    <row r="33392" spans="2:2" ht="12.75" customHeight="1" x14ac:dyDescent="0.2">
      <c r="B33392" s="43"/>
    </row>
    <row r="33393" spans="2:2" ht="12.75" customHeight="1" x14ac:dyDescent="0.2">
      <c r="B33393" s="43"/>
    </row>
    <row r="33394" spans="2:2" ht="12.75" customHeight="1" x14ac:dyDescent="0.2">
      <c r="B33394" s="43"/>
    </row>
    <row r="33395" spans="2:2" ht="12.75" customHeight="1" x14ac:dyDescent="0.2">
      <c r="B33395" s="43"/>
    </row>
    <row r="33396" spans="2:2" ht="12.75" customHeight="1" x14ac:dyDescent="0.2">
      <c r="B33396" s="43"/>
    </row>
    <row r="33397" spans="2:2" ht="12.75" customHeight="1" x14ac:dyDescent="0.2">
      <c r="B33397" s="43"/>
    </row>
    <row r="33398" spans="2:2" ht="12.75" customHeight="1" x14ac:dyDescent="0.2">
      <c r="B33398" s="43"/>
    </row>
    <row r="33399" spans="2:2" ht="12.75" customHeight="1" x14ac:dyDescent="0.2">
      <c r="B33399" s="43"/>
    </row>
    <row r="33400" spans="2:2" ht="12.75" customHeight="1" x14ac:dyDescent="0.2">
      <c r="B33400" s="43"/>
    </row>
    <row r="33401" spans="2:2" ht="12.75" customHeight="1" x14ac:dyDescent="0.2">
      <c r="B33401" s="43"/>
    </row>
    <row r="33402" spans="2:2" ht="12.75" customHeight="1" x14ac:dyDescent="0.2">
      <c r="B33402" s="43"/>
    </row>
    <row r="33403" spans="2:2" ht="12.75" customHeight="1" x14ac:dyDescent="0.2">
      <c r="B33403" s="43"/>
    </row>
    <row r="33404" spans="2:2" ht="12.75" customHeight="1" x14ac:dyDescent="0.2">
      <c r="B33404" s="43"/>
    </row>
    <row r="33405" spans="2:2" ht="12.75" customHeight="1" x14ac:dyDescent="0.2">
      <c r="B33405" s="43"/>
    </row>
    <row r="33406" spans="2:2" ht="12.75" customHeight="1" x14ac:dyDescent="0.2">
      <c r="B33406" s="43"/>
    </row>
    <row r="33407" spans="2:2" ht="12.75" customHeight="1" x14ac:dyDescent="0.2">
      <c r="B33407" s="43"/>
    </row>
    <row r="33408" spans="2:2" ht="12.75" customHeight="1" x14ac:dyDescent="0.2">
      <c r="B33408" s="43"/>
    </row>
    <row r="33409" spans="2:2" ht="12.75" customHeight="1" x14ac:dyDescent="0.2">
      <c r="B33409" s="43"/>
    </row>
    <row r="33410" spans="2:2" ht="12.75" customHeight="1" x14ac:dyDescent="0.2">
      <c r="B33410" s="43"/>
    </row>
    <row r="33411" spans="2:2" ht="12.75" customHeight="1" x14ac:dyDescent="0.2">
      <c r="B33411" s="43"/>
    </row>
    <row r="33412" spans="2:2" ht="12.75" customHeight="1" x14ac:dyDescent="0.2">
      <c r="B33412" s="43"/>
    </row>
    <row r="33413" spans="2:2" ht="12.75" customHeight="1" x14ac:dyDescent="0.2">
      <c r="B33413" s="43"/>
    </row>
    <row r="33414" spans="2:2" ht="12.75" customHeight="1" x14ac:dyDescent="0.2">
      <c r="B33414" s="43"/>
    </row>
    <row r="33415" spans="2:2" ht="12.75" customHeight="1" x14ac:dyDescent="0.2">
      <c r="B33415" s="43"/>
    </row>
    <row r="33416" spans="2:2" ht="12.75" customHeight="1" x14ac:dyDescent="0.2">
      <c r="B33416" s="43"/>
    </row>
    <row r="33417" spans="2:2" ht="12.75" customHeight="1" x14ac:dyDescent="0.2">
      <c r="B33417" s="43"/>
    </row>
    <row r="33418" spans="2:2" ht="12.75" customHeight="1" x14ac:dyDescent="0.2">
      <c r="B33418" s="43"/>
    </row>
    <row r="33419" spans="2:2" ht="12.75" customHeight="1" x14ac:dyDescent="0.2">
      <c r="B33419" s="43"/>
    </row>
    <row r="33420" spans="2:2" ht="12.75" customHeight="1" x14ac:dyDescent="0.2">
      <c r="B33420" s="43"/>
    </row>
    <row r="33421" spans="2:2" ht="12.75" customHeight="1" x14ac:dyDescent="0.2">
      <c r="B33421" s="43"/>
    </row>
    <row r="33422" spans="2:2" ht="12.75" customHeight="1" x14ac:dyDescent="0.2">
      <c r="B33422" s="43"/>
    </row>
    <row r="33423" spans="2:2" ht="12.75" customHeight="1" x14ac:dyDescent="0.2">
      <c r="B33423" s="43"/>
    </row>
    <row r="33424" spans="2:2" ht="12.75" customHeight="1" x14ac:dyDescent="0.2">
      <c r="B33424" s="43"/>
    </row>
    <row r="33425" spans="2:2" ht="12.75" customHeight="1" x14ac:dyDescent="0.2">
      <c r="B33425" s="43"/>
    </row>
    <row r="33426" spans="2:2" ht="12.75" customHeight="1" x14ac:dyDescent="0.2">
      <c r="B33426" s="43"/>
    </row>
    <row r="33427" spans="2:2" ht="12.75" customHeight="1" x14ac:dyDescent="0.2">
      <c r="B33427" s="43"/>
    </row>
    <row r="33428" spans="2:2" ht="12.75" customHeight="1" x14ac:dyDescent="0.2">
      <c r="B33428" s="43"/>
    </row>
    <row r="33429" spans="2:2" ht="12.75" customHeight="1" x14ac:dyDescent="0.2">
      <c r="B33429" s="43"/>
    </row>
    <row r="33430" spans="2:2" ht="12.75" customHeight="1" x14ac:dyDescent="0.2">
      <c r="B33430" s="43"/>
    </row>
    <row r="33431" spans="2:2" ht="12.75" customHeight="1" x14ac:dyDescent="0.2">
      <c r="B33431" s="43"/>
    </row>
    <row r="33432" spans="2:2" ht="12.75" customHeight="1" x14ac:dyDescent="0.2">
      <c r="B33432" s="43"/>
    </row>
    <row r="33433" spans="2:2" ht="12.75" customHeight="1" x14ac:dyDescent="0.2">
      <c r="B33433" s="43"/>
    </row>
    <row r="33434" spans="2:2" ht="12.75" customHeight="1" x14ac:dyDescent="0.2">
      <c r="B33434" s="43"/>
    </row>
    <row r="33435" spans="2:2" ht="12.75" customHeight="1" x14ac:dyDescent="0.2">
      <c r="B33435" s="43"/>
    </row>
    <row r="33436" spans="2:2" ht="12.75" customHeight="1" x14ac:dyDescent="0.2">
      <c r="B33436" s="43"/>
    </row>
    <row r="33437" spans="2:2" ht="12.75" customHeight="1" x14ac:dyDescent="0.2">
      <c r="B33437" s="43"/>
    </row>
    <row r="33438" spans="2:2" ht="12.75" customHeight="1" x14ac:dyDescent="0.2">
      <c r="B33438" s="43"/>
    </row>
    <row r="33439" spans="2:2" ht="12.75" customHeight="1" x14ac:dyDescent="0.2">
      <c r="B33439" s="43"/>
    </row>
    <row r="33440" spans="2:2" ht="12.75" customHeight="1" x14ac:dyDescent="0.2">
      <c r="B33440" s="43"/>
    </row>
    <row r="33441" spans="2:2" ht="12.75" customHeight="1" x14ac:dyDescent="0.2">
      <c r="B33441" s="43"/>
    </row>
    <row r="33442" spans="2:2" ht="12.75" customHeight="1" x14ac:dyDescent="0.2">
      <c r="B33442" s="43"/>
    </row>
    <row r="33443" spans="2:2" ht="12.75" customHeight="1" x14ac:dyDescent="0.2">
      <c r="B33443" s="43"/>
    </row>
    <row r="33444" spans="2:2" ht="12.75" customHeight="1" x14ac:dyDescent="0.2">
      <c r="B33444" s="43"/>
    </row>
    <row r="33445" spans="2:2" ht="12.75" customHeight="1" x14ac:dyDescent="0.2">
      <c r="B33445" s="43"/>
    </row>
    <row r="33446" spans="2:2" ht="12.75" customHeight="1" x14ac:dyDescent="0.2">
      <c r="B33446" s="43"/>
    </row>
    <row r="33447" spans="2:2" ht="12.75" customHeight="1" x14ac:dyDescent="0.2">
      <c r="B33447" s="43"/>
    </row>
    <row r="33448" spans="2:2" ht="12.75" customHeight="1" x14ac:dyDescent="0.2">
      <c r="B33448" s="43"/>
    </row>
    <row r="33449" spans="2:2" ht="12.75" customHeight="1" x14ac:dyDescent="0.2">
      <c r="B33449" s="43"/>
    </row>
    <row r="33450" spans="2:2" ht="12.75" customHeight="1" x14ac:dyDescent="0.2">
      <c r="B33450" s="43"/>
    </row>
    <row r="33451" spans="2:2" ht="12.75" customHeight="1" x14ac:dyDescent="0.2">
      <c r="B33451" s="43"/>
    </row>
    <row r="33452" spans="2:2" ht="12.75" customHeight="1" x14ac:dyDescent="0.2">
      <c r="B33452" s="43"/>
    </row>
    <row r="33453" spans="2:2" ht="12.75" customHeight="1" x14ac:dyDescent="0.2">
      <c r="B33453" s="43"/>
    </row>
    <row r="33454" spans="2:2" ht="12.75" customHeight="1" x14ac:dyDescent="0.2">
      <c r="B33454" s="43"/>
    </row>
    <row r="33455" spans="2:2" ht="12.75" customHeight="1" x14ac:dyDescent="0.2">
      <c r="B33455" s="43"/>
    </row>
    <row r="33456" spans="2:2" ht="12.75" customHeight="1" x14ac:dyDescent="0.2">
      <c r="B33456" s="43"/>
    </row>
    <row r="33457" spans="2:2" ht="12.75" customHeight="1" x14ac:dyDescent="0.2">
      <c r="B33457" s="43"/>
    </row>
    <row r="33458" spans="2:2" ht="12.75" customHeight="1" x14ac:dyDescent="0.2">
      <c r="B33458" s="43"/>
    </row>
    <row r="33459" spans="2:2" ht="12.75" customHeight="1" x14ac:dyDescent="0.2">
      <c r="B33459" s="43"/>
    </row>
    <row r="33460" spans="2:2" ht="12.75" customHeight="1" x14ac:dyDescent="0.2">
      <c r="B33460" s="43"/>
    </row>
    <row r="33461" spans="2:2" ht="12.75" customHeight="1" x14ac:dyDescent="0.2">
      <c r="B33461" s="43"/>
    </row>
    <row r="33462" spans="2:2" ht="12.75" customHeight="1" x14ac:dyDescent="0.2">
      <c r="B33462" s="43"/>
    </row>
    <row r="33463" spans="2:2" ht="12.75" customHeight="1" x14ac:dyDescent="0.2">
      <c r="B33463" s="43"/>
    </row>
    <row r="33464" spans="2:2" ht="12.75" customHeight="1" x14ac:dyDescent="0.2">
      <c r="B33464" s="43"/>
    </row>
    <row r="33465" spans="2:2" ht="12.75" customHeight="1" x14ac:dyDescent="0.2">
      <c r="B33465" s="43"/>
    </row>
    <row r="33466" spans="2:2" ht="12.75" customHeight="1" x14ac:dyDescent="0.2">
      <c r="B33466" s="43"/>
    </row>
    <row r="33467" spans="2:2" ht="12.75" customHeight="1" x14ac:dyDescent="0.2">
      <c r="B33467" s="43"/>
    </row>
    <row r="33468" spans="2:2" ht="12.75" customHeight="1" x14ac:dyDescent="0.2">
      <c r="B33468" s="43"/>
    </row>
    <row r="33469" spans="2:2" ht="12.75" customHeight="1" x14ac:dyDescent="0.2">
      <c r="B33469" s="43"/>
    </row>
    <row r="33470" spans="2:2" ht="12.75" customHeight="1" x14ac:dyDescent="0.2">
      <c r="B33470" s="43"/>
    </row>
    <row r="33471" spans="2:2" ht="12.75" customHeight="1" x14ac:dyDescent="0.2">
      <c r="B33471" s="43"/>
    </row>
    <row r="33472" spans="2:2" ht="12.75" customHeight="1" x14ac:dyDescent="0.2">
      <c r="B33472" s="43"/>
    </row>
    <row r="33473" spans="2:2" ht="12.75" customHeight="1" x14ac:dyDescent="0.2">
      <c r="B33473" s="43"/>
    </row>
    <row r="33474" spans="2:2" ht="12.75" customHeight="1" x14ac:dyDescent="0.2">
      <c r="B33474" s="43"/>
    </row>
    <row r="33475" spans="2:2" ht="12.75" customHeight="1" x14ac:dyDescent="0.2">
      <c r="B33475" s="43"/>
    </row>
    <row r="33476" spans="2:2" ht="12.75" customHeight="1" x14ac:dyDescent="0.2">
      <c r="B33476" s="43"/>
    </row>
    <row r="33477" spans="2:2" ht="12.75" customHeight="1" x14ac:dyDescent="0.2">
      <c r="B33477" s="43"/>
    </row>
    <row r="33478" spans="2:2" ht="12.75" customHeight="1" x14ac:dyDescent="0.2">
      <c r="B33478" s="43"/>
    </row>
    <row r="33479" spans="2:2" ht="12.75" customHeight="1" x14ac:dyDescent="0.2">
      <c r="B33479" s="43"/>
    </row>
    <row r="33480" spans="2:2" ht="12.75" customHeight="1" x14ac:dyDescent="0.2">
      <c r="B33480" s="43"/>
    </row>
    <row r="33481" spans="2:2" ht="12.75" customHeight="1" x14ac:dyDescent="0.2">
      <c r="B33481" s="43"/>
    </row>
    <row r="33482" spans="2:2" ht="12.75" customHeight="1" x14ac:dyDescent="0.2">
      <c r="B33482" s="43"/>
    </row>
    <row r="33483" spans="2:2" ht="12.75" customHeight="1" x14ac:dyDescent="0.2">
      <c r="B33483" s="43"/>
    </row>
    <row r="33484" spans="2:2" ht="12.75" customHeight="1" x14ac:dyDescent="0.2">
      <c r="B33484" s="43"/>
    </row>
    <row r="33485" spans="2:2" ht="12.75" customHeight="1" x14ac:dyDescent="0.2">
      <c r="B33485" s="43"/>
    </row>
    <row r="33486" spans="2:2" ht="12.75" customHeight="1" x14ac:dyDescent="0.2">
      <c r="B33486" s="43"/>
    </row>
    <row r="33487" spans="2:2" ht="12.75" customHeight="1" x14ac:dyDescent="0.2">
      <c r="B33487" s="43"/>
    </row>
    <row r="33488" spans="2:2" ht="12.75" customHeight="1" x14ac:dyDescent="0.2">
      <c r="B33488" s="43"/>
    </row>
    <row r="33489" spans="2:2" ht="12.75" customHeight="1" x14ac:dyDescent="0.2">
      <c r="B33489" s="43"/>
    </row>
    <row r="33490" spans="2:2" ht="12.75" customHeight="1" x14ac:dyDescent="0.2">
      <c r="B33490" s="43"/>
    </row>
    <row r="33491" spans="2:2" ht="12.75" customHeight="1" x14ac:dyDescent="0.2">
      <c r="B33491" s="43"/>
    </row>
    <row r="33492" spans="2:2" ht="12.75" customHeight="1" x14ac:dyDescent="0.2">
      <c r="B33492" s="43"/>
    </row>
    <row r="33493" spans="2:2" ht="12.75" customHeight="1" x14ac:dyDescent="0.2">
      <c r="B33493" s="43"/>
    </row>
    <row r="33494" spans="2:2" ht="12.75" customHeight="1" x14ac:dyDescent="0.2">
      <c r="B33494" s="43"/>
    </row>
    <row r="33495" spans="2:2" ht="12.75" customHeight="1" x14ac:dyDescent="0.2">
      <c r="B33495" s="43"/>
    </row>
    <row r="33496" spans="2:2" ht="12.75" customHeight="1" x14ac:dyDescent="0.2">
      <c r="B33496" s="43"/>
    </row>
    <row r="33497" spans="2:2" ht="12.75" customHeight="1" x14ac:dyDescent="0.2">
      <c r="B33497" s="43"/>
    </row>
    <row r="33498" spans="2:2" ht="12.75" customHeight="1" x14ac:dyDescent="0.2">
      <c r="B33498" s="43"/>
    </row>
    <row r="33499" spans="2:2" ht="12.75" customHeight="1" x14ac:dyDescent="0.2">
      <c r="B33499" s="43"/>
    </row>
    <row r="33500" spans="2:2" ht="12.75" customHeight="1" x14ac:dyDescent="0.2">
      <c r="B33500" s="43"/>
    </row>
    <row r="33501" spans="2:2" ht="12.75" customHeight="1" x14ac:dyDescent="0.2">
      <c r="B33501" s="43"/>
    </row>
    <row r="33502" spans="2:2" ht="12.75" customHeight="1" x14ac:dyDescent="0.2">
      <c r="B33502" s="43"/>
    </row>
    <row r="33503" spans="2:2" ht="12.75" customHeight="1" x14ac:dyDescent="0.2">
      <c r="B33503" s="43"/>
    </row>
    <row r="33504" spans="2:2" ht="12.75" customHeight="1" x14ac:dyDescent="0.2">
      <c r="B33504" s="43"/>
    </row>
    <row r="33505" spans="2:2" ht="12.75" customHeight="1" x14ac:dyDescent="0.2">
      <c r="B33505" s="43"/>
    </row>
    <row r="33506" spans="2:2" ht="12.75" customHeight="1" x14ac:dyDescent="0.2">
      <c r="B33506" s="43"/>
    </row>
    <row r="33507" spans="2:2" ht="12.75" customHeight="1" x14ac:dyDescent="0.2">
      <c r="B33507" s="43"/>
    </row>
    <row r="33508" spans="2:2" ht="12.75" customHeight="1" x14ac:dyDescent="0.2">
      <c r="B33508" s="43"/>
    </row>
    <row r="33509" spans="2:2" ht="12.75" customHeight="1" x14ac:dyDescent="0.2">
      <c r="B33509" s="43"/>
    </row>
    <row r="33510" spans="2:2" ht="12.75" customHeight="1" x14ac:dyDescent="0.2">
      <c r="B33510" s="43"/>
    </row>
    <row r="33511" spans="2:2" ht="12.75" customHeight="1" x14ac:dyDescent="0.2">
      <c r="B33511" s="43"/>
    </row>
    <row r="33512" spans="2:2" ht="12.75" customHeight="1" x14ac:dyDescent="0.2">
      <c r="B33512" s="43"/>
    </row>
    <row r="33513" spans="2:2" ht="12.75" customHeight="1" x14ac:dyDescent="0.2">
      <c r="B33513" s="43"/>
    </row>
    <row r="33514" spans="2:2" ht="12.75" customHeight="1" x14ac:dyDescent="0.2">
      <c r="B33514" s="43"/>
    </row>
    <row r="33515" spans="2:2" ht="12.75" customHeight="1" x14ac:dyDescent="0.2">
      <c r="B33515" s="43"/>
    </row>
    <row r="33516" spans="2:2" ht="12.75" customHeight="1" x14ac:dyDescent="0.2">
      <c r="B33516" s="43"/>
    </row>
    <row r="33517" spans="2:2" ht="12.75" customHeight="1" x14ac:dyDescent="0.2">
      <c r="B33517" s="43"/>
    </row>
    <row r="33518" spans="2:2" ht="12.75" customHeight="1" x14ac:dyDescent="0.2">
      <c r="B33518" s="43"/>
    </row>
    <row r="33519" spans="2:2" ht="12.75" customHeight="1" x14ac:dyDescent="0.2">
      <c r="B33519" s="43"/>
    </row>
    <row r="33520" spans="2:2" ht="12.75" customHeight="1" x14ac:dyDescent="0.2">
      <c r="B33520" s="43"/>
    </row>
    <row r="33521" spans="2:2" ht="12.75" customHeight="1" x14ac:dyDescent="0.2">
      <c r="B33521" s="43"/>
    </row>
    <row r="33522" spans="2:2" ht="12.75" customHeight="1" x14ac:dyDescent="0.2">
      <c r="B33522" s="43"/>
    </row>
    <row r="33523" spans="2:2" ht="12.75" customHeight="1" x14ac:dyDescent="0.2">
      <c r="B33523" s="43"/>
    </row>
    <row r="33524" spans="2:2" ht="12.75" customHeight="1" x14ac:dyDescent="0.2">
      <c r="B33524" s="43"/>
    </row>
    <row r="33525" spans="2:2" ht="12.75" customHeight="1" x14ac:dyDescent="0.2">
      <c r="B33525" s="43"/>
    </row>
    <row r="33526" spans="2:2" ht="12.75" customHeight="1" x14ac:dyDescent="0.2">
      <c r="B33526" s="43"/>
    </row>
    <row r="33527" spans="2:2" ht="12.75" customHeight="1" x14ac:dyDescent="0.2">
      <c r="B33527" s="43"/>
    </row>
    <row r="33528" spans="2:2" ht="12.75" customHeight="1" x14ac:dyDescent="0.2">
      <c r="B33528" s="43"/>
    </row>
    <row r="33529" spans="2:2" ht="12.75" customHeight="1" x14ac:dyDescent="0.2">
      <c r="B33529" s="43"/>
    </row>
    <row r="33530" spans="2:2" ht="12.75" customHeight="1" x14ac:dyDescent="0.2">
      <c r="B33530" s="43"/>
    </row>
    <row r="33531" spans="2:2" ht="12.75" customHeight="1" x14ac:dyDescent="0.2">
      <c r="B33531" s="43"/>
    </row>
    <row r="33532" spans="2:2" ht="12.75" customHeight="1" x14ac:dyDescent="0.2">
      <c r="B33532" s="43"/>
    </row>
    <row r="33533" spans="2:2" ht="12.75" customHeight="1" x14ac:dyDescent="0.2">
      <c r="B33533" s="43"/>
    </row>
    <row r="33534" spans="2:2" ht="12.75" customHeight="1" x14ac:dyDescent="0.2">
      <c r="B33534" s="43"/>
    </row>
    <row r="33535" spans="2:2" ht="12.75" customHeight="1" x14ac:dyDescent="0.2">
      <c r="B33535" s="43"/>
    </row>
    <row r="33536" spans="2:2" ht="12.75" customHeight="1" x14ac:dyDescent="0.2">
      <c r="B33536" s="43"/>
    </row>
    <row r="33537" spans="2:2" ht="12.75" customHeight="1" x14ac:dyDescent="0.2">
      <c r="B33537" s="43"/>
    </row>
    <row r="33538" spans="2:2" ht="12.75" customHeight="1" x14ac:dyDescent="0.2">
      <c r="B33538" s="43"/>
    </row>
    <row r="33539" spans="2:2" ht="12.75" customHeight="1" x14ac:dyDescent="0.2">
      <c r="B33539" s="43"/>
    </row>
    <row r="33540" spans="2:2" ht="12.75" customHeight="1" x14ac:dyDescent="0.2">
      <c r="B33540" s="43"/>
    </row>
    <row r="33541" spans="2:2" ht="12.75" customHeight="1" x14ac:dyDescent="0.2">
      <c r="B33541" s="43"/>
    </row>
    <row r="33542" spans="2:2" ht="12.75" customHeight="1" x14ac:dyDescent="0.2">
      <c r="B33542" s="43"/>
    </row>
    <row r="33543" spans="2:2" ht="12.75" customHeight="1" x14ac:dyDescent="0.2">
      <c r="B33543" s="43"/>
    </row>
    <row r="33544" spans="2:2" ht="12.75" customHeight="1" x14ac:dyDescent="0.2">
      <c r="B33544" s="43"/>
    </row>
    <row r="33545" spans="2:2" ht="12.75" customHeight="1" x14ac:dyDescent="0.2">
      <c r="B33545" s="43"/>
    </row>
    <row r="33546" spans="2:2" ht="12.75" customHeight="1" x14ac:dyDescent="0.2">
      <c r="B33546" s="43"/>
    </row>
    <row r="33547" spans="2:2" ht="12.75" customHeight="1" x14ac:dyDescent="0.2">
      <c r="B33547" s="43"/>
    </row>
    <row r="33548" spans="2:2" ht="12.75" customHeight="1" x14ac:dyDescent="0.2">
      <c r="B33548" s="43"/>
    </row>
    <row r="33549" spans="2:2" ht="12.75" customHeight="1" x14ac:dyDescent="0.2">
      <c r="B33549" s="43"/>
    </row>
    <row r="33550" spans="2:2" ht="12.75" customHeight="1" x14ac:dyDescent="0.2">
      <c r="B33550" s="43"/>
    </row>
    <row r="33551" spans="2:2" ht="12.75" customHeight="1" x14ac:dyDescent="0.2">
      <c r="B33551" s="43"/>
    </row>
    <row r="33552" spans="2:2" ht="12.75" customHeight="1" x14ac:dyDescent="0.2">
      <c r="B33552" s="43"/>
    </row>
    <row r="33553" spans="2:2" ht="12.75" customHeight="1" x14ac:dyDescent="0.2">
      <c r="B33553" s="43"/>
    </row>
    <row r="33554" spans="2:2" ht="12.75" customHeight="1" x14ac:dyDescent="0.2">
      <c r="B33554" s="43"/>
    </row>
    <row r="33555" spans="2:2" ht="12.75" customHeight="1" x14ac:dyDescent="0.2">
      <c r="B33555" s="43"/>
    </row>
    <row r="33556" spans="2:2" ht="12.75" customHeight="1" x14ac:dyDescent="0.2">
      <c r="B33556" s="43"/>
    </row>
    <row r="33557" spans="2:2" ht="12.75" customHeight="1" x14ac:dyDescent="0.2">
      <c r="B33557" s="43"/>
    </row>
    <row r="33558" spans="2:2" ht="12.75" customHeight="1" x14ac:dyDescent="0.2">
      <c r="B33558" s="43"/>
    </row>
    <row r="33559" spans="2:2" ht="12.75" customHeight="1" x14ac:dyDescent="0.2">
      <c r="B33559" s="43"/>
    </row>
    <row r="33560" spans="2:2" ht="12.75" customHeight="1" x14ac:dyDescent="0.2">
      <c r="B33560" s="43"/>
    </row>
    <row r="33561" spans="2:2" ht="12.75" customHeight="1" x14ac:dyDescent="0.2">
      <c r="B33561" s="43"/>
    </row>
    <row r="33562" spans="2:2" ht="12.75" customHeight="1" x14ac:dyDescent="0.2">
      <c r="B33562" s="43"/>
    </row>
    <row r="33563" spans="2:2" ht="12.75" customHeight="1" x14ac:dyDescent="0.2">
      <c r="B33563" s="43"/>
    </row>
    <row r="33564" spans="2:2" ht="12.75" customHeight="1" x14ac:dyDescent="0.2">
      <c r="B33564" s="43"/>
    </row>
    <row r="33565" spans="2:2" ht="12.75" customHeight="1" x14ac:dyDescent="0.2">
      <c r="B33565" s="43"/>
    </row>
    <row r="33566" spans="2:2" ht="12.75" customHeight="1" x14ac:dyDescent="0.2">
      <c r="B33566" s="43"/>
    </row>
    <row r="33567" spans="2:2" ht="12.75" customHeight="1" x14ac:dyDescent="0.2">
      <c r="B33567" s="43"/>
    </row>
    <row r="33568" spans="2:2" ht="12.75" customHeight="1" x14ac:dyDescent="0.2">
      <c r="B33568" s="43"/>
    </row>
    <row r="33569" spans="2:2" ht="12.75" customHeight="1" x14ac:dyDescent="0.2">
      <c r="B33569" s="43"/>
    </row>
    <row r="33570" spans="2:2" ht="12.75" customHeight="1" x14ac:dyDescent="0.2">
      <c r="B33570" s="43"/>
    </row>
    <row r="33571" spans="2:2" ht="12.75" customHeight="1" x14ac:dyDescent="0.2">
      <c r="B33571" s="43"/>
    </row>
    <row r="33572" spans="2:2" ht="12.75" customHeight="1" x14ac:dyDescent="0.2">
      <c r="B33572" s="43"/>
    </row>
    <row r="33573" spans="2:2" ht="12.75" customHeight="1" x14ac:dyDescent="0.2">
      <c r="B33573" s="43"/>
    </row>
    <row r="33574" spans="2:2" ht="12.75" customHeight="1" x14ac:dyDescent="0.2">
      <c r="B33574" s="43"/>
    </row>
    <row r="33575" spans="2:2" ht="12.75" customHeight="1" x14ac:dyDescent="0.2">
      <c r="B33575" s="43"/>
    </row>
    <row r="33576" spans="2:2" ht="12.75" customHeight="1" x14ac:dyDescent="0.2">
      <c r="B33576" s="43"/>
    </row>
    <row r="33577" spans="2:2" ht="12.75" customHeight="1" x14ac:dyDescent="0.2">
      <c r="B33577" s="43"/>
    </row>
    <row r="33578" spans="2:2" ht="12.75" customHeight="1" x14ac:dyDescent="0.2">
      <c r="B33578" s="43"/>
    </row>
    <row r="33579" spans="2:2" ht="12.75" customHeight="1" x14ac:dyDescent="0.2">
      <c r="B33579" s="43"/>
    </row>
    <row r="33580" spans="2:2" ht="12.75" customHeight="1" x14ac:dyDescent="0.2">
      <c r="B33580" s="43"/>
    </row>
    <row r="33581" spans="2:2" ht="12.75" customHeight="1" x14ac:dyDescent="0.2">
      <c r="B33581" s="43"/>
    </row>
    <row r="33582" spans="2:2" ht="12.75" customHeight="1" x14ac:dyDescent="0.2">
      <c r="B33582" s="43"/>
    </row>
    <row r="33583" spans="2:2" ht="12.75" customHeight="1" x14ac:dyDescent="0.2">
      <c r="B33583" s="43"/>
    </row>
    <row r="33584" spans="2:2" ht="12.75" customHeight="1" x14ac:dyDescent="0.2">
      <c r="B33584" s="43"/>
    </row>
    <row r="33585" spans="2:2" ht="12.75" customHeight="1" x14ac:dyDescent="0.2">
      <c r="B33585" s="43"/>
    </row>
    <row r="33586" spans="2:2" ht="12.75" customHeight="1" x14ac:dyDescent="0.2">
      <c r="B33586" s="43"/>
    </row>
    <row r="33587" spans="2:2" ht="12.75" customHeight="1" x14ac:dyDescent="0.2">
      <c r="B33587" s="43"/>
    </row>
    <row r="33588" spans="2:2" ht="12.75" customHeight="1" x14ac:dyDescent="0.2">
      <c r="B33588" s="43"/>
    </row>
    <row r="33589" spans="2:2" ht="12.75" customHeight="1" x14ac:dyDescent="0.2">
      <c r="B33589" s="43"/>
    </row>
    <row r="33590" spans="2:2" ht="12.75" customHeight="1" x14ac:dyDescent="0.2">
      <c r="B33590" s="43"/>
    </row>
    <row r="33591" spans="2:2" ht="12.75" customHeight="1" x14ac:dyDescent="0.2">
      <c r="B33591" s="43"/>
    </row>
    <row r="33592" spans="2:2" ht="12.75" customHeight="1" x14ac:dyDescent="0.2">
      <c r="B33592" s="43"/>
    </row>
    <row r="33593" spans="2:2" ht="12.75" customHeight="1" x14ac:dyDescent="0.2">
      <c r="B33593" s="43"/>
    </row>
    <row r="33594" spans="2:2" ht="12.75" customHeight="1" x14ac:dyDescent="0.2">
      <c r="B33594" s="43"/>
    </row>
    <row r="33595" spans="2:2" ht="12.75" customHeight="1" x14ac:dyDescent="0.2">
      <c r="B33595" s="43"/>
    </row>
    <row r="33596" spans="2:2" ht="12.75" customHeight="1" x14ac:dyDescent="0.2">
      <c r="B33596" s="43"/>
    </row>
    <row r="33597" spans="2:2" ht="12.75" customHeight="1" x14ac:dyDescent="0.2">
      <c r="B33597" s="43"/>
    </row>
    <row r="33598" spans="2:2" ht="12.75" customHeight="1" x14ac:dyDescent="0.2">
      <c r="B33598" s="43"/>
    </row>
    <row r="33599" spans="2:2" ht="12.75" customHeight="1" x14ac:dyDescent="0.2">
      <c r="B33599" s="43"/>
    </row>
    <row r="33600" spans="2:2" ht="12.75" customHeight="1" x14ac:dyDescent="0.2">
      <c r="B33600" s="43"/>
    </row>
    <row r="33601" spans="2:2" ht="12.75" customHeight="1" x14ac:dyDescent="0.2">
      <c r="B33601" s="43"/>
    </row>
    <row r="33602" spans="2:2" ht="12.75" customHeight="1" x14ac:dyDescent="0.2">
      <c r="B33602" s="43"/>
    </row>
    <row r="33603" spans="2:2" ht="12.75" customHeight="1" x14ac:dyDescent="0.2">
      <c r="B33603" s="43"/>
    </row>
    <row r="33604" spans="2:2" ht="12.75" customHeight="1" x14ac:dyDescent="0.2">
      <c r="B33604" s="43"/>
    </row>
    <row r="33605" spans="2:2" ht="12.75" customHeight="1" x14ac:dyDescent="0.2">
      <c r="B33605" s="43"/>
    </row>
    <row r="33606" spans="2:2" ht="12.75" customHeight="1" x14ac:dyDescent="0.2">
      <c r="B33606" s="43"/>
    </row>
    <row r="33607" spans="2:2" ht="12.75" customHeight="1" x14ac:dyDescent="0.2">
      <c r="B33607" s="43"/>
    </row>
    <row r="33608" spans="2:2" ht="12.75" customHeight="1" x14ac:dyDescent="0.2">
      <c r="B33608" s="43"/>
    </row>
    <row r="33609" spans="2:2" ht="12.75" customHeight="1" x14ac:dyDescent="0.2">
      <c r="B33609" s="43"/>
    </row>
    <row r="33610" spans="2:2" ht="12.75" customHeight="1" x14ac:dyDescent="0.2">
      <c r="B33610" s="43"/>
    </row>
    <row r="33611" spans="2:2" ht="12.75" customHeight="1" x14ac:dyDescent="0.2">
      <c r="B33611" s="43"/>
    </row>
    <row r="33612" spans="2:2" ht="12.75" customHeight="1" x14ac:dyDescent="0.2">
      <c r="B33612" s="43"/>
    </row>
    <row r="33613" spans="2:2" ht="12.75" customHeight="1" x14ac:dyDescent="0.2">
      <c r="B33613" s="43"/>
    </row>
    <row r="33614" spans="2:2" ht="12.75" customHeight="1" x14ac:dyDescent="0.2">
      <c r="B33614" s="43"/>
    </row>
    <row r="33615" spans="2:2" ht="12.75" customHeight="1" x14ac:dyDescent="0.2">
      <c r="B33615" s="43"/>
    </row>
    <row r="33616" spans="2:2" ht="12.75" customHeight="1" x14ac:dyDescent="0.2">
      <c r="B33616" s="43"/>
    </row>
    <row r="33617" spans="2:2" ht="12.75" customHeight="1" x14ac:dyDescent="0.2">
      <c r="B33617" s="43"/>
    </row>
    <row r="33618" spans="2:2" ht="12.75" customHeight="1" x14ac:dyDescent="0.2">
      <c r="B33618" s="43"/>
    </row>
    <row r="33619" spans="2:2" ht="12.75" customHeight="1" x14ac:dyDescent="0.2">
      <c r="B33619" s="43"/>
    </row>
    <row r="33620" spans="2:2" ht="12.75" customHeight="1" x14ac:dyDescent="0.2">
      <c r="B33620" s="43"/>
    </row>
    <row r="33621" spans="2:2" ht="12.75" customHeight="1" x14ac:dyDescent="0.2">
      <c r="B33621" s="43"/>
    </row>
    <row r="33622" spans="2:2" ht="12.75" customHeight="1" x14ac:dyDescent="0.2">
      <c r="B33622" s="43"/>
    </row>
    <row r="33623" spans="2:2" ht="12.75" customHeight="1" x14ac:dyDescent="0.2">
      <c r="B33623" s="43"/>
    </row>
    <row r="33624" spans="2:2" ht="12.75" customHeight="1" x14ac:dyDescent="0.2">
      <c r="B33624" s="43"/>
    </row>
    <row r="33625" spans="2:2" ht="12.75" customHeight="1" x14ac:dyDescent="0.2">
      <c r="B33625" s="43"/>
    </row>
    <row r="33626" spans="2:2" ht="12.75" customHeight="1" x14ac:dyDescent="0.2">
      <c r="B33626" s="43"/>
    </row>
    <row r="33627" spans="2:2" ht="12.75" customHeight="1" x14ac:dyDescent="0.2">
      <c r="B33627" s="43"/>
    </row>
    <row r="33628" spans="2:2" ht="12.75" customHeight="1" x14ac:dyDescent="0.2">
      <c r="B33628" s="43"/>
    </row>
    <row r="33629" spans="2:2" ht="12.75" customHeight="1" x14ac:dyDescent="0.2">
      <c r="B33629" s="43"/>
    </row>
    <row r="33630" spans="2:2" ht="12.75" customHeight="1" x14ac:dyDescent="0.2">
      <c r="B33630" s="43"/>
    </row>
    <row r="33631" spans="2:2" ht="12.75" customHeight="1" x14ac:dyDescent="0.2">
      <c r="B33631" s="43"/>
    </row>
    <row r="33632" spans="2:2" ht="12.75" customHeight="1" x14ac:dyDescent="0.2">
      <c r="B33632" s="43"/>
    </row>
    <row r="33633" spans="2:2" ht="12.75" customHeight="1" x14ac:dyDescent="0.2">
      <c r="B33633" s="43"/>
    </row>
    <row r="33634" spans="2:2" ht="12.75" customHeight="1" x14ac:dyDescent="0.2">
      <c r="B33634" s="43"/>
    </row>
    <row r="33635" spans="2:2" ht="12.75" customHeight="1" x14ac:dyDescent="0.2">
      <c r="B33635" s="43"/>
    </row>
    <row r="33636" spans="2:2" ht="12.75" customHeight="1" x14ac:dyDescent="0.2">
      <c r="B33636" s="43"/>
    </row>
    <row r="33637" spans="2:2" ht="12.75" customHeight="1" x14ac:dyDescent="0.2">
      <c r="B33637" s="43"/>
    </row>
    <row r="33638" spans="2:2" ht="12.75" customHeight="1" x14ac:dyDescent="0.2">
      <c r="B33638" s="43"/>
    </row>
    <row r="33639" spans="2:2" ht="12.75" customHeight="1" x14ac:dyDescent="0.2">
      <c r="B33639" s="43"/>
    </row>
    <row r="33640" spans="2:2" ht="12.75" customHeight="1" x14ac:dyDescent="0.2">
      <c r="B33640" s="43"/>
    </row>
    <row r="33641" spans="2:2" ht="12.75" customHeight="1" x14ac:dyDescent="0.2">
      <c r="B33641" s="43"/>
    </row>
    <row r="33642" spans="2:2" ht="12.75" customHeight="1" x14ac:dyDescent="0.2">
      <c r="B33642" s="43"/>
    </row>
    <row r="33643" spans="2:2" ht="12.75" customHeight="1" x14ac:dyDescent="0.2">
      <c r="B33643" s="43"/>
    </row>
    <row r="33644" spans="2:2" ht="12.75" customHeight="1" x14ac:dyDescent="0.2">
      <c r="B33644" s="43"/>
    </row>
    <row r="33645" spans="2:2" ht="12.75" customHeight="1" x14ac:dyDescent="0.2">
      <c r="B33645" s="43"/>
    </row>
    <row r="33646" spans="2:2" ht="12.75" customHeight="1" x14ac:dyDescent="0.2">
      <c r="B33646" s="43"/>
    </row>
    <row r="33647" spans="2:2" ht="12.75" customHeight="1" x14ac:dyDescent="0.2">
      <c r="B33647" s="43"/>
    </row>
    <row r="33648" spans="2:2" ht="12.75" customHeight="1" x14ac:dyDescent="0.2">
      <c r="B33648" s="43"/>
    </row>
    <row r="33649" spans="2:2" ht="12.75" customHeight="1" x14ac:dyDescent="0.2">
      <c r="B33649" s="43"/>
    </row>
    <row r="33650" spans="2:2" ht="12.75" customHeight="1" x14ac:dyDescent="0.2">
      <c r="B33650" s="43"/>
    </row>
    <row r="33651" spans="2:2" ht="12.75" customHeight="1" x14ac:dyDescent="0.2">
      <c r="B33651" s="43"/>
    </row>
    <row r="33652" spans="2:2" ht="12.75" customHeight="1" x14ac:dyDescent="0.2">
      <c r="B33652" s="43"/>
    </row>
    <row r="33653" spans="2:2" ht="12.75" customHeight="1" x14ac:dyDescent="0.2">
      <c r="B33653" s="43"/>
    </row>
    <row r="33654" spans="2:2" ht="12.75" customHeight="1" x14ac:dyDescent="0.2">
      <c r="B33654" s="43"/>
    </row>
    <row r="33655" spans="2:2" ht="12.75" customHeight="1" x14ac:dyDescent="0.2">
      <c r="B33655" s="43"/>
    </row>
    <row r="33656" spans="2:2" ht="12.75" customHeight="1" x14ac:dyDescent="0.2">
      <c r="B33656" s="43"/>
    </row>
    <row r="33657" spans="2:2" ht="12.75" customHeight="1" x14ac:dyDescent="0.2">
      <c r="B33657" s="43"/>
    </row>
    <row r="33658" spans="2:2" ht="12.75" customHeight="1" x14ac:dyDescent="0.2">
      <c r="B33658" s="43"/>
    </row>
    <row r="33659" spans="2:2" ht="12.75" customHeight="1" x14ac:dyDescent="0.2">
      <c r="B33659" s="43"/>
    </row>
    <row r="33660" spans="2:2" ht="12.75" customHeight="1" x14ac:dyDescent="0.2">
      <c r="B33660" s="43"/>
    </row>
    <row r="33661" spans="2:2" ht="12.75" customHeight="1" x14ac:dyDescent="0.2">
      <c r="B33661" s="43"/>
    </row>
    <row r="33662" spans="2:2" ht="12.75" customHeight="1" x14ac:dyDescent="0.2">
      <c r="B33662" s="43"/>
    </row>
    <row r="33663" spans="2:2" ht="12.75" customHeight="1" x14ac:dyDescent="0.2">
      <c r="B33663" s="43"/>
    </row>
    <row r="33664" spans="2:2" ht="12.75" customHeight="1" x14ac:dyDescent="0.2">
      <c r="B33664" s="43"/>
    </row>
    <row r="33665" spans="2:2" ht="12.75" customHeight="1" x14ac:dyDescent="0.2">
      <c r="B33665" s="43"/>
    </row>
    <row r="33666" spans="2:2" ht="12.75" customHeight="1" x14ac:dyDescent="0.2">
      <c r="B33666" s="43"/>
    </row>
    <row r="33667" spans="2:2" ht="12.75" customHeight="1" x14ac:dyDescent="0.2">
      <c r="B33667" s="43"/>
    </row>
    <row r="33668" spans="2:2" ht="12.75" customHeight="1" x14ac:dyDescent="0.2">
      <c r="B33668" s="43"/>
    </row>
    <row r="33669" spans="2:2" ht="12.75" customHeight="1" x14ac:dyDescent="0.2">
      <c r="B33669" s="43"/>
    </row>
    <row r="33670" spans="2:2" ht="12.75" customHeight="1" x14ac:dyDescent="0.2">
      <c r="B33670" s="43"/>
    </row>
    <row r="33671" spans="2:2" ht="12.75" customHeight="1" x14ac:dyDescent="0.2">
      <c r="B33671" s="43"/>
    </row>
    <row r="33672" spans="2:2" ht="12.75" customHeight="1" x14ac:dyDescent="0.2">
      <c r="B33672" s="43"/>
    </row>
    <row r="33673" spans="2:2" ht="12.75" customHeight="1" x14ac:dyDescent="0.2">
      <c r="B33673" s="43"/>
    </row>
    <row r="33674" spans="2:2" ht="12.75" customHeight="1" x14ac:dyDescent="0.2">
      <c r="B33674" s="43"/>
    </row>
    <row r="33675" spans="2:2" ht="12.75" customHeight="1" x14ac:dyDescent="0.2">
      <c r="B33675" s="43"/>
    </row>
    <row r="33676" spans="2:2" ht="12.75" customHeight="1" x14ac:dyDescent="0.2">
      <c r="B33676" s="43"/>
    </row>
    <row r="33677" spans="2:2" ht="12.75" customHeight="1" x14ac:dyDescent="0.2">
      <c r="B33677" s="43"/>
    </row>
    <row r="33678" spans="2:2" ht="12.75" customHeight="1" x14ac:dyDescent="0.2">
      <c r="B33678" s="43"/>
    </row>
    <row r="33679" spans="2:2" ht="12.75" customHeight="1" x14ac:dyDescent="0.2">
      <c r="B33679" s="43"/>
    </row>
    <row r="33680" spans="2:2" ht="12.75" customHeight="1" x14ac:dyDescent="0.2">
      <c r="B33680" s="43"/>
    </row>
    <row r="33681" spans="2:2" ht="12.75" customHeight="1" x14ac:dyDescent="0.2">
      <c r="B33681" s="43"/>
    </row>
    <row r="33682" spans="2:2" ht="12.75" customHeight="1" x14ac:dyDescent="0.2">
      <c r="B33682" s="43"/>
    </row>
    <row r="33683" spans="2:2" ht="12.75" customHeight="1" x14ac:dyDescent="0.2">
      <c r="B33683" s="43"/>
    </row>
    <row r="33684" spans="2:2" ht="12.75" customHeight="1" x14ac:dyDescent="0.2">
      <c r="B33684" s="43"/>
    </row>
    <row r="33685" spans="2:2" ht="12.75" customHeight="1" x14ac:dyDescent="0.2">
      <c r="B33685" s="43"/>
    </row>
    <row r="33686" spans="2:2" ht="12.75" customHeight="1" x14ac:dyDescent="0.2">
      <c r="B33686" s="43"/>
    </row>
    <row r="33687" spans="2:2" ht="12.75" customHeight="1" x14ac:dyDescent="0.2">
      <c r="B33687" s="43"/>
    </row>
    <row r="33688" spans="2:2" ht="12.75" customHeight="1" x14ac:dyDescent="0.2">
      <c r="B33688" s="43"/>
    </row>
    <row r="33689" spans="2:2" ht="12.75" customHeight="1" x14ac:dyDescent="0.2">
      <c r="B33689" s="43"/>
    </row>
    <row r="33690" spans="2:2" ht="12.75" customHeight="1" x14ac:dyDescent="0.2">
      <c r="B33690" s="43"/>
    </row>
    <row r="33691" spans="2:2" ht="12.75" customHeight="1" x14ac:dyDescent="0.2">
      <c r="B33691" s="43"/>
    </row>
    <row r="33692" spans="2:2" ht="12.75" customHeight="1" x14ac:dyDescent="0.2">
      <c r="B33692" s="43"/>
    </row>
    <row r="33693" spans="2:2" ht="12.75" customHeight="1" x14ac:dyDescent="0.2">
      <c r="B33693" s="43"/>
    </row>
    <row r="33694" spans="2:2" ht="12.75" customHeight="1" x14ac:dyDescent="0.2">
      <c r="B33694" s="43"/>
    </row>
    <row r="33695" spans="2:2" ht="12.75" customHeight="1" x14ac:dyDescent="0.2">
      <c r="B33695" s="43"/>
    </row>
    <row r="33696" spans="2:2" ht="12.75" customHeight="1" x14ac:dyDescent="0.2">
      <c r="B33696" s="43"/>
    </row>
    <row r="33697" spans="2:2" ht="12.75" customHeight="1" x14ac:dyDescent="0.2">
      <c r="B33697" s="43"/>
    </row>
    <row r="33698" spans="2:2" ht="12.75" customHeight="1" x14ac:dyDescent="0.2">
      <c r="B33698" s="43"/>
    </row>
    <row r="33699" spans="2:2" ht="12.75" customHeight="1" x14ac:dyDescent="0.2">
      <c r="B33699" s="43"/>
    </row>
    <row r="33700" spans="2:2" ht="12.75" customHeight="1" x14ac:dyDescent="0.2">
      <c r="B33700" s="43"/>
    </row>
    <row r="33701" spans="2:2" ht="12.75" customHeight="1" x14ac:dyDescent="0.2">
      <c r="B33701" s="43"/>
    </row>
    <row r="33702" spans="2:2" ht="12.75" customHeight="1" x14ac:dyDescent="0.2">
      <c r="B33702" s="43"/>
    </row>
    <row r="33703" spans="2:2" ht="12.75" customHeight="1" x14ac:dyDescent="0.2">
      <c r="B33703" s="43"/>
    </row>
    <row r="33704" spans="2:2" ht="12.75" customHeight="1" x14ac:dyDescent="0.2">
      <c r="B33704" s="43"/>
    </row>
    <row r="33705" spans="2:2" ht="12.75" customHeight="1" x14ac:dyDescent="0.2">
      <c r="B33705" s="43"/>
    </row>
    <row r="33706" spans="2:2" ht="12.75" customHeight="1" x14ac:dyDescent="0.2">
      <c r="B33706" s="43"/>
    </row>
    <row r="33707" spans="2:2" ht="12.75" customHeight="1" x14ac:dyDescent="0.2">
      <c r="B33707" s="43"/>
    </row>
    <row r="33708" spans="2:2" ht="12.75" customHeight="1" x14ac:dyDescent="0.2">
      <c r="B33708" s="43"/>
    </row>
    <row r="33709" spans="2:2" ht="12.75" customHeight="1" x14ac:dyDescent="0.2">
      <c r="B33709" s="43"/>
    </row>
    <row r="33710" spans="2:2" ht="12.75" customHeight="1" x14ac:dyDescent="0.2">
      <c r="B33710" s="43"/>
    </row>
    <row r="33711" spans="2:2" ht="12.75" customHeight="1" x14ac:dyDescent="0.2">
      <c r="B33711" s="43"/>
    </row>
    <row r="33712" spans="2:2" ht="12.75" customHeight="1" x14ac:dyDescent="0.2">
      <c r="B33712" s="43"/>
    </row>
    <row r="33713" spans="2:2" ht="12.75" customHeight="1" x14ac:dyDescent="0.2">
      <c r="B33713" s="43"/>
    </row>
    <row r="33714" spans="2:2" ht="12.75" customHeight="1" x14ac:dyDescent="0.2">
      <c r="B33714" s="43"/>
    </row>
    <row r="33715" spans="2:2" ht="12.75" customHeight="1" x14ac:dyDescent="0.2">
      <c r="B33715" s="43"/>
    </row>
    <row r="33716" spans="2:2" ht="12.75" customHeight="1" x14ac:dyDescent="0.2">
      <c r="B33716" s="43"/>
    </row>
    <row r="33717" spans="2:2" ht="12.75" customHeight="1" x14ac:dyDescent="0.2">
      <c r="B33717" s="43"/>
    </row>
    <row r="33718" spans="2:2" ht="12.75" customHeight="1" x14ac:dyDescent="0.2">
      <c r="B33718" s="43"/>
    </row>
    <row r="33719" spans="2:2" ht="12.75" customHeight="1" x14ac:dyDescent="0.2">
      <c r="B33719" s="43"/>
    </row>
    <row r="33720" spans="2:2" ht="12.75" customHeight="1" x14ac:dyDescent="0.2">
      <c r="B33720" s="43"/>
    </row>
    <row r="33721" spans="2:2" ht="12.75" customHeight="1" x14ac:dyDescent="0.2">
      <c r="B33721" s="43"/>
    </row>
    <row r="33722" spans="2:2" ht="12.75" customHeight="1" x14ac:dyDescent="0.2">
      <c r="B33722" s="43"/>
    </row>
    <row r="33723" spans="2:2" ht="12.75" customHeight="1" x14ac:dyDescent="0.2">
      <c r="B33723" s="43"/>
    </row>
    <row r="33724" spans="2:2" ht="12.75" customHeight="1" x14ac:dyDescent="0.2">
      <c r="B33724" s="43"/>
    </row>
    <row r="33725" spans="2:2" ht="12.75" customHeight="1" x14ac:dyDescent="0.2">
      <c r="B33725" s="43"/>
    </row>
    <row r="33726" spans="2:2" ht="12.75" customHeight="1" x14ac:dyDescent="0.2">
      <c r="B33726" s="43"/>
    </row>
    <row r="33727" spans="2:2" ht="12.75" customHeight="1" x14ac:dyDescent="0.2">
      <c r="B33727" s="43"/>
    </row>
    <row r="33728" spans="2:2" ht="12.75" customHeight="1" x14ac:dyDescent="0.2">
      <c r="B33728" s="43"/>
    </row>
    <row r="33729" spans="2:2" ht="12.75" customHeight="1" x14ac:dyDescent="0.2">
      <c r="B33729" s="43"/>
    </row>
    <row r="33730" spans="2:2" ht="12.75" customHeight="1" x14ac:dyDescent="0.2">
      <c r="B33730" s="43"/>
    </row>
    <row r="33731" spans="2:2" ht="12.75" customHeight="1" x14ac:dyDescent="0.2">
      <c r="B33731" s="43"/>
    </row>
    <row r="33732" spans="2:2" ht="12.75" customHeight="1" x14ac:dyDescent="0.2">
      <c r="B33732" s="43"/>
    </row>
    <row r="33733" spans="2:2" ht="12.75" customHeight="1" x14ac:dyDescent="0.2">
      <c r="B33733" s="43"/>
    </row>
    <row r="33734" spans="2:2" ht="12.75" customHeight="1" x14ac:dyDescent="0.2">
      <c r="B33734" s="43"/>
    </row>
    <row r="33735" spans="2:2" ht="12.75" customHeight="1" x14ac:dyDescent="0.2">
      <c r="B33735" s="43"/>
    </row>
    <row r="33736" spans="2:2" ht="12.75" customHeight="1" x14ac:dyDescent="0.2">
      <c r="B33736" s="43"/>
    </row>
    <row r="33737" spans="2:2" ht="12.75" customHeight="1" x14ac:dyDescent="0.2">
      <c r="B33737" s="43"/>
    </row>
    <row r="33738" spans="2:2" ht="12.75" customHeight="1" x14ac:dyDescent="0.2">
      <c r="B33738" s="43"/>
    </row>
    <row r="33739" spans="2:2" ht="12.75" customHeight="1" x14ac:dyDescent="0.2">
      <c r="B33739" s="43"/>
    </row>
    <row r="33740" spans="2:2" ht="12.75" customHeight="1" x14ac:dyDescent="0.2">
      <c r="B33740" s="43"/>
    </row>
    <row r="33741" spans="2:2" ht="12.75" customHeight="1" x14ac:dyDescent="0.2">
      <c r="B33741" s="43"/>
    </row>
    <row r="33742" spans="2:2" ht="12.75" customHeight="1" x14ac:dyDescent="0.2">
      <c r="B33742" s="43"/>
    </row>
    <row r="33743" spans="2:2" ht="12.75" customHeight="1" x14ac:dyDescent="0.2">
      <c r="B33743" s="43"/>
    </row>
    <row r="33744" spans="2:2" ht="12.75" customHeight="1" x14ac:dyDescent="0.2">
      <c r="B33744" s="43"/>
    </row>
    <row r="33745" spans="2:2" ht="12.75" customHeight="1" x14ac:dyDescent="0.2">
      <c r="B33745" s="43"/>
    </row>
    <row r="33746" spans="2:2" ht="12.75" customHeight="1" x14ac:dyDescent="0.2">
      <c r="B33746" s="43"/>
    </row>
    <row r="33747" spans="2:2" ht="12.75" customHeight="1" x14ac:dyDescent="0.2">
      <c r="B33747" s="43"/>
    </row>
    <row r="33748" spans="2:2" ht="12.75" customHeight="1" x14ac:dyDescent="0.2">
      <c r="B33748" s="43"/>
    </row>
    <row r="33749" spans="2:2" ht="12.75" customHeight="1" x14ac:dyDescent="0.2">
      <c r="B33749" s="43"/>
    </row>
    <row r="33750" spans="2:2" ht="12.75" customHeight="1" x14ac:dyDescent="0.2">
      <c r="B33750" s="43"/>
    </row>
    <row r="33751" spans="2:2" ht="12.75" customHeight="1" x14ac:dyDescent="0.2">
      <c r="B33751" s="43"/>
    </row>
    <row r="33752" spans="2:2" ht="12.75" customHeight="1" x14ac:dyDescent="0.2">
      <c r="B33752" s="43"/>
    </row>
    <row r="33753" spans="2:2" ht="12.75" customHeight="1" x14ac:dyDescent="0.2">
      <c r="B33753" s="43"/>
    </row>
    <row r="33754" spans="2:2" ht="12.75" customHeight="1" x14ac:dyDescent="0.2">
      <c r="B33754" s="43"/>
    </row>
    <row r="33755" spans="2:2" ht="12.75" customHeight="1" x14ac:dyDescent="0.2">
      <c r="B33755" s="43"/>
    </row>
    <row r="33756" spans="2:2" ht="12.75" customHeight="1" x14ac:dyDescent="0.2">
      <c r="B33756" s="43"/>
    </row>
    <row r="33757" spans="2:2" ht="12.75" customHeight="1" x14ac:dyDescent="0.2">
      <c r="B33757" s="43"/>
    </row>
    <row r="33758" spans="2:2" ht="12.75" customHeight="1" x14ac:dyDescent="0.2">
      <c r="B33758" s="43"/>
    </row>
    <row r="33759" spans="2:2" ht="12.75" customHeight="1" x14ac:dyDescent="0.2">
      <c r="B33759" s="43"/>
    </row>
    <row r="33760" spans="2:2" ht="12.75" customHeight="1" x14ac:dyDescent="0.2">
      <c r="B33760" s="43"/>
    </row>
    <row r="33761" spans="2:2" ht="12.75" customHeight="1" x14ac:dyDescent="0.2">
      <c r="B33761" s="43"/>
    </row>
    <row r="33762" spans="2:2" ht="12.75" customHeight="1" x14ac:dyDescent="0.2">
      <c r="B33762" s="43"/>
    </row>
    <row r="33763" spans="2:2" ht="12.75" customHeight="1" x14ac:dyDescent="0.2">
      <c r="B33763" s="43"/>
    </row>
    <row r="33764" spans="2:2" ht="12.75" customHeight="1" x14ac:dyDescent="0.2">
      <c r="B33764" s="43"/>
    </row>
    <row r="33765" spans="2:2" ht="12.75" customHeight="1" x14ac:dyDescent="0.2">
      <c r="B33765" s="43"/>
    </row>
    <row r="33766" spans="2:2" ht="12.75" customHeight="1" x14ac:dyDescent="0.2">
      <c r="B33766" s="43"/>
    </row>
    <row r="33767" spans="2:2" ht="12.75" customHeight="1" x14ac:dyDescent="0.2">
      <c r="B33767" s="43"/>
    </row>
    <row r="33768" spans="2:2" ht="12.75" customHeight="1" x14ac:dyDescent="0.2">
      <c r="B33768" s="43"/>
    </row>
    <row r="33769" spans="2:2" ht="12.75" customHeight="1" x14ac:dyDescent="0.2">
      <c r="B33769" s="43"/>
    </row>
    <row r="33770" spans="2:2" ht="12.75" customHeight="1" x14ac:dyDescent="0.2">
      <c r="B33770" s="43"/>
    </row>
    <row r="33771" spans="2:2" ht="12.75" customHeight="1" x14ac:dyDescent="0.2">
      <c r="B33771" s="43"/>
    </row>
    <row r="33772" spans="2:2" ht="12.75" customHeight="1" x14ac:dyDescent="0.2">
      <c r="B33772" s="43"/>
    </row>
    <row r="33773" spans="2:2" ht="12.75" customHeight="1" x14ac:dyDescent="0.2">
      <c r="B33773" s="43"/>
    </row>
    <row r="33774" spans="2:2" ht="12.75" customHeight="1" x14ac:dyDescent="0.2">
      <c r="B33774" s="43"/>
    </row>
    <row r="33775" spans="2:2" ht="12.75" customHeight="1" x14ac:dyDescent="0.2">
      <c r="B33775" s="43"/>
    </row>
    <row r="33776" spans="2:2" ht="12.75" customHeight="1" x14ac:dyDescent="0.2">
      <c r="B33776" s="43"/>
    </row>
    <row r="33777" spans="2:2" ht="12.75" customHeight="1" x14ac:dyDescent="0.2">
      <c r="B33777" s="43"/>
    </row>
    <row r="33778" spans="2:2" ht="12.75" customHeight="1" x14ac:dyDescent="0.2">
      <c r="B33778" s="43"/>
    </row>
    <row r="33779" spans="2:2" ht="12.75" customHeight="1" x14ac:dyDescent="0.2">
      <c r="B33779" s="43"/>
    </row>
    <row r="33780" spans="2:2" ht="12.75" customHeight="1" x14ac:dyDescent="0.2">
      <c r="B33780" s="43"/>
    </row>
    <row r="33781" spans="2:2" ht="12.75" customHeight="1" x14ac:dyDescent="0.2">
      <c r="B33781" s="43"/>
    </row>
    <row r="33782" spans="2:2" ht="12.75" customHeight="1" x14ac:dyDescent="0.2">
      <c r="B33782" s="43"/>
    </row>
    <row r="33783" spans="2:2" ht="12.75" customHeight="1" x14ac:dyDescent="0.2">
      <c r="B33783" s="43"/>
    </row>
    <row r="33784" spans="2:2" ht="12.75" customHeight="1" x14ac:dyDescent="0.2">
      <c r="B33784" s="43"/>
    </row>
    <row r="33785" spans="2:2" ht="12.75" customHeight="1" x14ac:dyDescent="0.2">
      <c r="B33785" s="43"/>
    </row>
    <row r="33786" spans="2:2" ht="12.75" customHeight="1" x14ac:dyDescent="0.2">
      <c r="B33786" s="43"/>
    </row>
    <row r="33787" spans="2:2" ht="12.75" customHeight="1" x14ac:dyDescent="0.2">
      <c r="B33787" s="43"/>
    </row>
    <row r="33788" spans="2:2" ht="12.75" customHeight="1" x14ac:dyDescent="0.2">
      <c r="B33788" s="43"/>
    </row>
    <row r="33789" spans="2:2" ht="12.75" customHeight="1" x14ac:dyDescent="0.2">
      <c r="B33789" s="43"/>
    </row>
    <row r="33790" spans="2:2" ht="12.75" customHeight="1" x14ac:dyDescent="0.2">
      <c r="B33790" s="43"/>
    </row>
    <row r="33791" spans="2:2" ht="12.75" customHeight="1" x14ac:dyDescent="0.2">
      <c r="B33791" s="43"/>
    </row>
    <row r="33792" spans="2:2" ht="12.75" customHeight="1" x14ac:dyDescent="0.2">
      <c r="B33792" s="43"/>
    </row>
    <row r="33793" spans="2:2" ht="12.75" customHeight="1" x14ac:dyDescent="0.2">
      <c r="B33793" s="43"/>
    </row>
    <row r="33794" spans="2:2" ht="12.75" customHeight="1" x14ac:dyDescent="0.2">
      <c r="B33794" s="43"/>
    </row>
    <row r="33795" spans="2:2" ht="12.75" customHeight="1" x14ac:dyDescent="0.2">
      <c r="B33795" s="43"/>
    </row>
    <row r="33796" spans="2:2" ht="12.75" customHeight="1" x14ac:dyDescent="0.2">
      <c r="B33796" s="43"/>
    </row>
    <row r="33797" spans="2:2" ht="12.75" customHeight="1" x14ac:dyDescent="0.2">
      <c r="B33797" s="43"/>
    </row>
    <row r="33798" spans="2:2" ht="12.75" customHeight="1" x14ac:dyDescent="0.2">
      <c r="B33798" s="43"/>
    </row>
    <row r="33799" spans="2:2" ht="12.75" customHeight="1" x14ac:dyDescent="0.2">
      <c r="B33799" s="43"/>
    </row>
    <row r="33800" spans="2:2" ht="12.75" customHeight="1" x14ac:dyDescent="0.2">
      <c r="B33800" s="43"/>
    </row>
    <row r="33801" spans="2:2" ht="12.75" customHeight="1" x14ac:dyDescent="0.2">
      <c r="B33801" s="43"/>
    </row>
    <row r="33802" spans="2:2" ht="12.75" customHeight="1" x14ac:dyDescent="0.2">
      <c r="B33802" s="43"/>
    </row>
    <row r="33803" spans="2:2" ht="12.75" customHeight="1" x14ac:dyDescent="0.2">
      <c r="B33803" s="43"/>
    </row>
    <row r="33804" spans="2:2" ht="12.75" customHeight="1" x14ac:dyDescent="0.2">
      <c r="B33804" s="43"/>
    </row>
    <row r="33805" spans="2:2" ht="12.75" customHeight="1" x14ac:dyDescent="0.2">
      <c r="B33805" s="43"/>
    </row>
    <row r="33806" spans="2:2" ht="12.75" customHeight="1" x14ac:dyDescent="0.2">
      <c r="B33806" s="43"/>
    </row>
    <row r="33807" spans="2:2" ht="12.75" customHeight="1" x14ac:dyDescent="0.2">
      <c r="B33807" s="43"/>
    </row>
    <row r="33808" spans="2:2" ht="12.75" customHeight="1" x14ac:dyDescent="0.2">
      <c r="B33808" s="43"/>
    </row>
    <row r="33809" spans="2:2" ht="12.75" customHeight="1" x14ac:dyDescent="0.2">
      <c r="B33809" s="43"/>
    </row>
    <row r="33810" spans="2:2" ht="12.75" customHeight="1" x14ac:dyDescent="0.2">
      <c r="B33810" s="43"/>
    </row>
    <row r="33811" spans="2:2" ht="12.75" customHeight="1" x14ac:dyDescent="0.2">
      <c r="B33811" s="43"/>
    </row>
    <row r="33812" spans="2:2" ht="12.75" customHeight="1" x14ac:dyDescent="0.2">
      <c r="B33812" s="43"/>
    </row>
    <row r="33813" spans="2:2" ht="12.75" customHeight="1" x14ac:dyDescent="0.2">
      <c r="B33813" s="43"/>
    </row>
    <row r="33814" spans="2:2" ht="12.75" customHeight="1" x14ac:dyDescent="0.2">
      <c r="B33814" s="43"/>
    </row>
    <row r="33815" spans="2:2" ht="12.75" customHeight="1" x14ac:dyDescent="0.2">
      <c r="B33815" s="43"/>
    </row>
    <row r="33816" spans="2:2" ht="12.75" customHeight="1" x14ac:dyDescent="0.2">
      <c r="B33816" s="43"/>
    </row>
    <row r="33817" spans="2:2" ht="12.75" customHeight="1" x14ac:dyDescent="0.2">
      <c r="B33817" s="43"/>
    </row>
    <row r="33818" spans="2:2" ht="12.75" customHeight="1" x14ac:dyDescent="0.2">
      <c r="B33818" s="43"/>
    </row>
    <row r="33819" spans="2:2" ht="12.75" customHeight="1" x14ac:dyDescent="0.2">
      <c r="B33819" s="43"/>
    </row>
    <row r="33820" spans="2:2" ht="12.75" customHeight="1" x14ac:dyDescent="0.2">
      <c r="B33820" s="43"/>
    </row>
    <row r="33821" spans="2:2" ht="12.75" customHeight="1" x14ac:dyDescent="0.2">
      <c r="B33821" s="43"/>
    </row>
    <row r="33822" spans="2:2" ht="12.75" customHeight="1" x14ac:dyDescent="0.2">
      <c r="B33822" s="43"/>
    </row>
    <row r="33823" spans="2:2" ht="12.75" customHeight="1" x14ac:dyDescent="0.2">
      <c r="B33823" s="43"/>
    </row>
    <row r="33824" spans="2:2" ht="12.75" customHeight="1" x14ac:dyDescent="0.2">
      <c r="B33824" s="43"/>
    </row>
    <row r="33825" spans="2:2" ht="12.75" customHeight="1" x14ac:dyDescent="0.2">
      <c r="B33825" s="43"/>
    </row>
    <row r="33826" spans="2:2" ht="12.75" customHeight="1" x14ac:dyDescent="0.2">
      <c r="B33826" s="43"/>
    </row>
    <row r="33827" spans="2:2" ht="12.75" customHeight="1" x14ac:dyDescent="0.2">
      <c r="B33827" s="43"/>
    </row>
    <row r="33828" spans="2:2" ht="12.75" customHeight="1" x14ac:dyDescent="0.2">
      <c r="B33828" s="43"/>
    </row>
    <row r="33829" spans="2:2" ht="12.75" customHeight="1" x14ac:dyDescent="0.2">
      <c r="B33829" s="43"/>
    </row>
    <row r="33830" spans="2:2" ht="12.75" customHeight="1" x14ac:dyDescent="0.2">
      <c r="B33830" s="43"/>
    </row>
    <row r="33831" spans="2:2" ht="12.75" customHeight="1" x14ac:dyDescent="0.2">
      <c r="B33831" s="43"/>
    </row>
    <row r="33832" spans="2:2" ht="12.75" customHeight="1" x14ac:dyDescent="0.2">
      <c r="B33832" s="43"/>
    </row>
    <row r="33833" spans="2:2" ht="12.75" customHeight="1" x14ac:dyDescent="0.2">
      <c r="B33833" s="43"/>
    </row>
    <row r="33834" spans="2:2" ht="12.75" customHeight="1" x14ac:dyDescent="0.2">
      <c r="B33834" s="43"/>
    </row>
    <row r="33835" spans="2:2" ht="12.75" customHeight="1" x14ac:dyDescent="0.2">
      <c r="B33835" s="43"/>
    </row>
    <row r="33836" spans="2:2" ht="12.75" customHeight="1" x14ac:dyDescent="0.2">
      <c r="B33836" s="43"/>
    </row>
    <row r="33837" spans="2:2" ht="12.75" customHeight="1" x14ac:dyDescent="0.2">
      <c r="B33837" s="43"/>
    </row>
    <row r="33838" spans="2:2" ht="12.75" customHeight="1" x14ac:dyDescent="0.2">
      <c r="B33838" s="43"/>
    </row>
    <row r="33839" spans="2:2" ht="12.75" customHeight="1" x14ac:dyDescent="0.2">
      <c r="B33839" s="43"/>
    </row>
    <row r="33840" spans="2:2" ht="12.75" customHeight="1" x14ac:dyDescent="0.2">
      <c r="B33840" s="43"/>
    </row>
    <row r="33841" spans="2:2" ht="12.75" customHeight="1" x14ac:dyDescent="0.2">
      <c r="B33841" s="43"/>
    </row>
    <row r="33842" spans="2:2" ht="12.75" customHeight="1" x14ac:dyDescent="0.2">
      <c r="B33842" s="43"/>
    </row>
    <row r="33843" spans="2:2" ht="12.75" customHeight="1" x14ac:dyDescent="0.2">
      <c r="B33843" s="43"/>
    </row>
    <row r="33844" spans="2:2" ht="12.75" customHeight="1" x14ac:dyDescent="0.2">
      <c r="B33844" s="43"/>
    </row>
    <row r="33845" spans="2:2" ht="12.75" customHeight="1" x14ac:dyDescent="0.2">
      <c r="B33845" s="43"/>
    </row>
    <row r="33846" spans="2:2" ht="12.75" customHeight="1" x14ac:dyDescent="0.2">
      <c r="B33846" s="43"/>
    </row>
    <row r="33847" spans="2:2" ht="12.75" customHeight="1" x14ac:dyDescent="0.2">
      <c r="B33847" s="43"/>
    </row>
    <row r="33848" spans="2:2" ht="12.75" customHeight="1" x14ac:dyDescent="0.2">
      <c r="B33848" s="43"/>
    </row>
    <row r="33849" spans="2:2" ht="12.75" customHeight="1" x14ac:dyDescent="0.2">
      <c r="B33849" s="43"/>
    </row>
    <row r="33850" spans="2:2" ht="12.75" customHeight="1" x14ac:dyDescent="0.2">
      <c r="B33850" s="43"/>
    </row>
    <row r="33851" spans="2:2" ht="12.75" customHeight="1" x14ac:dyDescent="0.2">
      <c r="B33851" s="43"/>
    </row>
    <row r="33852" spans="2:2" ht="12.75" customHeight="1" x14ac:dyDescent="0.2">
      <c r="B33852" s="43"/>
    </row>
    <row r="33853" spans="2:2" ht="12.75" customHeight="1" x14ac:dyDescent="0.2">
      <c r="B33853" s="43"/>
    </row>
    <row r="33854" spans="2:2" ht="12.75" customHeight="1" x14ac:dyDescent="0.2">
      <c r="B33854" s="43"/>
    </row>
    <row r="33855" spans="2:2" ht="12.75" customHeight="1" x14ac:dyDescent="0.2">
      <c r="B33855" s="43"/>
    </row>
    <row r="33856" spans="2:2" ht="12.75" customHeight="1" x14ac:dyDescent="0.2">
      <c r="B33856" s="43"/>
    </row>
    <row r="33857" spans="2:2" ht="12.75" customHeight="1" x14ac:dyDescent="0.2">
      <c r="B33857" s="43"/>
    </row>
    <row r="33858" spans="2:2" ht="12.75" customHeight="1" x14ac:dyDescent="0.2">
      <c r="B33858" s="43"/>
    </row>
    <row r="33859" spans="2:2" ht="12.75" customHeight="1" x14ac:dyDescent="0.2">
      <c r="B33859" s="43"/>
    </row>
    <row r="33860" spans="2:2" ht="12.75" customHeight="1" x14ac:dyDescent="0.2">
      <c r="B33860" s="43"/>
    </row>
    <row r="33861" spans="2:2" ht="12.75" customHeight="1" x14ac:dyDescent="0.2">
      <c r="B33861" s="43"/>
    </row>
    <row r="33862" spans="2:2" ht="12.75" customHeight="1" x14ac:dyDescent="0.2">
      <c r="B33862" s="43"/>
    </row>
    <row r="33863" spans="2:2" ht="12.75" customHeight="1" x14ac:dyDescent="0.2">
      <c r="B33863" s="43"/>
    </row>
    <row r="33864" spans="2:2" ht="12.75" customHeight="1" x14ac:dyDescent="0.2">
      <c r="B33864" s="43"/>
    </row>
    <row r="33865" spans="2:2" ht="12.75" customHeight="1" x14ac:dyDescent="0.2">
      <c r="B33865" s="43"/>
    </row>
    <row r="33866" spans="2:2" ht="12.75" customHeight="1" x14ac:dyDescent="0.2">
      <c r="B33866" s="43"/>
    </row>
    <row r="33867" spans="2:2" ht="12.75" customHeight="1" x14ac:dyDescent="0.2">
      <c r="B33867" s="43"/>
    </row>
    <row r="33868" spans="2:2" ht="12.75" customHeight="1" x14ac:dyDescent="0.2">
      <c r="B33868" s="43"/>
    </row>
    <row r="33869" spans="2:2" ht="12.75" customHeight="1" x14ac:dyDescent="0.2">
      <c r="B33869" s="43"/>
    </row>
    <row r="33870" spans="2:2" ht="12.75" customHeight="1" x14ac:dyDescent="0.2">
      <c r="B33870" s="43"/>
    </row>
    <row r="33871" spans="2:2" ht="12.75" customHeight="1" x14ac:dyDescent="0.2">
      <c r="B33871" s="43"/>
    </row>
    <row r="33872" spans="2:2" ht="12.75" customHeight="1" x14ac:dyDescent="0.2">
      <c r="B33872" s="43"/>
    </row>
    <row r="33873" spans="2:2" ht="12.75" customHeight="1" x14ac:dyDescent="0.2">
      <c r="B33873" s="43"/>
    </row>
    <row r="33874" spans="2:2" ht="12.75" customHeight="1" x14ac:dyDescent="0.2">
      <c r="B33874" s="43"/>
    </row>
    <row r="33875" spans="2:2" ht="12.75" customHeight="1" x14ac:dyDescent="0.2">
      <c r="B33875" s="43"/>
    </row>
    <row r="33876" spans="2:2" ht="12.75" customHeight="1" x14ac:dyDescent="0.2">
      <c r="B33876" s="43"/>
    </row>
    <row r="33877" spans="2:2" ht="12.75" customHeight="1" x14ac:dyDescent="0.2">
      <c r="B33877" s="43"/>
    </row>
    <row r="33878" spans="2:2" ht="12.75" customHeight="1" x14ac:dyDescent="0.2">
      <c r="B33878" s="43"/>
    </row>
    <row r="33879" spans="2:2" ht="12.75" customHeight="1" x14ac:dyDescent="0.2">
      <c r="B33879" s="43"/>
    </row>
    <row r="33880" spans="2:2" ht="12.75" customHeight="1" x14ac:dyDescent="0.2">
      <c r="B33880" s="43"/>
    </row>
    <row r="33881" spans="2:2" ht="12.75" customHeight="1" x14ac:dyDescent="0.2">
      <c r="B33881" s="43"/>
    </row>
    <row r="33882" spans="2:2" ht="12.75" customHeight="1" x14ac:dyDescent="0.2">
      <c r="B33882" s="43"/>
    </row>
    <row r="33883" spans="2:2" ht="12.75" customHeight="1" x14ac:dyDescent="0.2">
      <c r="B33883" s="43"/>
    </row>
    <row r="33884" spans="2:2" ht="12.75" customHeight="1" x14ac:dyDescent="0.2">
      <c r="B33884" s="43"/>
    </row>
    <row r="33885" spans="2:2" ht="12.75" customHeight="1" x14ac:dyDescent="0.2">
      <c r="B33885" s="43"/>
    </row>
    <row r="33886" spans="2:2" ht="12.75" customHeight="1" x14ac:dyDescent="0.2">
      <c r="B33886" s="43"/>
    </row>
    <row r="33887" spans="2:2" ht="12.75" customHeight="1" x14ac:dyDescent="0.2">
      <c r="B33887" s="43"/>
    </row>
    <row r="33888" spans="2:2" ht="12.75" customHeight="1" x14ac:dyDescent="0.2">
      <c r="B33888" s="43"/>
    </row>
    <row r="33889" spans="2:2" ht="12.75" customHeight="1" x14ac:dyDescent="0.2">
      <c r="B33889" s="43"/>
    </row>
    <row r="33890" spans="2:2" ht="12.75" customHeight="1" x14ac:dyDescent="0.2">
      <c r="B33890" s="43"/>
    </row>
    <row r="33891" spans="2:2" ht="12.75" customHeight="1" x14ac:dyDescent="0.2">
      <c r="B33891" s="43"/>
    </row>
    <row r="33892" spans="2:2" ht="12.75" customHeight="1" x14ac:dyDescent="0.2">
      <c r="B33892" s="43"/>
    </row>
    <row r="33893" spans="2:2" ht="12.75" customHeight="1" x14ac:dyDescent="0.2">
      <c r="B33893" s="43"/>
    </row>
    <row r="33894" spans="2:2" ht="12.75" customHeight="1" x14ac:dyDescent="0.2">
      <c r="B33894" s="43"/>
    </row>
    <row r="33895" spans="2:2" ht="12.75" customHeight="1" x14ac:dyDescent="0.2">
      <c r="B33895" s="43"/>
    </row>
    <row r="33896" spans="2:2" ht="12.75" customHeight="1" x14ac:dyDescent="0.2">
      <c r="B33896" s="43"/>
    </row>
    <row r="33897" spans="2:2" ht="12.75" customHeight="1" x14ac:dyDescent="0.2">
      <c r="B33897" s="43"/>
    </row>
    <row r="33898" spans="2:2" ht="12.75" customHeight="1" x14ac:dyDescent="0.2">
      <c r="B33898" s="43"/>
    </row>
    <row r="33899" spans="2:2" ht="12.75" customHeight="1" x14ac:dyDescent="0.2">
      <c r="B33899" s="43"/>
    </row>
    <row r="33900" spans="2:2" ht="12.75" customHeight="1" x14ac:dyDescent="0.2">
      <c r="B33900" s="43"/>
    </row>
    <row r="33901" spans="2:2" ht="12.75" customHeight="1" x14ac:dyDescent="0.2">
      <c r="B33901" s="43"/>
    </row>
    <row r="33902" spans="2:2" ht="12.75" customHeight="1" x14ac:dyDescent="0.2">
      <c r="B33902" s="43"/>
    </row>
    <row r="33903" spans="2:2" ht="12.75" customHeight="1" x14ac:dyDescent="0.2">
      <c r="B33903" s="43"/>
    </row>
    <row r="33904" spans="2:2" ht="12.75" customHeight="1" x14ac:dyDescent="0.2">
      <c r="B33904" s="43"/>
    </row>
    <row r="33905" spans="2:2" ht="12.75" customHeight="1" x14ac:dyDescent="0.2">
      <c r="B33905" s="43"/>
    </row>
    <row r="33906" spans="2:2" ht="12.75" customHeight="1" x14ac:dyDescent="0.2">
      <c r="B33906" s="43"/>
    </row>
    <row r="33907" spans="2:2" ht="12.75" customHeight="1" x14ac:dyDescent="0.2">
      <c r="B33907" s="43"/>
    </row>
    <row r="33908" spans="2:2" ht="12.75" customHeight="1" x14ac:dyDescent="0.2">
      <c r="B33908" s="43"/>
    </row>
    <row r="33909" spans="2:2" ht="12.75" customHeight="1" x14ac:dyDescent="0.2">
      <c r="B33909" s="43"/>
    </row>
    <row r="33910" spans="2:2" ht="12.75" customHeight="1" x14ac:dyDescent="0.2">
      <c r="B33910" s="43"/>
    </row>
    <row r="33911" spans="2:2" ht="12.75" customHeight="1" x14ac:dyDescent="0.2">
      <c r="B33911" s="43"/>
    </row>
    <row r="33912" spans="2:2" ht="12.75" customHeight="1" x14ac:dyDescent="0.2">
      <c r="B33912" s="43"/>
    </row>
    <row r="33913" spans="2:2" ht="12.75" customHeight="1" x14ac:dyDescent="0.2">
      <c r="B33913" s="43"/>
    </row>
    <row r="33914" spans="2:2" ht="12.75" customHeight="1" x14ac:dyDescent="0.2">
      <c r="B33914" s="43"/>
    </row>
    <row r="33915" spans="2:2" ht="12.75" customHeight="1" x14ac:dyDescent="0.2">
      <c r="B33915" s="43"/>
    </row>
    <row r="33916" spans="2:2" ht="12.75" customHeight="1" x14ac:dyDescent="0.2">
      <c r="B33916" s="43"/>
    </row>
    <row r="33917" spans="2:2" ht="12.75" customHeight="1" x14ac:dyDescent="0.2">
      <c r="B33917" s="43"/>
    </row>
    <row r="33918" spans="2:2" ht="12.75" customHeight="1" x14ac:dyDescent="0.2">
      <c r="B33918" s="43"/>
    </row>
    <row r="33919" spans="2:2" ht="12.75" customHeight="1" x14ac:dyDescent="0.2">
      <c r="B33919" s="43"/>
    </row>
    <row r="33920" spans="2:2" ht="12.75" customHeight="1" x14ac:dyDescent="0.2">
      <c r="B33920" s="43"/>
    </row>
    <row r="33921" spans="2:2" ht="12.75" customHeight="1" x14ac:dyDescent="0.2">
      <c r="B33921" s="43"/>
    </row>
    <row r="33922" spans="2:2" ht="12.75" customHeight="1" x14ac:dyDescent="0.2">
      <c r="B33922" s="43"/>
    </row>
    <row r="33923" spans="2:2" ht="12.75" customHeight="1" x14ac:dyDescent="0.2">
      <c r="B33923" s="43"/>
    </row>
    <row r="33924" spans="2:2" ht="12.75" customHeight="1" x14ac:dyDescent="0.2">
      <c r="B33924" s="43"/>
    </row>
    <row r="33925" spans="2:2" ht="12.75" customHeight="1" x14ac:dyDescent="0.2">
      <c r="B33925" s="43"/>
    </row>
    <row r="33926" spans="2:2" ht="12.75" customHeight="1" x14ac:dyDescent="0.2">
      <c r="B33926" s="43"/>
    </row>
    <row r="33927" spans="2:2" ht="12.75" customHeight="1" x14ac:dyDescent="0.2">
      <c r="B33927" s="43"/>
    </row>
    <row r="33928" spans="2:2" ht="12.75" customHeight="1" x14ac:dyDescent="0.2">
      <c r="B33928" s="43"/>
    </row>
    <row r="33929" spans="2:2" ht="12.75" customHeight="1" x14ac:dyDescent="0.2">
      <c r="B33929" s="43"/>
    </row>
    <row r="33930" spans="2:2" ht="12.75" customHeight="1" x14ac:dyDescent="0.2">
      <c r="B33930" s="43"/>
    </row>
    <row r="33931" spans="2:2" ht="12.75" customHeight="1" x14ac:dyDescent="0.2">
      <c r="B33931" s="43"/>
    </row>
    <row r="33932" spans="2:2" ht="12.75" customHeight="1" x14ac:dyDescent="0.2">
      <c r="B33932" s="43"/>
    </row>
    <row r="33933" spans="2:2" ht="12.75" customHeight="1" x14ac:dyDescent="0.2">
      <c r="B33933" s="43"/>
    </row>
    <row r="33934" spans="2:2" ht="12.75" customHeight="1" x14ac:dyDescent="0.2">
      <c r="B33934" s="43"/>
    </row>
    <row r="33935" spans="2:2" ht="12.75" customHeight="1" x14ac:dyDescent="0.2">
      <c r="B33935" s="43"/>
    </row>
    <row r="33936" spans="2:2" ht="12.75" customHeight="1" x14ac:dyDescent="0.2">
      <c r="B33936" s="43"/>
    </row>
    <row r="33937" spans="2:2" ht="12.75" customHeight="1" x14ac:dyDescent="0.2">
      <c r="B33937" s="43"/>
    </row>
    <row r="33938" spans="2:2" ht="12.75" customHeight="1" x14ac:dyDescent="0.2">
      <c r="B33938" s="43"/>
    </row>
    <row r="33939" spans="2:2" ht="12.75" customHeight="1" x14ac:dyDescent="0.2">
      <c r="B33939" s="43"/>
    </row>
    <row r="33940" spans="2:2" ht="12.75" customHeight="1" x14ac:dyDescent="0.2">
      <c r="B33940" s="43"/>
    </row>
    <row r="33941" spans="2:2" ht="12.75" customHeight="1" x14ac:dyDescent="0.2">
      <c r="B33941" s="43"/>
    </row>
    <row r="33942" spans="2:2" ht="12.75" customHeight="1" x14ac:dyDescent="0.2">
      <c r="B33942" s="43"/>
    </row>
    <row r="33943" spans="2:2" ht="12.75" customHeight="1" x14ac:dyDescent="0.2">
      <c r="B33943" s="43"/>
    </row>
    <row r="33944" spans="2:2" ht="12.75" customHeight="1" x14ac:dyDescent="0.2">
      <c r="B33944" s="43"/>
    </row>
    <row r="33945" spans="2:2" ht="12.75" customHeight="1" x14ac:dyDescent="0.2">
      <c r="B33945" s="43"/>
    </row>
    <row r="33946" spans="2:2" ht="12.75" customHeight="1" x14ac:dyDescent="0.2">
      <c r="B33946" s="43"/>
    </row>
    <row r="33947" spans="2:2" ht="12.75" customHeight="1" x14ac:dyDescent="0.2">
      <c r="B33947" s="43"/>
    </row>
    <row r="33948" spans="2:2" ht="12.75" customHeight="1" x14ac:dyDescent="0.2">
      <c r="B33948" s="43"/>
    </row>
    <row r="33949" spans="2:2" ht="12.75" customHeight="1" x14ac:dyDescent="0.2">
      <c r="B33949" s="43"/>
    </row>
    <row r="33950" spans="2:2" ht="12.75" customHeight="1" x14ac:dyDescent="0.2">
      <c r="B33950" s="43"/>
    </row>
    <row r="33951" spans="2:2" ht="12.75" customHeight="1" x14ac:dyDescent="0.2">
      <c r="B33951" s="43"/>
    </row>
    <row r="33952" spans="2:2" ht="12.75" customHeight="1" x14ac:dyDescent="0.2">
      <c r="B33952" s="43"/>
    </row>
    <row r="33953" spans="2:2" ht="12.75" customHeight="1" x14ac:dyDescent="0.2">
      <c r="B33953" s="43"/>
    </row>
    <row r="33954" spans="2:2" ht="12.75" customHeight="1" x14ac:dyDescent="0.2">
      <c r="B33954" s="43"/>
    </row>
    <row r="33955" spans="2:2" ht="12.75" customHeight="1" x14ac:dyDescent="0.2">
      <c r="B33955" s="43"/>
    </row>
    <row r="33956" spans="2:2" ht="12.75" customHeight="1" x14ac:dyDescent="0.2">
      <c r="B33956" s="43"/>
    </row>
    <row r="33957" spans="2:2" ht="12.75" customHeight="1" x14ac:dyDescent="0.2">
      <c r="B33957" s="43"/>
    </row>
    <row r="33958" spans="2:2" ht="12.75" customHeight="1" x14ac:dyDescent="0.2">
      <c r="B33958" s="43"/>
    </row>
    <row r="33959" spans="2:2" ht="12.75" customHeight="1" x14ac:dyDescent="0.2">
      <c r="B33959" s="43"/>
    </row>
    <row r="33960" spans="2:2" ht="12.75" customHeight="1" x14ac:dyDescent="0.2">
      <c r="B33960" s="43"/>
    </row>
    <row r="33961" spans="2:2" ht="12.75" customHeight="1" x14ac:dyDescent="0.2">
      <c r="B33961" s="43"/>
    </row>
    <row r="33962" spans="2:2" ht="12.75" customHeight="1" x14ac:dyDescent="0.2">
      <c r="B33962" s="43"/>
    </row>
    <row r="33963" spans="2:2" ht="12.75" customHeight="1" x14ac:dyDescent="0.2">
      <c r="B33963" s="43"/>
    </row>
    <row r="33964" spans="2:2" ht="12.75" customHeight="1" x14ac:dyDescent="0.2">
      <c r="B33964" s="43"/>
    </row>
    <row r="33965" spans="2:2" ht="12.75" customHeight="1" x14ac:dyDescent="0.2">
      <c r="B33965" s="43"/>
    </row>
    <row r="33966" spans="2:2" ht="12.75" customHeight="1" x14ac:dyDescent="0.2">
      <c r="B33966" s="43"/>
    </row>
    <row r="33967" spans="2:2" ht="12.75" customHeight="1" x14ac:dyDescent="0.2">
      <c r="B33967" s="43"/>
    </row>
    <row r="33968" spans="2:2" ht="12.75" customHeight="1" x14ac:dyDescent="0.2">
      <c r="B33968" s="43"/>
    </row>
    <row r="33969" spans="2:2" ht="12.75" customHeight="1" x14ac:dyDescent="0.2">
      <c r="B33969" s="43"/>
    </row>
    <row r="33970" spans="2:2" ht="12.75" customHeight="1" x14ac:dyDescent="0.2">
      <c r="B33970" s="43"/>
    </row>
    <row r="33971" spans="2:2" ht="12.75" customHeight="1" x14ac:dyDescent="0.2">
      <c r="B33971" s="43"/>
    </row>
    <row r="33972" spans="2:2" ht="12.75" customHeight="1" x14ac:dyDescent="0.2">
      <c r="B33972" s="43"/>
    </row>
    <row r="33973" spans="2:2" ht="12.75" customHeight="1" x14ac:dyDescent="0.2">
      <c r="B33973" s="43"/>
    </row>
    <row r="33974" spans="2:2" ht="12.75" customHeight="1" x14ac:dyDescent="0.2">
      <c r="B33974" s="43"/>
    </row>
    <row r="33975" spans="2:2" ht="12.75" customHeight="1" x14ac:dyDescent="0.2">
      <c r="B33975" s="43"/>
    </row>
    <row r="33976" spans="2:2" ht="12.75" customHeight="1" x14ac:dyDescent="0.2">
      <c r="B33976" s="43"/>
    </row>
    <row r="33977" spans="2:2" ht="12.75" customHeight="1" x14ac:dyDescent="0.2">
      <c r="B33977" s="43"/>
    </row>
    <row r="33978" spans="2:2" ht="12.75" customHeight="1" x14ac:dyDescent="0.2">
      <c r="B33978" s="43"/>
    </row>
    <row r="33979" spans="2:2" ht="12.75" customHeight="1" x14ac:dyDescent="0.2">
      <c r="B33979" s="43"/>
    </row>
    <row r="33980" spans="2:2" ht="12.75" customHeight="1" x14ac:dyDescent="0.2">
      <c r="B33980" s="43"/>
    </row>
    <row r="33981" spans="2:2" ht="12.75" customHeight="1" x14ac:dyDescent="0.2">
      <c r="B33981" s="43"/>
    </row>
    <row r="33982" spans="2:2" ht="12.75" customHeight="1" x14ac:dyDescent="0.2">
      <c r="B33982" s="43"/>
    </row>
    <row r="33983" spans="2:2" ht="12.75" customHeight="1" x14ac:dyDescent="0.2">
      <c r="B33983" s="43"/>
    </row>
    <row r="33984" spans="2:2" ht="12.75" customHeight="1" x14ac:dyDescent="0.2">
      <c r="B33984" s="43"/>
    </row>
    <row r="33985" spans="2:2" ht="12.75" customHeight="1" x14ac:dyDescent="0.2">
      <c r="B33985" s="43"/>
    </row>
    <row r="33986" spans="2:2" ht="12.75" customHeight="1" x14ac:dyDescent="0.2">
      <c r="B33986" s="43"/>
    </row>
    <row r="33987" spans="2:2" ht="12.75" customHeight="1" x14ac:dyDescent="0.2">
      <c r="B33987" s="43"/>
    </row>
    <row r="33988" spans="2:2" ht="12.75" customHeight="1" x14ac:dyDescent="0.2">
      <c r="B33988" s="43"/>
    </row>
    <row r="33989" spans="2:2" ht="12.75" customHeight="1" x14ac:dyDescent="0.2">
      <c r="B33989" s="43"/>
    </row>
    <row r="33990" spans="2:2" ht="12.75" customHeight="1" x14ac:dyDescent="0.2">
      <c r="B33990" s="43"/>
    </row>
    <row r="33991" spans="2:2" ht="12.75" customHeight="1" x14ac:dyDescent="0.2">
      <c r="B33991" s="43"/>
    </row>
    <row r="33992" spans="2:2" ht="12.75" customHeight="1" x14ac:dyDescent="0.2">
      <c r="B33992" s="43"/>
    </row>
    <row r="33993" spans="2:2" ht="12.75" customHeight="1" x14ac:dyDescent="0.2">
      <c r="B33993" s="43"/>
    </row>
    <row r="33994" spans="2:2" ht="12.75" customHeight="1" x14ac:dyDescent="0.2">
      <c r="B33994" s="43"/>
    </row>
    <row r="33995" spans="2:2" ht="12.75" customHeight="1" x14ac:dyDescent="0.2">
      <c r="B33995" s="43"/>
    </row>
    <row r="33996" spans="2:2" ht="12.75" customHeight="1" x14ac:dyDescent="0.2">
      <c r="B33996" s="43"/>
    </row>
    <row r="33997" spans="2:2" ht="12.75" customHeight="1" x14ac:dyDescent="0.2">
      <c r="B33997" s="43"/>
    </row>
    <row r="33998" spans="2:2" ht="12.75" customHeight="1" x14ac:dyDescent="0.2">
      <c r="B33998" s="43"/>
    </row>
    <row r="33999" spans="2:2" ht="12.75" customHeight="1" x14ac:dyDescent="0.2">
      <c r="B33999" s="43"/>
    </row>
    <row r="34000" spans="2:2" ht="12.75" customHeight="1" x14ac:dyDescent="0.2">
      <c r="B34000" s="43"/>
    </row>
    <row r="34001" spans="2:2" ht="12.75" customHeight="1" x14ac:dyDescent="0.2">
      <c r="B34001" s="43"/>
    </row>
    <row r="34002" spans="2:2" ht="12.75" customHeight="1" x14ac:dyDescent="0.2">
      <c r="B34002" s="43"/>
    </row>
    <row r="34003" spans="2:2" ht="12.75" customHeight="1" x14ac:dyDescent="0.2">
      <c r="B34003" s="43"/>
    </row>
    <row r="34004" spans="2:2" ht="12.75" customHeight="1" x14ac:dyDescent="0.2">
      <c r="B34004" s="43"/>
    </row>
    <row r="34005" spans="2:2" ht="12.75" customHeight="1" x14ac:dyDescent="0.2">
      <c r="B34005" s="43"/>
    </row>
    <row r="34006" spans="2:2" ht="12.75" customHeight="1" x14ac:dyDescent="0.2">
      <c r="B34006" s="43"/>
    </row>
    <row r="34007" spans="2:2" ht="12.75" customHeight="1" x14ac:dyDescent="0.2">
      <c r="B34007" s="43"/>
    </row>
    <row r="34008" spans="2:2" ht="12.75" customHeight="1" x14ac:dyDescent="0.2">
      <c r="B34008" s="43"/>
    </row>
    <row r="34009" spans="2:2" ht="12.75" customHeight="1" x14ac:dyDescent="0.2">
      <c r="B34009" s="43"/>
    </row>
    <row r="34010" spans="2:2" ht="12.75" customHeight="1" x14ac:dyDescent="0.2">
      <c r="B34010" s="43"/>
    </row>
    <row r="34011" spans="2:2" ht="12.75" customHeight="1" x14ac:dyDescent="0.2">
      <c r="B34011" s="43"/>
    </row>
    <row r="34012" spans="2:2" ht="12.75" customHeight="1" x14ac:dyDescent="0.2">
      <c r="B34012" s="43"/>
    </row>
    <row r="34013" spans="2:2" ht="12.75" customHeight="1" x14ac:dyDescent="0.2">
      <c r="B34013" s="43"/>
    </row>
    <row r="34014" spans="2:2" ht="12.75" customHeight="1" x14ac:dyDescent="0.2">
      <c r="B34014" s="43"/>
    </row>
    <row r="34015" spans="2:2" ht="12.75" customHeight="1" x14ac:dyDescent="0.2">
      <c r="B34015" s="43"/>
    </row>
    <row r="34016" spans="2:2" ht="12.75" customHeight="1" x14ac:dyDescent="0.2">
      <c r="B34016" s="43"/>
    </row>
    <row r="34017" spans="2:2" ht="12.75" customHeight="1" x14ac:dyDescent="0.2">
      <c r="B34017" s="43"/>
    </row>
    <row r="34018" spans="2:2" ht="12.75" customHeight="1" x14ac:dyDescent="0.2">
      <c r="B34018" s="43"/>
    </row>
    <row r="34019" spans="2:2" ht="12.75" customHeight="1" x14ac:dyDescent="0.2">
      <c r="B34019" s="43"/>
    </row>
    <row r="34020" spans="2:2" ht="12.75" customHeight="1" x14ac:dyDescent="0.2">
      <c r="B34020" s="43"/>
    </row>
    <row r="34021" spans="2:2" ht="12.75" customHeight="1" x14ac:dyDescent="0.2">
      <c r="B34021" s="43"/>
    </row>
    <row r="34022" spans="2:2" ht="12.75" customHeight="1" x14ac:dyDescent="0.2">
      <c r="B34022" s="43"/>
    </row>
    <row r="34023" spans="2:2" ht="12.75" customHeight="1" x14ac:dyDescent="0.2">
      <c r="B34023" s="43"/>
    </row>
    <row r="34024" spans="2:2" ht="12.75" customHeight="1" x14ac:dyDescent="0.2">
      <c r="B34024" s="43"/>
    </row>
    <row r="34025" spans="2:2" ht="12.75" customHeight="1" x14ac:dyDescent="0.2">
      <c r="B34025" s="43"/>
    </row>
    <row r="34026" spans="2:2" ht="12.75" customHeight="1" x14ac:dyDescent="0.2">
      <c r="B34026" s="43"/>
    </row>
    <row r="34027" spans="2:2" ht="12.75" customHeight="1" x14ac:dyDescent="0.2">
      <c r="B34027" s="43"/>
    </row>
    <row r="34028" spans="2:2" ht="12.75" customHeight="1" x14ac:dyDescent="0.2">
      <c r="B34028" s="43"/>
    </row>
    <row r="34029" spans="2:2" ht="12.75" customHeight="1" x14ac:dyDescent="0.2">
      <c r="B34029" s="43"/>
    </row>
    <row r="34030" spans="2:2" ht="12.75" customHeight="1" x14ac:dyDescent="0.2">
      <c r="B34030" s="43"/>
    </row>
    <row r="34031" spans="2:2" ht="12.75" customHeight="1" x14ac:dyDescent="0.2">
      <c r="B34031" s="43"/>
    </row>
    <row r="34032" spans="2:2" ht="12.75" customHeight="1" x14ac:dyDescent="0.2">
      <c r="B34032" s="43"/>
    </row>
    <row r="34033" spans="2:2" ht="12.75" customHeight="1" x14ac:dyDescent="0.2">
      <c r="B34033" s="43"/>
    </row>
    <row r="34034" spans="2:2" ht="12.75" customHeight="1" x14ac:dyDescent="0.2">
      <c r="B34034" s="43"/>
    </row>
    <row r="34035" spans="2:2" ht="12.75" customHeight="1" x14ac:dyDescent="0.2">
      <c r="B34035" s="43"/>
    </row>
    <row r="34036" spans="2:2" ht="12.75" customHeight="1" x14ac:dyDescent="0.2">
      <c r="B34036" s="43"/>
    </row>
    <row r="34037" spans="2:2" ht="12.75" customHeight="1" x14ac:dyDescent="0.2">
      <c r="B34037" s="43"/>
    </row>
    <row r="34038" spans="2:2" ht="12.75" customHeight="1" x14ac:dyDescent="0.2">
      <c r="B34038" s="43"/>
    </row>
    <row r="34039" spans="2:2" ht="12.75" customHeight="1" x14ac:dyDescent="0.2">
      <c r="B34039" s="43"/>
    </row>
    <row r="34040" spans="2:2" ht="12.75" customHeight="1" x14ac:dyDescent="0.2">
      <c r="B34040" s="43"/>
    </row>
    <row r="34041" spans="2:2" ht="12.75" customHeight="1" x14ac:dyDescent="0.2">
      <c r="B34041" s="43"/>
    </row>
    <row r="34042" spans="2:2" ht="12.75" customHeight="1" x14ac:dyDescent="0.2">
      <c r="B34042" s="43"/>
    </row>
    <row r="34043" spans="2:2" ht="12.75" customHeight="1" x14ac:dyDescent="0.2">
      <c r="B34043" s="43"/>
    </row>
    <row r="34044" spans="2:2" ht="12.75" customHeight="1" x14ac:dyDescent="0.2">
      <c r="B34044" s="43"/>
    </row>
    <row r="34045" spans="2:2" ht="12.75" customHeight="1" x14ac:dyDescent="0.2">
      <c r="B34045" s="43"/>
    </row>
    <row r="34046" spans="2:2" ht="12.75" customHeight="1" x14ac:dyDescent="0.2">
      <c r="B34046" s="43"/>
    </row>
    <row r="34047" spans="2:2" ht="12.75" customHeight="1" x14ac:dyDescent="0.2">
      <c r="B34047" s="43"/>
    </row>
    <row r="34048" spans="2:2" ht="12.75" customHeight="1" x14ac:dyDescent="0.2">
      <c r="B34048" s="43"/>
    </row>
    <row r="34049" spans="2:2" ht="12.75" customHeight="1" x14ac:dyDescent="0.2">
      <c r="B34049" s="43"/>
    </row>
    <row r="34050" spans="2:2" ht="12.75" customHeight="1" x14ac:dyDescent="0.2">
      <c r="B34050" s="43"/>
    </row>
    <row r="34051" spans="2:2" ht="12.75" customHeight="1" x14ac:dyDescent="0.2">
      <c r="B34051" s="43"/>
    </row>
    <row r="34052" spans="2:2" ht="12.75" customHeight="1" x14ac:dyDescent="0.2">
      <c r="B34052" s="43"/>
    </row>
    <row r="34053" spans="2:2" ht="12.75" customHeight="1" x14ac:dyDescent="0.2">
      <c r="B34053" s="43"/>
    </row>
    <row r="34054" spans="2:2" ht="12.75" customHeight="1" x14ac:dyDescent="0.2">
      <c r="B34054" s="43"/>
    </row>
    <row r="34055" spans="2:2" ht="12.75" customHeight="1" x14ac:dyDescent="0.2">
      <c r="B34055" s="43"/>
    </row>
    <row r="34056" spans="2:2" ht="12.75" customHeight="1" x14ac:dyDescent="0.2">
      <c r="B34056" s="43"/>
    </row>
    <row r="34057" spans="2:2" ht="12.75" customHeight="1" x14ac:dyDescent="0.2">
      <c r="B34057" s="43"/>
    </row>
    <row r="34058" spans="2:2" ht="12.75" customHeight="1" x14ac:dyDescent="0.2">
      <c r="B34058" s="43"/>
    </row>
    <row r="34059" spans="2:2" ht="12.75" customHeight="1" x14ac:dyDescent="0.2">
      <c r="B34059" s="43"/>
    </row>
    <row r="34060" spans="2:2" ht="12.75" customHeight="1" x14ac:dyDescent="0.2">
      <c r="B34060" s="43"/>
    </row>
    <row r="34061" spans="2:2" ht="12.75" customHeight="1" x14ac:dyDescent="0.2">
      <c r="B34061" s="43"/>
    </row>
    <row r="34062" spans="2:2" ht="12.75" customHeight="1" x14ac:dyDescent="0.2">
      <c r="B34062" s="43"/>
    </row>
    <row r="34063" spans="2:2" ht="12.75" customHeight="1" x14ac:dyDescent="0.2">
      <c r="B34063" s="43"/>
    </row>
    <row r="34064" spans="2:2" ht="12.75" customHeight="1" x14ac:dyDescent="0.2">
      <c r="B34064" s="43"/>
    </row>
    <row r="34065" spans="2:2" ht="12.75" customHeight="1" x14ac:dyDescent="0.2">
      <c r="B34065" s="43"/>
    </row>
    <row r="34066" spans="2:2" ht="12.75" customHeight="1" x14ac:dyDescent="0.2">
      <c r="B34066" s="43"/>
    </row>
    <row r="34067" spans="2:2" ht="12.75" customHeight="1" x14ac:dyDescent="0.2">
      <c r="B34067" s="43"/>
    </row>
    <row r="34068" spans="2:2" ht="12.75" customHeight="1" x14ac:dyDescent="0.2">
      <c r="B34068" s="43"/>
    </row>
    <row r="34069" spans="2:2" ht="12.75" customHeight="1" x14ac:dyDescent="0.2">
      <c r="B34069" s="43"/>
    </row>
    <row r="34070" spans="2:2" ht="12.75" customHeight="1" x14ac:dyDescent="0.2">
      <c r="B34070" s="43"/>
    </row>
    <row r="34071" spans="2:2" ht="12.75" customHeight="1" x14ac:dyDescent="0.2">
      <c r="B34071" s="43"/>
    </row>
    <row r="34072" spans="2:2" ht="12.75" customHeight="1" x14ac:dyDescent="0.2">
      <c r="B34072" s="43"/>
    </row>
    <row r="34073" spans="2:2" ht="12.75" customHeight="1" x14ac:dyDescent="0.2">
      <c r="B34073" s="43"/>
    </row>
    <row r="34074" spans="2:2" ht="12.75" customHeight="1" x14ac:dyDescent="0.2">
      <c r="B34074" s="43"/>
    </row>
    <row r="34075" spans="2:2" ht="12.75" customHeight="1" x14ac:dyDescent="0.2">
      <c r="B34075" s="43"/>
    </row>
    <row r="34076" spans="2:2" ht="12.75" customHeight="1" x14ac:dyDescent="0.2">
      <c r="B34076" s="43"/>
    </row>
    <row r="34077" spans="2:2" ht="12.75" customHeight="1" x14ac:dyDescent="0.2">
      <c r="B34077" s="43"/>
    </row>
    <row r="34078" spans="2:2" ht="12.75" customHeight="1" x14ac:dyDescent="0.2">
      <c r="B34078" s="43"/>
    </row>
    <row r="34079" spans="2:2" ht="12.75" customHeight="1" x14ac:dyDescent="0.2">
      <c r="B34079" s="43"/>
    </row>
    <row r="34080" spans="2:2" ht="12.75" customHeight="1" x14ac:dyDescent="0.2">
      <c r="B34080" s="43"/>
    </row>
    <row r="34081" spans="2:2" ht="12.75" customHeight="1" x14ac:dyDescent="0.2">
      <c r="B34081" s="43"/>
    </row>
    <row r="34082" spans="2:2" ht="12.75" customHeight="1" x14ac:dyDescent="0.2">
      <c r="B34082" s="43"/>
    </row>
    <row r="34083" spans="2:2" ht="12.75" customHeight="1" x14ac:dyDescent="0.2">
      <c r="B34083" s="43"/>
    </row>
    <row r="34084" spans="2:2" ht="12.75" customHeight="1" x14ac:dyDescent="0.2">
      <c r="B34084" s="43"/>
    </row>
    <row r="34085" spans="2:2" ht="12.75" customHeight="1" x14ac:dyDescent="0.2">
      <c r="B34085" s="43"/>
    </row>
    <row r="34086" spans="2:2" ht="12.75" customHeight="1" x14ac:dyDescent="0.2">
      <c r="B34086" s="43"/>
    </row>
    <row r="34087" spans="2:2" ht="12.75" customHeight="1" x14ac:dyDescent="0.2">
      <c r="B34087" s="43"/>
    </row>
    <row r="34088" spans="2:2" ht="12.75" customHeight="1" x14ac:dyDescent="0.2">
      <c r="B34088" s="43"/>
    </row>
    <row r="34089" spans="2:2" ht="12.75" customHeight="1" x14ac:dyDescent="0.2">
      <c r="B34089" s="43"/>
    </row>
    <row r="34090" spans="2:2" ht="12.75" customHeight="1" x14ac:dyDescent="0.2">
      <c r="B34090" s="43"/>
    </row>
    <row r="34091" spans="2:2" ht="12.75" customHeight="1" x14ac:dyDescent="0.2">
      <c r="B34091" s="43"/>
    </row>
    <row r="34092" spans="2:2" ht="12.75" customHeight="1" x14ac:dyDescent="0.2">
      <c r="B34092" s="43"/>
    </row>
    <row r="34093" spans="2:2" ht="12.75" customHeight="1" x14ac:dyDescent="0.2">
      <c r="B34093" s="43"/>
    </row>
    <row r="34094" spans="2:2" ht="12.75" customHeight="1" x14ac:dyDescent="0.2">
      <c r="B34094" s="43"/>
    </row>
    <row r="34095" spans="2:2" ht="12.75" customHeight="1" x14ac:dyDescent="0.2">
      <c r="B34095" s="43"/>
    </row>
    <row r="34096" spans="2:2" ht="12.75" customHeight="1" x14ac:dyDescent="0.2">
      <c r="B34096" s="43"/>
    </row>
    <row r="34097" spans="2:2" ht="12.75" customHeight="1" x14ac:dyDescent="0.2">
      <c r="B34097" s="43"/>
    </row>
    <row r="34098" spans="2:2" ht="12.75" customHeight="1" x14ac:dyDescent="0.2">
      <c r="B34098" s="43"/>
    </row>
    <row r="34099" spans="2:2" ht="12.75" customHeight="1" x14ac:dyDescent="0.2">
      <c r="B34099" s="43"/>
    </row>
    <row r="34100" spans="2:2" ht="12.75" customHeight="1" x14ac:dyDescent="0.2">
      <c r="B34100" s="43"/>
    </row>
    <row r="34101" spans="2:2" ht="12.75" customHeight="1" x14ac:dyDescent="0.2">
      <c r="B34101" s="43"/>
    </row>
    <row r="34102" spans="2:2" ht="12.75" customHeight="1" x14ac:dyDescent="0.2">
      <c r="B34102" s="43"/>
    </row>
    <row r="34103" spans="2:2" ht="12.75" customHeight="1" x14ac:dyDescent="0.2">
      <c r="B34103" s="43"/>
    </row>
    <row r="34104" spans="2:2" ht="12.75" customHeight="1" x14ac:dyDescent="0.2">
      <c r="B34104" s="43"/>
    </row>
    <row r="34105" spans="2:2" ht="12.75" customHeight="1" x14ac:dyDescent="0.2">
      <c r="B34105" s="43"/>
    </row>
    <row r="34106" spans="2:2" ht="12.75" customHeight="1" x14ac:dyDescent="0.2">
      <c r="B34106" s="43"/>
    </row>
    <row r="34107" spans="2:2" ht="12.75" customHeight="1" x14ac:dyDescent="0.2">
      <c r="B34107" s="43"/>
    </row>
    <row r="34108" spans="2:2" ht="12.75" customHeight="1" x14ac:dyDescent="0.2">
      <c r="B34108" s="43"/>
    </row>
    <row r="34109" spans="2:2" ht="12.75" customHeight="1" x14ac:dyDescent="0.2">
      <c r="B34109" s="43"/>
    </row>
    <row r="34110" spans="2:2" ht="12.75" customHeight="1" x14ac:dyDescent="0.2">
      <c r="B34110" s="43"/>
    </row>
    <row r="34111" spans="2:2" ht="12.75" customHeight="1" x14ac:dyDescent="0.2">
      <c r="B34111" s="43"/>
    </row>
    <row r="34112" spans="2:2" ht="12.75" customHeight="1" x14ac:dyDescent="0.2">
      <c r="B34112" s="43"/>
    </row>
    <row r="34113" spans="2:2" ht="12.75" customHeight="1" x14ac:dyDescent="0.2">
      <c r="B34113" s="43"/>
    </row>
    <row r="34114" spans="2:2" ht="12.75" customHeight="1" x14ac:dyDescent="0.2">
      <c r="B34114" s="43"/>
    </row>
    <row r="34115" spans="2:2" ht="12.75" customHeight="1" x14ac:dyDescent="0.2">
      <c r="B34115" s="43"/>
    </row>
    <row r="34116" spans="2:2" ht="12.75" customHeight="1" x14ac:dyDescent="0.2">
      <c r="B34116" s="43"/>
    </row>
    <row r="34117" spans="2:2" ht="12.75" customHeight="1" x14ac:dyDescent="0.2">
      <c r="B34117" s="43"/>
    </row>
    <row r="34118" spans="2:2" ht="12.75" customHeight="1" x14ac:dyDescent="0.2">
      <c r="B34118" s="43"/>
    </row>
    <row r="34119" spans="2:2" ht="12.75" customHeight="1" x14ac:dyDescent="0.2">
      <c r="B34119" s="43"/>
    </row>
    <row r="34120" spans="2:2" ht="12.75" customHeight="1" x14ac:dyDescent="0.2">
      <c r="B34120" s="43"/>
    </row>
    <row r="34121" spans="2:2" ht="12.75" customHeight="1" x14ac:dyDescent="0.2">
      <c r="B34121" s="43"/>
    </row>
    <row r="34122" spans="2:2" ht="12.75" customHeight="1" x14ac:dyDescent="0.2">
      <c r="B34122" s="43"/>
    </row>
    <row r="34123" spans="2:2" ht="12.75" customHeight="1" x14ac:dyDescent="0.2">
      <c r="B34123" s="43"/>
    </row>
    <row r="34124" spans="2:2" ht="12.75" customHeight="1" x14ac:dyDescent="0.2">
      <c r="B34124" s="43"/>
    </row>
    <row r="34125" spans="2:2" ht="12.75" customHeight="1" x14ac:dyDescent="0.2">
      <c r="B34125" s="43"/>
    </row>
    <row r="34126" spans="2:2" ht="12.75" customHeight="1" x14ac:dyDescent="0.2">
      <c r="B34126" s="43"/>
    </row>
    <row r="34127" spans="2:2" ht="12.75" customHeight="1" x14ac:dyDescent="0.2">
      <c r="B34127" s="43"/>
    </row>
    <row r="34128" spans="2:2" ht="12.75" customHeight="1" x14ac:dyDescent="0.2">
      <c r="B34128" s="43"/>
    </row>
    <row r="34129" spans="2:2" ht="12.75" customHeight="1" x14ac:dyDescent="0.2">
      <c r="B34129" s="43"/>
    </row>
    <row r="34130" spans="2:2" ht="12.75" customHeight="1" x14ac:dyDescent="0.2">
      <c r="B34130" s="43"/>
    </row>
    <row r="34131" spans="2:2" ht="12.75" customHeight="1" x14ac:dyDescent="0.2">
      <c r="B34131" s="43"/>
    </row>
    <row r="34132" spans="2:2" ht="12.75" customHeight="1" x14ac:dyDescent="0.2">
      <c r="B34132" s="43"/>
    </row>
    <row r="34133" spans="2:2" ht="12.75" customHeight="1" x14ac:dyDescent="0.2">
      <c r="B34133" s="43"/>
    </row>
    <row r="34134" spans="2:2" ht="12.75" customHeight="1" x14ac:dyDescent="0.2">
      <c r="B34134" s="43"/>
    </row>
    <row r="34135" spans="2:2" ht="12.75" customHeight="1" x14ac:dyDescent="0.2">
      <c r="B34135" s="43"/>
    </row>
    <row r="34136" spans="2:2" ht="12.75" customHeight="1" x14ac:dyDescent="0.2">
      <c r="B34136" s="43"/>
    </row>
    <row r="34137" spans="2:2" ht="12.75" customHeight="1" x14ac:dyDescent="0.2">
      <c r="B34137" s="43"/>
    </row>
    <row r="34138" spans="2:2" ht="12.75" customHeight="1" x14ac:dyDescent="0.2">
      <c r="B34138" s="43"/>
    </row>
    <row r="34139" spans="2:2" ht="12.75" customHeight="1" x14ac:dyDescent="0.2">
      <c r="B34139" s="43"/>
    </row>
    <row r="34140" spans="2:2" ht="12.75" customHeight="1" x14ac:dyDescent="0.2">
      <c r="B34140" s="43"/>
    </row>
    <row r="34141" spans="2:2" ht="12.75" customHeight="1" x14ac:dyDescent="0.2">
      <c r="B34141" s="43"/>
    </row>
    <row r="34142" spans="2:2" ht="12.75" customHeight="1" x14ac:dyDescent="0.2">
      <c r="B34142" s="43"/>
    </row>
    <row r="34143" spans="2:2" ht="12.75" customHeight="1" x14ac:dyDescent="0.2">
      <c r="B34143" s="43"/>
    </row>
    <row r="34144" spans="2:2" ht="12.75" customHeight="1" x14ac:dyDescent="0.2">
      <c r="B34144" s="43"/>
    </row>
    <row r="34145" spans="2:2" ht="12.75" customHeight="1" x14ac:dyDescent="0.2">
      <c r="B34145" s="43"/>
    </row>
    <row r="34146" spans="2:2" ht="12.75" customHeight="1" x14ac:dyDescent="0.2">
      <c r="B34146" s="43"/>
    </row>
    <row r="34147" spans="2:2" ht="12.75" customHeight="1" x14ac:dyDescent="0.2">
      <c r="B34147" s="43"/>
    </row>
    <row r="34148" spans="2:2" ht="12.75" customHeight="1" x14ac:dyDescent="0.2">
      <c r="B34148" s="43"/>
    </row>
    <row r="34149" spans="2:2" ht="12.75" customHeight="1" x14ac:dyDescent="0.2">
      <c r="B34149" s="43"/>
    </row>
    <row r="34150" spans="2:2" ht="12.75" customHeight="1" x14ac:dyDescent="0.2">
      <c r="B34150" s="43"/>
    </row>
    <row r="34151" spans="2:2" ht="12.75" customHeight="1" x14ac:dyDescent="0.2">
      <c r="B34151" s="43"/>
    </row>
    <row r="34152" spans="2:2" ht="12.75" customHeight="1" x14ac:dyDescent="0.2">
      <c r="B34152" s="43"/>
    </row>
    <row r="34153" spans="2:2" ht="12.75" customHeight="1" x14ac:dyDescent="0.2">
      <c r="B34153" s="43"/>
    </row>
    <row r="34154" spans="2:2" ht="12.75" customHeight="1" x14ac:dyDescent="0.2">
      <c r="B34154" s="43"/>
    </row>
    <row r="34155" spans="2:2" ht="12.75" customHeight="1" x14ac:dyDescent="0.2">
      <c r="B34155" s="43"/>
    </row>
    <row r="34156" spans="2:2" ht="12.75" customHeight="1" x14ac:dyDescent="0.2">
      <c r="B34156" s="43"/>
    </row>
    <row r="34157" spans="2:2" ht="12.75" customHeight="1" x14ac:dyDescent="0.2">
      <c r="B34157" s="43"/>
    </row>
    <row r="34158" spans="2:2" ht="12.75" customHeight="1" x14ac:dyDescent="0.2">
      <c r="B34158" s="43"/>
    </row>
    <row r="34159" spans="2:2" ht="12.75" customHeight="1" x14ac:dyDescent="0.2">
      <c r="B34159" s="43"/>
    </row>
    <row r="34160" spans="2:2" ht="12.75" customHeight="1" x14ac:dyDescent="0.2">
      <c r="B34160" s="43"/>
    </row>
    <row r="34161" spans="2:2" ht="12.75" customHeight="1" x14ac:dyDescent="0.2">
      <c r="B34161" s="43"/>
    </row>
    <row r="34162" spans="2:2" ht="12.75" customHeight="1" x14ac:dyDescent="0.2">
      <c r="B34162" s="43"/>
    </row>
    <row r="34163" spans="2:2" ht="12.75" customHeight="1" x14ac:dyDescent="0.2">
      <c r="B34163" s="43"/>
    </row>
    <row r="34164" spans="2:2" ht="12.75" customHeight="1" x14ac:dyDescent="0.2">
      <c r="B34164" s="43"/>
    </row>
    <row r="34165" spans="2:2" ht="12.75" customHeight="1" x14ac:dyDescent="0.2">
      <c r="B34165" s="43"/>
    </row>
    <row r="34166" spans="2:2" ht="12.75" customHeight="1" x14ac:dyDescent="0.2">
      <c r="B34166" s="43"/>
    </row>
    <row r="34167" spans="2:2" ht="12.75" customHeight="1" x14ac:dyDescent="0.2">
      <c r="B34167" s="43"/>
    </row>
    <row r="34168" spans="2:2" ht="12.75" customHeight="1" x14ac:dyDescent="0.2">
      <c r="B34168" s="43"/>
    </row>
    <row r="34169" spans="2:2" ht="12.75" customHeight="1" x14ac:dyDescent="0.2">
      <c r="B34169" s="43"/>
    </row>
    <row r="34170" spans="2:2" ht="12.75" customHeight="1" x14ac:dyDescent="0.2">
      <c r="B34170" s="43"/>
    </row>
    <row r="34171" spans="2:2" ht="12.75" customHeight="1" x14ac:dyDescent="0.2">
      <c r="B34171" s="43"/>
    </row>
    <row r="34172" spans="2:2" ht="12.75" customHeight="1" x14ac:dyDescent="0.2">
      <c r="B34172" s="43"/>
    </row>
    <row r="34173" spans="2:2" ht="12.75" customHeight="1" x14ac:dyDescent="0.2">
      <c r="B34173" s="43"/>
    </row>
    <row r="34174" spans="2:2" ht="12.75" customHeight="1" x14ac:dyDescent="0.2">
      <c r="B34174" s="43"/>
    </row>
    <row r="34175" spans="2:2" ht="12.75" customHeight="1" x14ac:dyDescent="0.2">
      <c r="B34175" s="43"/>
    </row>
    <row r="34176" spans="2:2" ht="12.75" customHeight="1" x14ac:dyDescent="0.2">
      <c r="B34176" s="43"/>
    </row>
    <row r="34177" spans="2:2" ht="12.75" customHeight="1" x14ac:dyDescent="0.2">
      <c r="B34177" s="43"/>
    </row>
    <row r="34178" spans="2:2" ht="12.75" customHeight="1" x14ac:dyDescent="0.2">
      <c r="B34178" s="43"/>
    </row>
    <row r="34179" spans="2:2" ht="12.75" customHeight="1" x14ac:dyDescent="0.2">
      <c r="B34179" s="43"/>
    </row>
    <row r="34180" spans="2:2" ht="12.75" customHeight="1" x14ac:dyDescent="0.2">
      <c r="B34180" s="43"/>
    </row>
    <row r="34181" spans="2:2" ht="12.75" customHeight="1" x14ac:dyDescent="0.2">
      <c r="B34181" s="43"/>
    </row>
    <row r="34182" spans="2:2" ht="12.75" customHeight="1" x14ac:dyDescent="0.2">
      <c r="B34182" s="43"/>
    </row>
    <row r="34183" spans="2:2" ht="12.75" customHeight="1" x14ac:dyDescent="0.2">
      <c r="B34183" s="43"/>
    </row>
    <row r="34184" spans="2:2" ht="12.75" customHeight="1" x14ac:dyDescent="0.2">
      <c r="B34184" s="43"/>
    </row>
    <row r="34185" spans="2:2" ht="12.75" customHeight="1" x14ac:dyDescent="0.2">
      <c r="B34185" s="43"/>
    </row>
    <row r="34186" spans="2:2" ht="12.75" customHeight="1" x14ac:dyDescent="0.2">
      <c r="B34186" s="43"/>
    </row>
    <row r="34187" spans="2:2" ht="12.75" customHeight="1" x14ac:dyDescent="0.2">
      <c r="B34187" s="43"/>
    </row>
    <row r="34188" spans="2:2" ht="12.75" customHeight="1" x14ac:dyDescent="0.2">
      <c r="B34188" s="43"/>
    </row>
    <row r="34189" spans="2:2" ht="12.75" customHeight="1" x14ac:dyDescent="0.2">
      <c r="B34189" s="43"/>
    </row>
    <row r="34190" spans="2:2" ht="12.75" customHeight="1" x14ac:dyDescent="0.2">
      <c r="B34190" s="43"/>
    </row>
    <row r="34191" spans="2:2" ht="12.75" customHeight="1" x14ac:dyDescent="0.2">
      <c r="B34191" s="43"/>
    </row>
    <row r="34192" spans="2:2" ht="12.75" customHeight="1" x14ac:dyDescent="0.2">
      <c r="B34192" s="43"/>
    </row>
    <row r="34193" spans="2:2" ht="12.75" customHeight="1" x14ac:dyDescent="0.2">
      <c r="B34193" s="43"/>
    </row>
    <row r="34194" spans="2:2" ht="12.75" customHeight="1" x14ac:dyDescent="0.2">
      <c r="B34194" s="43"/>
    </row>
    <row r="34195" spans="2:2" ht="12.75" customHeight="1" x14ac:dyDescent="0.2">
      <c r="B34195" s="43"/>
    </row>
    <row r="34196" spans="2:2" ht="12.75" customHeight="1" x14ac:dyDescent="0.2">
      <c r="B34196" s="43"/>
    </row>
    <row r="34197" spans="2:2" ht="12.75" customHeight="1" x14ac:dyDescent="0.2">
      <c r="B34197" s="43"/>
    </row>
    <row r="34198" spans="2:2" ht="12.75" customHeight="1" x14ac:dyDescent="0.2">
      <c r="B34198" s="43"/>
    </row>
    <row r="34199" spans="2:2" ht="12.75" customHeight="1" x14ac:dyDescent="0.2">
      <c r="B34199" s="43"/>
    </row>
    <row r="34200" spans="2:2" ht="12.75" customHeight="1" x14ac:dyDescent="0.2">
      <c r="B34200" s="43"/>
    </row>
    <row r="34201" spans="2:2" ht="12.75" customHeight="1" x14ac:dyDescent="0.2">
      <c r="B34201" s="43"/>
    </row>
    <row r="34202" spans="2:2" ht="12.75" customHeight="1" x14ac:dyDescent="0.2">
      <c r="B34202" s="43"/>
    </row>
    <row r="34203" spans="2:2" ht="12.75" customHeight="1" x14ac:dyDescent="0.2">
      <c r="B34203" s="43"/>
    </row>
    <row r="34204" spans="2:2" ht="12.75" customHeight="1" x14ac:dyDescent="0.2">
      <c r="B34204" s="43"/>
    </row>
    <row r="34205" spans="2:2" ht="12.75" customHeight="1" x14ac:dyDescent="0.2">
      <c r="B34205" s="43"/>
    </row>
    <row r="34206" spans="2:2" ht="12.75" customHeight="1" x14ac:dyDescent="0.2">
      <c r="B34206" s="43"/>
    </row>
    <row r="34207" spans="2:2" ht="12.75" customHeight="1" x14ac:dyDescent="0.2">
      <c r="B34207" s="43"/>
    </row>
    <row r="34208" spans="2:2" ht="12.75" customHeight="1" x14ac:dyDescent="0.2">
      <c r="B34208" s="43"/>
    </row>
    <row r="34209" spans="2:2" ht="12.75" customHeight="1" x14ac:dyDescent="0.2">
      <c r="B34209" s="43"/>
    </row>
    <row r="34210" spans="2:2" ht="12.75" customHeight="1" x14ac:dyDescent="0.2">
      <c r="B34210" s="43"/>
    </row>
    <row r="34211" spans="2:2" ht="12.75" customHeight="1" x14ac:dyDescent="0.2">
      <c r="B34211" s="43"/>
    </row>
    <row r="34212" spans="2:2" ht="12.75" customHeight="1" x14ac:dyDescent="0.2">
      <c r="B34212" s="43"/>
    </row>
    <row r="34213" spans="2:2" ht="12.75" customHeight="1" x14ac:dyDescent="0.2">
      <c r="B34213" s="43"/>
    </row>
    <row r="34214" spans="2:2" ht="12.75" customHeight="1" x14ac:dyDescent="0.2">
      <c r="B34214" s="43"/>
    </row>
    <row r="34215" spans="2:2" ht="12.75" customHeight="1" x14ac:dyDescent="0.2">
      <c r="B34215" s="43"/>
    </row>
    <row r="34216" spans="2:2" ht="12.75" customHeight="1" x14ac:dyDescent="0.2">
      <c r="B34216" s="43"/>
    </row>
    <row r="34217" spans="2:2" ht="12.75" customHeight="1" x14ac:dyDescent="0.2">
      <c r="B34217" s="43"/>
    </row>
    <row r="34218" spans="2:2" ht="12.75" customHeight="1" x14ac:dyDescent="0.2">
      <c r="B34218" s="43"/>
    </row>
    <row r="34219" spans="2:2" ht="12.75" customHeight="1" x14ac:dyDescent="0.2">
      <c r="B34219" s="43"/>
    </row>
    <row r="34220" spans="2:2" ht="12.75" customHeight="1" x14ac:dyDescent="0.2">
      <c r="B34220" s="43"/>
    </row>
    <row r="34221" spans="2:2" ht="12.75" customHeight="1" x14ac:dyDescent="0.2">
      <c r="B34221" s="43"/>
    </row>
    <row r="34222" spans="2:2" ht="12.75" customHeight="1" x14ac:dyDescent="0.2">
      <c r="B34222" s="43"/>
    </row>
    <row r="34223" spans="2:2" ht="12.75" customHeight="1" x14ac:dyDescent="0.2">
      <c r="B34223" s="43"/>
    </row>
    <row r="34224" spans="2:2" ht="12.75" customHeight="1" x14ac:dyDescent="0.2">
      <c r="B34224" s="43"/>
    </row>
    <row r="34225" spans="2:2" ht="12.75" customHeight="1" x14ac:dyDescent="0.2">
      <c r="B34225" s="43"/>
    </row>
    <row r="34226" spans="2:2" ht="12.75" customHeight="1" x14ac:dyDescent="0.2">
      <c r="B34226" s="43"/>
    </row>
    <row r="34227" spans="2:2" ht="12.75" customHeight="1" x14ac:dyDescent="0.2">
      <c r="B34227" s="43"/>
    </row>
    <row r="34228" spans="2:2" ht="12.75" customHeight="1" x14ac:dyDescent="0.2">
      <c r="B34228" s="43"/>
    </row>
    <row r="34229" spans="2:2" ht="12.75" customHeight="1" x14ac:dyDescent="0.2">
      <c r="B34229" s="43"/>
    </row>
    <row r="34230" spans="2:2" ht="12.75" customHeight="1" x14ac:dyDescent="0.2">
      <c r="B34230" s="43"/>
    </row>
    <row r="34231" spans="2:2" ht="12.75" customHeight="1" x14ac:dyDescent="0.2">
      <c r="B34231" s="43"/>
    </row>
    <row r="34232" spans="2:2" ht="12.75" customHeight="1" x14ac:dyDescent="0.2">
      <c r="B34232" s="43"/>
    </row>
    <row r="34233" spans="2:2" ht="12.75" customHeight="1" x14ac:dyDescent="0.2">
      <c r="B34233" s="43"/>
    </row>
    <row r="34234" spans="2:2" ht="12.75" customHeight="1" x14ac:dyDescent="0.2">
      <c r="B34234" s="43"/>
    </row>
    <row r="34235" spans="2:2" ht="12.75" customHeight="1" x14ac:dyDescent="0.2">
      <c r="B34235" s="43"/>
    </row>
    <row r="34236" spans="2:2" ht="12.75" customHeight="1" x14ac:dyDescent="0.2">
      <c r="B34236" s="43"/>
    </row>
    <row r="34237" spans="2:2" ht="12.75" customHeight="1" x14ac:dyDescent="0.2">
      <c r="B34237" s="43"/>
    </row>
    <row r="34238" spans="2:2" ht="12.75" customHeight="1" x14ac:dyDescent="0.2">
      <c r="B34238" s="43"/>
    </row>
    <row r="34239" spans="2:2" ht="12.75" customHeight="1" x14ac:dyDescent="0.2">
      <c r="B34239" s="43"/>
    </row>
    <row r="34240" spans="2:2" ht="12.75" customHeight="1" x14ac:dyDescent="0.2">
      <c r="B34240" s="43"/>
    </row>
    <row r="34241" spans="2:2" ht="12.75" customHeight="1" x14ac:dyDescent="0.2">
      <c r="B34241" s="43"/>
    </row>
    <row r="34242" spans="2:2" ht="12.75" customHeight="1" x14ac:dyDescent="0.2">
      <c r="B34242" s="43"/>
    </row>
    <row r="34243" spans="2:2" ht="12.75" customHeight="1" x14ac:dyDescent="0.2">
      <c r="B34243" s="43"/>
    </row>
    <row r="34244" spans="2:2" ht="12.75" customHeight="1" x14ac:dyDescent="0.2">
      <c r="B34244" s="43"/>
    </row>
    <row r="34245" spans="2:2" ht="12.75" customHeight="1" x14ac:dyDescent="0.2">
      <c r="B34245" s="43"/>
    </row>
    <row r="34246" spans="2:2" ht="12.75" customHeight="1" x14ac:dyDescent="0.2">
      <c r="B34246" s="43"/>
    </row>
    <row r="34247" spans="2:2" ht="12.75" customHeight="1" x14ac:dyDescent="0.2">
      <c r="B34247" s="43"/>
    </row>
    <row r="34248" spans="2:2" ht="12.75" customHeight="1" x14ac:dyDescent="0.2">
      <c r="B34248" s="43"/>
    </row>
    <row r="34249" spans="2:2" ht="12.75" customHeight="1" x14ac:dyDescent="0.2">
      <c r="B34249" s="43"/>
    </row>
    <row r="34250" spans="2:2" ht="12.75" customHeight="1" x14ac:dyDescent="0.2">
      <c r="B34250" s="43"/>
    </row>
    <row r="34251" spans="2:2" ht="12.75" customHeight="1" x14ac:dyDescent="0.2">
      <c r="B34251" s="43"/>
    </row>
    <row r="34252" spans="2:2" ht="12.75" customHeight="1" x14ac:dyDescent="0.2">
      <c r="B34252" s="43"/>
    </row>
    <row r="34253" spans="2:2" ht="12.75" customHeight="1" x14ac:dyDescent="0.2">
      <c r="B34253" s="43"/>
    </row>
    <row r="34254" spans="2:2" ht="12.75" customHeight="1" x14ac:dyDescent="0.2">
      <c r="B34254" s="43"/>
    </row>
    <row r="34255" spans="2:2" ht="12.75" customHeight="1" x14ac:dyDescent="0.2">
      <c r="B34255" s="43"/>
    </row>
    <row r="34256" spans="2:2" ht="12.75" customHeight="1" x14ac:dyDescent="0.2">
      <c r="B34256" s="43"/>
    </row>
    <row r="34257" spans="2:2" ht="12.75" customHeight="1" x14ac:dyDescent="0.2">
      <c r="B34257" s="43"/>
    </row>
    <row r="34258" spans="2:2" ht="12.75" customHeight="1" x14ac:dyDescent="0.2">
      <c r="B34258" s="43"/>
    </row>
    <row r="34259" spans="2:2" ht="12.75" customHeight="1" x14ac:dyDescent="0.2">
      <c r="B34259" s="43"/>
    </row>
    <row r="34260" spans="2:2" ht="12.75" customHeight="1" x14ac:dyDescent="0.2">
      <c r="B34260" s="43"/>
    </row>
    <row r="34261" spans="2:2" ht="12.75" customHeight="1" x14ac:dyDescent="0.2">
      <c r="B34261" s="43"/>
    </row>
    <row r="34262" spans="2:2" ht="12.75" customHeight="1" x14ac:dyDescent="0.2">
      <c r="B34262" s="43"/>
    </row>
    <row r="34263" spans="2:2" ht="12.75" customHeight="1" x14ac:dyDescent="0.2">
      <c r="B34263" s="43"/>
    </row>
    <row r="34264" spans="2:2" ht="12.75" customHeight="1" x14ac:dyDescent="0.2">
      <c r="B34264" s="43"/>
    </row>
    <row r="34265" spans="2:2" ht="12.75" customHeight="1" x14ac:dyDescent="0.2">
      <c r="B34265" s="43"/>
    </row>
    <row r="34266" spans="2:2" ht="12.75" customHeight="1" x14ac:dyDescent="0.2">
      <c r="B34266" s="43"/>
    </row>
    <row r="34267" spans="2:2" ht="12.75" customHeight="1" x14ac:dyDescent="0.2">
      <c r="B34267" s="43"/>
    </row>
    <row r="34268" spans="2:2" ht="12.75" customHeight="1" x14ac:dyDescent="0.2">
      <c r="B34268" s="43"/>
    </row>
    <row r="34269" spans="2:2" ht="12.75" customHeight="1" x14ac:dyDescent="0.2">
      <c r="B34269" s="43"/>
    </row>
    <row r="34270" spans="2:2" ht="12.75" customHeight="1" x14ac:dyDescent="0.2">
      <c r="B34270" s="43"/>
    </row>
    <row r="34271" spans="2:2" ht="12.75" customHeight="1" x14ac:dyDescent="0.2">
      <c r="B34271" s="43"/>
    </row>
    <row r="34272" spans="2:2" ht="12.75" customHeight="1" x14ac:dyDescent="0.2">
      <c r="B34272" s="43"/>
    </row>
    <row r="34273" spans="2:2" ht="12.75" customHeight="1" x14ac:dyDescent="0.2">
      <c r="B34273" s="43"/>
    </row>
    <row r="34274" spans="2:2" ht="12.75" customHeight="1" x14ac:dyDescent="0.2">
      <c r="B34274" s="43"/>
    </row>
    <row r="34275" spans="2:2" ht="12.75" customHeight="1" x14ac:dyDescent="0.2">
      <c r="B34275" s="43"/>
    </row>
    <row r="34276" spans="2:2" ht="12.75" customHeight="1" x14ac:dyDescent="0.2">
      <c r="B34276" s="43"/>
    </row>
    <row r="34277" spans="2:2" ht="12.75" customHeight="1" x14ac:dyDescent="0.2">
      <c r="B34277" s="43"/>
    </row>
    <row r="34278" spans="2:2" ht="12.75" customHeight="1" x14ac:dyDescent="0.2">
      <c r="B34278" s="43"/>
    </row>
    <row r="34279" spans="2:2" ht="12.75" customHeight="1" x14ac:dyDescent="0.2">
      <c r="B34279" s="43"/>
    </row>
    <row r="34280" spans="2:2" ht="12.75" customHeight="1" x14ac:dyDescent="0.2">
      <c r="B34280" s="43"/>
    </row>
    <row r="34281" spans="2:2" ht="12.75" customHeight="1" x14ac:dyDescent="0.2">
      <c r="B34281" s="43"/>
    </row>
    <row r="34282" spans="2:2" ht="12.75" customHeight="1" x14ac:dyDescent="0.2">
      <c r="B34282" s="43"/>
    </row>
    <row r="34283" spans="2:2" ht="12.75" customHeight="1" x14ac:dyDescent="0.2">
      <c r="B34283" s="43"/>
    </row>
    <row r="34284" spans="2:2" ht="12.75" customHeight="1" x14ac:dyDescent="0.2">
      <c r="B34284" s="43"/>
    </row>
    <row r="34285" spans="2:2" ht="12.75" customHeight="1" x14ac:dyDescent="0.2">
      <c r="B34285" s="43"/>
    </row>
    <row r="34286" spans="2:2" ht="12.75" customHeight="1" x14ac:dyDescent="0.2">
      <c r="B34286" s="43"/>
    </row>
    <row r="34287" spans="2:2" ht="12.75" customHeight="1" x14ac:dyDescent="0.2">
      <c r="B34287" s="43"/>
    </row>
    <row r="34288" spans="2:2" ht="12.75" customHeight="1" x14ac:dyDescent="0.2">
      <c r="B34288" s="43"/>
    </row>
    <row r="34289" spans="2:2" ht="12.75" customHeight="1" x14ac:dyDescent="0.2">
      <c r="B34289" s="43"/>
    </row>
    <row r="34290" spans="2:2" ht="12.75" customHeight="1" x14ac:dyDescent="0.2">
      <c r="B34290" s="43"/>
    </row>
    <row r="34291" spans="2:2" ht="12.75" customHeight="1" x14ac:dyDescent="0.2">
      <c r="B34291" s="43"/>
    </row>
    <row r="34292" spans="2:2" ht="12.75" customHeight="1" x14ac:dyDescent="0.2">
      <c r="B34292" s="43"/>
    </row>
    <row r="34293" spans="2:2" ht="12.75" customHeight="1" x14ac:dyDescent="0.2">
      <c r="B34293" s="43"/>
    </row>
    <row r="34294" spans="2:2" ht="12.75" customHeight="1" x14ac:dyDescent="0.2">
      <c r="B34294" s="43"/>
    </row>
    <row r="34295" spans="2:2" ht="12.75" customHeight="1" x14ac:dyDescent="0.2">
      <c r="B34295" s="43"/>
    </row>
    <row r="34296" spans="2:2" ht="12.75" customHeight="1" x14ac:dyDescent="0.2">
      <c r="B34296" s="43"/>
    </row>
    <row r="34297" spans="2:2" ht="12.75" customHeight="1" x14ac:dyDescent="0.2">
      <c r="B34297" s="43"/>
    </row>
    <row r="34298" spans="2:2" ht="12.75" customHeight="1" x14ac:dyDescent="0.2">
      <c r="B34298" s="43"/>
    </row>
    <row r="34299" spans="2:2" ht="12.75" customHeight="1" x14ac:dyDescent="0.2">
      <c r="B34299" s="43"/>
    </row>
    <row r="34300" spans="2:2" ht="12.75" customHeight="1" x14ac:dyDescent="0.2">
      <c r="B34300" s="43"/>
    </row>
    <row r="34301" spans="2:2" ht="12.75" customHeight="1" x14ac:dyDescent="0.2">
      <c r="B34301" s="43"/>
    </row>
    <row r="34302" spans="2:2" ht="12.75" customHeight="1" x14ac:dyDescent="0.2">
      <c r="B34302" s="43"/>
    </row>
    <row r="34303" spans="2:2" ht="12.75" customHeight="1" x14ac:dyDescent="0.2">
      <c r="B34303" s="43"/>
    </row>
    <row r="34304" spans="2:2" ht="12.75" customHeight="1" x14ac:dyDescent="0.2">
      <c r="B34304" s="43"/>
    </row>
    <row r="34305" spans="2:2" ht="12.75" customHeight="1" x14ac:dyDescent="0.2">
      <c r="B34305" s="43"/>
    </row>
    <row r="34306" spans="2:2" ht="12.75" customHeight="1" x14ac:dyDescent="0.2">
      <c r="B34306" s="43"/>
    </row>
    <row r="34307" spans="2:2" ht="12.75" customHeight="1" x14ac:dyDescent="0.2">
      <c r="B34307" s="43"/>
    </row>
    <row r="34308" spans="2:2" ht="12.75" customHeight="1" x14ac:dyDescent="0.2">
      <c r="B34308" s="43"/>
    </row>
    <row r="34309" spans="2:2" ht="12.75" customHeight="1" x14ac:dyDescent="0.2">
      <c r="B34309" s="43"/>
    </row>
    <row r="34310" spans="2:2" ht="12.75" customHeight="1" x14ac:dyDescent="0.2">
      <c r="B34310" s="43"/>
    </row>
    <row r="34311" spans="2:2" ht="12.75" customHeight="1" x14ac:dyDescent="0.2">
      <c r="B34311" s="43"/>
    </row>
    <row r="34312" spans="2:2" ht="12.75" customHeight="1" x14ac:dyDescent="0.2">
      <c r="B34312" s="43"/>
    </row>
    <row r="34313" spans="2:2" ht="12.75" customHeight="1" x14ac:dyDescent="0.2">
      <c r="B34313" s="43"/>
    </row>
    <row r="34314" spans="2:2" ht="12.75" customHeight="1" x14ac:dyDescent="0.2">
      <c r="B34314" s="43"/>
    </row>
    <row r="34315" spans="2:2" ht="12.75" customHeight="1" x14ac:dyDescent="0.2">
      <c r="B34315" s="43"/>
    </row>
    <row r="34316" spans="2:2" ht="12.75" customHeight="1" x14ac:dyDescent="0.2">
      <c r="B34316" s="43"/>
    </row>
    <row r="34317" spans="2:2" ht="12.75" customHeight="1" x14ac:dyDescent="0.2">
      <c r="B34317" s="43"/>
    </row>
    <row r="34318" spans="2:2" ht="12.75" customHeight="1" x14ac:dyDescent="0.2">
      <c r="B34318" s="43"/>
    </row>
    <row r="34319" spans="2:2" ht="12.75" customHeight="1" x14ac:dyDescent="0.2">
      <c r="B34319" s="43"/>
    </row>
    <row r="34320" spans="2:2" ht="12.75" customHeight="1" x14ac:dyDescent="0.2">
      <c r="B34320" s="43"/>
    </row>
    <row r="34321" spans="2:2" ht="12.75" customHeight="1" x14ac:dyDescent="0.2">
      <c r="B34321" s="43"/>
    </row>
    <row r="34322" spans="2:2" ht="12.75" customHeight="1" x14ac:dyDescent="0.2">
      <c r="B34322" s="43"/>
    </row>
    <row r="34323" spans="2:2" ht="12.75" customHeight="1" x14ac:dyDescent="0.2">
      <c r="B34323" s="43"/>
    </row>
    <row r="34324" spans="2:2" ht="12.75" customHeight="1" x14ac:dyDescent="0.2">
      <c r="B34324" s="43"/>
    </row>
    <row r="34325" spans="2:2" ht="12.75" customHeight="1" x14ac:dyDescent="0.2">
      <c r="B34325" s="43"/>
    </row>
    <row r="34326" spans="2:2" ht="12.75" customHeight="1" x14ac:dyDescent="0.2">
      <c r="B34326" s="43"/>
    </row>
    <row r="34327" spans="2:2" ht="12.75" customHeight="1" x14ac:dyDescent="0.2">
      <c r="B34327" s="43"/>
    </row>
    <row r="34328" spans="2:2" ht="12.75" customHeight="1" x14ac:dyDescent="0.2">
      <c r="B34328" s="43"/>
    </row>
    <row r="34329" spans="2:2" ht="12.75" customHeight="1" x14ac:dyDescent="0.2">
      <c r="B34329" s="43"/>
    </row>
    <row r="34330" spans="2:2" ht="12.75" customHeight="1" x14ac:dyDescent="0.2">
      <c r="B34330" s="43"/>
    </row>
    <row r="34331" spans="2:2" ht="12.75" customHeight="1" x14ac:dyDescent="0.2">
      <c r="B34331" s="43"/>
    </row>
    <row r="34332" spans="2:2" ht="12.75" customHeight="1" x14ac:dyDescent="0.2">
      <c r="B34332" s="43"/>
    </row>
    <row r="34333" spans="2:2" ht="12.75" customHeight="1" x14ac:dyDescent="0.2">
      <c r="B34333" s="43"/>
    </row>
    <row r="34334" spans="2:2" ht="12.75" customHeight="1" x14ac:dyDescent="0.2">
      <c r="B34334" s="43"/>
    </row>
    <row r="34335" spans="2:2" ht="12.75" customHeight="1" x14ac:dyDescent="0.2">
      <c r="B34335" s="43"/>
    </row>
    <row r="34336" spans="2:2" ht="12.75" customHeight="1" x14ac:dyDescent="0.2">
      <c r="B34336" s="43"/>
    </row>
    <row r="34337" spans="2:2" ht="12.75" customHeight="1" x14ac:dyDescent="0.2">
      <c r="B34337" s="43"/>
    </row>
    <row r="34338" spans="2:2" ht="12.75" customHeight="1" x14ac:dyDescent="0.2">
      <c r="B34338" s="43"/>
    </row>
    <row r="34339" spans="2:2" ht="12.75" customHeight="1" x14ac:dyDescent="0.2">
      <c r="B34339" s="43"/>
    </row>
    <row r="34340" spans="2:2" ht="12.75" customHeight="1" x14ac:dyDescent="0.2">
      <c r="B34340" s="43"/>
    </row>
    <row r="34341" spans="2:2" ht="12.75" customHeight="1" x14ac:dyDescent="0.2">
      <c r="B34341" s="43"/>
    </row>
    <row r="34342" spans="2:2" ht="12.75" customHeight="1" x14ac:dyDescent="0.2">
      <c r="B34342" s="43"/>
    </row>
    <row r="34343" spans="2:2" ht="12.75" customHeight="1" x14ac:dyDescent="0.2">
      <c r="B34343" s="43"/>
    </row>
    <row r="34344" spans="2:2" ht="12.75" customHeight="1" x14ac:dyDescent="0.2">
      <c r="B34344" s="43"/>
    </row>
    <row r="34345" spans="2:2" ht="12.75" customHeight="1" x14ac:dyDescent="0.2">
      <c r="B34345" s="43"/>
    </row>
    <row r="34346" spans="2:2" ht="12.75" customHeight="1" x14ac:dyDescent="0.2">
      <c r="B34346" s="43"/>
    </row>
    <row r="34347" spans="2:2" ht="12.75" customHeight="1" x14ac:dyDescent="0.2">
      <c r="B34347" s="43"/>
    </row>
    <row r="34348" spans="2:2" ht="12.75" customHeight="1" x14ac:dyDescent="0.2">
      <c r="B34348" s="43"/>
    </row>
    <row r="34349" spans="2:2" ht="12.75" customHeight="1" x14ac:dyDescent="0.2">
      <c r="B34349" s="43"/>
    </row>
    <row r="34350" spans="2:2" ht="12.75" customHeight="1" x14ac:dyDescent="0.2">
      <c r="B34350" s="43"/>
    </row>
    <row r="34351" spans="2:2" ht="12.75" customHeight="1" x14ac:dyDescent="0.2">
      <c r="B34351" s="43"/>
    </row>
    <row r="34352" spans="2:2" ht="12.75" customHeight="1" x14ac:dyDescent="0.2">
      <c r="B34352" s="43"/>
    </row>
    <row r="34353" spans="2:2" ht="12.75" customHeight="1" x14ac:dyDescent="0.2">
      <c r="B34353" s="43"/>
    </row>
    <row r="34354" spans="2:2" ht="12.75" customHeight="1" x14ac:dyDescent="0.2">
      <c r="B34354" s="43"/>
    </row>
    <row r="34355" spans="2:2" ht="12.75" customHeight="1" x14ac:dyDescent="0.2">
      <c r="B34355" s="43"/>
    </row>
    <row r="34356" spans="2:2" ht="12.75" customHeight="1" x14ac:dyDescent="0.2">
      <c r="B34356" s="43"/>
    </row>
    <row r="34357" spans="2:2" ht="12.75" customHeight="1" x14ac:dyDescent="0.2">
      <c r="B34357" s="43"/>
    </row>
    <row r="34358" spans="2:2" ht="12.75" customHeight="1" x14ac:dyDescent="0.2">
      <c r="B34358" s="43"/>
    </row>
    <row r="34359" spans="2:2" ht="12.75" customHeight="1" x14ac:dyDescent="0.2">
      <c r="B34359" s="43"/>
    </row>
    <row r="34360" spans="2:2" ht="12.75" customHeight="1" x14ac:dyDescent="0.2">
      <c r="B34360" s="43"/>
    </row>
    <row r="34361" spans="2:2" ht="12.75" customHeight="1" x14ac:dyDescent="0.2">
      <c r="B34361" s="43"/>
    </row>
    <row r="34362" spans="2:2" ht="12.75" customHeight="1" x14ac:dyDescent="0.2">
      <c r="B34362" s="43"/>
    </row>
    <row r="34363" spans="2:2" ht="12.75" customHeight="1" x14ac:dyDescent="0.2">
      <c r="B34363" s="43"/>
    </row>
    <row r="34364" spans="2:2" ht="12.75" customHeight="1" x14ac:dyDescent="0.2">
      <c r="B34364" s="43"/>
    </row>
    <row r="34365" spans="2:2" ht="12.75" customHeight="1" x14ac:dyDescent="0.2">
      <c r="B34365" s="43"/>
    </row>
    <row r="34366" spans="2:2" ht="12.75" customHeight="1" x14ac:dyDescent="0.2">
      <c r="B34366" s="43"/>
    </row>
    <row r="34367" spans="2:2" ht="12.75" customHeight="1" x14ac:dyDescent="0.2">
      <c r="B34367" s="43"/>
    </row>
    <row r="34368" spans="2:2" ht="12.75" customHeight="1" x14ac:dyDescent="0.2">
      <c r="B34368" s="43"/>
    </row>
    <row r="34369" spans="2:2" ht="12.75" customHeight="1" x14ac:dyDescent="0.2">
      <c r="B34369" s="43"/>
    </row>
    <row r="34370" spans="2:2" ht="12.75" customHeight="1" x14ac:dyDescent="0.2">
      <c r="B34370" s="43"/>
    </row>
    <row r="34371" spans="2:2" ht="12.75" customHeight="1" x14ac:dyDescent="0.2">
      <c r="B34371" s="43"/>
    </row>
    <row r="34372" spans="2:2" ht="12.75" customHeight="1" x14ac:dyDescent="0.2">
      <c r="B34372" s="43"/>
    </row>
    <row r="34373" spans="2:2" ht="12.75" customHeight="1" x14ac:dyDescent="0.2">
      <c r="B34373" s="43"/>
    </row>
    <row r="34374" spans="2:2" ht="12.75" customHeight="1" x14ac:dyDescent="0.2">
      <c r="B34374" s="43"/>
    </row>
    <row r="34375" spans="2:2" ht="12.75" customHeight="1" x14ac:dyDescent="0.2">
      <c r="B34375" s="43"/>
    </row>
    <row r="34376" spans="2:2" ht="12.75" customHeight="1" x14ac:dyDescent="0.2">
      <c r="B34376" s="43"/>
    </row>
    <row r="34377" spans="2:2" ht="12.75" customHeight="1" x14ac:dyDescent="0.2">
      <c r="B34377" s="43"/>
    </row>
    <row r="34378" spans="2:2" ht="12.75" customHeight="1" x14ac:dyDescent="0.2">
      <c r="B34378" s="43"/>
    </row>
    <row r="34379" spans="2:2" ht="12.75" customHeight="1" x14ac:dyDescent="0.2">
      <c r="B34379" s="43"/>
    </row>
    <row r="34380" spans="2:2" ht="12.75" customHeight="1" x14ac:dyDescent="0.2">
      <c r="B34380" s="43"/>
    </row>
    <row r="34381" spans="2:2" ht="12.75" customHeight="1" x14ac:dyDescent="0.2">
      <c r="B34381" s="43"/>
    </row>
    <row r="34382" spans="2:2" ht="12.75" customHeight="1" x14ac:dyDescent="0.2">
      <c r="B34382" s="43"/>
    </row>
    <row r="34383" spans="2:2" ht="12.75" customHeight="1" x14ac:dyDescent="0.2">
      <c r="B34383" s="43"/>
    </row>
    <row r="34384" spans="2:2" ht="12.75" customHeight="1" x14ac:dyDescent="0.2">
      <c r="B34384" s="43"/>
    </row>
    <row r="34385" spans="2:2" ht="12.75" customHeight="1" x14ac:dyDescent="0.2">
      <c r="B34385" s="43"/>
    </row>
    <row r="34386" spans="2:2" ht="12.75" customHeight="1" x14ac:dyDescent="0.2">
      <c r="B34386" s="43"/>
    </row>
    <row r="34387" spans="2:2" ht="12.75" customHeight="1" x14ac:dyDescent="0.2">
      <c r="B34387" s="43"/>
    </row>
    <row r="34388" spans="2:2" ht="12.75" customHeight="1" x14ac:dyDescent="0.2">
      <c r="B34388" s="43"/>
    </row>
    <row r="34389" spans="2:2" ht="12.75" customHeight="1" x14ac:dyDescent="0.2">
      <c r="B34389" s="43"/>
    </row>
    <row r="34390" spans="2:2" ht="12.75" customHeight="1" x14ac:dyDescent="0.2">
      <c r="B34390" s="43"/>
    </row>
    <row r="34391" spans="2:2" ht="12.75" customHeight="1" x14ac:dyDescent="0.2">
      <c r="B34391" s="43"/>
    </row>
    <row r="34392" spans="2:2" ht="12.75" customHeight="1" x14ac:dyDescent="0.2">
      <c r="B34392" s="43"/>
    </row>
    <row r="34393" spans="2:2" ht="12.75" customHeight="1" x14ac:dyDescent="0.2">
      <c r="B34393" s="43"/>
    </row>
    <row r="34394" spans="2:2" ht="12.75" customHeight="1" x14ac:dyDescent="0.2">
      <c r="B34394" s="43"/>
    </row>
    <row r="34395" spans="2:2" ht="12.75" customHeight="1" x14ac:dyDescent="0.2">
      <c r="B34395" s="43"/>
    </row>
    <row r="34396" spans="2:2" ht="12.75" customHeight="1" x14ac:dyDescent="0.2">
      <c r="B34396" s="43"/>
    </row>
    <row r="34397" spans="2:2" ht="12.75" customHeight="1" x14ac:dyDescent="0.2">
      <c r="B34397" s="43"/>
    </row>
    <row r="34398" spans="2:2" ht="12.75" customHeight="1" x14ac:dyDescent="0.2">
      <c r="B34398" s="43"/>
    </row>
    <row r="34399" spans="2:2" ht="12.75" customHeight="1" x14ac:dyDescent="0.2">
      <c r="B34399" s="43"/>
    </row>
    <row r="34400" spans="2:2" ht="12.75" customHeight="1" x14ac:dyDescent="0.2">
      <c r="B34400" s="43"/>
    </row>
    <row r="34401" spans="2:2" ht="12.75" customHeight="1" x14ac:dyDescent="0.2">
      <c r="B34401" s="43"/>
    </row>
    <row r="34402" spans="2:2" ht="12.75" customHeight="1" x14ac:dyDescent="0.2">
      <c r="B34402" s="43"/>
    </row>
    <row r="34403" spans="2:2" ht="12.75" customHeight="1" x14ac:dyDescent="0.2">
      <c r="B34403" s="43"/>
    </row>
    <row r="34404" spans="2:2" ht="12.75" customHeight="1" x14ac:dyDescent="0.2">
      <c r="B34404" s="43"/>
    </row>
    <row r="34405" spans="2:2" ht="12.75" customHeight="1" x14ac:dyDescent="0.2">
      <c r="B34405" s="43"/>
    </row>
    <row r="34406" spans="2:2" ht="12.75" customHeight="1" x14ac:dyDescent="0.2">
      <c r="B34406" s="43"/>
    </row>
    <row r="34407" spans="2:2" ht="12.75" customHeight="1" x14ac:dyDescent="0.2">
      <c r="B34407" s="43"/>
    </row>
    <row r="34408" spans="2:2" ht="12.75" customHeight="1" x14ac:dyDescent="0.2">
      <c r="B34408" s="43"/>
    </row>
    <row r="34409" spans="2:2" ht="12.75" customHeight="1" x14ac:dyDescent="0.2">
      <c r="B34409" s="43"/>
    </row>
    <row r="34410" spans="2:2" ht="12.75" customHeight="1" x14ac:dyDescent="0.2">
      <c r="B34410" s="43"/>
    </row>
    <row r="34411" spans="2:2" ht="12.75" customHeight="1" x14ac:dyDescent="0.2">
      <c r="B34411" s="43"/>
    </row>
    <row r="34412" spans="2:2" ht="12.75" customHeight="1" x14ac:dyDescent="0.2">
      <c r="B34412" s="43"/>
    </row>
    <row r="34413" spans="2:2" ht="12.75" customHeight="1" x14ac:dyDescent="0.2">
      <c r="B34413" s="43"/>
    </row>
    <row r="34414" spans="2:2" ht="12.75" customHeight="1" x14ac:dyDescent="0.2">
      <c r="B34414" s="43"/>
    </row>
    <row r="34415" spans="2:2" ht="12.75" customHeight="1" x14ac:dyDescent="0.2">
      <c r="B34415" s="43"/>
    </row>
    <row r="34416" spans="2:2" ht="12.75" customHeight="1" x14ac:dyDescent="0.2">
      <c r="B34416" s="43"/>
    </row>
    <row r="34417" spans="2:2" ht="12.75" customHeight="1" x14ac:dyDescent="0.2">
      <c r="B34417" s="43"/>
    </row>
    <row r="34418" spans="2:2" ht="12.75" customHeight="1" x14ac:dyDescent="0.2">
      <c r="B34418" s="43"/>
    </row>
    <row r="34419" spans="2:2" ht="12.75" customHeight="1" x14ac:dyDescent="0.2">
      <c r="B34419" s="43"/>
    </row>
    <row r="34420" spans="2:2" ht="12.75" customHeight="1" x14ac:dyDescent="0.2">
      <c r="B34420" s="43"/>
    </row>
    <row r="34421" spans="2:2" ht="12.75" customHeight="1" x14ac:dyDescent="0.2">
      <c r="B34421" s="43"/>
    </row>
    <row r="34422" spans="2:2" ht="12.75" customHeight="1" x14ac:dyDescent="0.2">
      <c r="B34422" s="43"/>
    </row>
    <row r="34423" spans="2:2" ht="12.75" customHeight="1" x14ac:dyDescent="0.2">
      <c r="B34423" s="43"/>
    </row>
    <row r="34424" spans="2:2" ht="12.75" customHeight="1" x14ac:dyDescent="0.2">
      <c r="B34424" s="43"/>
    </row>
    <row r="34425" spans="2:2" ht="12.75" customHeight="1" x14ac:dyDescent="0.2">
      <c r="B34425" s="43"/>
    </row>
    <row r="34426" spans="2:2" ht="12.75" customHeight="1" x14ac:dyDescent="0.2">
      <c r="B34426" s="43"/>
    </row>
    <row r="34427" spans="2:2" ht="12.75" customHeight="1" x14ac:dyDescent="0.2">
      <c r="B34427" s="43"/>
    </row>
    <row r="34428" spans="2:2" ht="12.75" customHeight="1" x14ac:dyDescent="0.2">
      <c r="B34428" s="43"/>
    </row>
    <row r="34429" spans="2:2" ht="12.75" customHeight="1" x14ac:dyDescent="0.2">
      <c r="B34429" s="43"/>
    </row>
    <row r="34430" spans="2:2" ht="12.75" customHeight="1" x14ac:dyDescent="0.2">
      <c r="B34430" s="43"/>
    </row>
    <row r="34431" spans="2:2" ht="12.75" customHeight="1" x14ac:dyDescent="0.2">
      <c r="B34431" s="43"/>
    </row>
    <row r="34432" spans="2:2" ht="12.75" customHeight="1" x14ac:dyDescent="0.2">
      <c r="B34432" s="43"/>
    </row>
    <row r="34433" spans="2:2" ht="12.75" customHeight="1" x14ac:dyDescent="0.2">
      <c r="B34433" s="43"/>
    </row>
    <row r="34434" spans="2:2" ht="12.75" customHeight="1" x14ac:dyDescent="0.2">
      <c r="B34434" s="43"/>
    </row>
    <row r="34435" spans="2:2" ht="12.75" customHeight="1" x14ac:dyDescent="0.2">
      <c r="B34435" s="43"/>
    </row>
    <row r="34436" spans="2:2" ht="12.75" customHeight="1" x14ac:dyDescent="0.2">
      <c r="B34436" s="43"/>
    </row>
    <row r="34437" spans="2:2" ht="12.75" customHeight="1" x14ac:dyDescent="0.2">
      <c r="B34437" s="43"/>
    </row>
    <row r="34438" spans="2:2" ht="12.75" customHeight="1" x14ac:dyDescent="0.2">
      <c r="B34438" s="43"/>
    </row>
    <row r="34439" spans="2:2" ht="12.75" customHeight="1" x14ac:dyDescent="0.2">
      <c r="B34439" s="43"/>
    </row>
    <row r="34440" spans="2:2" ht="12.75" customHeight="1" x14ac:dyDescent="0.2">
      <c r="B34440" s="43"/>
    </row>
    <row r="34441" spans="2:2" ht="12.75" customHeight="1" x14ac:dyDescent="0.2">
      <c r="B34441" s="43"/>
    </row>
    <row r="34442" spans="2:2" ht="12.75" customHeight="1" x14ac:dyDescent="0.2">
      <c r="B34442" s="43"/>
    </row>
    <row r="34443" spans="2:2" ht="12.75" customHeight="1" x14ac:dyDescent="0.2">
      <c r="B34443" s="43"/>
    </row>
    <row r="34444" spans="2:2" ht="12.75" customHeight="1" x14ac:dyDescent="0.2">
      <c r="B34444" s="43"/>
    </row>
    <row r="34445" spans="2:2" ht="12.75" customHeight="1" x14ac:dyDescent="0.2">
      <c r="B34445" s="43"/>
    </row>
    <row r="34446" spans="2:2" ht="12.75" customHeight="1" x14ac:dyDescent="0.2">
      <c r="B34446" s="43"/>
    </row>
    <row r="34447" spans="2:2" ht="12.75" customHeight="1" x14ac:dyDescent="0.2">
      <c r="B34447" s="43"/>
    </row>
    <row r="34448" spans="2:2" ht="12.75" customHeight="1" x14ac:dyDescent="0.2">
      <c r="B34448" s="43"/>
    </row>
    <row r="34449" spans="2:2" ht="12.75" customHeight="1" x14ac:dyDescent="0.2">
      <c r="B34449" s="43"/>
    </row>
    <row r="34450" spans="2:2" ht="12.75" customHeight="1" x14ac:dyDescent="0.2">
      <c r="B34450" s="43"/>
    </row>
    <row r="34451" spans="2:2" ht="12.75" customHeight="1" x14ac:dyDescent="0.2">
      <c r="B34451" s="43"/>
    </row>
    <row r="34452" spans="2:2" ht="12.75" customHeight="1" x14ac:dyDescent="0.2">
      <c r="B34452" s="43"/>
    </row>
    <row r="34453" spans="2:2" ht="12.75" customHeight="1" x14ac:dyDescent="0.2">
      <c r="B34453" s="43"/>
    </row>
    <row r="34454" spans="2:2" ht="12.75" customHeight="1" x14ac:dyDescent="0.2">
      <c r="B34454" s="43"/>
    </row>
    <row r="34455" spans="2:2" ht="12.75" customHeight="1" x14ac:dyDescent="0.2">
      <c r="B34455" s="43"/>
    </row>
    <row r="34456" spans="2:2" ht="12.75" customHeight="1" x14ac:dyDescent="0.2">
      <c r="B34456" s="43"/>
    </row>
    <row r="34457" spans="2:2" ht="12.75" customHeight="1" x14ac:dyDescent="0.2">
      <c r="B34457" s="43"/>
    </row>
    <row r="34458" spans="2:2" ht="12.75" customHeight="1" x14ac:dyDescent="0.2">
      <c r="B34458" s="43"/>
    </row>
    <row r="34459" spans="2:2" ht="12.75" customHeight="1" x14ac:dyDescent="0.2">
      <c r="B34459" s="43"/>
    </row>
    <row r="34460" spans="2:2" ht="12.75" customHeight="1" x14ac:dyDescent="0.2">
      <c r="B34460" s="43"/>
    </row>
    <row r="34461" spans="2:2" ht="12.75" customHeight="1" x14ac:dyDescent="0.2">
      <c r="B34461" s="43"/>
    </row>
    <row r="34462" spans="2:2" ht="12.75" customHeight="1" x14ac:dyDescent="0.2">
      <c r="B34462" s="43"/>
    </row>
    <row r="34463" spans="2:2" ht="12.75" customHeight="1" x14ac:dyDescent="0.2">
      <c r="B34463" s="43"/>
    </row>
    <row r="34464" spans="2:2" ht="12.75" customHeight="1" x14ac:dyDescent="0.2">
      <c r="B34464" s="43"/>
    </row>
    <row r="34465" spans="2:2" ht="12.75" customHeight="1" x14ac:dyDescent="0.2">
      <c r="B34465" s="43"/>
    </row>
    <row r="34466" spans="2:2" ht="12.75" customHeight="1" x14ac:dyDescent="0.2">
      <c r="B34466" s="43"/>
    </row>
    <row r="34467" spans="2:2" ht="12.75" customHeight="1" x14ac:dyDescent="0.2">
      <c r="B34467" s="43"/>
    </row>
    <row r="34468" spans="2:2" ht="12.75" customHeight="1" x14ac:dyDescent="0.2">
      <c r="B34468" s="43"/>
    </row>
    <row r="34469" spans="2:2" ht="12.75" customHeight="1" x14ac:dyDescent="0.2">
      <c r="B34469" s="43"/>
    </row>
    <row r="34470" spans="2:2" ht="12.75" customHeight="1" x14ac:dyDescent="0.2">
      <c r="B34470" s="43"/>
    </row>
    <row r="34471" spans="2:2" ht="12.75" customHeight="1" x14ac:dyDescent="0.2">
      <c r="B34471" s="43"/>
    </row>
    <row r="34472" spans="2:2" ht="12.75" customHeight="1" x14ac:dyDescent="0.2">
      <c r="B34472" s="43"/>
    </row>
    <row r="34473" spans="2:2" ht="12.75" customHeight="1" x14ac:dyDescent="0.2">
      <c r="B34473" s="43"/>
    </row>
    <row r="34474" spans="2:2" ht="12.75" customHeight="1" x14ac:dyDescent="0.2">
      <c r="B34474" s="43"/>
    </row>
    <row r="34475" spans="2:2" ht="12.75" customHeight="1" x14ac:dyDescent="0.2">
      <c r="B34475" s="43"/>
    </row>
    <row r="34476" spans="2:2" ht="12.75" customHeight="1" x14ac:dyDescent="0.2">
      <c r="B34476" s="43"/>
    </row>
    <row r="34477" spans="2:2" ht="12.75" customHeight="1" x14ac:dyDescent="0.2">
      <c r="B34477" s="43"/>
    </row>
    <row r="34478" spans="2:2" ht="12.75" customHeight="1" x14ac:dyDescent="0.2">
      <c r="B34478" s="43"/>
    </row>
    <row r="34479" spans="2:2" ht="12.75" customHeight="1" x14ac:dyDescent="0.2">
      <c r="B34479" s="43"/>
    </row>
    <row r="34480" spans="2:2" ht="12.75" customHeight="1" x14ac:dyDescent="0.2">
      <c r="B34480" s="43"/>
    </row>
    <row r="34481" spans="2:2" ht="12.75" customHeight="1" x14ac:dyDescent="0.2">
      <c r="B34481" s="43"/>
    </row>
    <row r="34482" spans="2:2" ht="12.75" customHeight="1" x14ac:dyDescent="0.2">
      <c r="B34482" s="43"/>
    </row>
    <row r="34483" spans="2:2" ht="12.75" customHeight="1" x14ac:dyDescent="0.2">
      <c r="B34483" s="43"/>
    </row>
    <row r="34484" spans="2:2" ht="12.75" customHeight="1" x14ac:dyDescent="0.2">
      <c r="B34484" s="43"/>
    </row>
    <row r="34485" spans="2:2" ht="12.75" customHeight="1" x14ac:dyDescent="0.2">
      <c r="B34485" s="43"/>
    </row>
    <row r="34486" spans="2:2" ht="12.75" customHeight="1" x14ac:dyDescent="0.2">
      <c r="B34486" s="43"/>
    </row>
    <row r="34487" spans="2:2" ht="12.75" customHeight="1" x14ac:dyDescent="0.2">
      <c r="B34487" s="43"/>
    </row>
    <row r="34488" spans="2:2" ht="12.75" customHeight="1" x14ac:dyDescent="0.2">
      <c r="B34488" s="43"/>
    </row>
    <row r="34489" spans="2:2" ht="12.75" customHeight="1" x14ac:dyDescent="0.2">
      <c r="B34489" s="43"/>
    </row>
    <row r="34490" spans="2:2" ht="12.75" customHeight="1" x14ac:dyDescent="0.2">
      <c r="B34490" s="43"/>
    </row>
    <row r="34491" spans="2:2" ht="12.75" customHeight="1" x14ac:dyDescent="0.2">
      <c r="B34491" s="43"/>
    </row>
    <row r="34492" spans="2:2" ht="12.75" customHeight="1" x14ac:dyDescent="0.2">
      <c r="B34492" s="43"/>
    </row>
    <row r="34493" spans="2:2" ht="12.75" customHeight="1" x14ac:dyDescent="0.2">
      <c r="B34493" s="43"/>
    </row>
    <row r="34494" spans="2:2" ht="12.75" customHeight="1" x14ac:dyDescent="0.2">
      <c r="B34494" s="43"/>
    </row>
    <row r="34495" spans="2:2" ht="12.75" customHeight="1" x14ac:dyDescent="0.2">
      <c r="B34495" s="43"/>
    </row>
    <row r="34496" spans="2:2" ht="12.75" customHeight="1" x14ac:dyDescent="0.2">
      <c r="B34496" s="43"/>
    </row>
    <row r="34497" spans="2:2" ht="12.75" customHeight="1" x14ac:dyDescent="0.2">
      <c r="B34497" s="43"/>
    </row>
    <row r="34498" spans="2:2" ht="12.75" customHeight="1" x14ac:dyDescent="0.2">
      <c r="B34498" s="43"/>
    </row>
    <row r="34499" spans="2:2" ht="12.75" customHeight="1" x14ac:dyDescent="0.2">
      <c r="B34499" s="43"/>
    </row>
    <row r="34500" spans="2:2" ht="12.75" customHeight="1" x14ac:dyDescent="0.2">
      <c r="B34500" s="43"/>
    </row>
    <row r="34501" spans="2:2" ht="12.75" customHeight="1" x14ac:dyDescent="0.2">
      <c r="B34501" s="43"/>
    </row>
    <row r="34502" spans="2:2" ht="12.75" customHeight="1" x14ac:dyDescent="0.2">
      <c r="B34502" s="43"/>
    </row>
    <row r="34503" spans="2:2" ht="12.75" customHeight="1" x14ac:dyDescent="0.2">
      <c r="B34503" s="43"/>
    </row>
    <row r="34504" spans="2:2" ht="12.75" customHeight="1" x14ac:dyDescent="0.2">
      <c r="B34504" s="43"/>
    </row>
    <row r="34505" spans="2:2" ht="12.75" customHeight="1" x14ac:dyDescent="0.2">
      <c r="B34505" s="43"/>
    </row>
    <row r="34506" spans="2:2" ht="12.75" customHeight="1" x14ac:dyDescent="0.2">
      <c r="B34506" s="43"/>
    </row>
    <row r="34507" spans="2:2" ht="12.75" customHeight="1" x14ac:dyDescent="0.2">
      <c r="B34507" s="43"/>
    </row>
    <row r="34508" spans="2:2" ht="12.75" customHeight="1" x14ac:dyDescent="0.2">
      <c r="B34508" s="43"/>
    </row>
    <row r="34509" spans="2:2" ht="12.75" customHeight="1" x14ac:dyDescent="0.2">
      <c r="B34509" s="43"/>
    </row>
    <row r="34510" spans="2:2" ht="12.75" customHeight="1" x14ac:dyDescent="0.2">
      <c r="B34510" s="43"/>
    </row>
    <row r="34511" spans="2:2" ht="12.75" customHeight="1" x14ac:dyDescent="0.2">
      <c r="B34511" s="43"/>
    </row>
    <row r="34512" spans="2:2" ht="12.75" customHeight="1" x14ac:dyDescent="0.2">
      <c r="B34512" s="43"/>
    </row>
    <row r="34513" spans="2:2" ht="12.75" customHeight="1" x14ac:dyDescent="0.2">
      <c r="B34513" s="43"/>
    </row>
    <row r="34514" spans="2:2" ht="12.75" customHeight="1" x14ac:dyDescent="0.2">
      <c r="B34514" s="43"/>
    </row>
    <row r="34515" spans="2:2" ht="12.75" customHeight="1" x14ac:dyDescent="0.2">
      <c r="B34515" s="43"/>
    </row>
    <row r="34516" spans="2:2" ht="12.75" customHeight="1" x14ac:dyDescent="0.2">
      <c r="B34516" s="43"/>
    </row>
    <row r="34517" spans="2:2" ht="12.75" customHeight="1" x14ac:dyDescent="0.2">
      <c r="B34517" s="43"/>
    </row>
    <row r="34518" spans="2:2" ht="12.75" customHeight="1" x14ac:dyDescent="0.2">
      <c r="B34518" s="43"/>
    </row>
    <row r="34519" spans="2:2" ht="12.75" customHeight="1" x14ac:dyDescent="0.2">
      <c r="B34519" s="43"/>
    </row>
    <row r="34520" spans="2:2" ht="12.75" customHeight="1" x14ac:dyDescent="0.2">
      <c r="B34520" s="43"/>
    </row>
    <row r="34521" spans="2:2" ht="12.75" customHeight="1" x14ac:dyDescent="0.2">
      <c r="B34521" s="43"/>
    </row>
    <row r="34522" spans="2:2" ht="12.75" customHeight="1" x14ac:dyDescent="0.2">
      <c r="B34522" s="43"/>
    </row>
    <row r="34523" spans="2:2" ht="12.75" customHeight="1" x14ac:dyDescent="0.2">
      <c r="B34523" s="43"/>
    </row>
    <row r="34524" spans="2:2" ht="12.75" customHeight="1" x14ac:dyDescent="0.2">
      <c r="B34524" s="43"/>
    </row>
    <row r="34525" spans="2:2" ht="12.75" customHeight="1" x14ac:dyDescent="0.2">
      <c r="B34525" s="43"/>
    </row>
    <row r="34526" spans="2:2" ht="12.75" customHeight="1" x14ac:dyDescent="0.2">
      <c r="B34526" s="43"/>
    </row>
    <row r="34527" spans="2:2" ht="12.75" customHeight="1" x14ac:dyDescent="0.2">
      <c r="B34527" s="43"/>
    </row>
    <row r="34528" spans="2:2" ht="12.75" customHeight="1" x14ac:dyDescent="0.2">
      <c r="B34528" s="43"/>
    </row>
    <row r="34529" spans="2:2" ht="12.75" customHeight="1" x14ac:dyDescent="0.2">
      <c r="B34529" s="43"/>
    </row>
    <row r="34530" spans="2:2" ht="12.75" customHeight="1" x14ac:dyDescent="0.2">
      <c r="B34530" s="43"/>
    </row>
    <row r="34531" spans="2:2" ht="12.75" customHeight="1" x14ac:dyDescent="0.2">
      <c r="B34531" s="43"/>
    </row>
    <row r="34532" spans="2:2" ht="12.75" customHeight="1" x14ac:dyDescent="0.2">
      <c r="B34532" s="43"/>
    </row>
    <row r="34533" spans="2:2" ht="12.75" customHeight="1" x14ac:dyDescent="0.2">
      <c r="B34533" s="43"/>
    </row>
    <row r="34534" spans="2:2" ht="12.75" customHeight="1" x14ac:dyDescent="0.2">
      <c r="B34534" s="43"/>
    </row>
    <row r="34535" spans="2:2" ht="12.75" customHeight="1" x14ac:dyDescent="0.2">
      <c r="B34535" s="43"/>
    </row>
    <row r="34536" spans="2:2" ht="12.75" customHeight="1" x14ac:dyDescent="0.2">
      <c r="B34536" s="43"/>
    </row>
    <row r="34537" spans="2:2" ht="12.75" customHeight="1" x14ac:dyDescent="0.2">
      <c r="B34537" s="43"/>
    </row>
    <row r="34538" spans="2:2" ht="12.75" customHeight="1" x14ac:dyDescent="0.2">
      <c r="B34538" s="43"/>
    </row>
    <row r="34539" spans="2:2" ht="12.75" customHeight="1" x14ac:dyDescent="0.2">
      <c r="B34539" s="43"/>
    </row>
    <row r="34540" spans="2:2" ht="12.75" customHeight="1" x14ac:dyDescent="0.2">
      <c r="B34540" s="43"/>
    </row>
    <row r="34541" spans="2:2" ht="12.75" customHeight="1" x14ac:dyDescent="0.2">
      <c r="B34541" s="43"/>
    </row>
    <row r="34542" spans="2:2" ht="12.75" customHeight="1" x14ac:dyDescent="0.2">
      <c r="B34542" s="43"/>
    </row>
    <row r="34543" spans="2:2" ht="12.75" customHeight="1" x14ac:dyDescent="0.2">
      <c r="B34543" s="43"/>
    </row>
    <row r="34544" spans="2:2" ht="12.75" customHeight="1" x14ac:dyDescent="0.2">
      <c r="B34544" s="43"/>
    </row>
    <row r="34545" spans="2:2" ht="12.75" customHeight="1" x14ac:dyDescent="0.2">
      <c r="B34545" s="43"/>
    </row>
    <row r="34546" spans="2:2" ht="12.75" customHeight="1" x14ac:dyDescent="0.2">
      <c r="B34546" s="43"/>
    </row>
    <row r="34547" spans="2:2" ht="12.75" customHeight="1" x14ac:dyDescent="0.2">
      <c r="B34547" s="43"/>
    </row>
    <row r="34548" spans="2:2" ht="12.75" customHeight="1" x14ac:dyDescent="0.2">
      <c r="B34548" s="43"/>
    </row>
    <row r="34549" spans="2:2" ht="12.75" customHeight="1" x14ac:dyDescent="0.2">
      <c r="B34549" s="43"/>
    </row>
    <row r="34550" spans="2:2" ht="12.75" customHeight="1" x14ac:dyDescent="0.2">
      <c r="B34550" s="43"/>
    </row>
    <row r="34551" spans="2:2" ht="12.75" customHeight="1" x14ac:dyDescent="0.2">
      <c r="B34551" s="43"/>
    </row>
    <row r="34552" spans="2:2" ht="12.75" customHeight="1" x14ac:dyDescent="0.2">
      <c r="B34552" s="43"/>
    </row>
    <row r="34553" spans="2:2" ht="12.75" customHeight="1" x14ac:dyDescent="0.2">
      <c r="B34553" s="43"/>
    </row>
    <row r="34554" spans="2:2" ht="12.75" customHeight="1" x14ac:dyDescent="0.2">
      <c r="B34554" s="43"/>
    </row>
    <row r="34555" spans="2:2" ht="12.75" customHeight="1" x14ac:dyDescent="0.2">
      <c r="B34555" s="43"/>
    </row>
    <row r="34556" spans="2:2" ht="12.75" customHeight="1" x14ac:dyDescent="0.2">
      <c r="B34556" s="43"/>
    </row>
    <row r="34557" spans="2:2" ht="12.75" customHeight="1" x14ac:dyDescent="0.2">
      <c r="B34557" s="43"/>
    </row>
    <row r="34558" spans="2:2" ht="12.75" customHeight="1" x14ac:dyDescent="0.2">
      <c r="B34558" s="43"/>
    </row>
    <row r="34559" spans="2:2" ht="12.75" customHeight="1" x14ac:dyDescent="0.2">
      <c r="B34559" s="43"/>
    </row>
    <row r="34560" spans="2:2" ht="12.75" customHeight="1" x14ac:dyDescent="0.2">
      <c r="B34560" s="43"/>
    </row>
    <row r="34561" spans="2:2" ht="12.75" customHeight="1" x14ac:dyDescent="0.2">
      <c r="B34561" s="43"/>
    </row>
    <row r="34562" spans="2:2" ht="12.75" customHeight="1" x14ac:dyDescent="0.2">
      <c r="B34562" s="43"/>
    </row>
    <row r="34563" spans="2:2" ht="12.75" customHeight="1" x14ac:dyDescent="0.2">
      <c r="B34563" s="43"/>
    </row>
    <row r="34564" spans="2:2" ht="12.75" customHeight="1" x14ac:dyDescent="0.2">
      <c r="B34564" s="43"/>
    </row>
    <row r="34565" spans="2:2" ht="12.75" customHeight="1" x14ac:dyDescent="0.2">
      <c r="B34565" s="43"/>
    </row>
    <row r="34566" spans="2:2" ht="12.75" customHeight="1" x14ac:dyDescent="0.2">
      <c r="B34566" s="43"/>
    </row>
    <row r="34567" spans="2:2" ht="12.75" customHeight="1" x14ac:dyDescent="0.2">
      <c r="B34567" s="43"/>
    </row>
    <row r="34568" spans="2:2" ht="12.75" customHeight="1" x14ac:dyDescent="0.2">
      <c r="B34568" s="43"/>
    </row>
    <row r="34569" spans="2:2" ht="12.75" customHeight="1" x14ac:dyDescent="0.2">
      <c r="B34569" s="43"/>
    </row>
    <row r="34570" spans="2:2" ht="12.75" customHeight="1" x14ac:dyDescent="0.2">
      <c r="B34570" s="43"/>
    </row>
    <row r="34571" spans="2:2" ht="12.75" customHeight="1" x14ac:dyDescent="0.2">
      <c r="B34571" s="43"/>
    </row>
    <row r="34572" spans="2:2" ht="12.75" customHeight="1" x14ac:dyDescent="0.2">
      <c r="B34572" s="43"/>
    </row>
    <row r="34573" spans="2:2" ht="12.75" customHeight="1" x14ac:dyDescent="0.2">
      <c r="B34573" s="43"/>
    </row>
    <row r="34574" spans="2:2" ht="12.75" customHeight="1" x14ac:dyDescent="0.2">
      <c r="B34574" s="43"/>
    </row>
    <row r="34575" spans="2:2" ht="12.75" customHeight="1" x14ac:dyDescent="0.2">
      <c r="B34575" s="43"/>
    </row>
    <row r="34576" spans="2:2" ht="12.75" customHeight="1" x14ac:dyDescent="0.2">
      <c r="B34576" s="43"/>
    </row>
    <row r="34577" spans="2:2" ht="12.75" customHeight="1" x14ac:dyDescent="0.2">
      <c r="B34577" s="43"/>
    </row>
    <row r="34578" spans="2:2" ht="12.75" customHeight="1" x14ac:dyDescent="0.2">
      <c r="B34578" s="43"/>
    </row>
    <row r="34579" spans="2:2" ht="12.75" customHeight="1" x14ac:dyDescent="0.2">
      <c r="B34579" s="43"/>
    </row>
    <row r="34580" spans="2:2" ht="12.75" customHeight="1" x14ac:dyDescent="0.2">
      <c r="B34580" s="43"/>
    </row>
    <row r="34581" spans="2:2" ht="12.75" customHeight="1" x14ac:dyDescent="0.2">
      <c r="B34581" s="43"/>
    </row>
    <row r="34582" spans="2:2" ht="12.75" customHeight="1" x14ac:dyDescent="0.2">
      <c r="B34582" s="43"/>
    </row>
    <row r="34583" spans="2:2" ht="12.75" customHeight="1" x14ac:dyDescent="0.2">
      <c r="B34583" s="43"/>
    </row>
    <row r="34584" spans="2:2" ht="12.75" customHeight="1" x14ac:dyDescent="0.2">
      <c r="B34584" s="43"/>
    </row>
    <row r="34585" spans="2:2" ht="12.75" customHeight="1" x14ac:dyDescent="0.2">
      <c r="B34585" s="43"/>
    </row>
    <row r="34586" spans="2:2" ht="12.75" customHeight="1" x14ac:dyDescent="0.2">
      <c r="B34586" s="43"/>
    </row>
    <row r="34587" spans="2:2" ht="12.75" customHeight="1" x14ac:dyDescent="0.2">
      <c r="B34587" s="43"/>
    </row>
    <row r="34588" spans="2:2" ht="12.75" customHeight="1" x14ac:dyDescent="0.2">
      <c r="B34588" s="43"/>
    </row>
    <row r="34589" spans="2:2" ht="12.75" customHeight="1" x14ac:dyDescent="0.2">
      <c r="B34589" s="43"/>
    </row>
    <row r="34590" spans="2:2" ht="12.75" customHeight="1" x14ac:dyDescent="0.2">
      <c r="B34590" s="43"/>
    </row>
    <row r="34591" spans="2:2" ht="12.75" customHeight="1" x14ac:dyDescent="0.2">
      <c r="B34591" s="43"/>
    </row>
    <row r="34592" spans="2:2" ht="12.75" customHeight="1" x14ac:dyDescent="0.2">
      <c r="B34592" s="43"/>
    </row>
    <row r="34593" spans="2:2" ht="12.75" customHeight="1" x14ac:dyDescent="0.2">
      <c r="B34593" s="43"/>
    </row>
    <row r="34594" spans="2:2" ht="12.75" customHeight="1" x14ac:dyDescent="0.2">
      <c r="B34594" s="43"/>
    </row>
    <row r="34595" spans="2:2" ht="12.75" customHeight="1" x14ac:dyDescent="0.2">
      <c r="B34595" s="43"/>
    </row>
    <row r="34596" spans="2:2" ht="12.75" customHeight="1" x14ac:dyDescent="0.2">
      <c r="B34596" s="43"/>
    </row>
    <row r="34597" spans="2:2" ht="12.75" customHeight="1" x14ac:dyDescent="0.2">
      <c r="B34597" s="43"/>
    </row>
    <row r="34598" spans="2:2" ht="12.75" customHeight="1" x14ac:dyDescent="0.2">
      <c r="B34598" s="43"/>
    </row>
    <row r="34599" spans="2:2" ht="12.75" customHeight="1" x14ac:dyDescent="0.2">
      <c r="B34599" s="43"/>
    </row>
    <row r="34600" spans="2:2" ht="12.75" customHeight="1" x14ac:dyDescent="0.2">
      <c r="B34600" s="43"/>
    </row>
    <row r="34601" spans="2:2" ht="12.75" customHeight="1" x14ac:dyDescent="0.2">
      <c r="B34601" s="43"/>
    </row>
    <row r="34602" spans="2:2" ht="12.75" customHeight="1" x14ac:dyDescent="0.2">
      <c r="B34602" s="43"/>
    </row>
    <row r="34603" spans="2:2" ht="12.75" customHeight="1" x14ac:dyDescent="0.2">
      <c r="B34603" s="43"/>
    </row>
    <row r="34604" spans="2:2" ht="12.75" customHeight="1" x14ac:dyDescent="0.2">
      <c r="B34604" s="43"/>
    </row>
    <row r="34605" spans="2:2" ht="12.75" customHeight="1" x14ac:dyDescent="0.2">
      <c r="B34605" s="43"/>
    </row>
    <row r="34606" spans="2:2" ht="12.75" customHeight="1" x14ac:dyDescent="0.2">
      <c r="B34606" s="43"/>
    </row>
    <row r="34607" spans="2:2" ht="12.75" customHeight="1" x14ac:dyDescent="0.2">
      <c r="B34607" s="43"/>
    </row>
    <row r="34608" spans="2:2" ht="12.75" customHeight="1" x14ac:dyDescent="0.2">
      <c r="B34608" s="43"/>
    </row>
    <row r="34609" spans="2:2" ht="12.75" customHeight="1" x14ac:dyDescent="0.2">
      <c r="B34609" s="43"/>
    </row>
    <row r="34610" spans="2:2" ht="12.75" customHeight="1" x14ac:dyDescent="0.2">
      <c r="B34610" s="43"/>
    </row>
    <row r="34611" spans="2:2" ht="12.75" customHeight="1" x14ac:dyDescent="0.2">
      <c r="B34611" s="43"/>
    </row>
    <row r="34612" spans="2:2" ht="12.75" customHeight="1" x14ac:dyDescent="0.2">
      <c r="B34612" s="43"/>
    </row>
    <row r="34613" spans="2:2" ht="12.75" customHeight="1" x14ac:dyDescent="0.2">
      <c r="B34613" s="43"/>
    </row>
    <row r="34614" spans="2:2" ht="12.75" customHeight="1" x14ac:dyDescent="0.2">
      <c r="B34614" s="43"/>
    </row>
    <row r="34615" spans="2:2" ht="12.75" customHeight="1" x14ac:dyDescent="0.2">
      <c r="B34615" s="43"/>
    </row>
    <row r="34616" spans="2:2" ht="12.75" customHeight="1" x14ac:dyDescent="0.2">
      <c r="B34616" s="43"/>
    </row>
    <row r="34617" spans="2:2" ht="12.75" customHeight="1" x14ac:dyDescent="0.2">
      <c r="B34617" s="43"/>
    </row>
    <row r="34618" spans="2:2" ht="12.75" customHeight="1" x14ac:dyDescent="0.2">
      <c r="B34618" s="43"/>
    </row>
    <row r="34619" spans="2:2" ht="12.75" customHeight="1" x14ac:dyDescent="0.2">
      <c r="B34619" s="43"/>
    </row>
    <row r="34620" spans="2:2" ht="12.75" customHeight="1" x14ac:dyDescent="0.2">
      <c r="B34620" s="43"/>
    </row>
    <row r="34621" spans="2:2" ht="12.75" customHeight="1" x14ac:dyDescent="0.2">
      <c r="B34621" s="43"/>
    </row>
    <row r="34622" spans="2:2" ht="12.75" customHeight="1" x14ac:dyDescent="0.2">
      <c r="B34622" s="43"/>
    </row>
    <row r="34623" spans="2:2" ht="12.75" customHeight="1" x14ac:dyDescent="0.2">
      <c r="B34623" s="43"/>
    </row>
    <row r="34624" spans="2:2" ht="12.75" customHeight="1" x14ac:dyDescent="0.2">
      <c r="B34624" s="43"/>
    </row>
    <row r="34625" spans="2:2" ht="12.75" customHeight="1" x14ac:dyDescent="0.2">
      <c r="B34625" s="43"/>
    </row>
    <row r="34626" spans="2:2" ht="12.75" customHeight="1" x14ac:dyDescent="0.2">
      <c r="B34626" s="43"/>
    </row>
    <row r="34627" spans="2:2" ht="12.75" customHeight="1" x14ac:dyDescent="0.2">
      <c r="B34627" s="43"/>
    </row>
    <row r="34628" spans="2:2" ht="12.75" customHeight="1" x14ac:dyDescent="0.2">
      <c r="B34628" s="43"/>
    </row>
    <row r="34629" spans="2:2" ht="12.75" customHeight="1" x14ac:dyDescent="0.2">
      <c r="B34629" s="43"/>
    </row>
    <row r="34630" spans="2:2" ht="12.75" customHeight="1" x14ac:dyDescent="0.2">
      <c r="B34630" s="43"/>
    </row>
    <row r="34631" spans="2:2" ht="12.75" customHeight="1" x14ac:dyDescent="0.2">
      <c r="B34631" s="43"/>
    </row>
    <row r="34632" spans="2:2" ht="12.75" customHeight="1" x14ac:dyDescent="0.2">
      <c r="B34632" s="43"/>
    </row>
    <row r="34633" spans="2:2" ht="12.75" customHeight="1" x14ac:dyDescent="0.2">
      <c r="B34633" s="43"/>
    </row>
    <row r="34634" spans="2:2" ht="12.75" customHeight="1" x14ac:dyDescent="0.2">
      <c r="B34634" s="43"/>
    </row>
    <row r="34635" spans="2:2" ht="12.75" customHeight="1" x14ac:dyDescent="0.2">
      <c r="B34635" s="43"/>
    </row>
    <row r="34636" spans="2:2" ht="12.75" customHeight="1" x14ac:dyDescent="0.2">
      <c r="B34636" s="43"/>
    </row>
    <row r="34637" spans="2:2" ht="12.75" customHeight="1" x14ac:dyDescent="0.2">
      <c r="B34637" s="43"/>
    </row>
    <row r="34638" spans="2:2" ht="12.75" customHeight="1" x14ac:dyDescent="0.2">
      <c r="B34638" s="43"/>
    </row>
    <row r="34639" spans="2:2" ht="12.75" customHeight="1" x14ac:dyDescent="0.2">
      <c r="B34639" s="43"/>
    </row>
    <row r="34640" spans="2:2" ht="12.75" customHeight="1" x14ac:dyDescent="0.2">
      <c r="B34640" s="43"/>
    </row>
    <row r="34641" spans="2:2" ht="12.75" customHeight="1" x14ac:dyDescent="0.2">
      <c r="B34641" s="43"/>
    </row>
    <row r="34642" spans="2:2" ht="12.75" customHeight="1" x14ac:dyDescent="0.2">
      <c r="B34642" s="43"/>
    </row>
    <row r="34643" spans="2:2" ht="12.75" customHeight="1" x14ac:dyDescent="0.2">
      <c r="B34643" s="43"/>
    </row>
    <row r="34644" spans="2:2" ht="12.75" customHeight="1" x14ac:dyDescent="0.2">
      <c r="B34644" s="43"/>
    </row>
    <row r="34645" spans="2:2" ht="12.75" customHeight="1" x14ac:dyDescent="0.2">
      <c r="B34645" s="43"/>
    </row>
    <row r="34646" spans="2:2" ht="12.75" customHeight="1" x14ac:dyDescent="0.2">
      <c r="B34646" s="43"/>
    </row>
    <row r="34647" spans="2:2" ht="12.75" customHeight="1" x14ac:dyDescent="0.2">
      <c r="B34647" s="43"/>
    </row>
    <row r="34648" spans="2:2" ht="12.75" customHeight="1" x14ac:dyDescent="0.2">
      <c r="B34648" s="43"/>
    </row>
    <row r="34649" spans="2:2" ht="12.75" customHeight="1" x14ac:dyDescent="0.2">
      <c r="B34649" s="43"/>
    </row>
    <row r="34650" spans="2:2" ht="12.75" customHeight="1" x14ac:dyDescent="0.2">
      <c r="B34650" s="43"/>
    </row>
    <row r="34651" spans="2:2" ht="12.75" customHeight="1" x14ac:dyDescent="0.2">
      <c r="B34651" s="43"/>
    </row>
    <row r="34652" spans="2:2" ht="12.75" customHeight="1" x14ac:dyDescent="0.2">
      <c r="B34652" s="43"/>
    </row>
    <row r="34653" spans="2:2" ht="12.75" customHeight="1" x14ac:dyDescent="0.2">
      <c r="B34653" s="43"/>
    </row>
    <row r="34654" spans="2:2" ht="12.75" customHeight="1" x14ac:dyDescent="0.2">
      <c r="B34654" s="43"/>
    </row>
    <row r="34655" spans="2:2" ht="12.75" customHeight="1" x14ac:dyDescent="0.2">
      <c r="B34655" s="43"/>
    </row>
    <row r="34656" spans="2:2" ht="12.75" customHeight="1" x14ac:dyDescent="0.2">
      <c r="B34656" s="43"/>
    </row>
    <row r="34657" spans="2:2" ht="12.75" customHeight="1" x14ac:dyDescent="0.2">
      <c r="B34657" s="43"/>
    </row>
    <row r="34658" spans="2:2" ht="12.75" customHeight="1" x14ac:dyDescent="0.2">
      <c r="B34658" s="43"/>
    </row>
    <row r="34659" spans="2:2" ht="12.75" customHeight="1" x14ac:dyDescent="0.2">
      <c r="B34659" s="43"/>
    </row>
    <row r="34660" spans="2:2" ht="12.75" customHeight="1" x14ac:dyDescent="0.2">
      <c r="B34660" s="43"/>
    </row>
    <row r="34661" spans="2:2" ht="12.75" customHeight="1" x14ac:dyDescent="0.2">
      <c r="B34661" s="43"/>
    </row>
    <row r="34662" spans="2:2" ht="12.75" customHeight="1" x14ac:dyDescent="0.2">
      <c r="B34662" s="43"/>
    </row>
    <row r="34663" spans="2:2" ht="12.75" customHeight="1" x14ac:dyDescent="0.2">
      <c r="B34663" s="43"/>
    </row>
    <row r="34664" spans="2:2" ht="12.75" customHeight="1" x14ac:dyDescent="0.2">
      <c r="B34664" s="43"/>
    </row>
    <row r="34665" spans="2:2" ht="12.75" customHeight="1" x14ac:dyDescent="0.2">
      <c r="B34665" s="43"/>
    </row>
    <row r="34666" spans="2:2" ht="12.75" customHeight="1" x14ac:dyDescent="0.2">
      <c r="B34666" s="43"/>
    </row>
    <row r="34667" spans="2:2" ht="12.75" customHeight="1" x14ac:dyDescent="0.2">
      <c r="B34667" s="43"/>
    </row>
    <row r="34668" spans="2:2" ht="12.75" customHeight="1" x14ac:dyDescent="0.2">
      <c r="B34668" s="43"/>
    </row>
    <row r="34669" spans="2:2" ht="12.75" customHeight="1" x14ac:dyDescent="0.2">
      <c r="B34669" s="43"/>
    </row>
    <row r="34670" spans="2:2" ht="12.75" customHeight="1" x14ac:dyDescent="0.2">
      <c r="B34670" s="43"/>
    </row>
    <row r="34671" spans="2:2" ht="12.75" customHeight="1" x14ac:dyDescent="0.2">
      <c r="B34671" s="43"/>
    </row>
    <row r="34672" spans="2:2" ht="12.75" customHeight="1" x14ac:dyDescent="0.2">
      <c r="B34672" s="43"/>
    </row>
    <row r="34673" spans="2:2" ht="12.75" customHeight="1" x14ac:dyDescent="0.2">
      <c r="B34673" s="43"/>
    </row>
    <row r="34674" spans="2:2" ht="12.75" customHeight="1" x14ac:dyDescent="0.2">
      <c r="B34674" s="43"/>
    </row>
    <row r="34675" spans="2:2" ht="12.75" customHeight="1" x14ac:dyDescent="0.2">
      <c r="B34675" s="43"/>
    </row>
    <row r="34676" spans="2:2" ht="12.75" customHeight="1" x14ac:dyDescent="0.2">
      <c r="B34676" s="43"/>
    </row>
    <row r="34677" spans="2:2" ht="12.75" customHeight="1" x14ac:dyDescent="0.2">
      <c r="B34677" s="43"/>
    </row>
    <row r="34678" spans="2:2" ht="12.75" customHeight="1" x14ac:dyDescent="0.2">
      <c r="B34678" s="43"/>
    </row>
    <row r="34679" spans="2:2" ht="12.75" customHeight="1" x14ac:dyDescent="0.2">
      <c r="B34679" s="43"/>
    </row>
    <row r="34680" spans="2:2" ht="12.75" customHeight="1" x14ac:dyDescent="0.2">
      <c r="B34680" s="43"/>
    </row>
    <row r="34681" spans="2:2" ht="12.75" customHeight="1" x14ac:dyDescent="0.2">
      <c r="B34681" s="43"/>
    </row>
    <row r="34682" spans="2:2" ht="12.75" customHeight="1" x14ac:dyDescent="0.2">
      <c r="B34682" s="43"/>
    </row>
    <row r="34683" spans="2:2" ht="12.75" customHeight="1" x14ac:dyDescent="0.2">
      <c r="B34683" s="43"/>
    </row>
    <row r="34684" spans="2:2" ht="12.75" customHeight="1" x14ac:dyDescent="0.2">
      <c r="B34684" s="43"/>
    </row>
    <row r="34685" spans="2:2" ht="12.75" customHeight="1" x14ac:dyDescent="0.2">
      <c r="B34685" s="43"/>
    </row>
    <row r="34686" spans="2:2" ht="12.75" customHeight="1" x14ac:dyDescent="0.2">
      <c r="B34686" s="43"/>
    </row>
    <row r="34687" spans="2:2" ht="12.75" customHeight="1" x14ac:dyDescent="0.2">
      <c r="B34687" s="43"/>
    </row>
    <row r="34688" spans="2:2" ht="12.75" customHeight="1" x14ac:dyDescent="0.2">
      <c r="B34688" s="43"/>
    </row>
    <row r="34689" spans="2:2" ht="12.75" customHeight="1" x14ac:dyDescent="0.2">
      <c r="B34689" s="43"/>
    </row>
    <row r="34690" spans="2:2" ht="12.75" customHeight="1" x14ac:dyDescent="0.2">
      <c r="B34690" s="43"/>
    </row>
    <row r="34691" spans="2:2" ht="12.75" customHeight="1" x14ac:dyDescent="0.2">
      <c r="B34691" s="43"/>
    </row>
    <row r="34692" spans="2:2" ht="12.75" customHeight="1" x14ac:dyDescent="0.2">
      <c r="B34692" s="43"/>
    </row>
    <row r="34693" spans="2:2" ht="12.75" customHeight="1" x14ac:dyDescent="0.2">
      <c r="B34693" s="43"/>
    </row>
    <row r="34694" spans="2:2" ht="12.75" customHeight="1" x14ac:dyDescent="0.2">
      <c r="B34694" s="43"/>
    </row>
    <row r="34695" spans="2:2" ht="12.75" customHeight="1" x14ac:dyDescent="0.2">
      <c r="B34695" s="43"/>
    </row>
    <row r="34696" spans="2:2" ht="12.75" customHeight="1" x14ac:dyDescent="0.2">
      <c r="B34696" s="43"/>
    </row>
    <row r="34697" spans="2:2" ht="12.75" customHeight="1" x14ac:dyDescent="0.2">
      <c r="B34697" s="43"/>
    </row>
    <row r="34698" spans="2:2" ht="12.75" customHeight="1" x14ac:dyDescent="0.2">
      <c r="B34698" s="43"/>
    </row>
    <row r="34699" spans="2:2" ht="12.75" customHeight="1" x14ac:dyDescent="0.2">
      <c r="B34699" s="43"/>
    </row>
    <row r="34700" spans="2:2" ht="12.75" customHeight="1" x14ac:dyDescent="0.2">
      <c r="B34700" s="43"/>
    </row>
    <row r="34701" spans="2:2" ht="12.75" customHeight="1" x14ac:dyDescent="0.2">
      <c r="B34701" s="43"/>
    </row>
    <row r="34702" spans="2:2" ht="12.75" customHeight="1" x14ac:dyDescent="0.2">
      <c r="B34702" s="43"/>
    </row>
    <row r="34703" spans="2:2" ht="12.75" customHeight="1" x14ac:dyDescent="0.2">
      <c r="B34703" s="43"/>
    </row>
    <row r="34704" spans="2:2" ht="12.75" customHeight="1" x14ac:dyDescent="0.2">
      <c r="B34704" s="43"/>
    </row>
    <row r="34705" spans="2:2" ht="12.75" customHeight="1" x14ac:dyDescent="0.2">
      <c r="B34705" s="43"/>
    </row>
    <row r="34706" spans="2:2" ht="12.75" customHeight="1" x14ac:dyDescent="0.2">
      <c r="B34706" s="43"/>
    </row>
    <row r="34707" spans="2:2" ht="12.75" customHeight="1" x14ac:dyDescent="0.2">
      <c r="B34707" s="43"/>
    </row>
    <row r="34708" spans="2:2" ht="12.75" customHeight="1" x14ac:dyDescent="0.2">
      <c r="B34708" s="43"/>
    </row>
    <row r="34709" spans="2:2" ht="12.75" customHeight="1" x14ac:dyDescent="0.2">
      <c r="B34709" s="43"/>
    </row>
    <row r="34710" spans="2:2" ht="12.75" customHeight="1" x14ac:dyDescent="0.2">
      <c r="B34710" s="43"/>
    </row>
    <row r="34711" spans="2:2" ht="12.75" customHeight="1" x14ac:dyDescent="0.2">
      <c r="B34711" s="43"/>
    </row>
    <row r="34712" spans="2:2" ht="12.75" customHeight="1" x14ac:dyDescent="0.2">
      <c r="B34712" s="43"/>
    </row>
    <row r="34713" spans="2:2" ht="12.75" customHeight="1" x14ac:dyDescent="0.2">
      <c r="B34713" s="43"/>
    </row>
    <row r="34714" spans="2:2" ht="12.75" customHeight="1" x14ac:dyDescent="0.2">
      <c r="B34714" s="43"/>
    </row>
    <row r="34715" spans="2:2" ht="12.75" customHeight="1" x14ac:dyDescent="0.2">
      <c r="B34715" s="43"/>
    </row>
    <row r="34716" spans="2:2" ht="12.75" customHeight="1" x14ac:dyDescent="0.2">
      <c r="B34716" s="43"/>
    </row>
    <row r="34717" spans="2:2" ht="12.75" customHeight="1" x14ac:dyDescent="0.2">
      <c r="B34717" s="43"/>
    </row>
    <row r="34718" spans="2:2" ht="12.75" customHeight="1" x14ac:dyDescent="0.2">
      <c r="B34718" s="43"/>
    </row>
    <row r="34719" spans="2:2" ht="12.75" customHeight="1" x14ac:dyDescent="0.2">
      <c r="B34719" s="43"/>
    </row>
    <row r="34720" spans="2:2" ht="12.75" customHeight="1" x14ac:dyDescent="0.2">
      <c r="B34720" s="43"/>
    </row>
    <row r="34721" spans="2:2" ht="12.75" customHeight="1" x14ac:dyDescent="0.2">
      <c r="B34721" s="43"/>
    </row>
    <row r="34722" spans="2:2" ht="12.75" customHeight="1" x14ac:dyDescent="0.2">
      <c r="B34722" s="43"/>
    </row>
    <row r="34723" spans="2:2" ht="12.75" customHeight="1" x14ac:dyDescent="0.2">
      <c r="B34723" s="43"/>
    </row>
    <row r="34724" spans="2:2" ht="12.75" customHeight="1" x14ac:dyDescent="0.2">
      <c r="B34724" s="43"/>
    </row>
    <row r="34725" spans="2:2" ht="12.75" customHeight="1" x14ac:dyDescent="0.2">
      <c r="B34725" s="43"/>
    </row>
    <row r="34726" spans="2:2" ht="12.75" customHeight="1" x14ac:dyDescent="0.2">
      <c r="B34726" s="43"/>
    </row>
    <row r="34727" spans="2:2" ht="12.75" customHeight="1" x14ac:dyDescent="0.2">
      <c r="B34727" s="43"/>
    </row>
    <row r="34728" spans="2:2" ht="12.75" customHeight="1" x14ac:dyDescent="0.2">
      <c r="B34728" s="43"/>
    </row>
    <row r="34729" spans="2:2" ht="12.75" customHeight="1" x14ac:dyDescent="0.2">
      <c r="B34729" s="43"/>
    </row>
    <row r="34730" spans="2:2" ht="12.75" customHeight="1" x14ac:dyDescent="0.2">
      <c r="B34730" s="43"/>
    </row>
    <row r="34731" spans="2:2" ht="12.75" customHeight="1" x14ac:dyDescent="0.2">
      <c r="B34731" s="43"/>
    </row>
    <row r="34732" spans="2:2" ht="12.75" customHeight="1" x14ac:dyDescent="0.2">
      <c r="B34732" s="43"/>
    </row>
    <row r="34733" spans="2:2" ht="12.75" customHeight="1" x14ac:dyDescent="0.2">
      <c r="B34733" s="43"/>
    </row>
    <row r="34734" spans="2:2" ht="12.75" customHeight="1" x14ac:dyDescent="0.2">
      <c r="B34734" s="43"/>
    </row>
    <row r="34735" spans="2:2" ht="12.75" customHeight="1" x14ac:dyDescent="0.2">
      <c r="B34735" s="43"/>
    </row>
    <row r="34736" spans="2:2" ht="12.75" customHeight="1" x14ac:dyDescent="0.2">
      <c r="B34736" s="43"/>
    </row>
    <row r="34737" spans="2:2" ht="12.75" customHeight="1" x14ac:dyDescent="0.2">
      <c r="B34737" s="43"/>
    </row>
    <row r="34738" spans="2:2" ht="12.75" customHeight="1" x14ac:dyDescent="0.2">
      <c r="B34738" s="43"/>
    </row>
    <row r="34739" spans="2:2" ht="12.75" customHeight="1" x14ac:dyDescent="0.2">
      <c r="B34739" s="43"/>
    </row>
    <row r="34740" spans="2:2" ht="12.75" customHeight="1" x14ac:dyDescent="0.2">
      <c r="B34740" s="43"/>
    </row>
    <row r="34741" spans="2:2" ht="12.75" customHeight="1" x14ac:dyDescent="0.2">
      <c r="B34741" s="43"/>
    </row>
    <row r="34742" spans="2:2" ht="12.75" customHeight="1" x14ac:dyDescent="0.2">
      <c r="B34742" s="43"/>
    </row>
    <row r="34743" spans="2:2" ht="12.75" customHeight="1" x14ac:dyDescent="0.2">
      <c r="B34743" s="43"/>
    </row>
    <row r="34744" spans="2:2" ht="12.75" customHeight="1" x14ac:dyDescent="0.2">
      <c r="B34744" s="43"/>
    </row>
    <row r="34745" spans="2:2" ht="12.75" customHeight="1" x14ac:dyDescent="0.2">
      <c r="B34745" s="43"/>
    </row>
    <row r="34746" spans="2:2" ht="12.75" customHeight="1" x14ac:dyDescent="0.2">
      <c r="B34746" s="43"/>
    </row>
    <row r="34747" spans="2:2" ht="12.75" customHeight="1" x14ac:dyDescent="0.2">
      <c r="B34747" s="43"/>
    </row>
    <row r="34748" spans="2:2" ht="12.75" customHeight="1" x14ac:dyDescent="0.2">
      <c r="B34748" s="43"/>
    </row>
    <row r="34749" spans="2:2" ht="12.75" customHeight="1" x14ac:dyDescent="0.2">
      <c r="B34749" s="43"/>
    </row>
    <row r="34750" spans="2:2" ht="12.75" customHeight="1" x14ac:dyDescent="0.2">
      <c r="B34750" s="43"/>
    </row>
    <row r="34751" spans="2:2" ht="12.75" customHeight="1" x14ac:dyDescent="0.2">
      <c r="B34751" s="43"/>
    </row>
    <row r="34752" spans="2:2" ht="12.75" customHeight="1" x14ac:dyDescent="0.2">
      <c r="B34752" s="43"/>
    </row>
    <row r="34753" spans="2:2" ht="12.75" customHeight="1" x14ac:dyDescent="0.2">
      <c r="B34753" s="43"/>
    </row>
    <row r="34754" spans="2:2" ht="12.75" customHeight="1" x14ac:dyDescent="0.2">
      <c r="B34754" s="43"/>
    </row>
    <row r="34755" spans="2:2" ht="12.75" customHeight="1" x14ac:dyDescent="0.2">
      <c r="B34755" s="43"/>
    </row>
    <row r="34756" spans="2:2" ht="12.75" customHeight="1" x14ac:dyDescent="0.2">
      <c r="B34756" s="43"/>
    </row>
    <row r="34757" spans="2:2" ht="12.75" customHeight="1" x14ac:dyDescent="0.2">
      <c r="B34757" s="43"/>
    </row>
    <row r="34758" spans="2:2" ht="12.75" customHeight="1" x14ac:dyDescent="0.2">
      <c r="B34758" s="43"/>
    </row>
    <row r="34759" spans="2:2" ht="12.75" customHeight="1" x14ac:dyDescent="0.2">
      <c r="B34759" s="43"/>
    </row>
    <row r="34760" spans="2:2" ht="12.75" customHeight="1" x14ac:dyDescent="0.2">
      <c r="B34760" s="43"/>
    </row>
    <row r="34761" spans="2:2" ht="12.75" customHeight="1" x14ac:dyDescent="0.2">
      <c r="B34761" s="43"/>
    </row>
    <row r="34762" spans="2:2" ht="12.75" customHeight="1" x14ac:dyDescent="0.2">
      <c r="B34762" s="43"/>
    </row>
    <row r="34763" spans="2:2" ht="12.75" customHeight="1" x14ac:dyDescent="0.2">
      <c r="B34763" s="43"/>
    </row>
    <row r="34764" spans="2:2" ht="12.75" customHeight="1" x14ac:dyDescent="0.2">
      <c r="B34764" s="43"/>
    </row>
    <row r="34765" spans="2:2" ht="12.75" customHeight="1" x14ac:dyDescent="0.2">
      <c r="B34765" s="43"/>
    </row>
    <row r="34766" spans="2:2" ht="12.75" customHeight="1" x14ac:dyDescent="0.2">
      <c r="B34766" s="43"/>
    </row>
    <row r="34767" spans="2:2" ht="12.75" customHeight="1" x14ac:dyDescent="0.2">
      <c r="B34767" s="43"/>
    </row>
    <row r="34768" spans="2:2" ht="12.75" customHeight="1" x14ac:dyDescent="0.2">
      <c r="B34768" s="43"/>
    </row>
    <row r="34769" spans="2:2" ht="12.75" customHeight="1" x14ac:dyDescent="0.2">
      <c r="B34769" s="43"/>
    </row>
    <row r="34770" spans="2:2" ht="12.75" customHeight="1" x14ac:dyDescent="0.2">
      <c r="B34770" s="43"/>
    </row>
    <row r="34771" spans="2:2" ht="12.75" customHeight="1" x14ac:dyDescent="0.2">
      <c r="B34771" s="43"/>
    </row>
    <row r="34772" spans="2:2" ht="12.75" customHeight="1" x14ac:dyDescent="0.2">
      <c r="B34772" s="43"/>
    </row>
    <row r="34773" spans="2:2" ht="12.75" customHeight="1" x14ac:dyDescent="0.2">
      <c r="B34773" s="43"/>
    </row>
    <row r="34774" spans="2:2" ht="12.75" customHeight="1" x14ac:dyDescent="0.2">
      <c r="B34774" s="43"/>
    </row>
    <row r="34775" spans="2:2" ht="12.75" customHeight="1" x14ac:dyDescent="0.2">
      <c r="B34775" s="43"/>
    </row>
    <row r="34776" spans="2:2" ht="12.75" customHeight="1" x14ac:dyDescent="0.2">
      <c r="B34776" s="43"/>
    </row>
    <row r="34777" spans="2:2" ht="12.75" customHeight="1" x14ac:dyDescent="0.2">
      <c r="B34777" s="43"/>
    </row>
    <row r="34778" spans="2:2" ht="12.75" customHeight="1" x14ac:dyDescent="0.2">
      <c r="B34778" s="43"/>
    </row>
    <row r="34779" spans="2:2" ht="12.75" customHeight="1" x14ac:dyDescent="0.2">
      <c r="B34779" s="43"/>
    </row>
    <row r="34780" spans="2:2" ht="12.75" customHeight="1" x14ac:dyDescent="0.2">
      <c r="B34780" s="43"/>
    </row>
    <row r="34781" spans="2:2" ht="12.75" customHeight="1" x14ac:dyDescent="0.2">
      <c r="B34781" s="43"/>
    </row>
    <row r="34782" spans="2:2" ht="12.75" customHeight="1" x14ac:dyDescent="0.2">
      <c r="B34782" s="43"/>
    </row>
    <row r="34783" spans="2:2" ht="12.75" customHeight="1" x14ac:dyDescent="0.2">
      <c r="B34783" s="43"/>
    </row>
    <row r="34784" spans="2:2" ht="12.75" customHeight="1" x14ac:dyDescent="0.2">
      <c r="B34784" s="43"/>
    </row>
    <row r="34785" spans="2:2" ht="12.75" customHeight="1" x14ac:dyDescent="0.2">
      <c r="B34785" s="43"/>
    </row>
    <row r="34786" spans="2:2" ht="12.75" customHeight="1" x14ac:dyDescent="0.2">
      <c r="B34786" s="43"/>
    </row>
    <row r="34787" spans="2:2" ht="12.75" customHeight="1" x14ac:dyDescent="0.2">
      <c r="B34787" s="43"/>
    </row>
    <row r="34788" spans="2:2" ht="12.75" customHeight="1" x14ac:dyDescent="0.2">
      <c r="B34788" s="43"/>
    </row>
    <row r="34789" spans="2:2" ht="12.75" customHeight="1" x14ac:dyDescent="0.2">
      <c r="B34789" s="43"/>
    </row>
    <row r="34790" spans="2:2" ht="12.75" customHeight="1" x14ac:dyDescent="0.2">
      <c r="B34790" s="43"/>
    </row>
    <row r="34791" spans="2:2" ht="12.75" customHeight="1" x14ac:dyDescent="0.2">
      <c r="B34791" s="43"/>
    </row>
    <row r="34792" spans="2:2" ht="12.75" customHeight="1" x14ac:dyDescent="0.2">
      <c r="B34792" s="43"/>
    </row>
    <row r="34793" spans="2:2" ht="12.75" customHeight="1" x14ac:dyDescent="0.2">
      <c r="B34793" s="43"/>
    </row>
    <row r="34794" spans="2:2" ht="12.75" customHeight="1" x14ac:dyDescent="0.2">
      <c r="B34794" s="43"/>
    </row>
    <row r="34795" spans="2:2" ht="12.75" customHeight="1" x14ac:dyDescent="0.2">
      <c r="B34795" s="43"/>
    </row>
    <row r="34796" spans="2:2" ht="12.75" customHeight="1" x14ac:dyDescent="0.2">
      <c r="B34796" s="43"/>
    </row>
    <row r="34797" spans="2:2" ht="12.75" customHeight="1" x14ac:dyDescent="0.2">
      <c r="B34797" s="43"/>
    </row>
    <row r="34798" spans="2:2" ht="12.75" customHeight="1" x14ac:dyDescent="0.2">
      <c r="B34798" s="43"/>
    </row>
    <row r="34799" spans="2:2" ht="12.75" customHeight="1" x14ac:dyDescent="0.2">
      <c r="B34799" s="43"/>
    </row>
    <row r="34800" spans="2:2" ht="12.75" customHeight="1" x14ac:dyDescent="0.2">
      <c r="B34800" s="43"/>
    </row>
    <row r="34801" spans="2:2" ht="12.75" customHeight="1" x14ac:dyDescent="0.2">
      <c r="B34801" s="43"/>
    </row>
    <row r="34802" spans="2:2" ht="12.75" customHeight="1" x14ac:dyDescent="0.2">
      <c r="B34802" s="43"/>
    </row>
    <row r="34803" spans="2:2" ht="12.75" customHeight="1" x14ac:dyDescent="0.2">
      <c r="B34803" s="43"/>
    </row>
    <row r="34804" spans="2:2" ht="12.75" customHeight="1" x14ac:dyDescent="0.2">
      <c r="B34804" s="43"/>
    </row>
    <row r="34805" spans="2:2" ht="12.75" customHeight="1" x14ac:dyDescent="0.2">
      <c r="B34805" s="43"/>
    </row>
    <row r="34806" spans="2:2" ht="12.75" customHeight="1" x14ac:dyDescent="0.2">
      <c r="B34806" s="43"/>
    </row>
    <row r="34807" spans="2:2" ht="12.75" customHeight="1" x14ac:dyDescent="0.2">
      <c r="B34807" s="43"/>
    </row>
    <row r="34808" spans="2:2" ht="12.75" customHeight="1" x14ac:dyDescent="0.2">
      <c r="B34808" s="43"/>
    </row>
    <row r="34809" spans="2:2" ht="12.75" customHeight="1" x14ac:dyDescent="0.2">
      <c r="B34809" s="43"/>
    </row>
    <row r="34810" spans="2:2" ht="12.75" customHeight="1" x14ac:dyDescent="0.2">
      <c r="B34810" s="43"/>
    </row>
    <row r="34811" spans="2:2" ht="12.75" customHeight="1" x14ac:dyDescent="0.2">
      <c r="B34811" s="43"/>
    </row>
    <row r="34812" spans="2:2" ht="12.75" customHeight="1" x14ac:dyDescent="0.2">
      <c r="B34812" s="43"/>
    </row>
    <row r="34813" spans="2:2" ht="12.75" customHeight="1" x14ac:dyDescent="0.2">
      <c r="B34813" s="43"/>
    </row>
    <row r="34814" spans="2:2" ht="12.75" customHeight="1" x14ac:dyDescent="0.2">
      <c r="B34814" s="43"/>
    </row>
    <row r="34815" spans="2:2" ht="12.75" customHeight="1" x14ac:dyDescent="0.2">
      <c r="B34815" s="43"/>
    </row>
    <row r="34816" spans="2:2" ht="12.75" customHeight="1" x14ac:dyDescent="0.2">
      <c r="B34816" s="43"/>
    </row>
    <row r="34817" spans="2:2" ht="12.75" customHeight="1" x14ac:dyDescent="0.2">
      <c r="B34817" s="43"/>
    </row>
    <row r="34818" spans="2:2" ht="12.75" customHeight="1" x14ac:dyDescent="0.2">
      <c r="B34818" s="43"/>
    </row>
    <row r="34819" spans="2:2" ht="12.75" customHeight="1" x14ac:dyDescent="0.2">
      <c r="B34819" s="43"/>
    </row>
    <row r="34820" spans="2:2" ht="12.75" customHeight="1" x14ac:dyDescent="0.2">
      <c r="B34820" s="43"/>
    </row>
    <row r="34821" spans="2:2" ht="12.75" customHeight="1" x14ac:dyDescent="0.2">
      <c r="B34821" s="43"/>
    </row>
    <row r="34822" spans="2:2" ht="12.75" customHeight="1" x14ac:dyDescent="0.2">
      <c r="B34822" s="43"/>
    </row>
    <row r="34823" spans="2:2" ht="12.75" customHeight="1" x14ac:dyDescent="0.2">
      <c r="B34823" s="43"/>
    </row>
    <row r="34824" spans="2:2" ht="12.75" customHeight="1" x14ac:dyDescent="0.2">
      <c r="B34824" s="43"/>
    </row>
    <row r="34825" spans="2:2" ht="12.75" customHeight="1" x14ac:dyDescent="0.2">
      <c r="B34825" s="43"/>
    </row>
    <row r="34826" spans="2:2" ht="12.75" customHeight="1" x14ac:dyDescent="0.2">
      <c r="B34826" s="43"/>
    </row>
    <row r="34827" spans="2:2" ht="12.75" customHeight="1" x14ac:dyDescent="0.2">
      <c r="B34827" s="43"/>
    </row>
    <row r="34828" spans="2:2" ht="12.75" customHeight="1" x14ac:dyDescent="0.2">
      <c r="B34828" s="43"/>
    </row>
    <row r="34829" spans="2:2" ht="12.75" customHeight="1" x14ac:dyDescent="0.2">
      <c r="B34829" s="43"/>
    </row>
    <row r="34830" spans="2:2" ht="12.75" customHeight="1" x14ac:dyDescent="0.2">
      <c r="B34830" s="43"/>
    </row>
    <row r="34831" spans="2:2" ht="12.75" customHeight="1" x14ac:dyDescent="0.2">
      <c r="B34831" s="43"/>
    </row>
    <row r="34832" spans="2:2" ht="12.75" customHeight="1" x14ac:dyDescent="0.2">
      <c r="B34832" s="43"/>
    </row>
    <row r="34833" spans="2:2" ht="12.75" customHeight="1" x14ac:dyDescent="0.2">
      <c r="B34833" s="43"/>
    </row>
    <row r="34834" spans="2:2" ht="12.75" customHeight="1" x14ac:dyDescent="0.2">
      <c r="B34834" s="43"/>
    </row>
    <row r="34835" spans="2:2" ht="12.75" customHeight="1" x14ac:dyDescent="0.2">
      <c r="B34835" s="43"/>
    </row>
    <row r="34836" spans="2:2" ht="12.75" customHeight="1" x14ac:dyDescent="0.2">
      <c r="B34836" s="43"/>
    </row>
    <row r="34837" spans="2:2" ht="12.75" customHeight="1" x14ac:dyDescent="0.2">
      <c r="B34837" s="43"/>
    </row>
    <row r="34838" spans="2:2" ht="12.75" customHeight="1" x14ac:dyDescent="0.2">
      <c r="B34838" s="43"/>
    </row>
    <row r="34839" spans="2:2" ht="12.75" customHeight="1" x14ac:dyDescent="0.2">
      <c r="B34839" s="43"/>
    </row>
    <row r="34840" spans="2:2" ht="12.75" customHeight="1" x14ac:dyDescent="0.2">
      <c r="B34840" s="43"/>
    </row>
    <row r="34841" spans="2:2" ht="12.75" customHeight="1" x14ac:dyDescent="0.2">
      <c r="B34841" s="43"/>
    </row>
    <row r="34842" spans="2:2" ht="12.75" customHeight="1" x14ac:dyDescent="0.2">
      <c r="B34842" s="43"/>
    </row>
    <row r="34843" spans="2:2" ht="12.75" customHeight="1" x14ac:dyDescent="0.2">
      <c r="B34843" s="43"/>
    </row>
    <row r="34844" spans="2:2" ht="12.75" customHeight="1" x14ac:dyDescent="0.2">
      <c r="B34844" s="43"/>
    </row>
    <row r="34845" spans="2:2" ht="12.75" customHeight="1" x14ac:dyDescent="0.2">
      <c r="B34845" s="43"/>
    </row>
    <row r="34846" spans="2:2" ht="12.75" customHeight="1" x14ac:dyDescent="0.2">
      <c r="B34846" s="43"/>
    </row>
    <row r="34847" spans="2:2" ht="12.75" customHeight="1" x14ac:dyDescent="0.2">
      <c r="B34847" s="43"/>
    </row>
    <row r="34848" spans="2:2" ht="12.75" customHeight="1" x14ac:dyDescent="0.2">
      <c r="B34848" s="43"/>
    </row>
    <row r="34849" spans="2:2" ht="12.75" customHeight="1" x14ac:dyDescent="0.2">
      <c r="B34849" s="43"/>
    </row>
    <row r="34850" spans="2:2" ht="12.75" customHeight="1" x14ac:dyDescent="0.2">
      <c r="B34850" s="43"/>
    </row>
    <row r="34851" spans="2:2" ht="12.75" customHeight="1" x14ac:dyDescent="0.2">
      <c r="B34851" s="43"/>
    </row>
    <row r="34852" spans="2:2" ht="12.75" customHeight="1" x14ac:dyDescent="0.2">
      <c r="B34852" s="43"/>
    </row>
    <row r="34853" spans="2:2" ht="12.75" customHeight="1" x14ac:dyDescent="0.2">
      <c r="B34853" s="43"/>
    </row>
    <row r="34854" spans="2:2" ht="12.75" customHeight="1" x14ac:dyDescent="0.2">
      <c r="B34854" s="43"/>
    </row>
    <row r="34855" spans="2:2" ht="12.75" customHeight="1" x14ac:dyDescent="0.2">
      <c r="B34855" s="43"/>
    </row>
    <row r="34856" spans="2:2" ht="12.75" customHeight="1" x14ac:dyDescent="0.2">
      <c r="B34856" s="43"/>
    </row>
    <row r="34857" spans="2:2" ht="12.75" customHeight="1" x14ac:dyDescent="0.2">
      <c r="B34857" s="43"/>
    </row>
    <row r="34858" spans="2:2" ht="12.75" customHeight="1" x14ac:dyDescent="0.2">
      <c r="B34858" s="43"/>
    </row>
    <row r="34859" spans="2:2" ht="12.75" customHeight="1" x14ac:dyDescent="0.2">
      <c r="B34859" s="43"/>
    </row>
    <row r="34860" spans="2:2" ht="12.75" customHeight="1" x14ac:dyDescent="0.2">
      <c r="B34860" s="43"/>
    </row>
    <row r="34861" spans="2:2" ht="12.75" customHeight="1" x14ac:dyDescent="0.2">
      <c r="B34861" s="43"/>
    </row>
    <row r="34862" spans="2:2" ht="12.75" customHeight="1" x14ac:dyDescent="0.2">
      <c r="B34862" s="43"/>
    </row>
    <row r="34863" spans="2:2" ht="12.75" customHeight="1" x14ac:dyDescent="0.2">
      <c r="B34863" s="43"/>
    </row>
    <row r="34864" spans="2:2" ht="12.75" customHeight="1" x14ac:dyDescent="0.2">
      <c r="B34864" s="43"/>
    </row>
    <row r="34865" spans="2:2" ht="12.75" customHeight="1" x14ac:dyDescent="0.2">
      <c r="B34865" s="43"/>
    </row>
    <row r="34866" spans="2:2" ht="12.75" customHeight="1" x14ac:dyDescent="0.2">
      <c r="B34866" s="43"/>
    </row>
    <row r="34867" spans="2:2" ht="12.75" customHeight="1" x14ac:dyDescent="0.2">
      <c r="B34867" s="43"/>
    </row>
    <row r="34868" spans="2:2" ht="12.75" customHeight="1" x14ac:dyDescent="0.2">
      <c r="B34868" s="43"/>
    </row>
    <row r="34869" spans="2:2" ht="12.75" customHeight="1" x14ac:dyDescent="0.2">
      <c r="B34869" s="43"/>
    </row>
    <row r="34870" spans="2:2" ht="12.75" customHeight="1" x14ac:dyDescent="0.2">
      <c r="B34870" s="43"/>
    </row>
    <row r="34871" spans="2:2" ht="12.75" customHeight="1" x14ac:dyDescent="0.2">
      <c r="B34871" s="43"/>
    </row>
    <row r="34872" spans="2:2" ht="12.75" customHeight="1" x14ac:dyDescent="0.2">
      <c r="B34872" s="43"/>
    </row>
    <row r="34873" spans="2:2" ht="12.75" customHeight="1" x14ac:dyDescent="0.2">
      <c r="B34873" s="43"/>
    </row>
    <row r="34874" spans="2:2" ht="12.75" customHeight="1" x14ac:dyDescent="0.2">
      <c r="B34874" s="43"/>
    </row>
    <row r="34875" spans="2:2" ht="12.75" customHeight="1" x14ac:dyDescent="0.2">
      <c r="B34875" s="43"/>
    </row>
    <row r="34876" spans="2:2" ht="12.75" customHeight="1" x14ac:dyDescent="0.2">
      <c r="B34876" s="43"/>
    </row>
    <row r="34877" spans="2:2" ht="12.75" customHeight="1" x14ac:dyDescent="0.2">
      <c r="B34877" s="43"/>
    </row>
    <row r="34878" spans="2:2" ht="12.75" customHeight="1" x14ac:dyDescent="0.2">
      <c r="B34878" s="43"/>
    </row>
    <row r="34879" spans="2:2" ht="12.75" customHeight="1" x14ac:dyDescent="0.2">
      <c r="B34879" s="43"/>
    </row>
    <row r="34880" spans="2:2" ht="12.75" customHeight="1" x14ac:dyDescent="0.2">
      <c r="B34880" s="43"/>
    </row>
    <row r="34881" spans="2:2" ht="12.75" customHeight="1" x14ac:dyDescent="0.2">
      <c r="B34881" s="43"/>
    </row>
    <row r="34882" spans="2:2" ht="12.75" customHeight="1" x14ac:dyDescent="0.2">
      <c r="B34882" s="43"/>
    </row>
    <row r="34883" spans="2:2" ht="12.75" customHeight="1" x14ac:dyDescent="0.2">
      <c r="B34883" s="43"/>
    </row>
    <row r="34884" spans="2:2" ht="12.75" customHeight="1" x14ac:dyDescent="0.2">
      <c r="B34884" s="43"/>
    </row>
    <row r="34885" spans="2:2" ht="12.75" customHeight="1" x14ac:dyDescent="0.2">
      <c r="B34885" s="43"/>
    </row>
    <row r="34886" spans="2:2" ht="12.75" customHeight="1" x14ac:dyDescent="0.2">
      <c r="B34886" s="43"/>
    </row>
    <row r="34887" spans="2:2" ht="12.75" customHeight="1" x14ac:dyDescent="0.2">
      <c r="B34887" s="43"/>
    </row>
    <row r="34888" spans="2:2" ht="12.75" customHeight="1" x14ac:dyDescent="0.2">
      <c r="B34888" s="43"/>
    </row>
    <row r="34889" spans="2:2" ht="12.75" customHeight="1" x14ac:dyDescent="0.2">
      <c r="B34889" s="43"/>
    </row>
    <row r="34890" spans="2:2" ht="12.75" customHeight="1" x14ac:dyDescent="0.2">
      <c r="B34890" s="43"/>
    </row>
    <row r="34891" spans="2:2" ht="12.75" customHeight="1" x14ac:dyDescent="0.2">
      <c r="B34891" s="43"/>
    </row>
    <row r="34892" spans="2:2" ht="12.75" customHeight="1" x14ac:dyDescent="0.2">
      <c r="B34892" s="43"/>
    </row>
    <row r="34893" spans="2:2" ht="12.75" customHeight="1" x14ac:dyDescent="0.2">
      <c r="B34893" s="43"/>
    </row>
    <row r="34894" spans="2:2" ht="12.75" customHeight="1" x14ac:dyDescent="0.2">
      <c r="B34894" s="43"/>
    </row>
    <row r="34895" spans="2:2" ht="12.75" customHeight="1" x14ac:dyDescent="0.2">
      <c r="B34895" s="43"/>
    </row>
    <row r="34896" spans="2:2" ht="12.75" customHeight="1" x14ac:dyDescent="0.2">
      <c r="B34896" s="43"/>
    </row>
    <row r="34897" spans="2:2" ht="12.75" customHeight="1" x14ac:dyDescent="0.2">
      <c r="B34897" s="43"/>
    </row>
    <row r="34898" spans="2:2" ht="12.75" customHeight="1" x14ac:dyDescent="0.2">
      <c r="B34898" s="43"/>
    </row>
    <row r="34899" spans="2:2" ht="12.75" customHeight="1" x14ac:dyDescent="0.2">
      <c r="B34899" s="43"/>
    </row>
    <row r="34900" spans="2:2" ht="12.75" customHeight="1" x14ac:dyDescent="0.2">
      <c r="B34900" s="43"/>
    </row>
    <row r="34901" spans="2:2" ht="12.75" customHeight="1" x14ac:dyDescent="0.2">
      <c r="B34901" s="43"/>
    </row>
    <row r="34902" spans="2:2" ht="12.75" customHeight="1" x14ac:dyDescent="0.2">
      <c r="B34902" s="43"/>
    </row>
    <row r="34903" spans="2:2" ht="12.75" customHeight="1" x14ac:dyDescent="0.2">
      <c r="B34903" s="43"/>
    </row>
    <row r="34904" spans="2:2" ht="12.75" customHeight="1" x14ac:dyDescent="0.2">
      <c r="B34904" s="43"/>
    </row>
    <row r="34905" spans="2:2" ht="12.75" customHeight="1" x14ac:dyDescent="0.2">
      <c r="B34905" s="43"/>
    </row>
    <row r="34906" spans="2:2" ht="12.75" customHeight="1" x14ac:dyDescent="0.2">
      <c r="B34906" s="43"/>
    </row>
    <row r="34907" spans="2:2" ht="12.75" customHeight="1" x14ac:dyDescent="0.2">
      <c r="B34907" s="43"/>
    </row>
    <row r="34908" spans="2:2" ht="12.75" customHeight="1" x14ac:dyDescent="0.2">
      <c r="B34908" s="43"/>
    </row>
    <row r="34909" spans="2:2" ht="12.75" customHeight="1" x14ac:dyDescent="0.2">
      <c r="B34909" s="43"/>
    </row>
    <row r="34910" spans="2:2" ht="12.75" customHeight="1" x14ac:dyDescent="0.2">
      <c r="B34910" s="43"/>
    </row>
    <row r="34911" spans="2:2" ht="12.75" customHeight="1" x14ac:dyDescent="0.2">
      <c r="B34911" s="43"/>
    </row>
    <row r="34912" spans="2:2" ht="12.75" customHeight="1" x14ac:dyDescent="0.2">
      <c r="B34912" s="43"/>
    </row>
    <row r="34913" spans="2:2" ht="12.75" customHeight="1" x14ac:dyDescent="0.2">
      <c r="B34913" s="43"/>
    </row>
    <row r="34914" spans="2:2" ht="12.75" customHeight="1" x14ac:dyDescent="0.2">
      <c r="B34914" s="43"/>
    </row>
    <row r="34915" spans="2:2" ht="12.75" customHeight="1" x14ac:dyDescent="0.2">
      <c r="B34915" s="43"/>
    </row>
    <row r="34916" spans="2:2" ht="12.75" customHeight="1" x14ac:dyDescent="0.2">
      <c r="B34916" s="43"/>
    </row>
    <row r="34917" spans="2:2" ht="12.75" customHeight="1" x14ac:dyDescent="0.2">
      <c r="B34917" s="43"/>
    </row>
    <row r="34918" spans="2:2" ht="12.75" customHeight="1" x14ac:dyDescent="0.2">
      <c r="B34918" s="43"/>
    </row>
    <row r="34919" spans="2:2" ht="12.75" customHeight="1" x14ac:dyDescent="0.2">
      <c r="B34919" s="43"/>
    </row>
    <row r="34920" spans="2:2" ht="12.75" customHeight="1" x14ac:dyDescent="0.2">
      <c r="B34920" s="43"/>
    </row>
    <row r="34921" spans="2:2" ht="12.75" customHeight="1" x14ac:dyDescent="0.2">
      <c r="B34921" s="43"/>
    </row>
    <row r="34922" spans="2:2" ht="12.75" customHeight="1" x14ac:dyDescent="0.2">
      <c r="B34922" s="43"/>
    </row>
    <row r="34923" spans="2:2" ht="12.75" customHeight="1" x14ac:dyDescent="0.2">
      <c r="B34923" s="43"/>
    </row>
    <row r="34924" spans="2:2" ht="12.75" customHeight="1" x14ac:dyDescent="0.2">
      <c r="B34924" s="43"/>
    </row>
    <row r="34925" spans="2:2" ht="12.75" customHeight="1" x14ac:dyDescent="0.2">
      <c r="B34925" s="43"/>
    </row>
    <row r="34926" spans="2:2" ht="12.75" customHeight="1" x14ac:dyDescent="0.2">
      <c r="B34926" s="43"/>
    </row>
    <row r="34927" spans="2:2" ht="12.75" customHeight="1" x14ac:dyDescent="0.2">
      <c r="B34927" s="43"/>
    </row>
    <row r="34928" spans="2:2" ht="12.75" customHeight="1" x14ac:dyDescent="0.2">
      <c r="B34928" s="43"/>
    </row>
    <row r="34929" spans="2:2" ht="12.75" customHeight="1" x14ac:dyDescent="0.2">
      <c r="B34929" s="43"/>
    </row>
    <row r="34930" spans="2:2" ht="12.75" customHeight="1" x14ac:dyDescent="0.2">
      <c r="B34930" s="43"/>
    </row>
    <row r="34931" spans="2:2" ht="12.75" customHeight="1" x14ac:dyDescent="0.2">
      <c r="B34931" s="43"/>
    </row>
    <row r="34932" spans="2:2" ht="12.75" customHeight="1" x14ac:dyDescent="0.2">
      <c r="B34932" s="43"/>
    </row>
    <row r="34933" spans="2:2" ht="12.75" customHeight="1" x14ac:dyDescent="0.2">
      <c r="B34933" s="43"/>
    </row>
    <row r="34934" spans="2:2" ht="12.75" customHeight="1" x14ac:dyDescent="0.2">
      <c r="B34934" s="43"/>
    </row>
    <row r="34935" spans="2:2" ht="12.75" customHeight="1" x14ac:dyDescent="0.2">
      <c r="B34935" s="43"/>
    </row>
    <row r="34936" spans="2:2" ht="12.75" customHeight="1" x14ac:dyDescent="0.2">
      <c r="B34936" s="43"/>
    </row>
    <row r="34937" spans="2:2" ht="12.75" customHeight="1" x14ac:dyDescent="0.2">
      <c r="B34937" s="43"/>
    </row>
    <row r="34938" spans="2:2" ht="12.75" customHeight="1" x14ac:dyDescent="0.2">
      <c r="B34938" s="43"/>
    </row>
    <row r="34939" spans="2:2" ht="12.75" customHeight="1" x14ac:dyDescent="0.2">
      <c r="B34939" s="43"/>
    </row>
    <row r="34940" spans="2:2" ht="12.75" customHeight="1" x14ac:dyDescent="0.2">
      <c r="B34940" s="43"/>
    </row>
    <row r="34941" spans="2:2" ht="12.75" customHeight="1" x14ac:dyDescent="0.2">
      <c r="B34941" s="43"/>
    </row>
    <row r="34942" spans="2:2" ht="12.75" customHeight="1" x14ac:dyDescent="0.2">
      <c r="B34942" s="43"/>
    </row>
    <row r="34943" spans="2:2" ht="12.75" customHeight="1" x14ac:dyDescent="0.2">
      <c r="B34943" s="43"/>
    </row>
    <row r="34944" spans="2:2" ht="12.75" customHeight="1" x14ac:dyDescent="0.2">
      <c r="B34944" s="43"/>
    </row>
    <row r="34945" spans="2:2" ht="12.75" customHeight="1" x14ac:dyDescent="0.2">
      <c r="B34945" s="43"/>
    </row>
    <row r="34946" spans="2:2" ht="12.75" customHeight="1" x14ac:dyDescent="0.2">
      <c r="B34946" s="43"/>
    </row>
    <row r="34947" spans="2:2" ht="12.75" customHeight="1" x14ac:dyDescent="0.2">
      <c r="B34947" s="43"/>
    </row>
    <row r="34948" spans="2:2" ht="12.75" customHeight="1" x14ac:dyDescent="0.2">
      <c r="B34948" s="43"/>
    </row>
    <row r="34949" spans="2:2" ht="12.75" customHeight="1" x14ac:dyDescent="0.2">
      <c r="B34949" s="43"/>
    </row>
    <row r="34950" spans="2:2" ht="12.75" customHeight="1" x14ac:dyDescent="0.2">
      <c r="B34950" s="43"/>
    </row>
    <row r="34951" spans="2:2" ht="12.75" customHeight="1" x14ac:dyDescent="0.2">
      <c r="B34951" s="43"/>
    </row>
    <row r="34952" spans="2:2" ht="12.75" customHeight="1" x14ac:dyDescent="0.2">
      <c r="B34952" s="43"/>
    </row>
    <row r="34953" spans="2:2" ht="12.75" customHeight="1" x14ac:dyDescent="0.2">
      <c r="B34953" s="43"/>
    </row>
    <row r="34954" spans="2:2" ht="12.75" customHeight="1" x14ac:dyDescent="0.2">
      <c r="B34954" s="43"/>
    </row>
    <row r="34955" spans="2:2" ht="12.75" customHeight="1" x14ac:dyDescent="0.2">
      <c r="B34955" s="43"/>
    </row>
    <row r="34956" spans="2:2" ht="12.75" customHeight="1" x14ac:dyDescent="0.2">
      <c r="B34956" s="43"/>
    </row>
    <row r="34957" spans="2:2" ht="12.75" customHeight="1" x14ac:dyDescent="0.2">
      <c r="B34957" s="43"/>
    </row>
    <row r="34958" spans="2:2" ht="12.75" customHeight="1" x14ac:dyDescent="0.2">
      <c r="B34958" s="43"/>
    </row>
    <row r="34959" spans="2:2" ht="12.75" customHeight="1" x14ac:dyDescent="0.2">
      <c r="B34959" s="43"/>
    </row>
    <row r="34960" spans="2:2" ht="12.75" customHeight="1" x14ac:dyDescent="0.2">
      <c r="B34960" s="43"/>
    </row>
    <row r="34961" spans="2:2" ht="12.75" customHeight="1" x14ac:dyDescent="0.2">
      <c r="B34961" s="43"/>
    </row>
    <row r="34962" spans="2:2" ht="12.75" customHeight="1" x14ac:dyDescent="0.2">
      <c r="B34962" s="43"/>
    </row>
    <row r="34963" spans="2:2" ht="12.75" customHeight="1" x14ac:dyDescent="0.2">
      <c r="B34963" s="43"/>
    </row>
    <row r="34964" spans="2:2" ht="12.75" customHeight="1" x14ac:dyDescent="0.2">
      <c r="B34964" s="43"/>
    </row>
    <row r="34965" spans="2:2" ht="12.75" customHeight="1" x14ac:dyDescent="0.2">
      <c r="B34965" s="43"/>
    </row>
    <row r="34966" spans="2:2" ht="12.75" customHeight="1" x14ac:dyDescent="0.2">
      <c r="B34966" s="43"/>
    </row>
    <row r="34967" spans="2:2" ht="12.75" customHeight="1" x14ac:dyDescent="0.2">
      <c r="B34967" s="43"/>
    </row>
    <row r="34968" spans="2:2" ht="12.75" customHeight="1" x14ac:dyDescent="0.2">
      <c r="B34968" s="43"/>
    </row>
    <row r="34969" spans="2:2" ht="12.75" customHeight="1" x14ac:dyDescent="0.2">
      <c r="B34969" s="43"/>
    </row>
    <row r="34970" spans="2:2" ht="12.75" customHeight="1" x14ac:dyDescent="0.2">
      <c r="B34970" s="43"/>
    </row>
    <row r="34971" spans="2:2" ht="12.75" customHeight="1" x14ac:dyDescent="0.2">
      <c r="B34971" s="43"/>
    </row>
    <row r="34972" spans="2:2" ht="12.75" customHeight="1" x14ac:dyDescent="0.2">
      <c r="B34972" s="43"/>
    </row>
    <row r="34973" spans="2:2" ht="12.75" customHeight="1" x14ac:dyDescent="0.2">
      <c r="B34973" s="43"/>
    </row>
    <row r="34974" spans="2:2" ht="12.75" customHeight="1" x14ac:dyDescent="0.2">
      <c r="B34974" s="43"/>
    </row>
    <row r="34975" spans="2:2" ht="12.75" customHeight="1" x14ac:dyDescent="0.2">
      <c r="B34975" s="43"/>
    </row>
    <row r="34976" spans="2:2" ht="12.75" customHeight="1" x14ac:dyDescent="0.2">
      <c r="B34976" s="43"/>
    </row>
    <row r="34977" spans="2:2" ht="12.75" customHeight="1" x14ac:dyDescent="0.2">
      <c r="B34977" s="43"/>
    </row>
    <row r="34978" spans="2:2" ht="12.75" customHeight="1" x14ac:dyDescent="0.2">
      <c r="B34978" s="43"/>
    </row>
    <row r="34979" spans="2:2" ht="12.75" customHeight="1" x14ac:dyDescent="0.2">
      <c r="B34979" s="43"/>
    </row>
    <row r="34980" spans="2:2" ht="12.75" customHeight="1" x14ac:dyDescent="0.2">
      <c r="B34980" s="43"/>
    </row>
    <row r="34981" spans="2:2" ht="12.75" customHeight="1" x14ac:dyDescent="0.2">
      <c r="B34981" s="43"/>
    </row>
    <row r="34982" spans="2:2" ht="12.75" customHeight="1" x14ac:dyDescent="0.2">
      <c r="B34982" s="43"/>
    </row>
    <row r="34983" spans="2:2" ht="12.75" customHeight="1" x14ac:dyDescent="0.2">
      <c r="B34983" s="43"/>
    </row>
    <row r="34984" spans="2:2" ht="12.75" customHeight="1" x14ac:dyDescent="0.2">
      <c r="B34984" s="43"/>
    </row>
    <row r="34985" spans="2:2" ht="12.75" customHeight="1" x14ac:dyDescent="0.2">
      <c r="B34985" s="43"/>
    </row>
    <row r="34986" spans="2:2" ht="12.75" customHeight="1" x14ac:dyDescent="0.2">
      <c r="B34986" s="43"/>
    </row>
    <row r="34987" spans="2:2" ht="12.75" customHeight="1" x14ac:dyDescent="0.2">
      <c r="B34987" s="43"/>
    </row>
    <row r="34988" spans="2:2" ht="12.75" customHeight="1" x14ac:dyDescent="0.2">
      <c r="B34988" s="43"/>
    </row>
    <row r="34989" spans="2:2" ht="12.75" customHeight="1" x14ac:dyDescent="0.2">
      <c r="B34989" s="43"/>
    </row>
    <row r="34990" spans="2:2" ht="12.75" customHeight="1" x14ac:dyDescent="0.2">
      <c r="B34990" s="43"/>
    </row>
    <row r="34991" spans="2:2" ht="12.75" customHeight="1" x14ac:dyDescent="0.2">
      <c r="B34991" s="43"/>
    </row>
    <row r="34992" spans="2:2" ht="12.75" customHeight="1" x14ac:dyDescent="0.2">
      <c r="B34992" s="43"/>
    </row>
    <row r="34993" spans="2:2" ht="12.75" customHeight="1" x14ac:dyDescent="0.2">
      <c r="B34993" s="43"/>
    </row>
    <row r="34994" spans="2:2" ht="12.75" customHeight="1" x14ac:dyDescent="0.2">
      <c r="B34994" s="43"/>
    </row>
    <row r="34995" spans="2:2" ht="12.75" customHeight="1" x14ac:dyDescent="0.2">
      <c r="B34995" s="43"/>
    </row>
    <row r="34996" spans="2:2" ht="12.75" customHeight="1" x14ac:dyDescent="0.2">
      <c r="B34996" s="43"/>
    </row>
    <row r="34997" spans="2:2" ht="12.75" customHeight="1" x14ac:dyDescent="0.2">
      <c r="B34997" s="43"/>
    </row>
    <row r="34998" spans="2:2" ht="12.75" customHeight="1" x14ac:dyDescent="0.2">
      <c r="B34998" s="43"/>
    </row>
    <row r="34999" spans="2:2" ht="12.75" customHeight="1" x14ac:dyDescent="0.2">
      <c r="B34999" s="43"/>
    </row>
    <row r="35000" spans="2:2" ht="12.75" customHeight="1" x14ac:dyDescent="0.2">
      <c r="B35000" s="43"/>
    </row>
    <row r="35001" spans="2:2" ht="12.75" customHeight="1" x14ac:dyDescent="0.2">
      <c r="B35001" s="43"/>
    </row>
    <row r="35002" spans="2:2" ht="12.75" customHeight="1" x14ac:dyDescent="0.2">
      <c r="B35002" s="43"/>
    </row>
    <row r="35003" spans="2:2" ht="12.75" customHeight="1" x14ac:dyDescent="0.2">
      <c r="B35003" s="43"/>
    </row>
    <row r="35004" spans="2:2" ht="12.75" customHeight="1" x14ac:dyDescent="0.2">
      <c r="B35004" s="43"/>
    </row>
    <row r="35005" spans="2:2" ht="12.75" customHeight="1" x14ac:dyDescent="0.2">
      <c r="B35005" s="43"/>
    </row>
    <row r="35006" spans="2:2" ht="12.75" customHeight="1" x14ac:dyDescent="0.2">
      <c r="B35006" s="43"/>
    </row>
    <row r="35007" spans="2:2" ht="12.75" customHeight="1" x14ac:dyDescent="0.2">
      <c r="B35007" s="43"/>
    </row>
    <row r="35008" spans="2:2" ht="12.75" customHeight="1" x14ac:dyDescent="0.2">
      <c r="B35008" s="43"/>
    </row>
    <row r="35009" spans="2:2" ht="12.75" customHeight="1" x14ac:dyDescent="0.2">
      <c r="B35009" s="43"/>
    </row>
    <row r="35010" spans="2:2" ht="12.75" customHeight="1" x14ac:dyDescent="0.2">
      <c r="B35010" s="43"/>
    </row>
    <row r="35011" spans="2:2" ht="12.75" customHeight="1" x14ac:dyDescent="0.2">
      <c r="B35011" s="43"/>
    </row>
    <row r="35012" spans="2:2" ht="12.75" customHeight="1" x14ac:dyDescent="0.2">
      <c r="B35012" s="43"/>
    </row>
    <row r="35013" spans="2:2" ht="12.75" customHeight="1" x14ac:dyDescent="0.2">
      <c r="B35013" s="43"/>
    </row>
    <row r="35014" spans="2:2" ht="12.75" customHeight="1" x14ac:dyDescent="0.2">
      <c r="B35014" s="43"/>
    </row>
    <row r="35015" spans="2:2" ht="12.75" customHeight="1" x14ac:dyDescent="0.2">
      <c r="B35015" s="43"/>
    </row>
    <row r="35016" spans="2:2" ht="12.75" customHeight="1" x14ac:dyDescent="0.2">
      <c r="B35016" s="43"/>
    </row>
    <row r="35017" spans="2:2" ht="12.75" customHeight="1" x14ac:dyDescent="0.2">
      <c r="B35017" s="43"/>
    </row>
    <row r="35018" spans="2:2" ht="12.75" customHeight="1" x14ac:dyDescent="0.2">
      <c r="B35018" s="43"/>
    </row>
    <row r="35019" spans="2:2" ht="12.75" customHeight="1" x14ac:dyDescent="0.2">
      <c r="B35019" s="43"/>
    </row>
    <row r="35020" spans="2:2" ht="12.75" customHeight="1" x14ac:dyDescent="0.2">
      <c r="B35020" s="43"/>
    </row>
    <row r="35021" spans="2:2" ht="12.75" customHeight="1" x14ac:dyDescent="0.2">
      <c r="B35021" s="43"/>
    </row>
    <row r="35022" spans="2:2" ht="12.75" customHeight="1" x14ac:dyDescent="0.2">
      <c r="B35022" s="43"/>
    </row>
    <row r="35023" spans="2:2" ht="12.75" customHeight="1" x14ac:dyDescent="0.2">
      <c r="B35023" s="43"/>
    </row>
    <row r="35024" spans="2:2" ht="12.75" customHeight="1" x14ac:dyDescent="0.2">
      <c r="B35024" s="43"/>
    </row>
    <row r="35025" spans="2:2" ht="12.75" customHeight="1" x14ac:dyDescent="0.2">
      <c r="B35025" s="43"/>
    </row>
    <row r="35026" spans="2:2" ht="12.75" customHeight="1" x14ac:dyDescent="0.2">
      <c r="B35026" s="43"/>
    </row>
    <row r="35027" spans="2:2" ht="12.75" customHeight="1" x14ac:dyDescent="0.2">
      <c r="B35027" s="43"/>
    </row>
    <row r="35028" spans="2:2" ht="12.75" customHeight="1" x14ac:dyDescent="0.2">
      <c r="B35028" s="43"/>
    </row>
    <row r="35029" spans="2:2" ht="12.75" customHeight="1" x14ac:dyDescent="0.2">
      <c r="B35029" s="43"/>
    </row>
    <row r="35030" spans="2:2" ht="12.75" customHeight="1" x14ac:dyDescent="0.2">
      <c r="B35030" s="43"/>
    </row>
    <row r="35031" spans="2:2" ht="12.75" customHeight="1" x14ac:dyDescent="0.2">
      <c r="B35031" s="43"/>
    </row>
    <row r="35032" spans="2:2" ht="12.75" customHeight="1" x14ac:dyDescent="0.2">
      <c r="B35032" s="43"/>
    </row>
    <row r="35033" spans="2:2" ht="12.75" customHeight="1" x14ac:dyDescent="0.2">
      <c r="B35033" s="43"/>
    </row>
    <row r="35034" spans="2:2" ht="12.75" customHeight="1" x14ac:dyDescent="0.2">
      <c r="B35034" s="43"/>
    </row>
    <row r="35035" spans="2:2" ht="12.75" customHeight="1" x14ac:dyDescent="0.2">
      <c r="B35035" s="43"/>
    </row>
    <row r="35036" spans="2:2" ht="12.75" customHeight="1" x14ac:dyDescent="0.2">
      <c r="B35036" s="43"/>
    </row>
    <row r="35037" spans="2:2" ht="12.75" customHeight="1" x14ac:dyDescent="0.2">
      <c r="B35037" s="43"/>
    </row>
    <row r="35038" spans="2:2" ht="12.75" customHeight="1" x14ac:dyDescent="0.2">
      <c r="B35038" s="43"/>
    </row>
    <row r="35039" spans="2:2" ht="12.75" customHeight="1" x14ac:dyDescent="0.2">
      <c r="B35039" s="43"/>
    </row>
    <row r="35040" spans="2:2" ht="12.75" customHeight="1" x14ac:dyDescent="0.2">
      <c r="B35040" s="43"/>
    </row>
    <row r="35041" spans="2:2" ht="12.75" customHeight="1" x14ac:dyDescent="0.2">
      <c r="B35041" s="43"/>
    </row>
    <row r="35042" spans="2:2" ht="12.75" customHeight="1" x14ac:dyDescent="0.2">
      <c r="B35042" s="43"/>
    </row>
    <row r="35043" spans="2:2" ht="12.75" customHeight="1" x14ac:dyDescent="0.2">
      <c r="B35043" s="43"/>
    </row>
    <row r="35044" spans="2:2" ht="12.75" customHeight="1" x14ac:dyDescent="0.2">
      <c r="B35044" s="43"/>
    </row>
    <row r="35045" spans="2:2" ht="12.75" customHeight="1" x14ac:dyDescent="0.2">
      <c r="B35045" s="43"/>
    </row>
    <row r="35046" spans="2:2" ht="12.75" customHeight="1" x14ac:dyDescent="0.2">
      <c r="B35046" s="43"/>
    </row>
    <row r="35047" spans="2:2" ht="12.75" customHeight="1" x14ac:dyDescent="0.2">
      <c r="B35047" s="43"/>
    </row>
    <row r="35048" spans="2:2" ht="12.75" customHeight="1" x14ac:dyDescent="0.2">
      <c r="B35048" s="43"/>
    </row>
    <row r="35049" spans="2:2" ht="12.75" customHeight="1" x14ac:dyDescent="0.2">
      <c r="B35049" s="43"/>
    </row>
    <row r="35050" spans="2:2" ht="12.75" customHeight="1" x14ac:dyDescent="0.2">
      <c r="B35050" s="43"/>
    </row>
    <row r="35051" spans="2:2" ht="12.75" customHeight="1" x14ac:dyDescent="0.2">
      <c r="B35051" s="43"/>
    </row>
    <row r="35052" spans="2:2" ht="12.75" customHeight="1" x14ac:dyDescent="0.2">
      <c r="B35052" s="43"/>
    </row>
    <row r="35053" spans="2:2" ht="12.75" customHeight="1" x14ac:dyDescent="0.2">
      <c r="B35053" s="43"/>
    </row>
    <row r="35054" spans="2:2" ht="12.75" customHeight="1" x14ac:dyDescent="0.2">
      <c r="B35054" s="43"/>
    </row>
    <row r="35055" spans="2:2" ht="12.75" customHeight="1" x14ac:dyDescent="0.2">
      <c r="B35055" s="43"/>
    </row>
    <row r="35056" spans="2:2" ht="12.75" customHeight="1" x14ac:dyDescent="0.2">
      <c r="B35056" s="43"/>
    </row>
    <row r="35057" spans="2:2" ht="12.75" customHeight="1" x14ac:dyDescent="0.2">
      <c r="B35057" s="43"/>
    </row>
    <row r="35058" spans="2:2" ht="12.75" customHeight="1" x14ac:dyDescent="0.2">
      <c r="B35058" s="43"/>
    </row>
    <row r="35059" spans="2:2" ht="12.75" customHeight="1" x14ac:dyDescent="0.2">
      <c r="B35059" s="43"/>
    </row>
    <row r="35060" spans="2:2" ht="12.75" customHeight="1" x14ac:dyDescent="0.2">
      <c r="B35060" s="43"/>
    </row>
    <row r="35061" spans="2:2" ht="12.75" customHeight="1" x14ac:dyDescent="0.2">
      <c r="B35061" s="43"/>
    </row>
    <row r="35062" spans="2:2" ht="12.75" customHeight="1" x14ac:dyDescent="0.2">
      <c r="B35062" s="43"/>
    </row>
    <row r="35063" spans="2:2" ht="12.75" customHeight="1" x14ac:dyDescent="0.2">
      <c r="B35063" s="43"/>
    </row>
    <row r="35064" spans="2:2" ht="12.75" customHeight="1" x14ac:dyDescent="0.2">
      <c r="B35064" s="43"/>
    </row>
    <row r="35065" spans="2:2" ht="12.75" customHeight="1" x14ac:dyDescent="0.2">
      <c r="B35065" s="43"/>
    </row>
    <row r="35066" spans="2:2" ht="12.75" customHeight="1" x14ac:dyDescent="0.2">
      <c r="B35066" s="43"/>
    </row>
    <row r="35067" spans="2:2" ht="12.75" customHeight="1" x14ac:dyDescent="0.2">
      <c r="B35067" s="43"/>
    </row>
    <row r="35068" spans="2:2" ht="12.75" customHeight="1" x14ac:dyDescent="0.2">
      <c r="B35068" s="43"/>
    </row>
    <row r="35069" spans="2:2" ht="12.75" customHeight="1" x14ac:dyDescent="0.2">
      <c r="B35069" s="43"/>
    </row>
    <row r="35070" spans="2:2" ht="12.75" customHeight="1" x14ac:dyDescent="0.2">
      <c r="B35070" s="43"/>
    </row>
    <row r="35071" spans="2:2" ht="12.75" customHeight="1" x14ac:dyDescent="0.2">
      <c r="B35071" s="43"/>
    </row>
    <row r="35072" spans="2:2" ht="12.75" customHeight="1" x14ac:dyDescent="0.2">
      <c r="B35072" s="43"/>
    </row>
    <row r="35073" spans="2:2" ht="12.75" customHeight="1" x14ac:dyDescent="0.2">
      <c r="B35073" s="43"/>
    </row>
    <row r="35074" spans="2:2" ht="12.75" customHeight="1" x14ac:dyDescent="0.2">
      <c r="B35074" s="43"/>
    </row>
    <row r="35075" spans="2:2" ht="12.75" customHeight="1" x14ac:dyDescent="0.2">
      <c r="B35075" s="43"/>
    </row>
    <row r="35076" spans="2:2" ht="12.75" customHeight="1" x14ac:dyDescent="0.2">
      <c r="B35076" s="43"/>
    </row>
    <row r="35077" spans="2:2" ht="12.75" customHeight="1" x14ac:dyDescent="0.2">
      <c r="B35077" s="43"/>
    </row>
    <row r="35078" spans="2:2" ht="12.75" customHeight="1" x14ac:dyDescent="0.2">
      <c r="B35078" s="43"/>
    </row>
    <row r="35079" spans="2:2" ht="12.75" customHeight="1" x14ac:dyDescent="0.2">
      <c r="B35079" s="43"/>
    </row>
    <row r="35080" spans="2:2" ht="12.75" customHeight="1" x14ac:dyDescent="0.2">
      <c r="B35080" s="43"/>
    </row>
    <row r="35081" spans="2:2" ht="12.75" customHeight="1" x14ac:dyDescent="0.2">
      <c r="B35081" s="43"/>
    </row>
    <row r="35082" spans="2:2" ht="12.75" customHeight="1" x14ac:dyDescent="0.2">
      <c r="B35082" s="43"/>
    </row>
    <row r="35083" spans="2:2" ht="12.75" customHeight="1" x14ac:dyDescent="0.2">
      <c r="B35083" s="43"/>
    </row>
    <row r="35084" spans="2:2" ht="12.75" customHeight="1" x14ac:dyDescent="0.2">
      <c r="B35084" s="43"/>
    </row>
    <row r="35085" spans="2:2" ht="12.75" customHeight="1" x14ac:dyDescent="0.2">
      <c r="B35085" s="43"/>
    </row>
    <row r="35086" spans="2:2" ht="12.75" customHeight="1" x14ac:dyDescent="0.2">
      <c r="B35086" s="43"/>
    </row>
    <row r="35087" spans="2:2" ht="12.75" customHeight="1" x14ac:dyDescent="0.2">
      <c r="B35087" s="43"/>
    </row>
    <row r="35088" spans="2:2" ht="12.75" customHeight="1" x14ac:dyDescent="0.2">
      <c r="B35088" s="43"/>
    </row>
    <row r="35089" spans="2:2" ht="12.75" customHeight="1" x14ac:dyDescent="0.2">
      <c r="B35089" s="43"/>
    </row>
    <row r="35090" spans="2:2" ht="12.75" customHeight="1" x14ac:dyDescent="0.2">
      <c r="B35090" s="43"/>
    </row>
    <row r="35091" spans="2:2" ht="12.75" customHeight="1" x14ac:dyDescent="0.2">
      <c r="B35091" s="43"/>
    </row>
    <row r="35092" spans="2:2" ht="12.75" customHeight="1" x14ac:dyDescent="0.2">
      <c r="B35092" s="43"/>
    </row>
    <row r="35093" spans="2:2" ht="12.75" customHeight="1" x14ac:dyDescent="0.2">
      <c r="B35093" s="43"/>
    </row>
    <row r="35094" spans="2:2" ht="12.75" customHeight="1" x14ac:dyDescent="0.2">
      <c r="B35094" s="43"/>
    </row>
    <row r="35095" spans="2:2" ht="12.75" customHeight="1" x14ac:dyDescent="0.2">
      <c r="B35095" s="43"/>
    </row>
    <row r="35096" spans="2:2" ht="12.75" customHeight="1" x14ac:dyDescent="0.2">
      <c r="B35096" s="43"/>
    </row>
    <row r="35097" spans="2:2" ht="12.75" customHeight="1" x14ac:dyDescent="0.2">
      <c r="B35097" s="43"/>
    </row>
    <row r="35098" spans="2:2" ht="12.75" customHeight="1" x14ac:dyDescent="0.2">
      <c r="B35098" s="43"/>
    </row>
    <row r="35099" spans="2:2" ht="12.75" customHeight="1" x14ac:dyDescent="0.2">
      <c r="B35099" s="43"/>
    </row>
    <row r="35100" spans="2:2" ht="12.75" customHeight="1" x14ac:dyDescent="0.2">
      <c r="B35100" s="43"/>
    </row>
    <row r="35101" spans="2:2" ht="12.75" customHeight="1" x14ac:dyDescent="0.2">
      <c r="B35101" s="43"/>
    </row>
    <row r="35102" spans="2:2" ht="12.75" customHeight="1" x14ac:dyDescent="0.2">
      <c r="B35102" s="43"/>
    </row>
    <row r="35103" spans="2:2" ht="12.75" customHeight="1" x14ac:dyDescent="0.2">
      <c r="B35103" s="43"/>
    </row>
    <row r="35104" spans="2:2" ht="12.75" customHeight="1" x14ac:dyDescent="0.2">
      <c r="B35104" s="43"/>
    </row>
    <row r="35105" spans="2:2" ht="12.75" customHeight="1" x14ac:dyDescent="0.2">
      <c r="B35105" s="43"/>
    </row>
    <row r="35106" spans="2:2" ht="12.75" customHeight="1" x14ac:dyDescent="0.2">
      <c r="B35106" s="43"/>
    </row>
    <row r="35107" spans="2:2" ht="12.75" customHeight="1" x14ac:dyDescent="0.2">
      <c r="B35107" s="43"/>
    </row>
    <row r="35108" spans="2:2" ht="12.75" customHeight="1" x14ac:dyDescent="0.2">
      <c r="B35108" s="43"/>
    </row>
    <row r="35109" spans="2:2" ht="12.75" customHeight="1" x14ac:dyDescent="0.2">
      <c r="B35109" s="43"/>
    </row>
    <row r="35110" spans="2:2" ht="12.75" customHeight="1" x14ac:dyDescent="0.2">
      <c r="B35110" s="43"/>
    </row>
    <row r="35111" spans="2:2" ht="12.75" customHeight="1" x14ac:dyDescent="0.2">
      <c r="B35111" s="43"/>
    </row>
    <row r="35112" spans="2:2" ht="12.75" customHeight="1" x14ac:dyDescent="0.2">
      <c r="B35112" s="43"/>
    </row>
    <row r="35113" spans="2:2" ht="12.75" customHeight="1" x14ac:dyDescent="0.2">
      <c r="B35113" s="43"/>
    </row>
    <row r="35114" spans="2:2" ht="12.75" customHeight="1" x14ac:dyDescent="0.2">
      <c r="B35114" s="43"/>
    </row>
    <row r="35115" spans="2:2" ht="12.75" customHeight="1" x14ac:dyDescent="0.2">
      <c r="B35115" s="43"/>
    </row>
    <row r="35116" spans="2:2" ht="12.75" customHeight="1" x14ac:dyDescent="0.2">
      <c r="B35116" s="43"/>
    </row>
    <row r="35117" spans="2:2" ht="12.75" customHeight="1" x14ac:dyDescent="0.2">
      <c r="B35117" s="43"/>
    </row>
    <row r="35118" spans="2:2" ht="12.75" customHeight="1" x14ac:dyDescent="0.2">
      <c r="B35118" s="43"/>
    </row>
    <row r="35119" spans="2:2" ht="12.75" customHeight="1" x14ac:dyDescent="0.2">
      <c r="B35119" s="43"/>
    </row>
    <row r="35120" spans="2:2" ht="12.75" customHeight="1" x14ac:dyDescent="0.2">
      <c r="B35120" s="43"/>
    </row>
    <row r="35121" spans="2:2" ht="12.75" customHeight="1" x14ac:dyDescent="0.2">
      <c r="B35121" s="43"/>
    </row>
    <row r="35122" spans="2:2" ht="12.75" customHeight="1" x14ac:dyDescent="0.2">
      <c r="B35122" s="43"/>
    </row>
    <row r="35123" spans="2:2" ht="12.75" customHeight="1" x14ac:dyDescent="0.2">
      <c r="B35123" s="43"/>
    </row>
    <row r="35124" spans="2:2" ht="12.75" customHeight="1" x14ac:dyDescent="0.2">
      <c r="B35124" s="43"/>
    </row>
    <row r="35125" spans="2:2" ht="12.75" customHeight="1" x14ac:dyDescent="0.2">
      <c r="B35125" s="43"/>
    </row>
    <row r="35126" spans="2:2" ht="12.75" customHeight="1" x14ac:dyDescent="0.2">
      <c r="B35126" s="43"/>
    </row>
    <row r="35127" spans="2:2" ht="12.75" customHeight="1" x14ac:dyDescent="0.2">
      <c r="B35127" s="43"/>
    </row>
    <row r="35128" spans="2:2" ht="12.75" customHeight="1" x14ac:dyDescent="0.2">
      <c r="B35128" s="43"/>
    </row>
    <row r="35129" spans="2:2" ht="12.75" customHeight="1" x14ac:dyDescent="0.2">
      <c r="B35129" s="43"/>
    </row>
    <row r="35130" spans="2:2" ht="12.75" customHeight="1" x14ac:dyDescent="0.2">
      <c r="B35130" s="43"/>
    </row>
    <row r="35131" spans="2:2" ht="12.75" customHeight="1" x14ac:dyDescent="0.2">
      <c r="B35131" s="43"/>
    </row>
    <row r="35132" spans="2:2" ht="12.75" customHeight="1" x14ac:dyDescent="0.2">
      <c r="B35132" s="43"/>
    </row>
    <row r="35133" spans="2:2" ht="12.75" customHeight="1" x14ac:dyDescent="0.2">
      <c r="B35133" s="43"/>
    </row>
    <row r="35134" spans="2:2" ht="12.75" customHeight="1" x14ac:dyDescent="0.2">
      <c r="B35134" s="43"/>
    </row>
    <row r="35135" spans="2:2" ht="12.75" customHeight="1" x14ac:dyDescent="0.2">
      <c r="B35135" s="43"/>
    </row>
    <row r="35136" spans="2:2" ht="12.75" customHeight="1" x14ac:dyDescent="0.2">
      <c r="B35136" s="43"/>
    </row>
    <row r="35137" spans="2:2" ht="12.75" customHeight="1" x14ac:dyDescent="0.2">
      <c r="B35137" s="43"/>
    </row>
    <row r="35138" spans="2:2" ht="12.75" customHeight="1" x14ac:dyDescent="0.2">
      <c r="B35138" s="43"/>
    </row>
    <row r="35139" spans="2:2" ht="12.75" customHeight="1" x14ac:dyDescent="0.2">
      <c r="B35139" s="43"/>
    </row>
    <row r="35140" spans="2:2" ht="12.75" customHeight="1" x14ac:dyDescent="0.2">
      <c r="B35140" s="43"/>
    </row>
    <row r="35141" spans="2:2" ht="12.75" customHeight="1" x14ac:dyDescent="0.2">
      <c r="B35141" s="43"/>
    </row>
    <row r="35142" spans="2:2" ht="12.75" customHeight="1" x14ac:dyDescent="0.2">
      <c r="B35142" s="43"/>
    </row>
    <row r="35143" spans="2:2" ht="12.75" customHeight="1" x14ac:dyDescent="0.2">
      <c r="B35143" s="43"/>
    </row>
    <row r="35144" spans="2:2" ht="12.75" customHeight="1" x14ac:dyDescent="0.2">
      <c r="B35144" s="43"/>
    </row>
    <row r="35145" spans="2:2" ht="12.75" customHeight="1" x14ac:dyDescent="0.2">
      <c r="B35145" s="43"/>
    </row>
    <row r="35146" spans="2:2" ht="12.75" customHeight="1" x14ac:dyDescent="0.2">
      <c r="B35146" s="43"/>
    </row>
    <row r="35147" spans="2:2" ht="12.75" customHeight="1" x14ac:dyDescent="0.2">
      <c r="B35147" s="43"/>
    </row>
    <row r="35148" spans="2:2" ht="12.75" customHeight="1" x14ac:dyDescent="0.2">
      <c r="B35148" s="43"/>
    </row>
    <row r="35149" spans="2:2" ht="12.75" customHeight="1" x14ac:dyDescent="0.2">
      <c r="B35149" s="43"/>
    </row>
    <row r="35150" spans="2:2" ht="12.75" customHeight="1" x14ac:dyDescent="0.2">
      <c r="B35150" s="43"/>
    </row>
    <row r="35151" spans="2:2" ht="12.75" customHeight="1" x14ac:dyDescent="0.2">
      <c r="B35151" s="43"/>
    </row>
    <row r="35152" spans="2:2" ht="12.75" customHeight="1" x14ac:dyDescent="0.2">
      <c r="B35152" s="43"/>
    </row>
    <row r="35153" spans="2:2" ht="12.75" customHeight="1" x14ac:dyDescent="0.2">
      <c r="B35153" s="43"/>
    </row>
    <row r="35154" spans="2:2" ht="12.75" customHeight="1" x14ac:dyDescent="0.2">
      <c r="B35154" s="43"/>
    </row>
    <row r="35155" spans="2:2" ht="12.75" customHeight="1" x14ac:dyDescent="0.2">
      <c r="B35155" s="43"/>
    </row>
    <row r="35156" spans="2:2" ht="12.75" customHeight="1" x14ac:dyDescent="0.2">
      <c r="B35156" s="43"/>
    </row>
    <row r="35157" spans="2:2" ht="12.75" customHeight="1" x14ac:dyDescent="0.2">
      <c r="B35157" s="43"/>
    </row>
    <row r="35158" spans="2:2" ht="12.75" customHeight="1" x14ac:dyDescent="0.2">
      <c r="B35158" s="43"/>
    </row>
    <row r="35159" spans="2:2" ht="12.75" customHeight="1" x14ac:dyDescent="0.2">
      <c r="B35159" s="43"/>
    </row>
    <row r="35160" spans="2:2" ht="12.75" customHeight="1" x14ac:dyDescent="0.2">
      <c r="B35160" s="43"/>
    </row>
    <row r="35161" spans="2:2" ht="12.75" customHeight="1" x14ac:dyDescent="0.2">
      <c r="B35161" s="43"/>
    </row>
    <row r="35162" spans="2:2" ht="12.75" customHeight="1" x14ac:dyDescent="0.2">
      <c r="B35162" s="43"/>
    </row>
    <row r="35163" spans="2:2" ht="12.75" customHeight="1" x14ac:dyDescent="0.2">
      <c r="B35163" s="43"/>
    </row>
    <row r="35164" spans="2:2" ht="12.75" customHeight="1" x14ac:dyDescent="0.2">
      <c r="B35164" s="43"/>
    </row>
    <row r="35165" spans="2:2" ht="12.75" customHeight="1" x14ac:dyDescent="0.2">
      <c r="B35165" s="43"/>
    </row>
    <row r="35166" spans="2:2" ht="12.75" customHeight="1" x14ac:dyDescent="0.2">
      <c r="B35166" s="43"/>
    </row>
    <row r="35167" spans="2:2" ht="12.75" customHeight="1" x14ac:dyDescent="0.2">
      <c r="B35167" s="43"/>
    </row>
    <row r="35168" spans="2:2" ht="12.75" customHeight="1" x14ac:dyDescent="0.2">
      <c r="B35168" s="43"/>
    </row>
    <row r="35169" spans="2:2" ht="12.75" customHeight="1" x14ac:dyDescent="0.2">
      <c r="B35169" s="43"/>
    </row>
    <row r="35170" spans="2:2" ht="12.75" customHeight="1" x14ac:dyDescent="0.2">
      <c r="B35170" s="43"/>
    </row>
    <row r="35171" spans="2:2" ht="12.75" customHeight="1" x14ac:dyDescent="0.2">
      <c r="B35171" s="43"/>
    </row>
    <row r="35172" spans="2:2" ht="12.75" customHeight="1" x14ac:dyDescent="0.2">
      <c r="B35172" s="43"/>
    </row>
    <row r="35173" spans="2:2" ht="12.75" customHeight="1" x14ac:dyDescent="0.2">
      <c r="B35173" s="43"/>
    </row>
    <row r="35174" spans="2:2" ht="12.75" customHeight="1" x14ac:dyDescent="0.2">
      <c r="B35174" s="43"/>
    </row>
    <row r="35175" spans="2:2" ht="12.75" customHeight="1" x14ac:dyDescent="0.2">
      <c r="B35175" s="43"/>
    </row>
    <row r="35176" spans="2:2" ht="12.75" customHeight="1" x14ac:dyDescent="0.2">
      <c r="B35176" s="43"/>
    </row>
    <row r="35177" spans="2:2" ht="12.75" customHeight="1" x14ac:dyDescent="0.2">
      <c r="B35177" s="43"/>
    </row>
    <row r="35178" spans="2:2" ht="12.75" customHeight="1" x14ac:dyDescent="0.2">
      <c r="B35178" s="43"/>
    </row>
    <row r="35179" spans="2:2" ht="12.75" customHeight="1" x14ac:dyDescent="0.2">
      <c r="B35179" s="43"/>
    </row>
    <row r="35180" spans="2:2" ht="12.75" customHeight="1" x14ac:dyDescent="0.2">
      <c r="B35180" s="43"/>
    </row>
    <row r="35181" spans="2:2" ht="12.75" customHeight="1" x14ac:dyDescent="0.2">
      <c r="B35181" s="43"/>
    </row>
    <row r="35182" spans="2:2" ht="12.75" customHeight="1" x14ac:dyDescent="0.2">
      <c r="B35182" s="43"/>
    </row>
    <row r="35183" spans="2:2" ht="12.75" customHeight="1" x14ac:dyDescent="0.2">
      <c r="B35183" s="43"/>
    </row>
    <row r="35184" spans="2:2" ht="12.75" customHeight="1" x14ac:dyDescent="0.2">
      <c r="B35184" s="43"/>
    </row>
    <row r="35185" spans="2:2" ht="12.75" customHeight="1" x14ac:dyDescent="0.2">
      <c r="B35185" s="43"/>
    </row>
    <row r="35186" spans="2:2" ht="12.75" customHeight="1" x14ac:dyDescent="0.2">
      <c r="B35186" s="43"/>
    </row>
    <row r="35187" spans="2:2" ht="12.75" customHeight="1" x14ac:dyDescent="0.2">
      <c r="B35187" s="43"/>
    </row>
    <row r="35188" spans="2:2" ht="12.75" customHeight="1" x14ac:dyDescent="0.2">
      <c r="B35188" s="43"/>
    </row>
    <row r="35189" spans="2:2" ht="12.75" customHeight="1" x14ac:dyDescent="0.2">
      <c r="B35189" s="43"/>
    </row>
    <row r="35190" spans="2:2" ht="12.75" customHeight="1" x14ac:dyDescent="0.2">
      <c r="B35190" s="43"/>
    </row>
    <row r="35191" spans="2:2" ht="12.75" customHeight="1" x14ac:dyDescent="0.2">
      <c r="B35191" s="43"/>
    </row>
    <row r="35192" spans="2:2" ht="12.75" customHeight="1" x14ac:dyDescent="0.2">
      <c r="B35192" s="43"/>
    </row>
    <row r="35193" spans="2:2" ht="12.75" customHeight="1" x14ac:dyDescent="0.2">
      <c r="B35193" s="43"/>
    </row>
    <row r="35194" spans="2:2" ht="12.75" customHeight="1" x14ac:dyDescent="0.2">
      <c r="B35194" s="43"/>
    </row>
    <row r="35195" spans="2:2" ht="12.75" customHeight="1" x14ac:dyDescent="0.2">
      <c r="B35195" s="43"/>
    </row>
    <row r="35196" spans="2:2" ht="12.75" customHeight="1" x14ac:dyDescent="0.2">
      <c r="B35196" s="43"/>
    </row>
    <row r="35197" spans="2:2" ht="12.75" customHeight="1" x14ac:dyDescent="0.2">
      <c r="B35197" s="43"/>
    </row>
    <row r="35198" spans="2:2" ht="12.75" customHeight="1" x14ac:dyDescent="0.2">
      <c r="B35198" s="43"/>
    </row>
    <row r="35199" spans="2:2" ht="12.75" customHeight="1" x14ac:dyDescent="0.2">
      <c r="B35199" s="43"/>
    </row>
    <row r="35200" spans="2:2" ht="12.75" customHeight="1" x14ac:dyDescent="0.2">
      <c r="B35200" s="43"/>
    </row>
    <row r="35201" spans="2:2" ht="12.75" customHeight="1" x14ac:dyDescent="0.2">
      <c r="B35201" s="43"/>
    </row>
    <row r="35202" spans="2:2" ht="12.75" customHeight="1" x14ac:dyDescent="0.2">
      <c r="B35202" s="43"/>
    </row>
    <row r="35203" spans="2:2" ht="12.75" customHeight="1" x14ac:dyDescent="0.2">
      <c r="B35203" s="43"/>
    </row>
    <row r="35204" spans="2:2" ht="12.75" customHeight="1" x14ac:dyDescent="0.2">
      <c r="B35204" s="43"/>
    </row>
    <row r="35205" spans="2:2" ht="12.75" customHeight="1" x14ac:dyDescent="0.2">
      <c r="B35205" s="43"/>
    </row>
    <row r="35206" spans="2:2" ht="12.75" customHeight="1" x14ac:dyDescent="0.2">
      <c r="B35206" s="43"/>
    </row>
    <row r="35207" spans="2:2" ht="12.75" customHeight="1" x14ac:dyDescent="0.2">
      <c r="B35207" s="43"/>
    </row>
    <row r="35208" spans="2:2" ht="12.75" customHeight="1" x14ac:dyDescent="0.2">
      <c r="B35208" s="43"/>
    </row>
    <row r="35209" spans="2:2" ht="12.75" customHeight="1" x14ac:dyDescent="0.2">
      <c r="B35209" s="43"/>
    </row>
    <row r="35210" spans="2:2" ht="12.75" customHeight="1" x14ac:dyDescent="0.2">
      <c r="B35210" s="43"/>
    </row>
    <row r="35211" spans="2:2" ht="12.75" customHeight="1" x14ac:dyDescent="0.2">
      <c r="B35211" s="43"/>
    </row>
    <row r="35212" spans="2:2" ht="12.75" customHeight="1" x14ac:dyDescent="0.2">
      <c r="B35212" s="43"/>
    </row>
    <row r="35213" spans="2:2" ht="12.75" customHeight="1" x14ac:dyDescent="0.2">
      <c r="B35213" s="43"/>
    </row>
    <row r="35214" spans="2:2" ht="12.75" customHeight="1" x14ac:dyDescent="0.2">
      <c r="B35214" s="43"/>
    </row>
    <row r="35215" spans="2:2" ht="12.75" customHeight="1" x14ac:dyDescent="0.2">
      <c r="B35215" s="43"/>
    </row>
    <row r="35216" spans="2:2" ht="12.75" customHeight="1" x14ac:dyDescent="0.2">
      <c r="B35216" s="43"/>
    </row>
    <row r="35217" spans="2:2" ht="12.75" customHeight="1" x14ac:dyDescent="0.2">
      <c r="B35217" s="43"/>
    </row>
    <row r="35218" spans="2:2" ht="12.75" customHeight="1" x14ac:dyDescent="0.2">
      <c r="B35218" s="43"/>
    </row>
    <row r="35219" spans="2:2" ht="12.75" customHeight="1" x14ac:dyDescent="0.2">
      <c r="B35219" s="43"/>
    </row>
    <row r="35220" spans="2:2" ht="12.75" customHeight="1" x14ac:dyDescent="0.2">
      <c r="B35220" s="43"/>
    </row>
    <row r="35221" spans="2:2" ht="12.75" customHeight="1" x14ac:dyDescent="0.2">
      <c r="B35221" s="43"/>
    </row>
    <row r="35222" spans="2:2" ht="12.75" customHeight="1" x14ac:dyDescent="0.2">
      <c r="B35222" s="43"/>
    </row>
    <row r="35223" spans="2:2" ht="12.75" customHeight="1" x14ac:dyDescent="0.2">
      <c r="B35223" s="43"/>
    </row>
    <row r="35224" spans="2:2" ht="12.75" customHeight="1" x14ac:dyDescent="0.2">
      <c r="B35224" s="43"/>
    </row>
    <row r="35225" spans="2:2" ht="12.75" customHeight="1" x14ac:dyDescent="0.2">
      <c r="B35225" s="43"/>
    </row>
    <row r="35226" spans="2:2" ht="12.75" customHeight="1" x14ac:dyDescent="0.2">
      <c r="B35226" s="43"/>
    </row>
    <row r="35227" spans="2:2" ht="12.75" customHeight="1" x14ac:dyDescent="0.2">
      <c r="B35227" s="43"/>
    </row>
    <row r="35228" spans="2:2" ht="12.75" customHeight="1" x14ac:dyDescent="0.2">
      <c r="B35228" s="43"/>
    </row>
    <row r="35229" spans="2:2" ht="12.75" customHeight="1" x14ac:dyDescent="0.2">
      <c r="B35229" s="43"/>
    </row>
    <row r="35230" spans="2:2" ht="12.75" customHeight="1" x14ac:dyDescent="0.2">
      <c r="B35230" s="43"/>
    </row>
    <row r="35231" spans="2:2" ht="12.75" customHeight="1" x14ac:dyDescent="0.2">
      <c r="B35231" s="43"/>
    </row>
    <row r="35232" spans="2:2" ht="12.75" customHeight="1" x14ac:dyDescent="0.2">
      <c r="B35232" s="43"/>
    </row>
    <row r="35233" spans="2:2" ht="12.75" customHeight="1" x14ac:dyDescent="0.2">
      <c r="B35233" s="43"/>
    </row>
    <row r="35234" spans="2:2" ht="12.75" customHeight="1" x14ac:dyDescent="0.2">
      <c r="B35234" s="43"/>
    </row>
    <row r="35235" spans="2:2" ht="12.75" customHeight="1" x14ac:dyDescent="0.2">
      <c r="B35235" s="43"/>
    </row>
    <row r="35236" spans="2:2" ht="12.75" customHeight="1" x14ac:dyDescent="0.2">
      <c r="B35236" s="43"/>
    </row>
    <row r="35237" spans="2:2" ht="12.75" customHeight="1" x14ac:dyDescent="0.2">
      <c r="B35237" s="43"/>
    </row>
    <row r="35238" spans="2:2" ht="12.75" customHeight="1" x14ac:dyDescent="0.2">
      <c r="B35238" s="43"/>
    </row>
    <row r="35239" spans="2:2" ht="12.75" customHeight="1" x14ac:dyDescent="0.2">
      <c r="B35239" s="43"/>
    </row>
    <row r="35240" spans="2:2" ht="12.75" customHeight="1" x14ac:dyDescent="0.2">
      <c r="B35240" s="43"/>
    </row>
    <row r="35241" spans="2:2" ht="12.75" customHeight="1" x14ac:dyDescent="0.2">
      <c r="B35241" s="43"/>
    </row>
    <row r="35242" spans="2:2" ht="12.75" customHeight="1" x14ac:dyDescent="0.2">
      <c r="B35242" s="43"/>
    </row>
    <row r="35243" spans="2:2" ht="12.75" customHeight="1" x14ac:dyDescent="0.2">
      <c r="B35243" s="43"/>
    </row>
    <row r="35244" spans="2:2" ht="12.75" customHeight="1" x14ac:dyDescent="0.2">
      <c r="B35244" s="43"/>
    </row>
    <row r="35245" spans="2:2" ht="12.75" customHeight="1" x14ac:dyDescent="0.2">
      <c r="B35245" s="43"/>
    </row>
    <row r="35246" spans="2:2" ht="12.75" customHeight="1" x14ac:dyDescent="0.2">
      <c r="B35246" s="43"/>
    </row>
    <row r="35247" spans="2:2" ht="12.75" customHeight="1" x14ac:dyDescent="0.2">
      <c r="B35247" s="43"/>
    </row>
    <row r="35248" spans="2:2" ht="12.75" customHeight="1" x14ac:dyDescent="0.2">
      <c r="B35248" s="43"/>
    </row>
    <row r="35249" spans="2:2" ht="12.75" customHeight="1" x14ac:dyDescent="0.2">
      <c r="B35249" s="43"/>
    </row>
    <row r="35250" spans="2:2" ht="12.75" customHeight="1" x14ac:dyDescent="0.2">
      <c r="B35250" s="43"/>
    </row>
    <row r="35251" spans="2:2" ht="12.75" customHeight="1" x14ac:dyDescent="0.2">
      <c r="B35251" s="43"/>
    </row>
    <row r="35252" spans="2:2" ht="12.75" customHeight="1" x14ac:dyDescent="0.2">
      <c r="B35252" s="43"/>
    </row>
    <row r="35253" spans="2:2" ht="12.75" customHeight="1" x14ac:dyDescent="0.2">
      <c r="B35253" s="43"/>
    </row>
    <row r="35254" spans="2:2" ht="12.75" customHeight="1" x14ac:dyDescent="0.2">
      <c r="B35254" s="43"/>
    </row>
    <row r="35255" spans="2:2" ht="12.75" customHeight="1" x14ac:dyDescent="0.2">
      <c r="B35255" s="43"/>
    </row>
    <row r="35256" spans="2:2" ht="12.75" customHeight="1" x14ac:dyDescent="0.2">
      <c r="B35256" s="43"/>
    </row>
    <row r="35257" spans="2:2" ht="12.75" customHeight="1" x14ac:dyDescent="0.2">
      <c r="B35257" s="43"/>
    </row>
    <row r="35258" spans="2:2" ht="12.75" customHeight="1" x14ac:dyDescent="0.2">
      <c r="B35258" s="43"/>
    </row>
    <row r="35259" spans="2:2" ht="12.75" customHeight="1" x14ac:dyDescent="0.2">
      <c r="B35259" s="43"/>
    </row>
    <row r="35260" spans="2:2" ht="12.75" customHeight="1" x14ac:dyDescent="0.2">
      <c r="B35260" s="43"/>
    </row>
    <row r="35261" spans="2:2" ht="12.75" customHeight="1" x14ac:dyDescent="0.2">
      <c r="B35261" s="43"/>
    </row>
    <row r="35262" spans="2:2" ht="12.75" customHeight="1" x14ac:dyDescent="0.2">
      <c r="B35262" s="43"/>
    </row>
    <row r="35263" spans="2:2" ht="12.75" customHeight="1" x14ac:dyDescent="0.2">
      <c r="B35263" s="43"/>
    </row>
    <row r="35264" spans="2:2" ht="12.75" customHeight="1" x14ac:dyDescent="0.2">
      <c r="B35264" s="43"/>
    </row>
    <row r="35265" spans="2:2" ht="12.75" customHeight="1" x14ac:dyDescent="0.2">
      <c r="B35265" s="43"/>
    </row>
    <row r="35266" spans="2:2" ht="12.75" customHeight="1" x14ac:dyDescent="0.2">
      <c r="B35266" s="43"/>
    </row>
    <row r="35267" spans="2:2" ht="12.75" customHeight="1" x14ac:dyDescent="0.2">
      <c r="B35267" s="43"/>
    </row>
    <row r="35268" spans="2:2" ht="12.75" customHeight="1" x14ac:dyDescent="0.2">
      <c r="B35268" s="43"/>
    </row>
    <row r="35269" spans="2:2" ht="12.75" customHeight="1" x14ac:dyDescent="0.2">
      <c r="B35269" s="43"/>
    </row>
    <row r="35270" spans="2:2" ht="12.75" customHeight="1" x14ac:dyDescent="0.2">
      <c r="B35270" s="43"/>
    </row>
    <row r="35271" spans="2:2" ht="12.75" customHeight="1" x14ac:dyDescent="0.2">
      <c r="B35271" s="43"/>
    </row>
    <row r="35272" spans="2:2" ht="12.75" customHeight="1" x14ac:dyDescent="0.2">
      <c r="B35272" s="43"/>
    </row>
    <row r="35273" spans="2:2" ht="12.75" customHeight="1" x14ac:dyDescent="0.2">
      <c r="B35273" s="43"/>
    </row>
    <row r="35274" spans="2:2" ht="12.75" customHeight="1" x14ac:dyDescent="0.2">
      <c r="B35274" s="43"/>
    </row>
    <row r="35275" spans="2:2" ht="12.75" customHeight="1" x14ac:dyDescent="0.2">
      <c r="B35275" s="43"/>
    </row>
    <row r="35276" spans="2:2" ht="12.75" customHeight="1" x14ac:dyDescent="0.2">
      <c r="B35276" s="43"/>
    </row>
    <row r="35277" spans="2:2" ht="12.75" customHeight="1" x14ac:dyDescent="0.2">
      <c r="B35277" s="43"/>
    </row>
    <row r="35278" spans="2:2" ht="12.75" customHeight="1" x14ac:dyDescent="0.2">
      <c r="B35278" s="43"/>
    </row>
    <row r="35279" spans="2:2" ht="12.75" customHeight="1" x14ac:dyDescent="0.2">
      <c r="B35279" s="43"/>
    </row>
    <row r="35280" spans="2:2" ht="12.75" customHeight="1" x14ac:dyDescent="0.2">
      <c r="B35280" s="43"/>
    </row>
    <row r="35281" spans="2:2" ht="12.75" customHeight="1" x14ac:dyDescent="0.2">
      <c r="B35281" s="43"/>
    </row>
    <row r="35282" spans="2:2" ht="12.75" customHeight="1" x14ac:dyDescent="0.2">
      <c r="B35282" s="43"/>
    </row>
    <row r="35283" spans="2:2" ht="12.75" customHeight="1" x14ac:dyDescent="0.2">
      <c r="B35283" s="43"/>
    </row>
    <row r="35284" spans="2:2" ht="12.75" customHeight="1" x14ac:dyDescent="0.2">
      <c r="B35284" s="43"/>
    </row>
    <row r="35285" spans="2:2" ht="12.75" customHeight="1" x14ac:dyDescent="0.2">
      <c r="B35285" s="43"/>
    </row>
    <row r="35286" spans="2:2" ht="12.75" customHeight="1" x14ac:dyDescent="0.2">
      <c r="B35286" s="43"/>
    </row>
    <row r="35287" spans="2:2" ht="12.75" customHeight="1" x14ac:dyDescent="0.2">
      <c r="B35287" s="43"/>
    </row>
    <row r="35288" spans="2:2" ht="12.75" customHeight="1" x14ac:dyDescent="0.2">
      <c r="B35288" s="43"/>
    </row>
    <row r="35289" spans="2:2" ht="12.75" customHeight="1" x14ac:dyDescent="0.2">
      <c r="B35289" s="43"/>
    </row>
    <row r="35290" spans="2:2" ht="12.75" customHeight="1" x14ac:dyDescent="0.2">
      <c r="B35290" s="43"/>
    </row>
    <row r="35291" spans="2:2" ht="12.75" customHeight="1" x14ac:dyDescent="0.2">
      <c r="B35291" s="43"/>
    </row>
    <row r="35292" spans="2:2" ht="12.75" customHeight="1" x14ac:dyDescent="0.2">
      <c r="B35292" s="43"/>
    </row>
    <row r="35293" spans="2:2" ht="12.75" customHeight="1" x14ac:dyDescent="0.2">
      <c r="B35293" s="43"/>
    </row>
    <row r="35294" spans="2:2" ht="12.75" customHeight="1" x14ac:dyDescent="0.2">
      <c r="B35294" s="43"/>
    </row>
    <row r="35295" spans="2:2" ht="12.75" customHeight="1" x14ac:dyDescent="0.2">
      <c r="B35295" s="43"/>
    </row>
    <row r="35296" spans="2:2" ht="12.75" customHeight="1" x14ac:dyDescent="0.2">
      <c r="B35296" s="43"/>
    </row>
    <row r="35297" spans="2:2" ht="12.75" customHeight="1" x14ac:dyDescent="0.2">
      <c r="B35297" s="43"/>
    </row>
    <row r="35298" spans="2:2" ht="12.75" customHeight="1" x14ac:dyDescent="0.2">
      <c r="B35298" s="43"/>
    </row>
    <row r="35299" spans="2:2" ht="12.75" customHeight="1" x14ac:dyDescent="0.2">
      <c r="B35299" s="43"/>
    </row>
    <row r="35300" spans="2:2" ht="12.75" customHeight="1" x14ac:dyDescent="0.2">
      <c r="B35300" s="43"/>
    </row>
    <row r="35301" spans="2:2" ht="12.75" customHeight="1" x14ac:dyDescent="0.2">
      <c r="B35301" s="43"/>
    </row>
    <row r="35302" spans="2:2" ht="12.75" customHeight="1" x14ac:dyDescent="0.2">
      <c r="B35302" s="43"/>
    </row>
    <row r="35303" spans="2:2" ht="12.75" customHeight="1" x14ac:dyDescent="0.2">
      <c r="B35303" s="43"/>
    </row>
    <row r="35304" spans="2:2" ht="12.75" customHeight="1" x14ac:dyDescent="0.2">
      <c r="B35304" s="43"/>
    </row>
    <row r="35305" spans="2:2" ht="12.75" customHeight="1" x14ac:dyDescent="0.2">
      <c r="B35305" s="43"/>
    </row>
    <row r="35306" spans="2:2" ht="12.75" customHeight="1" x14ac:dyDescent="0.2">
      <c r="B35306" s="43"/>
    </row>
    <row r="35307" spans="2:2" ht="12.75" customHeight="1" x14ac:dyDescent="0.2">
      <c r="B35307" s="43"/>
    </row>
    <row r="35308" spans="2:2" ht="12.75" customHeight="1" x14ac:dyDescent="0.2">
      <c r="B35308" s="43"/>
    </row>
    <row r="35309" spans="2:2" ht="12.75" customHeight="1" x14ac:dyDescent="0.2">
      <c r="B35309" s="43"/>
    </row>
    <row r="35310" spans="2:2" ht="12.75" customHeight="1" x14ac:dyDescent="0.2">
      <c r="B35310" s="43"/>
    </row>
    <row r="35311" spans="2:2" ht="12.75" customHeight="1" x14ac:dyDescent="0.2">
      <c r="B35311" s="43"/>
    </row>
    <row r="35312" spans="2:2" ht="12.75" customHeight="1" x14ac:dyDescent="0.2">
      <c r="B35312" s="43"/>
    </row>
    <row r="35313" spans="2:2" ht="12.75" customHeight="1" x14ac:dyDescent="0.2">
      <c r="B35313" s="43"/>
    </row>
    <row r="35314" spans="2:2" ht="12.75" customHeight="1" x14ac:dyDescent="0.2">
      <c r="B35314" s="43"/>
    </row>
    <row r="35315" spans="2:2" ht="12.75" customHeight="1" x14ac:dyDescent="0.2">
      <c r="B35315" s="43"/>
    </row>
    <row r="35316" spans="2:2" ht="12.75" customHeight="1" x14ac:dyDescent="0.2">
      <c r="B35316" s="43"/>
    </row>
    <row r="35317" spans="2:2" ht="12.75" customHeight="1" x14ac:dyDescent="0.2">
      <c r="B35317" s="43"/>
    </row>
    <row r="35318" spans="2:2" ht="12.75" customHeight="1" x14ac:dyDescent="0.2">
      <c r="B35318" s="43"/>
    </row>
    <row r="35319" spans="2:2" ht="12.75" customHeight="1" x14ac:dyDescent="0.2">
      <c r="B35319" s="43"/>
    </row>
    <row r="35320" spans="2:2" ht="12.75" customHeight="1" x14ac:dyDescent="0.2">
      <c r="B35320" s="43"/>
    </row>
    <row r="35321" spans="2:2" ht="12.75" customHeight="1" x14ac:dyDescent="0.2">
      <c r="B35321" s="43"/>
    </row>
    <row r="35322" spans="2:2" ht="12.75" customHeight="1" x14ac:dyDescent="0.2">
      <c r="B35322" s="43"/>
    </row>
    <row r="35323" spans="2:2" ht="12.75" customHeight="1" x14ac:dyDescent="0.2">
      <c r="B35323" s="43"/>
    </row>
    <row r="35324" spans="2:2" ht="12.75" customHeight="1" x14ac:dyDescent="0.2">
      <c r="B35324" s="43"/>
    </row>
    <row r="35325" spans="2:2" ht="12.75" customHeight="1" x14ac:dyDescent="0.2">
      <c r="B35325" s="43"/>
    </row>
    <row r="35326" spans="2:2" ht="12.75" customHeight="1" x14ac:dyDescent="0.2">
      <c r="B35326" s="43"/>
    </row>
    <row r="35327" spans="2:2" ht="12.75" customHeight="1" x14ac:dyDescent="0.2">
      <c r="B35327" s="43"/>
    </row>
    <row r="35328" spans="2:2" ht="12.75" customHeight="1" x14ac:dyDescent="0.2">
      <c r="B35328" s="43"/>
    </row>
    <row r="35329" spans="2:2" ht="12.75" customHeight="1" x14ac:dyDescent="0.2">
      <c r="B35329" s="43"/>
    </row>
    <row r="35330" spans="2:2" ht="12.75" customHeight="1" x14ac:dyDescent="0.2">
      <c r="B35330" s="43"/>
    </row>
    <row r="35331" spans="2:2" ht="12.75" customHeight="1" x14ac:dyDescent="0.2">
      <c r="B35331" s="43"/>
    </row>
    <row r="35332" spans="2:2" ht="12.75" customHeight="1" x14ac:dyDescent="0.2">
      <c r="B35332" s="43"/>
    </row>
    <row r="35333" spans="2:2" ht="12.75" customHeight="1" x14ac:dyDescent="0.2">
      <c r="B35333" s="43"/>
    </row>
    <row r="35334" spans="2:2" ht="12.75" customHeight="1" x14ac:dyDescent="0.2">
      <c r="B35334" s="43"/>
    </row>
    <row r="35335" spans="2:2" ht="12.75" customHeight="1" x14ac:dyDescent="0.2">
      <c r="B35335" s="43"/>
    </row>
    <row r="35336" spans="2:2" ht="12.75" customHeight="1" x14ac:dyDescent="0.2">
      <c r="B35336" s="43"/>
    </row>
    <row r="35337" spans="2:2" ht="12.75" customHeight="1" x14ac:dyDescent="0.2">
      <c r="B35337" s="43"/>
    </row>
    <row r="35338" spans="2:2" ht="12.75" customHeight="1" x14ac:dyDescent="0.2">
      <c r="B35338" s="43"/>
    </row>
    <row r="35339" spans="2:2" ht="12.75" customHeight="1" x14ac:dyDescent="0.2">
      <c r="B35339" s="43"/>
    </row>
    <row r="35340" spans="2:2" ht="12.75" customHeight="1" x14ac:dyDescent="0.2">
      <c r="B35340" s="43"/>
    </row>
    <row r="35341" spans="2:2" ht="12.75" customHeight="1" x14ac:dyDescent="0.2">
      <c r="B35341" s="43"/>
    </row>
    <row r="35342" spans="2:2" ht="12.75" customHeight="1" x14ac:dyDescent="0.2">
      <c r="B35342" s="43"/>
    </row>
    <row r="35343" spans="2:2" ht="12.75" customHeight="1" x14ac:dyDescent="0.2">
      <c r="B35343" s="43"/>
    </row>
    <row r="35344" spans="2:2" ht="12.75" customHeight="1" x14ac:dyDescent="0.2">
      <c r="B35344" s="43"/>
    </row>
    <row r="35345" spans="2:2" ht="12.75" customHeight="1" x14ac:dyDescent="0.2">
      <c r="B35345" s="43"/>
    </row>
    <row r="35346" spans="2:2" ht="12.75" customHeight="1" x14ac:dyDescent="0.2">
      <c r="B35346" s="43"/>
    </row>
    <row r="35347" spans="2:2" ht="12.75" customHeight="1" x14ac:dyDescent="0.2">
      <c r="B35347" s="43"/>
    </row>
    <row r="35348" spans="2:2" ht="12.75" customHeight="1" x14ac:dyDescent="0.2">
      <c r="B35348" s="43"/>
    </row>
    <row r="35349" spans="2:2" ht="12.75" customHeight="1" x14ac:dyDescent="0.2">
      <c r="B35349" s="43"/>
    </row>
    <row r="35350" spans="2:2" ht="12.75" customHeight="1" x14ac:dyDescent="0.2">
      <c r="B35350" s="43"/>
    </row>
    <row r="35351" spans="2:2" ht="12.75" customHeight="1" x14ac:dyDescent="0.2">
      <c r="B35351" s="43"/>
    </row>
    <row r="35352" spans="2:2" ht="12.75" customHeight="1" x14ac:dyDescent="0.2">
      <c r="B35352" s="43"/>
    </row>
    <row r="35353" spans="2:2" ht="12.75" customHeight="1" x14ac:dyDescent="0.2">
      <c r="B35353" s="43"/>
    </row>
    <row r="35354" spans="2:2" ht="12.75" customHeight="1" x14ac:dyDescent="0.2">
      <c r="B35354" s="43"/>
    </row>
    <row r="35355" spans="2:2" ht="12.75" customHeight="1" x14ac:dyDescent="0.2">
      <c r="B35355" s="43"/>
    </row>
    <row r="35356" spans="2:2" ht="12.75" customHeight="1" x14ac:dyDescent="0.2">
      <c r="B35356" s="43"/>
    </row>
    <row r="35357" spans="2:2" ht="12.75" customHeight="1" x14ac:dyDescent="0.2">
      <c r="B35357" s="43"/>
    </row>
    <row r="35358" spans="2:2" ht="12.75" customHeight="1" x14ac:dyDescent="0.2">
      <c r="B35358" s="43"/>
    </row>
    <row r="35359" spans="2:2" ht="12.75" customHeight="1" x14ac:dyDescent="0.2">
      <c r="B35359" s="43"/>
    </row>
    <row r="35360" spans="2:2" ht="12.75" customHeight="1" x14ac:dyDescent="0.2">
      <c r="B35360" s="43"/>
    </row>
    <row r="35361" spans="2:2" ht="12.75" customHeight="1" x14ac:dyDescent="0.2">
      <c r="B35361" s="43"/>
    </row>
    <row r="35362" spans="2:2" ht="12.75" customHeight="1" x14ac:dyDescent="0.2">
      <c r="B35362" s="43"/>
    </row>
    <row r="35363" spans="2:2" ht="12.75" customHeight="1" x14ac:dyDescent="0.2">
      <c r="B35363" s="43"/>
    </row>
    <row r="35364" spans="2:2" ht="12.75" customHeight="1" x14ac:dyDescent="0.2">
      <c r="B35364" s="43"/>
    </row>
    <row r="35365" spans="2:2" ht="12.75" customHeight="1" x14ac:dyDescent="0.2">
      <c r="B35365" s="43"/>
    </row>
    <row r="35366" spans="2:2" ht="12.75" customHeight="1" x14ac:dyDescent="0.2">
      <c r="B35366" s="43"/>
    </row>
    <row r="35367" spans="2:2" ht="12.75" customHeight="1" x14ac:dyDescent="0.2">
      <c r="B35367" s="43"/>
    </row>
    <row r="35368" spans="2:2" ht="12.75" customHeight="1" x14ac:dyDescent="0.2">
      <c r="B35368" s="43"/>
    </row>
    <row r="35369" spans="2:2" ht="12.75" customHeight="1" x14ac:dyDescent="0.2">
      <c r="B35369" s="43"/>
    </row>
    <row r="35370" spans="2:2" ht="12.75" customHeight="1" x14ac:dyDescent="0.2">
      <c r="B35370" s="43"/>
    </row>
    <row r="35371" spans="2:2" ht="12.75" customHeight="1" x14ac:dyDescent="0.2">
      <c r="B35371" s="43"/>
    </row>
    <row r="35372" spans="2:2" ht="12.75" customHeight="1" x14ac:dyDescent="0.2">
      <c r="B35372" s="43"/>
    </row>
    <row r="35373" spans="2:2" ht="12.75" customHeight="1" x14ac:dyDescent="0.2">
      <c r="B35373" s="43"/>
    </row>
    <row r="35374" spans="2:2" ht="12.75" customHeight="1" x14ac:dyDescent="0.2">
      <c r="B35374" s="43"/>
    </row>
    <row r="35375" spans="2:2" ht="12.75" customHeight="1" x14ac:dyDescent="0.2">
      <c r="B35375" s="43"/>
    </row>
    <row r="35376" spans="2:2" ht="12.75" customHeight="1" x14ac:dyDescent="0.2">
      <c r="B35376" s="43"/>
    </row>
    <row r="35377" spans="2:2" ht="12.75" customHeight="1" x14ac:dyDescent="0.2">
      <c r="B35377" s="43"/>
    </row>
    <row r="35378" spans="2:2" ht="12.75" customHeight="1" x14ac:dyDescent="0.2">
      <c r="B35378" s="43"/>
    </row>
    <row r="35379" spans="2:2" ht="12.75" customHeight="1" x14ac:dyDescent="0.2">
      <c r="B35379" s="43"/>
    </row>
    <row r="35380" spans="2:2" ht="12.75" customHeight="1" x14ac:dyDescent="0.2">
      <c r="B35380" s="43"/>
    </row>
    <row r="35381" spans="2:2" ht="12.75" customHeight="1" x14ac:dyDescent="0.2">
      <c r="B35381" s="43"/>
    </row>
    <row r="35382" spans="2:2" ht="12.75" customHeight="1" x14ac:dyDescent="0.2">
      <c r="B35382" s="43"/>
    </row>
    <row r="35383" spans="2:2" ht="12.75" customHeight="1" x14ac:dyDescent="0.2">
      <c r="B35383" s="43"/>
    </row>
    <row r="35384" spans="2:2" ht="12.75" customHeight="1" x14ac:dyDescent="0.2">
      <c r="B35384" s="43"/>
    </row>
    <row r="35385" spans="2:2" ht="12.75" customHeight="1" x14ac:dyDescent="0.2">
      <c r="B35385" s="43"/>
    </row>
    <row r="35386" spans="2:2" ht="12.75" customHeight="1" x14ac:dyDescent="0.2">
      <c r="B35386" s="43"/>
    </row>
    <row r="35387" spans="2:2" ht="12.75" customHeight="1" x14ac:dyDescent="0.2">
      <c r="B35387" s="43"/>
    </row>
    <row r="35388" spans="2:2" ht="12.75" customHeight="1" x14ac:dyDescent="0.2">
      <c r="B35388" s="43"/>
    </row>
    <row r="35389" spans="2:2" ht="12.75" customHeight="1" x14ac:dyDescent="0.2">
      <c r="B35389" s="43"/>
    </row>
    <row r="35390" spans="2:2" ht="12.75" customHeight="1" x14ac:dyDescent="0.2">
      <c r="B35390" s="43"/>
    </row>
    <row r="35391" spans="2:2" ht="12.75" customHeight="1" x14ac:dyDescent="0.2">
      <c r="B35391" s="43"/>
    </row>
    <row r="35392" spans="2:2" ht="12.75" customHeight="1" x14ac:dyDescent="0.2">
      <c r="B35392" s="43"/>
    </row>
    <row r="35393" spans="2:2" ht="12.75" customHeight="1" x14ac:dyDescent="0.2">
      <c r="B35393" s="43"/>
    </row>
    <row r="35394" spans="2:2" ht="12.75" customHeight="1" x14ac:dyDescent="0.2">
      <c r="B35394" s="43"/>
    </row>
    <row r="35395" spans="2:2" ht="12.75" customHeight="1" x14ac:dyDescent="0.2">
      <c r="B35395" s="43"/>
    </row>
    <row r="35396" spans="2:2" ht="12.75" customHeight="1" x14ac:dyDescent="0.2">
      <c r="B35396" s="43"/>
    </row>
    <row r="35397" spans="2:2" ht="12.75" customHeight="1" x14ac:dyDescent="0.2">
      <c r="B35397" s="43"/>
    </row>
    <row r="35398" spans="2:2" ht="12.75" customHeight="1" x14ac:dyDescent="0.2">
      <c r="B35398" s="43"/>
    </row>
    <row r="35399" spans="2:2" ht="12.75" customHeight="1" x14ac:dyDescent="0.2">
      <c r="B35399" s="43"/>
    </row>
    <row r="35400" spans="2:2" ht="12.75" customHeight="1" x14ac:dyDescent="0.2">
      <c r="B35400" s="43"/>
    </row>
    <row r="35401" spans="2:2" ht="12.75" customHeight="1" x14ac:dyDescent="0.2">
      <c r="B35401" s="43"/>
    </row>
    <row r="35402" spans="2:2" ht="12.75" customHeight="1" x14ac:dyDescent="0.2">
      <c r="B35402" s="43"/>
    </row>
    <row r="35403" spans="2:2" ht="12.75" customHeight="1" x14ac:dyDescent="0.2">
      <c r="B35403" s="43"/>
    </row>
    <row r="35404" spans="2:2" ht="12.75" customHeight="1" x14ac:dyDescent="0.2">
      <c r="B35404" s="43"/>
    </row>
    <row r="35405" spans="2:2" ht="12.75" customHeight="1" x14ac:dyDescent="0.2">
      <c r="B35405" s="43"/>
    </row>
    <row r="35406" spans="2:2" ht="12.75" customHeight="1" x14ac:dyDescent="0.2">
      <c r="B35406" s="43"/>
    </row>
    <row r="35407" spans="2:2" ht="12.75" customHeight="1" x14ac:dyDescent="0.2">
      <c r="B35407" s="43"/>
    </row>
    <row r="35408" spans="2:2" ht="12.75" customHeight="1" x14ac:dyDescent="0.2">
      <c r="B35408" s="43"/>
    </row>
    <row r="35409" spans="2:2" ht="12.75" customHeight="1" x14ac:dyDescent="0.2">
      <c r="B35409" s="43"/>
    </row>
    <row r="35410" spans="2:2" ht="12.75" customHeight="1" x14ac:dyDescent="0.2">
      <c r="B35410" s="43"/>
    </row>
    <row r="35411" spans="2:2" ht="12.75" customHeight="1" x14ac:dyDescent="0.2">
      <c r="B35411" s="43"/>
    </row>
    <row r="35412" spans="2:2" ht="12.75" customHeight="1" x14ac:dyDescent="0.2">
      <c r="B35412" s="43"/>
    </row>
    <row r="35413" spans="2:2" ht="12.75" customHeight="1" x14ac:dyDescent="0.2">
      <c r="B35413" s="43"/>
    </row>
    <row r="35414" spans="2:2" ht="12.75" customHeight="1" x14ac:dyDescent="0.2">
      <c r="B35414" s="43"/>
    </row>
    <row r="35415" spans="2:2" ht="12.75" customHeight="1" x14ac:dyDescent="0.2">
      <c r="B35415" s="43"/>
    </row>
    <row r="35416" spans="2:2" ht="12.75" customHeight="1" x14ac:dyDescent="0.2">
      <c r="B35416" s="43"/>
    </row>
    <row r="35417" spans="2:2" ht="12.75" customHeight="1" x14ac:dyDescent="0.2">
      <c r="B35417" s="43"/>
    </row>
    <row r="35418" spans="2:2" ht="12.75" customHeight="1" x14ac:dyDescent="0.2">
      <c r="B35418" s="43"/>
    </row>
    <row r="35419" spans="2:2" ht="12.75" customHeight="1" x14ac:dyDescent="0.2">
      <c r="B35419" s="43"/>
    </row>
    <row r="35420" spans="2:2" ht="12.75" customHeight="1" x14ac:dyDescent="0.2">
      <c r="B35420" s="43"/>
    </row>
    <row r="35421" spans="2:2" ht="12.75" customHeight="1" x14ac:dyDescent="0.2">
      <c r="B35421" s="43"/>
    </row>
    <row r="35422" spans="2:2" ht="12.75" customHeight="1" x14ac:dyDescent="0.2">
      <c r="B35422" s="43"/>
    </row>
    <row r="35423" spans="2:2" ht="12.75" customHeight="1" x14ac:dyDescent="0.2">
      <c r="B35423" s="43"/>
    </row>
    <row r="35424" spans="2:2" ht="12.75" customHeight="1" x14ac:dyDescent="0.2">
      <c r="B35424" s="43"/>
    </row>
    <row r="35425" spans="2:2" ht="12.75" customHeight="1" x14ac:dyDescent="0.2">
      <c r="B35425" s="43"/>
    </row>
    <row r="35426" spans="2:2" ht="12.75" customHeight="1" x14ac:dyDescent="0.2">
      <c r="B35426" s="43"/>
    </row>
    <row r="35427" spans="2:2" ht="12.75" customHeight="1" x14ac:dyDescent="0.2">
      <c r="B35427" s="43"/>
    </row>
    <row r="35428" spans="2:2" ht="12.75" customHeight="1" x14ac:dyDescent="0.2">
      <c r="B35428" s="43"/>
    </row>
    <row r="35429" spans="2:2" ht="12.75" customHeight="1" x14ac:dyDescent="0.2">
      <c r="B35429" s="43"/>
    </row>
    <row r="35430" spans="2:2" ht="12.75" customHeight="1" x14ac:dyDescent="0.2">
      <c r="B35430" s="43"/>
    </row>
    <row r="35431" spans="2:2" ht="12.75" customHeight="1" x14ac:dyDescent="0.2">
      <c r="B35431" s="43"/>
    </row>
    <row r="35432" spans="2:2" ht="12.75" customHeight="1" x14ac:dyDescent="0.2">
      <c r="B35432" s="43"/>
    </row>
    <row r="35433" spans="2:2" ht="12.75" customHeight="1" x14ac:dyDescent="0.2">
      <c r="B35433" s="43"/>
    </row>
    <row r="35434" spans="2:2" ht="12.75" customHeight="1" x14ac:dyDescent="0.2">
      <c r="B35434" s="43"/>
    </row>
    <row r="35435" spans="2:2" ht="12.75" customHeight="1" x14ac:dyDescent="0.2">
      <c r="B35435" s="43"/>
    </row>
    <row r="35436" spans="2:2" ht="12.75" customHeight="1" x14ac:dyDescent="0.2">
      <c r="B35436" s="43"/>
    </row>
    <row r="35437" spans="2:2" ht="12.75" customHeight="1" x14ac:dyDescent="0.2">
      <c r="B35437" s="43"/>
    </row>
    <row r="35438" spans="2:2" ht="12.75" customHeight="1" x14ac:dyDescent="0.2">
      <c r="B35438" s="43"/>
    </row>
    <row r="35439" spans="2:2" ht="12.75" customHeight="1" x14ac:dyDescent="0.2">
      <c r="B35439" s="43"/>
    </row>
    <row r="35440" spans="2:2" ht="12.75" customHeight="1" x14ac:dyDescent="0.2">
      <c r="B35440" s="43"/>
    </row>
    <row r="35441" spans="2:2" ht="12.75" customHeight="1" x14ac:dyDescent="0.2">
      <c r="B35441" s="43"/>
    </row>
    <row r="35442" spans="2:2" ht="12.75" customHeight="1" x14ac:dyDescent="0.2">
      <c r="B35442" s="43"/>
    </row>
    <row r="35443" spans="2:2" ht="12.75" customHeight="1" x14ac:dyDescent="0.2">
      <c r="B35443" s="43"/>
    </row>
    <row r="35444" spans="2:2" ht="12.75" customHeight="1" x14ac:dyDescent="0.2">
      <c r="B35444" s="43"/>
    </row>
    <row r="35445" spans="2:2" ht="12.75" customHeight="1" x14ac:dyDescent="0.2">
      <c r="B35445" s="43"/>
    </row>
    <row r="35446" spans="2:2" ht="12.75" customHeight="1" x14ac:dyDescent="0.2">
      <c r="B35446" s="43"/>
    </row>
    <row r="35447" spans="2:2" ht="12.75" customHeight="1" x14ac:dyDescent="0.2">
      <c r="B35447" s="43"/>
    </row>
    <row r="35448" spans="2:2" ht="12.75" customHeight="1" x14ac:dyDescent="0.2">
      <c r="B35448" s="43"/>
    </row>
    <row r="35449" spans="2:2" ht="12.75" customHeight="1" x14ac:dyDescent="0.2">
      <c r="B35449" s="43"/>
    </row>
    <row r="35450" spans="2:2" ht="12.75" customHeight="1" x14ac:dyDescent="0.2">
      <c r="B35450" s="43"/>
    </row>
    <row r="35451" spans="2:2" ht="12.75" customHeight="1" x14ac:dyDescent="0.2">
      <c r="B35451" s="43"/>
    </row>
    <row r="35452" spans="2:2" ht="12.75" customHeight="1" x14ac:dyDescent="0.2">
      <c r="B35452" s="43"/>
    </row>
    <row r="35453" spans="2:2" ht="12.75" customHeight="1" x14ac:dyDescent="0.2">
      <c r="B35453" s="43"/>
    </row>
    <row r="35454" spans="2:2" ht="12.75" customHeight="1" x14ac:dyDescent="0.2">
      <c r="B35454" s="43"/>
    </row>
    <row r="35455" spans="2:2" ht="12.75" customHeight="1" x14ac:dyDescent="0.2">
      <c r="B35455" s="43"/>
    </row>
    <row r="35456" spans="2:2" ht="12.75" customHeight="1" x14ac:dyDescent="0.2">
      <c r="B35456" s="43"/>
    </row>
    <row r="35457" spans="2:2" ht="12.75" customHeight="1" x14ac:dyDescent="0.2">
      <c r="B35457" s="43"/>
    </row>
    <row r="35458" spans="2:2" ht="12.75" customHeight="1" x14ac:dyDescent="0.2">
      <c r="B35458" s="43"/>
    </row>
    <row r="35459" spans="2:2" ht="12.75" customHeight="1" x14ac:dyDescent="0.2">
      <c r="B35459" s="43"/>
    </row>
    <row r="35460" spans="2:2" ht="12.75" customHeight="1" x14ac:dyDescent="0.2">
      <c r="B35460" s="43"/>
    </row>
    <row r="35461" spans="2:2" ht="12.75" customHeight="1" x14ac:dyDescent="0.2">
      <c r="B35461" s="43"/>
    </row>
    <row r="35462" spans="2:2" ht="12.75" customHeight="1" x14ac:dyDescent="0.2">
      <c r="B35462" s="43"/>
    </row>
    <row r="35463" spans="2:2" ht="12.75" customHeight="1" x14ac:dyDescent="0.2">
      <c r="B35463" s="43"/>
    </row>
    <row r="35464" spans="2:2" ht="12.75" customHeight="1" x14ac:dyDescent="0.2">
      <c r="B35464" s="43"/>
    </row>
    <row r="35465" spans="2:2" ht="12.75" customHeight="1" x14ac:dyDescent="0.2">
      <c r="B35465" s="43"/>
    </row>
    <row r="35466" spans="2:2" ht="12.75" customHeight="1" x14ac:dyDescent="0.2">
      <c r="B35466" s="43"/>
    </row>
    <row r="35467" spans="2:2" ht="12.75" customHeight="1" x14ac:dyDescent="0.2">
      <c r="B35467" s="43"/>
    </row>
    <row r="35468" spans="2:2" ht="12.75" customHeight="1" x14ac:dyDescent="0.2">
      <c r="B35468" s="43"/>
    </row>
    <row r="35469" spans="2:2" ht="12.75" customHeight="1" x14ac:dyDescent="0.2">
      <c r="B35469" s="43"/>
    </row>
    <row r="35470" spans="2:2" ht="12.75" customHeight="1" x14ac:dyDescent="0.2">
      <c r="B35470" s="43"/>
    </row>
    <row r="35471" spans="2:2" ht="12.75" customHeight="1" x14ac:dyDescent="0.2">
      <c r="B35471" s="43"/>
    </row>
    <row r="35472" spans="2:2" ht="12.75" customHeight="1" x14ac:dyDescent="0.2">
      <c r="B35472" s="43"/>
    </row>
    <row r="35473" spans="2:2" ht="12.75" customHeight="1" x14ac:dyDescent="0.2">
      <c r="B35473" s="43"/>
    </row>
    <row r="35474" spans="2:2" ht="12.75" customHeight="1" x14ac:dyDescent="0.2">
      <c r="B35474" s="43"/>
    </row>
    <row r="35475" spans="2:2" ht="12.75" customHeight="1" x14ac:dyDescent="0.2">
      <c r="B35475" s="43"/>
    </row>
    <row r="35476" spans="2:2" ht="12.75" customHeight="1" x14ac:dyDescent="0.2">
      <c r="B35476" s="43"/>
    </row>
    <row r="35477" spans="2:2" ht="12.75" customHeight="1" x14ac:dyDescent="0.2">
      <c r="B35477" s="43"/>
    </row>
    <row r="35478" spans="2:2" ht="12.75" customHeight="1" x14ac:dyDescent="0.2">
      <c r="B35478" s="43"/>
    </row>
    <row r="35479" spans="2:2" ht="12.75" customHeight="1" x14ac:dyDescent="0.2">
      <c r="B35479" s="43"/>
    </row>
    <row r="35480" spans="2:2" ht="12.75" customHeight="1" x14ac:dyDescent="0.2">
      <c r="B35480" s="43"/>
    </row>
    <row r="35481" spans="2:2" ht="12.75" customHeight="1" x14ac:dyDescent="0.2">
      <c r="B35481" s="43"/>
    </row>
    <row r="35482" spans="2:2" ht="12.75" customHeight="1" x14ac:dyDescent="0.2">
      <c r="B35482" s="43"/>
    </row>
    <row r="35483" spans="2:2" ht="12.75" customHeight="1" x14ac:dyDescent="0.2">
      <c r="B35483" s="43"/>
    </row>
    <row r="35484" spans="2:2" ht="12.75" customHeight="1" x14ac:dyDescent="0.2">
      <c r="B35484" s="43"/>
    </row>
    <row r="35485" spans="2:2" ht="12.75" customHeight="1" x14ac:dyDescent="0.2">
      <c r="B35485" s="43"/>
    </row>
    <row r="35486" spans="2:2" ht="12.75" customHeight="1" x14ac:dyDescent="0.2">
      <c r="B35486" s="43"/>
    </row>
    <row r="35487" spans="2:2" ht="12.75" customHeight="1" x14ac:dyDescent="0.2">
      <c r="B35487" s="43"/>
    </row>
    <row r="35488" spans="2:2" ht="12.75" customHeight="1" x14ac:dyDescent="0.2">
      <c r="B35488" s="43"/>
    </row>
    <row r="35489" spans="2:2" ht="12.75" customHeight="1" x14ac:dyDescent="0.2">
      <c r="B35489" s="43"/>
    </row>
    <row r="35490" spans="2:2" ht="12.75" customHeight="1" x14ac:dyDescent="0.2">
      <c r="B35490" s="43"/>
    </row>
    <row r="35491" spans="2:2" ht="12.75" customHeight="1" x14ac:dyDescent="0.2">
      <c r="B35491" s="43"/>
    </row>
    <row r="35492" spans="2:2" ht="12.75" customHeight="1" x14ac:dyDescent="0.2">
      <c r="B35492" s="43"/>
    </row>
    <row r="35493" spans="2:2" ht="12.75" customHeight="1" x14ac:dyDescent="0.2">
      <c r="B35493" s="43"/>
    </row>
    <row r="35494" spans="2:2" ht="12.75" customHeight="1" x14ac:dyDescent="0.2">
      <c r="B35494" s="43"/>
    </row>
    <row r="35495" spans="2:2" ht="12.75" customHeight="1" x14ac:dyDescent="0.2">
      <c r="B35495" s="43"/>
    </row>
    <row r="35496" spans="2:2" ht="12.75" customHeight="1" x14ac:dyDescent="0.2">
      <c r="B35496" s="43"/>
    </row>
    <row r="35497" spans="2:2" ht="12.75" customHeight="1" x14ac:dyDescent="0.2">
      <c r="B35497" s="43"/>
    </row>
    <row r="35498" spans="2:2" ht="12.75" customHeight="1" x14ac:dyDescent="0.2">
      <c r="B35498" s="43"/>
    </row>
    <row r="35499" spans="2:2" ht="12.75" customHeight="1" x14ac:dyDescent="0.2">
      <c r="B35499" s="43"/>
    </row>
    <row r="35500" spans="2:2" ht="12.75" customHeight="1" x14ac:dyDescent="0.2">
      <c r="B35500" s="43"/>
    </row>
    <row r="35501" spans="2:2" ht="12.75" customHeight="1" x14ac:dyDescent="0.2">
      <c r="B35501" s="43"/>
    </row>
    <row r="35502" spans="2:2" ht="12.75" customHeight="1" x14ac:dyDescent="0.2">
      <c r="B35502" s="43"/>
    </row>
    <row r="35503" spans="2:2" ht="12.75" customHeight="1" x14ac:dyDescent="0.2">
      <c r="B35503" s="43"/>
    </row>
    <row r="35504" spans="2:2" ht="12.75" customHeight="1" x14ac:dyDescent="0.2">
      <c r="B35504" s="43"/>
    </row>
    <row r="35505" spans="2:2" ht="12.75" customHeight="1" x14ac:dyDescent="0.2">
      <c r="B35505" s="43"/>
    </row>
    <row r="35506" spans="2:2" ht="12.75" customHeight="1" x14ac:dyDescent="0.2">
      <c r="B35506" s="43"/>
    </row>
    <row r="35507" spans="2:2" ht="12.75" customHeight="1" x14ac:dyDescent="0.2">
      <c r="B35507" s="43"/>
    </row>
    <row r="35508" spans="2:2" ht="12.75" customHeight="1" x14ac:dyDescent="0.2">
      <c r="B35508" s="43"/>
    </row>
    <row r="35509" spans="2:2" ht="12.75" customHeight="1" x14ac:dyDescent="0.2">
      <c r="B35509" s="43"/>
    </row>
    <row r="35510" spans="2:2" ht="12.75" customHeight="1" x14ac:dyDescent="0.2">
      <c r="B35510" s="43"/>
    </row>
    <row r="35511" spans="2:2" ht="12.75" customHeight="1" x14ac:dyDescent="0.2">
      <c r="B35511" s="43"/>
    </row>
    <row r="35512" spans="2:2" ht="12.75" customHeight="1" x14ac:dyDescent="0.2">
      <c r="B35512" s="43"/>
    </row>
    <row r="35513" spans="2:2" ht="12.75" customHeight="1" x14ac:dyDescent="0.2">
      <c r="B35513" s="43"/>
    </row>
    <row r="35514" spans="2:2" ht="12.75" customHeight="1" x14ac:dyDescent="0.2">
      <c r="B35514" s="43"/>
    </row>
    <row r="35515" spans="2:2" ht="12.75" customHeight="1" x14ac:dyDescent="0.2">
      <c r="B35515" s="43"/>
    </row>
    <row r="35516" spans="2:2" ht="12.75" customHeight="1" x14ac:dyDescent="0.2">
      <c r="B35516" s="43"/>
    </row>
    <row r="35517" spans="2:2" ht="12.75" customHeight="1" x14ac:dyDescent="0.2">
      <c r="B35517" s="43"/>
    </row>
    <row r="35518" spans="2:2" ht="12.75" customHeight="1" x14ac:dyDescent="0.2">
      <c r="B35518" s="43"/>
    </row>
    <row r="35519" spans="2:2" ht="12.75" customHeight="1" x14ac:dyDescent="0.2">
      <c r="B35519" s="43"/>
    </row>
    <row r="35520" spans="2:2" ht="12.75" customHeight="1" x14ac:dyDescent="0.2">
      <c r="B35520" s="43"/>
    </row>
    <row r="35521" spans="2:2" ht="12.75" customHeight="1" x14ac:dyDescent="0.2">
      <c r="B35521" s="43"/>
    </row>
    <row r="35522" spans="2:2" ht="12.75" customHeight="1" x14ac:dyDescent="0.2">
      <c r="B35522" s="43"/>
    </row>
    <row r="35523" spans="2:2" ht="12.75" customHeight="1" x14ac:dyDescent="0.2">
      <c r="B35523" s="43"/>
    </row>
    <row r="35524" spans="2:2" ht="12.75" customHeight="1" x14ac:dyDescent="0.2">
      <c r="B35524" s="43"/>
    </row>
    <row r="35525" spans="2:2" ht="12.75" customHeight="1" x14ac:dyDescent="0.2">
      <c r="B35525" s="43"/>
    </row>
    <row r="35526" spans="2:2" ht="12.75" customHeight="1" x14ac:dyDescent="0.2">
      <c r="B35526" s="43"/>
    </row>
    <row r="35527" spans="2:2" ht="12.75" customHeight="1" x14ac:dyDescent="0.2">
      <c r="B35527" s="43"/>
    </row>
    <row r="35528" spans="2:2" ht="12.75" customHeight="1" x14ac:dyDescent="0.2">
      <c r="B35528" s="43"/>
    </row>
    <row r="35529" spans="2:2" ht="12.75" customHeight="1" x14ac:dyDescent="0.2">
      <c r="B35529" s="43"/>
    </row>
    <row r="35530" spans="2:2" ht="12.75" customHeight="1" x14ac:dyDescent="0.2">
      <c r="B35530" s="43"/>
    </row>
    <row r="35531" spans="2:2" ht="12.75" customHeight="1" x14ac:dyDescent="0.2">
      <c r="B35531" s="43"/>
    </row>
    <row r="35532" spans="2:2" ht="12.75" customHeight="1" x14ac:dyDescent="0.2">
      <c r="B35532" s="43"/>
    </row>
    <row r="35533" spans="2:2" ht="12.75" customHeight="1" x14ac:dyDescent="0.2">
      <c r="B35533" s="43"/>
    </row>
    <row r="35534" spans="2:2" ht="12.75" customHeight="1" x14ac:dyDescent="0.2">
      <c r="B35534" s="43"/>
    </row>
    <row r="35535" spans="2:2" ht="12.75" customHeight="1" x14ac:dyDescent="0.2">
      <c r="B35535" s="43"/>
    </row>
    <row r="35536" spans="2:2" ht="12.75" customHeight="1" x14ac:dyDescent="0.2">
      <c r="B35536" s="43"/>
    </row>
    <row r="35537" spans="2:2" ht="12.75" customHeight="1" x14ac:dyDescent="0.2">
      <c r="B35537" s="43"/>
    </row>
    <row r="35538" spans="2:2" ht="12.75" customHeight="1" x14ac:dyDescent="0.2">
      <c r="B35538" s="43"/>
    </row>
    <row r="35539" spans="2:2" ht="12.75" customHeight="1" x14ac:dyDescent="0.2">
      <c r="B35539" s="43"/>
    </row>
    <row r="35540" spans="2:2" ht="12.75" customHeight="1" x14ac:dyDescent="0.2">
      <c r="B35540" s="43"/>
    </row>
    <row r="35541" spans="2:2" ht="12.75" customHeight="1" x14ac:dyDescent="0.2">
      <c r="B35541" s="43"/>
    </row>
    <row r="35542" spans="2:2" ht="12.75" customHeight="1" x14ac:dyDescent="0.2">
      <c r="B35542" s="43"/>
    </row>
    <row r="35543" spans="2:2" ht="12.75" customHeight="1" x14ac:dyDescent="0.2">
      <c r="B35543" s="43"/>
    </row>
    <row r="35544" spans="2:2" ht="12.75" customHeight="1" x14ac:dyDescent="0.2">
      <c r="B35544" s="43"/>
    </row>
    <row r="35545" spans="2:2" ht="12.75" customHeight="1" x14ac:dyDescent="0.2">
      <c r="B35545" s="43"/>
    </row>
    <row r="35546" spans="2:2" ht="12.75" customHeight="1" x14ac:dyDescent="0.2">
      <c r="B35546" s="43"/>
    </row>
    <row r="35547" spans="2:2" ht="12.75" customHeight="1" x14ac:dyDescent="0.2">
      <c r="B35547" s="43"/>
    </row>
    <row r="35548" spans="2:2" ht="12.75" customHeight="1" x14ac:dyDescent="0.2">
      <c r="B35548" s="43"/>
    </row>
    <row r="35549" spans="2:2" ht="12.75" customHeight="1" x14ac:dyDescent="0.2">
      <c r="B35549" s="43"/>
    </row>
    <row r="35550" spans="2:2" ht="12.75" customHeight="1" x14ac:dyDescent="0.2">
      <c r="B35550" s="43"/>
    </row>
    <row r="35551" spans="2:2" ht="12.75" customHeight="1" x14ac:dyDescent="0.2">
      <c r="B35551" s="43"/>
    </row>
    <row r="35552" spans="2:2" ht="12.75" customHeight="1" x14ac:dyDescent="0.2">
      <c r="B35552" s="43"/>
    </row>
    <row r="35553" spans="2:2" ht="12.75" customHeight="1" x14ac:dyDescent="0.2">
      <c r="B35553" s="43"/>
    </row>
    <row r="35554" spans="2:2" ht="12.75" customHeight="1" x14ac:dyDescent="0.2">
      <c r="B35554" s="43"/>
    </row>
    <row r="35555" spans="2:2" ht="12.75" customHeight="1" x14ac:dyDescent="0.2">
      <c r="B35555" s="43"/>
    </row>
    <row r="35556" spans="2:2" ht="12.75" customHeight="1" x14ac:dyDescent="0.2">
      <c r="B35556" s="43"/>
    </row>
    <row r="35557" spans="2:2" ht="12.75" customHeight="1" x14ac:dyDescent="0.2">
      <c r="B35557" s="43"/>
    </row>
    <row r="35558" spans="2:2" ht="12.75" customHeight="1" x14ac:dyDescent="0.2">
      <c r="B35558" s="43"/>
    </row>
    <row r="35559" spans="2:2" ht="12.75" customHeight="1" x14ac:dyDescent="0.2">
      <c r="B35559" s="43"/>
    </row>
    <row r="35560" spans="2:2" ht="12.75" customHeight="1" x14ac:dyDescent="0.2">
      <c r="B35560" s="43"/>
    </row>
    <row r="35561" spans="2:2" ht="12.75" customHeight="1" x14ac:dyDescent="0.2">
      <c r="B35561" s="43"/>
    </row>
    <row r="35562" spans="2:2" ht="12.75" customHeight="1" x14ac:dyDescent="0.2">
      <c r="B35562" s="43"/>
    </row>
    <row r="35563" spans="2:2" ht="12.75" customHeight="1" x14ac:dyDescent="0.2">
      <c r="B35563" s="43"/>
    </row>
    <row r="35564" spans="2:2" ht="12.75" customHeight="1" x14ac:dyDescent="0.2">
      <c r="B35564" s="43"/>
    </row>
    <row r="35565" spans="2:2" ht="12.75" customHeight="1" x14ac:dyDescent="0.2">
      <c r="B35565" s="43"/>
    </row>
    <row r="35566" spans="2:2" ht="12.75" customHeight="1" x14ac:dyDescent="0.2">
      <c r="B35566" s="43"/>
    </row>
    <row r="35567" spans="2:2" ht="12.75" customHeight="1" x14ac:dyDescent="0.2">
      <c r="B35567" s="43"/>
    </row>
    <row r="35568" spans="2:2" ht="12.75" customHeight="1" x14ac:dyDescent="0.2">
      <c r="B35568" s="43"/>
    </row>
    <row r="35569" spans="2:2" ht="12.75" customHeight="1" x14ac:dyDescent="0.2">
      <c r="B35569" s="43"/>
    </row>
    <row r="35570" spans="2:2" ht="12.75" customHeight="1" x14ac:dyDescent="0.2">
      <c r="B35570" s="43"/>
    </row>
    <row r="35571" spans="2:2" ht="12.75" customHeight="1" x14ac:dyDescent="0.2">
      <c r="B35571" s="43"/>
    </row>
    <row r="35572" spans="2:2" ht="12.75" customHeight="1" x14ac:dyDescent="0.2">
      <c r="B35572" s="43"/>
    </row>
    <row r="35573" spans="2:2" ht="12.75" customHeight="1" x14ac:dyDescent="0.2">
      <c r="B35573" s="43"/>
    </row>
    <row r="35574" spans="2:2" ht="12.75" customHeight="1" x14ac:dyDescent="0.2">
      <c r="B35574" s="43"/>
    </row>
    <row r="35575" spans="2:2" ht="12.75" customHeight="1" x14ac:dyDescent="0.2">
      <c r="B35575" s="43"/>
    </row>
    <row r="35576" spans="2:2" ht="12.75" customHeight="1" x14ac:dyDescent="0.2">
      <c r="B35576" s="43"/>
    </row>
    <row r="35577" spans="2:2" ht="12.75" customHeight="1" x14ac:dyDescent="0.2">
      <c r="B35577" s="43"/>
    </row>
    <row r="35578" spans="2:2" ht="12.75" customHeight="1" x14ac:dyDescent="0.2">
      <c r="B35578" s="43"/>
    </row>
    <row r="35579" spans="2:2" ht="12.75" customHeight="1" x14ac:dyDescent="0.2">
      <c r="B35579" s="43"/>
    </row>
    <row r="35580" spans="2:2" ht="12.75" customHeight="1" x14ac:dyDescent="0.2">
      <c r="B35580" s="43"/>
    </row>
    <row r="35581" spans="2:2" ht="12.75" customHeight="1" x14ac:dyDescent="0.2">
      <c r="B35581" s="43"/>
    </row>
    <row r="35582" spans="2:2" ht="12.75" customHeight="1" x14ac:dyDescent="0.2">
      <c r="B35582" s="43"/>
    </row>
    <row r="35583" spans="2:2" ht="12.75" customHeight="1" x14ac:dyDescent="0.2">
      <c r="B35583" s="43"/>
    </row>
    <row r="35584" spans="2:2" ht="12.75" customHeight="1" x14ac:dyDescent="0.2">
      <c r="B35584" s="43"/>
    </row>
    <row r="35585" spans="2:2" ht="12.75" customHeight="1" x14ac:dyDescent="0.2">
      <c r="B35585" s="43"/>
    </row>
    <row r="35586" spans="2:2" ht="12.75" customHeight="1" x14ac:dyDescent="0.2">
      <c r="B35586" s="43"/>
    </row>
    <row r="35587" spans="2:2" ht="12.75" customHeight="1" x14ac:dyDescent="0.2">
      <c r="B35587" s="43"/>
    </row>
    <row r="35588" spans="2:2" ht="12.75" customHeight="1" x14ac:dyDescent="0.2">
      <c r="B35588" s="43"/>
    </row>
    <row r="35589" spans="2:2" ht="12.75" customHeight="1" x14ac:dyDescent="0.2">
      <c r="B35589" s="43"/>
    </row>
    <row r="35590" spans="2:2" ht="12.75" customHeight="1" x14ac:dyDescent="0.2">
      <c r="B35590" s="43"/>
    </row>
    <row r="35591" spans="2:2" ht="12.75" customHeight="1" x14ac:dyDescent="0.2">
      <c r="B35591" s="43"/>
    </row>
    <row r="35592" spans="2:2" ht="12.75" customHeight="1" x14ac:dyDescent="0.2">
      <c r="B35592" s="43"/>
    </row>
    <row r="35593" spans="2:2" ht="12.75" customHeight="1" x14ac:dyDescent="0.2">
      <c r="B35593" s="43"/>
    </row>
    <row r="35594" spans="2:2" ht="12.75" customHeight="1" x14ac:dyDescent="0.2">
      <c r="B35594" s="43"/>
    </row>
    <row r="35595" spans="2:2" ht="12.75" customHeight="1" x14ac:dyDescent="0.2">
      <c r="B35595" s="43"/>
    </row>
    <row r="35596" spans="2:2" ht="12.75" customHeight="1" x14ac:dyDescent="0.2">
      <c r="B35596" s="43"/>
    </row>
    <row r="35597" spans="2:2" ht="12.75" customHeight="1" x14ac:dyDescent="0.2">
      <c r="B35597" s="43"/>
    </row>
    <row r="35598" spans="2:2" ht="12.75" customHeight="1" x14ac:dyDescent="0.2">
      <c r="B35598" s="43"/>
    </row>
    <row r="35599" spans="2:2" ht="12.75" customHeight="1" x14ac:dyDescent="0.2">
      <c r="B35599" s="43"/>
    </row>
    <row r="35600" spans="2:2" ht="12.75" customHeight="1" x14ac:dyDescent="0.2">
      <c r="B35600" s="43"/>
    </row>
    <row r="35601" spans="2:2" ht="12.75" customHeight="1" x14ac:dyDescent="0.2">
      <c r="B35601" s="43"/>
    </row>
    <row r="35602" spans="2:2" ht="12.75" customHeight="1" x14ac:dyDescent="0.2">
      <c r="B35602" s="43"/>
    </row>
    <row r="35603" spans="2:2" ht="12.75" customHeight="1" x14ac:dyDescent="0.2">
      <c r="B35603" s="43"/>
    </row>
    <row r="35604" spans="2:2" ht="12.75" customHeight="1" x14ac:dyDescent="0.2">
      <c r="B35604" s="43"/>
    </row>
    <row r="35605" spans="2:2" ht="12.75" customHeight="1" x14ac:dyDescent="0.2">
      <c r="B35605" s="43"/>
    </row>
    <row r="35606" spans="2:2" ht="12.75" customHeight="1" x14ac:dyDescent="0.2">
      <c r="B35606" s="43"/>
    </row>
    <row r="35607" spans="2:2" ht="12.75" customHeight="1" x14ac:dyDescent="0.2">
      <c r="B35607" s="43"/>
    </row>
    <row r="35608" spans="2:2" ht="12.75" customHeight="1" x14ac:dyDescent="0.2">
      <c r="B35608" s="43"/>
    </row>
    <row r="35609" spans="2:2" ht="12.75" customHeight="1" x14ac:dyDescent="0.2">
      <c r="B35609" s="43"/>
    </row>
    <row r="35610" spans="2:2" ht="12.75" customHeight="1" x14ac:dyDescent="0.2">
      <c r="B35610" s="43"/>
    </row>
    <row r="35611" spans="2:2" ht="12.75" customHeight="1" x14ac:dyDescent="0.2">
      <c r="B35611" s="43"/>
    </row>
    <row r="35612" spans="2:2" ht="12.75" customHeight="1" x14ac:dyDescent="0.2">
      <c r="B35612" s="43"/>
    </row>
    <row r="35613" spans="2:2" ht="12.75" customHeight="1" x14ac:dyDescent="0.2">
      <c r="B35613" s="43"/>
    </row>
    <row r="35614" spans="2:2" ht="12.75" customHeight="1" x14ac:dyDescent="0.2">
      <c r="B35614" s="43"/>
    </row>
    <row r="35615" spans="2:2" ht="12.75" customHeight="1" x14ac:dyDescent="0.2">
      <c r="B35615" s="43"/>
    </row>
    <row r="35616" spans="2:2" ht="12.75" customHeight="1" x14ac:dyDescent="0.2">
      <c r="B35616" s="43"/>
    </row>
    <row r="35617" spans="2:2" ht="12.75" customHeight="1" x14ac:dyDescent="0.2">
      <c r="B35617" s="43"/>
    </row>
    <row r="35618" spans="2:2" ht="12.75" customHeight="1" x14ac:dyDescent="0.2">
      <c r="B35618" s="43"/>
    </row>
    <row r="35619" spans="2:2" ht="12.75" customHeight="1" x14ac:dyDescent="0.2">
      <c r="B35619" s="43"/>
    </row>
    <row r="35620" spans="2:2" ht="12.75" customHeight="1" x14ac:dyDescent="0.2">
      <c r="B35620" s="43"/>
    </row>
    <row r="35621" spans="2:2" ht="12.75" customHeight="1" x14ac:dyDescent="0.2">
      <c r="B35621" s="43"/>
    </row>
    <row r="35622" spans="2:2" ht="12.75" customHeight="1" x14ac:dyDescent="0.2">
      <c r="B35622" s="43"/>
    </row>
    <row r="35623" spans="2:2" ht="12.75" customHeight="1" x14ac:dyDescent="0.2">
      <c r="B35623" s="43"/>
    </row>
    <row r="35624" spans="2:2" ht="12.75" customHeight="1" x14ac:dyDescent="0.2">
      <c r="B35624" s="43"/>
    </row>
    <row r="35625" spans="2:2" ht="12.75" customHeight="1" x14ac:dyDescent="0.2">
      <c r="B35625" s="43"/>
    </row>
    <row r="35626" spans="2:2" ht="12.75" customHeight="1" x14ac:dyDescent="0.2">
      <c r="B35626" s="43"/>
    </row>
    <row r="35627" spans="2:2" ht="12.75" customHeight="1" x14ac:dyDescent="0.2">
      <c r="B35627" s="43"/>
    </row>
    <row r="35628" spans="2:2" ht="12.75" customHeight="1" x14ac:dyDescent="0.2">
      <c r="B35628" s="43"/>
    </row>
    <row r="35629" spans="2:2" ht="12.75" customHeight="1" x14ac:dyDescent="0.2">
      <c r="B35629" s="43"/>
    </row>
    <row r="35630" spans="2:2" ht="12.75" customHeight="1" x14ac:dyDescent="0.2">
      <c r="B35630" s="43"/>
    </row>
    <row r="35631" spans="2:2" ht="12.75" customHeight="1" x14ac:dyDescent="0.2">
      <c r="B35631" s="43"/>
    </row>
    <row r="35632" spans="2:2" ht="12.75" customHeight="1" x14ac:dyDescent="0.2">
      <c r="B35632" s="43"/>
    </row>
    <row r="35633" spans="2:2" ht="12.75" customHeight="1" x14ac:dyDescent="0.2">
      <c r="B35633" s="43"/>
    </row>
    <row r="35634" spans="2:2" ht="12.75" customHeight="1" x14ac:dyDescent="0.2">
      <c r="B35634" s="43"/>
    </row>
    <row r="35635" spans="2:2" ht="12.75" customHeight="1" x14ac:dyDescent="0.2">
      <c r="B35635" s="43"/>
    </row>
    <row r="35636" spans="2:2" ht="12.75" customHeight="1" x14ac:dyDescent="0.2">
      <c r="B35636" s="43"/>
    </row>
    <row r="35637" spans="2:2" ht="12.75" customHeight="1" x14ac:dyDescent="0.2">
      <c r="B35637" s="43"/>
    </row>
    <row r="35638" spans="2:2" ht="12.75" customHeight="1" x14ac:dyDescent="0.2">
      <c r="B35638" s="43"/>
    </row>
    <row r="35639" spans="2:2" ht="12.75" customHeight="1" x14ac:dyDescent="0.2">
      <c r="B35639" s="43"/>
    </row>
    <row r="35640" spans="2:2" ht="12.75" customHeight="1" x14ac:dyDescent="0.2">
      <c r="B35640" s="43"/>
    </row>
    <row r="35641" spans="2:2" ht="12.75" customHeight="1" x14ac:dyDescent="0.2">
      <c r="B35641" s="43"/>
    </row>
    <row r="35642" spans="2:2" ht="12.75" customHeight="1" x14ac:dyDescent="0.2">
      <c r="B35642" s="43"/>
    </row>
    <row r="35643" spans="2:2" ht="12.75" customHeight="1" x14ac:dyDescent="0.2">
      <c r="B35643" s="43"/>
    </row>
    <row r="35644" spans="2:2" ht="12.75" customHeight="1" x14ac:dyDescent="0.2">
      <c r="B35644" s="43"/>
    </row>
    <row r="35645" spans="2:2" ht="12.75" customHeight="1" x14ac:dyDescent="0.2">
      <c r="B35645" s="43"/>
    </row>
    <row r="35646" spans="2:2" ht="12.75" customHeight="1" x14ac:dyDescent="0.2">
      <c r="B35646" s="43"/>
    </row>
    <row r="35647" spans="2:2" ht="12.75" customHeight="1" x14ac:dyDescent="0.2">
      <c r="B35647" s="43"/>
    </row>
    <row r="35648" spans="2:2" ht="12.75" customHeight="1" x14ac:dyDescent="0.2">
      <c r="B35648" s="43"/>
    </row>
    <row r="35649" spans="2:2" ht="12.75" customHeight="1" x14ac:dyDescent="0.2">
      <c r="B35649" s="43"/>
    </row>
    <row r="35650" spans="2:2" ht="12.75" customHeight="1" x14ac:dyDescent="0.2">
      <c r="B35650" s="43"/>
    </row>
    <row r="35651" spans="2:2" ht="12.75" customHeight="1" x14ac:dyDescent="0.2">
      <c r="B35651" s="43"/>
    </row>
    <row r="35652" spans="2:2" ht="12.75" customHeight="1" x14ac:dyDescent="0.2">
      <c r="B35652" s="43"/>
    </row>
    <row r="35653" spans="2:2" ht="12.75" customHeight="1" x14ac:dyDescent="0.2">
      <c r="B35653" s="43"/>
    </row>
    <row r="35654" spans="2:2" ht="12.75" customHeight="1" x14ac:dyDescent="0.2">
      <c r="B35654" s="43"/>
    </row>
    <row r="35655" spans="2:2" ht="12.75" customHeight="1" x14ac:dyDescent="0.2">
      <c r="B35655" s="43"/>
    </row>
    <row r="35656" spans="2:2" ht="12.75" customHeight="1" x14ac:dyDescent="0.2">
      <c r="B35656" s="43"/>
    </row>
    <row r="35657" spans="2:2" ht="12.75" customHeight="1" x14ac:dyDescent="0.2">
      <c r="B35657" s="43"/>
    </row>
    <row r="35658" spans="2:2" ht="12.75" customHeight="1" x14ac:dyDescent="0.2">
      <c r="B35658" s="43"/>
    </row>
    <row r="35659" spans="2:2" ht="12.75" customHeight="1" x14ac:dyDescent="0.2">
      <c r="B35659" s="43"/>
    </row>
    <row r="35660" spans="2:2" ht="12.75" customHeight="1" x14ac:dyDescent="0.2">
      <c r="B35660" s="43"/>
    </row>
    <row r="35661" spans="2:2" ht="12.75" customHeight="1" x14ac:dyDescent="0.2">
      <c r="B35661" s="43"/>
    </row>
    <row r="35662" spans="2:2" ht="12.75" customHeight="1" x14ac:dyDescent="0.2">
      <c r="B35662" s="43"/>
    </row>
    <row r="35663" spans="2:2" ht="12.75" customHeight="1" x14ac:dyDescent="0.2">
      <c r="B35663" s="43"/>
    </row>
    <row r="35664" spans="2:2" ht="12.75" customHeight="1" x14ac:dyDescent="0.2">
      <c r="B35664" s="43"/>
    </row>
    <row r="35665" spans="2:2" ht="12.75" customHeight="1" x14ac:dyDescent="0.2">
      <c r="B35665" s="43"/>
    </row>
    <row r="35666" spans="2:2" ht="12.75" customHeight="1" x14ac:dyDescent="0.2">
      <c r="B35666" s="43"/>
    </row>
    <row r="35667" spans="2:2" ht="12.75" customHeight="1" x14ac:dyDescent="0.2">
      <c r="B35667" s="43"/>
    </row>
    <row r="35668" spans="2:2" ht="12.75" customHeight="1" x14ac:dyDescent="0.2">
      <c r="B35668" s="43"/>
    </row>
    <row r="35669" spans="2:2" ht="12.75" customHeight="1" x14ac:dyDescent="0.2">
      <c r="B35669" s="43"/>
    </row>
    <row r="35670" spans="2:2" ht="12.75" customHeight="1" x14ac:dyDescent="0.2">
      <c r="B35670" s="43"/>
    </row>
    <row r="35671" spans="2:2" ht="12.75" customHeight="1" x14ac:dyDescent="0.2">
      <c r="B35671" s="43"/>
    </row>
    <row r="35672" spans="2:2" ht="12.75" customHeight="1" x14ac:dyDescent="0.2">
      <c r="B35672" s="43"/>
    </row>
    <row r="35673" spans="2:2" ht="12.75" customHeight="1" x14ac:dyDescent="0.2">
      <c r="B35673" s="43"/>
    </row>
    <row r="35674" spans="2:2" ht="12.75" customHeight="1" x14ac:dyDescent="0.2">
      <c r="B35674" s="43"/>
    </row>
    <row r="35675" spans="2:2" ht="12.75" customHeight="1" x14ac:dyDescent="0.2">
      <c r="B35675" s="43"/>
    </row>
    <row r="35676" spans="2:2" ht="12.75" customHeight="1" x14ac:dyDescent="0.2">
      <c r="B35676" s="43"/>
    </row>
    <row r="35677" spans="2:2" ht="12.75" customHeight="1" x14ac:dyDescent="0.2">
      <c r="B35677" s="43"/>
    </row>
    <row r="35678" spans="2:2" ht="12.75" customHeight="1" x14ac:dyDescent="0.2">
      <c r="B35678" s="43"/>
    </row>
    <row r="35679" spans="2:2" ht="12.75" customHeight="1" x14ac:dyDescent="0.2">
      <c r="B35679" s="43"/>
    </row>
    <row r="35680" spans="2:2" ht="12.75" customHeight="1" x14ac:dyDescent="0.2">
      <c r="B35680" s="43"/>
    </row>
    <row r="35681" spans="2:2" ht="12.75" customHeight="1" x14ac:dyDescent="0.2">
      <c r="B35681" s="43"/>
    </row>
    <row r="35682" spans="2:2" ht="12.75" customHeight="1" x14ac:dyDescent="0.2">
      <c r="B35682" s="43"/>
    </row>
    <row r="35683" spans="2:2" ht="12.75" customHeight="1" x14ac:dyDescent="0.2">
      <c r="B35683" s="43"/>
    </row>
    <row r="35684" spans="2:2" ht="12.75" customHeight="1" x14ac:dyDescent="0.2">
      <c r="B35684" s="43"/>
    </row>
    <row r="35685" spans="2:2" ht="12.75" customHeight="1" x14ac:dyDescent="0.2">
      <c r="B35685" s="43"/>
    </row>
    <row r="35686" spans="2:2" ht="12.75" customHeight="1" x14ac:dyDescent="0.2">
      <c r="B35686" s="43"/>
    </row>
    <row r="35687" spans="2:2" ht="12.75" customHeight="1" x14ac:dyDescent="0.2">
      <c r="B35687" s="43"/>
    </row>
    <row r="35688" spans="2:2" ht="12.75" customHeight="1" x14ac:dyDescent="0.2">
      <c r="B35688" s="43"/>
    </row>
    <row r="35689" spans="2:2" ht="12.75" customHeight="1" x14ac:dyDescent="0.2">
      <c r="B35689" s="43"/>
    </row>
    <row r="35690" spans="2:2" ht="12.75" customHeight="1" x14ac:dyDescent="0.2">
      <c r="B35690" s="43"/>
    </row>
    <row r="35691" spans="2:2" ht="12.75" customHeight="1" x14ac:dyDescent="0.2">
      <c r="B35691" s="43"/>
    </row>
    <row r="35692" spans="2:2" ht="12.75" customHeight="1" x14ac:dyDescent="0.2">
      <c r="B35692" s="43"/>
    </row>
    <row r="35693" spans="2:2" ht="12.75" customHeight="1" x14ac:dyDescent="0.2">
      <c r="B35693" s="43"/>
    </row>
    <row r="35694" spans="2:2" ht="12.75" customHeight="1" x14ac:dyDescent="0.2">
      <c r="B35694" s="43"/>
    </row>
    <row r="35695" spans="2:2" ht="12.75" customHeight="1" x14ac:dyDescent="0.2">
      <c r="B35695" s="43"/>
    </row>
    <row r="35696" spans="2:2" ht="12.75" customHeight="1" x14ac:dyDescent="0.2">
      <c r="B35696" s="43"/>
    </row>
    <row r="35697" spans="2:2" ht="12.75" customHeight="1" x14ac:dyDescent="0.2">
      <c r="B35697" s="43"/>
    </row>
    <row r="35698" spans="2:2" ht="12.75" customHeight="1" x14ac:dyDescent="0.2">
      <c r="B35698" s="43"/>
    </row>
    <row r="35699" spans="2:2" ht="12.75" customHeight="1" x14ac:dyDescent="0.2">
      <c r="B35699" s="43"/>
    </row>
    <row r="35700" spans="2:2" ht="12.75" customHeight="1" x14ac:dyDescent="0.2">
      <c r="B35700" s="43"/>
    </row>
    <row r="35701" spans="2:2" ht="12.75" customHeight="1" x14ac:dyDescent="0.2">
      <c r="B35701" s="43"/>
    </row>
    <row r="35702" spans="2:2" ht="12.75" customHeight="1" x14ac:dyDescent="0.2">
      <c r="B35702" s="43"/>
    </row>
    <row r="35703" spans="2:2" ht="12.75" customHeight="1" x14ac:dyDescent="0.2">
      <c r="B35703" s="43"/>
    </row>
    <row r="35704" spans="2:2" ht="12.75" customHeight="1" x14ac:dyDescent="0.2">
      <c r="B35704" s="43"/>
    </row>
    <row r="35705" spans="2:2" ht="12.75" customHeight="1" x14ac:dyDescent="0.2">
      <c r="B35705" s="43"/>
    </row>
    <row r="35706" spans="2:2" ht="12.75" customHeight="1" x14ac:dyDescent="0.2">
      <c r="B35706" s="43"/>
    </row>
    <row r="35707" spans="2:2" ht="12.75" customHeight="1" x14ac:dyDescent="0.2">
      <c r="B35707" s="43"/>
    </row>
    <row r="35708" spans="2:2" ht="12.75" customHeight="1" x14ac:dyDescent="0.2">
      <c r="B35708" s="43"/>
    </row>
    <row r="35709" spans="2:2" ht="12.75" customHeight="1" x14ac:dyDescent="0.2">
      <c r="B35709" s="43"/>
    </row>
    <row r="35710" spans="2:2" ht="12.75" customHeight="1" x14ac:dyDescent="0.2">
      <c r="B35710" s="43"/>
    </row>
    <row r="35711" spans="2:2" ht="12.75" customHeight="1" x14ac:dyDescent="0.2">
      <c r="B35711" s="43"/>
    </row>
    <row r="35712" spans="2:2" ht="12.75" customHeight="1" x14ac:dyDescent="0.2">
      <c r="B35712" s="43"/>
    </row>
    <row r="35713" spans="2:2" ht="12.75" customHeight="1" x14ac:dyDescent="0.2">
      <c r="B35713" s="43"/>
    </row>
    <row r="35714" spans="2:2" ht="12.75" customHeight="1" x14ac:dyDescent="0.2">
      <c r="B35714" s="43"/>
    </row>
    <row r="35715" spans="2:2" ht="12.75" customHeight="1" x14ac:dyDescent="0.2">
      <c r="B35715" s="43"/>
    </row>
    <row r="35716" spans="2:2" ht="12.75" customHeight="1" x14ac:dyDescent="0.2">
      <c r="B35716" s="43"/>
    </row>
    <row r="35717" spans="2:2" ht="12.75" customHeight="1" x14ac:dyDescent="0.2">
      <c r="B35717" s="43"/>
    </row>
    <row r="35718" spans="2:2" ht="12.75" customHeight="1" x14ac:dyDescent="0.2">
      <c r="B35718" s="43"/>
    </row>
    <row r="35719" spans="2:2" ht="12.75" customHeight="1" x14ac:dyDescent="0.2">
      <c r="B35719" s="43"/>
    </row>
    <row r="35720" spans="2:2" ht="12.75" customHeight="1" x14ac:dyDescent="0.2">
      <c r="B35720" s="43"/>
    </row>
    <row r="35721" spans="2:2" ht="12.75" customHeight="1" x14ac:dyDescent="0.2">
      <c r="B35721" s="43"/>
    </row>
    <row r="35722" spans="2:2" ht="12.75" customHeight="1" x14ac:dyDescent="0.2">
      <c r="B35722" s="43"/>
    </row>
    <row r="35723" spans="2:2" ht="12.75" customHeight="1" x14ac:dyDescent="0.2">
      <c r="B35723" s="43"/>
    </row>
    <row r="35724" spans="2:2" ht="12.75" customHeight="1" x14ac:dyDescent="0.2">
      <c r="B35724" s="43"/>
    </row>
    <row r="35725" spans="2:2" ht="12.75" customHeight="1" x14ac:dyDescent="0.2">
      <c r="B35725" s="43"/>
    </row>
    <row r="35726" spans="2:2" ht="12.75" customHeight="1" x14ac:dyDescent="0.2">
      <c r="B35726" s="43"/>
    </row>
    <row r="35727" spans="2:2" ht="12.75" customHeight="1" x14ac:dyDescent="0.2">
      <c r="B35727" s="43"/>
    </row>
    <row r="35728" spans="2:2" ht="12.75" customHeight="1" x14ac:dyDescent="0.2">
      <c r="B35728" s="43"/>
    </row>
    <row r="35729" spans="2:2" ht="12.75" customHeight="1" x14ac:dyDescent="0.2">
      <c r="B35729" s="43"/>
    </row>
    <row r="35730" spans="2:2" ht="12.75" customHeight="1" x14ac:dyDescent="0.2">
      <c r="B35730" s="43"/>
    </row>
    <row r="35731" spans="2:2" ht="12.75" customHeight="1" x14ac:dyDescent="0.2">
      <c r="B35731" s="43"/>
    </row>
    <row r="35732" spans="2:2" ht="12.75" customHeight="1" x14ac:dyDescent="0.2">
      <c r="B35732" s="43"/>
    </row>
    <row r="35733" spans="2:2" ht="12.75" customHeight="1" x14ac:dyDescent="0.2">
      <c r="B35733" s="43"/>
    </row>
    <row r="35734" spans="2:2" ht="12.75" customHeight="1" x14ac:dyDescent="0.2">
      <c r="B35734" s="43"/>
    </row>
    <row r="35735" spans="2:2" ht="12.75" customHeight="1" x14ac:dyDescent="0.2">
      <c r="B35735" s="43"/>
    </row>
    <row r="35736" spans="2:2" ht="12.75" customHeight="1" x14ac:dyDescent="0.2">
      <c r="B35736" s="43"/>
    </row>
    <row r="35737" spans="2:2" ht="12.75" customHeight="1" x14ac:dyDescent="0.2">
      <c r="B35737" s="43"/>
    </row>
    <row r="35738" spans="2:2" ht="12.75" customHeight="1" x14ac:dyDescent="0.2">
      <c r="B35738" s="43"/>
    </row>
    <row r="35739" spans="2:2" ht="12.75" customHeight="1" x14ac:dyDescent="0.2">
      <c r="B35739" s="43"/>
    </row>
    <row r="35740" spans="2:2" ht="12.75" customHeight="1" x14ac:dyDescent="0.2">
      <c r="B35740" s="43"/>
    </row>
    <row r="35741" spans="2:2" ht="12.75" customHeight="1" x14ac:dyDescent="0.2">
      <c r="B35741" s="43"/>
    </row>
    <row r="35742" spans="2:2" ht="12.75" customHeight="1" x14ac:dyDescent="0.2">
      <c r="B35742" s="43"/>
    </row>
    <row r="35743" spans="2:2" ht="12.75" customHeight="1" x14ac:dyDescent="0.2">
      <c r="B35743" s="43"/>
    </row>
    <row r="35744" spans="2:2" ht="12.75" customHeight="1" x14ac:dyDescent="0.2">
      <c r="B35744" s="43"/>
    </row>
    <row r="35745" spans="2:2" ht="12.75" customHeight="1" x14ac:dyDescent="0.2">
      <c r="B35745" s="43"/>
    </row>
    <row r="35746" spans="2:2" ht="12.75" customHeight="1" x14ac:dyDescent="0.2">
      <c r="B35746" s="43"/>
    </row>
    <row r="35747" spans="2:2" ht="12.75" customHeight="1" x14ac:dyDescent="0.2">
      <c r="B35747" s="43"/>
    </row>
    <row r="35748" spans="2:2" ht="12.75" customHeight="1" x14ac:dyDescent="0.2">
      <c r="B35748" s="43"/>
    </row>
    <row r="35749" spans="2:2" ht="12.75" customHeight="1" x14ac:dyDescent="0.2">
      <c r="B35749" s="43"/>
    </row>
    <row r="35750" spans="2:2" ht="12.75" customHeight="1" x14ac:dyDescent="0.2">
      <c r="B35750" s="43"/>
    </row>
    <row r="35751" spans="2:2" ht="12.75" customHeight="1" x14ac:dyDescent="0.2">
      <c r="B35751" s="43"/>
    </row>
    <row r="35752" spans="2:2" ht="12.75" customHeight="1" x14ac:dyDescent="0.2">
      <c r="B35752" s="43"/>
    </row>
    <row r="35753" spans="2:2" ht="12.75" customHeight="1" x14ac:dyDescent="0.2">
      <c r="B35753" s="43"/>
    </row>
    <row r="35754" spans="2:2" ht="12.75" customHeight="1" x14ac:dyDescent="0.2">
      <c r="B35754" s="43"/>
    </row>
    <row r="35755" spans="2:2" ht="12.75" customHeight="1" x14ac:dyDescent="0.2">
      <c r="B35755" s="43"/>
    </row>
    <row r="35756" spans="2:2" ht="12.75" customHeight="1" x14ac:dyDescent="0.2">
      <c r="B35756" s="43"/>
    </row>
    <row r="35757" spans="2:2" ht="12.75" customHeight="1" x14ac:dyDescent="0.2">
      <c r="B35757" s="43"/>
    </row>
    <row r="35758" spans="2:2" ht="12.75" customHeight="1" x14ac:dyDescent="0.2">
      <c r="B35758" s="43"/>
    </row>
    <row r="35759" spans="2:2" ht="12.75" customHeight="1" x14ac:dyDescent="0.2">
      <c r="B35759" s="43"/>
    </row>
    <row r="35760" spans="2:2" ht="12.75" customHeight="1" x14ac:dyDescent="0.2">
      <c r="B35760" s="43"/>
    </row>
    <row r="35761" spans="2:2" ht="12.75" customHeight="1" x14ac:dyDescent="0.2">
      <c r="B35761" s="43"/>
    </row>
    <row r="35762" spans="2:2" ht="12.75" customHeight="1" x14ac:dyDescent="0.2">
      <c r="B35762" s="43"/>
    </row>
    <row r="35763" spans="2:2" ht="12.75" customHeight="1" x14ac:dyDescent="0.2">
      <c r="B35763" s="43"/>
    </row>
    <row r="35764" spans="2:2" ht="12.75" customHeight="1" x14ac:dyDescent="0.2">
      <c r="B35764" s="43"/>
    </row>
    <row r="35765" spans="2:2" ht="12.75" customHeight="1" x14ac:dyDescent="0.2">
      <c r="B35765" s="43"/>
    </row>
    <row r="35766" spans="2:2" ht="12.75" customHeight="1" x14ac:dyDescent="0.2">
      <c r="B35766" s="43"/>
    </row>
    <row r="35767" spans="2:2" ht="12.75" customHeight="1" x14ac:dyDescent="0.2">
      <c r="B35767" s="43"/>
    </row>
    <row r="35768" spans="2:2" ht="12.75" customHeight="1" x14ac:dyDescent="0.2">
      <c r="B35768" s="43"/>
    </row>
    <row r="35769" spans="2:2" ht="12.75" customHeight="1" x14ac:dyDescent="0.2">
      <c r="B35769" s="43"/>
    </row>
    <row r="35770" spans="2:2" ht="12.75" customHeight="1" x14ac:dyDescent="0.2">
      <c r="B35770" s="43"/>
    </row>
    <row r="35771" spans="2:2" ht="12.75" customHeight="1" x14ac:dyDescent="0.2">
      <c r="B35771" s="43"/>
    </row>
    <row r="35772" spans="2:2" ht="12.75" customHeight="1" x14ac:dyDescent="0.2">
      <c r="B35772" s="43"/>
    </row>
    <row r="35773" spans="2:2" ht="12.75" customHeight="1" x14ac:dyDescent="0.2">
      <c r="B35773" s="43"/>
    </row>
    <row r="35774" spans="2:2" ht="12.75" customHeight="1" x14ac:dyDescent="0.2">
      <c r="B35774" s="43"/>
    </row>
    <row r="35775" spans="2:2" ht="12.75" customHeight="1" x14ac:dyDescent="0.2">
      <c r="B35775" s="43"/>
    </row>
    <row r="35776" spans="2:2" ht="12.75" customHeight="1" x14ac:dyDescent="0.2">
      <c r="B35776" s="43"/>
    </row>
    <row r="35777" spans="2:2" ht="12.75" customHeight="1" x14ac:dyDescent="0.2">
      <c r="B35777" s="43"/>
    </row>
    <row r="35778" spans="2:2" ht="12.75" customHeight="1" x14ac:dyDescent="0.2">
      <c r="B35778" s="43"/>
    </row>
    <row r="35779" spans="2:2" ht="12.75" customHeight="1" x14ac:dyDescent="0.2">
      <c r="B35779" s="43"/>
    </row>
    <row r="35780" spans="2:2" ht="12.75" customHeight="1" x14ac:dyDescent="0.2">
      <c r="B35780" s="43"/>
    </row>
    <row r="35781" spans="2:2" ht="12.75" customHeight="1" x14ac:dyDescent="0.2">
      <c r="B35781" s="43"/>
    </row>
    <row r="35782" spans="2:2" ht="12.75" customHeight="1" x14ac:dyDescent="0.2">
      <c r="B35782" s="43"/>
    </row>
    <row r="35783" spans="2:2" ht="12.75" customHeight="1" x14ac:dyDescent="0.2">
      <c r="B35783" s="43"/>
    </row>
    <row r="35784" spans="2:2" ht="12.75" customHeight="1" x14ac:dyDescent="0.2">
      <c r="B35784" s="43"/>
    </row>
    <row r="35785" spans="2:2" ht="12.75" customHeight="1" x14ac:dyDescent="0.2">
      <c r="B35785" s="43"/>
    </row>
    <row r="35786" spans="2:2" ht="12.75" customHeight="1" x14ac:dyDescent="0.2">
      <c r="B35786" s="43"/>
    </row>
    <row r="35787" spans="2:2" ht="12.75" customHeight="1" x14ac:dyDescent="0.2">
      <c r="B35787" s="43"/>
    </row>
    <row r="35788" spans="2:2" ht="12.75" customHeight="1" x14ac:dyDescent="0.2">
      <c r="B35788" s="43"/>
    </row>
    <row r="35789" spans="2:2" ht="12.75" customHeight="1" x14ac:dyDescent="0.2">
      <c r="B35789" s="43"/>
    </row>
    <row r="35790" spans="2:2" ht="12.75" customHeight="1" x14ac:dyDescent="0.2">
      <c r="B35790" s="43"/>
    </row>
    <row r="35791" spans="2:2" ht="12.75" customHeight="1" x14ac:dyDescent="0.2">
      <c r="B35791" s="43"/>
    </row>
    <row r="35792" spans="2:2" ht="12.75" customHeight="1" x14ac:dyDescent="0.2">
      <c r="B35792" s="43"/>
    </row>
    <row r="35793" spans="2:2" ht="12.75" customHeight="1" x14ac:dyDescent="0.2">
      <c r="B35793" s="43"/>
    </row>
    <row r="35794" spans="2:2" ht="12.75" customHeight="1" x14ac:dyDescent="0.2">
      <c r="B35794" s="43"/>
    </row>
    <row r="35795" spans="2:2" ht="12.75" customHeight="1" x14ac:dyDescent="0.2">
      <c r="B35795" s="43"/>
    </row>
    <row r="35796" spans="2:2" ht="12.75" customHeight="1" x14ac:dyDescent="0.2">
      <c r="B35796" s="43"/>
    </row>
    <row r="35797" spans="2:2" ht="12.75" customHeight="1" x14ac:dyDescent="0.2">
      <c r="B35797" s="43"/>
    </row>
    <row r="35798" spans="2:2" ht="12.75" customHeight="1" x14ac:dyDescent="0.2">
      <c r="B35798" s="43"/>
    </row>
    <row r="35799" spans="2:2" ht="12.75" customHeight="1" x14ac:dyDescent="0.2">
      <c r="B35799" s="43"/>
    </row>
    <row r="35800" spans="2:2" ht="12.75" customHeight="1" x14ac:dyDescent="0.2">
      <c r="B35800" s="43"/>
    </row>
    <row r="35801" spans="2:2" ht="12.75" customHeight="1" x14ac:dyDescent="0.2">
      <c r="B35801" s="43"/>
    </row>
    <row r="35802" spans="2:2" ht="12.75" customHeight="1" x14ac:dyDescent="0.2">
      <c r="B35802" s="43"/>
    </row>
    <row r="35803" spans="2:2" ht="12.75" customHeight="1" x14ac:dyDescent="0.2">
      <c r="B35803" s="43"/>
    </row>
    <row r="35804" spans="2:2" ht="12.75" customHeight="1" x14ac:dyDescent="0.2">
      <c r="B35804" s="43"/>
    </row>
    <row r="35805" spans="2:2" ht="12.75" customHeight="1" x14ac:dyDescent="0.2">
      <c r="B35805" s="43"/>
    </row>
    <row r="35806" spans="2:2" ht="12.75" customHeight="1" x14ac:dyDescent="0.2">
      <c r="B35806" s="43"/>
    </row>
    <row r="35807" spans="2:2" ht="12.75" customHeight="1" x14ac:dyDescent="0.2">
      <c r="B35807" s="43"/>
    </row>
    <row r="35808" spans="2:2" ht="12.75" customHeight="1" x14ac:dyDescent="0.2">
      <c r="B35808" s="43"/>
    </row>
    <row r="35809" spans="2:2" ht="12.75" customHeight="1" x14ac:dyDescent="0.2">
      <c r="B35809" s="43"/>
    </row>
    <row r="35810" spans="2:2" ht="12.75" customHeight="1" x14ac:dyDescent="0.2">
      <c r="B35810" s="43"/>
    </row>
    <row r="35811" spans="2:2" ht="12.75" customHeight="1" x14ac:dyDescent="0.2">
      <c r="B35811" s="43"/>
    </row>
    <row r="35812" spans="2:2" ht="12.75" customHeight="1" x14ac:dyDescent="0.2">
      <c r="B35812" s="43"/>
    </row>
    <row r="35813" spans="2:2" ht="12.75" customHeight="1" x14ac:dyDescent="0.2">
      <c r="B35813" s="43"/>
    </row>
    <row r="35814" spans="2:2" ht="12.75" customHeight="1" x14ac:dyDescent="0.2">
      <c r="B35814" s="43"/>
    </row>
    <row r="35815" spans="2:2" ht="12.75" customHeight="1" x14ac:dyDescent="0.2">
      <c r="B35815" s="43"/>
    </row>
    <row r="35816" spans="2:2" ht="12.75" customHeight="1" x14ac:dyDescent="0.2">
      <c r="B35816" s="43"/>
    </row>
    <row r="35817" spans="2:2" ht="12.75" customHeight="1" x14ac:dyDescent="0.2">
      <c r="B35817" s="43"/>
    </row>
    <row r="35818" spans="2:2" ht="12.75" customHeight="1" x14ac:dyDescent="0.2">
      <c r="B35818" s="43"/>
    </row>
    <row r="35819" spans="2:2" ht="12.75" customHeight="1" x14ac:dyDescent="0.2">
      <c r="B35819" s="43"/>
    </row>
    <row r="35820" spans="2:2" ht="12.75" customHeight="1" x14ac:dyDescent="0.2">
      <c r="B35820" s="43"/>
    </row>
    <row r="35821" spans="2:2" ht="12.75" customHeight="1" x14ac:dyDescent="0.2">
      <c r="B35821" s="43"/>
    </row>
    <row r="35822" spans="2:2" ht="12.75" customHeight="1" x14ac:dyDescent="0.2">
      <c r="B35822" s="43"/>
    </row>
    <row r="35823" spans="2:2" ht="12.75" customHeight="1" x14ac:dyDescent="0.2">
      <c r="B35823" s="43"/>
    </row>
    <row r="35824" spans="2:2" ht="12.75" customHeight="1" x14ac:dyDescent="0.2">
      <c r="B35824" s="43"/>
    </row>
    <row r="35825" spans="2:2" ht="12.75" customHeight="1" x14ac:dyDescent="0.2">
      <c r="B35825" s="43"/>
    </row>
    <row r="35826" spans="2:2" ht="12.75" customHeight="1" x14ac:dyDescent="0.2">
      <c r="B35826" s="43"/>
    </row>
    <row r="35827" spans="2:2" ht="12.75" customHeight="1" x14ac:dyDescent="0.2">
      <c r="B35827" s="43"/>
    </row>
    <row r="35828" spans="2:2" ht="12.75" customHeight="1" x14ac:dyDescent="0.2">
      <c r="B35828" s="43"/>
    </row>
    <row r="35829" spans="2:2" ht="12.75" customHeight="1" x14ac:dyDescent="0.2">
      <c r="B35829" s="43"/>
    </row>
    <row r="35830" spans="2:2" ht="12.75" customHeight="1" x14ac:dyDescent="0.2">
      <c r="B35830" s="43"/>
    </row>
    <row r="35831" spans="2:2" ht="12.75" customHeight="1" x14ac:dyDescent="0.2">
      <c r="B35831" s="43"/>
    </row>
    <row r="35832" spans="2:2" ht="12.75" customHeight="1" x14ac:dyDescent="0.2">
      <c r="B35832" s="43"/>
    </row>
    <row r="35833" spans="2:2" ht="12.75" customHeight="1" x14ac:dyDescent="0.2">
      <c r="B35833" s="43"/>
    </row>
    <row r="35834" spans="2:2" ht="12.75" customHeight="1" x14ac:dyDescent="0.2">
      <c r="B35834" s="43"/>
    </row>
    <row r="35835" spans="2:2" ht="12.75" customHeight="1" x14ac:dyDescent="0.2">
      <c r="B35835" s="43"/>
    </row>
    <row r="35836" spans="2:2" ht="12.75" customHeight="1" x14ac:dyDescent="0.2">
      <c r="B35836" s="43"/>
    </row>
    <row r="35837" spans="2:2" ht="12.75" customHeight="1" x14ac:dyDescent="0.2">
      <c r="B35837" s="43"/>
    </row>
    <row r="35838" spans="2:2" ht="12.75" customHeight="1" x14ac:dyDescent="0.2">
      <c r="B35838" s="43"/>
    </row>
    <row r="35839" spans="2:2" ht="12.75" customHeight="1" x14ac:dyDescent="0.2">
      <c r="B35839" s="43"/>
    </row>
    <row r="35840" spans="2:2" ht="12.75" customHeight="1" x14ac:dyDescent="0.2">
      <c r="B35840" s="43"/>
    </row>
    <row r="35841" spans="2:2" ht="12.75" customHeight="1" x14ac:dyDescent="0.2">
      <c r="B35841" s="43"/>
    </row>
    <row r="35842" spans="2:2" ht="12.75" customHeight="1" x14ac:dyDescent="0.2">
      <c r="B35842" s="43"/>
    </row>
    <row r="35843" spans="2:2" ht="12.75" customHeight="1" x14ac:dyDescent="0.2">
      <c r="B35843" s="43"/>
    </row>
    <row r="35844" spans="2:2" ht="12.75" customHeight="1" x14ac:dyDescent="0.2">
      <c r="B35844" s="43"/>
    </row>
    <row r="35845" spans="2:2" ht="12.75" customHeight="1" x14ac:dyDescent="0.2">
      <c r="B35845" s="43"/>
    </row>
    <row r="35846" spans="2:2" ht="12.75" customHeight="1" x14ac:dyDescent="0.2">
      <c r="B35846" s="43"/>
    </row>
    <row r="35847" spans="2:2" ht="12.75" customHeight="1" x14ac:dyDescent="0.2">
      <c r="B35847" s="43"/>
    </row>
    <row r="35848" spans="2:2" ht="12.75" customHeight="1" x14ac:dyDescent="0.2">
      <c r="B35848" s="43"/>
    </row>
    <row r="35849" spans="2:2" ht="12.75" customHeight="1" x14ac:dyDescent="0.2">
      <c r="B35849" s="43"/>
    </row>
    <row r="35850" spans="2:2" ht="12.75" customHeight="1" x14ac:dyDescent="0.2">
      <c r="B35850" s="43"/>
    </row>
    <row r="35851" spans="2:2" ht="12.75" customHeight="1" x14ac:dyDescent="0.2">
      <c r="B35851" s="43"/>
    </row>
    <row r="35852" spans="2:2" ht="12.75" customHeight="1" x14ac:dyDescent="0.2">
      <c r="B35852" s="43"/>
    </row>
    <row r="35853" spans="2:2" ht="12.75" customHeight="1" x14ac:dyDescent="0.2">
      <c r="B35853" s="43"/>
    </row>
    <row r="35854" spans="2:2" ht="12.75" customHeight="1" x14ac:dyDescent="0.2">
      <c r="B35854" s="43"/>
    </row>
    <row r="35855" spans="2:2" ht="12.75" customHeight="1" x14ac:dyDescent="0.2">
      <c r="B35855" s="43"/>
    </row>
    <row r="35856" spans="2:2" ht="12.75" customHeight="1" x14ac:dyDescent="0.2">
      <c r="B35856" s="43"/>
    </row>
    <row r="35857" spans="2:2" ht="12.75" customHeight="1" x14ac:dyDescent="0.2">
      <c r="B35857" s="43"/>
    </row>
    <row r="35858" spans="2:2" ht="12.75" customHeight="1" x14ac:dyDescent="0.2">
      <c r="B35858" s="43"/>
    </row>
    <row r="35859" spans="2:2" ht="12.75" customHeight="1" x14ac:dyDescent="0.2">
      <c r="B35859" s="43"/>
    </row>
    <row r="35860" spans="2:2" ht="12.75" customHeight="1" x14ac:dyDescent="0.2">
      <c r="B35860" s="43"/>
    </row>
    <row r="35861" spans="2:2" ht="12.75" customHeight="1" x14ac:dyDescent="0.2">
      <c r="B35861" s="43"/>
    </row>
    <row r="35862" spans="2:2" ht="12.75" customHeight="1" x14ac:dyDescent="0.2">
      <c r="B35862" s="43"/>
    </row>
    <row r="35863" spans="2:2" ht="12.75" customHeight="1" x14ac:dyDescent="0.2">
      <c r="B35863" s="43"/>
    </row>
    <row r="35864" spans="2:2" ht="12.75" customHeight="1" x14ac:dyDescent="0.2">
      <c r="B35864" s="43"/>
    </row>
    <row r="35865" spans="2:2" ht="12.75" customHeight="1" x14ac:dyDescent="0.2">
      <c r="B35865" s="43"/>
    </row>
    <row r="35866" spans="2:2" ht="12.75" customHeight="1" x14ac:dyDescent="0.2">
      <c r="B35866" s="43"/>
    </row>
    <row r="35867" spans="2:2" ht="12.75" customHeight="1" x14ac:dyDescent="0.2">
      <c r="B35867" s="43"/>
    </row>
    <row r="35868" spans="2:2" ht="12.75" customHeight="1" x14ac:dyDescent="0.2">
      <c r="B35868" s="43"/>
    </row>
    <row r="35869" spans="2:2" ht="12.75" customHeight="1" x14ac:dyDescent="0.2">
      <c r="B35869" s="43"/>
    </row>
    <row r="35870" spans="2:2" ht="12.75" customHeight="1" x14ac:dyDescent="0.2">
      <c r="B35870" s="43"/>
    </row>
    <row r="35871" spans="2:2" ht="12.75" customHeight="1" x14ac:dyDescent="0.2">
      <c r="B35871" s="43"/>
    </row>
    <row r="35872" spans="2:2" ht="12.75" customHeight="1" x14ac:dyDescent="0.2">
      <c r="B35872" s="43"/>
    </row>
    <row r="35873" spans="2:2" ht="12.75" customHeight="1" x14ac:dyDescent="0.2">
      <c r="B35873" s="43"/>
    </row>
    <row r="35874" spans="2:2" ht="12.75" customHeight="1" x14ac:dyDescent="0.2">
      <c r="B35874" s="43"/>
    </row>
    <row r="35875" spans="2:2" ht="12.75" customHeight="1" x14ac:dyDescent="0.2">
      <c r="B35875" s="43"/>
    </row>
    <row r="35876" spans="2:2" ht="12.75" customHeight="1" x14ac:dyDescent="0.2">
      <c r="B35876" s="43"/>
    </row>
    <row r="35877" spans="2:2" ht="12.75" customHeight="1" x14ac:dyDescent="0.2">
      <c r="B35877" s="43"/>
    </row>
    <row r="35878" spans="2:2" ht="12.75" customHeight="1" x14ac:dyDescent="0.2">
      <c r="B35878" s="43"/>
    </row>
    <row r="35879" spans="2:2" ht="12.75" customHeight="1" x14ac:dyDescent="0.2">
      <c r="B35879" s="43"/>
    </row>
    <row r="35880" spans="2:2" ht="12.75" customHeight="1" x14ac:dyDescent="0.2">
      <c r="B35880" s="43"/>
    </row>
    <row r="35881" spans="2:2" ht="12.75" customHeight="1" x14ac:dyDescent="0.2">
      <c r="B35881" s="43"/>
    </row>
    <row r="35882" spans="2:2" ht="12.75" customHeight="1" x14ac:dyDescent="0.2">
      <c r="B35882" s="43"/>
    </row>
    <row r="35883" spans="2:2" ht="12.75" customHeight="1" x14ac:dyDescent="0.2">
      <c r="B35883" s="43"/>
    </row>
    <row r="35884" spans="2:2" ht="12.75" customHeight="1" x14ac:dyDescent="0.2">
      <c r="B35884" s="43"/>
    </row>
    <row r="35885" spans="2:2" ht="12.75" customHeight="1" x14ac:dyDescent="0.2">
      <c r="B35885" s="43"/>
    </row>
    <row r="35886" spans="2:2" ht="12.75" customHeight="1" x14ac:dyDescent="0.2">
      <c r="B35886" s="43"/>
    </row>
    <row r="35887" spans="2:2" ht="12.75" customHeight="1" x14ac:dyDescent="0.2">
      <c r="B35887" s="43"/>
    </row>
    <row r="35888" spans="2:2" ht="12.75" customHeight="1" x14ac:dyDescent="0.2">
      <c r="B35888" s="43"/>
    </row>
    <row r="35889" spans="2:2" ht="12.75" customHeight="1" x14ac:dyDescent="0.2">
      <c r="B35889" s="43"/>
    </row>
    <row r="35890" spans="2:2" ht="12.75" customHeight="1" x14ac:dyDescent="0.2">
      <c r="B35890" s="43"/>
    </row>
    <row r="35891" spans="2:2" ht="12.75" customHeight="1" x14ac:dyDescent="0.2">
      <c r="B35891" s="43"/>
    </row>
    <row r="35892" spans="2:2" ht="12.75" customHeight="1" x14ac:dyDescent="0.2">
      <c r="B35892" s="43"/>
    </row>
    <row r="35893" spans="2:2" ht="12.75" customHeight="1" x14ac:dyDescent="0.2">
      <c r="B35893" s="43"/>
    </row>
    <row r="35894" spans="2:2" ht="12.75" customHeight="1" x14ac:dyDescent="0.2">
      <c r="B35894" s="43"/>
    </row>
    <row r="35895" spans="2:2" ht="12.75" customHeight="1" x14ac:dyDescent="0.2">
      <c r="B35895" s="43"/>
    </row>
    <row r="35896" spans="2:2" ht="12.75" customHeight="1" x14ac:dyDescent="0.2">
      <c r="B35896" s="43"/>
    </row>
    <row r="35897" spans="2:2" ht="12.75" customHeight="1" x14ac:dyDescent="0.2">
      <c r="B35897" s="43"/>
    </row>
    <row r="35898" spans="2:2" ht="12.75" customHeight="1" x14ac:dyDescent="0.2">
      <c r="B35898" s="43"/>
    </row>
    <row r="35899" spans="2:2" ht="12.75" customHeight="1" x14ac:dyDescent="0.2">
      <c r="B35899" s="43"/>
    </row>
    <row r="35900" spans="2:2" ht="12.75" customHeight="1" x14ac:dyDescent="0.2">
      <c r="B35900" s="43"/>
    </row>
    <row r="35901" spans="2:2" ht="12.75" customHeight="1" x14ac:dyDescent="0.2">
      <c r="B35901" s="43"/>
    </row>
    <row r="35902" spans="2:2" ht="12.75" customHeight="1" x14ac:dyDescent="0.2">
      <c r="B35902" s="43"/>
    </row>
    <row r="35903" spans="2:2" ht="12.75" customHeight="1" x14ac:dyDescent="0.2">
      <c r="B35903" s="43"/>
    </row>
    <row r="35904" spans="2:2" ht="12.75" customHeight="1" x14ac:dyDescent="0.2">
      <c r="B35904" s="43"/>
    </row>
    <row r="35905" spans="2:2" ht="12.75" customHeight="1" x14ac:dyDescent="0.2">
      <c r="B35905" s="43"/>
    </row>
    <row r="35906" spans="2:2" ht="12.75" customHeight="1" x14ac:dyDescent="0.2">
      <c r="B35906" s="43"/>
    </row>
    <row r="35907" spans="2:2" ht="12.75" customHeight="1" x14ac:dyDescent="0.2">
      <c r="B35907" s="43"/>
    </row>
    <row r="35908" spans="2:2" ht="12.75" customHeight="1" x14ac:dyDescent="0.2">
      <c r="B35908" s="43"/>
    </row>
    <row r="35909" spans="2:2" ht="12.75" customHeight="1" x14ac:dyDescent="0.2">
      <c r="B35909" s="43"/>
    </row>
    <row r="35910" spans="2:2" ht="12.75" customHeight="1" x14ac:dyDescent="0.2">
      <c r="B35910" s="43"/>
    </row>
    <row r="35911" spans="2:2" ht="12.75" customHeight="1" x14ac:dyDescent="0.2">
      <c r="B35911" s="43"/>
    </row>
    <row r="35912" spans="2:2" ht="12.75" customHeight="1" x14ac:dyDescent="0.2">
      <c r="B35912" s="43"/>
    </row>
    <row r="35913" spans="2:2" ht="12.75" customHeight="1" x14ac:dyDescent="0.2">
      <c r="B35913" s="43"/>
    </row>
    <row r="35914" spans="2:2" ht="12.75" customHeight="1" x14ac:dyDescent="0.2">
      <c r="B35914" s="43"/>
    </row>
    <row r="35915" spans="2:2" ht="12.75" customHeight="1" x14ac:dyDescent="0.2">
      <c r="B35915" s="43"/>
    </row>
    <row r="35916" spans="2:2" ht="12.75" customHeight="1" x14ac:dyDescent="0.2">
      <c r="B35916" s="43"/>
    </row>
    <row r="35917" spans="2:2" ht="12.75" customHeight="1" x14ac:dyDescent="0.2">
      <c r="B35917" s="43"/>
    </row>
    <row r="35918" spans="2:2" ht="12.75" customHeight="1" x14ac:dyDescent="0.2">
      <c r="B35918" s="43"/>
    </row>
    <row r="35919" spans="2:2" ht="12.75" customHeight="1" x14ac:dyDescent="0.2">
      <c r="B35919" s="43"/>
    </row>
    <row r="35920" spans="2:2" ht="12.75" customHeight="1" x14ac:dyDescent="0.2">
      <c r="B35920" s="43"/>
    </row>
    <row r="35921" spans="2:2" ht="12.75" customHeight="1" x14ac:dyDescent="0.2">
      <c r="B35921" s="43"/>
    </row>
    <row r="35922" spans="2:2" ht="12.75" customHeight="1" x14ac:dyDescent="0.2">
      <c r="B35922" s="43"/>
    </row>
    <row r="35923" spans="2:2" ht="12.75" customHeight="1" x14ac:dyDescent="0.2">
      <c r="B35923" s="43"/>
    </row>
    <row r="35924" spans="2:2" ht="12.75" customHeight="1" x14ac:dyDescent="0.2">
      <c r="B35924" s="43"/>
    </row>
    <row r="35925" spans="2:2" ht="12.75" customHeight="1" x14ac:dyDescent="0.2">
      <c r="B35925" s="43"/>
    </row>
    <row r="35926" spans="2:2" ht="12.75" customHeight="1" x14ac:dyDescent="0.2">
      <c r="B35926" s="43"/>
    </row>
    <row r="35927" spans="2:2" ht="12.75" customHeight="1" x14ac:dyDescent="0.2">
      <c r="B35927" s="43"/>
    </row>
    <row r="35928" spans="2:2" ht="12.75" customHeight="1" x14ac:dyDescent="0.2">
      <c r="B35928" s="43"/>
    </row>
    <row r="35929" spans="2:2" ht="12.75" customHeight="1" x14ac:dyDescent="0.2">
      <c r="B35929" s="43"/>
    </row>
    <row r="35930" spans="2:2" ht="12.75" customHeight="1" x14ac:dyDescent="0.2">
      <c r="B35930" s="43"/>
    </row>
    <row r="35931" spans="2:2" ht="12.75" customHeight="1" x14ac:dyDescent="0.2">
      <c r="B35931" s="43"/>
    </row>
    <row r="35932" spans="2:2" ht="12.75" customHeight="1" x14ac:dyDescent="0.2">
      <c r="B35932" s="43"/>
    </row>
    <row r="35933" spans="2:2" ht="12.75" customHeight="1" x14ac:dyDescent="0.2">
      <c r="B35933" s="43"/>
    </row>
    <row r="35934" spans="2:2" ht="12.75" customHeight="1" x14ac:dyDescent="0.2">
      <c r="B35934" s="43"/>
    </row>
    <row r="35935" spans="2:2" ht="12.75" customHeight="1" x14ac:dyDescent="0.2">
      <c r="B35935" s="43"/>
    </row>
    <row r="35936" spans="2:2" ht="12.75" customHeight="1" x14ac:dyDescent="0.2">
      <c r="B35936" s="43"/>
    </row>
    <row r="35937" spans="2:2" ht="12.75" customHeight="1" x14ac:dyDescent="0.2">
      <c r="B35937" s="43"/>
    </row>
    <row r="35938" spans="2:2" ht="12.75" customHeight="1" x14ac:dyDescent="0.2">
      <c r="B35938" s="43"/>
    </row>
    <row r="35939" spans="2:2" ht="12.75" customHeight="1" x14ac:dyDescent="0.2">
      <c r="B35939" s="43"/>
    </row>
    <row r="35940" spans="2:2" ht="12.75" customHeight="1" x14ac:dyDescent="0.2">
      <c r="B35940" s="43"/>
    </row>
    <row r="35941" spans="2:2" ht="12.75" customHeight="1" x14ac:dyDescent="0.2">
      <c r="B35941" s="43"/>
    </row>
    <row r="35942" spans="2:2" ht="12.75" customHeight="1" x14ac:dyDescent="0.2">
      <c r="B35942" s="43"/>
    </row>
    <row r="35943" spans="2:2" ht="12.75" customHeight="1" x14ac:dyDescent="0.2">
      <c r="B35943" s="43"/>
    </row>
    <row r="35944" spans="2:2" ht="12.75" customHeight="1" x14ac:dyDescent="0.2">
      <c r="B35944" s="43"/>
    </row>
    <row r="35945" spans="2:2" ht="12.75" customHeight="1" x14ac:dyDescent="0.2">
      <c r="B35945" s="43"/>
    </row>
    <row r="35946" spans="2:2" ht="12.75" customHeight="1" x14ac:dyDescent="0.2">
      <c r="B35946" s="43"/>
    </row>
    <row r="35947" spans="2:2" ht="12.75" customHeight="1" x14ac:dyDescent="0.2">
      <c r="B35947" s="43"/>
    </row>
    <row r="35948" spans="2:2" ht="12.75" customHeight="1" x14ac:dyDescent="0.2">
      <c r="B35948" s="43"/>
    </row>
    <row r="35949" spans="2:2" ht="12.75" customHeight="1" x14ac:dyDescent="0.2">
      <c r="B35949" s="43"/>
    </row>
    <row r="35950" spans="2:2" ht="12.75" customHeight="1" x14ac:dyDescent="0.2">
      <c r="B35950" s="43"/>
    </row>
    <row r="35951" spans="2:2" ht="12.75" customHeight="1" x14ac:dyDescent="0.2">
      <c r="B35951" s="43"/>
    </row>
    <row r="35952" spans="2:2" ht="12.75" customHeight="1" x14ac:dyDescent="0.2">
      <c r="B35952" s="43"/>
    </row>
    <row r="35953" spans="2:2" ht="12.75" customHeight="1" x14ac:dyDescent="0.2">
      <c r="B35953" s="43"/>
    </row>
    <row r="35954" spans="2:2" ht="12.75" customHeight="1" x14ac:dyDescent="0.2">
      <c r="B35954" s="43"/>
    </row>
    <row r="35955" spans="2:2" ht="12.75" customHeight="1" x14ac:dyDescent="0.2">
      <c r="B35955" s="43"/>
    </row>
    <row r="35956" spans="2:2" ht="12.75" customHeight="1" x14ac:dyDescent="0.2">
      <c r="B35956" s="43"/>
    </row>
    <row r="35957" spans="2:2" ht="12.75" customHeight="1" x14ac:dyDescent="0.2">
      <c r="B35957" s="43"/>
    </row>
    <row r="35958" spans="2:2" ht="12.75" customHeight="1" x14ac:dyDescent="0.2">
      <c r="B35958" s="43"/>
    </row>
    <row r="35959" spans="2:2" ht="12.75" customHeight="1" x14ac:dyDescent="0.2">
      <c r="B35959" s="43"/>
    </row>
    <row r="35960" spans="2:2" ht="12.75" customHeight="1" x14ac:dyDescent="0.2">
      <c r="B35960" s="43"/>
    </row>
    <row r="35961" spans="2:2" ht="12.75" customHeight="1" x14ac:dyDescent="0.2">
      <c r="B35961" s="43"/>
    </row>
    <row r="35962" spans="2:2" ht="12.75" customHeight="1" x14ac:dyDescent="0.2">
      <c r="B35962" s="43"/>
    </row>
    <row r="35963" spans="2:2" ht="12.75" customHeight="1" x14ac:dyDescent="0.2">
      <c r="B35963" s="43"/>
    </row>
    <row r="35964" spans="2:2" ht="12.75" customHeight="1" x14ac:dyDescent="0.2">
      <c r="B35964" s="43"/>
    </row>
    <row r="35965" spans="2:2" ht="12.75" customHeight="1" x14ac:dyDescent="0.2">
      <c r="B35965" s="43"/>
    </row>
    <row r="35966" spans="2:2" ht="12.75" customHeight="1" x14ac:dyDescent="0.2">
      <c r="B35966" s="43"/>
    </row>
    <row r="35967" spans="2:2" ht="12.75" customHeight="1" x14ac:dyDescent="0.2">
      <c r="B35967" s="43"/>
    </row>
    <row r="35968" spans="2:2" ht="12.75" customHeight="1" x14ac:dyDescent="0.2">
      <c r="B35968" s="43"/>
    </row>
    <row r="35969" spans="2:2" ht="12.75" customHeight="1" x14ac:dyDescent="0.2">
      <c r="B35969" s="43"/>
    </row>
    <row r="35970" spans="2:2" ht="12.75" customHeight="1" x14ac:dyDescent="0.2">
      <c r="B35970" s="43"/>
    </row>
    <row r="35971" spans="2:2" ht="12.75" customHeight="1" x14ac:dyDescent="0.2">
      <c r="B35971" s="43"/>
    </row>
    <row r="35972" spans="2:2" ht="12.75" customHeight="1" x14ac:dyDescent="0.2">
      <c r="B35972" s="43"/>
    </row>
    <row r="35973" spans="2:2" ht="12.75" customHeight="1" x14ac:dyDescent="0.2">
      <c r="B35973" s="43"/>
    </row>
    <row r="35974" spans="2:2" ht="12.75" customHeight="1" x14ac:dyDescent="0.2">
      <c r="B35974" s="43"/>
    </row>
    <row r="35975" spans="2:2" ht="12.75" customHeight="1" x14ac:dyDescent="0.2">
      <c r="B35975" s="43"/>
    </row>
    <row r="35976" spans="2:2" ht="12.75" customHeight="1" x14ac:dyDescent="0.2">
      <c r="B35976" s="43"/>
    </row>
    <row r="35977" spans="2:2" ht="12.75" customHeight="1" x14ac:dyDescent="0.2">
      <c r="B35977" s="43"/>
    </row>
    <row r="35978" spans="2:2" ht="12.75" customHeight="1" x14ac:dyDescent="0.2">
      <c r="B35978" s="43"/>
    </row>
    <row r="35979" spans="2:2" ht="12.75" customHeight="1" x14ac:dyDescent="0.2">
      <c r="B35979" s="43"/>
    </row>
    <row r="35980" spans="2:2" ht="12.75" customHeight="1" x14ac:dyDescent="0.2">
      <c r="B35980" s="43"/>
    </row>
    <row r="35981" spans="2:2" ht="12.75" customHeight="1" x14ac:dyDescent="0.2">
      <c r="B35981" s="43"/>
    </row>
    <row r="35982" spans="2:2" ht="12.75" customHeight="1" x14ac:dyDescent="0.2">
      <c r="B35982" s="43"/>
    </row>
    <row r="35983" spans="2:2" ht="12.75" customHeight="1" x14ac:dyDescent="0.2">
      <c r="B35983" s="43"/>
    </row>
    <row r="35984" spans="2:2" ht="12.75" customHeight="1" x14ac:dyDescent="0.2">
      <c r="B35984" s="43"/>
    </row>
    <row r="35985" spans="2:2" ht="12.75" customHeight="1" x14ac:dyDescent="0.2">
      <c r="B35985" s="43"/>
    </row>
    <row r="35986" spans="2:2" ht="12.75" customHeight="1" x14ac:dyDescent="0.2">
      <c r="B35986" s="43"/>
    </row>
    <row r="35987" spans="2:2" ht="12.75" customHeight="1" x14ac:dyDescent="0.2">
      <c r="B35987" s="43"/>
    </row>
    <row r="35988" spans="2:2" ht="12.75" customHeight="1" x14ac:dyDescent="0.2">
      <c r="B35988" s="43"/>
    </row>
    <row r="35989" spans="2:2" ht="12.75" customHeight="1" x14ac:dyDescent="0.2">
      <c r="B35989" s="43"/>
    </row>
    <row r="35990" spans="2:2" ht="12.75" customHeight="1" x14ac:dyDescent="0.2">
      <c r="B35990" s="43"/>
    </row>
    <row r="35991" spans="2:2" ht="12.75" customHeight="1" x14ac:dyDescent="0.2">
      <c r="B35991" s="43"/>
    </row>
    <row r="35992" spans="2:2" ht="12.75" customHeight="1" x14ac:dyDescent="0.2">
      <c r="B35992" s="43"/>
    </row>
    <row r="35993" spans="2:2" ht="12.75" customHeight="1" x14ac:dyDescent="0.2">
      <c r="B35993" s="43"/>
    </row>
    <row r="35994" spans="2:2" ht="12.75" customHeight="1" x14ac:dyDescent="0.2">
      <c r="B35994" s="43"/>
    </row>
    <row r="35995" spans="2:2" ht="12.75" customHeight="1" x14ac:dyDescent="0.2">
      <c r="B35995" s="43"/>
    </row>
    <row r="35996" spans="2:2" ht="12.75" customHeight="1" x14ac:dyDescent="0.2">
      <c r="B35996" s="43"/>
    </row>
    <row r="35997" spans="2:2" ht="12.75" customHeight="1" x14ac:dyDescent="0.2">
      <c r="B35997" s="43"/>
    </row>
    <row r="35998" spans="2:2" ht="12.75" customHeight="1" x14ac:dyDescent="0.2">
      <c r="B35998" s="43"/>
    </row>
    <row r="35999" spans="2:2" ht="12.75" customHeight="1" x14ac:dyDescent="0.2">
      <c r="B35999" s="43"/>
    </row>
    <row r="36000" spans="2:2" ht="12.75" customHeight="1" x14ac:dyDescent="0.2">
      <c r="B36000" s="43"/>
    </row>
    <row r="36001" spans="2:2" ht="12.75" customHeight="1" x14ac:dyDescent="0.2">
      <c r="B36001" s="43"/>
    </row>
    <row r="36002" spans="2:2" ht="12.75" customHeight="1" x14ac:dyDescent="0.2">
      <c r="B36002" s="43"/>
    </row>
    <row r="36003" spans="2:2" ht="12.75" customHeight="1" x14ac:dyDescent="0.2">
      <c r="B36003" s="43"/>
    </row>
    <row r="36004" spans="2:2" ht="12.75" customHeight="1" x14ac:dyDescent="0.2">
      <c r="B36004" s="43"/>
    </row>
    <row r="36005" spans="2:2" ht="12.75" customHeight="1" x14ac:dyDescent="0.2">
      <c r="B36005" s="43"/>
    </row>
    <row r="36006" spans="2:2" ht="12.75" customHeight="1" x14ac:dyDescent="0.2">
      <c r="B36006" s="43"/>
    </row>
    <row r="36007" spans="2:2" ht="12.75" customHeight="1" x14ac:dyDescent="0.2">
      <c r="B36007" s="43"/>
    </row>
    <row r="36008" spans="2:2" ht="12.75" customHeight="1" x14ac:dyDescent="0.2">
      <c r="B36008" s="43"/>
    </row>
    <row r="36009" spans="2:2" ht="12.75" customHeight="1" x14ac:dyDescent="0.2">
      <c r="B36009" s="43"/>
    </row>
    <row r="36010" spans="2:2" ht="12.75" customHeight="1" x14ac:dyDescent="0.2">
      <c r="B36010" s="43"/>
    </row>
    <row r="36011" spans="2:2" ht="12.75" customHeight="1" x14ac:dyDescent="0.2">
      <c r="B36011" s="43"/>
    </row>
    <row r="36012" spans="2:2" ht="12.75" customHeight="1" x14ac:dyDescent="0.2">
      <c r="B36012" s="43"/>
    </row>
    <row r="36013" spans="2:2" ht="12.75" customHeight="1" x14ac:dyDescent="0.2">
      <c r="B36013" s="43"/>
    </row>
    <row r="36014" spans="2:2" ht="12.75" customHeight="1" x14ac:dyDescent="0.2">
      <c r="B36014" s="43"/>
    </row>
    <row r="36015" spans="2:2" ht="12.75" customHeight="1" x14ac:dyDescent="0.2">
      <c r="B36015" s="43"/>
    </row>
    <row r="36016" spans="2:2" ht="12.75" customHeight="1" x14ac:dyDescent="0.2">
      <c r="B36016" s="43"/>
    </row>
    <row r="36017" spans="2:2" ht="12.75" customHeight="1" x14ac:dyDescent="0.2">
      <c r="B36017" s="43"/>
    </row>
    <row r="36018" spans="2:2" ht="12.75" customHeight="1" x14ac:dyDescent="0.2">
      <c r="B36018" s="43"/>
    </row>
    <row r="36019" spans="2:2" ht="12.75" customHeight="1" x14ac:dyDescent="0.2">
      <c r="B36019" s="43"/>
    </row>
    <row r="36020" spans="2:2" ht="12.75" customHeight="1" x14ac:dyDescent="0.2">
      <c r="B36020" s="43"/>
    </row>
    <row r="36021" spans="2:2" ht="12.75" customHeight="1" x14ac:dyDescent="0.2">
      <c r="B36021" s="43"/>
    </row>
    <row r="36022" spans="2:2" ht="12.75" customHeight="1" x14ac:dyDescent="0.2">
      <c r="B36022" s="43"/>
    </row>
    <row r="36023" spans="2:2" ht="12.75" customHeight="1" x14ac:dyDescent="0.2">
      <c r="B36023" s="43"/>
    </row>
    <row r="36024" spans="2:2" ht="12.75" customHeight="1" x14ac:dyDescent="0.2">
      <c r="B36024" s="43"/>
    </row>
    <row r="36025" spans="2:2" ht="12.75" customHeight="1" x14ac:dyDescent="0.2">
      <c r="B36025" s="43"/>
    </row>
    <row r="36026" spans="2:2" ht="12.75" customHeight="1" x14ac:dyDescent="0.2">
      <c r="B36026" s="43"/>
    </row>
    <row r="36027" spans="2:2" ht="12.75" customHeight="1" x14ac:dyDescent="0.2">
      <c r="B36027" s="43"/>
    </row>
    <row r="36028" spans="2:2" ht="12.75" customHeight="1" x14ac:dyDescent="0.2">
      <c r="B36028" s="43"/>
    </row>
    <row r="36029" spans="2:2" ht="12.75" customHeight="1" x14ac:dyDescent="0.2">
      <c r="B36029" s="43"/>
    </row>
    <row r="36030" spans="2:2" ht="12.75" customHeight="1" x14ac:dyDescent="0.2">
      <c r="B36030" s="43"/>
    </row>
    <row r="36031" spans="2:2" ht="12.75" customHeight="1" x14ac:dyDescent="0.2">
      <c r="B36031" s="43"/>
    </row>
    <row r="36032" spans="2:2" ht="12.75" customHeight="1" x14ac:dyDescent="0.2">
      <c r="B36032" s="43"/>
    </row>
    <row r="36033" spans="2:2" ht="12.75" customHeight="1" x14ac:dyDescent="0.2">
      <c r="B36033" s="43"/>
    </row>
    <row r="36034" spans="2:2" ht="12.75" customHeight="1" x14ac:dyDescent="0.2">
      <c r="B36034" s="43"/>
    </row>
    <row r="36035" spans="2:2" ht="12.75" customHeight="1" x14ac:dyDescent="0.2">
      <c r="B36035" s="43"/>
    </row>
    <row r="36036" spans="2:2" ht="12.75" customHeight="1" x14ac:dyDescent="0.2">
      <c r="B36036" s="43"/>
    </row>
    <row r="36037" spans="2:2" ht="12.75" customHeight="1" x14ac:dyDescent="0.2">
      <c r="B36037" s="43"/>
    </row>
    <row r="36038" spans="2:2" ht="12.75" customHeight="1" x14ac:dyDescent="0.2">
      <c r="B36038" s="43"/>
    </row>
    <row r="36039" spans="2:2" ht="12.75" customHeight="1" x14ac:dyDescent="0.2">
      <c r="B36039" s="43"/>
    </row>
    <row r="36040" spans="2:2" ht="12.75" customHeight="1" x14ac:dyDescent="0.2">
      <c r="B36040" s="43"/>
    </row>
    <row r="36041" spans="2:2" ht="12.75" customHeight="1" x14ac:dyDescent="0.2">
      <c r="B36041" s="43"/>
    </row>
    <row r="36042" spans="2:2" ht="12.75" customHeight="1" x14ac:dyDescent="0.2">
      <c r="B36042" s="43"/>
    </row>
    <row r="36043" spans="2:2" ht="12.75" customHeight="1" x14ac:dyDescent="0.2">
      <c r="B36043" s="43"/>
    </row>
    <row r="36044" spans="2:2" ht="12.75" customHeight="1" x14ac:dyDescent="0.2">
      <c r="B36044" s="43"/>
    </row>
    <row r="36045" spans="2:2" ht="12.75" customHeight="1" x14ac:dyDescent="0.2">
      <c r="B36045" s="43"/>
    </row>
    <row r="36046" spans="2:2" ht="12.75" customHeight="1" x14ac:dyDescent="0.2">
      <c r="B36046" s="43"/>
    </row>
    <row r="36047" spans="2:2" ht="12.75" customHeight="1" x14ac:dyDescent="0.2">
      <c r="B36047" s="43"/>
    </row>
    <row r="36048" spans="2:2" ht="12.75" customHeight="1" x14ac:dyDescent="0.2">
      <c r="B36048" s="43"/>
    </row>
    <row r="36049" spans="2:2" ht="12.75" customHeight="1" x14ac:dyDescent="0.2">
      <c r="B36049" s="43"/>
    </row>
    <row r="36050" spans="2:2" ht="12.75" customHeight="1" x14ac:dyDescent="0.2">
      <c r="B36050" s="43"/>
    </row>
    <row r="36051" spans="2:2" ht="12.75" customHeight="1" x14ac:dyDescent="0.2">
      <c r="B36051" s="43"/>
    </row>
    <row r="36052" spans="2:2" ht="12.75" customHeight="1" x14ac:dyDescent="0.2">
      <c r="B36052" s="43"/>
    </row>
    <row r="36053" spans="2:2" ht="12.75" customHeight="1" x14ac:dyDescent="0.2">
      <c r="B36053" s="43"/>
    </row>
    <row r="36054" spans="2:2" ht="12.75" customHeight="1" x14ac:dyDescent="0.2">
      <c r="B36054" s="43"/>
    </row>
    <row r="36055" spans="2:2" ht="12.75" customHeight="1" x14ac:dyDescent="0.2">
      <c r="B36055" s="43"/>
    </row>
    <row r="36056" spans="2:2" ht="12.75" customHeight="1" x14ac:dyDescent="0.2">
      <c r="B36056" s="43"/>
    </row>
    <row r="36057" spans="2:2" ht="12.75" customHeight="1" x14ac:dyDescent="0.2">
      <c r="B36057" s="43"/>
    </row>
    <row r="36058" spans="2:2" ht="12.75" customHeight="1" x14ac:dyDescent="0.2">
      <c r="B36058" s="43"/>
    </row>
    <row r="36059" spans="2:2" ht="12.75" customHeight="1" x14ac:dyDescent="0.2">
      <c r="B36059" s="43"/>
    </row>
    <row r="36060" spans="2:2" ht="12.75" customHeight="1" x14ac:dyDescent="0.2">
      <c r="B36060" s="43"/>
    </row>
    <row r="36061" spans="2:2" ht="12.75" customHeight="1" x14ac:dyDescent="0.2">
      <c r="B36061" s="43"/>
    </row>
    <row r="36062" spans="2:2" ht="12.75" customHeight="1" x14ac:dyDescent="0.2">
      <c r="B36062" s="43"/>
    </row>
    <row r="36063" spans="2:2" ht="12.75" customHeight="1" x14ac:dyDescent="0.2">
      <c r="B36063" s="43"/>
    </row>
    <row r="36064" spans="2:2" ht="12.75" customHeight="1" x14ac:dyDescent="0.2">
      <c r="B36064" s="43"/>
    </row>
    <row r="36065" spans="2:2" ht="12.75" customHeight="1" x14ac:dyDescent="0.2">
      <c r="B36065" s="43"/>
    </row>
    <row r="36066" spans="2:2" ht="12.75" customHeight="1" x14ac:dyDescent="0.2">
      <c r="B36066" s="43"/>
    </row>
    <row r="36067" spans="2:2" ht="12.75" customHeight="1" x14ac:dyDescent="0.2">
      <c r="B36067" s="43"/>
    </row>
    <row r="36068" spans="2:2" ht="12.75" customHeight="1" x14ac:dyDescent="0.2">
      <c r="B36068" s="43"/>
    </row>
    <row r="36069" spans="2:2" ht="12.75" customHeight="1" x14ac:dyDescent="0.2">
      <c r="B36069" s="43"/>
    </row>
    <row r="36070" spans="2:2" ht="12.75" customHeight="1" x14ac:dyDescent="0.2">
      <c r="B36070" s="43"/>
    </row>
    <row r="36071" spans="2:2" ht="12.75" customHeight="1" x14ac:dyDescent="0.2">
      <c r="B36071" s="43"/>
    </row>
    <row r="36072" spans="2:2" ht="12.75" customHeight="1" x14ac:dyDescent="0.2">
      <c r="B36072" s="43"/>
    </row>
    <row r="36073" spans="2:2" ht="12.75" customHeight="1" x14ac:dyDescent="0.2">
      <c r="B36073" s="43"/>
    </row>
    <row r="36074" spans="2:2" ht="12.75" customHeight="1" x14ac:dyDescent="0.2">
      <c r="B36074" s="43"/>
    </row>
    <row r="36075" spans="2:2" ht="12.75" customHeight="1" x14ac:dyDescent="0.2">
      <c r="B36075" s="43"/>
    </row>
    <row r="36076" spans="2:2" ht="12.75" customHeight="1" x14ac:dyDescent="0.2">
      <c r="B36076" s="43"/>
    </row>
    <row r="36077" spans="2:2" ht="12.75" customHeight="1" x14ac:dyDescent="0.2">
      <c r="B36077" s="43"/>
    </row>
    <row r="36078" spans="2:2" ht="12.75" customHeight="1" x14ac:dyDescent="0.2">
      <c r="B36078" s="43"/>
    </row>
    <row r="36079" spans="2:2" ht="12.75" customHeight="1" x14ac:dyDescent="0.2">
      <c r="B36079" s="43"/>
    </row>
    <row r="36080" spans="2:2" ht="12.75" customHeight="1" x14ac:dyDescent="0.2">
      <c r="B36080" s="43"/>
    </row>
    <row r="36081" spans="2:2" ht="12.75" customHeight="1" x14ac:dyDescent="0.2">
      <c r="B36081" s="43"/>
    </row>
    <row r="36082" spans="2:2" ht="12.75" customHeight="1" x14ac:dyDescent="0.2">
      <c r="B36082" s="43"/>
    </row>
    <row r="36083" spans="2:2" ht="12.75" customHeight="1" x14ac:dyDescent="0.2">
      <c r="B36083" s="43"/>
    </row>
    <row r="36084" spans="2:2" ht="12.75" customHeight="1" x14ac:dyDescent="0.2">
      <c r="B36084" s="43"/>
    </row>
    <row r="36085" spans="2:2" ht="12.75" customHeight="1" x14ac:dyDescent="0.2">
      <c r="B36085" s="43"/>
    </row>
    <row r="36086" spans="2:2" ht="12.75" customHeight="1" x14ac:dyDescent="0.2">
      <c r="B36086" s="43"/>
    </row>
    <row r="36087" spans="2:2" ht="12.75" customHeight="1" x14ac:dyDescent="0.2">
      <c r="B36087" s="43"/>
    </row>
    <row r="36088" spans="2:2" ht="12.75" customHeight="1" x14ac:dyDescent="0.2">
      <c r="B36088" s="43"/>
    </row>
    <row r="36089" spans="2:2" ht="12.75" customHeight="1" x14ac:dyDescent="0.2">
      <c r="B36089" s="43"/>
    </row>
    <row r="36090" spans="2:2" ht="12.75" customHeight="1" x14ac:dyDescent="0.2">
      <c r="B36090" s="43"/>
    </row>
    <row r="36091" spans="2:2" ht="12.75" customHeight="1" x14ac:dyDescent="0.2">
      <c r="B36091" s="43"/>
    </row>
    <row r="36092" spans="2:2" ht="12.75" customHeight="1" x14ac:dyDescent="0.2">
      <c r="B36092" s="43"/>
    </row>
    <row r="36093" spans="2:2" ht="12.75" customHeight="1" x14ac:dyDescent="0.2">
      <c r="B36093" s="43"/>
    </row>
    <row r="36094" spans="2:2" ht="12.75" customHeight="1" x14ac:dyDescent="0.2">
      <c r="B36094" s="43"/>
    </row>
    <row r="36095" spans="2:2" ht="12.75" customHeight="1" x14ac:dyDescent="0.2">
      <c r="B36095" s="43"/>
    </row>
    <row r="36096" spans="2:2" ht="12.75" customHeight="1" x14ac:dyDescent="0.2">
      <c r="B36096" s="43"/>
    </row>
    <row r="36097" spans="2:2" ht="12.75" customHeight="1" x14ac:dyDescent="0.2">
      <c r="B36097" s="43"/>
    </row>
    <row r="36098" spans="2:2" ht="12.75" customHeight="1" x14ac:dyDescent="0.2">
      <c r="B36098" s="43"/>
    </row>
    <row r="36099" spans="2:2" ht="12.75" customHeight="1" x14ac:dyDescent="0.2">
      <c r="B36099" s="43"/>
    </row>
    <row r="36100" spans="2:2" ht="12.75" customHeight="1" x14ac:dyDescent="0.2">
      <c r="B36100" s="43"/>
    </row>
    <row r="36101" spans="2:2" ht="12.75" customHeight="1" x14ac:dyDescent="0.2">
      <c r="B36101" s="43"/>
    </row>
    <row r="36102" spans="2:2" ht="12.75" customHeight="1" x14ac:dyDescent="0.2">
      <c r="B36102" s="43"/>
    </row>
    <row r="36103" spans="2:2" ht="12.75" customHeight="1" x14ac:dyDescent="0.2">
      <c r="B36103" s="43"/>
    </row>
    <row r="36104" spans="2:2" ht="12.75" customHeight="1" x14ac:dyDescent="0.2">
      <c r="B36104" s="43"/>
    </row>
    <row r="36105" spans="2:2" ht="12.75" customHeight="1" x14ac:dyDescent="0.2">
      <c r="B36105" s="43"/>
    </row>
    <row r="36106" spans="2:2" ht="12.75" customHeight="1" x14ac:dyDescent="0.2">
      <c r="B36106" s="43"/>
    </row>
    <row r="36107" spans="2:2" ht="12.75" customHeight="1" x14ac:dyDescent="0.2">
      <c r="B36107" s="43"/>
    </row>
    <row r="36108" spans="2:2" ht="12.75" customHeight="1" x14ac:dyDescent="0.2">
      <c r="B36108" s="43"/>
    </row>
    <row r="36109" spans="2:2" ht="12.75" customHeight="1" x14ac:dyDescent="0.2">
      <c r="B36109" s="43"/>
    </row>
    <row r="36110" spans="2:2" ht="12.75" customHeight="1" x14ac:dyDescent="0.2">
      <c r="B36110" s="43"/>
    </row>
    <row r="36111" spans="2:2" ht="12.75" customHeight="1" x14ac:dyDescent="0.2">
      <c r="B36111" s="43"/>
    </row>
    <row r="36112" spans="2:2" ht="12.75" customHeight="1" x14ac:dyDescent="0.2">
      <c r="B36112" s="43"/>
    </row>
    <row r="36113" spans="2:2" ht="12.75" customHeight="1" x14ac:dyDescent="0.2">
      <c r="B36113" s="43"/>
    </row>
    <row r="36114" spans="2:2" ht="12.75" customHeight="1" x14ac:dyDescent="0.2">
      <c r="B36114" s="43"/>
    </row>
    <row r="36115" spans="2:2" ht="12.75" customHeight="1" x14ac:dyDescent="0.2">
      <c r="B36115" s="43"/>
    </row>
    <row r="36116" spans="2:2" ht="12.75" customHeight="1" x14ac:dyDescent="0.2">
      <c r="B36116" s="43"/>
    </row>
    <row r="36117" spans="2:2" ht="12.75" customHeight="1" x14ac:dyDescent="0.2">
      <c r="B36117" s="43"/>
    </row>
    <row r="36118" spans="2:2" ht="12.75" customHeight="1" x14ac:dyDescent="0.2">
      <c r="B36118" s="43"/>
    </row>
    <row r="36119" spans="2:2" ht="12.75" customHeight="1" x14ac:dyDescent="0.2">
      <c r="B36119" s="43"/>
    </row>
    <row r="36120" spans="2:2" ht="12.75" customHeight="1" x14ac:dyDescent="0.2">
      <c r="B36120" s="43"/>
    </row>
    <row r="36121" spans="2:2" ht="12.75" customHeight="1" x14ac:dyDescent="0.2">
      <c r="B36121" s="43"/>
    </row>
    <row r="36122" spans="2:2" ht="12.75" customHeight="1" x14ac:dyDescent="0.2">
      <c r="B36122" s="43"/>
    </row>
    <row r="36123" spans="2:2" ht="12.75" customHeight="1" x14ac:dyDescent="0.2">
      <c r="B36123" s="43"/>
    </row>
    <row r="36124" spans="2:2" ht="12.75" customHeight="1" x14ac:dyDescent="0.2">
      <c r="B36124" s="43"/>
    </row>
    <row r="36125" spans="2:2" ht="12.75" customHeight="1" x14ac:dyDescent="0.2">
      <c r="B36125" s="43"/>
    </row>
    <row r="36126" spans="2:2" ht="12.75" customHeight="1" x14ac:dyDescent="0.2">
      <c r="B36126" s="43"/>
    </row>
    <row r="36127" spans="2:2" ht="12.75" customHeight="1" x14ac:dyDescent="0.2">
      <c r="B36127" s="43"/>
    </row>
    <row r="36128" spans="2:2" ht="12.75" customHeight="1" x14ac:dyDescent="0.2">
      <c r="B36128" s="43"/>
    </row>
    <row r="36129" spans="2:2" ht="12.75" customHeight="1" x14ac:dyDescent="0.2">
      <c r="B36129" s="43"/>
    </row>
    <row r="36130" spans="2:2" ht="12.75" customHeight="1" x14ac:dyDescent="0.2">
      <c r="B36130" s="43"/>
    </row>
    <row r="36131" spans="2:2" ht="12.75" customHeight="1" x14ac:dyDescent="0.2">
      <c r="B36131" s="43"/>
    </row>
    <row r="36132" spans="2:2" ht="12.75" customHeight="1" x14ac:dyDescent="0.2">
      <c r="B36132" s="43"/>
    </row>
    <row r="36133" spans="2:2" ht="12.75" customHeight="1" x14ac:dyDescent="0.2">
      <c r="B36133" s="43"/>
    </row>
    <row r="36134" spans="2:2" ht="12.75" customHeight="1" x14ac:dyDescent="0.2">
      <c r="B36134" s="43"/>
    </row>
    <row r="36135" spans="2:2" ht="12.75" customHeight="1" x14ac:dyDescent="0.2">
      <c r="B36135" s="43"/>
    </row>
    <row r="36136" spans="2:2" ht="12.75" customHeight="1" x14ac:dyDescent="0.2">
      <c r="B36136" s="43"/>
    </row>
    <row r="36137" spans="2:2" ht="12.75" customHeight="1" x14ac:dyDescent="0.2">
      <c r="B36137" s="43"/>
    </row>
    <row r="36138" spans="2:2" ht="12.75" customHeight="1" x14ac:dyDescent="0.2">
      <c r="B36138" s="43"/>
    </row>
    <row r="36139" spans="2:2" ht="12.75" customHeight="1" x14ac:dyDescent="0.2">
      <c r="B36139" s="43"/>
    </row>
    <row r="36140" spans="2:2" ht="12.75" customHeight="1" x14ac:dyDescent="0.2">
      <c r="B36140" s="43"/>
    </row>
    <row r="36141" spans="2:2" ht="12.75" customHeight="1" x14ac:dyDescent="0.2">
      <c r="B36141" s="43"/>
    </row>
    <row r="36142" spans="2:2" ht="12.75" customHeight="1" x14ac:dyDescent="0.2">
      <c r="B36142" s="43"/>
    </row>
    <row r="36143" spans="2:2" ht="12.75" customHeight="1" x14ac:dyDescent="0.2">
      <c r="B36143" s="43"/>
    </row>
    <row r="36144" spans="2:2" ht="12.75" customHeight="1" x14ac:dyDescent="0.2">
      <c r="B36144" s="43"/>
    </row>
    <row r="36145" spans="2:2" ht="12.75" customHeight="1" x14ac:dyDescent="0.2">
      <c r="B36145" s="43"/>
    </row>
    <row r="36146" spans="2:2" ht="12.75" customHeight="1" x14ac:dyDescent="0.2">
      <c r="B36146" s="43"/>
    </row>
    <row r="36147" spans="2:2" ht="12.75" customHeight="1" x14ac:dyDescent="0.2">
      <c r="B36147" s="43"/>
    </row>
    <row r="36148" spans="2:2" ht="12.75" customHeight="1" x14ac:dyDescent="0.2">
      <c r="B36148" s="43"/>
    </row>
    <row r="36149" spans="2:2" ht="12.75" customHeight="1" x14ac:dyDescent="0.2">
      <c r="B36149" s="43"/>
    </row>
    <row r="36150" spans="2:2" ht="12.75" customHeight="1" x14ac:dyDescent="0.2">
      <c r="B36150" s="43"/>
    </row>
    <row r="36151" spans="2:2" ht="12.75" customHeight="1" x14ac:dyDescent="0.2">
      <c r="B36151" s="43"/>
    </row>
    <row r="36152" spans="2:2" ht="12.75" customHeight="1" x14ac:dyDescent="0.2">
      <c r="B36152" s="43"/>
    </row>
    <row r="36153" spans="2:2" ht="12.75" customHeight="1" x14ac:dyDescent="0.2">
      <c r="B36153" s="43"/>
    </row>
    <row r="36154" spans="2:2" ht="12.75" customHeight="1" x14ac:dyDescent="0.2">
      <c r="B36154" s="43"/>
    </row>
    <row r="36155" spans="2:2" ht="12.75" customHeight="1" x14ac:dyDescent="0.2">
      <c r="B36155" s="43"/>
    </row>
    <row r="36156" spans="2:2" ht="12.75" customHeight="1" x14ac:dyDescent="0.2">
      <c r="B36156" s="43"/>
    </row>
    <row r="36157" spans="2:2" ht="12.75" customHeight="1" x14ac:dyDescent="0.2">
      <c r="B36157" s="43"/>
    </row>
    <row r="36158" spans="2:2" ht="12.75" customHeight="1" x14ac:dyDescent="0.2">
      <c r="B36158" s="43"/>
    </row>
    <row r="36159" spans="2:2" ht="12.75" customHeight="1" x14ac:dyDescent="0.2">
      <c r="B36159" s="43"/>
    </row>
    <row r="36160" spans="2:2" ht="12.75" customHeight="1" x14ac:dyDescent="0.2">
      <c r="B36160" s="43"/>
    </row>
    <row r="36161" spans="2:2" ht="12.75" customHeight="1" x14ac:dyDescent="0.2">
      <c r="B36161" s="43"/>
    </row>
    <row r="36162" spans="2:2" ht="12.75" customHeight="1" x14ac:dyDescent="0.2">
      <c r="B36162" s="43"/>
    </row>
    <row r="36163" spans="2:2" ht="12.75" customHeight="1" x14ac:dyDescent="0.2">
      <c r="B36163" s="43"/>
    </row>
    <row r="36164" spans="2:2" ht="12.75" customHeight="1" x14ac:dyDescent="0.2">
      <c r="B36164" s="43"/>
    </row>
    <row r="36165" spans="2:2" ht="12.75" customHeight="1" x14ac:dyDescent="0.2">
      <c r="B36165" s="43"/>
    </row>
    <row r="36166" spans="2:2" ht="12.75" customHeight="1" x14ac:dyDescent="0.2">
      <c r="B36166" s="43"/>
    </row>
    <row r="36167" spans="2:2" ht="12.75" customHeight="1" x14ac:dyDescent="0.2">
      <c r="B36167" s="43"/>
    </row>
    <row r="36168" spans="2:2" ht="12.75" customHeight="1" x14ac:dyDescent="0.2">
      <c r="B36168" s="43"/>
    </row>
    <row r="36169" spans="2:2" ht="12.75" customHeight="1" x14ac:dyDescent="0.2">
      <c r="B36169" s="43"/>
    </row>
    <row r="36170" spans="2:2" ht="12.75" customHeight="1" x14ac:dyDescent="0.2">
      <c r="B36170" s="43"/>
    </row>
    <row r="36171" spans="2:2" ht="12.75" customHeight="1" x14ac:dyDescent="0.2">
      <c r="B36171" s="43"/>
    </row>
    <row r="36172" spans="2:2" ht="12.75" customHeight="1" x14ac:dyDescent="0.2">
      <c r="B36172" s="43"/>
    </row>
    <row r="36173" spans="2:2" ht="12.75" customHeight="1" x14ac:dyDescent="0.2">
      <c r="B36173" s="43"/>
    </row>
    <row r="36174" spans="2:2" ht="12.75" customHeight="1" x14ac:dyDescent="0.2">
      <c r="B36174" s="43"/>
    </row>
    <row r="36175" spans="2:2" ht="12.75" customHeight="1" x14ac:dyDescent="0.2">
      <c r="B36175" s="43"/>
    </row>
    <row r="36176" spans="2:2" ht="12.75" customHeight="1" x14ac:dyDescent="0.2">
      <c r="B36176" s="43"/>
    </row>
    <row r="36177" spans="2:2" ht="12.75" customHeight="1" x14ac:dyDescent="0.2">
      <c r="B36177" s="43"/>
    </row>
    <row r="36178" spans="2:2" ht="12.75" customHeight="1" x14ac:dyDescent="0.2">
      <c r="B36178" s="43"/>
    </row>
    <row r="36179" spans="2:2" ht="12.75" customHeight="1" x14ac:dyDescent="0.2">
      <c r="B36179" s="43"/>
    </row>
    <row r="36180" spans="2:2" ht="12.75" customHeight="1" x14ac:dyDescent="0.2">
      <c r="B36180" s="43"/>
    </row>
    <row r="36181" spans="2:2" ht="12.75" customHeight="1" x14ac:dyDescent="0.2">
      <c r="B36181" s="43"/>
    </row>
    <row r="36182" spans="2:2" ht="12.75" customHeight="1" x14ac:dyDescent="0.2">
      <c r="B36182" s="43"/>
    </row>
    <row r="36183" spans="2:2" ht="12.75" customHeight="1" x14ac:dyDescent="0.2">
      <c r="B36183" s="43"/>
    </row>
    <row r="36184" spans="2:2" ht="12.75" customHeight="1" x14ac:dyDescent="0.2">
      <c r="B36184" s="43"/>
    </row>
    <row r="36185" spans="2:2" ht="12.75" customHeight="1" x14ac:dyDescent="0.2">
      <c r="B36185" s="43"/>
    </row>
    <row r="36186" spans="2:2" ht="12.75" customHeight="1" x14ac:dyDescent="0.2">
      <c r="B36186" s="43"/>
    </row>
    <row r="36187" spans="2:2" ht="12.75" customHeight="1" x14ac:dyDescent="0.2">
      <c r="B36187" s="43"/>
    </row>
    <row r="36188" spans="2:2" ht="12.75" customHeight="1" x14ac:dyDescent="0.2">
      <c r="B36188" s="43"/>
    </row>
    <row r="36189" spans="2:2" ht="12.75" customHeight="1" x14ac:dyDescent="0.2">
      <c r="B36189" s="43"/>
    </row>
    <row r="36190" spans="2:2" ht="12.75" customHeight="1" x14ac:dyDescent="0.2">
      <c r="B36190" s="43"/>
    </row>
    <row r="36191" spans="2:2" ht="12.75" customHeight="1" x14ac:dyDescent="0.2">
      <c r="B36191" s="43"/>
    </row>
    <row r="36192" spans="2:2" ht="12.75" customHeight="1" x14ac:dyDescent="0.2">
      <c r="B36192" s="43"/>
    </row>
    <row r="36193" spans="2:2" ht="12.75" customHeight="1" x14ac:dyDescent="0.2">
      <c r="B36193" s="43"/>
    </row>
    <row r="36194" spans="2:2" ht="12.75" customHeight="1" x14ac:dyDescent="0.2">
      <c r="B36194" s="43"/>
    </row>
    <row r="36195" spans="2:2" ht="12.75" customHeight="1" x14ac:dyDescent="0.2">
      <c r="B36195" s="43"/>
    </row>
    <row r="36196" spans="2:2" ht="12.75" customHeight="1" x14ac:dyDescent="0.2">
      <c r="B36196" s="43"/>
    </row>
    <row r="36197" spans="2:2" ht="12.75" customHeight="1" x14ac:dyDescent="0.2">
      <c r="B36197" s="43"/>
    </row>
    <row r="36198" spans="2:2" ht="12.75" customHeight="1" x14ac:dyDescent="0.2">
      <c r="B36198" s="43"/>
    </row>
    <row r="36199" spans="2:2" ht="12.75" customHeight="1" x14ac:dyDescent="0.2">
      <c r="B36199" s="43"/>
    </row>
    <row r="36200" spans="2:2" ht="12.75" customHeight="1" x14ac:dyDescent="0.2">
      <c r="B36200" s="43"/>
    </row>
    <row r="36201" spans="2:2" ht="12.75" customHeight="1" x14ac:dyDescent="0.2">
      <c r="B36201" s="43"/>
    </row>
    <row r="36202" spans="2:2" ht="12.75" customHeight="1" x14ac:dyDescent="0.2">
      <c r="B36202" s="43"/>
    </row>
    <row r="36203" spans="2:2" ht="12.75" customHeight="1" x14ac:dyDescent="0.2">
      <c r="B36203" s="43"/>
    </row>
    <row r="36204" spans="2:2" ht="12.75" customHeight="1" x14ac:dyDescent="0.2">
      <c r="B36204" s="43"/>
    </row>
    <row r="36205" spans="2:2" ht="12.75" customHeight="1" x14ac:dyDescent="0.2">
      <c r="B36205" s="43"/>
    </row>
    <row r="36206" spans="2:2" ht="12.75" customHeight="1" x14ac:dyDescent="0.2">
      <c r="B36206" s="43"/>
    </row>
    <row r="36207" spans="2:2" ht="12.75" customHeight="1" x14ac:dyDescent="0.2">
      <c r="B36207" s="43"/>
    </row>
    <row r="36208" spans="2:2" ht="12.75" customHeight="1" x14ac:dyDescent="0.2">
      <c r="B36208" s="43"/>
    </row>
    <row r="36209" spans="2:2" ht="12.75" customHeight="1" x14ac:dyDescent="0.2">
      <c r="B36209" s="43"/>
    </row>
    <row r="36210" spans="2:2" ht="12.75" customHeight="1" x14ac:dyDescent="0.2">
      <c r="B36210" s="43"/>
    </row>
    <row r="36211" spans="2:2" ht="12.75" customHeight="1" x14ac:dyDescent="0.2">
      <c r="B36211" s="43"/>
    </row>
    <row r="36212" spans="2:2" ht="12.75" customHeight="1" x14ac:dyDescent="0.2">
      <c r="B36212" s="43"/>
    </row>
    <row r="36213" spans="2:2" ht="12.75" customHeight="1" x14ac:dyDescent="0.2">
      <c r="B36213" s="43"/>
    </row>
    <row r="36214" spans="2:2" ht="12.75" customHeight="1" x14ac:dyDescent="0.2">
      <c r="B36214" s="43"/>
    </row>
    <row r="36215" spans="2:2" ht="12.75" customHeight="1" x14ac:dyDescent="0.2">
      <c r="B36215" s="43"/>
    </row>
    <row r="36216" spans="2:2" ht="12.75" customHeight="1" x14ac:dyDescent="0.2">
      <c r="B36216" s="43"/>
    </row>
    <row r="36217" spans="2:2" ht="12.75" customHeight="1" x14ac:dyDescent="0.2">
      <c r="B36217" s="43"/>
    </row>
    <row r="36218" spans="2:2" ht="12.75" customHeight="1" x14ac:dyDescent="0.2">
      <c r="B36218" s="43"/>
    </row>
    <row r="36219" spans="2:2" ht="12.75" customHeight="1" x14ac:dyDescent="0.2">
      <c r="B36219" s="43"/>
    </row>
    <row r="36220" spans="2:2" ht="12.75" customHeight="1" x14ac:dyDescent="0.2">
      <c r="B36220" s="43"/>
    </row>
    <row r="36221" spans="2:2" ht="12.75" customHeight="1" x14ac:dyDescent="0.2">
      <c r="B36221" s="43"/>
    </row>
    <row r="36222" spans="2:2" ht="12.75" customHeight="1" x14ac:dyDescent="0.2">
      <c r="B36222" s="43"/>
    </row>
    <row r="36223" spans="2:2" ht="12.75" customHeight="1" x14ac:dyDescent="0.2">
      <c r="B36223" s="43"/>
    </row>
    <row r="36224" spans="2:2" ht="12.75" customHeight="1" x14ac:dyDescent="0.2">
      <c r="B36224" s="43"/>
    </row>
    <row r="36225" spans="2:2" ht="12.75" customHeight="1" x14ac:dyDescent="0.2">
      <c r="B36225" s="43"/>
    </row>
    <row r="36226" spans="2:2" ht="12.75" customHeight="1" x14ac:dyDescent="0.2">
      <c r="B36226" s="43"/>
    </row>
    <row r="36227" spans="2:2" ht="12.75" customHeight="1" x14ac:dyDescent="0.2">
      <c r="B36227" s="43"/>
    </row>
    <row r="36228" spans="2:2" ht="12.75" customHeight="1" x14ac:dyDescent="0.2">
      <c r="B36228" s="43"/>
    </row>
    <row r="36229" spans="2:2" ht="12.75" customHeight="1" x14ac:dyDescent="0.2">
      <c r="B36229" s="43"/>
    </row>
    <row r="36230" spans="2:2" ht="12.75" customHeight="1" x14ac:dyDescent="0.2">
      <c r="B36230" s="43"/>
    </row>
    <row r="36231" spans="2:2" ht="12.75" customHeight="1" x14ac:dyDescent="0.2">
      <c r="B36231" s="43"/>
    </row>
    <row r="36232" spans="2:2" ht="12.75" customHeight="1" x14ac:dyDescent="0.2">
      <c r="B36232" s="43"/>
    </row>
    <row r="36233" spans="2:2" ht="12.75" customHeight="1" x14ac:dyDescent="0.2">
      <c r="B36233" s="43"/>
    </row>
    <row r="36234" spans="2:2" ht="12.75" customHeight="1" x14ac:dyDescent="0.2">
      <c r="B36234" s="43"/>
    </row>
    <row r="36235" spans="2:2" ht="12.75" customHeight="1" x14ac:dyDescent="0.2">
      <c r="B36235" s="43"/>
    </row>
    <row r="36236" spans="2:2" ht="12.75" customHeight="1" x14ac:dyDescent="0.2">
      <c r="B36236" s="43"/>
    </row>
    <row r="36237" spans="2:2" ht="12.75" customHeight="1" x14ac:dyDescent="0.2">
      <c r="B36237" s="43"/>
    </row>
    <row r="36238" spans="2:2" ht="12.75" customHeight="1" x14ac:dyDescent="0.2">
      <c r="B36238" s="43"/>
    </row>
    <row r="36239" spans="2:2" ht="12.75" customHeight="1" x14ac:dyDescent="0.2">
      <c r="B36239" s="43"/>
    </row>
    <row r="36240" spans="2:2" ht="12.75" customHeight="1" x14ac:dyDescent="0.2">
      <c r="B36240" s="43"/>
    </row>
    <row r="36241" spans="2:2" ht="12.75" customHeight="1" x14ac:dyDescent="0.2">
      <c r="B36241" s="43"/>
    </row>
    <row r="36242" spans="2:2" ht="12.75" customHeight="1" x14ac:dyDescent="0.2">
      <c r="B36242" s="43"/>
    </row>
    <row r="36243" spans="2:2" ht="12.75" customHeight="1" x14ac:dyDescent="0.2">
      <c r="B36243" s="43"/>
    </row>
    <row r="36244" spans="2:2" ht="12.75" customHeight="1" x14ac:dyDescent="0.2">
      <c r="B36244" s="43"/>
    </row>
    <row r="36245" spans="2:2" ht="12.75" customHeight="1" x14ac:dyDescent="0.2">
      <c r="B36245" s="43"/>
    </row>
    <row r="36246" spans="2:2" ht="12.75" customHeight="1" x14ac:dyDescent="0.2">
      <c r="B36246" s="43"/>
    </row>
    <row r="36247" spans="2:2" ht="12.75" customHeight="1" x14ac:dyDescent="0.2">
      <c r="B36247" s="43"/>
    </row>
    <row r="36248" spans="2:2" ht="12.75" customHeight="1" x14ac:dyDescent="0.2">
      <c r="B36248" s="43"/>
    </row>
    <row r="36249" spans="2:2" ht="12.75" customHeight="1" x14ac:dyDescent="0.2">
      <c r="B36249" s="43"/>
    </row>
    <row r="36250" spans="2:2" ht="12.75" customHeight="1" x14ac:dyDescent="0.2">
      <c r="B36250" s="43"/>
    </row>
    <row r="36251" spans="2:2" ht="12.75" customHeight="1" x14ac:dyDescent="0.2">
      <c r="B36251" s="43"/>
    </row>
    <row r="36252" spans="2:2" ht="12.75" customHeight="1" x14ac:dyDescent="0.2">
      <c r="B36252" s="43"/>
    </row>
    <row r="36253" spans="2:2" ht="12.75" customHeight="1" x14ac:dyDescent="0.2">
      <c r="B36253" s="43"/>
    </row>
    <row r="36254" spans="2:2" ht="12.75" customHeight="1" x14ac:dyDescent="0.2">
      <c r="B36254" s="43"/>
    </row>
    <row r="36255" spans="2:2" ht="12.75" customHeight="1" x14ac:dyDescent="0.2">
      <c r="B36255" s="43"/>
    </row>
    <row r="36256" spans="2:2" ht="12.75" customHeight="1" x14ac:dyDescent="0.2">
      <c r="B36256" s="43"/>
    </row>
    <row r="36257" spans="2:2" ht="12.75" customHeight="1" x14ac:dyDescent="0.2">
      <c r="B36257" s="43"/>
    </row>
    <row r="36258" spans="2:2" ht="12.75" customHeight="1" x14ac:dyDescent="0.2">
      <c r="B36258" s="43"/>
    </row>
    <row r="36259" spans="2:2" ht="12.75" customHeight="1" x14ac:dyDescent="0.2">
      <c r="B36259" s="43"/>
    </row>
    <row r="36260" spans="2:2" ht="12.75" customHeight="1" x14ac:dyDescent="0.2">
      <c r="B36260" s="43"/>
    </row>
    <row r="36261" spans="2:2" ht="12.75" customHeight="1" x14ac:dyDescent="0.2">
      <c r="B36261" s="43"/>
    </row>
    <row r="36262" spans="2:2" ht="12.75" customHeight="1" x14ac:dyDescent="0.2">
      <c r="B36262" s="43"/>
    </row>
    <row r="36263" spans="2:2" ht="12.75" customHeight="1" x14ac:dyDescent="0.2">
      <c r="B36263" s="43"/>
    </row>
    <row r="36264" spans="2:2" ht="12.75" customHeight="1" x14ac:dyDescent="0.2">
      <c r="B36264" s="43"/>
    </row>
    <row r="36265" spans="2:2" ht="12.75" customHeight="1" x14ac:dyDescent="0.2">
      <c r="B36265" s="43"/>
    </row>
    <row r="36266" spans="2:2" ht="12.75" customHeight="1" x14ac:dyDescent="0.2">
      <c r="B36266" s="43"/>
    </row>
    <row r="36267" spans="2:2" ht="12.75" customHeight="1" x14ac:dyDescent="0.2">
      <c r="B36267" s="43"/>
    </row>
    <row r="36268" spans="2:2" ht="12.75" customHeight="1" x14ac:dyDescent="0.2">
      <c r="B36268" s="43"/>
    </row>
    <row r="36269" spans="2:2" ht="12.75" customHeight="1" x14ac:dyDescent="0.2">
      <c r="B36269" s="43"/>
    </row>
    <row r="36270" spans="2:2" ht="12.75" customHeight="1" x14ac:dyDescent="0.2">
      <c r="B36270" s="43"/>
    </row>
    <row r="36271" spans="2:2" ht="12.75" customHeight="1" x14ac:dyDescent="0.2">
      <c r="B36271" s="43"/>
    </row>
    <row r="36272" spans="2:2" ht="12.75" customHeight="1" x14ac:dyDescent="0.2">
      <c r="B36272" s="43"/>
    </row>
    <row r="36273" spans="2:2" ht="12.75" customHeight="1" x14ac:dyDescent="0.2">
      <c r="B36273" s="43"/>
    </row>
    <row r="36274" spans="2:2" ht="12.75" customHeight="1" x14ac:dyDescent="0.2">
      <c r="B36274" s="43"/>
    </row>
    <row r="36275" spans="2:2" ht="12.75" customHeight="1" x14ac:dyDescent="0.2">
      <c r="B36275" s="43"/>
    </row>
    <row r="36276" spans="2:2" ht="12.75" customHeight="1" x14ac:dyDescent="0.2">
      <c r="B36276" s="43"/>
    </row>
    <row r="36277" spans="2:2" ht="12.75" customHeight="1" x14ac:dyDescent="0.2">
      <c r="B36277" s="43"/>
    </row>
    <row r="36278" spans="2:2" ht="12.75" customHeight="1" x14ac:dyDescent="0.2">
      <c r="B36278" s="43"/>
    </row>
    <row r="36279" spans="2:2" ht="12.75" customHeight="1" x14ac:dyDescent="0.2">
      <c r="B36279" s="43"/>
    </row>
    <row r="36280" spans="2:2" ht="12.75" customHeight="1" x14ac:dyDescent="0.2">
      <c r="B36280" s="43"/>
    </row>
    <row r="36281" spans="2:2" ht="12.75" customHeight="1" x14ac:dyDescent="0.2">
      <c r="B36281" s="43"/>
    </row>
    <row r="36282" spans="2:2" ht="12.75" customHeight="1" x14ac:dyDescent="0.2">
      <c r="B36282" s="43"/>
    </row>
    <row r="36283" spans="2:2" ht="12.75" customHeight="1" x14ac:dyDescent="0.2">
      <c r="B36283" s="43"/>
    </row>
    <row r="36284" spans="2:2" ht="12.75" customHeight="1" x14ac:dyDescent="0.2">
      <c r="B36284" s="43"/>
    </row>
    <row r="36285" spans="2:2" ht="12.75" customHeight="1" x14ac:dyDescent="0.2">
      <c r="B36285" s="43"/>
    </row>
    <row r="36286" spans="2:2" ht="12.75" customHeight="1" x14ac:dyDescent="0.2">
      <c r="B36286" s="43"/>
    </row>
    <row r="36287" spans="2:2" ht="12.75" customHeight="1" x14ac:dyDescent="0.2">
      <c r="B36287" s="43"/>
    </row>
    <row r="36288" spans="2:2" ht="12.75" customHeight="1" x14ac:dyDescent="0.2">
      <c r="B36288" s="43"/>
    </row>
    <row r="36289" spans="2:2" ht="12.75" customHeight="1" x14ac:dyDescent="0.2">
      <c r="B36289" s="43"/>
    </row>
    <row r="36290" spans="2:2" ht="12.75" customHeight="1" x14ac:dyDescent="0.2">
      <c r="B36290" s="43"/>
    </row>
    <row r="36291" spans="2:2" ht="12.75" customHeight="1" x14ac:dyDescent="0.2">
      <c r="B36291" s="43"/>
    </row>
    <row r="36292" spans="2:2" ht="12.75" customHeight="1" x14ac:dyDescent="0.2">
      <c r="B36292" s="43"/>
    </row>
    <row r="36293" spans="2:2" ht="12.75" customHeight="1" x14ac:dyDescent="0.2">
      <c r="B36293" s="43"/>
    </row>
    <row r="36294" spans="2:2" ht="12.75" customHeight="1" x14ac:dyDescent="0.2">
      <c r="B36294" s="43"/>
    </row>
    <row r="36295" spans="2:2" ht="12.75" customHeight="1" x14ac:dyDescent="0.2">
      <c r="B36295" s="43"/>
    </row>
    <row r="36296" spans="2:2" ht="12.75" customHeight="1" x14ac:dyDescent="0.2">
      <c r="B36296" s="43"/>
    </row>
    <row r="36297" spans="2:2" ht="12.75" customHeight="1" x14ac:dyDescent="0.2">
      <c r="B36297" s="43"/>
    </row>
    <row r="36298" spans="2:2" ht="12.75" customHeight="1" x14ac:dyDescent="0.2">
      <c r="B36298" s="43"/>
    </row>
    <row r="36299" spans="2:2" ht="12.75" customHeight="1" x14ac:dyDescent="0.2">
      <c r="B36299" s="43"/>
    </row>
    <row r="36300" spans="2:2" ht="12.75" customHeight="1" x14ac:dyDescent="0.2">
      <c r="B36300" s="43"/>
    </row>
    <row r="36301" spans="2:2" ht="12.75" customHeight="1" x14ac:dyDescent="0.2">
      <c r="B36301" s="43"/>
    </row>
    <row r="36302" spans="2:2" ht="12.75" customHeight="1" x14ac:dyDescent="0.2">
      <c r="B36302" s="43"/>
    </row>
    <row r="36303" spans="2:2" ht="12.75" customHeight="1" x14ac:dyDescent="0.2">
      <c r="B36303" s="43"/>
    </row>
    <row r="36304" spans="2:2" ht="12.75" customHeight="1" x14ac:dyDescent="0.2">
      <c r="B36304" s="43"/>
    </row>
    <row r="36305" spans="2:2" ht="12.75" customHeight="1" x14ac:dyDescent="0.2">
      <c r="B36305" s="43"/>
    </row>
    <row r="36306" spans="2:2" ht="12.75" customHeight="1" x14ac:dyDescent="0.2">
      <c r="B36306" s="43"/>
    </row>
    <row r="36307" spans="2:2" ht="12.75" customHeight="1" x14ac:dyDescent="0.2">
      <c r="B36307" s="43"/>
    </row>
    <row r="36308" spans="2:2" ht="12.75" customHeight="1" x14ac:dyDescent="0.2">
      <c r="B36308" s="43"/>
    </row>
    <row r="36309" spans="2:2" ht="12.75" customHeight="1" x14ac:dyDescent="0.2">
      <c r="B36309" s="43"/>
    </row>
    <row r="36310" spans="2:2" ht="12.75" customHeight="1" x14ac:dyDescent="0.2">
      <c r="B36310" s="43"/>
    </row>
    <row r="36311" spans="2:2" ht="12.75" customHeight="1" x14ac:dyDescent="0.2">
      <c r="B36311" s="43"/>
    </row>
    <row r="36312" spans="2:2" ht="12.75" customHeight="1" x14ac:dyDescent="0.2">
      <c r="B36312" s="43"/>
    </row>
    <row r="36313" spans="2:2" ht="12.75" customHeight="1" x14ac:dyDescent="0.2">
      <c r="B36313" s="43"/>
    </row>
    <row r="36314" spans="2:2" ht="12.75" customHeight="1" x14ac:dyDescent="0.2">
      <c r="B36314" s="43"/>
    </row>
    <row r="36315" spans="2:2" ht="12.75" customHeight="1" x14ac:dyDescent="0.2">
      <c r="B36315" s="43"/>
    </row>
    <row r="36316" spans="2:2" ht="12.75" customHeight="1" x14ac:dyDescent="0.2">
      <c r="B36316" s="43"/>
    </row>
    <row r="36317" spans="2:2" ht="12.75" customHeight="1" x14ac:dyDescent="0.2">
      <c r="B36317" s="43"/>
    </row>
    <row r="36318" spans="2:2" ht="12.75" customHeight="1" x14ac:dyDescent="0.2">
      <c r="B36318" s="43"/>
    </row>
    <row r="36319" spans="2:2" ht="12.75" customHeight="1" x14ac:dyDescent="0.2">
      <c r="B36319" s="43"/>
    </row>
    <row r="36320" spans="2:2" ht="12.75" customHeight="1" x14ac:dyDescent="0.2">
      <c r="B36320" s="43"/>
    </row>
    <row r="36321" spans="2:2" ht="12.75" customHeight="1" x14ac:dyDescent="0.2">
      <c r="B36321" s="43"/>
    </row>
    <row r="36322" spans="2:2" ht="12.75" customHeight="1" x14ac:dyDescent="0.2">
      <c r="B36322" s="43"/>
    </row>
    <row r="36323" spans="2:2" ht="12.75" customHeight="1" x14ac:dyDescent="0.2">
      <c r="B36323" s="43"/>
    </row>
    <row r="36324" spans="2:2" ht="12.75" customHeight="1" x14ac:dyDescent="0.2">
      <c r="B36324" s="43"/>
    </row>
    <row r="36325" spans="2:2" ht="12.75" customHeight="1" x14ac:dyDescent="0.2">
      <c r="B36325" s="43"/>
    </row>
    <row r="36326" spans="2:2" ht="12.75" customHeight="1" x14ac:dyDescent="0.2">
      <c r="B36326" s="43"/>
    </row>
    <row r="36327" spans="2:2" ht="12.75" customHeight="1" x14ac:dyDescent="0.2">
      <c r="B36327" s="43"/>
    </row>
    <row r="36328" spans="2:2" ht="12.75" customHeight="1" x14ac:dyDescent="0.2">
      <c r="B36328" s="43"/>
    </row>
    <row r="36329" spans="2:2" ht="12.75" customHeight="1" x14ac:dyDescent="0.2">
      <c r="B36329" s="43"/>
    </row>
    <row r="36330" spans="2:2" ht="12.75" customHeight="1" x14ac:dyDescent="0.2">
      <c r="B36330" s="43"/>
    </row>
    <row r="36331" spans="2:2" ht="12.75" customHeight="1" x14ac:dyDescent="0.2">
      <c r="B36331" s="43"/>
    </row>
    <row r="36332" spans="2:2" ht="12.75" customHeight="1" x14ac:dyDescent="0.2">
      <c r="B36332" s="43"/>
    </row>
    <row r="36333" spans="2:2" ht="12.75" customHeight="1" x14ac:dyDescent="0.2">
      <c r="B36333" s="43"/>
    </row>
    <row r="36334" spans="2:2" ht="12.75" customHeight="1" x14ac:dyDescent="0.2">
      <c r="B36334" s="43"/>
    </row>
    <row r="36335" spans="2:2" ht="12.75" customHeight="1" x14ac:dyDescent="0.2">
      <c r="B36335" s="43"/>
    </row>
    <row r="36336" spans="2:2" ht="12.75" customHeight="1" x14ac:dyDescent="0.2">
      <c r="B36336" s="43"/>
    </row>
    <row r="36337" spans="2:2" ht="12.75" customHeight="1" x14ac:dyDescent="0.2">
      <c r="B36337" s="43"/>
    </row>
    <row r="36338" spans="2:2" ht="12.75" customHeight="1" x14ac:dyDescent="0.2">
      <c r="B36338" s="43"/>
    </row>
    <row r="36339" spans="2:2" ht="12.75" customHeight="1" x14ac:dyDescent="0.2">
      <c r="B36339" s="43"/>
    </row>
    <row r="36340" spans="2:2" ht="12.75" customHeight="1" x14ac:dyDescent="0.2">
      <c r="B36340" s="43"/>
    </row>
    <row r="36341" spans="2:2" ht="12.75" customHeight="1" x14ac:dyDescent="0.2">
      <c r="B36341" s="43"/>
    </row>
    <row r="36342" spans="2:2" ht="12.75" customHeight="1" x14ac:dyDescent="0.2">
      <c r="B36342" s="43"/>
    </row>
    <row r="36343" spans="2:2" ht="12.75" customHeight="1" x14ac:dyDescent="0.2">
      <c r="B36343" s="43"/>
    </row>
    <row r="36344" spans="2:2" ht="12.75" customHeight="1" x14ac:dyDescent="0.2">
      <c r="B36344" s="43"/>
    </row>
    <row r="36345" spans="2:2" ht="12.75" customHeight="1" x14ac:dyDescent="0.2">
      <c r="B36345" s="43"/>
    </row>
    <row r="36346" spans="2:2" ht="12.75" customHeight="1" x14ac:dyDescent="0.2">
      <c r="B36346" s="43"/>
    </row>
    <row r="36347" spans="2:2" ht="12.75" customHeight="1" x14ac:dyDescent="0.2">
      <c r="B36347" s="43"/>
    </row>
    <row r="36348" spans="2:2" ht="12.75" customHeight="1" x14ac:dyDescent="0.2">
      <c r="B36348" s="43"/>
    </row>
    <row r="36349" spans="2:2" ht="12.75" customHeight="1" x14ac:dyDescent="0.2">
      <c r="B36349" s="43"/>
    </row>
    <row r="36350" spans="2:2" ht="12.75" customHeight="1" x14ac:dyDescent="0.2">
      <c r="B36350" s="43"/>
    </row>
    <row r="36351" spans="2:2" ht="12.75" customHeight="1" x14ac:dyDescent="0.2">
      <c r="B36351" s="43"/>
    </row>
    <row r="36352" spans="2:2" ht="12.75" customHeight="1" x14ac:dyDescent="0.2">
      <c r="B36352" s="43"/>
    </row>
    <row r="36353" spans="2:2" ht="12.75" customHeight="1" x14ac:dyDescent="0.2">
      <c r="B36353" s="43"/>
    </row>
    <row r="36354" spans="2:2" ht="12.75" customHeight="1" x14ac:dyDescent="0.2">
      <c r="B36354" s="43"/>
    </row>
    <row r="36355" spans="2:2" ht="12.75" customHeight="1" x14ac:dyDescent="0.2">
      <c r="B36355" s="43"/>
    </row>
    <row r="36356" spans="2:2" ht="12.75" customHeight="1" x14ac:dyDescent="0.2">
      <c r="B36356" s="43"/>
    </row>
    <row r="36357" spans="2:2" ht="12.75" customHeight="1" x14ac:dyDescent="0.2">
      <c r="B36357" s="43"/>
    </row>
    <row r="36358" spans="2:2" ht="12.75" customHeight="1" x14ac:dyDescent="0.2">
      <c r="B36358" s="43"/>
    </row>
    <row r="36359" spans="2:2" ht="12.75" customHeight="1" x14ac:dyDescent="0.2">
      <c r="B36359" s="43"/>
    </row>
    <row r="36360" spans="2:2" ht="12.75" customHeight="1" x14ac:dyDescent="0.2">
      <c r="B36360" s="43"/>
    </row>
    <row r="36361" spans="2:2" ht="12.75" customHeight="1" x14ac:dyDescent="0.2">
      <c r="B36361" s="43"/>
    </row>
    <row r="36362" spans="2:2" ht="12.75" customHeight="1" x14ac:dyDescent="0.2">
      <c r="B36362" s="43"/>
    </row>
    <row r="36363" spans="2:2" ht="12.75" customHeight="1" x14ac:dyDescent="0.2">
      <c r="B36363" s="43"/>
    </row>
    <row r="36364" spans="2:2" ht="12.75" customHeight="1" x14ac:dyDescent="0.2">
      <c r="B36364" s="43"/>
    </row>
    <row r="36365" spans="2:2" ht="12.75" customHeight="1" x14ac:dyDescent="0.2">
      <c r="B36365" s="43"/>
    </row>
    <row r="36366" spans="2:2" ht="12.75" customHeight="1" x14ac:dyDescent="0.2">
      <c r="B36366" s="43"/>
    </row>
    <row r="36367" spans="2:2" ht="12.75" customHeight="1" x14ac:dyDescent="0.2">
      <c r="B36367" s="43"/>
    </row>
    <row r="36368" spans="2:2" ht="12.75" customHeight="1" x14ac:dyDescent="0.2">
      <c r="B36368" s="43"/>
    </row>
    <row r="36369" spans="2:2" ht="12.75" customHeight="1" x14ac:dyDescent="0.2">
      <c r="B36369" s="43"/>
    </row>
    <row r="36370" spans="2:2" ht="12.75" customHeight="1" x14ac:dyDescent="0.2">
      <c r="B36370" s="43"/>
    </row>
    <row r="36371" spans="2:2" ht="12.75" customHeight="1" x14ac:dyDescent="0.2">
      <c r="B36371" s="43"/>
    </row>
    <row r="36372" spans="2:2" ht="12.75" customHeight="1" x14ac:dyDescent="0.2">
      <c r="B36372" s="43"/>
    </row>
    <row r="36373" spans="2:2" ht="12.75" customHeight="1" x14ac:dyDescent="0.2">
      <c r="B36373" s="43"/>
    </row>
    <row r="36374" spans="2:2" ht="12.75" customHeight="1" x14ac:dyDescent="0.2">
      <c r="B36374" s="43"/>
    </row>
    <row r="36375" spans="2:2" ht="12.75" customHeight="1" x14ac:dyDescent="0.2">
      <c r="B36375" s="43"/>
    </row>
    <row r="36376" spans="2:2" ht="12.75" customHeight="1" x14ac:dyDescent="0.2">
      <c r="B36376" s="43"/>
    </row>
    <row r="36377" spans="2:2" ht="12.75" customHeight="1" x14ac:dyDescent="0.2">
      <c r="B36377" s="43"/>
    </row>
    <row r="36378" spans="2:2" ht="12.75" customHeight="1" x14ac:dyDescent="0.2">
      <c r="B36378" s="43"/>
    </row>
    <row r="36379" spans="2:2" ht="12.75" customHeight="1" x14ac:dyDescent="0.2">
      <c r="B36379" s="43"/>
    </row>
    <row r="36380" spans="2:2" ht="12.75" customHeight="1" x14ac:dyDescent="0.2">
      <c r="B36380" s="43"/>
    </row>
    <row r="36381" spans="2:2" ht="12.75" customHeight="1" x14ac:dyDescent="0.2">
      <c r="B36381" s="43"/>
    </row>
    <row r="36382" spans="2:2" ht="12.75" customHeight="1" x14ac:dyDescent="0.2">
      <c r="B36382" s="43"/>
    </row>
    <row r="36383" spans="2:2" ht="12.75" customHeight="1" x14ac:dyDescent="0.2">
      <c r="B36383" s="43"/>
    </row>
    <row r="36384" spans="2:2" ht="12.75" customHeight="1" x14ac:dyDescent="0.2">
      <c r="B36384" s="43"/>
    </row>
    <row r="36385" spans="2:2" ht="12.75" customHeight="1" x14ac:dyDescent="0.2">
      <c r="B36385" s="43"/>
    </row>
    <row r="36386" spans="2:2" ht="12.75" customHeight="1" x14ac:dyDescent="0.2">
      <c r="B36386" s="43"/>
    </row>
    <row r="36387" spans="2:2" ht="12.75" customHeight="1" x14ac:dyDescent="0.2">
      <c r="B36387" s="43"/>
    </row>
    <row r="36388" spans="2:2" ht="12.75" customHeight="1" x14ac:dyDescent="0.2">
      <c r="B36388" s="43"/>
    </row>
    <row r="36389" spans="2:2" ht="12.75" customHeight="1" x14ac:dyDescent="0.2">
      <c r="B36389" s="43"/>
    </row>
    <row r="36390" spans="2:2" ht="12.75" customHeight="1" x14ac:dyDescent="0.2">
      <c r="B36390" s="43"/>
    </row>
    <row r="36391" spans="2:2" ht="12.75" customHeight="1" x14ac:dyDescent="0.2">
      <c r="B36391" s="43"/>
    </row>
    <row r="36392" spans="2:2" ht="12.75" customHeight="1" x14ac:dyDescent="0.2">
      <c r="B36392" s="43"/>
    </row>
    <row r="36393" spans="2:2" ht="12.75" customHeight="1" x14ac:dyDescent="0.2">
      <c r="B36393" s="43"/>
    </row>
    <row r="36394" spans="2:2" ht="12.75" customHeight="1" x14ac:dyDescent="0.2">
      <c r="B36394" s="43"/>
    </row>
    <row r="36395" spans="2:2" ht="12.75" customHeight="1" x14ac:dyDescent="0.2">
      <c r="B36395" s="43"/>
    </row>
    <row r="36396" spans="2:2" ht="12.75" customHeight="1" x14ac:dyDescent="0.2">
      <c r="B36396" s="43"/>
    </row>
    <row r="36397" spans="2:2" ht="12.75" customHeight="1" x14ac:dyDescent="0.2">
      <c r="B36397" s="43"/>
    </row>
    <row r="36398" spans="2:2" ht="12.75" customHeight="1" x14ac:dyDescent="0.2">
      <c r="B36398" s="43"/>
    </row>
    <row r="36399" spans="2:2" ht="12.75" customHeight="1" x14ac:dyDescent="0.2">
      <c r="B36399" s="43"/>
    </row>
    <row r="36400" spans="2:2" ht="12.75" customHeight="1" x14ac:dyDescent="0.2">
      <c r="B36400" s="43"/>
    </row>
    <row r="36401" spans="2:2" ht="12.75" customHeight="1" x14ac:dyDescent="0.2">
      <c r="B36401" s="43"/>
    </row>
    <row r="36402" spans="2:2" ht="12.75" customHeight="1" x14ac:dyDescent="0.2">
      <c r="B36402" s="43"/>
    </row>
    <row r="36403" spans="2:2" ht="12.75" customHeight="1" x14ac:dyDescent="0.2">
      <c r="B36403" s="43"/>
    </row>
    <row r="36404" spans="2:2" ht="12.75" customHeight="1" x14ac:dyDescent="0.2">
      <c r="B36404" s="43"/>
    </row>
    <row r="36405" spans="2:2" ht="12.75" customHeight="1" x14ac:dyDescent="0.2">
      <c r="B36405" s="43"/>
    </row>
    <row r="36406" spans="2:2" ht="12.75" customHeight="1" x14ac:dyDescent="0.2">
      <c r="B36406" s="43"/>
    </row>
    <row r="36407" spans="2:2" ht="12.75" customHeight="1" x14ac:dyDescent="0.2">
      <c r="B36407" s="43"/>
    </row>
    <row r="36408" spans="2:2" ht="12.75" customHeight="1" x14ac:dyDescent="0.2">
      <c r="B36408" s="43"/>
    </row>
    <row r="36409" spans="2:2" ht="12.75" customHeight="1" x14ac:dyDescent="0.2">
      <c r="B36409" s="43"/>
    </row>
    <row r="36410" spans="2:2" ht="12.75" customHeight="1" x14ac:dyDescent="0.2">
      <c r="B36410" s="43"/>
    </row>
    <row r="36411" spans="2:2" ht="12.75" customHeight="1" x14ac:dyDescent="0.2">
      <c r="B36411" s="43"/>
    </row>
    <row r="36412" spans="2:2" ht="12.75" customHeight="1" x14ac:dyDescent="0.2">
      <c r="B36412" s="43"/>
    </row>
    <row r="36413" spans="2:2" ht="12.75" customHeight="1" x14ac:dyDescent="0.2">
      <c r="B36413" s="43"/>
    </row>
    <row r="36414" spans="2:2" ht="12.75" customHeight="1" x14ac:dyDescent="0.2">
      <c r="B36414" s="43"/>
    </row>
    <row r="36415" spans="2:2" ht="12.75" customHeight="1" x14ac:dyDescent="0.2">
      <c r="B36415" s="43"/>
    </row>
    <row r="36416" spans="2:2" ht="12.75" customHeight="1" x14ac:dyDescent="0.2">
      <c r="B36416" s="43"/>
    </row>
    <row r="36417" spans="2:2" ht="12.75" customHeight="1" x14ac:dyDescent="0.2">
      <c r="B36417" s="43"/>
    </row>
    <row r="36418" spans="2:2" ht="12.75" customHeight="1" x14ac:dyDescent="0.2">
      <c r="B36418" s="43"/>
    </row>
    <row r="36419" spans="2:2" ht="12.75" customHeight="1" x14ac:dyDescent="0.2">
      <c r="B36419" s="43"/>
    </row>
    <row r="36420" spans="2:2" ht="12.75" customHeight="1" x14ac:dyDescent="0.2">
      <c r="B36420" s="43"/>
    </row>
    <row r="36421" spans="2:2" ht="12.75" customHeight="1" x14ac:dyDescent="0.2">
      <c r="B36421" s="43"/>
    </row>
    <row r="36422" spans="2:2" ht="12.75" customHeight="1" x14ac:dyDescent="0.2">
      <c r="B36422" s="43"/>
    </row>
    <row r="36423" spans="2:2" ht="12.75" customHeight="1" x14ac:dyDescent="0.2">
      <c r="B36423" s="43"/>
    </row>
    <row r="36424" spans="2:2" ht="12.75" customHeight="1" x14ac:dyDescent="0.2">
      <c r="B36424" s="43"/>
    </row>
    <row r="36425" spans="2:2" ht="12.75" customHeight="1" x14ac:dyDescent="0.2">
      <c r="B36425" s="43"/>
    </row>
    <row r="36426" spans="2:2" ht="12.75" customHeight="1" x14ac:dyDescent="0.2">
      <c r="B36426" s="43"/>
    </row>
    <row r="36427" spans="2:2" ht="12.75" customHeight="1" x14ac:dyDescent="0.2">
      <c r="B36427" s="43"/>
    </row>
    <row r="36428" spans="2:2" ht="12.75" customHeight="1" x14ac:dyDescent="0.2">
      <c r="B36428" s="43"/>
    </row>
    <row r="36429" spans="2:2" ht="12.75" customHeight="1" x14ac:dyDescent="0.2">
      <c r="B36429" s="43"/>
    </row>
    <row r="36430" spans="2:2" ht="12.75" customHeight="1" x14ac:dyDescent="0.2">
      <c r="B36430" s="43"/>
    </row>
    <row r="36431" spans="2:2" ht="12.75" customHeight="1" x14ac:dyDescent="0.2">
      <c r="B36431" s="43"/>
    </row>
    <row r="36432" spans="2:2" ht="12.75" customHeight="1" x14ac:dyDescent="0.2">
      <c r="B36432" s="43"/>
    </row>
    <row r="36433" spans="2:2" ht="12.75" customHeight="1" x14ac:dyDescent="0.2">
      <c r="B36433" s="43"/>
    </row>
    <row r="36434" spans="2:2" ht="12.75" customHeight="1" x14ac:dyDescent="0.2">
      <c r="B36434" s="43"/>
    </row>
    <row r="36435" spans="2:2" ht="12.75" customHeight="1" x14ac:dyDescent="0.2">
      <c r="B36435" s="43"/>
    </row>
    <row r="36436" spans="2:2" ht="12.75" customHeight="1" x14ac:dyDescent="0.2">
      <c r="B36436" s="43"/>
    </row>
    <row r="36437" spans="2:2" ht="12.75" customHeight="1" x14ac:dyDescent="0.2">
      <c r="B36437" s="43"/>
    </row>
    <row r="36438" spans="2:2" ht="12.75" customHeight="1" x14ac:dyDescent="0.2">
      <c r="B36438" s="43"/>
    </row>
    <row r="36439" spans="2:2" ht="12.75" customHeight="1" x14ac:dyDescent="0.2">
      <c r="B36439" s="43"/>
    </row>
    <row r="36440" spans="2:2" ht="12.75" customHeight="1" x14ac:dyDescent="0.2">
      <c r="B36440" s="43"/>
    </row>
    <row r="36441" spans="2:2" ht="12.75" customHeight="1" x14ac:dyDescent="0.2">
      <c r="B36441" s="43"/>
    </row>
    <row r="36442" spans="2:2" ht="12.75" customHeight="1" x14ac:dyDescent="0.2">
      <c r="B36442" s="43"/>
    </row>
    <row r="36443" spans="2:2" ht="12.75" customHeight="1" x14ac:dyDescent="0.2">
      <c r="B36443" s="43"/>
    </row>
    <row r="36444" spans="2:2" ht="12.75" customHeight="1" x14ac:dyDescent="0.2">
      <c r="B36444" s="43"/>
    </row>
    <row r="36445" spans="2:2" ht="12.75" customHeight="1" x14ac:dyDescent="0.2">
      <c r="B36445" s="43"/>
    </row>
    <row r="36446" spans="2:2" ht="12.75" customHeight="1" x14ac:dyDescent="0.2">
      <c r="B36446" s="43"/>
    </row>
    <row r="36447" spans="2:2" ht="12.75" customHeight="1" x14ac:dyDescent="0.2">
      <c r="B36447" s="43"/>
    </row>
    <row r="36448" spans="2:2" ht="12.75" customHeight="1" x14ac:dyDescent="0.2">
      <c r="B36448" s="43"/>
    </row>
    <row r="36449" spans="2:2" ht="12.75" customHeight="1" x14ac:dyDescent="0.2">
      <c r="B36449" s="43"/>
    </row>
    <row r="36450" spans="2:2" ht="12.75" customHeight="1" x14ac:dyDescent="0.2">
      <c r="B36450" s="43"/>
    </row>
    <row r="36451" spans="2:2" ht="12.75" customHeight="1" x14ac:dyDescent="0.2">
      <c r="B36451" s="43"/>
    </row>
    <row r="36452" spans="2:2" ht="12.75" customHeight="1" x14ac:dyDescent="0.2">
      <c r="B36452" s="43"/>
    </row>
    <row r="36453" spans="2:2" ht="12.75" customHeight="1" x14ac:dyDescent="0.2">
      <c r="B36453" s="43"/>
    </row>
    <row r="36454" spans="2:2" ht="12.75" customHeight="1" x14ac:dyDescent="0.2">
      <c r="B36454" s="43"/>
    </row>
    <row r="36455" spans="2:2" ht="12.75" customHeight="1" x14ac:dyDescent="0.2">
      <c r="B36455" s="43"/>
    </row>
    <row r="36456" spans="2:2" ht="12.75" customHeight="1" x14ac:dyDescent="0.2">
      <c r="B36456" s="43"/>
    </row>
    <row r="36457" spans="2:2" ht="12.75" customHeight="1" x14ac:dyDescent="0.2">
      <c r="B36457" s="43"/>
    </row>
    <row r="36458" spans="2:2" ht="12.75" customHeight="1" x14ac:dyDescent="0.2">
      <c r="B36458" s="43"/>
    </row>
    <row r="36459" spans="2:2" ht="12.75" customHeight="1" x14ac:dyDescent="0.2">
      <c r="B36459" s="43"/>
    </row>
    <row r="36460" spans="2:2" ht="12.75" customHeight="1" x14ac:dyDescent="0.2">
      <c r="B36460" s="43"/>
    </row>
    <row r="36461" spans="2:2" ht="12.75" customHeight="1" x14ac:dyDescent="0.2">
      <c r="B36461" s="43"/>
    </row>
    <row r="36462" spans="2:2" ht="12.75" customHeight="1" x14ac:dyDescent="0.2">
      <c r="B36462" s="43"/>
    </row>
    <row r="36463" spans="2:2" ht="12.75" customHeight="1" x14ac:dyDescent="0.2">
      <c r="B36463" s="43"/>
    </row>
    <row r="36464" spans="2:2" ht="12.75" customHeight="1" x14ac:dyDescent="0.2">
      <c r="B36464" s="43"/>
    </row>
    <row r="36465" spans="2:2" ht="12.75" customHeight="1" x14ac:dyDescent="0.2">
      <c r="B36465" s="43"/>
    </row>
    <row r="36466" spans="2:2" ht="12.75" customHeight="1" x14ac:dyDescent="0.2">
      <c r="B36466" s="43"/>
    </row>
    <row r="36467" spans="2:2" ht="12.75" customHeight="1" x14ac:dyDescent="0.2">
      <c r="B36467" s="43"/>
    </row>
    <row r="36468" spans="2:2" ht="12.75" customHeight="1" x14ac:dyDescent="0.2">
      <c r="B36468" s="43"/>
    </row>
    <row r="36469" spans="2:2" ht="12.75" customHeight="1" x14ac:dyDescent="0.2">
      <c r="B36469" s="43"/>
    </row>
    <row r="36470" spans="2:2" ht="12.75" customHeight="1" x14ac:dyDescent="0.2">
      <c r="B36470" s="43"/>
    </row>
    <row r="36471" spans="2:2" ht="12.75" customHeight="1" x14ac:dyDescent="0.2">
      <c r="B36471" s="43"/>
    </row>
    <row r="36472" spans="2:2" ht="12.75" customHeight="1" x14ac:dyDescent="0.2">
      <c r="B36472" s="43"/>
    </row>
    <row r="36473" spans="2:2" ht="12.75" customHeight="1" x14ac:dyDescent="0.2">
      <c r="B36473" s="43"/>
    </row>
    <row r="36474" spans="2:2" ht="12.75" customHeight="1" x14ac:dyDescent="0.2">
      <c r="B36474" s="43"/>
    </row>
    <row r="36475" spans="2:2" ht="12.75" customHeight="1" x14ac:dyDescent="0.2">
      <c r="B36475" s="43"/>
    </row>
    <row r="36476" spans="2:2" ht="12.75" customHeight="1" x14ac:dyDescent="0.2">
      <c r="B36476" s="43"/>
    </row>
    <row r="36477" spans="2:2" ht="12.75" customHeight="1" x14ac:dyDescent="0.2">
      <c r="B36477" s="43"/>
    </row>
    <row r="36478" spans="2:2" ht="12.75" customHeight="1" x14ac:dyDescent="0.2">
      <c r="B36478" s="43"/>
    </row>
    <row r="36479" spans="2:2" ht="12.75" customHeight="1" x14ac:dyDescent="0.2">
      <c r="B36479" s="43"/>
    </row>
    <row r="36480" spans="2:2" ht="12.75" customHeight="1" x14ac:dyDescent="0.2">
      <c r="B36480" s="43"/>
    </row>
    <row r="36481" spans="2:2" ht="12.75" customHeight="1" x14ac:dyDescent="0.2">
      <c r="B36481" s="43"/>
    </row>
    <row r="36482" spans="2:2" ht="12.75" customHeight="1" x14ac:dyDescent="0.2">
      <c r="B36482" s="43"/>
    </row>
    <row r="36483" spans="2:2" ht="12.75" customHeight="1" x14ac:dyDescent="0.2">
      <c r="B36483" s="43"/>
    </row>
    <row r="36484" spans="2:2" ht="12.75" customHeight="1" x14ac:dyDescent="0.2">
      <c r="B36484" s="43"/>
    </row>
    <row r="36485" spans="2:2" ht="12.75" customHeight="1" x14ac:dyDescent="0.2">
      <c r="B36485" s="43"/>
    </row>
    <row r="36486" spans="2:2" ht="12.75" customHeight="1" x14ac:dyDescent="0.2">
      <c r="B36486" s="43"/>
    </row>
    <row r="36487" spans="2:2" ht="12.75" customHeight="1" x14ac:dyDescent="0.2">
      <c r="B36487" s="43"/>
    </row>
    <row r="36488" spans="2:2" ht="12.75" customHeight="1" x14ac:dyDescent="0.2">
      <c r="B36488" s="43"/>
    </row>
    <row r="36489" spans="2:2" ht="12.75" customHeight="1" x14ac:dyDescent="0.2">
      <c r="B36489" s="43"/>
    </row>
    <row r="36490" spans="2:2" ht="12.75" customHeight="1" x14ac:dyDescent="0.2">
      <c r="B36490" s="43"/>
    </row>
    <row r="36491" spans="2:2" ht="12.75" customHeight="1" x14ac:dyDescent="0.2">
      <c r="B36491" s="43"/>
    </row>
    <row r="36492" spans="2:2" ht="12.75" customHeight="1" x14ac:dyDescent="0.2">
      <c r="B36492" s="43"/>
    </row>
    <row r="36493" spans="2:2" ht="12.75" customHeight="1" x14ac:dyDescent="0.2">
      <c r="B36493" s="43"/>
    </row>
    <row r="36494" spans="2:2" ht="12.75" customHeight="1" x14ac:dyDescent="0.2">
      <c r="B36494" s="43"/>
    </row>
    <row r="36495" spans="2:2" ht="12.75" customHeight="1" x14ac:dyDescent="0.2">
      <c r="B36495" s="43"/>
    </row>
    <row r="36496" spans="2:2" ht="12.75" customHeight="1" x14ac:dyDescent="0.2">
      <c r="B36496" s="43"/>
    </row>
    <row r="36497" spans="2:2" ht="12.75" customHeight="1" x14ac:dyDescent="0.2">
      <c r="B36497" s="43"/>
    </row>
    <row r="36498" spans="2:2" ht="12.75" customHeight="1" x14ac:dyDescent="0.2">
      <c r="B36498" s="43"/>
    </row>
    <row r="36499" spans="2:2" ht="12.75" customHeight="1" x14ac:dyDescent="0.2">
      <c r="B36499" s="43"/>
    </row>
    <row r="36500" spans="2:2" ht="12.75" customHeight="1" x14ac:dyDescent="0.2">
      <c r="B36500" s="43"/>
    </row>
    <row r="36501" spans="2:2" ht="12.75" customHeight="1" x14ac:dyDescent="0.2">
      <c r="B36501" s="43"/>
    </row>
    <row r="36502" spans="2:2" ht="12.75" customHeight="1" x14ac:dyDescent="0.2">
      <c r="B36502" s="43"/>
    </row>
    <row r="36503" spans="2:2" ht="12.75" customHeight="1" x14ac:dyDescent="0.2">
      <c r="B36503" s="43"/>
    </row>
    <row r="36504" spans="2:2" ht="12.75" customHeight="1" x14ac:dyDescent="0.2">
      <c r="B36504" s="43"/>
    </row>
    <row r="36505" spans="2:2" ht="12.75" customHeight="1" x14ac:dyDescent="0.2">
      <c r="B36505" s="43"/>
    </row>
    <row r="36506" spans="2:2" ht="12.75" customHeight="1" x14ac:dyDescent="0.2">
      <c r="B36506" s="43"/>
    </row>
    <row r="36507" spans="2:2" ht="12.75" customHeight="1" x14ac:dyDescent="0.2">
      <c r="B36507" s="43"/>
    </row>
    <row r="36508" spans="2:2" ht="12.75" customHeight="1" x14ac:dyDescent="0.2">
      <c r="B36508" s="43"/>
    </row>
    <row r="36509" spans="2:2" ht="12.75" customHeight="1" x14ac:dyDescent="0.2">
      <c r="B36509" s="43"/>
    </row>
    <row r="36510" spans="2:2" ht="12.75" customHeight="1" x14ac:dyDescent="0.2">
      <c r="B36510" s="43"/>
    </row>
    <row r="36511" spans="2:2" ht="12.75" customHeight="1" x14ac:dyDescent="0.2">
      <c r="B36511" s="43"/>
    </row>
    <row r="36512" spans="2:2" ht="12.75" customHeight="1" x14ac:dyDescent="0.2">
      <c r="B36512" s="43"/>
    </row>
    <row r="36513" spans="2:2" ht="12.75" customHeight="1" x14ac:dyDescent="0.2">
      <c r="B36513" s="43"/>
    </row>
    <row r="36514" spans="2:2" ht="12.75" customHeight="1" x14ac:dyDescent="0.2">
      <c r="B36514" s="43"/>
    </row>
    <row r="36515" spans="2:2" ht="12.75" customHeight="1" x14ac:dyDescent="0.2">
      <c r="B36515" s="43"/>
    </row>
    <row r="36516" spans="2:2" ht="12.75" customHeight="1" x14ac:dyDescent="0.2">
      <c r="B36516" s="43"/>
    </row>
    <row r="36517" spans="2:2" ht="12.75" customHeight="1" x14ac:dyDescent="0.2">
      <c r="B36517" s="43"/>
    </row>
    <row r="36518" spans="2:2" ht="12.75" customHeight="1" x14ac:dyDescent="0.2">
      <c r="B36518" s="43"/>
    </row>
    <row r="36519" spans="2:2" ht="12.75" customHeight="1" x14ac:dyDescent="0.2">
      <c r="B36519" s="43"/>
    </row>
    <row r="36520" spans="2:2" ht="12.75" customHeight="1" x14ac:dyDescent="0.2">
      <c r="B36520" s="43"/>
    </row>
    <row r="36521" spans="2:2" ht="12.75" customHeight="1" x14ac:dyDescent="0.2">
      <c r="B36521" s="43"/>
    </row>
    <row r="36522" spans="2:2" ht="12.75" customHeight="1" x14ac:dyDescent="0.2">
      <c r="B36522" s="43"/>
    </row>
    <row r="36523" spans="2:2" ht="12.75" customHeight="1" x14ac:dyDescent="0.2">
      <c r="B36523" s="43"/>
    </row>
    <row r="36524" spans="2:2" ht="12.75" customHeight="1" x14ac:dyDescent="0.2">
      <c r="B36524" s="43"/>
    </row>
    <row r="36525" spans="2:2" ht="12.75" customHeight="1" x14ac:dyDescent="0.2">
      <c r="B36525" s="43"/>
    </row>
    <row r="36526" spans="2:2" ht="12.75" customHeight="1" x14ac:dyDescent="0.2">
      <c r="B36526" s="43"/>
    </row>
    <row r="36527" spans="2:2" ht="12.75" customHeight="1" x14ac:dyDescent="0.2">
      <c r="B36527" s="43"/>
    </row>
    <row r="36528" spans="2:2" ht="12.75" customHeight="1" x14ac:dyDescent="0.2">
      <c r="B36528" s="43"/>
    </row>
    <row r="36529" spans="2:2" ht="12.75" customHeight="1" x14ac:dyDescent="0.2">
      <c r="B36529" s="43"/>
    </row>
    <row r="36530" spans="2:2" ht="12.75" customHeight="1" x14ac:dyDescent="0.2">
      <c r="B36530" s="43"/>
    </row>
    <row r="36531" spans="2:2" ht="12.75" customHeight="1" x14ac:dyDescent="0.2">
      <c r="B36531" s="43"/>
    </row>
    <row r="36532" spans="2:2" ht="12.75" customHeight="1" x14ac:dyDescent="0.2">
      <c r="B36532" s="43"/>
    </row>
    <row r="36533" spans="2:2" ht="12.75" customHeight="1" x14ac:dyDescent="0.2">
      <c r="B36533" s="43"/>
    </row>
    <row r="36534" spans="2:2" ht="12.75" customHeight="1" x14ac:dyDescent="0.2">
      <c r="B36534" s="43"/>
    </row>
    <row r="36535" spans="2:2" ht="12.75" customHeight="1" x14ac:dyDescent="0.2">
      <c r="B36535" s="43"/>
    </row>
    <row r="36536" spans="2:2" ht="12.75" customHeight="1" x14ac:dyDescent="0.2">
      <c r="B36536" s="43"/>
    </row>
    <row r="36537" spans="2:2" ht="12.75" customHeight="1" x14ac:dyDescent="0.2">
      <c r="B36537" s="43"/>
    </row>
    <row r="36538" spans="2:2" ht="12.75" customHeight="1" x14ac:dyDescent="0.2">
      <c r="B36538" s="43"/>
    </row>
    <row r="36539" spans="2:2" ht="12.75" customHeight="1" x14ac:dyDescent="0.2">
      <c r="B36539" s="43"/>
    </row>
    <row r="36540" spans="2:2" ht="12.75" customHeight="1" x14ac:dyDescent="0.2">
      <c r="B36540" s="43"/>
    </row>
    <row r="36541" spans="2:2" ht="12.75" customHeight="1" x14ac:dyDescent="0.2">
      <c r="B36541" s="43"/>
    </row>
    <row r="36542" spans="2:2" ht="12.75" customHeight="1" x14ac:dyDescent="0.2">
      <c r="B36542" s="43"/>
    </row>
    <row r="36543" spans="2:2" ht="12.75" customHeight="1" x14ac:dyDescent="0.2">
      <c r="B36543" s="43"/>
    </row>
    <row r="36544" spans="2:2" ht="12.75" customHeight="1" x14ac:dyDescent="0.2">
      <c r="B36544" s="43"/>
    </row>
    <row r="36545" spans="2:2" ht="12.75" customHeight="1" x14ac:dyDescent="0.2">
      <c r="B36545" s="43"/>
    </row>
    <row r="36546" spans="2:2" ht="12.75" customHeight="1" x14ac:dyDescent="0.2">
      <c r="B36546" s="43"/>
    </row>
    <row r="36547" spans="2:2" ht="12.75" customHeight="1" x14ac:dyDescent="0.2">
      <c r="B36547" s="43"/>
    </row>
    <row r="36548" spans="2:2" ht="12.75" customHeight="1" x14ac:dyDescent="0.2">
      <c r="B36548" s="43"/>
    </row>
    <row r="36549" spans="2:2" ht="12.75" customHeight="1" x14ac:dyDescent="0.2">
      <c r="B36549" s="43"/>
    </row>
    <row r="36550" spans="2:2" ht="12.75" customHeight="1" x14ac:dyDescent="0.2">
      <c r="B36550" s="43"/>
    </row>
    <row r="36551" spans="2:2" ht="12.75" customHeight="1" x14ac:dyDescent="0.2">
      <c r="B36551" s="43"/>
    </row>
    <row r="36552" spans="2:2" ht="12.75" customHeight="1" x14ac:dyDescent="0.2">
      <c r="B36552" s="43"/>
    </row>
    <row r="36553" spans="2:2" ht="12.75" customHeight="1" x14ac:dyDescent="0.2">
      <c r="B36553" s="43"/>
    </row>
    <row r="36554" spans="2:2" ht="12.75" customHeight="1" x14ac:dyDescent="0.2">
      <c r="B36554" s="43"/>
    </row>
    <row r="36555" spans="2:2" ht="12.75" customHeight="1" x14ac:dyDescent="0.2">
      <c r="B36555" s="43"/>
    </row>
    <row r="36556" spans="2:2" ht="12.75" customHeight="1" x14ac:dyDescent="0.2">
      <c r="B36556" s="43"/>
    </row>
    <row r="36557" spans="2:2" ht="12.75" customHeight="1" x14ac:dyDescent="0.2">
      <c r="B36557" s="43"/>
    </row>
    <row r="36558" spans="2:2" ht="12.75" customHeight="1" x14ac:dyDescent="0.2">
      <c r="B36558" s="43"/>
    </row>
    <row r="36559" spans="2:2" ht="12.75" customHeight="1" x14ac:dyDescent="0.2">
      <c r="B36559" s="43"/>
    </row>
    <row r="36560" spans="2:2" ht="12.75" customHeight="1" x14ac:dyDescent="0.2">
      <c r="B36560" s="43"/>
    </row>
    <row r="36561" spans="2:2" ht="12.75" customHeight="1" x14ac:dyDescent="0.2">
      <c r="B36561" s="43"/>
    </row>
    <row r="36562" spans="2:2" ht="12.75" customHeight="1" x14ac:dyDescent="0.2">
      <c r="B36562" s="43"/>
    </row>
    <row r="36563" spans="2:2" ht="12.75" customHeight="1" x14ac:dyDescent="0.2">
      <c r="B36563" s="43"/>
    </row>
    <row r="36564" spans="2:2" ht="12.75" customHeight="1" x14ac:dyDescent="0.2">
      <c r="B36564" s="43"/>
    </row>
    <row r="36565" spans="2:2" ht="12.75" customHeight="1" x14ac:dyDescent="0.2">
      <c r="B36565" s="43"/>
    </row>
    <row r="36566" spans="2:2" ht="12.75" customHeight="1" x14ac:dyDescent="0.2">
      <c r="B36566" s="43"/>
    </row>
    <row r="36567" spans="2:2" ht="12.75" customHeight="1" x14ac:dyDescent="0.2">
      <c r="B36567" s="43"/>
    </row>
    <row r="36568" spans="2:2" ht="12.75" customHeight="1" x14ac:dyDescent="0.2">
      <c r="B36568" s="43"/>
    </row>
    <row r="36569" spans="2:2" ht="12.75" customHeight="1" x14ac:dyDescent="0.2">
      <c r="B36569" s="43"/>
    </row>
    <row r="36570" spans="2:2" ht="12.75" customHeight="1" x14ac:dyDescent="0.2">
      <c r="B36570" s="43"/>
    </row>
    <row r="36571" spans="2:2" ht="12.75" customHeight="1" x14ac:dyDescent="0.2">
      <c r="B36571" s="43"/>
    </row>
    <row r="36572" spans="2:2" ht="12.75" customHeight="1" x14ac:dyDescent="0.2">
      <c r="B36572" s="43"/>
    </row>
    <row r="36573" spans="2:2" ht="12.75" customHeight="1" x14ac:dyDescent="0.2">
      <c r="B36573" s="43"/>
    </row>
    <row r="36574" spans="2:2" ht="12.75" customHeight="1" x14ac:dyDescent="0.2">
      <c r="B36574" s="43"/>
    </row>
    <row r="36575" spans="2:2" ht="12.75" customHeight="1" x14ac:dyDescent="0.2">
      <c r="B36575" s="43"/>
    </row>
    <row r="36576" spans="2:2" ht="12.75" customHeight="1" x14ac:dyDescent="0.2">
      <c r="B36576" s="43"/>
    </row>
    <row r="36577" spans="2:2" ht="12.75" customHeight="1" x14ac:dyDescent="0.2">
      <c r="B36577" s="43"/>
    </row>
    <row r="36578" spans="2:2" ht="12.75" customHeight="1" x14ac:dyDescent="0.2">
      <c r="B36578" s="43"/>
    </row>
    <row r="36579" spans="2:2" ht="12.75" customHeight="1" x14ac:dyDescent="0.2">
      <c r="B36579" s="43"/>
    </row>
    <row r="36580" spans="2:2" ht="12.75" customHeight="1" x14ac:dyDescent="0.2">
      <c r="B36580" s="43"/>
    </row>
    <row r="36581" spans="2:2" ht="12.75" customHeight="1" x14ac:dyDescent="0.2">
      <c r="B36581" s="43"/>
    </row>
    <row r="36582" spans="2:2" ht="12.75" customHeight="1" x14ac:dyDescent="0.2">
      <c r="B36582" s="43"/>
    </row>
    <row r="36583" spans="2:2" ht="12.75" customHeight="1" x14ac:dyDescent="0.2">
      <c r="B36583" s="43"/>
    </row>
    <row r="36584" spans="2:2" ht="12.75" customHeight="1" x14ac:dyDescent="0.2">
      <c r="B36584" s="43"/>
    </row>
    <row r="36585" spans="2:2" ht="12.75" customHeight="1" x14ac:dyDescent="0.2">
      <c r="B36585" s="43"/>
    </row>
    <row r="36586" spans="2:2" ht="12.75" customHeight="1" x14ac:dyDescent="0.2">
      <c r="B36586" s="43"/>
    </row>
    <row r="36587" spans="2:2" ht="12.75" customHeight="1" x14ac:dyDescent="0.2">
      <c r="B36587" s="43"/>
    </row>
    <row r="36588" spans="2:2" ht="12.75" customHeight="1" x14ac:dyDescent="0.2">
      <c r="B36588" s="43"/>
    </row>
    <row r="36589" spans="2:2" ht="12.75" customHeight="1" x14ac:dyDescent="0.2">
      <c r="B36589" s="43"/>
    </row>
    <row r="36590" spans="2:2" ht="12.75" customHeight="1" x14ac:dyDescent="0.2">
      <c r="B36590" s="43"/>
    </row>
    <row r="36591" spans="2:2" ht="12.75" customHeight="1" x14ac:dyDescent="0.2">
      <c r="B36591" s="43"/>
    </row>
    <row r="36592" spans="2:2" ht="12.75" customHeight="1" x14ac:dyDescent="0.2">
      <c r="B36592" s="43"/>
    </row>
    <row r="36593" spans="2:2" ht="12.75" customHeight="1" x14ac:dyDescent="0.2">
      <c r="B36593" s="43"/>
    </row>
    <row r="36594" spans="2:2" ht="12.75" customHeight="1" x14ac:dyDescent="0.2">
      <c r="B36594" s="43"/>
    </row>
    <row r="36595" spans="2:2" ht="12.75" customHeight="1" x14ac:dyDescent="0.2">
      <c r="B36595" s="43"/>
    </row>
    <row r="36596" spans="2:2" ht="12.75" customHeight="1" x14ac:dyDescent="0.2">
      <c r="B36596" s="43"/>
    </row>
    <row r="36597" spans="2:2" ht="12.75" customHeight="1" x14ac:dyDescent="0.2">
      <c r="B36597" s="43"/>
    </row>
    <row r="36598" spans="2:2" ht="12.75" customHeight="1" x14ac:dyDescent="0.2">
      <c r="B36598" s="43"/>
    </row>
    <row r="36599" spans="2:2" ht="12.75" customHeight="1" x14ac:dyDescent="0.2">
      <c r="B36599" s="43"/>
    </row>
    <row r="36600" spans="2:2" ht="12.75" customHeight="1" x14ac:dyDescent="0.2">
      <c r="B36600" s="43"/>
    </row>
    <row r="36601" spans="2:2" ht="12.75" customHeight="1" x14ac:dyDescent="0.2">
      <c r="B36601" s="43"/>
    </row>
    <row r="36602" spans="2:2" ht="12.75" customHeight="1" x14ac:dyDescent="0.2">
      <c r="B36602" s="43"/>
    </row>
    <row r="36603" spans="2:2" ht="12.75" customHeight="1" x14ac:dyDescent="0.2">
      <c r="B36603" s="43"/>
    </row>
    <row r="36604" spans="2:2" ht="12.75" customHeight="1" x14ac:dyDescent="0.2">
      <c r="B36604" s="43"/>
    </row>
    <row r="36605" spans="2:2" ht="12.75" customHeight="1" x14ac:dyDescent="0.2">
      <c r="B36605" s="43"/>
    </row>
    <row r="36606" spans="2:2" ht="12.75" customHeight="1" x14ac:dyDescent="0.2">
      <c r="B36606" s="43"/>
    </row>
    <row r="36607" spans="2:2" ht="12.75" customHeight="1" x14ac:dyDescent="0.2">
      <c r="B36607" s="43"/>
    </row>
    <row r="36608" spans="2:2" ht="12.75" customHeight="1" x14ac:dyDescent="0.2">
      <c r="B36608" s="43"/>
    </row>
    <row r="36609" spans="2:2" ht="12.75" customHeight="1" x14ac:dyDescent="0.2">
      <c r="B36609" s="43"/>
    </row>
    <row r="36610" spans="2:2" ht="12.75" customHeight="1" x14ac:dyDescent="0.2">
      <c r="B36610" s="43"/>
    </row>
    <row r="36611" spans="2:2" ht="12.75" customHeight="1" x14ac:dyDescent="0.2">
      <c r="B36611" s="43"/>
    </row>
    <row r="36612" spans="2:2" ht="12.75" customHeight="1" x14ac:dyDescent="0.2">
      <c r="B36612" s="43"/>
    </row>
    <row r="36613" spans="2:2" ht="12.75" customHeight="1" x14ac:dyDescent="0.2">
      <c r="B36613" s="43"/>
    </row>
    <row r="36614" spans="2:2" ht="12.75" customHeight="1" x14ac:dyDescent="0.2">
      <c r="B36614" s="43"/>
    </row>
    <row r="36615" spans="2:2" ht="12.75" customHeight="1" x14ac:dyDescent="0.2">
      <c r="B36615" s="43"/>
    </row>
    <row r="36616" spans="2:2" ht="12.75" customHeight="1" x14ac:dyDescent="0.2">
      <c r="B36616" s="43"/>
    </row>
    <row r="36617" spans="2:2" ht="12.75" customHeight="1" x14ac:dyDescent="0.2">
      <c r="B36617" s="43"/>
    </row>
    <row r="36618" spans="2:2" ht="12.75" customHeight="1" x14ac:dyDescent="0.2">
      <c r="B36618" s="43"/>
    </row>
    <row r="36619" spans="2:2" ht="12.75" customHeight="1" x14ac:dyDescent="0.2">
      <c r="B36619" s="43"/>
    </row>
    <row r="36620" spans="2:2" ht="12.75" customHeight="1" x14ac:dyDescent="0.2">
      <c r="B36620" s="43"/>
    </row>
    <row r="36621" spans="2:2" ht="12.75" customHeight="1" x14ac:dyDescent="0.2">
      <c r="B36621" s="43"/>
    </row>
    <row r="36622" spans="2:2" ht="12.75" customHeight="1" x14ac:dyDescent="0.2">
      <c r="B36622" s="43"/>
    </row>
    <row r="36623" spans="2:2" ht="12.75" customHeight="1" x14ac:dyDescent="0.2">
      <c r="B36623" s="43"/>
    </row>
    <row r="36624" spans="2:2" ht="12.75" customHeight="1" x14ac:dyDescent="0.2">
      <c r="B36624" s="43"/>
    </row>
    <row r="36625" spans="2:2" ht="12.75" customHeight="1" x14ac:dyDescent="0.2">
      <c r="B36625" s="43"/>
    </row>
    <row r="36626" spans="2:2" ht="12.75" customHeight="1" x14ac:dyDescent="0.2">
      <c r="B36626" s="43"/>
    </row>
    <row r="36627" spans="2:2" ht="12.75" customHeight="1" x14ac:dyDescent="0.2">
      <c r="B36627" s="43"/>
    </row>
    <row r="36628" spans="2:2" ht="12.75" customHeight="1" x14ac:dyDescent="0.2">
      <c r="B36628" s="43"/>
    </row>
    <row r="36629" spans="2:2" ht="12.75" customHeight="1" x14ac:dyDescent="0.2">
      <c r="B36629" s="43"/>
    </row>
    <row r="36630" spans="2:2" ht="12.75" customHeight="1" x14ac:dyDescent="0.2">
      <c r="B36630" s="43"/>
    </row>
    <row r="36631" spans="2:2" ht="12.75" customHeight="1" x14ac:dyDescent="0.2">
      <c r="B36631" s="43"/>
    </row>
    <row r="36632" spans="2:2" ht="12.75" customHeight="1" x14ac:dyDescent="0.2">
      <c r="B36632" s="43"/>
    </row>
    <row r="36633" spans="2:2" ht="12.75" customHeight="1" x14ac:dyDescent="0.2">
      <c r="B36633" s="43"/>
    </row>
    <row r="36634" spans="2:2" ht="12.75" customHeight="1" x14ac:dyDescent="0.2">
      <c r="B36634" s="43"/>
    </row>
    <row r="36635" spans="2:2" ht="12.75" customHeight="1" x14ac:dyDescent="0.2">
      <c r="B36635" s="43"/>
    </row>
    <row r="36636" spans="2:2" ht="12.75" customHeight="1" x14ac:dyDescent="0.2">
      <c r="B36636" s="43"/>
    </row>
    <row r="36637" spans="2:2" ht="12.75" customHeight="1" x14ac:dyDescent="0.2">
      <c r="B36637" s="43"/>
    </row>
    <row r="36638" spans="2:2" ht="12.75" customHeight="1" x14ac:dyDescent="0.2">
      <c r="B36638" s="43"/>
    </row>
    <row r="36639" spans="2:2" ht="12.75" customHeight="1" x14ac:dyDescent="0.2">
      <c r="B36639" s="43"/>
    </row>
    <row r="36640" spans="2:2" ht="12.75" customHeight="1" x14ac:dyDescent="0.2">
      <c r="B36640" s="43"/>
    </row>
    <row r="36641" spans="2:2" ht="12.75" customHeight="1" x14ac:dyDescent="0.2">
      <c r="B36641" s="43"/>
    </row>
    <row r="36642" spans="2:2" ht="12.75" customHeight="1" x14ac:dyDescent="0.2">
      <c r="B36642" s="43"/>
    </row>
    <row r="36643" spans="2:2" ht="12.75" customHeight="1" x14ac:dyDescent="0.2">
      <c r="B36643" s="43"/>
    </row>
    <row r="36644" spans="2:2" ht="12.75" customHeight="1" x14ac:dyDescent="0.2">
      <c r="B36644" s="43"/>
    </row>
    <row r="36645" spans="2:2" ht="12.75" customHeight="1" x14ac:dyDescent="0.2">
      <c r="B36645" s="43"/>
    </row>
    <row r="36646" spans="2:2" ht="12.75" customHeight="1" x14ac:dyDescent="0.2">
      <c r="B36646" s="43"/>
    </row>
    <row r="36647" spans="2:2" ht="12.75" customHeight="1" x14ac:dyDescent="0.2">
      <c r="B36647" s="43"/>
    </row>
    <row r="36648" spans="2:2" ht="12.75" customHeight="1" x14ac:dyDescent="0.2">
      <c r="B36648" s="43"/>
    </row>
    <row r="36649" spans="2:2" ht="12.75" customHeight="1" x14ac:dyDescent="0.2">
      <c r="B36649" s="43"/>
    </row>
    <row r="36650" spans="2:2" ht="12.75" customHeight="1" x14ac:dyDescent="0.2">
      <c r="B36650" s="43"/>
    </row>
    <row r="36651" spans="2:2" ht="12.75" customHeight="1" x14ac:dyDescent="0.2">
      <c r="B36651" s="43"/>
    </row>
    <row r="36652" spans="2:2" ht="12.75" customHeight="1" x14ac:dyDescent="0.2">
      <c r="B36652" s="43"/>
    </row>
    <row r="36653" spans="2:2" ht="12.75" customHeight="1" x14ac:dyDescent="0.2">
      <c r="B36653" s="43"/>
    </row>
    <row r="36654" spans="2:2" ht="12.75" customHeight="1" x14ac:dyDescent="0.2">
      <c r="B36654" s="43"/>
    </row>
    <row r="36655" spans="2:2" ht="12.75" customHeight="1" x14ac:dyDescent="0.2">
      <c r="B36655" s="43"/>
    </row>
    <row r="36656" spans="2:2" ht="12.75" customHeight="1" x14ac:dyDescent="0.2">
      <c r="B36656" s="43"/>
    </row>
    <row r="36657" spans="2:2" ht="12.75" customHeight="1" x14ac:dyDescent="0.2">
      <c r="B36657" s="43"/>
    </row>
    <row r="36658" spans="2:2" ht="12.75" customHeight="1" x14ac:dyDescent="0.2">
      <c r="B36658" s="43"/>
    </row>
    <row r="36659" spans="2:2" ht="12.75" customHeight="1" x14ac:dyDescent="0.2">
      <c r="B36659" s="43"/>
    </row>
    <row r="36660" spans="2:2" ht="12.75" customHeight="1" x14ac:dyDescent="0.2">
      <c r="B36660" s="43"/>
    </row>
    <row r="36661" spans="2:2" ht="12.75" customHeight="1" x14ac:dyDescent="0.2">
      <c r="B36661" s="43"/>
    </row>
    <row r="36662" spans="2:2" ht="12.75" customHeight="1" x14ac:dyDescent="0.2">
      <c r="B36662" s="43"/>
    </row>
    <row r="36663" spans="2:2" ht="12.75" customHeight="1" x14ac:dyDescent="0.2">
      <c r="B36663" s="43"/>
    </row>
    <row r="36664" spans="2:2" ht="12.75" customHeight="1" x14ac:dyDescent="0.2">
      <c r="B36664" s="43"/>
    </row>
    <row r="36665" spans="2:2" ht="12.75" customHeight="1" x14ac:dyDescent="0.2">
      <c r="B36665" s="43"/>
    </row>
    <row r="36666" spans="2:2" ht="12.75" customHeight="1" x14ac:dyDescent="0.2">
      <c r="B36666" s="43"/>
    </row>
    <row r="36667" spans="2:2" ht="12.75" customHeight="1" x14ac:dyDescent="0.2">
      <c r="B36667" s="43"/>
    </row>
    <row r="36668" spans="2:2" ht="12.75" customHeight="1" x14ac:dyDescent="0.2">
      <c r="B36668" s="43"/>
    </row>
    <row r="36669" spans="2:2" ht="12.75" customHeight="1" x14ac:dyDescent="0.2">
      <c r="B36669" s="43"/>
    </row>
    <row r="36670" spans="2:2" ht="12.75" customHeight="1" x14ac:dyDescent="0.2">
      <c r="B36670" s="43"/>
    </row>
    <row r="36671" spans="2:2" ht="12.75" customHeight="1" x14ac:dyDescent="0.2">
      <c r="B36671" s="43"/>
    </row>
    <row r="36672" spans="2:2" ht="12.75" customHeight="1" x14ac:dyDescent="0.2">
      <c r="B36672" s="43"/>
    </row>
    <row r="36673" spans="2:2" ht="12.75" customHeight="1" x14ac:dyDescent="0.2">
      <c r="B36673" s="43"/>
    </row>
    <row r="36674" spans="2:2" ht="12.75" customHeight="1" x14ac:dyDescent="0.2">
      <c r="B36674" s="43"/>
    </row>
    <row r="36675" spans="2:2" ht="12.75" customHeight="1" x14ac:dyDescent="0.2">
      <c r="B36675" s="43"/>
    </row>
    <row r="36676" spans="2:2" ht="12.75" customHeight="1" x14ac:dyDescent="0.2">
      <c r="B36676" s="43"/>
    </row>
    <row r="36677" spans="2:2" ht="12.75" customHeight="1" x14ac:dyDescent="0.2">
      <c r="B36677" s="43"/>
    </row>
    <row r="36678" spans="2:2" ht="12.75" customHeight="1" x14ac:dyDescent="0.2">
      <c r="B36678" s="43"/>
    </row>
    <row r="36679" spans="2:2" ht="12.75" customHeight="1" x14ac:dyDescent="0.2">
      <c r="B36679" s="43"/>
    </row>
    <row r="36680" spans="2:2" ht="12.75" customHeight="1" x14ac:dyDescent="0.2">
      <c r="B36680" s="43"/>
    </row>
    <row r="36681" spans="2:2" ht="12.75" customHeight="1" x14ac:dyDescent="0.2">
      <c r="B36681" s="43"/>
    </row>
    <row r="36682" spans="2:2" ht="12.75" customHeight="1" x14ac:dyDescent="0.2">
      <c r="B36682" s="43"/>
    </row>
    <row r="36683" spans="2:2" ht="12.75" customHeight="1" x14ac:dyDescent="0.2">
      <c r="B36683" s="43"/>
    </row>
    <row r="36684" spans="2:2" ht="12.75" customHeight="1" x14ac:dyDescent="0.2">
      <c r="B36684" s="43"/>
    </row>
    <row r="36685" spans="2:2" ht="12.75" customHeight="1" x14ac:dyDescent="0.2">
      <c r="B36685" s="43"/>
    </row>
    <row r="36686" spans="2:2" ht="12.75" customHeight="1" x14ac:dyDescent="0.2">
      <c r="B36686" s="43"/>
    </row>
    <row r="36687" spans="2:2" ht="12.75" customHeight="1" x14ac:dyDescent="0.2">
      <c r="B36687" s="43"/>
    </row>
    <row r="36688" spans="2:2" ht="12.75" customHeight="1" x14ac:dyDescent="0.2">
      <c r="B36688" s="43"/>
    </row>
    <row r="36689" spans="2:2" ht="12.75" customHeight="1" x14ac:dyDescent="0.2">
      <c r="B36689" s="43"/>
    </row>
    <row r="36690" spans="2:2" ht="12.75" customHeight="1" x14ac:dyDescent="0.2">
      <c r="B36690" s="43"/>
    </row>
    <row r="36691" spans="2:2" ht="12.75" customHeight="1" x14ac:dyDescent="0.2">
      <c r="B36691" s="43"/>
    </row>
    <row r="36692" spans="2:2" ht="12.75" customHeight="1" x14ac:dyDescent="0.2">
      <c r="B36692" s="43"/>
    </row>
    <row r="36693" spans="2:2" ht="12.75" customHeight="1" x14ac:dyDescent="0.2">
      <c r="B36693" s="43"/>
    </row>
    <row r="36694" spans="2:2" ht="12.75" customHeight="1" x14ac:dyDescent="0.2">
      <c r="B36694" s="43"/>
    </row>
    <row r="36695" spans="2:2" ht="12.75" customHeight="1" x14ac:dyDescent="0.2">
      <c r="B36695" s="43"/>
    </row>
    <row r="36696" spans="2:2" ht="12.75" customHeight="1" x14ac:dyDescent="0.2">
      <c r="B36696" s="43"/>
    </row>
    <row r="36697" spans="2:2" ht="12.75" customHeight="1" x14ac:dyDescent="0.2">
      <c r="B36697" s="43"/>
    </row>
    <row r="36698" spans="2:2" ht="12.75" customHeight="1" x14ac:dyDescent="0.2">
      <c r="B36698" s="43"/>
    </row>
    <row r="36699" spans="2:2" ht="12.75" customHeight="1" x14ac:dyDescent="0.2">
      <c r="B36699" s="43"/>
    </row>
    <row r="36700" spans="2:2" ht="12.75" customHeight="1" x14ac:dyDescent="0.2">
      <c r="B36700" s="43"/>
    </row>
    <row r="36701" spans="2:2" ht="12.75" customHeight="1" x14ac:dyDescent="0.2">
      <c r="B36701" s="43"/>
    </row>
    <row r="36702" spans="2:2" ht="12.75" customHeight="1" x14ac:dyDescent="0.2">
      <c r="B36702" s="43"/>
    </row>
    <row r="36703" spans="2:2" ht="12.75" customHeight="1" x14ac:dyDescent="0.2">
      <c r="B36703" s="43"/>
    </row>
    <row r="36704" spans="2:2" ht="12.75" customHeight="1" x14ac:dyDescent="0.2">
      <c r="B36704" s="43"/>
    </row>
    <row r="36705" spans="2:2" ht="12.75" customHeight="1" x14ac:dyDescent="0.2">
      <c r="B36705" s="43"/>
    </row>
    <row r="36706" spans="2:2" ht="12.75" customHeight="1" x14ac:dyDescent="0.2">
      <c r="B36706" s="43"/>
    </row>
    <row r="36707" spans="2:2" ht="12.75" customHeight="1" x14ac:dyDescent="0.2">
      <c r="B36707" s="43"/>
    </row>
    <row r="36708" spans="2:2" ht="12.75" customHeight="1" x14ac:dyDescent="0.2">
      <c r="B36708" s="43"/>
    </row>
    <row r="36709" spans="2:2" ht="12.75" customHeight="1" x14ac:dyDescent="0.2">
      <c r="B36709" s="43"/>
    </row>
    <row r="36710" spans="2:2" ht="12.75" customHeight="1" x14ac:dyDescent="0.2">
      <c r="B36710" s="43"/>
    </row>
    <row r="36711" spans="2:2" ht="12.75" customHeight="1" x14ac:dyDescent="0.2">
      <c r="B36711" s="43"/>
    </row>
    <row r="36712" spans="2:2" ht="12.75" customHeight="1" x14ac:dyDescent="0.2">
      <c r="B36712" s="43"/>
    </row>
    <row r="36713" spans="2:2" ht="12.75" customHeight="1" x14ac:dyDescent="0.2">
      <c r="B36713" s="43"/>
    </row>
    <row r="36714" spans="2:2" ht="12.75" customHeight="1" x14ac:dyDescent="0.2">
      <c r="B36714" s="43"/>
    </row>
    <row r="36715" spans="2:2" ht="12.75" customHeight="1" x14ac:dyDescent="0.2">
      <c r="B36715" s="43"/>
    </row>
    <row r="36716" spans="2:2" ht="12.75" customHeight="1" x14ac:dyDescent="0.2">
      <c r="B36716" s="43"/>
    </row>
    <row r="36717" spans="2:2" ht="12.75" customHeight="1" x14ac:dyDescent="0.2">
      <c r="B36717" s="43"/>
    </row>
    <row r="36718" spans="2:2" ht="12.75" customHeight="1" x14ac:dyDescent="0.2">
      <c r="B36718" s="43"/>
    </row>
    <row r="36719" spans="2:2" ht="12.75" customHeight="1" x14ac:dyDescent="0.2">
      <c r="B36719" s="43"/>
    </row>
    <row r="36720" spans="2:2" ht="12.75" customHeight="1" x14ac:dyDescent="0.2">
      <c r="B36720" s="43"/>
    </row>
    <row r="36721" spans="2:2" ht="12.75" customHeight="1" x14ac:dyDescent="0.2">
      <c r="B36721" s="43"/>
    </row>
    <row r="36722" spans="2:2" ht="12.75" customHeight="1" x14ac:dyDescent="0.2">
      <c r="B36722" s="43"/>
    </row>
    <row r="36723" spans="2:2" ht="12.75" customHeight="1" x14ac:dyDescent="0.2">
      <c r="B36723" s="43"/>
    </row>
    <row r="36724" spans="2:2" ht="12.75" customHeight="1" x14ac:dyDescent="0.2">
      <c r="B36724" s="43"/>
    </row>
    <row r="36725" spans="2:2" ht="12.75" customHeight="1" x14ac:dyDescent="0.2">
      <c r="B36725" s="43"/>
    </row>
    <row r="36726" spans="2:2" ht="12.75" customHeight="1" x14ac:dyDescent="0.2">
      <c r="B36726" s="43"/>
    </row>
    <row r="36727" spans="2:2" ht="12.75" customHeight="1" x14ac:dyDescent="0.2">
      <c r="B36727" s="43"/>
    </row>
    <row r="36728" spans="2:2" ht="12.75" customHeight="1" x14ac:dyDescent="0.2">
      <c r="B36728" s="43"/>
    </row>
    <row r="36729" spans="2:2" ht="12.75" customHeight="1" x14ac:dyDescent="0.2">
      <c r="B36729" s="43"/>
    </row>
    <row r="36730" spans="2:2" ht="12.75" customHeight="1" x14ac:dyDescent="0.2">
      <c r="B36730" s="43"/>
    </row>
    <row r="36731" spans="2:2" ht="12.75" customHeight="1" x14ac:dyDescent="0.2">
      <c r="B36731" s="43"/>
    </row>
    <row r="36732" spans="2:2" ht="12.75" customHeight="1" x14ac:dyDescent="0.2">
      <c r="B36732" s="43"/>
    </row>
    <row r="36733" spans="2:2" ht="12.75" customHeight="1" x14ac:dyDescent="0.2">
      <c r="B36733" s="43"/>
    </row>
    <row r="36734" spans="2:2" ht="12.75" customHeight="1" x14ac:dyDescent="0.2">
      <c r="B36734" s="43"/>
    </row>
    <row r="36735" spans="2:2" ht="12.75" customHeight="1" x14ac:dyDescent="0.2">
      <c r="B36735" s="43"/>
    </row>
    <row r="36736" spans="2:2" ht="12.75" customHeight="1" x14ac:dyDescent="0.2">
      <c r="B36736" s="43"/>
    </row>
    <row r="36737" spans="2:2" ht="12.75" customHeight="1" x14ac:dyDescent="0.2">
      <c r="B36737" s="43"/>
    </row>
    <row r="36738" spans="2:2" ht="12.75" customHeight="1" x14ac:dyDescent="0.2">
      <c r="B36738" s="43"/>
    </row>
    <row r="36739" spans="2:2" ht="12.75" customHeight="1" x14ac:dyDescent="0.2">
      <c r="B36739" s="43"/>
    </row>
    <row r="36740" spans="2:2" ht="12.75" customHeight="1" x14ac:dyDescent="0.2">
      <c r="B36740" s="43"/>
    </row>
    <row r="36741" spans="2:2" ht="12.75" customHeight="1" x14ac:dyDescent="0.2">
      <c r="B36741" s="43"/>
    </row>
    <row r="36742" spans="2:2" ht="12.75" customHeight="1" x14ac:dyDescent="0.2">
      <c r="B36742" s="43"/>
    </row>
    <row r="36743" spans="2:2" ht="12.75" customHeight="1" x14ac:dyDescent="0.2">
      <c r="B36743" s="43"/>
    </row>
    <row r="36744" spans="2:2" ht="12.75" customHeight="1" x14ac:dyDescent="0.2">
      <c r="B36744" s="43"/>
    </row>
    <row r="36745" spans="2:2" ht="12.75" customHeight="1" x14ac:dyDescent="0.2">
      <c r="B36745" s="43"/>
    </row>
    <row r="36746" spans="2:2" ht="12.75" customHeight="1" x14ac:dyDescent="0.2">
      <c r="B36746" s="43"/>
    </row>
    <row r="36747" spans="2:2" ht="12.75" customHeight="1" x14ac:dyDescent="0.2">
      <c r="B36747" s="43"/>
    </row>
    <row r="36748" spans="2:2" ht="12.75" customHeight="1" x14ac:dyDescent="0.2">
      <c r="B36748" s="43"/>
    </row>
    <row r="36749" spans="2:2" ht="12.75" customHeight="1" x14ac:dyDescent="0.2">
      <c r="B36749" s="43"/>
    </row>
    <row r="36750" spans="2:2" ht="12.75" customHeight="1" x14ac:dyDescent="0.2">
      <c r="B36750" s="43"/>
    </row>
    <row r="36751" spans="2:2" ht="12.75" customHeight="1" x14ac:dyDescent="0.2">
      <c r="B36751" s="43"/>
    </row>
    <row r="36752" spans="2:2" ht="12.75" customHeight="1" x14ac:dyDescent="0.2">
      <c r="B36752" s="43"/>
    </row>
    <row r="36753" spans="2:2" ht="12.75" customHeight="1" x14ac:dyDescent="0.2">
      <c r="B36753" s="43"/>
    </row>
    <row r="36754" spans="2:2" ht="12.75" customHeight="1" x14ac:dyDescent="0.2">
      <c r="B36754" s="43"/>
    </row>
    <row r="36755" spans="2:2" ht="12.75" customHeight="1" x14ac:dyDescent="0.2">
      <c r="B36755" s="43"/>
    </row>
    <row r="36756" spans="2:2" ht="12.75" customHeight="1" x14ac:dyDescent="0.2">
      <c r="B36756" s="43"/>
    </row>
    <row r="36757" spans="2:2" ht="12.75" customHeight="1" x14ac:dyDescent="0.2">
      <c r="B36757" s="43"/>
    </row>
    <row r="36758" spans="2:2" ht="12.75" customHeight="1" x14ac:dyDescent="0.2">
      <c r="B36758" s="43"/>
    </row>
    <row r="36759" spans="2:2" ht="12.75" customHeight="1" x14ac:dyDescent="0.2">
      <c r="B36759" s="43"/>
    </row>
    <row r="36760" spans="2:2" ht="12.75" customHeight="1" x14ac:dyDescent="0.2">
      <c r="B36760" s="43"/>
    </row>
    <row r="36761" spans="2:2" ht="12.75" customHeight="1" x14ac:dyDescent="0.2">
      <c r="B36761" s="43"/>
    </row>
    <row r="36762" spans="2:2" ht="12.75" customHeight="1" x14ac:dyDescent="0.2">
      <c r="B36762" s="43"/>
    </row>
    <row r="36763" spans="2:2" ht="12.75" customHeight="1" x14ac:dyDescent="0.2">
      <c r="B36763" s="43"/>
    </row>
    <row r="36764" spans="2:2" ht="12.75" customHeight="1" x14ac:dyDescent="0.2">
      <c r="B36764" s="43"/>
    </row>
    <row r="36765" spans="2:2" ht="12.75" customHeight="1" x14ac:dyDescent="0.2">
      <c r="B36765" s="43"/>
    </row>
    <row r="36766" spans="2:2" ht="12.75" customHeight="1" x14ac:dyDescent="0.2">
      <c r="B36766" s="43"/>
    </row>
    <row r="36767" spans="2:2" ht="12.75" customHeight="1" x14ac:dyDescent="0.2">
      <c r="B36767" s="43"/>
    </row>
    <row r="36768" spans="2:2" ht="12.75" customHeight="1" x14ac:dyDescent="0.2">
      <c r="B36768" s="43"/>
    </row>
    <row r="36769" spans="2:2" ht="12.75" customHeight="1" x14ac:dyDescent="0.2">
      <c r="B36769" s="43"/>
    </row>
    <row r="36770" spans="2:2" ht="12.75" customHeight="1" x14ac:dyDescent="0.2">
      <c r="B36770" s="43"/>
    </row>
    <row r="36771" spans="2:2" ht="12.75" customHeight="1" x14ac:dyDescent="0.2">
      <c r="B36771" s="43"/>
    </row>
    <row r="36772" spans="2:2" ht="12.75" customHeight="1" x14ac:dyDescent="0.2">
      <c r="B36772" s="43"/>
    </row>
    <row r="36773" spans="2:2" ht="12.75" customHeight="1" x14ac:dyDescent="0.2">
      <c r="B36773" s="43"/>
    </row>
    <row r="36774" spans="2:2" ht="12.75" customHeight="1" x14ac:dyDescent="0.2">
      <c r="B36774" s="43"/>
    </row>
    <row r="36775" spans="2:2" ht="12.75" customHeight="1" x14ac:dyDescent="0.2">
      <c r="B36775" s="43"/>
    </row>
    <row r="36776" spans="2:2" ht="12.75" customHeight="1" x14ac:dyDescent="0.2">
      <c r="B36776" s="43"/>
    </row>
    <row r="36777" spans="2:2" ht="12.75" customHeight="1" x14ac:dyDescent="0.2">
      <c r="B36777" s="43"/>
    </row>
    <row r="36778" spans="2:2" ht="12.75" customHeight="1" x14ac:dyDescent="0.2">
      <c r="B36778" s="43"/>
    </row>
    <row r="36779" spans="2:2" ht="12.75" customHeight="1" x14ac:dyDescent="0.2">
      <c r="B36779" s="43"/>
    </row>
    <row r="36780" spans="2:2" ht="12.75" customHeight="1" x14ac:dyDescent="0.2">
      <c r="B36780" s="43"/>
    </row>
    <row r="36781" spans="2:2" ht="12.75" customHeight="1" x14ac:dyDescent="0.2">
      <c r="B36781" s="43"/>
    </row>
    <row r="36782" spans="2:2" ht="12.75" customHeight="1" x14ac:dyDescent="0.2">
      <c r="B36782" s="43"/>
    </row>
    <row r="36783" spans="2:2" ht="12.75" customHeight="1" x14ac:dyDescent="0.2">
      <c r="B36783" s="43"/>
    </row>
    <row r="36784" spans="2:2" ht="12.75" customHeight="1" x14ac:dyDescent="0.2">
      <c r="B36784" s="43"/>
    </row>
    <row r="36785" spans="2:2" ht="12.75" customHeight="1" x14ac:dyDescent="0.2">
      <c r="B36785" s="43"/>
    </row>
    <row r="36786" spans="2:2" ht="12.75" customHeight="1" x14ac:dyDescent="0.2">
      <c r="B36786" s="43"/>
    </row>
    <row r="36787" spans="2:2" ht="12.75" customHeight="1" x14ac:dyDescent="0.2">
      <c r="B36787" s="43"/>
    </row>
    <row r="36788" spans="2:2" ht="12.75" customHeight="1" x14ac:dyDescent="0.2">
      <c r="B36788" s="43"/>
    </row>
    <row r="36789" spans="2:2" ht="12.75" customHeight="1" x14ac:dyDescent="0.2">
      <c r="B36789" s="43"/>
    </row>
    <row r="36790" spans="2:2" ht="12.75" customHeight="1" x14ac:dyDescent="0.2">
      <c r="B36790" s="43"/>
    </row>
    <row r="36791" spans="2:2" ht="12.75" customHeight="1" x14ac:dyDescent="0.2">
      <c r="B36791" s="43"/>
    </row>
    <row r="36792" spans="2:2" ht="12.75" customHeight="1" x14ac:dyDescent="0.2">
      <c r="B36792" s="43"/>
    </row>
    <row r="36793" spans="2:2" ht="12.75" customHeight="1" x14ac:dyDescent="0.2">
      <c r="B36793" s="43"/>
    </row>
    <row r="36794" spans="2:2" ht="12.75" customHeight="1" x14ac:dyDescent="0.2">
      <c r="B36794" s="43"/>
    </row>
    <row r="36795" spans="2:2" ht="12.75" customHeight="1" x14ac:dyDescent="0.2">
      <c r="B36795" s="43"/>
    </row>
    <row r="36796" spans="2:2" ht="12.75" customHeight="1" x14ac:dyDescent="0.2">
      <c r="B36796" s="43"/>
    </row>
    <row r="36797" spans="2:2" ht="12.75" customHeight="1" x14ac:dyDescent="0.2">
      <c r="B36797" s="43"/>
    </row>
    <row r="36798" spans="2:2" ht="12.75" customHeight="1" x14ac:dyDescent="0.2">
      <c r="B36798" s="43"/>
    </row>
    <row r="36799" spans="2:2" ht="12.75" customHeight="1" x14ac:dyDescent="0.2">
      <c r="B36799" s="43"/>
    </row>
    <row r="36800" spans="2:2" ht="12.75" customHeight="1" x14ac:dyDescent="0.2">
      <c r="B36800" s="43"/>
    </row>
    <row r="36801" spans="2:2" ht="12.75" customHeight="1" x14ac:dyDescent="0.2">
      <c r="B36801" s="43"/>
    </row>
    <row r="36802" spans="2:2" ht="12.75" customHeight="1" x14ac:dyDescent="0.2">
      <c r="B36802" s="43"/>
    </row>
    <row r="36803" spans="2:2" ht="12.75" customHeight="1" x14ac:dyDescent="0.2">
      <c r="B36803" s="43"/>
    </row>
    <row r="36804" spans="2:2" ht="12.75" customHeight="1" x14ac:dyDescent="0.2">
      <c r="B36804" s="43"/>
    </row>
    <row r="36805" spans="2:2" ht="12.75" customHeight="1" x14ac:dyDescent="0.2">
      <c r="B36805" s="43"/>
    </row>
    <row r="36806" spans="2:2" ht="12.75" customHeight="1" x14ac:dyDescent="0.2">
      <c r="B36806" s="43"/>
    </row>
    <row r="36807" spans="2:2" ht="12.75" customHeight="1" x14ac:dyDescent="0.2">
      <c r="B36807" s="43"/>
    </row>
    <row r="36808" spans="2:2" ht="12.75" customHeight="1" x14ac:dyDescent="0.2">
      <c r="B36808" s="43"/>
    </row>
    <row r="36809" spans="2:2" ht="12.75" customHeight="1" x14ac:dyDescent="0.2">
      <c r="B36809" s="43"/>
    </row>
    <row r="36810" spans="2:2" ht="12.75" customHeight="1" x14ac:dyDescent="0.2">
      <c r="B36810" s="43"/>
    </row>
    <row r="36811" spans="2:2" ht="12.75" customHeight="1" x14ac:dyDescent="0.2">
      <c r="B36811" s="43"/>
    </row>
    <row r="36812" spans="2:2" ht="12.75" customHeight="1" x14ac:dyDescent="0.2">
      <c r="B36812" s="43"/>
    </row>
    <row r="36813" spans="2:2" ht="12.75" customHeight="1" x14ac:dyDescent="0.2">
      <c r="B36813" s="43"/>
    </row>
    <row r="36814" spans="2:2" ht="12.75" customHeight="1" x14ac:dyDescent="0.2">
      <c r="B36814" s="43"/>
    </row>
    <row r="36815" spans="2:2" ht="12.75" customHeight="1" x14ac:dyDescent="0.2">
      <c r="B36815" s="43"/>
    </row>
    <row r="36816" spans="2:2" ht="12.75" customHeight="1" x14ac:dyDescent="0.2">
      <c r="B36816" s="43"/>
    </row>
    <row r="36817" spans="2:2" ht="12.75" customHeight="1" x14ac:dyDescent="0.2">
      <c r="B36817" s="43"/>
    </row>
    <row r="36818" spans="2:2" ht="12.75" customHeight="1" x14ac:dyDescent="0.2">
      <c r="B36818" s="43"/>
    </row>
    <row r="36819" spans="2:2" ht="12.75" customHeight="1" x14ac:dyDescent="0.2">
      <c r="B36819" s="43"/>
    </row>
    <row r="36820" spans="2:2" ht="12.75" customHeight="1" x14ac:dyDescent="0.2">
      <c r="B36820" s="43"/>
    </row>
    <row r="36821" spans="2:2" ht="12.75" customHeight="1" x14ac:dyDescent="0.2">
      <c r="B36821" s="43"/>
    </row>
    <row r="36822" spans="2:2" ht="12.75" customHeight="1" x14ac:dyDescent="0.2">
      <c r="B36822" s="43"/>
    </row>
    <row r="36823" spans="2:2" ht="12.75" customHeight="1" x14ac:dyDescent="0.2">
      <c r="B36823" s="43"/>
    </row>
    <row r="36824" spans="2:2" ht="12.75" customHeight="1" x14ac:dyDescent="0.2">
      <c r="B36824" s="43"/>
    </row>
    <row r="36825" spans="2:2" ht="12.75" customHeight="1" x14ac:dyDescent="0.2">
      <c r="B36825" s="43"/>
    </row>
    <row r="36826" spans="2:2" ht="12.75" customHeight="1" x14ac:dyDescent="0.2">
      <c r="B36826" s="43"/>
    </row>
    <row r="36827" spans="2:2" ht="12.75" customHeight="1" x14ac:dyDescent="0.2">
      <c r="B36827" s="43"/>
    </row>
    <row r="36828" spans="2:2" ht="12.75" customHeight="1" x14ac:dyDescent="0.2">
      <c r="B36828" s="43"/>
    </row>
    <row r="36829" spans="2:2" ht="12.75" customHeight="1" x14ac:dyDescent="0.2">
      <c r="B36829" s="43"/>
    </row>
    <row r="36830" spans="2:2" ht="12.75" customHeight="1" x14ac:dyDescent="0.2">
      <c r="B36830" s="43"/>
    </row>
    <row r="36831" spans="2:2" ht="12.75" customHeight="1" x14ac:dyDescent="0.2">
      <c r="B36831" s="43"/>
    </row>
    <row r="36832" spans="2:2" ht="12.75" customHeight="1" x14ac:dyDescent="0.2">
      <c r="B36832" s="43"/>
    </row>
    <row r="36833" spans="2:2" ht="12.75" customHeight="1" x14ac:dyDescent="0.2">
      <c r="B36833" s="43"/>
    </row>
    <row r="36834" spans="2:2" ht="12.75" customHeight="1" x14ac:dyDescent="0.2">
      <c r="B36834" s="43"/>
    </row>
    <row r="36835" spans="2:2" ht="12.75" customHeight="1" x14ac:dyDescent="0.2">
      <c r="B36835" s="43"/>
    </row>
    <row r="36836" spans="2:2" ht="12.75" customHeight="1" x14ac:dyDescent="0.2">
      <c r="B36836" s="43"/>
    </row>
    <row r="36837" spans="2:2" ht="12.75" customHeight="1" x14ac:dyDescent="0.2">
      <c r="B36837" s="43"/>
    </row>
    <row r="36838" spans="2:2" ht="12.75" customHeight="1" x14ac:dyDescent="0.2">
      <c r="B36838" s="43"/>
    </row>
    <row r="36839" spans="2:2" ht="12.75" customHeight="1" x14ac:dyDescent="0.2">
      <c r="B36839" s="43"/>
    </row>
    <row r="36840" spans="2:2" ht="12.75" customHeight="1" x14ac:dyDescent="0.2">
      <c r="B36840" s="43"/>
    </row>
    <row r="36841" spans="2:2" ht="12.75" customHeight="1" x14ac:dyDescent="0.2">
      <c r="B36841" s="43"/>
    </row>
    <row r="36842" spans="2:2" ht="12.75" customHeight="1" x14ac:dyDescent="0.2">
      <c r="B36842" s="43"/>
    </row>
    <row r="36843" spans="2:2" ht="12.75" customHeight="1" x14ac:dyDescent="0.2">
      <c r="B36843" s="43"/>
    </row>
    <row r="36844" spans="2:2" ht="12.75" customHeight="1" x14ac:dyDescent="0.2">
      <c r="B36844" s="43"/>
    </row>
    <row r="36845" spans="2:2" ht="12.75" customHeight="1" x14ac:dyDescent="0.2">
      <c r="B36845" s="43"/>
    </row>
    <row r="36846" spans="2:2" ht="12.75" customHeight="1" x14ac:dyDescent="0.2">
      <c r="B36846" s="43"/>
    </row>
    <row r="36847" spans="2:2" ht="12.75" customHeight="1" x14ac:dyDescent="0.2">
      <c r="B36847" s="43"/>
    </row>
    <row r="36848" spans="2:2" ht="12.75" customHeight="1" x14ac:dyDescent="0.2">
      <c r="B36848" s="43"/>
    </row>
    <row r="36849" spans="2:2" ht="12.75" customHeight="1" x14ac:dyDescent="0.2">
      <c r="B36849" s="43"/>
    </row>
    <row r="36850" spans="2:2" ht="12.75" customHeight="1" x14ac:dyDescent="0.2">
      <c r="B36850" s="43"/>
    </row>
    <row r="36851" spans="2:2" ht="12.75" customHeight="1" x14ac:dyDescent="0.2">
      <c r="B36851" s="43"/>
    </row>
    <row r="36852" spans="2:2" ht="12.75" customHeight="1" x14ac:dyDescent="0.2">
      <c r="B36852" s="43"/>
    </row>
    <row r="36853" spans="2:2" ht="12.75" customHeight="1" x14ac:dyDescent="0.2">
      <c r="B36853" s="43"/>
    </row>
    <row r="36854" spans="2:2" ht="12.75" customHeight="1" x14ac:dyDescent="0.2">
      <c r="B36854" s="43"/>
    </row>
    <row r="36855" spans="2:2" ht="12.75" customHeight="1" x14ac:dyDescent="0.2">
      <c r="B36855" s="43"/>
    </row>
    <row r="36856" spans="2:2" ht="12.75" customHeight="1" x14ac:dyDescent="0.2">
      <c r="B36856" s="43"/>
    </row>
    <row r="36857" spans="2:2" ht="12.75" customHeight="1" x14ac:dyDescent="0.2">
      <c r="B36857" s="43"/>
    </row>
    <row r="36858" spans="2:2" ht="12.75" customHeight="1" x14ac:dyDescent="0.2">
      <c r="B36858" s="43"/>
    </row>
    <row r="36859" spans="2:2" ht="12.75" customHeight="1" x14ac:dyDescent="0.2">
      <c r="B36859" s="43"/>
    </row>
    <row r="36860" spans="2:2" ht="12.75" customHeight="1" x14ac:dyDescent="0.2">
      <c r="B36860" s="43"/>
    </row>
    <row r="36861" spans="2:2" ht="12.75" customHeight="1" x14ac:dyDescent="0.2">
      <c r="B36861" s="43"/>
    </row>
    <row r="36862" spans="2:2" ht="12.75" customHeight="1" x14ac:dyDescent="0.2">
      <c r="B36862" s="43"/>
    </row>
    <row r="36863" spans="2:2" ht="12.75" customHeight="1" x14ac:dyDescent="0.2">
      <c r="B36863" s="43"/>
    </row>
    <row r="36864" spans="2:2" ht="12.75" customHeight="1" x14ac:dyDescent="0.2">
      <c r="B36864" s="43"/>
    </row>
    <row r="36865" spans="2:2" ht="12.75" customHeight="1" x14ac:dyDescent="0.2">
      <c r="B36865" s="43"/>
    </row>
    <row r="36866" spans="2:2" ht="12.75" customHeight="1" x14ac:dyDescent="0.2">
      <c r="B36866" s="43"/>
    </row>
    <row r="36867" spans="2:2" ht="12.75" customHeight="1" x14ac:dyDescent="0.2">
      <c r="B36867" s="43"/>
    </row>
    <row r="36868" spans="2:2" ht="12.75" customHeight="1" x14ac:dyDescent="0.2">
      <c r="B36868" s="43"/>
    </row>
    <row r="36869" spans="2:2" ht="12.75" customHeight="1" x14ac:dyDescent="0.2">
      <c r="B36869" s="43"/>
    </row>
    <row r="36870" spans="2:2" ht="12.75" customHeight="1" x14ac:dyDescent="0.2">
      <c r="B36870" s="43"/>
    </row>
    <row r="36871" spans="2:2" ht="12.75" customHeight="1" x14ac:dyDescent="0.2">
      <c r="B36871" s="43"/>
    </row>
    <row r="36872" spans="2:2" ht="12.75" customHeight="1" x14ac:dyDescent="0.2">
      <c r="B36872" s="43"/>
    </row>
    <row r="36873" spans="2:2" ht="12.75" customHeight="1" x14ac:dyDescent="0.2">
      <c r="B36873" s="43"/>
    </row>
    <row r="36874" spans="2:2" ht="12.75" customHeight="1" x14ac:dyDescent="0.2">
      <c r="B36874" s="43"/>
    </row>
    <row r="36875" spans="2:2" ht="12.75" customHeight="1" x14ac:dyDescent="0.2">
      <c r="B36875" s="43"/>
    </row>
    <row r="36876" spans="2:2" ht="12.75" customHeight="1" x14ac:dyDescent="0.2">
      <c r="B36876" s="43"/>
    </row>
    <row r="36877" spans="2:2" ht="12.75" customHeight="1" x14ac:dyDescent="0.2">
      <c r="B36877" s="43"/>
    </row>
    <row r="36878" spans="2:2" ht="12.75" customHeight="1" x14ac:dyDescent="0.2">
      <c r="B36878" s="43"/>
    </row>
    <row r="36879" spans="2:2" ht="12.75" customHeight="1" x14ac:dyDescent="0.2">
      <c r="B36879" s="43"/>
    </row>
    <row r="36880" spans="2:2" ht="12.75" customHeight="1" x14ac:dyDescent="0.2">
      <c r="B36880" s="43"/>
    </row>
    <row r="36881" spans="2:2" ht="12.75" customHeight="1" x14ac:dyDescent="0.2">
      <c r="B36881" s="43"/>
    </row>
    <row r="36882" spans="2:2" ht="12.75" customHeight="1" x14ac:dyDescent="0.2">
      <c r="B36882" s="43"/>
    </row>
    <row r="36883" spans="2:2" ht="12.75" customHeight="1" x14ac:dyDescent="0.2">
      <c r="B36883" s="43"/>
    </row>
    <row r="36884" spans="2:2" ht="12.75" customHeight="1" x14ac:dyDescent="0.2">
      <c r="B36884" s="43"/>
    </row>
    <row r="36885" spans="2:2" ht="12.75" customHeight="1" x14ac:dyDescent="0.2">
      <c r="B36885" s="43"/>
    </row>
    <row r="36886" spans="2:2" ht="12.75" customHeight="1" x14ac:dyDescent="0.2">
      <c r="B36886" s="43"/>
    </row>
    <row r="36887" spans="2:2" ht="12.75" customHeight="1" x14ac:dyDescent="0.2">
      <c r="B36887" s="43"/>
    </row>
    <row r="36888" spans="2:2" ht="12.75" customHeight="1" x14ac:dyDescent="0.2">
      <c r="B36888" s="43"/>
    </row>
    <row r="36889" spans="2:2" ht="12.75" customHeight="1" x14ac:dyDescent="0.2">
      <c r="B36889" s="43"/>
    </row>
    <row r="36890" spans="2:2" ht="12.75" customHeight="1" x14ac:dyDescent="0.2">
      <c r="B36890" s="43"/>
    </row>
    <row r="36891" spans="2:2" ht="12.75" customHeight="1" x14ac:dyDescent="0.2">
      <c r="B36891" s="43"/>
    </row>
    <row r="36892" spans="2:2" ht="12.75" customHeight="1" x14ac:dyDescent="0.2">
      <c r="B36892" s="43"/>
    </row>
    <row r="36893" spans="2:2" ht="12.75" customHeight="1" x14ac:dyDescent="0.2">
      <c r="B36893" s="43"/>
    </row>
    <row r="36894" spans="2:2" ht="12.75" customHeight="1" x14ac:dyDescent="0.2">
      <c r="B36894" s="43"/>
    </row>
    <row r="36895" spans="2:2" ht="12.75" customHeight="1" x14ac:dyDescent="0.2">
      <c r="B36895" s="43"/>
    </row>
    <row r="36896" spans="2:2" ht="12.75" customHeight="1" x14ac:dyDescent="0.2">
      <c r="B36896" s="43"/>
    </row>
    <row r="36897" spans="2:2" ht="12.75" customHeight="1" x14ac:dyDescent="0.2">
      <c r="B36897" s="43"/>
    </row>
    <row r="36898" spans="2:2" ht="12.75" customHeight="1" x14ac:dyDescent="0.2">
      <c r="B36898" s="43"/>
    </row>
    <row r="36899" spans="2:2" ht="12.75" customHeight="1" x14ac:dyDescent="0.2">
      <c r="B36899" s="43"/>
    </row>
    <row r="36900" spans="2:2" ht="12.75" customHeight="1" x14ac:dyDescent="0.2">
      <c r="B36900" s="43"/>
    </row>
    <row r="36901" spans="2:2" ht="12.75" customHeight="1" x14ac:dyDescent="0.2">
      <c r="B36901" s="43"/>
    </row>
    <row r="36902" spans="2:2" ht="12.75" customHeight="1" x14ac:dyDescent="0.2">
      <c r="B36902" s="43"/>
    </row>
    <row r="36903" spans="2:2" ht="12.75" customHeight="1" x14ac:dyDescent="0.2">
      <c r="B36903" s="43"/>
    </row>
    <row r="36904" spans="2:2" ht="12.75" customHeight="1" x14ac:dyDescent="0.2">
      <c r="B36904" s="43"/>
    </row>
    <row r="36905" spans="2:2" ht="12.75" customHeight="1" x14ac:dyDescent="0.2">
      <c r="B36905" s="43"/>
    </row>
    <row r="36906" spans="2:2" ht="12.75" customHeight="1" x14ac:dyDescent="0.2">
      <c r="B36906" s="43"/>
    </row>
    <row r="36907" spans="2:2" ht="12.75" customHeight="1" x14ac:dyDescent="0.2">
      <c r="B36907" s="43"/>
    </row>
    <row r="36908" spans="2:2" ht="12.75" customHeight="1" x14ac:dyDescent="0.2">
      <c r="B36908" s="43"/>
    </row>
    <row r="36909" spans="2:2" ht="12.75" customHeight="1" x14ac:dyDescent="0.2">
      <c r="B36909" s="43"/>
    </row>
    <row r="36910" spans="2:2" ht="12.75" customHeight="1" x14ac:dyDescent="0.2">
      <c r="B36910" s="43"/>
    </row>
    <row r="36911" spans="2:2" ht="12.75" customHeight="1" x14ac:dyDescent="0.2">
      <c r="B36911" s="43"/>
    </row>
    <row r="36912" spans="2:2" ht="12.75" customHeight="1" x14ac:dyDescent="0.2">
      <c r="B36912" s="43"/>
    </row>
    <row r="36913" spans="2:2" ht="12.75" customHeight="1" x14ac:dyDescent="0.2">
      <c r="B36913" s="43"/>
    </row>
    <row r="36914" spans="2:2" ht="12.75" customHeight="1" x14ac:dyDescent="0.2">
      <c r="B36914" s="43"/>
    </row>
    <row r="36915" spans="2:2" ht="12.75" customHeight="1" x14ac:dyDescent="0.2">
      <c r="B36915" s="43"/>
    </row>
    <row r="36916" spans="2:2" ht="12.75" customHeight="1" x14ac:dyDescent="0.2">
      <c r="B36916" s="43"/>
    </row>
    <row r="36917" spans="2:2" ht="12.75" customHeight="1" x14ac:dyDescent="0.2">
      <c r="B36917" s="43"/>
    </row>
    <row r="36918" spans="2:2" ht="12.75" customHeight="1" x14ac:dyDescent="0.2">
      <c r="B36918" s="43"/>
    </row>
    <row r="36919" spans="2:2" ht="12.75" customHeight="1" x14ac:dyDescent="0.2">
      <c r="B36919" s="43"/>
    </row>
    <row r="36920" spans="2:2" ht="12.75" customHeight="1" x14ac:dyDescent="0.2">
      <c r="B36920" s="43"/>
    </row>
    <row r="36921" spans="2:2" ht="12.75" customHeight="1" x14ac:dyDescent="0.2">
      <c r="B36921" s="43"/>
    </row>
    <row r="36922" spans="2:2" ht="12.75" customHeight="1" x14ac:dyDescent="0.2">
      <c r="B36922" s="43"/>
    </row>
    <row r="36923" spans="2:2" ht="12.75" customHeight="1" x14ac:dyDescent="0.2">
      <c r="B36923" s="43"/>
    </row>
    <row r="36924" spans="2:2" ht="12.75" customHeight="1" x14ac:dyDescent="0.2">
      <c r="B36924" s="43"/>
    </row>
    <row r="36925" spans="2:2" ht="12.75" customHeight="1" x14ac:dyDescent="0.2">
      <c r="B36925" s="43"/>
    </row>
    <row r="36926" spans="2:2" ht="12.75" customHeight="1" x14ac:dyDescent="0.2">
      <c r="B36926" s="43"/>
    </row>
    <row r="36927" spans="2:2" ht="12.75" customHeight="1" x14ac:dyDescent="0.2">
      <c r="B36927" s="43"/>
    </row>
    <row r="36928" spans="2:2" ht="12.75" customHeight="1" x14ac:dyDescent="0.2">
      <c r="B36928" s="43"/>
    </row>
    <row r="36929" spans="2:2" ht="12.75" customHeight="1" x14ac:dyDescent="0.2">
      <c r="B36929" s="43"/>
    </row>
    <row r="36930" spans="2:2" ht="12.75" customHeight="1" x14ac:dyDescent="0.2">
      <c r="B36930" s="43"/>
    </row>
    <row r="36931" spans="2:2" ht="12.75" customHeight="1" x14ac:dyDescent="0.2">
      <c r="B36931" s="43"/>
    </row>
    <row r="36932" spans="2:2" ht="12.75" customHeight="1" x14ac:dyDescent="0.2">
      <c r="B36932" s="43"/>
    </row>
    <row r="36933" spans="2:2" ht="12.75" customHeight="1" x14ac:dyDescent="0.2">
      <c r="B36933" s="43"/>
    </row>
    <row r="36934" spans="2:2" ht="12.75" customHeight="1" x14ac:dyDescent="0.2">
      <c r="B36934" s="43"/>
    </row>
    <row r="36935" spans="2:2" ht="12.75" customHeight="1" x14ac:dyDescent="0.2">
      <c r="B36935" s="43"/>
    </row>
    <row r="36936" spans="2:2" ht="12.75" customHeight="1" x14ac:dyDescent="0.2">
      <c r="B36936" s="43"/>
    </row>
    <row r="36937" spans="2:2" ht="12.75" customHeight="1" x14ac:dyDescent="0.2">
      <c r="B36937" s="43"/>
    </row>
    <row r="36938" spans="2:2" ht="12.75" customHeight="1" x14ac:dyDescent="0.2">
      <c r="B36938" s="43"/>
    </row>
    <row r="36939" spans="2:2" ht="12.75" customHeight="1" x14ac:dyDescent="0.2">
      <c r="B36939" s="43"/>
    </row>
    <row r="36940" spans="2:2" ht="12.75" customHeight="1" x14ac:dyDescent="0.2">
      <c r="B36940" s="43"/>
    </row>
    <row r="36941" spans="2:2" ht="12.75" customHeight="1" x14ac:dyDescent="0.2">
      <c r="B36941" s="43"/>
    </row>
    <row r="36942" spans="2:2" ht="12.75" customHeight="1" x14ac:dyDescent="0.2">
      <c r="B36942" s="43"/>
    </row>
    <row r="36943" spans="2:2" ht="12.75" customHeight="1" x14ac:dyDescent="0.2">
      <c r="B36943" s="43"/>
    </row>
    <row r="36944" spans="2:2" ht="12.75" customHeight="1" x14ac:dyDescent="0.2">
      <c r="B36944" s="43"/>
    </row>
    <row r="36945" spans="2:2" ht="12.75" customHeight="1" x14ac:dyDescent="0.2">
      <c r="B36945" s="43"/>
    </row>
    <row r="36946" spans="2:2" ht="12.75" customHeight="1" x14ac:dyDescent="0.2">
      <c r="B36946" s="43"/>
    </row>
    <row r="36947" spans="2:2" ht="12.75" customHeight="1" x14ac:dyDescent="0.2">
      <c r="B36947" s="43"/>
    </row>
    <row r="36948" spans="2:2" ht="12.75" customHeight="1" x14ac:dyDescent="0.2">
      <c r="B36948" s="43"/>
    </row>
    <row r="36949" spans="2:2" ht="12.75" customHeight="1" x14ac:dyDescent="0.2">
      <c r="B36949" s="43"/>
    </row>
    <row r="36950" spans="2:2" ht="12.75" customHeight="1" x14ac:dyDescent="0.2">
      <c r="B36950" s="43"/>
    </row>
    <row r="36951" spans="2:2" ht="12.75" customHeight="1" x14ac:dyDescent="0.2">
      <c r="B36951" s="43"/>
    </row>
    <row r="36952" spans="2:2" ht="12.75" customHeight="1" x14ac:dyDescent="0.2">
      <c r="B36952" s="43"/>
    </row>
    <row r="36953" spans="2:2" ht="12.75" customHeight="1" x14ac:dyDescent="0.2">
      <c r="B36953" s="43"/>
    </row>
    <row r="36954" spans="2:2" ht="12.75" customHeight="1" x14ac:dyDescent="0.2">
      <c r="B36954" s="43"/>
    </row>
    <row r="36955" spans="2:2" ht="12.75" customHeight="1" x14ac:dyDescent="0.2">
      <c r="B36955" s="43"/>
    </row>
    <row r="36956" spans="2:2" ht="12.75" customHeight="1" x14ac:dyDescent="0.2">
      <c r="B36956" s="43"/>
    </row>
    <row r="36957" spans="2:2" ht="12.75" customHeight="1" x14ac:dyDescent="0.2">
      <c r="B36957" s="43"/>
    </row>
    <row r="36958" spans="2:2" ht="12.75" customHeight="1" x14ac:dyDescent="0.2">
      <c r="B36958" s="43"/>
    </row>
    <row r="36959" spans="2:2" ht="12.75" customHeight="1" x14ac:dyDescent="0.2">
      <c r="B36959" s="43"/>
    </row>
    <row r="36960" spans="2:2" ht="12.75" customHeight="1" x14ac:dyDescent="0.2">
      <c r="B36960" s="43"/>
    </row>
    <row r="36961" spans="2:2" ht="12.75" customHeight="1" x14ac:dyDescent="0.2">
      <c r="B36961" s="43"/>
    </row>
    <row r="36962" spans="2:2" ht="12.75" customHeight="1" x14ac:dyDescent="0.2">
      <c r="B36962" s="43"/>
    </row>
    <row r="36963" spans="2:2" ht="12.75" customHeight="1" x14ac:dyDescent="0.2">
      <c r="B36963" s="43"/>
    </row>
    <row r="36964" spans="2:2" ht="12.75" customHeight="1" x14ac:dyDescent="0.2">
      <c r="B36964" s="43"/>
    </row>
    <row r="36965" spans="2:2" ht="12.75" customHeight="1" x14ac:dyDescent="0.2">
      <c r="B36965" s="43"/>
    </row>
    <row r="36966" spans="2:2" ht="12.75" customHeight="1" x14ac:dyDescent="0.2">
      <c r="B36966" s="43"/>
    </row>
    <row r="36967" spans="2:2" ht="12.75" customHeight="1" x14ac:dyDescent="0.2">
      <c r="B36967" s="43"/>
    </row>
    <row r="36968" spans="2:2" ht="12.75" customHeight="1" x14ac:dyDescent="0.2">
      <c r="B36968" s="43"/>
    </row>
    <row r="36969" spans="2:2" ht="12.75" customHeight="1" x14ac:dyDescent="0.2">
      <c r="B36969" s="43"/>
    </row>
    <row r="36970" spans="2:2" ht="12.75" customHeight="1" x14ac:dyDescent="0.2">
      <c r="B36970" s="43"/>
    </row>
    <row r="36971" spans="2:2" ht="12.75" customHeight="1" x14ac:dyDescent="0.2">
      <c r="B36971" s="43"/>
    </row>
    <row r="36972" spans="2:2" ht="12.75" customHeight="1" x14ac:dyDescent="0.2">
      <c r="B36972" s="43"/>
    </row>
    <row r="36973" spans="2:2" ht="12.75" customHeight="1" x14ac:dyDescent="0.2">
      <c r="B36973" s="43"/>
    </row>
    <row r="36974" spans="2:2" ht="12.75" customHeight="1" x14ac:dyDescent="0.2">
      <c r="B36974" s="43"/>
    </row>
    <row r="36975" spans="2:2" ht="12.75" customHeight="1" x14ac:dyDescent="0.2">
      <c r="B36975" s="43"/>
    </row>
    <row r="36976" spans="2:2" ht="12.75" customHeight="1" x14ac:dyDescent="0.2">
      <c r="B36976" s="43"/>
    </row>
    <row r="36977" spans="2:2" ht="12.75" customHeight="1" x14ac:dyDescent="0.2">
      <c r="B36977" s="43"/>
    </row>
    <row r="36978" spans="2:2" ht="12.75" customHeight="1" x14ac:dyDescent="0.2">
      <c r="B36978" s="43"/>
    </row>
    <row r="36979" spans="2:2" ht="12.75" customHeight="1" x14ac:dyDescent="0.2">
      <c r="B36979" s="43"/>
    </row>
    <row r="36980" spans="2:2" ht="12.75" customHeight="1" x14ac:dyDescent="0.2">
      <c r="B36980" s="43"/>
    </row>
    <row r="36981" spans="2:2" ht="12.75" customHeight="1" x14ac:dyDescent="0.2">
      <c r="B36981" s="43"/>
    </row>
    <row r="36982" spans="2:2" ht="12.75" customHeight="1" x14ac:dyDescent="0.2">
      <c r="B36982" s="43"/>
    </row>
    <row r="36983" spans="2:2" ht="12.75" customHeight="1" x14ac:dyDescent="0.2">
      <c r="B36983" s="43"/>
    </row>
    <row r="36984" spans="2:2" ht="12.75" customHeight="1" x14ac:dyDescent="0.2">
      <c r="B36984" s="43"/>
    </row>
    <row r="36985" spans="2:2" ht="12.75" customHeight="1" x14ac:dyDescent="0.2">
      <c r="B36985" s="43"/>
    </row>
    <row r="36986" spans="2:2" ht="12.75" customHeight="1" x14ac:dyDescent="0.2">
      <c r="B36986" s="43"/>
    </row>
    <row r="36987" spans="2:2" ht="12.75" customHeight="1" x14ac:dyDescent="0.2">
      <c r="B36987" s="43"/>
    </row>
    <row r="36988" spans="2:2" ht="12.75" customHeight="1" x14ac:dyDescent="0.2">
      <c r="B36988" s="43"/>
    </row>
    <row r="36989" spans="2:2" ht="12.75" customHeight="1" x14ac:dyDescent="0.2">
      <c r="B36989" s="43"/>
    </row>
    <row r="36990" spans="2:2" ht="12.75" customHeight="1" x14ac:dyDescent="0.2">
      <c r="B36990" s="43"/>
    </row>
    <row r="36991" spans="2:2" ht="12.75" customHeight="1" x14ac:dyDescent="0.2">
      <c r="B36991" s="43"/>
    </row>
    <row r="36992" spans="2:2" ht="12.75" customHeight="1" x14ac:dyDescent="0.2">
      <c r="B36992" s="43"/>
    </row>
    <row r="36993" spans="2:2" ht="12.75" customHeight="1" x14ac:dyDescent="0.2">
      <c r="B36993" s="43"/>
    </row>
    <row r="36994" spans="2:2" ht="12.75" customHeight="1" x14ac:dyDescent="0.2">
      <c r="B36994" s="43"/>
    </row>
    <row r="36995" spans="2:2" ht="12.75" customHeight="1" x14ac:dyDescent="0.2">
      <c r="B36995" s="43"/>
    </row>
    <row r="36996" spans="2:2" ht="12.75" customHeight="1" x14ac:dyDescent="0.2">
      <c r="B36996" s="43"/>
    </row>
    <row r="36997" spans="2:2" ht="12.75" customHeight="1" x14ac:dyDescent="0.2">
      <c r="B36997" s="43"/>
    </row>
    <row r="36998" spans="2:2" ht="12.75" customHeight="1" x14ac:dyDescent="0.2">
      <c r="B36998" s="43"/>
    </row>
    <row r="36999" spans="2:2" ht="12.75" customHeight="1" x14ac:dyDescent="0.2">
      <c r="B36999" s="43"/>
    </row>
    <row r="37000" spans="2:2" ht="12.75" customHeight="1" x14ac:dyDescent="0.2">
      <c r="B37000" s="43"/>
    </row>
    <row r="37001" spans="2:2" ht="12.75" customHeight="1" x14ac:dyDescent="0.2">
      <c r="B37001" s="43"/>
    </row>
    <row r="37002" spans="2:2" ht="12.75" customHeight="1" x14ac:dyDescent="0.2">
      <c r="B37002" s="43"/>
    </row>
    <row r="37003" spans="2:2" ht="12.75" customHeight="1" x14ac:dyDescent="0.2">
      <c r="B37003" s="43"/>
    </row>
    <row r="37004" spans="2:2" ht="12.75" customHeight="1" x14ac:dyDescent="0.2">
      <c r="B37004" s="43"/>
    </row>
    <row r="37005" spans="2:2" ht="12.75" customHeight="1" x14ac:dyDescent="0.2">
      <c r="B37005" s="43"/>
    </row>
    <row r="37006" spans="2:2" ht="12.75" customHeight="1" x14ac:dyDescent="0.2">
      <c r="B37006" s="43"/>
    </row>
    <row r="37007" spans="2:2" ht="12.75" customHeight="1" x14ac:dyDescent="0.2">
      <c r="B37007" s="43"/>
    </row>
    <row r="37008" spans="2:2" ht="12.75" customHeight="1" x14ac:dyDescent="0.2">
      <c r="B37008" s="43"/>
    </row>
    <row r="37009" spans="2:2" ht="12.75" customHeight="1" x14ac:dyDescent="0.2">
      <c r="B37009" s="43"/>
    </row>
    <row r="37010" spans="2:2" ht="12.75" customHeight="1" x14ac:dyDescent="0.2">
      <c r="B37010" s="43"/>
    </row>
    <row r="37011" spans="2:2" ht="12.75" customHeight="1" x14ac:dyDescent="0.2">
      <c r="B37011" s="43"/>
    </row>
    <row r="37012" spans="2:2" ht="12.75" customHeight="1" x14ac:dyDescent="0.2">
      <c r="B37012" s="43"/>
    </row>
    <row r="37013" spans="2:2" ht="12.75" customHeight="1" x14ac:dyDescent="0.2">
      <c r="B37013" s="43"/>
    </row>
    <row r="37014" spans="2:2" ht="12.75" customHeight="1" x14ac:dyDescent="0.2">
      <c r="B37014" s="43"/>
    </row>
    <row r="37015" spans="2:2" ht="12.75" customHeight="1" x14ac:dyDescent="0.2">
      <c r="B37015" s="43"/>
    </row>
    <row r="37016" spans="2:2" ht="12.75" customHeight="1" x14ac:dyDescent="0.2">
      <c r="B37016" s="43"/>
    </row>
    <row r="37017" spans="2:2" ht="12.75" customHeight="1" x14ac:dyDescent="0.2">
      <c r="B37017" s="43"/>
    </row>
    <row r="37018" spans="2:2" ht="12.75" customHeight="1" x14ac:dyDescent="0.2">
      <c r="B37018" s="43"/>
    </row>
    <row r="37019" spans="2:2" ht="12.75" customHeight="1" x14ac:dyDescent="0.2">
      <c r="B37019" s="43"/>
    </row>
    <row r="37020" spans="2:2" ht="12.75" customHeight="1" x14ac:dyDescent="0.2">
      <c r="B37020" s="43"/>
    </row>
    <row r="37021" spans="2:2" ht="12.75" customHeight="1" x14ac:dyDescent="0.2">
      <c r="B37021" s="43"/>
    </row>
    <row r="37022" spans="2:2" ht="12.75" customHeight="1" x14ac:dyDescent="0.2">
      <c r="B37022" s="43"/>
    </row>
    <row r="37023" spans="2:2" ht="12.75" customHeight="1" x14ac:dyDescent="0.2">
      <c r="B37023" s="43"/>
    </row>
    <row r="37024" spans="2:2" ht="12.75" customHeight="1" x14ac:dyDescent="0.2">
      <c r="B37024" s="43"/>
    </row>
    <row r="37025" spans="2:2" ht="12.75" customHeight="1" x14ac:dyDescent="0.2">
      <c r="B37025" s="43"/>
    </row>
    <row r="37026" spans="2:2" ht="12.75" customHeight="1" x14ac:dyDescent="0.2">
      <c r="B37026" s="43"/>
    </row>
    <row r="37027" spans="2:2" ht="12.75" customHeight="1" x14ac:dyDescent="0.2">
      <c r="B37027" s="43"/>
    </row>
    <row r="37028" spans="2:2" ht="12.75" customHeight="1" x14ac:dyDescent="0.2">
      <c r="B37028" s="43"/>
    </row>
    <row r="37029" spans="2:2" ht="12.75" customHeight="1" x14ac:dyDescent="0.2">
      <c r="B37029" s="43"/>
    </row>
    <row r="37030" spans="2:2" ht="12.75" customHeight="1" x14ac:dyDescent="0.2">
      <c r="B37030" s="43"/>
    </row>
    <row r="37031" spans="2:2" ht="12.75" customHeight="1" x14ac:dyDescent="0.2">
      <c r="B37031" s="43"/>
    </row>
    <row r="37032" spans="2:2" ht="12.75" customHeight="1" x14ac:dyDescent="0.2">
      <c r="B37032" s="43"/>
    </row>
    <row r="37033" spans="2:2" ht="12.75" customHeight="1" x14ac:dyDescent="0.2">
      <c r="B37033" s="43"/>
    </row>
    <row r="37034" spans="2:2" ht="12.75" customHeight="1" x14ac:dyDescent="0.2">
      <c r="B37034" s="43"/>
    </row>
    <row r="37035" spans="2:2" ht="12.75" customHeight="1" x14ac:dyDescent="0.2">
      <c r="B37035" s="43"/>
    </row>
    <row r="37036" spans="2:2" ht="12.75" customHeight="1" x14ac:dyDescent="0.2">
      <c r="B37036" s="43"/>
    </row>
    <row r="37037" spans="2:2" ht="12.75" customHeight="1" x14ac:dyDescent="0.2">
      <c r="B37037" s="43"/>
    </row>
    <row r="37038" spans="2:2" ht="12.75" customHeight="1" x14ac:dyDescent="0.2">
      <c r="B37038" s="43"/>
    </row>
    <row r="37039" spans="2:2" ht="12.75" customHeight="1" x14ac:dyDescent="0.2">
      <c r="B37039" s="43"/>
    </row>
    <row r="37040" spans="2:2" ht="12.75" customHeight="1" x14ac:dyDescent="0.2">
      <c r="B37040" s="43"/>
    </row>
    <row r="37041" spans="2:2" ht="12.75" customHeight="1" x14ac:dyDescent="0.2">
      <c r="B37041" s="43"/>
    </row>
    <row r="37042" spans="2:2" ht="12.75" customHeight="1" x14ac:dyDescent="0.2">
      <c r="B37042" s="43"/>
    </row>
    <row r="37043" spans="2:2" ht="12.75" customHeight="1" x14ac:dyDescent="0.2">
      <c r="B37043" s="43"/>
    </row>
    <row r="37044" spans="2:2" ht="12.75" customHeight="1" x14ac:dyDescent="0.2">
      <c r="B37044" s="43"/>
    </row>
    <row r="37045" spans="2:2" ht="12.75" customHeight="1" x14ac:dyDescent="0.2">
      <c r="B37045" s="43"/>
    </row>
    <row r="37046" spans="2:2" ht="12.75" customHeight="1" x14ac:dyDescent="0.2">
      <c r="B37046" s="43"/>
    </row>
    <row r="37047" spans="2:2" ht="12.75" customHeight="1" x14ac:dyDescent="0.2">
      <c r="B37047" s="43"/>
    </row>
    <row r="37048" spans="2:2" ht="12.75" customHeight="1" x14ac:dyDescent="0.2">
      <c r="B37048" s="43"/>
    </row>
    <row r="37049" spans="2:2" ht="12.75" customHeight="1" x14ac:dyDescent="0.2">
      <c r="B37049" s="43"/>
    </row>
    <row r="37050" spans="2:2" ht="12.75" customHeight="1" x14ac:dyDescent="0.2">
      <c r="B37050" s="43"/>
    </row>
    <row r="37051" spans="2:2" ht="12.75" customHeight="1" x14ac:dyDescent="0.2">
      <c r="B37051" s="43"/>
    </row>
    <row r="37052" spans="2:2" ht="12.75" customHeight="1" x14ac:dyDescent="0.2">
      <c r="B37052" s="43"/>
    </row>
    <row r="37053" spans="2:2" ht="12.75" customHeight="1" x14ac:dyDescent="0.2">
      <c r="B37053" s="43"/>
    </row>
    <row r="37054" spans="2:2" ht="12.75" customHeight="1" x14ac:dyDescent="0.2">
      <c r="B37054" s="43"/>
    </row>
    <row r="37055" spans="2:2" ht="12.75" customHeight="1" x14ac:dyDescent="0.2">
      <c r="B37055" s="43"/>
    </row>
    <row r="37056" spans="2:2" ht="12.75" customHeight="1" x14ac:dyDescent="0.2">
      <c r="B37056" s="43"/>
    </row>
    <row r="37057" spans="2:2" ht="12.75" customHeight="1" x14ac:dyDescent="0.2">
      <c r="B37057" s="43"/>
    </row>
    <row r="37058" spans="2:2" ht="12.75" customHeight="1" x14ac:dyDescent="0.2">
      <c r="B37058" s="43"/>
    </row>
    <row r="37059" spans="2:2" ht="12.75" customHeight="1" x14ac:dyDescent="0.2">
      <c r="B37059" s="43"/>
    </row>
    <row r="37060" spans="2:2" ht="12.75" customHeight="1" x14ac:dyDescent="0.2">
      <c r="B37060" s="43"/>
    </row>
    <row r="37061" spans="2:2" ht="12.75" customHeight="1" x14ac:dyDescent="0.2">
      <c r="B37061" s="43"/>
    </row>
    <row r="37062" spans="2:2" ht="12.75" customHeight="1" x14ac:dyDescent="0.2">
      <c r="B37062" s="43"/>
    </row>
    <row r="37063" spans="2:2" ht="12.75" customHeight="1" x14ac:dyDescent="0.2">
      <c r="B37063" s="43"/>
    </row>
    <row r="37064" spans="2:2" ht="12.75" customHeight="1" x14ac:dyDescent="0.2">
      <c r="B37064" s="43"/>
    </row>
    <row r="37065" spans="2:2" ht="12.75" customHeight="1" x14ac:dyDescent="0.2">
      <c r="B37065" s="43"/>
    </row>
    <row r="37066" spans="2:2" ht="12.75" customHeight="1" x14ac:dyDescent="0.2">
      <c r="B37066" s="43"/>
    </row>
    <row r="37067" spans="2:2" ht="12.75" customHeight="1" x14ac:dyDescent="0.2">
      <c r="B37067" s="43"/>
    </row>
    <row r="37068" spans="2:2" ht="12.75" customHeight="1" x14ac:dyDescent="0.2">
      <c r="B37068" s="43"/>
    </row>
    <row r="37069" spans="2:2" ht="12.75" customHeight="1" x14ac:dyDescent="0.2">
      <c r="B37069" s="43"/>
    </row>
    <row r="37070" spans="2:2" ht="12.75" customHeight="1" x14ac:dyDescent="0.2">
      <c r="B37070" s="43"/>
    </row>
    <row r="37071" spans="2:2" ht="12.75" customHeight="1" x14ac:dyDescent="0.2">
      <c r="B37071" s="43"/>
    </row>
    <row r="37072" spans="2:2" ht="12.75" customHeight="1" x14ac:dyDescent="0.2">
      <c r="B37072" s="43"/>
    </row>
    <row r="37073" spans="2:2" ht="12.75" customHeight="1" x14ac:dyDescent="0.2">
      <c r="B37073" s="43"/>
    </row>
    <row r="37074" spans="2:2" ht="12.75" customHeight="1" x14ac:dyDescent="0.2">
      <c r="B37074" s="43"/>
    </row>
    <row r="37075" spans="2:2" ht="12.75" customHeight="1" x14ac:dyDescent="0.2">
      <c r="B37075" s="43"/>
    </row>
    <row r="37076" spans="2:2" ht="12.75" customHeight="1" x14ac:dyDescent="0.2">
      <c r="B37076" s="43"/>
    </row>
    <row r="37077" spans="2:2" ht="12.75" customHeight="1" x14ac:dyDescent="0.2">
      <c r="B37077" s="43"/>
    </row>
    <row r="37078" spans="2:2" ht="12.75" customHeight="1" x14ac:dyDescent="0.2">
      <c r="B37078" s="43"/>
    </row>
    <row r="37079" spans="2:2" ht="12.75" customHeight="1" x14ac:dyDescent="0.2">
      <c r="B37079" s="43"/>
    </row>
    <row r="37080" spans="2:2" ht="12.75" customHeight="1" x14ac:dyDescent="0.2">
      <c r="B37080" s="43"/>
    </row>
    <row r="37081" spans="2:2" ht="12.75" customHeight="1" x14ac:dyDescent="0.2">
      <c r="B37081" s="43"/>
    </row>
    <row r="37082" spans="2:2" ht="12.75" customHeight="1" x14ac:dyDescent="0.2">
      <c r="B37082" s="43"/>
    </row>
    <row r="37083" spans="2:2" ht="12.75" customHeight="1" x14ac:dyDescent="0.2">
      <c r="B37083" s="43"/>
    </row>
    <row r="37084" spans="2:2" ht="12.75" customHeight="1" x14ac:dyDescent="0.2">
      <c r="B37084" s="43"/>
    </row>
    <row r="37085" spans="2:2" ht="12.75" customHeight="1" x14ac:dyDescent="0.2">
      <c r="B37085" s="43"/>
    </row>
    <row r="37086" spans="2:2" ht="12.75" customHeight="1" x14ac:dyDescent="0.2">
      <c r="B37086" s="43"/>
    </row>
    <row r="37087" spans="2:2" ht="12.75" customHeight="1" x14ac:dyDescent="0.2">
      <c r="B37087" s="43"/>
    </row>
    <row r="37088" spans="2:2" ht="12.75" customHeight="1" x14ac:dyDescent="0.2">
      <c r="B37088" s="43"/>
    </row>
    <row r="37089" spans="2:2" ht="12.75" customHeight="1" x14ac:dyDescent="0.2">
      <c r="B37089" s="43"/>
    </row>
    <row r="37090" spans="2:2" ht="12.75" customHeight="1" x14ac:dyDescent="0.2">
      <c r="B37090" s="43"/>
    </row>
    <row r="37091" spans="2:2" ht="12.75" customHeight="1" x14ac:dyDescent="0.2">
      <c r="B37091" s="43"/>
    </row>
    <row r="37092" spans="2:2" ht="12.75" customHeight="1" x14ac:dyDescent="0.2">
      <c r="B37092" s="43"/>
    </row>
    <row r="37093" spans="2:2" ht="12.75" customHeight="1" x14ac:dyDescent="0.2">
      <c r="B37093" s="43"/>
    </row>
    <row r="37094" spans="2:2" ht="12.75" customHeight="1" x14ac:dyDescent="0.2">
      <c r="B37094" s="43"/>
    </row>
    <row r="37095" spans="2:2" ht="12.75" customHeight="1" x14ac:dyDescent="0.2">
      <c r="B37095" s="43"/>
    </row>
    <row r="37096" spans="2:2" ht="12.75" customHeight="1" x14ac:dyDescent="0.2">
      <c r="B37096" s="43"/>
    </row>
    <row r="37097" spans="2:2" ht="12.75" customHeight="1" x14ac:dyDescent="0.2">
      <c r="B37097" s="43"/>
    </row>
    <row r="37098" spans="2:2" ht="12.75" customHeight="1" x14ac:dyDescent="0.2">
      <c r="B37098" s="43"/>
    </row>
    <row r="37099" spans="2:2" ht="12.75" customHeight="1" x14ac:dyDescent="0.2">
      <c r="B37099" s="43"/>
    </row>
    <row r="37100" spans="2:2" ht="12.75" customHeight="1" x14ac:dyDescent="0.2">
      <c r="B37100" s="43"/>
    </row>
    <row r="37101" spans="2:2" ht="12.75" customHeight="1" x14ac:dyDescent="0.2">
      <c r="B37101" s="43"/>
    </row>
    <row r="37102" spans="2:2" ht="12.75" customHeight="1" x14ac:dyDescent="0.2">
      <c r="B37102" s="43"/>
    </row>
    <row r="37103" spans="2:2" ht="12.75" customHeight="1" x14ac:dyDescent="0.2">
      <c r="B37103" s="43"/>
    </row>
    <row r="37104" spans="2:2" ht="12.75" customHeight="1" x14ac:dyDescent="0.2">
      <c r="B37104" s="43"/>
    </row>
    <row r="37105" spans="2:2" ht="12.75" customHeight="1" x14ac:dyDescent="0.2">
      <c r="B37105" s="43"/>
    </row>
    <row r="37106" spans="2:2" ht="12.75" customHeight="1" x14ac:dyDescent="0.2">
      <c r="B37106" s="43"/>
    </row>
    <row r="37107" spans="2:2" ht="12.75" customHeight="1" x14ac:dyDescent="0.2">
      <c r="B37107" s="43"/>
    </row>
    <row r="37108" spans="2:2" ht="12.75" customHeight="1" x14ac:dyDescent="0.2">
      <c r="B37108" s="43"/>
    </row>
    <row r="37109" spans="2:2" ht="12.75" customHeight="1" x14ac:dyDescent="0.2">
      <c r="B37109" s="43"/>
    </row>
    <row r="37110" spans="2:2" ht="12.75" customHeight="1" x14ac:dyDescent="0.2">
      <c r="B37110" s="43"/>
    </row>
    <row r="37111" spans="2:2" ht="12.75" customHeight="1" x14ac:dyDescent="0.2">
      <c r="B37111" s="43"/>
    </row>
    <row r="37112" spans="2:2" ht="12.75" customHeight="1" x14ac:dyDescent="0.2">
      <c r="B37112" s="43"/>
    </row>
    <row r="37113" spans="2:2" ht="12.75" customHeight="1" x14ac:dyDescent="0.2">
      <c r="B37113" s="43"/>
    </row>
    <row r="37114" spans="2:2" ht="12.75" customHeight="1" x14ac:dyDescent="0.2">
      <c r="B37114" s="43"/>
    </row>
    <row r="37115" spans="2:2" ht="12.75" customHeight="1" x14ac:dyDescent="0.2">
      <c r="B37115" s="43"/>
    </row>
    <row r="37116" spans="2:2" ht="12.75" customHeight="1" x14ac:dyDescent="0.2">
      <c r="B37116" s="43"/>
    </row>
    <row r="37117" spans="2:2" ht="12.75" customHeight="1" x14ac:dyDescent="0.2">
      <c r="B37117" s="43"/>
    </row>
    <row r="37118" spans="2:2" ht="12.75" customHeight="1" x14ac:dyDescent="0.2">
      <c r="B37118" s="43"/>
    </row>
    <row r="37119" spans="2:2" ht="12.75" customHeight="1" x14ac:dyDescent="0.2">
      <c r="B37119" s="43"/>
    </row>
    <row r="37120" spans="2:2" ht="12.75" customHeight="1" x14ac:dyDescent="0.2">
      <c r="B37120" s="43"/>
    </row>
    <row r="37121" spans="2:2" ht="12.75" customHeight="1" x14ac:dyDescent="0.2">
      <c r="B37121" s="43"/>
    </row>
    <row r="37122" spans="2:2" ht="12.75" customHeight="1" x14ac:dyDescent="0.2">
      <c r="B37122" s="43"/>
    </row>
    <row r="37123" spans="2:2" ht="12.75" customHeight="1" x14ac:dyDescent="0.2">
      <c r="B37123" s="43"/>
    </row>
    <row r="37124" spans="2:2" ht="12.75" customHeight="1" x14ac:dyDescent="0.2">
      <c r="B37124" s="43"/>
    </row>
    <row r="37125" spans="2:2" ht="12.75" customHeight="1" x14ac:dyDescent="0.2">
      <c r="B37125" s="43"/>
    </row>
    <row r="37126" spans="2:2" ht="12.75" customHeight="1" x14ac:dyDescent="0.2">
      <c r="B37126" s="43"/>
    </row>
    <row r="37127" spans="2:2" ht="12.75" customHeight="1" x14ac:dyDescent="0.2">
      <c r="B37127" s="43"/>
    </row>
    <row r="37128" spans="2:2" ht="12.75" customHeight="1" x14ac:dyDescent="0.2">
      <c r="B37128" s="43"/>
    </row>
    <row r="37129" spans="2:2" ht="12.75" customHeight="1" x14ac:dyDescent="0.2">
      <c r="B37129" s="43"/>
    </row>
    <row r="37130" spans="2:2" ht="12.75" customHeight="1" x14ac:dyDescent="0.2">
      <c r="B37130" s="43"/>
    </row>
    <row r="37131" spans="2:2" ht="12.75" customHeight="1" x14ac:dyDescent="0.2">
      <c r="B37131" s="43"/>
    </row>
    <row r="37132" spans="2:2" ht="12.75" customHeight="1" x14ac:dyDescent="0.2">
      <c r="B37132" s="43"/>
    </row>
    <row r="37133" spans="2:2" ht="12.75" customHeight="1" x14ac:dyDescent="0.2">
      <c r="B37133" s="43"/>
    </row>
    <row r="37134" spans="2:2" ht="12.75" customHeight="1" x14ac:dyDescent="0.2">
      <c r="B37134" s="43"/>
    </row>
    <row r="37135" spans="2:2" ht="12.75" customHeight="1" x14ac:dyDescent="0.2">
      <c r="B37135" s="43"/>
    </row>
    <row r="37136" spans="2:2" ht="12.75" customHeight="1" x14ac:dyDescent="0.2">
      <c r="B37136" s="43"/>
    </row>
    <row r="37137" spans="2:2" ht="12.75" customHeight="1" x14ac:dyDescent="0.2">
      <c r="B37137" s="43"/>
    </row>
    <row r="37138" spans="2:2" ht="12.75" customHeight="1" x14ac:dyDescent="0.2">
      <c r="B37138" s="43"/>
    </row>
    <row r="37139" spans="2:2" ht="12.75" customHeight="1" x14ac:dyDescent="0.2">
      <c r="B37139" s="43"/>
    </row>
    <row r="37140" spans="2:2" ht="12.75" customHeight="1" x14ac:dyDescent="0.2">
      <c r="B37140" s="43"/>
    </row>
    <row r="37141" spans="2:2" ht="12.75" customHeight="1" x14ac:dyDescent="0.2">
      <c r="B37141" s="43"/>
    </row>
    <row r="37142" spans="2:2" ht="12.75" customHeight="1" x14ac:dyDescent="0.2">
      <c r="B37142" s="43"/>
    </row>
    <row r="37143" spans="2:2" ht="12.75" customHeight="1" x14ac:dyDescent="0.2">
      <c r="B37143" s="43"/>
    </row>
    <row r="37144" spans="2:2" ht="12.75" customHeight="1" x14ac:dyDescent="0.2">
      <c r="B37144" s="43"/>
    </row>
    <row r="37145" spans="2:2" ht="12.75" customHeight="1" x14ac:dyDescent="0.2">
      <c r="B37145" s="43"/>
    </row>
    <row r="37146" spans="2:2" ht="12.75" customHeight="1" x14ac:dyDescent="0.2">
      <c r="B37146" s="43"/>
    </row>
    <row r="37147" spans="2:2" ht="12.75" customHeight="1" x14ac:dyDescent="0.2">
      <c r="B37147" s="43"/>
    </row>
    <row r="37148" spans="2:2" ht="12.75" customHeight="1" x14ac:dyDescent="0.2">
      <c r="B37148" s="43"/>
    </row>
    <row r="37149" spans="2:2" ht="12.75" customHeight="1" x14ac:dyDescent="0.2">
      <c r="B37149" s="43"/>
    </row>
    <row r="37150" spans="2:2" ht="12.75" customHeight="1" x14ac:dyDescent="0.2">
      <c r="B37150" s="43"/>
    </row>
    <row r="37151" spans="2:2" ht="12.75" customHeight="1" x14ac:dyDescent="0.2">
      <c r="B37151" s="43"/>
    </row>
    <row r="37152" spans="2:2" ht="12.75" customHeight="1" x14ac:dyDescent="0.2">
      <c r="B37152" s="43"/>
    </row>
    <row r="37153" spans="2:2" ht="12.75" customHeight="1" x14ac:dyDescent="0.2">
      <c r="B37153" s="43"/>
    </row>
    <row r="37154" spans="2:2" ht="12.75" customHeight="1" x14ac:dyDescent="0.2">
      <c r="B37154" s="43"/>
    </row>
    <row r="37155" spans="2:2" ht="12.75" customHeight="1" x14ac:dyDescent="0.2">
      <c r="B37155" s="43"/>
    </row>
    <row r="37156" spans="2:2" ht="12.75" customHeight="1" x14ac:dyDescent="0.2">
      <c r="B37156" s="43"/>
    </row>
    <row r="37157" spans="2:2" ht="12.75" customHeight="1" x14ac:dyDescent="0.2">
      <c r="B37157" s="43"/>
    </row>
    <row r="37158" spans="2:2" ht="12.75" customHeight="1" x14ac:dyDescent="0.2">
      <c r="B37158" s="43"/>
    </row>
    <row r="37159" spans="2:2" ht="12.75" customHeight="1" x14ac:dyDescent="0.2">
      <c r="B37159" s="43"/>
    </row>
    <row r="37160" spans="2:2" ht="12.75" customHeight="1" x14ac:dyDescent="0.2">
      <c r="B37160" s="43"/>
    </row>
    <row r="37161" spans="2:2" ht="12.75" customHeight="1" x14ac:dyDescent="0.2">
      <c r="B37161" s="43"/>
    </row>
    <row r="37162" spans="2:2" ht="12.75" customHeight="1" x14ac:dyDescent="0.2">
      <c r="B37162" s="43"/>
    </row>
    <row r="37163" spans="2:2" ht="12.75" customHeight="1" x14ac:dyDescent="0.2">
      <c r="B37163" s="43"/>
    </row>
    <row r="37164" spans="2:2" ht="12.75" customHeight="1" x14ac:dyDescent="0.2">
      <c r="B37164" s="43"/>
    </row>
    <row r="37165" spans="2:2" ht="12.75" customHeight="1" x14ac:dyDescent="0.2">
      <c r="B37165" s="43"/>
    </row>
    <row r="37166" spans="2:2" ht="12.75" customHeight="1" x14ac:dyDescent="0.2">
      <c r="B37166" s="43"/>
    </row>
    <row r="37167" spans="2:2" ht="12.75" customHeight="1" x14ac:dyDescent="0.2">
      <c r="B37167" s="43"/>
    </row>
    <row r="37168" spans="2:2" ht="12.75" customHeight="1" x14ac:dyDescent="0.2">
      <c r="B37168" s="43"/>
    </row>
    <row r="37169" spans="2:2" ht="12.75" customHeight="1" x14ac:dyDescent="0.2">
      <c r="B37169" s="43"/>
    </row>
    <row r="37170" spans="2:2" ht="12.75" customHeight="1" x14ac:dyDescent="0.2">
      <c r="B37170" s="43"/>
    </row>
    <row r="37171" spans="2:2" ht="12.75" customHeight="1" x14ac:dyDescent="0.2">
      <c r="B37171" s="43"/>
    </row>
    <row r="37172" spans="2:2" ht="12.75" customHeight="1" x14ac:dyDescent="0.2">
      <c r="B37172" s="43"/>
    </row>
    <row r="37173" spans="2:2" ht="12.75" customHeight="1" x14ac:dyDescent="0.2">
      <c r="B37173" s="43"/>
    </row>
    <row r="37174" spans="2:2" ht="12.75" customHeight="1" x14ac:dyDescent="0.2">
      <c r="B37174" s="43"/>
    </row>
    <row r="37175" spans="2:2" ht="12.75" customHeight="1" x14ac:dyDescent="0.2">
      <c r="B37175" s="43"/>
    </row>
    <row r="37176" spans="2:2" ht="12.75" customHeight="1" x14ac:dyDescent="0.2">
      <c r="B37176" s="43"/>
    </row>
    <row r="37177" spans="2:2" ht="12.75" customHeight="1" x14ac:dyDescent="0.2">
      <c r="B37177" s="43"/>
    </row>
    <row r="37178" spans="2:2" ht="12.75" customHeight="1" x14ac:dyDescent="0.2">
      <c r="B37178" s="43"/>
    </row>
    <row r="37179" spans="2:2" ht="12.75" customHeight="1" x14ac:dyDescent="0.2">
      <c r="B37179" s="43"/>
    </row>
    <row r="37180" spans="2:2" ht="12.75" customHeight="1" x14ac:dyDescent="0.2">
      <c r="B37180" s="43"/>
    </row>
    <row r="37181" spans="2:2" ht="12.75" customHeight="1" x14ac:dyDescent="0.2">
      <c r="B37181" s="43"/>
    </row>
    <row r="37182" spans="2:2" ht="12.75" customHeight="1" x14ac:dyDescent="0.2">
      <c r="B37182" s="43"/>
    </row>
    <row r="37183" spans="2:2" ht="12.75" customHeight="1" x14ac:dyDescent="0.2">
      <c r="B37183" s="43"/>
    </row>
    <row r="37184" spans="2:2" ht="12.75" customHeight="1" x14ac:dyDescent="0.2">
      <c r="B37184" s="43"/>
    </row>
    <row r="37185" spans="2:2" ht="12.75" customHeight="1" x14ac:dyDescent="0.2">
      <c r="B37185" s="43"/>
    </row>
    <row r="37186" spans="2:2" ht="12.75" customHeight="1" x14ac:dyDescent="0.2">
      <c r="B37186" s="43"/>
    </row>
    <row r="37187" spans="2:2" ht="12.75" customHeight="1" x14ac:dyDescent="0.2">
      <c r="B37187" s="43"/>
    </row>
    <row r="37188" spans="2:2" ht="12.75" customHeight="1" x14ac:dyDescent="0.2">
      <c r="B37188" s="43"/>
    </row>
    <row r="37189" spans="2:2" ht="12.75" customHeight="1" x14ac:dyDescent="0.2">
      <c r="B37189" s="43"/>
    </row>
    <row r="37190" spans="2:2" ht="12.75" customHeight="1" x14ac:dyDescent="0.2">
      <c r="B37190" s="43"/>
    </row>
    <row r="37191" spans="2:2" ht="12.75" customHeight="1" x14ac:dyDescent="0.2">
      <c r="B37191" s="43"/>
    </row>
    <row r="37192" spans="2:2" ht="12.75" customHeight="1" x14ac:dyDescent="0.2">
      <c r="B37192" s="43"/>
    </row>
    <row r="37193" spans="2:2" ht="12.75" customHeight="1" x14ac:dyDescent="0.2">
      <c r="B37193" s="43"/>
    </row>
    <row r="37194" spans="2:2" ht="12.75" customHeight="1" x14ac:dyDescent="0.2">
      <c r="B37194" s="43"/>
    </row>
    <row r="37195" spans="2:2" ht="12.75" customHeight="1" x14ac:dyDescent="0.2">
      <c r="B37195" s="43"/>
    </row>
    <row r="37196" spans="2:2" ht="12.75" customHeight="1" x14ac:dyDescent="0.2">
      <c r="B37196" s="43"/>
    </row>
    <row r="37197" spans="2:2" ht="12.75" customHeight="1" x14ac:dyDescent="0.2">
      <c r="B37197" s="43"/>
    </row>
    <row r="37198" spans="2:2" ht="12.75" customHeight="1" x14ac:dyDescent="0.2">
      <c r="B37198" s="43"/>
    </row>
    <row r="37199" spans="2:2" ht="12.75" customHeight="1" x14ac:dyDescent="0.2">
      <c r="B37199" s="43"/>
    </row>
    <row r="37200" spans="2:2" ht="12.75" customHeight="1" x14ac:dyDescent="0.2">
      <c r="B37200" s="43"/>
    </row>
    <row r="37201" spans="2:2" ht="12.75" customHeight="1" x14ac:dyDescent="0.2">
      <c r="B37201" s="43"/>
    </row>
    <row r="37202" spans="2:2" ht="12.75" customHeight="1" x14ac:dyDescent="0.2">
      <c r="B37202" s="43"/>
    </row>
    <row r="37203" spans="2:2" ht="12.75" customHeight="1" x14ac:dyDescent="0.2">
      <c r="B37203" s="43"/>
    </row>
    <row r="37204" spans="2:2" ht="12.75" customHeight="1" x14ac:dyDescent="0.2">
      <c r="B37204" s="43"/>
    </row>
    <row r="37205" spans="2:2" ht="12.75" customHeight="1" x14ac:dyDescent="0.2">
      <c r="B37205" s="43"/>
    </row>
    <row r="37206" spans="2:2" ht="12.75" customHeight="1" x14ac:dyDescent="0.2">
      <c r="B37206" s="43"/>
    </row>
    <row r="37207" spans="2:2" ht="12.75" customHeight="1" x14ac:dyDescent="0.2">
      <c r="B37207" s="43"/>
    </row>
    <row r="37208" spans="2:2" ht="12.75" customHeight="1" x14ac:dyDescent="0.2">
      <c r="B37208" s="43"/>
    </row>
    <row r="37209" spans="2:2" ht="12.75" customHeight="1" x14ac:dyDescent="0.2">
      <c r="B37209" s="43"/>
    </row>
    <row r="37210" spans="2:2" ht="12.75" customHeight="1" x14ac:dyDescent="0.2">
      <c r="B37210" s="43"/>
    </row>
    <row r="37211" spans="2:2" ht="12.75" customHeight="1" x14ac:dyDescent="0.2">
      <c r="B37211" s="43"/>
    </row>
    <row r="37212" spans="2:2" ht="12.75" customHeight="1" x14ac:dyDescent="0.2">
      <c r="B37212" s="43"/>
    </row>
    <row r="37213" spans="2:2" ht="12.75" customHeight="1" x14ac:dyDescent="0.2">
      <c r="B37213" s="43"/>
    </row>
    <row r="37214" spans="2:2" ht="12.75" customHeight="1" x14ac:dyDescent="0.2">
      <c r="B37214" s="43"/>
    </row>
    <row r="37215" spans="2:2" ht="12.75" customHeight="1" x14ac:dyDescent="0.2">
      <c r="B37215" s="43"/>
    </row>
    <row r="37216" spans="2:2" ht="12.75" customHeight="1" x14ac:dyDescent="0.2">
      <c r="B37216" s="43"/>
    </row>
    <row r="37217" spans="2:2" ht="12.75" customHeight="1" x14ac:dyDescent="0.2">
      <c r="B37217" s="43"/>
    </row>
    <row r="37218" spans="2:2" ht="12.75" customHeight="1" x14ac:dyDescent="0.2">
      <c r="B37218" s="43"/>
    </row>
    <row r="37219" spans="2:2" ht="12.75" customHeight="1" x14ac:dyDescent="0.2">
      <c r="B37219" s="43"/>
    </row>
    <row r="37220" spans="2:2" ht="12.75" customHeight="1" x14ac:dyDescent="0.2">
      <c r="B37220" s="43"/>
    </row>
    <row r="37221" spans="2:2" ht="12.75" customHeight="1" x14ac:dyDescent="0.2">
      <c r="B37221" s="43"/>
    </row>
    <row r="37222" spans="2:2" ht="12.75" customHeight="1" x14ac:dyDescent="0.2">
      <c r="B37222" s="43"/>
    </row>
    <row r="37223" spans="2:2" ht="12.75" customHeight="1" x14ac:dyDescent="0.2">
      <c r="B37223" s="43"/>
    </row>
    <row r="37224" spans="2:2" ht="12.75" customHeight="1" x14ac:dyDescent="0.2">
      <c r="B37224" s="43"/>
    </row>
    <row r="37225" spans="2:2" ht="12.75" customHeight="1" x14ac:dyDescent="0.2">
      <c r="B37225" s="43"/>
    </row>
    <row r="37226" spans="2:2" ht="12.75" customHeight="1" x14ac:dyDescent="0.2">
      <c r="B37226" s="43"/>
    </row>
    <row r="37227" spans="2:2" ht="12.75" customHeight="1" x14ac:dyDescent="0.2">
      <c r="B37227" s="43"/>
    </row>
    <row r="37228" spans="2:2" ht="12.75" customHeight="1" x14ac:dyDescent="0.2">
      <c r="B37228" s="43"/>
    </row>
    <row r="37229" spans="2:2" ht="12.75" customHeight="1" x14ac:dyDescent="0.2">
      <c r="B37229" s="43"/>
    </row>
    <row r="37230" spans="2:2" ht="12.75" customHeight="1" x14ac:dyDescent="0.2">
      <c r="B37230" s="43"/>
    </row>
    <row r="37231" spans="2:2" ht="12.75" customHeight="1" x14ac:dyDescent="0.2">
      <c r="B37231" s="43"/>
    </row>
    <row r="37232" spans="2:2" ht="12.75" customHeight="1" x14ac:dyDescent="0.2">
      <c r="B37232" s="43"/>
    </row>
    <row r="37233" spans="2:2" ht="12.75" customHeight="1" x14ac:dyDescent="0.2">
      <c r="B37233" s="43"/>
    </row>
    <row r="37234" spans="2:2" ht="12.75" customHeight="1" x14ac:dyDescent="0.2">
      <c r="B37234" s="43"/>
    </row>
    <row r="37235" spans="2:2" ht="12.75" customHeight="1" x14ac:dyDescent="0.2">
      <c r="B37235" s="43"/>
    </row>
    <row r="37236" spans="2:2" ht="12.75" customHeight="1" x14ac:dyDescent="0.2">
      <c r="B37236" s="43"/>
    </row>
    <row r="37237" spans="2:2" ht="12.75" customHeight="1" x14ac:dyDescent="0.2">
      <c r="B37237" s="43"/>
    </row>
    <row r="37238" spans="2:2" ht="12.75" customHeight="1" x14ac:dyDescent="0.2">
      <c r="B37238" s="43"/>
    </row>
    <row r="37239" spans="2:2" ht="12.75" customHeight="1" x14ac:dyDescent="0.2">
      <c r="B37239" s="43"/>
    </row>
    <row r="37240" spans="2:2" ht="12.75" customHeight="1" x14ac:dyDescent="0.2">
      <c r="B37240" s="43"/>
    </row>
    <row r="37241" spans="2:2" ht="12.75" customHeight="1" x14ac:dyDescent="0.2">
      <c r="B37241" s="43"/>
    </row>
    <row r="37242" spans="2:2" ht="12.75" customHeight="1" x14ac:dyDescent="0.2">
      <c r="B37242" s="43"/>
    </row>
    <row r="37243" spans="2:2" ht="12.75" customHeight="1" x14ac:dyDescent="0.2">
      <c r="B37243" s="43"/>
    </row>
    <row r="37244" spans="2:2" ht="12.75" customHeight="1" x14ac:dyDescent="0.2">
      <c r="B37244" s="43"/>
    </row>
    <row r="37245" spans="2:2" ht="12.75" customHeight="1" x14ac:dyDescent="0.2">
      <c r="B37245" s="43"/>
    </row>
    <row r="37246" spans="2:2" ht="12.75" customHeight="1" x14ac:dyDescent="0.2">
      <c r="B37246" s="43"/>
    </row>
    <row r="37247" spans="2:2" ht="12.75" customHeight="1" x14ac:dyDescent="0.2">
      <c r="B37247" s="43"/>
    </row>
    <row r="37248" spans="2:2" ht="12.75" customHeight="1" x14ac:dyDescent="0.2">
      <c r="B37248" s="43"/>
    </row>
    <row r="37249" spans="2:2" ht="12.75" customHeight="1" x14ac:dyDescent="0.2">
      <c r="B37249" s="43"/>
    </row>
    <row r="37250" spans="2:2" ht="12.75" customHeight="1" x14ac:dyDescent="0.2">
      <c r="B37250" s="43"/>
    </row>
    <row r="37251" spans="2:2" ht="12.75" customHeight="1" x14ac:dyDescent="0.2">
      <c r="B37251" s="43"/>
    </row>
    <row r="37252" spans="2:2" ht="12.75" customHeight="1" x14ac:dyDescent="0.2">
      <c r="B37252" s="43"/>
    </row>
    <row r="37253" spans="2:2" ht="12.75" customHeight="1" x14ac:dyDescent="0.2">
      <c r="B37253" s="43"/>
    </row>
    <row r="37254" spans="2:2" ht="12.75" customHeight="1" x14ac:dyDescent="0.2">
      <c r="B37254" s="43"/>
    </row>
    <row r="37255" spans="2:2" ht="12.75" customHeight="1" x14ac:dyDescent="0.2">
      <c r="B37255" s="43"/>
    </row>
    <row r="37256" spans="2:2" ht="12.75" customHeight="1" x14ac:dyDescent="0.2">
      <c r="B37256" s="43"/>
    </row>
    <row r="37257" spans="2:2" ht="12.75" customHeight="1" x14ac:dyDescent="0.2">
      <c r="B37257" s="43"/>
    </row>
    <row r="37258" spans="2:2" ht="12.75" customHeight="1" x14ac:dyDescent="0.2">
      <c r="B37258" s="43"/>
    </row>
    <row r="37259" spans="2:2" ht="12.75" customHeight="1" x14ac:dyDescent="0.2">
      <c r="B37259" s="43"/>
    </row>
    <row r="37260" spans="2:2" ht="12.75" customHeight="1" x14ac:dyDescent="0.2">
      <c r="B37260" s="43"/>
    </row>
    <row r="37261" spans="2:2" ht="12.75" customHeight="1" x14ac:dyDescent="0.2">
      <c r="B37261" s="43"/>
    </row>
    <row r="37262" spans="2:2" ht="12.75" customHeight="1" x14ac:dyDescent="0.2">
      <c r="B37262" s="43"/>
    </row>
    <row r="37263" spans="2:2" ht="12.75" customHeight="1" x14ac:dyDescent="0.2">
      <c r="B37263" s="43"/>
    </row>
    <row r="37264" spans="2:2" ht="12.75" customHeight="1" x14ac:dyDescent="0.2">
      <c r="B37264" s="43"/>
    </row>
    <row r="37265" spans="2:2" ht="12.75" customHeight="1" x14ac:dyDescent="0.2">
      <c r="B37265" s="43"/>
    </row>
    <row r="37266" spans="2:2" ht="12.75" customHeight="1" x14ac:dyDescent="0.2">
      <c r="B37266" s="43"/>
    </row>
    <row r="37267" spans="2:2" ht="12.75" customHeight="1" x14ac:dyDescent="0.2">
      <c r="B37267" s="43"/>
    </row>
    <row r="37268" spans="2:2" ht="12.75" customHeight="1" x14ac:dyDescent="0.2">
      <c r="B37268" s="43"/>
    </row>
    <row r="37269" spans="2:2" ht="12.75" customHeight="1" x14ac:dyDescent="0.2">
      <c r="B37269" s="43"/>
    </row>
    <row r="37270" spans="2:2" ht="12.75" customHeight="1" x14ac:dyDescent="0.2">
      <c r="B37270" s="43"/>
    </row>
    <row r="37271" spans="2:2" ht="12.75" customHeight="1" x14ac:dyDescent="0.2">
      <c r="B37271" s="43"/>
    </row>
    <row r="37272" spans="2:2" ht="12.75" customHeight="1" x14ac:dyDescent="0.2">
      <c r="B37272" s="43"/>
    </row>
    <row r="37273" spans="2:2" ht="12.75" customHeight="1" x14ac:dyDescent="0.2">
      <c r="B37273" s="43"/>
    </row>
    <row r="37274" spans="2:2" ht="12.75" customHeight="1" x14ac:dyDescent="0.2">
      <c r="B37274" s="43"/>
    </row>
    <row r="37275" spans="2:2" ht="12.75" customHeight="1" x14ac:dyDescent="0.2">
      <c r="B37275" s="43"/>
    </row>
    <row r="37276" spans="2:2" ht="12.75" customHeight="1" x14ac:dyDescent="0.2">
      <c r="B37276" s="43"/>
    </row>
    <row r="37277" spans="2:2" ht="12.75" customHeight="1" x14ac:dyDescent="0.2">
      <c r="B37277" s="43"/>
    </row>
    <row r="37278" spans="2:2" ht="12.75" customHeight="1" x14ac:dyDescent="0.2">
      <c r="B37278" s="43"/>
    </row>
    <row r="37279" spans="2:2" ht="12.75" customHeight="1" x14ac:dyDescent="0.2">
      <c r="B37279" s="43"/>
    </row>
    <row r="37280" spans="2:2" ht="12.75" customHeight="1" x14ac:dyDescent="0.2">
      <c r="B37280" s="43"/>
    </row>
    <row r="37281" spans="2:2" ht="12.75" customHeight="1" x14ac:dyDescent="0.2">
      <c r="B37281" s="43"/>
    </row>
    <row r="37282" spans="2:2" ht="12.75" customHeight="1" x14ac:dyDescent="0.2">
      <c r="B37282" s="43"/>
    </row>
    <row r="37283" spans="2:2" ht="12.75" customHeight="1" x14ac:dyDescent="0.2">
      <c r="B37283" s="43"/>
    </row>
    <row r="37284" spans="2:2" ht="12.75" customHeight="1" x14ac:dyDescent="0.2">
      <c r="B37284" s="43"/>
    </row>
    <row r="37285" spans="2:2" ht="12.75" customHeight="1" x14ac:dyDescent="0.2">
      <c r="B37285" s="43"/>
    </row>
    <row r="37286" spans="2:2" ht="12.75" customHeight="1" x14ac:dyDescent="0.2">
      <c r="B37286" s="43"/>
    </row>
    <row r="37287" spans="2:2" ht="12.75" customHeight="1" x14ac:dyDescent="0.2">
      <c r="B37287" s="43"/>
    </row>
    <row r="37288" spans="2:2" ht="12.75" customHeight="1" x14ac:dyDescent="0.2">
      <c r="B37288" s="43"/>
    </row>
    <row r="37289" spans="2:2" ht="12.75" customHeight="1" x14ac:dyDescent="0.2">
      <c r="B37289" s="43"/>
    </row>
    <row r="37290" spans="2:2" ht="12.75" customHeight="1" x14ac:dyDescent="0.2">
      <c r="B37290" s="43"/>
    </row>
    <row r="37291" spans="2:2" ht="12.75" customHeight="1" x14ac:dyDescent="0.2">
      <c r="B37291" s="43"/>
    </row>
    <row r="37292" spans="2:2" ht="12.75" customHeight="1" x14ac:dyDescent="0.2">
      <c r="B37292" s="43"/>
    </row>
    <row r="37293" spans="2:2" ht="12.75" customHeight="1" x14ac:dyDescent="0.2">
      <c r="B37293" s="43"/>
    </row>
    <row r="37294" spans="2:2" ht="12.75" customHeight="1" x14ac:dyDescent="0.2">
      <c r="B37294" s="43"/>
    </row>
    <row r="37295" spans="2:2" ht="12.75" customHeight="1" x14ac:dyDescent="0.2">
      <c r="B37295" s="43"/>
    </row>
    <row r="37296" spans="2:2" ht="12.75" customHeight="1" x14ac:dyDescent="0.2">
      <c r="B37296" s="43"/>
    </row>
    <row r="37297" spans="2:2" ht="12.75" customHeight="1" x14ac:dyDescent="0.2">
      <c r="B37297" s="43"/>
    </row>
    <row r="37298" spans="2:2" ht="12.75" customHeight="1" x14ac:dyDescent="0.2">
      <c r="B37298" s="43"/>
    </row>
    <row r="37299" spans="2:2" ht="12.75" customHeight="1" x14ac:dyDescent="0.2">
      <c r="B37299" s="43"/>
    </row>
    <row r="37300" spans="2:2" ht="12.75" customHeight="1" x14ac:dyDescent="0.2">
      <c r="B37300" s="43"/>
    </row>
    <row r="37301" spans="2:2" ht="12.75" customHeight="1" x14ac:dyDescent="0.2">
      <c r="B37301" s="43"/>
    </row>
    <row r="37302" spans="2:2" ht="12.75" customHeight="1" x14ac:dyDescent="0.2">
      <c r="B37302" s="43"/>
    </row>
    <row r="37303" spans="2:2" ht="12.75" customHeight="1" x14ac:dyDescent="0.2">
      <c r="B37303" s="43"/>
    </row>
    <row r="37304" spans="2:2" ht="12.75" customHeight="1" x14ac:dyDescent="0.2">
      <c r="B37304" s="43"/>
    </row>
    <row r="37305" spans="2:2" ht="12.75" customHeight="1" x14ac:dyDescent="0.2">
      <c r="B37305" s="43"/>
    </row>
    <row r="37306" spans="2:2" ht="12.75" customHeight="1" x14ac:dyDescent="0.2">
      <c r="B37306" s="43"/>
    </row>
    <row r="37307" spans="2:2" ht="12.75" customHeight="1" x14ac:dyDescent="0.2">
      <c r="B37307" s="43"/>
    </row>
    <row r="37308" spans="2:2" ht="12.75" customHeight="1" x14ac:dyDescent="0.2">
      <c r="B37308" s="43"/>
    </row>
    <row r="37309" spans="2:2" ht="12.75" customHeight="1" x14ac:dyDescent="0.2">
      <c r="B37309" s="43"/>
    </row>
    <row r="37310" spans="2:2" ht="12.75" customHeight="1" x14ac:dyDescent="0.2">
      <c r="B37310" s="43"/>
    </row>
    <row r="37311" spans="2:2" ht="12.75" customHeight="1" x14ac:dyDescent="0.2">
      <c r="B37311" s="43"/>
    </row>
    <row r="37312" spans="2:2" ht="12.75" customHeight="1" x14ac:dyDescent="0.2">
      <c r="B37312" s="43"/>
    </row>
    <row r="37313" spans="2:2" ht="12.75" customHeight="1" x14ac:dyDescent="0.2">
      <c r="B37313" s="43"/>
    </row>
    <row r="37314" spans="2:2" ht="12.75" customHeight="1" x14ac:dyDescent="0.2">
      <c r="B37314" s="43"/>
    </row>
    <row r="37315" spans="2:2" ht="12.75" customHeight="1" x14ac:dyDescent="0.2">
      <c r="B37315" s="43"/>
    </row>
    <row r="37316" spans="2:2" ht="12.75" customHeight="1" x14ac:dyDescent="0.2">
      <c r="B37316" s="43"/>
    </row>
    <row r="37317" spans="2:2" ht="12.75" customHeight="1" x14ac:dyDescent="0.2">
      <c r="B37317" s="43"/>
    </row>
    <row r="37318" spans="2:2" ht="12.75" customHeight="1" x14ac:dyDescent="0.2">
      <c r="B37318" s="43"/>
    </row>
    <row r="37319" spans="2:2" ht="12.75" customHeight="1" x14ac:dyDescent="0.2">
      <c r="B37319" s="43"/>
    </row>
    <row r="37320" spans="2:2" ht="12.75" customHeight="1" x14ac:dyDescent="0.2">
      <c r="B37320" s="43"/>
    </row>
    <row r="37321" spans="2:2" ht="12.75" customHeight="1" x14ac:dyDescent="0.2">
      <c r="B37321" s="43"/>
    </row>
    <row r="37322" spans="2:2" ht="12.75" customHeight="1" x14ac:dyDescent="0.2">
      <c r="B37322" s="43"/>
    </row>
    <row r="37323" spans="2:2" ht="12.75" customHeight="1" x14ac:dyDescent="0.2">
      <c r="B37323" s="43"/>
    </row>
    <row r="37324" spans="2:2" ht="12.75" customHeight="1" x14ac:dyDescent="0.2">
      <c r="B37324" s="43"/>
    </row>
    <row r="37325" spans="2:2" ht="12.75" customHeight="1" x14ac:dyDescent="0.2">
      <c r="B37325" s="43"/>
    </row>
    <row r="37326" spans="2:2" ht="12.75" customHeight="1" x14ac:dyDescent="0.2">
      <c r="B37326" s="43"/>
    </row>
    <row r="37327" spans="2:2" ht="12.75" customHeight="1" x14ac:dyDescent="0.2">
      <c r="B37327" s="43"/>
    </row>
    <row r="37328" spans="2:2" ht="12.75" customHeight="1" x14ac:dyDescent="0.2">
      <c r="B37328" s="43"/>
    </row>
    <row r="37329" spans="2:2" ht="12.75" customHeight="1" x14ac:dyDescent="0.2">
      <c r="B37329" s="43"/>
    </row>
    <row r="37330" spans="2:2" ht="12.75" customHeight="1" x14ac:dyDescent="0.2">
      <c r="B37330" s="43"/>
    </row>
    <row r="37331" spans="2:2" ht="12.75" customHeight="1" x14ac:dyDescent="0.2">
      <c r="B37331" s="43"/>
    </row>
    <row r="37332" spans="2:2" ht="12.75" customHeight="1" x14ac:dyDescent="0.2">
      <c r="B37332" s="43"/>
    </row>
    <row r="37333" spans="2:2" ht="12.75" customHeight="1" x14ac:dyDescent="0.2">
      <c r="B37333" s="43"/>
    </row>
    <row r="37334" spans="2:2" ht="12.75" customHeight="1" x14ac:dyDescent="0.2">
      <c r="B37334" s="43"/>
    </row>
    <row r="37335" spans="2:2" ht="12.75" customHeight="1" x14ac:dyDescent="0.2">
      <c r="B37335" s="43"/>
    </row>
    <row r="37336" spans="2:2" ht="12.75" customHeight="1" x14ac:dyDescent="0.2">
      <c r="B37336" s="43"/>
    </row>
    <row r="37337" spans="2:2" ht="12.75" customHeight="1" x14ac:dyDescent="0.2">
      <c r="B37337" s="43"/>
    </row>
    <row r="37338" spans="2:2" ht="12.75" customHeight="1" x14ac:dyDescent="0.2">
      <c r="B37338" s="43"/>
    </row>
    <row r="37339" spans="2:2" ht="12.75" customHeight="1" x14ac:dyDescent="0.2">
      <c r="B37339" s="43"/>
    </row>
    <row r="37340" spans="2:2" ht="12.75" customHeight="1" x14ac:dyDescent="0.2">
      <c r="B37340" s="43"/>
    </row>
    <row r="37341" spans="2:2" ht="12.75" customHeight="1" x14ac:dyDescent="0.2">
      <c r="B37341" s="43"/>
    </row>
    <row r="37342" spans="2:2" ht="12.75" customHeight="1" x14ac:dyDescent="0.2">
      <c r="B37342" s="43"/>
    </row>
    <row r="37343" spans="2:2" ht="12.75" customHeight="1" x14ac:dyDescent="0.2">
      <c r="B37343" s="43"/>
    </row>
    <row r="37344" spans="2:2" ht="12.75" customHeight="1" x14ac:dyDescent="0.2">
      <c r="B37344" s="43"/>
    </row>
    <row r="37345" spans="2:2" ht="12.75" customHeight="1" x14ac:dyDescent="0.2">
      <c r="B37345" s="43"/>
    </row>
    <row r="37346" spans="2:2" ht="12.75" customHeight="1" x14ac:dyDescent="0.2">
      <c r="B37346" s="43"/>
    </row>
    <row r="37347" spans="2:2" ht="12.75" customHeight="1" x14ac:dyDescent="0.2">
      <c r="B37347" s="43"/>
    </row>
    <row r="37348" spans="2:2" ht="12.75" customHeight="1" x14ac:dyDescent="0.2">
      <c r="B37348" s="43"/>
    </row>
    <row r="37349" spans="2:2" ht="12.75" customHeight="1" x14ac:dyDescent="0.2">
      <c r="B37349" s="43"/>
    </row>
    <row r="37350" spans="2:2" ht="12.75" customHeight="1" x14ac:dyDescent="0.2">
      <c r="B37350" s="43"/>
    </row>
    <row r="37351" spans="2:2" ht="12.75" customHeight="1" x14ac:dyDescent="0.2">
      <c r="B37351" s="43"/>
    </row>
    <row r="37352" spans="2:2" ht="12.75" customHeight="1" x14ac:dyDescent="0.2">
      <c r="B37352" s="43"/>
    </row>
    <row r="37353" spans="2:2" ht="12.75" customHeight="1" x14ac:dyDescent="0.2">
      <c r="B37353" s="43"/>
    </row>
    <row r="37354" spans="2:2" ht="12.75" customHeight="1" x14ac:dyDescent="0.2">
      <c r="B37354" s="43"/>
    </row>
    <row r="37355" spans="2:2" ht="12.75" customHeight="1" x14ac:dyDescent="0.2">
      <c r="B37355" s="43"/>
    </row>
    <row r="37356" spans="2:2" ht="12.75" customHeight="1" x14ac:dyDescent="0.2">
      <c r="B37356" s="43"/>
    </row>
    <row r="37357" spans="2:2" ht="12.75" customHeight="1" x14ac:dyDescent="0.2">
      <c r="B37357" s="43"/>
    </row>
    <row r="37358" spans="2:2" ht="12.75" customHeight="1" x14ac:dyDescent="0.2">
      <c r="B37358" s="43"/>
    </row>
    <row r="37359" spans="2:2" ht="12.75" customHeight="1" x14ac:dyDescent="0.2">
      <c r="B37359" s="43"/>
    </row>
    <row r="37360" spans="2:2" ht="12.75" customHeight="1" x14ac:dyDescent="0.2">
      <c r="B37360" s="43"/>
    </row>
    <row r="37361" spans="2:2" ht="12.75" customHeight="1" x14ac:dyDescent="0.2">
      <c r="B37361" s="43"/>
    </row>
    <row r="37362" spans="2:2" ht="12.75" customHeight="1" x14ac:dyDescent="0.2">
      <c r="B37362" s="43"/>
    </row>
    <row r="37363" spans="2:2" ht="12.75" customHeight="1" x14ac:dyDescent="0.2">
      <c r="B37363" s="43"/>
    </row>
    <row r="37364" spans="2:2" ht="12.75" customHeight="1" x14ac:dyDescent="0.2">
      <c r="B37364" s="43"/>
    </row>
    <row r="37365" spans="2:2" ht="12.75" customHeight="1" x14ac:dyDescent="0.2">
      <c r="B37365" s="43"/>
    </row>
    <row r="37366" spans="2:2" ht="12.75" customHeight="1" x14ac:dyDescent="0.2">
      <c r="B37366" s="43"/>
    </row>
    <row r="37367" spans="2:2" ht="12.75" customHeight="1" x14ac:dyDescent="0.2">
      <c r="B37367" s="43"/>
    </row>
    <row r="37368" spans="2:2" ht="12.75" customHeight="1" x14ac:dyDescent="0.2">
      <c r="B37368" s="43"/>
    </row>
    <row r="37369" spans="2:2" ht="12.75" customHeight="1" x14ac:dyDescent="0.2">
      <c r="B37369" s="43"/>
    </row>
    <row r="37370" spans="2:2" ht="12.75" customHeight="1" x14ac:dyDescent="0.2">
      <c r="B37370" s="43"/>
    </row>
    <row r="37371" spans="2:2" ht="12.75" customHeight="1" x14ac:dyDescent="0.2">
      <c r="B37371" s="43"/>
    </row>
    <row r="37372" spans="2:2" ht="12.75" customHeight="1" x14ac:dyDescent="0.2">
      <c r="B37372" s="43"/>
    </row>
    <row r="37373" spans="2:2" ht="12.75" customHeight="1" x14ac:dyDescent="0.2">
      <c r="B37373" s="43"/>
    </row>
    <row r="37374" spans="2:2" ht="12.75" customHeight="1" x14ac:dyDescent="0.2">
      <c r="B37374" s="43"/>
    </row>
    <row r="37375" spans="2:2" ht="12.75" customHeight="1" x14ac:dyDescent="0.2">
      <c r="B37375" s="43"/>
    </row>
    <row r="37376" spans="2:2" ht="12.75" customHeight="1" x14ac:dyDescent="0.2">
      <c r="B37376" s="43"/>
    </row>
    <row r="37377" spans="2:2" ht="12.75" customHeight="1" x14ac:dyDescent="0.2">
      <c r="B37377" s="43"/>
    </row>
    <row r="37378" spans="2:2" ht="12.75" customHeight="1" x14ac:dyDescent="0.2">
      <c r="B37378" s="43"/>
    </row>
    <row r="37379" spans="2:2" ht="12.75" customHeight="1" x14ac:dyDescent="0.2">
      <c r="B37379" s="43"/>
    </row>
    <row r="37380" spans="2:2" ht="12.75" customHeight="1" x14ac:dyDescent="0.2">
      <c r="B37380" s="43"/>
    </row>
    <row r="37381" spans="2:2" ht="12.75" customHeight="1" x14ac:dyDescent="0.2">
      <c r="B37381" s="43"/>
    </row>
    <row r="37382" spans="2:2" ht="12.75" customHeight="1" x14ac:dyDescent="0.2">
      <c r="B37382" s="43"/>
    </row>
    <row r="37383" spans="2:2" ht="12.75" customHeight="1" x14ac:dyDescent="0.2">
      <c r="B37383" s="43"/>
    </row>
    <row r="37384" spans="2:2" ht="12.75" customHeight="1" x14ac:dyDescent="0.2">
      <c r="B37384" s="43"/>
    </row>
    <row r="37385" spans="2:2" ht="12.75" customHeight="1" x14ac:dyDescent="0.2">
      <c r="B37385" s="43"/>
    </row>
    <row r="37386" spans="2:2" ht="12.75" customHeight="1" x14ac:dyDescent="0.2">
      <c r="B37386" s="43"/>
    </row>
    <row r="37387" spans="2:2" ht="12.75" customHeight="1" x14ac:dyDescent="0.2">
      <c r="B37387" s="43"/>
    </row>
    <row r="37388" spans="2:2" ht="12.75" customHeight="1" x14ac:dyDescent="0.2">
      <c r="B37388" s="43"/>
    </row>
    <row r="37389" spans="2:2" ht="12.75" customHeight="1" x14ac:dyDescent="0.2">
      <c r="B37389" s="43"/>
    </row>
    <row r="37390" spans="2:2" ht="12.75" customHeight="1" x14ac:dyDescent="0.2">
      <c r="B37390" s="43"/>
    </row>
    <row r="37391" spans="2:2" ht="12.75" customHeight="1" x14ac:dyDescent="0.2">
      <c r="B37391" s="43"/>
    </row>
    <row r="37392" spans="2:2" ht="12.75" customHeight="1" x14ac:dyDescent="0.2">
      <c r="B37392" s="43"/>
    </row>
    <row r="37393" spans="2:2" ht="12.75" customHeight="1" x14ac:dyDescent="0.2">
      <c r="B37393" s="43"/>
    </row>
    <row r="37394" spans="2:2" ht="12.75" customHeight="1" x14ac:dyDescent="0.2">
      <c r="B37394" s="43"/>
    </row>
    <row r="37395" spans="2:2" ht="12.75" customHeight="1" x14ac:dyDescent="0.2">
      <c r="B37395" s="43"/>
    </row>
    <row r="37396" spans="2:2" ht="12.75" customHeight="1" x14ac:dyDescent="0.2">
      <c r="B37396" s="43"/>
    </row>
    <row r="37397" spans="2:2" ht="12.75" customHeight="1" x14ac:dyDescent="0.2">
      <c r="B37397" s="43"/>
    </row>
    <row r="37398" spans="2:2" ht="12.75" customHeight="1" x14ac:dyDescent="0.2">
      <c r="B37398" s="43"/>
    </row>
    <row r="37399" spans="2:2" ht="12.75" customHeight="1" x14ac:dyDescent="0.2">
      <c r="B37399" s="43"/>
    </row>
    <row r="37400" spans="2:2" ht="12.75" customHeight="1" x14ac:dyDescent="0.2">
      <c r="B37400" s="43"/>
    </row>
    <row r="37401" spans="2:2" ht="12.75" customHeight="1" x14ac:dyDescent="0.2">
      <c r="B37401" s="43"/>
    </row>
    <row r="37402" spans="2:2" ht="12.75" customHeight="1" x14ac:dyDescent="0.2">
      <c r="B37402" s="43"/>
    </row>
    <row r="37403" spans="2:2" ht="12.75" customHeight="1" x14ac:dyDescent="0.2">
      <c r="B37403" s="43"/>
    </row>
    <row r="37404" spans="2:2" ht="12.75" customHeight="1" x14ac:dyDescent="0.2">
      <c r="B37404" s="43"/>
    </row>
    <row r="37405" spans="2:2" ht="12.75" customHeight="1" x14ac:dyDescent="0.2">
      <c r="B37405" s="43"/>
    </row>
    <row r="37406" spans="2:2" ht="12.75" customHeight="1" x14ac:dyDescent="0.2">
      <c r="B37406" s="43"/>
    </row>
    <row r="37407" spans="2:2" ht="12.75" customHeight="1" x14ac:dyDescent="0.2">
      <c r="B37407" s="43"/>
    </row>
    <row r="37408" spans="2:2" ht="12.75" customHeight="1" x14ac:dyDescent="0.2">
      <c r="B37408" s="43"/>
    </row>
    <row r="37409" spans="2:2" ht="12.75" customHeight="1" x14ac:dyDescent="0.2">
      <c r="B37409" s="43"/>
    </row>
    <row r="37410" spans="2:2" ht="12.75" customHeight="1" x14ac:dyDescent="0.2">
      <c r="B37410" s="43"/>
    </row>
    <row r="37411" spans="2:2" ht="12.75" customHeight="1" x14ac:dyDescent="0.2">
      <c r="B37411" s="43"/>
    </row>
    <row r="37412" spans="2:2" ht="12.75" customHeight="1" x14ac:dyDescent="0.2">
      <c r="B37412" s="43"/>
    </row>
    <row r="37413" spans="2:2" ht="12.75" customHeight="1" x14ac:dyDescent="0.2">
      <c r="B37413" s="43"/>
    </row>
    <row r="37414" spans="2:2" ht="12.75" customHeight="1" x14ac:dyDescent="0.2">
      <c r="B37414" s="43"/>
    </row>
    <row r="37415" spans="2:2" ht="12.75" customHeight="1" x14ac:dyDescent="0.2">
      <c r="B37415" s="43"/>
    </row>
    <row r="37416" spans="2:2" ht="12.75" customHeight="1" x14ac:dyDescent="0.2">
      <c r="B37416" s="43"/>
    </row>
    <row r="37417" spans="2:2" ht="12.75" customHeight="1" x14ac:dyDescent="0.2">
      <c r="B37417" s="43"/>
    </row>
    <row r="37418" spans="2:2" ht="12.75" customHeight="1" x14ac:dyDescent="0.2">
      <c r="B37418" s="43"/>
    </row>
    <row r="37419" spans="2:2" ht="12.75" customHeight="1" x14ac:dyDescent="0.2">
      <c r="B37419" s="43"/>
    </row>
    <row r="37420" spans="2:2" ht="12.75" customHeight="1" x14ac:dyDescent="0.2">
      <c r="B37420" s="43"/>
    </row>
    <row r="37421" spans="2:2" ht="12.75" customHeight="1" x14ac:dyDescent="0.2">
      <c r="B37421" s="43"/>
    </row>
    <row r="37422" spans="2:2" ht="12.75" customHeight="1" x14ac:dyDescent="0.2">
      <c r="B37422" s="43"/>
    </row>
    <row r="37423" spans="2:2" ht="12.75" customHeight="1" x14ac:dyDescent="0.2">
      <c r="B37423" s="43"/>
    </row>
    <row r="37424" spans="2:2" ht="12.75" customHeight="1" x14ac:dyDescent="0.2">
      <c r="B37424" s="43"/>
    </row>
    <row r="37425" spans="2:2" ht="12.75" customHeight="1" x14ac:dyDescent="0.2">
      <c r="B37425" s="43"/>
    </row>
    <row r="37426" spans="2:2" ht="12.75" customHeight="1" x14ac:dyDescent="0.2">
      <c r="B37426" s="43"/>
    </row>
    <row r="37427" spans="2:2" ht="12.75" customHeight="1" x14ac:dyDescent="0.2">
      <c r="B37427" s="43"/>
    </row>
    <row r="37428" spans="2:2" ht="12.75" customHeight="1" x14ac:dyDescent="0.2">
      <c r="B37428" s="43"/>
    </row>
    <row r="37429" spans="2:2" ht="12.75" customHeight="1" x14ac:dyDescent="0.2">
      <c r="B37429" s="43"/>
    </row>
    <row r="37430" spans="2:2" ht="12.75" customHeight="1" x14ac:dyDescent="0.2">
      <c r="B37430" s="43"/>
    </row>
    <row r="37431" spans="2:2" ht="12.75" customHeight="1" x14ac:dyDescent="0.2">
      <c r="B37431" s="43"/>
    </row>
    <row r="37432" spans="2:2" ht="12.75" customHeight="1" x14ac:dyDescent="0.2">
      <c r="B37432" s="43"/>
    </row>
    <row r="37433" spans="2:2" ht="12.75" customHeight="1" x14ac:dyDescent="0.2">
      <c r="B37433" s="43"/>
    </row>
    <row r="37434" spans="2:2" ht="12.75" customHeight="1" x14ac:dyDescent="0.2">
      <c r="B37434" s="43"/>
    </row>
    <row r="37435" spans="2:2" ht="12.75" customHeight="1" x14ac:dyDescent="0.2">
      <c r="B37435" s="43"/>
    </row>
    <row r="37436" spans="2:2" ht="12.75" customHeight="1" x14ac:dyDescent="0.2">
      <c r="B37436" s="43"/>
    </row>
    <row r="37437" spans="2:2" ht="12.75" customHeight="1" x14ac:dyDescent="0.2">
      <c r="B37437" s="43"/>
    </row>
    <row r="37438" spans="2:2" ht="12.75" customHeight="1" x14ac:dyDescent="0.2">
      <c r="B37438" s="43"/>
    </row>
    <row r="37439" spans="2:2" ht="12.75" customHeight="1" x14ac:dyDescent="0.2">
      <c r="B37439" s="43"/>
    </row>
    <row r="37440" spans="2:2" ht="12.75" customHeight="1" x14ac:dyDescent="0.2">
      <c r="B37440" s="43"/>
    </row>
    <row r="37441" spans="2:2" ht="12.75" customHeight="1" x14ac:dyDescent="0.2">
      <c r="B37441" s="43"/>
    </row>
    <row r="37442" spans="2:2" ht="12.75" customHeight="1" x14ac:dyDescent="0.2">
      <c r="B37442" s="43"/>
    </row>
    <row r="37443" spans="2:2" ht="12.75" customHeight="1" x14ac:dyDescent="0.2">
      <c r="B37443" s="43"/>
    </row>
    <row r="37444" spans="2:2" ht="12.75" customHeight="1" x14ac:dyDescent="0.2">
      <c r="B37444" s="43"/>
    </row>
    <row r="37445" spans="2:2" ht="12.75" customHeight="1" x14ac:dyDescent="0.2">
      <c r="B37445" s="43"/>
    </row>
    <row r="37446" spans="2:2" ht="12.75" customHeight="1" x14ac:dyDescent="0.2">
      <c r="B37446" s="43"/>
    </row>
    <row r="37447" spans="2:2" ht="12.75" customHeight="1" x14ac:dyDescent="0.2">
      <c r="B37447" s="43"/>
    </row>
    <row r="37448" spans="2:2" ht="12.75" customHeight="1" x14ac:dyDescent="0.2">
      <c r="B37448" s="43"/>
    </row>
    <row r="37449" spans="2:2" ht="12.75" customHeight="1" x14ac:dyDescent="0.2">
      <c r="B37449" s="43"/>
    </row>
    <row r="37450" spans="2:2" ht="12.75" customHeight="1" x14ac:dyDescent="0.2">
      <c r="B37450" s="43"/>
    </row>
    <row r="37451" spans="2:2" ht="12.75" customHeight="1" x14ac:dyDescent="0.2">
      <c r="B37451" s="43"/>
    </row>
    <row r="37452" spans="2:2" ht="12.75" customHeight="1" x14ac:dyDescent="0.2">
      <c r="B37452" s="43"/>
    </row>
    <row r="37453" spans="2:2" ht="12.75" customHeight="1" x14ac:dyDescent="0.2">
      <c r="B37453" s="43"/>
    </row>
    <row r="37454" spans="2:2" ht="12.75" customHeight="1" x14ac:dyDescent="0.2">
      <c r="B37454" s="43"/>
    </row>
    <row r="37455" spans="2:2" ht="12.75" customHeight="1" x14ac:dyDescent="0.2">
      <c r="B37455" s="43"/>
    </row>
    <row r="37456" spans="2:2" ht="12.75" customHeight="1" x14ac:dyDescent="0.2">
      <c r="B37456" s="43"/>
    </row>
    <row r="37457" spans="2:2" ht="12.75" customHeight="1" x14ac:dyDescent="0.2">
      <c r="B37457" s="43"/>
    </row>
    <row r="37458" spans="2:2" ht="12.75" customHeight="1" x14ac:dyDescent="0.2">
      <c r="B37458" s="43"/>
    </row>
    <row r="37459" spans="2:2" ht="12.75" customHeight="1" x14ac:dyDescent="0.2">
      <c r="B37459" s="43"/>
    </row>
    <row r="37460" spans="2:2" ht="12.75" customHeight="1" x14ac:dyDescent="0.2">
      <c r="B37460" s="43"/>
    </row>
    <row r="37461" spans="2:2" ht="12.75" customHeight="1" x14ac:dyDescent="0.2">
      <c r="B37461" s="43"/>
    </row>
    <row r="37462" spans="2:2" ht="12.75" customHeight="1" x14ac:dyDescent="0.2">
      <c r="B37462" s="43"/>
    </row>
    <row r="37463" spans="2:2" ht="12.75" customHeight="1" x14ac:dyDescent="0.2">
      <c r="B37463" s="43"/>
    </row>
    <row r="37464" spans="2:2" ht="12.75" customHeight="1" x14ac:dyDescent="0.2">
      <c r="B37464" s="43"/>
    </row>
    <row r="37465" spans="2:2" ht="12.75" customHeight="1" x14ac:dyDescent="0.2">
      <c r="B37465" s="43"/>
    </row>
    <row r="37466" spans="2:2" ht="12.75" customHeight="1" x14ac:dyDescent="0.2">
      <c r="B37466" s="43"/>
    </row>
    <row r="37467" spans="2:2" ht="12.75" customHeight="1" x14ac:dyDescent="0.2">
      <c r="B37467" s="43"/>
    </row>
    <row r="37468" spans="2:2" ht="12.75" customHeight="1" x14ac:dyDescent="0.2">
      <c r="B37468" s="43"/>
    </row>
    <row r="37469" spans="2:2" ht="12.75" customHeight="1" x14ac:dyDescent="0.2">
      <c r="B37469" s="43"/>
    </row>
    <row r="37470" spans="2:2" ht="12.75" customHeight="1" x14ac:dyDescent="0.2">
      <c r="B37470" s="43"/>
    </row>
    <row r="37471" spans="2:2" ht="12.75" customHeight="1" x14ac:dyDescent="0.2">
      <c r="B37471" s="43"/>
    </row>
    <row r="37472" spans="2:2" ht="12.75" customHeight="1" x14ac:dyDescent="0.2">
      <c r="B37472" s="43"/>
    </row>
    <row r="37473" spans="2:2" ht="12.75" customHeight="1" x14ac:dyDescent="0.2">
      <c r="B37473" s="43"/>
    </row>
    <row r="37474" spans="2:2" ht="12.75" customHeight="1" x14ac:dyDescent="0.2">
      <c r="B37474" s="43"/>
    </row>
    <row r="37475" spans="2:2" ht="12.75" customHeight="1" x14ac:dyDescent="0.2">
      <c r="B37475" s="43"/>
    </row>
    <row r="37476" spans="2:2" ht="12.75" customHeight="1" x14ac:dyDescent="0.2">
      <c r="B37476" s="43"/>
    </row>
    <row r="37477" spans="2:2" ht="12.75" customHeight="1" x14ac:dyDescent="0.2">
      <c r="B37477" s="43"/>
    </row>
    <row r="37478" spans="2:2" ht="12.75" customHeight="1" x14ac:dyDescent="0.2">
      <c r="B37478" s="43"/>
    </row>
    <row r="37479" spans="2:2" ht="12.75" customHeight="1" x14ac:dyDescent="0.2">
      <c r="B37479" s="43"/>
    </row>
    <row r="37480" spans="2:2" ht="12.75" customHeight="1" x14ac:dyDescent="0.2">
      <c r="B37480" s="43"/>
    </row>
    <row r="37481" spans="2:2" ht="12.75" customHeight="1" x14ac:dyDescent="0.2">
      <c r="B37481" s="43"/>
    </row>
    <row r="37482" spans="2:2" ht="12.75" customHeight="1" x14ac:dyDescent="0.2">
      <c r="B37482" s="43"/>
    </row>
    <row r="37483" spans="2:2" ht="12.75" customHeight="1" x14ac:dyDescent="0.2">
      <c r="B37483" s="43"/>
    </row>
    <row r="37484" spans="2:2" ht="12.75" customHeight="1" x14ac:dyDescent="0.2">
      <c r="B37484" s="43"/>
    </row>
    <row r="37485" spans="2:2" ht="12.75" customHeight="1" x14ac:dyDescent="0.2">
      <c r="B37485" s="43"/>
    </row>
    <row r="37486" spans="2:2" ht="12.75" customHeight="1" x14ac:dyDescent="0.2">
      <c r="B37486" s="43"/>
    </row>
    <row r="37487" spans="2:2" ht="12.75" customHeight="1" x14ac:dyDescent="0.2">
      <c r="B37487" s="43"/>
    </row>
    <row r="37488" spans="2:2" ht="12.75" customHeight="1" x14ac:dyDescent="0.2">
      <c r="B37488" s="43"/>
    </row>
    <row r="37489" spans="2:2" ht="12.75" customHeight="1" x14ac:dyDescent="0.2">
      <c r="B37489" s="43"/>
    </row>
    <row r="37490" spans="2:2" ht="12.75" customHeight="1" x14ac:dyDescent="0.2">
      <c r="B37490" s="43"/>
    </row>
    <row r="37491" spans="2:2" ht="12.75" customHeight="1" x14ac:dyDescent="0.2">
      <c r="B37491" s="43"/>
    </row>
    <row r="37492" spans="2:2" ht="12.75" customHeight="1" x14ac:dyDescent="0.2">
      <c r="B37492" s="43"/>
    </row>
    <row r="37493" spans="2:2" ht="12.75" customHeight="1" x14ac:dyDescent="0.2">
      <c r="B37493" s="43"/>
    </row>
    <row r="37494" spans="2:2" ht="12.75" customHeight="1" x14ac:dyDescent="0.2">
      <c r="B37494" s="43"/>
    </row>
    <row r="37495" spans="2:2" ht="12.75" customHeight="1" x14ac:dyDescent="0.2">
      <c r="B37495" s="43"/>
    </row>
    <row r="37496" spans="2:2" ht="12.75" customHeight="1" x14ac:dyDescent="0.2">
      <c r="B37496" s="43"/>
    </row>
    <row r="37497" spans="2:2" ht="12.75" customHeight="1" x14ac:dyDescent="0.2">
      <c r="B37497" s="43"/>
    </row>
    <row r="37498" spans="2:2" ht="12.75" customHeight="1" x14ac:dyDescent="0.2">
      <c r="B37498" s="43"/>
    </row>
    <row r="37499" spans="2:2" ht="12.75" customHeight="1" x14ac:dyDescent="0.2">
      <c r="B37499" s="43"/>
    </row>
    <row r="37500" spans="2:2" ht="12.75" customHeight="1" x14ac:dyDescent="0.2">
      <c r="B37500" s="43"/>
    </row>
    <row r="37501" spans="2:2" ht="12.75" customHeight="1" x14ac:dyDescent="0.2">
      <c r="B37501" s="43"/>
    </row>
    <row r="37502" spans="2:2" ht="12.75" customHeight="1" x14ac:dyDescent="0.2">
      <c r="B37502" s="43"/>
    </row>
    <row r="37503" spans="2:2" ht="12.75" customHeight="1" x14ac:dyDescent="0.2">
      <c r="B37503" s="43"/>
    </row>
    <row r="37504" spans="2:2" ht="12.75" customHeight="1" x14ac:dyDescent="0.2">
      <c r="B37504" s="43"/>
    </row>
    <row r="37505" spans="2:2" ht="12.75" customHeight="1" x14ac:dyDescent="0.2">
      <c r="B37505" s="43"/>
    </row>
    <row r="37506" spans="2:2" ht="12.75" customHeight="1" x14ac:dyDescent="0.2">
      <c r="B37506" s="43"/>
    </row>
    <row r="37507" spans="2:2" ht="12.75" customHeight="1" x14ac:dyDescent="0.2">
      <c r="B37507" s="43"/>
    </row>
    <row r="37508" spans="2:2" ht="12.75" customHeight="1" x14ac:dyDescent="0.2">
      <c r="B37508" s="43"/>
    </row>
    <row r="37509" spans="2:2" ht="12.75" customHeight="1" x14ac:dyDescent="0.2">
      <c r="B37509" s="43"/>
    </row>
    <row r="37510" spans="2:2" ht="12.75" customHeight="1" x14ac:dyDescent="0.2">
      <c r="B37510" s="43"/>
    </row>
    <row r="37511" spans="2:2" ht="12.75" customHeight="1" x14ac:dyDescent="0.2">
      <c r="B37511" s="43"/>
    </row>
    <row r="37512" spans="2:2" ht="12.75" customHeight="1" x14ac:dyDescent="0.2">
      <c r="B37512" s="43"/>
    </row>
    <row r="37513" spans="2:2" ht="12.75" customHeight="1" x14ac:dyDescent="0.2">
      <c r="B37513" s="43"/>
    </row>
    <row r="37514" spans="2:2" ht="12.75" customHeight="1" x14ac:dyDescent="0.2">
      <c r="B37514" s="43"/>
    </row>
    <row r="37515" spans="2:2" ht="12.75" customHeight="1" x14ac:dyDescent="0.2">
      <c r="B37515" s="43"/>
    </row>
    <row r="37516" spans="2:2" ht="12.75" customHeight="1" x14ac:dyDescent="0.2">
      <c r="B37516" s="43"/>
    </row>
    <row r="37517" spans="2:2" ht="12.75" customHeight="1" x14ac:dyDescent="0.2">
      <c r="B37517" s="43"/>
    </row>
    <row r="37518" spans="2:2" ht="12.75" customHeight="1" x14ac:dyDescent="0.2">
      <c r="B37518" s="43"/>
    </row>
    <row r="37519" spans="2:2" ht="12.75" customHeight="1" x14ac:dyDescent="0.2">
      <c r="B37519" s="43"/>
    </row>
    <row r="37520" spans="2:2" ht="12.75" customHeight="1" x14ac:dyDescent="0.2">
      <c r="B37520" s="43"/>
    </row>
    <row r="37521" spans="2:2" ht="12.75" customHeight="1" x14ac:dyDescent="0.2">
      <c r="B37521" s="43"/>
    </row>
    <row r="37522" spans="2:2" ht="12.75" customHeight="1" x14ac:dyDescent="0.2">
      <c r="B37522" s="43"/>
    </row>
    <row r="37523" spans="2:2" ht="12.75" customHeight="1" x14ac:dyDescent="0.2">
      <c r="B37523" s="43"/>
    </row>
    <row r="37524" spans="2:2" ht="12.75" customHeight="1" x14ac:dyDescent="0.2">
      <c r="B37524" s="43"/>
    </row>
    <row r="37525" spans="2:2" ht="12.75" customHeight="1" x14ac:dyDescent="0.2">
      <c r="B37525" s="43"/>
    </row>
    <row r="37526" spans="2:2" ht="12.75" customHeight="1" x14ac:dyDescent="0.2">
      <c r="B37526" s="43"/>
    </row>
    <row r="37527" spans="2:2" ht="12.75" customHeight="1" x14ac:dyDescent="0.2">
      <c r="B37527" s="43"/>
    </row>
    <row r="37528" spans="2:2" ht="12.75" customHeight="1" x14ac:dyDescent="0.2">
      <c r="B37528" s="43"/>
    </row>
    <row r="37529" spans="2:2" ht="12.75" customHeight="1" x14ac:dyDescent="0.2">
      <c r="B37529" s="43"/>
    </row>
    <row r="37530" spans="2:2" ht="12.75" customHeight="1" x14ac:dyDescent="0.2">
      <c r="B37530" s="43"/>
    </row>
    <row r="37531" spans="2:2" ht="12.75" customHeight="1" x14ac:dyDescent="0.2">
      <c r="B37531" s="43"/>
    </row>
    <row r="37532" spans="2:2" ht="12.75" customHeight="1" x14ac:dyDescent="0.2">
      <c r="B37532" s="43"/>
    </row>
    <row r="37533" spans="2:2" ht="12.75" customHeight="1" x14ac:dyDescent="0.2">
      <c r="B37533" s="43"/>
    </row>
    <row r="37534" spans="2:2" ht="12.75" customHeight="1" x14ac:dyDescent="0.2">
      <c r="B37534" s="43"/>
    </row>
    <row r="37535" spans="2:2" ht="12.75" customHeight="1" x14ac:dyDescent="0.2">
      <c r="B37535" s="43"/>
    </row>
    <row r="37536" spans="2:2" ht="12.75" customHeight="1" x14ac:dyDescent="0.2">
      <c r="B37536" s="43"/>
    </row>
    <row r="37537" spans="2:2" ht="12.75" customHeight="1" x14ac:dyDescent="0.2">
      <c r="B37537" s="43"/>
    </row>
    <row r="37538" spans="2:2" ht="12.75" customHeight="1" x14ac:dyDescent="0.2">
      <c r="B37538" s="43"/>
    </row>
    <row r="37539" spans="2:2" ht="12.75" customHeight="1" x14ac:dyDescent="0.2">
      <c r="B37539" s="43"/>
    </row>
    <row r="37540" spans="2:2" ht="12.75" customHeight="1" x14ac:dyDescent="0.2">
      <c r="B37540" s="43"/>
    </row>
    <row r="37541" spans="2:2" ht="12.75" customHeight="1" x14ac:dyDescent="0.2">
      <c r="B37541" s="43"/>
    </row>
    <row r="37542" spans="2:2" ht="12.75" customHeight="1" x14ac:dyDescent="0.2">
      <c r="B37542" s="43"/>
    </row>
    <row r="37543" spans="2:2" ht="12.75" customHeight="1" x14ac:dyDescent="0.2">
      <c r="B37543" s="43"/>
    </row>
    <row r="37544" spans="2:2" ht="12.75" customHeight="1" x14ac:dyDescent="0.2">
      <c r="B37544" s="43"/>
    </row>
    <row r="37545" spans="2:2" ht="12.75" customHeight="1" x14ac:dyDescent="0.2">
      <c r="B37545" s="43"/>
    </row>
    <row r="37546" spans="2:2" ht="12.75" customHeight="1" x14ac:dyDescent="0.2">
      <c r="B37546" s="43"/>
    </row>
    <row r="37547" spans="2:2" ht="12.75" customHeight="1" x14ac:dyDescent="0.2">
      <c r="B37547" s="43"/>
    </row>
    <row r="37548" spans="2:2" ht="12.75" customHeight="1" x14ac:dyDescent="0.2">
      <c r="B37548" s="43"/>
    </row>
    <row r="37549" spans="2:2" ht="12.75" customHeight="1" x14ac:dyDescent="0.2">
      <c r="B37549" s="43"/>
    </row>
    <row r="37550" spans="2:2" ht="12.75" customHeight="1" x14ac:dyDescent="0.2">
      <c r="B37550" s="43"/>
    </row>
    <row r="37551" spans="2:2" ht="12.75" customHeight="1" x14ac:dyDescent="0.2">
      <c r="B37551" s="43"/>
    </row>
    <row r="37552" spans="2:2" ht="12.75" customHeight="1" x14ac:dyDescent="0.2">
      <c r="B37552" s="43"/>
    </row>
    <row r="37553" spans="2:2" ht="12.75" customHeight="1" x14ac:dyDescent="0.2">
      <c r="B37553" s="43"/>
    </row>
    <row r="37554" spans="2:2" ht="12.75" customHeight="1" x14ac:dyDescent="0.2">
      <c r="B37554" s="43"/>
    </row>
    <row r="37555" spans="2:2" ht="12.75" customHeight="1" x14ac:dyDescent="0.2">
      <c r="B37555" s="43"/>
    </row>
    <row r="37556" spans="2:2" ht="12.75" customHeight="1" x14ac:dyDescent="0.2">
      <c r="B37556" s="43"/>
    </row>
    <row r="37557" spans="2:2" ht="12.75" customHeight="1" x14ac:dyDescent="0.2">
      <c r="B37557" s="43"/>
    </row>
    <row r="37558" spans="2:2" ht="12.75" customHeight="1" x14ac:dyDescent="0.2">
      <c r="B37558" s="43"/>
    </row>
    <row r="37559" spans="2:2" ht="12.75" customHeight="1" x14ac:dyDescent="0.2">
      <c r="B37559" s="43"/>
    </row>
    <row r="37560" spans="2:2" ht="12.75" customHeight="1" x14ac:dyDescent="0.2">
      <c r="B37560" s="43"/>
    </row>
    <row r="37561" spans="2:2" ht="12.75" customHeight="1" x14ac:dyDescent="0.2">
      <c r="B37561" s="43"/>
    </row>
    <row r="37562" spans="2:2" ht="12.75" customHeight="1" x14ac:dyDescent="0.2">
      <c r="B37562" s="43"/>
    </row>
    <row r="37563" spans="2:2" ht="12.75" customHeight="1" x14ac:dyDescent="0.2">
      <c r="B37563" s="43"/>
    </row>
    <row r="37564" spans="2:2" ht="12.75" customHeight="1" x14ac:dyDescent="0.2">
      <c r="B37564" s="43"/>
    </row>
    <row r="37565" spans="2:2" ht="12.75" customHeight="1" x14ac:dyDescent="0.2">
      <c r="B37565" s="43"/>
    </row>
    <row r="37566" spans="2:2" ht="12.75" customHeight="1" x14ac:dyDescent="0.2">
      <c r="B37566" s="43"/>
    </row>
    <row r="37567" spans="2:2" ht="12.75" customHeight="1" x14ac:dyDescent="0.2">
      <c r="B37567" s="43"/>
    </row>
    <row r="37568" spans="2:2" ht="12.75" customHeight="1" x14ac:dyDescent="0.2">
      <c r="B37568" s="43"/>
    </row>
    <row r="37569" spans="2:2" ht="12.75" customHeight="1" x14ac:dyDescent="0.2">
      <c r="B37569" s="43"/>
    </row>
    <row r="37570" spans="2:2" ht="12.75" customHeight="1" x14ac:dyDescent="0.2">
      <c r="B37570" s="43"/>
    </row>
    <row r="37571" spans="2:2" ht="12.75" customHeight="1" x14ac:dyDescent="0.2">
      <c r="B37571" s="43"/>
    </row>
    <row r="37572" spans="2:2" ht="12.75" customHeight="1" x14ac:dyDescent="0.2">
      <c r="B37572" s="43"/>
    </row>
    <row r="37573" spans="2:2" ht="12.75" customHeight="1" x14ac:dyDescent="0.2">
      <c r="B37573" s="43"/>
    </row>
    <row r="37574" spans="2:2" ht="12.75" customHeight="1" x14ac:dyDescent="0.2">
      <c r="B37574" s="43"/>
    </row>
    <row r="37575" spans="2:2" ht="12.75" customHeight="1" x14ac:dyDescent="0.2">
      <c r="B37575" s="43"/>
    </row>
    <row r="37576" spans="2:2" ht="12.75" customHeight="1" x14ac:dyDescent="0.2">
      <c r="B37576" s="43"/>
    </row>
    <row r="37577" spans="2:2" ht="12.75" customHeight="1" x14ac:dyDescent="0.2">
      <c r="B37577" s="43"/>
    </row>
    <row r="37578" spans="2:2" ht="12.75" customHeight="1" x14ac:dyDescent="0.2">
      <c r="B37578" s="43"/>
    </row>
    <row r="37579" spans="2:2" ht="12.75" customHeight="1" x14ac:dyDescent="0.2">
      <c r="B37579" s="43"/>
    </row>
    <row r="37580" spans="2:2" ht="12.75" customHeight="1" x14ac:dyDescent="0.2">
      <c r="B37580" s="43"/>
    </row>
    <row r="37581" spans="2:2" ht="12.75" customHeight="1" x14ac:dyDescent="0.2">
      <c r="B37581" s="43"/>
    </row>
    <row r="37582" spans="2:2" ht="12.75" customHeight="1" x14ac:dyDescent="0.2">
      <c r="B37582" s="43"/>
    </row>
    <row r="37583" spans="2:2" ht="12.75" customHeight="1" x14ac:dyDescent="0.2">
      <c r="B37583" s="43"/>
    </row>
    <row r="37584" spans="2:2" ht="12.75" customHeight="1" x14ac:dyDescent="0.2">
      <c r="B37584" s="43"/>
    </row>
    <row r="37585" spans="2:2" ht="12.75" customHeight="1" x14ac:dyDescent="0.2">
      <c r="B37585" s="43"/>
    </row>
    <row r="37586" spans="2:2" ht="12.75" customHeight="1" x14ac:dyDescent="0.2">
      <c r="B37586" s="43"/>
    </row>
    <row r="37587" spans="2:2" ht="12.75" customHeight="1" x14ac:dyDescent="0.2">
      <c r="B37587" s="43"/>
    </row>
    <row r="37588" spans="2:2" ht="12.75" customHeight="1" x14ac:dyDescent="0.2">
      <c r="B37588" s="43"/>
    </row>
    <row r="37589" spans="2:2" ht="12.75" customHeight="1" x14ac:dyDescent="0.2">
      <c r="B37589" s="43"/>
    </row>
    <row r="37590" spans="2:2" ht="12.75" customHeight="1" x14ac:dyDescent="0.2">
      <c r="B37590" s="43"/>
    </row>
    <row r="37591" spans="2:2" ht="12.75" customHeight="1" x14ac:dyDescent="0.2">
      <c r="B37591" s="43"/>
    </row>
    <row r="37592" spans="2:2" ht="12.75" customHeight="1" x14ac:dyDescent="0.2">
      <c r="B37592" s="43"/>
    </row>
    <row r="37593" spans="2:2" ht="12.75" customHeight="1" x14ac:dyDescent="0.2">
      <c r="B37593" s="43"/>
    </row>
    <row r="37594" spans="2:2" ht="12.75" customHeight="1" x14ac:dyDescent="0.2">
      <c r="B37594" s="43"/>
    </row>
    <row r="37595" spans="2:2" ht="12.75" customHeight="1" x14ac:dyDescent="0.2">
      <c r="B37595" s="43"/>
    </row>
    <row r="37596" spans="2:2" ht="12.75" customHeight="1" x14ac:dyDescent="0.2">
      <c r="B37596" s="43"/>
    </row>
    <row r="37597" spans="2:2" ht="12.75" customHeight="1" x14ac:dyDescent="0.2">
      <c r="B37597" s="43"/>
    </row>
    <row r="37598" spans="2:2" ht="12.75" customHeight="1" x14ac:dyDescent="0.2">
      <c r="B37598" s="43"/>
    </row>
    <row r="37599" spans="2:2" ht="12.75" customHeight="1" x14ac:dyDescent="0.2">
      <c r="B37599" s="43"/>
    </row>
    <row r="37600" spans="2:2" ht="12.75" customHeight="1" x14ac:dyDescent="0.2">
      <c r="B37600" s="43"/>
    </row>
    <row r="37601" spans="2:2" ht="12.75" customHeight="1" x14ac:dyDescent="0.2">
      <c r="B37601" s="43"/>
    </row>
    <row r="37602" spans="2:2" ht="12.75" customHeight="1" x14ac:dyDescent="0.2">
      <c r="B37602" s="43"/>
    </row>
    <row r="37603" spans="2:2" ht="12.75" customHeight="1" x14ac:dyDescent="0.2">
      <c r="B37603" s="43"/>
    </row>
    <row r="37604" spans="2:2" ht="12.75" customHeight="1" x14ac:dyDescent="0.2">
      <c r="B37604" s="43"/>
    </row>
    <row r="37605" spans="2:2" ht="12.75" customHeight="1" x14ac:dyDescent="0.2">
      <c r="B37605" s="43"/>
    </row>
    <row r="37606" spans="2:2" ht="12.75" customHeight="1" x14ac:dyDescent="0.2">
      <c r="B37606" s="43"/>
    </row>
    <row r="37607" spans="2:2" ht="12.75" customHeight="1" x14ac:dyDescent="0.2">
      <c r="B37607" s="43"/>
    </row>
    <row r="37608" spans="2:2" ht="12.75" customHeight="1" x14ac:dyDescent="0.2">
      <c r="B37608" s="43"/>
    </row>
    <row r="37609" spans="2:2" ht="12.75" customHeight="1" x14ac:dyDescent="0.2">
      <c r="B37609" s="43"/>
    </row>
    <row r="37610" spans="2:2" ht="12.75" customHeight="1" x14ac:dyDescent="0.2">
      <c r="B37610" s="43"/>
    </row>
    <row r="37611" spans="2:2" ht="12.75" customHeight="1" x14ac:dyDescent="0.2">
      <c r="B37611" s="43"/>
    </row>
    <row r="37612" spans="2:2" ht="12.75" customHeight="1" x14ac:dyDescent="0.2">
      <c r="B37612" s="43"/>
    </row>
    <row r="37613" spans="2:2" ht="12.75" customHeight="1" x14ac:dyDescent="0.2">
      <c r="B37613" s="43"/>
    </row>
    <row r="37614" spans="2:2" ht="12.75" customHeight="1" x14ac:dyDescent="0.2">
      <c r="B37614" s="43"/>
    </row>
    <row r="37615" spans="2:2" ht="12.75" customHeight="1" x14ac:dyDescent="0.2">
      <c r="B37615" s="43"/>
    </row>
    <row r="37616" spans="2:2" ht="12.75" customHeight="1" x14ac:dyDescent="0.2">
      <c r="B37616" s="43"/>
    </row>
    <row r="37617" spans="2:2" ht="12.75" customHeight="1" x14ac:dyDescent="0.2">
      <c r="B37617" s="43"/>
    </row>
    <row r="37618" spans="2:2" ht="12.75" customHeight="1" x14ac:dyDescent="0.2">
      <c r="B37618" s="43"/>
    </row>
    <row r="37619" spans="2:2" ht="12.75" customHeight="1" x14ac:dyDescent="0.2">
      <c r="B37619" s="43"/>
    </row>
    <row r="37620" spans="2:2" ht="12.75" customHeight="1" x14ac:dyDescent="0.2">
      <c r="B37620" s="43"/>
    </row>
    <row r="37621" spans="2:2" ht="12.75" customHeight="1" x14ac:dyDescent="0.2">
      <c r="B37621" s="43"/>
    </row>
    <row r="37622" spans="2:2" ht="12.75" customHeight="1" x14ac:dyDescent="0.2">
      <c r="B37622" s="43"/>
    </row>
    <row r="37623" spans="2:2" ht="12.75" customHeight="1" x14ac:dyDescent="0.2">
      <c r="B37623" s="43"/>
    </row>
    <row r="37624" spans="2:2" ht="12.75" customHeight="1" x14ac:dyDescent="0.2">
      <c r="B37624" s="43"/>
    </row>
    <row r="37625" spans="2:2" ht="12.75" customHeight="1" x14ac:dyDescent="0.2">
      <c r="B37625" s="43"/>
    </row>
    <row r="37626" spans="2:2" ht="12.75" customHeight="1" x14ac:dyDescent="0.2">
      <c r="B37626" s="43"/>
    </row>
    <row r="37627" spans="2:2" ht="12.75" customHeight="1" x14ac:dyDescent="0.2">
      <c r="B37627" s="43"/>
    </row>
    <row r="37628" spans="2:2" ht="12.75" customHeight="1" x14ac:dyDescent="0.2">
      <c r="B37628" s="43"/>
    </row>
    <row r="37629" spans="2:2" ht="12.75" customHeight="1" x14ac:dyDescent="0.2">
      <c r="B37629" s="43"/>
    </row>
    <row r="37630" spans="2:2" ht="12.75" customHeight="1" x14ac:dyDescent="0.2">
      <c r="B37630" s="43"/>
    </row>
    <row r="37631" spans="2:2" ht="12.75" customHeight="1" x14ac:dyDescent="0.2">
      <c r="B37631" s="43"/>
    </row>
    <row r="37632" spans="2:2" ht="12.75" customHeight="1" x14ac:dyDescent="0.2">
      <c r="B37632" s="43"/>
    </row>
    <row r="37633" spans="2:2" ht="12.75" customHeight="1" x14ac:dyDescent="0.2">
      <c r="B37633" s="43"/>
    </row>
    <row r="37634" spans="2:2" ht="12.75" customHeight="1" x14ac:dyDescent="0.2">
      <c r="B37634" s="43"/>
    </row>
    <row r="37635" spans="2:2" ht="12.75" customHeight="1" x14ac:dyDescent="0.2">
      <c r="B37635" s="43"/>
    </row>
    <row r="37636" spans="2:2" ht="12.75" customHeight="1" x14ac:dyDescent="0.2">
      <c r="B37636" s="43"/>
    </row>
    <row r="37637" spans="2:2" ht="12.75" customHeight="1" x14ac:dyDescent="0.2">
      <c r="B37637" s="43"/>
    </row>
    <row r="37638" spans="2:2" ht="12.75" customHeight="1" x14ac:dyDescent="0.2">
      <c r="B37638" s="43"/>
    </row>
    <row r="37639" spans="2:2" ht="12.75" customHeight="1" x14ac:dyDescent="0.2">
      <c r="B37639" s="43"/>
    </row>
    <row r="37640" spans="2:2" ht="12.75" customHeight="1" x14ac:dyDescent="0.2">
      <c r="B37640" s="43"/>
    </row>
    <row r="37641" spans="2:2" ht="12.75" customHeight="1" x14ac:dyDescent="0.2">
      <c r="B37641" s="43"/>
    </row>
    <row r="37642" spans="2:2" ht="12.75" customHeight="1" x14ac:dyDescent="0.2">
      <c r="B37642" s="43"/>
    </row>
    <row r="37643" spans="2:2" ht="12.75" customHeight="1" x14ac:dyDescent="0.2">
      <c r="B37643" s="43"/>
    </row>
    <row r="37644" spans="2:2" ht="12.75" customHeight="1" x14ac:dyDescent="0.2">
      <c r="B37644" s="43"/>
    </row>
    <row r="37645" spans="2:2" ht="12.75" customHeight="1" x14ac:dyDescent="0.2">
      <c r="B37645" s="43"/>
    </row>
    <row r="37646" spans="2:2" ht="12.75" customHeight="1" x14ac:dyDescent="0.2">
      <c r="B37646" s="43"/>
    </row>
    <row r="37647" spans="2:2" ht="12.75" customHeight="1" x14ac:dyDescent="0.2">
      <c r="B37647" s="43"/>
    </row>
    <row r="37648" spans="2:2" ht="12.75" customHeight="1" x14ac:dyDescent="0.2">
      <c r="B37648" s="43"/>
    </row>
    <row r="37649" spans="2:2" ht="12.75" customHeight="1" x14ac:dyDescent="0.2">
      <c r="B37649" s="43"/>
    </row>
    <row r="37650" spans="2:2" ht="12.75" customHeight="1" x14ac:dyDescent="0.2">
      <c r="B37650" s="43"/>
    </row>
    <row r="37651" spans="2:2" ht="12.75" customHeight="1" x14ac:dyDescent="0.2">
      <c r="B37651" s="43"/>
    </row>
    <row r="37652" spans="2:2" ht="12.75" customHeight="1" x14ac:dyDescent="0.2">
      <c r="B37652" s="43"/>
    </row>
    <row r="37653" spans="2:2" ht="12.75" customHeight="1" x14ac:dyDescent="0.2">
      <c r="B37653" s="43"/>
    </row>
    <row r="37654" spans="2:2" ht="12.75" customHeight="1" x14ac:dyDescent="0.2">
      <c r="B37654" s="43"/>
    </row>
    <row r="37655" spans="2:2" ht="12.75" customHeight="1" x14ac:dyDescent="0.2">
      <c r="B37655" s="43"/>
    </row>
    <row r="37656" spans="2:2" ht="12.75" customHeight="1" x14ac:dyDescent="0.2">
      <c r="B37656" s="43"/>
    </row>
    <row r="37657" spans="2:2" ht="12.75" customHeight="1" x14ac:dyDescent="0.2">
      <c r="B37657" s="43"/>
    </row>
    <row r="37658" spans="2:2" ht="12.75" customHeight="1" x14ac:dyDescent="0.2">
      <c r="B37658" s="43"/>
    </row>
    <row r="37659" spans="2:2" ht="12.75" customHeight="1" x14ac:dyDescent="0.2">
      <c r="B37659" s="43"/>
    </row>
    <row r="37660" spans="2:2" ht="12.75" customHeight="1" x14ac:dyDescent="0.2">
      <c r="B37660" s="43"/>
    </row>
    <row r="37661" spans="2:2" ht="12.75" customHeight="1" x14ac:dyDescent="0.2">
      <c r="B37661" s="43"/>
    </row>
    <row r="37662" spans="2:2" ht="12.75" customHeight="1" x14ac:dyDescent="0.2">
      <c r="B37662" s="43"/>
    </row>
    <row r="37663" spans="2:2" ht="12.75" customHeight="1" x14ac:dyDescent="0.2">
      <c r="B37663" s="43"/>
    </row>
    <row r="37664" spans="2:2" ht="12.75" customHeight="1" x14ac:dyDescent="0.2">
      <c r="B37664" s="43"/>
    </row>
    <row r="37665" spans="2:2" ht="12.75" customHeight="1" x14ac:dyDescent="0.2">
      <c r="B37665" s="43"/>
    </row>
    <row r="37666" spans="2:2" ht="12.75" customHeight="1" x14ac:dyDescent="0.2">
      <c r="B37666" s="43"/>
    </row>
    <row r="37667" spans="2:2" ht="12.75" customHeight="1" x14ac:dyDescent="0.2">
      <c r="B37667" s="43"/>
    </row>
    <row r="37668" spans="2:2" ht="12.75" customHeight="1" x14ac:dyDescent="0.2">
      <c r="B37668" s="43"/>
    </row>
    <row r="37669" spans="2:2" ht="12.75" customHeight="1" x14ac:dyDescent="0.2">
      <c r="B37669" s="43"/>
    </row>
    <row r="37670" spans="2:2" ht="12.75" customHeight="1" x14ac:dyDescent="0.2">
      <c r="B37670" s="43"/>
    </row>
    <row r="37671" spans="2:2" ht="12.75" customHeight="1" x14ac:dyDescent="0.2">
      <c r="B37671" s="43"/>
    </row>
    <row r="37672" spans="2:2" ht="12.75" customHeight="1" x14ac:dyDescent="0.2">
      <c r="B37672" s="43"/>
    </row>
    <row r="37673" spans="2:2" ht="12.75" customHeight="1" x14ac:dyDescent="0.2">
      <c r="B37673" s="43"/>
    </row>
    <row r="37674" spans="2:2" ht="12.75" customHeight="1" x14ac:dyDescent="0.2">
      <c r="B37674" s="43"/>
    </row>
    <row r="37675" spans="2:2" ht="12.75" customHeight="1" x14ac:dyDescent="0.2">
      <c r="B37675" s="43"/>
    </row>
    <row r="37676" spans="2:2" ht="12.75" customHeight="1" x14ac:dyDescent="0.2">
      <c r="B37676" s="43"/>
    </row>
    <row r="37677" spans="2:2" ht="12.75" customHeight="1" x14ac:dyDescent="0.2">
      <c r="B37677" s="43"/>
    </row>
    <row r="37678" spans="2:2" ht="12.75" customHeight="1" x14ac:dyDescent="0.2">
      <c r="B37678" s="43"/>
    </row>
    <row r="37679" spans="2:2" ht="12.75" customHeight="1" x14ac:dyDescent="0.2">
      <c r="B37679" s="43"/>
    </row>
    <row r="37680" spans="2:2" ht="12.75" customHeight="1" x14ac:dyDescent="0.2">
      <c r="B37680" s="43"/>
    </row>
    <row r="37681" spans="2:2" ht="12.75" customHeight="1" x14ac:dyDescent="0.2">
      <c r="B37681" s="43"/>
    </row>
    <row r="37682" spans="2:2" ht="12.75" customHeight="1" x14ac:dyDescent="0.2">
      <c r="B37682" s="43"/>
    </row>
    <row r="37683" spans="2:2" ht="12.75" customHeight="1" x14ac:dyDescent="0.2">
      <c r="B37683" s="43"/>
    </row>
    <row r="37684" spans="2:2" ht="12.75" customHeight="1" x14ac:dyDescent="0.2">
      <c r="B37684" s="43"/>
    </row>
    <row r="37685" spans="2:2" ht="12.75" customHeight="1" x14ac:dyDescent="0.2">
      <c r="B37685" s="43"/>
    </row>
    <row r="37686" spans="2:2" ht="12.75" customHeight="1" x14ac:dyDescent="0.2">
      <c r="B37686" s="43"/>
    </row>
    <row r="37687" spans="2:2" ht="12.75" customHeight="1" x14ac:dyDescent="0.2">
      <c r="B37687" s="43"/>
    </row>
    <row r="37688" spans="2:2" ht="12.75" customHeight="1" x14ac:dyDescent="0.2">
      <c r="B37688" s="43"/>
    </row>
    <row r="37689" spans="2:2" ht="12.75" customHeight="1" x14ac:dyDescent="0.2">
      <c r="B37689" s="43"/>
    </row>
    <row r="37690" spans="2:2" ht="12.75" customHeight="1" x14ac:dyDescent="0.2">
      <c r="B37690" s="43"/>
    </row>
    <row r="37691" spans="2:2" ht="12.75" customHeight="1" x14ac:dyDescent="0.2">
      <c r="B37691" s="43"/>
    </row>
    <row r="37692" spans="2:2" ht="12.75" customHeight="1" x14ac:dyDescent="0.2">
      <c r="B37692" s="43"/>
    </row>
    <row r="37693" spans="2:2" ht="12.75" customHeight="1" x14ac:dyDescent="0.2">
      <c r="B37693" s="43"/>
    </row>
    <row r="37694" spans="2:2" ht="12.75" customHeight="1" x14ac:dyDescent="0.2">
      <c r="B37694" s="43"/>
    </row>
    <row r="37695" spans="2:2" ht="12.75" customHeight="1" x14ac:dyDescent="0.2">
      <c r="B37695" s="43"/>
    </row>
    <row r="37696" spans="2:2" ht="12.75" customHeight="1" x14ac:dyDescent="0.2">
      <c r="B37696" s="43"/>
    </row>
    <row r="37697" spans="2:2" ht="12.75" customHeight="1" x14ac:dyDescent="0.2">
      <c r="B37697" s="43"/>
    </row>
    <row r="37698" spans="2:2" ht="12.75" customHeight="1" x14ac:dyDescent="0.2">
      <c r="B37698" s="43"/>
    </row>
    <row r="37699" spans="2:2" ht="12.75" customHeight="1" x14ac:dyDescent="0.2">
      <c r="B37699" s="43"/>
    </row>
    <row r="37700" spans="2:2" ht="12.75" customHeight="1" x14ac:dyDescent="0.2">
      <c r="B37700" s="43"/>
    </row>
    <row r="37701" spans="2:2" ht="12.75" customHeight="1" x14ac:dyDescent="0.2">
      <c r="B37701" s="43"/>
    </row>
    <row r="37702" spans="2:2" ht="12.75" customHeight="1" x14ac:dyDescent="0.2">
      <c r="B37702" s="43"/>
    </row>
    <row r="37703" spans="2:2" ht="12.75" customHeight="1" x14ac:dyDescent="0.2">
      <c r="B37703" s="43"/>
    </row>
    <row r="37704" spans="2:2" ht="12.75" customHeight="1" x14ac:dyDescent="0.2">
      <c r="B37704" s="43"/>
    </row>
    <row r="37705" spans="2:2" ht="12.75" customHeight="1" x14ac:dyDescent="0.2">
      <c r="B37705" s="43"/>
    </row>
    <row r="37706" spans="2:2" ht="12.75" customHeight="1" x14ac:dyDescent="0.2">
      <c r="B37706" s="43"/>
    </row>
    <row r="37707" spans="2:2" ht="12.75" customHeight="1" x14ac:dyDescent="0.2">
      <c r="B37707" s="43"/>
    </row>
    <row r="37708" spans="2:2" ht="12.75" customHeight="1" x14ac:dyDescent="0.2">
      <c r="B37708" s="43"/>
    </row>
    <row r="37709" spans="2:2" ht="12.75" customHeight="1" x14ac:dyDescent="0.2">
      <c r="B37709" s="43"/>
    </row>
    <row r="37710" spans="2:2" ht="12.75" customHeight="1" x14ac:dyDescent="0.2">
      <c r="B37710" s="43"/>
    </row>
    <row r="37711" spans="2:2" ht="12.75" customHeight="1" x14ac:dyDescent="0.2">
      <c r="B37711" s="43"/>
    </row>
    <row r="37712" spans="2:2" ht="12.75" customHeight="1" x14ac:dyDescent="0.2">
      <c r="B37712" s="43"/>
    </row>
    <row r="37713" spans="2:2" ht="12.75" customHeight="1" x14ac:dyDescent="0.2">
      <c r="B37713" s="43"/>
    </row>
    <row r="37714" spans="2:2" ht="12.75" customHeight="1" x14ac:dyDescent="0.2">
      <c r="B37714" s="43"/>
    </row>
    <row r="37715" spans="2:2" ht="12.75" customHeight="1" x14ac:dyDescent="0.2">
      <c r="B37715" s="43"/>
    </row>
    <row r="37716" spans="2:2" ht="12.75" customHeight="1" x14ac:dyDescent="0.2">
      <c r="B37716" s="43"/>
    </row>
    <row r="37717" spans="2:2" ht="12.75" customHeight="1" x14ac:dyDescent="0.2">
      <c r="B37717" s="43"/>
    </row>
    <row r="37718" spans="2:2" ht="12.75" customHeight="1" x14ac:dyDescent="0.2">
      <c r="B37718" s="43"/>
    </row>
    <row r="37719" spans="2:2" ht="12.75" customHeight="1" x14ac:dyDescent="0.2">
      <c r="B37719" s="43"/>
    </row>
    <row r="37720" spans="2:2" ht="12.75" customHeight="1" x14ac:dyDescent="0.2">
      <c r="B37720" s="43"/>
    </row>
    <row r="37721" spans="2:2" ht="12.75" customHeight="1" x14ac:dyDescent="0.2">
      <c r="B37721" s="43"/>
    </row>
    <row r="37722" spans="2:2" ht="12.75" customHeight="1" x14ac:dyDescent="0.2">
      <c r="B37722" s="43"/>
    </row>
    <row r="37723" spans="2:2" ht="12.75" customHeight="1" x14ac:dyDescent="0.2">
      <c r="B37723" s="43"/>
    </row>
    <row r="37724" spans="2:2" ht="12.75" customHeight="1" x14ac:dyDescent="0.2">
      <c r="B37724" s="43"/>
    </row>
    <row r="37725" spans="2:2" ht="12.75" customHeight="1" x14ac:dyDescent="0.2">
      <c r="B37725" s="43"/>
    </row>
    <row r="37726" spans="2:2" ht="12.75" customHeight="1" x14ac:dyDescent="0.2">
      <c r="B37726" s="43"/>
    </row>
    <row r="37727" spans="2:2" ht="12.75" customHeight="1" x14ac:dyDescent="0.2">
      <c r="B37727" s="43"/>
    </row>
    <row r="37728" spans="2:2" ht="12.75" customHeight="1" x14ac:dyDescent="0.2">
      <c r="B37728" s="43"/>
    </row>
    <row r="37729" spans="2:2" ht="12.75" customHeight="1" x14ac:dyDescent="0.2">
      <c r="B37729" s="43"/>
    </row>
    <row r="37730" spans="2:2" ht="12.75" customHeight="1" x14ac:dyDescent="0.2">
      <c r="B37730" s="43"/>
    </row>
    <row r="37731" spans="2:2" ht="12.75" customHeight="1" x14ac:dyDescent="0.2">
      <c r="B37731" s="43"/>
    </row>
    <row r="37732" spans="2:2" ht="12.75" customHeight="1" x14ac:dyDescent="0.2">
      <c r="B37732" s="43"/>
    </row>
    <row r="37733" spans="2:2" ht="12.75" customHeight="1" x14ac:dyDescent="0.2">
      <c r="B37733" s="43"/>
    </row>
    <row r="37734" spans="2:2" ht="12.75" customHeight="1" x14ac:dyDescent="0.2">
      <c r="B37734" s="43"/>
    </row>
    <row r="37735" spans="2:2" ht="12.75" customHeight="1" x14ac:dyDescent="0.2">
      <c r="B37735" s="43"/>
    </row>
    <row r="37736" spans="2:2" ht="12.75" customHeight="1" x14ac:dyDescent="0.2">
      <c r="B37736" s="43"/>
    </row>
    <row r="37737" spans="2:2" ht="12.75" customHeight="1" x14ac:dyDescent="0.2">
      <c r="B37737" s="43"/>
    </row>
    <row r="37738" spans="2:2" ht="12.75" customHeight="1" x14ac:dyDescent="0.2">
      <c r="B37738" s="43"/>
    </row>
    <row r="37739" spans="2:2" ht="12.75" customHeight="1" x14ac:dyDescent="0.2">
      <c r="B37739" s="43"/>
    </row>
    <row r="37740" spans="2:2" ht="12.75" customHeight="1" x14ac:dyDescent="0.2">
      <c r="B37740" s="43"/>
    </row>
    <row r="37741" spans="2:2" ht="12.75" customHeight="1" x14ac:dyDescent="0.2">
      <c r="B37741" s="43"/>
    </row>
    <row r="37742" spans="2:2" ht="12.75" customHeight="1" x14ac:dyDescent="0.2">
      <c r="B37742" s="43"/>
    </row>
    <row r="37743" spans="2:2" ht="12.75" customHeight="1" x14ac:dyDescent="0.2">
      <c r="B37743" s="43"/>
    </row>
    <row r="37744" spans="2:2" ht="12.75" customHeight="1" x14ac:dyDescent="0.2">
      <c r="B37744" s="43"/>
    </row>
    <row r="37745" spans="2:2" ht="12.75" customHeight="1" x14ac:dyDescent="0.2">
      <c r="B37745" s="43"/>
    </row>
    <row r="37746" spans="2:2" ht="12.75" customHeight="1" x14ac:dyDescent="0.2">
      <c r="B37746" s="43"/>
    </row>
    <row r="37747" spans="2:2" ht="12.75" customHeight="1" x14ac:dyDescent="0.2">
      <c r="B37747" s="43"/>
    </row>
    <row r="37748" spans="2:2" ht="12.75" customHeight="1" x14ac:dyDescent="0.2">
      <c r="B37748" s="43"/>
    </row>
    <row r="37749" spans="2:2" ht="12.75" customHeight="1" x14ac:dyDescent="0.2">
      <c r="B37749" s="43"/>
    </row>
    <row r="37750" spans="2:2" ht="12.75" customHeight="1" x14ac:dyDescent="0.2">
      <c r="B37750" s="43"/>
    </row>
    <row r="37751" spans="2:2" ht="12.75" customHeight="1" x14ac:dyDescent="0.2">
      <c r="B37751" s="43"/>
    </row>
    <row r="37752" spans="2:2" ht="12.75" customHeight="1" x14ac:dyDescent="0.2">
      <c r="B37752" s="43"/>
    </row>
    <row r="37753" spans="2:2" ht="12.75" customHeight="1" x14ac:dyDescent="0.2">
      <c r="B37753" s="43"/>
    </row>
    <row r="37754" spans="2:2" ht="12.75" customHeight="1" x14ac:dyDescent="0.2">
      <c r="B37754" s="43"/>
    </row>
    <row r="37755" spans="2:2" ht="12.75" customHeight="1" x14ac:dyDescent="0.2">
      <c r="B37755" s="43"/>
    </row>
    <row r="37756" spans="2:2" ht="12.75" customHeight="1" x14ac:dyDescent="0.2">
      <c r="B37756" s="43"/>
    </row>
    <row r="37757" spans="2:2" ht="12.75" customHeight="1" x14ac:dyDescent="0.2">
      <c r="B37757" s="43"/>
    </row>
    <row r="37758" spans="2:2" ht="12.75" customHeight="1" x14ac:dyDescent="0.2">
      <c r="B37758" s="43"/>
    </row>
    <row r="37759" spans="2:2" ht="12.75" customHeight="1" x14ac:dyDescent="0.2">
      <c r="B37759" s="43"/>
    </row>
    <row r="37760" spans="2:2" ht="12.75" customHeight="1" x14ac:dyDescent="0.2">
      <c r="B37760" s="43"/>
    </row>
    <row r="37761" spans="2:2" ht="12.75" customHeight="1" x14ac:dyDescent="0.2">
      <c r="B37761" s="43"/>
    </row>
    <row r="37762" spans="2:2" ht="12.75" customHeight="1" x14ac:dyDescent="0.2">
      <c r="B37762" s="43"/>
    </row>
    <row r="37763" spans="2:2" ht="12.75" customHeight="1" x14ac:dyDescent="0.2">
      <c r="B37763" s="43"/>
    </row>
    <row r="37764" spans="2:2" ht="12.75" customHeight="1" x14ac:dyDescent="0.2">
      <c r="B37764" s="43"/>
    </row>
    <row r="37765" spans="2:2" ht="12.75" customHeight="1" x14ac:dyDescent="0.2">
      <c r="B37765" s="43"/>
    </row>
    <row r="37766" spans="2:2" ht="12.75" customHeight="1" x14ac:dyDescent="0.2">
      <c r="B37766" s="43"/>
    </row>
    <row r="37767" spans="2:2" ht="12.75" customHeight="1" x14ac:dyDescent="0.2">
      <c r="B37767" s="43"/>
    </row>
    <row r="37768" spans="2:2" ht="12.75" customHeight="1" x14ac:dyDescent="0.2">
      <c r="B37768" s="43"/>
    </row>
    <row r="37769" spans="2:2" ht="12.75" customHeight="1" x14ac:dyDescent="0.2">
      <c r="B37769" s="43"/>
    </row>
    <row r="37770" spans="2:2" ht="12.75" customHeight="1" x14ac:dyDescent="0.2">
      <c r="B37770" s="43"/>
    </row>
    <row r="37771" spans="2:2" ht="12.75" customHeight="1" x14ac:dyDescent="0.2">
      <c r="B37771" s="43"/>
    </row>
    <row r="37772" spans="2:2" ht="12.75" customHeight="1" x14ac:dyDescent="0.2">
      <c r="B37772" s="43"/>
    </row>
    <row r="37773" spans="2:2" ht="12.75" customHeight="1" x14ac:dyDescent="0.2">
      <c r="B37773" s="43"/>
    </row>
    <row r="37774" spans="2:2" ht="12.75" customHeight="1" x14ac:dyDescent="0.2">
      <c r="B37774" s="43"/>
    </row>
    <row r="37775" spans="2:2" ht="12.75" customHeight="1" x14ac:dyDescent="0.2">
      <c r="B37775" s="43"/>
    </row>
    <row r="37776" spans="2:2" ht="12.75" customHeight="1" x14ac:dyDescent="0.2">
      <c r="B37776" s="43"/>
    </row>
    <row r="37777" spans="2:2" ht="12.75" customHeight="1" x14ac:dyDescent="0.2">
      <c r="B37777" s="43"/>
    </row>
    <row r="37778" spans="2:2" ht="12.75" customHeight="1" x14ac:dyDescent="0.2">
      <c r="B37778" s="43"/>
    </row>
    <row r="37779" spans="2:2" ht="12.75" customHeight="1" x14ac:dyDescent="0.2">
      <c r="B37779" s="43"/>
    </row>
    <row r="37780" spans="2:2" ht="12.75" customHeight="1" x14ac:dyDescent="0.2">
      <c r="B37780" s="43"/>
    </row>
    <row r="37781" spans="2:2" ht="12.75" customHeight="1" x14ac:dyDescent="0.2">
      <c r="B37781" s="43"/>
    </row>
    <row r="37782" spans="2:2" ht="12.75" customHeight="1" x14ac:dyDescent="0.2">
      <c r="B37782" s="43"/>
    </row>
    <row r="37783" spans="2:2" ht="12.75" customHeight="1" x14ac:dyDescent="0.2">
      <c r="B37783" s="43"/>
    </row>
    <row r="37784" spans="2:2" ht="12.75" customHeight="1" x14ac:dyDescent="0.2">
      <c r="B37784" s="43"/>
    </row>
    <row r="37785" spans="2:2" ht="12.75" customHeight="1" x14ac:dyDescent="0.2">
      <c r="B37785" s="43"/>
    </row>
    <row r="37786" spans="2:2" ht="12.75" customHeight="1" x14ac:dyDescent="0.2">
      <c r="B37786" s="43"/>
    </row>
    <row r="37787" spans="2:2" ht="12.75" customHeight="1" x14ac:dyDescent="0.2">
      <c r="B37787" s="43"/>
    </row>
    <row r="37788" spans="2:2" ht="12.75" customHeight="1" x14ac:dyDescent="0.2">
      <c r="B37788" s="43"/>
    </row>
    <row r="37789" spans="2:2" ht="12.75" customHeight="1" x14ac:dyDescent="0.2">
      <c r="B37789" s="43"/>
    </row>
    <row r="37790" spans="2:2" ht="12.75" customHeight="1" x14ac:dyDescent="0.2">
      <c r="B37790" s="43"/>
    </row>
    <row r="37791" spans="2:2" ht="12.75" customHeight="1" x14ac:dyDescent="0.2">
      <c r="B37791" s="43"/>
    </row>
    <row r="37792" spans="2:2" ht="12.75" customHeight="1" x14ac:dyDescent="0.2">
      <c r="B37792" s="43"/>
    </row>
    <row r="37793" spans="2:2" ht="12.75" customHeight="1" x14ac:dyDescent="0.2">
      <c r="B37793" s="43"/>
    </row>
    <row r="37794" spans="2:2" ht="12.75" customHeight="1" x14ac:dyDescent="0.2">
      <c r="B37794" s="43"/>
    </row>
    <row r="37795" spans="2:2" ht="12.75" customHeight="1" x14ac:dyDescent="0.2">
      <c r="B37795" s="43"/>
    </row>
    <row r="37796" spans="2:2" ht="12.75" customHeight="1" x14ac:dyDescent="0.2">
      <c r="B37796" s="43"/>
    </row>
    <row r="37797" spans="2:2" ht="12.75" customHeight="1" x14ac:dyDescent="0.2">
      <c r="B37797" s="43"/>
    </row>
    <row r="37798" spans="2:2" ht="12.75" customHeight="1" x14ac:dyDescent="0.2">
      <c r="B37798" s="43"/>
    </row>
    <row r="37799" spans="2:2" ht="12.75" customHeight="1" x14ac:dyDescent="0.2">
      <c r="B37799" s="43"/>
    </row>
    <row r="37800" spans="2:2" ht="12.75" customHeight="1" x14ac:dyDescent="0.2">
      <c r="B37800" s="43"/>
    </row>
    <row r="37801" spans="2:2" ht="12.75" customHeight="1" x14ac:dyDescent="0.2">
      <c r="B37801" s="43"/>
    </row>
    <row r="37802" spans="2:2" ht="12.75" customHeight="1" x14ac:dyDescent="0.2">
      <c r="B37802" s="43"/>
    </row>
    <row r="37803" spans="2:2" ht="12.75" customHeight="1" x14ac:dyDescent="0.2">
      <c r="B37803" s="43"/>
    </row>
    <row r="37804" spans="2:2" ht="12.75" customHeight="1" x14ac:dyDescent="0.2">
      <c r="B37804" s="43"/>
    </row>
    <row r="37805" spans="2:2" ht="12.75" customHeight="1" x14ac:dyDescent="0.2">
      <c r="B37805" s="43"/>
    </row>
    <row r="37806" spans="2:2" ht="12.75" customHeight="1" x14ac:dyDescent="0.2">
      <c r="B37806" s="43"/>
    </row>
    <row r="37807" spans="2:2" ht="12.75" customHeight="1" x14ac:dyDescent="0.2">
      <c r="B37807" s="43"/>
    </row>
    <row r="37808" spans="2:2" ht="12.75" customHeight="1" x14ac:dyDescent="0.2">
      <c r="B37808" s="43"/>
    </row>
    <row r="37809" spans="2:2" ht="12.75" customHeight="1" x14ac:dyDescent="0.2">
      <c r="B37809" s="43"/>
    </row>
    <row r="37810" spans="2:2" ht="12.75" customHeight="1" x14ac:dyDescent="0.2">
      <c r="B37810" s="43"/>
    </row>
    <row r="37811" spans="2:2" ht="12.75" customHeight="1" x14ac:dyDescent="0.2">
      <c r="B37811" s="43"/>
    </row>
    <row r="37812" spans="2:2" ht="12.75" customHeight="1" x14ac:dyDescent="0.2">
      <c r="B37812" s="43"/>
    </row>
    <row r="37813" spans="2:2" ht="12.75" customHeight="1" x14ac:dyDescent="0.2">
      <c r="B37813" s="43"/>
    </row>
    <row r="37814" spans="2:2" ht="12.75" customHeight="1" x14ac:dyDescent="0.2">
      <c r="B37814" s="43"/>
    </row>
    <row r="37815" spans="2:2" ht="12.75" customHeight="1" x14ac:dyDescent="0.2">
      <c r="B37815" s="43"/>
    </row>
    <row r="37816" spans="2:2" ht="12.75" customHeight="1" x14ac:dyDescent="0.2">
      <c r="B37816" s="43"/>
    </row>
    <row r="37817" spans="2:2" ht="12.75" customHeight="1" x14ac:dyDescent="0.2">
      <c r="B37817" s="43"/>
    </row>
    <row r="37818" spans="2:2" ht="12.75" customHeight="1" x14ac:dyDescent="0.2">
      <c r="B37818" s="43"/>
    </row>
    <row r="37819" spans="2:2" ht="12.75" customHeight="1" x14ac:dyDescent="0.2">
      <c r="B37819" s="43"/>
    </row>
    <row r="37820" spans="2:2" ht="12.75" customHeight="1" x14ac:dyDescent="0.2">
      <c r="B37820" s="43"/>
    </row>
    <row r="37821" spans="2:2" ht="12.75" customHeight="1" x14ac:dyDescent="0.2">
      <c r="B37821" s="43"/>
    </row>
    <row r="37822" spans="2:2" ht="12.75" customHeight="1" x14ac:dyDescent="0.2">
      <c r="B37822" s="43"/>
    </row>
    <row r="37823" spans="2:2" ht="12.75" customHeight="1" x14ac:dyDescent="0.2">
      <c r="B37823" s="43"/>
    </row>
    <row r="37824" spans="2:2" ht="12.75" customHeight="1" x14ac:dyDescent="0.2">
      <c r="B37824" s="43"/>
    </row>
    <row r="37825" spans="2:2" ht="12.75" customHeight="1" x14ac:dyDescent="0.2">
      <c r="B37825" s="43"/>
    </row>
    <row r="37826" spans="2:2" ht="12.75" customHeight="1" x14ac:dyDescent="0.2">
      <c r="B37826" s="43"/>
    </row>
    <row r="37827" spans="2:2" ht="12.75" customHeight="1" x14ac:dyDescent="0.2">
      <c r="B37827" s="43"/>
    </row>
    <row r="37828" spans="2:2" ht="12.75" customHeight="1" x14ac:dyDescent="0.2">
      <c r="B37828" s="43"/>
    </row>
    <row r="37829" spans="2:2" ht="12.75" customHeight="1" x14ac:dyDescent="0.2">
      <c r="B37829" s="43"/>
    </row>
    <row r="37830" spans="2:2" ht="12.75" customHeight="1" x14ac:dyDescent="0.2">
      <c r="B37830" s="43"/>
    </row>
    <row r="37831" spans="2:2" ht="12.75" customHeight="1" x14ac:dyDescent="0.2">
      <c r="B37831" s="43"/>
    </row>
    <row r="37832" spans="2:2" ht="12.75" customHeight="1" x14ac:dyDescent="0.2">
      <c r="B37832" s="43"/>
    </row>
    <row r="37833" spans="2:2" ht="12.75" customHeight="1" x14ac:dyDescent="0.2">
      <c r="B37833" s="43"/>
    </row>
    <row r="37834" spans="2:2" ht="12.75" customHeight="1" x14ac:dyDescent="0.2">
      <c r="B37834" s="43"/>
    </row>
    <row r="37835" spans="2:2" ht="12.75" customHeight="1" x14ac:dyDescent="0.2">
      <c r="B37835" s="43"/>
    </row>
    <row r="37836" spans="2:2" ht="12.75" customHeight="1" x14ac:dyDescent="0.2">
      <c r="B37836" s="43"/>
    </row>
    <row r="37837" spans="2:2" ht="12.75" customHeight="1" x14ac:dyDescent="0.2">
      <c r="B37837" s="43"/>
    </row>
    <row r="37838" spans="2:2" ht="12.75" customHeight="1" x14ac:dyDescent="0.2">
      <c r="B37838" s="43"/>
    </row>
    <row r="37839" spans="2:2" ht="12.75" customHeight="1" x14ac:dyDescent="0.2">
      <c r="B37839" s="43"/>
    </row>
    <row r="37840" spans="2:2" ht="12.75" customHeight="1" x14ac:dyDescent="0.2">
      <c r="B37840" s="43"/>
    </row>
    <row r="37841" spans="2:2" ht="12.75" customHeight="1" x14ac:dyDescent="0.2">
      <c r="B37841" s="43"/>
    </row>
    <row r="37842" spans="2:2" ht="12.75" customHeight="1" x14ac:dyDescent="0.2">
      <c r="B37842" s="43"/>
    </row>
    <row r="37843" spans="2:2" ht="12.75" customHeight="1" x14ac:dyDescent="0.2">
      <c r="B37843" s="43"/>
    </row>
    <row r="37844" spans="2:2" ht="12.75" customHeight="1" x14ac:dyDescent="0.2">
      <c r="B37844" s="43"/>
    </row>
    <row r="37845" spans="2:2" ht="12.75" customHeight="1" x14ac:dyDescent="0.2">
      <c r="B37845" s="43"/>
    </row>
    <row r="37846" spans="2:2" ht="12.75" customHeight="1" x14ac:dyDescent="0.2">
      <c r="B37846" s="43"/>
    </row>
    <row r="37847" spans="2:2" ht="12.75" customHeight="1" x14ac:dyDescent="0.2">
      <c r="B37847" s="43"/>
    </row>
    <row r="37848" spans="2:2" ht="12.75" customHeight="1" x14ac:dyDescent="0.2">
      <c r="B37848" s="43"/>
    </row>
    <row r="37849" spans="2:2" ht="12.75" customHeight="1" x14ac:dyDescent="0.2">
      <c r="B37849" s="43"/>
    </row>
    <row r="37850" spans="2:2" ht="12.75" customHeight="1" x14ac:dyDescent="0.2">
      <c r="B37850" s="43"/>
    </row>
    <row r="37851" spans="2:2" ht="12.75" customHeight="1" x14ac:dyDescent="0.2">
      <c r="B37851" s="43"/>
    </row>
    <row r="37852" spans="2:2" ht="12.75" customHeight="1" x14ac:dyDescent="0.2">
      <c r="B37852" s="43"/>
    </row>
    <row r="37853" spans="2:2" ht="12.75" customHeight="1" x14ac:dyDescent="0.2">
      <c r="B37853" s="43"/>
    </row>
    <row r="37854" spans="2:2" ht="12.75" customHeight="1" x14ac:dyDescent="0.2">
      <c r="B37854" s="43"/>
    </row>
    <row r="37855" spans="2:2" ht="12.75" customHeight="1" x14ac:dyDescent="0.2">
      <c r="B37855" s="43"/>
    </row>
    <row r="37856" spans="2:2" ht="12.75" customHeight="1" x14ac:dyDescent="0.2">
      <c r="B37856" s="43"/>
    </row>
    <row r="37857" spans="2:2" ht="12.75" customHeight="1" x14ac:dyDescent="0.2">
      <c r="B37857" s="43"/>
    </row>
    <row r="37858" spans="2:2" ht="12.75" customHeight="1" x14ac:dyDescent="0.2">
      <c r="B37858" s="43"/>
    </row>
    <row r="37859" spans="2:2" ht="12.75" customHeight="1" x14ac:dyDescent="0.2">
      <c r="B37859" s="43"/>
    </row>
    <row r="37860" spans="2:2" ht="12.75" customHeight="1" x14ac:dyDescent="0.2">
      <c r="B37860" s="43"/>
    </row>
    <row r="37861" spans="2:2" ht="12.75" customHeight="1" x14ac:dyDescent="0.2">
      <c r="B37861" s="43"/>
    </row>
    <row r="37862" spans="2:2" ht="12.75" customHeight="1" x14ac:dyDescent="0.2">
      <c r="B37862" s="43"/>
    </row>
    <row r="37863" spans="2:2" ht="12.75" customHeight="1" x14ac:dyDescent="0.2">
      <c r="B37863" s="43"/>
    </row>
    <row r="37864" spans="2:2" ht="12.75" customHeight="1" x14ac:dyDescent="0.2">
      <c r="B37864" s="43"/>
    </row>
    <row r="37865" spans="2:2" ht="12.75" customHeight="1" x14ac:dyDescent="0.2">
      <c r="B37865" s="43"/>
    </row>
    <row r="37866" spans="2:2" ht="12.75" customHeight="1" x14ac:dyDescent="0.2">
      <c r="B37866" s="43"/>
    </row>
    <row r="37867" spans="2:2" ht="12.75" customHeight="1" x14ac:dyDescent="0.2">
      <c r="B37867" s="43"/>
    </row>
    <row r="37868" spans="2:2" ht="12.75" customHeight="1" x14ac:dyDescent="0.2">
      <c r="B37868" s="43"/>
    </row>
    <row r="37869" spans="2:2" ht="12.75" customHeight="1" x14ac:dyDescent="0.2">
      <c r="B37869" s="43"/>
    </row>
    <row r="37870" spans="2:2" ht="12.75" customHeight="1" x14ac:dyDescent="0.2">
      <c r="B37870" s="43"/>
    </row>
    <row r="37871" spans="2:2" ht="12.75" customHeight="1" x14ac:dyDescent="0.2">
      <c r="B37871" s="43"/>
    </row>
    <row r="37872" spans="2:2" ht="12.75" customHeight="1" x14ac:dyDescent="0.2">
      <c r="B37872" s="43"/>
    </row>
    <row r="37873" spans="2:2" ht="12.75" customHeight="1" x14ac:dyDescent="0.2">
      <c r="B37873" s="43"/>
    </row>
    <row r="37874" spans="2:2" ht="12.75" customHeight="1" x14ac:dyDescent="0.2">
      <c r="B37874" s="43"/>
    </row>
    <row r="37875" spans="2:2" ht="12.75" customHeight="1" x14ac:dyDescent="0.2">
      <c r="B37875" s="43"/>
    </row>
    <row r="37876" spans="2:2" ht="12.75" customHeight="1" x14ac:dyDescent="0.2">
      <c r="B37876" s="43"/>
    </row>
    <row r="37877" spans="2:2" ht="12.75" customHeight="1" x14ac:dyDescent="0.2">
      <c r="B37877" s="43"/>
    </row>
    <row r="37878" spans="2:2" ht="12.75" customHeight="1" x14ac:dyDescent="0.2">
      <c r="B37878" s="43"/>
    </row>
    <row r="37879" spans="2:2" ht="12.75" customHeight="1" x14ac:dyDescent="0.2">
      <c r="B37879" s="43"/>
    </row>
    <row r="37880" spans="2:2" ht="12.75" customHeight="1" x14ac:dyDescent="0.2">
      <c r="B37880" s="43"/>
    </row>
    <row r="37881" spans="2:2" ht="12.75" customHeight="1" x14ac:dyDescent="0.2">
      <c r="B37881" s="43"/>
    </row>
    <row r="37882" spans="2:2" ht="12.75" customHeight="1" x14ac:dyDescent="0.2">
      <c r="B37882" s="43"/>
    </row>
    <row r="37883" spans="2:2" ht="12.75" customHeight="1" x14ac:dyDescent="0.2">
      <c r="B37883" s="43"/>
    </row>
    <row r="37884" spans="2:2" ht="12.75" customHeight="1" x14ac:dyDescent="0.2">
      <c r="B37884" s="43"/>
    </row>
    <row r="37885" spans="2:2" ht="12.75" customHeight="1" x14ac:dyDescent="0.2">
      <c r="B37885" s="43"/>
    </row>
    <row r="37886" spans="2:2" ht="12.75" customHeight="1" x14ac:dyDescent="0.2">
      <c r="B37886" s="43"/>
    </row>
    <row r="37887" spans="2:2" ht="12.75" customHeight="1" x14ac:dyDescent="0.2">
      <c r="B37887" s="43"/>
    </row>
    <row r="37888" spans="2:2" ht="12.75" customHeight="1" x14ac:dyDescent="0.2">
      <c r="B37888" s="43"/>
    </row>
    <row r="37889" spans="2:2" ht="12.75" customHeight="1" x14ac:dyDescent="0.2">
      <c r="B37889" s="43"/>
    </row>
    <row r="37890" spans="2:2" ht="12.75" customHeight="1" x14ac:dyDescent="0.2">
      <c r="B37890" s="43"/>
    </row>
    <row r="37891" spans="2:2" ht="12.75" customHeight="1" x14ac:dyDescent="0.2">
      <c r="B37891" s="43"/>
    </row>
    <row r="37892" spans="2:2" ht="12.75" customHeight="1" x14ac:dyDescent="0.2">
      <c r="B37892" s="43"/>
    </row>
    <row r="37893" spans="2:2" ht="12.75" customHeight="1" x14ac:dyDescent="0.2">
      <c r="B37893" s="43"/>
    </row>
    <row r="37894" spans="2:2" ht="12.75" customHeight="1" x14ac:dyDescent="0.2">
      <c r="B37894" s="43"/>
    </row>
    <row r="37895" spans="2:2" ht="12.75" customHeight="1" x14ac:dyDescent="0.2">
      <c r="B37895" s="43"/>
    </row>
    <row r="37896" spans="2:2" ht="12.75" customHeight="1" x14ac:dyDescent="0.2">
      <c r="B37896" s="43"/>
    </row>
    <row r="37897" spans="2:2" ht="12.75" customHeight="1" x14ac:dyDescent="0.2">
      <c r="B37897" s="43"/>
    </row>
    <row r="37898" spans="2:2" ht="12.75" customHeight="1" x14ac:dyDescent="0.2">
      <c r="B37898" s="43"/>
    </row>
    <row r="37899" spans="2:2" ht="12.75" customHeight="1" x14ac:dyDescent="0.2">
      <c r="B37899" s="43"/>
    </row>
    <row r="37900" spans="2:2" ht="12.75" customHeight="1" x14ac:dyDescent="0.2">
      <c r="B37900" s="43"/>
    </row>
    <row r="37901" spans="2:2" ht="12.75" customHeight="1" x14ac:dyDescent="0.2">
      <c r="B37901" s="43"/>
    </row>
    <row r="37902" spans="2:2" ht="12.75" customHeight="1" x14ac:dyDescent="0.2">
      <c r="B37902" s="43"/>
    </row>
    <row r="37903" spans="2:2" ht="12.75" customHeight="1" x14ac:dyDescent="0.2">
      <c r="B37903" s="43"/>
    </row>
    <row r="37904" spans="2:2" ht="12.75" customHeight="1" x14ac:dyDescent="0.2">
      <c r="B37904" s="43"/>
    </row>
    <row r="37905" spans="2:2" ht="12.75" customHeight="1" x14ac:dyDescent="0.2">
      <c r="B37905" s="43"/>
    </row>
    <row r="37906" spans="2:2" ht="12.75" customHeight="1" x14ac:dyDescent="0.2">
      <c r="B37906" s="43"/>
    </row>
    <row r="37907" spans="2:2" ht="12.75" customHeight="1" x14ac:dyDescent="0.2">
      <c r="B37907" s="43"/>
    </row>
    <row r="37908" spans="2:2" ht="12.75" customHeight="1" x14ac:dyDescent="0.2">
      <c r="B37908" s="43"/>
    </row>
    <row r="37909" spans="2:2" ht="12.75" customHeight="1" x14ac:dyDescent="0.2">
      <c r="B37909" s="43"/>
    </row>
    <row r="37910" spans="2:2" ht="12.75" customHeight="1" x14ac:dyDescent="0.2">
      <c r="B37910" s="43"/>
    </row>
    <row r="37911" spans="2:2" ht="12.75" customHeight="1" x14ac:dyDescent="0.2">
      <c r="B37911" s="43"/>
    </row>
    <row r="37912" spans="2:2" ht="12.75" customHeight="1" x14ac:dyDescent="0.2">
      <c r="B37912" s="43"/>
    </row>
    <row r="37913" spans="2:2" ht="12.75" customHeight="1" x14ac:dyDescent="0.2">
      <c r="B37913" s="43"/>
    </row>
    <row r="37914" spans="2:2" ht="12.75" customHeight="1" x14ac:dyDescent="0.2">
      <c r="B37914" s="43"/>
    </row>
    <row r="37915" spans="2:2" ht="12.75" customHeight="1" x14ac:dyDescent="0.2">
      <c r="B37915" s="43"/>
    </row>
    <row r="37916" spans="2:2" ht="12.75" customHeight="1" x14ac:dyDescent="0.2">
      <c r="B37916" s="43"/>
    </row>
    <row r="37917" spans="2:2" ht="12.75" customHeight="1" x14ac:dyDescent="0.2">
      <c r="B37917" s="43"/>
    </row>
    <row r="37918" spans="2:2" ht="12.75" customHeight="1" x14ac:dyDescent="0.2">
      <c r="B37918" s="43"/>
    </row>
    <row r="37919" spans="2:2" ht="12.75" customHeight="1" x14ac:dyDescent="0.2">
      <c r="B37919" s="43"/>
    </row>
    <row r="37920" spans="2:2" ht="12.75" customHeight="1" x14ac:dyDescent="0.2">
      <c r="B37920" s="43"/>
    </row>
    <row r="37921" spans="2:2" ht="12.75" customHeight="1" x14ac:dyDescent="0.2">
      <c r="B37921" s="43"/>
    </row>
    <row r="37922" spans="2:2" ht="12.75" customHeight="1" x14ac:dyDescent="0.2">
      <c r="B37922" s="43"/>
    </row>
    <row r="37923" spans="2:2" ht="12.75" customHeight="1" x14ac:dyDescent="0.2">
      <c r="B37923" s="43"/>
    </row>
    <row r="37924" spans="2:2" ht="12.75" customHeight="1" x14ac:dyDescent="0.2">
      <c r="B37924" s="43"/>
    </row>
    <row r="37925" spans="2:2" ht="12.75" customHeight="1" x14ac:dyDescent="0.2">
      <c r="B37925" s="43"/>
    </row>
    <row r="37926" spans="2:2" ht="12.75" customHeight="1" x14ac:dyDescent="0.2">
      <c r="B37926" s="43"/>
    </row>
    <row r="37927" spans="2:2" ht="12.75" customHeight="1" x14ac:dyDescent="0.2">
      <c r="B37927" s="43"/>
    </row>
    <row r="37928" spans="2:2" ht="12.75" customHeight="1" x14ac:dyDescent="0.2">
      <c r="B37928" s="43"/>
    </row>
    <row r="37929" spans="2:2" ht="12.75" customHeight="1" x14ac:dyDescent="0.2">
      <c r="B37929" s="43"/>
    </row>
    <row r="37930" spans="2:2" ht="12.75" customHeight="1" x14ac:dyDescent="0.2">
      <c r="B37930" s="43"/>
    </row>
    <row r="37931" spans="2:2" ht="12.75" customHeight="1" x14ac:dyDescent="0.2">
      <c r="B37931" s="43"/>
    </row>
    <row r="37932" spans="2:2" ht="12.75" customHeight="1" x14ac:dyDescent="0.2">
      <c r="B37932" s="43"/>
    </row>
    <row r="37933" spans="2:2" ht="12.75" customHeight="1" x14ac:dyDescent="0.2">
      <c r="B37933" s="43"/>
    </row>
    <row r="37934" spans="2:2" ht="12.75" customHeight="1" x14ac:dyDescent="0.2">
      <c r="B37934" s="43"/>
    </row>
    <row r="37935" spans="2:2" ht="12.75" customHeight="1" x14ac:dyDescent="0.2">
      <c r="B37935" s="43"/>
    </row>
    <row r="37936" spans="2:2" ht="12.75" customHeight="1" x14ac:dyDescent="0.2">
      <c r="B37936" s="43"/>
    </row>
    <row r="37937" spans="2:2" ht="12.75" customHeight="1" x14ac:dyDescent="0.2">
      <c r="B37937" s="43"/>
    </row>
    <row r="37938" spans="2:2" ht="12.75" customHeight="1" x14ac:dyDescent="0.2">
      <c r="B37938" s="43"/>
    </row>
    <row r="37939" spans="2:2" ht="12.75" customHeight="1" x14ac:dyDescent="0.2">
      <c r="B37939" s="43"/>
    </row>
    <row r="37940" spans="2:2" ht="12.75" customHeight="1" x14ac:dyDescent="0.2">
      <c r="B37940" s="43"/>
    </row>
    <row r="37941" spans="2:2" ht="12.75" customHeight="1" x14ac:dyDescent="0.2">
      <c r="B37941" s="43"/>
    </row>
    <row r="37942" spans="2:2" ht="12.75" customHeight="1" x14ac:dyDescent="0.2">
      <c r="B37942" s="43"/>
    </row>
    <row r="37943" spans="2:2" ht="12.75" customHeight="1" x14ac:dyDescent="0.2">
      <c r="B37943" s="43"/>
    </row>
    <row r="37944" spans="2:2" ht="12.75" customHeight="1" x14ac:dyDescent="0.2">
      <c r="B37944" s="43"/>
    </row>
    <row r="37945" spans="2:2" ht="12.75" customHeight="1" x14ac:dyDescent="0.2">
      <c r="B37945" s="43"/>
    </row>
    <row r="37946" spans="2:2" ht="12.75" customHeight="1" x14ac:dyDescent="0.2">
      <c r="B37946" s="43"/>
    </row>
    <row r="37947" spans="2:2" ht="12.75" customHeight="1" x14ac:dyDescent="0.2">
      <c r="B37947" s="43"/>
    </row>
    <row r="37948" spans="2:2" ht="12.75" customHeight="1" x14ac:dyDescent="0.2">
      <c r="B37948" s="43"/>
    </row>
    <row r="37949" spans="2:2" ht="12.75" customHeight="1" x14ac:dyDescent="0.2">
      <c r="B37949" s="43"/>
    </row>
    <row r="37950" spans="2:2" ht="12.75" customHeight="1" x14ac:dyDescent="0.2">
      <c r="B37950" s="43"/>
    </row>
    <row r="37951" spans="2:2" ht="12.75" customHeight="1" x14ac:dyDescent="0.2">
      <c r="B37951" s="43"/>
    </row>
    <row r="37952" spans="2:2" ht="12.75" customHeight="1" x14ac:dyDescent="0.2">
      <c r="B37952" s="43"/>
    </row>
    <row r="37953" spans="2:2" ht="12.75" customHeight="1" x14ac:dyDescent="0.2">
      <c r="B37953" s="43"/>
    </row>
    <row r="37954" spans="2:2" ht="12.75" customHeight="1" x14ac:dyDescent="0.2">
      <c r="B37954" s="43"/>
    </row>
    <row r="37955" spans="2:2" ht="12.75" customHeight="1" x14ac:dyDescent="0.2">
      <c r="B37955" s="43"/>
    </row>
    <row r="37956" spans="2:2" ht="12.75" customHeight="1" x14ac:dyDescent="0.2">
      <c r="B37956" s="43"/>
    </row>
    <row r="37957" spans="2:2" ht="12.75" customHeight="1" x14ac:dyDescent="0.2">
      <c r="B37957" s="43"/>
    </row>
    <row r="37958" spans="2:2" ht="12.75" customHeight="1" x14ac:dyDescent="0.2">
      <c r="B37958" s="43"/>
    </row>
    <row r="37959" spans="2:2" ht="12.75" customHeight="1" x14ac:dyDescent="0.2">
      <c r="B37959" s="43"/>
    </row>
    <row r="37960" spans="2:2" ht="12.75" customHeight="1" x14ac:dyDescent="0.2">
      <c r="B37960" s="43"/>
    </row>
    <row r="37961" spans="2:2" ht="12.75" customHeight="1" x14ac:dyDescent="0.2">
      <c r="B37961" s="43"/>
    </row>
    <row r="37962" spans="2:2" ht="12.75" customHeight="1" x14ac:dyDescent="0.2">
      <c r="B37962" s="43"/>
    </row>
    <row r="37963" spans="2:2" ht="12.75" customHeight="1" x14ac:dyDescent="0.2">
      <c r="B37963" s="43"/>
    </row>
    <row r="37964" spans="2:2" ht="12.75" customHeight="1" x14ac:dyDescent="0.2">
      <c r="B37964" s="43"/>
    </row>
    <row r="37965" spans="2:2" ht="12.75" customHeight="1" x14ac:dyDescent="0.2">
      <c r="B37965" s="43"/>
    </row>
    <row r="37966" spans="2:2" ht="12.75" customHeight="1" x14ac:dyDescent="0.2">
      <c r="B37966" s="43"/>
    </row>
    <row r="37967" spans="2:2" ht="12.75" customHeight="1" x14ac:dyDescent="0.2">
      <c r="B37967" s="43"/>
    </row>
    <row r="37968" spans="2:2" ht="12.75" customHeight="1" x14ac:dyDescent="0.2">
      <c r="B37968" s="43"/>
    </row>
    <row r="37969" spans="2:2" ht="12.75" customHeight="1" x14ac:dyDescent="0.2">
      <c r="B37969" s="43"/>
    </row>
    <row r="37970" spans="2:2" ht="12.75" customHeight="1" x14ac:dyDescent="0.2">
      <c r="B37970" s="43"/>
    </row>
    <row r="37971" spans="2:2" ht="12.75" customHeight="1" x14ac:dyDescent="0.2">
      <c r="B37971" s="43"/>
    </row>
    <row r="37972" spans="2:2" ht="12.75" customHeight="1" x14ac:dyDescent="0.2">
      <c r="B37972" s="43"/>
    </row>
    <row r="37973" spans="2:2" ht="12.75" customHeight="1" x14ac:dyDescent="0.2">
      <c r="B37973" s="43"/>
    </row>
    <row r="37974" spans="2:2" ht="12.75" customHeight="1" x14ac:dyDescent="0.2">
      <c r="B37974" s="43"/>
    </row>
    <row r="37975" spans="2:2" ht="12.75" customHeight="1" x14ac:dyDescent="0.2">
      <c r="B37975" s="43"/>
    </row>
    <row r="37976" spans="2:2" ht="12.75" customHeight="1" x14ac:dyDescent="0.2">
      <c r="B37976" s="43"/>
    </row>
    <row r="37977" spans="2:2" ht="12.75" customHeight="1" x14ac:dyDescent="0.2">
      <c r="B37977" s="43"/>
    </row>
    <row r="37978" spans="2:2" ht="12.75" customHeight="1" x14ac:dyDescent="0.2">
      <c r="B37978" s="43"/>
    </row>
    <row r="37979" spans="2:2" ht="12.75" customHeight="1" x14ac:dyDescent="0.2">
      <c r="B37979" s="43"/>
    </row>
    <row r="37980" spans="2:2" ht="12.75" customHeight="1" x14ac:dyDescent="0.2">
      <c r="B37980" s="43"/>
    </row>
    <row r="37981" spans="2:2" ht="12.75" customHeight="1" x14ac:dyDescent="0.2">
      <c r="B37981" s="43"/>
    </row>
    <row r="37982" spans="2:2" ht="12.75" customHeight="1" x14ac:dyDescent="0.2">
      <c r="B37982" s="43"/>
    </row>
    <row r="37983" spans="2:2" ht="12.75" customHeight="1" x14ac:dyDescent="0.2">
      <c r="B37983" s="43"/>
    </row>
    <row r="37984" spans="2:2" ht="12.75" customHeight="1" x14ac:dyDescent="0.2">
      <c r="B37984" s="43"/>
    </row>
    <row r="37985" spans="2:2" ht="12.75" customHeight="1" x14ac:dyDescent="0.2">
      <c r="B37985" s="43"/>
    </row>
    <row r="37986" spans="2:2" ht="12.75" customHeight="1" x14ac:dyDescent="0.2">
      <c r="B37986" s="43"/>
    </row>
    <row r="37987" spans="2:2" ht="12.75" customHeight="1" x14ac:dyDescent="0.2">
      <c r="B37987" s="43"/>
    </row>
    <row r="37988" spans="2:2" ht="12.75" customHeight="1" x14ac:dyDescent="0.2">
      <c r="B37988" s="43"/>
    </row>
    <row r="37989" spans="2:2" ht="12.75" customHeight="1" x14ac:dyDescent="0.2">
      <c r="B37989" s="43"/>
    </row>
    <row r="37990" spans="2:2" ht="12.75" customHeight="1" x14ac:dyDescent="0.2">
      <c r="B37990" s="43"/>
    </row>
    <row r="37991" spans="2:2" ht="12.75" customHeight="1" x14ac:dyDescent="0.2">
      <c r="B37991" s="43"/>
    </row>
    <row r="37992" spans="2:2" ht="12.75" customHeight="1" x14ac:dyDescent="0.2">
      <c r="B37992" s="43"/>
    </row>
    <row r="37993" spans="2:2" ht="12.75" customHeight="1" x14ac:dyDescent="0.2">
      <c r="B37993" s="43"/>
    </row>
    <row r="37994" spans="2:2" ht="12.75" customHeight="1" x14ac:dyDescent="0.2">
      <c r="B37994" s="43"/>
    </row>
    <row r="37995" spans="2:2" ht="12.75" customHeight="1" x14ac:dyDescent="0.2">
      <c r="B37995" s="43"/>
    </row>
    <row r="37996" spans="2:2" ht="12.75" customHeight="1" x14ac:dyDescent="0.2">
      <c r="B37996" s="43"/>
    </row>
    <row r="37997" spans="2:2" ht="12.75" customHeight="1" x14ac:dyDescent="0.2">
      <c r="B37997" s="43"/>
    </row>
    <row r="37998" spans="2:2" ht="12.75" customHeight="1" x14ac:dyDescent="0.2">
      <c r="B37998" s="43"/>
    </row>
    <row r="37999" spans="2:2" ht="12.75" customHeight="1" x14ac:dyDescent="0.2">
      <c r="B37999" s="43"/>
    </row>
    <row r="38000" spans="2:2" ht="12.75" customHeight="1" x14ac:dyDescent="0.2">
      <c r="B38000" s="43"/>
    </row>
    <row r="38001" spans="2:2" ht="12.75" customHeight="1" x14ac:dyDescent="0.2">
      <c r="B38001" s="43"/>
    </row>
    <row r="38002" spans="2:2" ht="12.75" customHeight="1" x14ac:dyDescent="0.2">
      <c r="B38002" s="43"/>
    </row>
    <row r="38003" spans="2:2" ht="12.75" customHeight="1" x14ac:dyDescent="0.2">
      <c r="B38003" s="43"/>
    </row>
    <row r="38004" spans="2:2" ht="12.75" customHeight="1" x14ac:dyDescent="0.2">
      <c r="B38004" s="43"/>
    </row>
    <row r="38005" spans="2:2" ht="12.75" customHeight="1" x14ac:dyDescent="0.2">
      <c r="B38005" s="43"/>
    </row>
    <row r="38006" spans="2:2" ht="12.75" customHeight="1" x14ac:dyDescent="0.2">
      <c r="B38006" s="43"/>
    </row>
    <row r="38007" spans="2:2" ht="12.75" customHeight="1" x14ac:dyDescent="0.2">
      <c r="B38007" s="43"/>
    </row>
    <row r="38008" spans="2:2" ht="12.75" customHeight="1" x14ac:dyDescent="0.2">
      <c r="B38008" s="43"/>
    </row>
    <row r="38009" spans="2:2" ht="12.75" customHeight="1" x14ac:dyDescent="0.2">
      <c r="B38009" s="43"/>
    </row>
    <row r="38010" spans="2:2" ht="12.75" customHeight="1" x14ac:dyDescent="0.2">
      <c r="B38010" s="43"/>
    </row>
    <row r="38011" spans="2:2" ht="12.75" customHeight="1" x14ac:dyDescent="0.2">
      <c r="B38011" s="43"/>
    </row>
    <row r="38012" spans="2:2" ht="12.75" customHeight="1" x14ac:dyDescent="0.2">
      <c r="B38012" s="43"/>
    </row>
    <row r="38013" spans="2:2" ht="12.75" customHeight="1" x14ac:dyDescent="0.2">
      <c r="B38013" s="43"/>
    </row>
    <row r="38014" spans="2:2" ht="12.75" customHeight="1" x14ac:dyDescent="0.2">
      <c r="B38014" s="43"/>
    </row>
    <row r="38015" spans="2:2" ht="12.75" customHeight="1" x14ac:dyDescent="0.2">
      <c r="B38015" s="43"/>
    </row>
    <row r="38016" spans="2:2" ht="12.75" customHeight="1" x14ac:dyDescent="0.2">
      <c r="B38016" s="43"/>
    </row>
    <row r="38017" spans="2:2" ht="12.75" customHeight="1" x14ac:dyDescent="0.2">
      <c r="B38017" s="43"/>
    </row>
    <row r="38018" spans="2:2" ht="12.75" customHeight="1" x14ac:dyDescent="0.2">
      <c r="B38018" s="43"/>
    </row>
    <row r="38019" spans="2:2" ht="12.75" customHeight="1" x14ac:dyDescent="0.2">
      <c r="B38019" s="43"/>
    </row>
    <row r="38020" spans="2:2" ht="12.75" customHeight="1" x14ac:dyDescent="0.2">
      <c r="B38020" s="43"/>
    </row>
    <row r="38021" spans="2:2" ht="12.75" customHeight="1" x14ac:dyDescent="0.2">
      <c r="B38021" s="43"/>
    </row>
    <row r="38022" spans="2:2" ht="12.75" customHeight="1" x14ac:dyDescent="0.2">
      <c r="B38022" s="43"/>
    </row>
    <row r="38023" spans="2:2" ht="12.75" customHeight="1" x14ac:dyDescent="0.2">
      <c r="B38023" s="43"/>
    </row>
    <row r="38024" spans="2:2" ht="12.75" customHeight="1" x14ac:dyDescent="0.2">
      <c r="B38024" s="43"/>
    </row>
    <row r="38025" spans="2:2" ht="12.75" customHeight="1" x14ac:dyDescent="0.2">
      <c r="B38025" s="43"/>
    </row>
    <row r="38026" spans="2:2" ht="12.75" customHeight="1" x14ac:dyDescent="0.2">
      <c r="B38026" s="43"/>
    </row>
    <row r="38027" spans="2:2" ht="12.75" customHeight="1" x14ac:dyDescent="0.2">
      <c r="B38027" s="43"/>
    </row>
    <row r="38028" spans="2:2" ht="12.75" customHeight="1" x14ac:dyDescent="0.2">
      <c r="B38028" s="43"/>
    </row>
    <row r="38029" spans="2:2" ht="12.75" customHeight="1" x14ac:dyDescent="0.2">
      <c r="B38029" s="43"/>
    </row>
    <row r="38030" spans="2:2" ht="12.75" customHeight="1" x14ac:dyDescent="0.2">
      <c r="B38030" s="43"/>
    </row>
    <row r="38031" spans="2:2" ht="12.75" customHeight="1" x14ac:dyDescent="0.2">
      <c r="B38031" s="43"/>
    </row>
    <row r="38032" spans="2:2" ht="12.75" customHeight="1" x14ac:dyDescent="0.2">
      <c r="B38032" s="43"/>
    </row>
    <row r="38033" spans="2:2" ht="12.75" customHeight="1" x14ac:dyDescent="0.2">
      <c r="B38033" s="43"/>
    </row>
    <row r="38034" spans="2:2" ht="12.75" customHeight="1" x14ac:dyDescent="0.2">
      <c r="B38034" s="43"/>
    </row>
    <row r="38035" spans="2:2" ht="12.75" customHeight="1" x14ac:dyDescent="0.2">
      <c r="B38035" s="43"/>
    </row>
    <row r="38036" spans="2:2" ht="12.75" customHeight="1" x14ac:dyDescent="0.2">
      <c r="B38036" s="43"/>
    </row>
    <row r="38037" spans="2:2" ht="12.75" customHeight="1" x14ac:dyDescent="0.2">
      <c r="B38037" s="43"/>
    </row>
    <row r="38038" spans="2:2" ht="12.75" customHeight="1" x14ac:dyDescent="0.2">
      <c r="B38038" s="43"/>
    </row>
    <row r="38039" spans="2:2" ht="12.75" customHeight="1" x14ac:dyDescent="0.2">
      <c r="B38039" s="43"/>
    </row>
    <row r="38040" spans="2:2" ht="12.75" customHeight="1" x14ac:dyDescent="0.2">
      <c r="B38040" s="43"/>
    </row>
    <row r="38041" spans="2:2" ht="12.75" customHeight="1" x14ac:dyDescent="0.2">
      <c r="B38041" s="43"/>
    </row>
    <row r="38042" spans="2:2" ht="12.75" customHeight="1" x14ac:dyDescent="0.2">
      <c r="B38042" s="43"/>
    </row>
    <row r="38043" spans="2:2" ht="12.75" customHeight="1" x14ac:dyDescent="0.2">
      <c r="B38043" s="43"/>
    </row>
    <row r="38044" spans="2:2" ht="12.75" customHeight="1" x14ac:dyDescent="0.2">
      <c r="B38044" s="43"/>
    </row>
    <row r="38045" spans="2:2" ht="12.75" customHeight="1" x14ac:dyDescent="0.2">
      <c r="B38045" s="43"/>
    </row>
    <row r="38046" spans="2:2" ht="12.75" customHeight="1" x14ac:dyDescent="0.2">
      <c r="B38046" s="43"/>
    </row>
    <row r="38047" spans="2:2" ht="12.75" customHeight="1" x14ac:dyDescent="0.2">
      <c r="B38047" s="43"/>
    </row>
    <row r="38048" spans="2:2" ht="12.75" customHeight="1" x14ac:dyDescent="0.2">
      <c r="B38048" s="43"/>
    </row>
    <row r="38049" spans="2:2" ht="12.75" customHeight="1" x14ac:dyDescent="0.2">
      <c r="B38049" s="43"/>
    </row>
    <row r="38050" spans="2:2" ht="12.75" customHeight="1" x14ac:dyDescent="0.2">
      <c r="B38050" s="43"/>
    </row>
    <row r="38051" spans="2:2" ht="12.75" customHeight="1" x14ac:dyDescent="0.2">
      <c r="B38051" s="43"/>
    </row>
    <row r="38052" spans="2:2" ht="12.75" customHeight="1" x14ac:dyDescent="0.2">
      <c r="B38052" s="43"/>
    </row>
    <row r="38053" spans="2:2" ht="12.75" customHeight="1" x14ac:dyDescent="0.2">
      <c r="B38053" s="43"/>
    </row>
    <row r="38054" spans="2:2" ht="12.75" customHeight="1" x14ac:dyDescent="0.2">
      <c r="B38054" s="43"/>
    </row>
    <row r="38055" spans="2:2" ht="12.75" customHeight="1" x14ac:dyDescent="0.2">
      <c r="B38055" s="43"/>
    </row>
    <row r="38056" spans="2:2" ht="12.75" customHeight="1" x14ac:dyDescent="0.2">
      <c r="B38056" s="43"/>
    </row>
    <row r="38057" spans="2:2" ht="12.75" customHeight="1" x14ac:dyDescent="0.2">
      <c r="B38057" s="43"/>
    </row>
    <row r="38058" spans="2:2" ht="12.75" customHeight="1" x14ac:dyDescent="0.2">
      <c r="B38058" s="43"/>
    </row>
    <row r="38059" spans="2:2" ht="12.75" customHeight="1" x14ac:dyDescent="0.2">
      <c r="B38059" s="43"/>
    </row>
    <row r="38060" spans="2:2" ht="12.75" customHeight="1" x14ac:dyDescent="0.2">
      <c r="B38060" s="43"/>
    </row>
    <row r="38061" spans="2:2" ht="12.75" customHeight="1" x14ac:dyDescent="0.2">
      <c r="B38061" s="43"/>
    </row>
    <row r="38062" spans="2:2" ht="12.75" customHeight="1" x14ac:dyDescent="0.2">
      <c r="B38062" s="43"/>
    </row>
    <row r="38063" spans="2:2" ht="12.75" customHeight="1" x14ac:dyDescent="0.2">
      <c r="B38063" s="43"/>
    </row>
    <row r="38064" spans="2:2" ht="12.75" customHeight="1" x14ac:dyDescent="0.2">
      <c r="B38064" s="43"/>
    </row>
    <row r="38065" spans="2:2" ht="12.75" customHeight="1" x14ac:dyDescent="0.2">
      <c r="B38065" s="43"/>
    </row>
    <row r="38066" spans="2:2" ht="12.75" customHeight="1" x14ac:dyDescent="0.2">
      <c r="B38066" s="43"/>
    </row>
    <row r="38067" spans="2:2" ht="12.75" customHeight="1" x14ac:dyDescent="0.2">
      <c r="B38067" s="43"/>
    </row>
    <row r="38068" spans="2:2" ht="12.75" customHeight="1" x14ac:dyDescent="0.2">
      <c r="B38068" s="43"/>
    </row>
    <row r="38069" spans="2:2" ht="12.75" customHeight="1" x14ac:dyDescent="0.2">
      <c r="B38069" s="43"/>
    </row>
    <row r="38070" spans="2:2" ht="12.75" customHeight="1" x14ac:dyDescent="0.2">
      <c r="B38070" s="43"/>
    </row>
    <row r="38071" spans="2:2" ht="12.75" customHeight="1" x14ac:dyDescent="0.2">
      <c r="B38071" s="43"/>
    </row>
    <row r="38072" spans="2:2" ht="12.75" customHeight="1" x14ac:dyDescent="0.2">
      <c r="B38072" s="43"/>
    </row>
    <row r="38073" spans="2:2" ht="12.75" customHeight="1" x14ac:dyDescent="0.2">
      <c r="B38073" s="43"/>
    </row>
    <row r="38074" spans="2:2" ht="12.75" customHeight="1" x14ac:dyDescent="0.2">
      <c r="B38074" s="43"/>
    </row>
    <row r="38075" spans="2:2" ht="12.75" customHeight="1" x14ac:dyDescent="0.2">
      <c r="B38075" s="43"/>
    </row>
    <row r="38076" spans="2:2" ht="12.75" customHeight="1" x14ac:dyDescent="0.2">
      <c r="B38076" s="43"/>
    </row>
    <row r="38077" spans="2:2" ht="12.75" customHeight="1" x14ac:dyDescent="0.2">
      <c r="B38077" s="43"/>
    </row>
    <row r="38078" spans="2:2" ht="12.75" customHeight="1" x14ac:dyDescent="0.2">
      <c r="B38078" s="43"/>
    </row>
    <row r="38079" spans="2:2" ht="12.75" customHeight="1" x14ac:dyDescent="0.2">
      <c r="B38079" s="43"/>
    </row>
    <row r="38080" spans="2:2" ht="12.75" customHeight="1" x14ac:dyDescent="0.2">
      <c r="B38080" s="43"/>
    </row>
    <row r="38081" spans="2:2" ht="12.75" customHeight="1" x14ac:dyDescent="0.2">
      <c r="B38081" s="43"/>
    </row>
    <row r="38082" spans="2:2" ht="12.75" customHeight="1" x14ac:dyDescent="0.2">
      <c r="B38082" s="43"/>
    </row>
    <row r="38083" spans="2:2" ht="12.75" customHeight="1" x14ac:dyDescent="0.2">
      <c r="B38083" s="43"/>
    </row>
    <row r="38084" spans="2:2" ht="12.75" customHeight="1" x14ac:dyDescent="0.2">
      <c r="B38084" s="43"/>
    </row>
    <row r="38085" spans="2:2" ht="12.75" customHeight="1" x14ac:dyDescent="0.2">
      <c r="B38085" s="43"/>
    </row>
    <row r="38086" spans="2:2" ht="12.75" customHeight="1" x14ac:dyDescent="0.2">
      <c r="B38086" s="43"/>
    </row>
    <row r="38087" spans="2:2" ht="12.75" customHeight="1" x14ac:dyDescent="0.2">
      <c r="B38087" s="43"/>
    </row>
    <row r="38088" spans="2:2" ht="12.75" customHeight="1" x14ac:dyDescent="0.2">
      <c r="B38088" s="43"/>
    </row>
    <row r="38089" spans="2:2" ht="12.75" customHeight="1" x14ac:dyDescent="0.2">
      <c r="B38089" s="43"/>
    </row>
    <row r="38090" spans="2:2" ht="12.75" customHeight="1" x14ac:dyDescent="0.2">
      <c r="B38090" s="43"/>
    </row>
    <row r="38091" spans="2:2" ht="12.75" customHeight="1" x14ac:dyDescent="0.2">
      <c r="B38091" s="43"/>
    </row>
    <row r="38092" spans="2:2" ht="12.75" customHeight="1" x14ac:dyDescent="0.2">
      <c r="B38092" s="43"/>
    </row>
    <row r="38093" spans="2:2" ht="12.75" customHeight="1" x14ac:dyDescent="0.2">
      <c r="B38093" s="43"/>
    </row>
    <row r="38094" spans="2:2" ht="12.75" customHeight="1" x14ac:dyDescent="0.2">
      <c r="B38094" s="43"/>
    </row>
    <row r="38095" spans="2:2" ht="12.75" customHeight="1" x14ac:dyDescent="0.2">
      <c r="B38095" s="43"/>
    </row>
    <row r="38096" spans="2:2" ht="12.75" customHeight="1" x14ac:dyDescent="0.2">
      <c r="B38096" s="43"/>
    </row>
    <row r="38097" spans="2:2" ht="12.75" customHeight="1" x14ac:dyDescent="0.2">
      <c r="B38097" s="43"/>
    </row>
    <row r="38098" spans="2:2" ht="12.75" customHeight="1" x14ac:dyDescent="0.2">
      <c r="B38098" s="43"/>
    </row>
    <row r="38099" spans="2:2" ht="12.75" customHeight="1" x14ac:dyDescent="0.2">
      <c r="B38099" s="43"/>
    </row>
    <row r="38100" spans="2:2" ht="12.75" customHeight="1" x14ac:dyDescent="0.2">
      <c r="B38100" s="43"/>
    </row>
    <row r="38101" spans="2:2" ht="12.75" customHeight="1" x14ac:dyDescent="0.2">
      <c r="B38101" s="43"/>
    </row>
    <row r="38102" spans="2:2" ht="12.75" customHeight="1" x14ac:dyDescent="0.2">
      <c r="B38102" s="43"/>
    </row>
    <row r="38103" spans="2:2" ht="12.75" customHeight="1" x14ac:dyDescent="0.2">
      <c r="B38103" s="43"/>
    </row>
    <row r="38104" spans="2:2" ht="12.75" customHeight="1" x14ac:dyDescent="0.2">
      <c r="B38104" s="43"/>
    </row>
    <row r="38105" spans="2:2" ht="12.75" customHeight="1" x14ac:dyDescent="0.2">
      <c r="B38105" s="43"/>
    </row>
    <row r="38106" spans="2:2" ht="12.75" customHeight="1" x14ac:dyDescent="0.2">
      <c r="B38106" s="43"/>
    </row>
    <row r="38107" spans="2:2" ht="12.75" customHeight="1" x14ac:dyDescent="0.2">
      <c r="B38107" s="43"/>
    </row>
    <row r="38108" spans="2:2" ht="12.75" customHeight="1" x14ac:dyDescent="0.2">
      <c r="B38108" s="43"/>
    </row>
    <row r="38109" spans="2:2" ht="12.75" customHeight="1" x14ac:dyDescent="0.2">
      <c r="B38109" s="43"/>
    </row>
    <row r="38110" spans="2:2" ht="12.75" customHeight="1" x14ac:dyDescent="0.2">
      <c r="B38110" s="43"/>
    </row>
    <row r="38111" spans="2:2" ht="12.75" customHeight="1" x14ac:dyDescent="0.2">
      <c r="B38111" s="43"/>
    </row>
    <row r="38112" spans="2:2" ht="12.75" customHeight="1" x14ac:dyDescent="0.2">
      <c r="B38112" s="43"/>
    </row>
    <row r="38113" spans="2:2" ht="12.75" customHeight="1" x14ac:dyDescent="0.2">
      <c r="B38113" s="43"/>
    </row>
    <row r="38114" spans="2:2" ht="12.75" customHeight="1" x14ac:dyDescent="0.2">
      <c r="B38114" s="43"/>
    </row>
    <row r="38115" spans="2:2" ht="12.75" customHeight="1" x14ac:dyDescent="0.2">
      <c r="B38115" s="43"/>
    </row>
    <row r="38116" spans="2:2" ht="12.75" customHeight="1" x14ac:dyDescent="0.2">
      <c r="B38116" s="43"/>
    </row>
    <row r="38117" spans="2:2" ht="12.75" customHeight="1" x14ac:dyDescent="0.2">
      <c r="B38117" s="43"/>
    </row>
    <row r="38118" spans="2:2" ht="12.75" customHeight="1" x14ac:dyDescent="0.2">
      <c r="B38118" s="43"/>
    </row>
    <row r="38119" spans="2:2" ht="12.75" customHeight="1" x14ac:dyDescent="0.2">
      <c r="B38119" s="43"/>
    </row>
    <row r="38120" spans="2:2" ht="12.75" customHeight="1" x14ac:dyDescent="0.2">
      <c r="B38120" s="43"/>
    </row>
    <row r="38121" spans="2:2" ht="12.75" customHeight="1" x14ac:dyDescent="0.2">
      <c r="B38121" s="43"/>
    </row>
    <row r="38122" spans="2:2" ht="12.75" customHeight="1" x14ac:dyDescent="0.2">
      <c r="B38122" s="43"/>
    </row>
    <row r="38123" spans="2:2" ht="12.75" customHeight="1" x14ac:dyDescent="0.2">
      <c r="B38123" s="43"/>
    </row>
    <row r="38124" spans="2:2" ht="12.75" customHeight="1" x14ac:dyDescent="0.2">
      <c r="B38124" s="43"/>
    </row>
    <row r="38125" spans="2:2" ht="12.75" customHeight="1" x14ac:dyDescent="0.2">
      <c r="B38125" s="43"/>
    </row>
    <row r="38126" spans="2:2" ht="12.75" customHeight="1" x14ac:dyDescent="0.2">
      <c r="B38126" s="43"/>
    </row>
    <row r="38127" spans="2:2" ht="12.75" customHeight="1" x14ac:dyDescent="0.2">
      <c r="B38127" s="43"/>
    </row>
    <row r="38128" spans="2:2" ht="12.75" customHeight="1" x14ac:dyDescent="0.2">
      <c r="B38128" s="43"/>
    </row>
    <row r="38129" spans="2:2" ht="12.75" customHeight="1" x14ac:dyDescent="0.2">
      <c r="B38129" s="43"/>
    </row>
    <row r="38130" spans="2:2" ht="12.75" customHeight="1" x14ac:dyDescent="0.2">
      <c r="B38130" s="43"/>
    </row>
    <row r="38131" spans="2:2" ht="12.75" customHeight="1" x14ac:dyDescent="0.2">
      <c r="B38131" s="43"/>
    </row>
    <row r="38132" spans="2:2" ht="12.75" customHeight="1" x14ac:dyDescent="0.2">
      <c r="B38132" s="43"/>
    </row>
    <row r="38133" spans="2:2" ht="12.75" customHeight="1" x14ac:dyDescent="0.2">
      <c r="B38133" s="43"/>
    </row>
    <row r="38134" spans="2:2" ht="12.75" customHeight="1" x14ac:dyDescent="0.2">
      <c r="B38134" s="43"/>
    </row>
    <row r="38135" spans="2:2" ht="12.75" customHeight="1" x14ac:dyDescent="0.2">
      <c r="B38135" s="43"/>
    </row>
    <row r="38136" spans="2:2" ht="12.75" customHeight="1" x14ac:dyDescent="0.2">
      <c r="B38136" s="43"/>
    </row>
    <row r="38137" spans="2:2" ht="12.75" customHeight="1" x14ac:dyDescent="0.2">
      <c r="B38137" s="43"/>
    </row>
    <row r="38138" spans="2:2" ht="12.75" customHeight="1" x14ac:dyDescent="0.2">
      <c r="B38138" s="43"/>
    </row>
    <row r="38139" spans="2:2" ht="12.75" customHeight="1" x14ac:dyDescent="0.2">
      <c r="B38139" s="43"/>
    </row>
    <row r="38140" spans="2:2" ht="12.75" customHeight="1" x14ac:dyDescent="0.2">
      <c r="B38140" s="43"/>
    </row>
    <row r="38141" spans="2:2" ht="12.75" customHeight="1" x14ac:dyDescent="0.2">
      <c r="B38141" s="43"/>
    </row>
    <row r="38142" spans="2:2" ht="12.75" customHeight="1" x14ac:dyDescent="0.2">
      <c r="B38142" s="43"/>
    </row>
    <row r="38143" spans="2:2" ht="12.75" customHeight="1" x14ac:dyDescent="0.2">
      <c r="B38143" s="43"/>
    </row>
    <row r="38144" spans="2:2" ht="12.75" customHeight="1" x14ac:dyDescent="0.2">
      <c r="B38144" s="43"/>
    </row>
    <row r="38145" spans="2:2" ht="12.75" customHeight="1" x14ac:dyDescent="0.2">
      <c r="B38145" s="43"/>
    </row>
    <row r="38146" spans="2:2" ht="12.75" customHeight="1" x14ac:dyDescent="0.2">
      <c r="B38146" s="43"/>
    </row>
    <row r="38147" spans="2:2" ht="12.75" customHeight="1" x14ac:dyDescent="0.2">
      <c r="B38147" s="43"/>
    </row>
    <row r="38148" spans="2:2" ht="12.75" customHeight="1" x14ac:dyDescent="0.2">
      <c r="B38148" s="43"/>
    </row>
    <row r="38149" spans="2:2" ht="12.75" customHeight="1" x14ac:dyDescent="0.2">
      <c r="B38149" s="43"/>
    </row>
    <row r="38150" spans="2:2" ht="12.75" customHeight="1" x14ac:dyDescent="0.2">
      <c r="B38150" s="43"/>
    </row>
    <row r="38151" spans="2:2" ht="12.75" customHeight="1" x14ac:dyDescent="0.2">
      <c r="B38151" s="43"/>
    </row>
    <row r="38152" spans="2:2" ht="12.75" customHeight="1" x14ac:dyDescent="0.2">
      <c r="B38152" s="43"/>
    </row>
    <row r="38153" spans="2:2" ht="12.75" customHeight="1" x14ac:dyDescent="0.2">
      <c r="B38153" s="43"/>
    </row>
    <row r="38154" spans="2:2" ht="12.75" customHeight="1" x14ac:dyDescent="0.2">
      <c r="B38154" s="43"/>
    </row>
    <row r="38155" spans="2:2" ht="12.75" customHeight="1" x14ac:dyDescent="0.2">
      <c r="B38155" s="43"/>
    </row>
    <row r="38156" spans="2:2" ht="12.75" customHeight="1" x14ac:dyDescent="0.2">
      <c r="B38156" s="43"/>
    </row>
    <row r="38157" spans="2:2" ht="12.75" customHeight="1" x14ac:dyDescent="0.2">
      <c r="B38157" s="43"/>
    </row>
    <row r="38158" spans="2:2" ht="12.75" customHeight="1" x14ac:dyDescent="0.2">
      <c r="B38158" s="43"/>
    </row>
    <row r="38159" spans="2:2" ht="12.75" customHeight="1" x14ac:dyDescent="0.2">
      <c r="B38159" s="43"/>
    </row>
    <row r="38160" spans="2:2" ht="12.75" customHeight="1" x14ac:dyDescent="0.2">
      <c r="B38160" s="43"/>
    </row>
    <row r="38161" spans="2:2" ht="12.75" customHeight="1" x14ac:dyDescent="0.2">
      <c r="B38161" s="43"/>
    </row>
    <row r="38162" spans="2:2" ht="12.75" customHeight="1" x14ac:dyDescent="0.2">
      <c r="B38162" s="43"/>
    </row>
    <row r="38163" spans="2:2" ht="12.75" customHeight="1" x14ac:dyDescent="0.2">
      <c r="B38163" s="43"/>
    </row>
    <row r="38164" spans="2:2" ht="12.75" customHeight="1" x14ac:dyDescent="0.2">
      <c r="B38164" s="43"/>
    </row>
    <row r="38165" spans="2:2" ht="12.75" customHeight="1" x14ac:dyDescent="0.2">
      <c r="B38165" s="43"/>
    </row>
    <row r="38166" spans="2:2" ht="12.75" customHeight="1" x14ac:dyDescent="0.2">
      <c r="B38166" s="43"/>
    </row>
    <row r="38167" spans="2:2" ht="12.75" customHeight="1" x14ac:dyDescent="0.2">
      <c r="B38167" s="43"/>
    </row>
    <row r="38168" spans="2:2" ht="12.75" customHeight="1" x14ac:dyDescent="0.2">
      <c r="B38168" s="43"/>
    </row>
    <row r="38169" spans="2:2" ht="12.75" customHeight="1" x14ac:dyDescent="0.2">
      <c r="B38169" s="43"/>
    </row>
    <row r="38170" spans="2:2" ht="12.75" customHeight="1" x14ac:dyDescent="0.2">
      <c r="B38170" s="43"/>
    </row>
    <row r="38171" spans="2:2" ht="12.75" customHeight="1" x14ac:dyDescent="0.2">
      <c r="B38171" s="43"/>
    </row>
    <row r="38172" spans="2:2" ht="12.75" customHeight="1" x14ac:dyDescent="0.2">
      <c r="B38172" s="43"/>
    </row>
    <row r="38173" spans="2:2" ht="12.75" customHeight="1" x14ac:dyDescent="0.2">
      <c r="B38173" s="43"/>
    </row>
    <row r="38174" spans="2:2" ht="12.75" customHeight="1" x14ac:dyDescent="0.2">
      <c r="B38174" s="43"/>
    </row>
    <row r="38175" spans="2:2" ht="12.75" customHeight="1" x14ac:dyDescent="0.2">
      <c r="B38175" s="43"/>
    </row>
    <row r="38176" spans="2:2" ht="12.75" customHeight="1" x14ac:dyDescent="0.2">
      <c r="B38176" s="43"/>
    </row>
    <row r="38177" spans="2:2" ht="12.75" customHeight="1" x14ac:dyDescent="0.2">
      <c r="B38177" s="43"/>
    </row>
    <row r="38178" spans="2:2" ht="12.75" customHeight="1" x14ac:dyDescent="0.2">
      <c r="B38178" s="43"/>
    </row>
    <row r="38179" spans="2:2" ht="12.75" customHeight="1" x14ac:dyDescent="0.2">
      <c r="B38179" s="43"/>
    </row>
    <row r="38180" spans="2:2" ht="12.75" customHeight="1" x14ac:dyDescent="0.2">
      <c r="B38180" s="43"/>
    </row>
    <row r="38181" spans="2:2" ht="12.75" customHeight="1" x14ac:dyDescent="0.2">
      <c r="B38181" s="43"/>
    </row>
    <row r="38182" spans="2:2" ht="12.75" customHeight="1" x14ac:dyDescent="0.2">
      <c r="B38182" s="43"/>
    </row>
    <row r="38183" spans="2:2" ht="12.75" customHeight="1" x14ac:dyDescent="0.2">
      <c r="B38183" s="43"/>
    </row>
    <row r="38184" spans="2:2" ht="12.75" customHeight="1" x14ac:dyDescent="0.2">
      <c r="B38184" s="43"/>
    </row>
    <row r="38185" spans="2:2" ht="12.75" customHeight="1" x14ac:dyDescent="0.2">
      <c r="B38185" s="43"/>
    </row>
    <row r="38186" spans="2:2" ht="12.75" customHeight="1" x14ac:dyDescent="0.2">
      <c r="B38186" s="43"/>
    </row>
    <row r="38187" spans="2:2" ht="12.75" customHeight="1" x14ac:dyDescent="0.2">
      <c r="B38187" s="43"/>
    </row>
    <row r="38188" spans="2:2" ht="12.75" customHeight="1" x14ac:dyDescent="0.2">
      <c r="B38188" s="43"/>
    </row>
    <row r="38189" spans="2:2" ht="12.75" customHeight="1" x14ac:dyDescent="0.2">
      <c r="B38189" s="43"/>
    </row>
    <row r="38190" spans="2:2" ht="12.75" customHeight="1" x14ac:dyDescent="0.2">
      <c r="B38190" s="43"/>
    </row>
    <row r="38191" spans="2:2" ht="12.75" customHeight="1" x14ac:dyDescent="0.2">
      <c r="B38191" s="43"/>
    </row>
    <row r="38192" spans="2:2" ht="12.75" customHeight="1" x14ac:dyDescent="0.2">
      <c r="B38192" s="43"/>
    </row>
    <row r="38193" spans="2:2" ht="12.75" customHeight="1" x14ac:dyDescent="0.2">
      <c r="B38193" s="43"/>
    </row>
    <row r="38194" spans="2:2" ht="12.75" customHeight="1" x14ac:dyDescent="0.2">
      <c r="B38194" s="43"/>
    </row>
    <row r="38195" spans="2:2" ht="12.75" customHeight="1" x14ac:dyDescent="0.2">
      <c r="B38195" s="43"/>
    </row>
    <row r="38196" spans="2:2" ht="12.75" customHeight="1" x14ac:dyDescent="0.2">
      <c r="B38196" s="43"/>
    </row>
    <row r="38197" spans="2:2" ht="12.75" customHeight="1" x14ac:dyDescent="0.2">
      <c r="B38197" s="43"/>
    </row>
    <row r="38198" spans="2:2" ht="12.75" customHeight="1" x14ac:dyDescent="0.2">
      <c r="B38198" s="43"/>
    </row>
    <row r="38199" spans="2:2" ht="12.75" customHeight="1" x14ac:dyDescent="0.2">
      <c r="B38199" s="43"/>
    </row>
    <row r="38200" spans="2:2" ht="12.75" customHeight="1" x14ac:dyDescent="0.2">
      <c r="B38200" s="43"/>
    </row>
    <row r="38201" spans="2:2" ht="12.75" customHeight="1" x14ac:dyDescent="0.2">
      <c r="B38201" s="43"/>
    </row>
    <row r="38202" spans="2:2" ht="12.75" customHeight="1" x14ac:dyDescent="0.2">
      <c r="B38202" s="43"/>
    </row>
    <row r="38203" spans="2:2" ht="12.75" customHeight="1" x14ac:dyDescent="0.2">
      <c r="B38203" s="43"/>
    </row>
    <row r="38204" spans="2:2" ht="12.75" customHeight="1" x14ac:dyDescent="0.2">
      <c r="B38204" s="43"/>
    </row>
    <row r="38205" spans="2:2" ht="12.75" customHeight="1" x14ac:dyDescent="0.2">
      <c r="B38205" s="43"/>
    </row>
    <row r="38206" spans="2:2" ht="12.75" customHeight="1" x14ac:dyDescent="0.2">
      <c r="B38206" s="43"/>
    </row>
    <row r="38207" spans="2:2" ht="12.75" customHeight="1" x14ac:dyDescent="0.2">
      <c r="B38207" s="43"/>
    </row>
    <row r="38208" spans="2:2" ht="12.75" customHeight="1" x14ac:dyDescent="0.2">
      <c r="B38208" s="43"/>
    </row>
    <row r="38209" spans="2:2" ht="12.75" customHeight="1" x14ac:dyDescent="0.2">
      <c r="B38209" s="43"/>
    </row>
    <row r="38210" spans="2:2" ht="12.75" customHeight="1" x14ac:dyDescent="0.2">
      <c r="B38210" s="43"/>
    </row>
    <row r="38211" spans="2:2" ht="12.75" customHeight="1" x14ac:dyDescent="0.2">
      <c r="B38211" s="43"/>
    </row>
    <row r="38212" spans="2:2" ht="12.75" customHeight="1" x14ac:dyDescent="0.2">
      <c r="B38212" s="43"/>
    </row>
    <row r="38213" spans="2:2" ht="12.75" customHeight="1" x14ac:dyDescent="0.2">
      <c r="B38213" s="43"/>
    </row>
    <row r="38214" spans="2:2" ht="12.75" customHeight="1" x14ac:dyDescent="0.2">
      <c r="B38214" s="43"/>
    </row>
    <row r="38215" spans="2:2" ht="12.75" customHeight="1" x14ac:dyDescent="0.2">
      <c r="B38215" s="43"/>
    </row>
    <row r="38216" spans="2:2" ht="12.75" customHeight="1" x14ac:dyDescent="0.2">
      <c r="B38216" s="43"/>
    </row>
    <row r="38217" spans="2:2" ht="12.75" customHeight="1" x14ac:dyDescent="0.2">
      <c r="B38217" s="43"/>
    </row>
    <row r="38218" spans="2:2" ht="12.75" customHeight="1" x14ac:dyDescent="0.2">
      <c r="B38218" s="43"/>
    </row>
    <row r="38219" spans="2:2" ht="12.75" customHeight="1" x14ac:dyDescent="0.2">
      <c r="B38219" s="43"/>
    </row>
    <row r="38220" spans="2:2" ht="12.75" customHeight="1" x14ac:dyDescent="0.2">
      <c r="B38220" s="43"/>
    </row>
    <row r="38221" spans="2:2" ht="12.75" customHeight="1" x14ac:dyDescent="0.2">
      <c r="B38221" s="43"/>
    </row>
    <row r="38222" spans="2:2" ht="12.75" customHeight="1" x14ac:dyDescent="0.2">
      <c r="B38222" s="43"/>
    </row>
    <row r="38223" spans="2:2" ht="12.75" customHeight="1" x14ac:dyDescent="0.2">
      <c r="B38223" s="43"/>
    </row>
    <row r="38224" spans="2:2" ht="12.75" customHeight="1" x14ac:dyDescent="0.2">
      <c r="B38224" s="43"/>
    </row>
    <row r="38225" spans="2:2" ht="12.75" customHeight="1" x14ac:dyDescent="0.2">
      <c r="B38225" s="43"/>
    </row>
    <row r="38226" spans="2:2" ht="12.75" customHeight="1" x14ac:dyDescent="0.2">
      <c r="B38226" s="43"/>
    </row>
    <row r="38227" spans="2:2" ht="12.75" customHeight="1" x14ac:dyDescent="0.2">
      <c r="B38227" s="43"/>
    </row>
    <row r="38228" spans="2:2" ht="12.75" customHeight="1" x14ac:dyDescent="0.2">
      <c r="B38228" s="43"/>
    </row>
    <row r="38229" spans="2:2" ht="12.75" customHeight="1" x14ac:dyDescent="0.2">
      <c r="B38229" s="43"/>
    </row>
    <row r="38230" spans="2:2" ht="12.75" customHeight="1" x14ac:dyDescent="0.2">
      <c r="B38230" s="43"/>
    </row>
    <row r="38231" spans="2:2" ht="12.75" customHeight="1" x14ac:dyDescent="0.2">
      <c r="B38231" s="43"/>
    </row>
    <row r="38232" spans="2:2" ht="12.75" customHeight="1" x14ac:dyDescent="0.2">
      <c r="B38232" s="43"/>
    </row>
    <row r="38233" spans="2:2" ht="12.75" customHeight="1" x14ac:dyDescent="0.2">
      <c r="B38233" s="43"/>
    </row>
    <row r="38234" spans="2:2" ht="12.75" customHeight="1" x14ac:dyDescent="0.2">
      <c r="B38234" s="43"/>
    </row>
    <row r="38235" spans="2:2" ht="12.75" customHeight="1" x14ac:dyDescent="0.2">
      <c r="B38235" s="43"/>
    </row>
    <row r="38236" spans="2:2" ht="12.75" customHeight="1" x14ac:dyDescent="0.2">
      <c r="B38236" s="43"/>
    </row>
    <row r="38237" spans="2:2" ht="12.75" customHeight="1" x14ac:dyDescent="0.2">
      <c r="B38237" s="43"/>
    </row>
    <row r="38238" spans="2:2" ht="12.75" customHeight="1" x14ac:dyDescent="0.2">
      <c r="B38238" s="43"/>
    </row>
    <row r="38239" spans="2:2" ht="12.75" customHeight="1" x14ac:dyDescent="0.2">
      <c r="B38239" s="43"/>
    </row>
    <row r="38240" spans="2:2" ht="12.75" customHeight="1" x14ac:dyDescent="0.2">
      <c r="B38240" s="43"/>
    </row>
    <row r="38241" spans="2:2" ht="12.75" customHeight="1" x14ac:dyDescent="0.2">
      <c r="B38241" s="43"/>
    </row>
    <row r="38242" spans="2:2" ht="12.75" customHeight="1" x14ac:dyDescent="0.2">
      <c r="B38242" s="43"/>
    </row>
    <row r="38243" spans="2:2" ht="12.75" customHeight="1" x14ac:dyDescent="0.2">
      <c r="B38243" s="43"/>
    </row>
    <row r="38244" spans="2:2" ht="12.75" customHeight="1" x14ac:dyDescent="0.2">
      <c r="B38244" s="43"/>
    </row>
    <row r="38245" spans="2:2" ht="12.75" customHeight="1" x14ac:dyDescent="0.2">
      <c r="B38245" s="43"/>
    </row>
    <row r="38246" spans="2:2" ht="12.75" customHeight="1" x14ac:dyDescent="0.2">
      <c r="B38246" s="43"/>
    </row>
    <row r="38247" spans="2:2" ht="12.75" customHeight="1" x14ac:dyDescent="0.2">
      <c r="B38247" s="43"/>
    </row>
    <row r="38248" spans="2:2" ht="12.75" customHeight="1" x14ac:dyDescent="0.2">
      <c r="B38248" s="43"/>
    </row>
    <row r="38249" spans="2:2" ht="12.75" customHeight="1" x14ac:dyDescent="0.2">
      <c r="B38249" s="43"/>
    </row>
    <row r="38250" spans="2:2" ht="12.75" customHeight="1" x14ac:dyDescent="0.2">
      <c r="B38250" s="43"/>
    </row>
    <row r="38251" spans="2:2" ht="12.75" customHeight="1" x14ac:dyDescent="0.2">
      <c r="B38251" s="43"/>
    </row>
    <row r="38252" spans="2:2" ht="12.75" customHeight="1" x14ac:dyDescent="0.2">
      <c r="B38252" s="43"/>
    </row>
    <row r="38253" spans="2:2" ht="12.75" customHeight="1" x14ac:dyDescent="0.2">
      <c r="B38253" s="43"/>
    </row>
    <row r="38254" spans="2:2" ht="12.75" customHeight="1" x14ac:dyDescent="0.2">
      <c r="B38254" s="43"/>
    </row>
    <row r="38255" spans="2:2" ht="12.75" customHeight="1" x14ac:dyDescent="0.2">
      <c r="B38255" s="43"/>
    </row>
    <row r="38256" spans="2:2" ht="12.75" customHeight="1" x14ac:dyDescent="0.2">
      <c r="B38256" s="43"/>
    </row>
    <row r="38257" spans="2:2" ht="12.75" customHeight="1" x14ac:dyDescent="0.2">
      <c r="B38257" s="43"/>
    </row>
    <row r="38258" spans="2:2" ht="12.75" customHeight="1" x14ac:dyDescent="0.2">
      <c r="B38258" s="43"/>
    </row>
    <row r="38259" spans="2:2" ht="12.75" customHeight="1" x14ac:dyDescent="0.2">
      <c r="B38259" s="43"/>
    </row>
    <row r="38260" spans="2:2" ht="12.75" customHeight="1" x14ac:dyDescent="0.2">
      <c r="B38260" s="43"/>
    </row>
    <row r="38261" spans="2:2" ht="12.75" customHeight="1" x14ac:dyDescent="0.2">
      <c r="B38261" s="43"/>
    </row>
    <row r="38262" spans="2:2" ht="12.75" customHeight="1" x14ac:dyDescent="0.2">
      <c r="B38262" s="43"/>
    </row>
    <row r="38263" spans="2:2" ht="12.75" customHeight="1" x14ac:dyDescent="0.2">
      <c r="B38263" s="43"/>
    </row>
    <row r="38264" spans="2:2" ht="12.75" customHeight="1" x14ac:dyDescent="0.2">
      <c r="B38264" s="43"/>
    </row>
    <row r="38265" spans="2:2" ht="12.75" customHeight="1" x14ac:dyDescent="0.2">
      <c r="B38265" s="43"/>
    </row>
    <row r="38266" spans="2:2" ht="12.75" customHeight="1" x14ac:dyDescent="0.2">
      <c r="B38266" s="43"/>
    </row>
    <row r="38267" spans="2:2" ht="12.75" customHeight="1" x14ac:dyDescent="0.2">
      <c r="B38267" s="43"/>
    </row>
    <row r="38268" spans="2:2" ht="12.75" customHeight="1" x14ac:dyDescent="0.2">
      <c r="B38268" s="43"/>
    </row>
    <row r="38269" spans="2:2" ht="12.75" customHeight="1" x14ac:dyDescent="0.2">
      <c r="B38269" s="43"/>
    </row>
    <row r="38270" spans="2:2" ht="12.75" customHeight="1" x14ac:dyDescent="0.2">
      <c r="B38270" s="43"/>
    </row>
    <row r="38271" spans="2:2" ht="12.75" customHeight="1" x14ac:dyDescent="0.2">
      <c r="B38271" s="43"/>
    </row>
    <row r="38272" spans="2:2" ht="12.75" customHeight="1" x14ac:dyDescent="0.2">
      <c r="B38272" s="43"/>
    </row>
    <row r="38273" spans="2:2" ht="12.75" customHeight="1" x14ac:dyDescent="0.2">
      <c r="B38273" s="43"/>
    </row>
    <row r="38274" spans="2:2" ht="12.75" customHeight="1" x14ac:dyDescent="0.2">
      <c r="B38274" s="43"/>
    </row>
    <row r="38275" spans="2:2" ht="12.75" customHeight="1" x14ac:dyDescent="0.2">
      <c r="B38275" s="43"/>
    </row>
    <row r="38276" spans="2:2" ht="12.75" customHeight="1" x14ac:dyDescent="0.2">
      <c r="B38276" s="43"/>
    </row>
    <row r="38277" spans="2:2" ht="12.75" customHeight="1" x14ac:dyDescent="0.2">
      <c r="B38277" s="43"/>
    </row>
    <row r="38278" spans="2:2" ht="12.75" customHeight="1" x14ac:dyDescent="0.2">
      <c r="B38278" s="43"/>
    </row>
    <row r="38279" spans="2:2" ht="12.75" customHeight="1" x14ac:dyDescent="0.2">
      <c r="B38279" s="43"/>
    </row>
    <row r="38280" spans="2:2" ht="12.75" customHeight="1" x14ac:dyDescent="0.2">
      <c r="B38280" s="43"/>
    </row>
    <row r="38281" spans="2:2" ht="12.75" customHeight="1" x14ac:dyDescent="0.2">
      <c r="B38281" s="43"/>
    </row>
    <row r="38282" spans="2:2" ht="12.75" customHeight="1" x14ac:dyDescent="0.2">
      <c r="B38282" s="43"/>
    </row>
    <row r="38283" spans="2:2" ht="12.75" customHeight="1" x14ac:dyDescent="0.2">
      <c r="B38283" s="43"/>
    </row>
    <row r="38284" spans="2:2" ht="12.75" customHeight="1" x14ac:dyDescent="0.2">
      <c r="B38284" s="43"/>
    </row>
    <row r="38285" spans="2:2" ht="12.75" customHeight="1" x14ac:dyDescent="0.2">
      <c r="B38285" s="43"/>
    </row>
    <row r="38286" spans="2:2" ht="12.75" customHeight="1" x14ac:dyDescent="0.2">
      <c r="B38286" s="43"/>
    </row>
    <row r="38287" spans="2:2" ht="12.75" customHeight="1" x14ac:dyDescent="0.2">
      <c r="B38287" s="43"/>
    </row>
    <row r="38288" spans="2:2" ht="12.75" customHeight="1" x14ac:dyDescent="0.2">
      <c r="B38288" s="43"/>
    </row>
    <row r="38289" spans="2:2" ht="12.75" customHeight="1" x14ac:dyDescent="0.2">
      <c r="B38289" s="43"/>
    </row>
    <row r="38290" spans="2:2" ht="12.75" customHeight="1" x14ac:dyDescent="0.2">
      <c r="B38290" s="43"/>
    </row>
    <row r="38291" spans="2:2" ht="12.75" customHeight="1" x14ac:dyDescent="0.2">
      <c r="B38291" s="43"/>
    </row>
    <row r="38292" spans="2:2" ht="12.75" customHeight="1" x14ac:dyDescent="0.2">
      <c r="B38292" s="43"/>
    </row>
    <row r="38293" spans="2:2" ht="12.75" customHeight="1" x14ac:dyDescent="0.2">
      <c r="B38293" s="43"/>
    </row>
    <row r="38294" spans="2:2" ht="12.75" customHeight="1" x14ac:dyDescent="0.2">
      <c r="B38294" s="43"/>
    </row>
    <row r="38295" spans="2:2" ht="12.75" customHeight="1" x14ac:dyDescent="0.2">
      <c r="B38295" s="43"/>
    </row>
    <row r="38296" spans="2:2" ht="12.75" customHeight="1" x14ac:dyDescent="0.2">
      <c r="B38296" s="43"/>
    </row>
    <row r="38297" spans="2:2" ht="12.75" customHeight="1" x14ac:dyDescent="0.2">
      <c r="B38297" s="43"/>
    </row>
    <row r="38298" spans="2:2" ht="12.75" customHeight="1" x14ac:dyDescent="0.2">
      <c r="B38298" s="43"/>
    </row>
    <row r="38299" spans="2:2" ht="12.75" customHeight="1" x14ac:dyDescent="0.2">
      <c r="B38299" s="43"/>
    </row>
    <row r="38300" spans="2:2" ht="12.75" customHeight="1" x14ac:dyDescent="0.2">
      <c r="B38300" s="43"/>
    </row>
    <row r="38301" spans="2:2" ht="12.75" customHeight="1" x14ac:dyDescent="0.2">
      <c r="B38301" s="43"/>
    </row>
    <row r="38302" spans="2:2" ht="12.75" customHeight="1" x14ac:dyDescent="0.2">
      <c r="B38302" s="43"/>
    </row>
    <row r="38303" spans="2:2" ht="12.75" customHeight="1" x14ac:dyDescent="0.2">
      <c r="B38303" s="43"/>
    </row>
    <row r="38304" spans="2:2" ht="12.75" customHeight="1" x14ac:dyDescent="0.2">
      <c r="B38304" s="43"/>
    </row>
    <row r="38305" spans="2:2" ht="12.75" customHeight="1" x14ac:dyDescent="0.2">
      <c r="B38305" s="43"/>
    </row>
    <row r="38306" spans="2:2" ht="12.75" customHeight="1" x14ac:dyDescent="0.2">
      <c r="B38306" s="43"/>
    </row>
    <row r="38307" spans="2:2" ht="12.75" customHeight="1" x14ac:dyDescent="0.2">
      <c r="B38307" s="43"/>
    </row>
    <row r="38308" spans="2:2" ht="12.75" customHeight="1" x14ac:dyDescent="0.2">
      <c r="B38308" s="43"/>
    </row>
    <row r="38309" spans="2:2" ht="12.75" customHeight="1" x14ac:dyDescent="0.2">
      <c r="B38309" s="43"/>
    </row>
    <row r="38310" spans="2:2" ht="12.75" customHeight="1" x14ac:dyDescent="0.2">
      <c r="B38310" s="43"/>
    </row>
    <row r="38311" spans="2:2" ht="12.75" customHeight="1" x14ac:dyDescent="0.2">
      <c r="B38311" s="43"/>
    </row>
    <row r="38312" spans="2:2" ht="12.75" customHeight="1" x14ac:dyDescent="0.2">
      <c r="B38312" s="43"/>
    </row>
    <row r="38313" spans="2:2" ht="12.75" customHeight="1" x14ac:dyDescent="0.2">
      <c r="B38313" s="43"/>
    </row>
    <row r="38314" spans="2:2" ht="12.75" customHeight="1" x14ac:dyDescent="0.2">
      <c r="B38314" s="43"/>
    </row>
    <row r="38315" spans="2:2" ht="12.75" customHeight="1" x14ac:dyDescent="0.2">
      <c r="B38315" s="43"/>
    </row>
    <row r="38316" spans="2:2" ht="12.75" customHeight="1" x14ac:dyDescent="0.2">
      <c r="B38316" s="43"/>
    </row>
    <row r="38317" spans="2:2" ht="12.75" customHeight="1" x14ac:dyDescent="0.2">
      <c r="B38317" s="43"/>
    </row>
    <row r="38318" spans="2:2" ht="12.75" customHeight="1" x14ac:dyDescent="0.2">
      <c r="B38318" s="43"/>
    </row>
    <row r="38319" spans="2:2" ht="12.75" customHeight="1" x14ac:dyDescent="0.2">
      <c r="B38319" s="43"/>
    </row>
    <row r="38320" spans="2:2" ht="12.75" customHeight="1" x14ac:dyDescent="0.2">
      <c r="B38320" s="43"/>
    </row>
    <row r="38321" spans="2:2" ht="12.75" customHeight="1" x14ac:dyDescent="0.2">
      <c r="B38321" s="43"/>
    </row>
    <row r="38322" spans="2:2" ht="12.75" customHeight="1" x14ac:dyDescent="0.2">
      <c r="B38322" s="43"/>
    </row>
    <row r="38323" spans="2:2" ht="12.75" customHeight="1" x14ac:dyDescent="0.2">
      <c r="B38323" s="43"/>
    </row>
    <row r="38324" spans="2:2" ht="12.75" customHeight="1" x14ac:dyDescent="0.2">
      <c r="B38324" s="43"/>
    </row>
    <row r="38325" spans="2:2" ht="12.75" customHeight="1" x14ac:dyDescent="0.2">
      <c r="B38325" s="43"/>
    </row>
    <row r="38326" spans="2:2" ht="12.75" customHeight="1" x14ac:dyDescent="0.2">
      <c r="B38326" s="43"/>
    </row>
    <row r="38327" spans="2:2" ht="12.75" customHeight="1" x14ac:dyDescent="0.2">
      <c r="B38327" s="43"/>
    </row>
    <row r="38328" spans="2:2" ht="12.75" customHeight="1" x14ac:dyDescent="0.2">
      <c r="B38328" s="43"/>
    </row>
    <row r="38329" spans="2:2" ht="12.75" customHeight="1" x14ac:dyDescent="0.2">
      <c r="B38329" s="43"/>
    </row>
    <row r="38330" spans="2:2" ht="12.75" customHeight="1" x14ac:dyDescent="0.2">
      <c r="B38330" s="43"/>
    </row>
    <row r="38331" spans="2:2" ht="12.75" customHeight="1" x14ac:dyDescent="0.2">
      <c r="B38331" s="43"/>
    </row>
    <row r="38332" spans="2:2" ht="12.75" customHeight="1" x14ac:dyDescent="0.2">
      <c r="B38332" s="43"/>
    </row>
    <row r="38333" spans="2:2" ht="12.75" customHeight="1" x14ac:dyDescent="0.2">
      <c r="B38333" s="43"/>
    </row>
    <row r="38334" spans="2:2" ht="12.75" customHeight="1" x14ac:dyDescent="0.2">
      <c r="B38334" s="43"/>
    </row>
    <row r="38335" spans="2:2" ht="12.75" customHeight="1" x14ac:dyDescent="0.2">
      <c r="B38335" s="43"/>
    </row>
    <row r="38336" spans="2:2" ht="12.75" customHeight="1" x14ac:dyDescent="0.2">
      <c r="B38336" s="43"/>
    </row>
    <row r="38337" spans="2:2" ht="12.75" customHeight="1" x14ac:dyDescent="0.2">
      <c r="B38337" s="43"/>
    </row>
    <row r="38338" spans="2:2" ht="12.75" customHeight="1" x14ac:dyDescent="0.2">
      <c r="B38338" s="43"/>
    </row>
    <row r="38339" spans="2:2" ht="12.75" customHeight="1" x14ac:dyDescent="0.2">
      <c r="B38339" s="43"/>
    </row>
    <row r="38340" spans="2:2" ht="12.75" customHeight="1" x14ac:dyDescent="0.2">
      <c r="B38340" s="43"/>
    </row>
    <row r="38341" spans="2:2" ht="12.75" customHeight="1" x14ac:dyDescent="0.2">
      <c r="B38341" s="43"/>
    </row>
    <row r="38342" spans="2:2" ht="12.75" customHeight="1" x14ac:dyDescent="0.2">
      <c r="B38342" s="43"/>
    </row>
    <row r="38343" spans="2:2" ht="12.75" customHeight="1" x14ac:dyDescent="0.2">
      <c r="B38343" s="43"/>
    </row>
    <row r="38344" spans="2:2" ht="12.75" customHeight="1" x14ac:dyDescent="0.2">
      <c r="B38344" s="43"/>
    </row>
    <row r="38345" spans="2:2" ht="12.75" customHeight="1" x14ac:dyDescent="0.2">
      <c r="B38345" s="43"/>
    </row>
    <row r="38346" spans="2:2" ht="12.75" customHeight="1" x14ac:dyDescent="0.2">
      <c r="B38346" s="43"/>
    </row>
    <row r="38347" spans="2:2" ht="12.75" customHeight="1" x14ac:dyDescent="0.2">
      <c r="B38347" s="43"/>
    </row>
    <row r="38348" spans="2:2" ht="12.75" customHeight="1" x14ac:dyDescent="0.2">
      <c r="B38348" s="43"/>
    </row>
    <row r="38349" spans="2:2" ht="12.75" customHeight="1" x14ac:dyDescent="0.2">
      <c r="B38349" s="43"/>
    </row>
    <row r="38350" spans="2:2" ht="12.75" customHeight="1" x14ac:dyDescent="0.2">
      <c r="B38350" s="43"/>
    </row>
    <row r="38351" spans="2:2" ht="12.75" customHeight="1" x14ac:dyDescent="0.2">
      <c r="B38351" s="43"/>
    </row>
    <row r="38352" spans="2:2" ht="12.75" customHeight="1" x14ac:dyDescent="0.2">
      <c r="B38352" s="43"/>
    </row>
    <row r="38353" spans="2:2" ht="12.75" customHeight="1" x14ac:dyDescent="0.2">
      <c r="B38353" s="43"/>
    </row>
    <row r="38354" spans="2:2" ht="12.75" customHeight="1" x14ac:dyDescent="0.2">
      <c r="B38354" s="43"/>
    </row>
    <row r="38355" spans="2:2" ht="12.75" customHeight="1" x14ac:dyDescent="0.2">
      <c r="B38355" s="43"/>
    </row>
    <row r="38356" spans="2:2" ht="12.75" customHeight="1" x14ac:dyDescent="0.2">
      <c r="B38356" s="43"/>
    </row>
    <row r="38357" spans="2:2" ht="12.75" customHeight="1" x14ac:dyDescent="0.2">
      <c r="B38357" s="43"/>
    </row>
    <row r="38358" spans="2:2" ht="12.75" customHeight="1" x14ac:dyDescent="0.2">
      <c r="B38358" s="43"/>
    </row>
    <row r="38359" spans="2:2" ht="12.75" customHeight="1" x14ac:dyDescent="0.2">
      <c r="B38359" s="43"/>
    </row>
    <row r="38360" spans="2:2" ht="12.75" customHeight="1" x14ac:dyDescent="0.2">
      <c r="B38360" s="43"/>
    </row>
    <row r="38361" spans="2:2" ht="12.75" customHeight="1" x14ac:dyDescent="0.2">
      <c r="B38361" s="43"/>
    </row>
    <row r="38362" spans="2:2" ht="12.75" customHeight="1" x14ac:dyDescent="0.2">
      <c r="B38362" s="43"/>
    </row>
    <row r="38363" spans="2:2" ht="12.75" customHeight="1" x14ac:dyDescent="0.2">
      <c r="B38363" s="43"/>
    </row>
    <row r="38364" spans="2:2" ht="12.75" customHeight="1" x14ac:dyDescent="0.2">
      <c r="B38364" s="43"/>
    </row>
    <row r="38365" spans="2:2" ht="12.75" customHeight="1" x14ac:dyDescent="0.2">
      <c r="B38365" s="43"/>
    </row>
    <row r="38366" spans="2:2" ht="12.75" customHeight="1" x14ac:dyDescent="0.2">
      <c r="B38366" s="43"/>
    </row>
    <row r="38367" spans="2:2" ht="12.75" customHeight="1" x14ac:dyDescent="0.2">
      <c r="B38367" s="43"/>
    </row>
    <row r="38368" spans="2:2" ht="12.75" customHeight="1" x14ac:dyDescent="0.2">
      <c r="B38368" s="43"/>
    </row>
    <row r="38369" spans="2:2" ht="12.75" customHeight="1" x14ac:dyDescent="0.2">
      <c r="B38369" s="43"/>
    </row>
    <row r="38370" spans="2:2" ht="12.75" customHeight="1" x14ac:dyDescent="0.2">
      <c r="B38370" s="43"/>
    </row>
    <row r="38371" spans="2:2" ht="12.75" customHeight="1" x14ac:dyDescent="0.2">
      <c r="B38371" s="43"/>
    </row>
    <row r="38372" spans="2:2" ht="12.75" customHeight="1" x14ac:dyDescent="0.2">
      <c r="B38372" s="43"/>
    </row>
    <row r="38373" spans="2:2" ht="12.75" customHeight="1" x14ac:dyDescent="0.2">
      <c r="B38373" s="43"/>
    </row>
    <row r="38374" spans="2:2" ht="12.75" customHeight="1" x14ac:dyDescent="0.2">
      <c r="B38374" s="43"/>
    </row>
    <row r="38375" spans="2:2" ht="12.75" customHeight="1" x14ac:dyDescent="0.2">
      <c r="B38375" s="43"/>
    </row>
    <row r="38376" spans="2:2" ht="12.75" customHeight="1" x14ac:dyDescent="0.2">
      <c r="B38376" s="43"/>
    </row>
    <row r="38377" spans="2:2" ht="12.75" customHeight="1" x14ac:dyDescent="0.2">
      <c r="B38377" s="43"/>
    </row>
    <row r="38378" spans="2:2" ht="12.75" customHeight="1" x14ac:dyDescent="0.2">
      <c r="B38378" s="43"/>
    </row>
    <row r="38379" spans="2:2" ht="12.75" customHeight="1" x14ac:dyDescent="0.2">
      <c r="B38379" s="43"/>
    </row>
    <row r="38380" spans="2:2" ht="12.75" customHeight="1" x14ac:dyDescent="0.2">
      <c r="B38380" s="43"/>
    </row>
    <row r="38381" spans="2:2" ht="12.75" customHeight="1" x14ac:dyDescent="0.2">
      <c r="B38381" s="43"/>
    </row>
    <row r="38382" spans="2:2" ht="12.75" customHeight="1" x14ac:dyDescent="0.2">
      <c r="B38382" s="43"/>
    </row>
    <row r="38383" spans="2:2" ht="12.75" customHeight="1" x14ac:dyDescent="0.2">
      <c r="B38383" s="43"/>
    </row>
    <row r="38384" spans="2:2" ht="12.75" customHeight="1" x14ac:dyDescent="0.2">
      <c r="B38384" s="43"/>
    </row>
    <row r="38385" spans="2:2" ht="12.75" customHeight="1" x14ac:dyDescent="0.2">
      <c r="B38385" s="43"/>
    </row>
    <row r="38386" spans="2:2" ht="12.75" customHeight="1" x14ac:dyDescent="0.2">
      <c r="B38386" s="43"/>
    </row>
    <row r="38387" spans="2:2" ht="12.75" customHeight="1" x14ac:dyDescent="0.2">
      <c r="B38387" s="43"/>
    </row>
    <row r="38388" spans="2:2" ht="12.75" customHeight="1" x14ac:dyDescent="0.2">
      <c r="B38388" s="43"/>
    </row>
    <row r="38389" spans="2:2" ht="12.75" customHeight="1" x14ac:dyDescent="0.2">
      <c r="B38389" s="43"/>
    </row>
    <row r="38390" spans="2:2" ht="12.75" customHeight="1" x14ac:dyDescent="0.2">
      <c r="B38390" s="43"/>
    </row>
    <row r="38391" spans="2:2" ht="12.75" customHeight="1" x14ac:dyDescent="0.2">
      <c r="B38391" s="43"/>
    </row>
    <row r="38392" spans="2:2" ht="12.75" customHeight="1" x14ac:dyDescent="0.2">
      <c r="B38392" s="43"/>
    </row>
    <row r="38393" spans="2:2" ht="12.75" customHeight="1" x14ac:dyDescent="0.2">
      <c r="B38393" s="43"/>
    </row>
    <row r="38394" spans="2:2" ht="12.75" customHeight="1" x14ac:dyDescent="0.2">
      <c r="B38394" s="43"/>
    </row>
    <row r="38395" spans="2:2" ht="12.75" customHeight="1" x14ac:dyDescent="0.2">
      <c r="B38395" s="43"/>
    </row>
    <row r="38396" spans="2:2" ht="12.75" customHeight="1" x14ac:dyDescent="0.2">
      <c r="B38396" s="43"/>
    </row>
    <row r="38397" spans="2:2" ht="12.75" customHeight="1" x14ac:dyDescent="0.2">
      <c r="B38397" s="43"/>
    </row>
    <row r="38398" spans="2:2" ht="12.75" customHeight="1" x14ac:dyDescent="0.2">
      <c r="B38398" s="43"/>
    </row>
    <row r="38399" spans="2:2" ht="12.75" customHeight="1" x14ac:dyDescent="0.2">
      <c r="B38399" s="43"/>
    </row>
    <row r="38400" spans="2:2" ht="12.75" customHeight="1" x14ac:dyDescent="0.2">
      <c r="B38400" s="43"/>
    </row>
    <row r="38401" spans="2:2" ht="12.75" customHeight="1" x14ac:dyDescent="0.2">
      <c r="B38401" s="43"/>
    </row>
    <row r="38402" spans="2:2" ht="12.75" customHeight="1" x14ac:dyDescent="0.2">
      <c r="B38402" s="43"/>
    </row>
    <row r="38403" spans="2:2" ht="12.75" customHeight="1" x14ac:dyDescent="0.2">
      <c r="B38403" s="43"/>
    </row>
    <row r="38404" spans="2:2" ht="12.75" customHeight="1" x14ac:dyDescent="0.2">
      <c r="B38404" s="43"/>
    </row>
    <row r="38405" spans="2:2" ht="12.75" customHeight="1" x14ac:dyDescent="0.2">
      <c r="B38405" s="43"/>
    </row>
    <row r="38406" spans="2:2" ht="12.75" customHeight="1" x14ac:dyDescent="0.2">
      <c r="B38406" s="43"/>
    </row>
    <row r="38407" spans="2:2" ht="12.75" customHeight="1" x14ac:dyDescent="0.2">
      <c r="B38407" s="43"/>
    </row>
    <row r="38408" spans="2:2" ht="12.75" customHeight="1" x14ac:dyDescent="0.2">
      <c r="B38408" s="43"/>
    </row>
    <row r="38409" spans="2:2" ht="12.75" customHeight="1" x14ac:dyDescent="0.2">
      <c r="B38409" s="43"/>
    </row>
    <row r="38410" spans="2:2" ht="12.75" customHeight="1" x14ac:dyDescent="0.2">
      <c r="B38410" s="43"/>
    </row>
    <row r="38411" spans="2:2" ht="12.75" customHeight="1" x14ac:dyDescent="0.2">
      <c r="B38411" s="43"/>
    </row>
    <row r="38412" spans="2:2" ht="12.75" customHeight="1" x14ac:dyDescent="0.2">
      <c r="B38412" s="43"/>
    </row>
    <row r="38413" spans="2:2" ht="12.75" customHeight="1" x14ac:dyDescent="0.2">
      <c r="B38413" s="43"/>
    </row>
    <row r="38414" spans="2:2" ht="12.75" customHeight="1" x14ac:dyDescent="0.2">
      <c r="B38414" s="43"/>
    </row>
    <row r="38415" spans="2:2" ht="12.75" customHeight="1" x14ac:dyDescent="0.2">
      <c r="B38415" s="43"/>
    </row>
    <row r="38416" spans="2:2" ht="12.75" customHeight="1" x14ac:dyDescent="0.2">
      <c r="B38416" s="43"/>
    </row>
    <row r="38417" spans="2:2" ht="12.75" customHeight="1" x14ac:dyDescent="0.2">
      <c r="B38417" s="43"/>
    </row>
    <row r="38418" spans="2:2" ht="12.75" customHeight="1" x14ac:dyDescent="0.2">
      <c r="B38418" s="43"/>
    </row>
    <row r="38419" spans="2:2" ht="12.75" customHeight="1" x14ac:dyDescent="0.2">
      <c r="B38419" s="43"/>
    </row>
    <row r="38420" spans="2:2" ht="12.75" customHeight="1" x14ac:dyDescent="0.2">
      <c r="B38420" s="43"/>
    </row>
    <row r="38421" spans="2:2" ht="12.75" customHeight="1" x14ac:dyDescent="0.2">
      <c r="B38421" s="43"/>
    </row>
    <row r="38422" spans="2:2" ht="12.75" customHeight="1" x14ac:dyDescent="0.2">
      <c r="B38422" s="43"/>
    </row>
    <row r="38423" spans="2:2" ht="12.75" customHeight="1" x14ac:dyDescent="0.2">
      <c r="B38423" s="43"/>
    </row>
    <row r="38424" spans="2:2" ht="12.75" customHeight="1" x14ac:dyDescent="0.2">
      <c r="B38424" s="43"/>
    </row>
    <row r="38425" spans="2:2" ht="12.75" customHeight="1" x14ac:dyDescent="0.2">
      <c r="B38425" s="43"/>
    </row>
    <row r="38426" spans="2:2" ht="12.75" customHeight="1" x14ac:dyDescent="0.2">
      <c r="B38426" s="43"/>
    </row>
    <row r="38427" spans="2:2" ht="12.75" customHeight="1" x14ac:dyDescent="0.2">
      <c r="B38427" s="43"/>
    </row>
    <row r="38428" spans="2:2" ht="12.75" customHeight="1" x14ac:dyDescent="0.2">
      <c r="B38428" s="43"/>
    </row>
    <row r="38429" spans="2:2" ht="12.75" customHeight="1" x14ac:dyDescent="0.2">
      <c r="B38429" s="43"/>
    </row>
    <row r="38430" spans="2:2" ht="12.75" customHeight="1" x14ac:dyDescent="0.2">
      <c r="B38430" s="43"/>
    </row>
    <row r="38431" spans="2:2" ht="12.75" customHeight="1" x14ac:dyDescent="0.2">
      <c r="B38431" s="43"/>
    </row>
    <row r="38432" spans="2:2" ht="12.75" customHeight="1" x14ac:dyDescent="0.2">
      <c r="B38432" s="43"/>
    </row>
    <row r="38433" spans="2:2" ht="12.75" customHeight="1" x14ac:dyDescent="0.2">
      <c r="B38433" s="43"/>
    </row>
    <row r="38434" spans="2:2" ht="12.75" customHeight="1" x14ac:dyDescent="0.2">
      <c r="B38434" s="43"/>
    </row>
    <row r="38435" spans="2:2" ht="12.75" customHeight="1" x14ac:dyDescent="0.2">
      <c r="B38435" s="43"/>
    </row>
    <row r="38436" spans="2:2" ht="12.75" customHeight="1" x14ac:dyDescent="0.2">
      <c r="B38436" s="43"/>
    </row>
    <row r="38437" spans="2:2" ht="12.75" customHeight="1" x14ac:dyDescent="0.2">
      <c r="B38437" s="43"/>
    </row>
    <row r="38438" spans="2:2" ht="12.75" customHeight="1" x14ac:dyDescent="0.2">
      <c r="B38438" s="43"/>
    </row>
    <row r="38439" spans="2:2" ht="12.75" customHeight="1" x14ac:dyDescent="0.2">
      <c r="B38439" s="43"/>
    </row>
    <row r="38440" spans="2:2" ht="12.75" customHeight="1" x14ac:dyDescent="0.2">
      <c r="B38440" s="43"/>
    </row>
    <row r="38441" spans="2:2" ht="12.75" customHeight="1" x14ac:dyDescent="0.2">
      <c r="B38441" s="43"/>
    </row>
    <row r="38442" spans="2:2" ht="12.75" customHeight="1" x14ac:dyDescent="0.2">
      <c r="B38442" s="43"/>
    </row>
    <row r="38443" spans="2:2" ht="12.75" customHeight="1" x14ac:dyDescent="0.2">
      <c r="B38443" s="43"/>
    </row>
    <row r="38444" spans="2:2" ht="12.75" customHeight="1" x14ac:dyDescent="0.2">
      <c r="B38444" s="43"/>
    </row>
    <row r="38445" spans="2:2" ht="12.75" customHeight="1" x14ac:dyDescent="0.2">
      <c r="B38445" s="43"/>
    </row>
    <row r="38446" spans="2:2" ht="12.75" customHeight="1" x14ac:dyDescent="0.2">
      <c r="B38446" s="43"/>
    </row>
    <row r="38447" spans="2:2" ht="12.75" customHeight="1" x14ac:dyDescent="0.2">
      <c r="B38447" s="43"/>
    </row>
    <row r="38448" spans="2:2" ht="12.75" customHeight="1" x14ac:dyDescent="0.2">
      <c r="B38448" s="43"/>
    </row>
    <row r="38449" spans="2:2" ht="12.75" customHeight="1" x14ac:dyDescent="0.2">
      <c r="B38449" s="43"/>
    </row>
    <row r="38450" spans="2:2" ht="12.75" customHeight="1" x14ac:dyDescent="0.2">
      <c r="B38450" s="43"/>
    </row>
    <row r="38451" spans="2:2" ht="12.75" customHeight="1" x14ac:dyDescent="0.2">
      <c r="B38451" s="43"/>
    </row>
    <row r="38452" spans="2:2" ht="12.75" customHeight="1" x14ac:dyDescent="0.2">
      <c r="B38452" s="43"/>
    </row>
    <row r="38453" spans="2:2" ht="12.75" customHeight="1" x14ac:dyDescent="0.2">
      <c r="B38453" s="43"/>
    </row>
    <row r="38454" spans="2:2" ht="12.75" customHeight="1" x14ac:dyDescent="0.2">
      <c r="B38454" s="43"/>
    </row>
    <row r="38455" spans="2:2" ht="12.75" customHeight="1" x14ac:dyDescent="0.2">
      <c r="B38455" s="43"/>
    </row>
    <row r="38456" spans="2:2" ht="12.75" customHeight="1" x14ac:dyDescent="0.2">
      <c r="B38456" s="43"/>
    </row>
    <row r="38457" spans="2:2" ht="12.75" customHeight="1" x14ac:dyDescent="0.2">
      <c r="B38457" s="43"/>
    </row>
    <row r="38458" spans="2:2" ht="12.75" customHeight="1" x14ac:dyDescent="0.2">
      <c r="B38458" s="43"/>
    </row>
    <row r="38459" spans="2:2" ht="12.75" customHeight="1" x14ac:dyDescent="0.2">
      <c r="B38459" s="43"/>
    </row>
    <row r="38460" spans="2:2" ht="12.75" customHeight="1" x14ac:dyDescent="0.2">
      <c r="B38460" s="43"/>
    </row>
    <row r="38461" spans="2:2" ht="12.75" customHeight="1" x14ac:dyDescent="0.2">
      <c r="B38461" s="43"/>
    </row>
    <row r="38462" spans="2:2" ht="12.75" customHeight="1" x14ac:dyDescent="0.2">
      <c r="B38462" s="43"/>
    </row>
    <row r="38463" spans="2:2" ht="12.75" customHeight="1" x14ac:dyDescent="0.2">
      <c r="B38463" s="43"/>
    </row>
    <row r="38464" spans="2:2" ht="12.75" customHeight="1" x14ac:dyDescent="0.2">
      <c r="B38464" s="43"/>
    </row>
    <row r="38465" spans="2:2" ht="12.75" customHeight="1" x14ac:dyDescent="0.2">
      <c r="B38465" s="43"/>
    </row>
    <row r="38466" spans="2:2" ht="12.75" customHeight="1" x14ac:dyDescent="0.2">
      <c r="B38466" s="43"/>
    </row>
    <row r="38467" spans="2:2" ht="12.75" customHeight="1" x14ac:dyDescent="0.2">
      <c r="B38467" s="43"/>
    </row>
    <row r="38468" spans="2:2" ht="12.75" customHeight="1" x14ac:dyDescent="0.2">
      <c r="B38468" s="43"/>
    </row>
    <row r="38469" spans="2:2" ht="12.75" customHeight="1" x14ac:dyDescent="0.2">
      <c r="B38469" s="43"/>
    </row>
    <row r="38470" spans="2:2" ht="12.75" customHeight="1" x14ac:dyDescent="0.2">
      <c r="B38470" s="43"/>
    </row>
    <row r="38471" spans="2:2" ht="12.75" customHeight="1" x14ac:dyDescent="0.2">
      <c r="B38471" s="43"/>
    </row>
    <row r="38472" spans="2:2" ht="12.75" customHeight="1" x14ac:dyDescent="0.2">
      <c r="B38472" s="43"/>
    </row>
    <row r="38473" spans="2:2" ht="12.75" customHeight="1" x14ac:dyDescent="0.2">
      <c r="B38473" s="43"/>
    </row>
    <row r="38474" spans="2:2" ht="12.75" customHeight="1" x14ac:dyDescent="0.2">
      <c r="B38474" s="43"/>
    </row>
    <row r="38475" spans="2:2" ht="12.75" customHeight="1" x14ac:dyDescent="0.2">
      <c r="B38475" s="43"/>
    </row>
    <row r="38476" spans="2:2" ht="12.75" customHeight="1" x14ac:dyDescent="0.2">
      <c r="B38476" s="43"/>
    </row>
    <row r="38477" spans="2:2" ht="12.75" customHeight="1" x14ac:dyDescent="0.2">
      <c r="B38477" s="43"/>
    </row>
    <row r="38478" spans="2:2" ht="12.75" customHeight="1" x14ac:dyDescent="0.2">
      <c r="B38478" s="43"/>
    </row>
    <row r="38479" spans="2:2" ht="12.75" customHeight="1" x14ac:dyDescent="0.2">
      <c r="B38479" s="43"/>
    </row>
    <row r="38480" spans="2:2" ht="12.75" customHeight="1" x14ac:dyDescent="0.2">
      <c r="B38480" s="43"/>
    </row>
    <row r="38481" spans="2:2" ht="12.75" customHeight="1" x14ac:dyDescent="0.2">
      <c r="B38481" s="43"/>
    </row>
    <row r="38482" spans="2:2" ht="12.75" customHeight="1" x14ac:dyDescent="0.2">
      <c r="B38482" s="43"/>
    </row>
    <row r="38483" spans="2:2" ht="12.75" customHeight="1" x14ac:dyDescent="0.2">
      <c r="B38483" s="43"/>
    </row>
    <row r="38484" spans="2:2" ht="12.75" customHeight="1" x14ac:dyDescent="0.2">
      <c r="B38484" s="43"/>
    </row>
    <row r="38485" spans="2:2" ht="12.75" customHeight="1" x14ac:dyDescent="0.2">
      <c r="B38485" s="43"/>
    </row>
    <row r="38486" spans="2:2" ht="12.75" customHeight="1" x14ac:dyDescent="0.2">
      <c r="B38486" s="43"/>
    </row>
    <row r="38487" spans="2:2" ht="12.75" customHeight="1" x14ac:dyDescent="0.2">
      <c r="B38487" s="43"/>
    </row>
    <row r="38488" spans="2:2" ht="12.75" customHeight="1" x14ac:dyDescent="0.2">
      <c r="B38488" s="43"/>
    </row>
    <row r="38489" spans="2:2" ht="12.75" customHeight="1" x14ac:dyDescent="0.2">
      <c r="B38489" s="43"/>
    </row>
    <row r="38490" spans="2:2" ht="12.75" customHeight="1" x14ac:dyDescent="0.2">
      <c r="B38490" s="43"/>
    </row>
    <row r="38491" spans="2:2" ht="12.75" customHeight="1" x14ac:dyDescent="0.2">
      <c r="B38491" s="43"/>
    </row>
    <row r="38492" spans="2:2" ht="12.75" customHeight="1" x14ac:dyDescent="0.2">
      <c r="B38492" s="43"/>
    </row>
    <row r="38493" spans="2:2" ht="12.75" customHeight="1" x14ac:dyDescent="0.2">
      <c r="B38493" s="43"/>
    </row>
    <row r="38494" spans="2:2" ht="12.75" customHeight="1" x14ac:dyDescent="0.2">
      <c r="B38494" s="43"/>
    </row>
    <row r="38495" spans="2:2" ht="12.75" customHeight="1" x14ac:dyDescent="0.2">
      <c r="B38495" s="43"/>
    </row>
    <row r="38496" spans="2:2" ht="12.75" customHeight="1" x14ac:dyDescent="0.2">
      <c r="B38496" s="43"/>
    </row>
    <row r="38497" spans="2:2" ht="12.75" customHeight="1" x14ac:dyDescent="0.2">
      <c r="B38497" s="43"/>
    </row>
    <row r="38498" spans="2:2" ht="12.75" customHeight="1" x14ac:dyDescent="0.2">
      <c r="B38498" s="43"/>
    </row>
    <row r="38499" spans="2:2" ht="12.75" customHeight="1" x14ac:dyDescent="0.2">
      <c r="B38499" s="43"/>
    </row>
    <row r="38500" spans="2:2" ht="12.75" customHeight="1" x14ac:dyDescent="0.2">
      <c r="B38500" s="43"/>
    </row>
    <row r="38501" spans="2:2" ht="12.75" customHeight="1" x14ac:dyDescent="0.2">
      <c r="B38501" s="43"/>
    </row>
    <row r="38502" spans="2:2" ht="12.75" customHeight="1" x14ac:dyDescent="0.2">
      <c r="B38502" s="43"/>
    </row>
    <row r="38503" spans="2:2" ht="12.75" customHeight="1" x14ac:dyDescent="0.2">
      <c r="B38503" s="43"/>
    </row>
    <row r="38504" spans="2:2" ht="12.75" customHeight="1" x14ac:dyDescent="0.2">
      <c r="B38504" s="43"/>
    </row>
    <row r="38505" spans="2:2" ht="12.75" customHeight="1" x14ac:dyDescent="0.2">
      <c r="B38505" s="43"/>
    </row>
    <row r="38506" spans="2:2" ht="12.75" customHeight="1" x14ac:dyDescent="0.2">
      <c r="B38506" s="43"/>
    </row>
    <row r="38507" spans="2:2" ht="12.75" customHeight="1" x14ac:dyDescent="0.2">
      <c r="B38507" s="43"/>
    </row>
    <row r="38508" spans="2:2" ht="12.75" customHeight="1" x14ac:dyDescent="0.2">
      <c r="B38508" s="43"/>
    </row>
    <row r="38509" spans="2:2" ht="12.75" customHeight="1" x14ac:dyDescent="0.2">
      <c r="B38509" s="43"/>
    </row>
    <row r="38510" spans="2:2" ht="12.75" customHeight="1" x14ac:dyDescent="0.2">
      <c r="B38510" s="43"/>
    </row>
    <row r="38511" spans="2:2" ht="12.75" customHeight="1" x14ac:dyDescent="0.2">
      <c r="B38511" s="43"/>
    </row>
    <row r="38512" spans="2:2" ht="12.75" customHeight="1" x14ac:dyDescent="0.2">
      <c r="B38512" s="43"/>
    </row>
    <row r="38513" spans="2:2" ht="12.75" customHeight="1" x14ac:dyDescent="0.2">
      <c r="B38513" s="43"/>
    </row>
    <row r="38514" spans="2:2" ht="12.75" customHeight="1" x14ac:dyDescent="0.2">
      <c r="B38514" s="43"/>
    </row>
    <row r="38515" spans="2:2" ht="12.75" customHeight="1" x14ac:dyDescent="0.2">
      <c r="B38515" s="43"/>
    </row>
    <row r="38516" spans="2:2" ht="12.75" customHeight="1" x14ac:dyDescent="0.2">
      <c r="B38516" s="43"/>
    </row>
    <row r="38517" spans="2:2" ht="12.75" customHeight="1" x14ac:dyDescent="0.2">
      <c r="B38517" s="43"/>
    </row>
    <row r="38518" spans="2:2" ht="12.75" customHeight="1" x14ac:dyDescent="0.2">
      <c r="B38518" s="43"/>
    </row>
    <row r="38519" spans="2:2" ht="12.75" customHeight="1" x14ac:dyDescent="0.2">
      <c r="B38519" s="43"/>
    </row>
    <row r="38520" spans="2:2" ht="12.75" customHeight="1" x14ac:dyDescent="0.2">
      <c r="B38520" s="43"/>
    </row>
    <row r="38521" spans="2:2" ht="12.75" customHeight="1" x14ac:dyDescent="0.2">
      <c r="B38521" s="43"/>
    </row>
    <row r="38522" spans="2:2" ht="12.75" customHeight="1" x14ac:dyDescent="0.2">
      <c r="B38522" s="43"/>
    </row>
    <row r="38523" spans="2:2" ht="12.75" customHeight="1" x14ac:dyDescent="0.2">
      <c r="B38523" s="43"/>
    </row>
    <row r="38524" spans="2:2" ht="12.75" customHeight="1" x14ac:dyDescent="0.2">
      <c r="B38524" s="43"/>
    </row>
    <row r="38525" spans="2:2" ht="12.75" customHeight="1" x14ac:dyDescent="0.2">
      <c r="B38525" s="43"/>
    </row>
    <row r="38526" spans="2:2" ht="12.75" customHeight="1" x14ac:dyDescent="0.2">
      <c r="B38526" s="43"/>
    </row>
    <row r="38527" spans="2:2" ht="12.75" customHeight="1" x14ac:dyDescent="0.2">
      <c r="B38527" s="43"/>
    </row>
    <row r="38528" spans="2:2" ht="12.75" customHeight="1" x14ac:dyDescent="0.2">
      <c r="B38528" s="43"/>
    </row>
    <row r="38529" spans="2:2" ht="12.75" customHeight="1" x14ac:dyDescent="0.2">
      <c r="B38529" s="43"/>
    </row>
    <row r="38530" spans="2:2" ht="12.75" customHeight="1" x14ac:dyDescent="0.2">
      <c r="B38530" s="43"/>
    </row>
    <row r="38531" spans="2:2" ht="12.75" customHeight="1" x14ac:dyDescent="0.2">
      <c r="B38531" s="43"/>
    </row>
    <row r="38532" spans="2:2" ht="12.75" customHeight="1" x14ac:dyDescent="0.2">
      <c r="B38532" s="43"/>
    </row>
    <row r="38533" spans="2:2" ht="12.75" customHeight="1" x14ac:dyDescent="0.2">
      <c r="B38533" s="43"/>
    </row>
    <row r="38534" spans="2:2" ht="12.75" customHeight="1" x14ac:dyDescent="0.2">
      <c r="B38534" s="43"/>
    </row>
    <row r="38535" spans="2:2" ht="12.75" customHeight="1" x14ac:dyDescent="0.2">
      <c r="B38535" s="43"/>
    </row>
    <row r="38536" spans="2:2" ht="12.75" customHeight="1" x14ac:dyDescent="0.2">
      <c r="B38536" s="43"/>
    </row>
    <row r="38537" spans="2:2" ht="12.75" customHeight="1" x14ac:dyDescent="0.2">
      <c r="B38537" s="43"/>
    </row>
    <row r="38538" spans="2:2" ht="12.75" customHeight="1" x14ac:dyDescent="0.2">
      <c r="B38538" s="43"/>
    </row>
    <row r="38539" spans="2:2" ht="12.75" customHeight="1" x14ac:dyDescent="0.2">
      <c r="B38539" s="43"/>
    </row>
    <row r="38540" spans="2:2" ht="12.75" customHeight="1" x14ac:dyDescent="0.2">
      <c r="B38540" s="43"/>
    </row>
    <row r="38541" spans="2:2" ht="12.75" customHeight="1" x14ac:dyDescent="0.2">
      <c r="B38541" s="43"/>
    </row>
    <row r="38542" spans="2:2" ht="12.75" customHeight="1" x14ac:dyDescent="0.2">
      <c r="B38542" s="43"/>
    </row>
    <row r="38543" spans="2:2" ht="12.75" customHeight="1" x14ac:dyDescent="0.2">
      <c r="B38543" s="43"/>
    </row>
    <row r="38544" spans="2:2" ht="12.75" customHeight="1" x14ac:dyDescent="0.2">
      <c r="B38544" s="43"/>
    </row>
    <row r="38545" spans="2:2" ht="12.75" customHeight="1" x14ac:dyDescent="0.2">
      <c r="B38545" s="43"/>
    </row>
    <row r="38546" spans="2:2" ht="12.75" customHeight="1" x14ac:dyDescent="0.2">
      <c r="B38546" s="43"/>
    </row>
    <row r="38547" spans="2:2" ht="12.75" customHeight="1" x14ac:dyDescent="0.2">
      <c r="B38547" s="43"/>
    </row>
    <row r="38548" spans="2:2" ht="12.75" customHeight="1" x14ac:dyDescent="0.2">
      <c r="B38548" s="43"/>
    </row>
    <row r="38549" spans="2:2" ht="12.75" customHeight="1" x14ac:dyDescent="0.2">
      <c r="B38549" s="43"/>
    </row>
    <row r="38550" spans="2:2" ht="12.75" customHeight="1" x14ac:dyDescent="0.2">
      <c r="B38550" s="43"/>
    </row>
    <row r="38551" spans="2:2" ht="12.75" customHeight="1" x14ac:dyDescent="0.2">
      <c r="B38551" s="43"/>
    </row>
    <row r="38552" spans="2:2" ht="12.75" customHeight="1" x14ac:dyDescent="0.2">
      <c r="B38552" s="43"/>
    </row>
    <row r="38553" spans="2:2" ht="12.75" customHeight="1" x14ac:dyDescent="0.2">
      <c r="B38553" s="43"/>
    </row>
    <row r="38554" spans="2:2" ht="12.75" customHeight="1" x14ac:dyDescent="0.2">
      <c r="B38554" s="43"/>
    </row>
    <row r="38555" spans="2:2" ht="12.75" customHeight="1" x14ac:dyDescent="0.2">
      <c r="B38555" s="43"/>
    </row>
    <row r="38556" spans="2:2" ht="12.75" customHeight="1" x14ac:dyDescent="0.2">
      <c r="B38556" s="43"/>
    </row>
    <row r="38557" spans="2:2" ht="12.75" customHeight="1" x14ac:dyDescent="0.2">
      <c r="B38557" s="43"/>
    </row>
    <row r="38558" spans="2:2" ht="12.75" customHeight="1" x14ac:dyDescent="0.2">
      <c r="B38558" s="43"/>
    </row>
    <row r="38559" spans="2:2" ht="12.75" customHeight="1" x14ac:dyDescent="0.2">
      <c r="B38559" s="43"/>
    </row>
    <row r="38560" spans="2:2" ht="12.75" customHeight="1" x14ac:dyDescent="0.2">
      <c r="B38560" s="43"/>
    </row>
    <row r="38561" spans="2:2" ht="12.75" customHeight="1" x14ac:dyDescent="0.2">
      <c r="B38561" s="43"/>
    </row>
    <row r="38562" spans="2:2" ht="12.75" customHeight="1" x14ac:dyDescent="0.2">
      <c r="B38562" s="43"/>
    </row>
    <row r="38563" spans="2:2" ht="12.75" customHeight="1" x14ac:dyDescent="0.2">
      <c r="B38563" s="43"/>
    </row>
    <row r="38564" spans="2:2" ht="12.75" customHeight="1" x14ac:dyDescent="0.2">
      <c r="B38564" s="43"/>
    </row>
    <row r="38565" spans="2:2" ht="12.75" customHeight="1" x14ac:dyDescent="0.2">
      <c r="B38565" s="43"/>
    </row>
    <row r="38566" spans="2:2" ht="12.75" customHeight="1" x14ac:dyDescent="0.2">
      <c r="B38566" s="43"/>
    </row>
    <row r="38567" spans="2:2" ht="12.75" customHeight="1" x14ac:dyDescent="0.2">
      <c r="B38567" s="43"/>
    </row>
    <row r="38568" spans="2:2" ht="12.75" customHeight="1" x14ac:dyDescent="0.2">
      <c r="B38568" s="43"/>
    </row>
    <row r="38569" spans="2:2" ht="12.75" customHeight="1" x14ac:dyDescent="0.2">
      <c r="B38569" s="43"/>
    </row>
    <row r="38570" spans="2:2" ht="12.75" customHeight="1" x14ac:dyDescent="0.2">
      <c r="B38570" s="43"/>
    </row>
    <row r="38571" spans="2:2" ht="12.75" customHeight="1" x14ac:dyDescent="0.2">
      <c r="B38571" s="43"/>
    </row>
    <row r="38572" spans="2:2" ht="12.75" customHeight="1" x14ac:dyDescent="0.2">
      <c r="B38572" s="43"/>
    </row>
    <row r="38573" spans="2:2" ht="12.75" customHeight="1" x14ac:dyDescent="0.2">
      <c r="B38573" s="43"/>
    </row>
    <row r="38574" spans="2:2" ht="12.75" customHeight="1" x14ac:dyDescent="0.2">
      <c r="B38574" s="43"/>
    </row>
    <row r="38575" spans="2:2" ht="12.75" customHeight="1" x14ac:dyDescent="0.2">
      <c r="B38575" s="43"/>
    </row>
    <row r="38576" spans="2:2" ht="12.75" customHeight="1" x14ac:dyDescent="0.2">
      <c r="B38576" s="43"/>
    </row>
    <row r="38577" spans="2:2" ht="12.75" customHeight="1" x14ac:dyDescent="0.2">
      <c r="B38577" s="43"/>
    </row>
    <row r="38578" spans="2:2" ht="12.75" customHeight="1" x14ac:dyDescent="0.2">
      <c r="B38578" s="43"/>
    </row>
    <row r="38579" spans="2:2" ht="12.75" customHeight="1" x14ac:dyDescent="0.2">
      <c r="B38579" s="43"/>
    </row>
    <row r="38580" spans="2:2" ht="12.75" customHeight="1" x14ac:dyDescent="0.2">
      <c r="B38580" s="43"/>
    </row>
    <row r="38581" spans="2:2" ht="12.75" customHeight="1" x14ac:dyDescent="0.2">
      <c r="B38581" s="43"/>
    </row>
    <row r="38582" spans="2:2" ht="12.75" customHeight="1" x14ac:dyDescent="0.2">
      <c r="B38582" s="43"/>
    </row>
    <row r="38583" spans="2:2" ht="12.75" customHeight="1" x14ac:dyDescent="0.2">
      <c r="B38583" s="43"/>
    </row>
    <row r="38584" spans="2:2" ht="12.75" customHeight="1" x14ac:dyDescent="0.2">
      <c r="B38584" s="43"/>
    </row>
    <row r="38585" spans="2:2" ht="12.75" customHeight="1" x14ac:dyDescent="0.2">
      <c r="B38585" s="43"/>
    </row>
    <row r="38586" spans="2:2" ht="12.75" customHeight="1" x14ac:dyDescent="0.2">
      <c r="B38586" s="43"/>
    </row>
    <row r="38587" spans="2:2" ht="12.75" customHeight="1" x14ac:dyDescent="0.2">
      <c r="B38587" s="43"/>
    </row>
    <row r="38588" spans="2:2" ht="12.75" customHeight="1" x14ac:dyDescent="0.2">
      <c r="B38588" s="43"/>
    </row>
    <row r="38589" spans="2:2" ht="12.75" customHeight="1" x14ac:dyDescent="0.2">
      <c r="B38589" s="43"/>
    </row>
    <row r="38590" spans="2:2" ht="12.75" customHeight="1" x14ac:dyDescent="0.2">
      <c r="B38590" s="43"/>
    </row>
    <row r="38591" spans="2:2" ht="12.75" customHeight="1" x14ac:dyDescent="0.2">
      <c r="B38591" s="43"/>
    </row>
    <row r="38592" spans="2:2" ht="12.75" customHeight="1" x14ac:dyDescent="0.2">
      <c r="B38592" s="43"/>
    </row>
    <row r="38593" spans="2:2" ht="12.75" customHeight="1" x14ac:dyDescent="0.2">
      <c r="B38593" s="43"/>
    </row>
    <row r="38594" spans="2:2" ht="12.75" customHeight="1" x14ac:dyDescent="0.2">
      <c r="B38594" s="43"/>
    </row>
    <row r="38595" spans="2:2" ht="12.75" customHeight="1" x14ac:dyDescent="0.2">
      <c r="B38595" s="43"/>
    </row>
    <row r="38596" spans="2:2" ht="12.75" customHeight="1" x14ac:dyDescent="0.2">
      <c r="B38596" s="43"/>
    </row>
    <row r="38597" spans="2:2" ht="12.75" customHeight="1" x14ac:dyDescent="0.2">
      <c r="B38597" s="43"/>
    </row>
    <row r="38598" spans="2:2" ht="12.75" customHeight="1" x14ac:dyDescent="0.2">
      <c r="B38598" s="43"/>
    </row>
    <row r="38599" spans="2:2" ht="12.75" customHeight="1" x14ac:dyDescent="0.2">
      <c r="B38599" s="43"/>
    </row>
    <row r="38600" spans="2:2" ht="12.75" customHeight="1" x14ac:dyDescent="0.2">
      <c r="B38600" s="43"/>
    </row>
    <row r="38601" spans="2:2" ht="12.75" customHeight="1" x14ac:dyDescent="0.2">
      <c r="B38601" s="43"/>
    </row>
    <row r="38602" spans="2:2" ht="12.75" customHeight="1" x14ac:dyDescent="0.2">
      <c r="B38602" s="43"/>
    </row>
    <row r="38603" spans="2:2" ht="12.75" customHeight="1" x14ac:dyDescent="0.2">
      <c r="B38603" s="43"/>
    </row>
    <row r="38604" spans="2:2" ht="12.75" customHeight="1" x14ac:dyDescent="0.2">
      <c r="B38604" s="43"/>
    </row>
    <row r="38605" spans="2:2" ht="12.75" customHeight="1" x14ac:dyDescent="0.2">
      <c r="B38605" s="43"/>
    </row>
    <row r="38606" spans="2:2" ht="12.75" customHeight="1" x14ac:dyDescent="0.2">
      <c r="B38606" s="43"/>
    </row>
    <row r="38607" spans="2:2" ht="12.75" customHeight="1" x14ac:dyDescent="0.2">
      <c r="B38607" s="43"/>
    </row>
    <row r="38608" spans="2:2" ht="12.75" customHeight="1" x14ac:dyDescent="0.2">
      <c r="B38608" s="43"/>
    </row>
    <row r="38609" spans="2:2" ht="12.75" customHeight="1" x14ac:dyDescent="0.2">
      <c r="B38609" s="43"/>
    </row>
    <row r="38610" spans="2:2" ht="12.75" customHeight="1" x14ac:dyDescent="0.2">
      <c r="B38610" s="43"/>
    </row>
    <row r="38611" spans="2:2" ht="12.75" customHeight="1" x14ac:dyDescent="0.2">
      <c r="B38611" s="43"/>
    </row>
    <row r="38612" spans="2:2" ht="12.75" customHeight="1" x14ac:dyDescent="0.2">
      <c r="B38612" s="43"/>
    </row>
    <row r="38613" spans="2:2" ht="12.75" customHeight="1" x14ac:dyDescent="0.2">
      <c r="B38613" s="43"/>
    </row>
    <row r="38614" spans="2:2" ht="12.75" customHeight="1" x14ac:dyDescent="0.2">
      <c r="B38614" s="43"/>
    </row>
    <row r="38615" spans="2:2" ht="12.75" customHeight="1" x14ac:dyDescent="0.2">
      <c r="B38615" s="43"/>
    </row>
    <row r="38616" spans="2:2" ht="12.75" customHeight="1" x14ac:dyDescent="0.2">
      <c r="B38616" s="43"/>
    </row>
    <row r="38617" spans="2:2" ht="12.75" customHeight="1" x14ac:dyDescent="0.2">
      <c r="B38617" s="43"/>
    </row>
    <row r="38618" spans="2:2" ht="12.75" customHeight="1" x14ac:dyDescent="0.2">
      <c r="B38618" s="43"/>
    </row>
    <row r="38619" spans="2:2" ht="12.75" customHeight="1" x14ac:dyDescent="0.2">
      <c r="B38619" s="43"/>
    </row>
    <row r="38620" spans="2:2" ht="12.75" customHeight="1" x14ac:dyDescent="0.2">
      <c r="B38620" s="43"/>
    </row>
    <row r="38621" spans="2:2" ht="12.75" customHeight="1" x14ac:dyDescent="0.2">
      <c r="B38621" s="43"/>
    </row>
    <row r="38622" spans="2:2" ht="12.75" customHeight="1" x14ac:dyDescent="0.2">
      <c r="B38622" s="43"/>
    </row>
    <row r="38623" spans="2:2" ht="12.75" customHeight="1" x14ac:dyDescent="0.2">
      <c r="B38623" s="43"/>
    </row>
    <row r="38624" spans="2:2" ht="12.75" customHeight="1" x14ac:dyDescent="0.2">
      <c r="B38624" s="43"/>
    </row>
    <row r="38625" spans="2:2" ht="12.75" customHeight="1" x14ac:dyDescent="0.2">
      <c r="B38625" s="43"/>
    </row>
    <row r="38626" spans="2:2" ht="12.75" customHeight="1" x14ac:dyDescent="0.2">
      <c r="B38626" s="43"/>
    </row>
    <row r="38627" spans="2:2" ht="12.75" customHeight="1" x14ac:dyDescent="0.2">
      <c r="B38627" s="43"/>
    </row>
    <row r="38628" spans="2:2" ht="12.75" customHeight="1" x14ac:dyDescent="0.2">
      <c r="B38628" s="43"/>
    </row>
    <row r="38629" spans="2:2" ht="12.75" customHeight="1" x14ac:dyDescent="0.2">
      <c r="B38629" s="43"/>
    </row>
    <row r="38630" spans="2:2" ht="12.75" customHeight="1" x14ac:dyDescent="0.2">
      <c r="B38630" s="43"/>
    </row>
    <row r="38631" spans="2:2" ht="12.75" customHeight="1" x14ac:dyDescent="0.2">
      <c r="B38631" s="43"/>
    </row>
    <row r="38632" spans="2:2" ht="12.75" customHeight="1" x14ac:dyDescent="0.2">
      <c r="B38632" s="43"/>
    </row>
    <row r="38633" spans="2:2" ht="12.75" customHeight="1" x14ac:dyDescent="0.2">
      <c r="B38633" s="43"/>
    </row>
    <row r="38634" spans="2:2" ht="12.75" customHeight="1" x14ac:dyDescent="0.2">
      <c r="B38634" s="43"/>
    </row>
    <row r="38635" spans="2:2" ht="12.75" customHeight="1" x14ac:dyDescent="0.2">
      <c r="B38635" s="43"/>
    </row>
    <row r="38636" spans="2:2" ht="12.75" customHeight="1" x14ac:dyDescent="0.2">
      <c r="B38636" s="43"/>
    </row>
    <row r="38637" spans="2:2" ht="12.75" customHeight="1" x14ac:dyDescent="0.2">
      <c r="B38637" s="43"/>
    </row>
    <row r="38638" spans="2:2" ht="12.75" customHeight="1" x14ac:dyDescent="0.2">
      <c r="B38638" s="43"/>
    </row>
    <row r="38639" spans="2:2" ht="12.75" customHeight="1" x14ac:dyDescent="0.2">
      <c r="B38639" s="43"/>
    </row>
    <row r="38640" spans="2:2" ht="12.75" customHeight="1" x14ac:dyDescent="0.2">
      <c r="B38640" s="43"/>
    </row>
    <row r="38641" spans="2:2" ht="12.75" customHeight="1" x14ac:dyDescent="0.2">
      <c r="B38641" s="43"/>
    </row>
    <row r="38642" spans="2:2" ht="12.75" customHeight="1" x14ac:dyDescent="0.2">
      <c r="B38642" s="43"/>
    </row>
    <row r="38643" spans="2:2" ht="12.75" customHeight="1" x14ac:dyDescent="0.2">
      <c r="B38643" s="43"/>
    </row>
    <row r="38644" spans="2:2" ht="12.75" customHeight="1" x14ac:dyDescent="0.2">
      <c r="B38644" s="43"/>
    </row>
    <row r="38645" spans="2:2" ht="12.75" customHeight="1" x14ac:dyDescent="0.2">
      <c r="B38645" s="43"/>
    </row>
    <row r="38646" spans="2:2" ht="12.75" customHeight="1" x14ac:dyDescent="0.2">
      <c r="B38646" s="43"/>
    </row>
    <row r="38647" spans="2:2" ht="12.75" customHeight="1" x14ac:dyDescent="0.2">
      <c r="B38647" s="43"/>
    </row>
    <row r="38648" spans="2:2" ht="12.75" customHeight="1" x14ac:dyDescent="0.2">
      <c r="B38648" s="43"/>
    </row>
    <row r="38649" spans="2:2" ht="12.75" customHeight="1" x14ac:dyDescent="0.2">
      <c r="B38649" s="43"/>
    </row>
    <row r="38650" spans="2:2" ht="12.75" customHeight="1" x14ac:dyDescent="0.2">
      <c r="B38650" s="43"/>
    </row>
    <row r="38651" spans="2:2" ht="12.75" customHeight="1" x14ac:dyDescent="0.2">
      <c r="B38651" s="43"/>
    </row>
    <row r="38652" spans="2:2" ht="12.75" customHeight="1" x14ac:dyDescent="0.2">
      <c r="B38652" s="43"/>
    </row>
    <row r="38653" spans="2:2" ht="12.75" customHeight="1" x14ac:dyDescent="0.2">
      <c r="B38653" s="43"/>
    </row>
    <row r="38654" spans="2:2" ht="12.75" customHeight="1" x14ac:dyDescent="0.2">
      <c r="B38654" s="43"/>
    </row>
    <row r="38655" spans="2:2" ht="12.75" customHeight="1" x14ac:dyDescent="0.2">
      <c r="B38655" s="43"/>
    </row>
    <row r="38656" spans="2:2" ht="12.75" customHeight="1" x14ac:dyDescent="0.2">
      <c r="B38656" s="43"/>
    </row>
    <row r="38657" spans="2:2" ht="12.75" customHeight="1" x14ac:dyDescent="0.2">
      <c r="B38657" s="43"/>
    </row>
    <row r="38658" spans="2:2" ht="12.75" customHeight="1" x14ac:dyDescent="0.2">
      <c r="B38658" s="43"/>
    </row>
    <row r="38659" spans="2:2" ht="12.75" customHeight="1" x14ac:dyDescent="0.2">
      <c r="B38659" s="43"/>
    </row>
    <row r="38660" spans="2:2" ht="12.75" customHeight="1" x14ac:dyDescent="0.2">
      <c r="B38660" s="43"/>
    </row>
    <row r="38661" spans="2:2" ht="12.75" customHeight="1" x14ac:dyDescent="0.2">
      <c r="B38661" s="43"/>
    </row>
    <row r="38662" spans="2:2" ht="12.75" customHeight="1" x14ac:dyDescent="0.2">
      <c r="B38662" s="43"/>
    </row>
    <row r="38663" spans="2:2" ht="12.75" customHeight="1" x14ac:dyDescent="0.2">
      <c r="B38663" s="43"/>
    </row>
    <row r="38664" spans="2:2" ht="12.75" customHeight="1" x14ac:dyDescent="0.2">
      <c r="B38664" s="43"/>
    </row>
    <row r="38665" spans="2:2" ht="12.75" customHeight="1" x14ac:dyDescent="0.2">
      <c r="B38665" s="43"/>
    </row>
    <row r="38666" spans="2:2" ht="12.75" customHeight="1" x14ac:dyDescent="0.2">
      <c r="B38666" s="43"/>
    </row>
    <row r="38667" spans="2:2" ht="12.75" customHeight="1" x14ac:dyDescent="0.2">
      <c r="B38667" s="43"/>
    </row>
    <row r="38668" spans="2:2" ht="12.75" customHeight="1" x14ac:dyDescent="0.2">
      <c r="B38668" s="43"/>
    </row>
    <row r="38669" spans="2:2" ht="12.75" customHeight="1" x14ac:dyDescent="0.2">
      <c r="B38669" s="43"/>
    </row>
    <row r="38670" spans="2:2" ht="12.75" customHeight="1" x14ac:dyDescent="0.2">
      <c r="B38670" s="43"/>
    </row>
    <row r="38671" spans="2:2" ht="12.75" customHeight="1" x14ac:dyDescent="0.2">
      <c r="B38671" s="43"/>
    </row>
    <row r="38672" spans="2:2" ht="12.75" customHeight="1" x14ac:dyDescent="0.2">
      <c r="B38672" s="43"/>
    </row>
    <row r="38673" spans="2:2" ht="12.75" customHeight="1" x14ac:dyDescent="0.2">
      <c r="B38673" s="43"/>
    </row>
    <row r="38674" spans="2:2" ht="12.75" customHeight="1" x14ac:dyDescent="0.2">
      <c r="B38674" s="43"/>
    </row>
    <row r="38675" spans="2:2" ht="12.75" customHeight="1" x14ac:dyDescent="0.2">
      <c r="B38675" s="43"/>
    </row>
    <row r="38676" spans="2:2" ht="12.75" customHeight="1" x14ac:dyDescent="0.2">
      <c r="B38676" s="43"/>
    </row>
    <row r="38677" spans="2:2" ht="12.75" customHeight="1" x14ac:dyDescent="0.2">
      <c r="B38677" s="43"/>
    </row>
    <row r="38678" spans="2:2" ht="12.75" customHeight="1" x14ac:dyDescent="0.2">
      <c r="B38678" s="43"/>
    </row>
    <row r="38679" spans="2:2" ht="12.75" customHeight="1" x14ac:dyDescent="0.2">
      <c r="B38679" s="43"/>
    </row>
    <row r="38680" spans="2:2" ht="12.75" customHeight="1" x14ac:dyDescent="0.2">
      <c r="B38680" s="43"/>
    </row>
    <row r="38681" spans="2:2" ht="12.75" customHeight="1" x14ac:dyDescent="0.2">
      <c r="B38681" s="43"/>
    </row>
    <row r="38682" spans="2:2" ht="12.75" customHeight="1" x14ac:dyDescent="0.2">
      <c r="B38682" s="43"/>
    </row>
    <row r="38683" spans="2:2" ht="12.75" customHeight="1" x14ac:dyDescent="0.2">
      <c r="B38683" s="43"/>
    </row>
    <row r="38684" spans="2:2" ht="12.75" customHeight="1" x14ac:dyDescent="0.2">
      <c r="B38684" s="43"/>
    </row>
    <row r="38685" spans="2:2" ht="12.75" customHeight="1" x14ac:dyDescent="0.2">
      <c r="B38685" s="43"/>
    </row>
    <row r="38686" spans="2:2" ht="12.75" customHeight="1" x14ac:dyDescent="0.2">
      <c r="B38686" s="43"/>
    </row>
    <row r="38687" spans="2:2" ht="12.75" customHeight="1" x14ac:dyDescent="0.2">
      <c r="B38687" s="43"/>
    </row>
    <row r="38688" spans="2:2" ht="12.75" customHeight="1" x14ac:dyDescent="0.2">
      <c r="B38688" s="43"/>
    </row>
    <row r="38689" spans="2:2" ht="12.75" customHeight="1" x14ac:dyDescent="0.2">
      <c r="B38689" s="43"/>
    </row>
    <row r="38690" spans="2:2" ht="12.75" customHeight="1" x14ac:dyDescent="0.2">
      <c r="B38690" s="43"/>
    </row>
    <row r="38691" spans="2:2" ht="12.75" customHeight="1" x14ac:dyDescent="0.2">
      <c r="B38691" s="43"/>
    </row>
    <row r="38692" spans="2:2" ht="12.75" customHeight="1" x14ac:dyDescent="0.2">
      <c r="B38692" s="43"/>
    </row>
    <row r="38693" spans="2:2" ht="12.75" customHeight="1" x14ac:dyDescent="0.2">
      <c r="B38693" s="43"/>
    </row>
    <row r="38694" spans="2:2" ht="12.75" customHeight="1" x14ac:dyDescent="0.2">
      <c r="B38694" s="43"/>
    </row>
    <row r="38695" spans="2:2" ht="12.75" customHeight="1" x14ac:dyDescent="0.2">
      <c r="B38695" s="43"/>
    </row>
    <row r="38696" spans="2:2" ht="12.75" customHeight="1" x14ac:dyDescent="0.2">
      <c r="B38696" s="43"/>
    </row>
    <row r="38697" spans="2:2" ht="12.75" customHeight="1" x14ac:dyDescent="0.2">
      <c r="B38697" s="43"/>
    </row>
    <row r="38698" spans="2:2" ht="12.75" customHeight="1" x14ac:dyDescent="0.2">
      <c r="B38698" s="43"/>
    </row>
    <row r="38699" spans="2:2" ht="12.75" customHeight="1" x14ac:dyDescent="0.2">
      <c r="B38699" s="43"/>
    </row>
    <row r="38700" spans="2:2" ht="12.75" customHeight="1" x14ac:dyDescent="0.2">
      <c r="B38700" s="43"/>
    </row>
    <row r="38701" spans="2:2" ht="12.75" customHeight="1" x14ac:dyDescent="0.2">
      <c r="B38701" s="43"/>
    </row>
    <row r="38702" spans="2:2" ht="12.75" customHeight="1" x14ac:dyDescent="0.2">
      <c r="B38702" s="43"/>
    </row>
    <row r="38703" spans="2:2" ht="12.75" customHeight="1" x14ac:dyDescent="0.2">
      <c r="B38703" s="43"/>
    </row>
    <row r="38704" spans="2:2" ht="12.75" customHeight="1" x14ac:dyDescent="0.2">
      <c r="B38704" s="43"/>
    </row>
    <row r="38705" spans="2:2" ht="12.75" customHeight="1" x14ac:dyDescent="0.2">
      <c r="B38705" s="43"/>
    </row>
    <row r="38706" spans="2:2" ht="12.75" customHeight="1" x14ac:dyDescent="0.2">
      <c r="B38706" s="43"/>
    </row>
    <row r="38707" spans="2:2" ht="12.75" customHeight="1" x14ac:dyDescent="0.2">
      <c r="B38707" s="43"/>
    </row>
    <row r="38708" spans="2:2" ht="12.75" customHeight="1" x14ac:dyDescent="0.2">
      <c r="B38708" s="43"/>
    </row>
    <row r="38709" spans="2:2" ht="12.75" customHeight="1" x14ac:dyDescent="0.2">
      <c r="B38709" s="43"/>
    </row>
    <row r="38710" spans="2:2" ht="12.75" customHeight="1" x14ac:dyDescent="0.2">
      <c r="B38710" s="43"/>
    </row>
    <row r="38711" spans="2:2" ht="12.75" customHeight="1" x14ac:dyDescent="0.2">
      <c r="B38711" s="43"/>
    </row>
    <row r="38712" spans="2:2" ht="12.75" customHeight="1" x14ac:dyDescent="0.2">
      <c r="B38712" s="43"/>
    </row>
    <row r="38713" spans="2:2" ht="12.75" customHeight="1" x14ac:dyDescent="0.2">
      <c r="B38713" s="43"/>
    </row>
    <row r="38714" spans="2:2" ht="12.75" customHeight="1" x14ac:dyDescent="0.2">
      <c r="B38714" s="43"/>
    </row>
    <row r="38715" spans="2:2" ht="12.75" customHeight="1" x14ac:dyDescent="0.2">
      <c r="B38715" s="43"/>
    </row>
    <row r="38716" spans="2:2" ht="12.75" customHeight="1" x14ac:dyDescent="0.2">
      <c r="B38716" s="43"/>
    </row>
    <row r="38717" spans="2:2" ht="12.75" customHeight="1" x14ac:dyDescent="0.2">
      <c r="B38717" s="43"/>
    </row>
    <row r="38718" spans="2:2" ht="12.75" customHeight="1" x14ac:dyDescent="0.2">
      <c r="B38718" s="43"/>
    </row>
    <row r="38719" spans="2:2" ht="12.75" customHeight="1" x14ac:dyDescent="0.2">
      <c r="B38719" s="43"/>
    </row>
    <row r="38720" spans="2:2" ht="12.75" customHeight="1" x14ac:dyDescent="0.2">
      <c r="B38720" s="43"/>
    </row>
    <row r="38721" spans="2:2" ht="12.75" customHeight="1" x14ac:dyDescent="0.2">
      <c r="B38721" s="43"/>
    </row>
    <row r="38722" spans="2:2" ht="12.75" customHeight="1" x14ac:dyDescent="0.2">
      <c r="B38722" s="43"/>
    </row>
    <row r="38723" spans="2:2" ht="12.75" customHeight="1" x14ac:dyDescent="0.2">
      <c r="B38723" s="43"/>
    </row>
    <row r="38724" spans="2:2" ht="12.75" customHeight="1" x14ac:dyDescent="0.2">
      <c r="B38724" s="43"/>
    </row>
    <row r="38725" spans="2:2" ht="12.75" customHeight="1" x14ac:dyDescent="0.2">
      <c r="B38725" s="43"/>
    </row>
    <row r="38726" spans="2:2" ht="12.75" customHeight="1" x14ac:dyDescent="0.2">
      <c r="B38726" s="43"/>
    </row>
    <row r="38727" spans="2:2" ht="12.75" customHeight="1" x14ac:dyDescent="0.2">
      <c r="B38727" s="43"/>
    </row>
    <row r="38728" spans="2:2" ht="12.75" customHeight="1" x14ac:dyDescent="0.2">
      <c r="B38728" s="43"/>
    </row>
    <row r="38729" spans="2:2" ht="12.75" customHeight="1" x14ac:dyDescent="0.2">
      <c r="B38729" s="43"/>
    </row>
    <row r="38730" spans="2:2" ht="12.75" customHeight="1" x14ac:dyDescent="0.2">
      <c r="B38730" s="43"/>
    </row>
    <row r="38731" spans="2:2" ht="12.75" customHeight="1" x14ac:dyDescent="0.2">
      <c r="B38731" s="43"/>
    </row>
    <row r="38732" spans="2:2" ht="12.75" customHeight="1" x14ac:dyDescent="0.2">
      <c r="B38732" s="43"/>
    </row>
    <row r="38733" spans="2:2" ht="12.75" customHeight="1" x14ac:dyDescent="0.2">
      <c r="B38733" s="43"/>
    </row>
    <row r="38734" spans="2:2" ht="12.75" customHeight="1" x14ac:dyDescent="0.2">
      <c r="B38734" s="43"/>
    </row>
    <row r="38735" spans="2:2" ht="12.75" customHeight="1" x14ac:dyDescent="0.2">
      <c r="B38735" s="43"/>
    </row>
    <row r="38736" spans="2:2" ht="12.75" customHeight="1" x14ac:dyDescent="0.2">
      <c r="B38736" s="43"/>
    </row>
    <row r="38737" spans="2:2" ht="12.75" customHeight="1" x14ac:dyDescent="0.2">
      <c r="B38737" s="43"/>
    </row>
    <row r="38738" spans="2:2" ht="12.75" customHeight="1" x14ac:dyDescent="0.2">
      <c r="B38738" s="43"/>
    </row>
    <row r="38739" spans="2:2" ht="12.75" customHeight="1" x14ac:dyDescent="0.2">
      <c r="B38739" s="43"/>
    </row>
    <row r="38740" spans="2:2" ht="12.75" customHeight="1" x14ac:dyDescent="0.2">
      <c r="B38740" s="43"/>
    </row>
    <row r="38741" spans="2:2" ht="12.75" customHeight="1" x14ac:dyDescent="0.2">
      <c r="B38741" s="43"/>
    </row>
    <row r="38742" spans="2:2" ht="12.75" customHeight="1" x14ac:dyDescent="0.2">
      <c r="B38742" s="43"/>
    </row>
    <row r="38743" spans="2:2" ht="12.75" customHeight="1" x14ac:dyDescent="0.2">
      <c r="B38743" s="43"/>
    </row>
    <row r="38744" spans="2:2" ht="12.75" customHeight="1" x14ac:dyDescent="0.2">
      <c r="B38744" s="43"/>
    </row>
    <row r="38745" spans="2:2" ht="12.75" customHeight="1" x14ac:dyDescent="0.2">
      <c r="B38745" s="43"/>
    </row>
    <row r="38746" spans="2:2" ht="12.75" customHeight="1" x14ac:dyDescent="0.2">
      <c r="B38746" s="43"/>
    </row>
    <row r="38747" spans="2:2" ht="12.75" customHeight="1" x14ac:dyDescent="0.2">
      <c r="B38747" s="43"/>
    </row>
    <row r="38748" spans="2:2" ht="12.75" customHeight="1" x14ac:dyDescent="0.2">
      <c r="B38748" s="43"/>
    </row>
    <row r="38749" spans="2:2" ht="12.75" customHeight="1" x14ac:dyDescent="0.2">
      <c r="B38749" s="43"/>
    </row>
    <row r="38750" spans="2:2" ht="12.75" customHeight="1" x14ac:dyDescent="0.2">
      <c r="B38750" s="43"/>
    </row>
    <row r="38751" spans="2:2" ht="12.75" customHeight="1" x14ac:dyDescent="0.2">
      <c r="B38751" s="43"/>
    </row>
    <row r="38752" spans="2:2" ht="12.75" customHeight="1" x14ac:dyDescent="0.2">
      <c r="B38752" s="43"/>
    </row>
    <row r="38753" spans="2:2" ht="12.75" customHeight="1" x14ac:dyDescent="0.2">
      <c r="B38753" s="43"/>
    </row>
    <row r="38754" spans="2:2" ht="12.75" customHeight="1" x14ac:dyDescent="0.2">
      <c r="B38754" s="43"/>
    </row>
    <row r="38755" spans="2:2" ht="12.75" customHeight="1" x14ac:dyDescent="0.2">
      <c r="B38755" s="43"/>
    </row>
    <row r="38756" spans="2:2" ht="12.75" customHeight="1" x14ac:dyDescent="0.2">
      <c r="B38756" s="43"/>
    </row>
    <row r="38757" spans="2:2" ht="12.75" customHeight="1" x14ac:dyDescent="0.2">
      <c r="B38757" s="43"/>
    </row>
    <row r="38758" spans="2:2" ht="12.75" customHeight="1" x14ac:dyDescent="0.2">
      <c r="B38758" s="43"/>
    </row>
    <row r="38759" spans="2:2" ht="12.75" customHeight="1" x14ac:dyDescent="0.2">
      <c r="B38759" s="43"/>
    </row>
    <row r="38760" spans="2:2" ht="12.75" customHeight="1" x14ac:dyDescent="0.2">
      <c r="B38760" s="43"/>
    </row>
    <row r="38761" spans="2:2" ht="12.75" customHeight="1" x14ac:dyDescent="0.2">
      <c r="B38761" s="43"/>
    </row>
    <row r="38762" spans="2:2" ht="12.75" customHeight="1" x14ac:dyDescent="0.2">
      <c r="B38762" s="43"/>
    </row>
    <row r="38763" spans="2:2" ht="12.75" customHeight="1" x14ac:dyDescent="0.2">
      <c r="B38763" s="43"/>
    </row>
    <row r="38764" spans="2:2" ht="12.75" customHeight="1" x14ac:dyDescent="0.2">
      <c r="B38764" s="43"/>
    </row>
    <row r="38765" spans="2:2" ht="12.75" customHeight="1" x14ac:dyDescent="0.2">
      <c r="B38765" s="43"/>
    </row>
    <row r="38766" spans="2:2" ht="12.75" customHeight="1" x14ac:dyDescent="0.2">
      <c r="B38766" s="43"/>
    </row>
    <row r="38767" spans="2:2" ht="12.75" customHeight="1" x14ac:dyDescent="0.2">
      <c r="B38767" s="43"/>
    </row>
    <row r="38768" spans="2:2" ht="12.75" customHeight="1" x14ac:dyDescent="0.2">
      <c r="B38768" s="43"/>
    </row>
    <row r="38769" spans="2:2" ht="12.75" customHeight="1" x14ac:dyDescent="0.2">
      <c r="B38769" s="43"/>
    </row>
    <row r="38770" spans="2:2" ht="12.75" customHeight="1" x14ac:dyDescent="0.2">
      <c r="B38770" s="43"/>
    </row>
    <row r="38771" spans="2:2" ht="12.75" customHeight="1" x14ac:dyDescent="0.2">
      <c r="B38771" s="43"/>
    </row>
    <row r="38772" spans="2:2" ht="12.75" customHeight="1" x14ac:dyDescent="0.2">
      <c r="B38772" s="43"/>
    </row>
    <row r="38773" spans="2:2" ht="12.75" customHeight="1" x14ac:dyDescent="0.2">
      <c r="B38773" s="43"/>
    </row>
    <row r="38774" spans="2:2" ht="12.75" customHeight="1" x14ac:dyDescent="0.2">
      <c r="B38774" s="43"/>
    </row>
    <row r="38775" spans="2:2" ht="12.75" customHeight="1" x14ac:dyDescent="0.2">
      <c r="B38775" s="43"/>
    </row>
    <row r="38776" spans="2:2" ht="12.75" customHeight="1" x14ac:dyDescent="0.2">
      <c r="B38776" s="43"/>
    </row>
    <row r="38777" spans="2:2" ht="12.75" customHeight="1" x14ac:dyDescent="0.2">
      <c r="B38777" s="43"/>
    </row>
    <row r="38778" spans="2:2" ht="12.75" customHeight="1" x14ac:dyDescent="0.2">
      <c r="B38778" s="43"/>
    </row>
    <row r="38779" spans="2:2" ht="12.75" customHeight="1" x14ac:dyDescent="0.2">
      <c r="B38779" s="43"/>
    </row>
    <row r="38780" spans="2:2" ht="12.75" customHeight="1" x14ac:dyDescent="0.2">
      <c r="B38780" s="43"/>
    </row>
    <row r="38781" spans="2:2" ht="12.75" customHeight="1" x14ac:dyDescent="0.2">
      <c r="B38781" s="43"/>
    </row>
    <row r="38782" spans="2:2" ht="12.75" customHeight="1" x14ac:dyDescent="0.2">
      <c r="B38782" s="43"/>
    </row>
    <row r="38783" spans="2:2" ht="12.75" customHeight="1" x14ac:dyDescent="0.2">
      <c r="B38783" s="43"/>
    </row>
    <row r="38784" spans="2:2" ht="12.75" customHeight="1" x14ac:dyDescent="0.2">
      <c r="B38784" s="43"/>
    </row>
    <row r="38785" spans="2:2" ht="12.75" customHeight="1" x14ac:dyDescent="0.2">
      <c r="B38785" s="43"/>
    </row>
    <row r="38786" spans="2:2" ht="12.75" customHeight="1" x14ac:dyDescent="0.2">
      <c r="B38786" s="43"/>
    </row>
    <row r="38787" spans="2:2" ht="12.75" customHeight="1" x14ac:dyDescent="0.2">
      <c r="B38787" s="43"/>
    </row>
    <row r="38788" spans="2:2" ht="12.75" customHeight="1" x14ac:dyDescent="0.2">
      <c r="B38788" s="43"/>
    </row>
    <row r="38789" spans="2:2" ht="12.75" customHeight="1" x14ac:dyDescent="0.2">
      <c r="B38789" s="43"/>
    </row>
    <row r="38790" spans="2:2" ht="12.75" customHeight="1" x14ac:dyDescent="0.2">
      <c r="B38790" s="43"/>
    </row>
    <row r="38791" spans="2:2" ht="12.75" customHeight="1" x14ac:dyDescent="0.2">
      <c r="B38791" s="43"/>
    </row>
    <row r="38792" spans="2:2" ht="12.75" customHeight="1" x14ac:dyDescent="0.2">
      <c r="B38792" s="43"/>
    </row>
    <row r="38793" spans="2:2" ht="12.75" customHeight="1" x14ac:dyDescent="0.2">
      <c r="B38793" s="43"/>
    </row>
    <row r="38794" spans="2:2" ht="12.75" customHeight="1" x14ac:dyDescent="0.2">
      <c r="B38794" s="43"/>
    </row>
    <row r="38795" spans="2:2" ht="12.75" customHeight="1" x14ac:dyDescent="0.2">
      <c r="B38795" s="43"/>
    </row>
    <row r="38796" spans="2:2" ht="12.75" customHeight="1" x14ac:dyDescent="0.2">
      <c r="B38796" s="43"/>
    </row>
    <row r="38797" spans="2:2" ht="12.75" customHeight="1" x14ac:dyDescent="0.2">
      <c r="B38797" s="43"/>
    </row>
    <row r="38798" spans="2:2" ht="12.75" customHeight="1" x14ac:dyDescent="0.2">
      <c r="B38798" s="43"/>
    </row>
    <row r="38799" spans="2:2" ht="12.75" customHeight="1" x14ac:dyDescent="0.2">
      <c r="B38799" s="43"/>
    </row>
    <row r="38800" spans="2:2" ht="12.75" customHeight="1" x14ac:dyDescent="0.2">
      <c r="B38800" s="43"/>
    </row>
    <row r="38801" spans="2:2" ht="12.75" customHeight="1" x14ac:dyDescent="0.2">
      <c r="B38801" s="43"/>
    </row>
    <row r="38802" spans="2:2" ht="12.75" customHeight="1" x14ac:dyDescent="0.2">
      <c r="B38802" s="43"/>
    </row>
    <row r="38803" spans="2:2" ht="12.75" customHeight="1" x14ac:dyDescent="0.2">
      <c r="B38803" s="43"/>
    </row>
    <row r="38804" spans="2:2" ht="12.75" customHeight="1" x14ac:dyDescent="0.2">
      <c r="B38804" s="43"/>
    </row>
    <row r="38805" spans="2:2" ht="12.75" customHeight="1" x14ac:dyDescent="0.2">
      <c r="B38805" s="43"/>
    </row>
    <row r="38806" spans="2:2" ht="12.75" customHeight="1" x14ac:dyDescent="0.2">
      <c r="B38806" s="43"/>
    </row>
    <row r="38807" spans="2:2" ht="12.75" customHeight="1" x14ac:dyDescent="0.2">
      <c r="B38807" s="43"/>
    </row>
    <row r="38808" spans="2:2" ht="12.75" customHeight="1" x14ac:dyDescent="0.2">
      <c r="B38808" s="43"/>
    </row>
    <row r="38809" spans="2:2" ht="12.75" customHeight="1" x14ac:dyDescent="0.2">
      <c r="B38809" s="43"/>
    </row>
    <row r="38810" spans="2:2" ht="12.75" customHeight="1" x14ac:dyDescent="0.2">
      <c r="B38810" s="43"/>
    </row>
    <row r="38811" spans="2:2" ht="12.75" customHeight="1" x14ac:dyDescent="0.2">
      <c r="B38811" s="43"/>
    </row>
    <row r="38812" spans="2:2" ht="12.75" customHeight="1" x14ac:dyDescent="0.2">
      <c r="B38812" s="43"/>
    </row>
    <row r="38813" spans="2:2" ht="12.75" customHeight="1" x14ac:dyDescent="0.2">
      <c r="B38813" s="43"/>
    </row>
    <row r="38814" spans="2:2" ht="12.75" customHeight="1" x14ac:dyDescent="0.2">
      <c r="B38814" s="43"/>
    </row>
    <row r="38815" spans="2:2" ht="12.75" customHeight="1" x14ac:dyDescent="0.2">
      <c r="B38815" s="43"/>
    </row>
    <row r="38816" spans="2:2" ht="12.75" customHeight="1" x14ac:dyDescent="0.2">
      <c r="B38816" s="43"/>
    </row>
    <row r="38817" spans="2:2" ht="12.75" customHeight="1" x14ac:dyDescent="0.2">
      <c r="B38817" s="43"/>
    </row>
    <row r="38818" spans="2:2" ht="12.75" customHeight="1" x14ac:dyDescent="0.2">
      <c r="B38818" s="43"/>
    </row>
    <row r="38819" spans="2:2" ht="12.75" customHeight="1" x14ac:dyDescent="0.2">
      <c r="B38819" s="43"/>
    </row>
    <row r="38820" spans="2:2" ht="12.75" customHeight="1" x14ac:dyDescent="0.2">
      <c r="B38820" s="43"/>
    </row>
    <row r="38821" spans="2:2" ht="12.75" customHeight="1" x14ac:dyDescent="0.2">
      <c r="B38821" s="43"/>
    </row>
    <row r="38822" spans="2:2" ht="12.75" customHeight="1" x14ac:dyDescent="0.2">
      <c r="B38822" s="43"/>
    </row>
    <row r="38823" spans="2:2" ht="12.75" customHeight="1" x14ac:dyDescent="0.2">
      <c r="B38823" s="43"/>
    </row>
    <row r="38824" spans="2:2" ht="12.75" customHeight="1" x14ac:dyDescent="0.2">
      <c r="B38824" s="43"/>
    </row>
    <row r="38825" spans="2:2" ht="12.75" customHeight="1" x14ac:dyDescent="0.2">
      <c r="B38825" s="43"/>
    </row>
    <row r="38826" spans="2:2" ht="12.75" customHeight="1" x14ac:dyDescent="0.2">
      <c r="B38826" s="43"/>
    </row>
    <row r="38827" spans="2:2" ht="12.75" customHeight="1" x14ac:dyDescent="0.2">
      <c r="B38827" s="43"/>
    </row>
    <row r="38828" spans="2:2" ht="12.75" customHeight="1" x14ac:dyDescent="0.2">
      <c r="B38828" s="43"/>
    </row>
    <row r="38829" spans="2:2" ht="12.75" customHeight="1" x14ac:dyDescent="0.2">
      <c r="B38829" s="43"/>
    </row>
    <row r="38830" spans="2:2" ht="12.75" customHeight="1" x14ac:dyDescent="0.2">
      <c r="B38830" s="43"/>
    </row>
    <row r="38831" spans="2:2" ht="12.75" customHeight="1" x14ac:dyDescent="0.2">
      <c r="B38831" s="43"/>
    </row>
    <row r="38832" spans="2:2" ht="12.75" customHeight="1" x14ac:dyDescent="0.2">
      <c r="B38832" s="43"/>
    </row>
    <row r="38833" spans="2:2" ht="12.75" customHeight="1" x14ac:dyDescent="0.2">
      <c r="B38833" s="43"/>
    </row>
    <row r="38834" spans="2:2" ht="12.75" customHeight="1" x14ac:dyDescent="0.2">
      <c r="B38834" s="43"/>
    </row>
    <row r="38835" spans="2:2" ht="12.75" customHeight="1" x14ac:dyDescent="0.2">
      <c r="B38835" s="43"/>
    </row>
    <row r="38836" spans="2:2" ht="12.75" customHeight="1" x14ac:dyDescent="0.2">
      <c r="B38836" s="43"/>
    </row>
    <row r="38837" spans="2:2" ht="12.75" customHeight="1" x14ac:dyDescent="0.2">
      <c r="B38837" s="43"/>
    </row>
    <row r="38838" spans="2:2" ht="12.75" customHeight="1" x14ac:dyDescent="0.2">
      <c r="B38838" s="43"/>
    </row>
    <row r="38839" spans="2:2" ht="12.75" customHeight="1" x14ac:dyDescent="0.2">
      <c r="B38839" s="43"/>
    </row>
    <row r="38840" spans="2:2" ht="12.75" customHeight="1" x14ac:dyDescent="0.2">
      <c r="B38840" s="43"/>
    </row>
    <row r="38841" spans="2:2" ht="12.75" customHeight="1" x14ac:dyDescent="0.2">
      <c r="B38841" s="43"/>
    </row>
    <row r="38842" spans="2:2" ht="12.75" customHeight="1" x14ac:dyDescent="0.2">
      <c r="B38842" s="43"/>
    </row>
    <row r="38843" spans="2:2" ht="12.75" customHeight="1" x14ac:dyDescent="0.2">
      <c r="B38843" s="43"/>
    </row>
    <row r="38844" spans="2:2" ht="12.75" customHeight="1" x14ac:dyDescent="0.2">
      <c r="B38844" s="43"/>
    </row>
    <row r="38845" spans="2:2" ht="12.75" customHeight="1" x14ac:dyDescent="0.2">
      <c r="B38845" s="43"/>
    </row>
    <row r="38846" spans="2:2" ht="12.75" customHeight="1" x14ac:dyDescent="0.2">
      <c r="B38846" s="43"/>
    </row>
    <row r="38847" spans="2:2" ht="12.75" customHeight="1" x14ac:dyDescent="0.2">
      <c r="B38847" s="43"/>
    </row>
    <row r="38848" spans="2:2" ht="12.75" customHeight="1" x14ac:dyDescent="0.2">
      <c r="B38848" s="43"/>
    </row>
    <row r="38849" spans="2:2" ht="12.75" customHeight="1" x14ac:dyDescent="0.2">
      <c r="B38849" s="43"/>
    </row>
    <row r="38850" spans="2:2" ht="12.75" customHeight="1" x14ac:dyDescent="0.2">
      <c r="B38850" s="43"/>
    </row>
    <row r="38851" spans="2:2" ht="12.75" customHeight="1" x14ac:dyDescent="0.2">
      <c r="B38851" s="43"/>
    </row>
    <row r="38852" spans="2:2" ht="12.75" customHeight="1" x14ac:dyDescent="0.2">
      <c r="B38852" s="43"/>
    </row>
    <row r="38853" spans="2:2" ht="12.75" customHeight="1" x14ac:dyDescent="0.2">
      <c r="B38853" s="43"/>
    </row>
    <row r="38854" spans="2:2" ht="12.75" customHeight="1" x14ac:dyDescent="0.2">
      <c r="B38854" s="43"/>
    </row>
    <row r="38855" spans="2:2" ht="12.75" customHeight="1" x14ac:dyDescent="0.2">
      <c r="B38855" s="43"/>
    </row>
    <row r="38856" spans="2:2" ht="12.75" customHeight="1" x14ac:dyDescent="0.2">
      <c r="B38856" s="43"/>
    </row>
    <row r="38857" spans="2:2" ht="12.75" customHeight="1" x14ac:dyDescent="0.2">
      <c r="B38857" s="43"/>
    </row>
    <row r="38858" spans="2:2" ht="12.75" customHeight="1" x14ac:dyDescent="0.2">
      <c r="B38858" s="43"/>
    </row>
    <row r="38859" spans="2:2" ht="12.75" customHeight="1" x14ac:dyDescent="0.2">
      <c r="B38859" s="43"/>
    </row>
    <row r="38860" spans="2:2" ht="12.75" customHeight="1" x14ac:dyDescent="0.2">
      <c r="B38860" s="43"/>
    </row>
    <row r="38861" spans="2:2" ht="12.75" customHeight="1" x14ac:dyDescent="0.2">
      <c r="B38861" s="43"/>
    </row>
    <row r="38862" spans="2:2" ht="12.75" customHeight="1" x14ac:dyDescent="0.2">
      <c r="B38862" s="43"/>
    </row>
    <row r="38863" spans="2:2" ht="12.75" customHeight="1" x14ac:dyDescent="0.2">
      <c r="B38863" s="43"/>
    </row>
    <row r="38864" spans="2:2" ht="12.75" customHeight="1" x14ac:dyDescent="0.2">
      <c r="B38864" s="43"/>
    </row>
    <row r="38865" spans="2:2" ht="12.75" customHeight="1" x14ac:dyDescent="0.2">
      <c r="B38865" s="43"/>
    </row>
    <row r="38866" spans="2:2" ht="12.75" customHeight="1" x14ac:dyDescent="0.2">
      <c r="B38866" s="43"/>
    </row>
    <row r="38867" spans="2:2" ht="12.75" customHeight="1" x14ac:dyDescent="0.2">
      <c r="B38867" s="43"/>
    </row>
    <row r="38868" spans="2:2" ht="12.75" customHeight="1" x14ac:dyDescent="0.2">
      <c r="B38868" s="43"/>
    </row>
    <row r="38869" spans="2:2" ht="12.75" customHeight="1" x14ac:dyDescent="0.2">
      <c r="B38869" s="43"/>
    </row>
    <row r="38870" spans="2:2" ht="12.75" customHeight="1" x14ac:dyDescent="0.2">
      <c r="B38870" s="43"/>
    </row>
    <row r="38871" spans="2:2" ht="12.75" customHeight="1" x14ac:dyDescent="0.2">
      <c r="B38871" s="43"/>
    </row>
    <row r="38872" spans="2:2" ht="12.75" customHeight="1" x14ac:dyDescent="0.2">
      <c r="B38872" s="43"/>
    </row>
    <row r="38873" spans="2:2" ht="12.75" customHeight="1" x14ac:dyDescent="0.2">
      <c r="B38873" s="43"/>
    </row>
    <row r="38874" spans="2:2" ht="12.75" customHeight="1" x14ac:dyDescent="0.2">
      <c r="B38874" s="43"/>
    </row>
    <row r="38875" spans="2:2" ht="12.75" customHeight="1" x14ac:dyDescent="0.2">
      <c r="B38875" s="43"/>
    </row>
    <row r="38876" spans="2:2" ht="12.75" customHeight="1" x14ac:dyDescent="0.2">
      <c r="B38876" s="43"/>
    </row>
    <row r="38877" spans="2:2" ht="12.75" customHeight="1" x14ac:dyDescent="0.2">
      <c r="B38877" s="43"/>
    </row>
    <row r="38878" spans="2:2" ht="12.75" customHeight="1" x14ac:dyDescent="0.2">
      <c r="B38878" s="43"/>
    </row>
    <row r="38879" spans="2:2" ht="12.75" customHeight="1" x14ac:dyDescent="0.2">
      <c r="B38879" s="43"/>
    </row>
    <row r="38880" spans="2:2" ht="12.75" customHeight="1" x14ac:dyDescent="0.2">
      <c r="B38880" s="43"/>
    </row>
    <row r="38881" spans="2:2" ht="12.75" customHeight="1" x14ac:dyDescent="0.2">
      <c r="B38881" s="43"/>
    </row>
    <row r="38882" spans="2:2" ht="12.75" customHeight="1" x14ac:dyDescent="0.2">
      <c r="B38882" s="43"/>
    </row>
    <row r="38883" spans="2:2" ht="12.75" customHeight="1" x14ac:dyDescent="0.2">
      <c r="B38883" s="43"/>
    </row>
    <row r="38884" spans="2:2" ht="12.75" customHeight="1" x14ac:dyDescent="0.2">
      <c r="B38884" s="43"/>
    </row>
    <row r="38885" spans="2:2" ht="12.75" customHeight="1" x14ac:dyDescent="0.2">
      <c r="B38885" s="43"/>
    </row>
    <row r="38886" spans="2:2" ht="12.75" customHeight="1" x14ac:dyDescent="0.2">
      <c r="B38886" s="43"/>
    </row>
    <row r="38887" spans="2:2" ht="12.75" customHeight="1" x14ac:dyDescent="0.2">
      <c r="B38887" s="43"/>
    </row>
    <row r="38888" spans="2:2" ht="12.75" customHeight="1" x14ac:dyDescent="0.2">
      <c r="B38888" s="43"/>
    </row>
    <row r="38889" spans="2:2" ht="12.75" customHeight="1" x14ac:dyDescent="0.2">
      <c r="B38889" s="43"/>
    </row>
    <row r="38890" spans="2:2" ht="12.75" customHeight="1" x14ac:dyDescent="0.2">
      <c r="B38890" s="43"/>
    </row>
    <row r="38891" spans="2:2" ht="12.75" customHeight="1" x14ac:dyDescent="0.2">
      <c r="B38891" s="43"/>
    </row>
    <row r="38892" spans="2:2" ht="12.75" customHeight="1" x14ac:dyDescent="0.2">
      <c r="B38892" s="43"/>
    </row>
    <row r="38893" spans="2:2" ht="12.75" customHeight="1" x14ac:dyDescent="0.2">
      <c r="B38893" s="43"/>
    </row>
    <row r="38894" spans="2:2" ht="12.75" customHeight="1" x14ac:dyDescent="0.2">
      <c r="B38894" s="43"/>
    </row>
    <row r="38895" spans="2:2" ht="12.75" customHeight="1" x14ac:dyDescent="0.2">
      <c r="B38895" s="43"/>
    </row>
    <row r="38896" spans="2:2" ht="12.75" customHeight="1" x14ac:dyDescent="0.2">
      <c r="B38896" s="43"/>
    </row>
    <row r="38897" spans="2:2" ht="12.75" customHeight="1" x14ac:dyDescent="0.2">
      <c r="B38897" s="43"/>
    </row>
    <row r="38898" spans="2:2" ht="12.75" customHeight="1" x14ac:dyDescent="0.2">
      <c r="B38898" s="43"/>
    </row>
    <row r="38899" spans="2:2" ht="12.75" customHeight="1" x14ac:dyDescent="0.2">
      <c r="B38899" s="43"/>
    </row>
    <row r="38900" spans="2:2" ht="12.75" customHeight="1" x14ac:dyDescent="0.2">
      <c r="B38900" s="43"/>
    </row>
    <row r="38901" spans="2:2" ht="12.75" customHeight="1" x14ac:dyDescent="0.2">
      <c r="B38901" s="43"/>
    </row>
    <row r="38902" spans="2:2" ht="12.75" customHeight="1" x14ac:dyDescent="0.2">
      <c r="B38902" s="43"/>
    </row>
    <row r="38903" spans="2:2" ht="12.75" customHeight="1" x14ac:dyDescent="0.2">
      <c r="B38903" s="43"/>
    </row>
    <row r="38904" spans="2:2" ht="12.75" customHeight="1" x14ac:dyDescent="0.2">
      <c r="B38904" s="43"/>
    </row>
    <row r="38905" spans="2:2" ht="12.75" customHeight="1" x14ac:dyDescent="0.2">
      <c r="B38905" s="43"/>
    </row>
    <row r="38906" spans="2:2" ht="12.75" customHeight="1" x14ac:dyDescent="0.2">
      <c r="B38906" s="43"/>
    </row>
    <row r="38907" spans="2:2" ht="12.75" customHeight="1" x14ac:dyDescent="0.2">
      <c r="B38907" s="43"/>
    </row>
    <row r="38908" spans="2:2" ht="12.75" customHeight="1" x14ac:dyDescent="0.2">
      <c r="B38908" s="43"/>
    </row>
    <row r="38909" spans="2:2" ht="12.75" customHeight="1" x14ac:dyDescent="0.2">
      <c r="B38909" s="43"/>
    </row>
    <row r="38910" spans="2:2" ht="12.75" customHeight="1" x14ac:dyDescent="0.2">
      <c r="B38910" s="43"/>
    </row>
    <row r="38911" spans="2:2" ht="12.75" customHeight="1" x14ac:dyDescent="0.2">
      <c r="B38911" s="43"/>
    </row>
    <row r="38912" spans="2:2" ht="12.75" customHeight="1" x14ac:dyDescent="0.2">
      <c r="B38912" s="43"/>
    </row>
    <row r="38913" spans="2:2" ht="12.75" customHeight="1" x14ac:dyDescent="0.2">
      <c r="B38913" s="43"/>
    </row>
    <row r="38914" spans="2:2" ht="12.75" customHeight="1" x14ac:dyDescent="0.2">
      <c r="B38914" s="43"/>
    </row>
    <row r="38915" spans="2:2" ht="12.75" customHeight="1" x14ac:dyDescent="0.2">
      <c r="B38915" s="43"/>
    </row>
    <row r="38916" spans="2:2" ht="12.75" customHeight="1" x14ac:dyDescent="0.2">
      <c r="B38916" s="43"/>
    </row>
    <row r="38917" spans="2:2" ht="12.75" customHeight="1" x14ac:dyDescent="0.2">
      <c r="B38917" s="43"/>
    </row>
    <row r="38918" spans="2:2" ht="12.75" customHeight="1" x14ac:dyDescent="0.2">
      <c r="B38918" s="43"/>
    </row>
    <row r="38919" spans="2:2" ht="12.75" customHeight="1" x14ac:dyDescent="0.2">
      <c r="B38919" s="43"/>
    </row>
    <row r="38920" spans="2:2" ht="12.75" customHeight="1" x14ac:dyDescent="0.2">
      <c r="B38920" s="43"/>
    </row>
    <row r="38921" spans="2:2" ht="12.75" customHeight="1" x14ac:dyDescent="0.2">
      <c r="B38921" s="43"/>
    </row>
    <row r="38922" spans="2:2" ht="12.75" customHeight="1" x14ac:dyDescent="0.2">
      <c r="B38922" s="43"/>
    </row>
    <row r="38923" spans="2:2" ht="12.75" customHeight="1" x14ac:dyDescent="0.2">
      <c r="B38923" s="43"/>
    </row>
    <row r="38924" spans="2:2" ht="12.75" customHeight="1" x14ac:dyDescent="0.2">
      <c r="B38924" s="43"/>
    </row>
    <row r="38925" spans="2:2" ht="12.75" customHeight="1" x14ac:dyDescent="0.2">
      <c r="B38925" s="43"/>
    </row>
    <row r="38926" spans="2:2" ht="12.75" customHeight="1" x14ac:dyDescent="0.2">
      <c r="B38926" s="43"/>
    </row>
    <row r="38927" spans="2:2" ht="12.75" customHeight="1" x14ac:dyDescent="0.2">
      <c r="B38927" s="43"/>
    </row>
    <row r="38928" spans="2:2" ht="12.75" customHeight="1" x14ac:dyDescent="0.2">
      <c r="B38928" s="43"/>
    </row>
    <row r="38929" spans="2:2" ht="12.75" customHeight="1" x14ac:dyDescent="0.2">
      <c r="B38929" s="43"/>
    </row>
    <row r="38930" spans="2:2" ht="12.75" customHeight="1" x14ac:dyDescent="0.2">
      <c r="B38930" s="43"/>
    </row>
    <row r="38931" spans="2:2" ht="12.75" customHeight="1" x14ac:dyDescent="0.2">
      <c r="B38931" s="43"/>
    </row>
    <row r="38932" spans="2:2" ht="12.75" customHeight="1" x14ac:dyDescent="0.2">
      <c r="B38932" s="43"/>
    </row>
    <row r="38933" spans="2:2" ht="12.75" customHeight="1" x14ac:dyDescent="0.2">
      <c r="B38933" s="43"/>
    </row>
    <row r="38934" spans="2:2" ht="12.75" customHeight="1" x14ac:dyDescent="0.2">
      <c r="B38934" s="43"/>
    </row>
    <row r="38935" spans="2:2" ht="12.75" customHeight="1" x14ac:dyDescent="0.2">
      <c r="B38935" s="43"/>
    </row>
    <row r="38936" spans="2:2" ht="12.75" customHeight="1" x14ac:dyDescent="0.2">
      <c r="B38936" s="43"/>
    </row>
    <row r="38937" spans="2:2" ht="12.75" customHeight="1" x14ac:dyDescent="0.2">
      <c r="B38937" s="43"/>
    </row>
    <row r="38938" spans="2:2" ht="12.75" customHeight="1" x14ac:dyDescent="0.2">
      <c r="B38938" s="43"/>
    </row>
    <row r="38939" spans="2:2" ht="12.75" customHeight="1" x14ac:dyDescent="0.2">
      <c r="B38939" s="43"/>
    </row>
    <row r="38940" spans="2:2" ht="12.75" customHeight="1" x14ac:dyDescent="0.2">
      <c r="B38940" s="43"/>
    </row>
    <row r="38941" spans="2:2" ht="12.75" customHeight="1" x14ac:dyDescent="0.2">
      <c r="B38941" s="43"/>
    </row>
    <row r="38942" spans="2:2" ht="12.75" customHeight="1" x14ac:dyDescent="0.2">
      <c r="B38942" s="43"/>
    </row>
    <row r="38943" spans="2:2" ht="12.75" customHeight="1" x14ac:dyDescent="0.2">
      <c r="B38943" s="43"/>
    </row>
    <row r="38944" spans="2:2" ht="12.75" customHeight="1" x14ac:dyDescent="0.2">
      <c r="B38944" s="43"/>
    </row>
    <row r="38945" spans="2:2" ht="12.75" customHeight="1" x14ac:dyDescent="0.2">
      <c r="B38945" s="43"/>
    </row>
    <row r="38946" spans="2:2" ht="12.75" customHeight="1" x14ac:dyDescent="0.2">
      <c r="B38946" s="43"/>
    </row>
    <row r="38947" spans="2:2" ht="12.75" customHeight="1" x14ac:dyDescent="0.2">
      <c r="B38947" s="43"/>
    </row>
    <row r="38948" spans="2:2" ht="12.75" customHeight="1" x14ac:dyDescent="0.2">
      <c r="B38948" s="43"/>
    </row>
    <row r="38949" spans="2:2" ht="12.75" customHeight="1" x14ac:dyDescent="0.2">
      <c r="B38949" s="43"/>
    </row>
    <row r="38950" spans="2:2" ht="12.75" customHeight="1" x14ac:dyDescent="0.2">
      <c r="B38950" s="43"/>
    </row>
    <row r="38951" spans="2:2" ht="12.75" customHeight="1" x14ac:dyDescent="0.2">
      <c r="B38951" s="43"/>
    </row>
    <row r="38952" spans="2:2" ht="12.75" customHeight="1" x14ac:dyDescent="0.2">
      <c r="B38952" s="43"/>
    </row>
    <row r="38953" spans="2:2" ht="12.75" customHeight="1" x14ac:dyDescent="0.2">
      <c r="B38953" s="43"/>
    </row>
    <row r="38954" spans="2:2" ht="12.75" customHeight="1" x14ac:dyDescent="0.2">
      <c r="B38954" s="43"/>
    </row>
    <row r="38955" spans="2:2" ht="12.75" customHeight="1" x14ac:dyDescent="0.2">
      <c r="B38955" s="43"/>
    </row>
    <row r="38956" spans="2:2" ht="12.75" customHeight="1" x14ac:dyDescent="0.2">
      <c r="B38956" s="43"/>
    </row>
    <row r="38957" spans="2:2" ht="12.75" customHeight="1" x14ac:dyDescent="0.2">
      <c r="B38957" s="43"/>
    </row>
    <row r="38958" spans="2:2" ht="12.75" customHeight="1" x14ac:dyDescent="0.2">
      <c r="B38958" s="43"/>
    </row>
    <row r="38959" spans="2:2" ht="12.75" customHeight="1" x14ac:dyDescent="0.2">
      <c r="B38959" s="43"/>
    </row>
    <row r="38960" spans="2:2" ht="12.75" customHeight="1" x14ac:dyDescent="0.2">
      <c r="B38960" s="43"/>
    </row>
    <row r="38961" spans="2:2" ht="12.75" customHeight="1" x14ac:dyDescent="0.2">
      <c r="B38961" s="43"/>
    </row>
    <row r="38962" spans="2:2" ht="12.75" customHeight="1" x14ac:dyDescent="0.2">
      <c r="B38962" s="43"/>
    </row>
    <row r="38963" spans="2:2" ht="12.75" customHeight="1" x14ac:dyDescent="0.2">
      <c r="B38963" s="43"/>
    </row>
    <row r="38964" spans="2:2" ht="12.75" customHeight="1" x14ac:dyDescent="0.2">
      <c r="B38964" s="43"/>
    </row>
    <row r="38965" spans="2:2" ht="12.75" customHeight="1" x14ac:dyDescent="0.2">
      <c r="B38965" s="43"/>
    </row>
    <row r="38966" spans="2:2" ht="12.75" customHeight="1" x14ac:dyDescent="0.2">
      <c r="B38966" s="43"/>
    </row>
    <row r="38967" spans="2:2" ht="12.75" customHeight="1" x14ac:dyDescent="0.2">
      <c r="B38967" s="43"/>
    </row>
    <row r="38968" spans="2:2" ht="12.75" customHeight="1" x14ac:dyDescent="0.2">
      <c r="B38968" s="43"/>
    </row>
    <row r="38969" spans="2:2" ht="12.75" customHeight="1" x14ac:dyDescent="0.2">
      <c r="B38969" s="43"/>
    </row>
    <row r="38970" spans="2:2" ht="12.75" customHeight="1" x14ac:dyDescent="0.2">
      <c r="B38970" s="43"/>
    </row>
    <row r="38971" spans="2:2" ht="12.75" customHeight="1" x14ac:dyDescent="0.2">
      <c r="B38971" s="43"/>
    </row>
    <row r="38972" spans="2:2" ht="12.75" customHeight="1" x14ac:dyDescent="0.2">
      <c r="B38972" s="43"/>
    </row>
    <row r="38973" spans="2:2" ht="12.75" customHeight="1" x14ac:dyDescent="0.2">
      <c r="B38973" s="43"/>
    </row>
    <row r="38974" spans="2:2" ht="12.75" customHeight="1" x14ac:dyDescent="0.2">
      <c r="B38974" s="43"/>
    </row>
    <row r="38975" spans="2:2" ht="12.75" customHeight="1" x14ac:dyDescent="0.2">
      <c r="B38975" s="43"/>
    </row>
    <row r="38976" spans="2:2" ht="12.75" customHeight="1" x14ac:dyDescent="0.2">
      <c r="B38976" s="43"/>
    </row>
    <row r="38977" spans="2:2" ht="12.75" customHeight="1" x14ac:dyDescent="0.2">
      <c r="B38977" s="43"/>
    </row>
    <row r="38978" spans="2:2" ht="12.75" customHeight="1" x14ac:dyDescent="0.2">
      <c r="B38978" s="43"/>
    </row>
    <row r="38979" spans="2:2" ht="12.75" customHeight="1" x14ac:dyDescent="0.2">
      <c r="B38979" s="43"/>
    </row>
    <row r="38980" spans="2:2" ht="12.75" customHeight="1" x14ac:dyDescent="0.2">
      <c r="B38980" s="43"/>
    </row>
    <row r="38981" spans="2:2" ht="12.75" customHeight="1" x14ac:dyDescent="0.2">
      <c r="B38981" s="43"/>
    </row>
    <row r="38982" spans="2:2" ht="12.75" customHeight="1" x14ac:dyDescent="0.2">
      <c r="B38982" s="43"/>
    </row>
    <row r="38983" spans="2:2" ht="12.75" customHeight="1" x14ac:dyDescent="0.2">
      <c r="B38983" s="43"/>
    </row>
    <row r="38984" spans="2:2" ht="12.75" customHeight="1" x14ac:dyDescent="0.2">
      <c r="B38984" s="43"/>
    </row>
    <row r="38985" spans="2:2" ht="12.75" customHeight="1" x14ac:dyDescent="0.2">
      <c r="B38985" s="43"/>
    </row>
    <row r="38986" spans="2:2" ht="12.75" customHeight="1" x14ac:dyDescent="0.2">
      <c r="B38986" s="43"/>
    </row>
    <row r="38987" spans="2:2" ht="12.75" customHeight="1" x14ac:dyDescent="0.2">
      <c r="B38987" s="43"/>
    </row>
    <row r="38988" spans="2:2" ht="12.75" customHeight="1" x14ac:dyDescent="0.2">
      <c r="B38988" s="43"/>
    </row>
    <row r="38989" spans="2:2" ht="12.75" customHeight="1" x14ac:dyDescent="0.2">
      <c r="B38989" s="43"/>
    </row>
    <row r="38990" spans="2:2" ht="12.75" customHeight="1" x14ac:dyDescent="0.2">
      <c r="B38990" s="43"/>
    </row>
    <row r="38991" spans="2:2" ht="12.75" customHeight="1" x14ac:dyDescent="0.2">
      <c r="B38991" s="43"/>
    </row>
    <row r="38992" spans="2:2" ht="12.75" customHeight="1" x14ac:dyDescent="0.2">
      <c r="B38992" s="43"/>
    </row>
    <row r="38993" spans="2:2" ht="12.75" customHeight="1" x14ac:dyDescent="0.2">
      <c r="B38993" s="43"/>
    </row>
    <row r="38994" spans="2:2" ht="12.75" customHeight="1" x14ac:dyDescent="0.2">
      <c r="B38994" s="43"/>
    </row>
    <row r="38995" spans="2:2" ht="12.75" customHeight="1" x14ac:dyDescent="0.2">
      <c r="B38995" s="43"/>
    </row>
    <row r="38996" spans="2:2" ht="12.75" customHeight="1" x14ac:dyDescent="0.2">
      <c r="B38996" s="43"/>
    </row>
    <row r="38997" spans="2:2" ht="12.75" customHeight="1" x14ac:dyDescent="0.2">
      <c r="B38997" s="43"/>
    </row>
    <row r="38998" spans="2:2" ht="12.75" customHeight="1" x14ac:dyDescent="0.2">
      <c r="B38998" s="43"/>
    </row>
    <row r="38999" spans="2:2" ht="12.75" customHeight="1" x14ac:dyDescent="0.2">
      <c r="B38999" s="43"/>
    </row>
    <row r="39000" spans="2:2" ht="12.75" customHeight="1" x14ac:dyDescent="0.2">
      <c r="B39000" s="43"/>
    </row>
    <row r="39001" spans="2:2" ht="12.75" customHeight="1" x14ac:dyDescent="0.2">
      <c r="B39001" s="43"/>
    </row>
    <row r="39002" spans="2:2" ht="12.75" customHeight="1" x14ac:dyDescent="0.2">
      <c r="B39002" s="43"/>
    </row>
    <row r="39003" spans="2:2" ht="12.75" customHeight="1" x14ac:dyDescent="0.2">
      <c r="B39003" s="43"/>
    </row>
    <row r="39004" spans="2:2" ht="12.75" customHeight="1" x14ac:dyDescent="0.2">
      <c r="B39004" s="43"/>
    </row>
    <row r="39005" spans="2:2" ht="12.75" customHeight="1" x14ac:dyDescent="0.2">
      <c r="B39005" s="43"/>
    </row>
    <row r="39006" spans="2:2" ht="12.75" customHeight="1" x14ac:dyDescent="0.2">
      <c r="B39006" s="43"/>
    </row>
    <row r="39007" spans="2:2" ht="12.75" customHeight="1" x14ac:dyDescent="0.2">
      <c r="B39007" s="43"/>
    </row>
    <row r="39008" spans="2:2" ht="12.75" customHeight="1" x14ac:dyDescent="0.2">
      <c r="B39008" s="43"/>
    </row>
    <row r="39009" spans="2:2" ht="12.75" customHeight="1" x14ac:dyDescent="0.2">
      <c r="B39009" s="43"/>
    </row>
    <row r="39010" spans="2:2" ht="12.75" customHeight="1" x14ac:dyDescent="0.2">
      <c r="B39010" s="43"/>
    </row>
    <row r="39011" spans="2:2" ht="12.75" customHeight="1" x14ac:dyDescent="0.2">
      <c r="B39011" s="43"/>
    </row>
    <row r="39012" spans="2:2" ht="12.75" customHeight="1" x14ac:dyDescent="0.2">
      <c r="B39012" s="43"/>
    </row>
    <row r="39013" spans="2:2" ht="12.75" customHeight="1" x14ac:dyDescent="0.2">
      <c r="B39013" s="43"/>
    </row>
    <row r="39014" spans="2:2" ht="12.75" customHeight="1" x14ac:dyDescent="0.2">
      <c r="B39014" s="43"/>
    </row>
    <row r="39015" spans="2:2" ht="12.75" customHeight="1" x14ac:dyDescent="0.2">
      <c r="B39015" s="43"/>
    </row>
    <row r="39016" spans="2:2" ht="12.75" customHeight="1" x14ac:dyDescent="0.2">
      <c r="B39016" s="43"/>
    </row>
    <row r="39017" spans="2:2" ht="12.75" customHeight="1" x14ac:dyDescent="0.2">
      <c r="B39017" s="43"/>
    </row>
    <row r="39018" spans="2:2" ht="12.75" customHeight="1" x14ac:dyDescent="0.2">
      <c r="B39018" s="43"/>
    </row>
    <row r="39019" spans="2:2" ht="12.75" customHeight="1" x14ac:dyDescent="0.2">
      <c r="B39019" s="43"/>
    </row>
    <row r="39020" spans="2:2" ht="12.75" customHeight="1" x14ac:dyDescent="0.2">
      <c r="B39020" s="43"/>
    </row>
    <row r="39021" spans="2:2" ht="12.75" customHeight="1" x14ac:dyDescent="0.2">
      <c r="B39021" s="43"/>
    </row>
    <row r="39022" spans="2:2" ht="12.75" customHeight="1" x14ac:dyDescent="0.2">
      <c r="B39022" s="43"/>
    </row>
    <row r="39023" spans="2:2" ht="12.75" customHeight="1" x14ac:dyDescent="0.2">
      <c r="B39023" s="43"/>
    </row>
    <row r="39024" spans="2:2" ht="12.75" customHeight="1" x14ac:dyDescent="0.2">
      <c r="B39024" s="43"/>
    </row>
    <row r="39025" spans="2:2" ht="12.75" customHeight="1" x14ac:dyDescent="0.2">
      <c r="B39025" s="43"/>
    </row>
    <row r="39026" spans="2:2" ht="12.75" customHeight="1" x14ac:dyDescent="0.2">
      <c r="B39026" s="43"/>
    </row>
    <row r="39027" spans="2:2" ht="12.75" customHeight="1" x14ac:dyDescent="0.2">
      <c r="B39027" s="43"/>
    </row>
    <row r="39028" spans="2:2" ht="12.75" customHeight="1" x14ac:dyDescent="0.2">
      <c r="B39028" s="43"/>
    </row>
    <row r="39029" spans="2:2" ht="12.75" customHeight="1" x14ac:dyDescent="0.2">
      <c r="B39029" s="43"/>
    </row>
    <row r="39030" spans="2:2" ht="12.75" customHeight="1" x14ac:dyDescent="0.2">
      <c r="B39030" s="43"/>
    </row>
    <row r="39031" spans="2:2" ht="12.75" customHeight="1" x14ac:dyDescent="0.2">
      <c r="B39031" s="43"/>
    </row>
    <row r="39032" spans="2:2" ht="12.75" customHeight="1" x14ac:dyDescent="0.2">
      <c r="B39032" s="43"/>
    </row>
    <row r="39033" spans="2:2" ht="12.75" customHeight="1" x14ac:dyDescent="0.2">
      <c r="B39033" s="43"/>
    </row>
    <row r="39034" spans="2:2" ht="12.75" customHeight="1" x14ac:dyDescent="0.2">
      <c r="B39034" s="43"/>
    </row>
    <row r="39035" spans="2:2" ht="12.75" customHeight="1" x14ac:dyDescent="0.2">
      <c r="B39035" s="43"/>
    </row>
    <row r="39036" spans="2:2" ht="12.75" customHeight="1" x14ac:dyDescent="0.2">
      <c r="B39036" s="43"/>
    </row>
    <row r="39037" spans="2:2" ht="12.75" customHeight="1" x14ac:dyDescent="0.2">
      <c r="B39037" s="43"/>
    </row>
    <row r="39038" spans="2:2" ht="12.75" customHeight="1" x14ac:dyDescent="0.2">
      <c r="B39038" s="43"/>
    </row>
    <row r="39039" spans="2:2" ht="12.75" customHeight="1" x14ac:dyDescent="0.2">
      <c r="B39039" s="43"/>
    </row>
    <row r="39040" spans="2:2" ht="12.75" customHeight="1" x14ac:dyDescent="0.2">
      <c r="B39040" s="43"/>
    </row>
    <row r="39041" spans="2:2" ht="12.75" customHeight="1" x14ac:dyDescent="0.2">
      <c r="B39041" s="43"/>
    </row>
    <row r="39042" spans="2:2" ht="12.75" customHeight="1" x14ac:dyDescent="0.2">
      <c r="B39042" s="43"/>
    </row>
    <row r="39043" spans="2:2" ht="12.75" customHeight="1" x14ac:dyDescent="0.2">
      <c r="B39043" s="43"/>
    </row>
    <row r="39044" spans="2:2" ht="12.75" customHeight="1" x14ac:dyDescent="0.2">
      <c r="B39044" s="43"/>
    </row>
    <row r="39045" spans="2:2" ht="12.75" customHeight="1" x14ac:dyDescent="0.2">
      <c r="B39045" s="43"/>
    </row>
    <row r="39046" spans="2:2" ht="12.75" customHeight="1" x14ac:dyDescent="0.2">
      <c r="B39046" s="43"/>
    </row>
    <row r="39047" spans="2:2" ht="12.75" customHeight="1" x14ac:dyDescent="0.2">
      <c r="B39047" s="43"/>
    </row>
    <row r="39048" spans="2:2" ht="12.75" customHeight="1" x14ac:dyDescent="0.2">
      <c r="B39048" s="43"/>
    </row>
    <row r="39049" spans="2:2" ht="12.75" customHeight="1" x14ac:dyDescent="0.2">
      <c r="B39049" s="43"/>
    </row>
    <row r="39050" spans="2:2" ht="12.75" customHeight="1" x14ac:dyDescent="0.2">
      <c r="B39050" s="43"/>
    </row>
    <row r="39051" spans="2:2" ht="12.75" customHeight="1" x14ac:dyDescent="0.2">
      <c r="B39051" s="43"/>
    </row>
    <row r="39052" spans="2:2" ht="12.75" customHeight="1" x14ac:dyDescent="0.2">
      <c r="B39052" s="43"/>
    </row>
    <row r="39053" spans="2:2" ht="12.75" customHeight="1" x14ac:dyDescent="0.2">
      <c r="B39053" s="43"/>
    </row>
    <row r="39054" spans="2:2" ht="12.75" customHeight="1" x14ac:dyDescent="0.2">
      <c r="B39054" s="43"/>
    </row>
    <row r="39055" spans="2:2" ht="12.75" customHeight="1" x14ac:dyDescent="0.2">
      <c r="B39055" s="43"/>
    </row>
    <row r="39056" spans="2:2" ht="12.75" customHeight="1" x14ac:dyDescent="0.2">
      <c r="B39056" s="43"/>
    </row>
    <row r="39057" spans="2:2" ht="12.75" customHeight="1" x14ac:dyDescent="0.2">
      <c r="B39057" s="43"/>
    </row>
    <row r="39058" spans="2:2" ht="12.75" customHeight="1" x14ac:dyDescent="0.2">
      <c r="B39058" s="43"/>
    </row>
    <row r="39059" spans="2:2" ht="12.75" customHeight="1" x14ac:dyDescent="0.2">
      <c r="B39059" s="43"/>
    </row>
    <row r="39060" spans="2:2" ht="12.75" customHeight="1" x14ac:dyDescent="0.2">
      <c r="B39060" s="43"/>
    </row>
    <row r="39061" spans="2:2" ht="12.75" customHeight="1" x14ac:dyDescent="0.2">
      <c r="B39061" s="43"/>
    </row>
    <row r="39062" spans="2:2" ht="12.75" customHeight="1" x14ac:dyDescent="0.2">
      <c r="B39062" s="43"/>
    </row>
    <row r="39063" spans="2:2" ht="12.75" customHeight="1" x14ac:dyDescent="0.2">
      <c r="B39063" s="43"/>
    </row>
    <row r="39064" spans="2:2" ht="12.75" customHeight="1" x14ac:dyDescent="0.2">
      <c r="B39064" s="43"/>
    </row>
    <row r="39065" spans="2:2" ht="12.75" customHeight="1" x14ac:dyDescent="0.2">
      <c r="B39065" s="43"/>
    </row>
    <row r="39066" spans="2:2" ht="12.75" customHeight="1" x14ac:dyDescent="0.2">
      <c r="B39066" s="43"/>
    </row>
    <row r="39067" spans="2:2" ht="12.75" customHeight="1" x14ac:dyDescent="0.2">
      <c r="B39067" s="43"/>
    </row>
    <row r="39068" spans="2:2" ht="12.75" customHeight="1" x14ac:dyDescent="0.2">
      <c r="B39068" s="43"/>
    </row>
    <row r="39069" spans="2:2" ht="12.75" customHeight="1" x14ac:dyDescent="0.2">
      <c r="B39069" s="43"/>
    </row>
    <row r="39070" spans="2:2" ht="12.75" customHeight="1" x14ac:dyDescent="0.2">
      <c r="B39070" s="43"/>
    </row>
    <row r="39071" spans="2:2" ht="12.75" customHeight="1" x14ac:dyDescent="0.2">
      <c r="B39071" s="43"/>
    </row>
    <row r="39072" spans="2:2" ht="12.75" customHeight="1" x14ac:dyDescent="0.2">
      <c r="B39072" s="43"/>
    </row>
    <row r="39073" spans="2:2" ht="12.75" customHeight="1" x14ac:dyDescent="0.2">
      <c r="B39073" s="43"/>
    </row>
    <row r="39074" spans="2:2" ht="12.75" customHeight="1" x14ac:dyDescent="0.2">
      <c r="B39074" s="43"/>
    </row>
    <row r="39075" spans="2:2" ht="12.75" customHeight="1" x14ac:dyDescent="0.2">
      <c r="B39075" s="43"/>
    </row>
    <row r="39076" spans="2:2" ht="12.75" customHeight="1" x14ac:dyDescent="0.2">
      <c r="B39076" s="43"/>
    </row>
    <row r="39077" spans="2:2" ht="12.75" customHeight="1" x14ac:dyDescent="0.2">
      <c r="B39077" s="43"/>
    </row>
    <row r="39078" spans="2:2" ht="12.75" customHeight="1" x14ac:dyDescent="0.2">
      <c r="B39078" s="43"/>
    </row>
    <row r="39079" spans="2:2" ht="12.75" customHeight="1" x14ac:dyDescent="0.2">
      <c r="B39079" s="43"/>
    </row>
    <row r="39080" spans="2:2" ht="12.75" customHeight="1" x14ac:dyDescent="0.2">
      <c r="B39080" s="43"/>
    </row>
    <row r="39081" spans="2:2" ht="12.75" customHeight="1" x14ac:dyDescent="0.2">
      <c r="B39081" s="43"/>
    </row>
    <row r="39082" spans="2:2" ht="12.75" customHeight="1" x14ac:dyDescent="0.2">
      <c r="B39082" s="43"/>
    </row>
    <row r="39083" spans="2:2" ht="12.75" customHeight="1" x14ac:dyDescent="0.2">
      <c r="B39083" s="43"/>
    </row>
    <row r="39084" spans="2:2" ht="12.75" customHeight="1" x14ac:dyDescent="0.2">
      <c r="B39084" s="43"/>
    </row>
    <row r="39085" spans="2:2" ht="12.75" customHeight="1" x14ac:dyDescent="0.2">
      <c r="B39085" s="43"/>
    </row>
    <row r="39086" spans="2:2" ht="12.75" customHeight="1" x14ac:dyDescent="0.2">
      <c r="B39086" s="43"/>
    </row>
    <row r="39087" spans="2:2" ht="12.75" customHeight="1" x14ac:dyDescent="0.2">
      <c r="B39087" s="43"/>
    </row>
    <row r="39088" spans="2:2" ht="12.75" customHeight="1" x14ac:dyDescent="0.2">
      <c r="B39088" s="43"/>
    </row>
    <row r="39089" spans="2:2" ht="12.75" customHeight="1" x14ac:dyDescent="0.2">
      <c r="B39089" s="43"/>
    </row>
    <row r="39090" spans="2:2" ht="12.75" customHeight="1" x14ac:dyDescent="0.2">
      <c r="B39090" s="43"/>
    </row>
    <row r="39091" spans="2:2" ht="12.75" customHeight="1" x14ac:dyDescent="0.2">
      <c r="B39091" s="43"/>
    </row>
    <row r="39092" spans="2:2" ht="12.75" customHeight="1" x14ac:dyDescent="0.2">
      <c r="B39092" s="43"/>
    </row>
    <row r="39093" spans="2:2" ht="12.75" customHeight="1" x14ac:dyDescent="0.2">
      <c r="B39093" s="43"/>
    </row>
    <row r="39094" spans="2:2" ht="12.75" customHeight="1" x14ac:dyDescent="0.2">
      <c r="B39094" s="43"/>
    </row>
    <row r="39095" spans="2:2" ht="12.75" customHeight="1" x14ac:dyDescent="0.2">
      <c r="B39095" s="43"/>
    </row>
    <row r="39096" spans="2:2" ht="12.75" customHeight="1" x14ac:dyDescent="0.2">
      <c r="B39096" s="43"/>
    </row>
    <row r="39097" spans="2:2" ht="12.75" customHeight="1" x14ac:dyDescent="0.2">
      <c r="B39097" s="43"/>
    </row>
    <row r="39098" spans="2:2" ht="12.75" customHeight="1" x14ac:dyDescent="0.2">
      <c r="B39098" s="43"/>
    </row>
    <row r="39099" spans="2:2" ht="12.75" customHeight="1" x14ac:dyDescent="0.2">
      <c r="B39099" s="43"/>
    </row>
    <row r="39100" spans="2:2" ht="12.75" customHeight="1" x14ac:dyDescent="0.2">
      <c r="B39100" s="43"/>
    </row>
    <row r="39101" spans="2:2" ht="12.75" customHeight="1" x14ac:dyDescent="0.2">
      <c r="B39101" s="43"/>
    </row>
    <row r="39102" spans="2:2" ht="12.75" customHeight="1" x14ac:dyDescent="0.2">
      <c r="B39102" s="43"/>
    </row>
    <row r="39103" spans="2:2" ht="12.75" customHeight="1" x14ac:dyDescent="0.2">
      <c r="B39103" s="43"/>
    </row>
    <row r="39104" spans="2:2" ht="12.75" customHeight="1" x14ac:dyDescent="0.2">
      <c r="B39104" s="43"/>
    </row>
    <row r="39105" spans="2:2" ht="12.75" customHeight="1" x14ac:dyDescent="0.2">
      <c r="B39105" s="43"/>
    </row>
    <row r="39106" spans="2:2" ht="12.75" customHeight="1" x14ac:dyDescent="0.2">
      <c r="B39106" s="43"/>
    </row>
    <row r="39107" spans="2:2" ht="12.75" customHeight="1" x14ac:dyDescent="0.2">
      <c r="B39107" s="43"/>
    </row>
    <row r="39108" spans="2:2" ht="12.75" customHeight="1" x14ac:dyDescent="0.2">
      <c r="B39108" s="43"/>
    </row>
    <row r="39109" spans="2:2" ht="12.75" customHeight="1" x14ac:dyDescent="0.2">
      <c r="B39109" s="43"/>
    </row>
    <row r="39110" spans="2:2" ht="12.75" customHeight="1" x14ac:dyDescent="0.2">
      <c r="B39110" s="43"/>
    </row>
    <row r="39111" spans="2:2" ht="12.75" customHeight="1" x14ac:dyDescent="0.2">
      <c r="B39111" s="43"/>
    </row>
    <row r="39112" spans="2:2" ht="12.75" customHeight="1" x14ac:dyDescent="0.2">
      <c r="B39112" s="43"/>
    </row>
    <row r="39113" spans="2:2" ht="12.75" customHeight="1" x14ac:dyDescent="0.2">
      <c r="B39113" s="43"/>
    </row>
    <row r="39114" spans="2:2" ht="12.75" customHeight="1" x14ac:dyDescent="0.2">
      <c r="B39114" s="43"/>
    </row>
    <row r="39115" spans="2:2" ht="12.75" customHeight="1" x14ac:dyDescent="0.2">
      <c r="B39115" s="43"/>
    </row>
    <row r="39116" spans="2:2" ht="12.75" customHeight="1" x14ac:dyDescent="0.2">
      <c r="B39116" s="43"/>
    </row>
    <row r="39117" spans="2:2" ht="12.75" customHeight="1" x14ac:dyDescent="0.2">
      <c r="B39117" s="43"/>
    </row>
    <row r="39118" spans="2:2" ht="12.75" customHeight="1" x14ac:dyDescent="0.2">
      <c r="B39118" s="43"/>
    </row>
    <row r="39119" spans="2:2" ht="12.75" customHeight="1" x14ac:dyDescent="0.2">
      <c r="B39119" s="43"/>
    </row>
    <row r="39120" spans="2:2" ht="12.75" customHeight="1" x14ac:dyDescent="0.2">
      <c r="B39120" s="43"/>
    </row>
    <row r="39121" spans="2:2" ht="12.75" customHeight="1" x14ac:dyDescent="0.2">
      <c r="B39121" s="43"/>
    </row>
    <row r="39122" spans="2:2" ht="12.75" customHeight="1" x14ac:dyDescent="0.2">
      <c r="B39122" s="43"/>
    </row>
    <row r="39123" spans="2:2" ht="12.75" customHeight="1" x14ac:dyDescent="0.2">
      <c r="B39123" s="43"/>
    </row>
    <row r="39124" spans="2:2" ht="12.75" customHeight="1" x14ac:dyDescent="0.2">
      <c r="B39124" s="43"/>
    </row>
    <row r="39125" spans="2:2" ht="12.75" customHeight="1" x14ac:dyDescent="0.2">
      <c r="B39125" s="43"/>
    </row>
    <row r="39126" spans="2:2" ht="12.75" customHeight="1" x14ac:dyDescent="0.2">
      <c r="B39126" s="43"/>
    </row>
    <row r="39127" spans="2:2" ht="12.75" customHeight="1" x14ac:dyDescent="0.2">
      <c r="B39127" s="43"/>
    </row>
    <row r="39128" spans="2:2" ht="12.75" customHeight="1" x14ac:dyDescent="0.2">
      <c r="B39128" s="43"/>
    </row>
    <row r="39129" spans="2:2" ht="12.75" customHeight="1" x14ac:dyDescent="0.2">
      <c r="B39129" s="43"/>
    </row>
    <row r="39130" spans="2:2" ht="12.75" customHeight="1" x14ac:dyDescent="0.2">
      <c r="B39130" s="43"/>
    </row>
    <row r="39131" spans="2:2" ht="12.75" customHeight="1" x14ac:dyDescent="0.2">
      <c r="B39131" s="43"/>
    </row>
    <row r="39132" spans="2:2" ht="12.75" customHeight="1" x14ac:dyDescent="0.2">
      <c r="B39132" s="43"/>
    </row>
    <row r="39133" spans="2:2" ht="12.75" customHeight="1" x14ac:dyDescent="0.2">
      <c r="B39133" s="43"/>
    </row>
    <row r="39134" spans="2:2" ht="12.75" customHeight="1" x14ac:dyDescent="0.2">
      <c r="B39134" s="43"/>
    </row>
    <row r="39135" spans="2:2" ht="12.75" customHeight="1" x14ac:dyDescent="0.2">
      <c r="B39135" s="43"/>
    </row>
    <row r="39136" spans="2:2" ht="12.75" customHeight="1" x14ac:dyDescent="0.2">
      <c r="B39136" s="43"/>
    </row>
    <row r="39137" spans="2:2" ht="12.75" customHeight="1" x14ac:dyDescent="0.2">
      <c r="B39137" s="43"/>
    </row>
    <row r="39138" spans="2:2" ht="12.75" customHeight="1" x14ac:dyDescent="0.2">
      <c r="B39138" s="43"/>
    </row>
    <row r="39139" spans="2:2" ht="12.75" customHeight="1" x14ac:dyDescent="0.2">
      <c r="B39139" s="43"/>
    </row>
    <row r="39140" spans="2:2" ht="12.75" customHeight="1" x14ac:dyDescent="0.2">
      <c r="B39140" s="43"/>
    </row>
    <row r="39141" spans="2:2" ht="12.75" customHeight="1" x14ac:dyDescent="0.2">
      <c r="B39141" s="43"/>
    </row>
    <row r="39142" spans="2:2" ht="12.75" customHeight="1" x14ac:dyDescent="0.2">
      <c r="B39142" s="43"/>
    </row>
    <row r="39143" spans="2:2" ht="12.75" customHeight="1" x14ac:dyDescent="0.2">
      <c r="B39143" s="43"/>
    </row>
    <row r="39144" spans="2:2" ht="12.75" customHeight="1" x14ac:dyDescent="0.2">
      <c r="B39144" s="43"/>
    </row>
    <row r="39145" spans="2:2" ht="12.75" customHeight="1" x14ac:dyDescent="0.2">
      <c r="B39145" s="43"/>
    </row>
    <row r="39146" spans="2:2" ht="12.75" customHeight="1" x14ac:dyDescent="0.2">
      <c r="B39146" s="43"/>
    </row>
    <row r="39147" spans="2:2" ht="12.75" customHeight="1" x14ac:dyDescent="0.2">
      <c r="B39147" s="43"/>
    </row>
    <row r="39148" spans="2:2" ht="12.75" customHeight="1" x14ac:dyDescent="0.2">
      <c r="B39148" s="43"/>
    </row>
    <row r="39149" spans="2:2" ht="12.75" customHeight="1" x14ac:dyDescent="0.2">
      <c r="B39149" s="43"/>
    </row>
    <row r="39150" spans="2:2" ht="12.75" customHeight="1" x14ac:dyDescent="0.2">
      <c r="B39150" s="43"/>
    </row>
    <row r="39151" spans="2:2" ht="12.75" customHeight="1" x14ac:dyDescent="0.2">
      <c r="B39151" s="43"/>
    </row>
    <row r="39152" spans="2:2" ht="12.75" customHeight="1" x14ac:dyDescent="0.2">
      <c r="B39152" s="43"/>
    </row>
    <row r="39153" spans="2:2" ht="12.75" customHeight="1" x14ac:dyDescent="0.2">
      <c r="B39153" s="43"/>
    </row>
    <row r="39154" spans="2:2" ht="12.75" customHeight="1" x14ac:dyDescent="0.2">
      <c r="B39154" s="43"/>
    </row>
    <row r="39155" spans="2:2" ht="12.75" customHeight="1" x14ac:dyDescent="0.2">
      <c r="B39155" s="43"/>
    </row>
    <row r="39156" spans="2:2" ht="12.75" customHeight="1" x14ac:dyDescent="0.2">
      <c r="B39156" s="43"/>
    </row>
    <row r="39157" spans="2:2" ht="12.75" customHeight="1" x14ac:dyDescent="0.2">
      <c r="B39157" s="43"/>
    </row>
    <row r="39158" spans="2:2" ht="12.75" customHeight="1" x14ac:dyDescent="0.2">
      <c r="B39158" s="43"/>
    </row>
    <row r="39159" spans="2:2" ht="12.75" customHeight="1" x14ac:dyDescent="0.2">
      <c r="B39159" s="43"/>
    </row>
    <row r="39160" spans="2:2" ht="12.75" customHeight="1" x14ac:dyDescent="0.2">
      <c r="B39160" s="43"/>
    </row>
    <row r="39161" spans="2:2" ht="12.75" customHeight="1" x14ac:dyDescent="0.2">
      <c r="B39161" s="43"/>
    </row>
    <row r="39162" spans="2:2" ht="12.75" customHeight="1" x14ac:dyDescent="0.2">
      <c r="B39162" s="43"/>
    </row>
    <row r="39163" spans="2:2" ht="12.75" customHeight="1" x14ac:dyDescent="0.2">
      <c r="B39163" s="43"/>
    </row>
    <row r="39164" spans="2:2" ht="12.75" customHeight="1" x14ac:dyDescent="0.2">
      <c r="B39164" s="43"/>
    </row>
    <row r="39165" spans="2:2" ht="12.75" customHeight="1" x14ac:dyDescent="0.2">
      <c r="B39165" s="43"/>
    </row>
    <row r="39166" spans="2:2" ht="12.75" customHeight="1" x14ac:dyDescent="0.2">
      <c r="B39166" s="43"/>
    </row>
    <row r="39167" spans="2:2" ht="12.75" customHeight="1" x14ac:dyDescent="0.2">
      <c r="B39167" s="43"/>
    </row>
    <row r="39168" spans="2:2" ht="12.75" customHeight="1" x14ac:dyDescent="0.2">
      <c r="B39168" s="43"/>
    </row>
    <row r="39169" spans="2:2" ht="12.75" customHeight="1" x14ac:dyDescent="0.2">
      <c r="B39169" s="43"/>
    </row>
    <row r="39170" spans="2:2" ht="12.75" customHeight="1" x14ac:dyDescent="0.2">
      <c r="B39170" s="43"/>
    </row>
    <row r="39171" spans="2:2" ht="12.75" customHeight="1" x14ac:dyDescent="0.2">
      <c r="B39171" s="43"/>
    </row>
    <row r="39172" spans="2:2" ht="12.75" customHeight="1" x14ac:dyDescent="0.2">
      <c r="B39172" s="43"/>
    </row>
    <row r="39173" spans="2:2" ht="12.75" customHeight="1" x14ac:dyDescent="0.2">
      <c r="B39173" s="43"/>
    </row>
    <row r="39174" spans="2:2" ht="12.75" customHeight="1" x14ac:dyDescent="0.2">
      <c r="B39174" s="43"/>
    </row>
    <row r="39175" spans="2:2" ht="12.75" customHeight="1" x14ac:dyDescent="0.2">
      <c r="B39175" s="43"/>
    </row>
    <row r="39176" spans="2:2" ht="12.75" customHeight="1" x14ac:dyDescent="0.2">
      <c r="B39176" s="43"/>
    </row>
    <row r="39177" spans="2:2" ht="12.75" customHeight="1" x14ac:dyDescent="0.2">
      <c r="B39177" s="43"/>
    </row>
    <row r="39178" spans="2:2" ht="12.75" customHeight="1" x14ac:dyDescent="0.2">
      <c r="B39178" s="43"/>
    </row>
    <row r="39179" spans="2:2" ht="12.75" customHeight="1" x14ac:dyDescent="0.2">
      <c r="B39179" s="43"/>
    </row>
    <row r="39180" spans="2:2" ht="12.75" customHeight="1" x14ac:dyDescent="0.2">
      <c r="B39180" s="43"/>
    </row>
    <row r="39181" spans="2:2" ht="12.75" customHeight="1" x14ac:dyDescent="0.2">
      <c r="B39181" s="43"/>
    </row>
    <row r="39182" spans="2:2" ht="12.75" customHeight="1" x14ac:dyDescent="0.2">
      <c r="B39182" s="43"/>
    </row>
    <row r="39183" spans="2:2" ht="12.75" customHeight="1" x14ac:dyDescent="0.2">
      <c r="B39183" s="43"/>
    </row>
    <row r="39184" spans="2:2" ht="12.75" customHeight="1" x14ac:dyDescent="0.2">
      <c r="B39184" s="43"/>
    </row>
    <row r="39185" spans="2:2" ht="12.75" customHeight="1" x14ac:dyDescent="0.2">
      <c r="B39185" s="43"/>
    </row>
    <row r="39186" spans="2:2" ht="12.75" customHeight="1" x14ac:dyDescent="0.2">
      <c r="B39186" s="43"/>
    </row>
    <row r="39187" spans="2:2" ht="12.75" customHeight="1" x14ac:dyDescent="0.2">
      <c r="B39187" s="43"/>
    </row>
    <row r="39188" spans="2:2" ht="12.75" customHeight="1" x14ac:dyDescent="0.2">
      <c r="B39188" s="43"/>
    </row>
    <row r="39189" spans="2:2" ht="12.75" customHeight="1" x14ac:dyDescent="0.2">
      <c r="B39189" s="43"/>
    </row>
    <row r="39190" spans="2:2" ht="12.75" customHeight="1" x14ac:dyDescent="0.2">
      <c r="B39190" s="43"/>
    </row>
    <row r="39191" spans="2:2" ht="12.75" customHeight="1" x14ac:dyDescent="0.2">
      <c r="B39191" s="43"/>
    </row>
    <row r="39192" spans="2:2" ht="12.75" customHeight="1" x14ac:dyDescent="0.2">
      <c r="B39192" s="43"/>
    </row>
    <row r="39193" spans="2:2" ht="12.75" customHeight="1" x14ac:dyDescent="0.2">
      <c r="B39193" s="43"/>
    </row>
    <row r="39194" spans="2:2" ht="12.75" customHeight="1" x14ac:dyDescent="0.2">
      <c r="B39194" s="43"/>
    </row>
    <row r="39195" spans="2:2" ht="12.75" customHeight="1" x14ac:dyDescent="0.2">
      <c r="B39195" s="43"/>
    </row>
    <row r="39196" spans="2:2" ht="12.75" customHeight="1" x14ac:dyDescent="0.2">
      <c r="B39196" s="43"/>
    </row>
    <row r="39197" spans="2:2" ht="12.75" customHeight="1" x14ac:dyDescent="0.2">
      <c r="B39197" s="43"/>
    </row>
    <row r="39198" spans="2:2" ht="12.75" customHeight="1" x14ac:dyDescent="0.2">
      <c r="B39198" s="43"/>
    </row>
    <row r="39199" spans="2:2" ht="12.75" customHeight="1" x14ac:dyDescent="0.2">
      <c r="B39199" s="43"/>
    </row>
    <row r="39200" spans="2:2" ht="12.75" customHeight="1" x14ac:dyDescent="0.2">
      <c r="B39200" s="43"/>
    </row>
    <row r="39201" spans="2:2" ht="12.75" customHeight="1" x14ac:dyDescent="0.2">
      <c r="B39201" s="43"/>
    </row>
    <row r="39202" spans="2:2" ht="12.75" customHeight="1" x14ac:dyDescent="0.2">
      <c r="B39202" s="43"/>
    </row>
    <row r="39203" spans="2:2" ht="12.75" customHeight="1" x14ac:dyDescent="0.2">
      <c r="B39203" s="43"/>
    </row>
    <row r="39204" spans="2:2" ht="12.75" customHeight="1" x14ac:dyDescent="0.2">
      <c r="B39204" s="43"/>
    </row>
    <row r="39205" spans="2:2" ht="12.75" customHeight="1" x14ac:dyDescent="0.2">
      <c r="B39205" s="43"/>
    </row>
    <row r="39206" spans="2:2" ht="12.75" customHeight="1" x14ac:dyDescent="0.2">
      <c r="B39206" s="43"/>
    </row>
    <row r="39207" spans="2:2" ht="12.75" customHeight="1" x14ac:dyDescent="0.2">
      <c r="B39207" s="43"/>
    </row>
    <row r="39208" spans="2:2" ht="12.75" customHeight="1" x14ac:dyDescent="0.2">
      <c r="B39208" s="43"/>
    </row>
    <row r="39209" spans="2:2" ht="12.75" customHeight="1" x14ac:dyDescent="0.2">
      <c r="B39209" s="43"/>
    </row>
    <row r="39210" spans="2:2" ht="12.75" customHeight="1" x14ac:dyDescent="0.2">
      <c r="B39210" s="43"/>
    </row>
    <row r="39211" spans="2:2" ht="12.75" customHeight="1" x14ac:dyDescent="0.2">
      <c r="B39211" s="43"/>
    </row>
    <row r="39212" spans="2:2" ht="12.75" customHeight="1" x14ac:dyDescent="0.2">
      <c r="B39212" s="43"/>
    </row>
    <row r="39213" spans="2:2" ht="12.75" customHeight="1" x14ac:dyDescent="0.2">
      <c r="B39213" s="43"/>
    </row>
    <row r="39214" spans="2:2" ht="12.75" customHeight="1" x14ac:dyDescent="0.2">
      <c r="B39214" s="43"/>
    </row>
    <row r="39215" spans="2:2" ht="12.75" customHeight="1" x14ac:dyDescent="0.2">
      <c r="B39215" s="43"/>
    </row>
    <row r="39216" spans="2:2" ht="12.75" customHeight="1" x14ac:dyDescent="0.2">
      <c r="B39216" s="43"/>
    </row>
    <row r="39217" spans="2:2" ht="12.75" customHeight="1" x14ac:dyDescent="0.2">
      <c r="B39217" s="43"/>
    </row>
    <row r="39218" spans="2:2" ht="12.75" customHeight="1" x14ac:dyDescent="0.2">
      <c r="B39218" s="43"/>
    </row>
    <row r="39219" spans="2:2" ht="12.75" customHeight="1" x14ac:dyDescent="0.2">
      <c r="B39219" s="43"/>
    </row>
    <row r="39220" spans="2:2" ht="12.75" customHeight="1" x14ac:dyDescent="0.2">
      <c r="B39220" s="43"/>
    </row>
    <row r="39221" spans="2:2" ht="12.75" customHeight="1" x14ac:dyDescent="0.2">
      <c r="B39221" s="43"/>
    </row>
    <row r="39222" spans="2:2" ht="12.75" customHeight="1" x14ac:dyDescent="0.2">
      <c r="B39222" s="43"/>
    </row>
    <row r="39223" spans="2:2" ht="12.75" customHeight="1" x14ac:dyDescent="0.2">
      <c r="B39223" s="43"/>
    </row>
    <row r="39224" spans="2:2" ht="12.75" customHeight="1" x14ac:dyDescent="0.2">
      <c r="B39224" s="43"/>
    </row>
    <row r="39225" spans="2:2" ht="12.75" customHeight="1" x14ac:dyDescent="0.2">
      <c r="B39225" s="43"/>
    </row>
    <row r="39226" spans="2:2" ht="12.75" customHeight="1" x14ac:dyDescent="0.2">
      <c r="B39226" s="43"/>
    </row>
    <row r="39227" spans="2:2" ht="12.75" customHeight="1" x14ac:dyDescent="0.2">
      <c r="B39227" s="43"/>
    </row>
    <row r="39228" spans="2:2" ht="12.75" customHeight="1" x14ac:dyDescent="0.2">
      <c r="B39228" s="43"/>
    </row>
    <row r="39229" spans="2:2" ht="12.75" customHeight="1" x14ac:dyDescent="0.2">
      <c r="B39229" s="43"/>
    </row>
    <row r="39230" spans="2:2" ht="12.75" customHeight="1" x14ac:dyDescent="0.2">
      <c r="B39230" s="43"/>
    </row>
    <row r="39231" spans="2:2" ht="12.75" customHeight="1" x14ac:dyDescent="0.2">
      <c r="B39231" s="43"/>
    </row>
    <row r="39232" spans="2:2" ht="12.75" customHeight="1" x14ac:dyDescent="0.2">
      <c r="B39232" s="43"/>
    </row>
    <row r="39233" spans="2:2" ht="12.75" customHeight="1" x14ac:dyDescent="0.2">
      <c r="B39233" s="43"/>
    </row>
    <row r="39234" spans="2:2" ht="12.75" customHeight="1" x14ac:dyDescent="0.2">
      <c r="B39234" s="43"/>
    </row>
    <row r="39235" spans="2:2" ht="12.75" customHeight="1" x14ac:dyDescent="0.2">
      <c r="B39235" s="43"/>
    </row>
    <row r="39236" spans="2:2" ht="12.75" customHeight="1" x14ac:dyDescent="0.2">
      <c r="B39236" s="43"/>
    </row>
    <row r="39237" spans="2:2" ht="12.75" customHeight="1" x14ac:dyDescent="0.2">
      <c r="B39237" s="43"/>
    </row>
    <row r="39238" spans="2:2" ht="12.75" customHeight="1" x14ac:dyDescent="0.2">
      <c r="B39238" s="43"/>
    </row>
    <row r="39239" spans="2:2" ht="12.75" customHeight="1" x14ac:dyDescent="0.2">
      <c r="B39239" s="43"/>
    </row>
    <row r="39240" spans="2:2" ht="12.75" customHeight="1" x14ac:dyDescent="0.2">
      <c r="B39240" s="43"/>
    </row>
    <row r="39241" spans="2:2" ht="12.75" customHeight="1" x14ac:dyDescent="0.2">
      <c r="B39241" s="43"/>
    </row>
    <row r="39242" spans="2:2" ht="12.75" customHeight="1" x14ac:dyDescent="0.2">
      <c r="B39242" s="43"/>
    </row>
    <row r="39243" spans="2:2" ht="12.75" customHeight="1" x14ac:dyDescent="0.2">
      <c r="B39243" s="43"/>
    </row>
    <row r="39244" spans="2:2" ht="12.75" customHeight="1" x14ac:dyDescent="0.2">
      <c r="B39244" s="43"/>
    </row>
    <row r="39245" spans="2:2" ht="12.75" customHeight="1" x14ac:dyDescent="0.2">
      <c r="B39245" s="43"/>
    </row>
    <row r="39246" spans="2:2" ht="12.75" customHeight="1" x14ac:dyDescent="0.2">
      <c r="B39246" s="43"/>
    </row>
    <row r="39247" spans="2:2" ht="12.75" customHeight="1" x14ac:dyDescent="0.2">
      <c r="B39247" s="43"/>
    </row>
    <row r="39248" spans="2:2" ht="12.75" customHeight="1" x14ac:dyDescent="0.2">
      <c r="B39248" s="43"/>
    </row>
    <row r="39249" spans="2:2" ht="12.75" customHeight="1" x14ac:dyDescent="0.2">
      <c r="B39249" s="43"/>
    </row>
    <row r="39250" spans="2:2" ht="12.75" customHeight="1" x14ac:dyDescent="0.2">
      <c r="B39250" s="43"/>
    </row>
    <row r="39251" spans="2:2" ht="12.75" customHeight="1" x14ac:dyDescent="0.2">
      <c r="B39251" s="43"/>
    </row>
    <row r="39252" spans="2:2" ht="12.75" customHeight="1" x14ac:dyDescent="0.2">
      <c r="B39252" s="43"/>
    </row>
    <row r="39253" spans="2:2" ht="12.75" customHeight="1" x14ac:dyDescent="0.2">
      <c r="B39253" s="43"/>
    </row>
    <row r="39254" spans="2:2" ht="12.75" customHeight="1" x14ac:dyDescent="0.2">
      <c r="B39254" s="43"/>
    </row>
    <row r="39255" spans="2:2" ht="12.75" customHeight="1" x14ac:dyDescent="0.2">
      <c r="B39255" s="43"/>
    </row>
    <row r="39256" spans="2:2" ht="12.75" customHeight="1" x14ac:dyDescent="0.2">
      <c r="B39256" s="43"/>
    </row>
    <row r="39257" spans="2:2" ht="12.75" customHeight="1" x14ac:dyDescent="0.2">
      <c r="B39257" s="43"/>
    </row>
    <row r="39258" spans="2:2" ht="12.75" customHeight="1" x14ac:dyDescent="0.2">
      <c r="B39258" s="43"/>
    </row>
    <row r="39259" spans="2:2" ht="12.75" customHeight="1" x14ac:dyDescent="0.2">
      <c r="B39259" s="43"/>
    </row>
    <row r="39260" spans="2:2" ht="12.75" customHeight="1" x14ac:dyDescent="0.2">
      <c r="B39260" s="43"/>
    </row>
    <row r="39261" spans="2:2" ht="12.75" customHeight="1" x14ac:dyDescent="0.2">
      <c r="B39261" s="43"/>
    </row>
    <row r="39262" spans="2:2" ht="12.75" customHeight="1" x14ac:dyDescent="0.2">
      <c r="B39262" s="43"/>
    </row>
    <row r="39263" spans="2:2" ht="12.75" customHeight="1" x14ac:dyDescent="0.2">
      <c r="B39263" s="43"/>
    </row>
    <row r="39264" spans="2:2" ht="12.75" customHeight="1" x14ac:dyDescent="0.2">
      <c r="B39264" s="43"/>
    </row>
    <row r="39265" spans="2:2" ht="12.75" customHeight="1" x14ac:dyDescent="0.2">
      <c r="B39265" s="43"/>
    </row>
    <row r="39266" spans="2:2" ht="12.75" customHeight="1" x14ac:dyDescent="0.2">
      <c r="B39266" s="43"/>
    </row>
    <row r="39267" spans="2:2" ht="12.75" customHeight="1" x14ac:dyDescent="0.2">
      <c r="B39267" s="43"/>
    </row>
    <row r="39268" spans="2:2" ht="12.75" customHeight="1" x14ac:dyDescent="0.2">
      <c r="B39268" s="43"/>
    </row>
    <row r="39269" spans="2:2" ht="12.75" customHeight="1" x14ac:dyDescent="0.2">
      <c r="B39269" s="43"/>
    </row>
    <row r="39270" spans="2:2" ht="12.75" customHeight="1" x14ac:dyDescent="0.2">
      <c r="B39270" s="43"/>
    </row>
    <row r="39271" spans="2:2" ht="12.75" customHeight="1" x14ac:dyDescent="0.2">
      <c r="B39271" s="43"/>
    </row>
    <row r="39272" spans="2:2" ht="12.75" customHeight="1" x14ac:dyDescent="0.2">
      <c r="B39272" s="43"/>
    </row>
    <row r="39273" spans="2:2" ht="12.75" customHeight="1" x14ac:dyDescent="0.2">
      <c r="B39273" s="43"/>
    </row>
    <row r="39274" spans="2:2" ht="12.75" customHeight="1" x14ac:dyDescent="0.2">
      <c r="B39274" s="43"/>
    </row>
    <row r="39275" spans="2:2" ht="12.75" customHeight="1" x14ac:dyDescent="0.2">
      <c r="B39275" s="43"/>
    </row>
    <row r="39276" spans="2:2" ht="12.75" customHeight="1" x14ac:dyDescent="0.2">
      <c r="B39276" s="43"/>
    </row>
    <row r="39277" spans="2:2" ht="12.75" customHeight="1" x14ac:dyDescent="0.2">
      <c r="B39277" s="43"/>
    </row>
    <row r="39278" spans="2:2" ht="12.75" customHeight="1" x14ac:dyDescent="0.2">
      <c r="B39278" s="43"/>
    </row>
    <row r="39279" spans="2:2" ht="12.75" customHeight="1" x14ac:dyDescent="0.2">
      <c r="B39279" s="43"/>
    </row>
    <row r="39280" spans="2:2" ht="12.75" customHeight="1" x14ac:dyDescent="0.2">
      <c r="B39280" s="43"/>
    </row>
    <row r="39281" spans="2:2" ht="12.75" customHeight="1" x14ac:dyDescent="0.2">
      <c r="B39281" s="43"/>
    </row>
    <row r="39282" spans="2:2" ht="12.75" customHeight="1" x14ac:dyDescent="0.2">
      <c r="B39282" s="43"/>
    </row>
    <row r="39283" spans="2:2" ht="12.75" customHeight="1" x14ac:dyDescent="0.2">
      <c r="B39283" s="43"/>
    </row>
    <row r="39284" spans="2:2" ht="12.75" customHeight="1" x14ac:dyDescent="0.2">
      <c r="B39284" s="43"/>
    </row>
    <row r="39285" spans="2:2" ht="12.75" customHeight="1" x14ac:dyDescent="0.2">
      <c r="B39285" s="43"/>
    </row>
    <row r="39286" spans="2:2" ht="12.75" customHeight="1" x14ac:dyDescent="0.2">
      <c r="B39286" s="43"/>
    </row>
    <row r="39287" spans="2:2" ht="12.75" customHeight="1" x14ac:dyDescent="0.2">
      <c r="B39287" s="43"/>
    </row>
    <row r="39288" spans="2:2" ht="12.75" customHeight="1" x14ac:dyDescent="0.2">
      <c r="B39288" s="43"/>
    </row>
    <row r="39289" spans="2:2" ht="12.75" customHeight="1" x14ac:dyDescent="0.2">
      <c r="B39289" s="43"/>
    </row>
    <row r="39290" spans="2:2" ht="12.75" customHeight="1" x14ac:dyDescent="0.2">
      <c r="B39290" s="43"/>
    </row>
    <row r="39291" spans="2:2" ht="12.75" customHeight="1" x14ac:dyDescent="0.2">
      <c r="B39291" s="43"/>
    </row>
    <row r="39292" spans="2:2" ht="12.75" customHeight="1" x14ac:dyDescent="0.2">
      <c r="B39292" s="43"/>
    </row>
    <row r="39293" spans="2:2" ht="12.75" customHeight="1" x14ac:dyDescent="0.2">
      <c r="B39293" s="43"/>
    </row>
    <row r="39294" spans="2:2" ht="12.75" customHeight="1" x14ac:dyDescent="0.2">
      <c r="B39294" s="43"/>
    </row>
    <row r="39295" spans="2:2" ht="12.75" customHeight="1" x14ac:dyDescent="0.2">
      <c r="B39295" s="43"/>
    </row>
    <row r="39296" spans="2:2" ht="12.75" customHeight="1" x14ac:dyDescent="0.2">
      <c r="B39296" s="43"/>
    </row>
    <row r="39297" spans="2:2" ht="12.75" customHeight="1" x14ac:dyDescent="0.2">
      <c r="B39297" s="43"/>
    </row>
    <row r="39298" spans="2:2" ht="12.75" customHeight="1" x14ac:dyDescent="0.2">
      <c r="B39298" s="43"/>
    </row>
    <row r="39299" spans="2:2" ht="12.75" customHeight="1" x14ac:dyDescent="0.2">
      <c r="B39299" s="43"/>
    </row>
    <row r="39300" spans="2:2" ht="12.75" customHeight="1" x14ac:dyDescent="0.2">
      <c r="B39300" s="43"/>
    </row>
    <row r="39301" spans="2:2" ht="12.75" customHeight="1" x14ac:dyDescent="0.2">
      <c r="B39301" s="43"/>
    </row>
    <row r="39302" spans="2:2" ht="12.75" customHeight="1" x14ac:dyDescent="0.2">
      <c r="B39302" s="43"/>
    </row>
    <row r="39303" spans="2:2" ht="12.75" customHeight="1" x14ac:dyDescent="0.2">
      <c r="B39303" s="43"/>
    </row>
    <row r="39304" spans="2:2" ht="12.75" customHeight="1" x14ac:dyDescent="0.2">
      <c r="B39304" s="43"/>
    </row>
    <row r="39305" spans="2:2" ht="12.75" customHeight="1" x14ac:dyDescent="0.2">
      <c r="B39305" s="43"/>
    </row>
    <row r="39306" spans="2:2" ht="12.75" customHeight="1" x14ac:dyDescent="0.2">
      <c r="B39306" s="43"/>
    </row>
    <row r="39307" spans="2:2" ht="12.75" customHeight="1" x14ac:dyDescent="0.2">
      <c r="B39307" s="43"/>
    </row>
    <row r="39308" spans="2:2" ht="12.75" customHeight="1" x14ac:dyDescent="0.2">
      <c r="B39308" s="43"/>
    </row>
    <row r="39309" spans="2:2" ht="12.75" customHeight="1" x14ac:dyDescent="0.2">
      <c r="B39309" s="43"/>
    </row>
    <row r="39310" spans="2:2" ht="12.75" customHeight="1" x14ac:dyDescent="0.2">
      <c r="B39310" s="43"/>
    </row>
    <row r="39311" spans="2:2" ht="12.75" customHeight="1" x14ac:dyDescent="0.2">
      <c r="B39311" s="43"/>
    </row>
    <row r="39312" spans="2:2" ht="12.75" customHeight="1" x14ac:dyDescent="0.2">
      <c r="B39312" s="43"/>
    </row>
    <row r="39313" spans="2:2" ht="12.75" customHeight="1" x14ac:dyDescent="0.2">
      <c r="B39313" s="43"/>
    </row>
    <row r="39314" spans="2:2" ht="12.75" customHeight="1" x14ac:dyDescent="0.2">
      <c r="B39314" s="43"/>
    </row>
    <row r="39315" spans="2:2" ht="12.75" customHeight="1" x14ac:dyDescent="0.2">
      <c r="B39315" s="43"/>
    </row>
    <row r="39316" spans="2:2" ht="12.75" customHeight="1" x14ac:dyDescent="0.2">
      <c r="B39316" s="43"/>
    </row>
    <row r="39317" spans="2:2" ht="12.75" customHeight="1" x14ac:dyDescent="0.2">
      <c r="B39317" s="43"/>
    </row>
    <row r="39318" spans="2:2" ht="12.75" customHeight="1" x14ac:dyDescent="0.2">
      <c r="B39318" s="43"/>
    </row>
    <row r="39319" spans="2:2" ht="12.75" customHeight="1" x14ac:dyDescent="0.2">
      <c r="B39319" s="43"/>
    </row>
    <row r="39320" spans="2:2" ht="12.75" customHeight="1" x14ac:dyDescent="0.2">
      <c r="B39320" s="43"/>
    </row>
    <row r="39321" spans="2:2" ht="12.75" customHeight="1" x14ac:dyDescent="0.2">
      <c r="B39321" s="43"/>
    </row>
    <row r="39322" spans="2:2" ht="12.75" customHeight="1" x14ac:dyDescent="0.2">
      <c r="B39322" s="43"/>
    </row>
    <row r="39323" spans="2:2" ht="12.75" customHeight="1" x14ac:dyDescent="0.2">
      <c r="B39323" s="43"/>
    </row>
    <row r="39324" spans="2:2" ht="12.75" customHeight="1" x14ac:dyDescent="0.2">
      <c r="B39324" s="43"/>
    </row>
    <row r="39325" spans="2:2" ht="12.75" customHeight="1" x14ac:dyDescent="0.2">
      <c r="B39325" s="43"/>
    </row>
    <row r="39326" spans="2:2" ht="12.75" customHeight="1" x14ac:dyDescent="0.2">
      <c r="B39326" s="43"/>
    </row>
    <row r="39327" spans="2:2" ht="12.75" customHeight="1" x14ac:dyDescent="0.2">
      <c r="B39327" s="43"/>
    </row>
    <row r="39328" spans="2:2" ht="12.75" customHeight="1" x14ac:dyDescent="0.2">
      <c r="B39328" s="43"/>
    </row>
    <row r="39329" spans="2:2" ht="12.75" customHeight="1" x14ac:dyDescent="0.2">
      <c r="B39329" s="43"/>
    </row>
    <row r="39330" spans="2:2" ht="12.75" customHeight="1" x14ac:dyDescent="0.2">
      <c r="B39330" s="43"/>
    </row>
    <row r="39331" spans="2:2" ht="12.75" customHeight="1" x14ac:dyDescent="0.2">
      <c r="B39331" s="43"/>
    </row>
    <row r="39332" spans="2:2" ht="12.75" customHeight="1" x14ac:dyDescent="0.2">
      <c r="B39332" s="43"/>
    </row>
    <row r="39333" spans="2:2" ht="12.75" customHeight="1" x14ac:dyDescent="0.2">
      <c r="B39333" s="43"/>
    </row>
    <row r="39334" spans="2:2" ht="12.75" customHeight="1" x14ac:dyDescent="0.2">
      <c r="B39334" s="43"/>
    </row>
    <row r="39335" spans="2:2" ht="12.75" customHeight="1" x14ac:dyDescent="0.2">
      <c r="B39335" s="43"/>
    </row>
    <row r="39336" spans="2:2" ht="12.75" customHeight="1" x14ac:dyDescent="0.2">
      <c r="B39336" s="43"/>
    </row>
    <row r="39337" spans="2:2" ht="12.75" customHeight="1" x14ac:dyDescent="0.2">
      <c r="B39337" s="43"/>
    </row>
    <row r="39338" spans="2:2" ht="12.75" customHeight="1" x14ac:dyDescent="0.2">
      <c r="B39338" s="43"/>
    </row>
    <row r="39339" spans="2:2" ht="12.75" customHeight="1" x14ac:dyDescent="0.2">
      <c r="B39339" s="43"/>
    </row>
    <row r="39340" spans="2:2" ht="12.75" customHeight="1" x14ac:dyDescent="0.2">
      <c r="B39340" s="43"/>
    </row>
    <row r="39341" spans="2:2" ht="12.75" customHeight="1" x14ac:dyDescent="0.2">
      <c r="B39341" s="43"/>
    </row>
    <row r="39342" spans="2:2" ht="12.75" customHeight="1" x14ac:dyDescent="0.2">
      <c r="B39342" s="43"/>
    </row>
    <row r="39343" spans="2:2" ht="12.75" customHeight="1" x14ac:dyDescent="0.2">
      <c r="B39343" s="43"/>
    </row>
    <row r="39344" spans="2:2" ht="12.75" customHeight="1" x14ac:dyDescent="0.2">
      <c r="B39344" s="43"/>
    </row>
    <row r="39345" spans="2:2" ht="12.75" customHeight="1" x14ac:dyDescent="0.2">
      <c r="B39345" s="43"/>
    </row>
    <row r="39346" spans="2:2" ht="12.75" customHeight="1" x14ac:dyDescent="0.2">
      <c r="B39346" s="43"/>
    </row>
    <row r="39347" spans="2:2" ht="12.75" customHeight="1" x14ac:dyDescent="0.2">
      <c r="B39347" s="43"/>
    </row>
    <row r="39348" spans="2:2" ht="12.75" customHeight="1" x14ac:dyDescent="0.2">
      <c r="B39348" s="43"/>
    </row>
    <row r="39349" spans="2:2" ht="12.75" customHeight="1" x14ac:dyDescent="0.2">
      <c r="B39349" s="43"/>
    </row>
    <row r="39350" spans="2:2" ht="12.75" customHeight="1" x14ac:dyDescent="0.2">
      <c r="B39350" s="43"/>
    </row>
    <row r="39351" spans="2:2" ht="12.75" customHeight="1" x14ac:dyDescent="0.2">
      <c r="B39351" s="43"/>
    </row>
    <row r="39352" spans="2:2" ht="12.75" customHeight="1" x14ac:dyDescent="0.2">
      <c r="B39352" s="43"/>
    </row>
    <row r="39353" spans="2:2" ht="12.75" customHeight="1" x14ac:dyDescent="0.2">
      <c r="B39353" s="43"/>
    </row>
    <row r="39354" spans="2:2" ht="12.75" customHeight="1" x14ac:dyDescent="0.2">
      <c r="B39354" s="43"/>
    </row>
    <row r="39355" spans="2:2" ht="12.75" customHeight="1" x14ac:dyDescent="0.2">
      <c r="B39355" s="43"/>
    </row>
    <row r="39356" spans="2:2" ht="12.75" customHeight="1" x14ac:dyDescent="0.2">
      <c r="B39356" s="43"/>
    </row>
    <row r="39357" spans="2:2" ht="12.75" customHeight="1" x14ac:dyDescent="0.2">
      <c r="B39357" s="43"/>
    </row>
    <row r="39358" spans="2:2" ht="12.75" customHeight="1" x14ac:dyDescent="0.2">
      <c r="B39358" s="43"/>
    </row>
    <row r="39359" spans="2:2" ht="12.75" customHeight="1" x14ac:dyDescent="0.2">
      <c r="B39359" s="43"/>
    </row>
    <row r="39360" spans="2:2" ht="12.75" customHeight="1" x14ac:dyDescent="0.2">
      <c r="B39360" s="43"/>
    </row>
    <row r="39361" spans="2:2" ht="12.75" customHeight="1" x14ac:dyDescent="0.2">
      <c r="B39361" s="43"/>
    </row>
    <row r="39362" spans="2:2" ht="12.75" customHeight="1" x14ac:dyDescent="0.2">
      <c r="B39362" s="43"/>
    </row>
    <row r="39363" spans="2:2" ht="12.75" customHeight="1" x14ac:dyDescent="0.2">
      <c r="B39363" s="43"/>
    </row>
    <row r="39364" spans="2:2" ht="12.75" customHeight="1" x14ac:dyDescent="0.2">
      <c r="B39364" s="43"/>
    </row>
    <row r="39365" spans="2:2" ht="12.75" customHeight="1" x14ac:dyDescent="0.2">
      <c r="B39365" s="43"/>
    </row>
    <row r="39366" spans="2:2" ht="12.75" customHeight="1" x14ac:dyDescent="0.2">
      <c r="B39366" s="43"/>
    </row>
    <row r="39367" spans="2:2" ht="12.75" customHeight="1" x14ac:dyDescent="0.2">
      <c r="B39367" s="43"/>
    </row>
    <row r="39368" spans="2:2" ht="12.75" customHeight="1" x14ac:dyDescent="0.2">
      <c r="B39368" s="43"/>
    </row>
    <row r="39369" spans="2:2" ht="12.75" customHeight="1" x14ac:dyDescent="0.2">
      <c r="B39369" s="43"/>
    </row>
    <row r="39370" spans="2:2" ht="12.75" customHeight="1" x14ac:dyDescent="0.2">
      <c r="B39370" s="43"/>
    </row>
    <row r="39371" spans="2:2" ht="12.75" customHeight="1" x14ac:dyDescent="0.2">
      <c r="B39371" s="43"/>
    </row>
    <row r="39372" spans="2:2" ht="12.75" customHeight="1" x14ac:dyDescent="0.2">
      <c r="B39372" s="43"/>
    </row>
    <row r="39373" spans="2:2" ht="12.75" customHeight="1" x14ac:dyDescent="0.2">
      <c r="B39373" s="43"/>
    </row>
    <row r="39374" spans="2:2" ht="12.75" customHeight="1" x14ac:dyDescent="0.2">
      <c r="B39374" s="43"/>
    </row>
    <row r="39375" spans="2:2" ht="12.75" customHeight="1" x14ac:dyDescent="0.2">
      <c r="B39375" s="43"/>
    </row>
    <row r="39376" spans="2:2" ht="12.75" customHeight="1" x14ac:dyDescent="0.2">
      <c r="B39376" s="43"/>
    </row>
    <row r="39377" spans="2:2" ht="12.75" customHeight="1" x14ac:dyDescent="0.2">
      <c r="B39377" s="43"/>
    </row>
    <row r="39378" spans="2:2" ht="12.75" customHeight="1" x14ac:dyDescent="0.2">
      <c r="B39378" s="43"/>
    </row>
    <row r="39379" spans="2:2" ht="12.75" customHeight="1" x14ac:dyDescent="0.2">
      <c r="B39379" s="43"/>
    </row>
    <row r="39380" spans="2:2" ht="12.75" customHeight="1" x14ac:dyDescent="0.2">
      <c r="B39380" s="43"/>
    </row>
    <row r="39381" spans="2:2" ht="12.75" customHeight="1" x14ac:dyDescent="0.2">
      <c r="B39381" s="43"/>
    </row>
    <row r="39382" spans="2:2" ht="12.75" customHeight="1" x14ac:dyDescent="0.2">
      <c r="B39382" s="43"/>
    </row>
    <row r="39383" spans="2:2" ht="12.75" customHeight="1" x14ac:dyDescent="0.2">
      <c r="B39383" s="43"/>
    </row>
    <row r="39384" spans="2:2" ht="12.75" customHeight="1" x14ac:dyDescent="0.2">
      <c r="B39384" s="43"/>
    </row>
    <row r="39385" spans="2:2" ht="12.75" customHeight="1" x14ac:dyDescent="0.2">
      <c r="B39385" s="43"/>
    </row>
    <row r="39386" spans="2:2" ht="12.75" customHeight="1" x14ac:dyDescent="0.2">
      <c r="B39386" s="43"/>
    </row>
    <row r="39387" spans="2:2" ht="12.75" customHeight="1" x14ac:dyDescent="0.2">
      <c r="B39387" s="43"/>
    </row>
    <row r="39388" spans="2:2" ht="12.75" customHeight="1" x14ac:dyDescent="0.2">
      <c r="B39388" s="43"/>
    </row>
    <row r="39389" spans="2:2" ht="12.75" customHeight="1" x14ac:dyDescent="0.2">
      <c r="B39389" s="43"/>
    </row>
    <row r="39390" spans="2:2" ht="12.75" customHeight="1" x14ac:dyDescent="0.2">
      <c r="B39390" s="43"/>
    </row>
    <row r="39391" spans="2:2" ht="12.75" customHeight="1" x14ac:dyDescent="0.2">
      <c r="B39391" s="43"/>
    </row>
    <row r="39392" spans="2:2" ht="12.75" customHeight="1" x14ac:dyDescent="0.2">
      <c r="B39392" s="43"/>
    </row>
    <row r="39393" spans="2:2" ht="12.75" customHeight="1" x14ac:dyDescent="0.2">
      <c r="B39393" s="43"/>
    </row>
    <row r="39394" spans="2:2" ht="12.75" customHeight="1" x14ac:dyDescent="0.2">
      <c r="B39394" s="43"/>
    </row>
    <row r="39395" spans="2:2" ht="12.75" customHeight="1" x14ac:dyDescent="0.2">
      <c r="B39395" s="43"/>
    </row>
    <row r="39396" spans="2:2" ht="12.75" customHeight="1" x14ac:dyDescent="0.2">
      <c r="B39396" s="43"/>
    </row>
    <row r="39397" spans="2:2" ht="12.75" customHeight="1" x14ac:dyDescent="0.2">
      <c r="B39397" s="43"/>
    </row>
    <row r="39398" spans="2:2" ht="12.75" customHeight="1" x14ac:dyDescent="0.2">
      <c r="B39398" s="43"/>
    </row>
    <row r="39399" spans="2:2" ht="12.75" customHeight="1" x14ac:dyDescent="0.2">
      <c r="B39399" s="43"/>
    </row>
    <row r="39400" spans="2:2" ht="12.75" customHeight="1" x14ac:dyDescent="0.2">
      <c r="B39400" s="43"/>
    </row>
    <row r="39401" spans="2:2" ht="12.75" customHeight="1" x14ac:dyDescent="0.2">
      <c r="B39401" s="43"/>
    </row>
    <row r="39402" spans="2:2" ht="12.75" customHeight="1" x14ac:dyDescent="0.2">
      <c r="B39402" s="43"/>
    </row>
    <row r="39403" spans="2:2" ht="12.75" customHeight="1" x14ac:dyDescent="0.2">
      <c r="B39403" s="43"/>
    </row>
    <row r="39404" spans="2:2" ht="12.75" customHeight="1" x14ac:dyDescent="0.2">
      <c r="B39404" s="43"/>
    </row>
    <row r="39405" spans="2:2" ht="12.75" customHeight="1" x14ac:dyDescent="0.2">
      <c r="B39405" s="43"/>
    </row>
    <row r="39406" spans="2:2" ht="12.75" customHeight="1" x14ac:dyDescent="0.2">
      <c r="B39406" s="43"/>
    </row>
    <row r="39407" spans="2:2" ht="12.75" customHeight="1" x14ac:dyDescent="0.2">
      <c r="B39407" s="43"/>
    </row>
    <row r="39408" spans="2:2" ht="12.75" customHeight="1" x14ac:dyDescent="0.2">
      <c r="B39408" s="43"/>
    </row>
    <row r="39409" spans="2:2" ht="12.75" customHeight="1" x14ac:dyDescent="0.2">
      <c r="B39409" s="43"/>
    </row>
    <row r="39410" spans="2:2" ht="12.75" customHeight="1" x14ac:dyDescent="0.2">
      <c r="B39410" s="43"/>
    </row>
    <row r="39411" spans="2:2" ht="12.75" customHeight="1" x14ac:dyDescent="0.2">
      <c r="B39411" s="43"/>
    </row>
    <row r="39412" spans="2:2" ht="12.75" customHeight="1" x14ac:dyDescent="0.2">
      <c r="B39412" s="43"/>
    </row>
    <row r="39413" spans="2:2" ht="12.75" customHeight="1" x14ac:dyDescent="0.2">
      <c r="B39413" s="43"/>
    </row>
    <row r="39414" spans="2:2" ht="12.75" customHeight="1" x14ac:dyDescent="0.2">
      <c r="B39414" s="43"/>
    </row>
    <row r="39415" spans="2:2" ht="12.75" customHeight="1" x14ac:dyDescent="0.2">
      <c r="B39415" s="43"/>
    </row>
    <row r="39416" spans="2:2" ht="12.75" customHeight="1" x14ac:dyDescent="0.2">
      <c r="B39416" s="43"/>
    </row>
    <row r="39417" spans="2:2" ht="12.75" customHeight="1" x14ac:dyDescent="0.2">
      <c r="B39417" s="43"/>
    </row>
    <row r="39418" spans="2:2" ht="12.75" customHeight="1" x14ac:dyDescent="0.2">
      <c r="B39418" s="43"/>
    </row>
    <row r="39419" spans="2:2" ht="12.75" customHeight="1" x14ac:dyDescent="0.2">
      <c r="B39419" s="43"/>
    </row>
    <row r="39420" spans="2:2" ht="12.75" customHeight="1" x14ac:dyDescent="0.2">
      <c r="B39420" s="43"/>
    </row>
    <row r="39421" spans="2:2" ht="12.75" customHeight="1" x14ac:dyDescent="0.2">
      <c r="B39421" s="43"/>
    </row>
    <row r="39422" spans="2:2" ht="12.75" customHeight="1" x14ac:dyDescent="0.2">
      <c r="B39422" s="43"/>
    </row>
    <row r="39423" spans="2:2" ht="12.75" customHeight="1" x14ac:dyDescent="0.2">
      <c r="B39423" s="43"/>
    </row>
    <row r="39424" spans="2:2" ht="12.75" customHeight="1" x14ac:dyDescent="0.2">
      <c r="B39424" s="43"/>
    </row>
    <row r="39425" spans="2:2" ht="12.75" customHeight="1" x14ac:dyDescent="0.2">
      <c r="B39425" s="43"/>
    </row>
    <row r="39426" spans="2:2" ht="12.75" customHeight="1" x14ac:dyDescent="0.2">
      <c r="B39426" s="43"/>
    </row>
    <row r="39427" spans="2:2" ht="12.75" customHeight="1" x14ac:dyDescent="0.2">
      <c r="B39427" s="43"/>
    </row>
    <row r="39428" spans="2:2" ht="12.75" customHeight="1" x14ac:dyDescent="0.2">
      <c r="B39428" s="43"/>
    </row>
    <row r="39429" spans="2:2" ht="12.75" customHeight="1" x14ac:dyDescent="0.2">
      <c r="B39429" s="43"/>
    </row>
    <row r="39430" spans="2:2" ht="12.75" customHeight="1" x14ac:dyDescent="0.2">
      <c r="B39430" s="43"/>
    </row>
    <row r="39431" spans="2:2" ht="12.75" customHeight="1" x14ac:dyDescent="0.2">
      <c r="B39431" s="43"/>
    </row>
    <row r="39432" spans="2:2" ht="12.75" customHeight="1" x14ac:dyDescent="0.2">
      <c r="B39432" s="43"/>
    </row>
    <row r="39433" spans="2:2" ht="12.75" customHeight="1" x14ac:dyDescent="0.2">
      <c r="B39433" s="43"/>
    </row>
    <row r="39434" spans="2:2" ht="12.75" customHeight="1" x14ac:dyDescent="0.2">
      <c r="B39434" s="43"/>
    </row>
    <row r="39435" spans="2:2" ht="12.75" customHeight="1" x14ac:dyDescent="0.2">
      <c r="B39435" s="43"/>
    </row>
    <row r="39436" spans="2:2" ht="12.75" customHeight="1" x14ac:dyDescent="0.2">
      <c r="B39436" s="43"/>
    </row>
    <row r="39437" spans="2:2" ht="12.75" customHeight="1" x14ac:dyDescent="0.2">
      <c r="B39437" s="43"/>
    </row>
    <row r="39438" spans="2:2" ht="12.75" customHeight="1" x14ac:dyDescent="0.2">
      <c r="B39438" s="43"/>
    </row>
    <row r="39439" spans="2:2" ht="12.75" customHeight="1" x14ac:dyDescent="0.2">
      <c r="B39439" s="43"/>
    </row>
    <row r="39440" spans="2:2" ht="12.75" customHeight="1" x14ac:dyDescent="0.2">
      <c r="B39440" s="43"/>
    </row>
    <row r="39441" spans="2:2" ht="12.75" customHeight="1" x14ac:dyDescent="0.2">
      <c r="B39441" s="43"/>
    </row>
    <row r="39442" spans="2:2" ht="12.75" customHeight="1" x14ac:dyDescent="0.2">
      <c r="B39442" s="43"/>
    </row>
    <row r="39443" spans="2:2" ht="12.75" customHeight="1" x14ac:dyDescent="0.2">
      <c r="B39443" s="43"/>
    </row>
    <row r="39444" spans="2:2" ht="12.75" customHeight="1" x14ac:dyDescent="0.2">
      <c r="B39444" s="43"/>
    </row>
    <row r="39445" spans="2:2" ht="12.75" customHeight="1" x14ac:dyDescent="0.2">
      <c r="B39445" s="43"/>
    </row>
    <row r="39446" spans="2:2" ht="12.75" customHeight="1" x14ac:dyDescent="0.2">
      <c r="B39446" s="43"/>
    </row>
    <row r="39447" spans="2:2" ht="12.75" customHeight="1" x14ac:dyDescent="0.2">
      <c r="B39447" s="43"/>
    </row>
    <row r="39448" spans="2:2" ht="12.75" customHeight="1" x14ac:dyDescent="0.2">
      <c r="B39448" s="43"/>
    </row>
    <row r="39449" spans="2:2" ht="12.75" customHeight="1" x14ac:dyDescent="0.2">
      <c r="B39449" s="43"/>
    </row>
    <row r="39450" spans="2:2" ht="12.75" customHeight="1" x14ac:dyDescent="0.2">
      <c r="B39450" s="43"/>
    </row>
    <row r="39451" spans="2:2" ht="12.75" customHeight="1" x14ac:dyDescent="0.2">
      <c r="B39451" s="43"/>
    </row>
    <row r="39452" spans="2:2" ht="12.75" customHeight="1" x14ac:dyDescent="0.2">
      <c r="B39452" s="43"/>
    </row>
    <row r="39453" spans="2:2" ht="12.75" customHeight="1" x14ac:dyDescent="0.2">
      <c r="B39453" s="43"/>
    </row>
    <row r="39454" spans="2:2" ht="12.75" customHeight="1" x14ac:dyDescent="0.2">
      <c r="B39454" s="43"/>
    </row>
    <row r="39455" spans="2:2" ht="12.75" customHeight="1" x14ac:dyDescent="0.2">
      <c r="B39455" s="43"/>
    </row>
    <row r="39456" spans="2:2" ht="12.75" customHeight="1" x14ac:dyDescent="0.2">
      <c r="B39456" s="43"/>
    </row>
    <row r="39457" spans="2:2" ht="12.75" customHeight="1" x14ac:dyDescent="0.2">
      <c r="B39457" s="43"/>
    </row>
    <row r="39458" spans="2:2" ht="12.75" customHeight="1" x14ac:dyDescent="0.2">
      <c r="B39458" s="43"/>
    </row>
    <row r="39459" spans="2:2" ht="12.75" customHeight="1" x14ac:dyDescent="0.2">
      <c r="B39459" s="43"/>
    </row>
    <row r="39460" spans="2:2" ht="12.75" customHeight="1" x14ac:dyDescent="0.2">
      <c r="B39460" s="43"/>
    </row>
    <row r="39461" spans="2:2" ht="12.75" customHeight="1" x14ac:dyDescent="0.2">
      <c r="B39461" s="43"/>
    </row>
    <row r="39462" spans="2:2" ht="12.75" customHeight="1" x14ac:dyDescent="0.2">
      <c r="B39462" s="43"/>
    </row>
    <row r="39463" spans="2:2" ht="12.75" customHeight="1" x14ac:dyDescent="0.2">
      <c r="B39463" s="43"/>
    </row>
    <row r="39464" spans="2:2" ht="12.75" customHeight="1" x14ac:dyDescent="0.2">
      <c r="B39464" s="43"/>
    </row>
    <row r="39465" spans="2:2" ht="12.75" customHeight="1" x14ac:dyDescent="0.2">
      <c r="B39465" s="43"/>
    </row>
    <row r="39466" spans="2:2" ht="12.75" customHeight="1" x14ac:dyDescent="0.2">
      <c r="B39466" s="43"/>
    </row>
    <row r="39467" spans="2:2" ht="12.75" customHeight="1" x14ac:dyDescent="0.2">
      <c r="B39467" s="43"/>
    </row>
    <row r="39468" spans="2:2" ht="12.75" customHeight="1" x14ac:dyDescent="0.2">
      <c r="B39468" s="43"/>
    </row>
    <row r="39469" spans="2:2" ht="12.75" customHeight="1" x14ac:dyDescent="0.2">
      <c r="B39469" s="43"/>
    </row>
    <row r="39470" spans="2:2" ht="12.75" customHeight="1" x14ac:dyDescent="0.2">
      <c r="B39470" s="43"/>
    </row>
    <row r="39471" spans="2:2" ht="12.75" customHeight="1" x14ac:dyDescent="0.2">
      <c r="B39471" s="43"/>
    </row>
    <row r="39472" spans="2:2" ht="12.75" customHeight="1" x14ac:dyDescent="0.2">
      <c r="B39472" s="43"/>
    </row>
    <row r="39473" spans="2:2" ht="12.75" customHeight="1" x14ac:dyDescent="0.2">
      <c r="B39473" s="43"/>
    </row>
    <row r="39474" spans="2:2" ht="12.75" customHeight="1" x14ac:dyDescent="0.2">
      <c r="B39474" s="43"/>
    </row>
    <row r="39475" spans="2:2" ht="12.75" customHeight="1" x14ac:dyDescent="0.2">
      <c r="B39475" s="43"/>
    </row>
    <row r="39476" spans="2:2" ht="12.75" customHeight="1" x14ac:dyDescent="0.2">
      <c r="B39476" s="43"/>
    </row>
    <row r="39477" spans="2:2" ht="12.75" customHeight="1" x14ac:dyDescent="0.2">
      <c r="B39477" s="43"/>
    </row>
    <row r="39478" spans="2:2" ht="12.75" customHeight="1" x14ac:dyDescent="0.2">
      <c r="B39478" s="43"/>
    </row>
    <row r="39479" spans="2:2" ht="12.75" customHeight="1" x14ac:dyDescent="0.2">
      <c r="B39479" s="43"/>
    </row>
    <row r="39480" spans="2:2" ht="12.75" customHeight="1" x14ac:dyDescent="0.2">
      <c r="B39480" s="43"/>
    </row>
    <row r="39481" spans="2:2" ht="12.75" customHeight="1" x14ac:dyDescent="0.2">
      <c r="B39481" s="43"/>
    </row>
    <row r="39482" spans="2:2" ht="12.75" customHeight="1" x14ac:dyDescent="0.2">
      <c r="B39482" s="43"/>
    </row>
    <row r="39483" spans="2:2" ht="12.75" customHeight="1" x14ac:dyDescent="0.2">
      <c r="B39483" s="43"/>
    </row>
    <row r="39484" spans="2:2" ht="12.75" customHeight="1" x14ac:dyDescent="0.2">
      <c r="B39484" s="43"/>
    </row>
    <row r="39485" spans="2:2" ht="12.75" customHeight="1" x14ac:dyDescent="0.2">
      <c r="B39485" s="43"/>
    </row>
    <row r="39486" spans="2:2" ht="12.75" customHeight="1" x14ac:dyDescent="0.2">
      <c r="B39486" s="43"/>
    </row>
    <row r="39487" spans="2:2" ht="12.75" customHeight="1" x14ac:dyDescent="0.2">
      <c r="B39487" s="43"/>
    </row>
    <row r="39488" spans="2:2" ht="12.75" customHeight="1" x14ac:dyDescent="0.2">
      <c r="B39488" s="43"/>
    </row>
    <row r="39489" spans="2:2" ht="12.75" customHeight="1" x14ac:dyDescent="0.2">
      <c r="B39489" s="43"/>
    </row>
    <row r="39490" spans="2:2" ht="12.75" customHeight="1" x14ac:dyDescent="0.2">
      <c r="B39490" s="43"/>
    </row>
    <row r="39491" spans="2:2" ht="12.75" customHeight="1" x14ac:dyDescent="0.2">
      <c r="B39491" s="43"/>
    </row>
    <row r="39492" spans="2:2" ht="12.75" customHeight="1" x14ac:dyDescent="0.2">
      <c r="B39492" s="43"/>
    </row>
    <row r="39493" spans="2:2" ht="12.75" customHeight="1" x14ac:dyDescent="0.2">
      <c r="B39493" s="43"/>
    </row>
    <row r="39494" spans="2:2" ht="12.75" customHeight="1" x14ac:dyDescent="0.2">
      <c r="B39494" s="43"/>
    </row>
    <row r="39495" spans="2:2" ht="12.75" customHeight="1" x14ac:dyDescent="0.2">
      <c r="B39495" s="43"/>
    </row>
    <row r="39496" spans="2:2" ht="12.75" customHeight="1" x14ac:dyDescent="0.2">
      <c r="B39496" s="43"/>
    </row>
    <row r="39497" spans="2:2" ht="12.75" customHeight="1" x14ac:dyDescent="0.2">
      <c r="B39497" s="43"/>
    </row>
    <row r="39498" spans="2:2" ht="12.75" customHeight="1" x14ac:dyDescent="0.2">
      <c r="B39498" s="43"/>
    </row>
    <row r="39499" spans="2:2" ht="12.75" customHeight="1" x14ac:dyDescent="0.2">
      <c r="B39499" s="43"/>
    </row>
    <row r="39500" spans="2:2" ht="12.75" customHeight="1" x14ac:dyDescent="0.2">
      <c r="B39500" s="43"/>
    </row>
    <row r="39501" spans="2:2" ht="12.75" customHeight="1" x14ac:dyDescent="0.2">
      <c r="B39501" s="43"/>
    </row>
    <row r="39502" spans="2:2" ht="12.75" customHeight="1" x14ac:dyDescent="0.2">
      <c r="B39502" s="43"/>
    </row>
    <row r="39503" spans="2:2" ht="12.75" customHeight="1" x14ac:dyDescent="0.2">
      <c r="B39503" s="43"/>
    </row>
    <row r="39504" spans="2:2" ht="12.75" customHeight="1" x14ac:dyDescent="0.2">
      <c r="B39504" s="43"/>
    </row>
    <row r="39505" spans="2:2" ht="12.75" customHeight="1" x14ac:dyDescent="0.2">
      <c r="B39505" s="43"/>
    </row>
    <row r="39506" spans="2:2" ht="12.75" customHeight="1" x14ac:dyDescent="0.2">
      <c r="B39506" s="43"/>
    </row>
    <row r="39507" spans="2:2" ht="12.75" customHeight="1" x14ac:dyDescent="0.2">
      <c r="B39507" s="43"/>
    </row>
    <row r="39508" spans="2:2" ht="12.75" customHeight="1" x14ac:dyDescent="0.2">
      <c r="B39508" s="43"/>
    </row>
    <row r="39509" spans="2:2" ht="12.75" customHeight="1" x14ac:dyDescent="0.2">
      <c r="B39509" s="43"/>
    </row>
    <row r="39510" spans="2:2" ht="12.75" customHeight="1" x14ac:dyDescent="0.2">
      <c r="B39510" s="43"/>
    </row>
    <row r="39511" spans="2:2" ht="12.75" customHeight="1" x14ac:dyDescent="0.2">
      <c r="B39511" s="43"/>
    </row>
    <row r="39512" spans="2:2" ht="12.75" customHeight="1" x14ac:dyDescent="0.2">
      <c r="B39512" s="43"/>
    </row>
    <row r="39513" spans="2:2" ht="12.75" customHeight="1" x14ac:dyDescent="0.2">
      <c r="B39513" s="43"/>
    </row>
    <row r="39514" spans="2:2" ht="12.75" customHeight="1" x14ac:dyDescent="0.2">
      <c r="B39514" s="43"/>
    </row>
    <row r="39515" spans="2:2" ht="12.75" customHeight="1" x14ac:dyDescent="0.2">
      <c r="B39515" s="43"/>
    </row>
    <row r="39516" spans="2:2" ht="12.75" customHeight="1" x14ac:dyDescent="0.2">
      <c r="B39516" s="43"/>
    </row>
    <row r="39517" spans="2:2" ht="12.75" customHeight="1" x14ac:dyDescent="0.2">
      <c r="B39517" s="43"/>
    </row>
    <row r="39518" spans="2:2" ht="12.75" customHeight="1" x14ac:dyDescent="0.2">
      <c r="B39518" s="43"/>
    </row>
    <row r="39519" spans="2:2" ht="12.75" customHeight="1" x14ac:dyDescent="0.2">
      <c r="B39519" s="43"/>
    </row>
    <row r="39520" spans="2:2" ht="12.75" customHeight="1" x14ac:dyDescent="0.2">
      <c r="B39520" s="43"/>
    </row>
    <row r="39521" spans="2:2" ht="12.75" customHeight="1" x14ac:dyDescent="0.2">
      <c r="B39521" s="43"/>
    </row>
    <row r="39522" spans="2:2" ht="12.75" customHeight="1" x14ac:dyDescent="0.2">
      <c r="B39522" s="43"/>
    </row>
    <row r="39523" spans="2:2" ht="12.75" customHeight="1" x14ac:dyDescent="0.2">
      <c r="B39523" s="43"/>
    </row>
    <row r="39524" spans="2:2" ht="12.75" customHeight="1" x14ac:dyDescent="0.2">
      <c r="B39524" s="43"/>
    </row>
    <row r="39525" spans="2:2" ht="12.75" customHeight="1" x14ac:dyDescent="0.2">
      <c r="B39525" s="43"/>
    </row>
    <row r="39526" spans="2:2" ht="12.75" customHeight="1" x14ac:dyDescent="0.2">
      <c r="B39526" s="43"/>
    </row>
    <row r="39527" spans="2:2" ht="12.75" customHeight="1" x14ac:dyDescent="0.2">
      <c r="B39527" s="43"/>
    </row>
    <row r="39528" spans="2:2" ht="12.75" customHeight="1" x14ac:dyDescent="0.2">
      <c r="B39528" s="43"/>
    </row>
    <row r="39529" spans="2:2" ht="12.75" customHeight="1" x14ac:dyDescent="0.2">
      <c r="B39529" s="43"/>
    </row>
    <row r="39530" spans="2:2" ht="12.75" customHeight="1" x14ac:dyDescent="0.2">
      <c r="B39530" s="43"/>
    </row>
    <row r="39531" spans="2:2" ht="12.75" customHeight="1" x14ac:dyDescent="0.2">
      <c r="B39531" s="43"/>
    </row>
    <row r="39532" spans="2:2" ht="12.75" customHeight="1" x14ac:dyDescent="0.2">
      <c r="B39532" s="43"/>
    </row>
    <row r="39533" spans="2:2" ht="12.75" customHeight="1" x14ac:dyDescent="0.2">
      <c r="B39533" s="43"/>
    </row>
    <row r="39534" spans="2:2" ht="12.75" customHeight="1" x14ac:dyDescent="0.2">
      <c r="B39534" s="43"/>
    </row>
    <row r="39535" spans="2:2" ht="12.75" customHeight="1" x14ac:dyDescent="0.2">
      <c r="B39535" s="43"/>
    </row>
    <row r="39536" spans="2:2" ht="12.75" customHeight="1" x14ac:dyDescent="0.2">
      <c r="B39536" s="43"/>
    </row>
    <row r="39537" spans="2:2" ht="12.75" customHeight="1" x14ac:dyDescent="0.2">
      <c r="B39537" s="43"/>
    </row>
    <row r="39538" spans="2:2" ht="12.75" customHeight="1" x14ac:dyDescent="0.2">
      <c r="B39538" s="43"/>
    </row>
    <row r="39539" spans="2:2" ht="12.75" customHeight="1" x14ac:dyDescent="0.2">
      <c r="B39539" s="43"/>
    </row>
    <row r="39540" spans="2:2" ht="12.75" customHeight="1" x14ac:dyDescent="0.2">
      <c r="B39540" s="43"/>
    </row>
    <row r="39541" spans="2:2" ht="12.75" customHeight="1" x14ac:dyDescent="0.2">
      <c r="B39541" s="43"/>
    </row>
    <row r="39542" spans="2:2" ht="12.75" customHeight="1" x14ac:dyDescent="0.2">
      <c r="B39542" s="43"/>
    </row>
    <row r="39543" spans="2:2" ht="12.75" customHeight="1" x14ac:dyDescent="0.2">
      <c r="B39543" s="43"/>
    </row>
    <row r="39544" spans="2:2" ht="12.75" customHeight="1" x14ac:dyDescent="0.2">
      <c r="B39544" s="43"/>
    </row>
    <row r="39545" spans="2:2" ht="12.75" customHeight="1" x14ac:dyDescent="0.2">
      <c r="B39545" s="43"/>
    </row>
    <row r="39546" spans="2:2" ht="12.75" customHeight="1" x14ac:dyDescent="0.2">
      <c r="B39546" s="43"/>
    </row>
    <row r="39547" spans="2:2" ht="12.75" customHeight="1" x14ac:dyDescent="0.2">
      <c r="B39547" s="43"/>
    </row>
    <row r="39548" spans="2:2" ht="12.75" customHeight="1" x14ac:dyDescent="0.2">
      <c r="B39548" s="43"/>
    </row>
    <row r="39549" spans="2:2" ht="12.75" customHeight="1" x14ac:dyDescent="0.2">
      <c r="B39549" s="43"/>
    </row>
    <row r="39550" spans="2:2" ht="12.75" customHeight="1" x14ac:dyDescent="0.2">
      <c r="B39550" s="43"/>
    </row>
    <row r="39551" spans="2:2" ht="12.75" customHeight="1" x14ac:dyDescent="0.2">
      <c r="B39551" s="43"/>
    </row>
    <row r="39552" spans="2:2" ht="12.75" customHeight="1" x14ac:dyDescent="0.2">
      <c r="B39552" s="43"/>
    </row>
    <row r="39553" spans="2:2" ht="12.75" customHeight="1" x14ac:dyDescent="0.2">
      <c r="B39553" s="43"/>
    </row>
    <row r="39554" spans="2:2" ht="12.75" customHeight="1" x14ac:dyDescent="0.2">
      <c r="B39554" s="43"/>
    </row>
    <row r="39555" spans="2:2" ht="12.75" customHeight="1" x14ac:dyDescent="0.2">
      <c r="B39555" s="43"/>
    </row>
    <row r="39556" spans="2:2" ht="12.75" customHeight="1" x14ac:dyDescent="0.2">
      <c r="B39556" s="43"/>
    </row>
    <row r="39557" spans="2:2" ht="12.75" customHeight="1" x14ac:dyDescent="0.2">
      <c r="B39557" s="43"/>
    </row>
    <row r="39558" spans="2:2" ht="12.75" customHeight="1" x14ac:dyDescent="0.2">
      <c r="B39558" s="43"/>
    </row>
    <row r="39559" spans="2:2" ht="12.75" customHeight="1" x14ac:dyDescent="0.2">
      <c r="B39559" s="43"/>
    </row>
    <row r="39560" spans="2:2" ht="12.75" customHeight="1" x14ac:dyDescent="0.2">
      <c r="B39560" s="43"/>
    </row>
    <row r="39561" spans="2:2" ht="12.75" customHeight="1" x14ac:dyDescent="0.2">
      <c r="B39561" s="43"/>
    </row>
    <row r="39562" spans="2:2" ht="12.75" customHeight="1" x14ac:dyDescent="0.2">
      <c r="B39562" s="43"/>
    </row>
    <row r="39563" spans="2:2" ht="12.75" customHeight="1" x14ac:dyDescent="0.2">
      <c r="B39563" s="43"/>
    </row>
    <row r="39564" spans="2:2" ht="12.75" customHeight="1" x14ac:dyDescent="0.2">
      <c r="B39564" s="43"/>
    </row>
    <row r="39565" spans="2:2" ht="12.75" customHeight="1" x14ac:dyDescent="0.2">
      <c r="B39565" s="43"/>
    </row>
    <row r="39566" spans="2:2" ht="12.75" customHeight="1" x14ac:dyDescent="0.2">
      <c r="B39566" s="43"/>
    </row>
    <row r="39567" spans="2:2" ht="12.75" customHeight="1" x14ac:dyDescent="0.2">
      <c r="B39567" s="43"/>
    </row>
    <row r="39568" spans="2:2" ht="12.75" customHeight="1" x14ac:dyDescent="0.2">
      <c r="B39568" s="43"/>
    </row>
    <row r="39569" spans="2:2" ht="12.75" customHeight="1" x14ac:dyDescent="0.2">
      <c r="B39569" s="43"/>
    </row>
    <row r="39570" spans="2:2" ht="12.75" customHeight="1" x14ac:dyDescent="0.2">
      <c r="B39570" s="43"/>
    </row>
    <row r="39571" spans="2:2" ht="12.75" customHeight="1" x14ac:dyDescent="0.2">
      <c r="B39571" s="43"/>
    </row>
    <row r="39572" spans="2:2" ht="12.75" customHeight="1" x14ac:dyDescent="0.2">
      <c r="B39572" s="43"/>
    </row>
    <row r="39573" spans="2:2" ht="12.75" customHeight="1" x14ac:dyDescent="0.2">
      <c r="B39573" s="43"/>
    </row>
    <row r="39574" spans="2:2" ht="12.75" customHeight="1" x14ac:dyDescent="0.2">
      <c r="B39574" s="43"/>
    </row>
    <row r="39575" spans="2:2" ht="12.75" customHeight="1" x14ac:dyDescent="0.2">
      <c r="B39575" s="43"/>
    </row>
    <row r="39576" spans="2:2" ht="12.75" customHeight="1" x14ac:dyDescent="0.2">
      <c r="B39576" s="43"/>
    </row>
    <row r="39577" spans="2:2" ht="12.75" customHeight="1" x14ac:dyDescent="0.2">
      <c r="B39577" s="43"/>
    </row>
    <row r="39578" spans="2:2" ht="12.75" customHeight="1" x14ac:dyDescent="0.2">
      <c r="B39578" s="43"/>
    </row>
    <row r="39579" spans="2:2" ht="12.75" customHeight="1" x14ac:dyDescent="0.2">
      <c r="B39579" s="43"/>
    </row>
    <row r="39580" spans="2:2" ht="12.75" customHeight="1" x14ac:dyDescent="0.2">
      <c r="B39580" s="43"/>
    </row>
    <row r="39581" spans="2:2" ht="12.75" customHeight="1" x14ac:dyDescent="0.2">
      <c r="B39581" s="43"/>
    </row>
    <row r="39582" spans="2:2" ht="12.75" customHeight="1" x14ac:dyDescent="0.2">
      <c r="B39582" s="43"/>
    </row>
    <row r="39583" spans="2:2" ht="12.75" customHeight="1" x14ac:dyDescent="0.2">
      <c r="B39583" s="43"/>
    </row>
    <row r="39584" spans="2:2" ht="12.75" customHeight="1" x14ac:dyDescent="0.2">
      <c r="B39584" s="43"/>
    </row>
    <row r="39585" spans="2:2" ht="12.75" customHeight="1" x14ac:dyDescent="0.2">
      <c r="B39585" s="43"/>
    </row>
    <row r="39586" spans="2:2" ht="12.75" customHeight="1" x14ac:dyDescent="0.2">
      <c r="B39586" s="43"/>
    </row>
    <row r="39587" spans="2:2" ht="12.75" customHeight="1" x14ac:dyDescent="0.2">
      <c r="B39587" s="43"/>
    </row>
    <row r="39588" spans="2:2" ht="12.75" customHeight="1" x14ac:dyDescent="0.2">
      <c r="B39588" s="43"/>
    </row>
    <row r="39589" spans="2:2" ht="12.75" customHeight="1" x14ac:dyDescent="0.2">
      <c r="B39589" s="43"/>
    </row>
    <row r="39590" spans="2:2" ht="12.75" customHeight="1" x14ac:dyDescent="0.2">
      <c r="B39590" s="43"/>
    </row>
    <row r="39591" spans="2:2" ht="12.75" customHeight="1" x14ac:dyDescent="0.2">
      <c r="B39591" s="43"/>
    </row>
    <row r="39592" spans="2:2" ht="12.75" customHeight="1" x14ac:dyDescent="0.2">
      <c r="B39592" s="43"/>
    </row>
    <row r="39593" spans="2:2" ht="12.75" customHeight="1" x14ac:dyDescent="0.2">
      <c r="B39593" s="43"/>
    </row>
    <row r="39594" spans="2:2" ht="12.75" customHeight="1" x14ac:dyDescent="0.2">
      <c r="B39594" s="43"/>
    </row>
    <row r="39595" spans="2:2" ht="12.75" customHeight="1" x14ac:dyDescent="0.2">
      <c r="B39595" s="43"/>
    </row>
    <row r="39596" spans="2:2" ht="12.75" customHeight="1" x14ac:dyDescent="0.2">
      <c r="B39596" s="43"/>
    </row>
    <row r="39597" spans="2:2" ht="12.75" customHeight="1" x14ac:dyDescent="0.2">
      <c r="B39597" s="43"/>
    </row>
    <row r="39598" spans="2:2" ht="12.75" customHeight="1" x14ac:dyDescent="0.2">
      <c r="B39598" s="43"/>
    </row>
    <row r="39599" spans="2:2" ht="12.75" customHeight="1" x14ac:dyDescent="0.2">
      <c r="B39599" s="43"/>
    </row>
    <row r="39600" spans="2:2" ht="12.75" customHeight="1" x14ac:dyDescent="0.2">
      <c r="B39600" s="43"/>
    </row>
    <row r="39601" spans="2:2" ht="12.75" customHeight="1" x14ac:dyDescent="0.2">
      <c r="B39601" s="43"/>
    </row>
    <row r="39602" spans="2:2" ht="12.75" customHeight="1" x14ac:dyDescent="0.2">
      <c r="B39602" s="43"/>
    </row>
    <row r="39603" spans="2:2" ht="12.75" customHeight="1" x14ac:dyDescent="0.2">
      <c r="B39603" s="43"/>
    </row>
    <row r="39604" spans="2:2" ht="12.75" customHeight="1" x14ac:dyDescent="0.2">
      <c r="B39604" s="43"/>
    </row>
    <row r="39605" spans="2:2" ht="12.75" customHeight="1" x14ac:dyDescent="0.2">
      <c r="B39605" s="43"/>
    </row>
    <row r="39606" spans="2:2" ht="12.75" customHeight="1" x14ac:dyDescent="0.2">
      <c r="B39606" s="43"/>
    </row>
    <row r="39607" spans="2:2" ht="12.75" customHeight="1" x14ac:dyDescent="0.2">
      <c r="B39607" s="43"/>
    </row>
    <row r="39608" spans="2:2" ht="12.75" customHeight="1" x14ac:dyDescent="0.2">
      <c r="B39608" s="43"/>
    </row>
    <row r="39609" spans="2:2" ht="12.75" customHeight="1" x14ac:dyDescent="0.2">
      <c r="B39609" s="43"/>
    </row>
    <row r="39610" spans="2:2" ht="12.75" customHeight="1" x14ac:dyDescent="0.2">
      <c r="B39610" s="43"/>
    </row>
    <row r="39611" spans="2:2" ht="12.75" customHeight="1" x14ac:dyDescent="0.2">
      <c r="B39611" s="43"/>
    </row>
    <row r="39612" spans="2:2" ht="12.75" customHeight="1" x14ac:dyDescent="0.2">
      <c r="B39612" s="43"/>
    </row>
    <row r="39613" spans="2:2" ht="12.75" customHeight="1" x14ac:dyDescent="0.2">
      <c r="B39613" s="43"/>
    </row>
    <row r="39614" spans="2:2" ht="12.75" customHeight="1" x14ac:dyDescent="0.2">
      <c r="B39614" s="43"/>
    </row>
    <row r="39615" spans="2:2" ht="12.75" customHeight="1" x14ac:dyDescent="0.2">
      <c r="B39615" s="43"/>
    </row>
    <row r="39616" spans="2:2" ht="12.75" customHeight="1" x14ac:dyDescent="0.2">
      <c r="B39616" s="43"/>
    </row>
    <row r="39617" spans="2:2" ht="12.75" customHeight="1" x14ac:dyDescent="0.2">
      <c r="B39617" s="43"/>
    </row>
    <row r="39618" spans="2:2" ht="12.75" customHeight="1" x14ac:dyDescent="0.2">
      <c r="B39618" s="43"/>
    </row>
    <row r="39619" spans="2:2" ht="12.75" customHeight="1" x14ac:dyDescent="0.2">
      <c r="B39619" s="43"/>
    </row>
    <row r="39620" spans="2:2" ht="12.75" customHeight="1" x14ac:dyDescent="0.2">
      <c r="B39620" s="43"/>
    </row>
    <row r="39621" spans="2:2" ht="12.75" customHeight="1" x14ac:dyDescent="0.2">
      <c r="B39621" s="43"/>
    </row>
    <row r="39622" spans="2:2" ht="12.75" customHeight="1" x14ac:dyDescent="0.2">
      <c r="B39622" s="43"/>
    </row>
    <row r="39623" spans="2:2" ht="12.75" customHeight="1" x14ac:dyDescent="0.2">
      <c r="B39623" s="43"/>
    </row>
    <row r="39624" spans="2:2" ht="12.75" customHeight="1" x14ac:dyDescent="0.2">
      <c r="B39624" s="43"/>
    </row>
    <row r="39625" spans="2:2" ht="12.75" customHeight="1" x14ac:dyDescent="0.2">
      <c r="B39625" s="43"/>
    </row>
    <row r="39626" spans="2:2" ht="12.75" customHeight="1" x14ac:dyDescent="0.2">
      <c r="B39626" s="43"/>
    </row>
    <row r="39627" spans="2:2" ht="12.75" customHeight="1" x14ac:dyDescent="0.2">
      <c r="B39627" s="43"/>
    </row>
    <row r="39628" spans="2:2" ht="12.75" customHeight="1" x14ac:dyDescent="0.2">
      <c r="B39628" s="43"/>
    </row>
    <row r="39629" spans="2:2" ht="12.75" customHeight="1" x14ac:dyDescent="0.2">
      <c r="B39629" s="43"/>
    </row>
    <row r="39630" spans="2:2" ht="12.75" customHeight="1" x14ac:dyDescent="0.2">
      <c r="B39630" s="43"/>
    </row>
    <row r="39631" spans="2:2" ht="12.75" customHeight="1" x14ac:dyDescent="0.2">
      <c r="B39631" s="43"/>
    </row>
    <row r="39632" spans="2:2" ht="12.75" customHeight="1" x14ac:dyDescent="0.2">
      <c r="B39632" s="43"/>
    </row>
    <row r="39633" spans="2:2" ht="12.75" customHeight="1" x14ac:dyDescent="0.2">
      <c r="B39633" s="43"/>
    </row>
    <row r="39634" spans="2:2" ht="12.75" customHeight="1" x14ac:dyDescent="0.2">
      <c r="B39634" s="43"/>
    </row>
    <row r="39635" spans="2:2" ht="12.75" customHeight="1" x14ac:dyDescent="0.2">
      <c r="B39635" s="43"/>
    </row>
    <row r="39636" spans="2:2" ht="12.75" customHeight="1" x14ac:dyDescent="0.2">
      <c r="B39636" s="43"/>
    </row>
    <row r="39637" spans="2:2" ht="12.75" customHeight="1" x14ac:dyDescent="0.2">
      <c r="B39637" s="43"/>
    </row>
    <row r="39638" spans="2:2" ht="12.75" customHeight="1" x14ac:dyDescent="0.2">
      <c r="B39638" s="43"/>
    </row>
    <row r="39639" spans="2:2" ht="12.75" customHeight="1" x14ac:dyDescent="0.2">
      <c r="B39639" s="43"/>
    </row>
    <row r="39640" spans="2:2" ht="12.75" customHeight="1" x14ac:dyDescent="0.2">
      <c r="B39640" s="43"/>
    </row>
    <row r="39641" spans="2:2" ht="12.75" customHeight="1" x14ac:dyDescent="0.2">
      <c r="B39641" s="43"/>
    </row>
    <row r="39642" spans="2:2" ht="12.75" customHeight="1" x14ac:dyDescent="0.2">
      <c r="B39642" s="43"/>
    </row>
    <row r="39643" spans="2:2" ht="12.75" customHeight="1" x14ac:dyDescent="0.2">
      <c r="B39643" s="43"/>
    </row>
    <row r="39644" spans="2:2" ht="12.75" customHeight="1" x14ac:dyDescent="0.2">
      <c r="B39644" s="43"/>
    </row>
    <row r="39645" spans="2:2" ht="12.75" customHeight="1" x14ac:dyDescent="0.2">
      <c r="B39645" s="43"/>
    </row>
    <row r="39646" spans="2:2" ht="12.75" customHeight="1" x14ac:dyDescent="0.2">
      <c r="B39646" s="43"/>
    </row>
    <row r="39647" spans="2:2" ht="12.75" customHeight="1" x14ac:dyDescent="0.2">
      <c r="B39647" s="43"/>
    </row>
    <row r="39648" spans="2:2" ht="12.75" customHeight="1" x14ac:dyDescent="0.2">
      <c r="B39648" s="43"/>
    </row>
    <row r="39649" spans="2:2" ht="12.75" customHeight="1" x14ac:dyDescent="0.2">
      <c r="B39649" s="43"/>
    </row>
    <row r="39650" spans="2:2" ht="12.75" customHeight="1" x14ac:dyDescent="0.2">
      <c r="B39650" s="43"/>
    </row>
    <row r="39651" spans="2:2" ht="12.75" customHeight="1" x14ac:dyDescent="0.2">
      <c r="B39651" s="43"/>
    </row>
    <row r="39652" spans="2:2" ht="12.75" customHeight="1" x14ac:dyDescent="0.2">
      <c r="B39652" s="43"/>
    </row>
    <row r="39653" spans="2:2" ht="12.75" customHeight="1" x14ac:dyDescent="0.2">
      <c r="B39653" s="43"/>
    </row>
    <row r="39654" spans="2:2" ht="12.75" customHeight="1" x14ac:dyDescent="0.2">
      <c r="B39654" s="43"/>
    </row>
    <row r="39655" spans="2:2" ht="12.75" customHeight="1" x14ac:dyDescent="0.2">
      <c r="B39655" s="43"/>
    </row>
    <row r="39656" spans="2:2" ht="12.75" customHeight="1" x14ac:dyDescent="0.2">
      <c r="B39656" s="43"/>
    </row>
    <row r="39657" spans="2:2" ht="12.75" customHeight="1" x14ac:dyDescent="0.2">
      <c r="B39657" s="43"/>
    </row>
    <row r="39658" spans="2:2" ht="12.75" customHeight="1" x14ac:dyDescent="0.2">
      <c r="B39658" s="43"/>
    </row>
    <row r="39659" spans="2:2" ht="12.75" customHeight="1" x14ac:dyDescent="0.2">
      <c r="B39659" s="43"/>
    </row>
    <row r="39660" spans="2:2" ht="12.75" customHeight="1" x14ac:dyDescent="0.2">
      <c r="B39660" s="43"/>
    </row>
    <row r="39661" spans="2:2" ht="12.75" customHeight="1" x14ac:dyDescent="0.2">
      <c r="B39661" s="43"/>
    </row>
    <row r="39662" spans="2:2" ht="12.75" customHeight="1" x14ac:dyDescent="0.2">
      <c r="B39662" s="43"/>
    </row>
    <row r="39663" spans="2:2" ht="12.75" customHeight="1" x14ac:dyDescent="0.2">
      <c r="B39663" s="43"/>
    </row>
    <row r="39664" spans="2:2" ht="12.75" customHeight="1" x14ac:dyDescent="0.2">
      <c r="B39664" s="43"/>
    </row>
    <row r="39665" spans="2:2" ht="12.75" customHeight="1" x14ac:dyDescent="0.2">
      <c r="B39665" s="43"/>
    </row>
    <row r="39666" spans="2:2" ht="12.75" customHeight="1" x14ac:dyDescent="0.2">
      <c r="B39666" s="43"/>
    </row>
    <row r="39667" spans="2:2" ht="12.75" customHeight="1" x14ac:dyDescent="0.2">
      <c r="B39667" s="43"/>
    </row>
    <row r="39668" spans="2:2" ht="12.75" customHeight="1" x14ac:dyDescent="0.2">
      <c r="B39668" s="43"/>
    </row>
    <row r="39669" spans="2:2" ht="12.75" customHeight="1" x14ac:dyDescent="0.2">
      <c r="B39669" s="43"/>
    </row>
    <row r="39670" spans="2:2" ht="12.75" customHeight="1" x14ac:dyDescent="0.2">
      <c r="B39670" s="43"/>
    </row>
    <row r="39671" spans="2:2" ht="12.75" customHeight="1" x14ac:dyDescent="0.2">
      <c r="B39671" s="43"/>
    </row>
    <row r="39672" spans="2:2" ht="12.75" customHeight="1" x14ac:dyDescent="0.2">
      <c r="B39672" s="43"/>
    </row>
    <row r="39673" spans="2:2" ht="12.75" customHeight="1" x14ac:dyDescent="0.2">
      <c r="B39673" s="43"/>
    </row>
    <row r="39674" spans="2:2" ht="12.75" customHeight="1" x14ac:dyDescent="0.2">
      <c r="B39674" s="43"/>
    </row>
    <row r="39675" spans="2:2" ht="12.75" customHeight="1" x14ac:dyDescent="0.2">
      <c r="B39675" s="43"/>
    </row>
    <row r="39676" spans="2:2" ht="12.75" customHeight="1" x14ac:dyDescent="0.2">
      <c r="B39676" s="43"/>
    </row>
    <row r="39677" spans="2:2" ht="12.75" customHeight="1" x14ac:dyDescent="0.2">
      <c r="B39677" s="43"/>
    </row>
    <row r="39678" spans="2:2" ht="12.75" customHeight="1" x14ac:dyDescent="0.2">
      <c r="B39678" s="43"/>
    </row>
    <row r="39679" spans="2:2" ht="12.75" customHeight="1" x14ac:dyDescent="0.2">
      <c r="B39679" s="43"/>
    </row>
    <row r="39680" spans="2:2" ht="12.75" customHeight="1" x14ac:dyDescent="0.2">
      <c r="B39680" s="43"/>
    </row>
    <row r="39681" spans="2:2" ht="12.75" customHeight="1" x14ac:dyDescent="0.2">
      <c r="B39681" s="43"/>
    </row>
    <row r="39682" spans="2:2" ht="12.75" customHeight="1" x14ac:dyDescent="0.2">
      <c r="B39682" s="43"/>
    </row>
    <row r="39683" spans="2:2" ht="12.75" customHeight="1" x14ac:dyDescent="0.2">
      <c r="B39683" s="43"/>
    </row>
    <row r="39684" spans="2:2" ht="12.75" customHeight="1" x14ac:dyDescent="0.2">
      <c r="B39684" s="43"/>
    </row>
    <row r="39685" spans="2:2" ht="12.75" customHeight="1" x14ac:dyDescent="0.2">
      <c r="B39685" s="43"/>
    </row>
    <row r="39686" spans="2:2" ht="12.75" customHeight="1" x14ac:dyDescent="0.2">
      <c r="B39686" s="43"/>
    </row>
    <row r="39687" spans="2:2" ht="12.75" customHeight="1" x14ac:dyDescent="0.2">
      <c r="B39687" s="43"/>
    </row>
    <row r="39688" spans="2:2" ht="12.75" customHeight="1" x14ac:dyDescent="0.2">
      <c r="B39688" s="43"/>
    </row>
    <row r="39689" spans="2:2" ht="12.75" customHeight="1" x14ac:dyDescent="0.2">
      <c r="B39689" s="43"/>
    </row>
    <row r="39690" spans="2:2" ht="12.75" customHeight="1" x14ac:dyDescent="0.2">
      <c r="B39690" s="43"/>
    </row>
    <row r="39691" spans="2:2" ht="12.75" customHeight="1" x14ac:dyDescent="0.2">
      <c r="B39691" s="43"/>
    </row>
    <row r="39692" spans="2:2" ht="12.75" customHeight="1" x14ac:dyDescent="0.2">
      <c r="B39692" s="43"/>
    </row>
    <row r="39693" spans="2:2" ht="12.75" customHeight="1" x14ac:dyDescent="0.2">
      <c r="B39693" s="43"/>
    </row>
    <row r="39694" spans="2:2" ht="12.75" customHeight="1" x14ac:dyDescent="0.2">
      <c r="B39694" s="43"/>
    </row>
    <row r="39695" spans="2:2" ht="12.75" customHeight="1" x14ac:dyDescent="0.2">
      <c r="B39695" s="43"/>
    </row>
    <row r="39696" spans="2:2" ht="12.75" customHeight="1" x14ac:dyDescent="0.2">
      <c r="B39696" s="43"/>
    </row>
    <row r="39697" spans="2:2" ht="12.75" customHeight="1" x14ac:dyDescent="0.2">
      <c r="B39697" s="43"/>
    </row>
    <row r="39698" spans="2:2" ht="12.75" customHeight="1" x14ac:dyDescent="0.2">
      <c r="B39698" s="43"/>
    </row>
    <row r="39699" spans="2:2" ht="12.75" customHeight="1" x14ac:dyDescent="0.2">
      <c r="B39699" s="43"/>
    </row>
    <row r="39700" spans="2:2" ht="12.75" customHeight="1" x14ac:dyDescent="0.2">
      <c r="B39700" s="43"/>
    </row>
    <row r="39701" spans="2:2" ht="12.75" customHeight="1" x14ac:dyDescent="0.2">
      <c r="B39701" s="43"/>
    </row>
    <row r="39702" spans="2:2" ht="12.75" customHeight="1" x14ac:dyDescent="0.2">
      <c r="B39702" s="43"/>
    </row>
    <row r="39703" spans="2:2" ht="12.75" customHeight="1" x14ac:dyDescent="0.2">
      <c r="B39703" s="43"/>
    </row>
    <row r="39704" spans="2:2" ht="12.75" customHeight="1" x14ac:dyDescent="0.2">
      <c r="B39704" s="43"/>
    </row>
    <row r="39705" spans="2:2" ht="12.75" customHeight="1" x14ac:dyDescent="0.2">
      <c r="B39705" s="43"/>
    </row>
    <row r="39706" spans="2:2" ht="12.75" customHeight="1" x14ac:dyDescent="0.2">
      <c r="B39706" s="43"/>
    </row>
    <row r="39707" spans="2:2" ht="12.75" customHeight="1" x14ac:dyDescent="0.2">
      <c r="B39707" s="43"/>
    </row>
    <row r="39708" spans="2:2" ht="12.75" customHeight="1" x14ac:dyDescent="0.2">
      <c r="B39708" s="43"/>
    </row>
    <row r="39709" spans="2:2" ht="12.75" customHeight="1" x14ac:dyDescent="0.2">
      <c r="B39709" s="43"/>
    </row>
    <row r="39710" spans="2:2" ht="12.75" customHeight="1" x14ac:dyDescent="0.2">
      <c r="B39710" s="43"/>
    </row>
    <row r="39711" spans="2:2" ht="12.75" customHeight="1" x14ac:dyDescent="0.2">
      <c r="B39711" s="43"/>
    </row>
    <row r="39712" spans="2:2" ht="12.75" customHeight="1" x14ac:dyDescent="0.2">
      <c r="B39712" s="43"/>
    </row>
    <row r="39713" spans="2:2" ht="12.75" customHeight="1" x14ac:dyDescent="0.2">
      <c r="B39713" s="43"/>
    </row>
    <row r="39714" spans="2:2" ht="12.75" customHeight="1" x14ac:dyDescent="0.2">
      <c r="B39714" s="43"/>
    </row>
    <row r="39715" spans="2:2" ht="12.75" customHeight="1" x14ac:dyDescent="0.2">
      <c r="B39715" s="43"/>
    </row>
    <row r="39716" spans="2:2" ht="12.75" customHeight="1" x14ac:dyDescent="0.2">
      <c r="B39716" s="43"/>
    </row>
    <row r="39717" spans="2:2" ht="12.75" customHeight="1" x14ac:dyDescent="0.2">
      <c r="B39717" s="43"/>
    </row>
    <row r="39718" spans="2:2" ht="12.75" customHeight="1" x14ac:dyDescent="0.2">
      <c r="B39718" s="43"/>
    </row>
    <row r="39719" spans="2:2" ht="12.75" customHeight="1" x14ac:dyDescent="0.2">
      <c r="B39719" s="43"/>
    </row>
    <row r="39720" spans="2:2" ht="12.75" customHeight="1" x14ac:dyDescent="0.2">
      <c r="B39720" s="43"/>
    </row>
    <row r="39721" spans="2:2" ht="12.75" customHeight="1" x14ac:dyDescent="0.2">
      <c r="B39721" s="43"/>
    </row>
    <row r="39722" spans="2:2" ht="12.75" customHeight="1" x14ac:dyDescent="0.2">
      <c r="B39722" s="43"/>
    </row>
    <row r="39723" spans="2:2" ht="12.75" customHeight="1" x14ac:dyDescent="0.2">
      <c r="B39723" s="43"/>
    </row>
    <row r="39724" spans="2:2" ht="12.75" customHeight="1" x14ac:dyDescent="0.2">
      <c r="B39724" s="43"/>
    </row>
    <row r="39725" spans="2:2" ht="12.75" customHeight="1" x14ac:dyDescent="0.2">
      <c r="B39725" s="43"/>
    </row>
    <row r="39726" spans="2:2" ht="12.75" customHeight="1" x14ac:dyDescent="0.2">
      <c r="B39726" s="43"/>
    </row>
    <row r="39727" spans="2:2" ht="12.75" customHeight="1" x14ac:dyDescent="0.2">
      <c r="B39727" s="43"/>
    </row>
    <row r="39728" spans="2:2" ht="12.75" customHeight="1" x14ac:dyDescent="0.2">
      <c r="B39728" s="43"/>
    </row>
    <row r="39729" spans="2:2" ht="12.75" customHeight="1" x14ac:dyDescent="0.2">
      <c r="B39729" s="43"/>
    </row>
    <row r="39730" spans="2:2" ht="12.75" customHeight="1" x14ac:dyDescent="0.2">
      <c r="B39730" s="43"/>
    </row>
    <row r="39731" spans="2:2" ht="12.75" customHeight="1" x14ac:dyDescent="0.2">
      <c r="B39731" s="43"/>
    </row>
    <row r="39732" spans="2:2" ht="12.75" customHeight="1" x14ac:dyDescent="0.2">
      <c r="B39732" s="43"/>
    </row>
    <row r="39733" spans="2:2" ht="12.75" customHeight="1" x14ac:dyDescent="0.2">
      <c r="B39733" s="43"/>
    </row>
    <row r="39734" spans="2:2" ht="12.75" customHeight="1" x14ac:dyDescent="0.2">
      <c r="B39734" s="43"/>
    </row>
    <row r="39735" spans="2:2" ht="12.75" customHeight="1" x14ac:dyDescent="0.2">
      <c r="B39735" s="43"/>
    </row>
    <row r="39736" spans="2:2" ht="12.75" customHeight="1" x14ac:dyDescent="0.2">
      <c r="B39736" s="43"/>
    </row>
    <row r="39737" spans="2:2" ht="12.75" customHeight="1" x14ac:dyDescent="0.2">
      <c r="B39737" s="43"/>
    </row>
    <row r="39738" spans="2:2" ht="12.75" customHeight="1" x14ac:dyDescent="0.2">
      <c r="B39738" s="43"/>
    </row>
    <row r="39739" spans="2:2" ht="12.75" customHeight="1" x14ac:dyDescent="0.2">
      <c r="B39739" s="43"/>
    </row>
    <row r="39740" spans="2:2" ht="12.75" customHeight="1" x14ac:dyDescent="0.2">
      <c r="B39740" s="43"/>
    </row>
    <row r="39741" spans="2:2" ht="12.75" customHeight="1" x14ac:dyDescent="0.2">
      <c r="B39741" s="43"/>
    </row>
    <row r="39742" spans="2:2" ht="12.75" customHeight="1" x14ac:dyDescent="0.2">
      <c r="B39742" s="43"/>
    </row>
    <row r="39743" spans="2:2" ht="12.75" customHeight="1" x14ac:dyDescent="0.2">
      <c r="B39743" s="43"/>
    </row>
    <row r="39744" spans="2:2" ht="12.75" customHeight="1" x14ac:dyDescent="0.2">
      <c r="B39744" s="43"/>
    </row>
    <row r="39745" spans="2:2" ht="12.75" customHeight="1" x14ac:dyDescent="0.2">
      <c r="B39745" s="43"/>
    </row>
    <row r="39746" spans="2:2" ht="12.75" customHeight="1" x14ac:dyDescent="0.2">
      <c r="B39746" s="43"/>
    </row>
    <row r="39747" spans="2:2" ht="12.75" customHeight="1" x14ac:dyDescent="0.2">
      <c r="B39747" s="43"/>
    </row>
    <row r="39748" spans="2:2" ht="12.75" customHeight="1" x14ac:dyDescent="0.2">
      <c r="B39748" s="43"/>
    </row>
    <row r="39749" spans="2:2" ht="12.75" customHeight="1" x14ac:dyDescent="0.2">
      <c r="B39749" s="43"/>
    </row>
    <row r="39750" spans="2:2" ht="12.75" customHeight="1" x14ac:dyDescent="0.2">
      <c r="B39750" s="43"/>
    </row>
    <row r="39751" spans="2:2" ht="12.75" customHeight="1" x14ac:dyDescent="0.2">
      <c r="B39751" s="43"/>
    </row>
    <row r="39752" spans="2:2" ht="12.75" customHeight="1" x14ac:dyDescent="0.2">
      <c r="B39752" s="43"/>
    </row>
    <row r="39753" spans="2:2" ht="12.75" customHeight="1" x14ac:dyDescent="0.2">
      <c r="B39753" s="43"/>
    </row>
    <row r="39754" spans="2:2" ht="12.75" customHeight="1" x14ac:dyDescent="0.2">
      <c r="B39754" s="43"/>
    </row>
    <row r="39755" spans="2:2" ht="12.75" customHeight="1" x14ac:dyDescent="0.2">
      <c r="B39755" s="43"/>
    </row>
    <row r="39756" spans="2:2" ht="12.75" customHeight="1" x14ac:dyDescent="0.2">
      <c r="B39756" s="43"/>
    </row>
    <row r="39757" spans="2:2" ht="12.75" customHeight="1" x14ac:dyDescent="0.2">
      <c r="B39757" s="43"/>
    </row>
    <row r="39758" spans="2:2" ht="12.75" customHeight="1" x14ac:dyDescent="0.2">
      <c r="B39758" s="43"/>
    </row>
    <row r="39759" spans="2:2" ht="12.75" customHeight="1" x14ac:dyDescent="0.2">
      <c r="B39759" s="43"/>
    </row>
    <row r="39760" spans="2:2" ht="12.75" customHeight="1" x14ac:dyDescent="0.2">
      <c r="B39760" s="43"/>
    </row>
    <row r="39761" spans="2:2" ht="12.75" customHeight="1" x14ac:dyDescent="0.2">
      <c r="B39761" s="43"/>
    </row>
    <row r="39762" spans="2:2" ht="12.75" customHeight="1" x14ac:dyDescent="0.2">
      <c r="B39762" s="43"/>
    </row>
    <row r="39763" spans="2:2" ht="12.75" customHeight="1" x14ac:dyDescent="0.2">
      <c r="B39763" s="43"/>
    </row>
    <row r="39764" spans="2:2" ht="12.75" customHeight="1" x14ac:dyDescent="0.2">
      <c r="B39764" s="43"/>
    </row>
    <row r="39765" spans="2:2" ht="12.75" customHeight="1" x14ac:dyDescent="0.2">
      <c r="B39765" s="43"/>
    </row>
    <row r="39766" spans="2:2" ht="12.75" customHeight="1" x14ac:dyDescent="0.2">
      <c r="B39766" s="43"/>
    </row>
    <row r="39767" spans="2:2" ht="12.75" customHeight="1" x14ac:dyDescent="0.2">
      <c r="B39767" s="43"/>
    </row>
    <row r="39768" spans="2:2" ht="12.75" customHeight="1" x14ac:dyDescent="0.2">
      <c r="B39768" s="43"/>
    </row>
    <row r="39769" spans="2:2" ht="12.75" customHeight="1" x14ac:dyDescent="0.2">
      <c r="B39769" s="43"/>
    </row>
    <row r="39770" spans="2:2" ht="12.75" customHeight="1" x14ac:dyDescent="0.2">
      <c r="B39770" s="43"/>
    </row>
    <row r="39771" spans="2:2" ht="12.75" customHeight="1" x14ac:dyDescent="0.2">
      <c r="B39771" s="43"/>
    </row>
    <row r="39772" spans="2:2" ht="12.75" customHeight="1" x14ac:dyDescent="0.2">
      <c r="B39772" s="43"/>
    </row>
    <row r="39773" spans="2:2" ht="12.75" customHeight="1" x14ac:dyDescent="0.2">
      <c r="B39773" s="43"/>
    </row>
    <row r="39774" spans="2:2" ht="12.75" customHeight="1" x14ac:dyDescent="0.2">
      <c r="B39774" s="43"/>
    </row>
    <row r="39775" spans="2:2" ht="12.75" customHeight="1" x14ac:dyDescent="0.2">
      <c r="B39775" s="43"/>
    </row>
    <row r="39776" spans="2:2" ht="12.75" customHeight="1" x14ac:dyDescent="0.2">
      <c r="B39776" s="43"/>
    </row>
    <row r="39777" spans="2:2" ht="12.75" customHeight="1" x14ac:dyDescent="0.2">
      <c r="B39777" s="43"/>
    </row>
    <row r="39778" spans="2:2" ht="12.75" customHeight="1" x14ac:dyDescent="0.2">
      <c r="B39778" s="43"/>
    </row>
    <row r="39779" spans="2:2" ht="12.75" customHeight="1" x14ac:dyDescent="0.2">
      <c r="B39779" s="43"/>
    </row>
    <row r="39780" spans="2:2" ht="12.75" customHeight="1" x14ac:dyDescent="0.2">
      <c r="B39780" s="43"/>
    </row>
    <row r="39781" spans="2:2" ht="12.75" customHeight="1" x14ac:dyDescent="0.2">
      <c r="B39781" s="43"/>
    </row>
    <row r="39782" spans="2:2" ht="12.75" customHeight="1" x14ac:dyDescent="0.2">
      <c r="B39782" s="43"/>
    </row>
    <row r="39783" spans="2:2" ht="12.75" customHeight="1" x14ac:dyDescent="0.2">
      <c r="B39783" s="43"/>
    </row>
    <row r="39784" spans="2:2" ht="12.75" customHeight="1" x14ac:dyDescent="0.2">
      <c r="B39784" s="43"/>
    </row>
    <row r="39785" spans="2:2" ht="12.75" customHeight="1" x14ac:dyDescent="0.2">
      <c r="B39785" s="43"/>
    </row>
    <row r="39786" spans="2:2" ht="12.75" customHeight="1" x14ac:dyDescent="0.2">
      <c r="B39786" s="43"/>
    </row>
    <row r="39787" spans="2:2" ht="12.75" customHeight="1" x14ac:dyDescent="0.2">
      <c r="B39787" s="43"/>
    </row>
    <row r="39788" spans="2:2" ht="12.75" customHeight="1" x14ac:dyDescent="0.2">
      <c r="B39788" s="43"/>
    </row>
    <row r="39789" spans="2:2" ht="12.75" customHeight="1" x14ac:dyDescent="0.2">
      <c r="B39789" s="43"/>
    </row>
    <row r="39790" spans="2:2" ht="12.75" customHeight="1" x14ac:dyDescent="0.2">
      <c r="B39790" s="43"/>
    </row>
    <row r="39791" spans="2:2" ht="12.75" customHeight="1" x14ac:dyDescent="0.2">
      <c r="B39791" s="43"/>
    </row>
    <row r="39792" spans="2:2" ht="12.75" customHeight="1" x14ac:dyDescent="0.2">
      <c r="B39792" s="43"/>
    </row>
    <row r="39793" spans="2:2" ht="12.75" customHeight="1" x14ac:dyDescent="0.2">
      <c r="B39793" s="43"/>
    </row>
    <row r="39794" spans="2:2" ht="12.75" customHeight="1" x14ac:dyDescent="0.2">
      <c r="B39794" s="43"/>
    </row>
    <row r="39795" spans="2:2" ht="12.75" customHeight="1" x14ac:dyDescent="0.2">
      <c r="B39795" s="43"/>
    </row>
    <row r="39796" spans="2:2" ht="12.75" customHeight="1" x14ac:dyDescent="0.2">
      <c r="B39796" s="43"/>
    </row>
    <row r="39797" spans="2:2" ht="12.75" customHeight="1" x14ac:dyDescent="0.2">
      <c r="B39797" s="43"/>
    </row>
    <row r="39798" spans="2:2" ht="12.75" customHeight="1" x14ac:dyDescent="0.2">
      <c r="B39798" s="43"/>
    </row>
    <row r="39799" spans="2:2" ht="12.75" customHeight="1" x14ac:dyDescent="0.2">
      <c r="B39799" s="43"/>
    </row>
    <row r="39800" spans="2:2" ht="12.75" customHeight="1" x14ac:dyDescent="0.2">
      <c r="B39800" s="43"/>
    </row>
    <row r="39801" spans="2:2" ht="12.75" customHeight="1" x14ac:dyDescent="0.2">
      <c r="B39801" s="43"/>
    </row>
    <row r="39802" spans="2:2" ht="12.75" customHeight="1" x14ac:dyDescent="0.2">
      <c r="B39802" s="43"/>
    </row>
    <row r="39803" spans="2:2" ht="12.75" customHeight="1" x14ac:dyDescent="0.2">
      <c r="B39803" s="43"/>
    </row>
    <row r="39804" spans="2:2" ht="12.75" customHeight="1" x14ac:dyDescent="0.2">
      <c r="B39804" s="43"/>
    </row>
    <row r="39805" spans="2:2" ht="12.75" customHeight="1" x14ac:dyDescent="0.2">
      <c r="B39805" s="43"/>
    </row>
    <row r="39806" spans="2:2" ht="12.75" customHeight="1" x14ac:dyDescent="0.2">
      <c r="B39806" s="43"/>
    </row>
    <row r="39807" spans="2:2" ht="12.75" customHeight="1" x14ac:dyDescent="0.2">
      <c r="B39807" s="43"/>
    </row>
    <row r="39808" spans="2:2" ht="12.75" customHeight="1" x14ac:dyDescent="0.2">
      <c r="B39808" s="43"/>
    </row>
    <row r="39809" spans="2:2" ht="12.75" customHeight="1" x14ac:dyDescent="0.2">
      <c r="B39809" s="43"/>
    </row>
    <row r="39810" spans="2:2" ht="12.75" customHeight="1" x14ac:dyDescent="0.2">
      <c r="B39810" s="43"/>
    </row>
    <row r="39811" spans="2:2" ht="12.75" customHeight="1" x14ac:dyDescent="0.2">
      <c r="B39811" s="43"/>
    </row>
    <row r="39812" spans="2:2" ht="12.75" customHeight="1" x14ac:dyDescent="0.2">
      <c r="B39812" s="43"/>
    </row>
    <row r="39813" spans="2:2" ht="12.75" customHeight="1" x14ac:dyDescent="0.2">
      <c r="B39813" s="43"/>
    </row>
    <row r="39814" spans="2:2" ht="12.75" customHeight="1" x14ac:dyDescent="0.2">
      <c r="B39814" s="43"/>
    </row>
    <row r="39815" spans="2:2" ht="12.75" customHeight="1" x14ac:dyDescent="0.2">
      <c r="B39815" s="43"/>
    </row>
    <row r="39816" spans="2:2" ht="12.75" customHeight="1" x14ac:dyDescent="0.2">
      <c r="B39816" s="43"/>
    </row>
    <row r="39817" spans="2:2" ht="12.75" customHeight="1" x14ac:dyDescent="0.2">
      <c r="B39817" s="43"/>
    </row>
    <row r="39818" spans="2:2" ht="12.75" customHeight="1" x14ac:dyDescent="0.2">
      <c r="B39818" s="43"/>
    </row>
    <row r="39819" spans="2:2" ht="12.75" customHeight="1" x14ac:dyDescent="0.2">
      <c r="B39819" s="43"/>
    </row>
    <row r="39820" spans="2:2" ht="12.75" customHeight="1" x14ac:dyDescent="0.2">
      <c r="B39820" s="43"/>
    </row>
    <row r="39821" spans="2:2" ht="12.75" customHeight="1" x14ac:dyDescent="0.2">
      <c r="B39821" s="43"/>
    </row>
    <row r="39822" spans="2:2" ht="12.75" customHeight="1" x14ac:dyDescent="0.2">
      <c r="B39822" s="43"/>
    </row>
    <row r="39823" spans="2:2" ht="12.75" customHeight="1" x14ac:dyDescent="0.2">
      <c r="B39823" s="43"/>
    </row>
    <row r="39824" spans="2:2" ht="12.75" customHeight="1" x14ac:dyDescent="0.2">
      <c r="B39824" s="43"/>
    </row>
    <row r="39825" spans="2:2" ht="12.75" customHeight="1" x14ac:dyDescent="0.2">
      <c r="B39825" s="43"/>
    </row>
    <row r="39826" spans="2:2" ht="12.75" customHeight="1" x14ac:dyDescent="0.2">
      <c r="B39826" s="43"/>
    </row>
    <row r="39827" spans="2:2" ht="12.75" customHeight="1" x14ac:dyDescent="0.2">
      <c r="B39827" s="43"/>
    </row>
    <row r="39828" spans="2:2" ht="12.75" customHeight="1" x14ac:dyDescent="0.2">
      <c r="B39828" s="43"/>
    </row>
    <row r="39829" spans="2:2" ht="12.75" customHeight="1" x14ac:dyDescent="0.2">
      <c r="B39829" s="43"/>
    </row>
    <row r="39830" spans="2:2" ht="12.75" customHeight="1" x14ac:dyDescent="0.2">
      <c r="B39830" s="43"/>
    </row>
    <row r="39831" spans="2:2" ht="12.75" customHeight="1" x14ac:dyDescent="0.2">
      <c r="B39831" s="43"/>
    </row>
    <row r="39832" spans="2:2" ht="12.75" customHeight="1" x14ac:dyDescent="0.2">
      <c r="B39832" s="43"/>
    </row>
    <row r="39833" spans="2:2" ht="12.75" customHeight="1" x14ac:dyDescent="0.2">
      <c r="B39833" s="43"/>
    </row>
    <row r="39834" spans="2:2" ht="12.75" customHeight="1" x14ac:dyDescent="0.2">
      <c r="B39834" s="43"/>
    </row>
    <row r="39835" spans="2:2" ht="12.75" customHeight="1" x14ac:dyDescent="0.2">
      <c r="B39835" s="43"/>
    </row>
    <row r="39836" spans="2:2" ht="12.75" customHeight="1" x14ac:dyDescent="0.2">
      <c r="B39836" s="43"/>
    </row>
    <row r="39837" spans="2:2" ht="12.75" customHeight="1" x14ac:dyDescent="0.2">
      <c r="B39837" s="43"/>
    </row>
    <row r="39838" spans="2:2" ht="12.75" customHeight="1" x14ac:dyDescent="0.2">
      <c r="B39838" s="43"/>
    </row>
    <row r="39839" spans="2:2" ht="12.75" customHeight="1" x14ac:dyDescent="0.2">
      <c r="B39839" s="43"/>
    </row>
    <row r="39840" spans="2:2" ht="12.75" customHeight="1" x14ac:dyDescent="0.2">
      <c r="B39840" s="43"/>
    </row>
    <row r="39841" spans="2:2" ht="12.75" customHeight="1" x14ac:dyDescent="0.2">
      <c r="B39841" s="43"/>
    </row>
    <row r="39842" spans="2:2" ht="12.75" customHeight="1" x14ac:dyDescent="0.2">
      <c r="B39842" s="43"/>
    </row>
    <row r="39843" spans="2:2" ht="12.75" customHeight="1" x14ac:dyDescent="0.2">
      <c r="B39843" s="43"/>
    </row>
    <row r="39844" spans="2:2" ht="12.75" customHeight="1" x14ac:dyDescent="0.2">
      <c r="B39844" s="43"/>
    </row>
    <row r="39845" spans="2:2" ht="12.75" customHeight="1" x14ac:dyDescent="0.2">
      <c r="B39845" s="43"/>
    </row>
    <row r="39846" spans="2:2" ht="12.75" customHeight="1" x14ac:dyDescent="0.2">
      <c r="B39846" s="43"/>
    </row>
    <row r="39847" spans="2:2" ht="12.75" customHeight="1" x14ac:dyDescent="0.2">
      <c r="B39847" s="43"/>
    </row>
    <row r="39848" spans="2:2" ht="12.75" customHeight="1" x14ac:dyDescent="0.2">
      <c r="B39848" s="43"/>
    </row>
    <row r="39849" spans="2:2" ht="12.75" customHeight="1" x14ac:dyDescent="0.2">
      <c r="B39849" s="43"/>
    </row>
    <row r="39850" spans="2:2" ht="12.75" customHeight="1" x14ac:dyDescent="0.2">
      <c r="B39850" s="43"/>
    </row>
    <row r="39851" spans="2:2" ht="12.75" customHeight="1" x14ac:dyDescent="0.2">
      <c r="B39851" s="43"/>
    </row>
    <row r="39852" spans="2:2" ht="12.75" customHeight="1" x14ac:dyDescent="0.2">
      <c r="B39852" s="43"/>
    </row>
    <row r="39853" spans="2:2" ht="12.75" customHeight="1" x14ac:dyDescent="0.2">
      <c r="B39853" s="43"/>
    </row>
    <row r="39854" spans="2:2" ht="12.75" customHeight="1" x14ac:dyDescent="0.2">
      <c r="B39854" s="43"/>
    </row>
    <row r="39855" spans="2:2" ht="12.75" customHeight="1" x14ac:dyDescent="0.2">
      <c r="B39855" s="43"/>
    </row>
    <row r="39856" spans="2:2" ht="12.75" customHeight="1" x14ac:dyDescent="0.2">
      <c r="B39856" s="43"/>
    </row>
    <row r="39857" spans="2:2" ht="12.75" customHeight="1" x14ac:dyDescent="0.2">
      <c r="B39857" s="43"/>
    </row>
    <row r="39858" spans="2:2" ht="12.75" customHeight="1" x14ac:dyDescent="0.2">
      <c r="B39858" s="43"/>
    </row>
    <row r="39859" spans="2:2" ht="12.75" customHeight="1" x14ac:dyDescent="0.2">
      <c r="B39859" s="43"/>
    </row>
    <row r="39860" spans="2:2" ht="12.75" customHeight="1" x14ac:dyDescent="0.2">
      <c r="B39860" s="43"/>
    </row>
    <row r="39861" spans="2:2" ht="12.75" customHeight="1" x14ac:dyDescent="0.2">
      <c r="B39861" s="43"/>
    </row>
    <row r="39862" spans="2:2" ht="12.75" customHeight="1" x14ac:dyDescent="0.2">
      <c r="B39862" s="43"/>
    </row>
    <row r="39863" spans="2:2" ht="12.75" customHeight="1" x14ac:dyDescent="0.2">
      <c r="B39863" s="43"/>
    </row>
    <row r="39864" spans="2:2" ht="12.75" customHeight="1" x14ac:dyDescent="0.2">
      <c r="B39864" s="43"/>
    </row>
    <row r="39865" spans="2:2" ht="12.75" customHeight="1" x14ac:dyDescent="0.2">
      <c r="B39865" s="43"/>
    </row>
    <row r="39866" spans="2:2" ht="12.75" customHeight="1" x14ac:dyDescent="0.2">
      <c r="B39866" s="43"/>
    </row>
    <row r="39867" spans="2:2" ht="12.75" customHeight="1" x14ac:dyDescent="0.2">
      <c r="B39867" s="43"/>
    </row>
    <row r="39868" spans="2:2" ht="12.75" customHeight="1" x14ac:dyDescent="0.2">
      <c r="B39868" s="43"/>
    </row>
    <row r="39869" spans="2:2" ht="12.75" customHeight="1" x14ac:dyDescent="0.2">
      <c r="B39869" s="43"/>
    </row>
    <row r="39870" spans="2:2" ht="12.75" customHeight="1" x14ac:dyDescent="0.2">
      <c r="B39870" s="43"/>
    </row>
    <row r="39871" spans="2:2" ht="12.75" customHeight="1" x14ac:dyDescent="0.2">
      <c r="B39871" s="43"/>
    </row>
    <row r="39872" spans="2:2" ht="12.75" customHeight="1" x14ac:dyDescent="0.2">
      <c r="B39872" s="43"/>
    </row>
    <row r="39873" spans="2:2" ht="12.75" customHeight="1" x14ac:dyDescent="0.2">
      <c r="B39873" s="43"/>
    </row>
    <row r="39874" spans="2:2" ht="12.75" customHeight="1" x14ac:dyDescent="0.2">
      <c r="B39874" s="43"/>
    </row>
    <row r="39875" spans="2:2" ht="12.75" customHeight="1" x14ac:dyDescent="0.2">
      <c r="B39875" s="43"/>
    </row>
    <row r="39876" spans="2:2" ht="12.75" customHeight="1" x14ac:dyDescent="0.2">
      <c r="B39876" s="43"/>
    </row>
    <row r="39877" spans="2:2" ht="12.75" customHeight="1" x14ac:dyDescent="0.2">
      <c r="B39877" s="43"/>
    </row>
    <row r="39878" spans="2:2" ht="12.75" customHeight="1" x14ac:dyDescent="0.2">
      <c r="B39878" s="43"/>
    </row>
    <row r="39879" spans="2:2" ht="12.75" customHeight="1" x14ac:dyDescent="0.2">
      <c r="B39879" s="43"/>
    </row>
    <row r="39880" spans="2:2" ht="12.75" customHeight="1" x14ac:dyDescent="0.2">
      <c r="B39880" s="43"/>
    </row>
    <row r="39881" spans="2:2" ht="12.75" customHeight="1" x14ac:dyDescent="0.2">
      <c r="B39881" s="43"/>
    </row>
    <row r="39882" spans="2:2" ht="12.75" customHeight="1" x14ac:dyDescent="0.2">
      <c r="B39882" s="43"/>
    </row>
    <row r="39883" spans="2:2" ht="12.75" customHeight="1" x14ac:dyDescent="0.2">
      <c r="B39883" s="43"/>
    </row>
    <row r="39884" spans="2:2" ht="12.75" customHeight="1" x14ac:dyDescent="0.2">
      <c r="B39884" s="43"/>
    </row>
    <row r="39885" spans="2:2" ht="12.75" customHeight="1" x14ac:dyDescent="0.2">
      <c r="B39885" s="43"/>
    </row>
    <row r="39886" spans="2:2" ht="12.75" customHeight="1" x14ac:dyDescent="0.2">
      <c r="B39886" s="43"/>
    </row>
    <row r="39887" spans="2:2" ht="12.75" customHeight="1" x14ac:dyDescent="0.2">
      <c r="B39887" s="43"/>
    </row>
    <row r="39888" spans="2:2" ht="12.75" customHeight="1" x14ac:dyDescent="0.2">
      <c r="B39888" s="43"/>
    </row>
    <row r="39889" spans="2:2" ht="12.75" customHeight="1" x14ac:dyDescent="0.2">
      <c r="B39889" s="43"/>
    </row>
    <row r="39890" spans="2:2" ht="12.75" customHeight="1" x14ac:dyDescent="0.2">
      <c r="B39890" s="43"/>
    </row>
    <row r="39891" spans="2:2" ht="12.75" customHeight="1" x14ac:dyDescent="0.2">
      <c r="B39891" s="43"/>
    </row>
    <row r="39892" spans="2:2" ht="12.75" customHeight="1" x14ac:dyDescent="0.2">
      <c r="B39892" s="43"/>
    </row>
    <row r="39893" spans="2:2" ht="12.75" customHeight="1" x14ac:dyDescent="0.2">
      <c r="B39893" s="43"/>
    </row>
    <row r="39894" spans="2:2" ht="12.75" customHeight="1" x14ac:dyDescent="0.2">
      <c r="B39894" s="43"/>
    </row>
    <row r="39895" spans="2:2" ht="12.75" customHeight="1" x14ac:dyDescent="0.2">
      <c r="B39895" s="43"/>
    </row>
    <row r="39896" spans="2:2" ht="12.75" customHeight="1" x14ac:dyDescent="0.2">
      <c r="B39896" s="43"/>
    </row>
    <row r="39897" spans="2:2" ht="12.75" customHeight="1" x14ac:dyDescent="0.2">
      <c r="B39897" s="43"/>
    </row>
    <row r="39898" spans="2:2" ht="12.75" customHeight="1" x14ac:dyDescent="0.2">
      <c r="B39898" s="43"/>
    </row>
    <row r="39899" spans="2:2" ht="12.75" customHeight="1" x14ac:dyDescent="0.2">
      <c r="B39899" s="43"/>
    </row>
    <row r="39900" spans="2:2" ht="12.75" customHeight="1" x14ac:dyDescent="0.2">
      <c r="B39900" s="43"/>
    </row>
    <row r="39901" spans="2:2" ht="12.75" customHeight="1" x14ac:dyDescent="0.2">
      <c r="B39901" s="43"/>
    </row>
    <row r="39902" spans="2:2" ht="12.75" customHeight="1" x14ac:dyDescent="0.2">
      <c r="B39902" s="43"/>
    </row>
    <row r="39903" spans="2:2" ht="12.75" customHeight="1" x14ac:dyDescent="0.2">
      <c r="B39903" s="43"/>
    </row>
    <row r="39904" spans="2:2" ht="12.75" customHeight="1" x14ac:dyDescent="0.2">
      <c r="B39904" s="43"/>
    </row>
    <row r="39905" spans="2:2" ht="12.75" customHeight="1" x14ac:dyDescent="0.2">
      <c r="B39905" s="43"/>
    </row>
    <row r="39906" spans="2:2" ht="12.75" customHeight="1" x14ac:dyDescent="0.2">
      <c r="B39906" s="43"/>
    </row>
    <row r="39907" spans="2:2" ht="12.75" customHeight="1" x14ac:dyDescent="0.2">
      <c r="B39907" s="43"/>
    </row>
    <row r="39908" spans="2:2" ht="12.75" customHeight="1" x14ac:dyDescent="0.2">
      <c r="B39908" s="43"/>
    </row>
    <row r="39909" spans="2:2" ht="12.75" customHeight="1" x14ac:dyDescent="0.2">
      <c r="B39909" s="43"/>
    </row>
    <row r="39910" spans="2:2" ht="12.75" customHeight="1" x14ac:dyDescent="0.2">
      <c r="B39910" s="43"/>
    </row>
    <row r="39911" spans="2:2" ht="12.75" customHeight="1" x14ac:dyDescent="0.2">
      <c r="B39911" s="43"/>
    </row>
    <row r="39912" spans="2:2" ht="12.75" customHeight="1" x14ac:dyDescent="0.2">
      <c r="B39912" s="43"/>
    </row>
    <row r="39913" spans="2:2" ht="12.75" customHeight="1" x14ac:dyDescent="0.2">
      <c r="B39913" s="43"/>
    </row>
    <row r="39914" spans="2:2" ht="12.75" customHeight="1" x14ac:dyDescent="0.2">
      <c r="B39914" s="43"/>
    </row>
    <row r="39915" spans="2:2" ht="12.75" customHeight="1" x14ac:dyDescent="0.2">
      <c r="B39915" s="43"/>
    </row>
    <row r="39916" spans="2:2" ht="12.75" customHeight="1" x14ac:dyDescent="0.2">
      <c r="B39916" s="43"/>
    </row>
    <row r="39917" spans="2:2" ht="12.75" customHeight="1" x14ac:dyDescent="0.2">
      <c r="B39917" s="43"/>
    </row>
    <row r="39918" spans="2:2" ht="12.75" customHeight="1" x14ac:dyDescent="0.2">
      <c r="B39918" s="43"/>
    </row>
    <row r="39919" spans="2:2" ht="12.75" customHeight="1" x14ac:dyDescent="0.2">
      <c r="B39919" s="43"/>
    </row>
    <row r="39920" spans="2:2" ht="12.75" customHeight="1" x14ac:dyDescent="0.2">
      <c r="B39920" s="43"/>
    </row>
    <row r="39921" spans="2:2" ht="12.75" customHeight="1" x14ac:dyDescent="0.2">
      <c r="B39921" s="43"/>
    </row>
    <row r="39922" spans="2:2" ht="12.75" customHeight="1" x14ac:dyDescent="0.2">
      <c r="B39922" s="43"/>
    </row>
    <row r="39923" spans="2:2" ht="12.75" customHeight="1" x14ac:dyDescent="0.2">
      <c r="B39923" s="43"/>
    </row>
    <row r="39924" spans="2:2" ht="12.75" customHeight="1" x14ac:dyDescent="0.2">
      <c r="B39924" s="43"/>
    </row>
    <row r="39925" spans="2:2" ht="12.75" customHeight="1" x14ac:dyDescent="0.2">
      <c r="B39925" s="43"/>
    </row>
    <row r="39926" spans="2:2" ht="12.75" customHeight="1" x14ac:dyDescent="0.2">
      <c r="B39926" s="43"/>
    </row>
    <row r="39927" spans="2:2" ht="12.75" customHeight="1" x14ac:dyDescent="0.2">
      <c r="B39927" s="43"/>
    </row>
    <row r="39928" spans="2:2" ht="12.75" customHeight="1" x14ac:dyDescent="0.2">
      <c r="B39928" s="43"/>
    </row>
    <row r="39929" spans="2:2" ht="12.75" customHeight="1" x14ac:dyDescent="0.2">
      <c r="B39929" s="43"/>
    </row>
    <row r="39930" spans="2:2" ht="12.75" customHeight="1" x14ac:dyDescent="0.2">
      <c r="B39930" s="43"/>
    </row>
    <row r="39931" spans="2:2" ht="12.75" customHeight="1" x14ac:dyDescent="0.2">
      <c r="B39931" s="43"/>
    </row>
    <row r="39932" spans="2:2" ht="12.75" customHeight="1" x14ac:dyDescent="0.2">
      <c r="B39932" s="43"/>
    </row>
    <row r="39933" spans="2:2" ht="12.75" customHeight="1" x14ac:dyDescent="0.2">
      <c r="B39933" s="43"/>
    </row>
    <row r="39934" spans="2:2" ht="12.75" customHeight="1" x14ac:dyDescent="0.2">
      <c r="B39934" s="43"/>
    </row>
    <row r="39935" spans="2:2" ht="12.75" customHeight="1" x14ac:dyDescent="0.2">
      <c r="B39935" s="43"/>
    </row>
    <row r="39936" spans="2:2" ht="12.75" customHeight="1" x14ac:dyDescent="0.2">
      <c r="B39936" s="43"/>
    </row>
    <row r="39937" spans="2:2" ht="12.75" customHeight="1" x14ac:dyDescent="0.2">
      <c r="B39937" s="43"/>
    </row>
    <row r="39938" spans="2:2" ht="12.75" customHeight="1" x14ac:dyDescent="0.2">
      <c r="B39938" s="43"/>
    </row>
    <row r="39939" spans="2:2" ht="12.75" customHeight="1" x14ac:dyDescent="0.2">
      <c r="B39939" s="43"/>
    </row>
    <row r="39940" spans="2:2" ht="12.75" customHeight="1" x14ac:dyDescent="0.2">
      <c r="B39940" s="43"/>
    </row>
    <row r="39941" spans="2:2" ht="12.75" customHeight="1" x14ac:dyDescent="0.2">
      <c r="B39941" s="43"/>
    </row>
    <row r="39942" spans="2:2" ht="12.75" customHeight="1" x14ac:dyDescent="0.2">
      <c r="B39942" s="43"/>
    </row>
    <row r="39943" spans="2:2" ht="12.75" customHeight="1" x14ac:dyDescent="0.2">
      <c r="B39943" s="43"/>
    </row>
    <row r="39944" spans="2:2" ht="12.75" customHeight="1" x14ac:dyDescent="0.2">
      <c r="B39944" s="43"/>
    </row>
    <row r="39945" spans="2:2" ht="12.75" customHeight="1" x14ac:dyDescent="0.2">
      <c r="B39945" s="43"/>
    </row>
    <row r="39946" spans="2:2" ht="12.75" customHeight="1" x14ac:dyDescent="0.2">
      <c r="B39946" s="43"/>
    </row>
    <row r="39947" spans="2:2" ht="12.75" customHeight="1" x14ac:dyDescent="0.2">
      <c r="B39947" s="43"/>
    </row>
    <row r="39948" spans="2:2" ht="12.75" customHeight="1" x14ac:dyDescent="0.2">
      <c r="B39948" s="43"/>
    </row>
    <row r="39949" spans="2:2" ht="12.75" customHeight="1" x14ac:dyDescent="0.2">
      <c r="B39949" s="43"/>
    </row>
    <row r="39950" spans="2:2" ht="12.75" customHeight="1" x14ac:dyDescent="0.2">
      <c r="B39950" s="43"/>
    </row>
    <row r="39951" spans="2:2" ht="12.75" customHeight="1" x14ac:dyDescent="0.2">
      <c r="B39951" s="43"/>
    </row>
    <row r="39952" spans="2:2" ht="12.75" customHeight="1" x14ac:dyDescent="0.2">
      <c r="B39952" s="43"/>
    </row>
    <row r="39953" spans="2:2" ht="12.75" customHeight="1" x14ac:dyDescent="0.2">
      <c r="B39953" s="43"/>
    </row>
    <row r="39954" spans="2:2" ht="12.75" customHeight="1" x14ac:dyDescent="0.2">
      <c r="B39954" s="43"/>
    </row>
    <row r="39955" spans="2:2" ht="12.75" customHeight="1" x14ac:dyDescent="0.2">
      <c r="B39955" s="43"/>
    </row>
    <row r="39956" spans="2:2" ht="12.75" customHeight="1" x14ac:dyDescent="0.2">
      <c r="B39956" s="43"/>
    </row>
    <row r="39957" spans="2:2" ht="12.75" customHeight="1" x14ac:dyDescent="0.2">
      <c r="B39957" s="43"/>
    </row>
    <row r="39958" spans="2:2" ht="12.75" customHeight="1" x14ac:dyDescent="0.2">
      <c r="B39958" s="43"/>
    </row>
    <row r="39959" spans="2:2" ht="12.75" customHeight="1" x14ac:dyDescent="0.2">
      <c r="B39959" s="43"/>
    </row>
    <row r="39960" spans="2:2" ht="12.75" customHeight="1" x14ac:dyDescent="0.2">
      <c r="B39960" s="43"/>
    </row>
    <row r="39961" spans="2:2" ht="12.75" customHeight="1" x14ac:dyDescent="0.2">
      <c r="B39961" s="43"/>
    </row>
    <row r="39962" spans="2:2" ht="12.75" customHeight="1" x14ac:dyDescent="0.2">
      <c r="B39962" s="43"/>
    </row>
    <row r="39963" spans="2:2" ht="12.75" customHeight="1" x14ac:dyDescent="0.2">
      <c r="B39963" s="43"/>
    </row>
    <row r="39964" spans="2:2" ht="12.75" customHeight="1" x14ac:dyDescent="0.2">
      <c r="B39964" s="43"/>
    </row>
    <row r="39965" spans="2:2" ht="12.75" customHeight="1" x14ac:dyDescent="0.2">
      <c r="B39965" s="43"/>
    </row>
    <row r="39966" spans="2:2" ht="12.75" customHeight="1" x14ac:dyDescent="0.2">
      <c r="B39966" s="43"/>
    </row>
    <row r="39967" spans="2:2" ht="12.75" customHeight="1" x14ac:dyDescent="0.2">
      <c r="B39967" s="43"/>
    </row>
    <row r="39968" spans="2:2" ht="12.75" customHeight="1" x14ac:dyDescent="0.2">
      <c r="B39968" s="43"/>
    </row>
    <row r="39969" spans="2:2" ht="12.75" customHeight="1" x14ac:dyDescent="0.2">
      <c r="B39969" s="43"/>
    </row>
    <row r="39970" spans="2:2" ht="12.75" customHeight="1" x14ac:dyDescent="0.2">
      <c r="B39970" s="43"/>
    </row>
    <row r="39971" spans="2:2" ht="12.75" customHeight="1" x14ac:dyDescent="0.2">
      <c r="B39971" s="43"/>
    </row>
    <row r="39972" spans="2:2" ht="12.75" customHeight="1" x14ac:dyDescent="0.2">
      <c r="B39972" s="43"/>
    </row>
    <row r="39973" spans="2:2" ht="12.75" customHeight="1" x14ac:dyDescent="0.2">
      <c r="B39973" s="43"/>
    </row>
    <row r="39974" spans="2:2" ht="12.75" customHeight="1" x14ac:dyDescent="0.2">
      <c r="B39974" s="43"/>
    </row>
    <row r="39975" spans="2:2" ht="12.75" customHeight="1" x14ac:dyDescent="0.2">
      <c r="B39975" s="43"/>
    </row>
    <row r="39976" spans="2:2" ht="12.75" customHeight="1" x14ac:dyDescent="0.2">
      <c r="B39976" s="43"/>
    </row>
    <row r="39977" spans="2:2" ht="12.75" customHeight="1" x14ac:dyDescent="0.2">
      <c r="B39977" s="43"/>
    </row>
    <row r="39978" spans="2:2" ht="12.75" customHeight="1" x14ac:dyDescent="0.2">
      <c r="B39978" s="43"/>
    </row>
    <row r="39979" spans="2:2" ht="12.75" customHeight="1" x14ac:dyDescent="0.2">
      <c r="B39979" s="43"/>
    </row>
    <row r="39980" spans="2:2" ht="12.75" customHeight="1" x14ac:dyDescent="0.2">
      <c r="B39980" s="43"/>
    </row>
    <row r="39981" spans="2:2" ht="12.75" customHeight="1" x14ac:dyDescent="0.2">
      <c r="B39981" s="43"/>
    </row>
    <row r="39982" spans="2:2" ht="12.75" customHeight="1" x14ac:dyDescent="0.2">
      <c r="B39982" s="43"/>
    </row>
    <row r="39983" spans="2:2" ht="12.75" customHeight="1" x14ac:dyDescent="0.2">
      <c r="B39983" s="43"/>
    </row>
    <row r="39984" spans="2:2" ht="12.75" customHeight="1" x14ac:dyDescent="0.2">
      <c r="B39984" s="43"/>
    </row>
    <row r="39985" spans="2:2" ht="12.75" customHeight="1" x14ac:dyDescent="0.2">
      <c r="B39985" s="43"/>
    </row>
    <row r="39986" spans="2:2" ht="12.75" customHeight="1" x14ac:dyDescent="0.2">
      <c r="B39986" s="43"/>
    </row>
    <row r="39987" spans="2:2" ht="12.75" customHeight="1" x14ac:dyDescent="0.2">
      <c r="B39987" s="43"/>
    </row>
    <row r="39988" spans="2:2" ht="12.75" customHeight="1" x14ac:dyDescent="0.2">
      <c r="B39988" s="43"/>
    </row>
    <row r="39989" spans="2:2" ht="12.75" customHeight="1" x14ac:dyDescent="0.2">
      <c r="B39989" s="43"/>
    </row>
    <row r="39990" spans="2:2" ht="12.75" customHeight="1" x14ac:dyDescent="0.2">
      <c r="B39990" s="43"/>
    </row>
    <row r="39991" spans="2:2" ht="12.75" customHeight="1" x14ac:dyDescent="0.2">
      <c r="B39991" s="43"/>
    </row>
    <row r="39992" spans="2:2" ht="12.75" customHeight="1" x14ac:dyDescent="0.2">
      <c r="B39992" s="43"/>
    </row>
    <row r="39993" spans="2:2" ht="12.75" customHeight="1" x14ac:dyDescent="0.2">
      <c r="B39993" s="43"/>
    </row>
    <row r="39994" spans="2:2" ht="12.75" customHeight="1" x14ac:dyDescent="0.2">
      <c r="B39994" s="43"/>
    </row>
    <row r="39995" spans="2:2" ht="12.75" customHeight="1" x14ac:dyDescent="0.2">
      <c r="B39995" s="43"/>
    </row>
    <row r="39996" spans="2:2" ht="12.75" customHeight="1" x14ac:dyDescent="0.2">
      <c r="B39996" s="43"/>
    </row>
    <row r="39997" spans="2:2" ht="12.75" customHeight="1" x14ac:dyDescent="0.2">
      <c r="B39997" s="43"/>
    </row>
    <row r="39998" spans="2:2" ht="12.75" customHeight="1" x14ac:dyDescent="0.2">
      <c r="B39998" s="43"/>
    </row>
    <row r="39999" spans="2:2" ht="12.75" customHeight="1" x14ac:dyDescent="0.2">
      <c r="B39999" s="43"/>
    </row>
    <row r="40000" spans="2:2" ht="12.75" customHeight="1" x14ac:dyDescent="0.2">
      <c r="B40000" s="43"/>
    </row>
    <row r="40001" spans="2:2" ht="12.75" customHeight="1" x14ac:dyDescent="0.2">
      <c r="B40001" s="43"/>
    </row>
    <row r="40002" spans="2:2" ht="12.75" customHeight="1" x14ac:dyDescent="0.2">
      <c r="B40002" s="43"/>
    </row>
    <row r="40003" spans="2:2" ht="12.75" customHeight="1" x14ac:dyDescent="0.2">
      <c r="B40003" s="43"/>
    </row>
    <row r="40004" spans="2:2" ht="12.75" customHeight="1" x14ac:dyDescent="0.2">
      <c r="B40004" s="43"/>
    </row>
    <row r="40005" spans="2:2" ht="12.75" customHeight="1" x14ac:dyDescent="0.2">
      <c r="B40005" s="43"/>
    </row>
    <row r="40006" spans="2:2" ht="12.75" customHeight="1" x14ac:dyDescent="0.2">
      <c r="B40006" s="43"/>
    </row>
    <row r="40007" spans="2:2" ht="12.75" customHeight="1" x14ac:dyDescent="0.2">
      <c r="B40007" s="43"/>
    </row>
    <row r="40008" spans="2:2" ht="12.75" customHeight="1" x14ac:dyDescent="0.2">
      <c r="B40008" s="43"/>
    </row>
    <row r="40009" spans="2:2" ht="12.75" customHeight="1" x14ac:dyDescent="0.2">
      <c r="B40009" s="43"/>
    </row>
    <row r="40010" spans="2:2" ht="12.75" customHeight="1" x14ac:dyDescent="0.2">
      <c r="B40010" s="43"/>
    </row>
    <row r="40011" spans="2:2" ht="12.75" customHeight="1" x14ac:dyDescent="0.2">
      <c r="B40011" s="43"/>
    </row>
    <row r="40012" spans="2:2" ht="12.75" customHeight="1" x14ac:dyDescent="0.2">
      <c r="B40012" s="43"/>
    </row>
    <row r="40013" spans="2:2" ht="12.75" customHeight="1" x14ac:dyDescent="0.2">
      <c r="B40013" s="43"/>
    </row>
    <row r="40014" spans="2:2" ht="12.75" customHeight="1" x14ac:dyDescent="0.2">
      <c r="B40014" s="43"/>
    </row>
    <row r="40015" spans="2:2" ht="12.75" customHeight="1" x14ac:dyDescent="0.2">
      <c r="B40015" s="43"/>
    </row>
    <row r="40016" spans="2:2" ht="12.75" customHeight="1" x14ac:dyDescent="0.2">
      <c r="B40016" s="43"/>
    </row>
    <row r="40017" spans="2:2" ht="12.75" customHeight="1" x14ac:dyDescent="0.2">
      <c r="B40017" s="43"/>
    </row>
    <row r="40018" spans="2:2" ht="12.75" customHeight="1" x14ac:dyDescent="0.2">
      <c r="B40018" s="43"/>
    </row>
    <row r="40019" spans="2:2" ht="12.75" customHeight="1" x14ac:dyDescent="0.2">
      <c r="B40019" s="43"/>
    </row>
    <row r="40020" spans="2:2" ht="12.75" customHeight="1" x14ac:dyDescent="0.2">
      <c r="B40020" s="43"/>
    </row>
    <row r="40021" spans="2:2" ht="12.75" customHeight="1" x14ac:dyDescent="0.2">
      <c r="B40021" s="43"/>
    </row>
    <row r="40022" spans="2:2" ht="12.75" customHeight="1" x14ac:dyDescent="0.2">
      <c r="B40022" s="43"/>
    </row>
    <row r="40023" spans="2:2" ht="12.75" customHeight="1" x14ac:dyDescent="0.2">
      <c r="B40023" s="43"/>
    </row>
    <row r="40024" spans="2:2" ht="12.75" customHeight="1" x14ac:dyDescent="0.2">
      <c r="B40024" s="43"/>
    </row>
    <row r="40025" spans="2:2" ht="12.75" customHeight="1" x14ac:dyDescent="0.2">
      <c r="B40025" s="43"/>
    </row>
    <row r="40026" spans="2:2" ht="12.75" customHeight="1" x14ac:dyDescent="0.2">
      <c r="B40026" s="43"/>
    </row>
    <row r="40027" spans="2:2" ht="12.75" customHeight="1" x14ac:dyDescent="0.2">
      <c r="B40027" s="43"/>
    </row>
    <row r="40028" spans="2:2" ht="12.75" customHeight="1" x14ac:dyDescent="0.2">
      <c r="B40028" s="43"/>
    </row>
    <row r="40029" spans="2:2" ht="12.75" customHeight="1" x14ac:dyDescent="0.2">
      <c r="B40029" s="43"/>
    </row>
    <row r="40030" spans="2:2" ht="12.75" customHeight="1" x14ac:dyDescent="0.2">
      <c r="B40030" s="43"/>
    </row>
    <row r="40031" spans="2:2" ht="12.75" customHeight="1" x14ac:dyDescent="0.2">
      <c r="B40031" s="43"/>
    </row>
    <row r="40032" spans="2:2" ht="12.75" customHeight="1" x14ac:dyDescent="0.2">
      <c r="B40032" s="43"/>
    </row>
    <row r="40033" spans="2:2" ht="12.75" customHeight="1" x14ac:dyDescent="0.2">
      <c r="B40033" s="43"/>
    </row>
    <row r="40034" spans="2:2" ht="12.75" customHeight="1" x14ac:dyDescent="0.2">
      <c r="B40034" s="43"/>
    </row>
    <row r="40035" spans="2:2" ht="12.75" customHeight="1" x14ac:dyDescent="0.2">
      <c r="B40035" s="43"/>
    </row>
    <row r="40036" spans="2:2" ht="12.75" customHeight="1" x14ac:dyDescent="0.2">
      <c r="B40036" s="43"/>
    </row>
    <row r="40037" spans="2:2" ht="12.75" customHeight="1" x14ac:dyDescent="0.2">
      <c r="B40037" s="43"/>
    </row>
    <row r="40038" spans="2:2" ht="12.75" customHeight="1" x14ac:dyDescent="0.2">
      <c r="B40038" s="43"/>
    </row>
    <row r="40039" spans="2:2" ht="12.75" customHeight="1" x14ac:dyDescent="0.2">
      <c r="B40039" s="43"/>
    </row>
    <row r="40040" spans="2:2" ht="12.75" customHeight="1" x14ac:dyDescent="0.2">
      <c r="B40040" s="43"/>
    </row>
    <row r="40041" spans="2:2" ht="12.75" customHeight="1" x14ac:dyDescent="0.2">
      <c r="B40041" s="43"/>
    </row>
    <row r="40042" spans="2:2" ht="12.75" customHeight="1" x14ac:dyDescent="0.2">
      <c r="B40042" s="43"/>
    </row>
    <row r="40043" spans="2:2" ht="12.75" customHeight="1" x14ac:dyDescent="0.2">
      <c r="B40043" s="43"/>
    </row>
    <row r="40044" spans="2:2" ht="12.75" customHeight="1" x14ac:dyDescent="0.2">
      <c r="B40044" s="43"/>
    </row>
    <row r="40045" spans="2:2" ht="12.75" customHeight="1" x14ac:dyDescent="0.2">
      <c r="B40045" s="43"/>
    </row>
    <row r="40046" spans="2:2" ht="12.75" customHeight="1" x14ac:dyDescent="0.2">
      <c r="B40046" s="43"/>
    </row>
    <row r="40047" spans="2:2" ht="12.75" customHeight="1" x14ac:dyDescent="0.2">
      <c r="B40047" s="43"/>
    </row>
    <row r="40048" spans="2:2" ht="12.75" customHeight="1" x14ac:dyDescent="0.2">
      <c r="B40048" s="43"/>
    </row>
    <row r="40049" spans="2:2" ht="12.75" customHeight="1" x14ac:dyDescent="0.2">
      <c r="B40049" s="43"/>
    </row>
    <row r="40050" spans="2:2" ht="12.75" customHeight="1" x14ac:dyDescent="0.2">
      <c r="B40050" s="43"/>
    </row>
    <row r="40051" spans="2:2" ht="12.75" customHeight="1" x14ac:dyDescent="0.2">
      <c r="B40051" s="43"/>
    </row>
    <row r="40052" spans="2:2" ht="12.75" customHeight="1" x14ac:dyDescent="0.2">
      <c r="B40052" s="43"/>
    </row>
    <row r="40053" spans="2:2" ht="12.75" customHeight="1" x14ac:dyDescent="0.2">
      <c r="B40053" s="43"/>
    </row>
    <row r="40054" spans="2:2" ht="12.75" customHeight="1" x14ac:dyDescent="0.2">
      <c r="B40054" s="43"/>
    </row>
    <row r="40055" spans="2:2" ht="12.75" customHeight="1" x14ac:dyDescent="0.2">
      <c r="B40055" s="43"/>
    </row>
    <row r="40056" spans="2:2" ht="12.75" customHeight="1" x14ac:dyDescent="0.2">
      <c r="B40056" s="43"/>
    </row>
    <row r="40057" spans="2:2" ht="12.75" customHeight="1" x14ac:dyDescent="0.2">
      <c r="B40057" s="43"/>
    </row>
    <row r="40058" spans="2:2" ht="12.75" customHeight="1" x14ac:dyDescent="0.2">
      <c r="B40058" s="43"/>
    </row>
    <row r="40059" spans="2:2" ht="12.75" customHeight="1" x14ac:dyDescent="0.2">
      <c r="B40059" s="43"/>
    </row>
    <row r="40060" spans="2:2" ht="12.75" customHeight="1" x14ac:dyDescent="0.2">
      <c r="B40060" s="43"/>
    </row>
    <row r="40061" spans="2:2" ht="12.75" customHeight="1" x14ac:dyDescent="0.2">
      <c r="B40061" s="43"/>
    </row>
    <row r="40062" spans="2:2" ht="12.75" customHeight="1" x14ac:dyDescent="0.2">
      <c r="B40062" s="43"/>
    </row>
    <row r="40063" spans="2:2" ht="12.75" customHeight="1" x14ac:dyDescent="0.2">
      <c r="B40063" s="43"/>
    </row>
    <row r="40064" spans="2:2" ht="12.75" customHeight="1" x14ac:dyDescent="0.2">
      <c r="B40064" s="43"/>
    </row>
    <row r="40065" spans="2:2" ht="12.75" customHeight="1" x14ac:dyDescent="0.2">
      <c r="B40065" s="43"/>
    </row>
    <row r="40066" spans="2:2" ht="12.75" customHeight="1" x14ac:dyDescent="0.2">
      <c r="B40066" s="43"/>
    </row>
    <row r="40067" spans="2:2" ht="12.75" customHeight="1" x14ac:dyDescent="0.2">
      <c r="B40067" s="43"/>
    </row>
    <row r="40068" spans="2:2" ht="12.75" customHeight="1" x14ac:dyDescent="0.2">
      <c r="B40068" s="43"/>
    </row>
    <row r="40069" spans="2:2" ht="12.75" customHeight="1" x14ac:dyDescent="0.2">
      <c r="B40069" s="43"/>
    </row>
    <row r="40070" spans="2:2" ht="12.75" customHeight="1" x14ac:dyDescent="0.2">
      <c r="B40070" s="43"/>
    </row>
    <row r="40071" spans="2:2" ht="12.75" customHeight="1" x14ac:dyDescent="0.2">
      <c r="B40071" s="43"/>
    </row>
    <row r="40072" spans="2:2" ht="12.75" customHeight="1" x14ac:dyDescent="0.2">
      <c r="B40072" s="43"/>
    </row>
    <row r="40073" spans="2:2" ht="12.75" customHeight="1" x14ac:dyDescent="0.2">
      <c r="B40073" s="43"/>
    </row>
    <row r="40074" spans="2:2" ht="12.75" customHeight="1" x14ac:dyDescent="0.2">
      <c r="B40074" s="43"/>
    </row>
    <row r="40075" spans="2:2" ht="12.75" customHeight="1" x14ac:dyDescent="0.2">
      <c r="B40075" s="43"/>
    </row>
    <row r="40076" spans="2:2" ht="12.75" customHeight="1" x14ac:dyDescent="0.2">
      <c r="B40076" s="43"/>
    </row>
    <row r="40077" spans="2:2" ht="12.75" customHeight="1" x14ac:dyDescent="0.2">
      <c r="B40077" s="43"/>
    </row>
    <row r="40078" spans="2:2" ht="12.75" customHeight="1" x14ac:dyDescent="0.2">
      <c r="B40078" s="43"/>
    </row>
    <row r="40079" spans="2:2" ht="12.75" customHeight="1" x14ac:dyDescent="0.2">
      <c r="B40079" s="43"/>
    </row>
    <row r="40080" spans="2:2" ht="12.75" customHeight="1" x14ac:dyDescent="0.2">
      <c r="B40080" s="43"/>
    </row>
    <row r="40081" spans="2:2" ht="12.75" customHeight="1" x14ac:dyDescent="0.2">
      <c r="B40081" s="43"/>
    </row>
    <row r="40082" spans="2:2" ht="12.75" customHeight="1" x14ac:dyDescent="0.2">
      <c r="B40082" s="43"/>
    </row>
    <row r="40083" spans="2:2" ht="12.75" customHeight="1" x14ac:dyDescent="0.2">
      <c r="B40083" s="43"/>
    </row>
    <row r="40084" spans="2:2" ht="12.75" customHeight="1" x14ac:dyDescent="0.2">
      <c r="B40084" s="43"/>
    </row>
    <row r="40085" spans="2:2" ht="12.75" customHeight="1" x14ac:dyDescent="0.2">
      <c r="B40085" s="43"/>
    </row>
    <row r="40086" spans="2:2" ht="12.75" customHeight="1" x14ac:dyDescent="0.2">
      <c r="B40086" s="43"/>
    </row>
    <row r="40087" spans="2:2" ht="12.75" customHeight="1" x14ac:dyDescent="0.2">
      <c r="B40087" s="43"/>
    </row>
    <row r="40088" spans="2:2" ht="12.75" customHeight="1" x14ac:dyDescent="0.2">
      <c r="B40088" s="43"/>
    </row>
    <row r="40089" spans="2:2" ht="12.75" customHeight="1" x14ac:dyDescent="0.2">
      <c r="B40089" s="43"/>
    </row>
    <row r="40090" spans="2:2" ht="12.75" customHeight="1" x14ac:dyDescent="0.2">
      <c r="B40090" s="43"/>
    </row>
    <row r="40091" spans="2:2" ht="12.75" customHeight="1" x14ac:dyDescent="0.2">
      <c r="B40091" s="43"/>
    </row>
    <row r="40092" spans="2:2" ht="12.75" customHeight="1" x14ac:dyDescent="0.2">
      <c r="B40092" s="43"/>
    </row>
    <row r="40093" spans="2:2" ht="12.75" customHeight="1" x14ac:dyDescent="0.2">
      <c r="B40093" s="43"/>
    </row>
    <row r="40094" spans="2:2" ht="12.75" customHeight="1" x14ac:dyDescent="0.2">
      <c r="B40094" s="43"/>
    </row>
    <row r="40095" spans="2:2" ht="12.75" customHeight="1" x14ac:dyDescent="0.2">
      <c r="B40095" s="43"/>
    </row>
    <row r="40096" spans="2:2" ht="12.75" customHeight="1" x14ac:dyDescent="0.2">
      <c r="B40096" s="43"/>
    </row>
    <row r="40097" spans="2:2" ht="12.75" customHeight="1" x14ac:dyDescent="0.2">
      <c r="B40097" s="43"/>
    </row>
    <row r="40098" spans="2:2" ht="12.75" customHeight="1" x14ac:dyDescent="0.2">
      <c r="B40098" s="43"/>
    </row>
    <row r="40099" spans="2:2" ht="12.75" customHeight="1" x14ac:dyDescent="0.2">
      <c r="B40099" s="43"/>
    </row>
    <row r="40100" spans="2:2" ht="12.75" customHeight="1" x14ac:dyDescent="0.2">
      <c r="B40100" s="43"/>
    </row>
    <row r="40101" spans="2:2" ht="12.75" customHeight="1" x14ac:dyDescent="0.2">
      <c r="B40101" s="43"/>
    </row>
    <row r="40102" spans="2:2" ht="12.75" customHeight="1" x14ac:dyDescent="0.2">
      <c r="B40102" s="43"/>
    </row>
    <row r="40103" spans="2:2" ht="12.75" customHeight="1" x14ac:dyDescent="0.2">
      <c r="B40103" s="43"/>
    </row>
    <row r="40104" spans="2:2" ht="12.75" customHeight="1" x14ac:dyDescent="0.2">
      <c r="B40104" s="43"/>
    </row>
    <row r="40105" spans="2:2" ht="12.75" customHeight="1" x14ac:dyDescent="0.2">
      <c r="B40105" s="43"/>
    </row>
    <row r="40106" spans="2:2" ht="12.75" customHeight="1" x14ac:dyDescent="0.2">
      <c r="B40106" s="43"/>
    </row>
    <row r="40107" spans="2:2" ht="12.75" customHeight="1" x14ac:dyDescent="0.2">
      <c r="B40107" s="43"/>
    </row>
    <row r="40108" spans="2:2" ht="12.75" customHeight="1" x14ac:dyDescent="0.2">
      <c r="B40108" s="43"/>
    </row>
    <row r="40109" spans="2:2" ht="12.75" customHeight="1" x14ac:dyDescent="0.2">
      <c r="B40109" s="43"/>
    </row>
    <row r="40110" spans="2:2" ht="12.75" customHeight="1" x14ac:dyDescent="0.2">
      <c r="B40110" s="43"/>
    </row>
    <row r="40111" spans="2:2" ht="12.75" customHeight="1" x14ac:dyDescent="0.2">
      <c r="B40111" s="43"/>
    </row>
    <row r="40112" spans="2:2" ht="12.75" customHeight="1" x14ac:dyDescent="0.2">
      <c r="B40112" s="43"/>
    </row>
    <row r="40113" spans="2:2" ht="12.75" customHeight="1" x14ac:dyDescent="0.2">
      <c r="B40113" s="43"/>
    </row>
    <row r="40114" spans="2:2" ht="12.75" customHeight="1" x14ac:dyDescent="0.2">
      <c r="B40114" s="43"/>
    </row>
    <row r="40115" spans="2:2" ht="12.75" customHeight="1" x14ac:dyDescent="0.2">
      <c r="B40115" s="43"/>
    </row>
    <row r="40116" spans="2:2" ht="12.75" customHeight="1" x14ac:dyDescent="0.2">
      <c r="B40116" s="43"/>
    </row>
    <row r="40117" spans="2:2" ht="12.75" customHeight="1" x14ac:dyDescent="0.2">
      <c r="B40117" s="43"/>
    </row>
    <row r="40118" spans="2:2" ht="12.75" customHeight="1" x14ac:dyDescent="0.2">
      <c r="B40118" s="43"/>
    </row>
    <row r="40119" spans="2:2" ht="12.75" customHeight="1" x14ac:dyDescent="0.2">
      <c r="B40119" s="43"/>
    </row>
    <row r="40120" spans="2:2" ht="12.75" customHeight="1" x14ac:dyDescent="0.2">
      <c r="B40120" s="43"/>
    </row>
    <row r="40121" spans="2:2" ht="12.75" customHeight="1" x14ac:dyDescent="0.2">
      <c r="B40121" s="43"/>
    </row>
    <row r="40122" spans="2:2" ht="12.75" customHeight="1" x14ac:dyDescent="0.2">
      <c r="B40122" s="43"/>
    </row>
    <row r="40123" spans="2:2" ht="12.75" customHeight="1" x14ac:dyDescent="0.2">
      <c r="B40123" s="43"/>
    </row>
    <row r="40124" spans="2:2" ht="12.75" customHeight="1" x14ac:dyDescent="0.2">
      <c r="B40124" s="43"/>
    </row>
    <row r="40125" spans="2:2" ht="12.75" customHeight="1" x14ac:dyDescent="0.2">
      <c r="B40125" s="43"/>
    </row>
    <row r="40126" spans="2:2" ht="12.75" customHeight="1" x14ac:dyDescent="0.2">
      <c r="B40126" s="43"/>
    </row>
    <row r="40127" spans="2:2" ht="12.75" customHeight="1" x14ac:dyDescent="0.2">
      <c r="B40127" s="43"/>
    </row>
    <row r="40128" spans="2:2" ht="12.75" customHeight="1" x14ac:dyDescent="0.2">
      <c r="B40128" s="43"/>
    </row>
    <row r="40129" spans="2:2" ht="12.75" customHeight="1" x14ac:dyDescent="0.2">
      <c r="B40129" s="43"/>
    </row>
    <row r="40130" spans="2:2" ht="12.75" customHeight="1" x14ac:dyDescent="0.2">
      <c r="B40130" s="43"/>
    </row>
    <row r="40131" spans="2:2" ht="12.75" customHeight="1" x14ac:dyDescent="0.2">
      <c r="B40131" s="43"/>
    </row>
    <row r="40132" spans="2:2" ht="12.75" customHeight="1" x14ac:dyDescent="0.2">
      <c r="B40132" s="43"/>
    </row>
    <row r="40133" spans="2:2" ht="12.75" customHeight="1" x14ac:dyDescent="0.2">
      <c r="B40133" s="43"/>
    </row>
    <row r="40134" spans="2:2" ht="12.75" customHeight="1" x14ac:dyDescent="0.2">
      <c r="B40134" s="43"/>
    </row>
    <row r="40135" spans="2:2" ht="12.75" customHeight="1" x14ac:dyDescent="0.2">
      <c r="B40135" s="43"/>
    </row>
    <row r="40136" spans="2:2" ht="12.75" customHeight="1" x14ac:dyDescent="0.2">
      <c r="B40136" s="43"/>
    </row>
    <row r="40137" spans="2:2" ht="12.75" customHeight="1" x14ac:dyDescent="0.2">
      <c r="B40137" s="43"/>
    </row>
    <row r="40138" spans="2:2" ht="12.75" customHeight="1" x14ac:dyDescent="0.2">
      <c r="B40138" s="43"/>
    </row>
    <row r="40139" spans="2:2" ht="12.75" customHeight="1" x14ac:dyDescent="0.2">
      <c r="B40139" s="43"/>
    </row>
    <row r="40140" spans="2:2" ht="12.75" customHeight="1" x14ac:dyDescent="0.2">
      <c r="B40140" s="43"/>
    </row>
    <row r="40141" spans="2:2" ht="12.75" customHeight="1" x14ac:dyDescent="0.2">
      <c r="B40141" s="43"/>
    </row>
    <row r="40142" spans="2:2" ht="12.75" customHeight="1" x14ac:dyDescent="0.2">
      <c r="B40142" s="43"/>
    </row>
    <row r="40143" spans="2:2" ht="12.75" customHeight="1" x14ac:dyDescent="0.2">
      <c r="B40143" s="43"/>
    </row>
    <row r="40144" spans="2:2" ht="12.75" customHeight="1" x14ac:dyDescent="0.2">
      <c r="B40144" s="43"/>
    </row>
    <row r="40145" spans="2:2" ht="12.75" customHeight="1" x14ac:dyDescent="0.2">
      <c r="B40145" s="43"/>
    </row>
    <row r="40146" spans="2:2" ht="12.75" customHeight="1" x14ac:dyDescent="0.2">
      <c r="B40146" s="43"/>
    </row>
    <row r="40147" spans="2:2" ht="12.75" customHeight="1" x14ac:dyDescent="0.2">
      <c r="B40147" s="43"/>
    </row>
    <row r="40148" spans="2:2" ht="12.75" customHeight="1" x14ac:dyDescent="0.2">
      <c r="B40148" s="43"/>
    </row>
    <row r="40149" spans="2:2" ht="12.75" customHeight="1" x14ac:dyDescent="0.2">
      <c r="B40149" s="43"/>
    </row>
    <row r="40150" spans="2:2" ht="12.75" customHeight="1" x14ac:dyDescent="0.2">
      <c r="B40150" s="43"/>
    </row>
    <row r="40151" spans="2:2" ht="12.75" customHeight="1" x14ac:dyDescent="0.2">
      <c r="B40151" s="43"/>
    </row>
    <row r="40152" spans="2:2" ht="12.75" customHeight="1" x14ac:dyDescent="0.2">
      <c r="B40152" s="43"/>
    </row>
    <row r="40153" spans="2:2" ht="12.75" customHeight="1" x14ac:dyDescent="0.2">
      <c r="B40153" s="43"/>
    </row>
    <row r="40154" spans="2:2" ht="12.75" customHeight="1" x14ac:dyDescent="0.2">
      <c r="B40154" s="43"/>
    </row>
    <row r="40155" spans="2:2" ht="12.75" customHeight="1" x14ac:dyDescent="0.2">
      <c r="B40155" s="43"/>
    </row>
    <row r="40156" spans="2:2" ht="12.75" customHeight="1" x14ac:dyDescent="0.2">
      <c r="B40156" s="43"/>
    </row>
    <row r="40157" spans="2:2" ht="12.75" customHeight="1" x14ac:dyDescent="0.2">
      <c r="B40157" s="43"/>
    </row>
    <row r="40158" spans="2:2" ht="12.75" customHeight="1" x14ac:dyDescent="0.2">
      <c r="B40158" s="43"/>
    </row>
    <row r="40159" spans="2:2" ht="12.75" customHeight="1" x14ac:dyDescent="0.2">
      <c r="B40159" s="43"/>
    </row>
    <row r="40160" spans="2:2" ht="12.75" customHeight="1" x14ac:dyDescent="0.2">
      <c r="B40160" s="43"/>
    </row>
    <row r="40161" spans="2:2" ht="12.75" customHeight="1" x14ac:dyDescent="0.2">
      <c r="B40161" s="43"/>
    </row>
    <row r="40162" spans="2:2" ht="12.75" customHeight="1" x14ac:dyDescent="0.2">
      <c r="B40162" s="43"/>
    </row>
    <row r="40163" spans="2:2" ht="12.75" customHeight="1" x14ac:dyDescent="0.2">
      <c r="B40163" s="43"/>
    </row>
    <row r="40164" spans="2:2" ht="12.75" customHeight="1" x14ac:dyDescent="0.2">
      <c r="B40164" s="43"/>
    </row>
    <row r="40165" spans="2:2" ht="12.75" customHeight="1" x14ac:dyDescent="0.2">
      <c r="B40165" s="43"/>
    </row>
    <row r="40166" spans="2:2" ht="12.75" customHeight="1" x14ac:dyDescent="0.2">
      <c r="B40166" s="43"/>
    </row>
    <row r="40167" spans="2:2" ht="12.75" customHeight="1" x14ac:dyDescent="0.2">
      <c r="B40167" s="43"/>
    </row>
    <row r="40168" spans="2:2" ht="12.75" customHeight="1" x14ac:dyDescent="0.2">
      <c r="B40168" s="43"/>
    </row>
    <row r="40169" spans="2:2" ht="12.75" customHeight="1" x14ac:dyDescent="0.2">
      <c r="B40169" s="43"/>
    </row>
    <row r="40170" spans="2:2" ht="12.75" customHeight="1" x14ac:dyDescent="0.2">
      <c r="B40170" s="43"/>
    </row>
    <row r="40171" spans="2:2" ht="12.75" customHeight="1" x14ac:dyDescent="0.2">
      <c r="B40171" s="43"/>
    </row>
    <row r="40172" spans="2:2" ht="12.75" customHeight="1" x14ac:dyDescent="0.2">
      <c r="B40172" s="43"/>
    </row>
    <row r="40173" spans="2:2" ht="12.75" customHeight="1" x14ac:dyDescent="0.2">
      <c r="B40173" s="43"/>
    </row>
    <row r="40174" spans="2:2" ht="12.75" customHeight="1" x14ac:dyDescent="0.2">
      <c r="B40174" s="43"/>
    </row>
    <row r="40175" spans="2:2" ht="12.75" customHeight="1" x14ac:dyDescent="0.2">
      <c r="B40175" s="43"/>
    </row>
    <row r="40176" spans="2:2" ht="12.75" customHeight="1" x14ac:dyDescent="0.2">
      <c r="B40176" s="43"/>
    </row>
    <row r="40177" spans="2:2" ht="12.75" customHeight="1" x14ac:dyDescent="0.2">
      <c r="B40177" s="43"/>
    </row>
    <row r="40178" spans="2:2" ht="12.75" customHeight="1" x14ac:dyDescent="0.2">
      <c r="B40178" s="43"/>
    </row>
    <row r="40179" spans="2:2" ht="12.75" customHeight="1" x14ac:dyDescent="0.2">
      <c r="B40179" s="43"/>
    </row>
    <row r="40180" spans="2:2" ht="12.75" customHeight="1" x14ac:dyDescent="0.2">
      <c r="B40180" s="43"/>
    </row>
    <row r="40181" spans="2:2" ht="12.75" customHeight="1" x14ac:dyDescent="0.2">
      <c r="B40181" s="43"/>
    </row>
    <row r="40182" spans="2:2" ht="12.75" customHeight="1" x14ac:dyDescent="0.2">
      <c r="B40182" s="43"/>
    </row>
    <row r="40183" spans="2:2" ht="12.75" customHeight="1" x14ac:dyDescent="0.2">
      <c r="B40183" s="43"/>
    </row>
    <row r="40184" spans="2:2" ht="12.75" customHeight="1" x14ac:dyDescent="0.2">
      <c r="B40184" s="43"/>
    </row>
    <row r="40185" spans="2:2" ht="12.75" customHeight="1" x14ac:dyDescent="0.2">
      <c r="B40185" s="43"/>
    </row>
    <row r="40186" spans="2:2" ht="12.75" customHeight="1" x14ac:dyDescent="0.2">
      <c r="B40186" s="43"/>
    </row>
    <row r="40187" spans="2:2" ht="12.75" customHeight="1" x14ac:dyDescent="0.2">
      <c r="B40187" s="43"/>
    </row>
    <row r="40188" spans="2:2" ht="12.75" customHeight="1" x14ac:dyDescent="0.2">
      <c r="B40188" s="43"/>
    </row>
    <row r="40189" spans="2:2" ht="12.75" customHeight="1" x14ac:dyDescent="0.2">
      <c r="B40189" s="43"/>
    </row>
    <row r="40190" spans="2:2" ht="12.75" customHeight="1" x14ac:dyDescent="0.2">
      <c r="B40190" s="43"/>
    </row>
    <row r="40191" spans="2:2" ht="12.75" customHeight="1" x14ac:dyDescent="0.2">
      <c r="B40191" s="43"/>
    </row>
    <row r="40192" spans="2:2" ht="12.75" customHeight="1" x14ac:dyDescent="0.2">
      <c r="B40192" s="43"/>
    </row>
    <row r="40193" spans="2:2" ht="12.75" customHeight="1" x14ac:dyDescent="0.2">
      <c r="B40193" s="43"/>
    </row>
    <row r="40194" spans="2:2" ht="12.75" customHeight="1" x14ac:dyDescent="0.2">
      <c r="B40194" s="43"/>
    </row>
    <row r="40195" spans="2:2" ht="12.75" customHeight="1" x14ac:dyDescent="0.2">
      <c r="B40195" s="43"/>
    </row>
    <row r="40196" spans="2:2" ht="12.75" customHeight="1" x14ac:dyDescent="0.2">
      <c r="B40196" s="43"/>
    </row>
    <row r="40197" spans="2:2" ht="12.75" customHeight="1" x14ac:dyDescent="0.2">
      <c r="B40197" s="43"/>
    </row>
    <row r="40198" spans="2:2" ht="12.75" customHeight="1" x14ac:dyDescent="0.2">
      <c r="B40198" s="43"/>
    </row>
    <row r="40199" spans="2:2" ht="12.75" customHeight="1" x14ac:dyDescent="0.2">
      <c r="B40199" s="43"/>
    </row>
    <row r="40200" spans="2:2" ht="12.75" customHeight="1" x14ac:dyDescent="0.2">
      <c r="B40200" s="43"/>
    </row>
    <row r="40201" spans="2:2" ht="12.75" customHeight="1" x14ac:dyDescent="0.2">
      <c r="B40201" s="43"/>
    </row>
    <row r="40202" spans="2:2" ht="12.75" customHeight="1" x14ac:dyDescent="0.2">
      <c r="B40202" s="43"/>
    </row>
    <row r="40203" spans="2:2" ht="12.75" customHeight="1" x14ac:dyDescent="0.2">
      <c r="B40203" s="43"/>
    </row>
    <row r="40204" spans="2:2" ht="12.75" customHeight="1" x14ac:dyDescent="0.2">
      <c r="B40204" s="43"/>
    </row>
    <row r="40205" spans="2:2" ht="12.75" customHeight="1" x14ac:dyDescent="0.2">
      <c r="B40205" s="43"/>
    </row>
    <row r="40206" spans="2:2" ht="12.75" customHeight="1" x14ac:dyDescent="0.2">
      <c r="B40206" s="43"/>
    </row>
    <row r="40207" spans="2:2" ht="12.75" customHeight="1" x14ac:dyDescent="0.2">
      <c r="B40207" s="43"/>
    </row>
    <row r="40208" spans="2:2" ht="12.75" customHeight="1" x14ac:dyDescent="0.2">
      <c r="B40208" s="43"/>
    </row>
    <row r="40209" spans="2:2" ht="12.75" customHeight="1" x14ac:dyDescent="0.2">
      <c r="B40209" s="43"/>
    </row>
    <row r="40210" spans="2:2" ht="12.75" customHeight="1" x14ac:dyDescent="0.2">
      <c r="B40210" s="43"/>
    </row>
    <row r="40211" spans="2:2" ht="12.75" customHeight="1" x14ac:dyDescent="0.2">
      <c r="B40211" s="43"/>
    </row>
    <row r="40212" spans="2:2" ht="12.75" customHeight="1" x14ac:dyDescent="0.2">
      <c r="B40212" s="43"/>
    </row>
    <row r="40213" spans="2:2" ht="12.75" customHeight="1" x14ac:dyDescent="0.2">
      <c r="B40213" s="43"/>
    </row>
    <row r="40214" spans="2:2" ht="12.75" customHeight="1" x14ac:dyDescent="0.2">
      <c r="B40214" s="43"/>
    </row>
    <row r="40215" spans="2:2" ht="12.75" customHeight="1" x14ac:dyDescent="0.2">
      <c r="B40215" s="43"/>
    </row>
    <row r="40216" spans="2:2" ht="12.75" customHeight="1" x14ac:dyDescent="0.2">
      <c r="B40216" s="43"/>
    </row>
    <row r="40217" spans="2:2" ht="12.75" customHeight="1" x14ac:dyDescent="0.2">
      <c r="B40217" s="43"/>
    </row>
    <row r="40218" spans="2:2" ht="12.75" customHeight="1" x14ac:dyDescent="0.2">
      <c r="B40218" s="43"/>
    </row>
    <row r="40219" spans="2:2" ht="12.75" customHeight="1" x14ac:dyDescent="0.2">
      <c r="B40219" s="43"/>
    </row>
    <row r="40220" spans="2:2" ht="12.75" customHeight="1" x14ac:dyDescent="0.2">
      <c r="B40220" s="43"/>
    </row>
    <row r="40221" spans="2:2" ht="12.75" customHeight="1" x14ac:dyDescent="0.2">
      <c r="B40221" s="43"/>
    </row>
    <row r="40222" spans="2:2" ht="12.75" customHeight="1" x14ac:dyDescent="0.2">
      <c r="B40222" s="43"/>
    </row>
    <row r="40223" spans="2:2" ht="12.75" customHeight="1" x14ac:dyDescent="0.2">
      <c r="B40223" s="43"/>
    </row>
    <row r="40224" spans="2:2" ht="12.75" customHeight="1" x14ac:dyDescent="0.2">
      <c r="B40224" s="43"/>
    </row>
    <row r="40225" spans="2:2" ht="12.75" customHeight="1" x14ac:dyDescent="0.2">
      <c r="B40225" s="43"/>
    </row>
    <row r="40226" spans="2:2" ht="12.75" customHeight="1" x14ac:dyDescent="0.2">
      <c r="B40226" s="43"/>
    </row>
    <row r="40227" spans="2:2" ht="12.75" customHeight="1" x14ac:dyDescent="0.2">
      <c r="B40227" s="43"/>
    </row>
    <row r="40228" spans="2:2" ht="12.75" customHeight="1" x14ac:dyDescent="0.2">
      <c r="B40228" s="43"/>
    </row>
    <row r="40229" spans="2:2" ht="12.75" customHeight="1" x14ac:dyDescent="0.2">
      <c r="B40229" s="43"/>
    </row>
    <row r="40230" spans="2:2" ht="12.75" customHeight="1" x14ac:dyDescent="0.2">
      <c r="B40230" s="43"/>
    </row>
    <row r="40231" spans="2:2" ht="12.75" customHeight="1" x14ac:dyDescent="0.2">
      <c r="B40231" s="43"/>
    </row>
    <row r="40232" spans="2:2" ht="12.75" customHeight="1" x14ac:dyDescent="0.2">
      <c r="B40232" s="43"/>
    </row>
    <row r="40233" spans="2:2" ht="12.75" customHeight="1" x14ac:dyDescent="0.2">
      <c r="B40233" s="43"/>
    </row>
    <row r="40234" spans="2:2" ht="12.75" customHeight="1" x14ac:dyDescent="0.2">
      <c r="B40234" s="43"/>
    </row>
    <row r="40235" spans="2:2" ht="12.75" customHeight="1" x14ac:dyDescent="0.2">
      <c r="B40235" s="43"/>
    </row>
    <row r="40236" spans="2:2" ht="12.75" customHeight="1" x14ac:dyDescent="0.2">
      <c r="B40236" s="43"/>
    </row>
    <row r="40237" spans="2:2" ht="12.75" customHeight="1" x14ac:dyDescent="0.2">
      <c r="B40237" s="43"/>
    </row>
    <row r="40238" spans="2:2" ht="12.75" customHeight="1" x14ac:dyDescent="0.2">
      <c r="B40238" s="43"/>
    </row>
    <row r="40239" spans="2:2" ht="12.75" customHeight="1" x14ac:dyDescent="0.2">
      <c r="B40239" s="43"/>
    </row>
    <row r="40240" spans="2:2" ht="12.75" customHeight="1" x14ac:dyDescent="0.2">
      <c r="B40240" s="43"/>
    </row>
    <row r="40241" spans="2:2" ht="12.75" customHeight="1" x14ac:dyDescent="0.2">
      <c r="B40241" s="43"/>
    </row>
    <row r="40242" spans="2:2" ht="12.75" customHeight="1" x14ac:dyDescent="0.2">
      <c r="B40242" s="43"/>
    </row>
    <row r="40243" spans="2:2" ht="12.75" customHeight="1" x14ac:dyDescent="0.2">
      <c r="B40243" s="43"/>
    </row>
    <row r="40244" spans="2:2" ht="12.75" customHeight="1" x14ac:dyDescent="0.2">
      <c r="B40244" s="43"/>
    </row>
    <row r="40245" spans="2:2" ht="12.75" customHeight="1" x14ac:dyDescent="0.2">
      <c r="B40245" s="43"/>
    </row>
    <row r="40246" spans="2:2" ht="12.75" customHeight="1" x14ac:dyDescent="0.2">
      <c r="B40246" s="43"/>
    </row>
    <row r="40247" spans="2:2" ht="12.75" customHeight="1" x14ac:dyDescent="0.2">
      <c r="B40247" s="43"/>
    </row>
    <row r="40248" spans="2:2" ht="12.75" customHeight="1" x14ac:dyDescent="0.2">
      <c r="B40248" s="43"/>
    </row>
    <row r="40249" spans="2:2" ht="12.75" customHeight="1" x14ac:dyDescent="0.2">
      <c r="B40249" s="43"/>
    </row>
    <row r="40250" spans="2:2" ht="12.75" customHeight="1" x14ac:dyDescent="0.2">
      <c r="B40250" s="43"/>
    </row>
    <row r="40251" spans="2:2" ht="12.75" customHeight="1" x14ac:dyDescent="0.2">
      <c r="B40251" s="43"/>
    </row>
    <row r="40252" spans="2:2" ht="12.75" customHeight="1" x14ac:dyDescent="0.2">
      <c r="B40252" s="43"/>
    </row>
    <row r="40253" spans="2:2" ht="12.75" customHeight="1" x14ac:dyDescent="0.2">
      <c r="B40253" s="43"/>
    </row>
    <row r="40254" spans="2:2" ht="12.75" customHeight="1" x14ac:dyDescent="0.2">
      <c r="B40254" s="43"/>
    </row>
    <row r="40255" spans="2:2" ht="12.75" customHeight="1" x14ac:dyDescent="0.2">
      <c r="B40255" s="43"/>
    </row>
    <row r="40256" spans="2:2" ht="12.75" customHeight="1" x14ac:dyDescent="0.2">
      <c r="B40256" s="43"/>
    </row>
    <row r="40257" spans="2:2" ht="12.75" customHeight="1" x14ac:dyDescent="0.2">
      <c r="B40257" s="43"/>
    </row>
    <row r="40258" spans="2:2" ht="12.75" customHeight="1" x14ac:dyDescent="0.2">
      <c r="B40258" s="43"/>
    </row>
    <row r="40259" spans="2:2" ht="12.75" customHeight="1" x14ac:dyDescent="0.2">
      <c r="B40259" s="43"/>
    </row>
    <row r="40260" spans="2:2" ht="12.75" customHeight="1" x14ac:dyDescent="0.2">
      <c r="B40260" s="43"/>
    </row>
    <row r="40261" spans="2:2" ht="12.75" customHeight="1" x14ac:dyDescent="0.2">
      <c r="B40261" s="43"/>
    </row>
    <row r="40262" spans="2:2" ht="12.75" customHeight="1" x14ac:dyDescent="0.2">
      <c r="B40262" s="43"/>
    </row>
    <row r="40263" spans="2:2" ht="12.75" customHeight="1" x14ac:dyDescent="0.2">
      <c r="B40263" s="43"/>
    </row>
    <row r="40264" spans="2:2" ht="12.75" customHeight="1" x14ac:dyDescent="0.2">
      <c r="B40264" s="43"/>
    </row>
    <row r="40265" spans="2:2" ht="12.75" customHeight="1" x14ac:dyDescent="0.2">
      <c r="B40265" s="43"/>
    </row>
    <row r="40266" spans="2:2" ht="12.75" customHeight="1" x14ac:dyDescent="0.2">
      <c r="B40266" s="43"/>
    </row>
    <row r="40267" spans="2:2" ht="12.75" customHeight="1" x14ac:dyDescent="0.2">
      <c r="B40267" s="43"/>
    </row>
    <row r="40268" spans="2:2" ht="12.75" customHeight="1" x14ac:dyDescent="0.2">
      <c r="B40268" s="43"/>
    </row>
    <row r="40269" spans="2:2" ht="12.75" customHeight="1" x14ac:dyDescent="0.2">
      <c r="B40269" s="43"/>
    </row>
    <row r="40270" spans="2:2" ht="12.75" customHeight="1" x14ac:dyDescent="0.2">
      <c r="B40270" s="43"/>
    </row>
    <row r="40271" spans="2:2" ht="12.75" customHeight="1" x14ac:dyDescent="0.2">
      <c r="B40271" s="43"/>
    </row>
    <row r="40272" spans="2:2" ht="12.75" customHeight="1" x14ac:dyDescent="0.2">
      <c r="B40272" s="43"/>
    </row>
    <row r="40273" spans="2:2" ht="12.75" customHeight="1" x14ac:dyDescent="0.2">
      <c r="B40273" s="43"/>
    </row>
    <row r="40274" spans="2:2" ht="12.75" customHeight="1" x14ac:dyDescent="0.2">
      <c r="B40274" s="43"/>
    </row>
    <row r="40275" spans="2:2" ht="12.75" customHeight="1" x14ac:dyDescent="0.2">
      <c r="B40275" s="43"/>
    </row>
    <row r="40276" spans="2:2" ht="12.75" customHeight="1" x14ac:dyDescent="0.2">
      <c r="B40276" s="43"/>
    </row>
    <row r="40277" spans="2:2" ht="12.75" customHeight="1" x14ac:dyDescent="0.2">
      <c r="B40277" s="43"/>
    </row>
    <row r="40278" spans="2:2" ht="12.75" customHeight="1" x14ac:dyDescent="0.2">
      <c r="B40278" s="43"/>
    </row>
    <row r="40279" spans="2:2" ht="12.75" customHeight="1" x14ac:dyDescent="0.2">
      <c r="B40279" s="43"/>
    </row>
    <row r="40280" spans="2:2" ht="12.75" customHeight="1" x14ac:dyDescent="0.2">
      <c r="B40280" s="43"/>
    </row>
    <row r="40281" spans="2:2" ht="12.75" customHeight="1" x14ac:dyDescent="0.2">
      <c r="B40281" s="43"/>
    </row>
    <row r="40282" spans="2:2" ht="12.75" customHeight="1" x14ac:dyDescent="0.2">
      <c r="B40282" s="43"/>
    </row>
    <row r="40283" spans="2:2" ht="12.75" customHeight="1" x14ac:dyDescent="0.2">
      <c r="B40283" s="43"/>
    </row>
    <row r="40284" spans="2:2" ht="12.75" customHeight="1" x14ac:dyDescent="0.2">
      <c r="B40284" s="43"/>
    </row>
    <row r="40285" spans="2:2" ht="12.75" customHeight="1" x14ac:dyDescent="0.2">
      <c r="B40285" s="43"/>
    </row>
    <row r="40286" spans="2:2" ht="12.75" customHeight="1" x14ac:dyDescent="0.2">
      <c r="B40286" s="43"/>
    </row>
    <row r="40287" spans="2:2" ht="12.75" customHeight="1" x14ac:dyDescent="0.2">
      <c r="B40287" s="43"/>
    </row>
    <row r="40288" spans="2:2" ht="12.75" customHeight="1" x14ac:dyDescent="0.2">
      <c r="B40288" s="43"/>
    </row>
    <row r="40289" spans="2:2" ht="12.75" customHeight="1" x14ac:dyDescent="0.2">
      <c r="B40289" s="43"/>
    </row>
    <row r="40290" spans="2:2" ht="12.75" customHeight="1" x14ac:dyDescent="0.2">
      <c r="B40290" s="43"/>
    </row>
    <row r="40291" spans="2:2" ht="12.75" customHeight="1" x14ac:dyDescent="0.2">
      <c r="B40291" s="43"/>
    </row>
    <row r="40292" spans="2:2" ht="12.75" customHeight="1" x14ac:dyDescent="0.2">
      <c r="B40292" s="43"/>
    </row>
    <row r="40293" spans="2:2" ht="12.75" customHeight="1" x14ac:dyDescent="0.2">
      <c r="B40293" s="43"/>
    </row>
    <row r="40294" spans="2:2" ht="12.75" customHeight="1" x14ac:dyDescent="0.2">
      <c r="B40294" s="43"/>
    </row>
    <row r="40295" spans="2:2" ht="12.75" customHeight="1" x14ac:dyDescent="0.2">
      <c r="B40295" s="43"/>
    </row>
    <row r="40296" spans="2:2" ht="12.75" customHeight="1" x14ac:dyDescent="0.2">
      <c r="B40296" s="43"/>
    </row>
    <row r="40297" spans="2:2" ht="12.75" customHeight="1" x14ac:dyDescent="0.2">
      <c r="B40297" s="43"/>
    </row>
    <row r="40298" spans="2:2" ht="12.75" customHeight="1" x14ac:dyDescent="0.2">
      <c r="B40298" s="43"/>
    </row>
    <row r="40299" spans="2:2" ht="12.75" customHeight="1" x14ac:dyDescent="0.2">
      <c r="B40299" s="43"/>
    </row>
    <row r="40300" spans="2:2" ht="12.75" customHeight="1" x14ac:dyDescent="0.2">
      <c r="B40300" s="43"/>
    </row>
    <row r="40301" spans="2:2" ht="12.75" customHeight="1" x14ac:dyDescent="0.2">
      <c r="B40301" s="43"/>
    </row>
    <row r="40302" spans="2:2" ht="12.75" customHeight="1" x14ac:dyDescent="0.2">
      <c r="B40302" s="43"/>
    </row>
    <row r="40303" spans="2:2" ht="12.75" customHeight="1" x14ac:dyDescent="0.2">
      <c r="B40303" s="43"/>
    </row>
    <row r="40304" spans="2:2" ht="12.75" customHeight="1" x14ac:dyDescent="0.2">
      <c r="B40304" s="43"/>
    </row>
    <row r="40305" spans="2:2" ht="12.75" customHeight="1" x14ac:dyDescent="0.2">
      <c r="B40305" s="43"/>
    </row>
    <row r="40306" spans="2:2" ht="12.75" customHeight="1" x14ac:dyDescent="0.2">
      <c r="B40306" s="43"/>
    </row>
    <row r="40307" spans="2:2" ht="12.75" customHeight="1" x14ac:dyDescent="0.2">
      <c r="B40307" s="43"/>
    </row>
    <row r="40308" spans="2:2" ht="12.75" customHeight="1" x14ac:dyDescent="0.2">
      <c r="B40308" s="43"/>
    </row>
    <row r="40309" spans="2:2" ht="12.75" customHeight="1" x14ac:dyDescent="0.2">
      <c r="B40309" s="43"/>
    </row>
    <row r="40310" spans="2:2" ht="12.75" customHeight="1" x14ac:dyDescent="0.2">
      <c r="B40310" s="43"/>
    </row>
    <row r="40311" spans="2:2" ht="12.75" customHeight="1" x14ac:dyDescent="0.2">
      <c r="B40311" s="43"/>
    </row>
    <row r="40312" spans="2:2" ht="12.75" customHeight="1" x14ac:dyDescent="0.2">
      <c r="B40312" s="43"/>
    </row>
    <row r="40313" spans="2:2" ht="12.75" customHeight="1" x14ac:dyDescent="0.2">
      <c r="B40313" s="43"/>
    </row>
    <row r="40314" spans="2:2" ht="12.75" customHeight="1" x14ac:dyDescent="0.2">
      <c r="B40314" s="43"/>
    </row>
    <row r="40315" spans="2:2" ht="12.75" customHeight="1" x14ac:dyDescent="0.2">
      <c r="B40315" s="43"/>
    </row>
    <row r="40316" spans="2:2" ht="12.75" customHeight="1" x14ac:dyDescent="0.2">
      <c r="B40316" s="43"/>
    </row>
    <row r="40317" spans="2:2" ht="12.75" customHeight="1" x14ac:dyDescent="0.2">
      <c r="B40317" s="43"/>
    </row>
    <row r="40318" spans="2:2" ht="12.75" customHeight="1" x14ac:dyDescent="0.2">
      <c r="B40318" s="43"/>
    </row>
    <row r="40319" spans="2:2" ht="12.75" customHeight="1" x14ac:dyDescent="0.2">
      <c r="B40319" s="43"/>
    </row>
    <row r="40320" spans="2:2" ht="12.75" customHeight="1" x14ac:dyDescent="0.2">
      <c r="B40320" s="43"/>
    </row>
    <row r="40321" spans="2:2" ht="12.75" customHeight="1" x14ac:dyDescent="0.2">
      <c r="B40321" s="43"/>
    </row>
    <row r="40322" spans="2:2" ht="12.75" customHeight="1" x14ac:dyDescent="0.2">
      <c r="B40322" s="43"/>
    </row>
    <row r="40323" spans="2:2" ht="12.75" customHeight="1" x14ac:dyDescent="0.2">
      <c r="B40323" s="43"/>
    </row>
    <row r="40324" spans="2:2" ht="12.75" customHeight="1" x14ac:dyDescent="0.2">
      <c r="B40324" s="43"/>
    </row>
    <row r="40325" spans="2:2" ht="12.75" customHeight="1" x14ac:dyDescent="0.2">
      <c r="B40325" s="43"/>
    </row>
    <row r="40326" spans="2:2" ht="12.75" customHeight="1" x14ac:dyDescent="0.2">
      <c r="B40326" s="43"/>
    </row>
    <row r="40327" spans="2:2" ht="12.75" customHeight="1" x14ac:dyDescent="0.2">
      <c r="B40327" s="43"/>
    </row>
    <row r="40328" spans="2:2" ht="12.75" customHeight="1" x14ac:dyDescent="0.2">
      <c r="B40328" s="43"/>
    </row>
    <row r="40329" spans="2:2" ht="12.75" customHeight="1" x14ac:dyDescent="0.2">
      <c r="B40329" s="43"/>
    </row>
    <row r="40330" spans="2:2" ht="12.75" customHeight="1" x14ac:dyDescent="0.2">
      <c r="B40330" s="43"/>
    </row>
    <row r="40331" spans="2:2" ht="12.75" customHeight="1" x14ac:dyDescent="0.2">
      <c r="B40331" s="43"/>
    </row>
    <row r="40332" spans="2:2" ht="12.75" customHeight="1" x14ac:dyDescent="0.2">
      <c r="B40332" s="43"/>
    </row>
    <row r="40333" spans="2:2" ht="12.75" customHeight="1" x14ac:dyDescent="0.2">
      <c r="B40333" s="43"/>
    </row>
    <row r="40334" spans="2:2" ht="12.75" customHeight="1" x14ac:dyDescent="0.2">
      <c r="B40334" s="43"/>
    </row>
    <row r="40335" spans="2:2" ht="12.75" customHeight="1" x14ac:dyDescent="0.2">
      <c r="B40335" s="43"/>
    </row>
    <row r="40336" spans="2:2" ht="12.75" customHeight="1" x14ac:dyDescent="0.2">
      <c r="B40336" s="43"/>
    </row>
    <row r="40337" spans="2:2" ht="12.75" customHeight="1" x14ac:dyDescent="0.2">
      <c r="B40337" s="43"/>
    </row>
    <row r="40338" spans="2:2" ht="12.75" customHeight="1" x14ac:dyDescent="0.2">
      <c r="B40338" s="43"/>
    </row>
    <row r="40339" spans="2:2" ht="12.75" customHeight="1" x14ac:dyDescent="0.2">
      <c r="B40339" s="43"/>
    </row>
    <row r="40340" spans="2:2" ht="12.75" customHeight="1" x14ac:dyDescent="0.2">
      <c r="B40340" s="43"/>
    </row>
    <row r="40341" spans="2:2" ht="12.75" customHeight="1" x14ac:dyDescent="0.2">
      <c r="B40341" s="43"/>
    </row>
    <row r="40342" spans="2:2" ht="12.75" customHeight="1" x14ac:dyDescent="0.2">
      <c r="B40342" s="43"/>
    </row>
    <row r="40343" spans="2:2" ht="12.75" customHeight="1" x14ac:dyDescent="0.2">
      <c r="B40343" s="43"/>
    </row>
    <row r="40344" spans="2:2" ht="12.75" customHeight="1" x14ac:dyDescent="0.2">
      <c r="B40344" s="43"/>
    </row>
    <row r="40345" spans="2:2" ht="12.75" customHeight="1" x14ac:dyDescent="0.2">
      <c r="B40345" s="43"/>
    </row>
    <row r="40346" spans="2:2" ht="12.75" customHeight="1" x14ac:dyDescent="0.2">
      <c r="B40346" s="43"/>
    </row>
    <row r="40347" spans="2:2" ht="12.75" customHeight="1" x14ac:dyDescent="0.2">
      <c r="B40347" s="43"/>
    </row>
    <row r="40348" spans="2:2" ht="12.75" customHeight="1" x14ac:dyDescent="0.2">
      <c r="B40348" s="43"/>
    </row>
    <row r="40349" spans="2:2" ht="12.75" customHeight="1" x14ac:dyDescent="0.2">
      <c r="B40349" s="43"/>
    </row>
    <row r="40350" spans="2:2" ht="12.75" customHeight="1" x14ac:dyDescent="0.2">
      <c r="B40350" s="43"/>
    </row>
    <row r="40351" spans="2:2" ht="12.75" customHeight="1" x14ac:dyDescent="0.2">
      <c r="B40351" s="43"/>
    </row>
    <row r="40352" spans="2:2" ht="12.75" customHeight="1" x14ac:dyDescent="0.2">
      <c r="B40352" s="43"/>
    </row>
    <row r="40353" spans="2:2" ht="12.75" customHeight="1" x14ac:dyDescent="0.2">
      <c r="B40353" s="43"/>
    </row>
    <row r="40354" spans="2:2" ht="12.75" customHeight="1" x14ac:dyDescent="0.2">
      <c r="B40354" s="43"/>
    </row>
    <row r="40355" spans="2:2" ht="12.75" customHeight="1" x14ac:dyDescent="0.2">
      <c r="B40355" s="43"/>
    </row>
    <row r="40356" spans="2:2" ht="12.75" customHeight="1" x14ac:dyDescent="0.2">
      <c r="B40356" s="43"/>
    </row>
    <row r="40357" spans="2:2" ht="12.75" customHeight="1" x14ac:dyDescent="0.2">
      <c r="B40357" s="43"/>
    </row>
    <row r="40358" spans="2:2" ht="12.75" customHeight="1" x14ac:dyDescent="0.2">
      <c r="B40358" s="43"/>
    </row>
    <row r="40359" spans="2:2" ht="12.75" customHeight="1" x14ac:dyDescent="0.2">
      <c r="B40359" s="43"/>
    </row>
    <row r="40360" spans="2:2" ht="12.75" customHeight="1" x14ac:dyDescent="0.2">
      <c r="B40360" s="43"/>
    </row>
    <row r="40361" spans="2:2" ht="12.75" customHeight="1" x14ac:dyDescent="0.2">
      <c r="B40361" s="43"/>
    </row>
    <row r="40362" spans="2:2" ht="12.75" customHeight="1" x14ac:dyDescent="0.2">
      <c r="B40362" s="43"/>
    </row>
    <row r="40363" spans="2:2" ht="12.75" customHeight="1" x14ac:dyDescent="0.2">
      <c r="B40363" s="43"/>
    </row>
    <row r="40364" spans="2:2" ht="12.75" customHeight="1" x14ac:dyDescent="0.2">
      <c r="B40364" s="43"/>
    </row>
    <row r="40365" spans="2:2" ht="12.75" customHeight="1" x14ac:dyDescent="0.2">
      <c r="B40365" s="43"/>
    </row>
    <row r="40366" spans="2:2" ht="12.75" customHeight="1" x14ac:dyDescent="0.2">
      <c r="B40366" s="43"/>
    </row>
    <row r="40367" spans="2:2" ht="12.75" customHeight="1" x14ac:dyDescent="0.2">
      <c r="B40367" s="43"/>
    </row>
    <row r="40368" spans="2:2" ht="12.75" customHeight="1" x14ac:dyDescent="0.2">
      <c r="B40368" s="43"/>
    </row>
    <row r="40369" spans="2:2" ht="12.75" customHeight="1" x14ac:dyDescent="0.2">
      <c r="B40369" s="43"/>
    </row>
    <row r="40370" spans="2:2" ht="12.75" customHeight="1" x14ac:dyDescent="0.2">
      <c r="B40370" s="43"/>
    </row>
    <row r="40371" spans="2:2" ht="12.75" customHeight="1" x14ac:dyDescent="0.2">
      <c r="B40371" s="43"/>
    </row>
    <row r="40372" spans="2:2" ht="12.75" customHeight="1" x14ac:dyDescent="0.2">
      <c r="B40372" s="43"/>
    </row>
    <row r="40373" spans="2:2" ht="12.75" customHeight="1" x14ac:dyDescent="0.2">
      <c r="B40373" s="43"/>
    </row>
    <row r="40374" spans="2:2" ht="12.75" customHeight="1" x14ac:dyDescent="0.2">
      <c r="B40374" s="43"/>
    </row>
    <row r="40375" spans="2:2" ht="12.75" customHeight="1" x14ac:dyDescent="0.2">
      <c r="B40375" s="43"/>
    </row>
    <row r="40376" spans="2:2" ht="12.75" customHeight="1" x14ac:dyDescent="0.2">
      <c r="B40376" s="43"/>
    </row>
    <row r="40377" spans="2:2" ht="12.75" customHeight="1" x14ac:dyDescent="0.2">
      <c r="B40377" s="43"/>
    </row>
    <row r="40378" spans="2:2" ht="12.75" customHeight="1" x14ac:dyDescent="0.2">
      <c r="B40378" s="43"/>
    </row>
    <row r="40379" spans="2:2" ht="12.75" customHeight="1" x14ac:dyDescent="0.2">
      <c r="B40379" s="43"/>
    </row>
    <row r="40380" spans="2:2" ht="12.75" customHeight="1" x14ac:dyDescent="0.2">
      <c r="B40380" s="43"/>
    </row>
    <row r="40381" spans="2:2" ht="12.75" customHeight="1" x14ac:dyDescent="0.2">
      <c r="B40381" s="43"/>
    </row>
    <row r="40382" spans="2:2" ht="12.75" customHeight="1" x14ac:dyDescent="0.2">
      <c r="B40382" s="43"/>
    </row>
    <row r="40383" spans="2:2" ht="12.75" customHeight="1" x14ac:dyDescent="0.2">
      <c r="B40383" s="43"/>
    </row>
    <row r="40384" spans="2:2" ht="12.75" customHeight="1" x14ac:dyDescent="0.2">
      <c r="B40384" s="43"/>
    </row>
    <row r="40385" spans="2:2" ht="12.75" customHeight="1" x14ac:dyDescent="0.2">
      <c r="B40385" s="43"/>
    </row>
    <row r="40386" spans="2:2" ht="12.75" customHeight="1" x14ac:dyDescent="0.2">
      <c r="B40386" s="43"/>
    </row>
    <row r="40387" spans="2:2" ht="12.75" customHeight="1" x14ac:dyDescent="0.2">
      <c r="B40387" s="43"/>
    </row>
    <row r="40388" spans="2:2" ht="12.75" customHeight="1" x14ac:dyDescent="0.2">
      <c r="B40388" s="43"/>
    </row>
    <row r="40389" spans="2:2" ht="12.75" customHeight="1" x14ac:dyDescent="0.2">
      <c r="B40389" s="43"/>
    </row>
    <row r="40390" spans="2:2" ht="12.75" customHeight="1" x14ac:dyDescent="0.2">
      <c r="B40390" s="43"/>
    </row>
    <row r="40391" spans="2:2" ht="12.75" customHeight="1" x14ac:dyDescent="0.2">
      <c r="B40391" s="43"/>
    </row>
    <row r="40392" spans="2:2" ht="12.75" customHeight="1" x14ac:dyDescent="0.2">
      <c r="B40392" s="43"/>
    </row>
    <row r="40393" spans="2:2" ht="12.75" customHeight="1" x14ac:dyDescent="0.2">
      <c r="B40393" s="43"/>
    </row>
    <row r="40394" spans="2:2" ht="12.75" customHeight="1" x14ac:dyDescent="0.2">
      <c r="B40394" s="43"/>
    </row>
    <row r="40395" spans="2:2" ht="12.75" customHeight="1" x14ac:dyDescent="0.2">
      <c r="B40395" s="43"/>
    </row>
    <row r="40396" spans="2:2" ht="12.75" customHeight="1" x14ac:dyDescent="0.2">
      <c r="B40396" s="43"/>
    </row>
    <row r="40397" spans="2:2" ht="12.75" customHeight="1" x14ac:dyDescent="0.2">
      <c r="B40397" s="43"/>
    </row>
    <row r="40398" spans="2:2" ht="12.75" customHeight="1" x14ac:dyDescent="0.2">
      <c r="B40398" s="43"/>
    </row>
    <row r="40399" spans="2:2" ht="12.75" customHeight="1" x14ac:dyDescent="0.2">
      <c r="B40399" s="43"/>
    </row>
    <row r="40400" spans="2:2" ht="12.75" customHeight="1" x14ac:dyDescent="0.2">
      <c r="B40400" s="43"/>
    </row>
    <row r="40401" spans="2:2" ht="12.75" customHeight="1" x14ac:dyDescent="0.2">
      <c r="B40401" s="43"/>
    </row>
    <row r="40402" spans="2:2" ht="12.75" customHeight="1" x14ac:dyDescent="0.2">
      <c r="B40402" s="43"/>
    </row>
    <row r="40403" spans="2:2" ht="12.75" customHeight="1" x14ac:dyDescent="0.2">
      <c r="B40403" s="43"/>
    </row>
    <row r="40404" spans="2:2" ht="12.75" customHeight="1" x14ac:dyDescent="0.2">
      <c r="B40404" s="43"/>
    </row>
    <row r="40405" spans="2:2" ht="12.75" customHeight="1" x14ac:dyDescent="0.2">
      <c r="B40405" s="43"/>
    </row>
    <row r="40406" spans="2:2" ht="12.75" customHeight="1" x14ac:dyDescent="0.2">
      <c r="B40406" s="43"/>
    </row>
    <row r="40407" spans="2:2" ht="12.75" customHeight="1" x14ac:dyDescent="0.2">
      <c r="B40407" s="43"/>
    </row>
    <row r="40408" spans="2:2" ht="12.75" customHeight="1" x14ac:dyDescent="0.2">
      <c r="B40408" s="43"/>
    </row>
    <row r="40409" spans="2:2" ht="12.75" customHeight="1" x14ac:dyDescent="0.2">
      <c r="B40409" s="43"/>
    </row>
    <row r="40410" spans="2:2" ht="12.75" customHeight="1" x14ac:dyDescent="0.2">
      <c r="B40410" s="43"/>
    </row>
    <row r="40411" spans="2:2" ht="12.75" customHeight="1" x14ac:dyDescent="0.2">
      <c r="B40411" s="43"/>
    </row>
    <row r="40412" spans="2:2" ht="12.75" customHeight="1" x14ac:dyDescent="0.2">
      <c r="B40412" s="43"/>
    </row>
    <row r="40413" spans="2:2" ht="12.75" customHeight="1" x14ac:dyDescent="0.2">
      <c r="B40413" s="43"/>
    </row>
    <row r="40414" spans="2:2" ht="12.75" customHeight="1" x14ac:dyDescent="0.2">
      <c r="B40414" s="43"/>
    </row>
    <row r="40415" spans="2:2" ht="12.75" customHeight="1" x14ac:dyDescent="0.2">
      <c r="B40415" s="43"/>
    </row>
    <row r="40416" spans="2:2" ht="12.75" customHeight="1" x14ac:dyDescent="0.2">
      <c r="B40416" s="43"/>
    </row>
    <row r="40417" spans="2:2" ht="12.75" customHeight="1" x14ac:dyDescent="0.2">
      <c r="B40417" s="43"/>
    </row>
    <row r="40418" spans="2:2" ht="12.75" customHeight="1" x14ac:dyDescent="0.2">
      <c r="B40418" s="43"/>
    </row>
    <row r="40419" spans="2:2" ht="12.75" customHeight="1" x14ac:dyDescent="0.2">
      <c r="B40419" s="43"/>
    </row>
    <row r="40420" spans="2:2" ht="12.75" customHeight="1" x14ac:dyDescent="0.2">
      <c r="B40420" s="43"/>
    </row>
    <row r="40421" spans="2:2" ht="12.75" customHeight="1" x14ac:dyDescent="0.2">
      <c r="B40421" s="43"/>
    </row>
    <row r="40422" spans="2:2" ht="12.75" customHeight="1" x14ac:dyDescent="0.2">
      <c r="B40422" s="43"/>
    </row>
    <row r="40423" spans="2:2" ht="12.75" customHeight="1" x14ac:dyDescent="0.2">
      <c r="B40423" s="43"/>
    </row>
    <row r="40424" spans="2:2" ht="12.75" customHeight="1" x14ac:dyDescent="0.2">
      <c r="B40424" s="43"/>
    </row>
    <row r="40425" spans="2:2" ht="12.75" customHeight="1" x14ac:dyDescent="0.2">
      <c r="B40425" s="43"/>
    </row>
    <row r="40426" spans="2:2" ht="12.75" customHeight="1" x14ac:dyDescent="0.2">
      <c r="B40426" s="43"/>
    </row>
    <row r="40427" spans="2:2" ht="12.75" customHeight="1" x14ac:dyDescent="0.2">
      <c r="B40427" s="43"/>
    </row>
    <row r="40428" spans="2:2" ht="12.75" customHeight="1" x14ac:dyDescent="0.2">
      <c r="B40428" s="43"/>
    </row>
    <row r="40429" spans="2:2" ht="12.75" customHeight="1" x14ac:dyDescent="0.2">
      <c r="B40429" s="43"/>
    </row>
    <row r="40430" spans="2:2" ht="12.75" customHeight="1" x14ac:dyDescent="0.2">
      <c r="B40430" s="43"/>
    </row>
    <row r="40431" spans="2:2" ht="12.75" customHeight="1" x14ac:dyDescent="0.2">
      <c r="B40431" s="43"/>
    </row>
    <row r="40432" spans="2:2" ht="12.75" customHeight="1" x14ac:dyDescent="0.2">
      <c r="B40432" s="43"/>
    </row>
    <row r="40433" spans="2:2" ht="12.75" customHeight="1" x14ac:dyDescent="0.2">
      <c r="B40433" s="43"/>
    </row>
    <row r="40434" spans="2:2" ht="12.75" customHeight="1" x14ac:dyDescent="0.2">
      <c r="B40434" s="43"/>
    </row>
    <row r="40435" spans="2:2" ht="12.75" customHeight="1" x14ac:dyDescent="0.2">
      <c r="B40435" s="43"/>
    </row>
    <row r="40436" spans="2:2" ht="12.75" customHeight="1" x14ac:dyDescent="0.2">
      <c r="B40436" s="43"/>
    </row>
    <row r="40437" spans="2:2" ht="12.75" customHeight="1" x14ac:dyDescent="0.2">
      <c r="B40437" s="43"/>
    </row>
    <row r="40438" spans="2:2" ht="12.75" customHeight="1" x14ac:dyDescent="0.2">
      <c r="B40438" s="43"/>
    </row>
    <row r="40439" spans="2:2" ht="12.75" customHeight="1" x14ac:dyDescent="0.2">
      <c r="B40439" s="43"/>
    </row>
    <row r="40440" spans="2:2" ht="12.75" customHeight="1" x14ac:dyDescent="0.2">
      <c r="B40440" s="43"/>
    </row>
    <row r="40441" spans="2:2" ht="12.75" customHeight="1" x14ac:dyDescent="0.2">
      <c r="B40441" s="43"/>
    </row>
    <row r="40442" spans="2:2" ht="12.75" customHeight="1" x14ac:dyDescent="0.2">
      <c r="B40442" s="43"/>
    </row>
    <row r="40443" spans="2:2" ht="12.75" customHeight="1" x14ac:dyDescent="0.2">
      <c r="B40443" s="43"/>
    </row>
    <row r="40444" spans="2:2" ht="12.75" customHeight="1" x14ac:dyDescent="0.2">
      <c r="B40444" s="43"/>
    </row>
    <row r="40445" spans="2:2" ht="12.75" customHeight="1" x14ac:dyDescent="0.2">
      <c r="B40445" s="43"/>
    </row>
    <row r="40446" spans="2:2" ht="12.75" customHeight="1" x14ac:dyDescent="0.2">
      <c r="B40446" s="43"/>
    </row>
    <row r="40447" spans="2:2" ht="12.75" customHeight="1" x14ac:dyDescent="0.2">
      <c r="B40447" s="43"/>
    </row>
    <row r="40448" spans="2:2" ht="12.75" customHeight="1" x14ac:dyDescent="0.2">
      <c r="B40448" s="43"/>
    </row>
    <row r="40449" spans="2:2" ht="12.75" customHeight="1" x14ac:dyDescent="0.2">
      <c r="B40449" s="43"/>
    </row>
    <row r="40450" spans="2:2" ht="12.75" customHeight="1" x14ac:dyDescent="0.2">
      <c r="B40450" s="43"/>
    </row>
    <row r="40451" spans="2:2" ht="12.75" customHeight="1" x14ac:dyDescent="0.2">
      <c r="B40451" s="43"/>
    </row>
    <row r="40452" spans="2:2" ht="12.75" customHeight="1" x14ac:dyDescent="0.2">
      <c r="B40452" s="43"/>
    </row>
    <row r="40453" spans="2:2" ht="12.75" customHeight="1" x14ac:dyDescent="0.2">
      <c r="B40453" s="43"/>
    </row>
    <row r="40454" spans="2:2" ht="12.75" customHeight="1" x14ac:dyDescent="0.2">
      <c r="B40454" s="43"/>
    </row>
    <row r="40455" spans="2:2" ht="12.75" customHeight="1" x14ac:dyDescent="0.2">
      <c r="B40455" s="43"/>
    </row>
    <row r="40456" spans="2:2" ht="12.75" customHeight="1" x14ac:dyDescent="0.2">
      <c r="B40456" s="43"/>
    </row>
    <row r="40457" spans="2:2" ht="12.75" customHeight="1" x14ac:dyDescent="0.2">
      <c r="B40457" s="43"/>
    </row>
    <row r="40458" spans="2:2" ht="12.75" customHeight="1" x14ac:dyDescent="0.2">
      <c r="B40458" s="43"/>
    </row>
    <row r="40459" spans="2:2" ht="12.75" customHeight="1" x14ac:dyDescent="0.2">
      <c r="B40459" s="43"/>
    </row>
    <row r="40460" spans="2:2" ht="12.75" customHeight="1" x14ac:dyDescent="0.2">
      <c r="B40460" s="43"/>
    </row>
    <row r="40461" spans="2:2" ht="12.75" customHeight="1" x14ac:dyDescent="0.2">
      <c r="B40461" s="43"/>
    </row>
    <row r="40462" spans="2:2" ht="12.75" customHeight="1" x14ac:dyDescent="0.2">
      <c r="B40462" s="43"/>
    </row>
    <row r="40463" spans="2:2" ht="12.75" customHeight="1" x14ac:dyDescent="0.2">
      <c r="B40463" s="43"/>
    </row>
    <row r="40464" spans="2:2" ht="12.75" customHeight="1" x14ac:dyDescent="0.2">
      <c r="B40464" s="43"/>
    </row>
    <row r="40465" spans="2:2" ht="12.75" customHeight="1" x14ac:dyDescent="0.2">
      <c r="B40465" s="43"/>
    </row>
    <row r="40466" spans="2:2" ht="12.75" customHeight="1" x14ac:dyDescent="0.2">
      <c r="B40466" s="43"/>
    </row>
    <row r="40467" spans="2:2" ht="12.75" customHeight="1" x14ac:dyDescent="0.2">
      <c r="B40467" s="43"/>
    </row>
    <row r="40468" spans="2:2" ht="12.75" customHeight="1" x14ac:dyDescent="0.2">
      <c r="B40468" s="43"/>
    </row>
    <row r="40469" spans="2:2" ht="12.75" customHeight="1" x14ac:dyDescent="0.2">
      <c r="B40469" s="43"/>
    </row>
    <row r="40470" spans="2:2" ht="12.75" customHeight="1" x14ac:dyDescent="0.2">
      <c r="B40470" s="43"/>
    </row>
    <row r="40471" spans="2:2" ht="12.75" customHeight="1" x14ac:dyDescent="0.2">
      <c r="B40471" s="43"/>
    </row>
    <row r="40472" spans="2:2" ht="12.75" customHeight="1" x14ac:dyDescent="0.2">
      <c r="B40472" s="43"/>
    </row>
    <row r="40473" spans="2:2" ht="12.75" customHeight="1" x14ac:dyDescent="0.2">
      <c r="B40473" s="43"/>
    </row>
    <row r="40474" spans="2:2" ht="12.75" customHeight="1" x14ac:dyDescent="0.2">
      <c r="B40474" s="43"/>
    </row>
    <row r="40475" spans="2:2" ht="12.75" customHeight="1" x14ac:dyDescent="0.2">
      <c r="B40475" s="43"/>
    </row>
    <row r="40476" spans="2:2" ht="12.75" customHeight="1" x14ac:dyDescent="0.2">
      <c r="B40476" s="43"/>
    </row>
    <row r="40477" spans="2:2" ht="12.75" customHeight="1" x14ac:dyDescent="0.2">
      <c r="B40477" s="43"/>
    </row>
    <row r="40478" spans="2:2" ht="12.75" customHeight="1" x14ac:dyDescent="0.2">
      <c r="B40478" s="43"/>
    </row>
    <row r="40479" spans="2:2" ht="12.75" customHeight="1" x14ac:dyDescent="0.2">
      <c r="B40479" s="43"/>
    </row>
    <row r="40480" spans="2:2" ht="12.75" customHeight="1" x14ac:dyDescent="0.2">
      <c r="B40480" s="43"/>
    </row>
    <row r="40481" spans="2:2" ht="12.75" customHeight="1" x14ac:dyDescent="0.2">
      <c r="B40481" s="43"/>
    </row>
    <row r="40482" spans="2:2" ht="12.75" customHeight="1" x14ac:dyDescent="0.2">
      <c r="B40482" s="43"/>
    </row>
    <row r="40483" spans="2:2" ht="12.75" customHeight="1" x14ac:dyDescent="0.2">
      <c r="B40483" s="43"/>
    </row>
    <row r="40484" spans="2:2" ht="12.75" customHeight="1" x14ac:dyDescent="0.2">
      <c r="B40484" s="43"/>
    </row>
    <row r="40485" spans="2:2" ht="12.75" customHeight="1" x14ac:dyDescent="0.2">
      <c r="B40485" s="43"/>
    </row>
    <row r="40486" spans="2:2" ht="12.75" customHeight="1" x14ac:dyDescent="0.2">
      <c r="B40486" s="43"/>
    </row>
    <row r="40487" spans="2:2" ht="12.75" customHeight="1" x14ac:dyDescent="0.2">
      <c r="B40487" s="43"/>
    </row>
    <row r="40488" spans="2:2" ht="12.75" customHeight="1" x14ac:dyDescent="0.2">
      <c r="B40488" s="43"/>
    </row>
    <row r="40489" spans="2:2" ht="12.75" customHeight="1" x14ac:dyDescent="0.2">
      <c r="B40489" s="43"/>
    </row>
    <row r="40490" spans="2:2" ht="12.75" customHeight="1" x14ac:dyDescent="0.2">
      <c r="B40490" s="43"/>
    </row>
    <row r="40491" spans="2:2" ht="12.75" customHeight="1" x14ac:dyDescent="0.2">
      <c r="B40491" s="43"/>
    </row>
    <row r="40492" spans="2:2" ht="12.75" customHeight="1" x14ac:dyDescent="0.2">
      <c r="B40492" s="43"/>
    </row>
    <row r="40493" spans="2:2" ht="12.75" customHeight="1" x14ac:dyDescent="0.2">
      <c r="B40493" s="43"/>
    </row>
    <row r="40494" spans="2:2" ht="12.75" customHeight="1" x14ac:dyDescent="0.2">
      <c r="B40494" s="43"/>
    </row>
    <row r="40495" spans="2:2" ht="12.75" customHeight="1" x14ac:dyDescent="0.2">
      <c r="B40495" s="43"/>
    </row>
    <row r="40496" spans="2:2" ht="12.75" customHeight="1" x14ac:dyDescent="0.2">
      <c r="B40496" s="43"/>
    </row>
    <row r="40497" spans="2:2" ht="12.75" customHeight="1" x14ac:dyDescent="0.2">
      <c r="B40497" s="43"/>
    </row>
    <row r="40498" spans="2:2" ht="12.75" customHeight="1" x14ac:dyDescent="0.2">
      <c r="B40498" s="43"/>
    </row>
    <row r="40499" spans="2:2" ht="12.75" customHeight="1" x14ac:dyDescent="0.2">
      <c r="B40499" s="43"/>
    </row>
    <row r="40500" spans="2:2" ht="12.75" customHeight="1" x14ac:dyDescent="0.2">
      <c r="B40500" s="43"/>
    </row>
    <row r="40501" spans="2:2" ht="12.75" customHeight="1" x14ac:dyDescent="0.2">
      <c r="B40501" s="43"/>
    </row>
    <row r="40502" spans="2:2" ht="12.75" customHeight="1" x14ac:dyDescent="0.2">
      <c r="B40502" s="43"/>
    </row>
    <row r="40503" spans="2:2" ht="12.75" customHeight="1" x14ac:dyDescent="0.2">
      <c r="B40503" s="43"/>
    </row>
    <row r="40504" spans="2:2" ht="12.75" customHeight="1" x14ac:dyDescent="0.2">
      <c r="B40504" s="43"/>
    </row>
    <row r="40505" spans="2:2" ht="12.75" customHeight="1" x14ac:dyDescent="0.2">
      <c r="B40505" s="43"/>
    </row>
    <row r="40506" spans="2:2" ht="12.75" customHeight="1" x14ac:dyDescent="0.2">
      <c r="B40506" s="43"/>
    </row>
    <row r="40507" spans="2:2" ht="12.75" customHeight="1" x14ac:dyDescent="0.2">
      <c r="B40507" s="43"/>
    </row>
    <row r="40508" spans="2:2" ht="12.75" customHeight="1" x14ac:dyDescent="0.2">
      <c r="B40508" s="43"/>
    </row>
    <row r="40509" spans="2:2" ht="12.75" customHeight="1" x14ac:dyDescent="0.2">
      <c r="B40509" s="43"/>
    </row>
    <row r="40510" spans="2:2" ht="12.75" customHeight="1" x14ac:dyDescent="0.2">
      <c r="B40510" s="43"/>
    </row>
    <row r="40511" spans="2:2" ht="12.75" customHeight="1" x14ac:dyDescent="0.2">
      <c r="B40511" s="43"/>
    </row>
    <row r="40512" spans="2:2" ht="12.75" customHeight="1" x14ac:dyDescent="0.2">
      <c r="B40512" s="43"/>
    </row>
    <row r="40513" spans="2:2" ht="12.75" customHeight="1" x14ac:dyDescent="0.2">
      <c r="B40513" s="43"/>
    </row>
    <row r="40514" spans="2:2" ht="12.75" customHeight="1" x14ac:dyDescent="0.2">
      <c r="B40514" s="43"/>
    </row>
    <row r="40515" spans="2:2" ht="12.75" customHeight="1" x14ac:dyDescent="0.2">
      <c r="B40515" s="43"/>
    </row>
    <row r="40516" spans="2:2" ht="12.75" customHeight="1" x14ac:dyDescent="0.2">
      <c r="B40516" s="43"/>
    </row>
    <row r="40517" spans="2:2" ht="12.75" customHeight="1" x14ac:dyDescent="0.2">
      <c r="B40517" s="43"/>
    </row>
    <row r="40518" spans="2:2" ht="12.75" customHeight="1" x14ac:dyDescent="0.2">
      <c r="B40518" s="43"/>
    </row>
    <row r="40519" spans="2:2" ht="12.75" customHeight="1" x14ac:dyDescent="0.2">
      <c r="B40519" s="43"/>
    </row>
    <row r="40520" spans="2:2" ht="12.75" customHeight="1" x14ac:dyDescent="0.2">
      <c r="B40520" s="43"/>
    </row>
    <row r="40521" spans="2:2" ht="12.75" customHeight="1" x14ac:dyDescent="0.2">
      <c r="B40521" s="43"/>
    </row>
    <row r="40522" spans="2:2" ht="12.75" customHeight="1" x14ac:dyDescent="0.2">
      <c r="B40522" s="43"/>
    </row>
    <row r="40523" spans="2:2" ht="12.75" customHeight="1" x14ac:dyDescent="0.2">
      <c r="B40523" s="43"/>
    </row>
    <row r="40524" spans="2:2" ht="12.75" customHeight="1" x14ac:dyDescent="0.2">
      <c r="B40524" s="43"/>
    </row>
    <row r="40525" spans="2:2" ht="12.75" customHeight="1" x14ac:dyDescent="0.2">
      <c r="B40525" s="43"/>
    </row>
    <row r="40526" spans="2:2" ht="12.75" customHeight="1" x14ac:dyDescent="0.2">
      <c r="B40526" s="43"/>
    </row>
    <row r="40527" spans="2:2" ht="12.75" customHeight="1" x14ac:dyDescent="0.2">
      <c r="B40527" s="43"/>
    </row>
    <row r="40528" spans="2:2" ht="12.75" customHeight="1" x14ac:dyDescent="0.2">
      <c r="B40528" s="43"/>
    </row>
    <row r="40529" spans="2:2" ht="12.75" customHeight="1" x14ac:dyDescent="0.2">
      <c r="B40529" s="43"/>
    </row>
    <row r="40530" spans="2:2" ht="12.75" customHeight="1" x14ac:dyDescent="0.2">
      <c r="B40530" s="43"/>
    </row>
    <row r="40531" spans="2:2" ht="12.75" customHeight="1" x14ac:dyDescent="0.2">
      <c r="B40531" s="43"/>
    </row>
    <row r="40532" spans="2:2" ht="12.75" customHeight="1" x14ac:dyDescent="0.2">
      <c r="B40532" s="43"/>
    </row>
    <row r="40533" spans="2:2" ht="12.75" customHeight="1" x14ac:dyDescent="0.2">
      <c r="B40533" s="43"/>
    </row>
    <row r="40534" spans="2:2" ht="12.75" customHeight="1" x14ac:dyDescent="0.2">
      <c r="B40534" s="43"/>
    </row>
    <row r="40535" spans="2:2" ht="12.75" customHeight="1" x14ac:dyDescent="0.2">
      <c r="B40535" s="43"/>
    </row>
    <row r="40536" spans="2:2" ht="12.75" customHeight="1" x14ac:dyDescent="0.2">
      <c r="B40536" s="43"/>
    </row>
    <row r="40537" spans="2:2" ht="12.75" customHeight="1" x14ac:dyDescent="0.2">
      <c r="B40537" s="43"/>
    </row>
    <row r="40538" spans="2:2" ht="12.75" customHeight="1" x14ac:dyDescent="0.2">
      <c r="B40538" s="43"/>
    </row>
    <row r="40539" spans="2:2" ht="12.75" customHeight="1" x14ac:dyDescent="0.2">
      <c r="B40539" s="43"/>
    </row>
    <row r="40540" spans="2:2" ht="12.75" customHeight="1" x14ac:dyDescent="0.2">
      <c r="B40540" s="43"/>
    </row>
    <row r="40541" spans="2:2" ht="12.75" customHeight="1" x14ac:dyDescent="0.2">
      <c r="B40541" s="43"/>
    </row>
    <row r="40542" spans="2:2" ht="12.75" customHeight="1" x14ac:dyDescent="0.2">
      <c r="B40542" s="43"/>
    </row>
    <row r="40543" spans="2:2" ht="12.75" customHeight="1" x14ac:dyDescent="0.2">
      <c r="B40543" s="43"/>
    </row>
    <row r="40544" spans="2:2" ht="12.75" customHeight="1" x14ac:dyDescent="0.2">
      <c r="B40544" s="43"/>
    </row>
    <row r="40545" spans="2:2" ht="12.75" customHeight="1" x14ac:dyDescent="0.2">
      <c r="B40545" s="43"/>
    </row>
    <row r="40546" spans="2:2" ht="12.75" customHeight="1" x14ac:dyDescent="0.2">
      <c r="B40546" s="43"/>
    </row>
    <row r="40547" spans="2:2" ht="12.75" customHeight="1" x14ac:dyDescent="0.2">
      <c r="B40547" s="43"/>
    </row>
    <row r="40548" spans="2:2" ht="12.75" customHeight="1" x14ac:dyDescent="0.2">
      <c r="B40548" s="43"/>
    </row>
    <row r="40549" spans="2:2" ht="12.75" customHeight="1" x14ac:dyDescent="0.2">
      <c r="B40549" s="43"/>
    </row>
    <row r="40550" spans="2:2" ht="12.75" customHeight="1" x14ac:dyDescent="0.2">
      <c r="B40550" s="43"/>
    </row>
    <row r="40551" spans="2:2" ht="12.75" customHeight="1" x14ac:dyDescent="0.2">
      <c r="B40551" s="43"/>
    </row>
    <row r="40552" spans="2:2" ht="12.75" customHeight="1" x14ac:dyDescent="0.2">
      <c r="B40552" s="43"/>
    </row>
    <row r="40553" spans="2:2" ht="12.75" customHeight="1" x14ac:dyDescent="0.2">
      <c r="B40553" s="43"/>
    </row>
    <row r="40554" spans="2:2" ht="12.75" customHeight="1" x14ac:dyDescent="0.2">
      <c r="B40554" s="43"/>
    </row>
    <row r="40555" spans="2:2" ht="12.75" customHeight="1" x14ac:dyDescent="0.2">
      <c r="B40555" s="43"/>
    </row>
    <row r="40556" spans="2:2" ht="12.75" customHeight="1" x14ac:dyDescent="0.2">
      <c r="B40556" s="43"/>
    </row>
    <row r="40557" spans="2:2" ht="12.75" customHeight="1" x14ac:dyDescent="0.2">
      <c r="B40557" s="43"/>
    </row>
    <row r="40558" spans="2:2" ht="12.75" customHeight="1" x14ac:dyDescent="0.2">
      <c r="B40558" s="43"/>
    </row>
    <row r="40559" spans="2:2" ht="12.75" customHeight="1" x14ac:dyDescent="0.2">
      <c r="B40559" s="43"/>
    </row>
    <row r="40560" spans="2:2" ht="12.75" customHeight="1" x14ac:dyDescent="0.2">
      <c r="B40560" s="43"/>
    </row>
    <row r="40561" spans="2:2" ht="12.75" customHeight="1" x14ac:dyDescent="0.2">
      <c r="B40561" s="43"/>
    </row>
    <row r="40562" spans="2:2" ht="12.75" customHeight="1" x14ac:dyDescent="0.2">
      <c r="B40562" s="43"/>
    </row>
    <row r="40563" spans="2:2" ht="12.75" customHeight="1" x14ac:dyDescent="0.2">
      <c r="B40563" s="43"/>
    </row>
    <row r="40564" spans="2:2" ht="12.75" customHeight="1" x14ac:dyDescent="0.2">
      <c r="B40564" s="43"/>
    </row>
    <row r="40565" spans="2:2" ht="12.75" customHeight="1" x14ac:dyDescent="0.2">
      <c r="B40565" s="43"/>
    </row>
    <row r="40566" spans="2:2" ht="12.75" customHeight="1" x14ac:dyDescent="0.2">
      <c r="B40566" s="43"/>
    </row>
    <row r="40567" spans="2:2" ht="12.75" customHeight="1" x14ac:dyDescent="0.2">
      <c r="B40567" s="43"/>
    </row>
    <row r="40568" spans="2:2" ht="12.75" customHeight="1" x14ac:dyDescent="0.2">
      <c r="B40568" s="43"/>
    </row>
    <row r="40569" spans="2:2" ht="12.75" customHeight="1" x14ac:dyDescent="0.2">
      <c r="B40569" s="43"/>
    </row>
    <row r="40570" spans="2:2" ht="12.75" customHeight="1" x14ac:dyDescent="0.2">
      <c r="B40570" s="43"/>
    </row>
    <row r="40571" spans="2:2" ht="12.75" customHeight="1" x14ac:dyDescent="0.2">
      <c r="B40571" s="43"/>
    </row>
    <row r="40572" spans="2:2" ht="12.75" customHeight="1" x14ac:dyDescent="0.2">
      <c r="B40572" s="43"/>
    </row>
    <row r="40573" spans="2:2" ht="12.75" customHeight="1" x14ac:dyDescent="0.2">
      <c r="B40573" s="43"/>
    </row>
    <row r="40574" spans="2:2" ht="12.75" customHeight="1" x14ac:dyDescent="0.2">
      <c r="B40574" s="43"/>
    </row>
    <row r="40575" spans="2:2" ht="12.75" customHeight="1" x14ac:dyDescent="0.2">
      <c r="B40575" s="43"/>
    </row>
    <row r="40576" spans="2:2" ht="12.75" customHeight="1" x14ac:dyDescent="0.2">
      <c r="B40576" s="43"/>
    </row>
    <row r="40577" spans="2:2" ht="12.75" customHeight="1" x14ac:dyDescent="0.2">
      <c r="B40577" s="43"/>
    </row>
    <row r="40578" spans="2:2" ht="12.75" customHeight="1" x14ac:dyDescent="0.2">
      <c r="B40578" s="43"/>
    </row>
    <row r="40579" spans="2:2" ht="12.75" customHeight="1" x14ac:dyDescent="0.2">
      <c r="B40579" s="43"/>
    </row>
    <row r="40580" spans="2:2" ht="12.75" customHeight="1" x14ac:dyDescent="0.2">
      <c r="B40580" s="43"/>
    </row>
    <row r="40581" spans="2:2" ht="12.75" customHeight="1" x14ac:dyDescent="0.2">
      <c r="B40581" s="43"/>
    </row>
    <row r="40582" spans="2:2" ht="12.75" customHeight="1" x14ac:dyDescent="0.2">
      <c r="B40582" s="43"/>
    </row>
    <row r="40583" spans="2:2" ht="12.75" customHeight="1" x14ac:dyDescent="0.2">
      <c r="B40583" s="43"/>
    </row>
    <row r="40584" spans="2:2" ht="12.75" customHeight="1" x14ac:dyDescent="0.2">
      <c r="B40584" s="43"/>
    </row>
    <row r="40585" spans="2:2" ht="12.75" customHeight="1" x14ac:dyDescent="0.2">
      <c r="B40585" s="43"/>
    </row>
    <row r="40586" spans="2:2" ht="12.75" customHeight="1" x14ac:dyDescent="0.2">
      <c r="B40586" s="43"/>
    </row>
    <row r="40587" spans="2:2" ht="12.75" customHeight="1" x14ac:dyDescent="0.2">
      <c r="B40587" s="43"/>
    </row>
    <row r="40588" spans="2:2" ht="12.75" customHeight="1" x14ac:dyDescent="0.2">
      <c r="B40588" s="43"/>
    </row>
    <row r="40589" spans="2:2" ht="12.75" customHeight="1" x14ac:dyDescent="0.2">
      <c r="B40589" s="43"/>
    </row>
    <row r="40590" spans="2:2" ht="12.75" customHeight="1" x14ac:dyDescent="0.2">
      <c r="B40590" s="43"/>
    </row>
    <row r="40591" spans="2:2" ht="12.75" customHeight="1" x14ac:dyDescent="0.2">
      <c r="B40591" s="43"/>
    </row>
    <row r="40592" spans="2:2" ht="12.75" customHeight="1" x14ac:dyDescent="0.2">
      <c r="B40592" s="43"/>
    </row>
    <row r="40593" spans="2:2" ht="12.75" customHeight="1" x14ac:dyDescent="0.2">
      <c r="B40593" s="43"/>
    </row>
    <row r="40594" spans="2:2" ht="12.75" customHeight="1" x14ac:dyDescent="0.2">
      <c r="B40594" s="43"/>
    </row>
    <row r="40595" spans="2:2" ht="12.75" customHeight="1" x14ac:dyDescent="0.2">
      <c r="B40595" s="43"/>
    </row>
    <row r="40596" spans="2:2" ht="12.75" customHeight="1" x14ac:dyDescent="0.2">
      <c r="B40596" s="43"/>
    </row>
    <row r="40597" spans="2:2" ht="12.75" customHeight="1" x14ac:dyDescent="0.2">
      <c r="B40597" s="43"/>
    </row>
    <row r="40598" spans="2:2" ht="12.75" customHeight="1" x14ac:dyDescent="0.2">
      <c r="B40598" s="43"/>
    </row>
    <row r="40599" spans="2:2" ht="12.75" customHeight="1" x14ac:dyDescent="0.2">
      <c r="B40599" s="43"/>
    </row>
    <row r="40600" spans="2:2" ht="12.75" customHeight="1" x14ac:dyDescent="0.2">
      <c r="B40600" s="43"/>
    </row>
    <row r="40601" spans="2:2" ht="12.75" customHeight="1" x14ac:dyDescent="0.2">
      <c r="B40601" s="43"/>
    </row>
    <row r="40602" spans="2:2" ht="12.75" customHeight="1" x14ac:dyDescent="0.2">
      <c r="B40602" s="43"/>
    </row>
    <row r="40603" spans="2:2" ht="12.75" customHeight="1" x14ac:dyDescent="0.2">
      <c r="B40603" s="43"/>
    </row>
    <row r="40604" spans="2:2" ht="12.75" customHeight="1" x14ac:dyDescent="0.2">
      <c r="B40604" s="43"/>
    </row>
    <row r="40605" spans="2:2" ht="12.75" customHeight="1" x14ac:dyDescent="0.2">
      <c r="B40605" s="43"/>
    </row>
    <row r="40606" spans="2:2" ht="12.75" customHeight="1" x14ac:dyDescent="0.2">
      <c r="B40606" s="43"/>
    </row>
    <row r="40607" spans="2:2" ht="12.75" customHeight="1" x14ac:dyDescent="0.2">
      <c r="B40607" s="43"/>
    </row>
    <row r="40608" spans="2:2" ht="12.75" customHeight="1" x14ac:dyDescent="0.2">
      <c r="B40608" s="43"/>
    </row>
    <row r="40609" spans="2:2" ht="12.75" customHeight="1" x14ac:dyDescent="0.2">
      <c r="B40609" s="43"/>
    </row>
    <row r="40610" spans="2:2" ht="12.75" customHeight="1" x14ac:dyDescent="0.2">
      <c r="B40610" s="43"/>
    </row>
    <row r="40611" spans="2:2" ht="12.75" customHeight="1" x14ac:dyDescent="0.2">
      <c r="B40611" s="43"/>
    </row>
    <row r="40612" spans="2:2" ht="12.75" customHeight="1" x14ac:dyDescent="0.2">
      <c r="B40612" s="43"/>
    </row>
    <row r="40613" spans="2:2" ht="12.75" customHeight="1" x14ac:dyDescent="0.2">
      <c r="B40613" s="43"/>
    </row>
    <row r="40614" spans="2:2" ht="12.75" customHeight="1" x14ac:dyDescent="0.2">
      <c r="B40614" s="43"/>
    </row>
    <row r="40615" spans="2:2" ht="12.75" customHeight="1" x14ac:dyDescent="0.2">
      <c r="B40615" s="43"/>
    </row>
    <row r="40616" spans="2:2" ht="12.75" customHeight="1" x14ac:dyDescent="0.2">
      <c r="B40616" s="43"/>
    </row>
    <row r="40617" spans="2:2" ht="12.75" customHeight="1" x14ac:dyDescent="0.2">
      <c r="B40617" s="43"/>
    </row>
    <row r="40618" spans="2:2" ht="12.75" customHeight="1" x14ac:dyDescent="0.2">
      <c r="B40618" s="43"/>
    </row>
    <row r="40619" spans="2:2" ht="12.75" customHeight="1" x14ac:dyDescent="0.2">
      <c r="B40619" s="43"/>
    </row>
    <row r="40620" spans="2:2" ht="12.75" customHeight="1" x14ac:dyDescent="0.2">
      <c r="B40620" s="43"/>
    </row>
    <row r="40621" spans="2:2" ht="12.75" customHeight="1" x14ac:dyDescent="0.2">
      <c r="B40621" s="43"/>
    </row>
    <row r="40622" spans="2:2" ht="12.75" customHeight="1" x14ac:dyDescent="0.2">
      <c r="B40622" s="43"/>
    </row>
    <row r="40623" spans="2:2" ht="12.75" customHeight="1" x14ac:dyDescent="0.2">
      <c r="B40623" s="43"/>
    </row>
    <row r="40624" spans="2:2" ht="12.75" customHeight="1" x14ac:dyDescent="0.2">
      <c r="B40624" s="43"/>
    </row>
    <row r="40625" spans="2:2" ht="12.75" customHeight="1" x14ac:dyDescent="0.2">
      <c r="B40625" s="43"/>
    </row>
    <row r="40626" spans="2:2" ht="12.75" customHeight="1" x14ac:dyDescent="0.2">
      <c r="B40626" s="43"/>
    </row>
    <row r="40627" spans="2:2" ht="12.75" customHeight="1" x14ac:dyDescent="0.2">
      <c r="B40627" s="43"/>
    </row>
    <row r="40628" spans="2:2" ht="12.75" customHeight="1" x14ac:dyDescent="0.2">
      <c r="B40628" s="43"/>
    </row>
    <row r="40629" spans="2:2" ht="12.75" customHeight="1" x14ac:dyDescent="0.2">
      <c r="B40629" s="43"/>
    </row>
    <row r="40630" spans="2:2" ht="12.75" customHeight="1" x14ac:dyDescent="0.2">
      <c r="B40630" s="43"/>
    </row>
    <row r="40631" spans="2:2" ht="12.75" customHeight="1" x14ac:dyDescent="0.2">
      <c r="B40631" s="43"/>
    </row>
    <row r="40632" spans="2:2" ht="12.75" customHeight="1" x14ac:dyDescent="0.2">
      <c r="B40632" s="43"/>
    </row>
    <row r="40633" spans="2:2" ht="12.75" customHeight="1" x14ac:dyDescent="0.2">
      <c r="B40633" s="43"/>
    </row>
    <row r="40634" spans="2:2" ht="12.75" customHeight="1" x14ac:dyDescent="0.2">
      <c r="B40634" s="43"/>
    </row>
    <row r="40635" spans="2:2" ht="12.75" customHeight="1" x14ac:dyDescent="0.2">
      <c r="B40635" s="43"/>
    </row>
    <row r="40636" spans="2:2" ht="12.75" customHeight="1" x14ac:dyDescent="0.2">
      <c r="B40636" s="43"/>
    </row>
    <row r="40637" spans="2:2" ht="12.75" customHeight="1" x14ac:dyDescent="0.2">
      <c r="B40637" s="43"/>
    </row>
    <row r="40638" spans="2:2" ht="12.75" customHeight="1" x14ac:dyDescent="0.2">
      <c r="B40638" s="43"/>
    </row>
    <row r="40639" spans="2:2" ht="12.75" customHeight="1" x14ac:dyDescent="0.2">
      <c r="B40639" s="43"/>
    </row>
    <row r="40640" spans="2:2" ht="12.75" customHeight="1" x14ac:dyDescent="0.2">
      <c r="B40640" s="43"/>
    </row>
    <row r="40641" spans="2:2" ht="12.75" customHeight="1" x14ac:dyDescent="0.2">
      <c r="B40641" s="43"/>
    </row>
    <row r="40642" spans="2:2" ht="12.75" customHeight="1" x14ac:dyDescent="0.2">
      <c r="B40642" s="43"/>
    </row>
    <row r="40643" spans="2:2" ht="12.75" customHeight="1" x14ac:dyDescent="0.2">
      <c r="B40643" s="43"/>
    </row>
    <row r="40644" spans="2:2" ht="12.75" customHeight="1" x14ac:dyDescent="0.2">
      <c r="B40644" s="43"/>
    </row>
    <row r="40645" spans="2:2" ht="12.75" customHeight="1" x14ac:dyDescent="0.2">
      <c r="B40645" s="43"/>
    </row>
    <row r="40646" spans="2:2" ht="12.75" customHeight="1" x14ac:dyDescent="0.2">
      <c r="B40646" s="43"/>
    </row>
    <row r="40647" spans="2:2" ht="12.75" customHeight="1" x14ac:dyDescent="0.2">
      <c r="B40647" s="43"/>
    </row>
    <row r="40648" spans="2:2" ht="12.75" customHeight="1" x14ac:dyDescent="0.2">
      <c r="B40648" s="43"/>
    </row>
    <row r="40649" spans="2:2" ht="12.75" customHeight="1" x14ac:dyDescent="0.2">
      <c r="B40649" s="43"/>
    </row>
    <row r="40650" spans="2:2" ht="12.75" customHeight="1" x14ac:dyDescent="0.2">
      <c r="B40650" s="43"/>
    </row>
    <row r="40651" spans="2:2" ht="12.75" customHeight="1" x14ac:dyDescent="0.2">
      <c r="B40651" s="43"/>
    </row>
    <row r="40652" spans="2:2" ht="12.75" customHeight="1" x14ac:dyDescent="0.2">
      <c r="B40652" s="43"/>
    </row>
    <row r="40653" spans="2:2" ht="12.75" customHeight="1" x14ac:dyDescent="0.2">
      <c r="B40653" s="43"/>
    </row>
    <row r="40654" spans="2:2" ht="12.75" customHeight="1" x14ac:dyDescent="0.2">
      <c r="B40654" s="43"/>
    </row>
    <row r="40655" spans="2:2" ht="12.75" customHeight="1" x14ac:dyDescent="0.2">
      <c r="B40655" s="43"/>
    </row>
    <row r="40656" spans="2:2" ht="12.75" customHeight="1" x14ac:dyDescent="0.2">
      <c r="B40656" s="43"/>
    </row>
    <row r="40657" spans="2:2" ht="12.75" customHeight="1" x14ac:dyDescent="0.2">
      <c r="B40657" s="43"/>
    </row>
    <row r="40658" spans="2:2" ht="12.75" customHeight="1" x14ac:dyDescent="0.2">
      <c r="B40658" s="43"/>
    </row>
    <row r="40659" spans="2:2" ht="12.75" customHeight="1" x14ac:dyDescent="0.2">
      <c r="B40659" s="43"/>
    </row>
    <row r="40660" spans="2:2" ht="12.75" customHeight="1" x14ac:dyDescent="0.2">
      <c r="B40660" s="43"/>
    </row>
    <row r="40661" spans="2:2" ht="12.75" customHeight="1" x14ac:dyDescent="0.2">
      <c r="B40661" s="43"/>
    </row>
    <row r="40662" spans="2:2" ht="12.75" customHeight="1" x14ac:dyDescent="0.2">
      <c r="B40662" s="43"/>
    </row>
    <row r="40663" spans="2:2" ht="12.75" customHeight="1" x14ac:dyDescent="0.2">
      <c r="B40663" s="43"/>
    </row>
    <row r="40664" spans="2:2" ht="12.75" customHeight="1" x14ac:dyDescent="0.2">
      <c r="B40664" s="43"/>
    </row>
    <row r="40665" spans="2:2" ht="12.75" customHeight="1" x14ac:dyDescent="0.2">
      <c r="B40665" s="43"/>
    </row>
    <row r="40666" spans="2:2" ht="12.75" customHeight="1" x14ac:dyDescent="0.2">
      <c r="B40666" s="43"/>
    </row>
    <row r="40667" spans="2:2" ht="12.75" customHeight="1" x14ac:dyDescent="0.2">
      <c r="B40667" s="43"/>
    </row>
    <row r="40668" spans="2:2" ht="12.75" customHeight="1" x14ac:dyDescent="0.2">
      <c r="B40668" s="43"/>
    </row>
    <row r="40669" spans="2:2" ht="12.75" customHeight="1" x14ac:dyDescent="0.2">
      <c r="B40669" s="43"/>
    </row>
    <row r="40670" spans="2:2" ht="12.75" customHeight="1" x14ac:dyDescent="0.2">
      <c r="B40670" s="43"/>
    </row>
    <row r="40671" spans="2:2" ht="12.75" customHeight="1" x14ac:dyDescent="0.2">
      <c r="B40671" s="43"/>
    </row>
    <row r="40672" spans="2:2" ht="12.75" customHeight="1" x14ac:dyDescent="0.2">
      <c r="B40672" s="43"/>
    </row>
    <row r="40673" spans="2:2" ht="12.75" customHeight="1" x14ac:dyDescent="0.2">
      <c r="B40673" s="43"/>
    </row>
    <row r="40674" spans="2:2" ht="12.75" customHeight="1" x14ac:dyDescent="0.2">
      <c r="B40674" s="43"/>
    </row>
    <row r="40675" spans="2:2" ht="12.75" customHeight="1" x14ac:dyDescent="0.2">
      <c r="B40675" s="43"/>
    </row>
    <row r="40676" spans="2:2" ht="12.75" customHeight="1" x14ac:dyDescent="0.2">
      <c r="B40676" s="43"/>
    </row>
    <row r="40677" spans="2:2" ht="12.75" customHeight="1" x14ac:dyDescent="0.2">
      <c r="B40677" s="43"/>
    </row>
    <row r="40678" spans="2:2" ht="12.75" customHeight="1" x14ac:dyDescent="0.2">
      <c r="B40678" s="43"/>
    </row>
    <row r="40679" spans="2:2" ht="12.75" customHeight="1" x14ac:dyDescent="0.2">
      <c r="B40679" s="43"/>
    </row>
    <row r="40680" spans="2:2" ht="12.75" customHeight="1" x14ac:dyDescent="0.2">
      <c r="B40680" s="43"/>
    </row>
    <row r="40681" spans="2:2" ht="12.75" customHeight="1" x14ac:dyDescent="0.2">
      <c r="B40681" s="43"/>
    </row>
    <row r="40682" spans="2:2" ht="12.75" customHeight="1" x14ac:dyDescent="0.2">
      <c r="B40682" s="43"/>
    </row>
    <row r="40683" spans="2:2" ht="12.75" customHeight="1" x14ac:dyDescent="0.2">
      <c r="B40683" s="43"/>
    </row>
    <row r="40684" spans="2:2" ht="12.75" customHeight="1" x14ac:dyDescent="0.2">
      <c r="B40684" s="43"/>
    </row>
    <row r="40685" spans="2:2" ht="12.75" customHeight="1" x14ac:dyDescent="0.2">
      <c r="B40685" s="43"/>
    </row>
    <row r="40686" spans="2:2" ht="12.75" customHeight="1" x14ac:dyDescent="0.2">
      <c r="B40686" s="43"/>
    </row>
    <row r="40687" spans="2:2" ht="12.75" customHeight="1" x14ac:dyDescent="0.2">
      <c r="B40687" s="43"/>
    </row>
    <row r="40688" spans="2:2" ht="12.75" customHeight="1" x14ac:dyDescent="0.2">
      <c r="B40688" s="43"/>
    </row>
    <row r="40689" spans="2:2" ht="12.75" customHeight="1" x14ac:dyDescent="0.2">
      <c r="B40689" s="43"/>
    </row>
    <row r="40690" spans="2:2" ht="12.75" customHeight="1" x14ac:dyDescent="0.2">
      <c r="B40690" s="43"/>
    </row>
    <row r="40691" spans="2:2" ht="12.75" customHeight="1" x14ac:dyDescent="0.2">
      <c r="B40691" s="43"/>
    </row>
    <row r="40692" spans="2:2" ht="12.75" customHeight="1" x14ac:dyDescent="0.2">
      <c r="B40692" s="43"/>
    </row>
    <row r="40693" spans="2:2" ht="12.75" customHeight="1" x14ac:dyDescent="0.2">
      <c r="B40693" s="43"/>
    </row>
    <row r="40694" spans="2:2" ht="12.75" customHeight="1" x14ac:dyDescent="0.2">
      <c r="B40694" s="43"/>
    </row>
    <row r="40695" spans="2:2" ht="12.75" customHeight="1" x14ac:dyDescent="0.2">
      <c r="B40695" s="43"/>
    </row>
    <row r="40696" spans="2:2" ht="12.75" customHeight="1" x14ac:dyDescent="0.2">
      <c r="B40696" s="43"/>
    </row>
    <row r="40697" spans="2:2" ht="12.75" customHeight="1" x14ac:dyDescent="0.2">
      <c r="B40697" s="43"/>
    </row>
    <row r="40698" spans="2:2" ht="12.75" customHeight="1" x14ac:dyDescent="0.2">
      <c r="B40698" s="43"/>
    </row>
    <row r="40699" spans="2:2" ht="12.75" customHeight="1" x14ac:dyDescent="0.2">
      <c r="B40699" s="43"/>
    </row>
    <row r="40700" spans="2:2" ht="12.75" customHeight="1" x14ac:dyDescent="0.2">
      <c r="B40700" s="43"/>
    </row>
    <row r="40701" spans="2:2" ht="12.75" customHeight="1" x14ac:dyDescent="0.2">
      <c r="B40701" s="43"/>
    </row>
    <row r="40702" spans="2:2" ht="12.75" customHeight="1" x14ac:dyDescent="0.2">
      <c r="B40702" s="43"/>
    </row>
    <row r="40703" spans="2:2" ht="12.75" customHeight="1" x14ac:dyDescent="0.2">
      <c r="B40703" s="43"/>
    </row>
    <row r="40704" spans="2:2" ht="12.75" customHeight="1" x14ac:dyDescent="0.2">
      <c r="B40704" s="43"/>
    </row>
    <row r="40705" spans="2:2" ht="12.75" customHeight="1" x14ac:dyDescent="0.2">
      <c r="B40705" s="43"/>
    </row>
    <row r="40706" spans="2:2" ht="12.75" customHeight="1" x14ac:dyDescent="0.2">
      <c r="B40706" s="43"/>
    </row>
    <row r="40707" spans="2:2" ht="12.75" customHeight="1" x14ac:dyDescent="0.2">
      <c r="B40707" s="43"/>
    </row>
    <row r="40708" spans="2:2" ht="12.75" customHeight="1" x14ac:dyDescent="0.2">
      <c r="B40708" s="43"/>
    </row>
    <row r="40709" spans="2:2" ht="12.75" customHeight="1" x14ac:dyDescent="0.2">
      <c r="B40709" s="43"/>
    </row>
    <row r="40710" spans="2:2" ht="12.75" customHeight="1" x14ac:dyDescent="0.2">
      <c r="B40710" s="43"/>
    </row>
    <row r="40711" spans="2:2" ht="12.75" customHeight="1" x14ac:dyDescent="0.2">
      <c r="B40711" s="43"/>
    </row>
    <row r="40712" spans="2:2" ht="12.75" customHeight="1" x14ac:dyDescent="0.2">
      <c r="B40712" s="43"/>
    </row>
    <row r="40713" spans="2:2" ht="12.75" customHeight="1" x14ac:dyDescent="0.2">
      <c r="B40713" s="43"/>
    </row>
    <row r="40714" spans="2:2" ht="12.75" customHeight="1" x14ac:dyDescent="0.2">
      <c r="B40714" s="43"/>
    </row>
    <row r="40715" spans="2:2" ht="12.75" customHeight="1" x14ac:dyDescent="0.2">
      <c r="B40715" s="43"/>
    </row>
    <row r="40716" spans="2:2" ht="12.75" customHeight="1" x14ac:dyDescent="0.2">
      <c r="B40716" s="43"/>
    </row>
    <row r="40717" spans="2:2" ht="12.75" customHeight="1" x14ac:dyDescent="0.2">
      <c r="B40717" s="43"/>
    </row>
    <row r="40718" spans="2:2" ht="12.75" customHeight="1" x14ac:dyDescent="0.2">
      <c r="B40718" s="43"/>
    </row>
    <row r="40719" spans="2:2" ht="12.75" customHeight="1" x14ac:dyDescent="0.2">
      <c r="B40719" s="43"/>
    </row>
    <row r="40720" spans="2:2" ht="12.75" customHeight="1" x14ac:dyDescent="0.2">
      <c r="B40720" s="43"/>
    </row>
    <row r="40721" spans="2:2" ht="12.75" customHeight="1" x14ac:dyDescent="0.2">
      <c r="B40721" s="43"/>
    </row>
    <row r="40722" spans="2:2" ht="12.75" customHeight="1" x14ac:dyDescent="0.2">
      <c r="B40722" s="43"/>
    </row>
    <row r="40723" spans="2:2" ht="12.75" customHeight="1" x14ac:dyDescent="0.2">
      <c r="B40723" s="43"/>
    </row>
    <row r="40724" spans="2:2" ht="12.75" customHeight="1" x14ac:dyDescent="0.2">
      <c r="B40724" s="43"/>
    </row>
    <row r="40725" spans="2:2" ht="12.75" customHeight="1" x14ac:dyDescent="0.2">
      <c r="B40725" s="43"/>
    </row>
    <row r="40726" spans="2:2" ht="12.75" customHeight="1" x14ac:dyDescent="0.2">
      <c r="B40726" s="43"/>
    </row>
    <row r="40727" spans="2:2" ht="12.75" customHeight="1" x14ac:dyDescent="0.2">
      <c r="B40727" s="43"/>
    </row>
    <row r="40728" spans="2:2" ht="12.75" customHeight="1" x14ac:dyDescent="0.2">
      <c r="B40728" s="43"/>
    </row>
    <row r="40729" spans="2:2" ht="12.75" customHeight="1" x14ac:dyDescent="0.2">
      <c r="B40729" s="43"/>
    </row>
    <row r="40730" spans="2:2" ht="12.75" customHeight="1" x14ac:dyDescent="0.2">
      <c r="B40730" s="43"/>
    </row>
    <row r="40731" spans="2:2" ht="12.75" customHeight="1" x14ac:dyDescent="0.2">
      <c r="B40731" s="43"/>
    </row>
    <row r="40732" spans="2:2" ht="12.75" customHeight="1" x14ac:dyDescent="0.2">
      <c r="B40732" s="43"/>
    </row>
    <row r="40733" spans="2:2" ht="12.75" customHeight="1" x14ac:dyDescent="0.2">
      <c r="B40733" s="43"/>
    </row>
    <row r="40734" spans="2:2" ht="12.75" customHeight="1" x14ac:dyDescent="0.2">
      <c r="B40734" s="43"/>
    </row>
    <row r="40735" spans="2:2" ht="12.75" customHeight="1" x14ac:dyDescent="0.2">
      <c r="B40735" s="43"/>
    </row>
    <row r="40736" spans="2:2" ht="12.75" customHeight="1" x14ac:dyDescent="0.2">
      <c r="B40736" s="43"/>
    </row>
    <row r="40737" spans="2:2" ht="12.75" customHeight="1" x14ac:dyDescent="0.2">
      <c r="B40737" s="43"/>
    </row>
    <row r="40738" spans="2:2" ht="12.75" customHeight="1" x14ac:dyDescent="0.2">
      <c r="B40738" s="43"/>
    </row>
    <row r="40739" spans="2:2" ht="12.75" customHeight="1" x14ac:dyDescent="0.2">
      <c r="B40739" s="43"/>
    </row>
    <row r="40740" spans="2:2" ht="12.75" customHeight="1" x14ac:dyDescent="0.2">
      <c r="B40740" s="43"/>
    </row>
    <row r="40741" spans="2:2" ht="12.75" customHeight="1" x14ac:dyDescent="0.2">
      <c r="B40741" s="43"/>
    </row>
    <row r="40742" spans="2:2" ht="12.75" customHeight="1" x14ac:dyDescent="0.2">
      <c r="B40742" s="43"/>
    </row>
    <row r="40743" spans="2:2" ht="12.75" customHeight="1" x14ac:dyDescent="0.2">
      <c r="B40743" s="43"/>
    </row>
    <row r="40744" spans="2:2" ht="12.75" customHeight="1" x14ac:dyDescent="0.2">
      <c r="B40744" s="43"/>
    </row>
    <row r="40745" spans="2:2" ht="12.75" customHeight="1" x14ac:dyDescent="0.2">
      <c r="B40745" s="43"/>
    </row>
    <row r="40746" spans="2:2" ht="12.75" customHeight="1" x14ac:dyDescent="0.2">
      <c r="B40746" s="43"/>
    </row>
    <row r="40747" spans="2:2" ht="12.75" customHeight="1" x14ac:dyDescent="0.2">
      <c r="B40747" s="43"/>
    </row>
    <row r="40748" spans="2:2" ht="12.75" customHeight="1" x14ac:dyDescent="0.2">
      <c r="B40748" s="43"/>
    </row>
    <row r="40749" spans="2:2" ht="12.75" customHeight="1" x14ac:dyDescent="0.2">
      <c r="B40749" s="43"/>
    </row>
    <row r="40750" spans="2:2" ht="12.75" customHeight="1" x14ac:dyDescent="0.2">
      <c r="B40750" s="43"/>
    </row>
    <row r="40751" spans="2:2" ht="12.75" customHeight="1" x14ac:dyDescent="0.2">
      <c r="B40751" s="43"/>
    </row>
    <row r="40752" spans="2:2" ht="12.75" customHeight="1" x14ac:dyDescent="0.2">
      <c r="B40752" s="43"/>
    </row>
    <row r="40753" spans="2:2" ht="12.75" customHeight="1" x14ac:dyDescent="0.2">
      <c r="B40753" s="43"/>
    </row>
    <row r="40754" spans="2:2" ht="12.75" customHeight="1" x14ac:dyDescent="0.2">
      <c r="B40754" s="43"/>
    </row>
    <row r="40755" spans="2:2" ht="12.75" customHeight="1" x14ac:dyDescent="0.2">
      <c r="B40755" s="43"/>
    </row>
    <row r="40756" spans="2:2" ht="12.75" customHeight="1" x14ac:dyDescent="0.2">
      <c r="B40756" s="43"/>
    </row>
    <row r="40757" spans="2:2" ht="12.75" customHeight="1" x14ac:dyDescent="0.2">
      <c r="B40757" s="43"/>
    </row>
    <row r="40758" spans="2:2" ht="12.75" customHeight="1" x14ac:dyDescent="0.2">
      <c r="B40758" s="43"/>
    </row>
    <row r="40759" spans="2:2" ht="12.75" customHeight="1" x14ac:dyDescent="0.2">
      <c r="B40759" s="43"/>
    </row>
    <row r="40760" spans="2:2" ht="12.75" customHeight="1" x14ac:dyDescent="0.2">
      <c r="B40760" s="43"/>
    </row>
    <row r="40761" spans="2:2" ht="12.75" customHeight="1" x14ac:dyDescent="0.2">
      <c r="B40761" s="43"/>
    </row>
    <row r="40762" spans="2:2" ht="12.75" customHeight="1" x14ac:dyDescent="0.2">
      <c r="B40762" s="43"/>
    </row>
    <row r="40763" spans="2:2" ht="12.75" customHeight="1" x14ac:dyDescent="0.2">
      <c r="B40763" s="43"/>
    </row>
    <row r="40764" spans="2:2" ht="12.75" customHeight="1" x14ac:dyDescent="0.2">
      <c r="B40764" s="43"/>
    </row>
    <row r="40765" spans="2:2" ht="12.75" customHeight="1" x14ac:dyDescent="0.2">
      <c r="B40765" s="43"/>
    </row>
    <row r="40766" spans="2:2" ht="12.75" customHeight="1" x14ac:dyDescent="0.2">
      <c r="B40766" s="43"/>
    </row>
    <row r="40767" spans="2:2" ht="12.75" customHeight="1" x14ac:dyDescent="0.2">
      <c r="B40767" s="43"/>
    </row>
    <row r="40768" spans="2:2" ht="12.75" customHeight="1" x14ac:dyDescent="0.2">
      <c r="B40768" s="43"/>
    </row>
    <row r="40769" spans="2:2" ht="12.75" customHeight="1" x14ac:dyDescent="0.2">
      <c r="B40769" s="43"/>
    </row>
    <row r="40770" spans="2:2" ht="12.75" customHeight="1" x14ac:dyDescent="0.2">
      <c r="B40770" s="43"/>
    </row>
    <row r="40771" spans="2:2" ht="12.75" customHeight="1" x14ac:dyDescent="0.2">
      <c r="B40771" s="43"/>
    </row>
    <row r="40772" spans="2:2" ht="12.75" customHeight="1" x14ac:dyDescent="0.2">
      <c r="B40772" s="43"/>
    </row>
    <row r="40773" spans="2:2" ht="12.75" customHeight="1" x14ac:dyDescent="0.2">
      <c r="B40773" s="43"/>
    </row>
    <row r="40774" spans="2:2" ht="12.75" customHeight="1" x14ac:dyDescent="0.2">
      <c r="B40774" s="43"/>
    </row>
    <row r="40775" spans="2:2" ht="12.75" customHeight="1" x14ac:dyDescent="0.2">
      <c r="B40775" s="43"/>
    </row>
    <row r="40776" spans="2:2" ht="12.75" customHeight="1" x14ac:dyDescent="0.2">
      <c r="B40776" s="43"/>
    </row>
    <row r="40777" spans="2:2" ht="12.75" customHeight="1" x14ac:dyDescent="0.2">
      <c r="B40777" s="43"/>
    </row>
    <row r="40778" spans="2:2" ht="12.75" customHeight="1" x14ac:dyDescent="0.2">
      <c r="B40778" s="43"/>
    </row>
    <row r="40779" spans="2:2" ht="12.75" customHeight="1" x14ac:dyDescent="0.2">
      <c r="B40779" s="43"/>
    </row>
    <row r="40780" spans="2:2" ht="12.75" customHeight="1" x14ac:dyDescent="0.2">
      <c r="B40780" s="43"/>
    </row>
    <row r="40781" spans="2:2" ht="12.75" customHeight="1" x14ac:dyDescent="0.2">
      <c r="B40781" s="43"/>
    </row>
    <row r="40782" spans="2:2" ht="12.75" customHeight="1" x14ac:dyDescent="0.2">
      <c r="B40782" s="43"/>
    </row>
    <row r="40783" spans="2:2" ht="12.75" customHeight="1" x14ac:dyDescent="0.2">
      <c r="B40783" s="43"/>
    </row>
    <row r="40784" spans="2:2" ht="12.75" customHeight="1" x14ac:dyDescent="0.2">
      <c r="B40784" s="43"/>
    </row>
    <row r="40785" spans="2:2" ht="12.75" customHeight="1" x14ac:dyDescent="0.2">
      <c r="B40785" s="43"/>
    </row>
    <row r="40786" spans="2:2" ht="12.75" customHeight="1" x14ac:dyDescent="0.2">
      <c r="B40786" s="43"/>
    </row>
    <row r="40787" spans="2:2" ht="12.75" customHeight="1" x14ac:dyDescent="0.2">
      <c r="B40787" s="43"/>
    </row>
    <row r="40788" spans="2:2" ht="12.75" customHeight="1" x14ac:dyDescent="0.2">
      <c r="B40788" s="43"/>
    </row>
    <row r="40789" spans="2:2" ht="12.75" customHeight="1" x14ac:dyDescent="0.2">
      <c r="B40789" s="43"/>
    </row>
    <row r="40790" spans="2:2" ht="12.75" customHeight="1" x14ac:dyDescent="0.2">
      <c r="B40790" s="43"/>
    </row>
    <row r="40791" spans="2:2" ht="12.75" customHeight="1" x14ac:dyDescent="0.2">
      <c r="B40791" s="43"/>
    </row>
    <row r="40792" spans="2:2" ht="12.75" customHeight="1" x14ac:dyDescent="0.2">
      <c r="B40792" s="43"/>
    </row>
    <row r="40793" spans="2:2" ht="12.75" customHeight="1" x14ac:dyDescent="0.2">
      <c r="B40793" s="43"/>
    </row>
    <row r="40794" spans="2:2" ht="12.75" customHeight="1" x14ac:dyDescent="0.2">
      <c r="B40794" s="43"/>
    </row>
    <row r="40795" spans="2:2" ht="12.75" customHeight="1" x14ac:dyDescent="0.2">
      <c r="B40795" s="43"/>
    </row>
    <row r="40796" spans="2:2" ht="12.75" customHeight="1" x14ac:dyDescent="0.2">
      <c r="B40796" s="43"/>
    </row>
    <row r="40797" spans="2:2" ht="12.75" customHeight="1" x14ac:dyDescent="0.2">
      <c r="B40797" s="43"/>
    </row>
    <row r="40798" spans="2:2" ht="12.75" customHeight="1" x14ac:dyDescent="0.2">
      <c r="B40798" s="43"/>
    </row>
    <row r="40799" spans="2:2" ht="12.75" customHeight="1" x14ac:dyDescent="0.2">
      <c r="B40799" s="43"/>
    </row>
    <row r="40800" spans="2:2" ht="12.75" customHeight="1" x14ac:dyDescent="0.2">
      <c r="B40800" s="43"/>
    </row>
    <row r="40801" spans="2:2" ht="12.75" customHeight="1" x14ac:dyDescent="0.2">
      <c r="B40801" s="43"/>
    </row>
    <row r="40802" spans="2:2" ht="12.75" customHeight="1" x14ac:dyDescent="0.2">
      <c r="B40802" s="43"/>
    </row>
    <row r="40803" spans="2:2" ht="12.75" customHeight="1" x14ac:dyDescent="0.2">
      <c r="B40803" s="43"/>
    </row>
    <row r="40804" spans="2:2" ht="12.75" customHeight="1" x14ac:dyDescent="0.2">
      <c r="B40804" s="43"/>
    </row>
    <row r="40805" spans="2:2" ht="12.75" customHeight="1" x14ac:dyDescent="0.2">
      <c r="B40805" s="43"/>
    </row>
    <row r="40806" spans="2:2" ht="12.75" customHeight="1" x14ac:dyDescent="0.2">
      <c r="B40806" s="43"/>
    </row>
    <row r="40807" spans="2:2" ht="12.75" customHeight="1" x14ac:dyDescent="0.2">
      <c r="B40807" s="43"/>
    </row>
    <row r="40808" spans="2:2" ht="12.75" customHeight="1" x14ac:dyDescent="0.2">
      <c r="B40808" s="43"/>
    </row>
    <row r="40809" spans="2:2" ht="12.75" customHeight="1" x14ac:dyDescent="0.2">
      <c r="B40809" s="43"/>
    </row>
    <row r="40810" spans="2:2" ht="12.75" customHeight="1" x14ac:dyDescent="0.2">
      <c r="B40810" s="43"/>
    </row>
    <row r="40811" spans="2:2" ht="12.75" customHeight="1" x14ac:dyDescent="0.2">
      <c r="B40811" s="43"/>
    </row>
    <row r="40812" spans="2:2" ht="12.75" customHeight="1" x14ac:dyDescent="0.2">
      <c r="B40812" s="43"/>
    </row>
    <row r="40813" spans="2:2" ht="12.75" customHeight="1" x14ac:dyDescent="0.2">
      <c r="B40813" s="43"/>
    </row>
    <row r="40814" spans="2:2" ht="12.75" customHeight="1" x14ac:dyDescent="0.2">
      <c r="B40814" s="43"/>
    </row>
    <row r="40815" spans="2:2" ht="12.75" customHeight="1" x14ac:dyDescent="0.2">
      <c r="B40815" s="43"/>
    </row>
    <row r="40816" spans="2:2" ht="12.75" customHeight="1" x14ac:dyDescent="0.2">
      <c r="B40816" s="43"/>
    </row>
    <row r="40817" spans="2:2" ht="12.75" customHeight="1" x14ac:dyDescent="0.2">
      <c r="B40817" s="43"/>
    </row>
    <row r="40818" spans="2:2" ht="12.75" customHeight="1" x14ac:dyDescent="0.2">
      <c r="B40818" s="43"/>
    </row>
    <row r="40819" spans="2:2" ht="12.75" customHeight="1" x14ac:dyDescent="0.2">
      <c r="B40819" s="43"/>
    </row>
    <row r="40820" spans="2:2" ht="12.75" customHeight="1" x14ac:dyDescent="0.2">
      <c r="B40820" s="43"/>
    </row>
    <row r="40821" spans="2:2" ht="12.75" customHeight="1" x14ac:dyDescent="0.2">
      <c r="B40821" s="43"/>
    </row>
    <row r="40822" spans="2:2" ht="12.75" customHeight="1" x14ac:dyDescent="0.2">
      <c r="B40822" s="43"/>
    </row>
    <row r="40823" spans="2:2" ht="12.75" customHeight="1" x14ac:dyDescent="0.2">
      <c r="B40823" s="43"/>
    </row>
    <row r="40824" spans="2:2" ht="12.75" customHeight="1" x14ac:dyDescent="0.2">
      <c r="B40824" s="43"/>
    </row>
    <row r="40825" spans="2:2" ht="12.75" customHeight="1" x14ac:dyDescent="0.2">
      <c r="B40825" s="43"/>
    </row>
    <row r="40826" spans="2:2" ht="12.75" customHeight="1" x14ac:dyDescent="0.2">
      <c r="B40826" s="43"/>
    </row>
    <row r="40827" spans="2:2" ht="12.75" customHeight="1" x14ac:dyDescent="0.2">
      <c r="B40827" s="43"/>
    </row>
    <row r="40828" spans="2:2" ht="12.75" customHeight="1" x14ac:dyDescent="0.2">
      <c r="B40828" s="43"/>
    </row>
    <row r="40829" spans="2:2" ht="12.75" customHeight="1" x14ac:dyDescent="0.2">
      <c r="B40829" s="43"/>
    </row>
    <row r="40830" spans="2:2" ht="12.75" customHeight="1" x14ac:dyDescent="0.2">
      <c r="B40830" s="43"/>
    </row>
    <row r="40831" spans="2:2" ht="12.75" customHeight="1" x14ac:dyDescent="0.2">
      <c r="B40831" s="43"/>
    </row>
    <row r="40832" spans="2:2" ht="12.75" customHeight="1" x14ac:dyDescent="0.2">
      <c r="B40832" s="43"/>
    </row>
    <row r="40833" spans="2:2" ht="12.75" customHeight="1" x14ac:dyDescent="0.2">
      <c r="B40833" s="43"/>
    </row>
    <row r="40834" spans="2:2" ht="12.75" customHeight="1" x14ac:dyDescent="0.2">
      <c r="B40834" s="43"/>
    </row>
    <row r="40835" spans="2:2" ht="12.75" customHeight="1" x14ac:dyDescent="0.2">
      <c r="B40835" s="43"/>
    </row>
    <row r="40836" spans="2:2" ht="12.75" customHeight="1" x14ac:dyDescent="0.2">
      <c r="B40836" s="43"/>
    </row>
    <row r="40837" spans="2:2" ht="12.75" customHeight="1" x14ac:dyDescent="0.2">
      <c r="B40837" s="43"/>
    </row>
    <row r="40838" spans="2:2" ht="12.75" customHeight="1" x14ac:dyDescent="0.2">
      <c r="B40838" s="43"/>
    </row>
    <row r="40839" spans="2:2" ht="12.75" customHeight="1" x14ac:dyDescent="0.2">
      <c r="B40839" s="43"/>
    </row>
    <row r="40840" spans="2:2" ht="12.75" customHeight="1" x14ac:dyDescent="0.2">
      <c r="B40840" s="43"/>
    </row>
    <row r="40841" spans="2:2" ht="12.75" customHeight="1" x14ac:dyDescent="0.2">
      <c r="B40841" s="43"/>
    </row>
    <row r="40842" spans="2:2" ht="12.75" customHeight="1" x14ac:dyDescent="0.2">
      <c r="B40842" s="43"/>
    </row>
    <row r="40843" spans="2:2" ht="12.75" customHeight="1" x14ac:dyDescent="0.2">
      <c r="B40843" s="43"/>
    </row>
    <row r="40844" spans="2:2" ht="12.75" customHeight="1" x14ac:dyDescent="0.2">
      <c r="B40844" s="43"/>
    </row>
    <row r="40845" spans="2:2" ht="12.75" customHeight="1" x14ac:dyDescent="0.2">
      <c r="B40845" s="43"/>
    </row>
    <row r="40846" spans="2:2" ht="12.75" customHeight="1" x14ac:dyDescent="0.2">
      <c r="B40846" s="43"/>
    </row>
    <row r="40847" spans="2:2" ht="12.75" customHeight="1" x14ac:dyDescent="0.2">
      <c r="B40847" s="43"/>
    </row>
    <row r="40848" spans="2:2" ht="12.75" customHeight="1" x14ac:dyDescent="0.2">
      <c r="B40848" s="43"/>
    </row>
    <row r="40849" spans="2:2" ht="12.75" customHeight="1" x14ac:dyDescent="0.2">
      <c r="B40849" s="43"/>
    </row>
    <row r="40850" spans="2:2" ht="12.75" customHeight="1" x14ac:dyDescent="0.2">
      <c r="B40850" s="43"/>
    </row>
    <row r="40851" spans="2:2" ht="12.75" customHeight="1" x14ac:dyDescent="0.2">
      <c r="B40851" s="43"/>
    </row>
    <row r="40852" spans="2:2" ht="12.75" customHeight="1" x14ac:dyDescent="0.2">
      <c r="B40852" s="43"/>
    </row>
    <row r="40853" spans="2:2" ht="12.75" customHeight="1" x14ac:dyDescent="0.2">
      <c r="B40853" s="43"/>
    </row>
    <row r="40854" spans="2:2" ht="12.75" customHeight="1" x14ac:dyDescent="0.2">
      <c r="B40854" s="43"/>
    </row>
    <row r="40855" spans="2:2" ht="12.75" customHeight="1" x14ac:dyDescent="0.2">
      <c r="B40855" s="43"/>
    </row>
    <row r="40856" spans="2:2" ht="12.75" customHeight="1" x14ac:dyDescent="0.2">
      <c r="B40856" s="43"/>
    </row>
    <row r="40857" spans="2:2" ht="12.75" customHeight="1" x14ac:dyDescent="0.2">
      <c r="B40857" s="43"/>
    </row>
    <row r="40858" spans="2:2" ht="12.75" customHeight="1" x14ac:dyDescent="0.2">
      <c r="B40858" s="43"/>
    </row>
    <row r="40859" spans="2:2" ht="12.75" customHeight="1" x14ac:dyDescent="0.2">
      <c r="B40859" s="43"/>
    </row>
    <row r="40860" spans="2:2" ht="12.75" customHeight="1" x14ac:dyDescent="0.2">
      <c r="B40860" s="43"/>
    </row>
    <row r="40861" spans="2:2" ht="12.75" customHeight="1" x14ac:dyDescent="0.2">
      <c r="B40861" s="43"/>
    </row>
    <row r="40862" spans="2:2" ht="12.75" customHeight="1" x14ac:dyDescent="0.2">
      <c r="B40862" s="43"/>
    </row>
    <row r="40863" spans="2:2" ht="12.75" customHeight="1" x14ac:dyDescent="0.2">
      <c r="B40863" s="43"/>
    </row>
    <row r="40864" spans="2:2" ht="12.75" customHeight="1" x14ac:dyDescent="0.2">
      <c r="B40864" s="43"/>
    </row>
    <row r="40865" spans="2:2" ht="12.75" customHeight="1" x14ac:dyDescent="0.2">
      <c r="B40865" s="43"/>
    </row>
    <row r="40866" spans="2:2" ht="12.75" customHeight="1" x14ac:dyDescent="0.2">
      <c r="B40866" s="43"/>
    </row>
    <row r="40867" spans="2:2" ht="12.75" customHeight="1" x14ac:dyDescent="0.2">
      <c r="B40867" s="43"/>
    </row>
    <row r="40868" spans="2:2" ht="12.75" customHeight="1" x14ac:dyDescent="0.2">
      <c r="B40868" s="43"/>
    </row>
    <row r="40869" spans="2:2" ht="12.75" customHeight="1" x14ac:dyDescent="0.2">
      <c r="B40869" s="43"/>
    </row>
    <row r="40870" spans="2:2" ht="12.75" customHeight="1" x14ac:dyDescent="0.2">
      <c r="B40870" s="43"/>
    </row>
    <row r="40871" spans="2:2" ht="12.75" customHeight="1" x14ac:dyDescent="0.2">
      <c r="B40871" s="43"/>
    </row>
    <row r="40872" spans="2:2" ht="12.75" customHeight="1" x14ac:dyDescent="0.2">
      <c r="B40872" s="43"/>
    </row>
    <row r="40873" spans="2:2" ht="12.75" customHeight="1" x14ac:dyDescent="0.2">
      <c r="B40873" s="43"/>
    </row>
    <row r="40874" spans="2:2" ht="12.75" customHeight="1" x14ac:dyDescent="0.2">
      <c r="B40874" s="43"/>
    </row>
    <row r="40875" spans="2:2" ht="12.75" customHeight="1" x14ac:dyDescent="0.2">
      <c r="B40875" s="43"/>
    </row>
    <row r="40876" spans="2:2" ht="12.75" customHeight="1" x14ac:dyDescent="0.2">
      <c r="B40876" s="43"/>
    </row>
    <row r="40877" spans="2:2" ht="12.75" customHeight="1" x14ac:dyDescent="0.2">
      <c r="B40877" s="43"/>
    </row>
    <row r="40878" spans="2:2" ht="12.75" customHeight="1" x14ac:dyDescent="0.2">
      <c r="B40878" s="43"/>
    </row>
    <row r="40879" spans="2:2" ht="12.75" customHeight="1" x14ac:dyDescent="0.2">
      <c r="B40879" s="43"/>
    </row>
    <row r="40880" spans="2:2" ht="12.75" customHeight="1" x14ac:dyDescent="0.2">
      <c r="B40880" s="43"/>
    </row>
    <row r="40881" spans="2:2" ht="12.75" customHeight="1" x14ac:dyDescent="0.2">
      <c r="B40881" s="43"/>
    </row>
    <row r="40882" spans="2:2" ht="12.75" customHeight="1" x14ac:dyDescent="0.2">
      <c r="B40882" s="43"/>
    </row>
    <row r="40883" spans="2:2" ht="12.75" customHeight="1" x14ac:dyDescent="0.2">
      <c r="B40883" s="43"/>
    </row>
    <row r="40884" spans="2:2" ht="12.75" customHeight="1" x14ac:dyDescent="0.2">
      <c r="B40884" s="43"/>
    </row>
    <row r="40885" spans="2:2" ht="12.75" customHeight="1" x14ac:dyDescent="0.2">
      <c r="B40885" s="43"/>
    </row>
    <row r="40886" spans="2:2" ht="12.75" customHeight="1" x14ac:dyDescent="0.2">
      <c r="B40886" s="43"/>
    </row>
    <row r="40887" spans="2:2" ht="12.75" customHeight="1" x14ac:dyDescent="0.2">
      <c r="B40887" s="43"/>
    </row>
    <row r="40888" spans="2:2" ht="12.75" customHeight="1" x14ac:dyDescent="0.2">
      <c r="B40888" s="43"/>
    </row>
    <row r="40889" spans="2:2" ht="12.75" customHeight="1" x14ac:dyDescent="0.2">
      <c r="B40889" s="43"/>
    </row>
    <row r="40890" spans="2:2" ht="12.75" customHeight="1" x14ac:dyDescent="0.2">
      <c r="B40890" s="43"/>
    </row>
    <row r="40891" spans="2:2" ht="12.75" customHeight="1" x14ac:dyDescent="0.2">
      <c r="B40891" s="43"/>
    </row>
    <row r="40892" spans="2:2" ht="12.75" customHeight="1" x14ac:dyDescent="0.2">
      <c r="B40892" s="43"/>
    </row>
    <row r="40893" spans="2:2" ht="12.75" customHeight="1" x14ac:dyDescent="0.2">
      <c r="B40893" s="43"/>
    </row>
    <row r="40894" spans="2:2" ht="12.75" customHeight="1" x14ac:dyDescent="0.2">
      <c r="B40894" s="43"/>
    </row>
    <row r="40895" spans="2:2" ht="12.75" customHeight="1" x14ac:dyDescent="0.2">
      <c r="B40895" s="43"/>
    </row>
    <row r="40896" spans="2:2" ht="12.75" customHeight="1" x14ac:dyDescent="0.2">
      <c r="B40896" s="43"/>
    </row>
    <row r="40897" spans="2:2" ht="12.75" customHeight="1" x14ac:dyDescent="0.2">
      <c r="B40897" s="43"/>
    </row>
    <row r="40898" spans="2:2" ht="12.75" customHeight="1" x14ac:dyDescent="0.2">
      <c r="B40898" s="43"/>
    </row>
    <row r="40899" spans="2:2" ht="12.75" customHeight="1" x14ac:dyDescent="0.2">
      <c r="B40899" s="43"/>
    </row>
    <row r="40900" spans="2:2" ht="12.75" customHeight="1" x14ac:dyDescent="0.2">
      <c r="B40900" s="43"/>
    </row>
    <row r="40901" spans="2:2" ht="12.75" customHeight="1" x14ac:dyDescent="0.2">
      <c r="B40901" s="43"/>
    </row>
    <row r="40902" spans="2:2" ht="12.75" customHeight="1" x14ac:dyDescent="0.2">
      <c r="B40902" s="43"/>
    </row>
    <row r="40903" spans="2:2" ht="12.75" customHeight="1" x14ac:dyDescent="0.2">
      <c r="B40903" s="43"/>
    </row>
    <row r="40904" spans="2:2" ht="12.75" customHeight="1" x14ac:dyDescent="0.2">
      <c r="B40904" s="43"/>
    </row>
    <row r="40905" spans="2:2" ht="12.75" customHeight="1" x14ac:dyDescent="0.2">
      <c r="B40905" s="43"/>
    </row>
    <row r="40906" spans="2:2" ht="12.75" customHeight="1" x14ac:dyDescent="0.2">
      <c r="B40906" s="43"/>
    </row>
    <row r="40907" spans="2:2" ht="12.75" customHeight="1" x14ac:dyDescent="0.2">
      <c r="B40907" s="43"/>
    </row>
    <row r="40908" spans="2:2" ht="12.75" customHeight="1" x14ac:dyDescent="0.2">
      <c r="B40908" s="43"/>
    </row>
    <row r="40909" spans="2:2" ht="12.75" customHeight="1" x14ac:dyDescent="0.2">
      <c r="B40909" s="43"/>
    </row>
    <row r="40910" spans="2:2" ht="12.75" customHeight="1" x14ac:dyDescent="0.2">
      <c r="B40910" s="43"/>
    </row>
    <row r="40911" spans="2:2" ht="12.75" customHeight="1" x14ac:dyDescent="0.2">
      <c r="B40911" s="43"/>
    </row>
    <row r="40912" spans="2:2" ht="12.75" customHeight="1" x14ac:dyDescent="0.2">
      <c r="B40912" s="43"/>
    </row>
    <row r="40913" spans="2:2" ht="12.75" customHeight="1" x14ac:dyDescent="0.2">
      <c r="B40913" s="43"/>
    </row>
    <row r="40914" spans="2:2" ht="12.75" customHeight="1" x14ac:dyDescent="0.2">
      <c r="B40914" s="43"/>
    </row>
    <row r="40915" spans="2:2" ht="12.75" customHeight="1" x14ac:dyDescent="0.2">
      <c r="B40915" s="43"/>
    </row>
    <row r="40916" spans="2:2" ht="12.75" customHeight="1" x14ac:dyDescent="0.2">
      <c r="B40916" s="43"/>
    </row>
    <row r="40917" spans="2:2" ht="12.75" customHeight="1" x14ac:dyDescent="0.2">
      <c r="B40917" s="43"/>
    </row>
    <row r="40918" spans="2:2" ht="12.75" customHeight="1" x14ac:dyDescent="0.2">
      <c r="B40918" s="43"/>
    </row>
    <row r="40919" spans="2:2" ht="12.75" customHeight="1" x14ac:dyDescent="0.2">
      <c r="B40919" s="43"/>
    </row>
    <row r="40920" spans="2:2" ht="12.75" customHeight="1" x14ac:dyDescent="0.2">
      <c r="B40920" s="43"/>
    </row>
    <row r="40921" spans="2:2" ht="12.75" customHeight="1" x14ac:dyDescent="0.2">
      <c r="B40921" s="43"/>
    </row>
    <row r="40922" spans="2:2" ht="12.75" customHeight="1" x14ac:dyDescent="0.2">
      <c r="B40922" s="43"/>
    </row>
    <row r="40923" spans="2:2" ht="12.75" customHeight="1" x14ac:dyDescent="0.2">
      <c r="B40923" s="43"/>
    </row>
    <row r="40924" spans="2:2" ht="12.75" customHeight="1" x14ac:dyDescent="0.2">
      <c r="B40924" s="43"/>
    </row>
    <row r="40925" spans="2:2" ht="12.75" customHeight="1" x14ac:dyDescent="0.2">
      <c r="B40925" s="43"/>
    </row>
    <row r="40926" spans="2:2" ht="12.75" customHeight="1" x14ac:dyDescent="0.2">
      <c r="B40926" s="43"/>
    </row>
    <row r="40927" spans="2:2" ht="12.75" customHeight="1" x14ac:dyDescent="0.2">
      <c r="B40927" s="43"/>
    </row>
    <row r="40928" spans="2:2" ht="12.75" customHeight="1" x14ac:dyDescent="0.2">
      <c r="B40928" s="43"/>
    </row>
    <row r="40929" spans="2:2" ht="12.75" customHeight="1" x14ac:dyDescent="0.2">
      <c r="B40929" s="43"/>
    </row>
    <row r="40930" spans="2:2" ht="12.75" customHeight="1" x14ac:dyDescent="0.2">
      <c r="B40930" s="43"/>
    </row>
    <row r="40931" spans="2:2" ht="12.75" customHeight="1" x14ac:dyDescent="0.2">
      <c r="B40931" s="43"/>
    </row>
    <row r="40932" spans="2:2" ht="12.75" customHeight="1" x14ac:dyDescent="0.2">
      <c r="B40932" s="43"/>
    </row>
    <row r="40933" spans="2:2" ht="12.75" customHeight="1" x14ac:dyDescent="0.2">
      <c r="B40933" s="43"/>
    </row>
    <row r="40934" spans="2:2" ht="12.75" customHeight="1" x14ac:dyDescent="0.2">
      <c r="B40934" s="43"/>
    </row>
    <row r="40935" spans="2:2" ht="12.75" customHeight="1" x14ac:dyDescent="0.2">
      <c r="B40935" s="43"/>
    </row>
    <row r="40936" spans="2:2" ht="12.75" customHeight="1" x14ac:dyDescent="0.2">
      <c r="B40936" s="43"/>
    </row>
    <row r="40937" spans="2:2" ht="12.75" customHeight="1" x14ac:dyDescent="0.2">
      <c r="B40937" s="43"/>
    </row>
    <row r="40938" spans="2:2" ht="12.75" customHeight="1" x14ac:dyDescent="0.2">
      <c r="B40938" s="43"/>
    </row>
    <row r="40939" spans="2:2" ht="12.75" customHeight="1" x14ac:dyDescent="0.2">
      <c r="B40939" s="43"/>
    </row>
    <row r="40940" spans="2:2" ht="12.75" customHeight="1" x14ac:dyDescent="0.2">
      <c r="B40940" s="43"/>
    </row>
    <row r="40941" spans="2:2" ht="12.75" customHeight="1" x14ac:dyDescent="0.2">
      <c r="B40941" s="43"/>
    </row>
    <row r="40942" spans="2:2" ht="12.75" customHeight="1" x14ac:dyDescent="0.2">
      <c r="B40942" s="43"/>
    </row>
    <row r="40943" spans="2:2" ht="12.75" customHeight="1" x14ac:dyDescent="0.2">
      <c r="B40943" s="43"/>
    </row>
    <row r="40944" spans="2:2" ht="12.75" customHeight="1" x14ac:dyDescent="0.2">
      <c r="B40944" s="43"/>
    </row>
    <row r="40945" spans="2:2" ht="12.75" customHeight="1" x14ac:dyDescent="0.2">
      <c r="B40945" s="43"/>
    </row>
    <row r="40946" spans="2:2" ht="12.75" customHeight="1" x14ac:dyDescent="0.2">
      <c r="B40946" s="43"/>
    </row>
    <row r="40947" spans="2:2" ht="12.75" customHeight="1" x14ac:dyDescent="0.2">
      <c r="B40947" s="43"/>
    </row>
    <row r="40948" spans="2:2" ht="12.75" customHeight="1" x14ac:dyDescent="0.2">
      <c r="B40948" s="43"/>
    </row>
    <row r="40949" spans="2:2" ht="12.75" customHeight="1" x14ac:dyDescent="0.2">
      <c r="B40949" s="43"/>
    </row>
    <row r="40950" spans="2:2" ht="12.75" customHeight="1" x14ac:dyDescent="0.2">
      <c r="B40950" s="43"/>
    </row>
    <row r="40951" spans="2:2" ht="12.75" customHeight="1" x14ac:dyDescent="0.2">
      <c r="B40951" s="43"/>
    </row>
    <row r="40952" spans="2:2" ht="12.75" customHeight="1" x14ac:dyDescent="0.2">
      <c r="B40952" s="43"/>
    </row>
    <row r="40953" spans="2:2" ht="12.75" customHeight="1" x14ac:dyDescent="0.2">
      <c r="B40953" s="43"/>
    </row>
    <row r="40954" spans="2:2" ht="12.75" customHeight="1" x14ac:dyDescent="0.2">
      <c r="B40954" s="43"/>
    </row>
    <row r="40955" spans="2:2" ht="12.75" customHeight="1" x14ac:dyDescent="0.2">
      <c r="B40955" s="43"/>
    </row>
    <row r="40956" spans="2:2" ht="12.75" customHeight="1" x14ac:dyDescent="0.2">
      <c r="B40956" s="43"/>
    </row>
    <row r="40957" spans="2:2" ht="12.75" customHeight="1" x14ac:dyDescent="0.2">
      <c r="B40957" s="43"/>
    </row>
    <row r="40958" spans="2:2" ht="12.75" customHeight="1" x14ac:dyDescent="0.2">
      <c r="B40958" s="43"/>
    </row>
    <row r="40959" spans="2:2" ht="12.75" customHeight="1" x14ac:dyDescent="0.2">
      <c r="B40959" s="43"/>
    </row>
    <row r="40960" spans="2:2" ht="12.75" customHeight="1" x14ac:dyDescent="0.2">
      <c r="B40960" s="43"/>
    </row>
    <row r="40961" spans="2:2" ht="12.75" customHeight="1" x14ac:dyDescent="0.2">
      <c r="B40961" s="43"/>
    </row>
    <row r="40962" spans="2:2" ht="12.75" customHeight="1" x14ac:dyDescent="0.2">
      <c r="B40962" s="43"/>
    </row>
    <row r="40963" spans="2:2" ht="12.75" customHeight="1" x14ac:dyDescent="0.2">
      <c r="B40963" s="43"/>
    </row>
    <row r="40964" spans="2:2" ht="12.75" customHeight="1" x14ac:dyDescent="0.2">
      <c r="B40964" s="43"/>
    </row>
    <row r="40965" spans="2:2" ht="12.75" customHeight="1" x14ac:dyDescent="0.2">
      <c r="B40965" s="43"/>
    </row>
    <row r="40966" spans="2:2" ht="12.75" customHeight="1" x14ac:dyDescent="0.2">
      <c r="B40966" s="43"/>
    </row>
    <row r="40967" spans="2:2" ht="12.75" customHeight="1" x14ac:dyDescent="0.2">
      <c r="B40967" s="43"/>
    </row>
    <row r="40968" spans="2:2" ht="12.75" customHeight="1" x14ac:dyDescent="0.2">
      <c r="B40968" s="43"/>
    </row>
    <row r="40969" spans="2:2" ht="12.75" customHeight="1" x14ac:dyDescent="0.2">
      <c r="B40969" s="43"/>
    </row>
    <row r="40970" spans="2:2" ht="12.75" customHeight="1" x14ac:dyDescent="0.2">
      <c r="B40970" s="43"/>
    </row>
    <row r="40971" spans="2:2" ht="12.75" customHeight="1" x14ac:dyDescent="0.2">
      <c r="B40971" s="43"/>
    </row>
    <row r="40972" spans="2:2" ht="12.75" customHeight="1" x14ac:dyDescent="0.2">
      <c r="B40972" s="43"/>
    </row>
    <row r="40973" spans="2:2" ht="12.75" customHeight="1" x14ac:dyDescent="0.2">
      <c r="B40973" s="43"/>
    </row>
    <row r="40974" spans="2:2" ht="12.75" customHeight="1" x14ac:dyDescent="0.2">
      <c r="B40974" s="43"/>
    </row>
    <row r="40975" spans="2:2" ht="12.75" customHeight="1" x14ac:dyDescent="0.2">
      <c r="B40975" s="43"/>
    </row>
    <row r="40976" spans="2:2" ht="12.75" customHeight="1" x14ac:dyDescent="0.2">
      <c r="B40976" s="43"/>
    </row>
    <row r="40977" spans="2:2" ht="12.75" customHeight="1" x14ac:dyDescent="0.2">
      <c r="B40977" s="43"/>
    </row>
    <row r="40978" spans="2:2" ht="12.75" customHeight="1" x14ac:dyDescent="0.2">
      <c r="B40978" s="43"/>
    </row>
    <row r="40979" spans="2:2" ht="12.75" customHeight="1" x14ac:dyDescent="0.2">
      <c r="B40979" s="43"/>
    </row>
    <row r="40980" spans="2:2" ht="12.75" customHeight="1" x14ac:dyDescent="0.2">
      <c r="B40980" s="43"/>
    </row>
    <row r="40981" spans="2:2" ht="12.75" customHeight="1" x14ac:dyDescent="0.2">
      <c r="B40981" s="43"/>
    </row>
    <row r="40982" spans="2:2" ht="12.75" customHeight="1" x14ac:dyDescent="0.2">
      <c r="B40982" s="43"/>
    </row>
    <row r="40983" spans="2:2" ht="12.75" customHeight="1" x14ac:dyDescent="0.2">
      <c r="B40983" s="43"/>
    </row>
    <row r="40984" spans="2:2" ht="12.75" customHeight="1" x14ac:dyDescent="0.2">
      <c r="B40984" s="43"/>
    </row>
    <row r="40985" spans="2:2" ht="12.75" customHeight="1" x14ac:dyDescent="0.2">
      <c r="B40985" s="43"/>
    </row>
    <row r="40986" spans="2:2" ht="12.75" customHeight="1" x14ac:dyDescent="0.2">
      <c r="B40986" s="43"/>
    </row>
    <row r="40987" spans="2:2" ht="12.75" customHeight="1" x14ac:dyDescent="0.2">
      <c r="B40987" s="43"/>
    </row>
    <row r="40988" spans="2:2" ht="12.75" customHeight="1" x14ac:dyDescent="0.2">
      <c r="B40988" s="43"/>
    </row>
    <row r="40989" spans="2:2" ht="12.75" customHeight="1" x14ac:dyDescent="0.2">
      <c r="B40989" s="43"/>
    </row>
    <row r="40990" spans="2:2" ht="12.75" customHeight="1" x14ac:dyDescent="0.2">
      <c r="B40990" s="43"/>
    </row>
    <row r="40991" spans="2:2" ht="12.75" customHeight="1" x14ac:dyDescent="0.2">
      <c r="B40991" s="43"/>
    </row>
    <row r="40992" spans="2:2" ht="12.75" customHeight="1" x14ac:dyDescent="0.2">
      <c r="B40992" s="43"/>
    </row>
    <row r="40993" spans="2:2" ht="12.75" customHeight="1" x14ac:dyDescent="0.2">
      <c r="B40993" s="43"/>
    </row>
    <row r="40994" spans="2:2" ht="12.75" customHeight="1" x14ac:dyDescent="0.2">
      <c r="B40994" s="43"/>
    </row>
    <row r="40995" spans="2:2" ht="12.75" customHeight="1" x14ac:dyDescent="0.2">
      <c r="B40995" s="43"/>
    </row>
    <row r="40996" spans="2:2" ht="12.75" customHeight="1" x14ac:dyDescent="0.2">
      <c r="B40996" s="43"/>
    </row>
    <row r="40997" spans="2:2" ht="12.75" customHeight="1" x14ac:dyDescent="0.2">
      <c r="B40997" s="43"/>
    </row>
    <row r="40998" spans="2:2" ht="12.75" customHeight="1" x14ac:dyDescent="0.2">
      <c r="B40998" s="43"/>
    </row>
    <row r="40999" spans="2:2" ht="12.75" customHeight="1" x14ac:dyDescent="0.2">
      <c r="B40999" s="43"/>
    </row>
    <row r="41000" spans="2:2" ht="12.75" customHeight="1" x14ac:dyDescent="0.2">
      <c r="B41000" s="43"/>
    </row>
    <row r="41001" spans="2:2" ht="12.75" customHeight="1" x14ac:dyDescent="0.2">
      <c r="B41001" s="43"/>
    </row>
    <row r="41002" spans="2:2" ht="12.75" customHeight="1" x14ac:dyDescent="0.2">
      <c r="B41002" s="43"/>
    </row>
    <row r="41003" spans="2:2" ht="12.75" customHeight="1" x14ac:dyDescent="0.2">
      <c r="B41003" s="43"/>
    </row>
    <row r="41004" spans="2:2" ht="12.75" customHeight="1" x14ac:dyDescent="0.2">
      <c r="B41004" s="43"/>
    </row>
    <row r="41005" spans="2:2" ht="12.75" customHeight="1" x14ac:dyDescent="0.2">
      <c r="B41005" s="43"/>
    </row>
    <row r="41006" spans="2:2" ht="12.75" customHeight="1" x14ac:dyDescent="0.2">
      <c r="B41006" s="43"/>
    </row>
    <row r="41007" spans="2:2" ht="12.75" customHeight="1" x14ac:dyDescent="0.2">
      <c r="B41007" s="43"/>
    </row>
    <row r="41008" spans="2:2" ht="12.75" customHeight="1" x14ac:dyDescent="0.2">
      <c r="B41008" s="43"/>
    </row>
    <row r="41009" spans="2:2" ht="12.75" customHeight="1" x14ac:dyDescent="0.2">
      <c r="B41009" s="43"/>
    </row>
    <row r="41010" spans="2:2" ht="12.75" customHeight="1" x14ac:dyDescent="0.2">
      <c r="B41010" s="43"/>
    </row>
    <row r="41011" spans="2:2" ht="12.75" customHeight="1" x14ac:dyDescent="0.2">
      <c r="B41011" s="43"/>
    </row>
    <row r="41012" spans="2:2" ht="12.75" customHeight="1" x14ac:dyDescent="0.2">
      <c r="B41012" s="43"/>
    </row>
    <row r="41013" spans="2:2" ht="12.75" customHeight="1" x14ac:dyDescent="0.2">
      <c r="B41013" s="43"/>
    </row>
    <row r="41014" spans="2:2" ht="12.75" customHeight="1" x14ac:dyDescent="0.2">
      <c r="B41014" s="43"/>
    </row>
    <row r="41015" spans="2:2" ht="12.75" customHeight="1" x14ac:dyDescent="0.2">
      <c r="B41015" s="43"/>
    </row>
    <row r="41016" spans="2:2" ht="12.75" customHeight="1" x14ac:dyDescent="0.2">
      <c r="B41016" s="43"/>
    </row>
    <row r="41017" spans="2:2" ht="12.75" customHeight="1" x14ac:dyDescent="0.2">
      <c r="B41017" s="43"/>
    </row>
    <row r="41018" spans="2:2" ht="12.75" customHeight="1" x14ac:dyDescent="0.2">
      <c r="B41018" s="43"/>
    </row>
    <row r="41019" spans="2:2" ht="12.75" customHeight="1" x14ac:dyDescent="0.2">
      <c r="B41019" s="43"/>
    </row>
    <row r="41020" spans="2:2" ht="12.75" customHeight="1" x14ac:dyDescent="0.2">
      <c r="B41020" s="43"/>
    </row>
    <row r="41021" spans="2:2" ht="12.75" customHeight="1" x14ac:dyDescent="0.2">
      <c r="B41021" s="43"/>
    </row>
    <row r="41022" spans="2:2" ht="12.75" customHeight="1" x14ac:dyDescent="0.2">
      <c r="B41022" s="43"/>
    </row>
    <row r="41023" spans="2:2" ht="12.75" customHeight="1" x14ac:dyDescent="0.2">
      <c r="B41023" s="43"/>
    </row>
    <row r="41024" spans="2:2" ht="12.75" customHeight="1" x14ac:dyDescent="0.2">
      <c r="B41024" s="43"/>
    </row>
    <row r="41025" spans="2:2" ht="12.75" customHeight="1" x14ac:dyDescent="0.2">
      <c r="B41025" s="43"/>
    </row>
    <row r="41026" spans="2:2" ht="12.75" customHeight="1" x14ac:dyDescent="0.2">
      <c r="B41026" s="43"/>
    </row>
    <row r="41027" spans="2:2" ht="12.75" customHeight="1" x14ac:dyDescent="0.2">
      <c r="B41027" s="43"/>
    </row>
    <row r="41028" spans="2:2" ht="12.75" customHeight="1" x14ac:dyDescent="0.2">
      <c r="B41028" s="43"/>
    </row>
    <row r="41029" spans="2:2" ht="12.75" customHeight="1" x14ac:dyDescent="0.2">
      <c r="B41029" s="43"/>
    </row>
    <row r="41030" spans="2:2" ht="12.75" customHeight="1" x14ac:dyDescent="0.2">
      <c r="B41030" s="43"/>
    </row>
    <row r="41031" spans="2:2" ht="12.75" customHeight="1" x14ac:dyDescent="0.2">
      <c r="B41031" s="43"/>
    </row>
    <row r="41032" spans="2:2" ht="12.75" customHeight="1" x14ac:dyDescent="0.2">
      <c r="B41032" s="43"/>
    </row>
    <row r="41033" spans="2:2" ht="12.75" customHeight="1" x14ac:dyDescent="0.2">
      <c r="B41033" s="43"/>
    </row>
    <row r="41034" spans="2:2" ht="12.75" customHeight="1" x14ac:dyDescent="0.2">
      <c r="B41034" s="43"/>
    </row>
    <row r="41035" spans="2:2" ht="12.75" customHeight="1" x14ac:dyDescent="0.2">
      <c r="B41035" s="43"/>
    </row>
    <row r="41036" spans="2:2" ht="12.75" customHeight="1" x14ac:dyDescent="0.2">
      <c r="B41036" s="43"/>
    </row>
    <row r="41037" spans="2:2" ht="12.75" customHeight="1" x14ac:dyDescent="0.2">
      <c r="B41037" s="43"/>
    </row>
    <row r="41038" spans="2:2" ht="12.75" customHeight="1" x14ac:dyDescent="0.2">
      <c r="B41038" s="43"/>
    </row>
    <row r="41039" spans="2:2" ht="12.75" customHeight="1" x14ac:dyDescent="0.2">
      <c r="B41039" s="43"/>
    </row>
    <row r="41040" spans="2:2" ht="12.75" customHeight="1" x14ac:dyDescent="0.2">
      <c r="B41040" s="43"/>
    </row>
    <row r="41041" spans="2:2" ht="12.75" customHeight="1" x14ac:dyDescent="0.2">
      <c r="B41041" s="43"/>
    </row>
    <row r="41042" spans="2:2" ht="12.75" customHeight="1" x14ac:dyDescent="0.2">
      <c r="B41042" s="43"/>
    </row>
    <row r="41043" spans="2:2" ht="12.75" customHeight="1" x14ac:dyDescent="0.2">
      <c r="B41043" s="43"/>
    </row>
    <row r="41044" spans="2:2" ht="12.75" customHeight="1" x14ac:dyDescent="0.2">
      <c r="B41044" s="43"/>
    </row>
    <row r="41045" spans="2:2" ht="12.75" customHeight="1" x14ac:dyDescent="0.2">
      <c r="B41045" s="43"/>
    </row>
    <row r="41046" spans="2:2" ht="12.75" customHeight="1" x14ac:dyDescent="0.2">
      <c r="B41046" s="43"/>
    </row>
    <row r="41047" spans="2:2" ht="12.75" customHeight="1" x14ac:dyDescent="0.2">
      <c r="B41047" s="43"/>
    </row>
    <row r="41048" spans="2:2" ht="12.75" customHeight="1" x14ac:dyDescent="0.2">
      <c r="B41048" s="43"/>
    </row>
    <row r="41049" spans="2:2" ht="12.75" customHeight="1" x14ac:dyDescent="0.2">
      <c r="B41049" s="43"/>
    </row>
    <row r="41050" spans="2:2" ht="12.75" customHeight="1" x14ac:dyDescent="0.2">
      <c r="B41050" s="43"/>
    </row>
    <row r="41051" spans="2:2" ht="12.75" customHeight="1" x14ac:dyDescent="0.2">
      <c r="B41051" s="43"/>
    </row>
    <row r="41052" spans="2:2" ht="12.75" customHeight="1" x14ac:dyDescent="0.2">
      <c r="B41052" s="43"/>
    </row>
    <row r="41053" spans="2:2" ht="12.75" customHeight="1" x14ac:dyDescent="0.2">
      <c r="B41053" s="43"/>
    </row>
    <row r="41054" spans="2:2" ht="12.75" customHeight="1" x14ac:dyDescent="0.2">
      <c r="B41054" s="43"/>
    </row>
    <row r="41055" spans="2:2" ht="12.75" customHeight="1" x14ac:dyDescent="0.2">
      <c r="B41055" s="43"/>
    </row>
    <row r="41056" spans="2:2" ht="12.75" customHeight="1" x14ac:dyDescent="0.2">
      <c r="B41056" s="43"/>
    </row>
    <row r="41057" spans="2:2" ht="12.75" customHeight="1" x14ac:dyDescent="0.2">
      <c r="B41057" s="43"/>
    </row>
    <row r="41058" spans="2:2" ht="12.75" customHeight="1" x14ac:dyDescent="0.2">
      <c r="B41058" s="43"/>
    </row>
    <row r="41059" spans="2:2" ht="12.75" customHeight="1" x14ac:dyDescent="0.2">
      <c r="B41059" s="43"/>
    </row>
    <row r="41060" spans="2:2" ht="12.75" customHeight="1" x14ac:dyDescent="0.2">
      <c r="B41060" s="43"/>
    </row>
    <row r="41061" spans="2:2" ht="12.75" customHeight="1" x14ac:dyDescent="0.2">
      <c r="B41061" s="43"/>
    </row>
    <row r="41062" spans="2:2" ht="12.75" customHeight="1" x14ac:dyDescent="0.2">
      <c r="B41062" s="43"/>
    </row>
    <row r="41063" spans="2:2" ht="12.75" customHeight="1" x14ac:dyDescent="0.2">
      <c r="B41063" s="43"/>
    </row>
    <row r="41064" spans="2:2" ht="12.75" customHeight="1" x14ac:dyDescent="0.2">
      <c r="B41064" s="43"/>
    </row>
    <row r="41065" spans="2:2" ht="12.75" customHeight="1" x14ac:dyDescent="0.2">
      <c r="B41065" s="43"/>
    </row>
    <row r="41066" spans="2:2" ht="12.75" customHeight="1" x14ac:dyDescent="0.2">
      <c r="B41066" s="43"/>
    </row>
    <row r="41067" spans="2:2" ht="12.75" customHeight="1" x14ac:dyDescent="0.2">
      <c r="B41067" s="43"/>
    </row>
    <row r="41068" spans="2:2" ht="12.75" customHeight="1" x14ac:dyDescent="0.2">
      <c r="B41068" s="43"/>
    </row>
    <row r="41069" spans="2:2" ht="12.75" customHeight="1" x14ac:dyDescent="0.2">
      <c r="B41069" s="43"/>
    </row>
    <row r="41070" spans="2:2" ht="12.75" customHeight="1" x14ac:dyDescent="0.2">
      <c r="B41070" s="43"/>
    </row>
    <row r="41071" spans="2:2" ht="12.75" customHeight="1" x14ac:dyDescent="0.2">
      <c r="B41071" s="43"/>
    </row>
    <row r="41072" spans="2:2" ht="12.75" customHeight="1" x14ac:dyDescent="0.2">
      <c r="B41072" s="43"/>
    </row>
    <row r="41073" spans="2:2" ht="12.75" customHeight="1" x14ac:dyDescent="0.2">
      <c r="B41073" s="43"/>
    </row>
    <row r="41074" spans="2:2" ht="12.75" customHeight="1" x14ac:dyDescent="0.2">
      <c r="B41074" s="43"/>
    </row>
    <row r="41075" spans="2:2" ht="12.75" customHeight="1" x14ac:dyDescent="0.2">
      <c r="B41075" s="43"/>
    </row>
    <row r="41076" spans="2:2" ht="12.75" customHeight="1" x14ac:dyDescent="0.2">
      <c r="B41076" s="43"/>
    </row>
    <row r="41077" spans="2:2" ht="12.75" customHeight="1" x14ac:dyDescent="0.2">
      <c r="B41077" s="43"/>
    </row>
    <row r="41078" spans="2:2" ht="12.75" customHeight="1" x14ac:dyDescent="0.2">
      <c r="B41078" s="43"/>
    </row>
    <row r="41079" spans="2:2" ht="12.75" customHeight="1" x14ac:dyDescent="0.2">
      <c r="B41079" s="43"/>
    </row>
    <row r="41080" spans="2:2" ht="12.75" customHeight="1" x14ac:dyDescent="0.2">
      <c r="B41080" s="43"/>
    </row>
    <row r="41081" spans="2:2" ht="12.75" customHeight="1" x14ac:dyDescent="0.2">
      <c r="B41081" s="43"/>
    </row>
    <row r="41082" spans="2:2" ht="12.75" customHeight="1" x14ac:dyDescent="0.2">
      <c r="B41082" s="43"/>
    </row>
    <row r="41083" spans="2:2" ht="12.75" customHeight="1" x14ac:dyDescent="0.2">
      <c r="B41083" s="43"/>
    </row>
    <row r="41084" spans="2:2" ht="12.75" customHeight="1" x14ac:dyDescent="0.2">
      <c r="B41084" s="43"/>
    </row>
    <row r="41085" spans="2:2" ht="12.75" customHeight="1" x14ac:dyDescent="0.2">
      <c r="B41085" s="43"/>
    </row>
    <row r="41086" spans="2:2" ht="12.75" customHeight="1" x14ac:dyDescent="0.2">
      <c r="B41086" s="43"/>
    </row>
    <row r="41087" spans="2:2" ht="12.75" customHeight="1" x14ac:dyDescent="0.2">
      <c r="B41087" s="43"/>
    </row>
    <row r="41088" spans="2:2" ht="12.75" customHeight="1" x14ac:dyDescent="0.2">
      <c r="B41088" s="43"/>
    </row>
    <row r="41089" spans="2:2" ht="12.75" customHeight="1" x14ac:dyDescent="0.2">
      <c r="B41089" s="43"/>
    </row>
    <row r="41090" spans="2:2" ht="12.75" customHeight="1" x14ac:dyDescent="0.2">
      <c r="B41090" s="43"/>
    </row>
    <row r="41091" spans="2:2" ht="12.75" customHeight="1" x14ac:dyDescent="0.2">
      <c r="B41091" s="43"/>
    </row>
    <row r="41092" spans="2:2" ht="12.75" customHeight="1" x14ac:dyDescent="0.2">
      <c r="B41092" s="43"/>
    </row>
    <row r="41093" spans="2:2" ht="12.75" customHeight="1" x14ac:dyDescent="0.2">
      <c r="B41093" s="43"/>
    </row>
    <row r="41094" spans="2:2" ht="12.75" customHeight="1" x14ac:dyDescent="0.2">
      <c r="B41094" s="43"/>
    </row>
    <row r="41095" spans="2:2" ht="12.75" customHeight="1" x14ac:dyDescent="0.2">
      <c r="B41095" s="43"/>
    </row>
    <row r="41096" spans="2:2" ht="12.75" customHeight="1" x14ac:dyDescent="0.2">
      <c r="B41096" s="43"/>
    </row>
    <row r="41097" spans="2:2" ht="12.75" customHeight="1" x14ac:dyDescent="0.2">
      <c r="B41097" s="43"/>
    </row>
    <row r="41098" spans="2:2" ht="12.75" customHeight="1" x14ac:dyDescent="0.2">
      <c r="B41098" s="43"/>
    </row>
    <row r="41099" spans="2:2" ht="12.75" customHeight="1" x14ac:dyDescent="0.2">
      <c r="B41099" s="43"/>
    </row>
    <row r="41100" spans="2:2" ht="12.75" customHeight="1" x14ac:dyDescent="0.2">
      <c r="B41100" s="43"/>
    </row>
    <row r="41101" spans="2:2" ht="12.75" customHeight="1" x14ac:dyDescent="0.2">
      <c r="B41101" s="43"/>
    </row>
    <row r="41102" spans="2:2" ht="12.75" customHeight="1" x14ac:dyDescent="0.2">
      <c r="B41102" s="43"/>
    </row>
    <row r="41103" spans="2:2" ht="12.75" customHeight="1" x14ac:dyDescent="0.2">
      <c r="B41103" s="43"/>
    </row>
    <row r="41104" spans="2:2" ht="12.75" customHeight="1" x14ac:dyDescent="0.2">
      <c r="B41104" s="43"/>
    </row>
    <row r="41105" spans="2:2" ht="12.75" customHeight="1" x14ac:dyDescent="0.2">
      <c r="B41105" s="43"/>
    </row>
    <row r="41106" spans="2:2" ht="12.75" customHeight="1" x14ac:dyDescent="0.2">
      <c r="B41106" s="43"/>
    </row>
    <row r="41107" spans="2:2" ht="12.75" customHeight="1" x14ac:dyDescent="0.2">
      <c r="B41107" s="43"/>
    </row>
    <row r="41108" spans="2:2" ht="12.75" customHeight="1" x14ac:dyDescent="0.2">
      <c r="B41108" s="43"/>
    </row>
    <row r="41109" spans="2:2" ht="12.75" customHeight="1" x14ac:dyDescent="0.2">
      <c r="B41109" s="43"/>
    </row>
    <row r="41110" spans="2:2" ht="12.75" customHeight="1" x14ac:dyDescent="0.2">
      <c r="B41110" s="43"/>
    </row>
    <row r="41111" spans="2:2" ht="12.75" customHeight="1" x14ac:dyDescent="0.2">
      <c r="B41111" s="43"/>
    </row>
    <row r="41112" spans="2:2" ht="12.75" customHeight="1" x14ac:dyDescent="0.2">
      <c r="B41112" s="43"/>
    </row>
    <row r="41113" spans="2:2" ht="12.75" customHeight="1" x14ac:dyDescent="0.2">
      <c r="B41113" s="43"/>
    </row>
    <row r="41114" spans="2:2" ht="12.75" customHeight="1" x14ac:dyDescent="0.2">
      <c r="B41114" s="43"/>
    </row>
    <row r="41115" spans="2:2" ht="12.75" customHeight="1" x14ac:dyDescent="0.2">
      <c r="B41115" s="43"/>
    </row>
    <row r="41116" spans="2:2" ht="12.75" customHeight="1" x14ac:dyDescent="0.2">
      <c r="B41116" s="43"/>
    </row>
    <row r="41117" spans="2:2" ht="12.75" customHeight="1" x14ac:dyDescent="0.2">
      <c r="B41117" s="43"/>
    </row>
    <row r="41118" spans="2:2" ht="12.75" customHeight="1" x14ac:dyDescent="0.2">
      <c r="B41118" s="43"/>
    </row>
    <row r="41119" spans="2:2" ht="12.75" customHeight="1" x14ac:dyDescent="0.2">
      <c r="B41119" s="43"/>
    </row>
    <row r="41120" spans="2:2" ht="12.75" customHeight="1" x14ac:dyDescent="0.2">
      <c r="B41120" s="43"/>
    </row>
    <row r="41121" spans="2:2" ht="12.75" customHeight="1" x14ac:dyDescent="0.2">
      <c r="B41121" s="43"/>
    </row>
    <row r="41122" spans="2:2" ht="12.75" customHeight="1" x14ac:dyDescent="0.2">
      <c r="B41122" s="43"/>
    </row>
    <row r="41123" spans="2:2" ht="12.75" customHeight="1" x14ac:dyDescent="0.2">
      <c r="B41123" s="43"/>
    </row>
    <row r="41124" spans="2:2" ht="12.75" customHeight="1" x14ac:dyDescent="0.2">
      <c r="B41124" s="43"/>
    </row>
    <row r="41125" spans="2:2" ht="12.75" customHeight="1" x14ac:dyDescent="0.2">
      <c r="B41125" s="43"/>
    </row>
    <row r="41126" spans="2:2" ht="12.75" customHeight="1" x14ac:dyDescent="0.2">
      <c r="B41126" s="43"/>
    </row>
    <row r="41127" spans="2:2" ht="12.75" customHeight="1" x14ac:dyDescent="0.2">
      <c r="B41127" s="43"/>
    </row>
    <row r="41128" spans="2:2" ht="12.75" customHeight="1" x14ac:dyDescent="0.2">
      <c r="B41128" s="43"/>
    </row>
    <row r="41129" spans="2:2" ht="12.75" customHeight="1" x14ac:dyDescent="0.2">
      <c r="B41129" s="43"/>
    </row>
    <row r="41130" spans="2:2" ht="12.75" customHeight="1" x14ac:dyDescent="0.2">
      <c r="B41130" s="43"/>
    </row>
    <row r="41131" spans="2:2" ht="12.75" customHeight="1" x14ac:dyDescent="0.2">
      <c r="B41131" s="43"/>
    </row>
    <row r="41132" spans="2:2" ht="12.75" customHeight="1" x14ac:dyDescent="0.2">
      <c r="B41132" s="43"/>
    </row>
    <row r="41133" spans="2:2" ht="12.75" customHeight="1" x14ac:dyDescent="0.2">
      <c r="B41133" s="43"/>
    </row>
    <row r="41134" spans="2:2" ht="12.75" customHeight="1" x14ac:dyDescent="0.2">
      <c r="B41134" s="43"/>
    </row>
    <row r="41135" spans="2:2" ht="12.75" customHeight="1" x14ac:dyDescent="0.2">
      <c r="B41135" s="43"/>
    </row>
    <row r="41136" spans="2:2" ht="12.75" customHeight="1" x14ac:dyDescent="0.2">
      <c r="B41136" s="43"/>
    </row>
    <row r="41137" spans="2:2" ht="12.75" customHeight="1" x14ac:dyDescent="0.2">
      <c r="B41137" s="43"/>
    </row>
    <row r="41138" spans="2:2" ht="12.75" customHeight="1" x14ac:dyDescent="0.2">
      <c r="B41138" s="43"/>
    </row>
    <row r="41139" spans="2:2" ht="12.75" customHeight="1" x14ac:dyDescent="0.2">
      <c r="B41139" s="43"/>
    </row>
    <row r="41140" spans="2:2" ht="12.75" customHeight="1" x14ac:dyDescent="0.2">
      <c r="B41140" s="43"/>
    </row>
    <row r="41141" spans="2:2" ht="12.75" customHeight="1" x14ac:dyDescent="0.2">
      <c r="B41141" s="43"/>
    </row>
    <row r="41142" spans="2:2" ht="12.75" customHeight="1" x14ac:dyDescent="0.2">
      <c r="B41142" s="43"/>
    </row>
    <row r="41143" spans="2:2" ht="12.75" customHeight="1" x14ac:dyDescent="0.2">
      <c r="B41143" s="43"/>
    </row>
    <row r="41144" spans="2:2" ht="12.75" customHeight="1" x14ac:dyDescent="0.2">
      <c r="B41144" s="43"/>
    </row>
    <row r="41145" spans="2:2" ht="12.75" customHeight="1" x14ac:dyDescent="0.2">
      <c r="B41145" s="43"/>
    </row>
    <row r="41146" spans="2:2" ht="12.75" customHeight="1" x14ac:dyDescent="0.2">
      <c r="B41146" s="43"/>
    </row>
    <row r="41147" spans="2:2" ht="12.75" customHeight="1" x14ac:dyDescent="0.2">
      <c r="B41147" s="43"/>
    </row>
    <row r="41148" spans="2:2" ht="12.75" customHeight="1" x14ac:dyDescent="0.2">
      <c r="B41148" s="43"/>
    </row>
    <row r="41149" spans="2:2" ht="12.75" customHeight="1" x14ac:dyDescent="0.2">
      <c r="B41149" s="43"/>
    </row>
    <row r="41150" spans="2:2" ht="12.75" customHeight="1" x14ac:dyDescent="0.2">
      <c r="B41150" s="43"/>
    </row>
    <row r="41151" spans="2:2" ht="12.75" customHeight="1" x14ac:dyDescent="0.2">
      <c r="B41151" s="43"/>
    </row>
    <row r="41152" spans="2:2" ht="12.75" customHeight="1" x14ac:dyDescent="0.2">
      <c r="B41152" s="43"/>
    </row>
    <row r="41153" spans="2:2" ht="12.75" customHeight="1" x14ac:dyDescent="0.2">
      <c r="B41153" s="43"/>
    </row>
    <row r="41154" spans="2:2" ht="12.75" customHeight="1" x14ac:dyDescent="0.2">
      <c r="B41154" s="43"/>
    </row>
    <row r="41155" spans="2:2" ht="12.75" customHeight="1" x14ac:dyDescent="0.2">
      <c r="B41155" s="43"/>
    </row>
    <row r="41156" spans="2:2" ht="12.75" customHeight="1" x14ac:dyDescent="0.2">
      <c r="B41156" s="43"/>
    </row>
    <row r="41157" spans="2:2" ht="12.75" customHeight="1" x14ac:dyDescent="0.2">
      <c r="B41157" s="43"/>
    </row>
    <row r="41158" spans="2:2" ht="12.75" customHeight="1" x14ac:dyDescent="0.2">
      <c r="B41158" s="43"/>
    </row>
    <row r="41159" spans="2:2" ht="12.75" customHeight="1" x14ac:dyDescent="0.2">
      <c r="B41159" s="43"/>
    </row>
    <row r="41160" spans="2:2" ht="12.75" customHeight="1" x14ac:dyDescent="0.2">
      <c r="B41160" s="43"/>
    </row>
    <row r="41161" spans="2:2" ht="12.75" customHeight="1" x14ac:dyDescent="0.2">
      <c r="B41161" s="43"/>
    </row>
    <row r="41162" spans="2:2" ht="12.75" customHeight="1" x14ac:dyDescent="0.2">
      <c r="B41162" s="43"/>
    </row>
    <row r="41163" spans="2:2" ht="12.75" customHeight="1" x14ac:dyDescent="0.2">
      <c r="B41163" s="43"/>
    </row>
    <row r="41164" spans="2:2" ht="12.75" customHeight="1" x14ac:dyDescent="0.2">
      <c r="B41164" s="43"/>
    </row>
    <row r="41165" spans="2:2" ht="12.75" customHeight="1" x14ac:dyDescent="0.2">
      <c r="B41165" s="43"/>
    </row>
    <row r="41166" spans="2:2" ht="12.75" customHeight="1" x14ac:dyDescent="0.2">
      <c r="B41166" s="43"/>
    </row>
    <row r="41167" spans="2:2" ht="12.75" customHeight="1" x14ac:dyDescent="0.2">
      <c r="B41167" s="43"/>
    </row>
    <row r="41168" spans="2:2" ht="12.75" customHeight="1" x14ac:dyDescent="0.2">
      <c r="B41168" s="43"/>
    </row>
    <row r="41169" spans="2:2" ht="12.75" customHeight="1" x14ac:dyDescent="0.2">
      <c r="B41169" s="43"/>
    </row>
    <row r="41170" spans="2:2" ht="12.75" customHeight="1" x14ac:dyDescent="0.2">
      <c r="B41170" s="43"/>
    </row>
    <row r="41171" spans="2:2" ht="12.75" customHeight="1" x14ac:dyDescent="0.2">
      <c r="B41171" s="43"/>
    </row>
    <row r="41172" spans="2:2" ht="12.75" customHeight="1" x14ac:dyDescent="0.2">
      <c r="B41172" s="43"/>
    </row>
    <row r="41173" spans="2:2" ht="12.75" customHeight="1" x14ac:dyDescent="0.2">
      <c r="B41173" s="43"/>
    </row>
    <row r="41174" spans="2:2" ht="12.75" customHeight="1" x14ac:dyDescent="0.2">
      <c r="B41174" s="43"/>
    </row>
    <row r="41175" spans="2:2" ht="12.75" customHeight="1" x14ac:dyDescent="0.2">
      <c r="B41175" s="43"/>
    </row>
    <row r="41176" spans="2:2" ht="12.75" customHeight="1" x14ac:dyDescent="0.2">
      <c r="B41176" s="43"/>
    </row>
    <row r="41177" spans="2:2" ht="12.75" customHeight="1" x14ac:dyDescent="0.2">
      <c r="B41177" s="43"/>
    </row>
    <row r="41178" spans="2:2" ht="12.75" customHeight="1" x14ac:dyDescent="0.2">
      <c r="B41178" s="43"/>
    </row>
    <row r="41179" spans="2:2" ht="12.75" customHeight="1" x14ac:dyDescent="0.2">
      <c r="B41179" s="43"/>
    </row>
    <row r="41180" spans="2:2" ht="12.75" customHeight="1" x14ac:dyDescent="0.2">
      <c r="B41180" s="43"/>
    </row>
    <row r="41181" spans="2:2" ht="12.75" customHeight="1" x14ac:dyDescent="0.2">
      <c r="B41181" s="43"/>
    </row>
    <row r="41182" spans="2:2" ht="12.75" customHeight="1" x14ac:dyDescent="0.2">
      <c r="B41182" s="43"/>
    </row>
    <row r="41183" spans="2:2" ht="12.75" customHeight="1" x14ac:dyDescent="0.2">
      <c r="B41183" s="43"/>
    </row>
    <row r="41184" spans="2:2" ht="12.75" customHeight="1" x14ac:dyDescent="0.2">
      <c r="B41184" s="43"/>
    </row>
    <row r="41185" spans="2:2" ht="12.75" customHeight="1" x14ac:dyDescent="0.2">
      <c r="B41185" s="43"/>
    </row>
    <row r="41186" spans="2:2" ht="12.75" customHeight="1" x14ac:dyDescent="0.2">
      <c r="B41186" s="43"/>
    </row>
    <row r="41187" spans="2:2" ht="12.75" customHeight="1" x14ac:dyDescent="0.2">
      <c r="B41187" s="43"/>
    </row>
    <row r="41188" spans="2:2" ht="12.75" customHeight="1" x14ac:dyDescent="0.2">
      <c r="B41188" s="43"/>
    </row>
    <row r="41189" spans="2:2" ht="12.75" customHeight="1" x14ac:dyDescent="0.2">
      <c r="B41189" s="43"/>
    </row>
    <row r="41190" spans="2:2" ht="12.75" customHeight="1" x14ac:dyDescent="0.2">
      <c r="B41190" s="43"/>
    </row>
    <row r="41191" spans="2:2" ht="12.75" customHeight="1" x14ac:dyDescent="0.2">
      <c r="B41191" s="43"/>
    </row>
    <row r="41192" spans="2:2" ht="12.75" customHeight="1" x14ac:dyDescent="0.2">
      <c r="B41192" s="43"/>
    </row>
    <row r="41193" spans="2:2" ht="12.75" customHeight="1" x14ac:dyDescent="0.2">
      <c r="B41193" s="43"/>
    </row>
    <row r="41194" spans="2:2" ht="12.75" customHeight="1" x14ac:dyDescent="0.2">
      <c r="B41194" s="43"/>
    </row>
    <row r="41195" spans="2:2" ht="12.75" customHeight="1" x14ac:dyDescent="0.2">
      <c r="B41195" s="43"/>
    </row>
    <row r="41196" spans="2:2" ht="12.75" customHeight="1" x14ac:dyDescent="0.2">
      <c r="B41196" s="43"/>
    </row>
    <row r="41197" spans="2:2" ht="12.75" customHeight="1" x14ac:dyDescent="0.2">
      <c r="B41197" s="43"/>
    </row>
    <row r="41198" spans="2:2" ht="12.75" customHeight="1" x14ac:dyDescent="0.2">
      <c r="B41198" s="43"/>
    </row>
    <row r="41199" spans="2:2" ht="12.75" customHeight="1" x14ac:dyDescent="0.2">
      <c r="B41199" s="43"/>
    </row>
    <row r="41200" spans="2:2" ht="12.75" customHeight="1" x14ac:dyDescent="0.2">
      <c r="B41200" s="43"/>
    </row>
    <row r="41201" spans="2:2" ht="12.75" customHeight="1" x14ac:dyDescent="0.2">
      <c r="B41201" s="43"/>
    </row>
    <row r="41202" spans="2:2" ht="12.75" customHeight="1" x14ac:dyDescent="0.2">
      <c r="B41202" s="43"/>
    </row>
    <row r="41203" spans="2:2" ht="12.75" customHeight="1" x14ac:dyDescent="0.2">
      <c r="B41203" s="43"/>
    </row>
    <row r="41204" spans="2:2" ht="12.75" customHeight="1" x14ac:dyDescent="0.2">
      <c r="B41204" s="43"/>
    </row>
    <row r="41205" spans="2:2" ht="12.75" customHeight="1" x14ac:dyDescent="0.2">
      <c r="B41205" s="43"/>
    </row>
    <row r="41206" spans="2:2" ht="12.75" customHeight="1" x14ac:dyDescent="0.2">
      <c r="B41206" s="43"/>
    </row>
    <row r="41207" spans="2:2" ht="12.75" customHeight="1" x14ac:dyDescent="0.2">
      <c r="B41207" s="43"/>
    </row>
    <row r="41208" spans="2:2" ht="12.75" customHeight="1" x14ac:dyDescent="0.2">
      <c r="B41208" s="43"/>
    </row>
    <row r="41209" spans="2:2" ht="12.75" customHeight="1" x14ac:dyDescent="0.2">
      <c r="B41209" s="43"/>
    </row>
    <row r="41210" spans="2:2" ht="12.75" customHeight="1" x14ac:dyDescent="0.2">
      <c r="B41210" s="43"/>
    </row>
    <row r="41211" spans="2:2" ht="12.75" customHeight="1" x14ac:dyDescent="0.2">
      <c r="B41211" s="43"/>
    </row>
    <row r="41212" spans="2:2" ht="12.75" customHeight="1" x14ac:dyDescent="0.2">
      <c r="B41212" s="43"/>
    </row>
    <row r="41213" spans="2:2" ht="12.75" customHeight="1" x14ac:dyDescent="0.2">
      <c r="B41213" s="43"/>
    </row>
    <row r="41214" spans="2:2" ht="12.75" customHeight="1" x14ac:dyDescent="0.2">
      <c r="B41214" s="43"/>
    </row>
    <row r="41215" spans="2:2" ht="12.75" customHeight="1" x14ac:dyDescent="0.2">
      <c r="B41215" s="43"/>
    </row>
    <row r="41216" spans="2:2" ht="12.75" customHeight="1" x14ac:dyDescent="0.2">
      <c r="B41216" s="43"/>
    </row>
    <row r="41217" spans="2:2" ht="12.75" customHeight="1" x14ac:dyDescent="0.2">
      <c r="B41217" s="43"/>
    </row>
    <row r="41218" spans="2:2" ht="12.75" customHeight="1" x14ac:dyDescent="0.2">
      <c r="B41218" s="43"/>
    </row>
    <row r="41219" spans="2:2" ht="12.75" customHeight="1" x14ac:dyDescent="0.2">
      <c r="B41219" s="43"/>
    </row>
    <row r="41220" spans="2:2" ht="12.75" customHeight="1" x14ac:dyDescent="0.2">
      <c r="B41220" s="43"/>
    </row>
    <row r="41221" spans="2:2" ht="12.75" customHeight="1" x14ac:dyDescent="0.2">
      <c r="B41221" s="43"/>
    </row>
    <row r="41222" spans="2:2" ht="12.75" customHeight="1" x14ac:dyDescent="0.2">
      <c r="B41222" s="43"/>
    </row>
    <row r="41223" spans="2:2" ht="12.75" customHeight="1" x14ac:dyDescent="0.2">
      <c r="B41223" s="43"/>
    </row>
    <row r="41224" spans="2:2" ht="12.75" customHeight="1" x14ac:dyDescent="0.2">
      <c r="B41224" s="43"/>
    </row>
    <row r="41225" spans="2:2" ht="12.75" customHeight="1" x14ac:dyDescent="0.2">
      <c r="B41225" s="43"/>
    </row>
    <row r="41226" spans="2:2" ht="12.75" customHeight="1" x14ac:dyDescent="0.2">
      <c r="B41226" s="43"/>
    </row>
    <row r="41227" spans="2:2" ht="12.75" customHeight="1" x14ac:dyDescent="0.2">
      <c r="B41227" s="43"/>
    </row>
    <row r="41228" spans="2:2" ht="12.75" customHeight="1" x14ac:dyDescent="0.2">
      <c r="B41228" s="43"/>
    </row>
    <row r="41229" spans="2:2" ht="12.75" customHeight="1" x14ac:dyDescent="0.2">
      <c r="B41229" s="43"/>
    </row>
    <row r="41230" spans="2:2" ht="12.75" customHeight="1" x14ac:dyDescent="0.2">
      <c r="B41230" s="43"/>
    </row>
    <row r="41231" spans="2:2" ht="12.75" customHeight="1" x14ac:dyDescent="0.2">
      <c r="B41231" s="43"/>
    </row>
    <row r="41232" spans="2:2" ht="12.75" customHeight="1" x14ac:dyDescent="0.2">
      <c r="B41232" s="43"/>
    </row>
    <row r="41233" spans="2:2" ht="12.75" customHeight="1" x14ac:dyDescent="0.2">
      <c r="B41233" s="43"/>
    </row>
    <row r="41234" spans="2:2" ht="12.75" customHeight="1" x14ac:dyDescent="0.2">
      <c r="B41234" s="43"/>
    </row>
    <row r="41235" spans="2:2" ht="12.75" customHeight="1" x14ac:dyDescent="0.2">
      <c r="B41235" s="43"/>
    </row>
    <row r="41236" spans="2:2" ht="12.75" customHeight="1" x14ac:dyDescent="0.2">
      <c r="B41236" s="43"/>
    </row>
    <row r="41237" spans="2:2" ht="12.75" customHeight="1" x14ac:dyDescent="0.2">
      <c r="B41237" s="43"/>
    </row>
    <row r="41238" spans="2:2" ht="12.75" customHeight="1" x14ac:dyDescent="0.2">
      <c r="B41238" s="43"/>
    </row>
    <row r="41239" spans="2:2" ht="12.75" customHeight="1" x14ac:dyDescent="0.2">
      <c r="B41239" s="43"/>
    </row>
    <row r="41240" spans="2:2" ht="12.75" customHeight="1" x14ac:dyDescent="0.2">
      <c r="B41240" s="43"/>
    </row>
    <row r="41241" spans="2:2" ht="12.75" customHeight="1" x14ac:dyDescent="0.2">
      <c r="B41241" s="43"/>
    </row>
    <row r="41242" spans="2:2" ht="12.75" customHeight="1" x14ac:dyDescent="0.2">
      <c r="B41242" s="43"/>
    </row>
    <row r="41243" spans="2:2" ht="12.75" customHeight="1" x14ac:dyDescent="0.2">
      <c r="B41243" s="43"/>
    </row>
    <row r="41244" spans="2:2" ht="12.75" customHeight="1" x14ac:dyDescent="0.2">
      <c r="B41244" s="43"/>
    </row>
    <row r="41245" spans="2:2" ht="12.75" customHeight="1" x14ac:dyDescent="0.2">
      <c r="B41245" s="43"/>
    </row>
    <row r="41246" spans="2:2" ht="12.75" customHeight="1" x14ac:dyDescent="0.2">
      <c r="B41246" s="43"/>
    </row>
    <row r="41247" spans="2:2" ht="12.75" customHeight="1" x14ac:dyDescent="0.2">
      <c r="B41247" s="43"/>
    </row>
    <row r="41248" spans="2:2" ht="12.75" customHeight="1" x14ac:dyDescent="0.2">
      <c r="B41248" s="43"/>
    </row>
    <row r="41249" spans="2:2" ht="12.75" customHeight="1" x14ac:dyDescent="0.2">
      <c r="B41249" s="43"/>
    </row>
    <row r="41250" spans="2:2" ht="12.75" customHeight="1" x14ac:dyDescent="0.2">
      <c r="B41250" s="43"/>
    </row>
    <row r="41251" spans="2:2" ht="12.75" customHeight="1" x14ac:dyDescent="0.2">
      <c r="B41251" s="43"/>
    </row>
    <row r="41252" spans="2:2" ht="12.75" customHeight="1" x14ac:dyDescent="0.2">
      <c r="B41252" s="43"/>
    </row>
    <row r="41253" spans="2:2" ht="12.75" customHeight="1" x14ac:dyDescent="0.2">
      <c r="B41253" s="43"/>
    </row>
    <row r="41254" spans="2:2" ht="12.75" customHeight="1" x14ac:dyDescent="0.2">
      <c r="B41254" s="43"/>
    </row>
    <row r="41255" spans="2:2" ht="12.75" customHeight="1" x14ac:dyDescent="0.2">
      <c r="B41255" s="43"/>
    </row>
    <row r="41256" spans="2:2" ht="12.75" customHeight="1" x14ac:dyDescent="0.2">
      <c r="B41256" s="43"/>
    </row>
    <row r="41257" spans="2:2" ht="12.75" customHeight="1" x14ac:dyDescent="0.2">
      <c r="B41257" s="43"/>
    </row>
    <row r="41258" spans="2:2" ht="12.75" customHeight="1" x14ac:dyDescent="0.2">
      <c r="B41258" s="43"/>
    </row>
    <row r="41259" spans="2:2" ht="12.75" customHeight="1" x14ac:dyDescent="0.2">
      <c r="B41259" s="43"/>
    </row>
    <row r="41260" spans="2:2" ht="12.75" customHeight="1" x14ac:dyDescent="0.2">
      <c r="B41260" s="43"/>
    </row>
    <row r="41261" spans="2:2" ht="12.75" customHeight="1" x14ac:dyDescent="0.2">
      <c r="B41261" s="43"/>
    </row>
    <row r="41262" spans="2:2" ht="12.75" customHeight="1" x14ac:dyDescent="0.2">
      <c r="B41262" s="43"/>
    </row>
    <row r="41263" spans="2:2" ht="12.75" customHeight="1" x14ac:dyDescent="0.2">
      <c r="B41263" s="43"/>
    </row>
    <row r="41264" spans="2:2" ht="12.75" customHeight="1" x14ac:dyDescent="0.2">
      <c r="B41264" s="43"/>
    </row>
    <row r="41265" spans="2:2" ht="12.75" customHeight="1" x14ac:dyDescent="0.2">
      <c r="B41265" s="43"/>
    </row>
    <row r="41266" spans="2:2" ht="12.75" customHeight="1" x14ac:dyDescent="0.2">
      <c r="B41266" s="43"/>
    </row>
    <row r="41267" spans="2:2" ht="12.75" customHeight="1" x14ac:dyDescent="0.2">
      <c r="B41267" s="43"/>
    </row>
    <row r="41268" spans="2:2" ht="12.75" customHeight="1" x14ac:dyDescent="0.2">
      <c r="B41268" s="43"/>
    </row>
    <row r="41269" spans="2:2" ht="12.75" customHeight="1" x14ac:dyDescent="0.2">
      <c r="B41269" s="43"/>
    </row>
    <row r="41270" spans="2:2" ht="12.75" customHeight="1" x14ac:dyDescent="0.2">
      <c r="B41270" s="43"/>
    </row>
    <row r="41271" spans="2:2" ht="12.75" customHeight="1" x14ac:dyDescent="0.2">
      <c r="B41271" s="43"/>
    </row>
    <row r="41272" spans="2:2" ht="12.75" customHeight="1" x14ac:dyDescent="0.2">
      <c r="B41272" s="43"/>
    </row>
    <row r="41273" spans="2:2" ht="12.75" customHeight="1" x14ac:dyDescent="0.2">
      <c r="B41273" s="43"/>
    </row>
    <row r="41274" spans="2:2" ht="12.75" customHeight="1" x14ac:dyDescent="0.2">
      <c r="B41274" s="43"/>
    </row>
    <row r="41275" spans="2:2" ht="12.75" customHeight="1" x14ac:dyDescent="0.2">
      <c r="B41275" s="43"/>
    </row>
    <row r="41276" spans="2:2" ht="12.75" customHeight="1" x14ac:dyDescent="0.2">
      <c r="B41276" s="43"/>
    </row>
    <row r="41277" spans="2:2" ht="12.75" customHeight="1" x14ac:dyDescent="0.2">
      <c r="B41277" s="43"/>
    </row>
    <row r="41278" spans="2:2" ht="12.75" customHeight="1" x14ac:dyDescent="0.2">
      <c r="B41278" s="43"/>
    </row>
    <row r="41279" spans="2:2" ht="12.75" customHeight="1" x14ac:dyDescent="0.2">
      <c r="B41279" s="43"/>
    </row>
    <row r="41280" spans="2:2" ht="12.75" customHeight="1" x14ac:dyDescent="0.2">
      <c r="B41280" s="43"/>
    </row>
    <row r="41281" spans="2:2" ht="12.75" customHeight="1" x14ac:dyDescent="0.2">
      <c r="B41281" s="43"/>
    </row>
    <row r="41282" spans="2:2" ht="12.75" customHeight="1" x14ac:dyDescent="0.2">
      <c r="B41282" s="43"/>
    </row>
    <row r="41283" spans="2:2" ht="12.75" customHeight="1" x14ac:dyDescent="0.2">
      <c r="B41283" s="43"/>
    </row>
    <row r="41284" spans="2:2" ht="12.75" customHeight="1" x14ac:dyDescent="0.2">
      <c r="B41284" s="43"/>
    </row>
    <row r="41285" spans="2:2" ht="12.75" customHeight="1" x14ac:dyDescent="0.2">
      <c r="B41285" s="43"/>
    </row>
    <row r="41286" spans="2:2" ht="12.75" customHeight="1" x14ac:dyDescent="0.2">
      <c r="B41286" s="43"/>
    </row>
    <row r="41287" spans="2:2" ht="12.75" customHeight="1" x14ac:dyDescent="0.2">
      <c r="B41287" s="43"/>
    </row>
    <row r="41288" spans="2:2" ht="12.75" customHeight="1" x14ac:dyDescent="0.2">
      <c r="B41288" s="43"/>
    </row>
    <row r="41289" spans="2:2" ht="12.75" customHeight="1" x14ac:dyDescent="0.2">
      <c r="B41289" s="43"/>
    </row>
    <row r="41290" spans="2:2" ht="12.75" customHeight="1" x14ac:dyDescent="0.2">
      <c r="B41290" s="43"/>
    </row>
    <row r="41291" spans="2:2" ht="12.75" customHeight="1" x14ac:dyDescent="0.2">
      <c r="B41291" s="43"/>
    </row>
    <row r="41292" spans="2:2" ht="12.75" customHeight="1" x14ac:dyDescent="0.2">
      <c r="B41292" s="43"/>
    </row>
    <row r="41293" spans="2:2" ht="12.75" customHeight="1" x14ac:dyDescent="0.2">
      <c r="B41293" s="43"/>
    </row>
    <row r="41294" spans="2:2" ht="12.75" customHeight="1" x14ac:dyDescent="0.2">
      <c r="B41294" s="43"/>
    </row>
    <row r="41295" spans="2:2" ht="12.75" customHeight="1" x14ac:dyDescent="0.2">
      <c r="B41295" s="43"/>
    </row>
    <row r="41296" spans="2:2" ht="12.75" customHeight="1" x14ac:dyDescent="0.2">
      <c r="B41296" s="43"/>
    </row>
    <row r="41297" spans="2:2" ht="12.75" customHeight="1" x14ac:dyDescent="0.2">
      <c r="B41297" s="43"/>
    </row>
    <row r="41298" spans="2:2" ht="12.75" customHeight="1" x14ac:dyDescent="0.2">
      <c r="B41298" s="43"/>
    </row>
    <row r="41299" spans="2:2" ht="12.75" customHeight="1" x14ac:dyDescent="0.2">
      <c r="B41299" s="43"/>
    </row>
    <row r="41300" spans="2:2" ht="12.75" customHeight="1" x14ac:dyDescent="0.2">
      <c r="B41300" s="43"/>
    </row>
    <row r="41301" spans="2:2" ht="12.75" customHeight="1" x14ac:dyDescent="0.2">
      <c r="B41301" s="43"/>
    </row>
    <row r="41302" spans="2:2" ht="12.75" customHeight="1" x14ac:dyDescent="0.2">
      <c r="B41302" s="43"/>
    </row>
    <row r="41303" spans="2:2" ht="12.75" customHeight="1" x14ac:dyDescent="0.2">
      <c r="B41303" s="43"/>
    </row>
    <row r="41304" spans="2:2" ht="12.75" customHeight="1" x14ac:dyDescent="0.2">
      <c r="B41304" s="43"/>
    </row>
    <row r="41305" spans="2:2" ht="12.75" customHeight="1" x14ac:dyDescent="0.2">
      <c r="B41305" s="43"/>
    </row>
    <row r="41306" spans="2:2" ht="12.75" customHeight="1" x14ac:dyDescent="0.2">
      <c r="B41306" s="43"/>
    </row>
    <row r="41307" spans="2:2" ht="12.75" customHeight="1" x14ac:dyDescent="0.2">
      <c r="B41307" s="43"/>
    </row>
    <row r="41308" spans="2:2" ht="12.75" customHeight="1" x14ac:dyDescent="0.2">
      <c r="B41308" s="43"/>
    </row>
    <row r="41309" spans="2:2" ht="12.75" customHeight="1" x14ac:dyDescent="0.2">
      <c r="B41309" s="43"/>
    </row>
    <row r="41310" spans="2:2" ht="12.75" customHeight="1" x14ac:dyDescent="0.2">
      <c r="B41310" s="43"/>
    </row>
    <row r="41311" spans="2:2" ht="12.75" customHeight="1" x14ac:dyDescent="0.2">
      <c r="B41311" s="43"/>
    </row>
    <row r="41312" spans="2:2" ht="12.75" customHeight="1" x14ac:dyDescent="0.2">
      <c r="B41312" s="43"/>
    </row>
    <row r="41313" spans="2:2" ht="12.75" customHeight="1" x14ac:dyDescent="0.2">
      <c r="B41313" s="43"/>
    </row>
    <row r="41314" spans="2:2" ht="12.75" customHeight="1" x14ac:dyDescent="0.2">
      <c r="B41314" s="43"/>
    </row>
    <row r="41315" spans="2:2" ht="12.75" customHeight="1" x14ac:dyDescent="0.2">
      <c r="B41315" s="43"/>
    </row>
    <row r="41316" spans="2:2" ht="12.75" customHeight="1" x14ac:dyDescent="0.2">
      <c r="B41316" s="43"/>
    </row>
    <row r="41317" spans="2:2" ht="12.75" customHeight="1" x14ac:dyDescent="0.2">
      <c r="B41317" s="43"/>
    </row>
    <row r="41318" spans="2:2" ht="12.75" customHeight="1" x14ac:dyDescent="0.2">
      <c r="B41318" s="43"/>
    </row>
    <row r="41319" spans="2:2" ht="12.75" customHeight="1" x14ac:dyDescent="0.2">
      <c r="B41319" s="43"/>
    </row>
    <row r="41320" spans="2:2" ht="12.75" customHeight="1" x14ac:dyDescent="0.2">
      <c r="B41320" s="43"/>
    </row>
    <row r="41321" spans="2:2" ht="12.75" customHeight="1" x14ac:dyDescent="0.2">
      <c r="B41321" s="43"/>
    </row>
    <row r="41322" spans="2:2" ht="12.75" customHeight="1" x14ac:dyDescent="0.2">
      <c r="B41322" s="43"/>
    </row>
    <row r="41323" spans="2:2" ht="12.75" customHeight="1" x14ac:dyDescent="0.2">
      <c r="B41323" s="43"/>
    </row>
    <row r="41324" spans="2:2" ht="12.75" customHeight="1" x14ac:dyDescent="0.2">
      <c r="B41324" s="43"/>
    </row>
    <row r="41325" spans="2:2" ht="12.75" customHeight="1" x14ac:dyDescent="0.2">
      <c r="B41325" s="43"/>
    </row>
    <row r="41326" spans="2:2" ht="12.75" customHeight="1" x14ac:dyDescent="0.2">
      <c r="B41326" s="43"/>
    </row>
    <row r="41327" spans="2:2" ht="12.75" customHeight="1" x14ac:dyDescent="0.2">
      <c r="B41327" s="43"/>
    </row>
    <row r="41328" spans="2:2" ht="12.75" customHeight="1" x14ac:dyDescent="0.2">
      <c r="B41328" s="43"/>
    </row>
    <row r="41329" spans="2:2" ht="12.75" customHeight="1" x14ac:dyDescent="0.2">
      <c r="B41329" s="43"/>
    </row>
    <row r="41330" spans="2:2" ht="12.75" customHeight="1" x14ac:dyDescent="0.2">
      <c r="B41330" s="43"/>
    </row>
    <row r="41331" spans="2:2" ht="12.75" customHeight="1" x14ac:dyDescent="0.2">
      <c r="B41331" s="43"/>
    </row>
    <row r="41332" spans="2:2" ht="12.75" customHeight="1" x14ac:dyDescent="0.2">
      <c r="B41332" s="43"/>
    </row>
    <row r="41333" spans="2:2" ht="12.75" customHeight="1" x14ac:dyDescent="0.2">
      <c r="B41333" s="43"/>
    </row>
    <row r="41334" spans="2:2" ht="12.75" customHeight="1" x14ac:dyDescent="0.2">
      <c r="B41334" s="43"/>
    </row>
    <row r="41335" spans="2:2" ht="12.75" customHeight="1" x14ac:dyDescent="0.2">
      <c r="B41335" s="43"/>
    </row>
    <row r="41336" spans="2:2" ht="12.75" customHeight="1" x14ac:dyDescent="0.2">
      <c r="B41336" s="43"/>
    </row>
    <row r="41337" spans="2:2" ht="12.75" customHeight="1" x14ac:dyDescent="0.2">
      <c r="B41337" s="43"/>
    </row>
    <row r="41338" spans="2:2" ht="12.75" customHeight="1" x14ac:dyDescent="0.2">
      <c r="B41338" s="43"/>
    </row>
    <row r="41339" spans="2:2" ht="12.75" customHeight="1" x14ac:dyDescent="0.2">
      <c r="B41339" s="43"/>
    </row>
    <row r="41340" spans="2:2" ht="12.75" customHeight="1" x14ac:dyDescent="0.2">
      <c r="B41340" s="43"/>
    </row>
    <row r="41341" spans="2:2" ht="12.75" customHeight="1" x14ac:dyDescent="0.2">
      <c r="B41341" s="43"/>
    </row>
    <row r="41342" spans="2:2" ht="12.75" customHeight="1" x14ac:dyDescent="0.2">
      <c r="B41342" s="43"/>
    </row>
    <row r="41343" spans="2:2" ht="12.75" customHeight="1" x14ac:dyDescent="0.2">
      <c r="B41343" s="43"/>
    </row>
    <row r="41344" spans="2:2" ht="12.75" customHeight="1" x14ac:dyDescent="0.2">
      <c r="B41344" s="43"/>
    </row>
    <row r="41345" spans="2:2" ht="12.75" customHeight="1" x14ac:dyDescent="0.2">
      <c r="B41345" s="43"/>
    </row>
    <row r="41346" spans="2:2" ht="12.75" customHeight="1" x14ac:dyDescent="0.2">
      <c r="B41346" s="43"/>
    </row>
    <row r="41347" spans="2:2" ht="12.75" customHeight="1" x14ac:dyDescent="0.2">
      <c r="B41347" s="43"/>
    </row>
    <row r="41348" spans="2:2" ht="12.75" customHeight="1" x14ac:dyDescent="0.2">
      <c r="B41348" s="43"/>
    </row>
    <row r="41349" spans="2:2" ht="12.75" customHeight="1" x14ac:dyDescent="0.2">
      <c r="B41349" s="43"/>
    </row>
    <row r="41350" spans="2:2" ht="12.75" customHeight="1" x14ac:dyDescent="0.2">
      <c r="B41350" s="43"/>
    </row>
    <row r="41351" spans="2:2" ht="12.75" customHeight="1" x14ac:dyDescent="0.2">
      <c r="B41351" s="43"/>
    </row>
    <row r="41352" spans="2:2" ht="12.75" customHeight="1" x14ac:dyDescent="0.2">
      <c r="B41352" s="43"/>
    </row>
    <row r="41353" spans="2:2" ht="12.75" customHeight="1" x14ac:dyDescent="0.2">
      <c r="B41353" s="43"/>
    </row>
    <row r="41354" spans="2:2" ht="12.75" customHeight="1" x14ac:dyDescent="0.2">
      <c r="B41354" s="43"/>
    </row>
    <row r="41355" spans="2:2" ht="12.75" customHeight="1" x14ac:dyDescent="0.2">
      <c r="B41355" s="43"/>
    </row>
    <row r="41356" spans="2:2" ht="12.75" customHeight="1" x14ac:dyDescent="0.2">
      <c r="B41356" s="43"/>
    </row>
    <row r="41357" spans="2:2" ht="12.75" customHeight="1" x14ac:dyDescent="0.2">
      <c r="B41357" s="43"/>
    </row>
    <row r="41358" spans="2:2" ht="12.75" customHeight="1" x14ac:dyDescent="0.2">
      <c r="B41358" s="43"/>
    </row>
    <row r="41359" spans="2:2" ht="12.75" customHeight="1" x14ac:dyDescent="0.2">
      <c r="B41359" s="43"/>
    </row>
    <row r="41360" spans="2:2" ht="12.75" customHeight="1" x14ac:dyDescent="0.2">
      <c r="B41360" s="43"/>
    </row>
    <row r="41361" spans="2:2" ht="12.75" customHeight="1" x14ac:dyDescent="0.2">
      <c r="B41361" s="43"/>
    </row>
    <row r="41362" spans="2:2" ht="12.75" customHeight="1" x14ac:dyDescent="0.2">
      <c r="B41362" s="43"/>
    </row>
    <row r="41363" spans="2:2" ht="12.75" customHeight="1" x14ac:dyDescent="0.2">
      <c r="B41363" s="43"/>
    </row>
    <row r="41364" spans="2:2" ht="12.75" customHeight="1" x14ac:dyDescent="0.2">
      <c r="B41364" s="43"/>
    </row>
    <row r="41365" spans="2:2" ht="12.75" customHeight="1" x14ac:dyDescent="0.2">
      <c r="B41365" s="43"/>
    </row>
    <row r="41366" spans="2:2" ht="12.75" customHeight="1" x14ac:dyDescent="0.2">
      <c r="B41366" s="43"/>
    </row>
    <row r="41367" spans="2:2" ht="12.75" customHeight="1" x14ac:dyDescent="0.2">
      <c r="B41367" s="43"/>
    </row>
    <row r="41368" spans="2:2" ht="12.75" customHeight="1" x14ac:dyDescent="0.2">
      <c r="B41368" s="43"/>
    </row>
    <row r="41369" spans="2:2" ht="12.75" customHeight="1" x14ac:dyDescent="0.2">
      <c r="B41369" s="43"/>
    </row>
    <row r="41370" spans="2:2" ht="12.75" customHeight="1" x14ac:dyDescent="0.2">
      <c r="B41370" s="43"/>
    </row>
    <row r="41371" spans="2:2" ht="12.75" customHeight="1" x14ac:dyDescent="0.2">
      <c r="B41371" s="43"/>
    </row>
    <row r="41372" spans="2:2" ht="12.75" customHeight="1" x14ac:dyDescent="0.2">
      <c r="B41372" s="43"/>
    </row>
    <row r="41373" spans="2:2" ht="12.75" customHeight="1" x14ac:dyDescent="0.2">
      <c r="B41373" s="43"/>
    </row>
    <row r="41374" spans="2:2" ht="12.75" customHeight="1" x14ac:dyDescent="0.2">
      <c r="B41374" s="43"/>
    </row>
    <row r="41375" spans="2:2" ht="12.75" customHeight="1" x14ac:dyDescent="0.2">
      <c r="B41375" s="43"/>
    </row>
    <row r="41376" spans="2:2" ht="12.75" customHeight="1" x14ac:dyDescent="0.2">
      <c r="B41376" s="43"/>
    </row>
    <row r="41377" spans="2:2" ht="12.75" customHeight="1" x14ac:dyDescent="0.2">
      <c r="B41377" s="43"/>
    </row>
    <row r="41378" spans="2:2" ht="12.75" customHeight="1" x14ac:dyDescent="0.2">
      <c r="B41378" s="43"/>
    </row>
    <row r="41379" spans="2:2" ht="12.75" customHeight="1" x14ac:dyDescent="0.2">
      <c r="B41379" s="43"/>
    </row>
    <row r="41380" spans="2:2" ht="12.75" customHeight="1" x14ac:dyDescent="0.2">
      <c r="B41380" s="43"/>
    </row>
    <row r="41381" spans="2:2" ht="12.75" customHeight="1" x14ac:dyDescent="0.2">
      <c r="B41381" s="43"/>
    </row>
    <row r="41382" spans="2:2" ht="12.75" customHeight="1" x14ac:dyDescent="0.2">
      <c r="B41382" s="43"/>
    </row>
    <row r="41383" spans="2:2" ht="12.75" customHeight="1" x14ac:dyDescent="0.2">
      <c r="B41383" s="43"/>
    </row>
    <row r="41384" spans="2:2" ht="12.75" customHeight="1" x14ac:dyDescent="0.2">
      <c r="B41384" s="43"/>
    </row>
    <row r="41385" spans="2:2" ht="12.75" customHeight="1" x14ac:dyDescent="0.2">
      <c r="B41385" s="43"/>
    </row>
    <row r="41386" spans="2:2" ht="12.75" customHeight="1" x14ac:dyDescent="0.2">
      <c r="B41386" s="43"/>
    </row>
    <row r="41387" spans="2:2" ht="12.75" customHeight="1" x14ac:dyDescent="0.2">
      <c r="B41387" s="43"/>
    </row>
    <row r="41388" spans="2:2" ht="12.75" customHeight="1" x14ac:dyDescent="0.2">
      <c r="B41388" s="43"/>
    </row>
    <row r="41389" spans="2:2" ht="12.75" customHeight="1" x14ac:dyDescent="0.2">
      <c r="B41389" s="43"/>
    </row>
    <row r="41390" spans="2:2" ht="12.75" customHeight="1" x14ac:dyDescent="0.2">
      <c r="B41390" s="43"/>
    </row>
    <row r="41391" spans="2:2" ht="12.75" customHeight="1" x14ac:dyDescent="0.2">
      <c r="B41391" s="43"/>
    </row>
    <row r="41392" spans="2:2" ht="12.75" customHeight="1" x14ac:dyDescent="0.2">
      <c r="B41392" s="43"/>
    </row>
    <row r="41393" spans="2:2" ht="12.75" customHeight="1" x14ac:dyDescent="0.2">
      <c r="B41393" s="43"/>
    </row>
    <row r="41394" spans="2:2" ht="12.75" customHeight="1" x14ac:dyDescent="0.2">
      <c r="B41394" s="43"/>
    </row>
    <row r="41395" spans="2:2" ht="12.75" customHeight="1" x14ac:dyDescent="0.2">
      <c r="B41395" s="43"/>
    </row>
    <row r="41396" spans="2:2" ht="12.75" customHeight="1" x14ac:dyDescent="0.2">
      <c r="B41396" s="43"/>
    </row>
    <row r="41397" spans="2:2" ht="12.75" customHeight="1" x14ac:dyDescent="0.2">
      <c r="B41397" s="43"/>
    </row>
    <row r="41398" spans="2:2" ht="12.75" customHeight="1" x14ac:dyDescent="0.2">
      <c r="B41398" s="43"/>
    </row>
    <row r="41399" spans="2:2" ht="12.75" customHeight="1" x14ac:dyDescent="0.2">
      <c r="B41399" s="43"/>
    </row>
    <row r="41400" spans="2:2" ht="12.75" customHeight="1" x14ac:dyDescent="0.2">
      <c r="B41400" s="43"/>
    </row>
    <row r="41401" spans="2:2" ht="12.75" customHeight="1" x14ac:dyDescent="0.2">
      <c r="B41401" s="43"/>
    </row>
    <row r="41402" spans="2:2" ht="12.75" customHeight="1" x14ac:dyDescent="0.2">
      <c r="B41402" s="43"/>
    </row>
    <row r="41403" spans="2:2" ht="12.75" customHeight="1" x14ac:dyDescent="0.2">
      <c r="B41403" s="43"/>
    </row>
    <row r="41404" spans="2:2" ht="12.75" customHeight="1" x14ac:dyDescent="0.2">
      <c r="B41404" s="43"/>
    </row>
    <row r="41405" spans="2:2" ht="12.75" customHeight="1" x14ac:dyDescent="0.2">
      <c r="B41405" s="43"/>
    </row>
    <row r="41406" spans="2:2" ht="12.75" customHeight="1" x14ac:dyDescent="0.2">
      <c r="B41406" s="43"/>
    </row>
    <row r="41407" spans="2:2" ht="12.75" customHeight="1" x14ac:dyDescent="0.2">
      <c r="B41407" s="43"/>
    </row>
    <row r="41408" spans="2:2" ht="12.75" customHeight="1" x14ac:dyDescent="0.2">
      <c r="B41408" s="43"/>
    </row>
    <row r="41409" spans="2:2" ht="12.75" customHeight="1" x14ac:dyDescent="0.2">
      <c r="B41409" s="43"/>
    </row>
    <row r="41410" spans="2:2" ht="12.75" customHeight="1" x14ac:dyDescent="0.2">
      <c r="B41410" s="43"/>
    </row>
    <row r="41411" spans="2:2" ht="12.75" customHeight="1" x14ac:dyDescent="0.2">
      <c r="B41411" s="43"/>
    </row>
    <row r="41412" spans="2:2" ht="12.75" customHeight="1" x14ac:dyDescent="0.2">
      <c r="B41412" s="43"/>
    </row>
    <row r="41413" spans="2:2" ht="12.75" customHeight="1" x14ac:dyDescent="0.2">
      <c r="B41413" s="43"/>
    </row>
    <row r="41414" spans="2:2" ht="12.75" customHeight="1" x14ac:dyDescent="0.2">
      <c r="B41414" s="43"/>
    </row>
    <row r="41415" spans="2:2" ht="12.75" customHeight="1" x14ac:dyDescent="0.2">
      <c r="B41415" s="43"/>
    </row>
    <row r="41416" spans="2:2" ht="12.75" customHeight="1" x14ac:dyDescent="0.2">
      <c r="B41416" s="43"/>
    </row>
    <row r="41417" spans="2:2" ht="12.75" customHeight="1" x14ac:dyDescent="0.2">
      <c r="B41417" s="43"/>
    </row>
    <row r="41418" spans="2:2" ht="12.75" customHeight="1" x14ac:dyDescent="0.2">
      <c r="B41418" s="43"/>
    </row>
    <row r="41419" spans="2:2" ht="12.75" customHeight="1" x14ac:dyDescent="0.2">
      <c r="B41419" s="43"/>
    </row>
    <row r="41420" spans="2:2" ht="12.75" customHeight="1" x14ac:dyDescent="0.2">
      <c r="B41420" s="43"/>
    </row>
    <row r="41421" spans="2:2" ht="12.75" customHeight="1" x14ac:dyDescent="0.2">
      <c r="B41421" s="43"/>
    </row>
    <row r="41422" spans="2:2" ht="12.75" customHeight="1" x14ac:dyDescent="0.2">
      <c r="B41422" s="43"/>
    </row>
    <row r="41423" spans="2:2" ht="12.75" customHeight="1" x14ac:dyDescent="0.2">
      <c r="B41423" s="43"/>
    </row>
    <row r="41424" spans="2:2" ht="12.75" customHeight="1" x14ac:dyDescent="0.2">
      <c r="B41424" s="43"/>
    </row>
    <row r="41425" spans="2:2" ht="12.75" customHeight="1" x14ac:dyDescent="0.2">
      <c r="B41425" s="43"/>
    </row>
    <row r="41426" spans="2:2" ht="12.75" customHeight="1" x14ac:dyDescent="0.2">
      <c r="B41426" s="43"/>
    </row>
    <row r="41427" spans="2:2" ht="12.75" customHeight="1" x14ac:dyDescent="0.2">
      <c r="B41427" s="43"/>
    </row>
    <row r="41428" spans="2:2" ht="12.75" customHeight="1" x14ac:dyDescent="0.2">
      <c r="B41428" s="43"/>
    </row>
    <row r="41429" spans="2:2" ht="12.75" customHeight="1" x14ac:dyDescent="0.2">
      <c r="B41429" s="43"/>
    </row>
    <row r="41430" spans="2:2" ht="12.75" customHeight="1" x14ac:dyDescent="0.2">
      <c r="B41430" s="43"/>
    </row>
    <row r="41431" spans="2:2" ht="12.75" customHeight="1" x14ac:dyDescent="0.2">
      <c r="B41431" s="43"/>
    </row>
    <row r="41432" spans="2:2" ht="12.75" customHeight="1" x14ac:dyDescent="0.2">
      <c r="B41432" s="43"/>
    </row>
    <row r="41433" spans="2:2" ht="12.75" customHeight="1" x14ac:dyDescent="0.2">
      <c r="B41433" s="43"/>
    </row>
    <row r="41434" spans="2:2" ht="12.75" customHeight="1" x14ac:dyDescent="0.2">
      <c r="B41434" s="43"/>
    </row>
    <row r="41435" spans="2:2" ht="12.75" customHeight="1" x14ac:dyDescent="0.2">
      <c r="B41435" s="43"/>
    </row>
    <row r="41436" spans="2:2" ht="12.75" customHeight="1" x14ac:dyDescent="0.2">
      <c r="B41436" s="43"/>
    </row>
    <row r="41437" spans="2:2" ht="12.75" customHeight="1" x14ac:dyDescent="0.2">
      <c r="B41437" s="43"/>
    </row>
    <row r="41438" spans="2:2" ht="12.75" customHeight="1" x14ac:dyDescent="0.2">
      <c r="B41438" s="43"/>
    </row>
    <row r="41439" spans="2:2" ht="12.75" customHeight="1" x14ac:dyDescent="0.2">
      <c r="B41439" s="43"/>
    </row>
    <row r="41440" spans="2:2" ht="12.75" customHeight="1" x14ac:dyDescent="0.2">
      <c r="B41440" s="43"/>
    </row>
    <row r="41441" spans="2:2" ht="12.75" customHeight="1" x14ac:dyDescent="0.2">
      <c r="B41441" s="43"/>
    </row>
    <row r="41442" spans="2:2" ht="12.75" customHeight="1" x14ac:dyDescent="0.2">
      <c r="B41442" s="43"/>
    </row>
    <row r="41443" spans="2:2" ht="12.75" customHeight="1" x14ac:dyDescent="0.2">
      <c r="B41443" s="43"/>
    </row>
    <row r="41444" spans="2:2" ht="12.75" customHeight="1" x14ac:dyDescent="0.2">
      <c r="B41444" s="43"/>
    </row>
    <row r="41445" spans="2:2" ht="12.75" customHeight="1" x14ac:dyDescent="0.2">
      <c r="B41445" s="43"/>
    </row>
    <row r="41446" spans="2:2" ht="12.75" customHeight="1" x14ac:dyDescent="0.2">
      <c r="B41446" s="43"/>
    </row>
    <row r="41447" spans="2:2" ht="12.75" customHeight="1" x14ac:dyDescent="0.2">
      <c r="B41447" s="43"/>
    </row>
    <row r="41448" spans="2:2" ht="12.75" customHeight="1" x14ac:dyDescent="0.2">
      <c r="B41448" s="43"/>
    </row>
    <row r="41449" spans="2:2" ht="12.75" customHeight="1" x14ac:dyDescent="0.2">
      <c r="B41449" s="43"/>
    </row>
    <row r="41450" spans="2:2" ht="12.75" customHeight="1" x14ac:dyDescent="0.2">
      <c r="B41450" s="43"/>
    </row>
    <row r="41451" spans="2:2" ht="12.75" customHeight="1" x14ac:dyDescent="0.2">
      <c r="B41451" s="43"/>
    </row>
    <row r="41452" spans="2:2" ht="12.75" customHeight="1" x14ac:dyDescent="0.2">
      <c r="B41452" s="43"/>
    </row>
    <row r="41453" spans="2:2" ht="12.75" customHeight="1" x14ac:dyDescent="0.2">
      <c r="B41453" s="43"/>
    </row>
    <row r="41454" spans="2:2" ht="12.75" customHeight="1" x14ac:dyDescent="0.2">
      <c r="B41454" s="43"/>
    </row>
    <row r="41455" spans="2:2" ht="12.75" customHeight="1" x14ac:dyDescent="0.2">
      <c r="B41455" s="43"/>
    </row>
    <row r="41456" spans="2:2" ht="12.75" customHeight="1" x14ac:dyDescent="0.2">
      <c r="B41456" s="43"/>
    </row>
    <row r="41457" spans="2:2" ht="12.75" customHeight="1" x14ac:dyDescent="0.2">
      <c r="B41457" s="43"/>
    </row>
    <row r="41458" spans="2:2" ht="12.75" customHeight="1" x14ac:dyDescent="0.2">
      <c r="B41458" s="43"/>
    </row>
    <row r="41459" spans="2:2" ht="12.75" customHeight="1" x14ac:dyDescent="0.2">
      <c r="B41459" s="43"/>
    </row>
    <row r="41460" spans="2:2" ht="12.75" customHeight="1" x14ac:dyDescent="0.2">
      <c r="B41460" s="43"/>
    </row>
    <row r="41461" spans="2:2" ht="12.75" customHeight="1" x14ac:dyDescent="0.2">
      <c r="B41461" s="43"/>
    </row>
    <row r="41462" spans="2:2" ht="12.75" customHeight="1" x14ac:dyDescent="0.2">
      <c r="B41462" s="43"/>
    </row>
    <row r="41463" spans="2:2" ht="12.75" customHeight="1" x14ac:dyDescent="0.2">
      <c r="B41463" s="43"/>
    </row>
    <row r="41464" spans="2:2" ht="12.75" customHeight="1" x14ac:dyDescent="0.2">
      <c r="B41464" s="43"/>
    </row>
    <row r="41465" spans="2:2" ht="12.75" customHeight="1" x14ac:dyDescent="0.2">
      <c r="B41465" s="43"/>
    </row>
    <row r="41466" spans="2:2" ht="12.75" customHeight="1" x14ac:dyDescent="0.2">
      <c r="B41466" s="43"/>
    </row>
    <row r="41467" spans="2:2" ht="12.75" customHeight="1" x14ac:dyDescent="0.2">
      <c r="B41467" s="43"/>
    </row>
    <row r="41468" spans="2:2" ht="12.75" customHeight="1" x14ac:dyDescent="0.2">
      <c r="B41468" s="43"/>
    </row>
    <row r="41469" spans="2:2" ht="12.75" customHeight="1" x14ac:dyDescent="0.2">
      <c r="B41469" s="43"/>
    </row>
    <row r="41470" spans="2:2" ht="12.75" customHeight="1" x14ac:dyDescent="0.2">
      <c r="B41470" s="43"/>
    </row>
    <row r="41471" spans="2:2" ht="12.75" customHeight="1" x14ac:dyDescent="0.2">
      <c r="B41471" s="43"/>
    </row>
    <row r="41472" spans="2:2" ht="12.75" customHeight="1" x14ac:dyDescent="0.2">
      <c r="B41472" s="43"/>
    </row>
    <row r="41473" spans="2:2" ht="12.75" customHeight="1" x14ac:dyDescent="0.2">
      <c r="B41473" s="43"/>
    </row>
    <row r="41474" spans="2:2" ht="12.75" customHeight="1" x14ac:dyDescent="0.2">
      <c r="B41474" s="43"/>
    </row>
    <row r="41475" spans="2:2" ht="12.75" customHeight="1" x14ac:dyDescent="0.2">
      <c r="B41475" s="43"/>
    </row>
    <row r="41476" spans="2:2" ht="12.75" customHeight="1" x14ac:dyDescent="0.2">
      <c r="B41476" s="43"/>
    </row>
    <row r="41477" spans="2:2" ht="12.75" customHeight="1" x14ac:dyDescent="0.2">
      <c r="B41477" s="43"/>
    </row>
    <row r="41478" spans="2:2" ht="12.75" customHeight="1" x14ac:dyDescent="0.2">
      <c r="B41478" s="43"/>
    </row>
    <row r="41479" spans="2:2" ht="12.75" customHeight="1" x14ac:dyDescent="0.2">
      <c r="B41479" s="43"/>
    </row>
    <row r="41480" spans="2:2" ht="12.75" customHeight="1" x14ac:dyDescent="0.2">
      <c r="B41480" s="43"/>
    </row>
    <row r="41481" spans="2:2" ht="12.75" customHeight="1" x14ac:dyDescent="0.2">
      <c r="B41481" s="43"/>
    </row>
    <row r="41482" spans="2:2" ht="12.75" customHeight="1" x14ac:dyDescent="0.2">
      <c r="B41482" s="43"/>
    </row>
    <row r="41483" spans="2:2" ht="12.75" customHeight="1" x14ac:dyDescent="0.2">
      <c r="B41483" s="43"/>
    </row>
    <row r="41484" spans="2:2" ht="12.75" customHeight="1" x14ac:dyDescent="0.2">
      <c r="B41484" s="43"/>
    </row>
    <row r="41485" spans="2:2" ht="12.75" customHeight="1" x14ac:dyDescent="0.2">
      <c r="B41485" s="43"/>
    </row>
    <row r="41486" spans="2:2" ht="12.75" customHeight="1" x14ac:dyDescent="0.2">
      <c r="B41486" s="43"/>
    </row>
    <row r="41487" spans="2:2" ht="12.75" customHeight="1" x14ac:dyDescent="0.2">
      <c r="B41487" s="43"/>
    </row>
    <row r="41488" spans="2:2" ht="12.75" customHeight="1" x14ac:dyDescent="0.2">
      <c r="B41488" s="43"/>
    </row>
    <row r="41489" spans="2:2" ht="12.75" customHeight="1" x14ac:dyDescent="0.2">
      <c r="B41489" s="43"/>
    </row>
    <row r="41490" spans="2:2" ht="12.75" customHeight="1" x14ac:dyDescent="0.2">
      <c r="B41490" s="43"/>
    </row>
    <row r="41491" spans="2:2" ht="12.75" customHeight="1" x14ac:dyDescent="0.2">
      <c r="B41491" s="43"/>
    </row>
    <row r="41492" spans="2:2" ht="12.75" customHeight="1" x14ac:dyDescent="0.2">
      <c r="B41492" s="43"/>
    </row>
    <row r="41493" spans="2:2" ht="12.75" customHeight="1" x14ac:dyDescent="0.2">
      <c r="B41493" s="43"/>
    </row>
    <row r="41494" spans="2:2" ht="12.75" customHeight="1" x14ac:dyDescent="0.2">
      <c r="B41494" s="43"/>
    </row>
    <row r="41495" spans="2:2" ht="12.75" customHeight="1" x14ac:dyDescent="0.2">
      <c r="B41495" s="43"/>
    </row>
    <row r="41496" spans="2:2" ht="12.75" customHeight="1" x14ac:dyDescent="0.2">
      <c r="B41496" s="43"/>
    </row>
    <row r="41497" spans="2:2" ht="12.75" customHeight="1" x14ac:dyDescent="0.2">
      <c r="B41497" s="43"/>
    </row>
    <row r="41498" spans="2:2" ht="12.75" customHeight="1" x14ac:dyDescent="0.2">
      <c r="B41498" s="43"/>
    </row>
    <row r="41499" spans="2:2" ht="12.75" customHeight="1" x14ac:dyDescent="0.2">
      <c r="B41499" s="43"/>
    </row>
    <row r="41500" spans="2:2" ht="12.75" customHeight="1" x14ac:dyDescent="0.2">
      <c r="B41500" s="43"/>
    </row>
    <row r="41501" spans="2:2" ht="12.75" customHeight="1" x14ac:dyDescent="0.2">
      <c r="B41501" s="43"/>
    </row>
    <row r="41502" spans="2:2" ht="12.75" customHeight="1" x14ac:dyDescent="0.2">
      <c r="B41502" s="43"/>
    </row>
    <row r="41503" spans="2:2" ht="12.75" customHeight="1" x14ac:dyDescent="0.2">
      <c r="B41503" s="43"/>
    </row>
    <row r="41504" spans="2:2" ht="12.75" customHeight="1" x14ac:dyDescent="0.2">
      <c r="B41504" s="43"/>
    </row>
    <row r="41505" spans="2:2" ht="12.75" customHeight="1" x14ac:dyDescent="0.2">
      <c r="B41505" s="43"/>
    </row>
    <row r="41506" spans="2:2" ht="12.75" customHeight="1" x14ac:dyDescent="0.2">
      <c r="B41506" s="43"/>
    </row>
    <row r="41507" spans="2:2" ht="12.75" customHeight="1" x14ac:dyDescent="0.2">
      <c r="B41507" s="43"/>
    </row>
    <row r="41508" spans="2:2" ht="12.75" customHeight="1" x14ac:dyDescent="0.2">
      <c r="B41508" s="43"/>
    </row>
    <row r="41509" spans="2:2" ht="12.75" customHeight="1" x14ac:dyDescent="0.2">
      <c r="B41509" s="43"/>
    </row>
    <row r="41510" spans="2:2" ht="12.75" customHeight="1" x14ac:dyDescent="0.2">
      <c r="B41510" s="43"/>
    </row>
    <row r="41511" spans="2:2" ht="12.75" customHeight="1" x14ac:dyDescent="0.2">
      <c r="B41511" s="43"/>
    </row>
    <row r="41512" spans="2:2" ht="12.75" customHeight="1" x14ac:dyDescent="0.2">
      <c r="B41512" s="43"/>
    </row>
    <row r="41513" spans="2:2" ht="12.75" customHeight="1" x14ac:dyDescent="0.2">
      <c r="B41513" s="43"/>
    </row>
    <row r="41514" spans="2:2" ht="12.75" customHeight="1" x14ac:dyDescent="0.2">
      <c r="B41514" s="43"/>
    </row>
    <row r="41515" spans="2:2" ht="12.75" customHeight="1" x14ac:dyDescent="0.2">
      <c r="B41515" s="43"/>
    </row>
    <row r="41516" spans="2:2" ht="12.75" customHeight="1" x14ac:dyDescent="0.2">
      <c r="B41516" s="43"/>
    </row>
    <row r="41517" spans="2:2" ht="12.75" customHeight="1" x14ac:dyDescent="0.2">
      <c r="B41517" s="43"/>
    </row>
    <row r="41518" spans="2:2" ht="12.75" customHeight="1" x14ac:dyDescent="0.2">
      <c r="B41518" s="43"/>
    </row>
    <row r="41519" spans="2:2" ht="12.75" customHeight="1" x14ac:dyDescent="0.2">
      <c r="B41519" s="43"/>
    </row>
    <row r="41520" spans="2:2" ht="12.75" customHeight="1" x14ac:dyDescent="0.2">
      <c r="B41520" s="43"/>
    </row>
    <row r="41521" spans="2:2" ht="12.75" customHeight="1" x14ac:dyDescent="0.2">
      <c r="B41521" s="43"/>
    </row>
    <row r="41522" spans="2:2" ht="12.75" customHeight="1" x14ac:dyDescent="0.2">
      <c r="B41522" s="43"/>
    </row>
    <row r="41523" spans="2:2" ht="12.75" customHeight="1" x14ac:dyDescent="0.2">
      <c r="B41523" s="43"/>
    </row>
    <row r="41524" spans="2:2" ht="12.75" customHeight="1" x14ac:dyDescent="0.2">
      <c r="B41524" s="43"/>
    </row>
    <row r="41525" spans="2:2" ht="12.75" customHeight="1" x14ac:dyDescent="0.2">
      <c r="B41525" s="43"/>
    </row>
    <row r="41526" spans="2:2" ht="12.75" customHeight="1" x14ac:dyDescent="0.2">
      <c r="B41526" s="43"/>
    </row>
    <row r="41527" spans="2:2" ht="12.75" customHeight="1" x14ac:dyDescent="0.2">
      <c r="B41527" s="43"/>
    </row>
    <row r="41528" spans="2:2" ht="12.75" customHeight="1" x14ac:dyDescent="0.2">
      <c r="B41528" s="43"/>
    </row>
    <row r="41529" spans="2:2" ht="12.75" customHeight="1" x14ac:dyDescent="0.2">
      <c r="B41529" s="43"/>
    </row>
    <row r="41530" spans="2:2" ht="12.75" customHeight="1" x14ac:dyDescent="0.2">
      <c r="B41530" s="43"/>
    </row>
    <row r="41531" spans="2:2" ht="12.75" customHeight="1" x14ac:dyDescent="0.2">
      <c r="B41531" s="43"/>
    </row>
    <row r="41532" spans="2:2" ht="12.75" customHeight="1" x14ac:dyDescent="0.2">
      <c r="B41532" s="43"/>
    </row>
    <row r="41533" spans="2:2" ht="12.75" customHeight="1" x14ac:dyDescent="0.2">
      <c r="B41533" s="43"/>
    </row>
    <row r="41534" spans="2:2" ht="12.75" customHeight="1" x14ac:dyDescent="0.2">
      <c r="B41534" s="43"/>
    </row>
    <row r="41535" spans="2:2" ht="12.75" customHeight="1" x14ac:dyDescent="0.2">
      <c r="B41535" s="43"/>
    </row>
    <row r="41536" spans="2:2" ht="12.75" customHeight="1" x14ac:dyDescent="0.2">
      <c r="B41536" s="43"/>
    </row>
    <row r="41537" spans="2:2" ht="12.75" customHeight="1" x14ac:dyDescent="0.2">
      <c r="B41537" s="43"/>
    </row>
    <row r="41538" spans="2:2" ht="12.75" customHeight="1" x14ac:dyDescent="0.2">
      <c r="B41538" s="43"/>
    </row>
    <row r="41539" spans="2:2" ht="12.75" customHeight="1" x14ac:dyDescent="0.2">
      <c r="B41539" s="43"/>
    </row>
    <row r="41540" spans="2:2" ht="12.75" customHeight="1" x14ac:dyDescent="0.2">
      <c r="B41540" s="43"/>
    </row>
    <row r="41541" spans="2:2" ht="12.75" customHeight="1" x14ac:dyDescent="0.2">
      <c r="B41541" s="43"/>
    </row>
    <row r="41542" spans="2:2" ht="12.75" customHeight="1" x14ac:dyDescent="0.2">
      <c r="B41542" s="43"/>
    </row>
    <row r="41543" spans="2:2" ht="12.75" customHeight="1" x14ac:dyDescent="0.2">
      <c r="B41543" s="43"/>
    </row>
    <row r="41544" spans="2:2" ht="12.75" customHeight="1" x14ac:dyDescent="0.2">
      <c r="B41544" s="43"/>
    </row>
    <row r="41545" spans="2:2" ht="12.75" customHeight="1" x14ac:dyDescent="0.2">
      <c r="B41545" s="43"/>
    </row>
    <row r="41546" spans="2:2" ht="12.75" customHeight="1" x14ac:dyDescent="0.2">
      <c r="B41546" s="43"/>
    </row>
    <row r="41547" spans="2:2" ht="12.75" customHeight="1" x14ac:dyDescent="0.2">
      <c r="B41547" s="43"/>
    </row>
    <row r="41548" spans="2:2" ht="12.75" customHeight="1" x14ac:dyDescent="0.2">
      <c r="B41548" s="43"/>
    </row>
    <row r="41549" spans="2:2" ht="12.75" customHeight="1" x14ac:dyDescent="0.2">
      <c r="B41549" s="43"/>
    </row>
    <row r="41550" spans="2:2" ht="12.75" customHeight="1" x14ac:dyDescent="0.2">
      <c r="B41550" s="43"/>
    </row>
    <row r="41551" spans="2:2" ht="12.75" customHeight="1" x14ac:dyDescent="0.2">
      <c r="B41551" s="43"/>
    </row>
    <row r="41552" spans="2:2" ht="12.75" customHeight="1" x14ac:dyDescent="0.2">
      <c r="B41552" s="43"/>
    </row>
    <row r="41553" spans="2:2" ht="12.75" customHeight="1" x14ac:dyDescent="0.2">
      <c r="B41553" s="43"/>
    </row>
    <row r="41554" spans="2:2" ht="12.75" customHeight="1" x14ac:dyDescent="0.2">
      <c r="B41554" s="43"/>
    </row>
    <row r="41555" spans="2:2" ht="12.75" customHeight="1" x14ac:dyDescent="0.2">
      <c r="B41555" s="43"/>
    </row>
    <row r="41556" spans="2:2" ht="12.75" customHeight="1" x14ac:dyDescent="0.2">
      <c r="B41556" s="43"/>
    </row>
    <row r="41557" spans="2:2" ht="12.75" customHeight="1" x14ac:dyDescent="0.2">
      <c r="B41557" s="43"/>
    </row>
    <row r="41558" spans="2:2" ht="12.75" customHeight="1" x14ac:dyDescent="0.2">
      <c r="B41558" s="43"/>
    </row>
    <row r="41559" spans="2:2" ht="12.75" customHeight="1" x14ac:dyDescent="0.2">
      <c r="B41559" s="43"/>
    </row>
    <row r="41560" spans="2:2" ht="12.75" customHeight="1" x14ac:dyDescent="0.2">
      <c r="B41560" s="43"/>
    </row>
    <row r="41561" spans="2:2" ht="12.75" customHeight="1" x14ac:dyDescent="0.2">
      <c r="B41561" s="43"/>
    </row>
    <row r="41562" spans="2:2" ht="12.75" customHeight="1" x14ac:dyDescent="0.2">
      <c r="B41562" s="43"/>
    </row>
    <row r="41563" spans="2:2" ht="12.75" customHeight="1" x14ac:dyDescent="0.2">
      <c r="B41563" s="43"/>
    </row>
    <row r="41564" spans="2:2" ht="12.75" customHeight="1" x14ac:dyDescent="0.2">
      <c r="B41564" s="43"/>
    </row>
    <row r="41565" spans="2:2" ht="12.75" customHeight="1" x14ac:dyDescent="0.2">
      <c r="B41565" s="43"/>
    </row>
    <row r="41566" spans="2:2" ht="12.75" customHeight="1" x14ac:dyDescent="0.2">
      <c r="B41566" s="43"/>
    </row>
    <row r="41567" spans="2:2" ht="12.75" customHeight="1" x14ac:dyDescent="0.2">
      <c r="B41567" s="43"/>
    </row>
    <row r="41568" spans="2:2" ht="12.75" customHeight="1" x14ac:dyDescent="0.2">
      <c r="B41568" s="43"/>
    </row>
    <row r="41569" spans="2:2" ht="12.75" customHeight="1" x14ac:dyDescent="0.2">
      <c r="B41569" s="43"/>
    </row>
    <row r="41570" spans="2:2" ht="12.75" customHeight="1" x14ac:dyDescent="0.2">
      <c r="B41570" s="43"/>
    </row>
    <row r="41571" spans="2:2" ht="12.75" customHeight="1" x14ac:dyDescent="0.2">
      <c r="B41571" s="43"/>
    </row>
    <row r="41572" spans="2:2" ht="12.75" customHeight="1" x14ac:dyDescent="0.2">
      <c r="B41572" s="43"/>
    </row>
    <row r="41573" spans="2:2" ht="12.75" customHeight="1" x14ac:dyDescent="0.2">
      <c r="B41573" s="43"/>
    </row>
    <row r="41574" spans="2:2" ht="12.75" customHeight="1" x14ac:dyDescent="0.2">
      <c r="B41574" s="43"/>
    </row>
    <row r="41575" spans="2:2" ht="12.75" customHeight="1" x14ac:dyDescent="0.2">
      <c r="B41575" s="43"/>
    </row>
    <row r="41576" spans="2:2" ht="12.75" customHeight="1" x14ac:dyDescent="0.2">
      <c r="B41576" s="43"/>
    </row>
    <row r="41577" spans="2:2" ht="12.75" customHeight="1" x14ac:dyDescent="0.2">
      <c r="B41577" s="43"/>
    </row>
    <row r="41578" spans="2:2" ht="12.75" customHeight="1" x14ac:dyDescent="0.2">
      <c r="B41578" s="43"/>
    </row>
    <row r="41579" spans="2:2" ht="12.75" customHeight="1" x14ac:dyDescent="0.2">
      <c r="B41579" s="43"/>
    </row>
    <row r="41580" spans="2:2" ht="12.75" customHeight="1" x14ac:dyDescent="0.2">
      <c r="B41580" s="43"/>
    </row>
    <row r="41581" spans="2:2" ht="12.75" customHeight="1" x14ac:dyDescent="0.2">
      <c r="B41581" s="43"/>
    </row>
    <row r="41582" spans="2:2" ht="12.75" customHeight="1" x14ac:dyDescent="0.2">
      <c r="B41582" s="43"/>
    </row>
    <row r="41583" spans="2:2" ht="12.75" customHeight="1" x14ac:dyDescent="0.2">
      <c r="B41583" s="43"/>
    </row>
    <row r="41584" spans="2:2" ht="12.75" customHeight="1" x14ac:dyDescent="0.2">
      <c r="B41584" s="43"/>
    </row>
    <row r="41585" spans="2:2" ht="12.75" customHeight="1" x14ac:dyDescent="0.2">
      <c r="B41585" s="43"/>
    </row>
    <row r="41586" spans="2:2" ht="12.75" customHeight="1" x14ac:dyDescent="0.2">
      <c r="B41586" s="43"/>
    </row>
    <row r="41587" spans="2:2" ht="12.75" customHeight="1" x14ac:dyDescent="0.2">
      <c r="B41587" s="43"/>
    </row>
    <row r="41588" spans="2:2" ht="12.75" customHeight="1" x14ac:dyDescent="0.2">
      <c r="B41588" s="43"/>
    </row>
    <row r="41589" spans="2:2" ht="12.75" customHeight="1" x14ac:dyDescent="0.2">
      <c r="B41589" s="43"/>
    </row>
    <row r="41590" spans="2:2" ht="12.75" customHeight="1" x14ac:dyDescent="0.2">
      <c r="B41590" s="43"/>
    </row>
    <row r="41591" spans="2:2" ht="12.75" customHeight="1" x14ac:dyDescent="0.2">
      <c r="B41591" s="43"/>
    </row>
    <row r="41592" spans="2:2" ht="12.75" customHeight="1" x14ac:dyDescent="0.2">
      <c r="B41592" s="43"/>
    </row>
    <row r="41593" spans="2:2" ht="12.75" customHeight="1" x14ac:dyDescent="0.2">
      <c r="B41593" s="43"/>
    </row>
    <row r="41594" spans="2:2" ht="12.75" customHeight="1" x14ac:dyDescent="0.2">
      <c r="B41594" s="43"/>
    </row>
    <row r="41595" spans="2:2" ht="12.75" customHeight="1" x14ac:dyDescent="0.2">
      <c r="B41595" s="43"/>
    </row>
    <row r="41596" spans="2:2" ht="12.75" customHeight="1" x14ac:dyDescent="0.2">
      <c r="B41596" s="43"/>
    </row>
    <row r="41597" spans="2:2" ht="12.75" customHeight="1" x14ac:dyDescent="0.2">
      <c r="B41597" s="43"/>
    </row>
    <row r="41598" spans="2:2" ht="12.75" customHeight="1" x14ac:dyDescent="0.2">
      <c r="B41598" s="43"/>
    </row>
    <row r="41599" spans="2:2" ht="12.75" customHeight="1" x14ac:dyDescent="0.2">
      <c r="B41599" s="43"/>
    </row>
    <row r="41600" spans="2:2" ht="12.75" customHeight="1" x14ac:dyDescent="0.2">
      <c r="B41600" s="43"/>
    </row>
    <row r="41601" spans="2:2" ht="12.75" customHeight="1" x14ac:dyDescent="0.2">
      <c r="B41601" s="43"/>
    </row>
    <row r="41602" spans="2:2" ht="12.75" customHeight="1" x14ac:dyDescent="0.2">
      <c r="B41602" s="43"/>
    </row>
    <row r="41603" spans="2:2" ht="12.75" customHeight="1" x14ac:dyDescent="0.2">
      <c r="B41603" s="43"/>
    </row>
    <row r="41604" spans="2:2" ht="12.75" customHeight="1" x14ac:dyDescent="0.2">
      <c r="B41604" s="43"/>
    </row>
    <row r="41605" spans="2:2" ht="12.75" customHeight="1" x14ac:dyDescent="0.2">
      <c r="B41605" s="43"/>
    </row>
    <row r="41606" spans="2:2" ht="12.75" customHeight="1" x14ac:dyDescent="0.2">
      <c r="B41606" s="43"/>
    </row>
    <row r="41607" spans="2:2" ht="12.75" customHeight="1" x14ac:dyDescent="0.2">
      <c r="B41607" s="43"/>
    </row>
    <row r="41608" spans="2:2" ht="12.75" customHeight="1" x14ac:dyDescent="0.2">
      <c r="B41608" s="43"/>
    </row>
    <row r="41609" spans="2:2" ht="12.75" customHeight="1" x14ac:dyDescent="0.2">
      <c r="B41609" s="43"/>
    </row>
    <row r="41610" spans="2:2" ht="12.75" customHeight="1" x14ac:dyDescent="0.2">
      <c r="B41610" s="43"/>
    </row>
    <row r="41611" spans="2:2" ht="12.75" customHeight="1" x14ac:dyDescent="0.2">
      <c r="B41611" s="43"/>
    </row>
    <row r="41612" spans="2:2" ht="12.75" customHeight="1" x14ac:dyDescent="0.2">
      <c r="B41612" s="43"/>
    </row>
    <row r="41613" spans="2:2" ht="12.75" customHeight="1" x14ac:dyDescent="0.2">
      <c r="B41613" s="43"/>
    </row>
    <row r="41614" spans="2:2" ht="12.75" customHeight="1" x14ac:dyDescent="0.2">
      <c r="B41614" s="43"/>
    </row>
    <row r="41615" spans="2:2" ht="12.75" customHeight="1" x14ac:dyDescent="0.2">
      <c r="B41615" s="43"/>
    </row>
    <row r="41616" spans="2:2" ht="12.75" customHeight="1" x14ac:dyDescent="0.2">
      <c r="B41616" s="43"/>
    </row>
    <row r="41617" spans="2:2" ht="12.75" customHeight="1" x14ac:dyDescent="0.2">
      <c r="B41617" s="43"/>
    </row>
    <row r="41618" spans="2:2" ht="12.75" customHeight="1" x14ac:dyDescent="0.2">
      <c r="B41618" s="43"/>
    </row>
    <row r="41619" spans="2:2" ht="12.75" customHeight="1" x14ac:dyDescent="0.2">
      <c r="B41619" s="43"/>
    </row>
    <row r="41620" spans="2:2" ht="12.75" customHeight="1" x14ac:dyDescent="0.2">
      <c r="B41620" s="43"/>
    </row>
    <row r="41621" spans="2:2" ht="12.75" customHeight="1" x14ac:dyDescent="0.2">
      <c r="B41621" s="43"/>
    </row>
    <row r="41622" spans="2:2" ht="12.75" customHeight="1" x14ac:dyDescent="0.2">
      <c r="B41622" s="43"/>
    </row>
    <row r="41623" spans="2:2" ht="12.75" customHeight="1" x14ac:dyDescent="0.2">
      <c r="B41623" s="43"/>
    </row>
    <row r="41624" spans="2:2" ht="12.75" customHeight="1" x14ac:dyDescent="0.2">
      <c r="B41624" s="43"/>
    </row>
    <row r="41625" spans="2:2" ht="12.75" customHeight="1" x14ac:dyDescent="0.2">
      <c r="B41625" s="43"/>
    </row>
    <row r="41626" spans="2:2" ht="12.75" customHeight="1" x14ac:dyDescent="0.2">
      <c r="B41626" s="43"/>
    </row>
    <row r="41627" spans="2:2" ht="12.75" customHeight="1" x14ac:dyDescent="0.2">
      <c r="B41627" s="43"/>
    </row>
    <row r="41628" spans="2:2" ht="12.75" customHeight="1" x14ac:dyDescent="0.2">
      <c r="B41628" s="43"/>
    </row>
    <row r="41629" spans="2:2" ht="12.75" customHeight="1" x14ac:dyDescent="0.2">
      <c r="B41629" s="43"/>
    </row>
    <row r="41630" spans="2:2" ht="12.75" customHeight="1" x14ac:dyDescent="0.2">
      <c r="B41630" s="43"/>
    </row>
    <row r="41631" spans="2:2" ht="12.75" customHeight="1" x14ac:dyDescent="0.2">
      <c r="B41631" s="43"/>
    </row>
    <row r="41632" spans="2:2" ht="12.75" customHeight="1" x14ac:dyDescent="0.2">
      <c r="B41632" s="43"/>
    </row>
    <row r="41633" spans="2:2" ht="12.75" customHeight="1" x14ac:dyDescent="0.2">
      <c r="B41633" s="43"/>
    </row>
    <row r="41634" spans="2:2" ht="12.75" customHeight="1" x14ac:dyDescent="0.2">
      <c r="B41634" s="43"/>
    </row>
    <row r="41635" spans="2:2" ht="12.75" customHeight="1" x14ac:dyDescent="0.2">
      <c r="B41635" s="43"/>
    </row>
    <row r="41636" spans="2:2" ht="12.75" customHeight="1" x14ac:dyDescent="0.2">
      <c r="B41636" s="43"/>
    </row>
    <row r="41637" spans="2:2" ht="12.75" customHeight="1" x14ac:dyDescent="0.2">
      <c r="B41637" s="43"/>
    </row>
    <row r="41638" spans="2:2" ht="12.75" customHeight="1" x14ac:dyDescent="0.2">
      <c r="B41638" s="43"/>
    </row>
    <row r="41639" spans="2:2" ht="12.75" customHeight="1" x14ac:dyDescent="0.2">
      <c r="B41639" s="43"/>
    </row>
    <row r="41640" spans="2:2" ht="12.75" customHeight="1" x14ac:dyDescent="0.2">
      <c r="B41640" s="43"/>
    </row>
    <row r="41641" spans="2:2" ht="12.75" customHeight="1" x14ac:dyDescent="0.2">
      <c r="B41641" s="43"/>
    </row>
    <row r="41642" spans="2:2" ht="12.75" customHeight="1" x14ac:dyDescent="0.2">
      <c r="B41642" s="43"/>
    </row>
    <row r="41643" spans="2:2" ht="12.75" customHeight="1" x14ac:dyDescent="0.2">
      <c r="B41643" s="43"/>
    </row>
    <row r="41644" spans="2:2" ht="12.75" customHeight="1" x14ac:dyDescent="0.2">
      <c r="B41644" s="43"/>
    </row>
    <row r="41645" spans="2:2" ht="12.75" customHeight="1" x14ac:dyDescent="0.2">
      <c r="B41645" s="43"/>
    </row>
    <row r="41646" spans="2:2" ht="12.75" customHeight="1" x14ac:dyDescent="0.2">
      <c r="B41646" s="43"/>
    </row>
    <row r="41647" spans="2:2" ht="12.75" customHeight="1" x14ac:dyDescent="0.2">
      <c r="B41647" s="43"/>
    </row>
    <row r="41648" spans="2:2" ht="12.75" customHeight="1" x14ac:dyDescent="0.2">
      <c r="B41648" s="43"/>
    </row>
    <row r="41649" spans="2:2" ht="12.75" customHeight="1" x14ac:dyDescent="0.2">
      <c r="B41649" s="43"/>
    </row>
    <row r="41650" spans="2:2" ht="12.75" customHeight="1" x14ac:dyDescent="0.2">
      <c r="B41650" s="43"/>
    </row>
    <row r="41651" spans="2:2" ht="12.75" customHeight="1" x14ac:dyDescent="0.2">
      <c r="B41651" s="43"/>
    </row>
    <row r="41652" spans="2:2" ht="12.75" customHeight="1" x14ac:dyDescent="0.2">
      <c r="B41652" s="43"/>
    </row>
    <row r="41653" spans="2:2" ht="12.75" customHeight="1" x14ac:dyDescent="0.2">
      <c r="B41653" s="43"/>
    </row>
    <row r="41654" spans="2:2" ht="12.75" customHeight="1" x14ac:dyDescent="0.2">
      <c r="B41654" s="43"/>
    </row>
    <row r="41655" spans="2:2" ht="12.75" customHeight="1" x14ac:dyDescent="0.2">
      <c r="B41655" s="43"/>
    </row>
    <row r="41656" spans="2:2" ht="12.75" customHeight="1" x14ac:dyDescent="0.2">
      <c r="B41656" s="43"/>
    </row>
    <row r="41657" spans="2:2" ht="12.75" customHeight="1" x14ac:dyDescent="0.2">
      <c r="B41657" s="43"/>
    </row>
    <row r="41658" spans="2:2" ht="12.75" customHeight="1" x14ac:dyDescent="0.2">
      <c r="B41658" s="43"/>
    </row>
    <row r="41659" spans="2:2" ht="12.75" customHeight="1" x14ac:dyDescent="0.2">
      <c r="B41659" s="43"/>
    </row>
    <row r="41660" spans="2:2" ht="12.75" customHeight="1" x14ac:dyDescent="0.2">
      <c r="B41660" s="43"/>
    </row>
    <row r="41661" spans="2:2" ht="12.75" customHeight="1" x14ac:dyDescent="0.2">
      <c r="B41661" s="43"/>
    </row>
    <row r="41662" spans="2:2" ht="12.75" customHeight="1" x14ac:dyDescent="0.2">
      <c r="B41662" s="43"/>
    </row>
    <row r="41663" spans="2:2" ht="12.75" customHeight="1" x14ac:dyDescent="0.2">
      <c r="B41663" s="43"/>
    </row>
    <row r="41664" spans="2:2" ht="12.75" customHeight="1" x14ac:dyDescent="0.2">
      <c r="B41664" s="43"/>
    </row>
    <row r="41665" spans="2:2" ht="12.75" customHeight="1" x14ac:dyDescent="0.2">
      <c r="B41665" s="43"/>
    </row>
    <row r="41666" spans="2:2" ht="12.75" customHeight="1" x14ac:dyDescent="0.2">
      <c r="B41666" s="43"/>
    </row>
    <row r="41667" spans="2:2" ht="12.75" customHeight="1" x14ac:dyDescent="0.2">
      <c r="B41667" s="43"/>
    </row>
    <row r="41668" spans="2:2" ht="12.75" customHeight="1" x14ac:dyDescent="0.2">
      <c r="B41668" s="43"/>
    </row>
    <row r="41669" spans="2:2" ht="12.75" customHeight="1" x14ac:dyDescent="0.2">
      <c r="B41669" s="43"/>
    </row>
    <row r="41670" spans="2:2" ht="12.75" customHeight="1" x14ac:dyDescent="0.2">
      <c r="B41670" s="43"/>
    </row>
    <row r="41671" spans="2:2" ht="12.75" customHeight="1" x14ac:dyDescent="0.2">
      <c r="B41671" s="43"/>
    </row>
    <row r="41672" spans="2:2" ht="12.75" customHeight="1" x14ac:dyDescent="0.2">
      <c r="B41672" s="43"/>
    </row>
    <row r="41673" spans="2:2" ht="12.75" customHeight="1" x14ac:dyDescent="0.2">
      <c r="B41673" s="43"/>
    </row>
    <row r="41674" spans="2:2" ht="12.75" customHeight="1" x14ac:dyDescent="0.2">
      <c r="B41674" s="43"/>
    </row>
    <row r="41675" spans="2:2" ht="12.75" customHeight="1" x14ac:dyDescent="0.2">
      <c r="B41675" s="43"/>
    </row>
    <row r="41676" spans="2:2" ht="12.75" customHeight="1" x14ac:dyDescent="0.2">
      <c r="B41676" s="43"/>
    </row>
    <row r="41677" spans="2:2" ht="12.75" customHeight="1" x14ac:dyDescent="0.2">
      <c r="B41677" s="43"/>
    </row>
    <row r="41678" spans="2:2" ht="12.75" customHeight="1" x14ac:dyDescent="0.2">
      <c r="B41678" s="43"/>
    </row>
    <row r="41679" spans="2:2" ht="12.75" customHeight="1" x14ac:dyDescent="0.2">
      <c r="B41679" s="43"/>
    </row>
    <row r="41680" spans="2:2" ht="12.75" customHeight="1" x14ac:dyDescent="0.2">
      <c r="B41680" s="43"/>
    </row>
    <row r="41681" spans="2:2" ht="12.75" customHeight="1" x14ac:dyDescent="0.2">
      <c r="B41681" s="43"/>
    </row>
    <row r="41682" spans="2:2" ht="12.75" customHeight="1" x14ac:dyDescent="0.2">
      <c r="B41682" s="43"/>
    </row>
    <row r="41683" spans="2:2" ht="12.75" customHeight="1" x14ac:dyDescent="0.2">
      <c r="B41683" s="43"/>
    </row>
    <row r="41684" spans="2:2" ht="12.75" customHeight="1" x14ac:dyDescent="0.2">
      <c r="B41684" s="43"/>
    </row>
    <row r="41685" spans="2:2" ht="12.75" customHeight="1" x14ac:dyDescent="0.2">
      <c r="B41685" s="43"/>
    </row>
    <row r="41686" spans="2:2" ht="12.75" customHeight="1" x14ac:dyDescent="0.2">
      <c r="B41686" s="43"/>
    </row>
    <row r="41687" spans="2:2" ht="12.75" customHeight="1" x14ac:dyDescent="0.2">
      <c r="B41687" s="43"/>
    </row>
    <row r="41688" spans="2:2" ht="12.75" customHeight="1" x14ac:dyDescent="0.2">
      <c r="B41688" s="43"/>
    </row>
    <row r="41689" spans="2:2" ht="12.75" customHeight="1" x14ac:dyDescent="0.2">
      <c r="B41689" s="43"/>
    </row>
    <row r="41690" spans="2:2" ht="12.75" customHeight="1" x14ac:dyDescent="0.2">
      <c r="B41690" s="43"/>
    </row>
    <row r="41691" spans="2:2" ht="12.75" customHeight="1" x14ac:dyDescent="0.2">
      <c r="B41691" s="43"/>
    </row>
    <row r="41692" spans="2:2" ht="12.75" customHeight="1" x14ac:dyDescent="0.2">
      <c r="B41692" s="43"/>
    </row>
    <row r="41693" spans="2:2" ht="12.75" customHeight="1" x14ac:dyDescent="0.2">
      <c r="B41693" s="43"/>
    </row>
    <row r="41694" spans="2:2" ht="12.75" customHeight="1" x14ac:dyDescent="0.2">
      <c r="B41694" s="43"/>
    </row>
    <row r="41695" spans="2:2" ht="12.75" customHeight="1" x14ac:dyDescent="0.2">
      <c r="B41695" s="43"/>
    </row>
    <row r="41696" spans="2:2" ht="12.75" customHeight="1" x14ac:dyDescent="0.2">
      <c r="B41696" s="43"/>
    </row>
    <row r="41697" spans="2:2" ht="12.75" customHeight="1" x14ac:dyDescent="0.2">
      <c r="B41697" s="43"/>
    </row>
    <row r="41698" spans="2:2" ht="12.75" customHeight="1" x14ac:dyDescent="0.2">
      <c r="B41698" s="43"/>
    </row>
    <row r="41699" spans="2:2" ht="12.75" customHeight="1" x14ac:dyDescent="0.2">
      <c r="B41699" s="43"/>
    </row>
    <row r="41700" spans="2:2" ht="12.75" customHeight="1" x14ac:dyDescent="0.2">
      <c r="B41700" s="43"/>
    </row>
    <row r="41701" spans="2:2" ht="12.75" customHeight="1" x14ac:dyDescent="0.2">
      <c r="B41701" s="43"/>
    </row>
    <row r="41702" spans="2:2" ht="12.75" customHeight="1" x14ac:dyDescent="0.2">
      <c r="B41702" s="43"/>
    </row>
    <row r="41703" spans="2:2" ht="12.75" customHeight="1" x14ac:dyDescent="0.2">
      <c r="B41703" s="43"/>
    </row>
    <row r="41704" spans="2:2" ht="12.75" customHeight="1" x14ac:dyDescent="0.2">
      <c r="B41704" s="43"/>
    </row>
    <row r="41705" spans="2:2" ht="12.75" customHeight="1" x14ac:dyDescent="0.2">
      <c r="B41705" s="43"/>
    </row>
    <row r="41706" spans="2:2" ht="12.75" customHeight="1" x14ac:dyDescent="0.2">
      <c r="B41706" s="43"/>
    </row>
    <row r="41707" spans="2:2" ht="12.75" customHeight="1" x14ac:dyDescent="0.2">
      <c r="B41707" s="43"/>
    </row>
    <row r="41708" spans="2:2" ht="12.75" customHeight="1" x14ac:dyDescent="0.2">
      <c r="B41708" s="43"/>
    </row>
    <row r="41709" spans="2:2" ht="12.75" customHeight="1" x14ac:dyDescent="0.2">
      <c r="B41709" s="43"/>
    </row>
    <row r="41710" spans="2:2" ht="12.75" customHeight="1" x14ac:dyDescent="0.2">
      <c r="B41710" s="43"/>
    </row>
    <row r="41711" spans="2:2" ht="12.75" customHeight="1" x14ac:dyDescent="0.2">
      <c r="B41711" s="43"/>
    </row>
    <row r="41712" spans="2:2" ht="12.75" customHeight="1" x14ac:dyDescent="0.2">
      <c r="B41712" s="43"/>
    </row>
    <row r="41713" spans="2:2" ht="12.75" customHeight="1" x14ac:dyDescent="0.2">
      <c r="B41713" s="43"/>
    </row>
    <row r="41714" spans="2:2" ht="12.75" customHeight="1" x14ac:dyDescent="0.2">
      <c r="B41714" s="43"/>
    </row>
    <row r="41715" spans="2:2" ht="12.75" customHeight="1" x14ac:dyDescent="0.2">
      <c r="B41715" s="43"/>
    </row>
    <row r="41716" spans="2:2" ht="12.75" customHeight="1" x14ac:dyDescent="0.2">
      <c r="B41716" s="43"/>
    </row>
    <row r="41717" spans="2:2" ht="12.75" customHeight="1" x14ac:dyDescent="0.2">
      <c r="B41717" s="43"/>
    </row>
    <row r="41718" spans="2:2" ht="12.75" customHeight="1" x14ac:dyDescent="0.2">
      <c r="B41718" s="43"/>
    </row>
    <row r="41719" spans="2:2" ht="12.75" customHeight="1" x14ac:dyDescent="0.2">
      <c r="B41719" s="43"/>
    </row>
    <row r="41720" spans="2:2" ht="12.75" customHeight="1" x14ac:dyDescent="0.2">
      <c r="B41720" s="43"/>
    </row>
    <row r="41721" spans="2:2" ht="12.75" customHeight="1" x14ac:dyDescent="0.2">
      <c r="B41721" s="43"/>
    </row>
    <row r="41722" spans="2:2" ht="12.75" customHeight="1" x14ac:dyDescent="0.2">
      <c r="B41722" s="43"/>
    </row>
    <row r="41723" spans="2:2" ht="12.75" customHeight="1" x14ac:dyDescent="0.2">
      <c r="B41723" s="43"/>
    </row>
    <row r="41724" spans="2:2" ht="12.75" customHeight="1" x14ac:dyDescent="0.2">
      <c r="B41724" s="43"/>
    </row>
    <row r="41725" spans="2:2" ht="12.75" customHeight="1" x14ac:dyDescent="0.2">
      <c r="B41725" s="43"/>
    </row>
    <row r="41726" spans="2:2" ht="12.75" customHeight="1" x14ac:dyDescent="0.2">
      <c r="B41726" s="43"/>
    </row>
    <row r="41727" spans="2:2" ht="12.75" customHeight="1" x14ac:dyDescent="0.2">
      <c r="B41727" s="43"/>
    </row>
    <row r="41728" spans="2:2" ht="12.75" customHeight="1" x14ac:dyDescent="0.2">
      <c r="B41728" s="43"/>
    </row>
    <row r="41729" spans="2:2" ht="12.75" customHeight="1" x14ac:dyDescent="0.2">
      <c r="B41729" s="43"/>
    </row>
    <row r="41730" spans="2:2" ht="12.75" customHeight="1" x14ac:dyDescent="0.2">
      <c r="B41730" s="43"/>
    </row>
    <row r="41731" spans="2:2" ht="12.75" customHeight="1" x14ac:dyDescent="0.2">
      <c r="B41731" s="43"/>
    </row>
    <row r="41732" spans="2:2" ht="12.75" customHeight="1" x14ac:dyDescent="0.2">
      <c r="B41732" s="43"/>
    </row>
    <row r="41733" spans="2:2" ht="12.75" customHeight="1" x14ac:dyDescent="0.2">
      <c r="B41733" s="43"/>
    </row>
    <row r="41734" spans="2:2" ht="12.75" customHeight="1" x14ac:dyDescent="0.2">
      <c r="B41734" s="43"/>
    </row>
    <row r="41735" spans="2:2" ht="12.75" customHeight="1" x14ac:dyDescent="0.2">
      <c r="B41735" s="43"/>
    </row>
    <row r="41736" spans="2:2" ht="12.75" customHeight="1" x14ac:dyDescent="0.2">
      <c r="B41736" s="43"/>
    </row>
    <row r="41737" spans="2:2" ht="12.75" customHeight="1" x14ac:dyDescent="0.2">
      <c r="B41737" s="43"/>
    </row>
    <row r="41738" spans="2:2" ht="12.75" customHeight="1" x14ac:dyDescent="0.2">
      <c r="B41738" s="43"/>
    </row>
    <row r="41739" spans="2:2" ht="12.75" customHeight="1" x14ac:dyDescent="0.2">
      <c r="B41739" s="43"/>
    </row>
    <row r="41740" spans="2:2" ht="12.75" customHeight="1" x14ac:dyDescent="0.2">
      <c r="B41740" s="43"/>
    </row>
    <row r="41741" spans="2:2" ht="12.75" customHeight="1" x14ac:dyDescent="0.2">
      <c r="B41741" s="43"/>
    </row>
    <row r="41742" spans="2:2" ht="12.75" customHeight="1" x14ac:dyDescent="0.2">
      <c r="B41742" s="43"/>
    </row>
    <row r="41743" spans="2:2" ht="12.75" customHeight="1" x14ac:dyDescent="0.2">
      <c r="B41743" s="43"/>
    </row>
    <row r="41744" spans="2:2" ht="12.75" customHeight="1" x14ac:dyDescent="0.2">
      <c r="B41744" s="43"/>
    </row>
    <row r="41745" spans="2:2" ht="12.75" customHeight="1" x14ac:dyDescent="0.2">
      <c r="B41745" s="43"/>
    </row>
    <row r="41746" spans="2:2" ht="12.75" customHeight="1" x14ac:dyDescent="0.2">
      <c r="B41746" s="43"/>
    </row>
    <row r="41747" spans="2:2" ht="12.75" customHeight="1" x14ac:dyDescent="0.2">
      <c r="B41747" s="43"/>
    </row>
    <row r="41748" spans="2:2" ht="12.75" customHeight="1" x14ac:dyDescent="0.2">
      <c r="B41748" s="43"/>
    </row>
    <row r="41749" spans="2:2" ht="12.75" customHeight="1" x14ac:dyDescent="0.2">
      <c r="B41749" s="43"/>
    </row>
    <row r="41750" spans="2:2" ht="12.75" customHeight="1" x14ac:dyDescent="0.2">
      <c r="B41750" s="43"/>
    </row>
    <row r="41751" spans="2:2" ht="12.75" customHeight="1" x14ac:dyDescent="0.2">
      <c r="B41751" s="43"/>
    </row>
    <row r="41752" spans="2:2" ht="12.75" customHeight="1" x14ac:dyDescent="0.2">
      <c r="B41752" s="43"/>
    </row>
    <row r="41753" spans="2:2" ht="12.75" customHeight="1" x14ac:dyDescent="0.2">
      <c r="B41753" s="43"/>
    </row>
    <row r="41754" spans="2:2" ht="12.75" customHeight="1" x14ac:dyDescent="0.2">
      <c r="B41754" s="43"/>
    </row>
    <row r="41755" spans="2:2" ht="12.75" customHeight="1" x14ac:dyDescent="0.2">
      <c r="B41755" s="43"/>
    </row>
    <row r="41756" spans="2:2" ht="12.75" customHeight="1" x14ac:dyDescent="0.2">
      <c r="B41756" s="43"/>
    </row>
    <row r="41757" spans="2:2" ht="12.75" customHeight="1" x14ac:dyDescent="0.2">
      <c r="B41757" s="43"/>
    </row>
    <row r="41758" spans="2:2" ht="12.75" customHeight="1" x14ac:dyDescent="0.2">
      <c r="B41758" s="43"/>
    </row>
    <row r="41759" spans="2:2" ht="12.75" customHeight="1" x14ac:dyDescent="0.2">
      <c r="B41759" s="43"/>
    </row>
    <row r="41760" spans="2:2" ht="12.75" customHeight="1" x14ac:dyDescent="0.2">
      <c r="B41760" s="43"/>
    </row>
    <row r="41761" spans="2:2" ht="12.75" customHeight="1" x14ac:dyDescent="0.2">
      <c r="B41761" s="43"/>
    </row>
    <row r="41762" spans="2:2" ht="12.75" customHeight="1" x14ac:dyDescent="0.2">
      <c r="B41762" s="43"/>
    </row>
    <row r="41763" spans="2:2" ht="12.75" customHeight="1" x14ac:dyDescent="0.2">
      <c r="B41763" s="43"/>
    </row>
    <row r="41764" spans="2:2" ht="12.75" customHeight="1" x14ac:dyDescent="0.2">
      <c r="B41764" s="43"/>
    </row>
    <row r="41765" spans="2:2" ht="12.75" customHeight="1" x14ac:dyDescent="0.2">
      <c r="B41765" s="43"/>
    </row>
    <row r="41766" spans="2:2" ht="12.75" customHeight="1" x14ac:dyDescent="0.2">
      <c r="B41766" s="43"/>
    </row>
    <row r="41767" spans="2:2" ht="12.75" customHeight="1" x14ac:dyDescent="0.2">
      <c r="B41767" s="43"/>
    </row>
    <row r="41768" spans="2:2" ht="12.75" customHeight="1" x14ac:dyDescent="0.2">
      <c r="B41768" s="43"/>
    </row>
    <row r="41769" spans="2:2" ht="12.75" customHeight="1" x14ac:dyDescent="0.2">
      <c r="B41769" s="43"/>
    </row>
    <row r="41770" spans="2:2" ht="12.75" customHeight="1" x14ac:dyDescent="0.2">
      <c r="B41770" s="43"/>
    </row>
    <row r="41771" spans="2:2" ht="12.75" customHeight="1" x14ac:dyDescent="0.2">
      <c r="B41771" s="43"/>
    </row>
    <row r="41772" spans="2:2" ht="12.75" customHeight="1" x14ac:dyDescent="0.2">
      <c r="B41772" s="43"/>
    </row>
    <row r="41773" spans="2:2" ht="12.75" customHeight="1" x14ac:dyDescent="0.2">
      <c r="B41773" s="43"/>
    </row>
    <row r="41774" spans="2:2" ht="12.75" customHeight="1" x14ac:dyDescent="0.2">
      <c r="B41774" s="43"/>
    </row>
    <row r="41775" spans="2:2" ht="12.75" customHeight="1" x14ac:dyDescent="0.2">
      <c r="B41775" s="43"/>
    </row>
    <row r="41776" spans="2:2" ht="12.75" customHeight="1" x14ac:dyDescent="0.2">
      <c r="B41776" s="43"/>
    </row>
    <row r="41777" spans="2:2" ht="12.75" customHeight="1" x14ac:dyDescent="0.2">
      <c r="B41777" s="43"/>
    </row>
    <row r="41778" spans="2:2" ht="12.75" customHeight="1" x14ac:dyDescent="0.2">
      <c r="B41778" s="43"/>
    </row>
    <row r="41779" spans="2:2" ht="12.75" customHeight="1" x14ac:dyDescent="0.2">
      <c r="B41779" s="43"/>
    </row>
    <row r="41780" spans="2:2" ht="12.75" customHeight="1" x14ac:dyDescent="0.2">
      <c r="B41780" s="43"/>
    </row>
    <row r="41781" spans="2:2" ht="12.75" customHeight="1" x14ac:dyDescent="0.2">
      <c r="B41781" s="43"/>
    </row>
    <row r="41782" spans="2:2" ht="12.75" customHeight="1" x14ac:dyDescent="0.2">
      <c r="B41782" s="43"/>
    </row>
    <row r="41783" spans="2:2" ht="12.75" customHeight="1" x14ac:dyDescent="0.2">
      <c r="B41783" s="43"/>
    </row>
    <row r="41784" spans="2:2" ht="12.75" customHeight="1" x14ac:dyDescent="0.2">
      <c r="B41784" s="43"/>
    </row>
    <row r="41785" spans="2:2" ht="12.75" customHeight="1" x14ac:dyDescent="0.2">
      <c r="B41785" s="43"/>
    </row>
    <row r="41786" spans="2:2" ht="12.75" customHeight="1" x14ac:dyDescent="0.2">
      <c r="B41786" s="43"/>
    </row>
    <row r="41787" spans="2:2" ht="12.75" customHeight="1" x14ac:dyDescent="0.2">
      <c r="B41787" s="43"/>
    </row>
    <row r="41788" spans="2:2" ht="12.75" customHeight="1" x14ac:dyDescent="0.2">
      <c r="B41788" s="43"/>
    </row>
    <row r="41789" spans="2:2" ht="12.75" customHeight="1" x14ac:dyDescent="0.2">
      <c r="B41789" s="43"/>
    </row>
    <row r="41790" spans="2:2" ht="12.75" customHeight="1" x14ac:dyDescent="0.2">
      <c r="B41790" s="43"/>
    </row>
    <row r="41791" spans="2:2" ht="12.75" customHeight="1" x14ac:dyDescent="0.2">
      <c r="B41791" s="43"/>
    </row>
    <row r="41792" spans="2:2" ht="12.75" customHeight="1" x14ac:dyDescent="0.2">
      <c r="B41792" s="43"/>
    </row>
    <row r="41793" spans="2:2" ht="12.75" customHeight="1" x14ac:dyDescent="0.2">
      <c r="B41793" s="43"/>
    </row>
    <row r="41794" spans="2:2" ht="12.75" customHeight="1" x14ac:dyDescent="0.2">
      <c r="B41794" s="43"/>
    </row>
    <row r="41795" spans="2:2" ht="12.75" customHeight="1" x14ac:dyDescent="0.2">
      <c r="B41795" s="43"/>
    </row>
    <row r="41796" spans="2:2" ht="12.75" customHeight="1" x14ac:dyDescent="0.2">
      <c r="B41796" s="43"/>
    </row>
    <row r="41797" spans="2:2" ht="12.75" customHeight="1" x14ac:dyDescent="0.2">
      <c r="B41797" s="43"/>
    </row>
    <row r="41798" spans="2:2" ht="12.75" customHeight="1" x14ac:dyDescent="0.2">
      <c r="B41798" s="43"/>
    </row>
    <row r="41799" spans="2:2" ht="12.75" customHeight="1" x14ac:dyDescent="0.2">
      <c r="B41799" s="43"/>
    </row>
    <row r="41800" spans="2:2" ht="12.75" customHeight="1" x14ac:dyDescent="0.2">
      <c r="B41800" s="43"/>
    </row>
    <row r="41801" spans="2:2" ht="12.75" customHeight="1" x14ac:dyDescent="0.2">
      <c r="B41801" s="43"/>
    </row>
    <row r="41802" spans="2:2" ht="12.75" customHeight="1" x14ac:dyDescent="0.2">
      <c r="B41802" s="43"/>
    </row>
    <row r="41803" spans="2:2" ht="12.75" customHeight="1" x14ac:dyDescent="0.2">
      <c r="B41803" s="43"/>
    </row>
    <row r="41804" spans="2:2" ht="12.75" customHeight="1" x14ac:dyDescent="0.2">
      <c r="B41804" s="43"/>
    </row>
    <row r="41805" spans="2:2" ht="12.75" customHeight="1" x14ac:dyDescent="0.2">
      <c r="B41805" s="43"/>
    </row>
    <row r="41806" spans="2:2" ht="12.75" customHeight="1" x14ac:dyDescent="0.2">
      <c r="B41806" s="43"/>
    </row>
    <row r="41807" spans="2:2" ht="12.75" customHeight="1" x14ac:dyDescent="0.2">
      <c r="B41807" s="43"/>
    </row>
    <row r="41808" spans="2:2" ht="12.75" customHeight="1" x14ac:dyDescent="0.2">
      <c r="B41808" s="43"/>
    </row>
    <row r="41809" spans="2:2" ht="12.75" customHeight="1" x14ac:dyDescent="0.2">
      <c r="B41809" s="43"/>
    </row>
    <row r="41810" spans="2:2" ht="12.75" customHeight="1" x14ac:dyDescent="0.2">
      <c r="B41810" s="43"/>
    </row>
    <row r="41811" spans="2:2" ht="12.75" customHeight="1" x14ac:dyDescent="0.2">
      <c r="B41811" s="43"/>
    </row>
    <row r="41812" spans="2:2" ht="12.75" customHeight="1" x14ac:dyDescent="0.2">
      <c r="B41812" s="43"/>
    </row>
    <row r="41813" spans="2:2" ht="12.75" customHeight="1" x14ac:dyDescent="0.2">
      <c r="B41813" s="43"/>
    </row>
    <row r="41814" spans="2:2" ht="12.75" customHeight="1" x14ac:dyDescent="0.2">
      <c r="B41814" s="43"/>
    </row>
    <row r="41815" spans="2:2" ht="12.75" customHeight="1" x14ac:dyDescent="0.2">
      <c r="B41815" s="43"/>
    </row>
    <row r="41816" spans="2:2" ht="12.75" customHeight="1" x14ac:dyDescent="0.2">
      <c r="B41816" s="43"/>
    </row>
    <row r="41817" spans="2:2" ht="12.75" customHeight="1" x14ac:dyDescent="0.2">
      <c r="B41817" s="43"/>
    </row>
    <row r="41818" spans="2:2" ht="12.75" customHeight="1" x14ac:dyDescent="0.2">
      <c r="B41818" s="43"/>
    </row>
    <row r="41819" spans="2:2" ht="12.75" customHeight="1" x14ac:dyDescent="0.2">
      <c r="B41819" s="43"/>
    </row>
    <row r="41820" spans="2:2" ht="12.75" customHeight="1" x14ac:dyDescent="0.2">
      <c r="B41820" s="43"/>
    </row>
    <row r="41821" spans="2:2" ht="12.75" customHeight="1" x14ac:dyDescent="0.2">
      <c r="B41821" s="43"/>
    </row>
    <row r="41822" spans="2:2" ht="12.75" customHeight="1" x14ac:dyDescent="0.2">
      <c r="B41822" s="43"/>
    </row>
    <row r="41823" spans="2:2" ht="12.75" customHeight="1" x14ac:dyDescent="0.2">
      <c r="B41823" s="43"/>
    </row>
    <row r="41824" spans="2:2" ht="12.75" customHeight="1" x14ac:dyDescent="0.2">
      <c r="B41824" s="43"/>
    </row>
    <row r="41825" spans="2:2" ht="12.75" customHeight="1" x14ac:dyDescent="0.2">
      <c r="B41825" s="43"/>
    </row>
    <row r="41826" spans="2:2" ht="12.75" customHeight="1" x14ac:dyDescent="0.2">
      <c r="B41826" s="43"/>
    </row>
    <row r="41827" spans="2:2" ht="12.75" customHeight="1" x14ac:dyDescent="0.2">
      <c r="B41827" s="43"/>
    </row>
    <row r="41828" spans="2:2" ht="12.75" customHeight="1" x14ac:dyDescent="0.2">
      <c r="B41828" s="43"/>
    </row>
    <row r="41829" spans="2:2" ht="12.75" customHeight="1" x14ac:dyDescent="0.2">
      <c r="B41829" s="43"/>
    </row>
    <row r="41830" spans="2:2" ht="12.75" customHeight="1" x14ac:dyDescent="0.2">
      <c r="B41830" s="43"/>
    </row>
    <row r="41831" spans="2:2" ht="12.75" customHeight="1" x14ac:dyDescent="0.2">
      <c r="B41831" s="43"/>
    </row>
    <row r="41832" spans="2:2" ht="12.75" customHeight="1" x14ac:dyDescent="0.2">
      <c r="B41832" s="43"/>
    </row>
    <row r="41833" spans="2:2" ht="12.75" customHeight="1" x14ac:dyDescent="0.2">
      <c r="B41833" s="43"/>
    </row>
    <row r="41834" spans="2:2" ht="12.75" customHeight="1" x14ac:dyDescent="0.2">
      <c r="B41834" s="43"/>
    </row>
    <row r="41835" spans="2:2" ht="12.75" customHeight="1" x14ac:dyDescent="0.2">
      <c r="B41835" s="43"/>
    </row>
    <row r="41836" spans="2:2" ht="12.75" customHeight="1" x14ac:dyDescent="0.2">
      <c r="B41836" s="43"/>
    </row>
    <row r="41837" spans="2:2" ht="12.75" customHeight="1" x14ac:dyDescent="0.2">
      <c r="B41837" s="43"/>
    </row>
    <row r="41838" spans="2:2" ht="12.75" customHeight="1" x14ac:dyDescent="0.2">
      <c r="B41838" s="43"/>
    </row>
    <row r="41839" spans="2:2" ht="12.75" customHeight="1" x14ac:dyDescent="0.2">
      <c r="B41839" s="43"/>
    </row>
    <row r="41840" spans="2:2" ht="12.75" customHeight="1" x14ac:dyDescent="0.2">
      <c r="B41840" s="43"/>
    </row>
    <row r="41841" spans="2:2" ht="12.75" customHeight="1" x14ac:dyDescent="0.2">
      <c r="B41841" s="43"/>
    </row>
    <row r="41842" spans="2:2" ht="12.75" customHeight="1" x14ac:dyDescent="0.2">
      <c r="B41842" s="43"/>
    </row>
    <row r="41843" spans="2:2" ht="12.75" customHeight="1" x14ac:dyDescent="0.2">
      <c r="B41843" s="43"/>
    </row>
    <row r="41844" spans="2:2" ht="12.75" customHeight="1" x14ac:dyDescent="0.2">
      <c r="B41844" s="43"/>
    </row>
    <row r="41845" spans="2:2" ht="12.75" customHeight="1" x14ac:dyDescent="0.2">
      <c r="B41845" s="43"/>
    </row>
    <row r="41846" spans="2:2" ht="12.75" customHeight="1" x14ac:dyDescent="0.2">
      <c r="B41846" s="43"/>
    </row>
    <row r="41847" spans="2:2" ht="12.75" customHeight="1" x14ac:dyDescent="0.2">
      <c r="B41847" s="43"/>
    </row>
    <row r="41848" spans="2:2" ht="12.75" customHeight="1" x14ac:dyDescent="0.2">
      <c r="B41848" s="43"/>
    </row>
    <row r="41849" spans="2:2" ht="12.75" customHeight="1" x14ac:dyDescent="0.2">
      <c r="B41849" s="43"/>
    </row>
    <row r="41850" spans="2:2" ht="12.75" customHeight="1" x14ac:dyDescent="0.2">
      <c r="B41850" s="43"/>
    </row>
    <row r="41851" spans="2:2" ht="12.75" customHeight="1" x14ac:dyDescent="0.2">
      <c r="B41851" s="43"/>
    </row>
    <row r="41852" spans="2:2" ht="12.75" customHeight="1" x14ac:dyDescent="0.2">
      <c r="B41852" s="43"/>
    </row>
    <row r="41853" spans="2:2" ht="12.75" customHeight="1" x14ac:dyDescent="0.2">
      <c r="B41853" s="43"/>
    </row>
    <row r="41854" spans="2:2" ht="12.75" customHeight="1" x14ac:dyDescent="0.2">
      <c r="B41854" s="43"/>
    </row>
    <row r="41855" spans="2:2" ht="12.75" customHeight="1" x14ac:dyDescent="0.2">
      <c r="B41855" s="43"/>
    </row>
    <row r="41856" spans="2:2" ht="12.75" customHeight="1" x14ac:dyDescent="0.2">
      <c r="B41856" s="43"/>
    </row>
    <row r="41857" spans="2:2" ht="12.75" customHeight="1" x14ac:dyDescent="0.2">
      <c r="B41857" s="43"/>
    </row>
    <row r="41858" spans="2:2" ht="12.75" customHeight="1" x14ac:dyDescent="0.2">
      <c r="B41858" s="43"/>
    </row>
    <row r="41859" spans="2:2" ht="12.75" customHeight="1" x14ac:dyDescent="0.2">
      <c r="B41859" s="43"/>
    </row>
    <row r="41860" spans="2:2" ht="12.75" customHeight="1" x14ac:dyDescent="0.2">
      <c r="B41860" s="43"/>
    </row>
    <row r="41861" spans="2:2" ht="12.75" customHeight="1" x14ac:dyDescent="0.2">
      <c r="B41861" s="43"/>
    </row>
    <row r="41862" spans="2:2" ht="12.75" customHeight="1" x14ac:dyDescent="0.2">
      <c r="B41862" s="43"/>
    </row>
    <row r="41863" spans="2:2" ht="12.75" customHeight="1" x14ac:dyDescent="0.2">
      <c r="B41863" s="43"/>
    </row>
    <row r="41864" spans="2:2" ht="12.75" customHeight="1" x14ac:dyDescent="0.2">
      <c r="B41864" s="43"/>
    </row>
    <row r="41865" spans="2:2" ht="12.75" customHeight="1" x14ac:dyDescent="0.2">
      <c r="B41865" s="43"/>
    </row>
    <row r="41866" spans="2:2" ht="12.75" customHeight="1" x14ac:dyDescent="0.2">
      <c r="B41866" s="43"/>
    </row>
    <row r="41867" spans="2:2" ht="12.75" customHeight="1" x14ac:dyDescent="0.2">
      <c r="B41867" s="43"/>
    </row>
    <row r="41868" spans="2:2" ht="12.75" customHeight="1" x14ac:dyDescent="0.2">
      <c r="B41868" s="43"/>
    </row>
    <row r="41869" spans="2:2" ht="12.75" customHeight="1" x14ac:dyDescent="0.2">
      <c r="B41869" s="43"/>
    </row>
    <row r="41870" spans="2:2" ht="12.75" customHeight="1" x14ac:dyDescent="0.2">
      <c r="B41870" s="43"/>
    </row>
    <row r="41871" spans="2:2" ht="12.75" customHeight="1" x14ac:dyDescent="0.2">
      <c r="B41871" s="43"/>
    </row>
    <row r="41872" spans="2:2" ht="12.75" customHeight="1" x14ac:dyDescent="0.2">
      <c r="B41872" s="43"/>
    </row>
    <row r="41873" spans="2:2" ht="12.75" customHeight="1" x14ac:dyDescent="0.2">
      <c r="B41873" s="43"/>
    </row>
    <row r="41874" spans="2:2" ht="12.75" customHeight="1" x14ac:dyDescent="0.2">
      <c r="B41874" s="43"/>
    </row>
    <row r="41875" spans="2:2" ht="12.75" customHeight="1" x14ac:dyDescent="0.2">
      <c r="B41875" s="43"/>
    </row>
    <row r="41876" spans="2:2" ht="12.75" customHeight="1" x14ac:dyDescent="0.2">
      <c r="B41876" s="43"/>
    </row>
    <row r="41877" spans="2:2" ht="12.75" customHeight="1" x14ac:dyDescent="0.2">
      <c r="B41877" s="43"/>
    </row>
    <row r="41878" spans="2:2" ht="12.75" customHeight="1" x14ac:dyDescent="0.2">
      <c r="B41878" s="43"/>
    </row>
    <row r="41879" spans="2:2" ht="12.75" customHeight="1" x14ac:dyDescent="0.2">
      <c r="B41879" s="43"/>
    </row>
    <row r="41880" spans="2:2" ht="12.75" customHeight="1" x14ac:dyDescent="0.2">
      <c r="B41880" s="43"/>
    </row>
    <row r="41881" spans="2:2" ht="12.75" customHeight="1" x14ac:dyDescent="0.2">
      <c r="B41881" s="43"/>
    </row>
    <row r="41882" spans="2:2" ht="12.75" customHeight="1" x14ac:dyDescent="0.2">
      <c r="B41882" s="43"/>
    </row>
    <row r="41883" spans="2:2" ht="12.75" customHeight="1" x14ac:dyDescent="0.2">
      <c r="B41883" s="43"/>
    </row>
    <row r="41884" spans="2:2" ht="12.75" customHeight="1" x14ac:dyDescent="0.2">
      <c r="B41884" s="43"/>
    </row>
    <row r="41885" spans="2:2" ht="12.75" customHeight="1" x14ac:dyDescent="0.2">
      <c r="B41885" s="43"/>
    </row>
    <row r="41886" spans="2:2" ht="12.75" customHeight="1" x14ac:dyDescent="0.2">
      <c r="B41886" s="43"/>
    </row>
    <row r="41887" spans="2:2" ht="12.75" customHeight="1" x14ac:dyDescent="0.2">
      <c r="B41887" s="43"/>
    </row>
    <row r="41888" spans="2:2" ht="12.75" customHeight="1" x14ac:dyDescent="0.2">
      <c r="B41888" s="43"/>
    </row>
    <row r="41889" spans="2:2" ht="12.75" customHeight="1" x14ac:dyDescent="0.2">
      <c r="B41889" s="43"/>
    </row>
    <row r="41890" spans="2:2" ht="12.75" customHeight="1" x14ac:dyDescent="0.2">
      <c r="B41890" s="43"/>
    </row>
    <row r="41891" spans="2:2" ht="12.75" customHeight="1" x14ac:dyDescent="0.2">
      <c r="B41891" s="43"/>
    </row>
    <row r="41892" spans="2:2" ht="12.75" customHeight="1" x14ac:dyDescent="0.2">
      <c r="B41892" s="43"/>
    </row>
    <row r="41893" spans="2:2" ht="12.75" customHeight="1" x14ac:dyDescent="0.2">
      <c r="B41893" s="43"/>
    </row>
    <row r="41894" spans="2:2" ht="12.75" customHeight="1" x14ac:dyDescent="0.2">
      <c r="B41894" s="43"/>
    </row>
    <row r="41895" spans="2:2" ht="12.75" customHeight="1" x14ac:dyDescent="0.2">
      <c r="B41895" s="43"/>
    </row>
    <row r="41896" spans="2:2" ht="12.75" customHeight="1" x14ac:dyDescent="0.2">
      <c r="B41896" s="43"/>
    </row>
    <row r="41897" spans="2:2" ht="12.75" customHeight="1" x14ac:dyDescent="0.2">
      <c r="B41897" s="43"/>
    </row>
    <row r="41898" spans="2:2" ht="12.75" customHeight="1" x14ac:dyDescent="0.2">
      <c r="B41898" s="43"/>
    </row>
    <row r="41899" spans="2:2" ht="12.75" customHeight="1" x14ac:dyDescent="0.2">
      <c r="B41899" s="43"/>
    </row>
    <row r="41900" spans="2:2" ht="12.75" customHeight="1" x14ac:dyDescent="0.2">
      <c r="B41900" s="43"/>
    </row>
    <row r="41901" spans="2:2" ht="12.75" customHeight="1" x14ac:dyDescent="0.2">
      <c r="B41901" s="43"/>
    </row>
    <row r="41902" spans="2:2" ht="12.75" customHeight="1" x14ac:dyDescent="0.2">
      <c r="B41902" s="43"/>
    </row>
    <row r="41903" spans="2:2" ht="12.75" customHeight="1" x14ac:dyDescent="0.2">
      <c r="B41903" s="43"/>
    </row>
    <row r="41904" spans="2:2" ht="12.75" customHeight="1" x14ac:dyDescent="0.2">
      <c r="B41904" s="43"/>
    </row>
    <row r="41905" spans="2:2" ht="12.75" customHeight="1" x14ac:dyDescent="0.2">
      <c r="B41905" s="43"/>
    </row>
    <row r="41906" spans="2:2" ht="12.75" customHeight="1" x14ac:dyDescent="0.2">
      <c r="B41906" s="43"/>
    </row>
    <row r="41907" spans="2:2" ht="12.75" customHeight="1" x14ac:dyDescent="0.2">
      <c r="B41907" s="43"/>
    </row>
    <row r="41908" spans="2:2" ht="12.75" customHeight="1" x14ac:dyDescent="0.2">
      <c r="B41908" s="43"/>
    </row>
    <row r="41909" spans="2:2" ht="12.75" customHeight="1" x14ac:dyDescent="0.2">
      <c r="B41909" s="43"/>
    </row>
    <row r="41910" spans="2:2" ht="12.75" customHeight="1" x14ac:dyDescent="0.2">
      <c r="B41910" s="43"/>
    </row>
    <row r="41911" spans="2:2" ht="12.75" customHeight="1" x14ac:dyDescent="0.2">
      <c r="B41911" s="43"/>
    </row>
    <row r="41912" spans="2:2" ht="12.75" customHeight="1" x14ac:dyDescent="0.2">
      <c r="B41912" s="43"/>
    </row>
    <row r="41913" spans="2:2" ht="12.75" customHeight="1" x14ac:dyDescent="0.2">
      <c r="B41913" s="43"/>
    </row>
    <row r="41914" spans="2:2" ht="12.75" customHeight="1" x14ac:dyDescent="0.2">
      <c r="B41914" s="43"/>
    </row>
    <row r="41915" spans="2:2" ht="12.75" customHeight="1" x14ac:dyDescent="0.2">
      <c r="B41915" s="43"/>
    </row>
    <row r="41916" spans="2:2" ht="12.75" customHeight="1" x14ac:dyDescent="0.2">
      <c r="B41916" s="43"/>
    </row>
    <row r="41917" spans="2:2" ht="12.75" customHeight="1" x14ac:dyDescent="0.2">
      <c r="B41917" s="43"/>
    </row>
    <row r="41918" spans="2:2" ht="12.75" customHeight="1" x14ac:dyDescent="0.2">
      <c r="B41918" s="43"/>
    </row>
    <row r="41919" spans="2:2" ht="12.75" customHeight="1" x14ac:dyDescent="0.2">
      <c r="B41919" s="43"/>
    </row>
    <row r="41920" spans="2:2" ht="12.75" customHeight="1" x14ac:dyDescent="0.2">
      <c r="B41920" s="43"/>
    </row>
    <row r="41921" spans="2:2" ht="12.75" customHeight="1" x14ac:dyDescent="0.2">
      <c r="B41921" s="43"/>
    </row>
    <row r="41922" spans="2:2" ht="12.75" customHeight="1" x14ac:dyDescent="0.2">
      <c r="B41922" s="43"/>
    </row>
    <row r="41923" spans="2:2" ht="12.75" customHeight="1" x14ac:dyDescent="0.2">
      <c r="B41923" s="43"/>
    </row>
    <row r="41924" spans="2:2" ht="12.75" customHeight="1" x14ac:dyDescent="0.2">
      <c r="B41924" s="43"/>
    </row>
    <row r="41925" spans="2:2" ht="12.75" customHeight="1" x14ac:dyDescent="0.2">
      <c r="B41925" s="43"/>
    </row>
    <row r="41926" spans="2:2" ht="12.75" customHeight="1" x14ac:dyDescent="0.2">
      <c r="B41926" s="43"/>
    </row>
    <row r="41927" spans="2:2" ht="12.75" customHeight="1" x14ac:dyDescent="0.2">
      <c r="B41927" s="43"/>
    </row>
    <row r="41928" spans="2:2" ht="12.75" customHeight="1" x14ac:dyDescent="0.2">
      <c r="B41928" s="43"/>
    </row>
    <row r="41929" spans="2:2" ht="12.75" customHeight="1" x14ac:dyDescent="0.2">
      <c r="B41929" s="43"/>
    </row>
    <row r="41930" spans="2:2" ht="12.75" customHeight="1" x14ac:dyDescent="0.2">
      <c r="B41930" s="43"/>
    </row>
    <row r="41931" spans="2:2" ht="12.75" customHeight="1" x14ac:dyDescent="0.2">
      <c r="B41931" s="43"/>
    </row>
    <row r="41932" spans="2:2" ht="12.75" customHeight="1" x14ac:dyDescent="0.2">
      <c r="B41932" s="43"/>
    </row>
    <row r="41933" spans="2:2" ht="12.75" customHeight="1" x14ac:dyDescent="0.2">
      <c r="B41933" s="43"/>
    </row>
    <row r="41934" spans="2:2" ht="12.75" customHeight="1" x14ac:dyDescent="0.2">
      <c r="B41934" s="43"/>
    </row>
    <row r="41935" spans="2:2" ht="12.75" customHeight="1" x14ac:dyDescent="0.2">
      <c r="B41935" s="43"/>
    </row>
    <row r="41936" spans="2:2" ht="12.75" customHeight="1" x14ac:dyDescent="0.2">
      <c r="B41936" s="43"/>
    </row>
    <row r="41937" spans="2:2" ht="12.75" customHeight="1" x14ac:dyDescent="0.2">
      <c r="B41937" s="43"/>
    </row>
    <row r="41938" spans="2:2" ht="12.75" customHeight="1" x14ac:dyDescent="0.2">
      <c r="B41938" s="43"/>
    </row>
    <row r="41939" spans="2:2" ht="12.75" customHeight="1" x14ac:dyDescent="0.2">
      <c r="B41939" s="43"/>
    </row>
    <row r="41940" spans="2:2" ht="12.75" customHeight="1" x14ac:dyDescent="0.2">
      <c r="B41940" s="43"/>
    </row>
    <row r="41941" spans="2:2" ht="12.75" customHeight="1" x14ac:dyDescent="0.2">
      <c r="B41941" s="43"/>
    </row>
    <row r="41942" spans="2:2" ht="12.75" customHeight="1" x14ac:dyDescent="0.2">
      <c r="B41942" s="43"/>
    </row>
    <row r="41943" spans="2:2" ht="12.75" customHeight="1" x14ac:dyDescent="0.2">
      <c r="B41943" s="43"/>
    </row>
    <row r="41944" spans="2:2" ht="12.75" customHeight="1" x14ac:dyDescent="0.2">
      <c r="B41944" s="43"/>
    </row>
    <row r="41945" spans="2:2" ht="12.75" customHeight="1" x14ac:dyDescent="0.2">
      <c r="B41945" s="43"/>
    </row>
    <row r="41946" spans="2:2" ht="12.75" customHeight="1" x14ac:dyDescent="0.2">
      <c r="B41946" s="43"/>
    </row>
    <row r="41947" spans="2:2" ht="12.75" customHeight="1" x14ac:dyDescent="0.2">
      <c r="B41947" s="43"/>
    </row>
    <row r="41948" spans="2:2" ht="12.75" customHeight="1" x14ac:dyDescent="0.2">
      <c r="B41948" s="43"/>
    </row>
    <row r="41949" spans="2:2" ht="12.75" customHeight="1" x14ac:dyDescent="0.2">
      <c r="B41949" s="43"/>
    </row>
    <row r="41950" spans="2:2" ht="12.75" customHeight="1" x14ac:dyDescent="0.2">
      <c r="B41950" s="43"/>
    </row>
    <row r="41951" spans="2:2" ht="12.75" customHeight="1" x14ac:dyDescent="0.2">
      <c r="B41951" s="43"/>
    </row>
    <row r="41952" spans="2:2" ht="12.75" customHeight="1" x14ac:dyDescent="0.2">
      <c r="B41952" s="43"/>
    </row>
    <row r="41953" spans="2:2" ht="12.75" customHeight="1" x14ac:dyDescent="0.2">
      <c r="B41953" s="43"/>
    </row>
    <row r="41954" spans="2:2" ht="12.75" customHeight="1" x14ac:dyDescent="0.2">
      <c r="B41954" s="43"/>
    </row>
    <row r="41955" spans="2:2" ht="12.75" customHeight="1" x14ac:dyDescent="0.2">
      <c r="B41955" s="43"/>
    </row>
    <row r="41956" spans="2:2" ht="12.75" customHeight="1" x14ac:dyDescent="0.2">
      <c r="B41956" s="43"/>
    </row>
    <row r="41957" spans="2:2" ht="12.75" customHeight="1" x14ac:dyDescent="0.2">
      <c r="B41957" s="43"/>
    </row>
    <row r="41958" spans="2:2" ht="12.75" customHeight="1" x14ac:dyDescent="0.2">
      <c r="B41958" s="43"/>
    </row>
    <row r="41959" spans="2:2" ht="12.75" customHeight="1" x14ac:dyDescent="0.2">
      <c r="B41959" s="43"/>
    </row>
    <row r="41960" spans="2:2" ht="12.75" customHeight="1" x14ac:dyDescent="0.2">
      <c r="B41960" s="43"/>
    </row>
    <row r="41961" spans="2:2" ht="12.75" customHeight="1" x14ac:dyDescent="0.2">
      <c r="B41961" s="43"/>
    </row>
    <row r="41962" spans="2:2" ht="12.75" customHeight="1" x14ac:dyDescent="0.2">
      <c r="B41962" s="43"/>
    </row>
    <row r="41963" spans="2:2" ht="12.75" customHeight="1" x14ac:dyDescent="0.2">
      <c r="B41963" s="43"/>
    </row>
    <row r="41964" spans="2:2" ht="12.75" customHeight="1" x14ac:dyDescent="0.2">
      <c r="B41964" s="43"/>
    </row>
    <row r="41965" spans="2:2" ht="12.75" customHeight="1" x14ac:dyDescent="0.2">
      <c r="B41965" s="43"/>
    </row>
    <row r="41966" spans="2:2" ht="12.75" customHeight="1" x14ac:dyDescent="0.2">
      <c r="B41966" s="43"/>
    </row>
    <row r="41967" spans="2:2" ht="12.75" customHeight="1" x14ac:dyDescent="0.2">
      <c r="B41967" s="43"/>
    </row>
    <row r="41968" spans="2:2" ht="12.75" customHeight="1" x14ac:dyDescent="0.2">
      <c r="B41968" s="43"/>
    </row>
    <row r="41969" spans="2:2" ht="12.75" customHeight="1" x14ac:dyDescent="0.2">
      <c r="B41969" s="43"/>
    </row>
    <row r="41970" spans="2:2" ht="12.75" customHeight="1" x14ac:dyDescent="0.2">
      <c r="B41970" s="43"/>
    </row>
    <row r="41971" spans="2:2" ht="12.75" customHeight="1" x14ac:dyDescent="0.2">
      <c r="B41971" s="43"/>
    </row>
    <row r="41972" spans="2:2" ht="12.75" customHeight="1" x14ac:dyDescent="0.2">
      <c r="B41972" s="43"/>
    </row>
    <row r="41973" spans="2:2" ht="12.75" customHeight="1" x14ac:dyDescent="0.2">
      <c r="B41973" s="43"/>
    </row>
    <row r="41974" spans="2:2" ht="12.75" customHeight="1" x14ac:dyDescent="0.2">
      <c r="B41974" s="43"/>
    </row>
    <row r="41975" spans="2:2" ht="12.75" customHeight="1" x14ac:dyDescent="0.2">
      <c r="B41975" s="43"/>
    </row>
    <row r="41976" spans="2:2" ht="12.75" customHeight="1" x14ac:dyDescent="0.2">
      <c r="B41976" s="43"/>
    </row>
    <row r="41977" spans="2:2" ht="12.75" customHeight="1" x14ac:dyDescent="0.2">
      <c r="B41977" s="43"/>
    </row>
    <row r="41978" spans="2:2" ht="12.75" customHeight="1" x14ac:dyDescent="0.2">
      <c r="B41978" s="43"/>
    </row>
    <row r="41979" spans="2:2" ht="12.75" customHeight="1" x14ac:dyDescent="0.2">
      <c r="B41979" s="43"/>
    </row>
    <row r="41980" spans="2:2" ht="12.75" customHeight="1" x14ac:dyDescent="0.2">
      <c r="B41980" s="43"/>
    </row>
    <row r="41981" spans="2:2" ht="12.75" customHeight="1" x14ac:dyDescent="0.2">
      <c r="B41981" s="43"/>
    </row>
    <row r="41982" spans="2:2" ht="12.75" customHeight="1" x14ac:dyDescent="0.2">
      <c r="B41982" s="43"/>
    </row>
    <row r="41983" spans="2:2" ht="12.75" customHeight="1" x14ac:dyDescent="0.2">
      <c r="B41983" s="43"/>
    </row>
    <row r="41984" spans="2:2" ht="12.75" customHeight="1" x14ac:dyDescent="0.2">
      <c r="B41984" s="43"/>
    </row>
    <row r="41985" spans="2:2" ht="12.75" customHeight="1" x14ac:dyDescent="0.2">
      <c r="B41985" s="43"/>
    </row>
    <row r="41986" spans="2:2" ht="12.75" customHeight="1" x14ac:dyDescent="0.2">
      <c r="B41986" s="43"/>
    </row>
    <row r="41987" spans="2:2" ht="12.75" customHeight="1" x14ac:dyDescent="0.2">
      <c r="B41987" s="43"/>
    </row>
    <row r="41988" spans="2:2" ht="12.75" customHeight="1" x14ac:dyDescent="0.2">
      <c r="B41988" s="43"/>
    </row>
    <row r="41989" spans="2:2" ht="12.75" customHeight="1" x14ac:dyDescent="0.2">
      <c r="B41989" s="43"/>
    </row>
    <row r="41990" spans="2:2" ht="12.75" customHeight="1" x14ac:dyDescent="0.2">
      <c r="B41990" s="43"/>
    </row>
    <row r="41991" spans="2:2" ht="12.75" customHeight="1" x14ac:dyDescent="0.2">
      <c r="B41991" s="43"/>
    </row>
    <row r="41992" spans="2:2" ht="12.75" customHeight="1" x14ac:dyDescent="0.2">
      <c r="B41992" s="43"/>
    </row>
    <row r="41993" spans="2:2" ht="12.75" customHeight="1" x14ac:dyDescent="0.2">
      <c r="B41993" s="43"/>
    </row>
    <row r="41994" spans="2:2" ht="12.75" customHeight="1" x14ac:dyDescent="0.2">
      <c r="B41994" s="43"/>
    </row>
    <row r="41995" spans="2:2" ht="12.75" customHeight="1" x14ac:dyDescent="0.2">
      <c r="B41995" s="43"/>
    </row>
    <row r="41996" spans="2:2" ht="12.75" customHeight="1" x14ac:dyDescent="0.2">
      <c r="B41996" s="43"/>
    </row>
    <row r="41997" spans="2:2" ht="12.75" customHeight="1" x14ac:dyDescent="0.2">
      <c r="B41997" s="43"/>
    </row>
    <row r="41998" spans="2:2" ht="12.75" customHeight="1" x14ac:dyDescent="0.2">
      <c r="B41998" s="43"/>
    </row>
    <row r="41999" spans="2:2" ht="12.75" customHeight="1" x14ac:dyDescent="0.2">
      <c r="B41999" s="43"/>
    </row>
    <row r="42000" spans="2:2" ht="12.75" customHeight="1" x14ac:dyDescent="0.2">
      <c r="B42000" s="43"/>
    </row>
    <row r="42001" spans="2:2" ht="12.75" customHeight="1" x14ac:dyDescent="0.2">
      <c r="B42001" s="43"/>
    </row>
    <row r="42002" spans="2:2" ht="12.75" customHeight="1" x14ac:dyDescent="0.2">
      <c r="B42002" s="43"/>
    </row>
    <row r="42003" spans="2:2" ht="12.75" customHeight="1" x14ac:dyDescent="0.2">
      <c r="B42003" s="43"/>
    </row>
    <row r="42004" spans="2:2" ht="12.75" customHeight="1" x14ac:dyDescent="0.2">
      <c r="B42004" s="43"/>
    </row>
    <row r="42005" spans="2:2" ht="12.75" customHeight="1" x14ac:dyDescent="0.2">
      <c r="B42005" s="43"/>
    </row>
    <row r="42006" spans="2:2" ht="12.75" customHeight="1" x14ac:dyDescent="0.2">
      <c r="B42006" s="43"/>
    </row>
    <row r="42007" spans="2:2" ht="12.75" customHeight="1" x14ac:dyDescent="0.2">
      <c r="B42007" s="43"/>
    </row>
    <row r="42008" spans="2:2" ht="12.75" customHeight="1" x14ac:dyDescent="0.2">
      <c r="B42008" s="43"/>
    </row>
    <row r="42009" spans="2:2" ht="12.75" customHeight="1" x14ac:dyDescent="0.2">
      <c r="B42009" s="43"/>
    </row>
    <row r="42010" spans="2:2" ht="12.75" customHeight="1" x14ac:dyDescent="0.2">
      <c r="B42010" s="43"/>
    </row>
    <row r="42011" spans="2:2" ht="12.75" customHeight="1" x14ac:dyDescent="0.2">
      <c r="B42011" s="43"/>
    </row>
    <row r="42012" spans="2:2" ht="12.75" customHeight="1" x14ac:dyDescent="0.2">
      <c r="B42012" s="43"/>
    </row>
    <row r="42013" spans="2:2" ht="12.75" customHeight="1" x14ac:dyDescent="0.2">
      <c r="B42013" s="43"/>
    </row>
    <row r="42014" spans="2:2" ht="12.75" customHeight="1" x14ac:dyDescent="0.2">
      <c r="B42014" s="43"/>
    </row>
    <row r="42015" spans="2:2" ht="12.75" customHeight="1" x14ac:dyDescent="0.2">
      <c r="B42015" s="43"/>
    </row>
    <row r="42016" spans="2:2" ht="12.75" customHeight="1" x14ac:dyDescent="0.2">
      <c r="B42016" s="43"/>
    </row>
    <row r="42017" spans="2:2" ht="12.75" customHeight="1" x14ac:dyDescent="0.2">
      <c r="B42017" s="43"/>
    </row>
    <row r="42018" spans="2:2" ht="12.75" customHeight="1" x14ac:dyDescent="0.2">
      <c r="B42018" s="43"/>
    </row>
    <row r="42019" spans="2:2" ht="12.75" customHeight="1" x14ac:dyDescent="0.2">
      <c r="B42019" s="43"/>
    </row>
    <row r="42020" spans="2:2" ht="12.75" customHeight="1" x14ac:dyDescent="0.2">
      <c r="B42020" s="43"/>
    </row>
    <row r="42021" spans="2:2" ht="12.75" customHeight="1" x14ac:dyDescent="0.2">
      <c r="B42021" s="43"/>
    </row>
    <row r="42022" spans="2:2" ht="12.75" customHeight="1" x14ac:dyDescent="0.2">
      <c r="B42022" s="43"/>
    </row>
    <row r="42023" spans="2:2" ht="12.75" customHeight="1" x14ac:dyDescent="0.2">
      <c r="B42023" s="43"/>
    </row>
    <row r="42024" spans="2:2" ht="12.75" customHeight="1" x14ac:dyDescent="0.2">
      <c r="B42024" s="43"/>
    </row>
    <row r="42025" spans="2:2" ht="12.75" customHeight="1" x14ac:dyDescent="0.2">
      <c r="B42025" s="43"/>
    </row>
    <row r="42026" spans="2:2" ht="12.75" customHeight="1" x14ac:dyDescent="0.2">
      <c r="B42026" s="43"/>
    </row>
    <row r="42027" spans="2:2" ht="12.75" customHeight="1" x14ac:dyDescent="0.2">
      <c r="B42027" s="43"/>
    </row>
    <row r="42028" spans="2:2" ht="12.75" customHeight="1" x14ac:dyDescent="0.2">
      <c r="B42028" s="43"/>
    </row>
    <row r="42029" spans="2:2" ht="12.75" customHeight="1" x14ac:dyDescent="0.2">
      <c r="B42029" s="43"/>
    </row>
    <row r="42030" spans="2:2" ht="12.75" customHeight="1" x14ac:dyDescent="0.2">
      <c r="B42030" s="43"/>
    </row>
    <row r="42031" spans="2:2" ht="12.75" customHeight="1" x14ac:dyDescent="0.2">
      <c r="B42031" s="43"/>
    </row>
    <row r="42032" spans="2:2" ht="12.75" customHeight="1" x14ac:dyDescent="0.2">
      <c r="B42032" s="43"/>
    </row>
    <row r="42033" spans="2:2" ht="12.75" customHeight="1" x14ac:dyDescent="0.2">
      <c r="B42033" s="43"/>
    </row>
    <row r="42034" spans="2:2" ht="12.75" customHeight="1" x14ac:dyDescent="0.2">
      <c r="B42034" s="43"/>
    </row>
    <row r="42035" spans="2:2" ht="12.75" customHeight="1" x14ac:dyDescent="0.2">
      <c r="B42035" s="43"/>
    </row>
    <row r="42036" spans="2:2" ht="12.75" customHeight="1" x14ac:dyDescent="0.2">
      <c r="B42036" s="43"/>
    </row>
    <row r="42037" spans="2:2" ht="12.75" customHeight="1" x14ac:dyDescent="0.2">
      <c r="B42037" s="43"/>
    </row>
    <row r="42038" spans="2:2" ht="12.75" customHeight="1" x14ac:dyDescent="0.2">
      <c r="B42038" s="43"/>
    </row>
    <row r="42039" spans="2:2" ht="12.75" customHeight="1" x14ac:dyDescent="0.2">
      <c r="B42039" s="43"/>
    </row>
    <row r="42040" spans="2:2" ht="12.75" customHeight="1" x14ac:dyDescent="0.2">
      <c r="B42040" s="43"/>
    </row>
    <row r="42041" spans="2:2" ht="12.75" customHeight="1" x14ac:dyDescent="0.2">
      <c r="B42041" s="43"/>
    </row>
    <row r="42042" spans="2:2" ht="12.75" customHeight="1" x14ac:dyDescent="0.2">
      <c r="B42042" s="43"/>
    </row>
    <row r="42043" spans="2:2" ht="12.75" customHeight="1" x14ac:dyDescent="0.2">
      <c r="B42043" s="43"/>
    </row>
    <row r="42044" spans="2:2" ht="12.75" customHeight="1" x14ac:dyDescent="0.2">
      <c r="B42044" s="43"/>
    </row>
    <row r="42045" spans="2:2" ht="12.75" customHeight="1" x14ac:dyDescent="0.2">
      <c r="B42045" s="43"/>
    </row>
    <row r="42046" spans="2:2" ht="12.75" customHeight="1" x14ac:dyDescent="0.2">
      <c r="B42046" s="43"/>
    </row>
    <row r="42047" spans="2:2" ht="12.75" customHeight="1" x14ac:dyDescent="0.2">
      <c r="B42047" s="43"/>
    </row>
    <row r="42048" spans="2:2" ht="12.75" customHeight="1" x14ac:dyDescent="0.2">
      <c r="B42048" s="43"/>
    </row>
    <row r="42049" spans="2:2" ht="12.75" customHeight="1" x14ac:dyDescent="0.2">
      <c r="B42049" s="43"/>
    </row>
    <row r="42050" spans="2:2" ht="12.75" customHeight="1" x14ac:dyDescent="0.2">
      <c r="B42050" s="43"/>
    </row>
    <row r="42051" spans="2:2" ht="12.75" customHeight="1" x14ac:dyDescent="0.2">
      <c r="B42051" s="43"/>
    </row>
    <row r="42052" spans="2:2" ht="12.75" customHeight="1" x14ac:dyDescent="0.2">
      <c r="B42052" s="43"/>
    </row>
    <row r="42053" spans="2:2" ht="12.75" customHeight="1" x14ac:dyDescent="0.2">
      <c r="B42053" s="43"/>
    </row>
    <row r="42054" spans="2:2" ht="12.75" customHeight="1" x14ac:dyDescent="0.2">
      <c r="B42054" s="43"/>
    </row>
    <row r="42055" spans="2:2" ht="12.75" customHeight="1" x14ac:dyDescent="0.2">
      <c r="B42055" s="43"/>
    </row>
    <row r="42056" spans="2:2" ht="12.75" customHeight="1" x14ac:dyDescent="0.2">
      <c r="B42056" s="43"/>
    </row>
    <row r="42057" spans="2:2" ht="12.75" customHeight="1" x14ac:dyDescent="0.2">
      <c r="B42057" s="43"/>
    </row>
    <row r="42058" spans="2:2" ht="12.75" customHeight="1" x14ac:dyDescent="0.2">
      <c r="B42058" s="43"/>
    </row>
    <row r="42059" spans="2:2" ht="12.75" customHeight="1" x14ac:dyDescent="0.2">
      <c r="B42059" s="43"/>
    </row>
    <row r="42060" spans="2:2" ht="12.75" customHeight="1" x14ac:dyDescent="0.2">
      <c r="B42060" s="43"/>
    </row>
    <row r="42061" spans="2:2" ht="12.75" customHeight="1" x14ac:dyDescent="0.2">
      <c r="B42061" s="43"/>
    </row>
    <row r="42062" spans="2:2" ht="12.75" customHeight="1" x14ac:dyDescent="0.2">
      <c r="B42062" s="43"/>
    </row>
    <row r="42063" spans="2:2" ht="12.75" customHeight="1" x14ac:dyDescent="0.2">
      <c r="B42063" s="43"/>
    </row>
    <row r="42064" spans="2:2" ht="12.75" customHeight="1" x14ac:dyDescent="0.2">
      <c r="B42064" s="43"/>
    </row>
    <row r="42065" spans="2:2" ht="12.75" customHeight="1" x14ac:dyDescent="0.2">
      <c r="B42065" s="43"/>
    </row>
    <row r="42066" spans="2:2" ht="12.75" customHeight="1" x14ac:dyDescent="0.2">
      <c r="B42066" s="43"/>
    </row>
    <row r="42067" spans="2:2" ht="12.75" customHeight="1" x14ac:dyDescent="0.2">
      <c r="B42067" s="43"/>
    </row>
    <row r="42068" spans="2:2" ht="12.75" customHeight="1" x14ac:dyDescent="0.2">
      <c r="B42068" s="43"/>
    </row>
    <row r="42069" spans="2:2" ht="12.75" customHeight="1" x14ac:dyDescent="0.2">
      <c r="B42069" s="43"/>
    </row>
    <row r="42070" spans="2:2" ht="12.75" customHeight="1" x14ac:dyDescent="0.2">
      <c r="B42070" s="43"/>
    </row>
    <row r="42071" spans="2:2" ht="12.75" customHeight="1" x14ac:dyDescent="0.2">
      <c r="B42071" s="43"/>
    </row>
    <row r="42072" spans="2:2" ht="12.75" customHeight="1" x14ac:dyDescent="0.2">
      <c r="B42072" s="43"/>
    </row>
    <row r="42073" spans="2:2" ht="12.75" customHeight="1" x14ac:dyDescent="0.2">
      <c r="B42073" s="43"/>
    </row>
    <row r="42074" spans="2:2" ht="12.75" customHeight="1" x14ac:dyDescent="0.2">
      <c r="B42074" s="43"/>
    </row>
    <row r="42075" spans="2:2" ht="12.75" customHeight="1" x14ac:dyDescent="0.2">
      <c r="B42075" s="43"/>
    </row>
    <row r="42076" spans="2:2" ht="12.75" customHeight="1" x14ac:dyDescent="0.2">
      <c r="B42076" s="43"/>
    </row>
    <row r="42077" spans="2:2" ht="12.75" customHeight="1" x14ac:dyDescent="0.2">
      <c r="B42077" s="43"/>
    </row>
    <row r="42078" spans="2:2" ht="12.75" customHeight="1" x14ac:dyDescent="0.2">
      <c r="B42078" s="43"/>
    </row>
    <row r="42079" spans="2:2" ht="12.75" customHeight="1" x14ac:dyDescent="0.2">
      <c r="B42079" s="43"/>
    </row>
    <row r="42080" spans="2:2" ht="12.75" customHeight="1" x14ac:dyDescent="0.2">
      <c r="B42080" s="43"/>
    </row>
    <row r="42081" spans="2:2" ht="12.75" customHeight="1" x14ac:dyDescent="0.2">
      <c r="B42081" s="43"/>
    </row>
    <row r="42082" spans="2:2" ht="12.75" customHeight="1" x14ac:dyDescent="0.2">
      <c r="B42082" s="43"/>
    </row>
    <row r="42083" spans="2:2" ht="12.75" customHeight="1" x14ac:dyDescent="0.2">
      <c r="B42083" s="43"/>
    </row>
    <row r="42084" spans="2:2" ht="12.75" customHeight="1" x14ac:dyDescent="0.2">
      <c r="B42084" s="43"/>
    </row>
    <row r="42085" spans="2:2" ht="12.75" customHeight="1" x14ac:dyDescent="0.2">
      <c r="B42085" s="43"/>
    </row>
    <row r="42086" spans="2:2" ht="12.75" customHeight="1" x14ac:dyDescent="0.2">
      <c r="B42086" s="43"/>
    </row>
    <row r="42087" spans="2:2" ht="12.75" customHeight="1" x14ac:dyDescent="0.2">
      <c r="B42087" s="43"/>
    </row>
    <row r="42088" spans="2:2" ht="12.75" customHeight="1" x14ac:dyDescent="0.2">
      <c r="B42088" s="43"/>
    </row>
    <row r="42089" spans="2:2" ht="12.75" customHeight="1" x14ac:dyDescent="0.2">
      <c r="B42089" s="43"/>
    </row>
    <row r="42090" spans="2:2" ht="12.75" customHeight="1" x14ac:dyDescent="0.2">
      <c r="B42090" s="43"/>
    </row>
    <row r="42091" spans="2:2" ht="12.75" customHeight="1" x14ac:dyDescent="0.2">
      <c r="B42091" s="43"/>
    </row>
    <row r="42092" spans="2:2" ht="12.75" customHeight="1" x14ac:dyDescent="0.2">
      <c r="B42092" s="43"/>
    </row>
    <row r="42093" spans="2:2" ht="12.75" customHeight="1" x14ac:dyDescent="0.2">
      <c r="B42093" s="43"/>
    </row>
    <row r="42094" spans="2:2" ht="12.75" customHeight="1" x14ac:dyDescent="0.2">
      <c r="B42094" s="43"/>
    </row>
    <row r="42095" spans="2:2" ht="12.75" customHeight="1" x14ac:dyDescent="0.2">
      <c r="B42095" s="43"/>
    </row>
    <row r="42096" spans="2:2" ht="12.75" customHeight="1" x14ac:dyDescent="0.2">
      <c r="B42096" s="43"/>
    </row>
    <row r="42097" spans="2:2" ht="12.75" customHeight="1" x14ac:dyDescent="0.2">
      <c r="B42097" s="43"/>
    </row>
    <row r="42098" spans="2:2" ht="12.75" customHeight="1" x14ac:dyDescent="0.2">
      <c r="B42098" s="43"/>
    </row>
    <row r="42099" spans="2:2" ht="12.75" customHeight="1" x14ac:dyDescent="0.2">
      <c r="B42099" s="43"/>
    </row>
    <row r="42100" spans="2:2" ht="12.75" customHeight="1" x14ac:dyDescent="0.2">
      <c r="B42100" s="43"/>
    </row>
    <row r="42101" spans="2:2" ht="12.75" customHeight="1" x14ac:dyDescent="0.2">
      <c r="B42101" s="43"/>
    </row>
    <row r="42102" spans="2:2" ht="12.75" customHeight="1" x14ac:dyDescent="0.2">
      <c r="B42102" s="43"/>
    </row>
    <row r="42103" spans="2:2" ht="12.75" customHeight="1" x14ac:dyDescent="0.2">
      <c r="B42103" s="43"/>
    </row>
    <row r="42104" spans="2:2" ht="12.75" customHeight="1" x14ac:dyDescent="0.2">
      <c r="B42104" s="43"/>
    </row>
    <row r="42105" spans="2:2" ht="12.75" customHeight="1" x14ac:dyDescent="0.2">
      <c r="B42105" s="43"/>
    </row>
    <row r="42106" spans="2:2" ht="12.75" customHeight="1" x14ac:dyDescent="0.2">
      <c r="B42106" s="43"/>
    </row>
    <row r="42107" spans="2:2" ht="12.75" customHeight="1" x14ac:dyDescent="0.2">
      <c r="B42107" s="43"/>
    </row>
    <row r="42108" spans="2:2" ht="12.75" customHeight="1" x14ac:dyDescent="0.2">
      <c r="B42108" s="43"/>
    </row>
    <row r="42109" spans="2:2" ht="12.75" customHeight="1" x14ac:dyDescent="0.2">
      <c r="B42109" s="43"/>
    </row>
    <row r="42110" spans="2:2" ht="12.75" customHeight="1" x14ac:dyDescent="0.2">
      <c r="B42110" s="43"/>
    </row>
    <row r="42111" spans="2:2" ht="12.75" customHeight="1" x14ac:dyDescent="0.2">
      <c r="B42111" s="43"/>
    </row>
    <row r="42112" spans="2:2" ht="12.75" customHeight="1" x14ac:dyDescent="0.2">
      <c r="B42112" s="43"/>
    </row>
    <row r="42113" spans="2:2" ht="12.75" customHeight="1" x14ac:dyDescent="0.2">
      <c r="B42113" s="43"/>
    </row>
    <row r="42114" spans="2:2" ht="12.75" customHeight="1" x14ac:dyDescent="0.2">
      <c r="B42114" s="43"/>
    </row>
    <row r="42115" spans="2:2" ht="12.75" customHeight="1" x14ac:dyDescent="0.2">
      <c r="B42115" s="43"/>
    </row>
    <row r="42116" spans="2:2" ht="12.75" customHeight="1" x14ac:dyDescent="0.2">
      <c r="B42116" s="43"/>
    </row>
    <row r="42117" spans="2:2" ht="12.75" customHeight="1" x14ac:dyDescent="0.2">
      <c r="B42117" s="43"/>
    </row>
    <row r="42118" spans="2:2" ht="12.75" customHeight="1" x14ac:dyDescent="0.2">
      <c r="B42118" s="43"/>
    </row>
    <row r="42119" spans="2:2" ht="12.75" customHeight="1" x14ac:dyDescent="0.2">
      <c r="B42119" s="43"/>
    </row>
    <row r="42120" spans="2:2" ht="12.75" customHeight="1" x14ac:dyDescent="0.2">
      <c r="B42120" s="43"/>
    </row>
    <row r="42121" spans="2:2" ht="12.75" customHeight="1" x14ac:dyDescent="0.2">
      <c r="B42121" s="43"/>
    </row>
    <row r="42122" spans="2:2" ht="12.75" customHeight="1" x14ac:dyDescent="0.2">
      <c r="B42122" s="43"/>
    </row>
    <row r="42123" spans="2:2" ht="12.75" customHeight="1" x14ac:dyDescent="0.2">
      <c r="B42123" s="43"/>
    </row>
    <row r="42124" spans="2:2" ht="12.75" customHeight="1" x14ac:dyDescent="0.2">
      <c r="B42124" s="43"/>
    </row>
    <row r="42125" spans="2:2" ht="12.75" customHeight="1" x14ac:dyDescent="0.2">
      <c r="B42125" s="43"/>
    </row>
    <row r="42126" spans="2:2" ht="12.75" customHeight="1" x14ac:dyDescent="0.2">
      <c r="B42126" s="43"/>
    </row>
    <row r="42127" spans="2:2" ht="12.75" customHeight="1" x14ac:dyDescent="0.2">
      <c r="B42127" s="43"/>
    </row>
    <row r="42128" spans="2:2" ht="12.75" customHeight="1" x14ac:dyDescent="0.2">
      <c r="B42128" s="43"/>
    </row>
    <row r="42129" spans="2:2" ht="12.75" customHeight="1" x14ac:dyDescent="0.2">
      <c r="B42129" s="43"/>
    </row>
    <row r="42130" spans="2:2" ht="12.75" customHeight="1" x14ac:dyDescent="0.2">
      <c r="B42130" s="43"/>
    </row>
    <row r="42131" spans="2:2" ht="12.75" customHeight="1" x14ac:dyDescent="0.2">
      <c r="B42131" s="43"/>
    </row>
    <row r="42132" spans="2:2" ht="12.75" customHeight="1" x14ac:dyDescent="0.2">
      <c r="B42132" s="43"/>
    </row>
    <row r="42133" spans="2:2" ht="12.75" customHeight="1" x14ac:dyDescent="0.2">
      <c r="B42133" s="43"/>
    </row>
    <row r="42134" spans="2:2" ht="12.75" customHeight="1" x14ac:dyDescent="0.2">
      <c r="B42134" s="43"/>
    </row>
    <row r="42135" spans="2:2" ht="12.75" customHeight="1" x14ac:dyDescent="0.2">
      <c r="B42135" s="43"/>
    </row>
    <row r="42136" spans="2:2" ht="12.75" customHeight="1" x14ac:dyDescent="0.2">
      <c r="B42136" s="43"/>
    </row>
    <row r="42137" spans="2:2" ht="12.75" customHeight="1" x14ac:dyDescent="0.2">
      <c r="B42137" s="43"/>
    </row>
    <row r="42138" spans="2:2" ht="12.75" customHeight="1" x14ac:dyDescent="0.2">
      <c r="B42138" s="43"/>
    </row>
    <row r="42139" spans="2:2" ht="12.75" customHeight="1" x14ac:dyDescent="0.2">
      <c r="B42139" s="43"/>
    </row>
    <row r="42140" spans="2:2" ht="12.75" customHeight="1" x14ac:dyDescent="0.2">
      <c r="B42140" s="43"/>
    </row>
    <row r="42141" spans="2:2" ht="12.75" customHeight="1" x14ac:dyDescent="0.2">
      <c r="B42141" s="43"/>
    </row>
    <row r="42142" spans="2:2" ht="12.75" customHeight="1" x14ac:dyDescent="0.2">
      <c r="B42142" s="43"/>
    </row>
    <row r="42143" spans="2:2" ht="12.75" customHeight="1" x14ac:dyDescent="0.2">
      <c r="B42143" s="43"/>
    </row>
    <row r="42144" spans="2:2" ht="12.75" customHeight="1" x14ac:dyDescent="0.2">
      <c r="B42144" s="43"/>
    </row>
    <row r="42145" spans="2:2" ht="12.75" customHeight="1" x14ac:dyDescent="0.2">
      <c r="B42145" s="43"/>
    </row>
    <row r="42146" spans="2:2" ht="12.75" customHeight="1" x14ac:dyDescent="0.2">
      <c r="B42146" s="43"/>
    </row>
    <row r="42147" spans="2:2" ht="12.75" customHeight="1" x14ac:dyDescent="0.2">
      <c r="B42147" s="43"/>
    </row>
    <row r="42148" spans="2:2" ht="12.75" customHeight="1" x14ac:dyDescent="0.2">
      <c r="B42148" s="43"/>
    </row>
    <row r="42149" spans="2:2" ht="12.75" customHeight="1" x14ac:dyDescent="0.2">
      <c r="B42149" s="43"/>
    </row>
    <row r="42150" spans="2:2" ht="12.75" customHeight="1" x14ac:dyDescent="0.2">
      <c r="B42150" s="43"/>
    </row>
    <row r="42151" spans="2:2" ht="12.75" customHeight="1" x14ac:dyDescent="0.2">
      <c r="B42151" s="43"/>
    </row>
    <row r="42152" spans="2:2" ht="12.75" customHeight="1" x14ac:dyDescent="0.2">
      <c r="B42152" s="43"/>
    </row>
    <row r="42153" spans="2:2" ht="12.75" customHeight="1" x14ac:dyDescent="0.2">
      <c r="B42153" s="43"/>
    </row>
    <row r="42154" spans="2:2" ht="12.75" customHeight="1" x14ac:dyDescent="0.2">
      <c r="B42154" s="43"/>
    </row>
    <row r="42155" spans="2:2" ht="12.75" customHeight="1" x14ac:dyDescent="0.2">
      <c r="B42155" s="43"/>
    </row>
    <row r="42156" spans="2:2" ht="12.75" customHeight="1" x14ac:dyDescent="0.2">
      <c r="B42156" s="43"/>
    </row>
    <row r="42157" spans="2:2" ht="12.75" customHeight="1" x14ac:dyDescent="0.2">
      <c r="B42157" s="43"/>
    </row>
    <row r="42158" spans="2:2" ht="12.75" customHeight="1" x14ac:dyDescent="0.2">
      <c r="B42158" s="43"/>
    </row>
    <row r="42159" spans="2:2" ht="12.75" customHeight="1" x14ac:dyDescent="0.2">
      <c r="B42159" s="43"/>
    </row>
    <row r="42160" spans="2:2" ht="12.75" customHeight="1" x14ac:dyDescent="0.2">
      <c r="B42160" s="43"/>
    </row>
    <row r="42161" spans="2:2" ht="12.75" customHeight="1" x14ac:dyDescent="0.2">
      <c r="B42161" s="43"/>
    </row>
    <row r="42162" spans="2:2" ht="12.75" customHeight="1" x14ac:dyDescent="0.2">
      <c r="B42162" s="43"/>
    </row>
    <row r="42163" spans="2:2" ht="12.75" customHeight="1" x14ac:dyDescent="0.2">
      <c r="B42163" s="43"/>
    </row>
    <row r="42164" spans="2:2" ht="12.75" customHeight="1" x14ac:dyDescent="0.2">
      <c r="B42164" s="43"/>
    </row>
    <row r="42165" spans="2:2" ht="12.75" customHeight="1" x14ac:dyDescent="0.2">
      <c r="B42165" s="43"/>
    </row>
    <row r="42166" spans="2:2" ht="12.75" customHeight="1" x14ac:dyDescent="0.2">
      <c r="B42166" s="43"/>
    </row>
    <row r="42167" spans="2:2" ht="12.75" customHeight="1" x14ac:dyDescent="0.2">
      <c r="B42167" s="43"/>
    </row>
    <row r="42168" spans="2:2" ht="12.75" customHeight="1" x14ac:dyDescent="0.2">
      <c r="B42168" s="43"/>
    </row>
    <row r="42169" spans="2:2" ht="12.75" customHeight="1" x14ac:dyDescent="0.2">
      <c r="B42169" s="43"/>
    </row>
    <row r="42170" spans="2:2" ht="12.75" customHeight="1" x14ac:dyDescent="0.2">
      <c r="B42170" s="43"/>
    </row>
    <row r="42171" spans="2:2" ht="12.75" customHeight="1" x14ac:dyDescent="0.2">
      <c r="B42171" s="43"/>
    </row>
    <row r="42172" spans="2:2" ht="12.75" customHeight="1" x14ac:dyDescent="0.2">
      <c r="B42172" s="43"/>
    </row>
    <row r="42173" spans="2:2" ht="12.75" customHeight="1" x14ac:dyDescent="0.2">
      <c r="B42173" s="43"/>
    </row>
    <row r="42174" spans="2:2" ht="12.75" customHeight="1" x14ac:dyDescent="0.2">
      <c r="B42174" s="43"/>
    </row>
    <row r="42175" spans="2:2" ht="12.75" customHeight="1" x14ac:dyDescent="0.2">
      <c r="B42175" s="43"/>
    </row>
    <row r="42176" spans="2:2" ht="12.75" customHeight="1" x14ac:dyDescent="0.2">
      <c r="B42176" s="43"/>
    </row>
    <row r="42177" spans="2:2" ht="12.75" customHeight="1" x14ac:dyDescent="0.2">
      <c r="B42177" s="43"/>
    </row>
    <row r="42178" spans="2:2" ht="12.75" customHeight="1" x14ac:dyDescent="0.2">
      <c r="B42178" s="43"/>
    </row>
    <row r="42179" spans="2:2" ht="12.75" customHeight="1" x14ac:dyDescent="0.2">
      <c r="B42179" s="43"/>
    </row>
    <row r="42180" spans="2:2" ht="12.75" customHeight="1" x14ac:dyDescent="0.2">
      <c r="B42180" s="43"/>
    </row>
    <row r="42181" spans="2:2" ht="12.75" customHeight="1" x14ac:dyDescent="0.2">
      <c r="B42181" s="43"/>
    </row>
    <row r="42182" spans="2:2" ht="12.75" customHeight="1" x14ac:dyDescent="0.2">
      <c r="B42182" s="43"/>
    </row>
    <row r="42183" spans="2:2" ht="12.75" customHeight="1" x14ac:dyDescent="0.2">
      <c r="B42183" s="43"/>
    </row>
    <row r="42184" spans="2:2" ht="12.75" customHeight="1" x14ac:dyDescent="0.2">
      <c r="B42184" s="43"/>
    </row>
    <row r="42185" spans="2:2" ht="12.75" customHeight="1" x14ac:dyDescent="0.2">
      <c r="B42185" s="43"/>
    </row>
    <row r="42186" spans="2:2" ht="12.75" customHeight="1" x14ac:dyDescent="0.2">
      <c r="B42186" s="43"/>
    </row>
    <row r="42187" spans="2:2" ht="12.75" customHeight="1" x14ac:dyDescent="0.2">
      <c r="B42187" s="43"/>
    </row>
    <row r="42188" spans="2:2" ht="12.75" customHeight="1" x14ac:dyDescent="0.2">
      <c r="B42188" s="43"/>
    </row>
    <row r="42189" spans="2:2" ht="12.75" customHeight="1" x14ac:dyDescent="0.2">
      <c r="B42189" s="43"/>
    </row>
    <row r="42190" spans="2:2" ht="12.75" customHeight="1" x14ac:dyDescent="0.2">
      <c r="B42190" s="43"/>
    </row>
    <row r="42191" spans="2:2" ht="12.75" customHeight="1" x14ac:dyDescent="0.2">
      <c r="B42191" s="43"/>
    </row>
    <row r="42192" spans="2:2" ht="12.75" customHeight="1" x14ac:dyDescent="0.2">
      <c r="B42192" s="43"/>
    </row>
    <row r="42193" spans="2:2" ht="12.75" customHeight="1" x14ac:dyDescent="0.2">
      <c r="B42193" s="43"/>
    </row>
    <row r="42194" spans="2:2" ht="12.75" customHeight="1" x14ac:dyDescent="0.2">
      <c r="B42194" s="43"/>
    </row>
    <row r="42195" spans="2:2" ht="12.75" customHeight="1" x14ac:dyDescent="0.2">
      <c r="B42195" s="43"/>
    </row>
    <row r="42196" spans="2:2" ht="12.75" customHeight="1" x14ac:dyDescent="0.2">
      <c r="B42196" s="43"/>
    </row>
    <row r="42197" spans="2:2" ht="12.75" customHeight="1" x14ac:dyDescent="0.2">
      <c r="B42197" s="43"/>
    </row>
    <row r="42198" spans="2:2" ht="12.75" customHeight="1" x14ac:dyDescent="0.2">
      <c r="B42198" s="43"/>
    </row>
    <row r="42199" spans="2:2" ht="12.75" customHeight="1" x14ac:dyDescent="0.2">
      <c r="B42199" s="43"/>
    </row>
    <row r="42200" spans="2:2" ht="12.75" customHeight="1" x14ac:dyDescent="0.2">
      <c r="B42200" s="43"/>
    </row>
    <row r="42201" spans="2:2" ht="12.75" customHeight="1" x14ac:dyDescent="0.2">
      <c r="B42201" s="43"/>
    </row>
    <row r="42202" spans="2:2" ht="12.75" customHeight="1" x14ac:dyDescent="0.2">
      <c r="B42202" s="43"/>
    </row>
    <row r="42203" spans="2:2" ht="12.75" customHeight="1" x14ac:dyDescent="0.2">
      <c r="B42203" s="43"/>
    </row>
    <row r="42204" spans="2:2" ht="12.75" customHeight="1" x14ac:dyDescent="0.2">
      <c r="B42204" s="43"/>
    </row>
    <row r="42205" spans="2:2" ht="12.75" customHeight="1" x14ac:dyDescent="0.2">
      <c r="B42205" s="43"/>
    </row>
    <row r="42206" spans="2:2" ht="12.75" customHeight="1" x14ac:dyDescent="0.2">
      <c r="B42206" s="43"/>
    </row>
    <row r="42207" spans="2:2" ht="12.75" customHeight="1" x14ac:dyDescent="0.2">
      <c r="B42207" s="43"/>
    </row>
    <row r="42208" spans="2:2" ht="12.75" customHeight="1" x14ac:dyDescent="0.2">
      <c r="B42208" s="43"/>
    </row>
    <row r="42209" spans="2:2" ht="12.75" customHeight="1" x14ac:dyDescent="0.2">
      <c r="B42209" s="43"/>
    </row>
    <row r="42210" spans="2:2" ht="12.75" customHeight="1" x14ac:dyDescent="0.2">
      <c r="B42210" s="43"/>
    </row>
    <row r="42211" spans="2:2" ht="12.75" customHeight="1" x14ac:dyDescent="0.2">
      <c r="B42211" s="43"/>
    </row>
    <row r="42212" spans="2:2" ht="12.75" customHeight="1" x14ac:dyDescent="0.2">
      <c r="B42212" s="43"/>
    </row>
    <row r="42213" spans="2:2" ht="12.75" customHeight="1" x14ac:dyDescent="0.2">
      <c r="B42213" s="43"/>
    </row>
    <row r="42214" spans="2:2" ht="12.75" customHeight="1" x14ac:dyDescent="0.2">
      <c r="B42214" s="43"/>
    </row>
    <row r="42215" spans="2:2" ht="12.75" customHeight="1" x14ac:dyDescent="0.2">
      <c r="B42215" s="43"/>
    </row>
    <row r="42216" spans="2:2" ht="12.75" customHeight="1" x14ac:dyDescent="0.2">
      <c r="B42216" s="43"/>
    </row>
    <row r="42217" spans="2:2" ht="12.75" customHeight="1" x14ac:dyDescent="0.2">
      <c r="B42217" s="43"/>
    </row>
    <row r="42218" spans="2:2" ht="12.75" customHeight="1" x14ac:dyDescent="0.2">
      <c r="B42218" s="43"/>
    </row>
    <row r="42219" spans="2:2" ht="12.75" customHeight="1" x14ac:dyDescent="0.2">
      <c r="B42219" s="43"/>
    </row>
    <row r="42220" spans="2:2" ht="12.75" customHeight="1" x14ac:dyDescent="0.2">
      <c r="B42220" s="43"/>
    </row>
    <row r="42221" spans="2:2" ht="12.75" customHeight="1" x14ac:dyDescent="0.2">
      <c r="B42221" s="43"/>
    </row>
    <row r="42222" spans="2:2" ht="12.75" customHeight="1" x14ac:dyDescent="0.2">
      <c r="B42222" s="43"/>
    </row>
    <row r="42223" spans="2:2" ht="12.75" customHeight="1" x14ac:dyDescent="0.2">
      <c r="B42223" s="43"/>
    </row>
    <row r="42224" spans="2:2" ht="12.75" customHeight="1" x14ac:dyDescent="0.2">
      <c r="B42224" s="43"/>
    </row>
    <row r="42225" spans="2:2" ht="12.75" customHeight="1" x14ac:dyDescent="0.2">
      <c r="B42225" s="43"/>
    </row>
    <row r="42226" spans="2:2" ht="12.75" customHeight="1" x14ac:dyDescent="0.2">
      <c r="B42226" s="43"/>
    </row>
    <row r="42227" spans="2:2" ht="12.75" customHeight="1" x14ac:dyDescent="0.2">
      <c r="B42227" s="43"/>
    </row>
    <row r="42228" spans="2:2" ht="12.75" customHeight="1" x14ac:dyDescent="0.2">
      <c r="B42228" s="43"/>
    </row>
    <row r="42229" spans="2:2" ht="12.75" customHeight="1" x14ac:dyDescent="0.2">
      <c r="B42229" s="43"/>
    </row>
    <row r="42230" spans="2:2" ht="12.75" customHeight="1" x14ac:dyDescent="0.2">
      <c r="B42230" s="43"/>
    </row>
    <row r="42231" spans="2:2" ht="12.75" customHeight="1" x14ac:dyDescent="0.2">
      <c r="B42231" s="43"/>
    </row>
    <row r="42232" spans="2:2" ht="12.75" customHeight="1" x14ac:dyDescent="0.2">
      <c r="B42232" s="43"/>
    </row>
    <row r="42233" spans="2:2" ht="12.75" customHeight="1" x14ac:dyDescent="0.2">
      <c r="B42233" s="43"/>
    </row>
    <row r="42234" spans="2:2" ht="12.75" customHeight="1" x14ac:dyDescent="0.2">
      <c r="B42234" s="43"/>
    </row>
    <row r="42235" spans="2:2" ht="12.75" customHeight="1" x14ac:dyDescent="0.2">
      <c r="B42235" s="43"/>
    </row>
    <row r="42236" spans="2:2" ht="12.75" customHeight="1" x14ac:dyDescent="0.2">
      <c r="B42236" s="43"/>
    </row>
    <row r="42237" spans="2:2" ht="12.75" customHeight="1" x14ac:dyDescent="0.2">
      <c r="B42237" s="43"/>
    </row>
    <row r="42238" spans="2:2" ht="12.75" customHeight="1" x14ac:dyDescent="0.2">
      <c r="B42238" s="43"/>
    </row>
    <row r="42239" spans="2:2" ht="12.75" customHeight="1" x14ac:dyDescent="0.2">
      <c r="B42239" s="43"/>
    </row>
    <row r="42240" spans="2:2" ht="12.75" customHeight="1" x14ac:dyDescent="0.2">
      <c r="B42240" s="43"/>
    </row>
    <row r="42241" spans="2:2" ht="12.75" customHeight="1" x14ac:dyDescent="0.2">
      <c r="B42241" s="43"/>
    </row>
    <row r="42242" spans="2:2" ht="12.75" customHeight="1" x14ac:dyDescent="0.2">
      <c r="B42242" s="43"/>
    </row>
    <row r="42243" spans="2:2" ht="12.75" customHeight="1" x14ac:dyDescent="0.2">
      <c r="B42243" s="43"/>
    </row>
    <row r="42244" spans="2:2" ht="12.75" customHeight="1" x14ac:dyDescent="0.2">
      <c r="B42244" s="43"/>
    </row>
    <row r="42245" spans="2:2" ht="12.75" customHeight="1" x14ac:dyDescent="0.2">
      <c r="B42245" s="43"/>
    </row>
    <row r="42246" spans="2:2" ht="12.75" customHeight="1" x14ac:dyDescent="0.2">
      <c r="B42246" s="43"/>
    </row>
    <row r="42247" spans="2:2" ht="12.75" customHeight="1" x14ac:dyDescent="0.2">
      <c r="B42247" s="43"/>
    </row>
    <row r="42248" spans="2:2" ht="12.75" customHeight="1" x14ac:dyDescent="0.2">
      <c r="B42248" s="43"/>
    </row>
    <row r="42249" spans="2:2" ht="12.75" customHeight="1" x14ac:dyDescent="0.2">
      <c r="B42249" s="43"/>
    </row>
    <row r="42250" spans="2:2" ht="12.75" customHeight="1" x14ac:dyDescent="0.2">
      <c r="B42250" s="43"/>
    </row>
    <row r="42251" spans="2:2" ht="12.75" customHeight="1" x14ac:dyDescent="0.2">
      <c r="B42251" s="43"/>
    </row>
    <row r="42252" spans="2:2" ht="12.75" customHeight="1" x14ac:dyDescent="0.2">
      <c r="B42252" s="43"/>
    </row>
    <row r="42253" spans="2:2" ht="12.75" customHeight="1" x14ac:dyDescent="0.2">
      <c r="B42253" s="43"/>
    </row>
    <row r="42254" spans="2:2" ht="12.75" customHeight="1" x14ac:dyDescent="0.2">
      <c r="B42254" s="43"/>
    </row>
    <row r="42255" spans="2:2" ht="12.75" customHeight="1" x14ac:dyDescent="0.2">
      <c r="B42255" s="43"/>
    </row>
    <row r="42256" spans="2:2" ht="12.75" customHeight="1" x14ac:dyDescent="0.2">
      <c r="B42256" s="43"/>
    </row>
    <row r="42257" spans="2:2" ht="12.75" customHeight="1" x14ac:dyDescent="0.2">
      <c r="B42257" s="43"/>
    </row>
    <row r="42258" spans="2:2" ht="12.75" customHeight="1" x14ac:dyDescent="0.2">
      <c r="B42258" s="43"/>
    </row>
    <row r="42259" spans="2:2" ht="12.75" customHeight="1" x14ac:dyDescent="0.2">
      <c r="B42259" s="43"/>
    </row>
    <row r="42260" spans="2:2" ht="12.75" customHeight="1" x14ac:dyDescent="0.2">
      <c r="B42260" s="43"/>
    </row>
    <row r="42261" spans="2:2" ht="12.75" customHeight="1" x14ac:dyDescent="0.2">
      <c r="B42261" s="43"/>
    </row>
    <row r="42262" spans="2:2" ht="12.75" customHeight="1" x14ac:dyDescent="0.2">
      <c r="B42262" s="43"/>
    </row>
    <row r="42263" spans="2:2" ht="12.75" customHeight="1" x14ac:dyDescent="0.2">
      <c r="B42263" s="43"/>
    </row>
    <row r="42264" spans="2:2" ht="12.75" customHeight="1" x14ac:dyDescent="0.2">
      <c r="B42264" s="43"/>
    </row>
    <row r="42265" spans="2:2" ht="12.75" customHeight="1" x14ac:dyDescent="0.2">
      <c r="B42265" s="43"/>
    </row>
    <row r="42266" spans="2:2" ht="12.75" customHeight="1" x14ac:dyDescent="0.2">
      <c r="B42266" s="43"/>
    </row>
    <row r="42267" spans="2:2" ht="12.75" customHeight="1" x14ac:dyDescent="0.2">
      <c r="B42267" s="43"/>
    </row>
    <row r="42268" spans="2:2" ht="12.75" customHeight="1" x14ac:dyDescent="0.2">
      <c r="B42268" s="43"/>
    </row>
    <row r="42269" spans="2:2" ht="12.75" customHeight="1" x14ac:dyDescent="0.2">
      <c r="B42269" s="43"/>
    </row>
    <row r="42270" spans="2:2" ht="12.75" customHeight="1" x14ac:dyDescent="0.2">
      <c r="B42270" s="43"/>
    </row>
    <row r="42271" spans="2:2" ht="12.75" customHeight="1" x14ac:dyDescent="0.2">
      <c r="B42271" s="43"/>
    </row>
    <row r="42272" spans="2:2" ht="12.75" customHeight="1" x14ac:dyDescent="0.2">
      <c r="B42272" s="43"/>
    </row>
    <row r="42273" spans="2:2" ht="12.75" customHeight="1" x14ac:dyDescent="0.2">
      <c r="B42273" s="43"/>
    </row>
    <row r="42274" spans="2:2" ht="12.75" customHeight="1" x14ac:dyDescent="0.2">
      <c r="B42274" s="43"/>
    </row>
    <row r="42275" spans="2:2" ht="12.75" customHeight="1" x14ac:dyDescent="0.2">
      <c r="B42275" s="43"/>
    </row>
    <row r="42276" spans="2:2" ht="12.75" customHeight="1" x14ac:dyDescent="0.2">
      <c r="B42276" s="43"/>
    </row>
    <row r="42277" spans="2:2" ht="12.75" customHeight="1" x14ac:dyDescent="0.2">
      <c r="B42277" s="43"/>
    </row>
    <row r="42278" spans="2:2" ht="12.75" customHeight="1" x14ac:dyDescent="0.2">
      <c r="B42278" s="43"/>
    </row>
    <row r="42279" spans="2:2" ht="12.75" customHeight="1" x14ac:dyDescent="0.2">
      <c r="B42279" s="43"/>
    </row>
    <row r="42280" spans="2:2" ht="12.75" customHeight="1" x14ac:dyDescent="0.2">
      <c r="B42280" s="43"/>
    </row>
    <row r="42281" spans="2:2" ht="12.75" customHeight="1" x14ac:dyDescent="0.2">
      <c r="B42281" s="43"/>
    </row>
    <row r="42282" spans="2:2" ht="12.75" customHeight="1" x14ac:dyDescent="0.2">
      <c r="B42282" s="43"/>
    </row>
    <row r="42283" spans="2:2" ht="12.75" customHeight="1" x14ac:dyDescent="0.2">
      <c r="B42283" s="43"/>
    </row>
    <row r="42284" spans="2:2" ht="12.75" customHeight="1" x14ac:dyDescent="0.2">
      <c r="B42284" s="43"/>
    </row>
    <row r="42285" spans="2:2" ht="12.75" customHeight="1" x14ac:dyDescent="0.2">
      <c r="B42285" s="43"/>
    </row>
    <row r="42286" spans="2:2" ht="12.75" customHeight="1" x14ac:dyDescent="0.2">
      <c r="B42286" s="43"/>
    </row>
    <row r="42287" spans="2:2" ht="12.75" customHeight="1" x14ac:dyDescent="0.2">
      <c r="B42287" s="43"/>
    </row>
    <row r="42288" spans="2:2" ht="12.75" customHeight="1" x14ac:dyDescent="0.2">
      <c r="B42288" s="43"/>
    </row>
    <row r="42289" spans="2:2" ht="12.75" customHeight="1" x14ac:dyDescent="0.2">
      <c r="B42289" s="43"/>
    </row>
    <row r="42290" spans="2:2" ht="12.75" customHeight="1" x14ac:dyDescent="0.2">
      <c r="B42290" s="43"/>
    </row>
    <row r="42291" spans="2:2" ht="12.75" customHeight="1" x14ac:dyDescent="0.2">
      <c r="B42291" s="43"/>
    </row>
    <row r="42292" spans="2:2" ht="12.75" customHeight="1" x14ac:dyDescent="0.2">
      <c r="B42292" s="43"/>
    </row>
    <row r="42293" spans="2:2" ht="12.75" customHeight="1" x14ac:dyDescent="0.2">
      <c r="B42293" s="43"/>
    </row>
    <row r="42294" spans="2:2" ht="12.75" customHeight="1" x14ac:dyDescent="0.2">
      <c r="B42294" s="43"/>
    </row>
    <row r="42295" spans="2:2" ht="12.75" customHeight="1" x14ac:dyDescent="0.2">
      <c r="B42295" s="43"/>
    </row>
    <row r="42296" spans="2:2" ht="12.75" customHeight="1" x14ac:dyDescent="0.2">
      <c r="B42296" s="43"/>
    </row>
    <row r="42297" spans="2:2" ht="12.75" customHeight="1" x14ac:dyDescent="0.2">
      <c r="B42297" s="43"/>
    </row>
    <row r="42298" spans="2:2" ht="12.75" customHeight="1" x14ac:dyDescent="0.2">
      <c r="B42298" s="43"/>
    </row>
    <row r="42299" spans="2:2" ht="12.75" customHeight="1" x14ac:dyDescent="0.2">
      <c r="B42299" s="43"/>
    </row>
    <row r="42300" spans="2:2" ht="12.75" customHeight="1" x14ac:dyDescent="0.2">
      <c r="B42300" s="43"/>
    </row>
    <row r="42301" spans="2:2" ht="12.75" customHeight="1" x14ac:dyDescent="0.2">
      <c r="B42301" s="43"/>
    </row>
    <row r="42302" spans="2:2" ht="12.75" customHeight="1" x14ac:dyDescent="0.2">
      <c r="B42302" s="43"/>
    </row>
    <row r="42303" spans="2:2" ht="12.75" customHeight="1" x14ac:dyDescent="0.2">
      <c r="B42303" s="43"/>
    </row>
    <row r="42304" spans="2:2" ht="12.75" customHeight="1" x14ac:dyDescent="0.2">
      <c r="B42304" s="43"/>
    </row>
    <row r="42305" spans="2:2" ht="12.75" customHeight="1" x14ac:dyDescent="0.2">
      <c r="B42305" s="43"/>
    </row>
    <row r="42306" spans="2:2" ht="12.75" customHeight="1" x14ac:dyDescent="0.2">
      <c r="B42306" s="43"/>
    </row>
    <row r="42307" spans="2:2" ht="12.75" customHeight="1" x14ac:dyDescent="0.2">
      <c r="B42307" s="43"/>
    </row>
    <row r="42308" spans="2:2" ht="12.75" customHeight="1" x14ac:dyDescent="0.2">
      <c r="B42308" s="43"/>
    </row>
    <row r="42309" spans="2:2" ht="12.75" customHeight="1" x14ac:dyDescent="0.2">
      <c r="B42309" s="43"/>
    </row>
    <row r="42310" spans="2:2" ht="12.75" customHeight="1" x14ac:dyDescent="0.2">
      <c r="B42310" s="43"/>
    </row>
    <row r="42311" spans="2:2" ht="12.75" customHeight="1" x14ac:dyDescent="0.2">
      <c r="B42311" s="43"/>
    </row>
    <row r="42312" spans="2:2" ht="12.75" customHeight="1" x14ac:dyDescent="0.2">
      <c r="B42312" s="43"/>
    </row>
    <row r="42313" spans="2:2" ht="12.75" customHeight="1" x14ac:dyDescent="0.2">
      <c r="B42313" s="43"/>
    </row>
    <row r="42314" spans="2:2" ht="12.75" customHeight="1" x14ac:dyDescent="0.2">
      <c r="B42314" s="43"/>
    </row>
    <row r="42315" spans="2:2" ht="12.75" customHeight="1" x14ac:dyDescent="0.2">
      <c r="B42315" s="43"/>
    </row>
    <row r="42316" spans="2:2" ht="12.75" customHeight="1" x14ac:dyDescent="0.2">
      <c r="B42316" s="43"/>
    </row>
    <row r="42317" spans="2:2" ht="12.75" customHeight="1" x14ac:dyDescent="0.2">
      <c r="B42317" s="43"/>
    </row>
    <row r="42318" spans="2:2" ht="12.75" customHeight="1" x14ac:dyDescent="0.2">
      <c r="B42318" s="43"/>
    </row>
    <row r="42319" spans="2:2" ht="12.75" customHeight="1" x14ac:dyDescent="0.2">
      <c r="B42319" s="43"/>
    </row>
    <row r="42320" spans="2:2" ht="12.75" customHeight="1" x14ac:dyDescent="0.2">
      <c r="B42320" s="43"/>
    </row>
    <row r="42321" spans="2:2" ht="12.75" customHeight="1" x14ac:dyDescent="0.2">
      <c r="B42321" s="43"/>
    </row>
    <row r="42322" spans="2:2" ht="12.75" customHeight="1" x14ac:dyDescent="0.2">
      <c r="B42322" s="43"/>
    </row>
    <row r="42323" spans="2:2" ht="12.75" customHeight="1" x14ac:dyDescent="0.2">
      <c r="B42323" s="43"/>
    </row>
    <row r="42324" spans="2:2" ht="12.75" customHeight="1" x14ac:dyDescent="0.2">
      <c r="B42324" s="43"/>
    </row>
    <row r="42325" spans="2:2" ht="12.75" customHeight="1" x14ac:dyDescent="0.2">
      <c r="B42325" s="43"/>
    </row>
    <row r="42326" spans="2:2" ht="12.75" customHeight="1" x14ac:dyDescent="0.2">
      <c r="B42326" s="43"/>
    </row>
    <row r="42327" spans="2:2" ht="12.75" customHeight="1" x14ac:dyDescent="0.2">
      <c r="B42327" s="43"/>
    </row>
    <row r="42328" spans="2:2" ht="12.75" customHeight="1" x14ac:dyDescent="0.2">
      <c r="B42328" s="43"/>
    </row>
    <row r="42329" spans="2:2" ht="12.75" customHeight="1" x14ac:dyDescent="0.2">
      <c r="B42329" s="43"/>
    </row>
    <row r="42330" spans="2:2" ht="12.75" customHeight="1" x14ac:dyDescent="0.2">
      <c r="B42330" s="43"/>
    </row>
    <row r="42331" spans="2:2" ht="12.75" customHeight="1" x14ac:dyDescent="0.2">
      <c r="B42331" s="43"/>
    </row>
    <row r="42332" spans="2:2" ht="12.75" customHeight="1" x14ac:dyDescent="0.2">
      <c r="B42332" s="43"/>
    </row>
    <row r="42333" spans="2:2" ht="12.75" customHeight="1" x14ac:dyDescent="0.2">
      <c r="B42333" s="43"/>
    </row>
    <row r="42334" spans="2:2" ht="12.75" customHeight="1" x14ac:dyDescent="0.2">
      <c r="B42334" s="43"/>
    </row>
    <row r="42335" spans="2:2" ht="12.75" customHeight="1" x14ac:dyDescent="0.2">
      <c r="B42335" s="43"/>
    </row>
    <row r="42336" spans="2:2" ht="12.75" customHeight="1" x14ac:dyDescent="0.2">
      <c r="B42336" s="43"/>
    </row>
    <row r="42337" spans="2:2" ht="12.75" customHeight="1" x14ac:dyDescent="0.2">
      <c r="B42337" s="43"/>
    </row>
    <row r="42338" spans="2:2" ht="12.75" customHeight="1" x14ac:dyDescent="0.2">
      <c r="B42338" s="43"/>
    </row>
    <row r="42339" spans="2:2" ht="12.75" customHeight="1" x14ac:dyDescent="0.2">
      <c r="B42339" s="43"/>
    </row>
    <row r="42340" spans="2:2" ht="12.75" customHeight="1" x14ac:dyDescent="0.2">
      <c r="B42340" s="43"/>
    </row>
    <row r="42341" spans="2:2" ht="12.75" customHeight="1" x14ac:dyDescent="0.2">
      <c r="B42341" s="43"/>
    </row>
    <row r="42342" spans="2:2" ht="12.75" customHeight="1" x14ac:dyDescent="0.2">
      <c r="B42342" s="43"/>
    </row>
    <row r="42343" spans="2:2" ht="12.75" customHeight="1" x14ac:dyDescent="0.2">
      <c r="B42343" s="43"/>
    </row>
    <row r="42344" spans="2:2" ht="12.75" customHeight="1" x14ac:dyDescent="0.2">
      <c r="B42344" s="43"/>
    </row>
    <row r="42345" spans="2:2" ht="12.75" customHeight="1" x14ac:dyDescent="0.2">
      <c r="B42345" s="43"/>
    </row>
    <row r="42346" spans="2:2" ht="12.75" customHeight="1" x14ac:dyDescent="0.2">
      <c r="B42346" s="43"/>
    </row>
    <row r="42347" spans="2:2" ht="12.75" customHeight="1" x14ac:dyDescent="0.2">
      <c r="B42347" s="43"/>
    </row>
    <row r="42348" spans="2:2" ht="12.75" customHeight="1" x14ac:dyDescent="0.2">
      <c r="B42348" s="43"/>
    </row>
    <row r="42349" spans="2:2" ht="12.75" customHeight="1" x14ac:dyDescent="0.2">
      <c r="B42349" s="43"/>
    </row>
    <row r="42350" spans="2:2" ht="12.75" customHeight="1" x14ac:dyDescent="0.2">
      <c r="B42350" s="43"/>
    </row>
    <row r="42351" spans="2:2" ht="12.75" customHeight="1" x14ac:dyDescent="0.2">
      <c r="B42351" s="43"/>
    </row>
    <row r="42352" spans="2:2" ht="12.75" customHeight="1" x14ac:dyDescent="0.2">
      <c r="B42352" s="43"/>
    </row>
    <row r="42353" spans="2:2" ht="12.75" customHeight="1" x14ac:dyDescent="0.2">
      <c r="B42353" s="43"/>
    </row>
    <row r="42354" spans="2:2" ht="12.75" customHeight="1" x14ac:dyDescent="0.2">
      <c r="B42354" s="43"/>
    </row>
    <row r="42355" spans="2:2" ht="12.75" customHeight="1" x14ac:dyDescent="0.2">
      <c r="B42355" s="43"/>
    </row>
    <row r="42356" spans="2:2" ht="12.75" customHeight="1" x14ac:dyDescent="0.2">
      <c r="B42356" s="43"/>
    </row>
    <row r="42357" spans="2:2" ht="12.75" customHeight="1" x14ac:dyDescent="0.2">
      <c r="B42357" s="43"/>
    </row>
    <row r="42358" spans="2:2" ht="12.75" customHeight="1" x14ac:dyDescent="0.2">
      <c r="B42358" s="43"/>
    </row>
    <row r="42359" spans="2:2" ht="12.75" customHeight="1" x14ac:dyDescent="0.2">
      <c r="B42359" s="43"/>
    </row>
    <row r="42360" spans="2:2" ht="12.75" customHeight="1" x14ac:dyDescent="0.2">
      <c r="B42360" s="43"/>
    </row>
    <row r="42361" spans="2:2" ht="12.75" customHeight="1" x14ac:dyDescent="0.2">
      <c r="B42361" s="43"/>
    </row>
    <row r="42362" spans="2:2" ht="12.75" customHeight="1" x14ac:dyDescent="0.2">
      <c r="B42362" s="43"/>
    </row>
    <row r="42363" spans="2:2" ht="12.75" customHeight="1" x14ac:dyDescent="0.2">
      <c r="B42363" s="43"/>
    </row>
    <row r="42364" spans="2:2" ht="12.75" customHeight="1" x14ac:dyDescent="0.2">
      <c r="B42364" s="43"/>
    </row>
    <row r="42365" spans="2:2" ht="12.75" customHeight="1" x14ac:dyDescent="0.2">
      <c r="B42365" s="43"/>
    </row>
    <row r="42366" spans="2:2" ht="12.75" customHeight="1" x14ac:dyDescent="0.2">
      <c r="B42366" s="43"/>
    </row>
    <row r="42367" spans="2:2" ht="12.75" customHeight="1" x14ac:dyDescent="0.2">
      <c r="B42367" s="43"/>
    </row>
    <row r="42368" spans="2:2" ht="12.75" customHeight="1" x14ac:dyDescent="0.2">
      <c r="B42368" s="43"/>
    </row>
    <row r="42369" spans="2:2" ht="12.75" customHeight="1" x14ac:dyDescent="0.2">
      <c r="B42369" s="43"/>
    </row>
    <row r="42370" spans="2:2" ht="12.75" customHeight="1" x14ac:dyDescent="0.2">
      <c r="B42370" s="43"/>
    </row>
    <row r="42371" spans="2:2" ht="12.75" customHeight="1" x14ac:dyDescent="0.2">
      <c r="B42371" s="43"/>
    </row>
    <row r="42372" spans="2:2" ht="12.75" customHeight="1" x14ac:dyDescent="0.2">
      <c r="B42372" s="43"/>
    </row>
    <row r="42373" spans="2:2" ht="12.75" customHeight="1" x14ac:dyDescent="0.2">
      <c r="B42373" s="43"/>
    </row>
    <row r="42374" spans="2:2" ht="12.75" customHeight="1" x14ac:dyDescent="0.2">
      <c r="B42374" s="43"/>
    </row>
    <row r="42375" spans="2:2" ht="12.75" customHeight="1" x14ac:dyDescent="0.2">
      <c r="B42375" s="43"/>
    </row>
    <row r="42376" spans="2:2" ht="12.75" customHeight="1" x14ac:dyDescent="0.2">
      <c r="B42376" s="43"/>
    </row>
    <row r="42377" spans="2:2" ht="12.75" customHeight="1" x14ac:dyDescent="0.2">
      <c r="B42377" s="43"/>
    </row>
    <row r="42378" spans="2:2" ht="12.75" customHeight="1" x14ac:dyDescent="0.2">
      <c r="B42378" s="43"/>
    </row>
    <row r="42379" spans="2:2" ht="12.75" customHeight="1" x14ac:dyDescent="0.2">
      <c r="B42379" s="43"/>
    </row>
    <row r="42380" spans="2:2" ht="12.75" customHeight="1" x14ac:dyDescent="0.2">
      <c r="B42380" s="43"/>
    </row>
    <row r="42381" spans="2:2" ht="12.75" customHeight="1" x14ac:dyDescent="0.2">
      <c r="B42381" s="43"/>
    </row>
    <row r="42382" spans="2:2" ht="12.75" customHeight="1" x14ac:dyDescent="0.2">
      <c r="B42382" s="43"/>
    </row>
    <row r="42383" spans="2:2" ht="12.75" customHeight="1" x14ac:dyDescent="0.2">
      <c r="B42383" s="43"/>
    </row>
    <row r="42384" spans="2:2" ht="12.75" customHeight="1" x14ac:dyDescent="0.2">
      <c r="B42384" s="43"/>
    </row>
    <row r="42385" spans="2:2" ht="12.75" customHeight="1" x14ac:dyDescent="0.2">
      <c r="B42385" s="43"/>
    </row>
    <row r="42386" spans="2:2" ht="12.75" customHeight="1" x14ac:dyDescent="0.2">
      <c r="B42386" s="43"/>
    </row>
    <row r="42387" spans="2:2" ht="12.75" customHeight="1" x14ac:dyDescent="0.2">
      <c r="B42387" s="43"/>
    </row>
    <row r="42388" spans="2:2" ht="12.75" customHeight="1" x14ac:dyDescent="0.2">
      <c r="B42388" s="43"/>
    </row>
    <row r="42389" spans="2:2" ht="12.75" customHeight="1" x14ac:dyDescent="0.2">
      <c r="B42389" s="43"/>
    </row>
    <row r="42390" spans="2:2" ht="12.75" customHeight="1" x14ac:dyDescent="0.2">
      <c r="B42390" s="43"/>
    </row>
    <row r="42391" spans="2:2" ht="12.75" customHeight="1" x14ac:dyDescent="0.2">
      <c r="B42391" s="43"/>
    </row>
    <row r="42392" spans="2:2" ht="12.75" customHeight="1" x14ac:dyDescent="0.2">
      <c r="B42392" s="43"/>
    </row>
    <row r="42393" spans="2:2" ht="12.75" customHeight="1" x14ac:dyDescent="0.2">
      <c r="B42393" s="43"/>
    </row>
    <row r="42394" spans="2:2" ht="12.75" customHeight="1" x14ac:dyDescent="0.2">
      <c r="B42394" s="43"/>
    </row>
    <row r="42395" spans="2:2" ht="12.75" customHeight="1" x14ac:dyDescent="0.2">
      <c r="B42395" s="43"/>
    </row>
    <row r="42396" spans="2:2" ht="12.75" customHeight="1" x14ac:dyDescent="0.2">
      <c r="B42396" s="43"/>
    </row>
    <row r="42397" spans="2:2" ht="12.75" customHeight="1" x14ac:dyDescent="0.2">
      <c r="B42397" s="43"/>
    </row>
    <row r="42398" spans="2:2" ht="12.75" customHeight="1" x14ac:dyDescent="0.2">
      <c r="B42398" s="43"/>
    </row>
    <row r="42399" spans="2:2" ht="12.75" customHeight="1" x14ac:dyDescent="0.2">
      <c r="B42399" s="43"/>
    </row>
    <row r="42400" spans="2:2" ht="12.75" customHeight="1" x14ac:dyDescent="0.2">
      <c r="B42400" s="43"/>
    </row>
    <row r="42401" spans="2:2" ht="12.75" customHeight="1" x14ac:dyDescent="0.2">
      <c r="B42401" s="43"/>
    </row>
    <row r="42402" spans="2:2" ht="12.75" customHeight="1" x14ac:dyDescent="0.2">
      <c r="B42402" s="43"/>
    </row>
    <row r="42403" spans="2:2" ht="12.75" customHeight="1" x14ac:dyDescent="0.2">
      <c r="B42403" s="43"/>
    </row>
    <row r="42404" spans="2:2" ht="12.75" customHeight="1" x14ac:dyDescent="0.2">
      <c r="B42404" s="43"/>
    </row>
    <row r="42405" spans="2:2" ht="12.75" customHeight="1" x14ac:dyDescent="0.2">
      <c r="B42405" s="43"/>
    </row>
    <row r="42406" spans="2:2" ht="12.75" customHeight="1" x14ac:dyDescent="0.2">
      <c r="B42406" s="43"/>
    </row>
    <row r="42407" spans="2:2" ht="12.75" customHeight="1" x14ac:dyDescent="0.2">
      <c r="B42407" s="43"/>
    </row>
    <row r="42408" spans="2:2" ht="12.75" customHeight="1" x14ac:dyDescent="0.2">
      <c r="B42408" s="43"/>
    </row>
    <row r="42409" spans="2:2" ht="12.75" customHeight="1" x14ac:dyDescent="0.2">
      <c r="B42409" s="43"/>
    </row>
    <row r="42410" spans="2:2" ht="12.75" customHeight="1" x14ac:dyDescent="0.2">
      <c r="B42410" s="43"/>
    </row>
    <row r="42411" spans="2:2" ht="12.75" customHeight="1" x14ac:dyDescent="0.2">
      <c r="B42411" s="43"/>
    </row>
    <row r="42412" spans="2:2" ht="12.75" customHeight="1" x14ac:dyDescent="0.2">
      <c r="B42412" s="43"/>
    </row>
    <row r="42413" spans="2:2" ht="12.75" customHeight="1" x14ac:dyDescent="0.2">
      <c r="B42413" s="43"/>
    </row>
    <row r="42414" spans="2:2" ht="12.75" customHeight="1" x14ac:dyDescent="0.2">
      <c r="B42414" s="43"/>
    </row>
    <row r="42415" spans="2:2" ht="12.75" customHeight="1" x14ac:dyDescent="0.2">
      <c r="B42415" s="43"/>
    </row>
    <row r="42416" spans="2:2" ht="12.75" customHeight="1" x14ac:dyDescent="0.2">
      <c r="B42416" s="43"/>
    </row>
    <row r="42417" spans="2:2" ht="12.75" customHeight="1" x14ac:dyDescent="0.2">
      <c r="B42417" s="43"/>
    </row>
    <row r="42418" spans="2:2" ht="12.75" customHeight="1" x14ac:dyDescent="0.2">
      <c r="B42418" s="43"/>
    </row>
    <row r="42419" spans="2:2" ht="12.75" customHeight="1" x14ac:dyDescent="0.2">
      <c r="B42419" s="43"/>
    </row>
    <row r="42420" spans="2:2" ht="12.75" customHeight="1" x14ac:dyDescent="0.2">
      <c r="B42420" s="43"/>
    </row>
    <row r="42421" spans="2:2" ht="12.75" customHeight="1" x14ac:dyDescent="0.2">
      <c r="B42421" s="43"/>
    </row>
    <row r="42422" spans="2:2" ht="12.75" customHeight="1" x14ac:dyDescent="0.2">
      <c r="B42422" s="43"/>
    </row>
    <row r="42423" spans="2:2" ht="12.75" customHeight="1" x14ac:dyDescent="0.2">
      <c r="B42423" s="43"/>
    </row>
    <row r="42424" spans="2:2" ht="12.75" customHeight="1" x14ac:dyDescent="0.2">
      <c r="B42424" s="43"/>
    </row>
    <row r="42425" spans="2:2" ht="12.75" customHeight="1" x14ac:dyDescent="0.2">
      <c r="B42425" s="43"/>
    </row>
    <row r="42426" spans="2:2" ht="12.75" customHeight="1" x14ac:dyDescent="0.2">
      <c r="B42426" s="43"/>
    </row>
    <row r="42427" spans="2:2" ht="12.75" customHeight="1" x14ac:dyDescent="0.2">
      <c r="B42427" s="43"/>
    </row>
    <row r="42428" spans="2:2" ht="12.75" customHeight="1" x14ac:dyDescent="0.2">
      <c r="B42428" s="43"/>
    </row>
    <row r="42429" spans="2:2" ht="12.75" customHeight="1" x14ac:dyDescent="0.2">
      <c r="B42429" s="43"/>
    </row>
    <row r="42430" spans="2:2" ht="12.75" customHeight="1" x14ac:dyDescent="0.2">
      <c r="B42430" s="43"/>
    </row>
    <row r="42431" spans="2:2" ht="12.75" customHeight="1" x14ac:dyDescent="0.2">
      <c r="B42431" s="43"/>
    </row>
    <row r="42432" spans="2:2" ht="12.75" customHeight="1" x14ac:dyDescent="0.2">
      <c r="B42432" s="43"/>
    </row>
    <row r="42433" spans="2:2" ht="12.75" customHeight="1" x14ac:dyDescent="0.2">
      <c r="B42433" s="43"/>
    </row>
    <row r="42434" spans="2:2" ht="12.75" customHeight="1" x14ac:dyDescent="0.2">
      <c r="B42434" s="43"/>
    </row>
    <row r="42435" spans="2:2" ht="12.75" customHeight="1" x14ac:dyDescent="0.2">
      <c r="B42435" s="43"/>
    </row>
    <row r="42436" spans="2:2" ht="12.75" customHeight="1" x14ac:dyDescent="0.2">
      <c r="B42436" s="43"/>
    </row>
    <row r="42437" spans="2:2" ht="12.75" customHeight="1" x14ac:dyDescent="0.2">
      <c r="B42437" s="43"/>
    </row>
    <row r="42438" spans="2:2" ht="12.75" customHeight="1" x14ac:dyDescent="0.2">
      <c r="B42438" s="43"/>
    </row>
    <row r="42439" spans="2:2" ht="12.75" customHeight="1" x14ac:dyDescent="0.2">
      <c r="B42439" s="43"/>
    </row>
    <row r="42440" spans="2:2" ht="12.75" customHeight="1" x14ac:dyDescent="0.2">
      <c r="B42440" s="43"/>
    </row>
    <row r="42441" spans="2:2" ht="12.75" customHeight="1" x14ac:dyDescent="0.2">
      <c r="B42441" s="43"/>
    </row>
    <row r="42442" spans="2:2" ht="12.75" customHeight="1" x14ac:dyDescent="0.2">
      <c r="B42442" s="43"/>
    </row>
    <row r="42443" spans="2:2" ht="12.75" customHeight="1" x14ac:dyDescent="0.2">
      <c r="B42443" s="43"/>
    </row>
    <row r="42444" spans="2:2" ht="12.75" customHeight="1" x14ac:dyDescent="0.2">
      <c r="B42444" s="43"/>
    </row>
    <row r="42445" spans="2:2" ht="12.75" customHeight="1" x14ac:dyDescent="0.2">
      <c r="B42445" s="43"/>
    </row>
    <row r="42446" spans="2:2" ht="12.75" customHeight="1" x14ac:dyDescent="0.2">
      <c r="B42446" s="43"/>
    </row>
    <row r="42447" spans="2:2" ht="12.75" customHeight="1" x14ac:dyDescent="0.2">
      <c r="B42447" s="43"/>
    </row>
    <row r="42448" spans="2:2" ht="12.75" customHeight="1" x14ac:dyDescent="0.2">
      <c r="B42448" s="43"/>
    </row>
    <row r="42449" spans="2:2" ht="12.75" customHeight="1" x14ac:dyDescent="0.2">
      <c r="B42449" s="43"/>
    </row>
    <row r="42450" spans="2:2" ht="12.75" customHeight="1" x14ac:dyDescent="0.2">
      <c r="B42450" s="43"/>
    </row>
    <row r="42451" spans="2:2" ht="12.75" customHeight="1" x14ac:dyDescent="0.2">
      <c r="B42451" s="43"/>
    </row>
    <row r="42452" spans="2:2" ht="12.75" customHeight="1" x14ac:dyDescent="0.2">
      <c r="B42452" s="43"/>
    </row>
    <row r="42453" spans="2:2" ht="12.75" customHeight="1" x14ac:dyDescent="0.2">
      <c r="B42453" s="43"/>
    </row>
    <row r="42454" spans="2:2" ht="12.75" customHeight="1" x14ac:dyDescent="0.2">
      <c r="B42454" s="43"/>
    </row>
    <row r="42455" spans="2:2" ht="12.75" customHeight="1" x14ac:dyDescent="0.2">
      <c r="B42455" s="43"/>
    </row>
    <row r="42456" spans="2:2" ht="12.75" customHeight="1" x14ac:dyDescent="0.2">
      <c r="B42456" s="43"/>
    </row>
    <row r="42457" spans="2:2" ht="12.75" customHeight="1" x14ac:dyDescent="0.2">
      <c r="B42457" s="43"/>
    </row>
    <row r="42458" spans="2:2" ht="12.75" customHeight="1" x14ac:dyDescent="0.2">
      <c r="B42458" s="43"/>
    </row>
    <row r="42459" spans="2:2" ht="12.75" customHeight="1" x14ac:dyDescent="0.2">
      <c r="B42459" s="43"/>
    </row>
    <row r="42460" spans="2:2" ht="12.75" customHeight="1" x14ac:dyDescent="0.2">
      <c r="B42460" s="43"/>
    </row>
    <row r="42461" spans="2:2" ht="12.75" customHeight="1" x14ac:dyDescent="0.2">
      <c r="B42461" s="43"/>
    </row>
    <row r="42462" spans="2:2" ht="12.75" customHeight="1" x14ac:dyDescent="0.2">
      <c r="B42462" s="43"/>
    </row>
    <row r="42463" spans="2:2" ht="12.75" customHeight="1" x14ac:dyDescent="0.2">
      <c r="B42463" s="43"/>
    </row>
    <row r="42464" spans="2:2" ht="12.75" customHeight="1" x14ac:dyDescent="0.2">
      <c r="B42464" s="43"/>
    </row>
    <row r="42465" spans="2:2" ht="12.75" customHeight="1" x14ac:dyDescent="0.2">
      <c r="B42465" s="43"/>
    </row>
    <row r="42466" spans="2:2" ht="12.75" customHeight="1" x14ac:dyDescent="0.2">
      <c r="B42466" s="43"/>
    </row>
    <row r="42467" spans="2:2" ht="12.75" customHeight="1" x14ac:dyDescent="0.2">
      <c r="B42467" s="43"/>
    </row>
    <row r="42468" spans="2:2" ht="12.75" customHeight="1" x14ac:dyDescent="0.2">
      <c r="B42468" s="43"/>
    </row>
    <row r="42469" spans="2:2" ht="12.75" customHeight="1" x14ac:dyDescent="0.2">
      <c r="B42469" s="43"/>
    </row>
    <row r="42470" spans="2:2" ht="12.75" customHeight="1" x14ac:dyDescent="0.2">
      <c r="B42470" s="43"/>
    </row>
    <row r="42471" spans="2:2" ht="12.75" customHeight="1" x14ac:dyDescent="0.2">
      <c r="B42471" s="43"/>
    </row>
    <row r="42472" spans="2:2" ht="12.75" customHeight="1" x14ac:dyDescent="0.2">
      <c r="B42472" s="43"/>
    </row>
    <row r="42473" spans="2:2" ht="12.75" customHeight="1" x14ac:dyDescent="0.2">
      <c r="B42473" s="43"/>
    </row>
    <row r="42474" spans="2:2" ht="12.75" customHeight="1" x14ac:dyDescent="0.2">
      <c r="B42474" s="43"/>
    </row>
    <row r="42475" spans="2:2" ht="12.75" customHeight="1" x14ac:dyDescent="0.2">
      <c r="B42475" s="43"/>
    </row>
    <row r="42476" spans="2:2" ht="12.75" customHeight="1" x14ac:dyDescent="0.2">
      <c r="B42476" s="43"/>
    </row>
    <row r="42477" spans="2:2" ht="12.75" customHeight="1" x14ac:dyDescent="0.2">
      <c r="B42477" s="43"/>
    </row>
    <row r="42478" spans="2:2" ht="12.75" customHeight="1" x14ac:dyDescent="0.2">
      <c r="B42478" s="43"/>
    </row>
    <row r="42479" spans="2:2" ht="12.75" customHeight="1" x14ac:dyDescent="0.2">
      <c r="B42479" s="43"/>
    </row>
    <row r="42480" spans="2:2" ht="12.75" customHeight="1" x14ac:dyDescent="0.2">
      <c r="B42480" s="43"/>
    </row>
    <row r="42481" spans="2:2" ht="12.75" customHeight="1" x14ac:dyDescent="0.2">
      <c r="B42481" s="43"/>
    </row>
    <row r="42482" spans="2:2" ht="12.75" customHeight="1" x14ac:dyDescent="0.2">
      <c r="B42482" s="43"/>
    </row>
    <row r="42483" spans="2:2" ht="12.75" customHeight="1" x14ac:dyDescent="0.2">
      <c r="B42483" s="43"/>
    </row>
    <row r="42484" spans="2:2" ht="12.75" customHeight="1" x14ac:dyDescent="0.2">
      <c r="B42484" s="43"/>
    </row>
    <row r="42485" spans="2:2" ht="12.75" customHeight="1" x14ac:dyDescent="0.2">
      <c r="B42485" s="43"/>
    </row>
    <row r="42486" spans="2:2" ht="12.75" customHeight="1" x14ac:dyDescent="0.2">
      <c r="B42486" s="43"/>
    </row>
    <row r="42487" spans="2:2" ht="12.75" customHeight="1" x14ac:dyDescent="0.2">
      <c r="B42487" s="43"/>
    </row>
    <row r="42488" spans="2:2" ht="12.75" customHeight="1" x14ac:dyDescent="0.2">
      <c r="B42488" s="43"/>
    </row>
    <row r="42489" spans="2:2" ht="12.75" customHeight="1" x14ac:dyDescent="0.2">
      <c r="B42489" s="43"/>
    </row>
    <row r="42490" spans="2:2" ht="12.75" customHeight="1" x14ac:dyDescent="0.2">
      <c r="B42490" s="43"/>
    </row>
    <row r="42491" spans="2:2" ht="12.75" customHeight="1" x14ac:dyDescent="0.2">
      <c r="B42491" s="43"/>
    </row>
    <row r="42492" spans="2:2" ht="12.75" customHeight="1" x14ac:dyDescent="0.2">
      <c r="B42492" s="43"/>
    </row>
    <row r="42493" spans="2:2" ht="12.75" customHeight="1" x14ac:dyDescent="0.2">
      <c r="B42493" s="43"/>
    </row>
    <row r="42494" spans="2:2" ht="12.75" customHeight="1" x14ac:dyDescent="0.2">
      <c r="B42494" s="43"/>
    </row>
    <row r="42495" spans="2:2" ht="12.75" customHeight="1" x14ac:dyDescent="0.2">
      <c r="B42495" s="43"/>
    </row>
    <row r="42496" spans="2:2" ht="12.75" customHeight="1" x14ac:dyDescent="0.2">
      <c r="B42496" s="43"/>
    </row>
    <row r="42497" spans="2:2" ht="12.75" customHeight="1" x14ac:dyDescent="0.2">
      <c r="B42497" s="43"/>
    </row>
    <row r="42498" spans="2:2" ht="12.75" customHeight="1" x14ac:dyDescent="0.2">
      <c r="B42498" s="43"/>
    </row>
    <row r="42499" spans="2:2" ht="12.75" customHeight="1" x14ac:dyDescent="0.2">
      <c r="B42499" s="43"/>
    </row>
    <row r="42500" spans="2:2" ht="12.75" customHeight="1" x14ac:dyDescent="0.2">
      <c r="B42500" s="43"/>
    </row>
    <row r="42501" spans="2:2" ht="12.75" customHeight="1" x14ac:dyDescent="0.2">
      <c r="B42501" s="43"/>
    </row>
    <row r="42502" spans="2:2" ht="12.75" customHeight="1" x14ac:dyDescent="0.2">
      <c r="B42502" s="43"/>
    </row>
    <row r="42503" spans="2:2" ht="12.75" customHeight="1" x14ac:dyDescent="0.2">
      <c r="B42503" s="43"/>
    </row>
    <row r="42504" spans="2:2" ht="12.75" customHeight="1" x14ac:dyDescent="0.2">
      <c r="B42504" s="43"/>
    </row>
    <row r="42505" spans="2:2" ht="12.75" customHeight="1" x14ac:dyDescent="0.2">
      <c r="B42505" s="43"/>
    </row>
    <row r="42506" spans="2:2" ht="12.75" customHeight="1" x14ac:dyDescent="0.2">
      <c r="B42506" s="43"/>
    </row>
    <row r="42507" spans="2:2" ht="12.75" customHeight="1" x14ac:dyDescent="0.2">
      <c r="B42507" s="43"/>
    </row>
    <row r="42508" spans="2:2" ht="12.75" customHeight="1" x14ac:dyDescent="0.2">
      <c r="B42508" s="43"/>
    </row>
    <row r="42509" spans="2:2" ht="12.75" customHeight="1" x14ac:dyDescent="0.2">
      <c r="B42509" s="43"/>
    </row>
    <row r="42510" spans="2:2" ht="12.75" customHeight="1" x14ac:dyDescent="0.2">
      <c r="B42510" s="43"/>
    </row>
    <row r="42511" spans="2:2" ht="12.75" customHeight="1" x14ac:dyDescent="0.2">
      <c r="B42511" s="43"/>
    </row>
    <row r="42512" spans="2:2" ht="12.75" customHeight="1" x14ac:dyDescent="0.2">
      <c r="B42512" s="43"/>
    </row>
    <row r="42513" spans="2:2" ht="12.75" customHeight="1" x14ac:dyDescent="0.2">
      <c r="B42513" s="43"/>
    </row>
    <row r="42514" spans="2:2" ht="12.75" customHeight="1" x14ac:dyDescent="0.2">
      <c r="B42514" s="43"/>
    </row>
    <row r="42515" spans="2:2" ht="12.75" customHeight="1" x14ac:dyDescent="0.2">
      <c r="B42515" s="43"/>
    </row>
    <row r="42516" spans="2:2" ht="12.75" customHeight="1" x14ac:dyDescent="0.2">
      <c r="B42516" s="43"/>
    </row>
    <row r="42517" spans="2:2" ht="12.75" customHeight="1" x14ac:dyDescent="0.2">
      <c r="B42517" s="43"/>
    </row>
    <row r="42518" spans="2:2" ht="12.75" customHeight="1" x14ac:dyDescent="0.2">
      <c r="B42518" s="43"/>
    </row>
    <row r="42519" spans="2:2" ht="12.75" customHeight="1" x14ac:dyDescent="0.2">
      <c r="B42519" s="43"/>
    </row>
    <row r="42520" spans="2:2" ht="12.75" customHeight="1" x14ac:dyDescent="0.2">
      <c r="B42520" s="43"/>
    </row>
    <row r="42521" spans="2:2" ht="12.75" customHeight="1" x14ac:dyDescent="0.2">
      <c r="B42521" s="43"/>
    </row>
    <row r="42522" spans="2:2" ht="12.75" customHeight="1" x14ac:dyDescent="0.2">
      <c r="B42522" s="43"/>
    </row>
    <row r="42523" spans="2:2" ht="12.75" customHeight="1" x14ac:dyDescent="0.2">
      <c r="B42523" s="43"/>
    </row>
    <row r="42524" spans="2:2" ht="12.75" customHeight="1" x14ac:dyDescent="0.2">
      <c r="B42524" s="43"/>
    </row>
    <row r="42525" spans="2:2" ht="12.75" customHeight="1" x14ac:dyDescent="0.2">
      <c r="B42525" s="43"/>
    </row>
    <row r="42526" spans="2:2" ht="12.75" customHeight="1" x14ac:dyDescent="0.2">
      <c r="B42526" s="43"/>
    </row>
    <row r="42527" spans="2:2" ht="12.75" customHeight="1" x14ac:dyDescent="0.2">
      <c r="B42527" s="43"/>
    </row>
    <row r="42528" spans="2:2" ht="12.75" customHeight="1" x14ac:dyDescent="0.2">
      <c r="B42528" s="43"/>
    </row>
    <row r="42529" spans="2:2" ht="12.75" customHeight="1" x14ac:dyDescent="0.2">
      <c r="B42529" s="43"/>
    </row>
    <row r="42530" spans="2:2" ht="12.75" customHeight="1" x14ac:dyDescent="0.2">
      <c r="B42530" s="43"/>
    </row>
    <row r="42531" spans="2:2" ht="12.75" customHeight="1" x14ac:dyDescent="0.2">
      <c r="B42531" s="43"/>
    </row>
    <row r="42532" spans="2:2" ht="12.75" customHeight="1" x14ac:dyDescent="0.2">
      <c r="B42532" s="43"/>
    </row>
    <row r="42533" spans="2:2" ht="12.75" customHeight="1" x14ac:dyDescent="0.2">
      <c r="B42533" s="43"/>
    </row>
    <row r="42534" spans="2:2" ht="12.75" customHeight="1" x14ac:dyDescent="0.2">
      <c r="B42534" s="43"/>
    </row>
    <row r="42535" spans="2:2" ht="12.75" customHeight="1" x14ac:dyDescent="0.2">
      <c r="B42535" s="43"/>
    </row>
    <row r="42536" spans="2:2" ht="12.75" customHeight="1" x14ac:dyDescent="0.2">
      <c r="B42536" s="43"/>
    </row>
    <row r="42537" spans="2:2" ht="12.75" customHeight="1" x14ac:dyDescent="0.2">
      <c r="B42537" s="43"/>
    </row>
    <row r="42538" spans="2:2" ht="12.75" customHeight="1" x14ac:dyDescent="0.2">
      <c r="B42538" s="43"/>
    </row>
    <row r="42539" spans="2:2" ht="12.75" customHeight="1" x14ac:dyDescent="0.2">
      <c r="B42539" s="43"/>
    </row>
    <row r="42540" spans="2:2" ht="12.75" customHeight="1" x14ac:dyDescent="0.2">
      <c r="B42540" s="43"/>
    </row>
    <row r="42541" spans="2:2" ht="12.75" customHeight="1" x14ac:dyDescent="0.2">
      <c r="B42541" s="43"/>
    </row>
    <row r="42542" spans="2:2" ht="12.75" customHeight="1" x14ac:dyDescent="0.2">
      <c r="B42542" s="43"/>
    </row>
    <row r="42543" spans="2:2" ht="12.75" customHeight="1" x14ac:dyDescent="0.2">
      <c r="B42543" s="43"/>
    </row>
    <row r="42544" spans="2:2" ht="12.75" customHeight="1" x14ac:dyDescent="0.2">
      <c r="B42544" s="43"/>
    </row>
    <row r="42545" spans="2:2" ht="12.75" customHeight="1" x14ac:dyDescent="0.2">
      <c r="B42545" s="43"/>
    </row>
    <row r="42546" spans="2:2" ht="12.75" customHeight="1" x14ac:dyDescent="0.2">
      <c r="B42546" s="43"/>
    </row>
    <row r="42547" spans="2:2" ht="12.75" customHeight="1" x14ac:dyDescent="0.2">
      <c r="B42547" s="43"/>
    </row>
    <row r="42548" spans="2:2" ht="12.75" customHeight="1" x14ac:dyDescent="0.2">
      <c r="B42548" s="43"/>
    </row>
    <row r="42549" spans="2:2" ht="12.75" customHeight="1" x14ac:dyDescent="0.2">
      <c r="B42549" s="43"/>
    </row>
    <row r="42550" spans="2:2" ht="12.75" customHeight="1" x14ac:dyDescent="0.2">
      <c r="B42550" s="43"/>
    </row>
    <row r="42551" spans="2:2" ht="12.75" customHeight="1" x14ac:dyDescent="0.2">
      <c r="B42551" s="43"/>
    </row>
    <row r="42552" spans="2:2" ht="12.75" customHeight="1" x14ac:dyDescent="0.2">
      <c r="B42552" s="43"/>
    </row>
    <row r="42553" spans="2:2" ht="12.75" customHeight="1" x14ac:dyDescent="0.2">
      <c r="B42553" s="43"/>
    </row>
    <row r="42554" spans="2:2" ht="12.75" customHeight="1" x14ac:dyDescent="0.2">
      <c r="B42554" s="43"/>
    </row>
    <row r="42555" spans="2:2" ht="12.75" customHeight="1" x14ac:dyDescent="0.2">
      <c r="B42555" s="43"/>
    </row>
    <row r="42556" spans="2:2" ht="12.75" customHeight="1" x14ac:dyDescent="0.2">
      <c r="B42556" s="43"/>
    </row>
    <row r="42557" spans="2:2" ht="12.75" customHeight="1" x14ac:dyDescent="0.2">
      <c r="B42557" s="43"/>
    </row>
    <row r="42558" spans="2:2" ht="12.75" customHeight="1" x14ac:dyDescent="0.2">
      <c r="B42558" s="43"/>
    </row>
    <row r="42559" spans="2:2" ht="12.75" customHeight="1" x14ac:dyDescent="0.2">
      <c r="B42559" s="43"/>
    </row>
    <row r="42560" spans="2:2" ht="12.75" customHeight="1" x14ac:dyDescent="0.2">
      <c r="B42560" s="43"/>
    </row>
    <row r="42561" spans="2:2" ht="12.75" customHeight="1" x14ac:dyDescent="0.2">
      <c r="B42561" s="43"/>
    </row>
    <row r="42562" spans="2:2" ht="12.75" customHeight="1" x14ac:dyDescent="0.2">
      <c r="B42562" s="43"/>
    </row>
    <row r="42563" spans="2:2" ht="12.75" customHeight="1" x14ac:dyDescent="0.2">
      <c r="B42563" s="43"/>
    </row>
    <row r="42564" spans="2:2" ht="12.75" customHeight="1" x14ac:dyDescent="0.2">
      <c r="B42564" s="43"/>
    </row>
    <row r="42565" spans="2:2" ht="12.75" customHeight="1" x14ac:dyDescent="0.2">
      <c r="B42565" s="43"/>
    </row>
    <row r="42566" spans="2:2" ht="12.75" customHeight="1" x14ac:dyDescent="0.2">
      <c r="B42566" s="43"/>
    </row>
    <row r="42567" spans="2:2" ht="12.75" customHeight="1" x14ac:dyDescent="0.2">
      <c r="B42567" s="43"/>
    </row>
    <row r="42568" spans="2:2" ht="12.75" customHeight="1" x14ac:dyDescent="0.2">
      <c r="B42568" s="43"/>
    </row>
    <row r="42569" spans="2:2" ht="12.75" customHeight="1" x14ac:dyDescent="0.2">
      <c r="B42569" s="43"/>
    </row>
    <row r="42570" spans="2:2" ht="12.75" customHeight="1" x14ac:dyDescent="0.2">
      <c r="B42570" s="43"/>
    </row>
    <row r="42571" spans="2:2" ht="12.75" customHeight="1" x14ac:dyDescent="0.2">
      <c r="B42571" s="43"/>
    </row>
    <row r="42572" spans="2:2" ht="12.75" customHeight="1" x14ac:dyDescent="0.2">
      <c r="B42572" s="43"/>
    </row>
    <row r="42573" spans="2:2" ht="12.75" customHeight="1" x14ac:dyDescent="0.2">
      <c r="B42573" s="43"/>
    </row>
    <row r="42574" spans="2:2" ht="12.75" customHeight="1" x14ac:dyDescent="0.2">
      <c r="B42574" s="43"/>
    </row>
    <row r="42575" spans="2:2" ht="12.75" customHeight="1" x14ac:dyDescent="0.2">
      <c r="B42575" s="43"/>
    </row>
    <row r="42576" spans="2:2" ht="12.75" customHeight="1" x14ac:dyDescent="0.2">
      <c r="B42576" s="43"/>
    </row>
    <row r="42577" spans="2:2" ht="12.75" customHeight="1" x14ac:dyDescent="0.2">
      <c r="B42577" s="43"/>
    </row>
    <row r="42578" spans="2:2" ht="12.75" customHeight="1" x14ac:dyDescent="0.2">
      <c r="B42578" s="43"/>
    </row>
    <row r="42579" spans="2:2" ht="12.75" customHeight="1" x14ac:dyDescent="0.2">
      <c r="B42579" s="43"/>
    </row>
    <row r="42580" spans="2:2" ht="12.75" customHeight="1" x14ac:dyDescent="0.2">
      <c r="B42580" s="43"/>
    </row>
    <row r="42581" spans="2:2" ht="12.75" customHeight="1" x14ac:dyDescent="0.2">
      <c r="B42581" s="43"/>
    </row>
    <row r="42582" spans="2:2" ht="12.75" customHeight="1" x14ac:dyDescent="0.2">
      <c r="B42582" s="43"/>
    </row>
    <row r="42583" spans="2:2" ht="12.75" customHeight="1" x14ac:dyDescent="0.2">
      <c r="B42583" s="43"/>
    </row>
    <row r="42584" spans="2:2" ht="12.75" customHeight="1" x14ac:dyDescent="0.2">
      <c r="B42584" s="43"/>
    </row>
    <row r="42585" spans="2:2" ht="12.75" customHeight="1" x14ac:dyDescent="0.2">
      <c r="B42585" s="43"/>
    </row>
    <row r="42586" spans="2:2" ht="12.75" customHeight="1" x14ac:dyDescent="0.2">
      <c r="B42586" s="43"/>
    </row>
    <row r="42587" spans="2:2" ht="12.75" customHeight="1" x14ac:dyDescent="0.2">
      <c r="B42587" s="43"/>
    </row>
    <row r="42588" spans="2:2" ht="12.75" customHeight="1" x14ac:dyDescent="0.2">
      <c r="B42588" s="43"/>
    </row>
    <row r="42589" spans="2:2" ht="12.75" customHeight="1" x14ac:dyDescent="0.2">
      <c r="B42589" s="43"/>
    </row>
    <row r="42590" spans="2:2" ht="12.75" customHeight="1" x14ac:dyDescent="0.2">
      <c r="B42590" s="43"/>
    </row>
    <row r="42591" spans="2:2" ht="12.75" customHeight="1" x14ac:dyDescent="0.2">
      <c r="B42591" s="43"/>
    </row>
    <row r="42592" spans="2:2" ht="12.75" customHeight="1" x14ac:dyDescent="0.2">
      <c r="B42592" s="43"/>
    </row>
    <row r="42593" spans="2:2" ht="12.75" customHeight="1" x14ac:dyDescent="0.2">
      <c r="B42593" s="43"/>
    </row>
    <row r="42594" spans="2:2" ht="12.75" customHeight="1" x14ac:dyDescent="0.2">
      <c r="B42594" s="43"/>
    </row>
    <row r="42595" spans="2:2" ht="12.75" customHeight="1" x14ac:dyDescent="0.2">
      <c r="B42595" s="43"/>
    </row>
    <row r="42596" spans="2:2" ht="12.75" customHeight="1" x14ac:dyDescent="0.2">
      <c r="B42596" s="43"/>
    </row>
    <row r="42597" spans="2:2" ht="12.75" customHeight="1" x14ac:dyDescent="0.2">
      <c r="B42597" s="43"/>
    </row>
    <row r="42598" spans="2:2" ht="12.75" customHeight="1" x14ac:dyDescent="0.2">
      <c r="B42598" s="43"/>
    </row>
    <row r="42599" spans="2:2" ht="12.75" customHeight="1" x14ac:dyDescent="0.2">
      <c r="B42599" s="43"/>
    </row>
    <row r="42600" spans="2:2" ht="12.75" customHeight="1" x14ac:dyDescent="0.2">
      <c r="B42600" s="43"/>
    </row>
    <row r="42601" spans="2:2" ht="12.75" customHeight="1" x14ac:dyDescent="0.2">
      <c r="B42601" s="43"/>
    </row>
    <row r="42602" spans="2:2" ht="12.75" customHeight="1" x14ac:dyDescent="0.2">
      <c r="B42602" s="43"/>
    </row>
    <row r="42603" spans="2:2" ht="12.75" customHeight="1" x14ac:dyDescent="0.2">
      <c r="B42603" s="43"/>
    </row>
    <row r="42604" spans="2:2" ht="12.75" customHeight="1" x14ac:dyDescent="0.2">
      <c r="B42604" s="43"/>
    </row>
    <row r="42605" spans="2:2" ht="12.75" customHeight="1" x14ac:dyDescent="0.2">
      <c r="B42605" s="43"/>
    </row>
    <row r="42606" spans="2:2" ht="12.75" customHeight="1" x14ac:dyDescent="0.2">
      <c r="B42606" s="43"/>
    </row>
    <row r="42607" spans="2:2" ht="12.75" customHeight="1" x14ac:dyDescent="0.2">
      <c r="B42607" s="43"/>
    </row>
    <row r="42608" spans="2:2" ht="12.75" customHeight="1" x14ac:dyDescent="0.2">
      <c r="B42608" s="43"/>
    </row>
    <row r="42609" spans="2:2" ht="12.75" customHeight="1" x14ac:dyDescent="0.2">
      <c r="B42609" s="43"/>
    </row>
    <row r="42610" spans="2:2" ht="12.75" customHeight="1" x14ac:dyDescent="0.2">
      <c r="B42610" s="43"/>
    </row>
    <row r="42611" spans="2:2" ht="12.75" customHeight="1" x14ac:dyDescent="0.2">
      <c r="B42611" s="43"/>
    </row>
    <row r="42612" spans="2:2" ht="12.75" customHeight="1" x14ac:dyDescent="0.2">
      <c r="B42612" s="43"/>
    </row>
    <row r="42613" spans="2:2" ht="12.75" customHeight="1" x14ac:dyDescent="0.2">
      <c r="B42613" s="43"/>
    </row>
    <row r="42614" spans="2:2" ht="12.75" customHeight="1" x14ac:dyDescent="0.2">
      <c r="B42614" s="43"/>
    </row>
    <row r="42615" spans="2:2" ht="12.75" customHeight="1" x14ac:dyDescent="0.2">
      <c r="B42615" s="43"/>
    </row>
    <row r="42616" spans="2:2" ht="12.75" customHeight="1" x14ac:dyDescent="0.2">
      <c r="B42616" s="43"/>
    </row>
    <row r="42617" spans="2:2" ht="12.75" customHeight="1" x14ac:dyDescent="0.2">
      <c r="B42617" s="43"/>
    </row>
    <row r="42618" spans="2:2" ht="12.75" customHeight="1" x14ac:dyDescent="0.2">
      <c r="B42618" s="43"/>
    </row>
    <row r="42619" spans="2:2" ht="12.75" customHeight="1" x14ac:dyDescent="0.2">
      <c r="B42619" s="43"/>
    </row>
    <row r="42620" spans="2:2" ht="12.75" customHeight="1" x14ac:dyDescent="0.2">
      <c r="B42620" s="43"/>
    </row>
    <row r="42621" spans="2:2" ht="12.75" customHeight="1" x14ac:dyDescent="0.2">
      <c r="B42621" s="43"/>
    </row>
    <row r="42622" spans="2:2" ht="12.75" customHeight="1" x14ac:dyDescent="0.2">
      <c r="B42622" s="43"/>
    </row>
    <row r="42623" spans="2:2" ht="12.75" customHeight="1" x14ac:dyDescent="0.2">
      <c r="B42623" s="43"/>
    </row>
    <row r="42624" spans="2:2" ht="12.75" customHeight="1" x14ac:dyDescent="0.2">
      <c r="B42624" s="43"/>
    </row>
    <row r="42625" spans="2:2" ht="12.75" customHeight="1" x14ac:dyDescent="0.2">
      <c r="B42625" s="43"/>
    </row>
    <row r="42626" spans="2:2" ht="12.75" customHeight="1" x14ac:dyDescent="0.2">
      <c r="B42626" s="43"/>
    </row>
    <row r="42627" spans="2:2" ht="12.75" customHeight="1" x14ac:dyDescent="0.2">
      <c r="B42627" s="43"/>
    </row>
    <row r="42628" spans="2:2" ht="12.75" customHeight="1" x14ac:dyDescent="0.2">
      <c r="B42628" s="43"/>
    </row>
    <row r="42629" spans="2:2" ht="12.75" customHeight="1" x14ac:dyDescent="0.2">
      <c r="B42629" s="43"/>
    </row>
    <row r="42630" spans="2:2" ht="12.75" customHeight="1" x14ac:dyDescent="0.2">
      <c r="B42630" s="43"/>
    </row>
    <row r="42631" spans="2:2" ht="12.75" customHeight="1" x14ac:dyDescent="0.2">
      <c r="B42631" s="43"/>
    </row>
    <row r="42632" spans="2:2" ht="12.75" customHeight="1" x14ac:dyDescent="0.2">
      <c r="B42632" s="43"/>
    </row>
    <row r="42633" spans="2:2" ht="12.75" customHeight="1" x14ac:dyDescent="0.2">
      <c r="B42633" s="43"/>
    </row>
    <row r="42634" spans="2:2" ht="12.75" customHeight="1" x14ac:dyDescent="0.2">
      <c r="B42634" s="43"/>
    </row>
    <row r="42635" spans="2:2" ht="12.75" customHeight="1" x14ac:dyDescent="0.2">
      <c r="B42635" s="43"/>
    </row>
    <row r="42636" spans="2:2" ht="12.75" customHeight="1" x14ac:dyDescent="0.2">
      <c r="B42636" s="43"/>
    </row>
    <row r="42637" spans="2:2" ht="12.75" customHeight="1" x14ac:dyDescent="0.2">
      <c r="B42637" s="43"/>
    </row>
    <row r="42638" spans="2:2" ht="12.75" customHeight="1" x14ac:dyDescent="0.2">
      <c r="B42638" s="43"/>
    </row>
    <row r="42639" spans="2:2" ht="12.75" customHeight="1" x14ac:dyDescent="0.2">
      <c r="B42639" s="43"/>
    </row>
    <row r="42640" spans="2:2" ht="12.75" customHeight="1" x14ac:dyDescent="0.2">
      <c r="B42640" s="43"/>
    </row>
    <row r="42641" spans="2:2" ht="12.75" customHeight="1" x14ac:dyDescent="0.2">
      <c r="B42641" s="43"/>
    </row>
    <row r="42642" spans="2:2" ht="12.75" customHeight="1" x14ac:dyDescent="0.2">
      <c r="B42642" s="43"/>
    </row>
    <row r="42643" spans="2:2" ht="12.75" customHeight="1" x14ac:dyDescent="0.2">
      <c r="B42643" s="43"/>
    </row>
    <row r="42644" spans="2:2" ht="12.75" customHeight="1" x14ac:dyDescent="0.2">
      <c r="B42644" s="43"/>
    </row>
    <row r="42645" spans="2:2" ht="12.75" customHeight="1" x14ac:dyDescent="0.2">
      <c r="B42645" s="43"/>
    </row>
    <row r="42646" spans="2:2" ht="12.75" customHeight="1" x14ac:dyDescent="0.2">
      <c r="B42646" s="43"/>
    </row>
    <row r="42647" spans="2:2" ht="12.75" customHeight="1" x14ac:dyDescent="0.2">
      <c r="B42647" s="43"/>
    </row>
    <row r="42648" spans="2:2" ht="12.75" customHeight="1" x14ac:dyDescent="0.2">
      <c r="B42648" s="43"/>
    </row>
    <row r="42649" spans="2:2" ht="12.75" customHeight="1" x14ac:dyDescent="0.2">
      <c r="B42649" s="43"/>
    </row>
    <row r="42650" spans="2:2" ht="12.75" customHeight="1" x14ac:dyDescent="0.2">
      <c r="B42650" s="43"/>
    </row>
    <row r="42651" spans="2:2" ht="12.75" customHeight="1" x14ac:dyDescent="0.2">
      <c r="B42651" s="43"/>
    </row>
    <row r="42652" spans="2:2" ht="12.75" customHeight="1" x14ac:dyDescent="0.2">
      <c r="B42652" s="43"/>
    </row>
    <row r="42653" spans="2:2" ht="12.75" customHeight="1" x14ac:dyDescent="0.2">
      <c r="B42653" s="43"/>
    </row>
    <row r="42654" spans="2:2" ht="12.75" customHeight="1" x14ac:dyDescent="0.2">
      <c r="B42654" s="43"/>
    </row>
    <row r="42655" spans="2:2" ht="12.75" customHeight="1" x14ac:dyDescent="0.2">
      <c r="B42655" s="43"/>
    </row>
    <row r="42656" spans="2:2" ht="12.75" customHeight="1" x14ac:dyDescent="0.2">
      <c r="B42656" s="43"/>
    </row>
    <row r="42657" spans="2:2" ht="12.75" customHeight="1" x14ac:dyDescent="0.2">
      <c r="B42657" s="43"/>
    </row>
    <row r="42658" spans="2:2" ht="12.75" customHeight="1" x14ac:dyDescent="0.2">
      <c r="B42658" s="43"/>
    </row>
    <row r="42659" spans="2:2" ht="12.75" customHeight="1" x14ac:dyDescent="0.2">
      <c r="B42659" s="43"/>
    </row>
    <row r="42660" spans="2:2" ht="12.75" customHeight="1" x14ac:dyDescent="0.2">
      <c r="B42660" s="43"/>
    </row>
    <row r="42661" spans="2:2" ht="12.75" customHeight="1" x14ac:dyDescent="0.2">
      <c r="B42661" s="43"/>
    </row>
    <row r="42662" spans="2:2" ht="12.75" customHeight="1" x14ac:dyDescent="0.2">
      <c r="B42662" s="43"/>
    </row>
    <row r="42663" spans="2:2" ht="12.75" customHeight="1" x14ac:dyDescent="0.2">
      <c r="B42663" s="43"/>
    </row>
    <row r="42664" spans="2:2" ht="12.75" customHeight="1" x14ac:dyDescent="0.2">
      <c r="B42664" s="43"/>
    </row>
    <row r="42665" spans="2:2" ht="12.75" customHeight="1" x14ac:dyDescent="0.2">
      <c r="B42665" s="43"/>
    </row>
    <row r="42666" spans="2:2" ht="12.75" customHeight="1" x14ac:dyDescent="0.2">
      <c r="B42666" s="43"/>
    </row>
    <row r="42667" spans="2:2" ht="12.75" customHeight="1" x14ac:dyDescent="0.2">
      <c r="B42667" s="43"/>
    </row>
    <row r="42668" spans="2:2" ht="12.75" customHeight="1" x14ac:dyDescent="0.2">
      <c r="B42668" s="43"/>
    </row>
    <row r="42669" spans="2:2" ht="12.75" customHeight="1" x14ac:dyDescent="0.2">
      <c r="B42669" s="43"/>
    </row>
    <row r="42670" spans="2:2" ht="12.75" customHeight="1" x14ac:dyDescent="0.2">
      <c r="B42670" s="43"/>
    </row>
    <row r="42671" spans="2:2" ht="12.75" customHeight="1" x14ac:dyDescent="0.2">
      <c r="B42671" s="43"/>
    </row>
    <row r="42672" spans="2:2" ht="12.75" customHeight="1" x14ac:dyDescent="0.2">
      <c r="B42672" s="43"/>
    </row>
    <row r="42673" spans="2:2" ht="12.75" customHeight="1" x14ac:dyDescent="0.2">
      <c r="B42673" s="43"/>
    </row>
    <row r="42674" spans="2:2" ht="12.75" customHeight="1" x14ac:dyDescent="0.2">
      <c r="B42674" s="43"/>
    </row>
    <row r="42675" spans="2:2" ht="12.75" customHeight="1" x14ac:dyDescent="0.2">
      <c r="B42675" s="43"/>
    </row>
    <row r="42676" spans="2:2" ht="12.75" customHeight="1" x14ac:dyDescent="0.2">
      <c r="B42676" s="43"/>
    </row>
    <row r="42677" spans="2:2" ht="12.75" customHeight="1" x14ac:dyDescent="0.2">
      <c r="B42677" s="43"/>
    </row>
    <row r="42678" spans="2:2" ht="12.75" customHeight="1" x14ac:dyDescent="0.2">
      <c r="B42678" s="43"/>
    </row>
    <row r="42679" spans="2:2" ht="12.75" customHeight="1" x14ac:dyDescent="0.2">
      <c r="B42679" s="43"/>
    </row>
    <row r="42680" spans="2:2" ht="12.75" customHeight="1" x14ac:dyDescent="0.2">
      <c r="B42680" s="43"/>
    </row>
    <row r="42681" spans="2:2" ht="12.75" customHeight="1" x14ac:dyDescent="0.2">
      <c r="B42681" s="43"/>
    </row>
    <row r="42682" spans="2:2" ht="12.75" customHeight="1" x14ac:dyDescent="0.2">
      <c r="B42682" s="43"/>
    </row>
    <row r="42683" spans="2:2" ht="12.75" customHeight="1" x14ac:dyDescent="0.2">
      <c r="B42683" s="43"/>
    </row>
    <row r="42684" spans="2:2" ht="12.75" customHeight="1" x14ac:dyDescent="0.2">
      <c r="B42684" s="43"/>
    </row>
    <row r="42685" spans="2:2" ht="12.75" customHeight="1" x14ac:dyDescent="0.2">
      <c r="B42685" s="43"/>
    </row>
    <row r="42686" spans="2:2" ht="12.75" customHeight="1" x14ac:dyDescent="0.2">
      <c r="B42686" s="43"/>
    </row>
    <row r="42687" spans="2:2" ht="12.75" customHeight="1" x14ac:dyDescent="0.2">
      <c r="B42687" s="43"/>
    </row>
    <row r="42688" spans="2:2" ht="12.75" customHeight="1" x14ac:dyDescent="0.2">
      <c r="B42688" s="43"/>
    </row>
    <row r="42689" spans="2:2" ht="12.75" customHeight="1" x14ac:dyDescent="0.2">
      <c r="B42689" s="43"/>
    </row>
    <row r="42690" spans="2:2" ht="12.75" customHeight="1" x14ac:dyDescent="0.2">
      <c r="B42690" s="43"/>
    </row>
    <row r="42691" spans="2:2" ht="12.75" customHeight="1" x14ac:dyDescent="0.2">
      <c r="B42691" s="43"/>
    </row>
    <row r="42692" spans="2:2" ht="12.75" customHeight="1" x14ac:dyDescent="0.2">
      <c r="B42692" s="43"/>
    </row>
    <row r="42693" spans="2:2" ht="12.75" customHeight="1" x14ac:dyDescent="0.2">
      <c r="B42693" s="43"/>
    </row>
    <row r="42694" spans="2:2" ht="12.75" customHeight="1" x14ac:dyDescent="0.2">
      <c r="B42694" s="43"/>
    </row>
    <row r="42695" spans="2:2" ht="12.75" customHeight="1" x14ac:dyDescent="0.2">
      <c r="B42695" s="43"/>
    </row>
    <row r="42696" spans="2:2" ht="12.75" customHeight="1" x14ac:dyDescent="0.2">
      <c r="B42696" s="43"/>
    </row>
    <row r="42697" spans="2:2" ht="12.75" customHeight="1" x14ac:dyDescent="0.2">
      <c r="B42697" s="43"/>
    </row>
    <row r="42698" spans="2:2" ht="12.75" customHeight="1" x14ac:dyDescent="0.2">
      <c r="B42698" s="43"/>
    </row>
    <row r="42699" spans="2:2" ht="12.75" customHeight="1" x14ac:dyDescent="0.2">
      <c r="B42699" s="43"/>
    </row>
    <row r="42700" spans="2:2" ht="12.75" customHeight="1" x14ac:dyDescent="0.2">
      <c r="B42700" s="43"/>
    </row>
    <row r="42701" spans="2:2" ht="12.75" customHeight="1" x14ac:dyDescent="0.2">
      <c r="B42701" s="43"/>
    </row>
    <row r="42702" spans="2:2" ht="12.75" customHeight="1" x14ac:dyDescent="0.2">
      <c r="B42702" s="43"/>
    </row>
    <row r="42703" spans="2:2" ht="12.75" customHeight="1" x14ac:dyDescent="0.2">
      <c r="B42703" s="43"/>
    </row>
    <row r="42704" spans="2:2" ht="12.75" customHeight="1" x14ac:dyDescent="0.2">
      <c r="B42704" s="43"/>
    </row>
    <row r="42705" spans="2:2" ht="12.75" customHeight="1" x14ac:dyDescent="0.2">
      <c r="B42705" s="43"/>
    </row>
    <row r="42706" spans="2:2" ht="12.75" customHeight="1" x14ac:dyDescent="0.2">
      <c r="B42706" s="43"/>
    </row>
    <row r="42707" spans="2:2" ht="12.75" customHeight="1" x14ac:dyDescent="0.2">
      <c r="B42707" s="43"/>
    </row>
    <row r="42708" spans="2:2" ht="12.75" customHeight="1" x14ac:dyDescent="0.2">
      <c r="B42708" s="43"/>
    </row>
    <row r="42709" spans="2:2" ht="12.75" customHeight="1" x14ac:dyDescent="0.2">
      <c r="B42709" s="43"/>
    </row>
    <row r="42710" spans="2:2" ht="12.75" customHeight="1" x14ac:dyDescent="0.2">
      <c r="B42710" s="43"/>
    </row>
    <row r="42711" spans="2:2" ht="12.75" customHeight="1" x14ac:dyDescent="0.2">
      <c r="B42711" s="43"/>
    </row>
    <row r="42712" spans="2:2" ht="12.75" customHeight="1" x14ac:dyDescent="0.2">
      <c r="B42712" s="43"/>
    </row>
    <row r="42713" spans="2:2" ht="12.75" customHeight="1" x14ac:dyDescent="0.2">
      <c r="B42713" s="43"/>
    </row>
    <row r="42714" spans="2:2" ht="12.75" customHeight="1" x14ac:dyDescent="0.2">
      <c r="B42714" s="43"/>
    </row>
    <row r="42715" spans="2:2" ht="12.75" customHeight="1" x14ac:dyDescent="0.2">
      <c r="B42715" s="43"/>
    </row>
    <row r="42716" spans="2:2" ht="12.75" customHeight="1" x14ac:dyDescent="0.2">
      <c r="B42716" s="43"/>
    </row>
    <row r="42717" spans="2:2" ht="12.75" customHeight="1" x14ac:dyDescent="0.2">
      <c r="B42717" s="43"/>
    </row>
    <row r="42718" spans="2:2" ht="12.75" customHeight="1" x14ac:dyDescent="0.2">
      <c r="B42718" s="43"/>
    </row>
    <row r="42719" spans="2:2" ht="12.75" customHeight="1" x14ac:dyDescent="0.2">
      <c r="B42719" s="43"/>
    </row>
    <row r="42720" spans="2:2" ht="12.75" customHeight="1" x14ac:dyDescent="0.2">
      <c r="B42720" s="43"/>
    </row>
    <row r="42721" spans="2:2" ht="12.75" customHeight="1" x14ac:dyDescent="0.2">
      <c r="B42721" s="43"/>
    </row>
    <row r="42722" spans="2:2" ht="12.75" customHeight="1" x14ac:dyDescent="0.2">
      <c r="B42722" s="43"/>
    </row>
    <row r="42723" spans="2:2" ht="12.75" customHeight="1" x14ac:dyDescent="0.2">
      <c r="B42723" s="43"/>
    </row>
    <row r="42724" spans="2:2" ht="12.75" customHeight="1" x14ac:dyDescent="0.2">
      <c r="B42724" s="43"/>
    </row>
    <row r="42725" spans="2:2" ht="12.75" customHeight="1" x14ac:dyDescent="0.2">
      <c r="B42725" s="43"/>
    </row>
    <row r="42726" spans="2:2" ht="12.75" customHeight="1" x14ac:dyDescent="0.2">
      <c r="B42726" s="43"/>
    </row>
    <row r="42727" spans="2:2" ht="12.75" customHeight="1" x14ac:dyDescent="0.2">
      <c r="B42727" s="43"/>
    </row>
    <row r="42728" spans="2:2" ht="12.75" customHeight="1" x14ac:dyDescent="0.2">
      <c r="B42728" s="43"/>
    </row>
    <row r="42729" spans="2:2" ht="12.75" customHeight="1" x14ac:dyDescent="0.2">
      <c r="B42729" s="43"/>
    </row>
    <row r="42730" spans="2:2" ht="12.75" customHeight="1" x14ac:dyDescent="0.2">
      <c r="B42730" s="43"/>
    </row>
    <row r="42731" spans="2:2" ht="12.75" customHeight="1" x14ac:dyDescent="0.2">
      <c r="B42731" s="43"/>
    </row>
    <row r="42732" spans="2:2" ht="12.75" customHeight="1" x14ac:dyDescent="0.2">
      <c r="B42732" s="43"/>
    </row>
    <row r="42733" spans="2:2" ht="12.75" customHeight="1" x14ac:dyDescent="0.2">
      <c r="B42733" s="43"/>
    </row>
    <row r="42734" spans="2:2" ht="12.75" customHeight="1" x14ac:dyDescent="0.2">
      <c r="B42734" s="43"/>
    </row>
    <row r="42735" spans="2:2" ht="12.75" customHeight="1" x14ac:dyDescent="0.2">
      <c r="B42735" s="43"/>
    </row>
    <row r="42736" spans="2:2" ht="12.75" customHeight="1" x14ac:dyDescent="0.2">
      <c r="B42736" s="43"/>
    </row>
    <row r="42737" spans="2:2" ht="12.75" customHeight="1" x14ac:dyDescent="0.2">
      <c r="B42737" s="43"/>
    </row>
    <row r="42738" spans="2:2" ht="12.75" customHeight="1" x14ac:dyDescent="0.2">
      <c r="B42738" s="43"/>
    </row>
    <row r="42739" spans="2:2" ht="12.75" customHeight="1" x14ac:dyDescent="0.2">
      <c r="B42739" s="43"/>
    </row>
    <row r="42740" spans="2:2" ht="12.75" customHeight="1" x14ac:dyDescent="0.2">
      <c r="B42740" s="43"/>
    </row>
    <row r="42741" spans="2:2" ht="12.75" customHeight="1" x14ac:dyDescent="0.2">
      <c r="B42741" s="43"/>
    </row>
    <row r="42742" spans="2:2" ht="12.75" customHeight="1" x14ac:dyDescent="0.2">
      <c r="B42742" s="43"/>
    </row>
    <row r="42743" spans="2:2" ht="12.75" customHeight="1" x14ac:dyDescent="0.2">
      <c r="B42743" s="43"/>
    </row>
    <row r="42744" spans="2:2" ht="12.75" customHeight="1" x14ac:dyDescent="0.2">
      <c r="B42744" s="43"/>
    </row>
    <row r="42745" spans="2:2" ht="12.75" customHeight="1" x14ac:dyDescent="0.2">
      <c r="B42745" s="43"/>
    </row>
    <row r="42746" spans="2:2" ht="12.75" customHeight="1" x14ac:dyDescent="0.2">
      <c r="B42746" s="43"/>
    </row>
    <row r="42747" spans="2:2" ht="12.75" customHeight="1" x14ac:dyDescent="0.2">
      <c r="B42747" s="43"/>
    </row>
    <row r="42748" spans="2:2" ht="12.75" customHeight="1" x14ac:dyDescent="0.2">
      <c r="B42748" s="43"/>
    </row>
    <row r="42749" spans="2:2" ht="12.75" customHeight="1" x14ac:dyDescent="0.2">
      <c r="B42749" s="43"/>
    </row>
    <row r="42750" spans="2:2" ht="12.75" customHeight="1" x14ac:dyDescent="0.2">
      <c r="B42750" s="43"/>
    </row>
    <row r="42751" spans="2:2" ht="12.75" customHeight="1" x14ac:dyDescent="0.2">
      <c r="B42751" s="43"/>
    </row>
    <row r="42752" spans="2:2" ht="12.75" customHeight="1" x14ac:dyDescent="0.2">
      <c r="B42752" s="43"/>
    </row>
    <row r="42753" spans="2:2" ht="12.75" customHeight="1" x14ac:dyDescent="0.2">
      <c r="B42753" s="43"/>
    </row>
    <row r="42754" spans="2:2" ht="12.75" customHeight="1" x14ac:dyDescent="0.2">
      <c r="B42754" s="43"/>
    </row>
    <row r="42755" spans="2:2" ht="12.75" customHeight="1" x14ac:dyDescent="0.2">
      <c r="B42755" s="43"/>
    </row>
    <row r="42756" spans="2:2" ht="12.75" customHeight="1" x14ac:dyDescent="0.2">
      <c r="B42756" s="43"/>
    </row>
    <row r="42757" spans="2:2" ht="12.75" customHeight="1" x14ac:dyDescent="0.2">
      <c r="B42757" s="43"/>
    </row>
    <row r="42758" spans="2:2" ht="12.75" customHeight="1" x14ac:dyDescent="0.2">
      <c r="B42758" s="43"/>
    </row>
    <row r="42759" spans="2:2" ht="12.75" customHeight="1" x14ac:dyDescent="0.2">
      <c r="B42759" s="43"/>
    </row>
    <row r="42760" spans="2:2" ht="12.75" customHeight="1" x14ac:dyDescent="0.2">
      <c r="B42760" s="43"/>
    </row>
    <row r="42761" spans="2:2" ht="12.75" customHeight="1" x14ac:dyDescent="0.2">
      <c r="B42761" s="43"/>
    </row>
    <row r="42762" spans="2:2" ht="12.75" customHeight="1" x14ac:dyDescent="0.2">
      <c r="B42762" s="43"/>
    </row>
    <row r="42763" spans="2:2" ht="12.75" customHeight="1" x14ac:dyDescent="0.2">
      <c r="B42763" s="43"/>
    </row>
    <row r="42764" spans="2:2" ht="12.75" customHeight="1" x14ac:dyDescent="0.2">
      <c r="B42764" s="43"/>
    </row>
    <row r="42765" spans="2:2" ht="12.75" customHeight="1" x14ac:dyDescent="0.2">
      <c r="B42765" s="43"/>
    </row>
    <row r="42766" spans="2:2" ht="12.75" customHeight="1" x14ac:dyDescent="0.2">
      <c r="B42766" s="43"/>
    </row>
    <row r="42767" spans="2:2" ht="12.75" customHeight="1" x14ac:dyDescent="0.2">
      <c r="B42767" s="43"/>
    </row>
    <row r="42768" spans="2:2" ht="12.75" customHeight="1" x14ac:dyDescent="0.2">
      <c r="B42768" s="43"/>
    </row>
    <row r="42769" spans="2:2" ht="12.75" customHeight="1" x14ac:dyDescent="0.2">
      <c r="B42769" s="43"/>
    </row>
    <row r="42770" spans="2:2" ht="12.75" customHeight="1" x14ac:dyDescent="0.2">
      <c r="B42770" s="43"/>
    </row>
    <row r="42771" spans="2:2" ht="12.75" customHeight="1" x14ac:dyDescent="0.2">
      <c r="B42771" s="43"/>
    </row>
    <row r="42772" spans="2:2" ht="12.75" customHeight="1" x14ac:dyDescent="0.2">
      <c r="B42772" s="43"/>
    </row>
    <row r="42773" spans="2:2" ht="12.75" customHeight="1" x14ac:dyDescent="0.2">
      <c r="B42773" s="43"/>
    </row>
    <row r="42774" spans="2:2" ht="12.75" customHeight="1" x14ac:dyDescent="0.2">
      <c r="B42774" s="43"/>
    </row>
    <row r="42775" spans="2:2" ht="12.75" customHeight="1" x14ac:dyDescent="0.2">
      <c r="B42775" s="43"/>
    </row>
    <row r="42776" spans="2:2" ht="12.75" customHeight="1" x14ac:dyDescent="0.2">
      <c r="B42776" s="43"/>
    </row>
    <row r="42777" spans="2:2" ht="12.75" customHeight="1" x14ac:dyDescent="0.2">
      <c r="B42777" s="43"/>
    </row>
    <row r="42778" spans="2:2" ht="12.75" customHeight="1" x14ac:dyDescent="0.2">
      <c r="B42778" s="43"/>
    </row>
    <row r="42779" spans="2:2" ht="12.75" customHeight="1" x14ac:dyDescent="0.2">
      <c r="B42779" s="43"/>
    </row>
    <row r="42780" spans="2:2" ht="12.75" customHeight="1" x14ac:dyDescent="0.2">
      <c r="B42780" s="43"/>
    </row>
    <row r="42781" spans="2:2" ht="12.75" customHeight="1" x14ac:dyDescent="0.2">
      <c r="B42781" s="43"/>
    </row>
    <row r="42782" spans="2:2" ht="12.75" customHeight="1" x14ac:dyDescent="0.2">
      <c r="B42782" s="43"/>
    </row>
    <row r="42783" spans="2:2" ht="12.75" customHeight="1" x14ac:dyDescent="0.2">
      <c r="B42783" s="43"/>
    </row>
    <row r="42784" spans="2:2" ht="12.75" customHeight="1" x14ac:dyDescent="0.2">
      <c r="B42784" s="43"/>
    </row>
    <row r="42785" spans="2:2" ht="12.75" customHeight="1" x14ac:dyDescent="0.2">
      <c r="B42785" s="43"/>
    </row>
    <row r="42786" spans="2:2" ht="12.75" customHeight="1" x14ac:dyDescent="0.2">
      <c r="B42786" s="43"/>
    </row>
    <row r="42787" spans="2:2" ht="12.75" customHeight="1" x14ac:dyDescent="0.2">
      <c r="B42787" s="43"/>
    </row>
    <row r="42788" spans="2:2" ht="12.75" customHeight="1" x14ac:dyDescent="0.2">
      <c r="B42788" s="43"/>
    </row>
    <row r="42789" spans="2:2" ht="12.75" customHeight="1" x14ac:dyDescent="0.2">
      <c r="B42789" s="43"/>
    </row>
    <row r="42790" spans="2:2" ht="12.75" customHeight="1" x14ac:dyDescent="0.2">
      <c r="B42790" s="43"/>
    </row>
    <row r="42791" spans="2:2" ht="12.75" customHeight="1" x14ac:dyDescent="0.2">
      <c r="B42791" s="43"/>
    </row>
    <row r="42792" spans="2:2" ht="12.75" customHeight="1" x14ac:dyDescent="0.2">
      <c r="B42792" s="43"/>
    </row>
    <row r="42793" spans="2:2" ht="12.75" customHeight="1" x14ac:dyDescent="0.2">
      <c r="B42793" s="43"/>
    </row>
    <row r="42794" spans="2:2" ht="12.75" customHeight="1" x14ac:dyDescent="0.2">
      <c r="B42794" s="43"/>
    </row>
    <row r="42795" spans="2:2" ht="12.75" customHeight="1" x14ac:dyDescent="0.2">
      <c r="B42795" s="43"/>
    </row>
    <row r="42796" spans="2:2" ht="12.75" customHeight="1" x14ac:dyDescent="0.2">
      <c r="B42796" s="43"/>
    </row>
    <row r="42797" spans="2:2" ht="12.75" customHeight="1" x14ac:dyDescent="0.2">
      <c r="B42797" s="43"/>
    </row>
    <row r="42798" spans="2:2" ht="12.75" customHeight="1" x14ac:dyDescent="0.2">
      <c r="B42798" s="43"/>
    </row>
    <row r="42799" spans="2:2" ht="12.75" customHeight="1" x14ac:dyDescent="0.2">
      <c r="B42799" s="43"/>
    </row>
    <row r="42800" spans="2:2" ht="12.75" customHeight="1" x14ac:dyDescent="0.2">
      <c r="B42800" s="43"/>
    </row>
    <row r="42801" spans="2:2" ht="12.75" customHeight="1" x14ac:dyDescent="0.2">
      <c r="B42801" s="43"/>
    </row>
    <row r="42802" spans="2:2" ht="12.75" customHeight="1" x14ac:dyDescent="0.2">
      <c r="B42802" s="43"/>
    </row>
    <row r="42803" spans="2:2" ht="12.75" customHeight="1" x14ac:dyDescent="0.2">
      <c r="B42803" s="43"/>
    </row>
    <row r="42804" spans="2:2" ht="12.75" customHeight="1" x14ac:dyDescent="0.2">
      <c r="B42804" s="43"/>
    </row>
    <row r="42805" spans="2:2" ht="12.75" customHeight="1" x14ac:dyDescent="0.2">
      <c r="B42805" s="43"/>
    </row>
    <row r="42806" spans="2:2" ht="12.75" customHeight="1" x14ac:dyDescent="0.2">
      <c r="B42806" s="43"/>
    </row>
    <row r="42807" spans="2:2" ht="12.75" customHeight="1" x14ac:dyDescent="0.2">
      <c r="B42807" s="43"/>
    </row>
    <row r="42808" spans="2:2" ht="12.75" customHeight="1" x14ac:dyDescent="0.2">
      <c r="B42808" s="43"/>
    </row>
    <row r="42809" spans="2:2" ht="12.75" customHeight="1" x14ac:dyDescent="0.2">
      <c r="B42809" s="43"/>
    </row>
    <row r="42810" spans="2:2" ht="12.75" customHeight="1" x14ac:dyDescent="0.2">
      <c r="B42810" s="43"/>
    </row>
    <row r="42811" spans="2:2" ht="12.75" customHeight="1" x14ac:dyDescent="0.2">
      <c r="B42811" s="43"/>
    </row>
    <row r="42812" spans="2:2" ht="12.75" customHeight="1" x14ac:dyDescent="0.2">
      <c r="B42812" s="43"/>
    </row>
    <row r="42813" spans="2:2" ht="12.75" customHeight="1" x14ac:dyDescent="0.2">
      <c r="B42813" s="43"/>
    </row>
    <row r="42814" spans="2:2" ht="12.75" customHeight="1" x14ac:dyDescent="0.2">
      <c r="B42814" s="43"/>
    </row>
    <row r="42815" spans="2:2" ht="12.75" customHeight="1" x14ac:dyDescent="0.2">
      <c r="B42815" s="43"/>
    </row>
    <row r="42816" spans="2:2" ht="12.75" customHeight="1" x14ac:dyDescent="0.2">
      <c r="B42816" s="43"/>
    </row>
    <row r="42817" spans="2:2" ht="12.75" customHeight="1" x14ac:dyDescent="0.2">
      <c r="B42817" s="43"/>
    </row>
    <row r="42818" spans="2:2" ht="12.75" customHeight="1" x14ac:dyDescent="0.2">
      <c r="B42818" s="43"/>
    </row>
    <row r="42819" spans="2:2" ht="12.75" customHeight="1" x14ac:dyDescent="0.2">
      <c r="B42819" s="43"/>
    </row>
    <row r="42820" spans="2:2" ht="12.75" customHeight="1" x14ac:dyDescent="0.2">
      <c r="B42820" s="43"/>
    </row>
    <row r="42821" spans="2:2" ht="12.75" customHeight="1" x14ac:dyDescent="0.2">
      <c r="B42821" s="43"/>
    </row>
    <row r="42822" spans="2:2" ht="12.75" customHeight="1" x14ac:dyDescent="0.2">
      <c r="B42822" s="43"/>
    </row>
    <row r="42823" spans="2:2" ht="12.75" customHeight="1" x14ac:dyDescent="0.2">
      <c r="B42823" s="43"/>
    </row>
    <row r="42824" spans="2:2" ht="12.75" customHeight="1" x14ac:dyDescent="0.2">
      <c r="B42824" s="43"/>
    </row>
    <row r="42825" spans="2:2" ht="12.75" customHeight="1" x14ac:dyDescent="0.2">
      <c r="B42825" s="43"/>
    </row>
    <row r="42826" spans="2:2" ht="12.75" customHeight="1" x14ac:dyDescent="0.2">
      <c r="B42826" s="43"/>
    </row>
    <row r="42827" spans="2:2" ht="12.75" customHeight="1" x14ac:dyDescent="0.2">
      <c r="B42827" s="43"/>
    </row>
    <row r="42828" spans="2:2" ht="12.75" customHeight="1" x14ac:dyDescent="0.2">
      <c r="B42828" s="43"/>
    </row>
    <row r="42829" spans="2:2" ht="12.75" customHeight="1" x14ac:dyDescent="0.2">
      <c r="B42829" s="43"/>
    </row>
    <row r="42830" spans="2:2" ht="12.75" customHeight="1" x14ac:dyDescent="0.2">
      <c r="B42830" s="43"/>
    </row>
    <row r="42831" spans="2:2" ht="12.75" customHeight="1" x14ac:dyDescent="0.2">
      <c r="B42831" s="43"/>
    </row>
    <row r="42832" spans="2:2" ht="12.75" customHeight="1" x14ac:dyDescent="0.2">
      <c r="B42832" s="43"/>
    </row>
    <row r="42833" spans="2:2" ht="12.75" customHeight="1" x14ac:dyDescent="0.2">
      <c r="B42833" s="43"/>
    </row>
    <row r="42834" spans="2:2" ht="12.75" customHeight="1" x14ac:dyDescent="0.2">
      <c r="B42834" s="43"/>
    </row>
    <row r="42835" spans="2:2" ht="12.75" customHeight="1" x14ac:dyDescent="0.2">
      <c r="B42835" s="43"/>
    </row>
    <row r="42836" spans="2:2" ht="12.75" customHeight="1" x14ac:dyDescent="0.2">
      <c r="B42836" s="43"/>
    </row>
    <row r="42837" spans="2:2" ht="12.75" customHeight="1" x14ac:dyDescent="0.2">
      <c r="B42837" s="43"/>
    </row>
    <row r="42838" spans="2:2" ht="12.75" customHeight="1" x14ac:dyDescent="0.2">
      <c r="B42838" s="43"/>
    </row>
    <row r="42839" spans="2:2" ht="12.75" customHeight="1" x14ac:dyDescent="0.2">
      <c r="B42839" s="43"/>
    </row>
    <row r="42840" spans="2:2" ht="12.75" customHeight="1" x14ac:dyDescent="0.2">
      <c r="B42840" s="43"/>
    </row>
    <row r="42841" spans="2:2" ht="12.75" customHeight="1" x14ac:dyDescent="0.2">
      <c r="B42841" s="43"/>
    </row>
    <row r="42842" spans="2:2" ht="12.75" customHeight="1" x14ac:dyDescent="0.2">
      <c r="B42842" s="43"/>
    </row>
    <row r="42843" spans="2:2" ht="12.75" customHeight="1" x14ac:dyDescent="0.2">
      <c r="B42843" s="43"/>
    </row>
    <row r="42844" spans="2:2" ht="12.75" customHeight="1" x14ac:dyDescent="0.2">
      <c r="B42844" s="43"/>
    </row>
    <row r="42845" spans="2:2" ht="12.75" customHeight="1" x14ac:dyDescent="0.2">
      <c r="B42845" s="43"/>
    </row>
    <row r="42846" spans="2:2" ht="12.75" customHeight="1" x14ac:dyDescent="0.2">
      <c r="B42846" s="43"/>
    </row>
    <row r="42847" spans="2:2" ht="12.75" customHeight="1" x14ac:dyDescent="0.2">
      <c r="B42847" s="43"/>
    </row>
    <row r="42848" spans="2:2" ht="12.75" customHeight="1" x14ac:dyDescent="0.2">
      <c r="B42848" s="43"/>
    </row>
    <row r="42849" spans="2:2" ht="12.75" customHeight="1" x14ac:dyDescent="0.2">
      <c r="B42849" s="43"/>
    </row>
    <row r="42850" spans="2:2" ht="12.75" customHeight="1" x14ac:dyDescent="0.2">
      <c r="B42850" s="43"/>
    </row>
    <row r="42851" spans="2:2" ht="12.75" customHeight="1" x14ac:dyDescent="0.2">
      <c r="B42851" s="43"/>
    </row>
    <row r="42852" spans="2:2" ht="12.75" customHeight="1" x14ac:dyDescent="0.2">
      <c r="B42852" s="43"/>
    </row>
    <row r="42853" spans="2:2" ht="12.75" customHeight="1" x14ac:dyDescent="0.2">
      <c r="B42853" s="43"/>
    </row>
    <row r="42854" spans="2:2" ht="12.75" customHeight="1" x14ac:dyDescent="0.2">
      <c r="B42854" s="43"/>
    </row>
    <row r="42855" spans="2:2" ht="12.75" customHeight="1" x14ac:dyDescent="0.2">
      <c r="B42855" s="43"/>
    </row>
    <row r="42856" spans="2:2" ht="12.75" customHeight="1" x14ac:dyDescent="0.2">
      <c r="B42856" s="43"/>
    </row>
    <row r="42857" spans="2:2" ht="12.75" customHeight="1" x14ac:dyDescent="0.2">
      <c r="B42857" s="43"/>
    </row>
    <row r="42858" spans="2:2" ht="12.75" customHeight="1" x14ac:dyDescent="0.2">
      <c r="B42858" s="43"/>
    </row>
    <row r="42859" spans="2:2" ht="12.75" customHeight="1" x14ac:dyDescent="0.2">
      <c r="B42859" s="43"/>
    </row>
    <row r="42860" spans="2:2" ht="12.75" customHeight="1" x14ac:dyDescent="0.2">
      <c r="B42860" s="43"/>
    </row>
    <row r="42861" spans="2:2" ht="12.75" customHeight="1" x14ac:dyDescent="0.2">
      <c r="B42861" s="43"/>
    </row>
    <row r="42862" spans="2:2" ht="12.75" customHeight="1" x14ac:dyDescent="0.2">
      <c r="B42862" s="43"/>
    </row>
    <row r="42863" spans="2:2" ht="12.75" customHeight="1" x14ac:dyDescent="0.2">
      <c r="B42863" s="43"/>
    </row>
    <row r="42864" spans="2:2" ht="12.75" customHeight="1" x14ac:dyDescent="0.2">
      <c r="B42864" s="43"/>
    </row>
    <row r="42865" spans="2:2" ht="12.75" customHeight="1" x14ac:dyDescent="0.2">
      <c r="B42865" s="43"/>
    </row>
    <row r="42866" spans="2:2" ht="12.75" customHeight="1" x14ac:dyDescent="0.2">
      <c r="B42866" s="43"/>
    </row>
    <row r="42867" spans="2:2" ht="12.75" customHeight="1" x14ac:dyDescent="0.2">
      <c r="B42867" s="43"/>
    </row>
    <row r="42868" spans="2:2" ht="12.75" customHeight="1" x14ac:dyDescent="0.2">
      <c r="B42868" s="43"/>
    </row>
    <row r="42869" spans="2:2" ht="12.75" customHeight="1" x14ac:dyDescent="0.2">
      <c r="B42869" s="43"/>
    </row>
    <row r="42870" spans="2:2" ht="12.75" customHeight="1" x14ac:dyDescent="0.2">
      <c r="B42870" s="43"/>
    </row>
    <row r="42871" spans="2:2" ht="12.75" customHeight="1" x14ac:dyDescent="0.2">
      <c r="B42871" s="43"/>
    </row>
    <row r="42872" spans="2:2" ht="12.75" customHeight="1" x14ac:dyDescent="0.2">
      <c r="B42872" s="43"/>
    </row>
    <row r="42873" spans="2:2" ht="12.75" customHeight="1" x14ac:dyDescent="0.2">
      <c r="B42873" s="43"/>
    </row>
    <row r="42874" spans="2:2" ht="12.75" customHeight="1" x14ac:dyDescent="0.2">
      <c r="B42874" s="43"/>
    </row>
    <row r="42875" spans="2:2" ht="12.75" customHeight="1" x14ac:dyDescent="0.2">
      <c r="B42875" s="43"/>
    </row>
    <row r="42876" spans="2:2" ht="12.75" customHeight="1" x14ac:dyDescent="0.2">
      <c r="B42876" s="43"/>
    </row>
    <row r="42877" spans="2:2" ht="12.75" customHeight="1" x14ac:dyDescent="0.2">
      <c r="B42877" s="43"/>
    </row>
    <row r="42878" spans="2:2" ht="12.75" customHeight="1" x14ac:dyDescent="0.2">
      <c r="B42878" s="43"/>
    </row>
    <row r="42879" spans="2:2" ht="12.75" customHeight="1" x14ac:dyDescent="0.2">
      <c r="B42879" s="43"/>
    </row>
    <row r="42880" spans="2:2" ht="12.75" customHeight="1" x14ac:dyDescent="0.2">
      <c r="B42880" s="43"/>
    </row>
    <row r="42881" spans="2:2" ht="12.75" customHeight="1" x14ac:dyDescent="0.2">
      <c r="B42881" s="43"/>
    </row>
    <row r="42882" spans="2:2" ht="12.75" customHeight="1" x14ac:dyDescent="0.2">
      <c r="B42882" s="43"/>
    </row>
    <row r="42883" spans="2:2" ht="12.75" customHeight="1" x14ac:dyDescent="0.2">
      <c r="B42883" s="43"/>
    </row>
    <row r="42884" spans="2:2" ht="12.75" customHeight="1" x14ac:dyDescent="0.2">
      <c r="B42884" s="43"/>
    </row>
    <row r="42885" spans="2:2" ht="12.75" customHeight="1" x14ac:dyDescent="0.2">
      <c r="B42885" s="43"/>
    </row>
    <row r="42886" spans="2:2" ht="12.75" customHeight="1" x14ac:dyDescent="0.2">
      <c r="B42886" s="43"/>
    </row>
    <row r="42887" spans="2:2" ht="12.75" customHeight="1" x14ac:dyDescent="0.2">
      <c r="B42887" s="43"/>
    </row>
    <row r="42888" spans="2:2" ht="12.75" customHeight="1" x14ac:dyDescent="0.2">
      <c r="B42888" s="43"/>
    </row>
    <row r="42889" spans="2:2" ht="12.75" customHeight="1" x14ac:dyDescent="0.2">
      <c r="B42889" s="43"/>
    </row>
    <row r="42890" spans="2:2" ht="12.75" customHeight="1" x14ac:dyDescent="0.2">
      <c r="B42890" s="43"/>
    </row>
    <row r="42891" spans="2:2" ht="12.75" customHeight="1" x14ac:dyDescent="0.2">
      <c r="B42891" s="43"/>
    </row>
    <row r="42892" spans="2:2" ht="12.75" customHeight="1" x14ac:dyDescent="0.2">
      <c r="B42892" s="43"/>
    </row>
    <row r="42893" spans="2:2" ht="12.75" customHeight="1" x14ac:dyDescent="0.2">
      <c r="B42893" s="43"/>
    </row>
    <row r="42894" spans="2:2" ht="12.75" customHeight="1" x14ac:dyDescent="0.2">
      <c r="B42894" s="43"/>
    </row>
    <row r="42895" spans="2:2" ht="12.75" customHeight="1" x14ac:dyDescent="0.2">
      <c r="B42895" s="43"/>
    </row>
    <row r="42896" spans="2:2" ht="12.75" customHeight="1" x14ac:dyDescent="0.2">
      <c r="B42896" s="43"/>
    </row>
    <row r="42897" spans="2:2" ht="12.75" customHeight="1" x14ac:dyDescent="0.2">
      <c r="B42897" s="43"/>
    </row>
    <row r="42898" spans="2:2" ht="12.75" customHeight="1" x14ac:dyDescent="0.2">
      <c r="B42898" s="43"/>
    </row>
    <row r="42899" spans="2:2" ht="12.75" customHeight="1" x14ac:dyDescent="0.2">
      <c r="B42899" s="43"/>
    </row>
    <row r="42900" spans="2:2" ht="12.75" customHeight="1" x14ac:dyDescent="0.2">
      <c r="B42900" s="43"/>
    </row>
    <row r="42901" spans="2:2" ht="12.75" customHeight="1" x14ac:dyDescent="0.2">
      <c r="B42901" s="43"/>
    </row>
    <row r="42902" spans="2:2" ht="12.75" customHeight="1" x14ac:dyDescent="0.2">
      <c r="B42902" s="43"/>
    </row>
    <row r="42903" spans="2:2" ht="12.75" customHeight="1" x14ac:dyDescent="0.2">
      <c r="B42903" s="43"/>
    </row>
    <row r="42904" spans="2:2" ht="12.75" customHeight="1" x14ac:dyDescent="0.2">
      <c r="B42904" s="43"/>
    </row>
    <row r="42905" spans="2:2" ht="12.75" customHeight="1" x14ac:dyDescent="0.2">
      <c r="B42905" s="43"/>
    </row>
    <row r="42906" spans="2:2" ht="12.75" customHeight="1" x14ac:dyDescent="0.2">
      <c r="B42906" s="43"/>
    </row>
    <row r="42907" spans="2:2" ht="12.75" customHeight="1" x14ac:dyDescent="0.2">
      <c r="B42907" s="43"/>
    </row>
    <row r="42908" spans="2:2" ht="12.75" customHeight="1" x14ac:dyDescent="0.2">
      <c r="B42908" s="43"/>
    </row>
    <row r="42909" spans="2:2" ht="12.75" customHeight="1" x14ac:dyDescent="0.2">
      <c r="B42909" s="43"/>
    </row>
    <row r="42910" spans="2:2" ht="12.75" customHeight="1" x14ac:dyDescent="0.2">
      <c r="B42910" s="43"/>
    </row>
    <row r="42911" spans="2:2" ht="12.75" customHeight="1" x14ac:dyDescent="0.2">
      <c r="B42911" s="43"/>
    </row>
    <row r="42912" spans="2:2" ht="12.75" customHeight="1" x14ac:dyDescent="0.2">
      <c r="B42912" s="43"/>
    </row>
    <row r="42913" spans="2:2" ht="12.75" customHeight="1" x14ac:dyDescent="0.2">
      <c r="B42913" s="43"/>
    </row>
    <row r="42914" spans="2:2" ht="12.75" customHeight="1" x14ac:dyDescent="0.2">
      <c r="B42914" s="43"/>
    </row>
    <row r="42915" spans="2:2" ht="12.75" customHeight="1" x14ac:dyDescent="0.2">
      <c r="B42915" s="43"/>
    </row>
    <row r="42916" spans="2:2" ht="12.75" customHeight="1" x14ac:dyDescent="0.2">
      <c r="B42916" s="43"/>
    </row>
    <row r="42917" spans="2:2" ht="12.75" customHeight="1" x14ac:dyDescent="0.2">
      <c r="B42917" s="43"/>
    </row>
    <row r="42918" spans="2:2" ht="12.75" customHeight="1" x14ac:dyDescent="0.2">
      <c r="B42918" s="43"/>
    </row>
    <row r="42919" spans="2:2" ht="12.75" customHeight="1" x14ac:dyDescent="0.2">
      <c r="B42919" s="43"/>
    </row>
    <row r="42920" spans="2:2" ht="12.75" customHeight="1" x14ac:dyDescent="0.2">
      <c r="B42920" s="43"/>
    </row>
    <row r="42921" spans="2:2" ht="12.75" customHeight="1" x14ac:dyDescent="0.2">
      <c r="B42921" s="43"/>
    </row>
    <row r="42922" spans="2:2" ht="12.75" customHeight="1" x14ac:dyDescent="0.2">
      <c r="B42922" s="43"/>
    </row>
    <row r="42923" spans="2:2" ht="12.75" customHeight="1" x14ac:dyDescent="0.2">
      <c r="B42923" s="43"/>
    </row>
    <row r="42924" spans="2:2" ht="12.75" customHeight="1" x14ac:dyDescent="0.2">
      <c r="B42924" s="43"/>
    </row>
    <row r="42925" spans="2:2" ht="12.75" customHeight="1" x14ac:dyDescent="0.2">
      <c r="B42925" s="43"/>
    </row>
    <row r="42926" spans="2:2" ht="12.75" customHeight="1" x14ac:dyDescent="0.2">
      <c r="B42926" s="43"/>
    </row>
    <row r="42927" spans="2:2" ht="12.75" customHeight="1" x14ac:dyDescent="0.2">
      <c r="B42927" s="43"/>
    </row>
    <row r="42928" spans="2:2" ht="12.75" customHeight="1" x14ac:dyDescent="0.2">
      <c r="B42928" s="43"/>
    </row>
    <row r="42929" spans="2:2" ht="12.75" customHeight="1" x14ac:dyDescent="0.2">
      <c r="B42929" s="43"/>
    </row>
    <row r="42930" spans="2:2" ht="12.75" customHeight="1" x14ac:dyDescent="0.2">
      <c r="B42930" s="43"/>
    </row>
    <row r="42931" spans="2:2" ht="12.75" customHeight="1" x14ac:dyDescent="0.2">
      <c r="B42931" s="43"/>
    </row>
    <row r="42932" spans="2:2" ht="12.75" customHeight="1" x14ac:dyDescent="0.2">
      <c r="B42932" s="43"/>
    </row>
    <row r="42933" spans="2:2" ht="12.75" customHeight="1" x14ac:dyDescent="0.2">
      <c r="B42933" s="43"/>
    </row>
    <row r="42934" spans="2:2" ht="12.75" customHeight="1" x14ac:dyDescent="0.2">
      <c r="B42934" s="43"/>
    </row>
    <row r="42935" spans="2:2" ht="12.75" customHeight="1" x14ac:dyDescent="0.2">
      <c r="B42935" s="43"/>
    </row>
    <row r="42936" spans="2:2" ht="12.75" customHeight="1" x14ac:dyDescent="0.2">
      <c r="B42936" s="43"/>
    </row>
    <row r="42937" spans="2:2" ht="12.75" customHeight="1" x14ac:dyDescent="0.2">
      <c r="B42937" s="43"/>
    </row>
    <row r="42938" spans="2:2" ht="12.75" customHeight="1" x14ac:dyDescent="0.2">
      <c r="B42938" s="43"/>
    </row>
    <row r="42939" spans="2:2" ht="12.75" customHeight="1" x14ac:dyDescent="0.2">
      <c r="B42939" s="43"/>
    </row>
    <row r="42940" spans="2:2" ht="12.75" customHeight="1" x14ac:dyDescent="0.2">
      <c r="B42940" s="43"/>
    </row>
    <row r="42941" spans="2:2" ht="12.75" customHeight="1" x14ac:dyDescent="0.2">
      <c r="B42941" s="43"/>
    </row>
    <row r="42942" spans="2:2" ht="12.75" customHeight="1" x14ac:dyDescent="0.2">
      <c r="B42942" s="43"/>
    </row>
    <row r="42943" spans="2:2" ht="12.75" customHeight="1" x14ac:dyDescent="0.2">
      <c r="B42943" s="43"/>
    </row>
    <row r="42944" spans="2:2" ht="12.75" customHeight="1" x14ac:dyDescent="0.2">
      <c r="B42944" s="43"/>
    </row>
    <row r="42945" spans="2:2" ht="12.75" customHeight="1" x14ac:dyDescent="0.2">
      <c r="B42945" s="43"/>
    </row>
    <row r="42946" spans="2:2" ht="12.75" customHeight="1" x14ac:dyDescent="0.2">
      <c r="B42946" s="43"/>
    </row>
    <row r="42947" spans="2:2" ht="12.75" customHeight="1" x14ac:dyDescent="0.2">
      <c r="B42947" s="43"/>
    </row>
    <row r="42948" spans="2:2" ht="12.75" customHeight="1" x14ac:dyDescent="0.2">
      <c r="B42948" s="43"/>
    </row>
    <row r="42949" spans="2:2" ht="12.75" customHeight="1" x14ac:dyDescent="0.2">
      <c r="B42949" s="43"/>
    </row>
    <row r="42950" spans="2:2" ht="12.75" customHeight="1" x14ac:dyDescent="0.2">
      <c r="B42950" s="43"/>
    </row>
    <row r="42951" spans="2:2" ht="12.75" customHeight="1" x14ac:dyDescent="0.2">
      <c r="B42951" s="43"/>
    </row>
    <row r="42952" spans="2:2" ht="12.75" customHeight="1" x14ac:dyDescent="0.2">
      <c r="B42952" s="43"/>
    </row>
    <row r="42953" spans="2:2" ht="12.75" customHeight="1" x14ac:dyDescent="0.2">
      <c r="B42953" s="43"/>
    </row>
    <row r="42954" spans="2:2" ht="12.75" customHeight="1" x14ac:dyDescent="0.2">
      <c r="B42954" s="43"/>
    </row>
    <row r="42955" spans="2:2" ht="12.75" customHeight="1" x14ac:dyDescent="0.2">
      <c r="B42955" s="43"/>
    </row>
    <row r="42956" spans="2:2" ht="12.75" customHeight="1" x14ac:dyDescent="0.2">
      <c r="B42956" s="43"/>
    </row>
    <row r="42957" spans="2:2" ht="12.75" customHeight="1" x14ac:dyDescent="0.2">
      <c r="B42957" s="43"/>
    </row>
    <row r="42958" spans="2:2" ht="12.75" customHeight="1" x14ac:dyDescent="0.2">
      <c r="B42958" s="43"/>
    </row>
    <row r="42959" spans="2:2" ht="12.75" customHeight="1" x14ac:dyDescent="0.2">
      <c r="B42959" s="43"/>
    </row>
    <row r="42960" spans="2:2" ht="12.75" customHeight="1" x14ac:dyDescent="0.2">
      <c r="B42960" s="43"/>
    </row>
    <row r="42961" spans="2:2" ht="12.75" customHeight="1" x14ac:dyDescent="0.2">
      <c r="B42961" s="43"/>
    </row>
    <row r="42962" spans="2:2" ht="12.75" customHeight="1" x14ac:dyDescent="0.2">
      <c r="B42962" s="43"/>
    </row>
    <row r="42963" spans="2:2" ht="12.75" customHeight="1" x14ac:dyDescent="0.2">
      <c r="B42963" s="43"/>
    </row>
    <row r="42964" spans="2:2" ht="12.75" customHeight="1" x14ac:dyDescent="0.2">
      <c r="B42964" s="43"/>
    </row>
    <row r="42965" spans="2:2" ht="12.75" customHeight="1" x14ac:dyDescent="0.2">
      <c r="B42965" s="43"/>
    </row>
    <row r="42966" spans="2:2" ht="12.75" customHeight="1" x14ac:dyDescent="0.2">
      <c r="B42966" s="43"/>
    </row>
    <row r="42967" spans="2:2" ht="12.75" customHeight="1" x14ac:dyDescent="0.2">
      <c r="B42967" s="43"/>
    </row>
    <row r="42968" spans="2:2" ht="12.75" customHeight="1" x14ac:dyDescent="0.2">
      <c r="B42968" s="43"/>
    </row>
    <row r="42969" spans="2:2" ht="12.75" customHeight="1" x14ac:dyDescent="0.2">
      <c r="B42969" s="43"/>
    </row>
    <row r="42970" spans="2:2" ht="12.75" customHeight="1" x14ac:dyDescent="0.2">
      <c r="B42970" s="43"/>
    </row>
    <row r="42971" spans="2:2" ht="12.75" customHeight="1" x14ac:dyDescent="0.2">
      <c r="B42971" s="43"/>
    </row>
    <row r="42972" spans="2:2" ht="12.75" customHeight="1" x14ac:dyDescent="0.2">
      <c r="B42972" s="43"/>
    </row>
    <row r="42973" spans="2:2" ht="12.75" customHeight="1" x14ac:dyDescent="0.2">
      <c r="B42973" s="43"/>
    </row>
    <row r="42974" spans="2:2" ht="12.75" customHeight="1" x14ac:dyDescent="0.2">
      <c r="B42974" s="43"/>
    </row>
    <row r="42975" spans="2:2" ht="12.75" customHeight="1" x14ac:dyDescent="0.2">
      <c r="B42975" s="43"/>
    </row>
    <row r="42976" spans="2:2" ht="12.75" customHeight="1" x14ac:dyDescent="0.2">
      <c r="B42976" s="43"/>
    </row>
    <row r="42977" spans="2:2" ht="12.75" customHeight="1" x14ac:dyDescent="0.2">
      <c r="B42977" s="43"/>
    </row>
    <row r="42978" spans="2:2" ht="12.75" customHeight="1" x14ac:dyDescent="0.2">
      <c r="B42978" s="43"/>
    </row>
    <row r="42979" spans="2:2" ht="12.75" customHeight="1" x14ac:dyDescent="0.2">
      <c r="B42979" s="43"/>
    </row>
    <row r="42980" spans="2:2" ht="12.75" customHeight="1" x14ac:dyDescent="0.2">
      <c r="B42980" s="43"/>
    </row>
    <row r="42981" spans="2:2" ht="12.75" customHeight="1" x14ac:dyDescent="0.2">
      <c r="B42981" s="43"/>
    </row>
    <row r="42982" spans="2:2" ht="12.75" customHeight="1" x14ac:dyDescent="0.2">
      <c r="B42982" s="43"/>
    </row>
    <row r="42983" spans="2:2" ht="12.75" customHeight="1" x14ac:dyDescent="0.2">
      <c r="B42983" s="43"/>
    </row>
    <row r="42984" spans="2:2" ht="12.75" customHeight="1" x14ac:dyDescent="0.2">
      <c r="B42984" s="43"/>
    </row>
    <row r="42985" spans="2:2" ht="12.75" customHeight="1" x14ac:dyDescent="0.2">
      <c r="B42985" s="43"/>
    </row>
    <row r="42986" spans="2:2" ht="12.75" customHeight="1" x14ac:dyDescent="0.2">
      <c r="B42986" s="43"/>
    </row>
    <row r="42987" spans="2:2" ht="12.75" customHeight="1" x14ac:dyDescent="0.2">
      <c r="B42987" s="43"/>
    </row>
    <row r="42988" spans="2:2" ht="12.75" customHeight="1" x14ac:dyDescent="0.2">
      <c r="B42988" s="43"/>
    </row>
    <row r="42989" spans="2:2" ht="12.75" customHeight="1" x14ac:dyDescent="0.2">
      <c r="B42989" s="43"/>
    </row>
    <row r="42990" spans="2:2" ht="12.75" customHeight="1" x14ac:dyDescent="0.2">
      <c r="B42990" s="43"/>
    </row>
    <row r="42991" spans="2:2" ht="12.75" customHeight="1" x14ac:dyDescent="0.2">
      <c r="B42991" s="43"/>
    </row>
    <row r="42992" spans="2:2" ht="12.75" customHeight="1" x14ac:dyDescent="0.2">
      <c r="B42992" s="43"/>
    </row>
    <row r="42993" spans="2:2" ht="12.75" customHeight="1" x14ac:dyDescent="0.2">
      <c r="B42993" s="43"/>
    </row>
    <row r="42994" spans="2:2" ht="12.75" customHeight="1" x14ac:dyDescent="0.2">
      <c r="B42994" s="43"/>
    </row>
    <row r="42995" spans="2:2" ht="12.75" customHeight="1" x14ac:dyDescent="0.2">
      <c r="B42995" s="43"/>
    </row>
    <row r="42996" spans="2:2" ht="12.75" customHeight="1" x14ac:dyDescent="0.2">
      <c r="B42996" s="43"/>
    </row>
    <row r="42997" spans="2:2" ht="12.75" customHeight="1" x14ac:dyDescent="0.2">
      <c r="B42997" s="43"/>
    </row>
    <row r="42998" spans="2:2" ht="12.75" customHeight="1" x14ac:dyDescent="0.2">
      <c r="B42998" s="43"/>
    </row>
    <row r="42999" spans="2:2" ht="12.75" customHeight="1" x14ac:dyDescent="0.2">
      <c r="B42999" s="43"/>
    </row>
    <row r="43000" spans="2:2" ht="12.75" customHeight="1" x14ac:dyDescent="0.2">
      <c r="B43000" s="43"/>
    </row>
    <row r="43001" spans="2:2" ht="12.75" customHeight="1" x14ac:dyDescent="0.2">
      <c r="B43001" s="43"/>
    </row>
    <row r="43002" spans="2:2" ht="12.75" customHeight="1" x14ac:dyDescent="0.2">
      <c r="B43002" s="43"/>
    </row>
    <row r="43003" spans="2:2" ht="12.75" customHeight="1" x14ac:dyDescent="0.2">
      <c r="B43003" s="43"/>
    </row>
    <row r="43004" spans="2:2" ht="12.75" customHeight="1" x14ac:dyDescent="0.2">
      <c r="B43004" s="43"/>
    </row>
    <row r="43005" spans="2:2" ht="12.75" customHeight="1" x14ac:dyDescent="0.2">
      <c r="B43005" s="43"/>
    </row>
    <row r="43006" spans="2:2" ht="12.75" customHeight="1" x14ac:dyDescent="0.2">
      <c r="B43006" s="43"/>
    </row>
    <row r="43007" spans="2:2" ht="12.75" customHeight="1" x14ac:dyDescent="0.2">
      <c r="B43007" s="43"/>
    </row>
    <row r="43008" spans="2:2" ht="12.75" customHeight="1" x14ac:dyDescent="0.2">
      <c r="B43008" s="43"/>
    </row>
    <row r="43009" spans="2:2" ht="12.75" customHeight="1" x14ac:dyDescent="0.2">
      <c r="B43009" s="43"/>
    </row>
    <row r="43010" spans="2:2" ht="12.75" customHeight="1" x14ac:dyDescent="0.2">
      <c r="B43010" s="43"/>
    </row>
    <row r="43011" spans="2:2" ht="12.75" customHeight="1" x14ac:dyDescent="0.2">
      <c r="B43011" s="43"/>
    </row>
    <row r="43012" spans="2:2" ht="12.75" customHeight="1" x14ac:dyDescent="0.2">
      <c r="B43012" s="43"/>
    </row>
    <row r="43013" spans="2:2" ht="12.75" customHeight="1" x14ac:dyDescent="0.2">
      <c r="B43013" s="43"/>
    </row>
    <row r="43014" spans="2:2" ht="12.75" customHeight="1" x14ac:dyDescent="0.2">
      <c r="B43014" s="43"/>
    </row>
    <row r="43015" spans="2:2" ht="12.75" customHeight="1" x14ac:dyDescent="0.2">
      <c r="B43015" s="43"/>
    </row>
    <row r="43016" spans="2:2" ht="12.75" customHeight="1" x14ac:dyDescent="0.2">
      <c r="B43016" s="43"/>
    </row>
    <row r="43017" spans="2:2" ht="12.75" customHeight="1" x14ac:dyDescent="0.2">
      <c r="B43017" s="43"/>
    </row>
    <row r="43018" spans="2:2" ht="12.75" customHeight="1" x14ac:dyDescent="0.2">
      <c r="B43018" s="43"/>
    </row>
    <row r="43019" spans="2:2" ht="12.75" customHeight="1" x14ac:dyDescent="0.2">
      <c r="B43019" s="43"/>
    </row>
    <row r="43020" spans="2:2" ht="12.75" customHeight="1" x14ac:dyDescent="0.2">
      <c r="B43020" s="43"/>
    </row>
    <row r="43021" spans="2:2" ht="12.75" customHeight="1" x14ac:dyDescent="0.2">
      <c r="B43021" s="43"/>
    </row>
    <row r="43022" spans="2:2" ht="12.75" customHeight="1" x14ac:dyDescent="0.2">
      <c r="B43022" s="43"/>
    </row>
    <row r="43023" spans="2:2" ht="12.75" customHeight="1" x14ac:dyDescent="0.2">
      <c r="B43023" s="43"/>
    </row>
    <row r="43024" spans="2:2" ht="12.75" customHeight="1" x14ac:dyDescent="0.2">
      <c r="B43024" s="43"/>
    </row>
    <row r="43025" spans="2:2" ht="12.75" customHeight="1" x14ac:dyDescent="0.2">
      <c r="B43025" s="43"/>
    </row>
    <row r="43026" spans="2:2" ht="12.75" customHeight="1" x14ac:dyDescent="0.2">
      <c r="B43026" s="43"/>
    </row>
    <row r="43027" spans="2:2" ht="12.75" customHeight="1" x14ac:dyDescent="0.2">
      <c r="B43027" s="43"/>
    </row>
    <row r="43028" spans="2:2" ht="12.75" customHeight="1" x14ac:dyDescent="0.2">
      <c r="B43028" s="43"/>
    </row>
    <row r="43029" spans="2:2" ht="12.75" customHeight="1" x14ac:dyDescent="0.2">
      <c r="B43029" s="43"/>
    </row>
    <row r="43030" spans="2:2" ht="12.75" customHeight="1" x14ac:dyDescent="0.2">
      <c r="B43030" s="43"/>
    </row>
    <row r="43031" spans="2:2" ht="12.75" customHeight="1" x14ac:dyDescent="0.2">
      <c r="B43031" s="43"/>
    </row>
    <row r="43032" spans="2:2" ht="12.75" customHeight="1" x14ac:dyDescent="0.2">
      <c r="B43032" s="43"/>
    </row>
    <row r="43033" spans="2:2" ht="12.75" customHeight="1" x14ac:dyDescent="0.2">
      <c r="B43033" s="43"/>
    </row>
    <row r="43034" spans="2:2" ht="12.75" customHeight="1" x14ac:dyDescent="0.2">
      <c r="B43034" s="43"/>
    </row>
    <row r="43035" spans="2:2" ht="12.75" customHeight="1" x14ac:dyDescent="0.2">
      <c r="B43035" s="43"/>
    </row>
    <row r="43036" spans="2:2" ht="12.75" customHeight="1" x14ac:dyDescent="0.2">
      <c r="B43036" s="43"/>
    </row>
    <row r="43037" spans="2:2" ht="12.75" customHeight="1" x14ac:dyDescent="0.2">
      <c r="B43037" s="43"/>
    </row>
    <row r="43038" spans="2:2" ht="12.75" customHeight="1" x14ac:dyDescent="0.2">
      <c r="B43038" s="43"/>
    </row>
    <row r="43039" spans="2:2" ht="12.75" customHeight="1" x14ac:dyDescent="0.2">
      <c r="B43039" s="43"/>
    </row>
    <row r="43040" spans="2:2" ht="12.75" customHeight="1" x14ac:dyDescent="0.2">
      <c r="B43040" s="43"/>
    </row>
    <row r="43041" spans="2:2" ht="12.75" customHeight="1" x14ac:dyDescent="0.2">
      <c r="B43041" s="43"/>
    </row>
    <row r="43042" spans="2:2" ht="12.75" customHeight="1" x14ac:dyDescent="0.2">
      <c r="B43042" s="43"/>
    </row>
    <row r="43043" spans="2:2" ht="12.75" customHeight="1" x14ac:dyDescent="0.2">
      <c r="B43043" s="43"/>
    </row>
    <row r="43044" spans="2:2" ht="12.75" customHeight="1" x14ac:dyDescent="0.2">
      <c r="B43044" s="43"/>
    </row>
    <row r="43045" spans="2:2" ht="12.75" customHeight="1" x14ac:dyDescent="0.2">
      <c r="B43045" s="43"/>
    </row>
    <row r="43046" spans="2:2" ht="12.75" customHeight="1" x14ac:dyDescent="0.2">
      <c r="B43046" s="43"/>
    </row>
    <row r="43047" spans="2:2" ht="12.75" customHeight="1" x14ac:dyDescent="0.2">
      <c r="B43047" s="43"/>
    </row>
    <row r="43048" spans="2:2" ht="12.75" customHeight="1" x14ac:dyDescent="0.2">
      <c r="B43048" s="43"/>
    </row>
    <row r="43049" spans="2:2" ht="12.75" customHeight="1" x14ac:dyDescent="0.2">
      <c r="B43049" s="43"/>
    </row>
    <row r="43050" spans="2:2" ht="12.75" customHeight="1" x14ac:dyDescent="0.2">
      <c r="B43050" s="43"/>
    </row>
    <row r="43051" spans="2:2" ht="12.75" customHeight="1" x14ac:dyDescent="0.2">
      <c r="B43051" s="43"/>
    </row>
    <row r="43052" spans="2:2" ht="12.75" customHeight="1" x14ac:dyDescent="0.2">
      <c r="B43052" s="43"/>
    </row>
    <row r="43053" spans="2:2" ht="12.75" customHeight="1" x14ac:dyDescent="0.2">
      <c r="B43053" s="43"/>
    </row>
    <row r="43054" spans="2:2" ht="12.75" customHeight="1" x14ac:dyDescent="0.2">
      <c r="B43054" s="43"/>
    </row>
    <row r="43055" spans="2:2" ht="12.75" customHeight="1" x14ac:dyDescent="0.2">
      <c r="B43055" s="43"/>
    </row>
    <row r="43056" spans="2:2" ht="12.75" customHeight="1" x14ac:dyDescent="0.2">
      <c r="B43056" s="43"/>
    </row>
    <row r="43057" spans="2:2" ht="12.75" customHeight="1" x14ac:dyDescent="0.2">
      <c r="B43057" s="43"/>
    </row>
    <row r="43058" spans="2:2" ht="12.75" customHeight="1" x14ac:dyDescent="0.2">
      <c r="B43058" s="43"/>
    </row>
    <row r="43059" spans="2:2" ht="12.75" customHeight="1" x14ac:dyDescent="0.2">
      <c r="B43059" s="43"/>
    </row>
    <row r="43060" spans="2:2" ht="12.75" customHeight="1" x14ac:dyDescent="0.2">
      <c r="B43060" s="43"/>
    </row>
    <row r="43061" spans="2:2" ht="12.75" customHeight="1" x14ac:dyDescent="0.2">
      <c r="B43061" s="43"/>
    </row>
    <row r="43062" spans="2:2" ht="12.75" customHeight="1" x14ac:dyDescent="0.2">
      <c r="B43062" s="43"/>
    </row>
    <row r="43063" spans="2:2" ht="12.75" customHeight="1" x14ac:dyDescent="0.2">
      <c r="B43063" s="43"/>
    </row>
    <row r="43064" spans="2:2" ht="12.75" customHeight="1" x14ac:dyDescent="0.2">
      <c r="B43064" s="43"/>
    </row>
    <row r="43065" spans="2:2" ht="12.75" customHeight="1" x14ac:dyDescent="0.2">
      <c r="B43065" s="43"/>
    </row>
    <row r="43066" spans="2:2" ht="12.75" customHeight="1" x14ac:dyDescent="0.2">
      <c r="B43066" s="43"/>
    </row>
    <row r="43067" spans="2:2" ht="12.75" customHeight="1" x14ac:dyDescent="0.2">
      <c r="B43067" s="43"/>
    </row>
    <row r="43068" spans="2:2" ht="12.75" customHeight="1" x14ac:dyDescent="0.2">
      <c r="B43068" s="43"/>
    </row>
    <row r="43069" spans="2:2" ht="12.75" customHeight="1" x14ac:dyDescent="0.2">
      <c r="B43069" s="43"/>
    </row>
    <row r="43070" spans="2:2" ht="12.75" customHeight="1" x14ac:dyDescent="0.2">
      <c r="B43070" s="43"/>
    </row>
    <row r="43071" spans="2:2" ht="12.75" customHeight="1" x14ac:dyDescent="0.2">
      <c r="B43071" s="43"/>
    </row>
    <row r="43072" spans="2:2" ht="12.75" customHeight="1" x14ac:dyDescent="0.2">
      <c r="B43072" s="43"/>
    </row>
    <row r="43073" spans="2:2" ht="12.75" customHeight="1" x14ac:dyDescent="0.2">
      <c r="B43073" s="43"/>
    </row>
    <row r="43074" spans="2:2" ht="12.75" customHeight="1" x14ac:dyDescent="0.2">
      <c r="B43074" s="43"/>
    </row>
    <row r="43075" spans="2:2" ht="12.75" customHeight="1" x14ac:dyDescent="0.2">
      <c r="B43075" s="43"/>
    </row>
    <row r="43076" spans="2:2" ht="12.75" customHeight="1" x14ac:dyDescent="0.2">
      <c r="B43076" s="43"/>
    </row>
    <row r="43077" spans="2:2" ht="12.75" customHeight="1" x14ac:dyDescent="0.2">
      <c r="B43077" s="43"/>
    </row>
    <row r="43078" spans="2:2" ht="12.75" customHeight="1" x14ac:dyDescent="0.2">
      <c r="B43078" s="43"/>
    </row>
    <row r="43079" spans="2:2" ht="12.75" customHeight="1" x14ac:dyDescent="0.2">
      <c r="B43079" s="43"/>
    </row>
    <row r="43080" spans="2:2" ht="12.75" customHeight="1" x14ac:dyDescent="0.2">
      <c r="B43080" s="43"/>
    </row>
    <row r="43081" spans="2:2" ht="12.75" customHeight="1" x14ac:dyDescent="0.2">
      <c r="B43081" s="43"/>
    </row>
    <row r="43082" spans="2:2" ht="12.75" customHeight="1" x14ac:dyDescent="0.2">
      <c r="B43082" s="43"/>
    </row>
    <row r="43083" spans="2:2" ht="12.75" customHeight="1" x14ac:dyDescent="0.2">
      <c r="B43083" s="43"/>
    </row>
    <row r="43084" spans="2:2" ht="12.75" customHeight="1" x14ac:dyDescent="0.2">
      <c r="B43084" s="43"/>
    </row>
    <row r="43085" spans="2:2" ht="12.75" customHeight="1" x14ac:dyDescent="0.2">
      <c r="B43085" s="43"/>
    </row>
    <row r="43086" spans="2:2" ht="12.75" customHeight="1" x14ac:dyDescent="0.2">
      <c r="B43086" s="43"/>
    </row>
    <row r="43087" spans="2:2" ht="12.75" customHeight="1" x14ac:dyDescent="0.2">
      <c r="B43087" s="43"/>
    </row>
    <row r="43088" spans="2:2" ht="12.75" customHeight="1" x14ac:dyDescent="0.2">
      <c r="B43088" s="43"/>
    </row>
    <row r="43089" spans="2:2" ht="12.75" customHeight="1" x14ac:dyDescent="0.2">
      <c r="B43089" s="43"/>
    </row>
    <row r="43090" spans="2:2" ht="12.75" customHeight="1" x14ac:dyDescent="0.2">
      <c r="B43090" s="43"/>
    </row>
    <row r="43091" spans="2:2" ht="12.75" customHeight="1" x14ac:dyDescent="0.2">
      <c r="B43091" s="43"/>
    </row>
    <row r="43092" spans="2:2" ht="12.75" customHeight="1" x14ac:dyDescent="0.2">
      <c r="B43092" s="43"/>
    </row>
    <row r="43093" spans="2:2" ht="12.75" customHeight="1" x14ac:dyDescent="0.2">
      <c r="B43093" s="43"/>
    </row>
    <row r="43094" spans="2:2" ht="12.75" customHeight="1" x14ac:dyDescent="0.2">
      <c r="B43094" s="43"/>
    </row>
    <row r="43095" spans="2:2" ht="12.75" customHeight="1" x14ac:dyDescent="0.2">
      <c r="B43095" s="43"/>
    </row>
    <row r="43096" spans="2:2" ht="12.75" customHeight="1" x14ac:dyDescent="0.2">
      <c r="B43096" s="43"/>
    </row>
    <row r="43097" spans="2:2" ht="12.75" customHeight="1" x14ac:dyDescent="0.2">
      <c r="B43097" s="43"/>
    </row>
    <row r="43098" spans="2:2" ht="12.75" customHeight="1" x14ac:dyDescent="0.2">
      <c r="B43098" s="43"/>
    </row>
    <row r="43099" spans="2:2" ht="12.75" customHeight="1" x14ac:dyDescent="0.2">
      <c r="B43099" s="43"/>
    </row>
    <row r="43100" spans="2:2" ht="12.75" customHeight="1" x14ac:dyDescent="0.2">
      <c r="B43100" s="43"/>
    </row>
    <row r="43101" spans="2:2" ht="12.75" customHeight="1" x14ac:dyDescent="0.2">
      <c r="B43101" s="43"/>
    </row>
    <row r="43102" spans="2:2" ht="12.75" customHeight="1" x14ac:dyDescent="0.2">
      <c r="B43102" s="43"/>
    </row>
    <row r="43103" spans="2:2" ht="12.75" customHeight="1" x14ac:dyDescent="0.2">
      <c r="B43103" s="43"/>
    </row>
    <row r="43104" spans="2:2" ht="12.75" customHeight="1" x14ac:dyDescent="0.2">
      <c r="B43104" s="43"/>
    </row>
    <row r="43105" spans="2:2" ht="12.75" customHeight="1" x14ac:dyDescent="0.2">
      <c r="B43105" s="43"/>
    </row>
    <row r="43106" spans="2:2" ht="12.75" customHeight="1" x14ac:dyDescent="0.2">
      <c r="B43106" s="43"/>
    </row>
    <row r="43107" spans="2:2" ht="12.75" customHeight="1" x14ac:dyDescent="0.2">
      <c r="B43107" s="43"/>
    </row>
    <row r="43108" spans="2:2" ht="12.75" customHeight="1" x14ac:dyDescent="0.2">
      <c r="B43108" s="43"/>
    </row>
    <row r="43109" spans="2:2" ht="12.75" customHeight="1" x14ac:dyDescent="0.2">
      <c r="B43109" s="43"/>
    </row>
    <row r="43110" spans="2:2" ht="12.75" customHeight="1" x14ac:dyDescent="0.2">
      <c r="B43110" s="43"/>
    </row>
    <row r="43111" spans="2:2" ht="12.75" customHeight="1" x14ac:dyDescent="0.2">
      <c r="B43111" s="43"/>
    </row>
    <row r="43112" spans="2:2" ht="12.75" customHeight="1" x14ac:dyDescent="0.2">
      <c r="B43112" s="43"/>
    </row>
    <row r="43113" spans="2:2" ht="12.75" customHeight="1" x14ac:dyDescent="0.2">
      <c r="B43113" s="43"/>
    </row>
    <row r="43114" spans="2:2" ht="12.75" customHeight="1" x14ac:dyDescent="0.2">
      <c r="B43114" s="43"/>
    </row>
    <row r="43115" spans="2:2" ht="12.75" customHeight="1" x14ac:dyDescent="0.2">
      <c r="B43115" s="43"/>
    </row>
    <row r="43116" spans="2:2" ht="12.75" customHeight="1" x14ac:dyDescent="0.2">
      <c r="B43116" s="43"/>
    </row>
    <row r="43117" spans="2:2" ht="12.75" customHeight="1" x14ac:dyDescent="0.2">
      <c r="B43117" s="43"/>
    </row>
    <row r="43118" spans="2:2" ht="12.75" customHeight="1" x14ac:dyDescent="0.2">
      <c r="B43118" s="43"/>
    </row>
    <row r="43119" spans="2:2" ht="12.75" customHeight="1" x14ac:dyDescent="0.2">
      <c r="B43119" s="43"/>
    </row>
    <row r="43120" spans="2:2" ht="12.75" customHeight="1" x14ac:dyDescent="0.2">
      <c r="B43120" s="43"/>
    </row>
    <row r="43121" spans="2:2" ht="12.75" customHeight="1" x14ac:dyDescent="0.2">
      <c r="B43121" s="43"/>
    </row>
    <row r="43122" spans="2:2" ht="12.75" customHeight="1" x14ac:dyDescent="0.2">
      <c r="B43122" s="43"/>
    </row>
    <row r="43123" spans="2:2" ht="12.75" customHeight="1" x14ac:dyDescent="0.2">
      <c r="B43123" s="43"/>
    </row>
    <row r="43124" spans="2:2" ht="12.75" customHeight="1" x14ac:dyDescent="0.2">
      <c r="B43124" s="43"/>
    </row>
    <row r="43125" spans="2:2" ht="12.75" customHeight="1" x14ac:dyDescent="0.2">
      <c r="B43125" s="43"/>
    </row>
    <row r="43126" spans="2:2" ht="12.75" customHeight="1" x14ac:dyDescent="0.2">
      <c r="B43126" s="43"/>
    </row>
    <row r="43127" spans="2:2" ht="12.75" customHeight="1" x14ac:dyDescent="0.2">
      <c r="B43127" s="43"/>
    </row>
    <row r="43128" spans="2:2" ht="12.75" customHeight="1" x14ac:dyDescent="0.2">
      <c r="B43128" s="43"/>
    </row>
    <row r="43129" spans="2:2" ht="12.75" customHeight="1" x14ac:dyDescent="0.2">
      <c r="B43129" s="43"/>
    </row>
    <row r="43130" spans="2:2" ht="12.75" customHeight="1" x14ac:dyDescent="0.2">
      <c r="B43130" s="43"/>
    </row>
    <row r="43131" spans="2:2" ht="12.75" customHeight="1" x14ac:dyDescent="0.2">
      <c r="B43131" s="43"/>
    </row>
    <row r="43132" spans="2:2" ht="12.75" customHeight="1" x14ac:dyDescent="0.2">
      <c r="B43132" s="43"/>
    </row>
    <row r="43133" spans="2:2" ht="12.75" customHeight="1" x14ac:dyDescent="0.2">
      <c r="B43133" s="43"/>
    </row>
    <row r="43134" spans="2:2" ht="12.75" customHeight="1" x14ac:dyDescent="0.2">
      <c r="B43134" s="43"/>
    </row>
    <row r="43135" spans="2:2" ht="12.75" customHeight="1" x14ac:dyDescent="0.2">
      <c r="B43135" s="43"/>
    </row>
    <row r="43136" spans="2:2" ht="12.75" customHeight="1" x14ac:dyDescent="0.2">
      <c r="B43136" s="43"/>
    </row>
    <row r="43137" spans="2:2" ht="12.75" customHeight="1" x14ac:dyDescent="0.2">
      <c r="B43137" s="43"/>
    </row>
    <row r="43138" spans="2:2" ht="12.75" customHeight="1" x14ac:dyDescent="0.2">
      <c r="B43138" s="43"/>
    </row>
    <row r="43139" spans="2:2" ht="12.75" customHeight="1" x14ac:dyDescent="0.2">
      <c r="B43139" s="43"/>
    </row>
    <row r="43140" spans="2:2" ht="12.75" customHeight="1" x14ac:dyDescent="0.2">
      <c r="B43140" s="43"/>
    </row>
    <row r="43141" spans="2:2" ht="12.75" customHeight="1" x14ac:dyDescent="0.2">
      <c r="B43141" s="43"/>
    </row>
    <row r="43142" spans="2:2" ht="12.75" customHeight="1" x14ac:dyDescent="0.2">
      <c r="B43142" s="43"/>
    </row>
    <row r="43143" spans="2:2" ht="12.75" customHeight="1" x14ac:dyDescent="0.2">
      <c r="B43143" s="43"/>
    </row>
    <row r="43144" spans="2:2" ht="12.75" customHeight="1" x14ac:dyDescent="0.2">
      <c r="B43144" s="43"/>
    </row>
    <row r="43145" spans="2:2" ht="12.75" customHeight="1" x14ac:dyDescent="0.2">
      <c r="B43145" s="43"/>
    </row>
    <row r="43146" spans="2:2" ht="12.75" customHeight="1" x14ac:dyDescent="0.2">
      <c r="B43146" s="43"/>
    </row>
    <row r="43147" spans="2:2" ht="12.75" customHeight="1" x14ac:dyDescent="0.2">
      <c r="B43147" s="43"/>
    </row>
    <row r="43148" spans="2:2" ht="12.75" customHeight="1" x14ac:dyDescent="0.2">
      <c r="B43148" s="43"/>
    </row>
    <row r="43149" spans="2:2" ht="12.75" customHeight="1" x14ac:dyDescent="0.2">
      <c r="B43149" s="43"/>
    </row>
    <row r="43150" spans="2:2" ht="12.75" customHeight="1" x14ac:dyDescent="0.2">
      <c r="B43150" s="43"/>
    </row>
    <row r="43151" spans="2:2" ht="12.75" customHeight="1" x14ac:dyDescent="0.2">
      <c r="B43151" s="43"/>
    </row>
    <row r="43152" spans="2:2" ht="12.75" customHeight="1" x14ac:dyDescent="0.2">
      <c r="B43152" s="43"/>
    </row>
    <row r="43153" spans="2:2" ht="12.75" customHeight="1" x14ac:dyDescent="0.2">
      <c r="B43153" s="43"/>
    </row>
    <row r="43154" spans="2:2" ht="12.75" customHeight="1" x14ac:dyDescent="0.2">
      <c r="B43154" s="43"/>
    </row>
    <row r="43155" spans="2:2" ht="12.75" customHeight="1" x14ac:dyDescent="0.2">
      <c r="B43155" s="43"/>
    </row>
    <row r="43156" spans="2:2" ht="12.75" customHeight="1" x14ac:dyDescent="0.2">
      <c r="B43156" s="43"/>
    </row>
    <row r="43157" spans="2:2" ht="12.75" customHeight="1" x14ac:dyDescent="0.2">
      <c r="B43157" s="43"/>
    </row>
    <row r="43158" spans="2:2" ht="12.75" customHeight="1" x14ac:dyDescent="0.2">
      <c r="B43158" s="43"/>
    </row>
    <row r="43159" spans="2:2" ht="12.75" customHeight="1" x14ac:dyDescent="0.2">
      <c r="B43159" s="43"/>
    </row>
    <row r="43160" spans="2:2" ht="12.75" customHeight="1" x14ac:dyDescent="0.2">
      <c r="B43160" s="43"/>
    </row>
    <row r="43161" spans="2:2" ht="12.75" customHeight="1" x14ac:dyDescent="0.2">
      <c r="B43161" s="43"/>
    </row>
    <row r="43162" spans="2:2" ht="12.75" customHeight="1" x14ac:dyDescent="0.2">
      <c r="B43162" s="43"/>
    </row>
    <row r="43163" spans="2:2" ht="12.75" customHeight="1" x14ac:dyDescent="0.2">
      <c r="B43163" s="43"/>
    </row>
    <row r="43164" spans="2:2" ht="12.75" customHeight="1" x14ac:dyDescent="0.2">
      <c r="B43164" s="43"/>
    </row>
    <row r="43165" spans="2:2" ht="12.75" customHeight="1" x14ac:dyDescent="0.2">
      <c r="B43165" s="43"/>
    </row>
    <row r="43166" spans="2:2" ht="12.75" customHeight="1" x14ac:dyDescent="0.2">
      <c r="B43166" s="43"/>
    </row>
    <row r="43167" spans="2:2" ht="12.75" customHeight="1" x14ac:dyDescent="0.2">
      <c r="B43167" s="43"/>
    </row>
    <row r="43168" spans="2:2" ht="12.75" customHeight="1" x14ac:dyDescent="0.2">
      <c r="B43168" s="43"/>
    </row>
    <row r="43169" spans="2:2" ht="12.75" customHeight="1" x14ac:dyDescent="0.2">
      <c r="B43169" s="43"/>
    </row>
    <row r="43170" spans="2:2" ht="12.75" customHeight="1" x14ac:dyDescent="0.2">
      <c r="B43170" s="43"/>
    </row>
    <row r="43171" spans="2:2" ht="12.75" customHeight="1" x14ac:dyDescent="0.2">
      <c r="B43171" s="43"/>
    </row>
    <row r="43172" spans="2:2" ht="12.75" customHeight="1" x14ac:dyDescent="0.2">
      <c r="B43172" s="43"/>
    </row>
    <row r="43173" spans="2:2" ht="12.75" customHeight="1" x14ac:dyDescent="0.2">
      <c r="B43173" s="43"/>
    </row>
    <row r="43174" spans="2:2" ht="12.75" customHeight="1" x14ac:dyDescent="0.2">
      <c r="B43174" s="43"/>
    </row>
    <row r="43175" spans="2:2" ht="12.75" customHeight="1" x14ac:dyDescent="0.2">
      <c r="B43175" s="43"/>
    </row>
    <row r="43176" spans="2:2" ht="12.75" customHeight="1" x14ac:dyDescent="0.2">
      <c r="B43176" s="43"/>
    </row>
    <row r="43177" spans="2:2" ht="12.75" customHeight="1" x14ac:dyDescent="0.2">
      <c r="B43177" s="43"/>
    </row>
    <row r="43178" spans="2:2" ht="12.75" customHeight="1" x14ac:dyDescent="0.2">
      <c r="B43178" s="43"/>
    </row>
    <row r="43179" spans="2:2" ht="12.75" customHeight="1" x14ac:dyDescent="0.2">
      <c r="B43179" s="43"/>
    </row>
    <row r="43180" spans="2:2" ht="12.75" customHeight="1" x14ac:dyDescent="0.2">
      <c r="B43180" s="43"/>
    </row>
    <row r="43181" spans="2:2" ht="12.75" customHeight="1" x14ac:dyDescent="0.2">
      <c r="B43181" s="43"/>
    </row>
    <row r="43182" spans="2:2" ht="12.75" customHeight="1" x14ac:dyDescent="0.2">
      <c r="B43182" s="43"/>
    </row>
    <row r="43183" spans="2:2" ht="12.75" customHeight="1" x14ac:dyDescent="0.2">
      <c r="B43183" s="43"/>
    </row>
    <row r="43184" spans="2:2" ht="12.75" customHeight="1" x14ac:dyDescent="0.2">
      <c r="B43184" s="43"/>
    </row>
    <row r="43185" spans="2:2" ht="12.75" customHeight="1" x14ac:dyDescent="0.2">
      <c r="B43185" s="43"/>
    </row>
    <row r="43186" spans="2:2" ht="12.75" customHeight="1" x14ac:dyDescent="0.2">
      <c r="B43186" s="43"/>
    </row>
    <row r="43187" spans="2:2" ht="12.75" customHeight="1" x14ac:dyDescent="0.2">
      <c r="B43187" s="43"/>
    </row>
    <row r="43188" spans="2:2" ht="12.75" customHeight="1" x14ac:dyDescent="0.2">
      <c r="B43188" s="43"/>
    </row>
    <row r="43189" spans="2:2" ht="12.75" customHeight="1" x14ac:dyDescent="0.2">
      <c r="B43189" s="43"/>
    </row>
    <row r="43190" spans="2:2" ht="12.75" customHeight="1" x14ac:dyDescent="0.2">
      <c r="B43190" s="43"/>
    </row>
    <row r="43191" spans="2:2" ht="12.75" customHeight="1" x14ac:dyDescent="0.2">
      <c r="B43191" s="43"/>
    </row>
    <row r="43192" spans="2:2" ht="12.75" customHeight="1" x14ac:dyDescent="0.2">
      <c r="B43192" s="43"/>
    </row>
    <row r="43193" spans="2:2" ht="12.75" customHeight="1" x14ac:dyDescent="0.2">
      <c r="B43193" s="43"/>
    </row>
    <row r="43194" spans="2:2" ht="12.75" customHeight="1" x14ac:dyDescent="0.2">
      <c r="B43194" s="43"/>
    </row>
    <row r="43195" spans="2:2" ht="12.75" customHeight="1" x14ac:dyDescent="0.2">
      <c r="B43195" s="43"/>
    </row>
    <row r="43196" spans="2:2" ht="12.75" customHeight="1" x14ac:dyDescent="0.2">
      <c r="B43196" s="43"/>
    </row>
    <row r="43197" spans="2:2" ht="12.75" customHeight="1" x14ac:dyDescent="0.2">
      <c r="B43197" s="43"/>
    </row>
    <row r="43198" spans="2:2" ht="12.75" customHeight="1" x14ac:dyDescent="0.2">
      <c r="B43198" s="43"/>
    </row>
    <row r="43199" spans="2:2" ht="12.75" customHeight="1" x14ac:dyDescent="0.2">
      <c r="B43199" s="43"/>
    </row>
    <row r="43200" spans="2:2" ht="12.75" customHeight="1" x14ac:dyDescent="0.2">
      <c r="B43200" s="43"/>
    </row>
    <row r="43201" spans="2:2" ht="12.75" customHeight="1" x14ac:dyDescent="0.2">
      <c r="B43201" s="43"/>
    </row>
    <row r="43202" spans="2:2" ht="12.75" customHeight="1" x14ac:dyDescent="0.2">
      <c r="B43202" s="43"/>
    </row>
    <row r="43203" spans="2:2" ht="12.75" customHeight="1" x14ac:dyDescent="0.2">
      <c r="B43203" s="43"/>
    </row>
    <row r="43204" spans="2:2" ht="12.75" customHeight="1" x14ac:dyDescent="0.2">
      <c r="B43204" s="43"/>
    </row>
    <row r="43205" spans="2:2" ht="12.75" customHeight="1" x14ac:dyDescent="0.2">
      <c r="B43205" s="43"/>
    </row>
    <row r="43206" spans="2:2" ht="12.75" customHeight="1" x14ac:dyDescent="0.2">
      <c r="B43206" s="43"/>
    </row>
    <row r="43207" spans="2:2" ht="12.75" customHeight="1" x14ac:dyDescent="0.2">
      <c r="B43207" s="43"/>
    </row>
    <row r="43208" spans="2:2" ht="12.75" customHeight="1" x14ac:dyDescent="0.2">
      <c r="B43208" s="43"/>
    </row>
    <row r="43209" spans="2:2" ht="12.75" customHeight="1" x14ac:dyDescent="0.2">
      <c r="B43209" s="43"/>
    </row>
    <row r="43210" spans="2:2" ht="12.75" customHeight="1" x14ac:dyDescent="0.2">
      <c r="B43210" s="43"/>
    </row>
    <row r="43211" spans="2:2" ht="12.75" customHeight="1" x14ac:dyDescent="0.2">
      <c r="B43211" s="43"/>
    </row>
    <row r="43212" spans="2:2" ht="12.75" customHeight="1" x14ac:dyDescent="0.2">
      <c r="B43212" s="43"/>
    </row>
    <row r="43213" spans="2:2" ht="12.75" customHeight="1" x14ac:dyDescent="0.2">
      <c r="B43213" s="43"/>
    </row>
    <row r="43214" spans="2:2" ht="12.75" customHeight="1" x14ac:dyDescent="0.2">
      <c r="B43214" s="43"/>
    </row>
    <row r="43215" spans="2:2" ht="12.75" customHeight="1" x14ac:dyDescent="0.2">
      <c r="B43215" s="43"/>
    </row>
    <row r="43216" spans="2:2" ht="12.75" customHeight="1" x14ac:dyDescent="0.2">
      <c r="B43216" s="43"/>
    </row>
    <row r="43217" spans="2:2" ht="12.75" customHeight="1" x14ac:dyDescent="0.2">
      <c r="B43217" s="43"/>
    </row>
    <row r="43218" spans="2:2" ht="12.75" customHeight="1" x14ac:dyDescent="0.2">
      <c r="B43218" s="43"/>
    </row>
    <row r="43219" spans="2:2" ht="12.75" customHeight="1" x14ac:dyDescent="0.2">
      <c r="B43219" s="43"/>
    </row>
    <row r="43220" spans="2:2" ht="12.75" customHeight="1" x14ac:dyDescent="0.2">
      <c r="B43220" s="43"/>
    </row>
    <row r="43221" spans="2:2" ht="12.75" customHeight="1" x14ac:dyDescent="0.2">
      <c r="B43221" s="43"/>
    </row>
    <row r="43222" spans="2:2" ht="12.75" customHeight="1" x14ac:dyDescent="0.2">
      <c r="B43222" s="43"/>
    </row>
    <row r="43223" spans="2:2" ht="12.75" customHeight="1" x14ac:dyDescent="0.2">
      <c r="B43223" s="43"/>
    </row>
    <row r="43224" spans="2:2" ht="12.75" customHeight="1" x14ac:dyDescent="0.2">
      <c r="B43224" s="43"/>
    </row>
    <row r="43225" spans="2:2" ht="12.75" customHeight="1" x14ac:dyDescent="0.2">
      <c r="B43225" s="43"/>
    </row>
    <row r="43226" spans="2:2" ht="12.75" customHeight="1" x14ac:dyDescent="0.2">
      <c r="B43226" s="43"/>
    </row>
    <row r="43227" spans="2:2" ht="12.75" customHeight="1" x14ac:dyDescent="0.2">
      <c r="B43227" s="43"/>
    </row>
    <row r="43228" spans="2:2" ht="12.75" customHeight="1" x14ac:dyDescent="0.2">
      <c r="B43228" s="43"/>
    </row>
    <row r="43229" spans="2:2" ht="12.75" customHeight="1" x14ac:dyDescent="0.2">
      <c r="B43229" s="43"/>
    </row>
    <row r="43230" spans="2:2" ht="12.75" customHeight="1" x14ac:dyDescent="0.2">
      <c r="B43230" s="43"/>
    </row>
    <row r="43231" spans="2:2" ht="12.75" customHeight="1" x14ac:dyDescent="0.2">
      <c r="B43231" s="43"/>
    </row>
    <row r="43232" spans="2:2" ht="12.75" customHeight="1" x14ac:dyDescent="0.2">
      <c r="B43232" s="43"/>
    </row>
    <row r="43233" spans="2:2" ht="12.75" customHeight="1" x14ac:dyDescent="0.2">
      <c r="B43233" s="43"/>
    </row>
    <row r="43234" spans="2:2" ht="12.75" customHeight="1" x14ac:dyDescent="0.2">
      <c r="B43234" s="43"/>
    </row>
    <row r="43235" spans="2:2" ht="12.75" customHeight="1" x14ac:dyDescent="0.2">
      <c r="B43235" s="43"/>
    </row>
    <row r="43236" spans="2:2" ht="12.75" customHeight="1" x14ac:dyDescent="0.2">
      <c r="B43236" s="43"/>
    </row>
    <row r="43237" spans="2:2" ht="12.75" customHeight="1" x14ac:dyDescent="0.2">
      <c r="B43237" s="43"/>
    </row>
    <row r="43238" spans="2:2" ht="12.75" customHeight="1" x14ac:dyDescent="0.2">
      <c r="B43238" s="43"/>
    </row>
    <row r="43239" spans="2:2" ht="12.75" customHeight="1" x14ac:dyDescent="0.2">
      <c r="B43239" s="43"/>
    </row>
    <row r="43240" spans="2:2" ht="12.75" customHeight="1" x14ac:dyDescent="0.2">
      <c r="B43240" s="43"/>
    </row>
    <row r="43241" spans="2:2" ht="12.75" customHeight="1" x14ac:dyDescent="0.2">
      <c r="B43241" s="43"/>
    </row>
    <row r="43242" spans="2:2" ht="12.75" customHeight="1" x14ac:dyDescent="0.2">
      <c r="B43242" s="43"/>
    </row>
    <row r="43243" spans="2:2" ht="12.75" customHeight="1" x14ac:dyDescent="0.2">
      <c r="B43243" s="43"/>
    </row>
    <row r="43244" spans="2:2" ht="12.75" customHeight="1" x14ac:dyDescent="0.2">
      <c r="B43244" s="43"/>
    </row>
    <row r="43245" spans="2:2" ht="12.75" customHeight="1" x14ac:dyDescent="0.2">
      <c r="B43245" s="43"/>
    </row>
    <row r="43246" spans="2:2" ht="12.75" customHeight="1" x14ac:dyDescent="0.2">
      <c r="B43246" s="43"/>
    </row>
    <row r="43247" spans="2:2" ht="12.75" customHeight="1" x14ac:dyDescent="0.2">
      <c r="B43247" s="43"/>
    </row>
    <row r="43248" spans="2:2" ht="12.75" customHeight="1" x14ac:dyDescent="0.2">
      <c r="B43248" s="43"/>
    </row>
    <row r="43249" spans="2:2" ht="12.75" customHeight="1" x14ac:dyDescent="0.2">
      <c r="B43249" s="43"/>
    </row>
    <row r="43250" spans="2:2" ht="12.75" customHeight="1" x14ac:dyDescent="0.2">
      <c r="B43250" s="43"/>
    </row>
    <row r="43251" spans="2:2" ht="12.75" customHeight="1" x14ac:dyDescent="0.2">
      <c r="B43251" s="43"/>
    </row>
    <row r="43252" spans="2:2" ht="12.75" customHeight="1" x14ac:dyDescent="0.2">
      <c r="B43252" s="43"/>
    </row>
    <row r="43253" spans="2:2" ht="12.75" customHeight="1" x14ac:dyDescent="0.2">
      <c r="B43253" s="43"/>
    </row>
    <row r="43254" spans="2:2" ht="12.75" customHeight="1" x14ac:dyDescent="0.2">
      <c r="B43254" s="43"/>
    </row>
    <row r="43255" spans="2:2" ht="12.75" customHeight="1" x14ac:dyDescent="0.2">
      <c r="B43255" s="43"/>
    </row>
    <row r="43256" spans="2:2" ht="12.75" customHeight="1" x14ac:dyDescent="0.2">
      <c r="B43256" s="43"/>
    </row>
    <row r="43257" spans="2:2" ht="12.75" customHeight="1" x14ac:dyDescent="0.2">
      <c r="B43257" s="43"/>
    </row>
    <row r="43258" spans="2:2" ht="12.75" customHeight="1" x14ac:dyDescent="0.2">
      <c r="B43258" s="43"/>
    </row>
    <row r="43259" spans="2:2" ht="12.75" customHeight="1" x14ac:dyDescent="0.2">
      <c r="B43259" s="43"/>
    </row>
    <row r="43260" spans="2:2" ht="12.75" customHeight="1" x14ac:dyDescent="0.2">
      <c r="B43260" s="43"/>
    </row>
    <row r="43261" spans="2:2" ht="12.75" customHeight="1" x14ac:dyDescent="0.2">
      <c r="B43261" s="43"/>
    </row>
    <row r="43262" spans="2:2" ht="12.75" customHeight="1" x14ac:dyDescent="0.2">
      <c r="B43262" s="43"/>
    </row>
    <row r="43263" spans="2:2" ht="12.75" customHeight="1" x14ac:dyDescent="0.2">
      <c r="B43263" s="43"/>
    </row>
    <row r="43264" spans="2:2" ht="12.75" customHeight="1" x14ac:dyDescent="0.2">
      <c r="B43264" s="43"/>
    </row>
    <row r="43265" spans="2:2" ht="12.75" customHeight="1" x14ac:dyDescent="0.2">
      <c r="B43265" s="43"/>
    </row>
    <row r="43266" spans="2:2" ht="12.75" customHeight="1" x14ac:dyDescent="0.2">
      <c r="B43266" s="43"/>
    </row>
    <row r="43267" spans="2:2" ht="12.75" customHeight="1" x14ac:dyDescent="0.2">
      <c r="B43267" s="43"/>
    </row>
    <row r="43268" spans="2:2" ht="12.75" customHeight="1" x14ac:dyDescent="0.2">
      <c r="B43268" s="43"/>
    </row>
    <row r="43269" spans="2:2" ht="12.75" customHeight="1" x14ac:dyDescent="0.2">
      <c r="B43269" s="43"/>
    </row>
    <row r="43270" spans="2:2" ht="12.75" customHeight="1" x14ac:dyDescent="0.2">
      <c r="B43270" s="43"/>
    </row>
    <row r="43271" spans="2:2" ht="12.75" customHeight="1" x14ac:dyDescent="0.2">
      <c r="B43271" s="43"/>
    </row>
    <row r="43272" spans="2:2" ht="12.75" customHeight="1" x14ac:dyDescent="0.2">
      <c r="B43272" s="43"/>
    </row>
    <row r="43273" spans="2:2" ht="12.75" customHeight="1" x14ac:dyDescent="0.2">
      <c r="B43273" s="43"/>
    </row>
    <row r="43274" spans="2:2" ht="12.75" customHeight="1" x14ac:dyDescent="0.2">
      <c r="B43274" s="43"/>
    </row>
    <row r="43275" spans="2:2" ht="12.75" customHeight="1" x14ac:dyDescent="0.2">
      <c r="B43275" s="43"/>
    </row>
    <row r="43276" spans="2:2" ht="12.75" customHeight="1" x14ac:dyDescent="0.2">
      <c r="B43276" s="43"/>
    </row>
    <row r="43277" spans="2:2" ht="12.75" customHeight="1" x14ac:dyDescent="0.2">
      <c r="B43277" s="43"/>
    </row>
    <row r="43278" spans="2:2" ht="12.75" customHeight="1" x14ac:dyDescent="0.2">
      <c r="B43278" s="43"/>
    </row>
    <row r="43279" spans="2:2" ht="12.75" customHeight="1" x14ac:dyDescent="0.2">
      <c r="B43279" s="43"/>
    </row>
    <row r="43280" spans="2:2" ht="12.75" customHeight="1" x14ac:dyDescent="0.2">
      <c r="B43280" s="43"/>
    </row>
    <row r="43281" spans="2:2" ht="12.75" customHeight="1" x14ac:dyDescent="0.2">
      <c r="B43281" s="43"/>
    </row>
    <row r="43282" spans="2:2" ht="12.75" customHeight="1" x14ac:dyDescent="0.2">
      <c r="B43282" s="43"/>
    </row>
    <row r="43283" spans="2:2" ht="12.75" customHeight="1" x14ac:dyDescent="0.2">
      <c r="B43283" s="43"/>
    </row>
    <row r="43284" spans="2:2" ht="12.75" customHeight="1" x14ac:dyDescent="0.2">
      <c r="B43284" s="43"/>
    </row>
    <row r="43285" spans="2:2" ht="12.75" customHeight="1" x14ac:dyDescent="0.2">
      <c r="B43285" s="43"/>
    </row>
    <row r="43286" spans="2:2" ht="12.75" customHeight="1" x14ac:dyDescent="0.2">
      <c r="B43286" s="43"/>
    </row>
    <row r="43287" spans="2:2" ht="12.75" customHeight="1" x14ac:dyDescent="0.2">
      <c r="B43287" s="43"/>
    </row>
    <row r="43288" spans="2:2" ht="12.75" customHeight="1" x14ac:dyDescent="0.2">
      <c r="B43288" s="43"/>
    </row>
    <row r="43289" spans="2:2" ht="12.75" customHeight="1" x14ac:dyDescent="0.2">
      <c r="B43289" s="43"/>
    </row>
    <row r="43290" spans="2:2" ht="12.75" customHeight="1" x14ac:dyDescent="0.2">
      <c r="B43290" s="43"/>
    </row>
    <row r="43291" spans="2:2" ht="12.75" customHeight="1" x14ac:dyDescent="0.2">
      <c r="B43291" s="43"/>
    </row>
    <row r="43292" spans="2:2" ht="12.75" customHeight="1" x14ac:dyDescent="0.2">
      <c r="B43292" s="43"/>
    </row>
    <row r="43293" spans="2:2" ht="12.75" customHeight="1" x14ac:dyDescent="0.2">
      <c r="B43293" s="43"/>
    </row>
    <row r="43294" spans="2:2" ht="12.75" customHeight="1" x14ac:dyDescent="0.2">
      <c r="B43294" s="43"/>
    </row>
    <row r="43295" spans="2:2" ht="12.75" customHeight="1" x14ac:dyDescent="0.2">
      <c r="B43295" s="43"/>
    </row>
    <row r="43296" spans="2:2" ht="12.75" customHeight="1" x14ac:dyDescent="0.2">
      <c r="B43296" s="43"/>
    </row>
    <row r="43297" spans="2:2" ht="12.75" customHeight="1" x14ac:dyDescent="0.2">
      <c r="B43297" s="43"/>
    </row>
    <row r="43298" spans="2:2" ht="12.75" customHeight="1" x14ac:dyDescent="0.2">
      <c r="B43298" s="43"/>
    </row>
    <row r="43299" spans="2:2" ht="12.75" customHeight="1" x14ac:dyDescent="0.2">
      <c r="B43299" s="43"/>
    </row>
    <row r="43300" spans="2:2" ht="12.75" customHeight="1" x14ac:dyDescent="0.2">
      <c r="B43300" s="43"/>
    </row>
    <row r="43301" spans="2:2" ht="12.75" customHeight="1" x14ac:dyDescent="0.2">
      <c r="B43301" s="43"/>
    </row>
    <row r="43302" spans="2:2" ht="12.75" customHeight="1" x14ac:dyDescent="0.2">
      <c r="B43302" s="43"/>
    </row>
    <row r="43303" spans="2:2" ht="12.75" customHeight="1" x14ac:dyDescent="0.2">
      <c r="B43303" s="43"/>
    </row>
    <row r="43304" spans="2:2" ht="12.75" customHeight="1" x14ac:dyDescent="0.2">
      <c r="B43304" s="43"/>
    </row>
    <row r="43305" spans="2:2" ht="12.75" customHeight="1" x14ac:dyDescent="0.2">
      <c r="B43305" s="43"/>
    </row>
    <row r="43306" spans="2:2" ht="12.75" customHeight="1" x14ac:dyDescent="0.2">
      <c r="B43306" s="43"/>
    </row>
    <row r="43307" spans="2:2" ht="12.75" customHeight="1" x14ac:dyDescent="0.2">
      <c r="B43307" s="43"/>
    </row>
    <row r="43308" spans="2:2" ht="12.75" customHeight="1" x14ac:dyDescent="0.2">
      <c r="B43308" s="43"/>
    </row>
    <row r="43309" spans="2:2" ht="12.75" customHeight="1" x14ac:dyDescent="0.2">
      <c r="B43309" s="43"/>
    </row>
    <row r="43310" spans="2:2" ht="12.75" customHeight="1" x14ac:dyDescent="0.2">
      <c r="B43310" s="43"/>
    </row>
    <row r="43311" spans="2:2" ht="12.75" customHeight="1" x14ac:dyDescent="0.2">
      <c r="B43311" s="43"/>
    </row>
    <row r="43312" spans="2:2" ht="12.75" customHeight="1" x14ac:dyDescent="0.2">
      <c r="B43312" s="43"/>
    </row>
    <row r="43313" spans="2:2" ht="12.75" customHeight="1" x14ac:dyDescent="0.2">
      <c r="B43313" s="43"/>
    </row>
    <row r="43314" spans="2:2" ht="12.75" customHeight="1" x14ac:dyDescent="0.2">
      <c r="B43314" s="43"/>
    </row>
    <row r="43315" spans="2:2" ht="12.75" customHeight="1" x14ac:dyDescent="0.2">
      <c r="B43315" s="43"/>
    </row>
    <row r="43316" spans="2:2" ht="12.75" customHeight="1" x14ac:dyDescent="0.2">
      <c r="B43316" s="43"/>
    </row>
    <row r="43317" spans="2:2" ht="12.75" customHeight="1" x14ac:dyDescent="0.2">
      <c r="B43317" s="43"/>
    </row>
    <row r="43318" spans="2:2" ht="12.75" customHeight="1" x14ac:dyDescent="0.2">
      <c r="B43318" s="43"/>
    </row>
    <row r="43319" spans="2:2" ht="12.75" customHeight="1" x14ac:dyDescent="0.2">
      <c r="B43319" s="43"/>
    </row>
    <row r="43320" spans="2:2" ht="12.75" customHeight="1" x14ac:dyDescent="0.2">
      <c r="B43320" s="43"/>
    </row>
    <row r="43321" spans="2:2" ht="12.75" customHeight="1" x14ac:dyDescent="0.2">
      <c r="B43321" s="43"/>
    </row>
    <row r="43322" spans="2:2" ht="12.75" customHeight="1" x14ac:dyDescent="0.2">
      <c r="B43322" s="43"/>
    </row>
    <row r="43323" spans="2:2" ht="12.75" customHeight="1" x14ac:dyDescent="0.2">
      <c r="B43323" s="43"/>
    </row>
    <row r="43324" spans="2:2" ht="12.75" customHeight="1" x14ac:dyDescent="0.2">
      <c r="B43324" s="43"/>
    </row>
    <row r="43325" spans="2:2" ht="12.75" customHeight="1" x14ac:dyDescent="0.2">
      <c r="B43325" s="43"/>
    </row>
    <row r="43326" spans="2:2" ht="12.75" customHeight="1" x14ac:dyDescent="0.2">
      <c r="B43326" s="43"/>
    </row>
    <row r="43327" spans="2:2" ht="12.75" customHeight="1" x14ac:dyDescent="0.2">
      <c r="B43327" s="43"/>
    </row>
    <row r="43328" spans="2:2" ht="12.75" customHeight="1" x14ac:dyDescent="0.2">
      <c r="B43328" s="43"/>
    </row>
    <row r="43329" spans="2:2" ht="12.75" customHeight="1" x14ac:dyDescent="0.2">
      <c r="B43329" s="43"/>
    </row>
    <row r="43330" spans="2:2" ht="12.75" customHeight="1" x14ac:dyDescent="0.2">
      <c r="B43330" s="43"/>
    </row>
    <row r="43331" spans="2:2" ht="12.75" customHeight="1" x14ac:dyDescent="0.2">
      <c r="B43331" s="43"/>
    </row>
    <row r="43332" spans="2:2" ht="12.75" customHeight="1" x14ac:dyDescent="0.2">
      <c r="B43332" s="43"/>
    </row>
    <row r="43333" spans="2:2" ht="12.75" customHeight="1" x14ac:dyDescent="0.2">
      <c r="B43333" s="43"/>
    </row>
    <row r="43334" spans="2:2" ht="12.75" customHeight="1" x14ac:dyDescent="0.2">
      <c r="B43334" s="43"/>
    </row>
    <row r="43335" spans="2:2" ht="12.75" customHeight="1" x14ac:dyDescent="0.2">
      <c r="B43335" s="43"/>
    </row>
    <row r="43336" spans="2:2" ht="12.75" customHeight="1" x14ac:dyDescent="0.2">
      <c r="B43336" s="43"/>
    </row>
    <row r="43337" spans="2:2" ht="12.75" customHeight="1" x14ac:dyDescent="0.2">
      <c r="B43337" s="43"/>
    </row>
    <row r="43338" spans="2:2" ht="12.75" customHeight="1" x14ac:dyDescent="0.2">
      <c r="B43338" s="43"/>
    </row>
    <row r="43339" spans="2:2" ht="12.75" customHeight="1" x14ac:dyDescent="0.2">
      <c r="B43339" s="43"/>
    </row>
    <row r="43340" spans="2:2" ht="12.75" customHeight="1" x14ac:dyDescent="0.2">
      <c r="B43340" s="43"/>
    </row>
    <row r="43341" spans="2:2" ht="12.75" customHeight="1" x14ac:dyDescent="0.2">
      <c r="B43341" s="43"/>
    </row>
    <row r="43342" spans="2:2" ht="12.75" customHeight="1" x14ac:dyDescent="0.2">
      <c r="B43342" s="43"/>
    </row>
    <row r="43343" spans="2:2" ht="12.75" customHeight="1" x14ac:dyDescent="0.2">
      <c r="B43343" s="43"/>
    </row>
    <row r="43344" spans="2:2" ht="12.75" customHeight="1" x14ac:dyDescent="0.2">
      <c r="B43344" s="43"/>
    </row>
    <row r="43345" spans="2:2" ht="12.75" customHeight="1" x14ac:dyDescent="0.2">
      <c r="B43345" s="43"/>
    </row>
    <row r="43346" spans="2:2" ht="12.75" customHeight="1" x14ac:dyDescent="0.2">
      <c r="B43346" s="43"/>
    </row>
    <row r="43347" spans="2:2" ht="12.75" customHeight="1" x14ac:dyDescent="0.2">
      <c r="B43347" s="43"/>
    </row>
    <row r="43348" spans="2:2" ht="12.75" customHeight="1" x14ac:dyDescent="0.2">
      <c r="B43348" s="43"/>
    </row>
    <row r="43349" spans="2:2" ht="12.75" customHeight="1" x14ac:dyDescent="0.2">
      <c r="B43349" s="43"/>
    </row>
    <row r="43350" spans="2:2" ht="12.75" customHeight="1" x14ac:dyDescent="0.2">
      <c r="B43350" s="43"/>
    </row>
    <row r="43351" spans="2:2" ht="12.75" customHeight="1" x14ac:dyDescent="0.2">
      <c r="B43351" s="43"/>
    </row>
    <row r="43352" spans="2:2" ht="12.75" customHeight="1" x14ac:dyDescent="0.2">
      <c r="B43352" s="43"/>
    </row>
    <row r="43353" spans="2:2" ht="12.75" customHeight="1" x14ac:dyDescent="0.2">
      <c r="B43353" s="43"/>
    </row>
    <row r="43354" spans="2:2" ht="12.75" customHeight="1" x14ac:dyDescent="0.2">
      <c r="B43354" s="43"/>
    </row>
    <row r="43355" spans="2:2" ht="12.75" customHeight="1" x14ac:dyDescent="0.2">
      <c r="B43355" s="43"/>
    </row>
    <row r="43356" spans="2:2" ht="12.75" customHeight="1" x14ac:dyDescent="0.2">
      <c r="B43356" s="43"/>
    </row>
    <row r="43357" spans="2:2" ht="12.75" customHeight="1" x14ac:dyDescent="0.2">
      <c r="B43357" s="43"/>
    </row>
    <row r="43358" spans="2:2" ht="12.75" customHeight="1" x14ac:dyDescent="0.2">
      <c r="B43358" s="43"/>
    </row>
    <row r="43359" spans="2:2" ht="12.75" customHeight="1" x14ac:dyDescent="0.2">
      <c r="B43359" s="43"/>
    </row>
    <row r="43360" spans="2:2" ht="12.75" customHeight="1" x14ac:dyDescent="0.2">
      <c r="B43360" s="43"/>
    </row>
    <row r="43361" spans="2:2" ht="12.75" customHeight="1" x14ac:dyDescent="0.2">
      <c r="B43361" s="43"/>
    </row>
    <row r="43362" spans="2:2" ht="12.75" customHeight="1" x14ac:dyDescent="0.2">
      <c r="B43362" s="43"/>
    </row>
    <row r="43363" spans="2:2" ht="12.75" customHeight="1" x14ac:dyDescent="0.2">
      <c r="B43363" s="43"/>
    </row>
    <row r="43364" spans="2:2" ht="12.75" customHeight="1" x14ac:dyDescent="0.2">
      <c r="B43364" s="43"/>
    </row>
    <row r="43365" spans="2:2" ht="12.75" customHeight="1" x14ac:dyDescent="0.2">
      <c r="B43365" s="43"/>
    </row>
    <row r="43366" spans="2:2" ht="12.75" customHeight="1" x14ac:dyDescent="0.2">
      <c r="B43366" s="43"/>
    </row>
    <row r="43367" spans="2:2" ht="12.75" customHeight="1" x14ac:dyDescent="0.2">
      <c r="B43367" s="43"/>
    </row>
    <row r="43368" spans="2:2" ht="12.75" customHeight="1" x14ac:dyDescent="0.2">
      <c r="B43368" s="43"/>
    </row>
    <row r="43369" spans="2:2" ht="12.75" customHeight="1" x14ac:dyDescent="0.2">
      <c r="B43369" s="43"/>
    </row>
    <row r="43370" spans="2:2" ht="12.75" customHeight="1" x14ac:dyDescent="0.2">
      <c r="B43370" s="43"/>
    </row>
    <row r="43371" spans="2:2" ht="12.75" customHeight="1" x14ac:dyDescent="0.2">
      <c r="B43371" s="43"/>
    </row>
    <row r="43372" spans="2:2" ht="12.75" customHeight="1" x14ac:dyDescent="0.2">
      <c r="B43372" s="43"/>
    </row>
    <row r="43373" spans="2:2" ht="12.75" customHeight="1" x14ac:dyDescent="0.2">
      <c r="B43373" s="43"/>
    </row>
    <row r="43374" spans="2:2" ht="12.75" customHeight="1" x14ac:dyDescent="0.2">
      <c r="B43374" s="43"/>
    </row>
    <row r="43375" spans="2:2" ht="12.75" customHeight="1" x14ac:dyDescent="0.2">
      <c r="B43375" s="43"/>
    </row>
    <row r="43376" spans="2:2" ht="12.75" customHeight="1" x14ac:dyDescent="0.2">
      <c r="B43376" s="43"/>
    </row>
    <row r="43377" spans="2:2" ht="12.75" customHeight="1" x14ac:dyDescent="0.2">
      <c r="B43377" s="43"/>
    </row>
    <row r="43378" spans="2:2" ht="12.75" customHeight="1" x14ac:dyDescent="0.2">
      <c r="B43378" s="43"/>
    </row>
    <row r="43379" spans="2:2" ht="12.75" customHeight="1" x14ac:dyDescent="0.2">
      <c r="B43379" s="43"/>
    </row>
    <row r="43380" spans="2:2" ht="12.75" customHeight="1" x14ac:dyDescent="0.2">
      <c r="B43380" s="43"/>
    </row>
    <row r="43381" spans="2:2" ht="12.75" customHeight="1" x14ac:dyDescent="0.2">
      <c r="B43381" s="43"/>
    </row>
    <row r="43382" spans="2:2" ht="12.75" customHeight="1" x14ac:dyDescent="0.2">
      <c r="B43382" s="43"/>
    </row>
    <row r="43383" spans="2:2" ht="12.75" customHeight="1" x14ac:dyDescent="0.2">
      <c r="B43383" s="43"/>
    </row>
    <row r="43384" spans="2:2" ht="12.75" customHeight="1" x14ac:dyDescent="0.2">
      <c r="B43384" s="43"/>
    </row>
    <row r="43385" spans="2:2" ht="12.75" customHeight="1" x14ac:dyDescent="0.2">
      <c r="B43385" s="43"/>
    </row>
    <row r="43386" spans="2:2" ht="12.75" customHeight="1" x14ac:dyDescent="0.2">
      <c r="B43386" s="43"/>
    </row>
    <row r="43387" spans="2:2" ht="12.75" customHeight="1" x14ac:dyDescent="0.2">
      <c r="B43387" s="43"/>
    </row>
    <row r="43388" spans="2:2" ht="12.75" customHeight="1" x14ac:dyDescent="0.2">
      <c r="B43388" s="43"/>
    </row>
    <row r="43389" spans="2:2" ht="12.75" customHeight="1" x14ac:dyDescent="0.2">
      <c r="B43389" s="43"/>
    </row>
    <row r="43390" spans="2:2" ht="12.75" customHeight="1" x14ac:dyDescent="0.2">
      <c r="B43390" s="43"/>
    </row>
    <row r="43391" spans="2:2" ht="12.75" customHeight="1" x14ac:dyDescent="0.2">
      <c r="B43391" s="43"/>
    </row>
    <row r="43392" spans="2:2" ht="12.75" customHeight="1" x14ac:dyDescent="0.2">
      <c r="B43392" s="43"/>
    </row>
    <row r="43393" spans="2:2" ht="12.75" customHeight="1" x14ac:dyDescent="0.2">
      <c r="B43393" s="43"/>
    </row>
    <row r="43394" spans="2:2" ht="12.75" customHeight="1" x14ac:dyDescent="0.2">
      <c r="B43394" s="43"/>
    </row>
    <row r="43395" spans="2:2" ht="12.75" customHeight="1" x14ac:dyDescent="0.2">
      <c r="B43395" s="43"/>
    </row>
    <row r="43396" spans="2:2" ht="12.75" customHeight="1" x14ac:dyDescent="0.2">
      <c r="B43396" s="43"/>
    </row>
    <row r="43397" spans="2:2" ht="12.75" customHeight="1" x14ac:dyDescent="0.2">
      <c r="B43397" s="43"/>
    </row>
    <row r="43398" spans="2:2" ht="12.75" customHeight="1" x14ac:dyDescent="0.2">
      <c r="B43398" s="43"/>
    </row>
    <row r="43399" spans="2:2" ht="12.75" customHeight="1" x14ac:dyDescent="0.2">
      <c r="B43399" s="43"/>
    </row>
    <row r="43400" spans="2:2" ht="12.75" customHeight="1" x14ac:dyDescent="0.2">
      <c r="B43400" s="43"/>
    </row>
    <row r="43401" spans="2:2" ht="12.75" customHeight="1" x14ac:dyDescent="0.2">
      <c r="B43401" s="43"/>
    </row>
    <row r="43402" spans="2:2" ht="12.75" customHeight="1" x14ac:dyDescent="0.2">
      <c r="B43402" s="43"/>
    </row>
    <row r="43403" spans="2:2" ht="12.75" customHeight="1" x14ac:dyDescent="0.2">
      <c r="B43403" s="43"/>
    </row>
    <row r="43404" spans="2:2" ht="12.75" customHeight="1" x14ac:dyDescent="0.2">
      <c r="B43404" s="43"/>
    </row>
    <row r="43405" spans="2:2" ht="12.75" customHeight="1" x14ac:dyDescent="0.2">
      <c r="B43405" s="43"/>
    </row>
    <row r="43406" spans="2:2" ht="12.75" customHeight="1" x14ac:dyDescent="0.2">
      <c r="B43406" s="43"/>
    </row>
    <row r="43407" spans="2:2" ht="12.75" customHeight="1" x14ac:dyDescent="0.2">
      <c r="B43407" s="43"/>
    </row>
    <row r="43408" spans="2:2" ht="12.75" customHeight="1" x14ac:dyDescent="0.2">
      <c r="B43408" s="43"/>
    </row>
    <row r="43409" spans="2:2" ht="12.75" customHeight="1" x14ac:dyDescent="0.2">
      <c r="B43409" s="43"/>
    </row>
    <row r="43410" spans="2:2" ht="12.75" customHeight="1" x14ac:dyDescent="0.2">
      <c r="B43410" s="43"/>
    </row>
    <row r="43411" spans="2:2" ht="12.75" customHeight="1" x14ac:dyDescent="0.2">
      <c r="B43411" s="43"/>
    </row>
    <row r="43412" spans="2:2" ht="12.75" customHeight="1" x14ac:dyDescent="0.2">
      <c r="B43412" s="43"/>
    </row>
    <row r="43413" spans="2:2" ht="12.75" customHeight="1" x14ac:dyDescent="0.2">
      <c r="B43413" s="43"/>
    </row>
    <row r="43414" spans="2:2" ht="12.75" customHeight="1" x14ac:dyDescent="0.2">
      <c r="B43414" s="43"/>
    </row>
    <row r="43415" spans="2:2" ht="12.75" customHeight="1" x14ac:dyDescent="0.2">
      <c r="B43415" s="43"/>
    </row>
    <row r="43416" spans="2:2" ht="12.75" customHeight="1" x14ac:dyDescent="0.2">
      <c r="B43416" s="43"/>
    </row>
    <row r="43417" spans="2:2" ht="12.75" customHeight="1" x14ac:dyDescent="0.2">
      <c r="B43417" s="43"/>
    </row>
    <row r="43418" spans="2:2" ht="12.75" customHeight="1" x14ac:dyDescent="0.2">
      <c r="B43418" s="43"/>
    </row>
    <row r="43419" spans="2:2" ht="12.75" customHeight="1" x14ac:dyDescent="0.2">
      <c r="B43419" s="43"/>
    </row>
    <row r="43420" spans="2:2" ht="12.75" customHeight="1" x14ac:dyDescent="0.2">
      <c r="B43420" s="43"/>
    </row>
    <row r="43421" spans="2:2" ht="12.75" customHeight="1" x14ac:dyDescent="0.2">
      <c r="B43421" s="43"/>
    </row>
    <row r="43422" spans="2:2" ht="12.75" customHeight="1" x14ac:dyDescent="0.2">
      <c r="B43422" s="43"/>
    </row>
    <row r="43423" spans="2:2" ht="12.75" customHeight="1" x14ac:dyDescent="0.2">
      <c r="B43423" s="43"/>
    </row>
    <row r="43424" spans="2:2" ht="12.75" customHeight="1" x14ac:dyDescent="0.2">
      <c r="B43424" s="43"/>
    </row>
    <row r="43425" spans="2:2" ht="12.75" customHeight="1" x14ac:dyDescent="0.2">
      <c r="B43425" s="43"/>
    </row>
    <row r="43426" spans="2:2" ht="12.75" customHeight="1" x14ac:dyDescent="0.2">
      <c r="B43426" s="43"/>
    </row>
    <row r="43427" spans="2:2" ht="12.75" customHeight="1" x14ac:dyDescent="0.2">
      <c r="B43427" s="43"/>
    </row>
    <row r="43428" spans="2:2" ht="12.75" customHeight="1" x14ac:dyDescent="0.2">
      <c r="B43428" s="43"/>
    </row>
    <row r="43429" spans="2:2" ht="12.75" customHeight="1" x14ac:dyDescent="0.2">
      <c r="B43429" s="43"/>
    </row>
    <row r="43430" spans="2:2" ht="12.75" customHeight="1" x14ac:dyDescent="0.2">
      <c r="B43430" s="43"/>
    </row>
    <row r="43431" spans="2:2" ht="12.75" customHeight="1" x14ac:dyDescent="0.2">
      <c r="B43431" s="43"/>
    </row>
    <row r="43432" spans="2:2" ht="12.75" customHeight="1" x14ac:dyDescent="0.2">
      <c r="B43432" s="43"/>
    </row>
    <row r="43433" spans="2:2" ht="12.75" customHeight="1" x14ac:dyDescent="0.2">
      <c r="B43433" s="43"/>
    </row>
    <row r="43434" spans="2:2" ht="12.75" customHeight="1" x14ac:dyDescent="0.2">
      <c r="B43434" s="43"/>
    </row>
    <row r="43435" spans="2:2" ht="12.75" customHeight="1" x14ac:dyDescent="0.2">
      <c r="B43435" s="43"/>
    </row>
    <row r="43436" spans="2:2" ht="12.75" customHeight="1" x14ac:dyDescent="0.2">
      <c r="B43436" s="43"/>
    </row>
    <row r="43437" spans="2:2" ht="12.75" customHeight="1" x14ac:dyDescent="0.2">
      <c r="B43437" s="43"/>
    </row>
    <row r="43438" spans="2:2" ht="12.75" customHeight="1" x14ac:dyDescent="0.2">
      <c r="B43438" s="43"/>
    </row>
    <row r="43439" spans="2:2" ht="12.75" customHeight="1" x14ac:dyDescent="0.2">
      <c r="B43439" s="43"/>
    </row>
    <row r="43440" spans="2:2" ht="12.75" customHeight="1" x14ac:dyDescent="0.2">
      <c r="B43440" s="43"/>
    </row>
    <row r="43441" spans="2:2" ht="12.75" customHeight="1" x14ac:dyDescent="0.2">
      <c r="B43441" s="43"/>
    </row>
    <row r="43442" spans="2:2" ht="12.75" customHeight="1" x14ac:dyDescent="0.2">
      <c r="B43442" s="43"/>
    </row>
    <row r="43443" spans="2:2" ht="12.75" customHeight="1" x14ac:dyDescent="0.2">
      <c r="B43443" s="43"/>
    </row>
    <row r="43444" spans="2:2" ht="12.75" customHeight="1" x14ac:dyDescent="0.2">
      <c r="B43444" s="43"/>
    </row>
    <row r="43445" spans="2:2" ht="12.75" customHeight="1" x14ac:dyDescent="0.2">
      <c r="B43445" s="43"/>
    </row>
    <row r="43446" spans="2:2" ht="12.75" customHeight="1" x14ac:dyDescent="0.2">
      <c r="B43446" s="43"/>
    </row>
    <row r="43447" spans="2:2" ht="12.75" customHeight="1" x14ac:dyDescent="0.2">
      <c r="B43447" s="43"/>
    </row>
    <row r="43448" spans="2:2" ht="12.75" customHeight="1" x14ac:dyDescent="0.2">
      <c r="B43448" s="43"/>
    </row>
    <row r="43449" spans="2:2" ht="12.75" customHeight="1" x14ac:dyDescent="0.2">
      <c r="B43449" s="43"/>
    </row>
    <row r="43450" spans="2:2" ht="12.75" customHeight="1" x14ac:dyDescent="0.2">
      <c r="B43450" s="43"/>
    </row>
    <row r="43451" spans="2:2" ht="12.75" customHeight="1" x14ac:dyDescent="0.2">
      <c r="B43451" s="43"/>
    </row>
    <row r="43452" spans="2:2" ht="12.75" customHeight="1" x14ac:dyDescent="0.2">
      <c r="B43452" s="43"/>
    </row>
    <row r="43453" spans="2:2" ht="12.75" customHeight="1" x14ac:dyDescent="0.2">
      <c r="B43453" s="43"/>
    </row>
    <row r="43454" spans="2:2" ht="12.75" customHeight="1" x14ac:dyDescent="0.2">
      <c r="B43454" s="43"/>
    </row>
    <row r="43455" spans="2:2" ht="12.75" customHeight="1" x14ac:dyDescent="0.2">
      <c r="B43455" s="43"/>
    </row>
    <row r="43456" spans="2:2" ht="12.75" customHeight="1" x14ac:dyDescent="0.2">
      <c r="B43456" s="43"/>
    </row>
    <row r="43457" spans="2:2" ht="12.75" customHeight="1" x14ac:dyDescent="0.2">
      <c r="B43457" s="43"/>
    </row>
    <row r="43458" spans="2:2" ht="12.75" customHeight="1" x14ac:dyDescent="0.2">
      <c r="B43458" s="43"/>
    </row>
    <row r="43459" spans="2:2" ht="12.75" customHeight="1" x14ac:dyDescent="0.2">
      <c r="B43459" s="43"/>
    </row>
    <row r="43460" spans="2:2" ht="12.75" customHeight="1" x14ac:dyDescent="0.2">
      <c r="B43460" s="43"/>
    </row>
    <row r="43461" spans="2:2" ht="12.75" customHeight="1" x14ac:dyDescent="0.2">
      <c r="B43461" s="43"/>
    </row>
    <row r="43462" spans="2:2" ht="12.75" customHeight="1" x14ac:dyDescent="0.2">
      <c r="B43462" s="43"/>
    </row>
    <row r="43463" spans="2:2" ht="12.75" customHeight="1" x14ac:dyDescent="0.2">
      <c r="B43463" s="43"/>
    </row>
    <row r="43464" spans="2:2" ht="12.75" customHeight="1" x14ac:dyDescent="0.2">
      <c r="B43464" s="43"/>
    </row>
    <row r="43465" spans="2:2" ht="12.75" customHeight="1" x14ac:dyDescent="0.2">
      <c r="B43465" s="43"/>
    </row>
    <row r="43466" spans="2:2" ht="12.75" customHeight="1" x14ac:dyDescent="0.2">
      <c r="B43466" s="43"/>
    </row>
    <row r="43467" spans="2:2" ht="12.75" customHeight="1" x14ac:dyDescent="0.2">
      <c r="B43467" s="43"/>
    </row>
    <row r="43468" spans="2:2" ht="12.75" customHeight="1" x14ac:dyDescent="0.2">
      <c r="B43468" s="43"/>
    </row>
    <row r="43469" spans="2:2" ht="12.75" customHeight="1" x14ac:dyDescent="0.2">
      <c r="B43469" s="43"/>
    </row>
    <row r="43470" spans="2:2" ht="12.75" customHeight="1" x14ac:dyDescent="0.2">
      <c r="B43470" s="43"/>
    </row>
    <row r="43471" spans="2:2" ht="12.75" customHeight="1" x14ac:dyDescent="0.2">
      <c r="B43471" s="43"/>
    </row>
    <row r="43472" spans="2:2" ht="12.75" customHeight="1" x14ac:dyDescent="0.2">
      <c r="B43472" s="43"/>
    </row>
    <row r="43473" spans="2:2" ht="12.75" customHeight="1" x14ac:dyDescent="0.2">
      <c r="B43473" s="43"/>
    </row>
    <row r="43474" spans="2:2" ht="12.75" customHeight="1" x14ac:dyDescent="0.2">
      <c r="B43474" s="43"/>
    </row>
    <row r="43475" spans="2:2" ht="12.75" customHeight="1" x14ac:dyDescent="0.2">
      <c r="B43475" s="43"/>
    </row>
    <row r="43476" spans="2:2" ht="12.75" customHeight="1" x14ac:dyDescent="0.2">
      <c r="B43476" s="43"/>
    </row>
    <row r="43477" spans="2:2" ht="12.75" customHeight="1" x14ac:dyDescent="0.2">
      <c r="B43477" s="43"/>
    </row>
    <row r="43478" spans="2:2" ht="12.75" customHeight="1" x14ac:dyDescent="0.2">
      <c r="B43478" s="43"/>
    </row>
    <row r="43479" spans="2:2" ht="12.75" customHeight="1" x14ac:dyDescent="0.2">
      <c r="B43479" s="43"/>
    </row>
    <row r="43480" spans="2:2" ht="12.75" customHeight="1" x14ac:dyDescent="0.2">
      <c r="B43480" s="43"/>
    </row>
    <row r="43481" spans="2:2" ht="12.75" customHeight="1" x14ac:dyDescent="0.2">
      <c r="B43481" s="43"/>
    </row>
    <row r="43482" spans="2:2" ht="12.75" customHeight="1" x14ac:dyDescent="0.2">
      <c r="B43482" s="43"/>
    </row>
    <row r="43483" spans="2:2" ht="12.75" customHeight="1" x14ac:dyDescent="0.2">
      <c r="B43483" s="43"/>
    </row>
    <row r="43484" spans="2:2" ht="12.75" customHeight="1" x14ac:dyDescent="0.2">
      <c r="B43484" s="43"/>
    </row>
    <row r="43485" spans="2:2" ht="12.75" customHeight="1" x14ac:dyDescent="0.2">
      <c r="B43485" s="43"/>
    </row>
    <row r="43486" spans="2:2" ht="12.75" customHeight="1" x14ac:dyDescent="0.2">
      <c r="B43486" s="43"/>
    </row>
    <row r="43487" spans="2:2" ht="12.75" customHeight="1" x14ac:dyDescent="0.2">
      <c r="B43487" s="43"/>
    </row>
    <row r="43488" spans="2:2" ht="12.75" customHeight="1" x14ac:dyDescent="0.2">
      <c r="B43488" s="43"/>
    </row>
    <row r="43489" spans="2:2" ht="12.75" customHeight="1" x14ac:dyDescent="0.2">
      <c r="B43489" s="43"/>
    </row>
    <row r="43490" spans="2:2" ht="12.75" customHeight="1" x14ac:dyDescent="0.2">
      <c r="B43490" s="43"/>
    </row>
    <row r="43491" spans="2:2" ht="12.75" customHeight="1" x14ac:dyDescent="0.2">
      <c r="B43491" s="43"/>
    </row>
    <row r="43492" spans="2:2" ht="12.75" customHeight="1" x14ac:dyDescent="0.2">
      <c r="B43492" s="43"/>
    </row>
    <row r="43493" spans="2:2" ht="12.75" customHeight="1" x14ac:dyDescent="0.2">
      <c r="B43493" s="43"/>
    </row>
    <row r="43494" spans="2:2" ht="12.75" customHeight="1" x14ac:dyDescent="0.2">
      <c r="B43494" s="43"/>
    </row>
    <row r="43495" spans="2:2" ht="12.75" customHeight="1" x14ac:dyDescent="0.2">
      <c r="B43495" s="43"/>
    </row>
    <row r="43496" spans="2:2" ht="12.75" customHeight="1" x14ac:dyDescent="0.2">
      <c r="B43496" s="43"/>
    </row>
    <row r="43497" spans="2:2" ht="12.75" customHeight="1" x14ac:dyDescent="0.2">
      <c r="B43497" s="43"/>
    </row>
    <row r="43498" spans="2:2" ht="12.75" customHeight="1" x14ac:dyDescent="0.2">
      <c r="B43498" s="43"/>
    </row>
    <row r="43499" spans="2:2" ht="12.75" customHeight="1" x14ac:dyDescent="0.2">
      <c r="B43499" s="43"/>
    </row>
    <row r="43500" spans="2:2" ht="12.75" customHeight="1" x14ac:dyDescent="0.2">
      <c r="B43500" s="43"/>
    </row>
    <row r="43501" spans="2:2" ht="12.75" customHeight="1" x14ac:dyDescent="0.2">
      <c r="B43501" s="43"/>
    </row>
    <row r="43502" spans="2:2" ht="12.75" customHeight="1" x14ac:dyDescent="0.2">
      <c r="B43502" s="43"/>
    </row>
    <row r="43503" spans="2:2" ht="12.75" customHeight="1" x14ac:dyDescent="0.2">
      <c r="B43503" s="43"/>
    </row>
    <row r="43504" spans="2:2" ht="12.75" customHeight="1" x14ac:dyDescent="0.2">
      <c r="B43504" s="43"/>
    </row>
    <row r="43505" spans="2:2" ht="12.75" customHeight="1" x14ac:dyDescent="0.2">
      <c r="B43505" s="43"/>
    </row>
    <row r="43506" spans="2:2" ht="12.75" customHeight="1" x14ac:dyDescent="0.2">
      <c r="B43506" s="43"/>
    </row>
    <row r="43507" spans="2:2" ht="12.75" customHeight="1" x14ac:dyDescent="0.2">
      <c r="B43507" s="43"/>
    </row>
    <row r="43508" spans="2:2" ht="12.75" customHeight="1" x14ac:dyDescent="0.2">
      <c r="B43508" s="43"/>
    </row>
    <row r="43509" spans="2:2" ht="12.75" customHeight="1" x14ac:dyDescent="0.2">
      <c r="B43509" s="43"/>
    </row>
    <row r="43510" spans="2:2" ht="12.75" customHeight="1" x14ac:dyDescent="0.2">
      <c r="B43510" s="43"/>
    </row>
    <row r="43511" spans="2:2" ht="12.75" customHeight="1" x14ac:dyDescent="0.2">
      <c r="B43511" s="43"/>
    </row>
    <row r="43512" spans="2:2" ht="12.75" customHeight="1" x14ac:dyDescent="0.2">
      <c r="B43512" s="43"/>
    </row>
    <row r="43513" spans="2:2" ht="12.75" customHeight="1" x14ac:dyDescent="0.2">
      <c r="B43513" s="43"/>
    </row>
    <row r="43514" spans="2:2" ht="12.75" customHeight="1" x14ac:dyDescent="0.2">
      <c r="B43514" s="43"/>
    </row>
    <row r="43515" spans="2:2" ht="12.75" customHeight="1" x14ac:dyDescent="0.2">
      <c r="B43515" s="43"/>
    </row>
    <row r="43516" spans="2:2" ht="12.75" customHeight="1" x14ac:dyDescent="0.2">
      <c r="B43516" s="43"/>
    </row>
    <row r="43517" spans="2:2" ht="12.75" customHeight="1" x14ac:dyDescent="0.2">
      <c r="B43517" s="43"/>
    </row>
    <row r="43518" spans="2:2" ht="12.75" customHeight="1" x14ac:dyDescent="0.2">
      <c r="B43518" s="43"/>
    </row>
    <row r="43519" spans="2:2" ht="12.75" customHeight="1" x14ac:dyDescent="0.2">
      <c r="B43519" s="43"/>
    </row>
    <row r="43520" spans="2:2" ht="12.75" customHeight="1" x14ac:dyDescent="0.2">
      <c r="B43520" s="43"/>
    </row>
    <row r="43521" spans="2:2" ht="12.75" customHeight="1" x14ac:dyDescent="0.2">
      <c r="B43521" s="43"/>
    </row>
    <row r="43522" spans="2:2" ht="12.75" customHeight="1" x14ac:dyDescent="0.2">
      <c r="B43522" s="43"/>
    </row>
    <row r="43523" spans="2:2" ht="12.75" customHeight="1" x14ac:dyDescent="0.2">
      <c r="B43523" s="43"/>
    </row>
    <row r="43524" spans="2:2" ht="12.75" customHeight="1" x14ac:dyDescent="0.2">
      <c r="B43524" s="43"/>
    </row>
    <row r="43525" spans="2:2" ht="12.75" customHeight="1" x14ac:dyDescent="0.2">
      <c r="B43525" s="43"/>
    </row>
    <row r="43526" spans="2:2" ht="12.75" customHeight="1" x14ac:dyDescent="0.2">
      <c r="B43526" s="43"/>
    </row>
    <row r="43527" spans="2:2" ht="12.75" customHeight="1" x14ac:dyDescent="0.2">
      <c r="B43527" s="43"/>
    </row>
    <row r="43528" spans="2:2" ht="12.75" customHeight="1" x14ac:dyDescent="0.2">
      <c r="B43528" s="43"/>
    </row>
    <row r="43529" spans="2:2" ht="12.75" customHeight="1" x14ac:dyDescent="0.2">
      <c r="B43529" s="43"/>
    </row>
    <row r="43530" spans="2:2" ht="12.75" customHeight="1" x14ac:dyDescent="0.2">
      <c r="B43530" s="43"/>
    </row>
    <row r="43531" spans="2:2" ht="12.75" customHeight="1" x14ac:dyDescent="0.2">
      <c r="B43531" s="43"/>
    </row>
    <row r="43532" spans="2:2" ht="12.75" customHeight="1" x14ac:dyDescent="0.2">
      <c r="B43532" s="43"/>
    </row>
    <row r="43533" spans="2:2" ht="12.75" customHeight="1" x14ac:dyDescent="0.2">
      <c r="B43533" s="43"/>
    </row>
    <row r="43534" spans="2:2" ht="12.75" customHeight="1" x14ac:dyDescent="0.2">
      <c r="B43534" s="43"/>
    </row>
    <row r="43535" spans="2:2" ht="12.75" customHeight="1" x14ac:dyDescent="0.2">
      <c r="B43535" s="43"/>
    </row>
    <row r="43536" spans="2:2" ht="12.75" customHeight="1" x14ac:dyDescent="0.2">
      <c r="B43536" s="43"/>
    </row>
    <row r="43537" spans="2:2" ht="12.75" customHeight="1" x14ac:dyDescent="0.2">
      <c r="B43537" s="43"/>
    </row>
    <row r="43538" spans="2:2" ht="12.75" customHeight="1" x14ac:dyDescent="0.2">
      <c r="B43538" s="43"/>
    </row>
    <row r="43539" spans="2:2" ht="12.75" customHeight="1" x14ac:dyDescent="0.2">
      <c r="B43539" s="43"/>
    </row>
    <row r="43540" spans="2:2" ht="12.75" customHeight="1" x14ac:dyDescent="0.2">
      <c r="B43540" s="43"/>
    </row>
    <row r="43541" spans="2:2" ht="12.75" customHeight="1" x14ac:dyDescent="0.2">
      <c r="B43541" s="43"/>
    </row>
    <row r="43542" spans="2:2" ht="12.75" customHeight="1" x14ac:dyDescent="0.2">
      <c r="B43542" s="43"/>
    </row>
    <row r="43543" spans="2:2" ht="12.75" customHeight="1" x14ac:dyDescent="0.2">
      <c r="B43543" s="43"/>
    </row>
    <row r="43544" spans="2:2" ht="12.75" customHeight="1" x14ac:dyDescent="0.2">
      <c r="B43544" s="43"/>
    </row>
    <row r="43545" spans="2:2" ht="12.75" customHeight="1" x14ac:dyDescent="0.2">
      <c r="B43545" s="43"/>
    </row>
    <row r="43546" spans="2:2" ht="12.75" customHeight="1" x14ac:dyDescent="0.2">
      <c r="B43546" s="43"/>
    </row>
    <row r="43547" spans="2:2" ht="12.75" customHeight="1" x14ac:dyDescent="0.2">
      <c r="B43547" s="43"/>
    </row>
    <row r="43548" spans="2:2" ht="12.75" customHeight="1" x14ac:dyDescent="0.2">
      <c r="B43548" s="43"/>
    </row>
    <row r="43549" spans="2:2" ht="12.75" customHeight="1" x14ac:dyDescent="0.2">
      <c r="B43549" s="43"/>
    </row>
    <row r="43550" spans="2:2" ht="12.75" customHeight="1" x14ac:dyDescent="0.2">
      <c r="B43550" s="43"/>
    </row>
    <row r="43551" spans="2:2" ht="12.75" customHeight="1" x14ac:dyDescent="0.2">
      <c r="B43551" s="43"/>
    </row>
    <row r="43552" spans="2:2" ht="12.75" customHeight="1" x14ac:dyDescent="0.2">
      <c r="B43552" s="43"/>
    </row>
    <row r="43553" spans="2:2" ht="12.75" customHeight="1" x14ac:dyDescent="0.2">
      <c r="B43553" s="43"/>
    </row>
    <row r="43554" spans="2:2" ht="12.75" customHeight="1" x14ac:dyDescent="0.2">
      <c r="B43554" s="43"/>
    </row>
    <row r="43555" spans="2:2" ht="12.75" customHeight="1" x14ac:dyDescent="0.2">
      <c r="B43555" s="43"/>
    </row>
    <row r="43556" spans="2:2" ht="12.75" customHeight="1" x14ac:dyDescent="0.2">
      <c r="B43556" s="43"/>
    </row>
    <row r="43557" spans="2:2" ht="12.75" customHeight="1" x14ac:dyDescent="0.2">
      <c r="B43557" s="43"/>
    </row>
    <row r="43558" spans="2:2" ht="12.75" customHeight="1" x14ac:dyDescent="0.2">
      <c r="B43558" s="43"/>
    </row>
    <row r="43559" spans="2:2" ht="12.75" customHeight="1" x14ac:dyDescent="0.2">
      <c r="B43559" s="43"/>
    </row>
    <row r="43560" spans="2:2" ht="12.75" customHeight="1" x14ac:dyDescent="0.2">
      <c r="B43560" s="43"/>
    </row>
    <row r="43561" spans="2:2" ht="12.75" customHeight="1" x14ac:dyDescent="0.2">
      <c r="B43561" s="43"/>
    </row>
    <row r="43562" spans="2:2" ht="12.75" customHeight="1" x14ac:dyDescent="0.2">
      <c r="B43562" s="43"/>
    </row>
    <row r="43563" spans="2:2" ht="12.75" customHeight="1" x14ac:dyDescent="0.2">
      <c r="B43563" s="43"/>
    </row>
    <row r="43564" spans="2:2" ht="12.75" customHeight="1" x14ac:dyDescent="0.2">
      <c r="B43564" s="43"/>
    </row>
    <row r="43565" spans="2:2" ht="12.75" customHeight="1" x14ac:dyDescent="0.2">
      <c r="B43565" s="43"/>
    </row>
    <row r="43566" spans="2:2" ht="12.75" customHeight="1" x14ac:dyDescent="0.2">
      <c r="B43566" s="43"/>
    </row>
    <row r="43567" spans="2:2" ht="12.75" customHeight="1" x14ac:dyDescent="0.2">
      <c r="B43567" s="43"/>
    </row>
    <row r="43568" spans="2:2" ht="12.75" customHeight="1" x14ac:dyDescent="0.2">
      <c r="B43568" s="43"/>
    </row>
    <row r="43569" spans="2:2" ht="12.75" customHeight="1" x14ac:dyDescent="0.2">
      <c r="B43569" s="43"/>
    </row>
    <row r="43570" spans="2:2" ht="12.75" customHeight="1" x14ac:dyDescent="0.2">
      <c r="B43570" s="43"/>
    </row>
    <row r="43571" spans="2:2" ht="12.75" customHeight="1" x14ac:dyDescent="0.2">
      <c r="B43571" s="43"/>
    </row>
    <row r="43572" spans="2:2" ht="12.75" customHeight="1" x14ac:dyDescent="0.2">
      <c r="B43572" s="43"/>
    </row>
    <row r="43573" spans="2:2" ht="12.75" customHeight="1" x14ac:dyDescent="0.2">
      <c r="B43573" s="43"/>
    </row>
    <row r="43574" spans="2:2" ht="12.75" customHeight="1" x14ac:dyDescent="0.2">
      <c r="B43574" s="43"/>
    </row>
    <row r="43575" spans="2:2" ht="12.75" customHeight="1" x14ac:dyDescent="0.2">
      <c r="B43575" s="43"/>
    </row>
    <row r="43576" spans="2:2" ht="12.75" customHeight="1" x14ac:dyDescent="0.2">
      <c r="B43576" s="43"/>
    </row>
    <row r="43577" spans="2:2" ht="12.75" customHeight="1" x14ac:dyDescent="0.2">
      <c r="B43577" s="43"/>
    </row>
    <row r="43578" spans="2:2" ht="12.75" customHeight="1" x14ac:dyDescent="0.2">
      <c r="B43578" s="43"/>
    </row>
    <row r="43579" spans="2:2" ht="12.75" customHeight="1" x14ac:dyDescent="0.2">
      <c r="B43579" s="43"/>
    </row>
    <row r="43580" spans="2:2" ht="12.75" customHeight="1" x14ac:dyDescent="0.2">
      <c r="B43580" s="43"/>
    </row>
    <row r="43581" spans="2:2" ht="12.75" customHeight="1" x14ac:dyDescent="0.2">
      <c r="B43581" s="43"/>
    </row>
    <row r="43582" spans="2:2" ht="12.75" customHeight="1" x14ac:dyDescent="0.2">
      <c r="B43582" s="43"/>
    </row>
    <row r="43583" spans="2:2" ht="12.75" customHeight="1" x14ac:dyDescent="0.2">
      <c r="B43583" s="43"/>
    </row>
    <row r="43584" spans="2:2" ht="12.75" customHeight="1" x14ac:dyDescent="0.2">
      <c r="B43584" s="43"/>
    </row>
    <row r="43585" spans="2:2" ht="12.75" customHeight="1" x14ac:dyDescent="0.2">
      <c r="B43585" s="43"/>
    </row>
    <row r="43586" spans="2:2" ht="12.75" customHeight="1" x14ac:dyDescent="0.2">
      <c r="B43586" s="43"/>
    </row>
    <row r="43587" spans="2:2" ht="12.75" customHeight="1" x14ac:dyDescent="0.2">
      <c r="B43587" s="43"/>
    </row>
    <row r="43588" spans="2:2" ht="12.75" customHeight="1" x14ac:dyDescent="0.2">
      <c r="B43588" s="43"/>
    </row>
    <row r="43589" spans="2:2" ht="12.75" customHeight="1" x14ac:dyDescent="0.2">
      <c r="B43589" s="43"/>
    </row>
    <row r="43590" spans="2:2" ht="12.75" customHeight="1" x14ac:dyDescent="0.2">
      <c r="B43590" s="43"/>
    </row>
    <row r="43591" spans="2:2" ht="12.75" customHeight="1" x14ac:dyDescent="0.2">
      <c r="B43591" s="43"/>
    </row>
    <row r="43592" spans="2:2" ht="12.75" customHeight="1" x14ac:dyDescent="0.2">
      <c r="B43592" s="43"/>
    </row>
    <row r="43593" spans="2:2" ht="12.75" customHeight="1" x14ac:dyDescent="0.2">
      <c r="B43593" s="43"/>
    </row>
    <row r="43594" spans="2:2" ht="12.75" customHeight="1" x14ac:dyDescent="0.2">
      <c r="B43594" s="43"/>
    </row>
    <row r="43595" spans="2:2" ht="12.75" customHeight="1" x14ac:dyDescent="0.2">
      <c r="B43595" s="43"/>
    </row>
    <row r="43596" spans="2:2" ht="12.75" customHeight="1" x14ac:dyDescent="0.2">
      <c r="B43596" s="43"/>
    </row>
    <row r="43597" spans="2:2" ht="12.75" customHeight="1" x14ac:dyDescent="0.2">
      <c r="B43597" s="43"/>
    </row>
    <row r="43598" spans="2:2" ht="12.75" customHeight="1" x14ac:dyDescent="0.2">
      <c r="B43598" s="43"/>
    </row>
    <row r="43599" spans="2:2" ht="12.75" customHeight="1" x14ac:dyDescent="0.2">
      <c r="B43599" s="43"/>
    </row>
    <row r="43600" spans="2:2" ht="12.75" customHeight="1" x14ac:dyDescent="0.2">
      <c r="B43600" s="43"/>
    </row>
    <row r="43601" spans="2:2" ht="12.75" customHeight="1" x14ac:dyDescent="0.2">
      <c r="B43601" s="43"/>
    </row>
    <row r="43602" spans="2:2" ht="12.75" customHeight="1" x14ac:dyDescent="0.2">
      <c r="B43602" s="43"/>
    </row>
    <row r="43603" spans="2:2" ht="12.75" customHeight="1" x14ac:dyDescent="0.2">
      <c r="B43603" s="43"/>
    </row>
    <row r="43604" spans="2:2" ht="12.75" customHeight="1" x14ac:dyDescent="0.2">
      <c r="B43604" s="43"/>
    </row>
    <row r="43605" spans="2:2" ht="12.75" customHeight="1" x14ac:dyDescent="0.2">
      <c r="B43605" s="43"/>
    </row>
    <row r="43606" spans="2:2" ht="12.75" customHeight="1" x14ac:dyDescent="0.2">
      <c r="B43606" s="43"/>
    </row>
    <row r="43607" spans="2:2" ht="12.75" customHeight="1" x14ac:dyDescent="0.2">
      <c r="B43607" s="43"/>
    </row>
    <row r="43608" spans="2:2" ht="12.75" customHeight="1" x14ac:dyDescent="0.2">
      <c r="B43608" s="43"/>
    </row>
    <row r="43609" spans="2:2" ht="12.75" customHeight="1" x14ac:dyDescent="0.2">
      <c r="B43609" s="43"/>
    </row>
    <row r="43610" spans="2:2" ht="12.75" customHeight="1" x14ac:dyDescent="0.2">
      <c r="B43610" s="43"/>
    </row>
    <row r="43611" spans="2:2" ht="12.75" customHeight="1" x14ac:dyDescent="0.2">
      <c r="B43611" s="43"/>
    </row>
    <row r="43612" spans="2:2" ht="12.75" customHeight="1" x14ac:dyDescent="0.2">
      <c r="B43612" s="43"/>
    </row>
    <row r="43613" spans="2:2" ht="12.75" customHeight="1" x14ac:dyDescent="0.2">
      <c r="B43613" s="43"/>
    </row>
    <row r="43614" spans="2:2" ht="12.75" customHeight="1" x14ac:dyDescent="0.2">
      <c r="B43614" s="43"/>
    </row>
    <row r="43615" spans="2:2" ht="12.75" customHeight="1" x14ac:dyDescent="0.2">
      <c r="B43615" s="43"/>
    </row>
    <row r="43616" spans="2:2" ht="12.75" customHeight="1" x14ac:dyDescent="0.2">
      <c r="B43616" s="43"/>
    </row>
    <row r="43617" spans="2:2" ht="12.75" customHeight="1" x14ac:dyDescent="0.2">
      <c r="B43617" s="43"/>
    </row>
    <row r="43618" spans="2:2" ht="12.75" customHeight="1" x14ac:dyDescent="0.2">
      <c r="B43618" s="43"/>
    </row>
    <row r="43619" spans="2:2" ht="12.75" customHeight="1" x14ac:dyDescent="0.2">
      <c r="B43619" s="43"/>
    </row>
    <row r="43620" spans="2:2" ht="12.75" customHeight="1" x14ac:dyDescent="0.2">
      <c r="B43620" s="43"/>
    </row>
    <row r="43621" spans="2:2" ht="12.75" customHeight="1" x14ac:dyDescent="0.2">
      <c r="B43621" s="43"/>
    </row>
    <row r="43622" spans="2:2" ht="12.75" customHeight="1" x14ac:dyDescent="0.2">
      <c r="B43622" s="43"/>
    </row>
    <row r="43623" spans="2:2" ht="12.75" customHeight="1" x14ac:dyDescent="0.2">
      <c r="B43623" s="43"/>
    </row>
    <row r="43624" spans="2:2" ht="12.75" customHeight="1" x14ac:dyDescent="0.2">
      <c r="B43624" s="43"/>
    </row>
    <row r="43625" spans="2:2" ht="12.75" customHeight="1" x14ac:dyDescent="0.2">
      <c r="B43625" s="43"/>
    </row>
    <row r="43626" spans="2:2" ht="12.75" customHeight="1" x14ac:dyDescent="0.2">
      <c r="B43626" s="43"/>
    </row>
    <row r="43627" spans="2:2" ht="12.75" customHeight="1" x14ac:dyDescent="0.2">
      <c r="B43627" s="43"/>
    </row>
    <row r="43628" spans="2:2" ht="12.75" customHeight="1" x14ac:dyDescent="0.2">
      <c r="B43628" s="43"/>
    </row>
    <row r="43629" spans="2:2" ht="12.75" customHeight="1" x14ac:dyDescent="0.2">
      <c r="B43629" s="43"/>
    </row>
    <row r="43630" spans="2:2" ht="12.75" customHeight="1" x14ac:dyDescent="0.2">
      <c r="B43630" s="43"/>
    </row>
    <row r="43631" spans="2:2" ht="12.75" customHeight="1" x14ac:dyDescent="0.2">
      <c r="B43631" s="43"/>
    </row>
    <row r="43632" spans="2:2" ht="12.75" customHeight="1" x14ac:dyDescent="0.2">
      <c r="B43632" s="43"/>
    </row>
    <row r="43633" spans="2:2" ht="12.75" customHeight="1" x14ac:dyDescent="0.2">
      <c r="B43633" s="43"/>
    </row>
    <row r="43634" spans="2:2" ht="12.75" customHeight="1" x14ac:dyDescent="0.2">
      <c r="B43634" s="43"/>
    </row>
    <row r="43635" spans="2:2" ht="12.75" customHeight="1" x14ac:dyDescent="0.2">
      <c r="B43635" s="43"/>
    </row>
    <row r="43636" spans="2:2" ht="12.75" customHeight="1" x14ac:dyDescent="0.2">
      <c r="B43636" s="43"/>
    </row>
    <row r="43637" spans="2:2" ht="12.75" customHeight="1" x14ac:dyDescent="0.2">
      <c r="B43637" s="43"/>
    </row>
    <row r="43638" spans="2:2" ht="12.75" customHeight="1" x14ac:dyDescent="0.2">
      <c r="B43638" s="43"/>
    </row>
    <row r="43639" spans="2:2" ht="12.75" customHeight="1" x14ac:dyDescent="0.2">
      <c r="B43639" s="43"/>
    </row>
    <row r="43640" spans="2:2" ht="12.75" customHeight="1" x14ac:dyDescent="0.2">
      <c r="B43640" s="43"/>
    </row>
    <row r="43641" spans="2:2" ht="12.75" customHeight="1" x14ac:dyDescent="0.2">
      <c r="B43641" s="43"/>
    </row>
    <row r="43642" spans="2:2" ht="12.75" customHeight="1" x14ac:dyDescent="0.2">
      <c r="B43642" s="43"/>
    </row>
    <row r="43643" spans="2:2" ht="12.75" customHeight="1" x14ac:dyDescent="0.2">
      <c r="B43643" s="43"/>
    </row>
    <row r="43644" spans="2:2" ht="12.75" customHeight="1" x14ac:dyDescent="0.2">
      <c r="B43644" s="43"/>
    </row>
    <row r="43645" spans="2:2" ht="12.75" customHeight="1" x14ac:dyDescent="0.2">
      <c r="B43645" s="43"/>
    </row>
    <row r="43646" spans="2:2" ht="12.75" customHeight="1" x14ac:dyDescent="0.2">
      <c r="B43646" s="43"/>
    </row>
    <row r="43647" spans="2:2" ht="12.75" customHeight="1" x14ac:dyDescent="0.2">
      <c r="B43647" s="43"/>
    </row>
    <row r="43648" spans="2:2" ht="12.75" customHeight="1" x14ac:dyDescent="0.2">
      <c r="B43648" s="43"/>
    </row>
    <row r="43649" spans="2:2" ht="12.75" customHeight="1" x14ac:dyDescent="0.2">
      <c r="B43649" s="43"/>
    </row>
    <row r="43650" spans="2:2" ht="12.75" customHeight="1" x14ac:dyDescent="0.2">
      <c r="B43650" s="43"/>
    </row>
    <row r="43651" spans="2:2" ht="12.75" customHeight="1" x14ac:dyDescent="0.2">
      <c r="B43651" s="43"/>
    </row>
    <row r="43652" spans="2:2" ht="12.75" customHeight="1" x14ac:dyDescent="0.2">
      <c r="B43652" s="43"/>
    </row>
    <row r="43653" spans="2:2" ht="12.75" customHeight="1" x14ac:dyDescent="0.2">
      <c r="B43653" s="43"/>
    </row>
    <row r="43654" spans="2:2" ht="12.75" customHeight="1" x14ac:dyDescent="0.2">
      <c r="B43654" s="43"/>
    </row>
    <row r="43655" spans="2:2" ht="12.75" customHeight="1" x14ac:dyDescent="0.2">
      <c r="B43655" s="43"/>
    </row>
    <row r="43656" spans="2:2" ht="12.75" customHeight="1" x14ac:dyDescent="0.2">
      <c r="B43656" s="43"/>
    </row>
    <row r="43657" spans="2:2" ht="12.75" customHeight="1" x14ac:dyDescent="0.2">
      <c r="B43657" s="43"/>
    </row>
    <row r="43658" spans="2:2" ht="12.75" customHeight="1" x14ac:dyDescent="0.2">
      <c r="B43658" s="43"/>
    </row>
    <row r="43659" spans="2:2" ht="12.75" customHeight="1" x14ac:dyDescent="0.2">
      <c r="B43659" s="43"/>
    </row>
    <row r="43660" spans="2:2" ht="12.75" customHeight="1" x14ac:dyDescent="0.2">
      <c r="B43660" s="43"/>
    </row>
    <row r="43661" spans="2:2" ht="12.75" customHeight="1" x14ac:dyDescent="0.2">
      <c r="B43661" s="43"/>
    </row>
    <row r="43662" spans="2:2" ht="12.75" customHeight="1" x14ac:dyDescent="0.2">
      <c r="B43662" s="43"/>
    </row>
    <row r="43663" spans="2:2" ht="12.75" customHeight="1" x14ac:dyDescent="0.2">
      <c r="B43663" s="43"/>
    </row>
    <row r="43664" spans="2:2" ht="12.75" customHeight="1" x14ac:dyDescent="0.2">
      <c r="B43664" s="43"/>
    </row>
    <row r="43665" spans="2:2" ht="12.75" customHeight="1" x14ac:dyDescent="0.2">
      <c r="B43665" s="43"/>
    </row>
    <row r="43666" spans="2:2" ht="12.75" customHeight="1" x14ac:dyDescent="0.2">
      <c r="B43666" s="43"/>
    </row>
    <row r="43667" spans="2:2" ht="12.75" customHeight="1" x14ac:dyDescent="0.2">
      <c r="B43667" s="43"/>
    </row>
    <row r="43668" spans="2:2" ht="12.75" customHeight="1" x14ac:dyDescent="0.2">
      <c r="B43668" s="43"/>
    </row>
    <row r="43669" spans="2:2" ht="12.75" customHeight="1" x14ac:dyDescent="0.2">
      <c r="B43669" s="43"/>
    </row>
    <row r="43670" spans="2:2" ht="12.75" customHeight="1" x14ac:dyDescent="0.2">
      <c r="B43670" s="43"/>
    </row>
    <row r="43671" spans="2:2" ht="12.75" customHeight="1" x14ac:dyDescent="0.2">
      <c r="B43671" s="43"/>
    </row>
    <row r="43672" spans="2:2" ht="12.75" customHeight="1" x14ac:dyDescent="0.2">
      <c r="B43672" s="43"/>
    </row>
    <row r="43673" spans="2:2" ht="12.75" customHeight="1" x14ac:dyDescent="0.2">
      <c r="B43673" s="43"/>
    </row>
    <row r="43674" spans="2:2" ht="12.75" customHeight="1" x14ac:dyDescent="0.2">
      <c r="B43674" s="43"/>
    </row>
    <row r="43675" spans="2:2" ht="12.75" customHeight="1" x14ac:dyDescent="0.2">
      <c r="B43675" s="43"/>
    </row>
    <row r="43676" spans="2:2" ht="12.75" customHeight="1" x14ac:dyDescent="0.2">
      <c r="B43676" s="43"/>
    </row>
    <row r="43677" spans="2:2" ht="12.75" customHeight="1" x14ac:dyDescent="0.2">
      <c r="B43677" s="43"/>
    </row>
    <row r="43678" spans="2:2" ht="12.75" customHeight="1" x14ac:dyDescent="0.2">
      <c r="B43678" s="43"/>
    </row>
    <row r="43679" spans="2:2" ht="12.75" customHeight="1" x14ac:dyDescent="0.2">
      <c r="B43679" s="43"/>
    </row>
    <row r="43680" spans="2:2" ht="12.75" customHeight="1" x14ac:dyDescent="0.2">
      <c r="B43680" s="43"/>
    </row>
    <row r="43681" spans="2:2" ht="12.75" customHeight="1" x14ac:dyDescent="0.2">
      <c r="B43681" s="43"/>
    </row>
    <row r="43682" spans="2:2" ht="12.75" customHeight="1" x14ac:dyDescent="0.2">
      <c r="B43682" s="43"/>
    </row>
    <row r="43683" spans="2:2" ht="12.75" customHeight="1" x14ac:dyDescent="0.2">
      <c r="B43683" s="43"/>
    </row>
    <row r="43684" spans="2:2" ht="12.75" customHeight="1" x14ac:dyDescent="0.2">
      <c r="B43684" s="43"/>
    </row>
    <row r="43685" spans="2:2" ht="12.75" customHeight="1" x14ac:dyDescent="0.2">
      <c r="B43685" s="43"/>
    </row>
    <row r="43686" spans="2:2" ht="12.75" customHeight="1" x14ac:dyDescent="0.2">
      <c r="B43686" s="43"/>
    </row>
    <row r="43687" spans="2:2" ht="12.75" customHeight="1" x14ac:dyDescent="0.2">
      <c r="B43687" s="43"/>
    </row>
    <row r="43688" spans="2:2" ht="12.75" customHeight="1" x14ac:dyDescent="0.2">
      <c r="B43688" s="43"/>
    </row>
    <row r="43689" spans="2:2" ht="12.75" customHeight="1" x14ac:dyDescent="0.2">
      <c r="B43689" s="43"/>
    </row>
    <row r="43690" spans="2:2" ht="12.75" customHeight="1" x14ac:dyDescent="0.2">
      <c r="B43690" s="43"/>
    </row>
    <row r="43691" spans="2:2" ht="12.75" customHeight="1" x14ac:dyDescent="0.2">
      <c r="B43691" s="43"/>
    </row>
    <row r="43692" spans="2:2" ht="12.75" customHeight="1" x14ac:dyDescent="0.2">
      <c r="B43692" s="43"/>
    </row>
    <row r="43693" spans="2:2" ht="12.75" customHeight="1" x14ac:dyDescent="0.2">
      <c r="B43693" s="43"/>
    </row>
    <row r="43694" spans="2:2" ht="12.75" customHeight="1" x14ac:dyDescent="0.2">
      <c r="B43694" s="43"/>
    </row>
    <row r="43695" spans="2:2" ht="12.75" customHeight="1" x14ac:dyDescent="0.2">
      <c r="B43695" s="43"/>
    </row>
    <row r="43696" spans="2:2" ht="12.75" customHeight="1" x14ac:dyDescent="0.2">
      <c r="B43696" s="43"/>
    </row>
    <row r="43697" spans="2:2" ht="12.75" customHeight="1" x14ac:dyDescent="0.2">
      <c r="B43697" s="43"/>
    </row>
    <row r="43698" spans="2:2" ht="12.75" customHeight="1" x14ac:dyDescent="0.2">
      <c r="B43698" s="43"/>
    </row>
    <row r="43699" spans="2:2" ht="12.75" customHeight="1" x14ac:dyDescent="0.2">
      <c r="B43699" s="43"/>
    </row>
    <row r="43700" spans="2:2" ht="12.75" customHeight="1" x14ac:dyDescent="0.2">
      <c r="B43700" s="43"/>
    </row>
    <row r="43701" spans="2:2" ht="12.75" customHeight="1" x14ac:dyDescent="0.2">
      <c r="B43701" s="43"/>
    </row>
    <row r="43702" spans="2:2" ht="12.75" customHeight="1" x14ac:dyDescent="0.2">
      <c r="B43702" s="43"/>
    </row>
    <row r="43703" spans="2:2" ht="12.75" customHeight="1" x14ac:dyDescent="0.2">
      <c r="B43703" s="43"/>
    </row>
    <row r="43704" spans="2:2" ht="12.75" customHeight="1" x14ac:dyDescent="0.2">
      <c r="B43704" s="43"/>
    </row>
    <row r="43705" spans="2:2" ht="12.75" customHeight="1" x14ac:dyDescent="0.2">
      <c r="B43705" s="43"/>
    </row>
    <row r="43706" spans="2:2" ht="12.75" customHeight="1" x14ac:dyDescent="0.2">
      <c r="B43706" s="43"/>
    </row>
    <row r="43707" spans="2:2" ht="12.75" customHeight="1" x14ac:dyDescent="0.2">
      <c r="B43707" s="43"/>
    </row>
    <row r="43708" spans="2:2" ht="12.75" customHeight="1" x14ac:dyDescent="0.2">
      <c r="B43708" s="43"/>
    </row>
    <row r="43709" spans="2:2" ht="12.75" customHeight="1" x14ac:dyDescent="0.2">
      <c r="B43709" s="43"/>
    </row>
    <row r="43710" spans="2:2" ht="12.75" customHeight="1" x14ac:dyDescent="0.2">
      <c r="B43710" s="43"/>
    </row>
    <row r="43711" spans="2:2" ht="12.75" customHeight="1" x14ac:dyDescent="0.2">
      <c r="B43711" s="43"/>
    </row>
    <row r="43712" spans="2:2" ht="12.75" customHeight="1" x14ac:dyDescent="0.2">
      <c r="B43712" s="43"/>
    </row>
    <row r="43713" spans="2:2" ht="12.75" customHeight="1" x14ac:dyDescent="0.2">
      <c r="B43713" s="43"/>
    </row>
    <row r="43714" spans="2:2" ht="12.75" customHeight="1" x14ac:dyDescent="0.2">
      <c r="B43714" s="43"/>
    </row>
    <row r="43715" spans="2:2" ht="12.75" customHeight="1" x14ac:dyDescent="0.2">
      <c r="B43715" s="43"/>
    </row>
    <row r="43716" spans="2:2" ht="12.75" customHeight="1" x14ac:dyDescent="0.2">
      <c r="B43716" s="43"/>
    </row>
    <row r="43717" spans="2:2" ht="12.75" customHeight="1" x14ac:dyDescent="0.2">
      <c r="B43717" s="43"/>
    </row>
    <row r="43718" spans="2:2" ht="12.75" customHeight="1" x14ac:dyDescent="0.2">
      <c r="B43718" s="43"/>
    </row>
    <row r="43719" spans="2:2" ht="12.75" customHeight="1" x14ac:dyDescent="0.2">
      <c r="B43719" s="43"/>
    </row>
    <row r="43720" spans="2:2" ht="12.75" customHeight="1" x14ac:dyDescent="0.2">
      <c r="B43720" s="43"/>
    </row>
    <row r="43721" spans="2:2" ht="12.75" customHeight="1" x14ac:dyDescent="0.2">
      <c r="B43721" s="43"/>
    </row>
    <row r="43722" spans="2:2" ht="12.75" customHeight="1" x14ac:dyDescent="0.2">
      <c r="B43722" s="43"/>
    </row>
    <row r="43723" spans="2:2" ht="12.75" customHeight="1" x14ac:dyDescent="0.2">
      <c r="B43723" s="43"/>
    </row>
    <row r="43724" spans="2:2" ht="12.75" customHeight="1" x14ac:dyDescent="0.2">
      <c r="B43724" s="43"/>
    </row>
    <row r="43725" spans="2:2" ht="12.75" customHeight="1" x14ac:dyDescent="0.2">
      <c r="B43725" s="43"/>
    </row>
    <row r="43726" spans="2:2" ht="12.75" customHeight="1" x14ac:dyDescent="0.2">
      <c r="B43726" s="43"/>
    </row>
    <row r="43727" spans="2:2" ht="12.75" customHeight="1" x14ac:dyDescent="0.2">
      <c r="B43727" s="43"/>
    </row>
    <row r="43728" spans="2:2" ht="12.75" customHeight="1" x14ac:dyDescent="0.2">
      <c r="B43728" s="43"/>
    </row>
    <row r="43729" spans="2:2" ht="12.75" customHeight="1" x14ac:dyDescent="0.2">
      <c r="B43729" s="43"/>
    </row>
    <row r="43730" spans="2:2" ht="12.75" customHeight="1" x14ac:dyDescent="0.2">
      <c r="B43730" s="43"/>
    </row>
    <row r="43731" spans="2:2" ht="12.75" customHeight="1" x14ac:dyDescent="0.2">
      <c r="B43731" s="43"/>
    </row>
    <row r="43732" spans="2:2" ht="12.75" customHeight="1" x14ac:dyDescent="0.2">
      <c r="B43732" s="43"/>
    </row>
    <row r="43733" spans="2:2" ht="12.75" customHeight="1" x14ac:dyDescent="0.2">
      <c r="B43733" s="43"/>
    </row>
    <row r="43734" spans="2:2" ht="12.75" customHeight="1" x14ac:dyDescent="0.2">
      <c r="B43734" s="43"/>
    </row>
    <row r="43735" spans="2:2" ht="12.75" customHeight="1" x14ac:dyDescent="0.2">
      <c r="B43735" s="43"/>
    </row>
    <row r="43736" spans="2:2" ht="12.75" customHeight="1" x14ac:dyDescent="0.2">
      <c r="B43736" s="43"/>
    </row>
    <row r="43737" spans="2:2" ht="12.75" customHeight="1" x14ac:dyDescent="0.2">
      <c r="B43737" s="43"/>
    </row>
    <row r="43738" spans="2:2" ht="12.75" customHeight="1" x14ac:dyDescent="0.2">
      <c r="B43738" s="43"/>
    </row>
    <row r="43739" spans="2:2" ht="12.75" customHeight="1" x14ac:dyDescent="0.2">
      <c r="B43739" s="43"/>
    </row>
    <row r="43740" spans="2:2" ht="12.75" customHeight="1" x14ac:dyDescent="0.2">
      <c r="B43740" s="43"/>
    </row>
    <row r="43741" spans="2:2" ht="12.75" customHeight="1" x14ac:dyDescent="0.2">
      <c r="B43741" s="43"/>
    </row>
    <row r="43742" spans="2:2" ht="12.75" customHeight="1" x14ac:dyDescent="0.2">
      <c r="B43742" s="43"/>
    </row>
    <row r="43743" spans="2:2" ht="12.75" customHeight="1" x14ac:dyDescent="0.2">
      <c r="B43743" s="43"/>
    </row>
    <row r="43744" spans="2:2" ht="12.75" customHeight="1" x14ac:dyDescent="0.2">
      <c r="B43744" s="43"/>
    </row>
    <row r="43745" spans="2:2" ht="12.75" customHeight="1" x14ac:dyDescent="0.2">
      <c r="B43745" s="43"/>
    </row>
    <row r="43746" spans="2:2" ht="12.75" customHeight="1" x14ac:dyDescent="0.2">
      <c r="B43746" s="43"/>
    </row>
    <row r="43747" spans="2:2" ht="12.75" customHeight="1" x14ac:dyDescent="0.2">
      <c r="B43747" s="43"/>
    </row>
    <row r="43748" spans="2:2" ht="12.75" customHeight="1" x14ac:dyDescent="0.2">
      <c r="B43748" s="43"/>
    </row>
    <row r="43749" spans="2:2" ht="12.75" customHeight="1" x14ac:dyDescent="0.2">
      <c r="B43749" s="43"/>
    </row>
    <row r="43750" spans="2:2" ht="12.75" customHeight="1" x14ac:dyDescent="0.2">
      <c r="B43750" s="43"/>
    </row>
    <row r="43751" spans="2:2" ht="12.75" customHeight="1" x14ac:dyDescent="0.2">
      <c r="B43751" s="43"/>
    </row>
    <row r="43752" spans="2:2" ht="12.75" customHeight="1" x14ac:dyDescent="0.2">
      <c r="B43752" s="43"/>
    </row>
    <row r="43753" spans="2:2" ht="12.75" customHeight="1" x14ac:dyDescent="0.2">
      <c r="B43753" s="43"/>
    </row>
    <row r="43754" spans="2:2" ht="12.75" customHeight="1" x14ac:dyDescent="0.2">
      <c r="B43754" s="43"/>
    </row>
    <row r="43755" spans="2:2" ht="12.75" customHeight="1" x14ac:dyDescent="0.2">
      <c r="B43755" s="43"/>
    </row>
    <row r="43756" spans="2:2" ht="12.75" customHeight="1" x14ac:dyDescent="0.2">
      <c r="B43756" s="43"/>
    </row>
    <row r="43757" spans="2:2" ht="12.75" customHeight="1" x14ac:dyDescent="0.2">
      <c r="B43757" s="43"/>
    </row>
    <row r="43758" spans="2:2" ht="12.75" customHeight="1" x14ac:dyDescent="0.2">
      <c r="B43758" s="43"/>
    </row>
    <row r="43759" spans="2:2" ht="12.75" customHeight="1" x14ac:dyDescent="0.2">
      <c r="B43759" s="43"/>
    </row>
    <row r="43760" spans="2:2" ht="12.75" customHeight="1" x14ac:dyDescent="0.2">
      <c r="B43760" s="43"/>
    </row>
    <row r="43761" spans="2:2" ht="12.75" customHeight="1" x14ac:dyDescent="0.2">
      <c r="B43761" s="43"/>
    </row>
    <row r="43762" spans="2:2" ht="12.75" customHeight="1" x14ac:dyDescent="0.2">
      <c r="B43762" s="43"/>
    </row>
    <row r="43763" spans="2:2" ht="12.75" customHeight="1" x14ac:dyDescent="0.2">
      <c r="B43763" s="43"/>
    </row>
    <row r="43764" spans="2:2" ht="12.75" customHeight="1" x14ac:dyDescent="0.2">
      <c r="B43764" s="43"/>
    </row>
    <row r="43765" spans="2:2" ht="12.75" customHeight="1" x14ac:dyDescent="0.2">
      <c r="B43765" s="43"/>
    </row>
    <row r="43766" spans="2:2" ht="12.75" customHeight="1" x14ac:dyDescent="0.2">
      <c r="B43766" s="43"/>
    </row>
    <row r="43767" spans="2:2" ht="12.75" customHeight="1" x14ac:dyDescent="0.2">
      <c r="B43767" s="43"/>
    </row>
    <row r="43768" spans="2:2" ht="12.75" customHeight="1" x14ac:dyDescent="0.2">
      <c r="B43768" s="43"/>
    </row>
    <row r="43769" spans="2:2" ht="12.75" customHeight="1" x14ac:dyDescent="0.2">
      <c r="B43769" s="43"/>
    </row>
    <row r="43770" spans="2:2" ht="12.75" customHeight="1" x14ac:dyDescent="0.2">
      <c r="B43770" s="43"/>
    </row>
    <row r="43771" spans="2:2" ht="12.75" customHeight="1" x14ac:dyDescent="0.2">
      <c r="B43771" s="43"/>
    </row>
    <row r="43772" spans="2:2" ht="12.75" customHeight="1" x14ac:dyDescent="0.2">
      <c r="B43772" s="43"/>
    </row>
    <row r="43773" spans="2:2" ht="12.75" customHeight="1" x14ac:dyDescent="0.2">
      <c r="B43773" s="43"/>
    </row>
    <row r="43774" spans="2:2" ht="12.75" customHeight="1" x14ac:dyDescent="0.2">
      <c r="B43774" s="43"/>
    </row>
    <row r="43775" spans="2:2" ht="12.75" customHeight="1" x14ac:dyDescent="0.2">
      <c r="B43775" s="43"/>
    </row>
    <row r="43776" spans="2:2" ht="12.75" customHeight="1" x14ac:dyDescent="0.2">
      <c r="B43776" s="43"/>
    </row>
    <row r="43777" spans="2:2" ht="12.75" customHeight="1" x14ac:dyDescent="0.2">
      <c r="B43777" s="43"/>
    </row>
    <row r="43778" spans="2:2" ht="12.75" customHeight="1" x14ac:dyDescent="0.2">
      <c r="B43778" s="43"/>
    </row>
    <row r="43779" spans="2:2" ht="12.75" customHeight="1" x14ac:dyDescent="0.2">
      <c r="B43779" s="43"/>
    </row>
    <row r="43780" spans="2:2" ht="12.75" customHeight="1" x14ac:dyDescent="0.2">
      <c r="B43780" s="43"/>
    </row>
    <row r="43781" spans="2:2" ht="12.75" customHeight="1" x14ac:dyDescent="0.2">
      <c r="B43781" s="43"/>
    </row>
    <row r="43782" spans="2:2" ht="12.75" customHeight="1" x14ac:dyDescent="0.2">
      <c r="B43782" s="43"/>
    </row>
    <row r="43783" spans="2:2" ht="12.75" customHeight="1" x14ac:dyDescent="0.2">
      <c r="B43783" s="43"/>
    </row>
    <row r="43784" spans="2:2" ht="12.75" customHeight="1" x14ac:dyDescent="0.2">
      <c r="B43784" s="43"/>
    </row>
    <row r="43785" spans="2:2" ht="12.75" customHeight="1" x14ac:dyDescent="0.2">
      <c r="B43785" s="43"/>
    </row>
    <row r="43786" spans="2:2" ht="12.75" customHeight="1" x14ac:dyDescent="0.2">
      <c r="B43786" s="43"/>
    </row>
    <row r="43787" spans="2:2" ht="12.75" customHeight="1" x14ac:dyDescent="0.2">
      <c r="B43787" s="43"/>
    </row>
    <row r="43788" spans="2:2" ht="12.75" customHeight="1" x14ac:dyDescent="0.2">
      <c r="B43788" s="43"/>
    </row>
    <row r="43789" spans="2:2" ht="12.75" customHeight="1" x14ac:dyDescent="0.2">
      <c r="B43789" s="43"/>
    </row>
    <row r="43790" spans="2:2" ht="12.75" customHeight="1" x14ac:dyDescent="0.2">
      <c r="B43790" s="43"/>
    </row>
    <row r="43791" spans="2:2" ht="12.75" customHeight="1" x14ac:dyDescent="0.2">
      <c r="B43791" s="43"/>
    </row>
    <row r="43792" spans="2:2" ht="12.75" customHeight="1" x14ac:dyDescent="0.2">
      <c r="B43792" s="43"/>
    </row>
    <row r="43793" spans="2:2" ht="12.75" customHeight="1" x14ac:dyDescent="0.2">
      <c r="B43793" s="43"/>
    </row>
    <row r="43794" spans="2:2" ht="12.75" customHeight="1" x14ac:dyDescent="0.2">
      <c r="B43794" s="43"/>
    </row>
    <row r="43795" spans="2:2" ht="12.75" customHeight="1" x14ac:dyDescent="0.2">
      <c r="B43795" s="43"/>
    </row>
    <row r="43796" spans="2:2" ht="12.75" customHeight="1" x14ac:dyDescent="0.2">
      <c r="B43796" s="43"/>
    </row>
    <row r="43797" spans="2:2" ht="12.75" customHeight="1" x14ac:dyDescent="0.2">
      <c r="B43797" s="43"/>
    </row>
    <row r="43798" spans="2:2" ht="12.75" customHeight="1" x14ac:dyDescent="0.2">
      <c r="B43798" s="43"/>
    </row>
    <row r="43799" spans="2:2" ht="12.75" customHeight="1" x14ac:dyDescent="0.2">
      <c r="B43799" s="43"/>
    </row>
    <row r="43800" spans="2:2" ht="12.75" customHeight="1" x14ac:dyDescent="0.2">
      <c r="B43800" s="43"/>
    </row>
    <row r="43801" spans="2:2" ht="12.75" customHeight="1" x14ac:dyDescent="0.2">
      <c r="B43801" s="43"/>
    </row>
    <row r="43802" spans="2:2" ht="12.75" customHeight="1" x14ac:dyDescent="0.2">
      <c r="B43802" s="43"/>
    </row>
    <row r="43803" spans="2:2" ht="12.75" customHeight="1" x14ac:dyDescent="0.2">
      <c r="B43803" s="43"/>
    </row>
    <row r="43804" spans="2:2" ht="12.75" customHeight="1" x14ac:dyDescent="0.2">
      <c r="B43804" s="43"/>
    </row>
    <row r="43805" spans="2:2" ht="12.75" customHeight="1" x14ac:dyDescent="0.2">
      <c r="B43805" s="43"/>
    </row>
    <row r="43806" spans="2:2" ht="12.75" customHeight="1" x14ac:dyDescent="0.2">
      <c r="B43806" s="43"/>
    </row>
    <row r="43807" spans="2:2" ht="12.75" customHeight="1" x14ac:dyDescent="0.2">
      <c r="B43807" s="43"/>
    </row>
    <row r="43808" spans="2:2" ht="12.75" customHeight="1" x14ac:dyDescent="0.2">
      <c r="B43808" s="43"/>
    </row>
    <row r="43809" spans="2:2" ht="12.75" customHeight="1" x14ac:dyDescent="0.2">
      <c r="B43809" s="43"/>
    </row>
    <row r="43810" spans="2:2" ht="12.75" customHeight="1" x14ac:dyDescent="0.2">
      <c r="B43810" s="43"/>
    </row>
    <row r="43811" spans="2:2" ht="12.75" customHeight="1" x14ac:dyDescent="0.2">
      <c r="B43811" s="43"/>
    </row>
    <row r="43812" spans="2:2" ht="12.75" customHeight="1" x14ac:dyDescent="0.2">
      <c r="B43812" s="43"/>
    </row>
    <row r="43813" spans="2:2" ht="12.75" customHeight="1" x14ac:dyDescent="0.2">
      <c r="B43813" s="43"/>
    </row>
    <row r="43814" spans="2:2" ht="12.75" customHeight="1" x14ac:dyDescent="0.2">
      <c r="B43814" s="43"/>
    </row>
    <row r="43815" spans="2:2" ht="12.75" customHeight="1" x14ac:dyDescent="0.2">
      <c r="B43815" s="43"/>
    </row>
    <row r="43816" spans="2:2" ht="12.75" customHeight="1" x14ac:dyDescent="0.2">
      <c r="B43816" s="43"/>
    </row>
    <row r="43817" spans="2:2" ht="12.75" customHeight="1" x14ac:dyDescent="0.2">
      <c r="B43817" s="43"/>
    </row>
    <row r="43818" spans="2:2" ht="12.75" customHeight="1" x14ac:dyDescent="0.2">
      <c r="B43818" s="43"/>
    </row>
    <row r="43819" spans="2:2" ht="12.75" customHeight="1" x14ac:dyDescent="0.2">
      <c r="B43819" s="43"/>
    </row>
    <row r="43820" spans="2:2" ht="12.75" customHeight="1" x14ac:dyDescent="0.2">
      <c r="B43820" s="43"/>
    </row>
    <row r="43821" spans="2:2" ht="12.75" customHeight="1" x14ac:dyDescent="0.2">
      <c r="B43821" s="43"/>
    </row>
    <row r="43822" spans="2:2" ht="12.75" customHeight="1" x14ac:dyDescent="0.2">
      <c r="B43822" s="43"/>
    </row>
    <row r="43823" spans="2:2" ht="12.75" customHeight="1" x14ac:dyDescent="0.2">
      <c r="B43823" s="43"/>
    </row>
    <row r="43824" spans="2:2" ht="12.75" customHeight="1" x14ac:dyDescent="0.2">
      <c r="B43824" s="43"/>
    </row>
    <row r="43825" spans="2:2" ht="12.75" customHeight="1" x14ac:dyDescent="0.2">
      <c r="B43825" s="43"/>
    </row>
    <row r="43826" spans="2:2" ht="12.75" customHeight="1" x14ac:dyDescent="0.2">
      <c r="B43826" s="43"/>
    </row>
    <row r="43827" spans="2:2" ht="12.75" customHeight="1" x14ac:dyDescent="0.2">
      <c r="B43827" s="43"/>
    </row>
    <row r="43828" spans="2:2" ht="12.75" customHeight="1" x14ac:dyDescent="0.2">
      <c r="B43828" s="43"/>
    </row>
    <row r="43829" spans="2:2" ht="12.75" customHeight="1" x14ac:dyDescent="0.2">
      <c r="B43829" s="43"/>
    </row>
    <row r="43830" spans="2:2" ht="12.75" customHeight="1" x14ac:dyDescent="0.2">
      <c r="B43830" s="43"/>
    </row>
    <row r="43831" spans="2:2" ht="12.75" customHeight="1" x14ac:dyDescent="0.2">
      <c r="B43831" s="43"/>
    </row>
    <row r="43832" spans="2:2" ht="12.75" customHeight="1" x14ac:dyDescent="0.2">
      <c r="B43832" s="43"/>
    </row>
    <row r="43833" spans="2:2" ht="12.75" customHeight="1" x14ac:dyDescent="0.2">
      <c r="B43833" s="43"/>
    </row>
    <row r="43834" spans="2:2" ht="12.75" customHeight="1" x14ac:dyDescent="0.2">
      <c r="B43834" s="43"/>
    </row>
    <row r="43835" spans="2:2" ht="12.75" customHeight="1" x14ac:dyDescent="0.2">
      <c r="B43835" s="43"/>
    </row>
    <row r="43836" spans="2:2" ht="12.75" customHeight="1" x14ac:dyDescent="0.2">
      <c r="B43836" s="43"/>
    </row>
    <row r="43837" spans="2:2" ht="12.75" customHeight="1" x14ac:dyDescent="0.2">
      <c r="B43837" s="43"/>
    </row>
    <row r="43838" spans="2:2" ht="12.75" customHeight="1" x14ac:dyDescent="0.2">
      <c r="B43838" s="43"/>
    </row>
    <row r="43839" spans="2:2" ht="12.75" customHeight="1" x14ac:dyDescent="0.2">
      <c r="B43839" s="43"/>
    </row>
    <row r="43840" spans="2:2" ht="12.75" customHeight="1" x14ac:dyDescent="0.2">
      <c r="B43840" s="43"/>
    </row>
    <row r="43841" spans="2:2" ht="12.75" customHeight="1" x14ac:dyDescent="0.2">
      <c r="B43841" s="43"/>
    </row>
    <row r="43842" spans="2:2" ht="12.75" customHeight="1" x14ac:dyDescent="0.2">
      <c r="B43842" s="43"/>
    </row>
    <row r="43843" spans="2:2" ht="12.75" customHeight="1" x14ac:dyDescent="0.2">
      <c r="B43843" s="43"/>
    </row>
    <row r="43844" spans="2:2" ht="12.75" customHeight="1" x14ac:dyDescent="0.2">
      <c r="B43844" s="43"/>
    </row>
    <row r="43845" spans="2:2" ht="12.75" customHeight="1" x14ac:dyDescent="0.2">
      <c r="B43845" s="43"/>
    </row>
    <row r="43846" spans="2:2" ht="12.75" customHeight="1" x14ac:dyDescent="0.2">
      <c r="B43846" s="43"/>
    </row>
    <row r="43847" spans="2:2" ht="12.75" customHeight="1" x14ac:dyDescent="0.2">
      <c r="B43847" s="43"/>
    </row>
    <row r="43848" spans="2:2" ht="12.75" customHeight="1" x14ac:dyDescent="0.2">
      <c r="B43848" s="43"/>
    </row>
    <row r="43849" spans="2:2" ht="12.75" customHeight="1" x14ac:dyDescent="0.2">
      <c r="B43849" s="43"/>
    </row>
    <row r="43850" spans="2:2" ht="12.75" customHeight="1" x14ac:dyDescent="0.2">
      <c r="B43850" s="43"/>
    </row>
    <row r="43851" spans="2:2" ht="12.75" customHeight="1" x14ac:dyDescent="0.2">
      <c r="B43851" s="43"/>
    </row>
    <row r="43852" spans="2:2" ht="12.75" customHeight="1" x14ac:dyDescent="0.2">
      <c r="B43852" s="43"/>
    </row>
    <row r="43853" spans="2:2" ht="12.75" customHeight="1" x14ac:dyDescent="0.2">
      <c r="B43853" s="43"/>
    </row>
    <row r="43854" spans="2:2" ht="12.75" customHeight="1" x14ac:dyDescent="0.2">
      <c r="B43854" s="43"/>
    </row>
    <row r="43855" spans="2:2" ht="12.75" customHeight="1" x14ac:dyDescent="0.2">
      <c r="B43855" s="43"/>
    </row>
    <row r="43856" spans="2:2" ht="12.75" customHeight="1" x14ac:dyDescent="0.2">
      <c r="B43856" s="43"/>
    </row>
    <row r="43857" spans="2:2" ht="12.75" customHeight="1" x14ac:dyDescent="0.2">
      <c r="B43857" s="43"/>
    </row>
    <row r="43858" spans="2:2" ht="12.75" customHeight="1" x14ac:dyDescent="0.2">
      <c r="B43858" s="43"/>
    </row>
    <row r="43859" spans="2:2" ht="12.75" customHeight="1" x14ac:dyDescent="0.2">
      <c r="B43859" s="43"/>
    </row>
    <row r="43860" spans="2:2" ht="12.75" customHeight="1" x14ac:dyDescent="0.2">
      <c r="B43860" s="43"/>
    </row>
    <row r="43861" spans="2:2" ht="12.75" customHeight="1" x14ac:dyDescent="0.2">
      <c r="B43861" s="43"/>
    </row>
    <row r="43862" spans="2:2" ht="12.75" customHeight="1" x14ac:dyDescent="0.2">
      <c r="B43862" s="43"/>
    </row>
    <row r="43863" spans="2:2" ht="12.75" customHeight="1" x14ac:dyDescent="0.2">
      <c r="B43863" s="43"/>
    </row>
    <row r="43864" spans="2:2" ht="12.75" customHeight="1" x14ac:dyDescent="0.2">
      <c r="B43864" s="43"/>
    </row>
    <row r="43865" spans="2:2" ht="12.75" customHeight="1" x14ac:dyDescent="0.2">
      <c r="B43865" s="43"/>
    </row>
    <row r="43866" spans="2:2" ht="12.75" customHeight="1" x14ac:dyDescent="0.2">
      <c r="B43866" s="43"/>
    </row>
    <row r="43867" spans="2:2" ht="12.75" customHeight="1" x14ac:dyDescent="0.2">
      <c r="B43867" s="43"/>
    </row>
    <row r="43868" spans="2:2" ht="12.75" customHeight="1" x14ac:dyDescent="0.2">
      <c r="B43868" s="43"/>
    </row>
    <row r="43869" spans="2:2" ht="12.75" customHeight="1" x14ac:dyDescent="0.2">
      <c r="B43869" s="43"/>
    </row>
    <row r="43870" spans="2:2" ht="12.75" customHeight="1" x14ac:dyDescent="0.2">
      <c r="B43870" s="43"/>
    </row>
    <row r="43871" spans="2:2" ht="12.75" customHeight="1" x14ac:dyDescent="0.2">
      <c r="B43871" s="43"/>
    </row>
    <row r="43872" spans="2:2" ht="12.75" customHeight="1" x14ac:dyDescent="0.2">
      <c r="B43872" s="43"/>
    </row>
    <row r="43873" spans="2:2" ht="12.75" customHeight="1" x14ac:dyDescent="0.2">
      <c r="B43873" s="43"/>
    </row>
    <row r="43874" spans="2:2" ht="12.75" customHeight="1" x14ac:dyDescent="0.2">
      <c r="B43874" s="43"/>
    </row>
    <row r="43875" spans="2:2" ht="12.75" customHeight="1" x14ac:dyDescent="0.2">
      <c r="B43875" s="43"/>
    </row>
    <row r="43876" spans="2:2" ht="12.75" customHeight="1" x14ac:dyDescent="0.2">
      <c r="B43876" s="43"/>
    </row>
    <row r="43877" spans="2:2" ht="12.75" customHeight="1" x14ac:dyDescent="0.2">
      <c r="B43877" s="43"/>
    </row>
    <row r="43878" spans="2:2" ht="12.75" customHeight="1" x14ac:dyDescent="0.2">
      <c r="B43878" s="43"/>
    </row>
    <row r="43879" spans="2:2" ht="12.75" customHeight="1" x14ac:dyDescent="0.2">
      <c r="B43879" s="43"/>
    </row>
    <row r="43880" spans="2:2" ht="12.75" customHeight="1" x14ac:dyDescent="0.2">
      <c r="B43880" s="43"/>
    </row>
    <row r="43881" spans="2:2" ht="12.75" customHeight="1" x14ac:dyDescent="0.2">
      <c r="B43881" s="43"/>
    </row>
    <row r="43882" spans="2:2" ht="12.75" customHeight="1" x14ac:dyDescent="0.2">
      <c r="B43882" s="43"/>
    </row>
    <row r="43883" spans="2:2" ht="12.75" customHeight="1" x14ac:dyDescent="0.2">
      <c r="B43883" s="43"/>
    </row>
    <row r="43884" spans="2:2" ht="12.75" customHeight="1" x14ac:dyDescent="0.2">
      <c r="B43884" s="43"/>
    </row>
    <row r="43885" spans="2:2" ht="12.75" customHeight="1" x14ac:dyDescent="0.2">
      <c r="B43885" s="43"/>
    </row>
    <row r="43886" spans="2:2" ht="12.75" customHeight="1" x14ac:dyDescent="0.2">
      <c r="B43886" s="43"/>
    </row>
    <row r="43887" spans="2:2" ht="12.75" customHeight="1" x14ac:dyDescent="0.2">
      <c r="B43887" s="43"/>
    </row>
    <row r="43888" spans="2:2" ht="12.75" customHeight="1" x14ac:dyDescent="0.2">
      <c r="B43888" s="43"/>
    </row>
    <row r="43889" spans="2:2" ht="12.75" customHeight="1" x14ac:dyDescent="0.2">
      <c r="B43889" s="43"/>
    </row>
    <row r="43890" spans="2:2" ht="12.75" customHeight="1" x14ac:dyDescent="0.2">
      <c r="B43890" s="43"/>
    </row>
    <row r="43891" spans="2:2" ht="12.75" customHeight="1" x14ac:dyDescent="0.2">
      <c r="B43891" s="43"/>
    </row>
    <row r="43892" spans="2:2" ht="12.75" customHeight="1" x14ac:dyDescent="0.2">
      <c r="B43892" s="43"/>
    </row>
    <row r="43893" spans="2:2" ht="12.75" customHeight="1" x14ac:dyDescent="0.2">
      <c r="B43893" s="43"/>
    </row>
    <row r="43894" spans="2:2" ht="12.75" customHeight="1" x14ac:dyDescent="0.2">
      <c r="B43894" s="43"/>
    </row>
    <row r="43895" spans="2:2" ht="12.75" customHeight="1" x14ac:dyDescent="0.2">
      <c r="B43895" s="43"/>
    </row>
    <row r="43896" spans="2:2" ht="12.75" customHeight="1" x14ac:dyDescent="0.2">
      <c r="B43896" s="43"/>
    </row>
    <row r="43897" spans="2:2" ht="12.75" customHeight="1" x14ac:dyDescent="0.2">
      <c r="B43897" s="43"/>
    </row>
    <row r="43898" spans="2:2" ht="12.75" customHeight="1" x14ac:dyDescent="0.2">
      <c r="B43898" s="43"/>
    </row>
    <row r="43899" spans="2:2" ht="12.75" customHeight="1" x14ac:dyDescent="0.2">
      <c r="B43899" s="43"/>
    </row>
    <row r="43900" spans="2:2" ht="12.75" customHeight="1" x14ac:dyDescent="0.2">
      <c r="B43900" s="43"/>
    </row>
    <row r="43901" spans="2:2" ht="12.75" customHeight="1" x14ac:dyDescent="0.2">
      <c r="B43901" s="43"/>
    </row>
    <row r="43902" spans="2:2" ht="12.75" customHeight="1" x14ac:dyDescent="0.2">
      <c r="B43902" s="43"/>
    </row>
    <row r="43903" spans="2:2" ht="12.75" customHeight="1" x14ac:dyDescent="0.2">
      <c r="B43903" s="43"/>
    </row>
    <row r="43904" spans="2:2" ht="12.75" customHeight="1" x14ac:dyDescent="0.2">
      <c r="B43904" s="43"/>
    </row>
    <row r="43905" spans="2:2" ht="12.75" customHeight="1" x14ac:dyDescent="0.2">
      <c r="B43905" s="43"/>
    </row>
    <row r="43906" spans="2:2" ht="12.75" customHeight="1" x14ac:dyDescent="0.2">
      <c r="B43906" s="43"/>
    </row>
    <row r="43907" spans="2:2" ht="12.75" customHeight="1" x14ac:dyDescent="0.2">
      <c r="B43907" s="43"/>
    </row>
    <row r="43908" spans="2:2" ht="12.75" customHeight="1" x14ac:dyDescent="0.2">
      <c r="B43908" s="43"/>
    </row>
    <row r="43909" spans="2:2" ht="12.75" customHeight="1" x14ac:dyDescent="0.2">
      <c r="B43909" s="43"/>
    </row>
    <row r="43910" spans="2:2" ht="12.75" customHeight="1" x14ac:dyDescent="0.2">
      <c r="B43910" s="43"/>
    </row>
    <row r="43911" spans="2:2" ht="12.75" customHeight="1" x14ac:dyDescent="0.2">
      <c r="B43911" s="43"/>
    </row>
    <row r="43912" spans="2:2" ht="12.75" customHeight="1" x14ac:dyDescent="0.2">
      <c r="B43912" s="43"/>
    </row>
    <row r="43913" spans="2:2" ht="12.75" customHeight="1" x14ac:dyDescent="0.2">
      <c r="B43913" s="43"/>
    </row>
    <row r="43914" spans="2:2" ht="12.75" customHeight="1" x14ac:dyDescent="0.2">
      <c r="B43914" s="43"/>
    </row>
    <row r="43915" spans="2:2" ht="12.75" customHeight="1" x14ac:dyDescent="0.2">
      <c r="B43915" s="43"/>
    </row>
    <row r="43916" spans="2:2" ht="12.75" customHeight="1" x14ac:dyDescent="0.2">
      <c r="B43916" s="43"/>
    </row>
    <row r="43917" spans="2:2" ht="12.75" customHeight="1" x14ac:dyDescent="0.2">
      <c r="B43917" s="43"/>
    </row>
    <row r="43918" spans="2:2" ht="12.75" customHeight="1" x14ac:dyDescent="0.2">
      <c r="B43918" s="43"/>
    </row>
    <row r="43919" spans="2:2" ht="12.75" customHeight="1" x14ac:dyDescent="0.2">
      <c r="B43919" s="43"/>
    </row>
    <row r="43920" spans="2:2" ht="12.75" customHeight="1" x14ac:dyDescent="0.2">
      <c r="B43920" s="43"/>
    </row>
    <row r="43921" spans="2:2" ht="12.75" customHeight="1" x14ac:dyDescent="0.2">
      <c r="B43921" s="43"/>
    </row>
    <row r="43922" spans="2:2" ht="12.75" customHeight="1" x14ac:dyDescent="0.2">
      <c r="B43922" s="43"/>
    </row>
    <row r="43923" spans="2:2" ht="12.75" customHeight="1" x14ac:dyDescent="0.2">
      <c r="B43923" s="43"/>
    </row>
    <row r="43924" spans="2:2" ht="12.75" customHeight="1" x14ac:dyDescent="0.2">
      <c r="B43924" s="43"/>
    </row>
    <row r="43925" spans="2:2" ht="12.75" customHeight="1" x14ac:dyDescent="0.2">
      <c r="B43925" s="43"/>
    </row>
    <row r="43926" spans="2:2" ht="12.75" customHeight="1" x14ac:dyDescent="0.2">
      <c r="B43926" s="43"/>
    </row>
    <row r="43927" spans="2:2" ht="12.75" customHeight="1" x14ac:dyDescent="0.2">
      <c r="B43927" s="43"/>
    </row>
    <row r="43928" spans="2:2" ht="12.75" customHeight="1" x14ac:dyDescent="0.2">
      <c r="B43928" s="43"/>
    </row>
    <row r="43929" spans="2:2" ht="12.75" customHeight="1" x14ac:dyDescent="0.2">
      <c r="B43929" s="43"/>
    </row>
    <row r="43930" spans="2:2" ht="12.75" customHeight="1" x14ac:dyDescent="0.2">
      <c r="B43930" s="43"/>
    </row>
    <row r="43931" spans="2:2" ht="12.75" customHeight="1" x14ac:dyDescent="0.2">
      <c r="B43931" s="43"/>
    </row>
    <row r="43932" spans="2:2" ht="12.75" customHeight="1" x14ac:dyDescent="0.2">
      <c r="B43932" s="43"/>
    </row>
    <row r="43933" spans="2:2" ht="12.75" customHeight="1" x14ac:dyDescent="0.2">
      <c r="B43933" s="43"/>
    </row>
    <row r="43934" spans="2:2" ht="12.75" customHeight="1" x14ac:dyDescent="0.2">
      <c r="B43934" s="43"/>
    </row>
    <row r="43935" spans="2:2" ht="12.75" customHeight="1" x14ac:dyDescent="0.2">
      <c r="B43935" s="43"/>
    </row>
    <row r="43936" spans="2:2" ht="12.75" customHeight="1" x14ac:dyDescent="0.2">
      <c r="B43936" s="43"/>
    </row>
    <row r="43937" spans="2:2" ht="12.75" customHeight="1" x14ac:dyDescent="0.2">
      <c r="B43937" s="43"/>
    </row>
    <row r="43938" spans="2:2" ht="12.75" customHeight="1" x14ac:dyDescent="0.2">
      <c r="B43938" s="43"/>
    </row>
    <row r="43939" spans="2:2" ht="12.75" customHeight="1" x14ac:dyDescent="0.2">
      <c r="B43939" s="43"/>
    </row>
    <row r="43940" spans="2:2" ht="12.75" customHeight="1" x14ac:dyDescent="0.2">
      <c r="B43940" s="43"/>
    </row>
    <row r="43941" spans="2:2" ht="12.75" customHeight="1" x14ac:dyDescent="0.2">
      <c r="B43941" s="43"/>
    </row>
    <row r="43942" spans="2:2" ht="12.75" customHeight="1" x14ac:dyDescent="0.2">
      <c r="B43942" s="43"/>
    </row>
    <row r="43943" spans="2:2" ht="12.75" customHeight="1" x14ac:dyDescent="0.2">
      <c r="B43943" s="43"/>
    </row>
    <row r="43944" spans="2:2" ht="12.75" customHeight="1" x14ac:dyDescent="0.2">
      <c r="B43944" s="43"/>
    </row>
    <row r="43945" spans="2:2" ht="12.75" customHeight="1" x14ac:dyDescent="0.2">
      <c r="B43945" s="43"/>
    </row>
    <row r="43946" spans="2:2" ht="12.75" customHeight="1" x14ac:dyDescent="0.2">
      <c r="B43946" s="43"/>
    </row>
    <row r="43947" spans="2:2" ht="12.75" customHeight="1" x14ac:dyDescent="0.2">
      <c r="B43947" s="43"/>
    </row>
    <row r="43948" spans="2:2" ht="12.75" customHeight="1" x14ac:dyDescent="0.2">
      <c r="B43948" s="43"/>
    </row>
    <row r="43949" spans="2:2" ht="12.75" customHeight="1" x14ac:dyDescent="0.2">
      <c r="B43949" s="43"/>
    </row>
    <row r="43950" spans="2:2" ht="12.75" customHeight="1" x14ac:dyDescent="0.2">
      <c r="B43950" s="43"/>
    </row>
    <row r="43951" spans="2:2" ht="12.75" customHeight="1" x14ac:dyDescent="0.2">
      <c r="B43951" s="43"/>
    </row>
    <row r="43952" spans="2:2" ht="12.75" customHeight="1" x14ac:dyDescent="0.2">
      <c r="B43952" s="43"/>
    </row>
    <row r="43953" spans="2:2" ht="12.75" customHeight="1" x14ac:dyDescent="0.2">
      <c r="B43953" s="43"/>
    </row>
    <row r="43954" spans="2:2" ht="12.75" customHeight="1" x14ac:dyDescent="0.2">
      <c r="B43954" s="43"/>
    </row>
    <row r="43955" spans="2:2" ht="12.75" customHeight="1" x14ac:dyDescent="0.2">
      <c r="B43955" s="43"/>
    </row>
    <row r="43956" spans="2:2" ht="12.75" customHeight="1" x14ac:dyDescent="0.2">
      <c r="B43956" s="43"/>
    </row>
    <row r="43957" spans="2:2" ht="12.75" customHeight="1" x14ac:dyDescent="0.2">
      <c r="B43957" s="43"/>
    </row>
    <row r="43958" spans="2:2" ht="12.75" customHeight="1" x14ac:dyDescent="0.2">
      <c r="B43958" s="43"/>
    </row>
    <row r="43959" spans="2:2" ht="12.75" customHeight="1" x14ac:dyDescent="0.2">
      <c r="B43959" s="43"/>
    </row>
    <row r="43960" spans="2:2" ht="12.75" customHeight="1" x14ac:dyDescent="0.2">
      <c r="B43960" s="43"/>
    </row>
    <row r="43961" spans="2:2" ht="12.75" customHeight="1" x14ac:dyDescent="0.2">
      <c r="B43961" s="43"/>
    </row>
    <row r="43962" spans="2:2" ht="12.75" customHeight="1" x14ac:dyDescent="0.2">
      <c r="B43962" s="43"/>
    </row>
    <row r="43963" spans="2:2" ht="12.75" customHeight="1" x14ac:dyDescent="0.2">
      <c r="B43963" s="43"/>
    </row>
    <row r="43964" spans="2:2" ht="12.75" customHeight="1" x14ac:dyDescent="0.2">
      <c r="B43964" s="43"/>
    </row>
    <row r="43965" spans="2:2" ht="12.75" customHeight="1" x14ac:dyDescent="0.2">
      <c r="B43965" s="43"/>
    </row>
    <row r="43966" spans="2:2" ht="12.75" customHeight="1" x14ac:dyDescent="0.2">
      <c r="B43966" s="43"/>
    </row>
    <row r="43967" spans="2:2" ht="12.75" customHeight="1" x14ac:dyDescent="0.2">
      <c r="B43967" s="43"/>
    </row>
    <row r="43968" spans="2:2" ht="12.75" customHeight="1" x14ac:dyDescent="0.2">
      <c r="B43968" s="43"/>
    </row>
    <row r="43969" spans="2:2" ht="12.75" customHeight="1" x14ac:dyDescent="0.2">
      <c r="B43969" s="43"/>
    </row>
    <row r="43970" spans="2:2" ht="12.75" customHeight="1" x14ac:dyDescent="0.2">
      <c r="B43970" s="43"/>
    </row>
    <row r="43971" spans="2:2" ht="12.75" customHeight="1" x14ac:dyDescent="0.2">
      <c r="B43971" s="43"/>
    </row>
    <row r="43972" spans="2:2" ht="12.75" customHeight="1" x14ac:dyDescent="0.2">
      <c r="B43972" s="43"/>
    </row>
    <row r="43973" spans="2:2" ht="12.75" customHeight="1" x14ac:dyDescent="0.2">
      <c r="B43973" s="43"/>
    </row>
    <row r="43974" spans="2:2" ht="12.75" customHeight="1" x14ac:dyDescent="0.2">
      <c r="B43974" s="43"/>
    </row>
    <row r="43975" spans="2:2" ht="12.75" customHeight="1" x14ac:dyDescent="0.2">
      <c r="B43975" s="43"/>
    </row>
    <row r="43976" spans="2:2" ht="12.75" customHeight="1" x14ac:dyDescent="0.2">
      <c r="B43976" s="43"/>
    </row>
    <row r="43977" spans="2:2" ht="12.75" customHeight="1" x14ac:dyDescent="0.2">
      <c r="B43977" s="43"/>
    </row>
    <row r="43978" spans="2:2" ht="12.75" customHeight="1" x14ac:dyDescent="0.2">
      <c r="B43978" s="43"/>
    </row>
    <row r="43979" spans="2:2" ht="12.75" customHeight="1" x14ac:dyDescent="0.2">
      <c r="B43979" s="43"/>
    </row>
    <row r="43980" spans="2:2" ht="12.75" customHeight="1" x14ac:dyDescent="0.2">
      <c r="B43980" s="43"/>
    </row>
    <row r="43981" spans="2:2" ht="12.75" customHeight="1" x14ac:dyDescent="0.2">
      <c r="B43981" s="43"/>
    </row>
    <row r="43982" spans="2:2" ht="12.75" customHeight="1" x14ac:dyDescent="0.2">
      <c r="B43982" s="43"/>
    </row>
    <row r="43983" spans="2:2" ht="12.75" customHeight="1" x14ac:dyDescent="0.2">
      <c r="B43983" s="43"/>
    </row>
    <row r="43984" spans="2:2" ht="12.75" customHeight="1" x14ac:dyDescent="0.2">
      <c r="B43984" s="43"/>
    </row>
    <row r="43985" spans="2:2" ht="12.75" customHeight="1" x14ac:dyDescent="0.2">
      <c r="B43985" s="43"/>
    </row>
    <row r="43986" spans="2:2" ht="12.75" customHeight="1" x14ac:dyDescent="0.2">
      <c r="B43986" s="43"/>
    </row>
    <row r="43987" spans="2:2" ht="12.75" customHeight="1" x14ac:dyDescent="0.2">
      <c r="B43987" s="43"/>
    </row>
    <row r="43988" spans="2:2" ht="12.75" customHeight="1" x14ac:dyDescent="0.2">
      <c r="B43988" s="43"/>
    </row>
    <row r="43989" spans="2:2" ht="12.75" customHeight="1" x14ac:dyDescent="0.2">
      <c r="B43989" s="43"/>
    </row>
    <row r="43990" spans="2:2" ht="12.75" customHeight="1" x14ac:dyDescent="0.2">
      <c r="B43990" s="43"/>
    </row>
    <row r="43991" spans="2:2" ht="12.75" customHeight="1" x14ac:dyDescent="0.2">
      <c r="B43991" s="43"/>
    </row>
    <row r="43992" spans="2:2" ht="12.75" customHeight="1" x14ac:dyDescent="0.2">
      <c r="B43992" s="43"/>
    </row>
    <row r="43993" spans="2:2" ht="12.75" customHeight="1" x14ac:dyDescent="0.2">
      <c r="B43993" s="43"/>
    </row>
    <row r="43994" spans="2:2" ht="12.75" customHeight="1" x14ac:dyDescent="0.2">
      <c r="B43994" s="43"/>
    </row>
    <row r="43995" spans="2:2" ht="12.75" customHeight="1" x14ac:dyDescent="0.2">
      <c r="B43995" s="43"/>
    </row>
    <row r="43996" spans="2:2" ht="12.75" customHeight="1" x14ac:dyDescent="0.2">
      <c r="B43996" s="43"/>
    </row>
    <row r="43997" spans="2:2" ht="12.75" customHeight="1" x14ac:dyDescent="0.2">
      <c r="B43997" s="43"/>
    </row>
    <row r="43998" spans="2:2" ht="12.75" customHeight="1" x14ac:dyDescent="0.2">
      <c r="B43998" s="43"/>
    </row>
    <row r="43999" spans="2:2" ht="12.75" customHeight="1" x14ac:dyDescent="0.2">
      <c r="B43999" s="43"/>
    </row>
    <row r="44000" spans="2:2" ht="12.75" customHeight="1" x14ac:dyDescent="0.2">
      <c r="B44000" s="43"/>
    </row>
    <row r="44001" spans="2:2" ht="12.75" customHeight="1" x14ac:dyDescent="0.2">
      <c r="B44001" s="43"/>
    </row>
    <row r="44002" spans="2:2" ht="12.75" customHeight="1" x14ac:dyDescent="0.2">
      <c r="B44002" s="43"/>
    </row>
    <row r="44003" spans="2:2" ht="12.75" customHeight="1" x14ac:dyDescent="0.2">
      <c r="B44003" s="43"/>
    </row>
    <row r="44004" spans="2:2" ht="12.75" customHeight="1" x14ac:dyDescent="0.2">
      <c r="B44004" s="43"/>
    </row>
    <row r="44005" spans="2:2" ht="12.75" customHeight="1" x14ac:dyDescent="0.2">
      <c r="B44005" s="43"/>
    </row>
    <row r="44006" spans="2:2" ht="12.75" customHeight="1" x14ac:dyDescent="0.2">
      <c r="B44006" s="43"/>
    </row>
    <row r="44007" spans="2:2" ht="12.75" customHeight="1" x14ac:dyDescent="0.2">
      <c r="B44007" s="43"/>
    </row>
    <row r="44008" spans="2:2" ht="12.75" customHeight="1" x14ac:dyDescent="0.2">
      <c r="B44008" s="43"/>
    </row>
    <row r="44009" spans="2:2" ht="12.75" customHeight="1" x14ac:dyDescent="0.2">
      <c r="B44009" s="43"/>
    </row>
    <row r="44010" spans="2:2" ht="12.75" customHeight="1" x14ac:dyDescent="0.2">
      <c r="B44010" s="43"/>
    </row>
    <row r="44011" spans="2:2" ht="12.75" customHeight="1" x14ac:dyDescent="0.2">
      <c r="B44011" s="43"/>
    </row>
    <row r="44012" spans="2:2" ht="12.75" customHeight="1" x14ac:dyDescent="0.2">
      <c r="B44012" s="43"/>
    </row>
    <row r="44013" spans="2:2" ht="12.75" customHeight="1" x14ac:dyDescent="0.2">
      <c r="B44013" s="43"/>
    </row>
    <row r="44014" spans="2:2" ht="12.75" customHeight="1" x14ac:dyDescent="0.2">
      <c r="B44014" s="43"/>
    </row>
    <row r="44015" spans="2:2" ht="12.75" customHeight="1" x14ac:dyDescent="0.2">
      <c r="B44015" s="43"/>
    </row>
    <row r="44016" spans="2:2" ht="12.75" customHeight="1" x14ac:dyDescent="0.2">
      <c r="B44016" s="43"/>
    </row>
    <row r="44017" spans="2:2" ht="12.75" customHeight="1" x14ac:dyDescent="0.2">
      <c r="B44017" s="43"/>
    </row>
    <row r="44018" spans="2:2" ht="12.75" customHeight="1" x14ac:dyDescent="0.2">
      <c r="B44018" s="43"/>
    </row>
    <row r="44019" spans="2:2" ht="12.75" customHeight="1" x14ac:dyDescent="0.2">
      <c r="B44019" s="43"/>
    </row>
    <row r="44020" spans="2:2" ht="12.75" customHeight="1" x14ac:dyDescent="0.2">
      <c r="B44020" s="43"/>
    </row>
    <row r="44021" spans="2:2" ht="12.75" customHeight="1" x14ac:dyDescent="0.2">
      <c r="B44021" s="43"/>
    </row>
    <row r="44022" spans="2:2" ht="12.75" customHeight="1" x14ac:dyDescent="0.2">
      <c r="B44022" s="43"/>
    </row>
    <row r="44023" spans="2:2" ht="12.75" customHeight="1" x14ac:dyDescent="0.2">
      <c r="B44023" s="43"/>
    </row>
    <row r="44024" spans="2:2" ht="12.75" customHeight="1" x14ac:dyDescent="0.2">
      <c r="B44024" s="43"/>
    </row>
    <row r="44025" spans="2:2" ht="12.75" customHeight="1" x14ac:dyDescent="0.2">
      <c r="B44025" s="43"/>
    </row>
    <row r="44026" spans="2:2" ht="12.75" customHeight="1" x14ac:dyDescent="0.2">
      <c r="B44026" s="43"/>
    </row>
    <row r="44027" spans="2:2" ht="12.75" customHeight="1" x14ac:dyDescent="0.2">
      <c r="B44027" s="43"/>
    </row>
    <row r="44028" spans="2:2" ht="12.75" customHeight="1" x14ac:dyDescent="0.2">
      <c r="B44028" s="43"/>
    </row>
    <row r="44029" spans="2:2" ht="12.75" customHeight="1" x14ac:dyDescent="0.2">
      <c r="B44029" s="43"/>
    </row>
    <row r="44030" spans="2:2" ht="12.75" customHeight="1" x14ac:dyDescent="0.2">
      <c r="B44030" s="43"/>
    </row>
    <row r="44031" spans="2:2" ht="12.75" customHeight="1" x14ac:dyDescent="0.2">
      <c r="B44031" s="43"/>
    </row>
    <row r="44032" spans="2:2" ht="12.75" customHeight="1" x14ac:dyDescent="0.2">
      <c r="B44032" s="43"/>
    </row>
    <row r="44033" spans="2:2" ht="12.75" customHeight="1" x14ac:dyDescent="0.2">
      <c r="B44033" s="43"/>
    </row>
    <row r="44034" spans="2:2" ht="12.75" customHeight="1" x14ac:dyDescent="0.2">
      <c r="B44034" s="43"/>
    </row>
    <row r="44035" spans="2:2" ht="12.75" customHeight="1" x14ac:dyDescent="0.2">
      <c r="B44035" s="43"/>
    </row>
    <row r="44036" spans="2:2" ht="12.75" customHeight="1" x14ac:dyDescent="0.2">
      <c r="B44036" s="43"/>
    </row>
    <row r="44037" spans="2:2" ht="12.75" customHeight="1" x14ac:dyDescent="0.2">
      <c r="B44037" s="43"/>
    </row>
    <row r="44038" spans="2:2" ht="12.75" customHeight="1" x14ac:dyDescent="0.2">
      <c r="B44038" s="43"/>
    </row>
    <row r="44039" spans="2:2" ht="12.75" customHeight="1" x14ac:dyDescent="0.2">
      <c r="B44039" s="43"/>
    </row>
    <row r="44040" spans="2:2" ht="12.75" customHeight="1" x14ac:dyDescent="0.2">
      <c r="B44040" s="43"/>
    </row>
    <row r="44041" spans="2:2" ht="12.75" customHeight="1" x14ac:dyDescent="0.2">
      <c r="B44041" s="43"/>
    </row>
    <row r="44042" spans="2:2" ht="12.75" customHeight="1" x14ac:dyDescent="0.2">
      <c r="B44042" s="43"/>
    </row>
    <row r="44043" spans="2:2" ht="12.75" customHeight="1" x14ac:dyDescent="0.2">
      <c r="B44043" s="43"/>
    </row>
    <row r="44044" spans="2:2" ht="12.75" customHeight="1" x14ac:dyDescent="0.2">
      <c r="B44044" s="43"/>
    </row>
    <row r="44045" spans="2:2" ht="12.75" customHeight="1" x14ac:dyDescent="0.2">
      <c r="B44045" s="43"/>
    </row>
    <row r="44046" spans="2:2" ht="12.75" customHeight="1" x14ac:dyDescent="0.2">
      <c r="B44046" s="43"/>
    </row>
    <row r="44047" spans="2:2" ht="12.75" customHeight="1" x14ac:dyDescent="0.2">
      <c r="B44047" s="43"/>
    </row>
    <row r="44048" spans="2:2" ht="12.75" customHeight="1" x14ac:dyDescent="0.2">
      <c r="B44048" s="43"/>
    </row>
    <row r="44049" spans="2:2" ht="12.75" customHeight="1" x14ac:dyDescent="0.2">
      <c r="B44049" s="43"/>
    </row>
    <row r="44050" spans="2:2" ht="12.75" customHeight="1" x14ac:dyDescent="0.2">
      <c r="B44050" s="43"/>
    </row>
    <row r="44051" spans="2:2" ht="12.75" customHeight="1" x14ac:dyDescent="0.2">
      <c r="B44051" s="43"/>
    </row>
    <row r="44052" spans="2:2" ht="12.75" customHeight="1" x14ac:dyDescent="0.2">
      <c r="B44052" s="43"/>
    </row>
    <row r="44053" spans="2:2" ht="12.75" customHeight="1" x14ac:dyDescent="0.2">
      <c r="B44053" s="43"/>
    </row>
    <row r="44054" spans="2:2" ht="12.75" customHeight="1" x14ac:dyDescent="0.2">
      <c r="B44054" s="43"/>
    </row>
    <row r="44055" spans="2:2" ht="12.75" customHeight="1" x14ac:dyDescent="0.2">
      <c r="B44055" s="43"/>
    </row>
    <row r="44056" spans="2:2" ht="12.75" customHeight="1" x14ac:dyDescent="0.2">
      <c r="B44056" s="43"/>
    </row>
    <row r="44057" spans="2:2" ht="12.75" customHeight="1" x14ac:dyDescent="0.2">
      <c r="B44057" s="43"/>
    </row>
    <row r="44058" spans="2:2" ht="12.75" customHeight="1" x14ac:dyDescent="0.2">
      <c r="B44058" s="43"/>
    </row>
    <row r="44059" spans="2:2" ht="12.75" customHeight="1" x14ac:dyDescent="0.2">
      <c r="B44059" s="43"/>
    </row>
    <row r="44060" spans="2:2" ht="12.75" customHeight="1" x14ac:dyDescent="0.2">
      <c r="B44060" s="43"/>
    </row>
    <row r="44061" spans="2:2" ht="12.75" customHeight="1" x14ac:dyDescent="0.2">
      <c r="B44061" s="43"/>
    </row>
    <row r="44062" spans="2:2" ht="12.75" customHeight="1" x14ac:dyDescent="0.2">
      <c r="B44062" s="43"/>
    </row>
    <row r="44063" spans="2:2" ht="12.75" customHeight="1" x14ac:dyDescent="0.2">
      <c r="B44063" s="43"/>
    </row>
    <row r="44064" spans="2:2" ht="12.75" customHeight="1" x14ac:dyDescent="0.2">
      <c r="B44064" s="43"/>
    </row>
    <row r="44065" spans="2:2" ht="12.75" customHeight="1" x14ac:dyDescent="0.2">
      <c r="B44065" s="43"/>
    </row>
    <row r="44066" spans="2:2" ht="12.75" customHeight="1" x14ac:dyDescent="0.2">
      <c r="B44066" s="43"/>
    </row>
    <row r="44067" spans="2:2" ht="12.75" customHeight="1" x14ac:dyDescent="0.2">
      <c r="B44067" s="43"/>
    </row>
    <row r="44068" spans="2:2" ht="12.75" customHeight="1" x14ac:dyDescent="0.2">
      <c r="B44068" s="43"/>
    </row>
    <row r="44069" spans="2:2" ht="12.75" customHeight="1" x14ac:dyDescent="0.2">
      <c r="B44069" s="43"/>
    </row>
    <row r="44070" spans="2:2" ht="12.75" customHeight="1" x14ac:dyDescent="0.2">
      <c r="B44070" s="43"/>
    </row>
    <row r="44071" spans="2:2" ht="12.75" customHeight="1" x14ac:dyDescent="0.2">
      <c r="B44071" s="43"/>
    </row>
    <row r="44072" spans="2:2" ht="12.75" customHeight="1" x14ac:dyDescent="0.2">
      <c r="B44072" s="43"/>
    </row>
    <row r="44073" spans="2:2" ht="12.75" customHeight="1" x14ac:dyDescent="0.2">
      <c r="B44073" s="43"/>
    </row>
    <row r="44074" spans="2:2" ht="12.75" customHeight="1" x14ac:dyDescent="0.2">
      <c r="B44074" s="43"/>
    </row>
    <row r="44075" spans="2:2" ht="12.75" customHeight="1" x14ac:dyDescent="0.2">
      <c r="B44075" s="43"/>
    </row>
    <row r="44076" spans="2:2" ht="12.75" customHeight="1" x14ac:dyDescent="0.2">
      <c r="B44076" s="43"/>
    </row>
    <row r="44077" spans="2:2" ht="12.75" customHeight="1" x14ac:dyDescent="0.2">
      <c r="B44077" s="43"/>
    </row>
    <row r="44078" spans="2:2" ht="12.75" customHeight="1" x14ac:dyDescent="0.2">
      <c r="B44078" s="43"/>
    </row>
    <row r="44079" spans="2:2" ht="12.75" customHeight="1" x14ac:dyDescent="0.2">
      <c r="B44079" s="43"/>
    </row>
    <row r="44080" spans="2:2" ht="12.75" customHeight="1" x14ac:dyDescent="0.2">
      <c r="B44080" s="43"/>
    </row>
    <row r="44081" spans="2:2" ht="12.75" customHeight="1" x14ac:dyDescent="0.2">
      <c r="B44081" s="43"/>
    </row>
    <row r="44082" spans="2:2" ht="12.75" customHeight="1" x14ac:dyDescent="0.2">
      <c r="B44082" s="43"/>
    </row>
    <row r="44083" spans="2:2" ht="12.75" customHeight="1" x14ac:dyDescent="0.2">
      <c r="B44083" s="43"/>
    </row>
    <row r="44084" spans="2:2" ht="12.75" customHeight="1" x14ac:dyDescent="0.2">
      <c r="B44084" s="43"/>
    </row>
    <row r="44085" spans="2:2" ht="12.75" customHeight="1" x14ac:dyDescent="0.2">
      <c r="B44085" s="43"/>
    </row>
    <row r="44086" spans="2:2" ht="12.75" customHeight="1" x14ac:dyDescent="0.2">
      <c r="B44086" s="43"/>
    </row>
    <row r="44087" spans="2:2" ht="12.75" customHeight="1" x14ac:dyDescent="0.2">
      <c r="B44087" s="43"/>
    </row>
    <row r="44088" spans="2:2" ht="12.75" customHeight="1" x14ac:dyDescent="0.2">
      <c r="B44088" s="43"/>
    </row>
    <row r="44089" spans="2:2" ht="12.75" customHeight="1" x14ac:dyDescent="0.2">
      <c r="B44089" s="43"/>
    </row>
    <row r="44090" spans="2:2" ht="12.75" customHeight="1" x14ac:dyDescent="0.2">
      <c r="B44090" s="43"/>
    </row>
    <row r="44091" spans="2:2" ht="12.75" customHeight="1" x14ac:dyDescent="0.2">
      <c r="B44091" s="43"/>
    </row>
    <row r="44092" spans="2:2" ht="12.75" customHeight="1" x14ac:dyDescent="0.2">
      <c r="B44092" s="43"/>
    </row>
    <row r="44093" spans="2:2" ht="12.75" customHeight="1" x14ac:dyDescent="0.2">
      <c r="B44093" s="43"/>
    </row>
    <row r="44094" spans="2:2" ht="12.75" customHeight="1" x14ac:dyDescent="0.2">
      <c r="B44094" s="43"/>
    </row>
    <row r="44095" spans="2:2" ht="12.75" customHeight="1" x14ac:dyDescent="0.2">
      <c r="B44095" s="43"/>
    </row>
    <row r="44096" spans="2:2" ht="12.75" customHeight="1" x14ac:dyDescent="0.2">
      <c r="B44096" s="43"/>
    </row>
    <row r="44097" spans="2:2" ht="12.75" customHeight="1" x14ac:dyDescent="0.2">
      <c r="B44097" s="43"/>
    </row>
    <row r="44098" spans="2:2" ht="12.75" customHeight="1" x14ac:dyDescent="0.2">
      <c r="B44098" s="43"/>
    </row>
    <row r="44099" spans="2:2" ht="12.75" customHeight="1" x14ac:dyDescent="0.2">
      <c r="B44099" s="43"/>
    </row>
    <row r="44100" spans="2:2" ht="12.75" customHeight="1" x14ac:dyDescent="0.2">
      <c r="B44100" s="43"/>
    </row>
    <row r="44101" spans="2:2" ht="12.75" customHeight="1" x14ac:dyDescent="0.2">
      <c r="B44101" s="43"/>
    </row>
    <row r="44102" spans="2:2" ht="12.75" customHeight="1" x14ac:dyDescent="0.2">
      <c r="B44102" s="43"/>
    </row>
    <row r="44103" spans="2:2" ht="12.75" customHeight="1" x14ac:dyDescent="0.2">
      <c r="B44103" s="43"/>
    </row>
    <row r="44104" spans="2:2" ht="12.75" customHeight="1" x14ac:dyDescent="0.2">
      <c r="B44104" s="43"/>
    </row>
    <row r="44105" spans="2:2" ht="12.75" customHeight="1" x14ac:dyDescent="0.2">
      <c r="B44105" s="43"/>
    </row>
    <row r="44106" spans="2:2" ht="12.75" customHeight="1" x14ac:dyDescent="0.2">
      <c r="B44106" s="43"/>
    </row>
    <row r="44107" spans="2:2" ht="12.75" customHeight="1" x14ac:dyDescent="0.2">
      <c r="B44107" s="43"/>
    </row>
    <row r="44108" spans="2:2" ht="12.75" customHeight="1" x14ac:dyDescent="0.2">
      <c r="B44108" s="43"/>
    </row>
    <row r="44109" spans="2:2" ht="12.75" customHeight="1" x14ac:dyDescent="0.2">
      <c r="B44109" s="43"/>
    </row>
    <row r="44110" spans="2:2" ht="12.75" customHeight="1" x14ac:dyDescent="0.2">
      <c r="B44110" s="43"/>
    </row>
    <row r="44111" spans="2:2" ht="12.75" customHeight="1" x14ac:dyDescent="0.2">
      <c r="B44111" s="43"/>
    </row>
    <row r="44112" spans="2:2" ht="12.75" customHeight="1" x14ac:dyDescent="0.2">
      <c r="B44112" s="43"/>
    </row>
    <row r="44113" spans="2:2" ht="12.75" customHeight="1" x14ac:dyDescent="0.2">
      <c r="B44113" s="43"/>
    </row>
    <row r="44114" spans="2:2" ht="12.75" customHeight="1" x14ac:dyDescent="0.2">
      <c r="B44114" s="43"/>
    </row>
    <row r="44115" spans="2:2" ht="12.75" customHeight="1" x14ac:dyDescent="0.2">
      <c r="B44115" s="43"/>
    </row>
    <row r="44116" spans="2:2" ht="12.75" customHeight="1" x14ac:dyDescent="0.2">
      <c r="B44116" s="43"/>
    </row>
    <row r="44117" spans="2:2" ht="12.75" customHeight="1" x14ac:dyDescent="0.2">
      <c r="B44117" s="43"/>
    </row>
    <row r="44118" spans="2:2" ht="12.75" customHeight="1" x14ac:dyDescent="0.2">
      <c r="B44118" s="43"/>
    </row>
    <row r="44119" spans="2:2" ht="12.75" customHeight="1" x14ac:dyDescent="0.2">
      <c r="B44119" s="43"/>
    </row>
    <row r="44120" spans="2:2" ht="12.75" customHeight="1" x14ac:dyDescent="0.2">
      <c r="B44120" s="43"/>
    </row>
    <row r="44121" spans="2:2" ht="12.75" customHeight="1" x14ac:dyDescent="0.2">
      <c r="B44121" s="43"/>
    </row>
    <row r="44122" spans="2:2" ht="12.75" customHeight="1" x14ac:dyDescent="0.2">
      <c r="B44122" s="43"/>
    </row>
    <row r="44123" spans="2:2" ht="12.75" customHeight="1" x14ac:dyDescent="0.2">
      <c r="B44123" s="43"/>
    </row>
    <row r="44124" spans="2:2" ht="12.75" customHeight="1" x14ac:dyDescent="0.2">
      <c r="B44124" s="43"/>
    </row>
    <row r="44125" spans="2:2" ht="12.75" customHeight="1" x14ac:dyDescent="0.2">
      <c r="B44125" s="43"/>
    </row>
    <row r="44126" spans="2:2" ht="12.75" customHeight="1" x14ac:dyDescent="0.2">
      <c r="B44126" s="43"/>
    </row>
    <row r="44127" spans="2:2" ht="12.75" customHeight="1" x14ac:dyDescent="0.2">
      <c r="B44127" s="43"/>
    </row>
    <row r="44128" spans="2:2" ht="12.75" customHeight="1" x14ac:dyDescent="0.2">
      <c r="B44128" s="43"/>
    </row>
    <row r="44129" spans="2:2" ht="12.75" customHeight="1" x14ac:dyDescent="0.2">
      <c r="B44129" s="43"/>
    </row>
    <row r="44130" spans="2:2" ht="12.75" customHeight="1" x14ac:dyDescent="0.2">
      <c r="B44130" s="43"/>
    </row>
    <row r="44131" spans="2:2" ht="12.75" customHeight="1" x14ac:dyDescent="0.2">
      <c r="B44131" s="43"/>
    </row>
    <row r="44132" spans="2:2" ht="12.75" customHeight="1" x14ac:dyDescent="0.2">
      <c r="B44132" s="43"/>
    </row>
    <row r="44133" spans="2:2" ht="12.75" customHeight="1" x14ac:dyDescent="0.2">
      <c r="B44133" s="43"/>
    </row>
    <row r="44134" spans="2:2" ht="12.75" customHeight="1" x14ac:dyDescent="0.2">
      <c r="B44134" s="43"/>
    </row>
    <row r="44135" spans="2:2" ht="12.75" customHeight="1" x14ac:dyDescent="0.2">
      <c r="B44135" s="43"/>
    </row>
    <row r="44136" spans="2:2" ht="12.75" customHeight="1" x14ac:dyDescent="0.2">
      <c r="B44136" s="43"/>
    </row>
    <row r="44137" spans="2:2" ht="12.75" customHeight="1" x14ac:dyDescent="0.2">
      <c r="B44137" s="43"/>
    </row>
    <row r="44138" spans="2:2" ht="12.75" customHeight="1" x14ac:dyDescent="0.2">
      <c r="B44138" s="43"/>
    </row>
    <row r="44139" spans="2:2" ht="12.75" customHeight="1" x14ac:dyDescent="0.2">
      <c r="B44139" s="43"/>
    </row>
    <row r="44140" spans="2:2" ht="12.75" customHeight="1" x14ac:dyDescent="0.2">
      <c r="B44140" s="43"/>
    </row>
    <row r="44141" spans="2:2" ht="12.75" customHeight="1" x14ac:dyDescent="0.2">
      <c r="B44141" s="43"/>
    </row>
    <row r="44142" spans="2:2" ht="12.75" customHeight="1" x14ac:dyDescent="0.2">
      <c r="B44142" s="43"/>
    </row>
    <row r="44143" spans="2:2" ht="12.75" customHeight="1" x14ac:dyDescent="0.2">
      <c r="B44143" s="43"/>
    </row>
    <row r="44144" spans="2:2" ht="12.75" customHeight="1" x14ac:dyDescent="0.2">
      <c r="B44144" s="43"/>
    </row>
    <row r="44145" spans="2:2" ht="12.75" customHeight="1" x14ac:dyDescent="0.2">
      <c r="B44145" s="43"/>
    </row>
    <row r="44146" spans="2:2" ht="12.75" customHeight="1" x14ac:dyDescent="0.2">
      <c r="B44146" s="43"/>
    </row>
    <row r="44147" spans="2:2" ht="12.75" customHeight="1" x14ac:dyDescent="0.2">
      <c r="B44147" s="43"/>
    </row>
    <row r="44148" spans="2:2" ht="12.75" customHeight="1" x14ac:dyDescent="0.2">
      <c r="B44148" s="43"/>
    </row>
    <row r="44149" spans="2:2" ht="12.75" customHeight="1" x14ac:dyDescent="0.2">
      <c r="B44149" s="43"/>
    </row>
    <row r="44150" spans="2:2" ht="12.75" customHeight="1" x14ac:dyDescent="0.2">
      <c r="B44150" s="43"/>
    </row>
    <row r="44151" spans="2:2" ht="12.75" customHeight="1" x14ac:dyDescent="0.2">
      <c r="B44151" s="43"/>
    </row>
    <row r="44152" spans="2:2" ht="12.75" customHeight="1" x14ac:dyDescent="0.2">
      <c r="B44152" s="43"/>
    </row>
    <row r="44153" spans="2:2" ht="12.75" customHeight="1" x14ac:dyDescent="0.2">
      <c r="B44153" s="43"/>
    </row>
    <row r="44154" spans="2:2" ht="12.75" customHeight="1" x14ac:dyDescent="0.2">
      <c r="B44154" s="43"/>
    </row>
    <row r="44155" spans="2:2" ht="12.75" customHeight="1" x14ac:dyDescent="0.2">
      <c r="B44155" s="43"/>
    </row>
    <row r="44156" spans="2:2" ht="12.75" customHeight="1" x14ac:dyDescent="0.2">
      <c r="B44156" s="43"/>
    </row>
    <row r="44157" spans="2:2" ht="12.75" customHeight="1" x14ac:dyDescent="0.2">
      <c r="B44157" s="43"/>
    </row>
    <row r="44158" spans="2:2" ht="12.75" customHeight="1" x14ac:dyDescent="0.2">
      <c r="B44158" s="43"/>
    </row>
    <row r="44159" spans="2:2" ht="12.75" customHeight="1" x14ac:dyDescent="0.2">
      <c r="B44159" s="43"/>
    </row>
    <row r="44160" spans="2:2" ht="12.75" customHeight="1" x14ac:dyDescent="0.2">
      <c r="B44160" s="43"/>
    </row>
    <row r="44161" spans="2:2" ht="12.75" customHeight="1" x14ac:dyDescent="0.2">
      <c r="B44161" s="43"/>
    </row>
    <row r="44162" spans="2:2" ht="12.75" customHeight="1" x14ac:dyDescent="0.2">
      <c r="B44162" s="43"/>
    </row>
    <row r="44163" spans="2:2" ht="12.75" customHeight="1" x14ac:dyDescent="0.2">
      <c r="B44163" s="43"/>
    </row>
    <row r="44164" spans="2:2" ht="12.75" customHeight="1" x14ac:dyDescent="0.2">
      <c r="B44164" s="43"/>
    </row>
    <row r="44165" spans="2:2" ht="12.75" customHeight="1" x14ac:dyDescent="0.2">
      <c r="B44165" s="43"/>
    </row>
    <row r="44166" spans="2:2" ht="12.75" customHeight="1" x14ac:dyDescent="0.2">
      <c r="B44166" s="43"/>
    </row>
    <row r="44167" spans="2:2" ht="12.75" customHeight="1" x14ac:dyDescent="0.2">
      <c r="B44167" s="43"/>
    </row>
    <row r="44168" spans="2:2" ht="12.75" customHeight="1" x14ac:dyDescent="0.2">
      <c r="B44168" s="43"/>
    </row>
    <row r="44169" spans="2:2" ht="12.75" customHeight="1" x14ac:dyDescent="0.2">
      <c r="B44169" s="43"/>
    </row>
    <row r="44170" spans="2:2" ht="12.75" customHeight="1" x14ac:dyDescent="0.2">
      <c r="B44170" s="43"/>
    </row>
    <row r="44171" spans="2:2" ht="12.75" customHeight="1" x14ac:dyDescent="0.2">
      <c r="B44171" s="43"/>
    </row>
    <row r="44172" spans="2:2" ht="12.75" customHeight="1" x14ac:dyDescent="0.2">
      <c r="B44172" s="43"/>
    </row>
    <row r="44173" spans="2:2" ht="12.75" customHeight="1" x14ac:dyDescent="0.2">
      <c r="B44173" s="43"/>
    </row>
    <row r="44174" spans="2:2" ht="12.75" customHeight="1" x14ac:dyDescent="0.2">
      <c r="B44174" s="43"/>
    </row>
    <row r="44175" spans="2:2" ht="12.75" customHeight="1" x14ac:dyDescent="0.2">
      <c r="B44175" s="43"/>
    </row>
    <row r="44176" spans="2:2" ht="12.75" customHeight="1" x14ac:dyDescent="0.2">
      <c r="B44176" s="43"/>
    </row>
    <row r="44177" spans="2:2" ht="12.75" customHeight="1" x14ac:dyDescent="0.2">
      <c r="B44177" s="43"/>
    </row>
    <row r="44178" spans="2:2" ht="12.75" customHeight="1" x14ac:dyDescent="0.2">
      <c r="B44178" s="43"/>
    </row>
    <row r="44179" spans="2:2" ht="12.75" customHeight="1" x14ac:dyDescent="0.2">
      <c r="B44179" s="43"/>
    </row>
    <row r="44180" spans="2:2" ht="12.75" customHeight="1" x14ac:dyDescent="0.2">
      <c r="B44180" s="43"/>
    </row>
    <row r="44181" spans="2:2" ht="12.75" customHeight="1" x14ac:dyDescent="0.2">
      <c r="B44181" s="43"/>
    </row>
    <row r="44182" spans="2:2" ht="12.75" customHeight="1" x14ac:dyDescent="0.2">
      <c r="B44182" s="43"/>
    </row>
    <row r="44183" spans="2:2" ht="12.75" customHeight="1" x14ac:dyDescent="0.2">
      <c r="B44183" s="43"/>
    </row>
    <row r="44184" spans="2:2" ht="12.75" customHeight="1" x14ac:dyDescent="0.2">
      <c r="B44184" s="43"/>
    </row>
    <row r="44185" spans="2:2" ht="12.75" customHeight="1" x14ac:dyDescent="0.2">
      <c r="B44185" s="43"/>
    </row>
    <row r="44186" spans="2:2" ht="12.75" customHeight="1" x14ac:dyDescent="0.2">
      <c r="B44186" s="43"/>
    </row>
    <row r="44187" spans="2:2" ht="12.75" customHeight="1" x14ac:dyDescent="0.2">
      <c r="B44187" s="43"/>
    </row>
    <row r="44188" spans="2:2" ht="12.75" customHeight="1" x14ac:dyDescent="0.2">
      <c r="B44188" s="43"/>
    </row>
    <row r="44189" spans="2:2" ht="12.75" customHeight="1" x14ac:dyDescent="0.2">
      <c r="B44189" s="43"/>
    </row>
    <row r="44190" spans="2:2" ht="12.75" customHeight="1" x14ac:dyDescent="0.2">
      <c r="B44190" s="43"/>
    </row>
    <row r="44191" spans="2:2" ht="12.75" customHeight="1" x14ac:dyDescent="0.2">
      <c r="B44191" s="43"/>
    </row>
    <row r="44192" spans="2:2" ht="12.75" customHeight="1" x14ac:dyDescent="0.2">
      <c r="B44192" s="43"/>
    </row>
    <row r="44193" spans="2:2" ht="12.75" customHeight="1" x14ac:dyDescent="0.2">
      <c r="B44193" s="43"/>
    </row>
    <row r="44194" spans="2:2" ht="12.75" customHeight="1" x14ac:dyDescent="0.2">
      <c r="B44194" s="43"/>
    </row>
    <row r="44195" spans="2:2" ht="12.75" customHeight="1" x14ac:dyDescent="0.2">
      <c r="B44195" s="43"/>
    </row>
    <row r="44196" spans="2:2" ht="12.75" customHeight="1" x14ac:dyDescent="0.2">
      <c r="B44196" s="43"/>
    </row>
    <row r="44197" spans="2:2" ht="12.75" customHeight="1" x14ac:dyDescent="0.2">
      <c r="B44197" s="43"/>
    </row>
    <row r="44198" spans="2:2" ht="12.75" customHeight="1" x14ac:dyDescent="0.2">
      <c r="B44198" s="43"/>
    </row>
    <row r="44199" spans="2:2" ht="12.75" customHeight="1" x14ac:dyDescent="0.2">
      <c r="B44199" s="43"/>
    </row>
    <row r="44200" spans="2:2" ht="12.75" customHeight="1" x14ac:dyDescent="0.2">
      <c r="B44200" s="43"/>
    </row>
    <row r="44201" spans="2:2" ht="12.75" customHeight="1" x14ac:dyDescent="0.2">
      <c r="B44201" s="43"/>
    </row>
    <row r="44202" spans="2:2" ht="12.75" customHeight="1" x14ac:dyDescent="0.2">
      <c r="B44202" s="43"/>
    </row>
    <row r="44203" spans="2:2" ht="12.75" customHeight="1" x14ac:dyDescent="0.2">
      <c r="B44203" s="43"/>
    </row>
    <row r="44204" spans="2:2" ht="12.75" customHeight="1" x14ac:dyDescent="0.2">
      <c r="B44204" s="43"/>
    </row>
    <row r="44205" spans="2:2" ht="12.75" customHeight="1" x14ac:dyDescent="0.2">
      <c r="B44205" s="43"/>
    </row>
    <row r="44206" spans="2:2" ht="12.75" customHeight="1" x14ac:dyDescent="0.2">
      <c r="B44206" s="43"/>
    </row>
    <row r="44207" spans="2:2" ht="12.75" customHeight="1" x14ac:dyDescent="0.2">
      <c r="B44207" s="43"/>
    </row>
    <row r="44208" spans="2:2" ht="12.75" customHeight="1" x14ac:dyDescent="0.2">
      <c r="B44208" s="43"/>
    </row>
    <row r="44209" spans="2:2" ht="12.75" customHeight="1" x14ac:dyDescent="0.2">
      <c r="B44209" s="43"/>
    </row>
    <row r="44210" spans="2:2" ht="12.75" customHeight="1" x14ac:dyDescent="0.2">
      <c r="B44210" s="43"/>
    </row>
    <row r="44211" spans="2:2" ht="12.75" customHeight="1" x14ac:dyDescent="0.2">
      <c r="B44211" s="43"/>
    </row>
    <row r="44212" spans="2:2" ht="12.75" customHeight="1" x14ac:dyDescent="0.2">
      <c r="B44212" s="43"/>
    </row>
    <row r="44213" spans="2:2" ht="12.75" customHeight="1" x14ac:dyDescent="0.2">
      <c r="B44213" s="43"/>
    </row>
    <row r="44214" spans="2:2" ht="12.75" customHeight="1" x14ac:dyDescent="0.2">
      <c r="B44214" s="43"/>
    </row>
    <row r="44215" spans="2:2" ht="12.75" customHeight="1" x14ac:dyDescent="0.2">
      <c r="B44215" s="43"/>
    </row>
    <row r="44216" spans="2:2" ht="12.75" customHeight="1" x14ac:dyDescent="0.2">
      <c r="B44216" s="43"/>
    </row>
    <row r="44217" spans="2:2" ht="12.75" customHeight="1" x14ac:dyDescent="0.2">
      <c r="B44217" s="43"/>
    </row>
    <row r="44218" spans="2:2" ht="12.75" customHeight="1" x14ac:dyDescent="0.2">
      <c r="B44218" s="43"/>
    </row>
    <row r="44219" spans="2:2" ht="12.75" customHeight="1" x14ac:dyDescent="0.2">
      <c r="B44219" s="43"/>
    </row>
    <row r="44220" spans="2:2" ht="12.75" customHeight="1" x14ac:dyDescent="0.2">
      <c r="B44220" s="43"/>
    </row>
    <row r="44221" spans="2:2" ht="12.75" customHeight="1" x14ac:dyDescent="0.2">
      <c r="B44221" s="43"/>
    </row>
    <row r="44222" spans="2:2" ht="12.75" customHeight="1" x14ac:dyDescent="0.2">
      <c r="B44222" s="43"/>
    </row>
    <row r="44223" spans="2:2" ht="12.75" customHeight="1" x14ac:dyDescent="0.2">
      <c r="B44223" s="43"/>
    </row>
    <row r="44224" spans="2:2" ht="12.75" customHeight="1" x14ac:dyDescent="0.2">
      <c r="B44224" s="43"/>
    </row>
    <row r="44225" spans="2:2" ht="12.75" customHeight="1" x14ac:dyDescent="0.2">
      <c r="B44225" s="43"/>
    </row>
    <row r="44226" spans="2:2" ht="12.75" customHeight="1" x14ac:dyDescent="0.2">
      <c r="B44226" s="43"/>
    </row>
    <row r="44227" spans="2:2" ht="12.75" customHeight="1" x14ac:dyDescent="0.2">
      <c r="B44227" s="43"/>
    </row>
    <row r="44228" spans="2:2" ht="12.75" customHeight="1" x14ac:dyDescent="0.2">
      <c r="B44228" s="43"/>
    </row>
    <row r="44229" spans="2:2" ht="12.75" customHeight="1" x14ac:dyDescent="0.2">
      <c r="B44229" s="43"/>
    </row>
    <row r="44230" spans="2:2" ht="12.75" customHeight="1" x14ac:dyDescent="0.2">
      <c r="B44230" s="43"/>
    </row>
    <row r="44231" spans="2:2" ht="12.75" customHeight="1" x14ac:dyDescent="0.2">
      <c r="B44231" s="43"/>
    </row>
    <row r="44232" spans="2:2" ht="12.75" customHeight="1" x14ac:dyDescent="0.2">
      <c r="B44232" s="43"/>
    </row>
    <row r="44233" spans="2:2" ht="12.75" customHeight="1" x14ac:dyDescent="0.2">
      <c r="B44233" s="43"/>
    </row>
    <row r="44234" spans="2:2" ht="12.75" customHeight="1" x14ac:dyDescent="0.2">
      <c r="B44234" s="43"/>
    </row>
    <row r="44235" spans="2:2" ht="12.75" customHeight="1" x14ac:dyDescent="0.2">
      <c r="B44235" s="43"/>
    </row>
    <row r="44236" spans="2:2" ht="12.75" customHeight="1" x14ac:dyDescent="0.2">
      <c r="B44236" s="43"/>
    </row>
    <row r="44237" spans="2:2" ht="12.75" customHeight="1" x14ac:dyDescent="0.2">
      <c r="B44237" s="43"/>
    </row>
    <row r="44238" spans="2:2" ht="12.75" customHeight="1" x14ac:dyDescent="0.2">
      <c r="B44238" s="43"/>
    </row>
    <row r="44239" spans="2:2" ht="12.75" customHeight="1" x14ac:dyDescent="0.2">
      <c r="B44239" s="43"/>
    </row>
    <row r="44240" spans="2:2" ht="12.75" customHeight="1" x14ac:dyDescent="0.2">
      <c r="B44240" s="43"/>
    </row>
    <row r="44241" spans="2:2" ht="12.75" customHeight="1" x14ac:dyDescent="0.2">
      <c r="B44241" s="43"/>
    </row>
    <row r="44242" spans="2:2" ht="12.75" customHeight="1" x14ac:dyDescent="0.2">
      <c r="B44242" s="43"/>
    </row>
    <row r="44243" spans="2:2" ht="12.75" customHeight="1" x14ac:dyDescent="0.2">
      <c r="B44243" s="43"/>
    </row>
    <row r="44244" spans="2:2" ht="12.75" customHeight="1" x14ac:dyDescent="0.2">
      <c r="B44244" s="43"/>
    </row>
    <row r="44245" spans="2:2" ht="12.75" customHeight="1" x14ac:dyDescent="0.2">
      <c r="B44245" s="43"/>
    </row>
    <row r="44246" spans="2:2" ht="12.75" customHeight="1" x14ac:dyDescent="0.2">
      <c r="B44246" s="43"/>
    </row>
    <row r="44247" spans="2:2" ht="12.75" customHeight="1" x14ac:dyDescent="0.2">
      <c r="B44247" s="43"/>
    </row>
    <row r="44248" spans="2:2" ht="12.75" customHeight="1" x14ac:dyDescent="0.2">
      <c r="B44248" s="43"/>
    </row>
    <row r="44249" spans="2:2" ht="12.75" customHeight="1" x14ac:dyDescent="0.2">
      <c r="B44249" s="43"/>
    </row>
    <row r="44250" spans="2:2" ht="12.75" customHeight="1" x14ac:dyDescent="0.2">
      <c r="B44250" s="43"/>
    </row>
    <row r="44251" spans="2:2" ht="12.75" customHeight="1" x14ac:dyDescent="0.2">
      <c r="B44251" s="43"/>
    </row>
    <row r="44252" spans="2:2" ht="12.75" customHeight="1" x14ac:dyDescent="0.2">
      <c r="B44252" s="43"/>
    </row>
    <row r="44253" spans="2:2" ht="12.75" customHeight="1" x14ac:dyDescent="0.2">
      <c r="B44253" s="43"/>
    </row>
    <row r="44254" spans="2:2" ht="12.75" customHeight="1" x14ac:dyDescent="0.2">
      <c r="B44254" s="43"/>
    </row>
    <row r="44255" spans="2:2" ht="12.75" customHeight="1" x14ac:dyDescent="0.2">
      <c r="B44255" s="43"/>
    </row>
    <row r="44256" spans="2:2" ht="12.75" customHeight="1" x14ac:dyDescent="0.2">
      <c r="B44256" s="43"/>
    </row>
    <row r="44257" spans="2:2" ht="12.75" customHeight="1" x14ac:dyDescent="0.2">
      <c r="B44257" s="43"/>
    </row>
    <row r="44258" spans="2:2" ht="12.75" customHeight="1" x14ac:dyDescent="0.2">
      <c r="B44258" s="43"/>
    </row>
    <row r="44259" spans="2:2" ht="12.75" customHeight="1" x14ac:dyDescent="0.2">
      <c r="B44259" s="43"/>
    </row>
    <row r="44260" spans="2:2" ht="12.75" customHeight="1" x14ac:dyDescent="0.2">
      <c r="B44260" s="43"/>
    </row>
    <row r="44261" spans="2:2" ht="12.75" customHeight="1" x14ac:dyDescent="0.2">
      <c r="B44261" s="43"/>
    </row>
    <row r="44262" spans="2:2" ht="12.75" customHeight="1" x14ac:dyDescent="0.2">
      <c r="B44262" s="43"/>
    </row>
    <row r="44263" spans="2:2" ht="12.75" customHeight="1" x14ac:dyDescent="0.2">
      <c r="B44263" s="43"/>
    </row>
    <row r="44264" spans="2:2" ht="12.75" customHeight="1" x14ac:dyDescent="0.2">
      <c r="B44264" s="43"/>
    </row>
    <row r="44265" spans="2:2" ht="12.75" customHeight="1" x14ac:dyDescent="0.2">
      <c r="B44265" s="43"/>
    </row>
    <row r="44266" spans="2:2" ht="12.75" customHeight="1" x14ac:dyDescent="0.2">
      <c r="B44266" s="43"/>
    </row>
    <row r="44267" spans="2:2" ht="12.75" customHeight="1" x14ac:dyDescent="0.2">
      <c r="B44267" s="43"/>
    </row>
    <row r="44268" spans="2:2" ht="12.75" customHeight="1" x14ac:dyDescent="0.2">
      <c r="B44268" s="43"/>
    </row>
    <row r="44269" spans="2:2" ht="12.75" customHeight="1" x14ac:dyDescent="0.2">
      <c r="B44269" s="43"/>
    </row>
    <row r="44270" spans="2:2" ht="12.75" customHeight="1" x14ac:dyDescent="0.2">
      <c r="B44270" s="43"/>
    </row>
    <row r="44271" spans="2:2" ht="12.75" customHeight="1" x14ac:dyDescent="0.2">
      <c r="B44271" s="43"/>
    </row>
    <row r="44272" spans="2:2" ht="12.75" customHeight="1" x14ac:dyDescent="0.2">
      <c r="B44272" s="43"/>
    </row>
    <row r="44273" spans="2:2" ht="12.75" customHeight="1" x14ac:dyDescent="0.2">
      <c r="B44273" s="43"/>
    </row>
    <row r="44274" spans="2:2" ht="12.75" customHeight="1" x14ac:dyDescent="0.2">
      <c r="B44274" s="43"/>
    </row>
    <row r="44275" spans="2:2" ht="12.75" customHeight="1" x14ac:dyDescent="0.2">
      <c r="B44275" s="43"/>
    </row>
    <row r="44276" spans="2:2" ht="12.75" customHeight="1" x14ac:dyDescent="0.2">
      <c r="B44276" s="43"/>
    </row>
    <row r="44277" spans="2:2" ht="12.75" customHeight="1" x14ac:dyDescent="0.2">
      <c r="B44277" s="43"/>
    </row>
    <row r="44278" spans="2:2" ht="12.75" customHeight="1" x14ac:dyDescent="0.2">
      <c r="B44278" s="43"/>
    </row>
    <row r="44279" spans="2:2" ht="12.75" customHeight="1" x14ac:dyDescent="0.2">
      <c r="B44279" s="43"/>
    </row>
    <row r="44280" spans="2:2" ht="12.75" customHeight="1" x14ac:dyDescent="0.2">
      <c r="B44280" s="43"/>
    </row>
    <row r="44281" spans="2:2" ht="12.75" customHeight="1" x14ac:dyDescent="0.2">
      <c r="B44281" s="43"/>
    </row>
    <row r="44282" spans="2:2" ht="12.75" customHeight="1" x14ac:dyDescent="0.2">
      <c r="B44282" s="43"/>
    </row>
    <row r="44283" spans="2:2" ht="12.75" customHeight="1" x14ac:dyDescent="0.2">
      <c r="B44283" s="43"/>
    </row>
    <row r="44284" spans="2:2" ht="12.75" customHeight="1" x14ac:dyDescent="0.2">
      <c r="B44284" s="43"/>
    </row>
    <row r="44285" spans="2:2" ht="12.75" customHeight="1" x14ac:dyDescent="0.2">
      <c r="B44285" s="43"/>
    </row>
    <row r="44286" spans="2:2" ht="12.75" customHeight="1" x14ac:dyDescent="0.2">
      <c r="B44286" s="43"/>
    </row>
    <row r="44287" spans="2:2" ht="12.75" customHeight="1" x14ac:dyDescent="0.2">
      <c r="B44287" s="43"/>
    </row>
    <row r="44288" spans="2:2" ht="12.75" customHeight="1" x14ac:dyDescent="0.2">
      <c r="B44288" s="43"/>
    </row>
    <row r="44289" spans="2:2" ht="12.75" customHeight="1" x14ac:dyDescent="0.2">
      <c r="B44289" s="43"/>
    </row>
    <row r="44290" spans="2:2" ht="12.75" customHeight="1" x14ac:dyDescent="0.2">
      <c r="B44290" s="43"/>
    </row>
    <row r="44291" spans="2:2" ht="12.75" customHeight="1" x14ac:dyDescent="0.2">
      <c r="B44291" s="43"/>
    </row>
    <row r="44292" spans="2:2" ht="12.75" customHeight="1" x14ac:dyDescent="0.2">
      <c r="B44292" s="43"/>
    </row>
    <row r="44293" spans="2:2" ht="12.75" customHeight="1" x14ac:dyDescent="0.2">
      <c r="B44293" s="43"/>
    </row>
    <row r="44294" spans="2:2" ht="12.75" customHeight="1" x14ac:dyDescent="0.2">
      <c r="B44294" s="43"/>
    </row>
    <row r="44295" spans="2:2" ht="12.75" customHeight="1" x14ac:dyDescent="0.2">
      <c r="B44295" s="43"/>
    </row>
    <row r="44296" spans="2:2" ht="12.75" customHeight="1" x14ac:dyDescent="0.2">
      <c r="B44296" s="43"/>
    </row>
    <row r="44297" spans="2:2" ht="12.75" customHeight="1" x14ac:dyDescent="0.2">
      <c r="B44297" s="43"/>
    </row>
    <row r="44298" spans="2:2" ht="12.75" customHeight="1" x14ac:dyDescent="0.2">
      <c r="B44298" s="43"/>
    </row>
    <row r="44299" spans="2:2" ht="12.75" customHeight="1" x14ac:dyDescent="0.2">
      <c r="B44299" s="43"/>
    </row>
    <row r="44300" spans="2:2" ht="12.75" customHeight="1" x14ac:dyDescent="0.2">
      <c r="B44300" s="43"/>
    </row>
    <row r="44301" spans="2:2" ht="12.75" customHeight="1" x14ac:dyDescent="0.2">
      <c r="B44301" s="43"/>
    </row>
    <row r="44302" spans="2:2" ht="12.75" customHeight="1" x14ac:dyDescent="0.2">
      <c r="B44302" s="43"/>
    </row>
    <row r="44303" spans="2:2" ht="12.75" customHeight="1" x14ac:dyDescent="0.2">
      <c r="B44303" s="43"/>
    </row>
    <row r="44304" spans="2:2" ht="12.75" customHeight="1" x14ac:dyDescent="0.2">
      <c r="B44304" s="43"/>
    </row>
    <row r="44305" spans="2:2" ht="12.75" customHeight="1" x14ac:dyDescent="0.2">
      <c r="B44305" s="43"/>
    </row>
    <row r="44306" spans="2:2" ht="12.75" customHeight="1" x14ac:dyDescent="0.2">
      <c r="B44306" s="43"/>
    </row>
    <row r="44307" spans="2:2" ht="12.75" customHeight="1" x14ac:dyDescent="0.2">
      <c r="B44307" s="43"/>
    </row>
    <row r="44308" spans="2:2" ht="12.75" customHeight="1" x14ac:dyDescent="0.2">
      <c r="B44308" s="43"/>
    </row>
    <row r="44309" spans="2:2" ht="12.75" customHeight="1" x14ac:dyDescent="0.2">
      <c r="B44309" s="43"/>
    </row>
    <row r="44310" spans="2:2" ht="12.75" customHeight="1" x14ac:dyDescent="0.2">
      <c r="B44310" s="43"/>
    </row>
    <row r="44311" spans="2:2" ht="12.75" customHeight="1" x14ac:dyDescent="0.2">
      <c r="B44311" s="43"/>
    </row>
    <row r="44312" spans="2:2" ht="12.75" customHeight="1" x14ac:dyDescent="0.2">
      <c r="B44312" s="43"/>
    </row>
    <row r="44313" spans="2:2" ht="12.75" customHeight="1" x14ac:dyDescent="0.2">
      <c r="B44313" s="43"/>
    </row>
    <row r="44314" spans="2:2" ht="12.75" customHeight="1" x14ac:dyDescent="0.2">
      <c r="B44314" s="43"/>
    </row>
    <row r="44315" spans="2:2" ht="12.75" customHeight="1" x14ac:dyDescent="0.2">
      <c r="B44315" s="43"/>
    </row>
    <row r="44316" spans="2:2" ht="12.75" customHeight="1" x14ac:dyDescent="0.2">
      <c r="B44316" s="43"/>
    </row>
    <row r="44317" spans="2:2" ht="12.75" customHeight="1" x14ac:dyDescent="0.2">
      <c r="B44317" s="43"/>
    </row>
    <row r="44318" spans="2:2" ht="12.75" customHeight="1" x14ac:dyDescent="0.2">
      <c r="B44318" s="43"/>
    </row>
    <row r="44319" spans="2:2" ht="12.75" customHeight="1" x14ac:dyDescent="0.2">
      <c r="B44319" s="43"/>
    </row>
    <row r="44320" spans="2:2" ht="12.75" customHeight="1" x14ac:dyDescent="0.2">
      <c r="B44320" s="43"/>
    </row>
    <row r="44321" spans="2:2" ht="12.75" customHeight="1" x14ac:dyDescent="0.2">
      <c r="B44321" s="43"/>
    </row>
    <row r="44322" spans="2:2" ht="12.75" customHeight="1" x14ac:dyDescent="0.2">
      <c r="B44322" s="43"/>
    </row>
    <row r="44323" spans="2:2" ht="12.75" customHeight="1" x14ac:dyDescent="0.2">
      <c r="B44323" s="43"/>
    </row>
    <row r="44324" spans="2:2" ht="12.75" customHeight="1" x14ac:dyDescent="0.2">
      <c r="B44324" s="43"/>
    </row>
    <row r="44325" spans="2:2" ht="12.75" customHeight="1" x14ac:dyDescent="0.2">
      <c r="B44325" s="43"/>
    </row>
    <row r="44326" spans="2:2" ht="12.75" customHeight="1" x14ac:dyDescent="0.2">
      <c r="B44326" s="43"/>
    </row>
    <row r="44327" spans="2:2" ht="12.75" customHeight="1" x14ac:dyDescent="0.2">
      <c r="B44327" s="43"/>
    </row>
    <row r="44328" spans="2:2" ht="12.75" customHeight="1" x14ac:dyDescent="0.2">
      <c r="B44328" s="43"/>
    </row>
    <row r="44329" spans="2:2" ht="12.75" customHeight="1" x14ac:dyDescent="0.2">
      <c r="B44329" s="43"/>
    </row>
    <row r="44330" spans="2:2" ht="12.75" customHeight="1" x14ac:dyDescent="0.2">
      <c r="B44330" s="43"/>
    </row>
    <row r="44331" spans="2:2" ht="12.75" customHeight="1" x14ac:dyDescent="0.2">
      <c r="B44331" s="43"/>
    </row>
    <row r="44332" spans="2:2" ht="12.75" customHeight="1" x14ac:dyDescent="0.2">
      <c r="B44332" s="43"/>
    </row>
    <row r="44333" spans="2:2" ht="12.75" customHeight="1" x14ac:dyDescent="0.2">
      <c r="B44333" s="43"/>
    </row>
    <row r="44334" spans="2:2" ht="12.75" customHeight="1" x14ac:dyDescent="0.2">
      <c r="B44334" s="43"/>
    </row>
    <row r="44335" spans="2:2" ht="12.75" customHeight="1" x14ac:dyDescent="0.2">
      <c r="B44335" s="43"/>
    </row>
    <row r="44336" spans="2:2" ht="12.75" customHeight="1" x14ac:dyDescent="0.2">
      <c r="B44336" s="43"/>
    </row>
    <row r="44337" spans="2:2" ht="12.75" customHeight="1" x14ac:dyDescent="0.2">
      <c r="B44337" s="43"/>
    </row>
    <row r="44338" spans="2:2" ht="12.75" customHeight="1" x14ac:dyDescent="0.2">
      <c r="B44338" s="43"/>
    </row>
    <row r="44339" spans="2:2" ht="12.75" customHeight="1" x14ac:dyDescent="0.2">
      <c r="B44339" s="43"/>
    </row>
    <row r="44340" spans="2:2" ht="12.75" customHeight="1" x14ac:dyDescent="0.2">
      <c r="B44340" s="43"/>
    </row>
    <row r="44341" spans="2:2" ht="12.75" customHeight="1" x14ac:dyDescent="0.2">
      <c r="B44341" s="43"/>
    </row>
    <row r="44342" spans="2:2" ht="12.75" customHeight="1" x14ac:dyDescent="0.2">
      <c r="B44342" s="43"/>
    </row>
    <row r="44343" spans="2:2" ht="12.75" customHeight="1" x14ac:dyDescent="0.2">
      <c r="B44343" s="43"/>
    </row>
    <row r="44344" spans="2:2" ht="12.75" customHeight="1" x14ac:dyDescent="0.2">
      <c r="B44344" s="43"/>
    </row>
    <row r="44345" spans="2:2" ht="12.75" customHeight="1" x14ac:dyDescent="0.2">
      <c r="B44345" s="43"/>
    </row>
    <row r="44346" spans="2:2" ht="12.75" customHeight="1" x14ac:dyDescent="0.2">
      <c r="B44346" s="43"/>
    </row>
    <row r="44347" spans="2:2" ht="12.75" customHeight="1" x14ac:dyDescent="0.2">
      <c r="B44347" s="43"/>
    </row>
    <row r="44348" spans="2:2" ht="12.75" customHeight="1" x14ac:dyDescent="0.2">
      <c r="B44348" s="43"/>
    </row>
    <row r="44349" spans="2:2" ht="12.75" customHeight="1" x14ac:dyDescent="0.2">
      <c r="B44349" s="43"/>
    </row>
    <row r="44350" spans="2:2" ht="12.75" customHeight="1" x14ac:dyDescent="0.2">
      <c r="B44350" s="43"/>
    </row>
    <row r="44351" spans="2:2" ht="12.75" customHeight="1" x14ac:dyDescent="0.2">
      <c r="B44351" s="43"/>
    </row>
    <row r="44352" spans="2:2" ht="12.75" customHeight="1" x14ac:dyDescent="0.2">
      <c r="B44352" s="43"/>
    </row>
    <row r="44353" spans="2:2" ht="12.75" customHeight="1" x14ac:dyDescent="0.2">
      <c r="B44353" s="43"/>
    </row>
    <row r="44354" spans="2:2" ht="12.75" customHeight="1" x14ac:dyDescent="0.2">
      <c r="B44354" s="43"/>
    </row>
    <row r="44355" spans="2:2" ht="12.75" customHeight="1" x14ac:dyDescent="0.2">
      <c r="B44355" s="43"/>
    </row>
    <row r="44356" spans="2:2" ht="12.75" customHeight="1" x14ac:dyDescent="0.2">
      <c r="B44356" s="43"/>
    </row>
    <row r="44357" spans="2:2" ht="12.75" customHeight="1" x14ac:dyDescent="0.2">
      <c r="B44357" s="43"/>
    </row>
    <row r="44358" spans="2:2" ht="12.75" customHeight="1" x14ac:dyDescent="0.2">
      <c r="B44358" s="43"/>
    </row>
    <row r="44359" spans="2:2" ht="12.75" customHeight="1" x14ac:dyDescent="0.2">
      <c r="B44359" s="43"/>
    </row>
    <row r="44360" spans="2:2" ht="12.75" customHeight="1" x14ac:dyDescent="0.2">
      <c r="B44360" s="43"/>
    </row>
    <row r="44361" spans="2:2" ht="12.75" customHeight="1" x14ac:dyDescent="0.2">
      <c r="B44361" s="43"/>
    </row>
    <row r="44362" spans="2:2" ht="12.75" customHeight="1" x14ac:dyDescent="0.2">
      <c r="B44362" s="43"/>
    </row>
    <row r="44363" spans="2:2" ht="12.75" customHeight="1" x14ac:dyDescent="0.2">
      <c r="B44363" s="43"/>
    </row>
    <row r="44364" spans="2:2" ht="12.75" customHeight="1" x14ac:dyDescent="0.2">
      <c r="B44364" s="43"/>
    </row>
    <row r="44365" spans="2:2" ht="12.75" customHeight="1" x14ac:dyDescent="0.2">
      <c r="B44365" s="43"/>
    </row>
    <row r="44366" spans="2:2" ht="12.75" customHeight="1" x14ac:dyDescent="0.2">
      <c r="B44366" s="43"/>
    </row>
    <row r="44367" spans="2:2" ht="12.75" customHeight="1" x14ac:dyDescent="0.2">
      <c r="B44367" s="43"/>
    </row>
    <row r="44368" spans="2:2" ht="12.75" customHeight="1" x14ac:dyDescent="0.2">
      <c r="B44368" s="43"/>
    </row>
    <row r="44369" spans="2:2" ht="12.75" customHeight="1" x14ac:dyDescent="0.2">
      <c r="B44369" s="43"/>
    </row>
    <row r="44370" spans="2:2" ht="12.75" customHeight="1" x14ac:dyDescent="0.2">
      <c r="B44370" s="43"/>
    </row>
    <row r="44371" spans="2:2" ht="12.75" customHeight="1" x14ac:dyDescent="0.2">
      <c r="B44371" s="43"/>
    </row>
    <row r="44372" spans="2:2" ht="12.75" customHeight="1" x14ac:dyDescent="0.2">
      <c r="B44372" s="43"/>
    </row>
    <row r="44373" spans="2:2" ht="12.75" customHeight="1" x14ac:dyDescent="0.2">
      <c r="B44373" s="43"/>
    </row>
    <row r="44374" spans="2:2" ht="12.75" customHeight="1" x14ac:dyDescent="0.2">
      <c r="B44374" s="43"/>
    </row>
    <row r="44375" spans="2:2" ht="12.75" customHeight="1" x14ac:dyDescent="0.2">
      <c r="B44375" s="43"/>
    </row>
    <row r="44376" spans="2:2" ht="12.75" customHeight="1" x14ac:dyDescent="0.2">
      <c r="B44376" s="43"/>
    </row>
    <row r="44377" spans="2:2" ht="12.75" customHeight="1" x14ac:dyDescent="0.2">
      <c r="B44377" s="43"/>
    </row>
    <row r="44378" spans="2:2" ht="12.75" customHeight="1" x14ac:dyDescent="0.2">
      <c r="B44378" s="43"/>
    </row>
    <row r="44379" spans="2:2" ht="12.75" customHeight="1" x14ac:dyDescent="0.2">
      <c r="B44379" s="43"/>
    </row>
    <row r="44380" spans="2:2" ht="12.75" customHeight="1" x14ac:dyDescent="0.2">
      <c r="B44380" s="43"/>
    </row>
    <row r="44381" spans="2:2" ht="12.75" customHeight="1" x14ac:dyDescent="0.2">
      <c r="B44381" s="43"/>
    </row>
    <row r="44382" spans="2:2" ht="12.75" customHeight="1" x14ac:dyDescent="0.2">
      <c r="B44382" s="43"/>
    </row>
    <row r="44383" spans="2:2" ht="12.75" customHeight="1" x14ac:dyDescent="0.2">
      <c r="B44383" s="43"/>
    </row>
    <row r="44384" spans="2:2" ht="12.75" customHeight="1" x14ac:dyDescent="0.2">
      <c r="B44384" s="43"/>
    </row>
    <row r="44385" spans="2:2" ht="12.75" customHeight="1" x14ac:dyDescent="0.2">
      <c r="B44385" s="43"/>
    </row>
    <row r="44386" spans="2:2" ht="12.75" customHeight="1" x14ac:dyDescent="0.2">
      <c r="B44386" s="43"/>
    </row>
    <row r="44387" spans="2:2" ht="12.75" customHeight="1" x14ac:dyDescent="0.2">
      <c r="B44387" s="43"/>
    </row>
    <row r="44388" spans="2:2" ht="12.75" customHeight="1" x14ac:dyDescent="0.2">
      <c r="B44388" s="43"/>
    </row>
    <row r="44389" spans="2:2" ht="12.75" customHeight="1" x14ac:dyDescent="0.2">
      <c r="B44389" s="43"/>
    </row>
    <row r="44390" spans="2:2" ht="12.75" customHeight="1" x14ac:dyDescent="0.2">
      <c r="B44390" s="43"/>
    </row>
    <row r="44391" spans="2:2" ht="12.75" customHeight="1" x14ac:dyDescent="0.2">
      <c r="B44391" s="43"/>
    </row>
    <row r="44392" spans="2:2" ht="12.75" customHeight="1" x14ac:dyDescent="0.2">
      <c r="B44392" s="43"/>
    </row>
    <row r="44393" spans="2:2" ht="12.75" customHeight="1" x14ac:dyDescent="0.2">
      <c r="B44393" s="43"/>
    </row>
    <row r="44394" spans="2:2" ht="12.75" customHeight="1" x14ac:dyDescent="0.2">
      <c r="B44394" s="43"/>
    </row>
    <row r="44395" spans="2:2" ht="12.75" customHeight="1" x14ac:dyDescent="0.2">
      <c r="B44395" s="43"/>
    </row>
    <row r="44396" spans="2:2" ht="12.75" customHeight="1" x14ac:dyDescent="0.2">
      <c r="B44396" s="43"/>
    </row>
    <row r="44397" spans="2:2" ht="12.75" customHeight="1" x14ac:dyDescent="0.2">
      <c r="B44397" s="43"/>
    </row>
    <row r="44398" spans="2:2" ht="12.75" customHeight="1" x14ac:dyDescent="0.2">
      <c r="B44398" s="43"/>
    </row>
    <row r="44399" spans="2:2" ht="12.75" customHeight="1" x14ac:dyDescent="0.2">
      <c r="B44399" s="43"/>
    </row>
    <row r="44400" spans="2:2" ht="12.75" customHeight="1" x14ac:dyDescent="0.2">
      <c r="B44400" s="43"/>
    </row>
    <row r="44401" spans="2:2" ht="12.75" customHeight="1" x14ac:dyDescent="0.2">
      <c r="B44401" s="43"/>
    </row>
    <row r="44402" spans="2:2" ht="12.75" customHeight="1" x14ac:dyDescent="0.2">
      <c r="B44402" s="43"/>
    </row>
    <row r="44403" spans="2:2" ht="12.75" customHeight="1" x14ac:dyDescent="0.2">
      <c r="B44403" s="43"/>
    </row>
    <row r="44404" spans="2:2" ht="12.75" customHeight="1" x14ac:dyDescent="0.2">
      <c r="B44404" s="43"/>
    </row>
    <row r="44405" spans="2:2" ht="12.75" customHeight="1" x14ac:dyDescent="0.2">
      <c r="B44405" s="43"/>
    </row>
    <row r="44406" spans="2:2" ht="12.75" customHeight="1" x14ac:dyDescent="0.2">
      <c r="B44406" s="43"/>
    </row>
    <row r="44407" spans="2:2" ht="12.75" customHeight="1" x14ac:dyDescent="0.2">
      <c r="B44407" s="43"/>
    </row>
    <row r="44408" spans="2:2" ht="12.75" customHeight="1" x14ac:dyDescent="0.2">
      <c r="B44408" s="43"/>
    </row>
    <row r="44409" spans="2:2" ht="12.75" customHeight="1" x14ac:dyDescent="0.2">
      <c r="B44409" s="43"/>
    </row>
    <row r="44410" spans="2:2" ht="12.75" customHeight="1" x14ac:dyDescent="0.2">
      <c r="B44410" s="43"/>
    </row>
    <row r="44411" spans="2:2" ht="12.75" customHeight="1" x14ac:dyDescent="0.2">
      <c r="B44411" s="43"/>
    </row>
    <row r="44412" spans="2:2" ht="12.75" customHeight="1" x14ac:dyDescent="0.2">
      <c r="B44412" s="43"/>
    </row>
    <row r="44413" spans="2:2" ht="12.75" customHeight="1" x14ac:dyDescent="0.2">
      <c r="B44413" s="43"/>
    </row>
    <row r="44414" spans="2:2" ht="12.75" customHeight="1" x14ac:dyDescent="0.2">
      <c r="B44414" s="43"/>
    </row>
    <row r="44415" spans="2:2" ht="12.75" customHeight="1" x14ac:dyDescent="0.2">
      <c r="B44415" s="43"/>
    </row>
    <row r="44416" spans="2:2" ht="12.75" customHeight="1" x14ac:dyDescent="0.2">
      <c r="B44416" s="43"/>
    </row>
    <row r="44417" spans="2:2" ht="12.75" customHeight="1" x14ac:dyDescent="0.2">
      <c r="B44417" s="43"/>
    </row>
    <row r="44418" spans="2:2" ht="12.75" customHeight="1" x14ac:dyDescent="0.2">
      <c r="B44418" s="43"/>
    </row>
    <row r="44419" spans="2:2" ht="12.75" customHeight="1" x14ac:dyDescent="0.2">
      <c r="B44419" s="43"/>
    </row>
    <row r="44420" spans="2:2" ht="12.75" customHeight="1" x14ac:dyDescent="0.2">
      <c r="B44420" s="43"/>
    </row>
    <row r="44421" spans="2:2" ht="12.75" customHeight="1" x14ac:dyDescent="0.2">
      <c r="B44421" s="43"/>
    </row>
    <row r="44422" spans="2:2" ht="12.75" customHeight="1" x14ac:dyDescent="0.2">
      <c r="B44422" s="43"/>
    </row>
    <row r="44423" spans="2:2" ht="12.75" customHeight="1" x14ac:dyDescent="0.2">
      <c r="B44423" s="43"/>
    </row>
    <row r="44424" spans="2:2" ht="12.75" customHeight="1" x14ac:dyDescent="0.2">
      <c r="B44424" s="43"/>
    </row>
    <row r="44425" spans="2:2" ht="12.75" customHeight="1" x14ac:dyDescent="0.2">
      <c r="B44425" s="43"/>
    </row>
    <row r="44426" spans="2:2" ht="12.75" customHeight="1" x14ac:dyDescent="0.2">
      <c r="B44426" s="43"/>
    </row>
    <row r="44427" spans="2:2" ht="12.75" customHeight="1" x14ac:dyDescent="0.2">
      <c r="B44427" s="43"/>
    </row>
    <row r="44428" spans="2:2" ht="12.75" customHeight="1" x14ac:dyDescent="0.2">
      <c r="B44428" s="43"/>
    </row>
    <row r="44429" spans="2:2" ht="12.75" customHeight="1" x14ac:dyDescent="0.2">
      <c r="B44429" s="43"/>
    </row>
    <row r="44430" spans="2:2" ht="12.75" customHeight="1" x14ac:dyDescent="0.2">
      <c r="B44430" s="43"/>
    </row>
    <row r="44431" spans="2:2" ht="12.75" customHeight="1" x14ac:dyDescent="0.2">
      <c r="B44431" s="43"/>
    </row>
    <row r="44432" spans="2:2" ht="12.75" customHeight="1" x14ac:dyDescent="0.2">
      <c r="B44432" s="43"/>
    </row>
    <row r="44433" spans="2:2" ht="12.75" customHeight="1" x14ac:dyDescent="0.2">
      <c r="B44433" s="43"/>
    </row>
    <row r="44434" spans="2:2" ht="12.75" customHeight="1" x14ac:dyDescent="0.2">
      <c r="B44434" s="43"/>
    </row>
    <row r="44435" spans="2:2" ht="12.75" customHeight="1" x14ac:dyDescent="0.2">
      <c r="B44435" s="43"/>
    </row>
    <row r="44436" spans="2:2" ht="12.75" customHeight="1" x14ac:dyDescent="0.2">
      <c r="B44436" s="43"/>
    </row>
    <row r="44437" spans="2:2" ht="12.75" customHeight="1" x14ac:dyDescent="0.2">
      <c r="B44437" s="43"/>
    </row>
    <row r="44438" spans="2:2" ht="12.75" customHeight="1" x14ac:dyDescent="0.2">
      <c r="B44438" s="43"/>
    </row>
    <row r="44439" spans="2:2" ht="12.75" customHeight="1" x14ac:dyDescent="0.2">
      <c r="B44439" s="43"/>
    </row>
    <row r="44440" spans="2:2" ht="12.75" customHeight="1" x14ac:dyDescent="0.2">
      <c r="B44440" s="43"/>
    </row>
    <row r="44441" spans="2:2" ht="12.75" customHeight="1" x14ac:dyDescent="0.2">
      <c r="B44441" s="43"/>
    </row>
    <row r="44442" spans="2:2" ht="12.75" customHeight="1" x14ac:dyDescent="0.2">
      <c r="B44442" s="43"/>
    </row>
    <row r="44443" spans="2:2" ht="12.75" customHeight="1" x14ac:dyDescent="0.2">
      <c r="B44443" s="43"/>
    </row>
    <row r="44444" spans="2:2" ht="12.75" customHeight="1" x14ac:dyDescent="0.2">
      <c r="B44444" s="43"/>
    </row>
    <row r="44445" spans="2:2" ht="12.75" customHeight="1" x14ac:dyDescent="0.2">
      <c r="B44445" s="43"/>
    </row>
    <row r="44446" spans="2:2" ht="12.75" customHeight="1" x14ac:dyDescent="0.2">
      <c r="B44446" s="43"/>
    </row>
    <row r="44447" spans="2:2" ht="12.75" customHeight="1" x14ac:dyDescent="0.2">
      <c r="B44447" s="43"/>
    </row>
    <row r="44448" spans="2:2" ht="12.75" customHeight="1" x14ac:dyDescent="0.2">
      <c r="B44448" s="43"/>
    </row>
    <row r="44449" spans="2:2" ht="12.75" customHeight="1" x14ac:dyDescent="0.2">
      <c r="B44449" s="43"/>
    </row>
    <row r="44450" spans="2:2" ht="12.75" customHeight="1" x14ac:dyDescent="0.2">
      <c r="B44450" s="43"/>
    </row>
    <row r="44451" spans="2:2" ht="12.75" customHeight="1" x14ac:dyDescent="0.2">
      <c r="B44451" s="43"/>
    </row>
    <row r="44452" spans="2:2" ht="12.75" customHeight="1" x14ac:dyDescent="0.2">
      <c r="B44452" s="43"/>
    </row>
    <row r="44453" spans="2:2" ht="12.75" customHeight="1" x14ac:dyDescent="0.2">
      <c r="B44453" s="43"/>
    </row>
    <row r="44454" spans="2:2" ht="12.75" customHeight="1" x14ac:dyDescent="0.2">
      <c r="B44454" s="43"/>
    </row>
    <row r="44455" spans="2:2" ht="12.75" customHeight="1" x14ac:dyDescent="0.2">
      <c r="B44455" s="43"/>
    </row>
    <row r="44456" spans="2:2" ht="12.75" customHeight="1" x14ac:dyDescent="0.2">
      <c r="B44456" s="43"/>
    </row>
    <row r="44457" spans="2:2" ht="12.75" customHeight="1" x14ac:dyDescent="0.2">
      <c r="B44457" s="43"/>
    </row>
    <row r="44458" spans="2:2" ht="12.75" customHeight="1" x14ac:dyDescent="0.2">
      <c r="B44458" s="43"/>
    </row>
    <row r="44459" spans="2:2" ht="12.75" customHeight="1" x14ac:dyDescent="0.2">
      <c r="B44459" s="43"/>
    </row>
    <row r="44460" spans="2:2" ht="12.75" customHeight="1" x14ac:dyDescent="0.2">
      <c r="B44460" s="43"/>
    </row>
    <row r="44461" spans="2:2" ht="12.75" customHeight="1" x14ac:dyDescent="0.2">
      <c r="B44461" s="43"/>
    </row>
    <row r="44462" spans="2:2" ht="12.75" customHeight="1" x14ac:dyDescent="0.2">
      <c r="B44462" s="43"/>
    </row>
    <row r="44463" spans="2:2" ht="12.75" customHeight="1" x14ac:dyDescent="0.2">
      <c r="B44463" s="43"/>
    </row>
    <row r="44464" spans="2:2" ht="12.75" customHeight="1" x14ac:dyDescent="0.2">
      <c r="B44464" s="43"/>
    </row>
    <row r="44465" spans="2:2" ht="12.75" customHeight="1" x14ac:dyDescent="0.2">
      <c r="B44465" s="43"/>
    </row>
    <row r="44466" spans="2:2" ht="12.75" customHeight="1" x14ac:dyDescent="0.2">
      <c r="B44466" s="43"/>
    </row>
    <row r="44467" spans="2:2" ht="12.75" customHeight="1" x14ac:dyDescent="0.2">
      <c r="B44467" s="43"/>
    </row>
    <row r="44468" spans="2:2" ht="12.75" customHeight="1" x14ac:dyDescent="0.2">
      <c r="B44468" s="43"/>
    </row>
    <row r="44469" spans="2:2" ht="12.75" customHeight="1" x14ac:dyDescent="0.2">
      <c r="B44469" s="43"/>
    </row>
    <row r="44470" spans="2:2" ht="12.75" customHeight="1" x14ac:dyDescent="0.2">
      <c r="B44470" s="43"/>
    </row>
    <row r="44471" spans="2:2" ht="12.75" customHeight="1" x14ac:dyDescent="0.2">
      <c r="B44471" s="43"/>
    </row>
    <row r="44472" spans="2:2" ht="12.75" customHeight="1" x14ac:dyDescent="0.2">
      <c r="B44472" s="43"/>
    </row>
    <row r="44473" spans="2:2" ht="12.75" customHeight="1" x14ac:dyDescent="0.2">
      <c r="B44473" s="43"/>
    </row>
    <row r="44474" spans="2:2" ht="12.75" customHeight="1" x14ac:dyDescent="0.2">
      <c r="B44474" s="43"/>
    </row>
    <row r="44475" spans="2:2" ht="12.75" customHeight="1" x14ac:dyDescent="0.2">
      <c r="B44475" s="43"/>
    </row>
    <row r="44476" spans="2:2" ht="12.75" customHeight="1" x14ac:dyDescent="0.2">
      <c r="B44476" s="43"/>
    </row>
    <row r="44477" spans="2:2" ht="12.75" customHeight="1" x14ac:dyDescent="0.2">
      <c r="B44477" s="43"/>
    </row>
    <row r="44478" spans="2:2" ht="12.75" customHeight="1" x14ac:dyDescent="0.2">
      <c r="B44478" s="43"/>
    </row>
    <row r="44479" spans="2:2" ht="12.75" customHeight="1" x14ac:dyDescent="0.2">
      <c r="B44479" s="43"/>
    </row>
    <row r="44480" spans="2:2" ht="12.75" customHeight="1" x14ac:dyDescent="0.2">
      <c r="B44480" s="43"/>
    </row>
    <row r="44481" spans="2:2" ht="12.75" customHeight="1" x14ac:dyDescent="0.2">
      <c r="B44481" s="43"/>
    </row>
    <row r="44482" spans="2:2" ht="12.75" customHeight="1" x14ac:dyDescent="0.2">
      <c r="B44482" s="43"/>
    </row>
    <row r="44483" spans="2:2" ht="12.75" customHeight="1" x14ac:dyDescent="0.2">
      <c r="B44483" s="43"/>
    </row>
    <row r="44484" spans="2:2" ht="12.75" customHeight="1" x14ac:dyDescent="0.2">
      <c r="B44484" s="43"/>
    </row>
    <row r="44485" spans="2:2" ht="12.75" customHeight="1" x14ac:dyDescent="0.2">
      <c r="B44485" s="43"/>
    </row>
    <row r="44486" spans="2:2" ht="12.75" customHeight="1" x14ac:dyDescent="0.2">
      <c r="B44486" s="43"/>
    </row>
    <row r="44487" spans="2:2" ht="12.75" customHeight="1" x14ac:dyDescent="0.2">
      <c r="B44487" s="43"/>
    </row>
    <row r="44488" spans="2:2" ht="12.75" customHeight="1" x14ac:dyDescent="0.2">
      <c r="B44488" s="43"/>
    </row>
    <row r="44489" spans="2:2" ht="12.75" customHeight="1" x14ac:dyDescent="0.2">
      <c r="B44489" s="43"/>
    </row>
    <row r="44490" spans="2:2" ht="12.75" customHeight="1" x14ac:dyDescent="0.2">
      <c r="B44490" s="43"/>
    </row>
    <row r="44491" spans="2:2" ht="12.75" customHeight="1" x14ac:dyDescent="0.2">
      <c r="B44491" s="43"/>
    </row>
    <row r="44492" spans="2:2" ht="12.75" customHeight="1" x14ac:dyDescent="0.2">
      <c r="B44492" s="43"/>
    </row>
    <row r="44493" spans="2:2" ht="12.75" customHeight="1" x14ac:dyDescent="0.2">
      <c r="B44493" s="43"/>
    </row>
    <row r="44494" spans="2:2" ht="12.75" customHeight="1" x14ac:dyDescent="0.2">
      <c r="B44494" s="43"/>
    </row>
    <row r="44495" spans="2:2" ht="12.75" customHeight="1" x14ac:dyDescent="0.2">
      <c r="B44495" s="43"/>
    </row>
    <row r="44496" spans="2:2" ht="12.75" customHeight="1" x14ac:dyDescent="0.2">
      <c r="B44496" s="43"/>
    </row>
    <row r="44497" spans="2:2" ht="12.75" customHeight="1" x14ac:dyDescent="0.2">
      <c r="B44497" s="43"/>
    </row>
    <row r="44498" spans="2:2" ht="12.75" customHeight="1" x14ac:dyDescent="0.2">
      <c r="B44498" s="43"/>
    </row>
    <row r="44499" spans="2:2" ht="12.75" customHeight="1" x14ac:dyDescent="0.2">
      <c r="B44499" s="43"/>
    </row>
    <row r="44500" spans="2:2" ht="12.75" customHeight="1" x14ac:dyDescent="0.2">
      <c r="B44500" s="43"/>
    </row>
    <row r="44501" spans="2:2" ht="12.75" customHeight="1" x14ac:dyDescent="0.2">
      <c r="B44501" s="43"/>
    </row>
    <row r="44502" spans="2:2" ht="12.75" customHeight="1" x14ac:dyDescent="0.2">
      <c r="B44502" s="43"/>
    </row>
    <row r="44503" spans="2:2" ht="12.75" customHeight="1" x14ac:dyDescent="0.2">
      <c r="B44503" s="43"/>
    </row>
    <row r="44504" spans="2:2" ht="12.75" customHeight="1" x14ac:dyDescent="0.2">
      <c r="B44504" s="43"/>
    </row>
    <row r="44505" spans="2:2" ht="12.75" customHeight="1" x14ac:dyDescent="0.2">
      <c r="B44505" s="43"/>
    </row>
    <row r="44506" spans="2:2" ht="12.75" customHeight="1" x14ac:dyDescent="0.2">
      <c r="B44506" s="43"/>
    </row>
    <row r="44507" spans="2:2" ht="12.75" customHeight="1" x14ac:dyDescent="0.2">
      <c r="B44507" s="43"/>
    </row>
    <row r="44508" spans="2:2" ht="12.75" customHeight="1" x14ac:dyDescent="0.2">
      <c r="B44508" s="43"/>
    </row>
    <row r="44509" spans="2:2" ht="12.75" customHeight="1" x14ac:dyDescent="0.2">
      <c r="B44509" s="43"/>
    </row>
    <row r="44510" spans="2:2" ht="12.75" customHeight="1" x14ac:dyDescent="0.2">
      <c r="B44510" s="43"/>
    </row>
    <row r="44511" spans="2:2" ht="12.75" customHeight="1" x14ac:dyDescent="0.2">
      <c r="B44511" s="43"/>
    </row>
    <row r="44512" spans="2:2" ht="12.75" customHeight="1" x14ac:dyDescent="0.2">
      <c r="B44512" s="43"/>
    </row>
    <row r="44513" spans="2:2" ht="12.75" customHeight="1" x14ac:dyDescent="0.2">
      <c r="B44513" s="43"/>
    </row>
    <row r="44514" spans="2:2" ht="12.75" customHeight="1" x14ac:dyDescent="0.2">
      <c r="B44514" s="43"/>
    </row>
    <row r="44515" spans="2:2" ht="12.75" customHeight="1" x14ac:dyDescent="0.2">
      <c r="B44515" s="43"/>
    </row>
    <row r="44516" spans="2:2" ht="12.75" customHeight="1" x14ac:dyDescent="0.2">
      <c r="B44516" s="43"/>
    </row>
    <row r="44517" spans="2:2" ht="12.75" customHeight="1" x14ac:dyDescent="0.2">
      <c r="B44517" s="43"/>
    </row>
    <row r="44518" spans="2:2" ht="12.75" customHeight="1" x14ac:dyDescent="0.2">
      <c r="B44518" s="43"/>
    </row>
    <row r="44519" spans="2:2" ht="12.75" customHeight="1" x14ac:dyDescent="0.2">
      <c r="B44519" s="43"/>
    </row>
    <row r="44520" spans="2:2" ht="12.75" customHeight="1" x14ac:dyDescent="0.2">
      <c r="B44520" s="43"/>
    </row>
    <row r="44521" spans="2:2" ht="12.75" customHeight="1" x14ac:dyDescent="0.2">
      <c r="B44521" s="43"/>
    </row>
    <row r="44522" spans="2:2" ht="12.75" customHeight="1" x14ac:dyDescent="0.2">
      <c r="B44522" s="43"/>
    </row>
    <row r="44523" spans="2:2" ht="12.75" customHeight="1" x14ac:dyDescent="0.2">
      <c r="B44523" s="43"/>
    </row>
    <row r="44524" spans="2:2" ht="12.75" customHeight="1" x14ac:dyDescent="0.2">
      <c r="B44524" s="43"/>
    </row>
    <row r="44525" spans="2:2" ht="12.75" customHeight="1" x14ac:dyDescent="0.2">
      <c r="B44525" s="43"/>
    </row>
    <row r="44526" spans="2:2" ht="12.75" customHeight="1" x14ac:dyDescent="0.2">
      <c r="B44526" s="43"/>
    </row>
    <row r="44527" spans="2:2" ht="12.75" customHeight="1" x14ac:dyDescent="0.2">
      <c r="B44527" s="43"/>
    </row>
    <row r="44528" spans="2:2" ht="12.75" customHeight="1" x14ac:dyDescent="0.2">
      <c r="B44528" s="43"/>
    </row>
    <row r="44529" spans="2:2" ht="12.75" customHeight="1" x14ac:dyDescent="0.2">
      <c r="B44529" s="43"/>
    </row>
    <row r="44530" spans="2:2" ht="12.75" customHeight="1" x14ac:dyDescent="0.2">
      <c r="B44530" s="43"/>
    </row>
    <row r="44531" spans="2:2" ht="12.75" customHeight="1" x14ac:dyDescent="0.2">
      <c r="B44531" s="43"/>
    </row>
    <row r="44532" spans="2:2" ht="12.75" customHeight="1" x14ac:dyDescent="0.2">
      <c r="B44532" s="43"/>
    </row>
    <row r="44533" spans="2:2" ht="12.75" customHeight="1" x14ac:dyDescent="0.2">
      <c r="B44533" s="43"/>
    </row>
    <row r="44534" spans="2:2" ht="12.75" customHeight="1" x14ac:dyDescent="0.2">
      <c r="B44534" s="43"/>
    </row>
    <row r="44535" spans="2:2" ht="12.75" customHeight="1" x14ac:dyDescent="0.2">
      <c r="B44535" s="43"/>
    </row>
    <row r="44536" spans="2:2" ht="12.75" customHeight="1" x14ac:dyDescent="0.2">
      <c r="B44536" s="43"/>
    </row>
    <row r="44537" spans="2:2" ht="12.75" customHeight="1" x14ac:dyDescent="0.2">
      <c r="B44537" s="43"/>
    </row>
    <row r="44538" spans="2:2" ht="12.75" customHeight="1" x14ac:dyDescent="0.2">
      <c r="B44538" s="43"/>
    </row>
    <row r="44539" spans="2:2" ht="12.75" customHeight="1" x14ac:dyDescent="0.2">
      <c r="B44539" s="43"/>
    </row>
    <row r="44540" spans="2:2" ht="12.75" customHeight="1" x14ac:dyDescent="0.2">
      <c r="B44540" s="43"/>
    </row>
    <row r="44541" spans="2:2" ht="12.75" customHeight="1" x14ac:dyDescent="0.2">
      <c r="B44541" s="43"/>
    </row>
    <row r="44542" spans="2:2" ht="12.75" customHeight="1" x14ac:dyDescent="0.2">
      <c r="B44542" s="43"/>
    </row>
    <row r="44543" spans="2:2" ht="12.75" customHeight="1" x14ac:dyDescent="0.2">
      <c r="B44543" s="43"/>
    </row>
    <row r="44544" spans="2:2" ht="12.75" customHeight="1" x14ac:dyDescent="0.2">
      <c r="B44544" s="43"/>
    </row>
    <row r="44545" spans="2:2" ht="12.75" customHeight="1" x14ac:dyDescent="0.2">
      <c r="B44545" s="43"/>
    </row>
    <row r="44546" spans="2:2" ht="12.75" customHeight="1" x14ac:dyDescent="0.2">
      <c r="B44546" s="43"/>
    </row>
    <row r="44547" spans="2:2" ht="12.75" customHeight="1" x14ac:dyDescent="0.2">
      <c r="B44547" s="43"/>
    </row>
    <row r="44548" spans="2:2" ht="12.75" customHeight="1" x14ac:dyDescent="0.2">
      <c r="B44548" s="43"/>
    </row>
    <row r="44549" spans="2:2" ht="12.75" customHeight="1" x14ac:dyDescent="0.2">
      <c r="B44549" s="43"/>
    </row>
    <row r="44550" spans="2:2" ht="12.75" customHeight="1" x14ac:dyDescent="0.2">
      <c r="B44550" s="43"/>
    </row>
    <row r="44551" spans="2:2" ht="12.75" customHeight="1" x14ac:dyDescent="0.2">
      <c r="B44551" s="43"/>
    </row>
    <row r="44552" spans="2:2" ht="12.75" customHeight="1" x14ac:dyDescent="0.2">
      <c r="B44552" s="43"/>
    </row>
    <row r="44553" spans="2:2" ht="12.75" customHeight="1" x14ac:dyDescent="0.2">
      <c r="B44553" s="43"/>
    </row>
    <row r="44554" spans="2:2" ht="12.75" customHeight="1" x14ac:dyDescent="0.2">
      <c r="B44554" s="43"/>
    </row>
    <row r="44555" spans="2:2" ht="12.75" customHeight="1" x14ac:dyDescent="0.2">
      <c r="B44555" s="43"/>
    </row>
    <row r="44556" spans="2:2" ht="12.75" customHeight="1" x14ac:dyDescent="0.2">
      <c r="B44556" s="43"/>
    </row>
    <row r="44557" spans="2:2" ht="12.75" customHeight="1" x14ac:dyDescent="0.2">
      <c r="B44557" s="43"/>
    </row>
    <row r="44558" spans="2:2" ht="12.75" customHeight="1" x14ac:dyDescent="0.2">
      <c r="B44558" s="43"/>
    </row>
    <row r="44559" spans="2:2" ht="12.75" customHeight="1" x14ac:dyDescent="0.2">
      <c r="B44559" s="43"/>
    </row>
    <row r="44560" spans="2:2" ht="12.75" customHeight="1" x14ac:dyDescent="0.2">
      <c r="B44560" s="43"/>
    </row>
    <row r="44561" spans="2:2" ht="12.75" customHeight="1" x14ac:dyDescent="0.2">
      <c r="B44561" s="43"/>
    </row>
    <row r="44562" spans="2:2" ht="12.75" customHeight="1" x14ac:dyDescent="0.2">
      <c r="B44562" s="43"/>
    </row>
    <row r="44563" spans="2:2" ht="12.75" customHeight="1" x14ac:dyDescent="0.2">
      <c r="B44563" s="43"/>
    </row>
    <row r="44564" spans="2:2" ht="12.75" customHeight="1" x14ac:dyDescent="0.2">
      <c r="B44564" s="43"/>
    </row>
    <row r="44565" spans="2:2" ht="12.75" customHeight="1" x14ac:dyDescent="0.2">
      <c r="B44565" s="43"/>
    </row>
    <row r="44566" spans="2:2" ht="12.75" customHeight="1" x14ac:dyDescent="0.2">
      <c r="B44566" s="43"/>
    </row>
    <row r="44567" spans="2:2" ht="12.75" customHeight="1" x14ac:dyDescent="0.2">
      <c r="B44567" s="43"/>
    </row>
    <row r="44568" spans="2:2" ht="12.75" customHeight="1" x14ac:dyDescent="0.2">
      <c r="B44568" s="43"/>
    </row>
    <row r="44569" spans="2:2" ht="12.75" customHeight="1" x14ac:dyDescent="0.2">
      <c r="B44569" s="43"/>
    </row>
    <row r="44570" spans="2:2" ht="12.75" customHeight="1" x14ac:dyDescent="0.2">
      <c r="B44570" s="43"/>
    </row>
    <row r="44571" spans="2:2" ht="12.75" customHeight="1" x14ac:dyDescent="0.2">
      <c r="B44571" s="43"/>
    </row>
    <row r="44572" spans="2:2" ht="12.75" customHeight="1" x14ac:dyDescent="0.2">
      <c r="B44572" s="43"/>
    </row>
    <row r="44573" spans="2:2" ht="12.75" customHeight="1" x14ac:dyDescent="0.2">
      <c r="B44573" s="43"/>
    </row>
    <row r="44574" spans="2:2" ht="12.75" customHeight="1" x14ac:dyDescent="0.2">
      <c r="B44574" s="43"/>
    </row>
    <row r="44575" spans="2:2" ht="12.75" customHeight="1" x14ac:dyDescent="0.2">
      <c r="B44575" s="43"/>
    </row>
    <row r="44576" spans="2:2" ht="12.75" customHeight="1" x14ac:dyDescent="0.2">
      <c r="B44576" s="43"/>
    </row>
    <row r="44577" spans="2:2" ht="12.75" customHeight="1" x14ac:dyDescent="0.2">
      <c r="B44577" s="43"/>
    </row>
    <row r="44578" spans="2:2" ht="12.75" customHeight="1" x14ac:dyDescent="0.2">
      <c r="B44578" s="43"/>
    </row>
    <row r="44579" spans="2:2" ht="12.75" customHeight="1" x14ac:dyDescent="0.2">
      <c r="B44579" s="43"/>
    </row>
    <row r="44580" spans="2:2" ht="12.75" customHeight="1" x14ac:dyDescent="0.2">
      <c r="B44580" s="43"/>
    </row>
    <row r="44581" spans="2:2" ht="12.75" customHeight="1" x14ac:dyDescent="0.2">
      <c r="B44581" s="43"/>
    </row>
    <row r="44582" spans="2:2" ht="12.75" customHeight="1" x14ac:dyDescent="0.2">
      <c r="B44582" s="43"/>
    </row>
    <row r="44583" spans="2:2" ht="12.75" customHeight="1" x14ac:dyDescent="0.2">
      <c r="B44583" s="43"/>
    </row>
    <row r="44584" spans="2:2" ht="12.75" customHeight="1" x14ac:dyDescent="0.2">
      <c r="B44584" s="43"/>
    </row>
    <row r="44585" spans="2:2" ht="12.75" customHeight="1" x14ac:dyDescent="0.2">
      <c r="B44585" s="43"/>
    </row>
    <row r="44586" spans="2:2" ht="12.75" customHeight="1" x14ac:dyDescent="0.2">
      <c r="B44586" s="43"/>
    </row>
    <row r="44587" spans="2:2" ht="12.75" customHeight="1" x14ac:dyDescent="0.2">
      <c r="B44587" s="43"/>
    </row>
    <row r="44588" spans="2:2" ht="12.75" customHeight="1" x14ac:dyDescent="0.2">
      <c r="B44588" s="43"/>
    </row>
    <row r="44589" spans="2:2" ht="12.75" customHeight="1" x14ac:dyDescent="0.2">
      <c r="B44589" s="43"/>
    </row>
    <row r="44590" spans="2:2" ht="12.75" customHeight="1" x14ac:dyDescent="0.2">
      <c r="B44590" s="43"/>
    </row>
    <row r="44591" spans="2:2" ht="12.75" customHeight="1" x14ac:dyDescent="0.2">
      <c r="B44591" s="43"/>
    </row>
    <row r="44592" spans="2:2" ht="12.75" customHeight="1" x14ac:dyDescent="0.2">
      <c r="B44592" s="43"/>
    </row>
    <row r="44593" spans="2:2" ht="12.75" customHeight="1" x14ac:dyDescent="0.2">
      <c r="B44593" s="43"/>
    </row>
    <row r="44594" spans="2:2" ht="12.75" customHeight="1" x14ac:dyDescent="0.2">
      <c r="B44594" s="43"/>
    </row>
    <row r="44595" spans="2:2" ht="12.75" customHeight="1" x14ac:dyDescent="0.2">
      <c r="B44595" s="43"/>
    </row>
    <row r="44596" spans="2:2" ht="12.75" customHeight="1" x14ac:dyDescent="0.2">
      <c r="B44596" s="43"/>
    </row>
    <row r="44597" spans="2:2" ht="12.75" customHeight="1" x14ac:dyDescent="0.2">
      <c r="B44597" s="43"/>
    </row>
    <row r="44598" spans="2:2" ht="12.75" customHeight="1" x14ac:dyDescent="0.2">
      <c r="B44598" s="43"/>
    </row>
    <row r="44599" spans="2:2" ht="12.75" customHeight="1" x14ac:dyDescent="0.2">
      <c r="B44599" s="43"/>
    </row>
    <row r="44600" spans="2:2" ht="12.75" customHeight="1" x14ac:dyDescent="0.2">
      <c r="B44600" s="43"/>
    </row>
    <row r="44601" spans="2:2" ht="12.75" customHeight="1" x14ac:dyDescent="0.2">
      <c r="B44601" s="43"/>
    </row>
    <row r="44602" spans="2:2" ht="12.75" customHeight="1" x14ac:dyDescent="0.2">
      <c r="B44602" s="43"/>
    </row>
    <row r="44603" spans="2:2" ht="12.75" customHeight="1" x14ac:dyDescent="0.2">
      <c r="B44603" s="43"/>
    </row>
    <row r="44604" spans="2:2" ht="12.75" customHeight="1" x14ac:dyDescent="0.2">
      <c r="B44604" s="43"/>
    </row>
    <row r="44605" spans="2:2" ht="12.75" customHeight="1" x14ac:dyDescent="0.2">
      <c r="B44605" s="43"/>
    </row>
    <row r="44606" spans="2:2" ht="12.75" customHeight="1" x14ac:dyDescent="0.2">
      <c r="B44606" s="43"/>
    </row>
    <row r="44607" spans="2:2" ht="12.75" customHeight="1" x14ac:dyDescent="0.2">
      <c r="B44607" s="43"/>
    </row>
    <row r="44608" spans="2:2" ht="12.75" customHeight="1" x14ac:dyDescent="0.2">
      <c r="B44608" s="43"/>
    </row>
    <row r="44609" spans="2:2" ht="12.75" customHeight="1" x14ac:dyDescent="0.2">
      <c r="B44609" s="43"/>
    </row>
    <row r="44610" spans="2:2" ht="12.75" customHeight="1" x14ac:dyDescent="0.2">
      <c r="B44610" s="43"/>
    </row>
    <row r="44611" spans="2:2" ht="12.75" customHeight="1" x14ac:dyDescent="0.2">
      <c r="B44611" s="43"/>
    </row>
    <row r="44612" spans="2:2" ht="12.75" customHeight="1" x14ac:dyDescent="0.2">
      <c r="B44612" s="43"/>
    </row>
    <row r="44613" spans="2:2" ht="12.75" customHeight="1" x14ac:dyDescent="0.2">
      <c r="B44613" s="43"/>
    </row>
    <row r="44614" spans="2:2" ht="12.75" customHeight="1" x14ac:dyDescent="0.2">
      <c r="B44614" s="43"/>
    </row>
    <row r="44615" spans="2:2" ht="12.75" customHeight="1" x14ac:dyDescent="0.2">
      <c r="B44615" s="43"/>
    </row>
    <row r="44616" spans="2:2" ht="12.75" customHeight="1" x14ac:dyDescent="0.2">
      <c r="B44616" s="43"/>
    </row>
    <row r="44617" spans="2:2" ht="12.75" customHeight="1" x14ac:dyDescent="0.2">
      <c r="B44617" s="43"/>
    </row>
    <row r="44618" spans="2:2" ht="12.75" customHeight="1" x14ac:dyDescent="0.2">
      <c r="B44618" s="43"/>
    </row>
    <row r="44619" spans="2:2" ht="12.75" customHeight="1" x14ac:dyDescent="0.2">
      <c r="B44619" s="43"/>
    </row>
    <row r="44620" spans="2:2" ht="12.75" customHeight="1" x14ac:dyDescent="0.2">
      <c r="B44620" s="43"/>
    </row>
    <row r="44621" spans="2:2" ht="12.75" customHeight="1" x14ac:dyDescent="0.2">
      <c r="B44621" s="43"/>
    </row>
    <row r="44622" spans="2:2" ht="12.75" customHeight="1" x14ac:dyDescent="0.2">
      <c r="B44622" s="43"/>
    </row>
    <row r="44623" spans="2:2" ht="12.75" customHeight="1" x14ac:dyDescent="0.2">
      <c r="B44623" s="43"/>
    </row>
    <row r="44624" spans="2:2" ht="12.75" customHeight="1" x14ac:dyDescent="0.2">
      <c r="B44624" s="43"/>
    </row>
    <row r="44625" spans="2:2" ht="12.75" customHeight="1" x14ac:dyDescent="0.2">
      <c r="B44625" s="43"/>
    </row>
    <row r="44626" spans="2:2" ht="12.75" customHeight="1" x14ac:dyDescent="0.2">
      <c r="B44626" s="43"/>
    </row>
    <row r="44627" spans="2:2" ht="12.75" customHeight="1" x14ac:dyDescent="0.2">
      <c r="B44627" s="43"/>
    </row>
    <row r="44628" spans="2:2" ht="12.75" customHeight="1" x14ac:dyDescent="0.2">
      <c r="B44628" s="43"/>
    </row>
    <row r="44629" spans="2:2" ht="12.75" customHeight="1" x14ac:dyDescent="0.2">
      <c r="B44629" s="43"/>
    </row>
    <row r="44630" spans="2:2" ht="12.75" customHeight="1" x14ac:dyDescent="0.2">
      <c r="B44630" s="43"/>
    </row>
    <row r="44631" spans="2:2" ht="12.75" customHeight="1" x14ac:dyDescent="0.2">
      <c r="B44631" s="43"/>
    </row>
    <row r="44632" spans="2:2" ht="12.75" customHeight="1" x14ac:dyDescent="0.2">
      <c r="B44632" s="43"/>
    </row>
    <row r="44633" spans="2:2" ht="12.75" customHeight="1" x14ac:dyDescent="0.2">
      <c r="B44633" s="43"/>
    </row>
    <row r="44634" spans="2:2" ht="12.75" customHeight="1" x14ac:dyDescent="0.2">
      <c r="B44634" s="43"/>
    </row>
    <row r="44635" spans="2:2" ht="12.75" customHeight="1" x14ac:dyDescent="0.2">
      <c r="B44635" s="43"/>
    </row>
    <row r="44636" spans="2:2" ht="12.75" customHeight="1" x14ac:dyDescent="0.2">
      <c r="B44636" s="43"/>
    </row>
    <row r="44637" spans="2:2" ht="12.75" customHeight="1" x14ac:dyDescent="0.2">
      <c r="B44637" s="43"/>
    </row>
    <row r="44638" spans="2:2" ht="12.75" customHeight="1" x14ac:dyDescent="0.2">
      <c r="B44638" s="43"/>
    </row>
    <row r="44639" spans="2:2" ht="12.75" customHeight="1" x14ac:dyDescent="0.2">
      <c r="B44639" s="43"/>
    </row>
    <row r="44640" spans="2:2" ht="12.75" customHeight="1" x14ac:dyDescent="0.2">
      <c r="B44640" s="43"/>
    </row>
    <row r="44641" spans="2:2" ht="12.75" customHeight="1" x14ac:dyDescent="0.2">
      <c r="B44641" s="43"/>
    </row>
    <row r="44642" spans="2:2" ht="12.75" customHeight="1" x14ac:dyDescent="0.2">
      <c r="B44642" s="43"/>
    </row>
    <row r="44643" spans="2:2" ht="12.75" customHeight="1" x14ac:dyDescent="0.2">
      <c r="B44643" s="43"/>
    </row>
    <row r="44644" spans="2:2" ht="12.75" customHeight="1" x14ac:dyDescent="0.2">
      <c r="B44644" s="43"/>
    </row>
    <row r="44645" spans="2:2" ht="12.75" customHeight="1" x14ac:dyDescent="0.2">
      <c r="B44645" s="43"/>
    </row>
    <row r="44646" spans="2:2" ht="12.75" customHeight="1" x14ac:dyDescent="0.2">
      <c r="B44646" s="43"/>
    </row>
    <row r="44647" spans="2:2" ht="12.75" customHeight="1" x14ac:dyDescent="0.2">
      <c r="B44647" s="43"/>
    </row>
    <row r="44648" spans="2:2" ht="12.75" customHeight="1" x14ac:dyDescent="0.2">
      <c r="B44648" s="43"/>
    </row>
    <row r="44649" spans="2:2" ht="12.75" customHeight="1" x14ac:dyDescent="0.2">
      <c r="B44649" s="43"/>
    </row>
    <row r="44650" spans="2:2" ht="12.75" customHeight="1" x14ac:dyDescent="0.2">
      <c r="B44650" s="43"/>
    </row>
    <row r="44651" spans="2:2" ht="12.75" customHeight="1" x14ac:dyDescent="0.2">
      <c r="B44651" s="43"/>
    </row>
    <row r="44652" spans="2:2" ht="12.75" customHeight="1" x14ac:dyDescent="0.2">
      <c r="B44652" s="43"/>
    </row>
    <row r="44653" spans="2:2" ht="12.75" customHeight="1" x14ac:dyDescent="0.2">
      <c r="B44653" s="43"/>
    </row>
    <row r="44654" spans="2:2" ht="12.75" customHeight="1" x14ac:dyDescent="0.2">
      <c r="B44654" s="43"/>
    </row>
    <row r="44655" spans="2:2" ht="12.75" customHeight="1" x14ac:dyDescent="0.2">
      <c r="B44655" s="43"/>
    </row>
    <row r="44656" spans="2:2" ht="12.75" customHeight="1" x14ac:dyDescent="0.2">
      <c r="B44656" s="43"/>
    </row>
    <row r="44657" spans="2:2" ht="12.75" customHeight="1" x14ac:dyDescent="0.2">
      <c r="B44657" s="43"/>
    </row>
    <row r="44658" spans="2:2" ht="12.75" customHeight="1" x14ac:dyDescent="0.2">
      <c r="B44658" s="43"/>
    </row>
    <row r="44659" spans="2:2" ht="12.75" customHeight="1" x14ac:dyDescent="0.2">
      <c r="B44659" s="43"/>
    </row>
    <row r="44660" spans="2:2" ht="12.75" customHeight="1" x14ac:dyDescent="0.2">
      <c r="B44660" s="43"/>
    </row>
    <row r="44661" spans="2:2" ht="12.75" customHeight="1" x14ac:dyDescent="0.2">
      <c r="B44661" s="43"/>
    </row>
    <row r="44662" spans="2:2" ht="12.75" customHeight="1" x14ac:dyDescent="0.2">
      <c r="B44662" s="43"/>
    </row>
    <row r="44663" spans="2:2" ht="12.75" customHeight="1" x14ac:dyDescent="0.2">
      <c r="B44663" s="43"/>
    </row>
    <row r="44664" spans="2:2" ht="12.75" customHeight="1" x14ac:dyDescent="0.2">
      <c r="B44664" s="43"/>
    </row>
    <row r="44665" spans="2:2" ht="12.75" customHeight="1" x14ac:dyDescent="0.2">
      <c r="B44665" s="43"/>
    </row>
    <row r="44666" spans="2:2" ht="12.75" customHeight="1" x14ac:dyDescent="0.2">
      <c r="B44666" s="43"/>
    </row>
    <row r="44667" spans="2:2" ht="12.75" customHeight="1" x14ac:dyDescent="0.2">
      <c r="B44667" s="43"/>
    </row>
    <row r="44668" spans="2:2" ht="12.75" customHeight="1" x14ac:dyDescent="0.2">
      <c r="B44668" s="43"/>
    </row>
    <row r="44669" spans="2:2" ht="12.75" customHeight="1" x14ac:dyDescent="0.2">
      <c r="B44669" s="43"/>
    </row>
    <row r="44670" spans="2:2" ht="12.75" customHeight="1" x14ac:dyDescent="0.2">
      <c r="B44670" s="43"/>
    </row>
    <row r="44671" spans="2:2" ht="12.75" customHeight="1" x14ac:dyDescent="0.2">
      <c r="B44671" s="43"/>
    </row>
    <row r="44672" spans="2:2" ht="12.75" customHeight="1" x14ac:dyDescent="0.2">
      <c r="B44672" s="43"/>
    </row>
    <row r="44673" spans="2:2" ht="12.75" customHeight="1" x14ac:dyDescent="0.2">
      <c r="B44673" s="43"/>
    </row>
    <row r="44674" spans="2:2" ht="12.75" customHeight="1" x14ac:dyDescent="0.2">
      <c r="B44674" s="43"/>
    </row>
    <row r="44675" spans="2:2" ht="12.75" customHeight="1" x14ac:dyDescent="0.2">
      <c r="B44675" s="43"/>
    </row>
    <row r="44676" spans="2:2" ht="12.75" customHeight="1" x14ac:dyDescent="0.2">
      <c r="B44676" s="43"/>
    </row>
    <row r="44677" spans="2:2" ht="12.75" customHeight="1" x14ac:dyDescent="0.2">
      <c r="B44677" s="43"/>
    </row>
    <row r="44678" spans="2:2" ht="12.75" customHeight="1" x14ac:dyDescent="0.2">
      <c r="B44678" s="43"/>
    </row>
    <row r="44679" spans="2:2" ht="12.75" customHeight="1" x14ac:dyDescent="0.2">
      <c r="B44679" s="43"/>
    </row>
    <row r="44680" spans="2:2" ht="12.75" customHeight="1" x14ac:dyDescent="0.2">
      <c r="B44680" s="43"/>
    </row>
    <row r="44681" spans="2:2" ht="12.75" customHeight="1" x14ac:dyDescent="0.2">
      <c r="B44681" s="43"/>
    </row>
    <row r="44682" spans="2:2" ht="12.75" customHeight="1" x14ac:dyDescent="0.2">
      <c r="B44682" s="43"/>
    </row>
    <row r="44683" spans="2:2" ht="12.75" customHeight="1" x14ac:dyDescent="0.2">
      <c r="B44683" s="43"/>
    </row>
    <row r="44684" spans="2:2" ht="12.75" customHeight="1" x14ac:dyDescent="0.2">
      <c r="B44684" s="43"/>
    </row>
    <row r="44685" spans="2:2" ht="12.75" customHeight="1" x14ac:dyDescent="0.2">
      <c r="B44685" s="43"/>
    </row>
    <row r="44686" spans="2:2" ht="12.75" customHeight="1" x14ac:dyDescent="0.2">
      <c r="B44686" s="43"/>
    </row>
    <row r="44687" spans="2:2" ht="12.75" customHeight="1" x14ac:dyDescent="0.2">
      <c r="B44687" s="43"/>
    </row>
    <row r="44688" spans="2:2" ht="12.75" customHeight="1" x14ac:dyDescent="0.2">
      <c r="B44688" s="43"/>
    </row>
    <row r="44689" spans="2:2" ht="12.75" customHeight="1" x14ac:dyDescent="0.2">
      <c r="B44689" s="43"/>
    </row>
    <row r="44690" spans="2:2" ht="12.75" customHeight="1" x14ac:dyDescent="0.2">
      <c r="B44690" s="43"/>
    </row>
    <row r="44691" spans="2:2" ht="12.75" customHeight="1" x14ac:dyDescent="0.2">
      <c r="B44691" s="43"/>
    </row>
    <row r="44692" spans="2:2" ht="12.75" customHeight="1" x14ac:dyDescent="0.2">
      <c r="B44692" s="43"/>
    </row>
    <row r="44693" spans="2:2" ht="12.75" customHeight="1" x14ac:dyDescent="0.2">
      <c r="B44693" s="43"/>
    </row>
    <row r="44694" spans="2:2" ht="12.75" customHeight="1" x14ac:dyDescent="0.2">
      <c r="B44694" s="43"/>
    </row>
    <row r="44695" spans="2:2" ht="12.75" customHeight="1" x14ac:dyDescent="0.2">
      <c r="B44695" s="43"/>
    </row>
    <row r="44696" spans="2:2" ht="12.75" customHeight="1" x14ac:dyDescent="0.2">
      <c r="B44696" s="43"/>
    </row>
    <row r="44697" spans="2:2" ht="12.75" customHeight="1" x14ac:dyDescent="0.2">
      <c r="B44697" s="43"/>
    </row>
    <row r="44698" spans="2:2" ht="12.75" customHeight="1" x14ac:dyDescent="0.2">
      <c r="B44698" s="43"/>
    </row>
    <row r="44699" spans="2:2" ht="12.75" customHeight="1" x14ac:dyDescent="0.2">
      <c r="B44699" s="43"/>
    </row>
    <row r="44700" spans="2:2" ht="12.75" customHeight="1" x14ac:dyDescent="0.2">
      <c r="B44700" s="43"/>
    </row>
    <row r="44701" spans="2:2" ht="12.75" customHeight="1" x14ac:dyDescent="0.2">
      <c r="B44701" s="43"/>
    </row>
    <row r="44702" spans="2:2" ht="12.75" customHeight="1" x14ac:dyDescent="0.2">
      <c r="B44702" s="43"/>
    </row>
    <row r="44703" spans="2:2" ht="12.75" customHeight="1" x14ac:dyDescent="0.2">
      <c r="B44703" s="43"/>
    </row>
    <row r="44704" spans="2:2" ht="12.75" customHeight="1" x14ac:dyDescent="0.2">
      <c r="B44704" s="43"/>
    </row>
    <row r="44705" spans="2:2" ht="12.75" customHeight="1" x14ac:dyDescent="0.2">
      <c r="B44705" s="43"/>
    </row>
    <row r="44706" spans="2:2" ht="12.75" customHeight="1" x14ac:dyDescent="0.2">
      <c r="B44706" s="43"/>
    </row>
    <row r="44707" spans="2:2" ht="12.75" customHeight="1" x14ac:dyDescent="0.2">
      <c r="B44707" s="43"/>
    </row>
    <row r="44708" spans="2:2" ht="12.75" customHeight="1" x14ac:dyDescent="0.2">
      <c r="B44708" s="43"/>
    </row>
    <row r="44709" spans="2:2" ht="12.75" customHeight="1" x14ac:dyDescent="0.2">
      <c r="B44709" s="43"/>
    </row>
    <row r="44710" spans="2:2" ht="12.75" customHeight="1" x14ac:dyDescent="0.2">
      <c r="B44710" s="43"/>
    </row>
    <row r="44711" spans="2:2" ht="12.75" customHeight="1" x14ac:dyDescent="0.2">
      <c r="B44711" s="43"/>
    </row>
    <row r="44712" spans="2:2" ht="12.75" customHeight="1" x14ac:dyDescent="0.2">
      <c r="B44712" s="43"/>
    </row>
    <row r="44713" spans="2:2" ht="12.75" customHeight="1" x14ac:dyDescent="0.2">
      <c r="B44713" s="43"/>
    </row>
    <row r="44714" spans="2:2" ht="12.75" customHeight="1" x14ac:dyDescent="0.2">
      <c r="B44714" s="43"/>
    </row>
    <row r="44715" spans="2:2" ht="12.75" customHeight="1" x14ac:dyDescent="0.2">
      <c r="B44715" s="43"/>
    </row>
    <row r="44716" spans="2:2" ht="12.75" customHeight="1" x14ac:dyDescent="0.2">
      <c r="B44716" s="43"/>
    </row>
    <row r="44717" spans="2:2" ht="12.75" customHeight="1" x14ac:dyDescent="0.2">
      <c r="B44717" s="43"/>
    </row>
    <row r="44718" spans="2:2" ht="12.75" customHeight="1" x14ac:dyDescent="0.2">
      <c r="B44718" s="43"/>
    </row>
    <row r="44719" spans="2:2" ht="12.75" customHeight="1" x14ac:dyDescent="0.2">
      <c r="B44719" s="43"/>
    </row>
    <row r="44720" spans="2:2" ht="12.75" customHeight="1" x14ac:dyDescent="0.2">
      <c r="B44720" s="43"/>
    </row>
    <row r="44721" spans="2:2" ht="12.75" customHeight="1" x14ac:dyDescent="0.2">
      <c r="B44721" s="43"/>
    </row>
    <row r="44722" spans="2:2" ht="12.75" customHeight="1" x14ac:dyDescent="0.2">
      <c r="B44722" s="43"/>
    </row>
    <row r="44723" spans="2:2" ht="12.75" customHeight="1" x14ac:dyDescent="0.2">
      <c r="B44723" s="43"/>
    </row>
    <row r="44724" spans="2:2" ht="12.75" customHeight="1" x14ac:dyDescent="0.2">
      <c r="B44724" s="43"/>
    </row>
    <row r="44725" spans="2:2" ht="12.75" customHeight="1" x14ac:dyDescent="0.2">
      <c r="B44725" s="43"/>
    </row>
    <row r="44726" spans="2:2" ht="12.75" customHeight="1" x14ac:dyDescent="0.2">
      <c r="B44726" s="43"/>
    </row>
    <row r="44727" spans="2:2" ht="12.75" customHeight="1" x14ac:dyDescent="0.2">
      <c r="B44727" s="43"/>
    </row>
    <row r="44728" spans="2:2" ht="12.75" customHeight="1" x14ac:dyDescent="0.2">
      <c r="B44728" s="43"/>
    </row>
    <row r="44729" spans="2:2" ht="12.75" customHeight="1" x14ac:dyDescent="0.2">
      <c r="B44729" s="43"/>
    </row>
    <row r="44730" spans="2:2" ht="12.75" customHeight="1" x14ac:dyDescent="0.2">
      <c r="B44730" s="43"/>
    </row>
    <row r="44731" spans="2:2" ht="12.75" customHeight="1" x14ac:dyDescent="0.2">
      <c r="B44731" s="43"/>
    </row>
    <row r="44732" spans="2:2" ht="12.75" customHeight="1" x14ac:dyDescent="0.2">
      <c r="B44732" s="43"/>
    </row>
    <row r="44733" spans="2:2" ht="12.75" customHeight="1" x14ac:dyDescent="0.2">
      <c r="B44733" s="43"/>
    </row>
    <row r="44734" spans="2:2" ht="12.75" customHeight="1" x14ac:dyDescent="0.2">
      <c r="B44734" s="43"/>
    </row>
    <row r="44735" spans="2:2" ht="12.75" customHeight="1" x14ac:dyDescent="0.2">
      <c r="B44735" s="43"/>
    </row>
    <row r="44736" spans="2:2" ht="12.75" customHeight="1" x14ac:dyDescent="0.2">
      <c r="B44736" s="43"/>
    </row>
    <row r="44737" spans="2:2" ht="12.75" customHeight="1" x14ac:dyDescent="0.2">
      <c r="B44737" s="43"/>
    </row>
    <row r="44738" spans="2:2" ht="12.75" customHeight="1" x14ac:dyDescent="0.2">
      <c r="B44738" s="43"/>
    </row>
    <row r="44739" spans="2:2" ht="12.75" customHeight="1" x14ac:dyDescent="0.2">
      <c r="B44739" s="43"/>
    </row>
    <row r="44740" spans="2:2" ht="12.75" customHeight="1" x14ac:dyDescent="0.2">
      <c r="B44740" s="43"/>
    </row>
    <row r="44741" spans="2:2" ht="12.75" customHeight="1" x14ac:dyDescent="0.2">
      <c r="B44741" s="43"/>
    </row>
    <row r="44742" spans="2:2" ht="12.75" customHeight="1" x14ac:dyDescent="0.2">
      <c r="B44742" s="43"/>
    </row>
    <row r="44743" spans="2:2" ht="12.75" customHeight="1" x14ac:dyDescent="0.2">
      <c r="B44743" s="43"/>
    </row>
    <row r="44744" spans="2:2" ht="12.75" customHeight="1" x14ac:dyDescent="0.2">
      <c r="B44744" s="43"/>
    </row>
    <row r="44745" spans="2:2" ht="12.75" customHeight="1" x14ac:dyDescent="0.2">
      <c r="B44745" s="43"/>
    </row>
    <row r="44746" spans="2:2" ht="12.75" customHeight="1" x14ac:dyDescent="0.2">
      <c r="B44746" s="43"/>
    </row>
    <row r="44747" spans="2:2" ht="12.75" customHeight="1" x14ac:dyDescent="0.2">
      <c r="B44747" s="43"/>
    </row>
    <row r="44748" spans="2:2" ht="12.75" customHeight="1" x14ac:dyDescent="0.2">
      <c r="B44748" s="43"/>
    </row>
    <row r="44749" spans="2:2" ht="12.75" customHeight="1" x14ac:dyDescent="0.2">
      <c r="B44749" s="43"/>
    </row>
    <row r="44750" spans="2:2" ht="12.75" customHeight="1" x14ac:dyDescent="0.2">
      <c r="B44750" s="43"/>
    </row>
    <row r="44751" spans="2:2" ht="12.75" customHeight="1" x14ac:dyDescent="0.2">
      <c r="B44751" s="43"/>
    </row>
    <row r="44752" spans="2:2" ht="12.75" customHeight="1" x14ac:dyDescent="0.2">
      <c r="B44752" s="43"/>
    </row>
    <row r="44753" spans="2:2" ht="12.75" customHeight="1" x14ac:dyDescent="0.2">
      <c r="B44753" s="43"/>
    </row>
    <row r="44754" spans="2:2" ht="12.75" customHeight="1" x14ac:dyDescent="0.2">
      <c r="B44754" s="43"/>
    </row>
    <row r="44755" spans="2:2" ht="12.75" customHeight="1" x14ac:dyDescent="0.2">
      <c r="B44755" s="43"/>
    </row>
    <row r="44756" spans="2:2" ht="12.75" customHeight="1" x14ac:dyDescent="0.2">
      <c r="B44756" s="43"/>
    </row>
    <row r="44757" spans="2:2" ht="12.75" customHeight="1" x14ac:dyDescent="0.2">
      <c r="B44757" s="43"/>
    </row>
    <row r="44758" spans="2:2" ht="12.75" customHeight="1" x14ac:dyDescent="0.2">
      <c r="B44758" s="43"/>
    </row>
    <row r="44759" spans="2:2" ht="12.75" customHeight="1" x14ac:dyDescent="0.2">
      <c r="B44759" s="43"/>
    </row>
    <row r="44760" spans="2:2" ht="12.75" customHeight="1" x14ac:dyDescent="0.2">
      <c r="B44760" s="43"/>
    </row>
    <row r="44761" spans="2:2" ht="12.75" customHeight="1" x14ac:dyDescent="0.2">
      <c r="B44761" s="43"/>
    </row>
    <row r="44762" spans="2:2" ht="12.75" customHeight="1" x14ac:dyDescent="0.2">
      <c r="B44762" s="43"/>
    </row>
    <row r="44763" spans="2:2" ht="12.75" customHeight="1" x14ac:dyDescent="0.2">
      <c r="B44763" s="43"/>
    </row>
    <row r="44764" spans="2:2" ht="12.75" customHeight="1" x14ac:dyDescent="0.2">
      <c r="B44764" s="43"/>
    </row>
    <row r="44765" spans="2:2" ht="12.75" customHeight="1" x14ac:dyDescent="0.2">
      <c r="B44765" s="43"/>
    </row>
    <row r="44766" spans="2:2" ht="12.75" customHeight="1" x14ac:dyDescent="0.2">
      <c r="B44766" s="43"/>
    </row>
    <row r="44767" spans="2:2" ht="12.75" customHeight="1" x14ac:dyDescent="0.2">
      <c r="B44767" s="43"/>
    </row>
    <row r="44768" spans="2:2" ht="12.75" customHeight="1" x14ac:dyDescent="0.2">
      <c r="B44768" s="43"/>
    </row>
    <row r="44769" spans="2:2" ht="12.75" customHeight="1" x14ac:dyDescent="0.2">
      <c r="B44769" s="43"/>
    </row>
    <row r="44770" spans="2:2" ht="12.75" customHeight="1" x14ac:dyDescent="0.2">
      <c r="B44770" s="43"/>
    </row>
    <row r="44771" spans="2:2" ht="12.75" customHeight="1" x14ac:dyDescent="0.2">
      <c r="B44771" s="43"/>
    </row>
    <row r="44772" spans="2:2" ht="12.75" customHeight="1" x14ac:dyDescent="0.2">
      <c r="B44772" s="43"/>
    </row>
    <row r="44773" spans="2:2" ht="12.75" customHeight="1" x14ac:dyDescent="0.2">
      <c r="B44773" s="43"/>
    </row>
    <row r="44774" spans="2:2" ht="12.75" customHeight="1" x14ac:dyDescent="0.2">
      <c r="B44774" s="43"/>
    </row>
    <row r="44775" spans="2:2" ht="12.75" customHeight="1" x14ac:dyDescent="0.2">
      <c r="B44775" s="43"/>
    </row>
    <row r="44776" spans="2:2" ht="12.75" customHeight="1" x14ac:dyDescent="0.2">
      <c r="B44776" s="43"/>
    </row>
    <row r="44777" spans="2:2" ht="12.75" customHeight="1" x14ac:dyDescent="0.2">
      <c r="B44777" s="43"/>
    </row>
    <row r="44778" spans="2:2" ht="12.75" customHeight="1" x14ac:dyDescent="0.2">
      <c r="B44778" s="43"/>
    </row>
    <row r="44779" spans="2:2" ht="12.75" customHeight="1" x14ac:dyDescent="0.2">
      <c r="B44779" s="43"/>
    </row>
    <row r="44780" spans="2:2" ht="12.75" customHeight="1" x14ac:dyDescent="0.2">
      <c r="B44780" s="43"/>
    </row>
    <row r="44781" spans="2:2" ht="12.75" customHeight="1" x14ac:dyDescent="0.2">
      <c r="B44781" s="43"/>
    </row>
    <row r="44782" spans="2:2" ht="12.75" customHeight="1" x14ac:dyDescent="0.2">
      <c r="B44782" s="43"/>
    </row>
    <row r="44783" spans="2:2" ht="12.75" customHeight="1" x14ac:dyDescent="0.2">
      <c r="B44783" s="43"/>
    </row>
    <row r="44784" spans="2:2" ht="12.75" customHeight="1" x14ac:dyDescent="0.2">
      <c r="B44784" s="43"/>
    </row>
    <row r="44785" spans="2:2" ht="12.75" customHeight="1" x14ac:dyDescent="0.2">
      <c r="B44785" s="43"/>
    </row>
    <row r="44786" spans="2:2" ht="12.75" customHeight="1" x14ac:dyDescent="0.2">
      <c r="B44786" s="43"/>
    </row>
    <row r="44787" spans="2:2" ht="12.75" customHeight="1" x14ac:dyDescent="0.2">
      <c r="B44787" s="43"/>
    </row>
    <row r="44788" spans="2:2" ht="12.75" customHeight="1" x14ac:dyDescent="0.2">
      <c r="B44788" s="43"/>
    </row>
    <row r="44789" spans="2:2" ht="12.75" customHeight="1" x14ac:dyDescent="0.2">
      <c r="B44789" s="43"/>
    </row>
    <row r="44790" spans="2:2" ht="12.75" customHeight="1" x14ac:dyDescent="0.2">
      <c r="B44790" s="43"/>
    </row>
    <row r="44791" spans="2:2" ht="12.75" customHeight="1" x14ac:dyDescent="0.2">
      <c r="B44791" s="43"/>
    </row>
    <row r="44792" spans="2:2" ht="12.75" customHeight="1" x14ac:dyDescent="0.2">
      <c r="B44792" s="43"/>
    </row>
    <row r="44793" spans="2:2" ht="12.75" customHeight="1" x14ac:dyDescent="0.2">
      <c r="B44793" s="43"/>
    </row>
    <row r="44794" spans="2:2" ht="12.75" customHeight="1" x14ac:dyDescent="0.2">
      <c r="B44794" s="43"/>
    </row>
    <row r="44795" spans="2:2" ht="12.75" customHeight="1" x14ac:dyDescent="0.2">
      <c r="B44795" s="43"/>
    </row>
    <row r="44796" spans="2:2" ht="12.75" customHeight="1" x14ac:dyDescent="0.2">
      <c r="B44796" s="43"/>
    </row>
    <row r="44797" spans="2:2" ht="12.75" customHeight="1" x14ac:dyDescent="0.2">
      <c r="B44797" s="43"/>
    </row>
    <row r="44798" spans="2:2" ht="12.75" customHeight="1" x14ac:dyDescent="0.2">
      <c r="B44798" s="43"/>
    </row>
    <row r="44799" spans="2:2" ht="12.75" customHeight="1" x14ac:dyDescent="0.2">
      <c r="B44799" s="43"/>
    </row>
    <row r="44800" spans="2:2" ht="12.75" customHeight="1" x14ac:dyDescent="0.2">
      <c r="B44800" s="43"/>
    </row>
    <row r="44801" spans="2:2" ht="12.75" customHeight="1" x14ac:dyDescent="0.2">
      <c r="B44801" s="43"/>
    </row>
    <row r="44802" spans="2:2" ht="12.75" customHeight="1" x14ac:dyDescent="0.2">
      <c r="B44802" s="43"/>
    </row>
    <row r="44803" spans="2:2" ht="12.75" customHeight="1" x14ac:dyDescent="0.2">
      <c r="B44803" s="43"/>
    </row>
    <row r="44804" spans="2:2" ht="12.75" customHeight="1" x14ac:dyDescent="0.2">
      <c r="B44804" s="43"/>
    </row>
    <row r="44805" spans="2:2" ht="12.75" customHeight="1" x14ac:dyDescent="0.2">
      <c r="B44805" s="43"/>
    </row>
    <row r="44806" spans="2:2" ht="12.75" customHeight="1" x14ac:dyDescent="0.2">
      <c r="B44806" s="43"/>
    </row>
    <row r="44807" spans="2:2" ht="12.75" customHeight="1" x14ac:dyDescent="0.2">
      <c r="B44807" s="43"/>
    </row>
    <row r="44808" spans="2:2" ht="12.75" customHeight="1" x14ac:dyDescent="0.2">
      <c r="B44808" s="43"/>
    </row>
    <row r="44809" spans="2:2" ht="12.75" customHeight="1" x14ac:dyDescent="0.2">
      <c r="B44809" s="43"/>
    </row>
    <row r="44810" spans="2:2" ht="12.75" customHeight="1" x14ac:dyDescent="0.2">
      <c r="B44810" s="43"/>
    </row>
    <row r="44811" spans="2:2" ht="12.75" customHeight="1" x14ac:dyDescent="0.2">
      <c r="B44811" s="43"/>
    </row>
    <row r="44812" spans="2:2" ht="12.75" customHeight="1" x14ac:dyDescent="0.2">
      <c r="B44812" s="43"/>
    </row>
    <row r="44813" spans="2:2" ht="12.75" customHeight="1" x14ac:dyDescent="0.2">
      <c r="B44813" s="43"/>
    </row>
    <row r="44814" spans="2:2" ht="12.75" customHeight="1" x14ac:dyDescent="0.2">
      <c r="B44814" s="43"/>
    </row>
    <row r="44815" spans="2:2" ht="12.75" customHeight="1" x14ac:dyDescent="0.2">
      <c r="B44815" s="43"/>
    </row>
    <row r="44816" spans="2:2" ht="12.75" customHeight="1" x14ac:dyDescent="0.2">
      <c r="B44816" s="43"/>
    </row>
    <row r="44817" spans="2:2" ht="12.75" customHeight="1" x14ac:dyDescent="0.2">
      <c r="B44817" s="43"/>
    </row>
    <row r="44818" spans="2:2" ht="12.75" customHeight="1" x14ac:dyDescent="0.2">
      <c r="B44818" s="43"/>
    </row>
    <row r="44819" spans="2:2" ht="12.75" customHeight="1" x14ac:dyDescent="0.2">
      <c r="B44819" s="43"/>
    </row>
    <row r="44820" spans="2:2" ht="12.75" customHeight="1" x14ac:dyDescent="0.2">
      <c r="B44820" s="43"/>
    </row>
    <row r="44821" spans="2:2" ht="12.75" customHeight="1" x14ac:dyDescent="0.2">
      <c r="B44821" s="43"/>
    </row>
    <row r="44822" spans="2:2" ht="12.75" customHeight="1" x14ac:dyDescent="0.2">
      <c r="B44822" s="43"/>
    </row>
    <row r="44823" spans="2:2" ht="12.75" customHeight="1" x14ac:dyDescent="0.2">
      <c r="B44823" s="43"/>
    </row>
    <row r="44824" spans="2:2" ht="12.75" customHeight="1" x14ac:dyDescent="0.2">
      <c r="B44824" s="43"/>
    </row>
    <row r="44825" spans="2:2" ht="12.75" customHeight="1" x14ac:dyDescent="0.2">
      <c r="B44825" s="43"/>
    </row>
    <row r="44826" spans="2:2" ht="12.75" customHeight="1" x14ac:dyDescent="0.2">
      <c r="B44826" s="43"/>
    </row>
    <row r="44827" spans="2:2" ht="12.75" customHeight="1" x14ac:dyDescent="0.2">
      <c r="B44827" s="43"/>
    </row>
    <row r="44828" spans="2:2" ht="12.75" customHeight="1" x14ac:dyDescent="0.2">
      <c r="B44828" s="43"/>
    </row>
    <row r="44829" spans="2:2" ht="12.75" customHeight="1" x14ac:dyDescent="0.2">
      <c r="B44829" s="43"/>
    </row>
    <row r="44830" spans="2:2" ht="12.75" customHeight="1" x14ac:dyDescent="0.2">
      <c r="B44830" s="43"/>
    </row>
    <row r="44831" spans="2:2" ht="12.75" customHeight="1" x14ac:dyDescent="0.2">
      <c r="B44831" s="43"/>
    </row>
    <row r="44832" spans="2:2" ht="12.75" customHeight="1" x14ac:dyDescent="0.2">
      <c r="B44832" s="43"/>
    </row>
    <row r="44833" spans="2:2" ht="12.75" customHeight="1" x14ac:dyDescent="0.2">
      <c r="B44833" s="43"/>
    </row>
    <row r="44834" spans="2:2" ht="12.75" customHeight="1" x14ac:dyDescent="0.2">
      <c r="B44834" s="43"/>
    </row>
    <row r="44835" spans="2:2" ht="12.75" customHeight="1" x14ac:dyDescent="0.2">
      <c r="B44835" s="43"/>
    </row>
    <row r="44836" spans="2:2" ht="12.75" customHeight="1" x14ac:dyDescent="0.2">
      <c r="B44836" s="43"/>
    </row>
    <row r="44837" spans="2:2" ht="12.75" customHeight="1" x14ac:dyDescent="0.2">
      <c r="B44837" s="43"/>
    </row>
    <row r="44838" spans="2:2" ht="12.75" customHeight="1" x14ac:dyDescent="0.2">
      <c r="B44838" s="43"/>
    </row>
    <row r="44839" spans="2:2" ht="12.75" customHeight="1" x14ac:dyDescent="0.2">
      <c r="B44839" s="43"/>
    </row>
    <row r="44840" spans="2:2" ht="12.75" customHeight="1" x14ac:dyDescent="0.2">
      <c r="B44840" s="43"/>
    </row>
    <row r="44841" spans="2:2" ht="12.75" customHeight="1" x14ac:dyDescent="0.2">
      <c r="B44841" s="43"/>
    </row>
    <row r="44842" spans="2:2" ht="12.75" customHeight="1" x14ac:dyDescent="0.2">
      <c r="B44842" s="43"/>
    </row>
    <row r="44843" spans="2:2" ht="12.75" customHeight="1" x14ac:dyDescent="0.2">
      <c r="B44843" s="43"/>
    </row>
    <row r="44844" spans="2:2" ht="12.75" customHeight="1" x14ac:dyDescent="0.2">
      <c r="B44844" s="43"/>
    </row>
    <row r="44845" spans="2:2" ht="12.75" customHeight="1" x14ac:dyDescent="0.2">
      <c r="B44845" s="43"/>
    </row>
    <row r="44846" spans="2:2" ht="12.75" customHeight="1" x14ac:dyDescent="0.2">
      <c r="B44846" s="43"/>
    </row>
    <row r="44847" spans="2:2" ht="12.75" customHeight="1" x14ac:dyDescent="0.2">
      <c r="B44847" s="43"/>
    </row>
    <row r="44848" spans="2:2" ht="12.75" customHeight="1" x14ac:dyDescent="0.2">
      <c r="B44848" s="43"/>
    </row>
    <row r="44849" spans="2:2" ht="12.75" customHeight="1" x14ac:dyDescent="0.2">
      <c r="B44849" s="43"/>
    </row>
    <row r="44850" spans="2:2" ht="12.75" customHeight="1" x14ac:dyDescent="0.2">
      <c r="B44850" s="43"/>
    </row>
    <row r="44851" spans="2:2" ht="12.75" customHeight="1" x14ac:dyDescent="0.2">
      <c r="B44851" s="43"/>
    </row>
    <row r="44852" spans="2:2" ht="12.75" customHeight="1" x14ac:dyDescent="0.2">
      <c r="B44852" s="43"/>
    </row>
    <row r="44853" spans="2:2" ht="12.75" customHeight="1" x14ac:dyDescent="0.2">
      <c r="B44853" s="43"/>
    </row>
    <row r="44854" spans="2:2" ht="12.75" customHeight="1" x14ac:dyDescent="0.2">
      <c r="B44854" s="43"/>
    </row>
    <row r="44855" spans="2:2" ht="12.75" customHeight="1" x14ac:dyDescent="0.2">
      <c r="B44855" s="43"/>
    </row>
    <row r="44856" spans="2:2" ht="12.75" customHeight="1" x14ac:dyDescent="0.2">
      <c r="B44856" s="43"/>
    </row>
    <row r="44857" spans="2:2" ht="12.75" customHeight="1" x14ac:dyDescent="0.2">
      <c r="B44857" s="43"/>
    </row>
    <row r="44858" spans="2:2" ht="12.75" customHeight="1" x14ac:dyDescent="0.2">
      <c r="B44858" s="43"/>
    </row>
    <row r="44859" spans="2:2" ht="12.75" customHeight="1" x14ac:dyDescent="0.2">
      <c r="B44859" s="43"/>
    </row>
    <row r="44860" spans="2:2" ht="12.75" customHeight="1" x14ac:dyDescent="0.2">
      <c r="B44860" s="43"/>
    </row>
    <row r="44861" spans="2:2" ht="12.75" customHeight="1" x14ac:dyDescent="0.2">
      <c r="B44861" s="43"/>
    </row>
    <row r="44862" spans="2:2" ht="12.75" customHeight="1" x14ac:dyDescent="0.2">
      <c r="B44862" s="43"/>
    </row>
    <row r="44863" spans="2:2" ht="12.75" customHeight="1" x14ac:dyDescent="0.2">
      <c r="B44863" s="43"/>
    </row>
    <row r="44864" spans="2:2" ht="12.75" customHeight="1" x14ac:dyDescent="0.2">
      <c r="B44864" s="43"/>
    </row>
    <row r="44865" spans="2:2" ht="12.75" customHeight="1" x14ac:dyDescent="0.2">
      <c r="B44865" s="43"/>
    </row>
    <row r="44866" spans="2:2" ht="12.75" customHeight="1" x14ac:dyDescent="0.2">
      <c r="B44866" s="43"/>
    </row>
    <row r="44867" spans="2:2" ht="12.75" customHeight="1" x14ac:dyDescent="0.2">
      <c r="B44867" s="43"/>
    </row>
    <row r="44868" spans="2:2" ht="12.75" customHeight="1" x14ac:dyDescent="0.2">
      <c r="B44868" s="43"/>
    </row>
    <row r="44869" spans="2:2" ht="12.75" customHeight="1" x14ac:dyDescent="0.2">
      <c r="B44869" s="43"/>
    </row>
    <row r="44870" spans="2:2" ht="12.75" customHeight="1" x14ac:dyDescent="0.2">
      <c r="B44870" s="43"/>
    </row>
    <row r="44871" spans="2:2" ht="12.75" customHeight="1" x14ac:dyDescent="0.2">
      <c r="B44871" s="43"/>
    </row>
    <row r="44872" spans="2:2" ht="12.75" customHeight="1" x14ac:dyDescent="0.2">
      <c r="B44872" s="43"/>
    </row>
    <row r="44873" spans="2:2" ht="12.75" customHeight="1" x14ac:dyDescent="0.2">
      <c r="B44873" s="43"/>
    </row>
    <row r="44874" spans="2:2" ht="12.75" customHeight="1" x14ac:dyDescent="0.2">
      <c r="B44874" s="43"/>
    </row>
    <row r="44875" spans="2:2" ht="12.75" customHeight="1" x14ac:dyDescent="0.2">
      <c r="B44875" s="43"/>
    </row>
    <row r="44876" spans="2:2" ht="12.75" customHeight="1" x14ac:dyDescent="0.2">
      <c r="B44876" s="43"/>
    </row>
    <row r="44877" spans="2:2" ht="12.75" customHeight="1" x14ac:dyDescent="0.2">
      <c r="B44877" s="43"/>
    </row>
    <row r="44878" spans="2:2" ht="12.75" customHeight="1" x14ac:dyDescent="0.2">
      <c r="B44878" s="43"/>
    </row>
    <row r="44879" spans="2:2" ht="12.75" customHeight="1" x14ac:dyDescent="0.2">
      <c r="B44879" s="43"/>
    </row>
    <row r="44880" spans="2:2" ht="12.75" customHeight="1" x14ac:dyDescent="0.2">
      <c r="B44880" s="43"/>
    </row>
    <row r="44881" spans="2:2" ht="12.75" customHeight="1" x14ac:dyDescent="0.2">
      <c r="B44881" s="43"/>
    </row>
    <row r="44882" spans="2:2" ht="12.75" customHeight="1" x14ac:dyDescent="0.2">
      <c r="B44882" s="43"/>
    </row>
    <row r="44883" spans="2:2" ht="12.75" customHeight="1" x14ac:dyDescent="0.2">
      <c r="B44883" s="43"/>
    </row>
    <row r="44884" spans="2:2" ht="12.75" customHeight="1" x14ac:dyDescent="0.2">
      <c r="B44884" s="43"/>
    </row>
    <row r="44885" spans="2:2" ht="12.75" customHeight="1" x14ac:dyDescent="0.2">
      <c r="B44885" s="43"/>
    </row>
    <row r="44886" spans="2:2" ht="12.75" customHeight="1" x14ac:dyDescent="0.2">
      <c r="B44886" s="43"/>
    </row>
    <row r="44887" spans="2:2" ht="12.75" customHeight="1" x14ac:dyDescent="0.2">
      <c r="B44887" s="43"/>
    </row>
    <row r="44888" spans="2:2" ht="12.75" customHeight="1" x14ac:dyDescent="0.2">
      <c r="B44888" s="43"/>
    </row>
    <row r="44889" spans="2:2" ht="12.75" customHeight="1" x14ac:dyDescent="0.2">
      <c r="B44889" s="43"/>
    </row>
    <row r="44890" spans="2:2" ht="12.75" customHeight="1" x14ac:dyDescent="0.2">
      <c r="B44890" s="43"/>
    </row>
    <row r="44891" spans="2:2" ht="12.75" customHeight="1" x14ac:dyDescent="0.2">
      <c r="B44891" s="43"/>
    </row>
    <row r="44892" spans="2:2" ht="12.75" customHeight="1" x14ac:dyDescent="0.2">
      <c r="B44892" s="43"/>
    </row>
    <row r="44893" spans="2:2" ht="12.75" customHeight="1" x14ac:dyDescent="0.2">
      <c r="B44893" s="43"/>
    </row>
    <row r="44894" spans="2:2" ht="12.75" customHeight="1" x14ac:dyDescent="0.2">
      <c r="B44894" s="43"/>
    </row>
    <row r="44895" spans="2:2" ht="12.75" customHeight="1" x14ac:dyDescent="0.2">
      <c r="B44895" s="43"/>
    </row>
    <row r="44896" spans="2:2" ht="12.75" customHeight="1" x14ac:dyDescent="0.2">
      <c r="B44896" s="43"/>
    </row>
    <row r="44897" spans="2:2" ht="12.75" customHeight="1" x14ac:dyDescent="0.2">
      <c r="B44897" s="43"/>
    </row>
    <row r="44898" spans="2:2" ht="12.75" customHeight="1" x14ac:dyDescent="0.2">
      <c r="B44898" s="43"/>
    </row>
    <row r="44899" spans="2:2" ht="12.75" customHeight="1" x14ac:dyDescent="0.2">
      <c r="B44899" s="43"/>
    </row>
    <row r="44900" spans="2:2" ht="12.75" customHeight="1" x14ac:dyDescent="0.2">
      <c r="B44900" s="43"/>
    </row>
    <row r="44901" spans="2:2" ht="12.75" customHeight="1" x14ac:dyDescent="0.2">
      <c r="B44901" s="43"/>
    </row>
    <row r="44902" spans="2:2" ht="12.75" customHeight="1" x14ac:dyDescent="0.2">
      <c r="B44902" s="43"/>
    </row>
    <row r="44903" spans="2:2" ht="12.75" customHeight="1" x14ac:dyDescent="0.2">
      <c r="B44903" s="43"/>
    </row>
    <row r="44904" spans="2:2" ht="12.75" customHeight="1" x14ac:dyDescent="0.2">
      <c r="B44904" s="43"/>
    </row>
    <row r="44905" spans="2:2" ht="12.75" customHeight="1" x14ac:dyDescent="0.2">
      <c r="B44905" s="43"/>
    </row>
    <row r="44906" spans="2:2" ht="12.75" customHeight="1" x14ac:dyDescent="0.2">
      <c r="B44906" s="43"/>
    </row>
    <row r="44907" spans="2:2" ht="12.75" customHeight="1" x14ac:dyDescent="0.2">
      <c r="B44907" s="43"/>
    </row>
    <row r="44908" spans="2:2" ht="12.75" customHeight="1" x14ac:dyDescent="0.2">
      <c r="B44908" s="43"/>
    </row>
    <row r="44909" spans="2:2" ht="12.75" customHeight="1" x14ac:dyDescent="0.2">
      <c r="B44909" s="43"/>
    </row>
    <row r="44910" spans="2:2" ht="12.75" customHeight="1" x14ac:dyDescent="0.2">
      <c r="B44910" s="43"/>
    </row>
    <row r="44911" spans="2:2" ht="12.75" customHeight="1" x14ac:dyDescent="0.2">
      <c r="B44911" s="43"/>
    </row>
    <row r="44912" spans="2:2" ht="12.75" customHeight="1" x14ac:dyDescent="0.2">
      <c r="B44912" s="43"/>
    </row>
    <row r="44913" spans="2:2" ht="12.75" customHeight="1" x14ac:dyDescent="0.2">
      <c r="B44913" s="43"/>
    </row>
    <row r="44914" spans="2:2" ht="12.75" customHeight="1" x14ac:dyDescent="0.2">
      <c r="B44914" s="43"/>
    </row>
    <row r="44915" spans="2:2" ht="12.75" customHeight="1" x14ac:dyDescent="0.2">
      <c r="B44915" s="43"/>
    </row>
    <row r="44916" spans="2:2" ht="12.75" customHeight="1" x14ac:dyDescent="0.2">
      <c r="B44916" s="43"/>
    </row>
    <row r="44917" spans="2:2" ht="12.75" customHeight="1" x14ac:dyDescent="0.2">
      <c r="B44917" s="43"/>
    </row>
    <row r="44918" spans="2:2" ht="12.75" customHeight="1" x14ac:dyDescent="0.2">
      <c r="B44918" s="43"/>
    </row>
    <row r="44919" spans="2:2" ht="12.75" customHeight="1" x14ac:dyDescent="0.2">
      <c r="B44919" s="43"/>
    </row>
    <row r="44920" spans="2:2" ht="12.75" customHeight="1" x14ac:dyDescent="0.2">
      <c r="B44920" s="43"/>
    </row>
    <row r="44921" spans="2:2" ht="12.75" customHeight="1" x14ac:dyDescent="0.2">
      <c r="B44921" s="43"/>
    </row>
    <row r="44922" spans="2:2" ht="12.75" customHeight="1" x14ac:dyDescent="0.2">
      <c r="B44922" s="43"/>
    </row>
    <row r="44923" spans="2:2" ht="12.75" customHeight="1" x14ac:dyDescent="0.2">
      <c r="B44923" s="43"/>
    </row>
    <row r="44924" spans="2:2" ht="12.75" customHeight="1" x14ac:dyDescent="0.2">
      <c r="B44924" s="43"/>
    </row>
    <row r="44925" spans="2:2" ht="12.75" customHeight="1" x14ac:dyDescent="0.2">
      <c r="B44925" s="43"/>
    </row>
    <row r="44926" spans="2:2" ht="12.75" customHeight="1" x14ac:dyDescent="0.2">
      <c r="B44926" s="43"/>
    </row>
    <row r="44927" spans="2:2" ht="12.75" customHeight="1" x14ac:dyDescent="0.2">
      <c r="B44927" s="43"/>
    </row>
    <row r="44928" spans="2:2" ht="12.75" customHeight="1" x14ac:dyDescent="0.2">
      <c r="B44928" s="43"/>
    </row>
    <row r="44929" spans="2:2" ht="12.75" customHeight="1" x14ac:dyDescent="0.2">
      <c r="B44929" s="43"/>
    </row>
    <row r="44930" spans="2:2" ht="12.75" customHeight="1" x14ac:dyDescent="0.2">
      <c r="B44930" s="43"/>
    </row>
    <row r="44931" spans="2:2" ht="12.75" customHeight="1" x14ac:dyDescent="0.2">
      <c r="B44931" s="43"/>
    </row>
    <row r="44932" spans="2:2" ht="12.75" customHeight="1" x14ac:dyDescent="0.2">
      <c r="B44932" s="43"/>
    </row>
    <row r="44933" spans="2:2" ht="12.75" customHeight="1" x14ac:dyDescent="0.2">
      <c r="B44933" s="43"/>
    </row>
    <row r="44934" spans="2:2" ht="12.75" customHeight="1" x14ac:dyDescent="0.2">
      <c r="B44934" s="43"/>
    </row>
    <row r="44935" spans="2:2" ht="12.75" customHeight="1" x14ac:dyDescent="0.2">
      <c r="B44935" s="43"/>
    </row>
    <row r="44936" spans="2:2" ht="12.75" customHeight="1" x14ac:dyDescent="0.2">
      <c r="B44936" s="43"/>
    </row>
    <row r="44937" spans="2:2" ht="12.75" customHeight="1" x14ac:dyDescent="0.2">
      <c r="B44937" s="43"/>
    </row>
    <row r="44938" spans="2:2" ht="12.75" customHeight="1" x14ac:dyDescent="0.2">
      <c r="B44938" s="43"/>
    </row>
    <row r="44939" spans="2:2" ht="12.75" customHeight="1" x14ac:dyDescent="0.2">
      <c r="B44939" s="43"/>
    </row>
    <row r="44940" spans="2:2" ht="12.75" customHeight="1" x14ac:dyDescent="0.2">
      <c r="B44940" s="43"/>
    </row>
    <row r="44941" spans="2:2" ht="12.75" customHeight="1" x14ac:dyDescent="0.2">
      <c r="B44941" s="43"/>
    </row>
    <row r="44942" spans="2:2" ht="12.75" customHeight="1" x14ac:dyDescent="0.2">
      <c r="B44942" s="43"/>
    </row>
    <row r="44943" spans="2:2" ht="12.75" customHeight="1" x14ac:dyDescent="0.2">
      <c r="B44943" s="43"/>
    </row>
    <row r="44944" spans="2:2" ht="12.75" customHeight="1" x14ac:dyDescent="0.2">
      <c r="B44944" s="43"/>
    </row>
    <row r="44945" spans="2:2" ht="12.75" customHeight="1" x14ac:dyDescent="0.2">
      <c r="B44945" s="43"/>
    </row>
    <row r="44946" spans="2:2" ht="12.75" customHeight="1" x14ac:dyDescent="0.2">
      <c r="B44946" s="43"/>
    </row>
    <row r="44947" spans="2:2" ht="12.75" customHeight="1" x14ac:dyDescent="0.2">
      <c r="B44947" s="43"/>
    </row>
    <row r="44948" spans="2:2" ht="12.75" customHeight="1" x14ac:dyDescent="0.2">
      <c r="B44948" s="43"/>
    </row>
    <row r="44949" spans="2:2" ht="12.75" customHeight="1" x14ac:dyDescent="0.2">
      <c r="B44949" s="43"/>
    </row>
    <row r="44950" spans="2:2" ht="12.75" customHeight="1" x14ac:dyDescent="0.2">
      <c r="B44950" s="43"/>
    </row>
    <row r="44951" spans="2:2" ht="12.75" customHeight="1" x14ac:dyDescent="0.2">
      <c r="B44951" s="43"/>
    </row>
    <row r="44952" spans="2:2" ht="12.75" customHeight="1" x14ac:dyDescent="0.2">
      <c r="B44952" s="43"/>
    </row>
    <row r="44953" spans="2:2" ht="12.75" customHeight="1" x14ac:dyDescent="0.2">
      <c r="B44953" s="43"/>
    </row>
    <row r="44954" spans="2:2" ht="12.75" customHeight="1" x14ac:dyDescent="0.2">
      <c r="B44954" s="43"/>
    </row>
    <row r="44955" spans="2:2" ht="12.75" customHeight="1" x14ac:dyDescent="0.2">
      <c r="B44955" s="43"/>
    </row>
    <row r="44956" spans="2:2" ht="12.75" customHeight="1" x14ac:dyDescent="0.2">
      <c r="B44956" s="43"/>
    </row>
    <row r="44957" spans="2:2" ht="12.75" customHeight="1" x14ac:dyDescent="0.2">
      <c r="B44957" s="43"/>
    </row>
    <row r="44958" spans="2:2" ht="12.75" customHeight="1" x14ac:dyDescent="0.2">
      <c r="B44958" s="43"/>
    </row>
    <row r="44959" spans="2:2" ht="12.75" customHeight="1" x14ac:dyDescent="0.2">
      <c r="B44959" s="43"/>
    </row>
    <row r="44960" spans="2:2" ht="12.75" customHeight="1" x14ac:dyDescent="0.2">
      <c r="B44960" s="43"/>
    </row>
    <row r="44961" spans="2:2" ht="12.75" customHeight="1" x14ac:dyDescent="0.2">
      <c r="B44961" s="43"/>
    </row>
    <row r="44962" spans="2:2" ht="12.75" customHeight="1" x14ac:dyDescent="0.2">
      <c r="B44962" s="43"/>
    </row>
    <row r="44963" spans="2:2" ht="12.75" customHeight="1" x14ac:dyDescent="0.2">
      <c r="B44963" s="43"/>
    </row>
    <row r="44964" spans="2:2" ht="12.75" customHeight="1" x14ac:dyDescent="0.2">
      <c r="B44964" s="43"/>
    </row>
    <row r="44965" spans="2:2" ht="12.75" customHeight="1" x14ac:dyDescent="0.2">
      <c r="B44965" s="43"/>
    </row>
    <row r="44966" spans="2:2" ht="12.75" customHeight="1" x14ac:dyDescent="0.2">
      <c r="B44966" s="43"/>
    </row>
    <row r="44967" spans="2:2" ht="12.75" customHeight="1" x14ac:dyDescent="0.2">
      <c r="B44967" s="43"/>
    </row>
    <row r="44968" spans="2:2" ht="12.75" customHeight="1" x14ac:dyDescent="0.2">
      <c r="B44968" s="43"/>
    </row>
    <row r="44969" spans="2:2" ht="12.75" customHeight="1" x14ac:dyDescent="0.2">
      <c r="B44969" s="43"/>
    </row>
    <row r="44970" spans="2:2" ht="12.75" customHeight="1" x14ac:dyDescent="0.2">
      <c r="B44970" s="43"/>
    </row>
    <row r="44971" spans="2:2" ht="12.75" customHeight="1" x14ac:dyDescent="0.2">
      <c r="B44971" s="43"/>
    </row>
    <row r="44972" spans="2:2" ht="12.75" customHeight="1" x14ac:dyDescent="0.2">
      <c r="B44972" s="43"/>
    </row>
    <row r="44973" spans="2:2" ht="12.75" customHeight="1" x14ac:dyDescent="0.2">
      <c r="B44973" s="43"/>
    </row>
    <row r="44974" spans="2:2" ht="12.75" customHeight="1" x14ac:dyDescent="0.2">
      <c r="B44974" s="43"/>
    </row>
    <row r="44975" spans="2:2" ht="12.75" customHeight="1" x14ac:dyDescent="0.2">
      <c r="B44975" s="43"/>
    </row>
    <row r="44976" spans="2:2" ht="12.75" customHeight="1" x14ac:dyDescent="0.2">
      <c r="B44976" s="43"/>
    </row>
    <row r="44977" spans="2:2" ht="12.75" customHeight="1" x14ac:dyDescent="0.2">
      <c r="B44977" s="43"/>
    </row>
    <row r="44978" spans="2:2" ht="12.75" customHeight="1" x14ac:dyDescent="0.2">
      <c r="B44978" s="43"/>
    </row>
    <row r="44979" spans="2:2" ht="12.75" customHeight="1" x14ac:dyDescent="0.2">
      <c r="B44979" s="43"/>
    </row>
    <row r="44980" spans="2:2" ht="12.75" customHeight="1" x14ac:dyDescent="0.2">
      <c r="B44980" s="43"/>
    </row>
    <row r="44981" spans="2:2" ht="12.75" customHeight="1" x14ac:dyDescent="0.2">
      <c r="B44981" s="43"/>
    </row>
    <row r="44982" spans="2:2" ht="12.75" customHeight="1" x14ac:dyDescent="0.2">
      <c r="B44982" s="43"/>
    </row>
    <row r="44983" spans="2:2" ht="12.75" customHeight="1" x14ac:dyDescent="0.2">
      <c r="B44983" s="43"/>
    </row>
    <row r="44984" spans="2:2" ht="12.75" customHeight="1" x14ac:dyDescent="0.2">
      <c r="B44984" s="43"/>
    </row>
    <row r="44985" spans="2:2" ht="12.75" customHeight="1" x14ac:dyDescent="0.2">
      <c r="B44985" s="43"/>
    </row>
    <row r="44986" spans="2:2" ht="12.75" customHeight="1" x14ac:dyDescent="0.2">
      <c r="B44986" s="43"/>
    </row>
    <row r="44987" spans="2:2" ht="12.75" customHeight="1" x14ac:dyDescent="0.2">
      <c r="B44987" s="43"/>
    </row>
    <row r="44988" spans="2:2" ht="12.75" customHeight="1" x14ac:dyDescent="0.2">
      <c r="B44988" s="43"/>
    </row>
    <row r="44989" spans="2:2" ht="12.75" customHeight="1" x14ac:dyDescent="0.2">
      <c r="B44989" s="43"/>
    </row>
    <row r="44990" spans="2:2" ht="12.75" customHeight="1" x14ac:dyDescent="0.2">
      <c r="B44990" s="43"/>
    </row>
    <row r="44991" spans="2:2" ht="12.75" customHeight="1" x14ac:dyDescent="0.2">
      <c r="B44991" s="43"/>
    </row>
    <row r="44992" spans="2:2" ht="12.75" customHeight="1" x14ac:dyDescent="0.2">
      <c r="B44992" s="43"/>
    </row>
    <row r="44993" spans="2:2" ht="12.75" customHeight="1" x14ac:dyDescent="0.2">
      <c r="B44993" s="43"/>
    </row>
    <row r="44994" spans="2:2" ht="12.75" customHeight="1" x14ac:dyDescent="0.2">
      <c r="B44994" s="43"/>
    </row>
    <row r="44995" spans="2:2" ht="12.75" customHeight="1" x14ac:dyDescent="0.2">
      <c r="B44995" s="43"/>
    </row>
    <row r="44996" spans="2:2" ht="12.75" customHeight="1" x14ac:dyDescent="0.2">
      <c r="B44996" s="43"/>
    </row>
    <row r="44997" spans="2:2" ht="12.75" customHeight="1" x14ac:dyDescent="0.2">
      <c r="B44997" s="43"/>
    </row>
    <row r="44998" spans="2:2" ht="12.75" customHeight="1" x14ac:dyDescent="0.2">
      <c r="B44998" s="43"/>
    </row>
    <row r="44999" spans="2:2" ht="12.75" customHeight="1" x14ac:dyDescent="0.2">
      <c r="B44999" s="43"/>
    </row>
    <row r="45000" spans="2:2" ht="12.75" customHeight="1" x14ac:dyDescent="0.2">
      <c r="B45000" s="43"/>
    </row>
    <row r="45001" spans="2:2" ht="12.75" customHeight="1" x14ac:dyDescent="0.2">
      <c r="B45001" s="43"/>
    </row>
    <row r="45002" spans="2:2" ht="12.75" customHeight="1" x14ac:dyDescent="0.2">
      <c r="B45002" s="43"/>
    </row>
    <row r="45003" spans="2:2" ht="12.75" customHeight="1" x14ac:dyDescent="0.2">
      <c r="B45003" s="43"/>
    </row>
    <row r="45004" spans="2:2" ht="12.75" customHeight="1" x14ac:dyDescent="0.2">
      <c r="B45004" s="43"/>
    </row>
    <row r="45005" spans="2:2" ht="12.75" customHeight="1" x14ac:dyDescent="0.2">
      <c r="B45005" s="43"/>
    </row>
    <row r="45006" spans="2:2" ht="12.75" customHeight="1" x14ac:dyDescent="0.2">
      <c r="B45006" s="43"/>
    </row>
    <row r="45007" spans="2:2" ht="12.75" customHeight="1" x14ac:dyDescent="0.2">
      <c r="B45007" s="43"/>
    </row>
    <row r="45008" spans="2:2" ht="12.75" customHeight="1" x14ac:dyDescent="0.2">
      <c r="B45008" s="43"/>
    </row>
    <row r="45009" spans="2:2" ht="12.75" customHeight="1" x14ac:dyDescent="0.2">
      <c r="B45009" s="43"/>
    </row>
    <row r="45010" spans="2:2" ht="12.75" customHeight="1" x14ac:dyDescent="0.2">
      <c r="B45010" s="43"/>
    </row>
    <row r="45011" spans="2:2" ht="12.75" customHeight="1" x14ac:dyDescent="0.2">
      <c r="B45011" s="43"/>
    </row>
    <row r="45012" spans="2:2" ht="12.75" customHeight="1" x14ac:dyDescent="0.2">
      <c r="B45012" s="43"/>
    </row>
    <row r="45013" spans="2:2" ht="12.75" customHeight="1" x14ac:dyDescent="0.2">
      <c r="B45013" s="43"/>
    </row>
    <row r="45014" spans="2:2" ht="12.75" customHeight="1" x14ac:dyDescent="0.2">
      <c r="B45014" s="43"/>
    </row>
    <row r="45015" spans="2:2" ht="12.75" customHeight="1" x14ac:dyDescent="0.2">
      <c r="B45015" s="43"/>
    </row>
    <row r="45016" spans="2:2" ht="12.75" customHeight="1" x14ac:dyDescent="0.2">
      <c r="B45016" s="43"/>
    </row>
    <row r="45017" spans="2:2" ht="12.75" customHeight="1" x14ac:dyDescent="0.2">
      <c r="B45017" s="43"/>
    </row>
    <row r="45018" spans="2:2" ht="12.75" customHeight="1" x14ac:dyDescent="0.2">
      <c r="B45018" s="43"/>
    </row>
    <row r="45019" spans="2:2" ht="12.75" customHeight="1" x14ac:dyDescent="0.2">
      <c r="B45019" s="43"/>
    </row>
    <row r="45020" spans="2:2" ht="12.75" customHeight="1" x14ac:dyDescent="0.2">
      <c r="B45020" s="43"/>
    </row>
    <row r="45021" spans="2:2" ht="12.75" customHeight="1" x14ac:dyDescent="0.2">
      <c r="B45021" s="43"/>
    </row>
    <row r="45022" spans="2:2" ht="12.75" customHeight="1" x14ac:dyDescent="0.2">
      <c r="B45022" s="43"/>
    </row>
    <row r="45023" spans="2:2" ht="12.75" customHeight="1" x14ac:dyDescent="0.2">
      <c r="B45023" s="43"/>
    </row>
    <row r="45024" spans="2:2" ht="12.75" customHeight="1" x14ac:dyDescent="0.2">
      <c r="B45024" s="43"/>
    </row>
    <row r="45025" spans="2:2" ht="12.75" customHeight="1" x14ac:dyDescent="0.2">
      <c r="B45025" s="43"/>
    </row>
    <row r="45026" spans="2:2" ht="12.75" customHeight="1" x14ac:dyDescent="0.2">
      <c r="B45026" s="43"/>
    </row>
    <row r="45027" spans="2:2" ht="12.75" customHeight="1" x14ac:dyDescent="0.2">
      <c r="B45027" s="43"/>
    </row>
    <row r="45028" spans="2:2" ht="12.75" customHeight="1" x14ac:dyDescent="0.2">
      <c r="B45028" s="43"/>
    </row>
    <row r="45029" spans="2:2" ht="12.75" customHeight="1" x14ac:dyDescent="0.2">
      <c r="B45029" s="43"/>
    </row>
    <row r="45030" spans="2:2" ht="12.75" customHeight="1" x14ac:dyDescent="0.2">
      <c r="B45030" s="43"/>
    </row>
    <row r="45031" spans="2:2" ht="12.75" customHeight="1" x14ac:dyDescent="0.2">
      <c r="B45031" s="43"/>
    </row>
    <row r="45032" spans="2:2" ht="12.75" customHeight="1" x14ac:dyDescent="0.2">
      <c r="B45032" s="43"/>
    </row>
    <row r="45033" spans="2:2" ht="12.75" customHeight="1" x14ac:dyDescent="0.2">
      <c r="B45033" s="43"/>
    </row>
    <row r="45034" spans="2:2" ht="12.75" customHeight="1" x14ac:dyDescent="0.2">
      <c r="B45034" s="43"/>
    </row>
    <row r="45035" spans="2:2" ht="12.75" customHeight="1" x14ac:dyDescent="0.2">
      <c r="B45035" s="43"/>
    </row>
    <row r="45036" spans="2:2" ht="12.75" customHeight="1" x14ac:dyDescent="0.2">
      <c r="B45036" s="43"/>
    </row>
    <row r="45037" spans="2:2" ht="12.75" customHeight="1" x14ac:dyDescent="0.2">
      <c r="B45037" s="43"/>
    </row>
    <row r="45038" spans="2:2" ht="12.75" customHeight="1" x14ac:dyDescent="0.2">
      <c r="B45038" s="43"/>
    </row>
    <row r="45039" spans="2:2" ht="12.75" customHeight="1" x14ac:dyDescent="0.2">
      <c r="B45039" s="43"/>
    </row>
    <row r="45040" spans="2:2" ht="12.75" customHeight="1" x14ac:dyDescent="0.2">
      <c r="B45040" s="43"/>
    </row>
    <row r="45041" spans="2:2" ht="12.75" customHeight="1" x14ac:dyDescent="0.2">
      <c r="B45041" s="43"/>
    </row>
    <row r="45042" spans="2:2" ht="12.75" customHeight="1" x14ac:dyDescent="0.2">
      <c r="B45042" s="43"/>
    </row>
    <row r="45043" spans="2:2" ht="12.75" customHeight="1" x14ac:dyDescent="0.2">
      <c r="B45043" s="43"/>
    </row>
    <row r="45044" spans="2:2" ht="12.75" customHeight="1" x14ac:dyDescent="0.2">
      <c r="B45044" s="43"/>
    </row>
    <row r="45045" spans="2:2" ht="12.75" customHeight="1" x14ac:dyDescent="0.2">
      <c r="B45045" s="43"/>
    </row>
    <row r="45046" spans="2:2" ht="12.75" customHeight="1" x14ac:dyDescent="0.2">
      <c r="B45046" s="43"/>
    </row>
    <row r="45047" spans="2:2" ht="12.75" customHeight="1" x14ac:dyDescent="0.2">
      <c r="B45047" s="43"/>
    </row>
    <row r="45048" spans="2:2" ht="12.75" customHeight="1" x14ac:dyDescent="0.2">
      <c r="B45048" s="43"/>
    </row>
    <row r="45049" spans="2:2" ht="12.75" customHeight="1" x14ac:dyDescent="0.2">
      <c r="B45049" s="43"/>
    </row>
    <row r="45050" spans="2:2" ht="12.75" customHeight="1" x14ac:dyDescent="0.2">
      <c r="B45050" s="43"/>
    </row>
    <row r="45051" spans="2:2" ht="12.75" customHeight="1" x14ac:dyDescent="0.2">
      <c r="B45051" s="43"/>
    </row>
    <row r="45052" spans="2:2" ht="12.75" customHeight="1" x14ac:dyDescent="0.2">
      <c r="B45052" s="43"/>
    </row>
    <row r="45053" spans="2:2" ht="12.75" customHeight="1" x14ac:dyDescent="0.2">
      <c r="B45053" s="43"/>
    </row>
    <row r="45054" spans="2:2" ht="12.75" customHeight="1" x14ac:dyDescent="0.2">
      <c r="B45054" s="43"/>
    </row>
    <row r="45055" spans="2:2" ht="12.75" customHeight="1" x14ac:dyDescent="0.2">
      <c r="B45055" s="43"/>
    </row>
    <row r="45056" spans="2:2" ht="12.75" customHeight="1" x14ac:dyDescent="0.2">
      <c r="B45056" s="43"/>
    </row>
    <row r="45057" spans="2:2" ht="12.75" customHeight="1" x14ac:dyDescent="0.2">
      <c r="B45057" s="43"/>
    </row>
    <row r="45058" spans="2:2" ht="12.75" customHeight="1" x14ac:dyDescent="0.2">
      <c r="B45058" s="43"/>
    </row>
    <row r="45059" spans="2:2" ht="12.75" customHeight="1" x14ac:dyDescent="0.2">
      <c r="B45059" s="43"/>
    </row>
    <row r="45060" spans="2:2" ht="12.75" customHeight="1" x14ac:dyDescent="0.2">
      <c r="B45060" s="43"/>
    </row>
    <row r="45061" spans="2:2" ht="12.75" customHeight="1" x14ac:dyDescent="0.2">
      <c r="B45061" s="43"/>
    </row>
    <row r="45062" spans="2:2" ht="12.75" customHeight="1" x14ac:dyDescent="0.2">
      <c r="B45062" s="43"/>
    </row>
    <row r="45063" spans="2:2" ht="12.75" customHeight="1" x14ac:dyDescent="0.2">
      <c r="B45063" s="43"/>
    </row>
    <row r="45064" spans="2:2" ht="12.75" customHeight="1" x14ac:dyDescent="0.2">
      <c r="B45064" s="43"/>
    </row>
    <row r="45065" spans="2:2" ht="12.75" customHeight="1" x14ac:dyDescent="0.2">
      <c r="B45065" s="43"/>
    </row>
    <row r="45066" spans="2:2" ht="12.75" customHeight="1" x14ac:dyDescent="0.2">
      <c r="B45066" s="43"/>
    </row>
    <row r="45067" spans="2:2" ht="12.75" customHeight="1" x14ac:dyDescent="0.2">
      <c r="B45067" s="43"/>
    </row>
    <row r="45068" spans="2:2" ht="12.75" customHeight="1" x14ac:dyDescent="0.2">
      <c r="B45068" s="43"/>
    </row>
    <row r="45069" spans="2:2" ht="12.75" customHeight="1" x14ac:dyDescent="0.2">
      <c r="B45069" s="43"/>
    </row>
    <row r="45070" spans="2:2" ht="12.75" customHeight="1" x14ac:dyDescent="0.2">
      <c r="B45070" s="43"/>
    </row>
    <row r="45071" spans="2:2" ht="12.75" customHeight="1" x14ac:dyDescent="0.2">
      <c r="B45071" s="43"/>
    </row>
    <row r="45072" spans="2:2" ht="12.75" customHeight="1" x14ac:dyDescent="0.2">
      <c r="B45072" s="43"/>
    </row>
    <row r="45073" spans="2:2" ht="12.75" customHeight="1" x14ac:dyDescent="0.2">
      <c r="B45073" s="43"/>
    </row>
    <row r="45074" spans="2:2" ht="12.75" customHeight="1" x14ac:dyDescent="0.2">
      <c r="B45074" s="43"/>
    </row>
    <row r="45075" spans="2:2" ht="12.75" customHeight="1" x14ac:dyDescent="0.2">
      <c r="B45075" s="43"/>
    </row>
    <row r="45076" spans="2:2" ht="12.75" customHeight="1" x14ac:dyDescent="0.2">
      <c r="B45076" s="43"/>
    </row>
    <row r="45077" spans="2:2" ht="12.75" customHeight="1" x14ac:dyDescent="0.2">
      <c r="B45077" s="43"/>
    </row>
    <row r="45078" spans="2:2" ht="12.75" customHeight="1" x14ac:dyDescent="0.2">
      <c r="B45078" s="43"/>
    </row>
    <row r="45079" spans="2:2" ht="12.75" customHeight="1" x14ac:dyDescent="0.2">
      <c r="B45079" s="43"/>
    </row>
    <row r="45080" spans="2:2" ht="12.75" customHeight="1" x14ac:dyDescent="0.2">
      <c r="B45080" s="43"/>
    </row>
    <row r="45081" spans="2:2" ht="12.75" customHeight="1" x14ac:dyDescent="0.2">
      <c r="B45081" s="43"/>
    </row>
    <row r="45082" spans="2:2" ht="12.75" customHeight="1" x14ac:dyDescent="0.2">
      <c r="B45082" s="43"/>
    </row>
    <row r="45083" spans="2:2" ht="12.75" customHeight="1" x14ac:dyDescent="0.2">
      <c r="B45083" s="43"/>
    </row>
    <row r="45084" spans="2:2" ht="12.75" customHeight="1" x14ac:dyDescent="0.2">
      <c r="B45084" s="43"/>
    </row>
    <row r="45085" spans="2:2" ht="12.75" customHeight="1" x14ac:dyDescent="0.2">
      <c r="B45085" s="43"/>
    </row>
    <row r="45086" spans="2:2" ht="12.75" customHeight="1" x14ac:dyDescent="0.2">
      <c r="B45086" s="43"/>
    </row>
    <row r="45087" spans="2:2" ht="12.75" customHeight="1" x14ac:dyDescent="0.2">
      <c r="B45087" s="43"/>
    </row>
    <row r="45088" spans="2:2" ht="12.75" customHeight="1" x14ac:dyDescent="0.2">
      <c r="B45088" s="43"/>
    </row>
    <row r="45089" spans="2:2" ht="12.75" customHeight="1" x14ac:dyDescent="0.2">
      <c r="B45089" s="43"/>
    </row>
    <row r="45090" spans="2:2" ht="12.75" customHeight="1" x14ac:dyDescent="0.2">
      <c r="B45090" s="43"/>
    </row>
    <row r="45091" spans="2:2" ht="12.75" customHeight="1" x14ac:dyDescent="0.2">
      <c r="B45091" s="43"/>
    </row>
    <row r="45092" spans="2:2" ht="12.75" customHeight="1" x14ac:dyDescent="0.2">
      <c r="B45092" s="43"/>
    </row>
    <row r="45093" spans="2:2" ht="12.75" customHeight="1" x14ac:dyDescent="0.2">
      <c r="B45093" s="43"/>
    </row>
    <row r="45094" spans="2:2" ht="12.75" customHeight="1" x14ac:dyDescent="0.2">
      <c r="B45094" s="43"/>
    </row>
    <row r="45095" spans="2:2" ht="12.75" customHeight="1" x14ac:dyDescent="0.2">
      <c r="B45095" s="43"/>
    </row>
    <row r="45096" spans="2:2" ht="12.75" customHeight="1" x14ac:dyDescent="0.2">
      <c r="B45096" s="43"/>
    </row>
    <row r="45097" spans="2:2" ht="12.75" customHeight="1" x14ac:dyDescent="0.2">
      <c r="B45097" s="43"/>
    </row>
    <row r="45098" spans="2:2" ht="12.75" customHeight="1" x14ac:dyDescent="0.2">
      <c r="B45098" s="43"/>
    </row>
    <row r="45099" spans="2:2" ht="12.75" customHeight="1" x14ac:dyDescent="0.2">
      <c r="B45099" s="43"/>
    </row>
    <row r="45100" spans="2:2" ht="12.75" customHeight="1" x14ac:dyDescent="0.2">
      <c r="B45100" s="43"/>
    </row>
    <row r="45101" spans="2:2" ht="12.75" customHeight="1" x14ac:dyDescent="0.2">
      <c r="B45101" s="43"/>
    </row>
    <row r="45102" spans="2:2" ht="12.75" customHeight="1" x14ac:dyDescent="0.2">
      <c r="B45102" s="43"/>
    </row>
    <row r="45103" spans="2:2" ht="12.75" customHeight="1" x14ac:dyDescent="0.2">
      <c r="B45103" s="43"/>
    </row>
    <row r="45104" spans="2:2" ht="12.75" customHeight="1" x14ac:dyDescent="0.2">
      <c r="B45104" s="43"/>
    </row>
    <row r="45105" spans="2:2" ht="12.75" customHeight="1" x14ac:dyDescent="0.2">
      <c r="B45105" s="43"/>
    </row>
    <row r="45106" spans="2:2" ht="12.75" customHeight="1" x14ac:dyDescent="0.2">
      <c r="B45106" s="43"/>
    </row>
    <row r="45107" spans="2:2" ht="12.75" customHeight="1" x14ac:dyDescent="0.2">
      <c r="B45107" s="43"/>
    </row>
    <row r="45108" spans="2:2" ht="12.75" customHeight="1" x14ac:dyDescent="0.2">
      <c r="B45108" s="43"/>
    </row>
    <row r="45109" spans="2:2" ht="12.75" customHeight="1" x14ac:dyDescent="0.2">
      <c r="B45109" s="43"/>
    </row>
    <row r="45110" spans="2:2" ht="12.75" customHeight="1" x14ac:dyDescent="0.2">
      <c r="B45110" s="43"/>
    </row>
    <row r="45111" spans="2:2" ht="12.75" customHeight="1" x14ac:dyDescent="0.2">
      <c r="B45111" s="43"/>
    </row>
    <row r="45112" spans="2:2" ht="12.75" customHeight="1" x14ac:dyDescent="0.2">
      <c r="B45112" s="43"/>
    </row>
    <row r="45113" spans="2:2" ht="12.75" customHeight="1" x14ac:dyDescent="0.2">
      <c r="B45113" s="43"/>
    </row>
    <row r="45114" spans="2:2" ht="12.75" customHeight="1" x14ac:dyDescent="0.2">
      <c r="B45114" s="43"/>
    </row>
    <row r="45115" spans="2:2" ht="12.75" customHeight="1" x14ac:dyDescent="0.2">
      <c r="B45115" s="43"/>
    </row>
    <row r="45116" spans="2:2" ht="12.75" customHeight="1" x14ac:dyDescent="0.2">
      <c r="B45116" s="43"/>
    </row>
    <row r="45117" spans="2:2" ht="12.75" customHeight="1" x14ac:dyDescent="0.2">
      <c r="B45117" s="43"/>
    </row>
    <row r="45118" spans="2:2" ht="12.75" customHeight="1" x14ac:dyDescent="0.2">
      <c r="B45118" s="43"/>
    </row>
    <row r="45119" spans="2:2" ht="12.75" customHeight="1" x14ac:dyDescent="0.2">
      <c r="B45119" s="43"/>
    </row>
    <row r="45120" spans="2:2" ht="12.75" customHeight="1" x14ac:dyDescent="0.2">
      <c r="B45120" s="43"/>
    </row>
    <row r="45121" spans="2:2" ht="12.75" customHeight="1" x14ac:dyDescent="0.2">
      <c r="B45121" s="43"/>
    </row>
    <row r="45122" spans="2:2" ht="12.75" customHeight="1" x14ac:dyDescent="0.2">
      <c r="B45122" s="43"/>
    </row>
    <row r="45123" spans="2:2" ht="12.75" customHeight="1" x14ac:dyDescent="0.2">
      <c r="B45123" s="43"/>
    </row>
    <row r="45124" spans="2:2" ht="12.75" customHeight="1" x14ac:dyDescent="0.2">
      <c r="B45124" s="43"/>
    </row>
    <row r="45125" spans="2:2" ht="12.75" customHeight="1" x14ac:dyDescent="0.2">
      <c r="B45125" s="43"/>
    </row>
    <row r="45126" spans="2:2" ht="12.75" customHeight="1" x14ac:dyDescent="0.2">
      <c r="B45126" s="43"/>
    </row>
    <row r="45127" spans="2:2" ht="12.75" customHeight="1" x14ac:dyDescent="0.2">
      <c r="B45127" s="43"/>
    </row>
    <row r="45128" spans="2:2" ht="12.75" customHeight="1" x14ac:dyDescent="0.2">
      <c r="B45128" s="43"/>
    </row>
    <row r="45129" spans="2:2" ht="12.75" customHeight="1" x14ac:dyDescent="0.2">
      <c r="B45129" s="43"/>
    </row>
    <row r="45130" spans="2:2" ht="12.75" customHeight="1" x14ac:dyDescent="0.2">
      <c r="B45130" s="43"/>
    </row>
    <row r="45131" spans="2:2" ht="12.75" customHeight="1" x14ac:dyDescent="0.2">
      <c r="B45131" s="43"/>
    </row>
    <row r="45132" spans="2:2" ht="12.75" customHeight="1" x14ac:dyDescent="0.2">
      <c r="B45132" s="43"/>
    </row>
    <row r="45133" spans="2:2" ht="12.75" customHeight="1" x14ac:dyDescent="0.2">
      <c r="B45133" s="43"/>
    </row>
    <row r="45134" spans="2:2" ht="12.75" customHeight="1" x14ac:dyDescent="0.2">
      <c r="B45134" s="43"/>
    </row>
    <row r="45135" spans="2:2" ht="12.75" customHeight="1" x14ac:dyDescent="0.2">
      <c r="B45135" s="43"/>
    </row>
    <row r="45136" spans="2:2" ht="12.75" customHeight="1" x14ac:dyDescent="0.2">
      <c r="B45136" s="43"/>
    </row>
    <row r="45137" spans="2:2" ht="12.75" customHeight="1" x14ac:dyDescent="0.2">
      <c r="B45137" s="43"/>
    </row>
    <row r="45138" spans="2:2" ht="12.75" customHeight="1" x14ac:dyDescent="0.2">
      <c r="B45138" s="43"/>
    </row>
    <row r="45139" spans="2:2" ht="12.75" customHeight="1" x14ac:dyDescent="0.2">
      <c r="B45139" s="43"/>
    </row>
    <row r="45140" spans="2:2" ht="12.75" customHeight="1" x14ac:dyDescent="0.2">
      <c r="B45140" s="43"/>
    </row>
    <row r="45141" spans="2:2" ht="12.75" customHeight="1" x14ac:dyDescent="0.2">
      <c r="B45141" s="43"/>
    </row>
    <row r="45142" spans="2:2" ht="12.75" customHeight="1" x14ac:dyDescent="0.2">
      <c r="B45142" s="43"/>
    </row>
    <row r="45143" spans="2:2" ht="12.75" customHeight="1" x14ac:dyDescent="0.2">
      <c r="B45143" s="43"/>
    </row>
    <row r="45144" spans="2:2" ht="12.75" customHeight="1" x14ac:dyDescent="0.2">
      <c r="B45144" s="43"/>
    </row>
    <row r="45145" spans="2:2" ht="12.75" customHeight="1" x14ac:dyDescent="0.2">
      <c r="B45145" s="43"/>
    </row>
    <row r="45146" spans="2:2" ht="12.75" customHeight="1" x14ac:dyDescent="0.2">
      <c r="B45146" s="43"/>
    </row>
    <row r="45147" spans="2:2" ht="12.75" customHeight="1" x14ac:dyDescent="0.2">
      <c r="B45147" s="43"/>
    </row>
    <row r="45148" spans="2:2" ht="12.75" customHeight="1" x14ac:dyDescent="0.2">
      <c r="B45148" s="43"/>
    </row>
    <row r="45149" spans="2:2" ht="12.75" customHeight="1" x14ac:dyDescent="0.2">
      <c r="B45149" s="43"/>
    </row>
    <row r="45150" spans="2:2" ht="12.75" customHeight="1" x14ac:dyDescent="0.2">
      <c r="B45150" s="43"/>
    </row>
    <row r="45151" spans="2:2" ht="12.75" customHeight="1" x14ac:dyDescent="0.2">
      <c r="B45151" s="43"/>
    </row>
    <row r="45152" spans="2:2" ht="12.75" customHeight="1" x14ac:dyDescent="0.2">
      <c r="B45152" s="43"/>
    </row>
    <row r="45153" spans="2:2" ht="12.75" customHeight="1" x14ac:dyDescent="0.2">
      <c r="B45153" s="43"/>
    </row>
    <row r="45154" spans="2:2" ht="12.75" customHeight="1" x14ac:dyDescent="0.2">
      <c r="B45154" s="43"/>
    </row>
    <row r="45155" spans="2:2" ht="12.75" customHeight="1" x14ac:dyDescent="0.2">
      <c r="B45155" s="43"/>
    </row>
    <row r="45156" spans="2:2" ht="12.75" customHeight="1" x14ac:dyDescent="0.2">
      <c r="B45156" s="43"/>
    </row>
    <row r="45157" spans="2:2" ht="12.75" customHeight="1" x14ac:dyDescent="0.2">
      <c r="B45157" s="43"/>
    </row>
    <row r="45158" spans="2:2" ht="12.75" customHeight="1" x14ac:dyDescent="0.2">
      <c r="B45158" s="43"/>
    </row>
    <row r="45159" spans="2:2" ht="12.75" customHeight="1" x14ac:dyDescent="0.2">
      <c r="B45159" s="43"/>
    </row>
    <row r="45160" spans="2:2" ht="12.75" customHeight="1" x14ac:dyDescent="0.2">
      <c r="B45160" s="43"/>
    </row>
    <row r="45161" spans="2:2" ht="12.75" customHeight="1" x14ac:dyDescent="0.2">
      <c r="B45161" s="43"/>
    </row>
    <row r="45162" spans="2:2" ht="12.75" customHeight="1" x14ac:dyDescent="0.2">
      <c r="B45162" s="43"/>
    </row>
    <row r="45163" spans="2:2" ht="12.75" customHeight="1" x14ac:dyDescent="0.2">
      <c r="B45163" s="43"/>
    </row>
    <row r="45164" spans="2:2" ht="12.75" customHeight="1" x14ac:dyDescent="0.2">
      <c r="B45164" s="43"/>
    </row>
    <row r="45165" spans="2:2" ht="12.75" customHeight="1" x14ac:dyDescent="0.2">
      <c r="B45165" s="43"/>
    </row>
    <row r="45166" spans="2:2" ht="12.75" customHeight="1" x14ac:dyDescent="0.2">
      <c r="B45166" s="43"/>
    </row>
    <row r="45167" spans="2:2" ht="12.75" customHeight="1" x14ac:dyDescent="0.2">
      <c r="B45167" s="43"/>
    </row>
    <row r="45168" spans="2:2" ht="12.75" customHeight="1" x14ac:dyDescent="0.2">
      <c r="B45168" s="43"/>
    </row>
    <row r="45169" spans="2:2" ht="12.75" customHeight="1" x14ac:dyDescent="0.2">
      <c r="B45169" s="43"/>
    </row>
    <row r="45170" spans="2:2" ht="12.75" customHeight="1" x14ac:dyDescent="0.2">
      <c r="B45170" s="43"/>
    </row>
    <row r="45171" spans="2:2" ht="12.75" customHeight="1" x14ac:dyDescent="0.2">
      <c r="B45171" s="43"/>
    </row>
    <row r="45172" spans="2:2" ht="12.75" customHeight="1" x14ac:dyDescent="0.2">
      <c r="B45172" s="43"/>
    </row>
    <row r="45173" spans="2:2" ht="12.75" customHeight="1" x14ac:dyDescent="0.2">
      <c r="B45173" s="43"/>
    </row>
    <row r="45174" spans="2:2" ht="12.75" customHeight="1" x14ac:dyDescent="0.2">
      <c r="B45174" s="43"/>
    </row>
    <row r="45175" spans="2:2" ht="12.75" customHeight="1" x14ac:dyDescent="0.2">
      <c r="B45175" s="43"/>
    </row>
    <row r="45176" spans="2:2" ht="12.75" customHeight="1" x14ac:dyDescent="0.2">
      <c r="B45176" s="43"/>
    </row>
    <row r="45177" spans="2:2" ht="12.75" customHeight="1" x14ac:dyDescent="0.2">
      <c r="B45177" s="43"/>
    </row>
    <row r="45178" spans="2:2" ht="12.75" customHeight="1" x14ac:dyDescent="0.2">
      <c r="B45178" s="43"/>
    </row>
    <row r="45179" spans="2:2" ht="12.75" customHeight="1" x14ac:dyDescent="0.2">
      <c r="B45179" s="43"/>
    </row>
    <row r="45180" spans="2:2" ht="12.75" customHeight="1" x14ac:dyDescent="0.2">
      <c r="B45180" s="43"/>
    </row>
    <row r="45181" spans="2:2" ht="12.75" customHeight="1" x14ac:dyDescent="0.2">
      <c r="B45181" s="43"/>
    </row>
    <row r="45182" spans="2:2" ht="12.75" customHeight="1" x14ac:dyDescent="0.2">
      <c r="B45182" s="43"/>
    </row>
    <row r="45183" spans="2:2" ht="12.75" customHeight="1" x14ac:dyDescent="0.2">
      <c r="B45183" s="43"/>
    </row>
    <row r="45184" spans="2:2" ht="12.75" customHeight="1" x14ac:dyDescent="0.2">
      <c r="B45184" s="43"/>
    </row>
    <row r="45185" spans="2:2" ht="12.75" customHeight="1" x14ac:dyDescent="0.2">
      <c r="B45185" s="43"/>
    </row>
    <row r="45186" spans="2:2" ht="12.75" customHeight="1" x14ac:dyDescent="0.2">
      <c r="B45186" s="43"/>
    </row>
    <row r="45187" spans="2:2" ht="12.75" customHeight="1" x14ac:dyDescent="0.2">
      <c r="B45187" s="43"/>
    </row>
    <row r="45188" spans="2:2" ht="12.75" customHeight="1" x14ac:dyDescent="0.2">
      <c r="B45188" s="43"/>
    </row>
    <row r="45189" spans="2:2" ht="12.75" customHeight="1" x14ac:dyDescent="0.2">
      <c r="B45189" s="43"/>
    </row>
    <row r="45190" spans="2:2" ht="12.75" customHeight="1" x14ac:dyDescent="0.2">
      <c r="B45190" s="43"/>
    </row>
    <row r="45191" spans="2:2" ht="12.75" customHeight="1" x14ac:dyDescent="0.2">
      <c r="B45191" s="43"/>
    </row>
    <row r="45192" spans="2:2" ht="12.75" customHeight="1" x14ac:dyDescent="0.2">
      <c r="B45192" s="43"/>
    </row>
    <row r="45193" spans="2:2" ht="12.75" customHeight="1" x14ac:dyDescent="0.2">
      <c r="B45193" s="43"/>
    </row>
    <row r="45194" spans="2:2" ht="12.75" customHeight="1" x14ac:dyDescent="0.2">
      <c r="B45194" s="43"/>
    </row>
    <row r="45195" spans="2:2" ht="12.75" customHeight="1" x14ac:dyDescent="0.2">
      <c r="B45195" s="43"/>
    </row>
    <row r="45196" spans="2:2" ht="12.75" customHeight="1" x14ac:dyDescent="0.2">
      <c r="B45196" s="43"/>
    </row>
    <row r="45197" spans="2:2" ht="12.75" customHeight="1" x14ac:dyDescent="0.2">
      <c r="B45197" s="43"/>
    </row>
    <row r="45198" spans="2:2" ht="12.75" customHeight="1" x14ac:dyDescent="0.2">
      <c r="B45198" s="43"/>
    </row>
    <row r="45199" spans="2:2" ht="12.75" customHeight="1" x14ac:dyDescent="0.2">
      <c r="B45199" s="43"/>
    </row>
    <row r="45200" spans="2:2" ht="12.75" customHeight="1" x14ac:dyDescent="0.2">
      <c r="B45200" s="43"/>
    </row>
    <row r="45201" spans="2:2" ht="12.75" customHeight="1" x14ac:dyDescent="0.2">
      <c r="B45201" s="43"/>
    </row>
    <row r="45202" spans="2:2" ht="12.75" customHeight="1" x14ac:dyDescent="0.2">
      <c r="B45202" s="43"/>
    </row>
    <row r="45203" spans="2:2" ht="12.75" customHeight="1" x14ac:dyDescent="0.2">
      <c r="B45203" s="43"/>
    </row>
    <row r="45204" spans="2:2" ht="12.75" customHeight="1" x14ac:dyDescent="0.2">
      <c r="B45204" s="43"/>
    </row>
    <row r="45205" spans="2:2" ht="12.75" customHeight="1" x14ac:dyDescent="0.2">
      <c r="B45205" s="43"/>
    </row>
    <row r="45206" spans="2:2" ht="12.75" customHeight="1" x14ac:dyDescent="0.2">
      <c r="B45206" s="43"/>
    </row>
    <row r="45207" spans="2:2" ht="12.75" customHeight="1" x14ac:dyDescent="0.2">
      <c r="B45207" s="43"/>
    </row>
    <row r="45208" spans="2:2" ht="12.75" customHeight="1" x14ac:dyDescent="0.2">
      <c r="B45208" s="43"/>
    </row>
    <row r="45209" spans="2:2" ht="12.75" customHeight="1" x14ac:dyDescent="0.2">
      <c r="B45209" s="43"/>
    </row>
    <row r="45210" spans="2:2" ht="12.75" customHeight="1" x14ac:dyDescent="0.2">
      <c r="B45210" s="43"/>
    </row>
    <row r="45211" spans="2:2" ht="12.75" customHeight="1" x14ac:dyDescent="0.2">
      <c r="B45211" s="43"/>
    </row>
    <row r="45212" spans="2:2" ht="12.75" customHeight="1" x14ac:dyDescent="0.2">
      <c r="B45212" s="43"/>
    </row>
    <row r="45213" spans="2:2" ht="12.75" customHeight="1" x14ac:dyDescent="0.2">
      <c r="B45213" s="43"/>
    </row>
    <row r="45214" spans="2:2" ht="12.75" customHeight="1" x14ac:dyDescent="0.2">
      <c r="B45214" s="43"/>
    </row>
    <row r="45215" spans="2:2" ht="12.75" customHeight="1" x14ac:dyDescent="0.2">
      <c r="B45215" s="43"/>
    </row>
    <row r="45216" spans="2:2" ht="12.75" customHeight="1" x14ac:dyDescent="0.2">
      <c r="B45216" s="43"/>
    </row>
    <row r="45217" spans="2:2" ht="12.75" customHeight="1" x14ac:dyDescent="0.2">
      <c r="B45217" s="43"/>
    </row>
    <row r="45218" spans="2:2" ht="12.75" customHeight="1" x14ac:dyDescent="0.2">
      <c r="B45218" s="43"/>
    </row>
    <row r="45219" spans="2:2" ht="12.75" customHeight="1" x14ac:dyDescent="0.2">
      <c r="B45219" s="43"/>
    </row>
    <row r="45220" spans="2:2" ht="12.75" customHeight="1" x14ac:dyDescent="0.2">
      <c r="B45220" s="43"/>
    </row>
    <row r="45221" spans="2:2" ht="12.75" customHeight="1" x14ac:dyDescent="0.2">
      <c r="B45221" s="43"/>
    </row>
    <row r="45222" spans="2:2" ht="12.75" customHeight="1" x14ac:dyDescent="0.2">
      <c r="B45222" s="43"/>
    </row>
    <row r="45223" spans="2:2" ht="12.75" customHeight="1" x14ac:dyDescent="0.2">
      <c r="B45223" s="43"/>
    </row>
    <row r="45224" spans="2:2" ht="12.75" customHeight="1" x14ac:dyDescent="0.2">
      <c r="B45224" s="43"/>
    </row>
    <row r="45225" spans="2:2" ht="12.75" customHeight="1" x14ac:dyDescent="0.2">
      <c r="B45225" s="43"/>
    </row>
    <row r="45226" spans="2:2" ht="12.75" customHeight="1" x14ac:dyDescent="0.2">
      <c r="B45226" s="43"/>
    </row>
    <row r="45227" spans="2:2" ht="12.75" customHeight="1" x14ac:dyDescent="0.2">
      <c r="B45227" s="43"/>
    </row>
    <row r="45228" spans="2:2" ht="12.75" customHeight="1" x14ac:dyDescent="0.2">
      <c r="B45228" s="43"/>
    </row>
    <row r="45229" spans="2:2" ht="12.75" customHeight="1" x14ac:dyDescent="0.2">
      <c r="B45229" s="43"/>
    </row>
    <row r="45230" spans="2:2" ht="12.75" customHeight="1" x14ac:dyDescent="0.2">
      <c r="B45230" s="43"/>
    </row>
    <row r="45231" spans="2:2" ht="12.75" customHeight="1" x14ac:dyDescent="0.2">
      <c r="B45231" s="43"/>
    </row>
    <row r="45232" spans="2:2" ht="12.75" customHeight="1" x14ac:dyDescent="0.2">
      <c r="B45232" s="43"/>
    </row>
    <row r="45233" spans="2:2" ht="12.75" customHeight="1" x14ac:dyDescent="0.2">
      <c r="B45233" s="43"/>
    </row>
    <row r="45234" spans="2:2" ht="12.75" customHeight="1" x14ac:dyDescent="0.2">
      <c r="B45234" s="43"/>
    </row>
    <row r="45235" spans="2:2" ht="12.75" customHeight="1" x14ac:dyDescent="0.2">
      <c r="B45235" s="43"/>
    </row>
    <row r="45236" spans="2:2" ht="12.75" customHeight="1" x14ac:dyDescent="0.2">
      <c r="B45236" s="43"/>
    </row>
    <row r="45237" spans="2:2" ht="12.75" customHeight="1" x14ac:dyDescent="0.2">
      <c r="B45237" s="43"/>
    </row>
    <row r="45238" spans="2:2" ht="12.75" customHeight="1" x14ac:dyDescent="0.2">
      <c r="B45238" s="43"/>
    </row>
    <row r="45239" spans="2:2" ht="12.75" customHeight="1" x14ac:dyDescent="0.2">
      <c r="B45239" s="43"/>
    </row>
    <row r="45240" spans="2:2" ht="12.75" customHeight="1" x14ac:dyDescent="0.2">
      <c r="B45240" s="43"/>
    </row>
    <row r="45241" spans="2:2" ht="12.75" customHeight="1" x14ac:dyDescent="0.2">
      <c r="B45241" s="43"/>
    </row>
    <row r="45242" spans="2:2" ht="12.75" customHeight="1" x14ac:dyDescent="0.2">
      <c r="B45242" s="43"/>
    </row>
    <row r="45243" spans="2:2" ht="12.75" customHeight="1" x14ac:dyDescent="0.2">
      <c r="B45243" s="43"/>
    </row>
    <row r="45244" spans="2:2" ht="12.75" customHeight="1" x14ac:dyDescent="0.2">
      <c r="B45244" s="43"/>
    </row>
    <row r="45245" spans="2:2" ht="12.75" customHeight="1" x14ac:dyDescent="0.2">
      <c r="B45245" s="43"/>
    </row>
    <row r="45246" spans="2:2" ht="12.75" customHeight="1" x14ac:dyDescent="0.2">
      <c r="B45246" s="43"/>
    </row>
    <row r="45247" spans="2:2" ht="12.75" customHeight="1" x14ac:dyDescent="0.2">
      <c r="B45247" s="43"/>
    </row>
    <row r="45248" spans="2:2" ht="12.75" customHeight="1" x14ac:dyDescent="0.2">
      <c r="B45248" s="43"/>
    </row>
    <row r="45249" spans="2:2" ht="12.75" customHeight="1" x14ac:dyDescent="0.2">
      <c r="B45249" s="43"/>
    </row>
    <row r="45250" spans="2:2" ht="12.75" customHeight="1" x14ac:dyDescent="0.2">
      <c r="B45250" s="43"/>
    </row>
    <row r="45251" spans="2:2" ht="12.75" customHeight="1" x14ac:dyDescent="0.2">
      <c r="B45251" s="43"/>
    </row>
    <row r="45252" spans="2:2" ht="12.75" customHeight="1" x14ac:dyDescent="0.2">
      <c r="B45252" s="43"/>
    </row>
    <row r="45253" spans="2:2" ht="12.75" customHeight="1" x14ac:dyDescent="0.2">
      <c r="B45253" s="43"/>
    </row>
    <row r="45254" spans="2:2" ht="12.75" customHeight="1" x14ac:dyDescent="0.2">
      <c r="B45254" s="43"/>
    </row>
    <row r="45255" spans="2:2" ht="12.75" customHeight="1" x14ac:dyDescent="0.2">
      <c r="B45255" s="43"/>
    </row>
    <row r="45256" spans="2:2" ht="12.75" customHeight="1" x14ac:dyDescent="0.2">
      <c r="B45256" s="43"/>
    </row>
    <row r="45257" spans="2:2" ht="12.75" customHeight="1" x14ac:dyDescent="0.2">
      <c r="B45257" s="43"/>
    </row>
    <row r="45258" spans="2:2" ht="12.75" customHeight="1" x14ac:dyDescent="0.2">
      <c r="B45258" s="43"/>
    </row>
    <row r="45259" spans="2:2" ht="12.75" customHeight="1" x14ac:dyDescent="0.2">
      <c r="B45259" s="43"/>
    </row>
    <row r="45260" spans="2:2" ht="12.75" customHeight="1" x14ac:dyDescent="0.2">
      <c r="B45260" s="43"/>
    </row>
    <row r="45261" spans="2:2" ht="12.75" customHeight="1" x14ac:dyDescent="0.2">
      <c r="B45261" s="43"/>
    </row>
    <row r="45262" spans="2:2" ht="12.75" customHeight="1" x14ac:dyDescent="0.2">
      <c r="B45262" s="43"/>
    </row>
    <row r="45263" spans="2:2" ht="12.75" customHeight="1" x14ac:dyDescent="0.2">
      <c r="B45263" s="43"/>
    </row>
    <row r="45264" spans="2:2" ht="12.75" customHeight="1" x14ac:dyDescent="0.2">
      <c r="B45264" s="43"/>
    </row>
    <row r="45265" spans="2:2" ht="12.75" customHeight="1" x14ac:dyDescent="0.2">
      <c r="B45265" s="43"/>
    </row>
    <row r="45266" spans="2:2" ht="12.75" customHeight="1" x14ac:dyDescent="0.2">
      <c r="B45266" s="43"/>
    </row>
    <row r="45267" spans="2:2" ht="12.75" customHeight="1" x14ac:dyDescent="0.2">
      <c r="B45267" s="43"/>
    </row>
    <row r="45268" spans="2:2" ht="12.75" customHeight="1" x14ac:dyDescent="0.2">
      <c r="B45268" s="43"/>
    </row>
    <row r="45269" spans="2:2" ht="12.75" customHeight="1" x14ac:dyDescent="0.2">
      <c r="B45269" s="43"/>
    </row>
    <row r="45270" spans="2:2" ht="12.75" customHeight="1" x14ac:dyDescent="0.2">
      <c r="B45270" s="43"/>
    </row>
    <row r="45271" spans="2:2" ht="12.75" customHeight="1" x14ac:dyDescent="0.2">
      <c r="B45271" s="43"/>
    </row>
    <row r="45272" spans="2:2" ht="12.75" customHeight="1" x14ac:dyDescent="0.2">
      <c r="B45272" s="43"/>
    </row>
    <row r="45273" spans="2:2" ht="12.75" customHeight="1" x14ac:dyDescent="0.2">
      <c r="B45273" s="43"/>
    </row>
    <row r="45274" spans="2:2" ht="12.75" customHeight="1" x14ac:dyDescent="0.2">
      <c r="B45274" s="43"/>
    </row>
    <row r="45275" spans="2:2" ht="12.75" customHeight="1" x14ac:dyDescent="0.2">
      <c r="B45275" s="43"/>
    </row>
    <row r="45276" spans="2:2" ht="12.75" customHeight="1" x14ac:dyDescent="0.2">
      <c r="B45276" s="43"/>
    </row>
    <row r="45277" spans="2:2" ht="12.75" customHeight="1" x14ac:dyDescent="0.2">
      <c r="B45277" s="43"/>
    </row>
    <row r="45278" spans="2:2" ht="12.75" customHeight="1" x14ac:dyDescent="0.2">
      <c r="B45278" s="43"/>
    </row>
    <row r="45279" spans="2:2" ht="12.75" customHeight="1" x14ac:dyDescent="0.2">
      <c r="B45279" s="43"/>
    </row>
    <row r="45280" spans="2:2" ht="12.75" customHeight="1" x14ac:dyDescent="0.2">
      <c r="B45280" s="43"/>
    </row>
    <row r="45281" spans="2:2" ht="12.75" customHeight="1" x14ac:dyDescent="0.2">
      <c r="B45281" s="43"/>
    </row>
    <row r="45282" spans="2:2" ht="12.75" customHeight="1" x14ac:dyDescent="0.2">
      <c r="B45282" s="43"/>
    </row>
    <row r="45283" spans="2:2" ht="12.75" customHeight="1" x14ac:dyDescent="0.2">
      <c r="B45283" s="43"/>
    </row>
    <row r="45284" spans="2:2" ht="12.75" customHeight="1" x14ac:dyDescent="0.2">
      <c r="B45284" s="43"/>
    </row>
    <row r="45285" spans="2:2" ht="12.75" customHeight="1" x14ac:dyDescent="0.2">
      <c r="B45285" s="43"/>
    </row>
    <row r="45286" spans="2:2" ht="12.75" customHeight="1" x14ac:dyDescent="0.2">
      <c r="B45286" s="43"/>
    </row>
    <row r="45287" spans="2:2" ht="12.75" customHeight="1" x14ac:dyDescent="0.2">
      <c r="B45287" s="43"/>
    </row>
    <row r="45288" spans="2:2" ht="12.75" customHeight="1" x14ac:dyDescent="0.2">
      <c r="B45288" s="43"/>
    </row>
    <row r="45289" spans="2:2" ht="12.75" customHeight="1" x14ac:dyDescent="0.2">
      <c r="B45289" s="43"/>
    </row>
    <row r="45290" spans="2:2" ht="12.75" customHeight="1" x14ac:dyDescent="0.2">
      <c r="B45290" s="43"/>
    </row>
    <row r="45291" spans="2:2" ht="12.75" customHeight="1" x14ac:dyDescent="0.2">
      <c r="B45291" s="43"/>
    </row>
    <row r="45292" spans="2:2" ht="12.75" customHeight="1" x14ac:dyDescent="0.2">
      <c r="B45292" s="43"/>
    </row>
    <row r="45293" spans="2:2" ht="12.75" customHeight="1" x14ac:dyDescent="0.2">
      <c r="B45293" s="43"/>
    </row>
    <row r="45294" spans="2:2" ht="12.75" customHeight="1" x14ac:dyDescent="0.2">
      <c r="B45294" s="43"/>
    </row>
    <row r="45295" spans="2:2" ht="12.75" customHeight="1" x14ac:dyDescent="0.2">
      <c r="B45295" s="43"/>
    </row>
    <row r="45296" spans="2:2" ht="12.75" customHeight="1" x14ac:dyDescent="0.2">
      <c r="B45296" s="43"/>
    </row>
    <row r="45297" spans="2:2" ht="12.75" customHeight="1" x14ac:dyDescent="0.2">
      <c r="B45297" s="43"/>
    </row>
    <row r="45298" spans="2:2" ht="12.75" customHeight="1" x14ac:dyDescent="0.2">
      <c r="B45298" s="43"/>
    </row>
    <row r="45299" spans="2:2" ht="12.75" customHeight="1" x14ac:dyDescent="0.2">
      <c r="B45299" s="43"/>
    </row>
    <row r="45300" spans="2:2" ht="12.75" customHeight="1" x14ac:dyDescent="0.2">
      <c r="B45300" s="43"/>
    </row>
    <row r="45301" spans="2:2" ht="12.75" customHeight="1" x14ac:dyDescent="0.2">
      <c r="B45301" s="43"/>
    </row>
    <row r="45302" spans="2:2" ht="12.75" customHeight="1" x14ac:dyDescent="0.2">
      <c r="B45302" s="43"/>
    </row>
    <row r="45303" spans="2:2" ht="12.75" customHeight="1" x14ac:dyDescent="0.2">
      <c r="B45303" s="43"/>
    </row>
    <row r="45304" spans="2:2" ht="12.75" customHeight="1" x14ac:dyDescent="0.2">
      <c r="B45304" s="43"/>
    </row>
    <row r="45305" spans="2:2" ht="12.75" customHeight="1" x14ac:dyDescent="0.2">
      <c r="B45305" s="43"/>
    </row>
    <row r="45306" spans="2:2" ht="12.75" customHeight="1" x14ac:dyDescent="0.2">
      <c r="B45306" s="43"/>
    </row>
    <row r="45307" spans="2:2" ht="12.75" customHeight="1" x14ac:dyDescent="0.2">
      <c r="B45307" s="43"/>
    </row>
    <row r="45308" spans="2:2" ht="12.75" customHeight="1" x14ac:dyDescent="0.2">
      <c r="B45308" s="43"/>
    </row>
    <row r="45309" spans="2:2" ht="12.75" customHeight="1" x14ac:dyDescent="0.2">
      <c r="B45309" s="43"/>
    </row>
    <row r="45310" spans="2:2" ht="12.75" customHeight="1" x14ac:dyDescent="0.2">
      <c r="B45310" s="43"/>
    </row>
    <row r="45311" spans="2:2" ht="12.75" customHeight="1" x14ac:dyDescent="0.2">
      <c r="B45311" s="43"/>
    </row>
    <row r="45312" spans="2:2" ht="12.75" customHeight="1" x14ac:dyDescent="0.2">
      <c r="B45312" s="43"/>
    </row>
    <row r="45313" spans="2:2" ht="12.75" customHeight="1" x14ac:dyDescent="0.2">
      <c r="B45313" s="43"/>
    </row>
    <row r="45314" spans="2:2" ht="12.75" customHeight="1" x14ac:dyDescent="0.2">
      <c r="B45314" s="43"/>
    </row>
    <row r="45315" spans="2:2" ht="12.75" customHeight="1" x14ac:dyDescent="0.2">
      <c r="B45315" s="43"/>
    </row>
    <row r="45316" spans="2:2" ht="12.75" customHeight="1" x14ac:dyDescent="0.2">
      <c r="B45316" s="43"/>
    </row>
    <row r="45317" spans="2:2" ht="12.75" customHeight="1" x14ac:dyDescent="0.2">
      <c r="B45317" s="43"/>
    </row>
    <row r="45318" spans="2:2" ht="12.75" customHeight="1" x14ac:dyDescent="0.2">
      <c r="B45318" s="43"/>
    </row>
    <row r="45319" spans="2:2" ht="12.75" customHeight="1" x14ac:dyDescent="0.2">
      <c r="B45319" s="43"/>
    </row>
    <row r="45320" spans="2:2" ht="12.75" customHeight="1" x14ac:dyDescent="0.2">
      <c r="B45320" s="43"/>
    </row>
    <row r="45321" spans="2:2" ht="12.75" customHeight="1" x14ac:dyDescent="0.2">
      <c r="B45321" s="43"/>
    </row>
    <row r="45322" spans="2:2" ht="12.75" customHeight="1" x14ac:dyDescent="0.2">
      <c r="B45322" s="43"/>
    </row>
    <row r="45323" spans="2:2" ht="12.75" customHeight="1" x14ac:dyDescent="0.2">
      <c r="B45323" s="43"/>
    </row>
    <row r="45324" spans="2:2" ht="12.75" customHeight="1" x14ac:dyDescent="0.2">
      <c r="B45324" s="43"/>
    </row>
    <row r="45325" spans="2:2" ht="12.75" customHeight="1" x14ac:dyDescent="0.2">
      <c r="B45325" s="43"/>
    </row>
    <row r="45326" spans="2:2" ht="12.75" customHeight="1" x14ac:dyDescent="0.2">
      <c r="B45326" s="43"/>
    </row>
    <row r="45327" spans="2:2" ht="12.75" customHeight="1" x14ac:dyDescent="0.2">
      <c r="B45327" s="43"/>
    </row>
    <row r="45328" spans="2:2" ht="12.75" customHeight="1" x14ac:dyDescent="0.2">
      <c r="B45328" s="43"/>
    </row>
    <row r="45329" spans="2:2" ht="12.75" customHeight="1" x14ac:dyDescent="0.2">
      <c r="B45329" s="43"/>
    </row>
    <row r="45330" spans="2:2" ht="12.75" customHeight="1" x14ac:dyDescent="0.2">
      <c r="B45330" s="43"/>
    </row>
    <row r="45331" spans="2:2" ht="12.75" customHeight="1" x14ac:dyDescent="0.2">
      <c r="B45331" s="43"/>
    </row>
    <row r="45332" spans="2:2" ht="12.75" customHeight="1" x14ac:dyDescent="0.2">
      <c r="B45332" s="43"/>
    </row>
    <row r="45333" spans="2:2" ht="12.75" customHeight="1" x14ac:dyDescent="0.2">
      <c r="B45333" s="43"/>
    </row>
    <row r="45334" spans="2:2" ht="12.75" customHeight="1" x14ac:dyDescent="0.2">
      <c r="B45334" s="43"/>
    </row>
    <row r="45335" spans="2:2" ht="12.75" customHeight="1" x14ac:dyDescent="0.2">
      <c r="B45335" s="43"/>
    </row>
    <row r="45336" spans="2:2" ht="12.75" customHeight="1" x14ac:dyDescent="0.2">
      <c r="B45336" s="43"/>
    </row>
    <row r="45337" spans="2:2" ht="12.75" customHeight="1" x14ac:dyDescent="0.2">
      <c r="B45337" s="43"/>
    </row>
    <row r="45338" spans="2:2" ht="12.75" customHeight="1" x14ac:dyDescent="0.2">
      <c r="B45338" s="43"/>
    </row>
    <row r="45339" spans="2:2" ht="12.75" customHeight="1" x14ac:dyDescent="0.2">
      <c r="B45339" s="43"/>
    </row>
    <row r="45340" spans="2:2" ht="12.75" customHeight="1" x14ac:dyDescent="0.2">
      <c r="B45340" s="43"/>
    </row>
    <row r="45341" spans="2:2" ht="12.75" customHeight="1" x14ac:dyDescent="0.2">
      <c r="B45341" s="43"/>
    </row>
    <row r="45342" spans="2:2" ht="12.75" customHeight="1" x14ac:dyDescent="0.2">
      <c r="B45342" s="43"/>
    </row>
    <row r="45343" spans="2:2" ht="12.75" customHeight="1" x14ac:dyDescent="0.2">
      <c r="B45343" s="43"/>
    </row>
    <row r="45344" spans="2:2" ht="12.75" customHeight="1" x14ac:dyDescent="0.2">
      <c r="B45344" s="43"/>
    </row>
    <row r="45345" spans="2:2" ht="12.75" customHeight="1" x14ac:dyDescent="0.2">
      <c r="B45345" s="43"/>
    </row>
    <row r="45346" spans="2:2" ht="12.75" customHeight="1" x14ac:dyDescent="0.2">
      <c r="B45346" s="43"/>
    </row>
    <row r="45347" spans="2:2" ht="12.75" customHeight="1" x14ac:dyDescent="0.2">
      <c r="B45347" s="43"/>
    </row>
    <row r="45348" spans="2:2" ht="12.75" customHeight="1" x14ac:dyDescent="0.2">
      <c r="B45348" s="43"/>
    </row>
    <row r="45349" spans="2:2" ht="12.75" customHeight="1" x14ac:dyDescent="0.2">
      <c r="B45349" s="43"/>
    </row>
    <row r="45350" spans="2:2" ht="12.75" customHeight="1" x14ac:dyDescent="0.2">
      <c r="B45350" s="43"/>
    </row>
    <row r="45351" spans="2:2" ht="12.75" customHeight="1" x14ac:dyDescent="0.2">
      <c r="B45351" s="43"/>
    </row>
    <row r="45352" spans="2:2" ht="12.75" customHeight="1" x14ac:dyDescent="0.2">
      <c r="B45352" s="43"/>
    </row>
    <row r="45353" spans="2:2" ht="12.75" customHeight="1" x14ac:dyDescent="0.2">
      <c r="B45353" s="43"/>
    </row>
    <row r="45354" spans="2:2" ht="12.75" customHeight="1" x14ac:dyDescent="0.2">
      <c r="B45354" s="43"/>
    </row>
    <row r="45355" spans="2:2" ht="12.75" customHeight="1" x14ac:dyDescent="0.2">
      <c r="B45355" s="43"/>
    </row>
    <row r="45356" spans="2:2" ht="12.75" customHeight="1" x14ac:dyDescent="0.2">
      <c r="B45356" s="43"/>
    </row>
    <row r="45357" spans="2:2" ht="12.75" customHeight="1" x14ac:dyDescent="0.2">
      <c r="B45357" s="43"/>
    </row>
    <row r="45358" spans="2:2" ht="12.75" customHeight="1" x14ac:dyDescent="0.2">
      <c r="B45358" s="43"/>
    </row>
    <row r="45359" spans="2:2" ht="12.75" customHeight="1" x14ac:dyDescent="0.2">
      <c r="B45359" s="43"/>
    </row>
    <row r="45360" spans="2:2" ht="12.75" customHeight="1" x14ac:dyDescent="0.2">
      <c r="B45360" s="43"/>
    </row>
    <row r="45361" spans="2:2" ht="12.75" customHeight="1" x14ac:dyDescent="0.2">
      <c r="B45361" s="43"/>
    </row>
    <row r="45362" spans="2:2" ht="12.75" customHeight="1" x14ac:dyDescent="0.2">
      <c r="B45362" s="43"/>
    </row>
    <row r="45363" spans="2:2" ht="12.75" customHeight="1" x14ac:dyDescent="0.2">
      <c r="B45363" s="43"/>
    </row>
    <row r="45364" spans="2:2" ht="12.75" customHeight="1" x14ac:dyDescent="0.2">
      <c r="B45364" s="43"/>
    </row>
    <row r="45365" spans="2:2" ht="12.75" customHeight="1" x14ac:dyDescent="0.2">
      <c r="B45365" s="43"/>
    </row>
    <row r="45366" spans="2:2" ht="12.75" customHeight="1" x14ac:dyDescent="0.2">
      <c r="B45366" s="43"/>
    </row>
    <row r="45367" spans="2:2" ht="12.75" customHeight="1" x14ac:dyDescent="0.2">
      <c r="B45367" s="43"/>
    </row>
    <row r="45368" spans="2:2" ht="12.75" customHeight="1" x14ac:dyDescent="0.2">
      <c r="B45368" s="43"/>
    </row>
    <row r="45369" spans="2:2" ht="12.75" customHeight="1" x14ac:dyDescent="0.2">
      <c r="B45369" s="43"/>
    </row>
    <row r="45370" spans="2:2" ht="12.75" customHeight="1" x14ac:dyDescent="0.2">
      <c r="B45370" s="43"/>
    </row>
    <row r="45371" spans="2:2" ht="12.75" customHeight="1" x14ac:dyDescent="0.2">
      <c r="B45371" s="43"/>
    </row>
    <row r="45372" spans="2:2" ht="12.75" customHeight="1" x14ac:dyDescent="0.2">
      <c r="B45372" s="43"/>
    </row>
    <row r="45373" spans="2:2" ht="12.75" customHeight="1" x14ac:dyDescent="0.2">
      <c r="B45373" s="43"/>
    </row>
    <row r="45374" spans="2:2" ht="12.75" customHeight="1" x14ac:dyDescent="0.2">
      <c r="B45374" s="43"/>
    </row>
    <row r="45375" spans="2:2" ht="12.75" customHeight="1" x14ac:dyDescent="0.2">
      <c r="B45375" s="43"/>
    </row>
    <row r="45376" spans="2:2" ht="12.75" customHeight="1" x14ac:dyDescent="0.2">
      <c r="B45376" s="43"/>
    </row>
    <row r="45377" spans="2:2" ht="12.75" customHeight="1" x14ac:dyDescent="0.2">
      <c r="B45377" s="43"/>
    </row>
    <row r="45378" spans="2:2" ht="12.75" customHeight="1" x14ac:dyDescent="0.2">
      <c r="B45378" s="43"/>
    </row>
    <row r="45379" spans="2:2" ht="12.75" customHeight="1" x14ac:dyDescent="0.2">
      <c r="B45379" s="43"/>
    </row>
    <row r="45380" spans="2:2" ht="12.75" customHeight="1" x14ac:dyDescent="0.2">
      <c r="B45380" s="43"/>
    </row>
    <row r="45381" spans="2:2" ht="12.75" customHeight="1" x14ac:dyDescent="0.2">
      <c r="B45381" s="43"/>
    </row>
    <row r="45382" spans="2:2" ht="12.75" customHeight="1" x14ac:dyDescent="0.2">
      <c r="B45382" s="43"/>
    </row>
    <row r="45383" spans="2:2" ht="12.75" customHeight="1" x14ac:dyDescent="0.2">
      <c r="B45383" s="43"/>
    </row>
    <row r="45384" spans="2:2" ht="12.75" customHeight="1" x14ac:dyDescent="0.2">
      <c r="B45384" s="43"/>
    </row>
    <row r="45385" spans="2:2" ht="12.75" customHeight="1" x14ac:dyDescent="0.2">
      <c r="B45385" s="43"/>
    </row>
    <row r="45386" spans="2:2" ht="12.75" customHeight="1" x14ac:dyDescent="0.2">
      <c r="B45386" s="43"/>
    </row>
    <row r="45387" spans="2:2" ht="12.75" customHeight="1" x14ac:dyDescent="0.2">
      <c r="B45387" s="43"/>
    </row>
    <row r="45388" spans="2:2" ht="12.75" customHeight="1" x14ac:dyDescent="0.2">
      <c r="B45388" s="43"/>
    </row>
    <row r="45389" spans="2:2" ht="12.75" customHeight="1" x14ac:dyDescent="0.2">
      <c r="B45389" s="43"/>
    </row>
    <row r="45390" spans="2:2" ht="12.75" customHeight="1" x14ac:dyDescent="0.2">
      <c r="B45390" s="43"/>
    </row>
    <row r="45391" spans="2:2" ht="12.75" customHeight="1" x14ac:dyDescent="0.2">
      <c r="B45391" s="43"/>
    </row>
    <row r="45392" spans="2:2" ht="12.75" customHeight="1" x14ac:dyDescent="0.2">
      <c r="B45392" s="43"/>
    </row>
    <row r="45393" spans="2:2" ht="12.75" customHeight="1" x14ac:dyDescent="0.2">
      <c r="B45393" s="43"/>
    </row>
    <row r="45394" spans="2:2" ht="12.75" customHeight="1" x14ac:dyDescent="0.2">
      <c r="B45394" s="43"/>
    </row>
    <row r="45395" spans="2:2" ht="12.75" customHeight="1" x14ac:dyDescent="0.2">
      <c r="B45395" s="43"/>
    </row>
    <row r="45396" spans="2:2" ht="12.75" customHeight="1" x14ac:dyDescent="0.2">
      <c r="B45396" s="43"/>
    </row>
    <row r="45397" spans="2:2" ht="12.75" customHeight="1" x14ac:dyDescent="0.2">
      <c r="B45397" s="43"/>
    </row>
    <row r="45398" spans="2:2" ht="12.75" customHeight="1" x14ac:dyDescent="0.2">
      <c r="B45398" s="43"/>
    </row>
    <row r="45399" spans="2:2" ht="12.75" customHeight="1" x14ac:dyDescent="0.2">
      <c r="B45399" s="43"/>
    </row>
    <row r="45400" spans="2:2" ht="12.75" customHeight="1" x14ac:dyDescent="0.2">
      <c r="B45400" s="43"/>
    </row>
    <row r="45401" spans="2:2" ht="12.75" customHeight="1" x14ac:dyDescent="0.2">
      <c r="B45401" s="43"/>
    </row>
    <row r="45402" spans="2:2" ht="12.75" customHeight="1" x14ac:dyDescent="0.2">
      <c r="B45402" s="43"/>
    </row>
    <row r="45403" spans="2:2" ht="12.75" customHeight="1" x14ac:dyDescent="0.2">
      <c r="B45403" s="43"/>
    </row>
    <row r="45404" spans="2:2" ht="12.75" customHeight="1" x14ac:dyDescent="0.2">
      <c r="B45404" s="43"/>
    </row>
    <row r="45405" spans="2:2" ht="12.75" customHeight="1" x14ac:dyDescent="0.2">
      <c r="B45405" s="43"/>
    </row>
    <row r="45406" spans="2:2" ht="12.75" customHeight="1" x14ac:dyDescent="0.2">
      <c r="B45406" s="43"/>
    </row>
    <row r="45407" spans="2:2" ht="12.75" customHeight="1" x14ac:dyDescent="0.2">
      <c r="B45407" s="43"/>
    </row>
    <row r="45408" spans="2:2" ht="12.75" customHeight="1" x14ac:dyDescent="0.2">
      <c r="B45408" s="43"/>
    </row>
    <row r="45409" spans="2:2" ht="12.75" customHeight="1" x14ac:dyDescent="0.2">
      <c r="B45409" s="43"/>
    </row>
    <row r="45410" spans="2:2" ht="12.75" customHeight="1" x14ac:dyDescent="0.2">
      <c r="B45410" s="43"/>
    </row>
    <row r="45411" spans="2:2" ht="12.75" customHeight="1" x14ac:dyDescent="0.2">
      <c r="B45411" s="43"/>
    </row>
    <row r="45412" spans="2:2" ht="12.75" customHeight="1" x14ac:dyDescent="0.2">
      <c r="B45412" s="43"/>
    </row>
    <row r="45413" spans="2:2" ht="12.75" customHeight="1" x14ac:dyDescent="0.2">
      <c r="B45413" s="43"/>
    </row>
    <row r="45414" spans="2:2" ht="12.75" customHeight="1" x14ac:dyDescent="0.2">
      <c r="B45414" s="43"/>
    </row>
    <row r="45415" spans="2:2" ht="12.75" customHeight="1" x14ac:dyDescent="0.2">
      <c r="B45415" s="43"/>
    </row>
    <row r="45416" spans="2:2" ht="12.75" customHeight="1" x14ac:dyDescent="0.2">
      <c r="B45416" s="43"/>
    </row>
    <row r="45417" spans="2:2" ht="12.75" customHeight="1" x14ac:dyDescent="0.2">
      <c r="B45417" s="43"/>
    </row>
    <row r="45418" spans="2:2" ht="12.75" customHeight="1" x14ac:dyDescent="0.2">
      <c r="B45418" s="43"/>
    </row>
    <row r="45419" spans="2:2" ht="12.75" customHeight="1" x14ac:dyDescent="0.2">
      <c r="B45419" s="43"/>
    </row>
    <row r="45420" spans="2:2" ht="12.75" customHeight="1" x14ac:dyDescent="0.2">
      <c r="B45420" s="43"/>
    </row>
    <row r="45421" spans="2:2" ht="12.75" customHeight="1" x14ac:dyDescent="0.2">
      <c r="B45421" s="43"/>
    </row>
    <row r="45422" spans="2:2" ht="12.75" customHeight="1" x14ac:dyDescent="0.2">
      <c r="B45422" s="43"/>
    </row>
    <row r="45423" spans="2:2" ht="12.75" customHeight="1" x14ac:dyDescent="0.2">
      <c r="B45423" s="43"/>
    </row>
    <row r="45424" spans="2:2" ht="12.75" customHeight="1" x14ac:dyDescent="0.2">
      <c r="B45424" s="43"/>
    </row>
    <row r="45425" spans="2:2" ht="12.75" customHeight="1" x14ac:dyDescent="0.2">
      <c r="B45425" s="43"/>
    </row>
    <row r="45426" spans="2:2" ht="12.75" customHeight="1" x14ac:dyDescent="0.2">
      <c r="B45426" s="43"/>
    </row>
    <row r="45427" spans="2:2" ht="12.75" customHeight="1" x14ac:dyDescent="0.2">
      <c r="B45427" s="43"/>
    </row>
    <row r="45428" spans="2:2" ht="12.75" customHeight="1" x14ac:dyDescent="0.2">
      <c r="B45428" s="43"/>
    </row>
    <row r="45429" spans="2:2" ht="12.75" customHeight="1" x14ac:dyDescent="0.2">
      <c r="B45429" s="43"/>
    </row>
    <row r="45430" spans="2:2" ht="12.75" customHeight="1" x14ac:dyDescent="0.2">
      <c r="B45430" s="43"/>
    </row>
    <row r="45431" spans="2:2" ht="12.75" customHeight="1" x14ac:dyDescent="0.2">
      <c r="B45431" s="43"/>
    </row>
    <row r="45432" spans="2:2" ht="12.75" customHeight="1" x14ac:dyDescent="0.2">
      <c r="B45432" s="43"/>
    </row>
    <row r="45433" spans="2:2" ht="12.75" customHeight="1" x14ac:dyDescent="0.2">
      <c r="B45433" s="43"/>
    </row>
    <row r="45434" spans="2:2" ht="12.75" customHeight="1" x14ac:dyDescent="0.2">
      <c r="B45434" s="43"/>
    </row>
    <row r="45435" spans="2:2" ht="12.75" customHeight="1" x14ac:dyDescent="0.2">
      <c r="B45435" s="43"/>
    </row>
    <row r="45436" spans="2:2" ht="12.75" customHeight="1" x14ac:dyDescent="0.2">
      <c r="B45436" s="43"/>
    </row>
    <row r="45437" spans="2:2" ht="12.75" customHeight="1" x14ac:dyDescent="0.2">
      <c r="B45437" s="43"/>
    </row>
    <row r="45438" spans="2:2" ht="12.75" customHeight="1" x14ac:dyDescent="0.2">
      <c r="B45438" s="43"/>
    </row>
    <row r="45439" spans="2:2" ht="12.75" customHeight="1" x14ac:dyDescent="0.2">
      <c r="B45439" s="43"/>
    </row>
    <row r="45440" spans="2:2" ht="12.75" customHeight="1" x14ac:dyDescent="0.2">
      <c r="B45440" s="43"/>
    </row>
    <row r="45441" spans="2:2" ht="12.75" customHeight="1" x14ac:dyDescent="0.2">
      <c r="B45441" s="43"/>
    </row>
    <row r="45442" spans="2:2" ht="12.75" customHeight="1" x14ac:dyDescent="0.2">
      <c r="B45442" s="43"/>
    </row>
    <row r="45443" spans="2:2" ht="12.75" customHeight="1" x14ac:dyDescent="0.2">
      <c r="B45443" s="43"/>
    </row>
    <row r="45444" spans="2:2" ht="12.75" customHeight="1" x14ac:dyDescent="0.2">
      <c r="B45444" s="43"/>
    </row>
    <row r="45445" spans="2:2" ht="12.75" customHeight="1" x14ac:dyDescent="0.2">
      <c r="B45445" s="43"/>
    </row>
    <row r="45446" spans="2:2" ht="12.75" customHeight="1" x14ac:dyDescent="0.2">
      <c r="B45446" s="43"/>
    </row>
    <row r="45447" spans="2:2" ht="12.75" customHeight="1" x14ac:dyDescent="0.2">
      <c r="B45447" s="43"/>
    </row>
    <row r="45448" spans="2:2" ht="12.75" customHeight="1" x14ac:dyDescent="0.2">
      <c r="B45448" s="43"/>
    </row>
    <row r="45449" spans="2:2" ht="12.75" customHeight="1" x14ac:dyDescent="0.2">
      <c r="B45449" s="43"/>
    </row>
    <row r="45450" spans="2:2" ht="12.75" customHeight="1" x14ac:dyDescent="0.2">
      <c r="B45450" s="43"/>
    </row>
    <row r="45451" spans="2:2" ht="12.75" customHeight="1" x14ac:dyDescent="0.2">
      <c r="B45451" s="43"/>
    </row>
    <row r="45452" spans="2:2" ht="12.75" customHeight="1" x14ac:dyDescent="0.2">
      <c r="B45452" s="43"/>
    </row>
    <row r="45453" spans="2:2" ht="12.75" customHeight="1" x14ac:dyDescent="0.2">
      <c r="B45453" s="43"/>
    </row>
    <row r="45454" spans="2:2" ht="12.75" customHeight="1" x14ac:dyDescent="0.2">
      <c r="B45454" s="43"/>
    </row>
    <row r="45455" spans="2:2" ht="12.75" customHeight="1" x14ac:dyDescent="0.2">
      <c r="B45455" s="43"/>
    </row>
    <row r="45456" spans="2:2" ht="12.75" customHeight="1" x14ac:dyDescent="0.2">
      <c r="B45456" s="43"/>
    </row>
    <row r="45457" spans="2:2" ht="12.75" customHeight="1" x14ac:dyDescent="0.2">
      <c r="B45457" s="43"/>
    </row>
    <row r="45458" spans="2:2" ht="12.75" customHeight="1" x14ac:dyDescent="0.2">
      <c r="B45458" s="43"/>
    </row>
    <row r="45459" spans="2:2" ht="12.75" customHeight="1" x14ac:dyDescent="0.2">
      <c r="B45459" s="43"/>
    </row>
    <row r="45460" spans="2:2" ht="12.75" customHeight="1" x14ac:dyDescent="0.2">
      <c r="B45460" s="43"/>
    </row>
    <row r="45461" spans="2:2" ht="12.75" customHeight="1" x14ac:dyDescent="0.2">
      <c r="B45461" s="43"/>
    </row>
    <row r="45462" spans="2:2" ht="12.75" customHeight="1" x14ac:dyDescent="0.2">
      <c r="B45462" s="43"/>
    </row>
    <row r="45463" spans="2:2" ht="12.75" customHeight="1" x14ac:dyDescent="0.2">
      <c r="B45463" s="43"/>
    </row>
    <row r="45464" spans="2:2" ht="12.75" customHeight="1" x14ac:dyDescent="0.2">
      <c r="B45464" s="43"/>
    </row>
    <row r="45465" spans="2:2" ht="12.75" customHeight="1" x14ac:dyDescent="0.2">
      <c r="B45465" s="43"/>
    </row>
    <row r="45466" spans="2:2" ht="12.75" customHeight="1" x14ac:dyDescent="0.2">
      <c r="B45466" s="43"/>
    </row>
    <row r="45467" spans="2:2" ht="12.75" customHeight="1" x14ac:dyDescent="0.2">
      <c r="B45467" s="43"/>
    </row>
    <row r="45468" spans="2:2" ht="12.75" customHeight="1" x14ac:dyDescent="0.2">
      <c r="B45468" s="43"/>
    </row>
    <row r="45469" spans="2:2" ht="12.75" customHeight="1" x14ac:dyDescent="0.2">
      <c r="B45469" s="43"/>
    </row>
    <row r="45470" spans="2:2" ht="12.75" customHeight="1" x14ac:dyDescent="0.2">
      <c r="B45470" s="43"/>
    </row>
    <row r="45471" spans="2:2" ht="12.75" customHeight="1" x14ac:dyDescent="0.2">
      <c r="B45471" s="43"/>
    </row>
    <row r="45472" spans="2:2" ht="12.75" customHeight="1" x14ac:dyDescent="0.2">
      <c r="B45472" s="43"/>
    </row>
    <row r="45473" spans="2:2" ht="12.75" customHeight="1" x14ac:dyDescent="0.2">
      <c r="B45473" s="43"/>
    </row>
    <row r="45474" spans="2:2" ht="12.75" customHeight="1" x14ac:dyDescent="0.2">
      <c r="B45474" s="43"/>
    </row>
    <row r="45475" spans="2:2" ht="12.75" customHeight="1" x14ac:dyDescent="0.2">
      <c r="B45475" s="43"/>
    </row>
    <row r="45476" spans="2:2" ht="12.75" customHeight="1" x14ac:dyDescent="0.2">
      <c r="B45476" s="43"/>
    </row>
    <row r="45477" spans="2:2" ht="12.75" customHeight="1" x14ac:dyDescent="0.2">
      <c r="B45477" s="43"/>
    </row>
    <row r="45478" spans="2:2" ht="12.75" customHeight="1" x14ac:dyDescent="0.2">
      <c r="B45478" s="43"/>
    </row>
    <row r="45479" spans="2:2" ht="12.75" customHeight="1" x14ac:dyDescent="0.2">
      <c r="B45479" s="43"/>
    </row>
    <row r="45480" spans="2:2" ht="12.75" customHeight="1" x14ac:dyDescent="0.2">
      <c r="B45480" s="43"/>
    </row>
    <row r="45481" spans="2:2" ht="12.75" customHeight="1" x14ac:dyDescent="0.2">
      <c r="B45481" s="43"/>
    </row>
    <row r="45482" spans="2:2" ht="12.75" customHeight="1" x14ac:dyDescent="0.2">
      <c r="B45482" s="43"/>
    </row>
    <row r="45483" spans="2:2" ht="12.75" customHeight="1" x14ac:dyDescent="0.2">
      <c r="B45483" s="43"/>
    </row>
    <row r="45484" spans="2:2" ht="12.75" customHeight="1" x14ac:dyDescent="0.2">
      <c r="B45484" s="43"/>
    </row>
    <row r="45485" spans="2:2" ht="12.75" customHeight="1" x14ac:dyDescent="0.2">
      <c r="B45485" s="43"/>
    </row>
    <row r="45486" spans="2:2" ht="12.75" customHeight="1" x14ac:dyDescent="0.2">
      <c r="B45486" s="43"/>
    </row>
    <row r="45487" spans="2:2" ht="12.75" customHeight="1" x14ac:dyDescent="0.2">
      <c r="B45487" s="43"/>
    </row>
    <row r="45488" spans="2:2" ht="12.75" customHeight="1" x14ac:dyDescent="0.2">
      <c r="B45488" s="43"/>
    </row>
    <row r="45489" spans="2:2" ht="12.75" customHeight="1" x14ac:dyDescent="0.2">
      <c r="B45489" s="43"/>
    </row>
    <row r="45490" spans="2:2" ht="12.75" customHeight="1" x14ac:dyDescent="0.2">
      <c r="B45490" s="43"/>
    </row>
    <row r="45491" spans="2:2" ht="12.75" customHeight="1" x14ac:dyDescent="0.2">
      <c r="B45491" s="43"/>
    </row>
    <row r="45492" spans="2:2" ht="12.75" customHeight="1" x14ac:dyDescent="0.2">
      <c r="B45492" s="43"/>
    </row>
    <row r="45493" spans="2:2" ht="12.75" customHeight="1" x14ac:dyDescent="0.2">
      <c r="B45493" s="43"/>
    </row>
    <row r="45494" spans="2:2" ht="12.75" customHeight="1" x14ac:dyDescent="0.2">
      <c r="B45494" s="43"/>
    </row>
    <row r="45495" spans="2:2" ht="12.75" customHeight="1" x14ac:dyDescent="0.2">
      <c r="B45495" s="43"/>
    </row>
    <row r="45496" spans="2:2" ht="12.75" customHeight="1" x14ac:dyDescent="0.2">
      <c r="B45496" s="43"/>
    </row>
    <row r="45497" spans="2:2" ht="12.75" customHeight="1" x14ac:dyDescent="0.2">
      <c r="B45497" s="43"/>
    </row>
    <row r="45498" spans="2:2" ht="12.75" customHeight="1" x14ac:dyDescent="0.2">
      <c r="B45498" s="43"/>
    </row>
    <row r="45499" spans="2:2" ht="12.75" customHeight="1" x14ac:dyDescent="0.2">
      <c r="B45499" s="43"/>
    </row>
    <row r="45500" spans="2:2" ht="12.75" customHeight="1" x14ac:dyDescent="0.2">
      <c r="B45500" s="43"/>
    </row>
    <row r="45501" spans="2:2" ht="12.75" customHeight="1" x14ac:dyDescent="0.2">
      <c r="B45501" s="43"/>
    </row>
    <row r="45502" spans="2:2" ht="12.75" customHeight="1" x14ac:dyDescent="0.2">
      <c r="B45502" s="43"/>
    </row>
    <row r="45503" spans="2:2" ht="12.75" customHeight="1" x14ac:dyDescent="0.2">
      <c r="B45503" s="43"/>
    </row>
    <row r="45504" spans="2:2" ht="12.75" customHeight="1" x14ac:dyDescent="0.2">
      <c r="B45504" s="43"/>
    </row>
    <row r="45505" spans="2:2" ht="12.75" customHeight="1" x14ac:dyDescent="0.2">
      <c r="B45505" s="43"/>
    </row>
    <row r="45506" spans="2:2" ht="12.75" customHeight="1" x14ac:dyDescent="0.2">
      <c r="B45506" s="43"/>
    </row>
    <row r="45507" spans="2:2" ht="12.75" customHeight="1" x14ac:dyDescent="0.2">
      <c r="B45507" s="43"/>
    </row>
    <row r="45508" spans="2:2" ht="12.75" customHeight="1" x14ac:dyDescent="0.2">
      <c r="B45508" s="43"/>
    </row>
    <row r="45509" spans="2:2" ht="12.75" customHeight="1" x14ac:dyDescent="0.2">
      <c r="B45509" s="43"/>
    </row>
    <row r="45510" spans="2:2" ht="12.75" customHeight="1" x14ac:dyDescent="0.2">
      <c r="B45510" s="43"/>
    </row>
    <row r="45511" spans="2:2" ht="12.75" customHeight="1" x14ac:dyDescent="0.2">
      <c r="B45511" s="43"/>
    </row>
    <row r="45512" spans="2:2" ht="12.75" customHeight="1" x14ac:dyDescent="0.2">
      <c r="B45512" s="43"/>
    </row>
    <row r="45513" spans="2:2" ht="12.75" customHeight="1" x14ac:dyDescent="0.2">
      <c r="B45513" s="43"/>
    </row>
    <row r="45514" spans="2:2" ht="12.75" customHeight="1" x14ac:dyDescent="0.2">
      <c r="B45514" s="43"/>
    </row>
    <row r="45515" spans="2:2" ht="12.75" customHeight="1" x14ac:dyDescent="0.2">
      <c r="B45515" s="43"/>
    </row>
    <row r="45516" spans="2:2" ht="12.75" customHeight="1" x14ac:dyDescent="0.2">
      <c r="B45516" s="43"/>
    </row>
    <row r="45517" spans="2:2" ht="12.75" customHeight="1" x14ac:dyDescent="0.2">
      <c r="B45517" s="43"/>
    </row>
    <row r="45518" spans="2:2" ht="12.75" customHeight="1" x14ac:dyDescent="0.2">
      <c r="B45518" s="43"/>
    </row>
    <row r="45519" spans="2:2" ht="12.75" customHeight="1" x14ac:dyDescent="0.2">
      <c r="B45519" s="43"/>
    </row>
    <row r="45520" spans="2:2" ht="12.75" customHeight="1" x14ac:dyDescent="0.2">
      <c r="B45520" s="43"/>
    </row>
    <row r="45521" spans="2:2" ht="12.75" customHeight="1" x14ac:dyDescent="0.2">
      <c r="B45521" s="43"/>
    </row>
    <row r="45522" spans="2:2" ht="12.75" customHeight="1" x14ac:dyDescent="0.2">
      <c r="B45522" s="43"/>
    </row>
    <row r="45523" spans="2:2" ht="12.75" customHeight="1" x14ac:dyDescent="0.2">
      <c r="B45523" s="43"/>
    </row>
    <row r="45524" spans="2:2" ht="12.75" customHeight="1" x14ac:dyDescent="0.2">
      <c r="B45524" s="43"/>
    </row>
    <row r="45525" spans="2:2" ht="12.75" customHeight="1" x14ac:dyDescent="0.2">
      <c r="B45525" s="43"/>
    </row>
    <row r="45526" spans="2:2" ht="12.75" customHeight="1" x14ac:dyDescent="0.2">
      <c r="B45526" s="43"/>
    </row>
    <row r="45527" spans="2:2" ht="12.75" customHeight="1" x14ac:dyDescent="0.2">
      <c r="B45527" s="43"/>
    </row>
    <row r="45528" spans="2:2" ht="12.75" customHeight="1" x14ac:dyDescent="0.2">
      <c r="B45528" s="43"/>
    </row>
    <row r="45529" spans="2:2" ht="12.75" customHeight="1" x14ac:dyDescent="0.2">
      <c r="B45529" s="43"/>
    </row>
    <row r="45530" spans="2:2" ht="12.75" customHeight="1" x14ac:dyDescent="0.2">
      <c r="B45530" s="43"/>
    </row>
    <row r="45531" spans="2:2" ht="12.75" customHeight="1" x14ac:dyDescent="0.2">
      <c r="B45531" s="43"/>
    </row>
    <row r="45532" spans="2:2" ht="12.75" customHeight="1" x14ac:dyDescent="0.2">
      <c r="B45532" s="43"/>
    </row>
    <row r="45533" spans="2:2" ht="12.75" customHeight="1" x14ac:dyDescent="0.2">
      <c r="B45533" s="43"/>
    </row>
    <row r="45534" spans="2:2" ht="12.75" customHeight="1" x14ac:dyDescent="0.2">
      <c r="B45534" s="43"/>
    </row>
    <row r="45535" spans="2:2" ht="12.75" customHeight="1" x14ac:dyDescent="0.2">
      <c r="B45535" s="43"/>
    </row>
    <row r="45536" spans="2:2" ht="12.75" customHeight="1" x14ac:dyDescent="0.2">
      <c r="B45536" s="43"/>
    </row>
    <row r="45537" spans="2:2" ht="12.75" customHeight="1" x14ac:dyDescent="0.2">
      <c r="B45537" s="43"/>
    </row>
    <row r="45538" spans="2:2" ht="12.75" customHeight="1" x14ac:dyDescent="0.2">
      <c r="B45538" s="43"/>
    </row>
    <row r="45539" spans="2:2" ht="12.75" customHeight="1" x14ac:dyDescent="0.2">
      <c r="B45539" s="43"/>
    </row>
    <row r="45540" spans="2:2" ht="12.75" customHeight="1" x14ac:dyDescent="0.2">
      <c r="B45540" s="43"/>
    </row>
    <row r="45541" spans="2:2" ht="12.75" customHeight="1" x14ac:dyDescent="0.2">
      <c r="B45541" s="43"/>
    </row>
    <row r="45542" spans="2:2" ht="12.75" customHeight="1" x14ac:dyDescent="0.2">
      <c r="B45542" s="43"/>
    </row>
    <row r="45543" spans="2:2" ht="12.75" customHeight="1" x14ac:dyDescent="0.2">
      <c r="B45543" s="43"/>
    </row>
    <row r="45544" spans="2:2" ht="12.75" customHeight="1" x14ac:dyDescent="0.2">
      <c r="B45544" s="43"/>
    </row>
    <row r="45545" spans="2:2" ht="12.75" customHeight="1" x14ac:dyDescent="0.2">
      <c r="B45545" s="43"/>
    </row>
    <row r="45546" spans="2:2" ht="12.75" customHeight="1" x14ac:dyDescent="0.2">
      <c r="B45546" s="43"/>
    </row>
    <row r="45547" spans="2:2" ht="12.75" customHeight="1" x14ac:dyDescent="0.2">
      <c r="B45547" s="43"/>
    </row>
    <row r="45548" spans="2:2" ht="12.75" customHeight="1" x14ac:dyDescent="0.2">
      <c r="B45548" s="43"/>
    </row>
    <row r="45549" spans="2:2" ht="12.75" customHeight="1" x14ac:dyDescent="0.2">
      <c r="B45549" s="43"/>
    </row>
    <row r="45550" spans="2:2" ht="12.75" customHeight="1" x14ac:dyDescent="0.2">
      <c r="B45550" s="43"/>
    </row>
    <row r="45551" spans="2:2" ht="12.75" customHeight="1" x14ac:dyDescent="0.2">
      <c r="B45551" s="43"/>
    </row>
    <row r="45552" spans="2:2" ht="12.75" customHeight="1" x14ac:dyDescent="0.2">
      <c r="B45552" s="43"/>
    </row>
    <row r="45553" spans="2:2" ht="12.75" customHeight="1" x14ac:dyDescent="0.2">
      <c r="B45553" s="43"/>
    </row>
    <row r="45554" spans="2:2" ht="12.75" customHeight="1" x14ac:dyDescent="0.2">
      <c r="B45554" s="43"/>
    </row>
    <row r="45555" spans="2:2" ht="12.75" customHeight="1" x14ac:dyDescent="0.2">
      <c r="B45555" s="43"/>
    </row>
    <row r="45556" spans="2:2" ht="12.75" customHeight="1" x14ac:dyDescent="0.2">
      <c r="B45556" s="43"/>
    </row>
    <row r="45557" spans="2:2" ht="12.75" customHeight="1" x14ac:dyDescent="0.2">
      <c r="B45557" s="43"/>
    </row>
    <row r="45558" spans="2:2" ht="12.75" customHeight="1" x14ac:dyDescent="0.2">
      <c r="B45558" s="43"/>
    </row>
    <row r="45559" spans="2:2" ht="12.75" customHeight="1" x14ac:dyDescent="0.2">
      <c r="B45559" s="43"/>
    </row>
    <row r="45560" spans="2:2" ht="12.75" customHeight="1" x14ac:dyDescent="0.2">
      <c r="B45560" s="43"/>
    </row>
    <row r="45561" spans="2:2" ht="12.75" customHeight="1" x14ac:dyDescent="0.2">
      <c r="B45561" s="43"/>
    </row>
    <row r="45562" spans="2:2" ht="12.75" customHeight="1" x14ac:dyDescent="0.2">
      <c r="B45562" s="43"/>
    </row>
    <row r="45563" spans="2:2" ht="12.75" customHeight="1" x14ac:dyDescent="0.2">
      <c r="B45563" s="43"/>
    </row>
    <row r="45564" spans="2:2" ht="12.75" customHeight="1" x14ac:dyDescent="0.2">
      <c r="B45564" s="43"/>
    </row>
    <row r="45565" spans="2:2" ht="12.75" customHeight="1" x14ac:dyDescent="0.2">
      <c r="B45565" s="43"/>
    </row>
    <row r="45566" spans="2:2" ht="12.75" customHeight="1" x14ac:dyDescent="0.2">
      <c r="B45566" s="43"/>
    </row>
    <row r="45567" spans="2:2" ht="12.75" customHeight="1" x14ac:dyDescent="0.2">
      <c r="B45567" s="43"/>
    </row>
    <row r="45568" spans="2:2" ht="12.75" customHeight="1" x14ac:dyDescent="0.2">
      <c r="B45568" s="43"/>
    </row>
    <row r="45569" spans="2:2" ht="12.75" customHeight="1" x14ac:dyDescent="0.2">
      <c r="B45569" s="43"/>
    </row>
    <row r="45570" spans="2:2" ht="12.75" customHeight="1" x14ac:dyDescent="0.2">
      <c r="B45570" s="43"/>
    </row>
    <row r="45571" spans="2:2" ht="12.75" customHeight="1" x14ac:dyDescent="0.2">
      <c r="B45571" s="43"/>
    </row>
    <row r="45572" spans="2:2" ht="12.75" customHeight="1" x14ac:dyDescent="0.2">
      <c r="B45572" s="43"/>
    </row>
    <row r="45573" spans="2:2" ht="12.75" customHeight="1" x14ac:dyDescent="0.2">
      <c r="B45573" s="43"/>
    </row>
    <row r="45574" spans="2:2" ht="12.75" customHeight="1" x14ac:dyDescent="0.2">
      <c r="B45574" s="43"/>
    </row>
    <row r="45575" spans="2:2" ht="12.75" customHeight="1" x14ac:dyDescent="0.2">
      <c r="B45575" s="43"/>
    </row>
    <row r="45576" spans="2:2" ht="12.75" customHeight="1" x14ac:dyDescent="0.2">
      <c r="B45576" s="43"/>
    </row>
    <row r="45577" spans="2:2" ht="12.75" customHeight="1" x14ac:dyDescent="0.2">
      <c r="B45577" s="43"/>
    </row>
    <row r="45578" spans="2:2" ht="12.75" customHeight="1" x14ac:dyDescent="0.2">
      <c r="B45578" s="43"/>
    </row>
    <row r="45579" spans="2:2" ht="12.75" customHeight="1" x14ac:dyDescent="0.2">
      <c r="B45579" s="43"/>
    </row>
    <row r="45580" spans="2:2" ht="12.75" customHeight="1" x14ac:dyDescent="0.2">
      <c r="B45580" s="43"/>
    </row>
    <row r="45581" spans="2:2" ht="12.75" customHeight="1" x14ac:dyDescent="0.2">
      <c r="B45581" s="43"/>
    </row>
    <row r="45582" spans="2:2" ht="12.75" customHeight="1" x14ac:dyDescent="0.2">
      <c r="B45582" s="43"/>
    </row>
    <row r="45583" spans="2:2" ht="12.75" customHeight="1" x14ac:dyDescent="0.2">
      <c r="B45583" s="43"/>
    </row>
    <row r="45584" spans="2:2" ht="12.75" customHeight="1" x14ac:dyDescent="0.2">
      <c r="B45584" s="43"/>
    </row>
    <row r="45585" spans="2:2" ht="12.75" customHeight="1" x14ac:dyDescent="0.2">
      <c r="B45585" s="43"/>
    </row>
    <row r="45586" spans="2:2" ht="12.75" customHeight="1" x14ac:dyDescent="0.2">
      <c r="B45586" s="43"/>
    </row>
    <row r="45587" spans="2:2" ht="12.75" customHeight="1" x14ac:dyDescent="0.2">
      <c r="B45587" s="43"/>
    </row>
    <row r="45588" spans="2:2" ht="12.75" customHeight="1" x14ac:dyDescent="0.2">
      <c r="B45588" s="43"/>
    </row>
    <row r="45589" spans="2:2" ht="12.75" customHeight="1" x14ac:dyDescent="0.2">
      <c r="B45589" s="43"/>
    </row>
    <row r="45590" spans="2:2" ht="12.75" customHeight="1" x14ac:dyDescent="0.2">
      <c r="B45590" s="43"/>
    </row>
    <row r="45591" spans="2:2" ht="12.75" customHeight="1" x14ac:dyDescent="0.2">
      <c r="B45591" s="43"/>
    </row>
    <row r="45592" spans="2:2" ht="12.75" customHeight="1" x14ac:dyDescent="0.2">
      <c r="B45592" s="43"/>
    </row>
    <row r="45593" spans="2:2" ht="12.75" customHeight="1" x14ac:dyDescent="0.2">
      <c r="B45593" s="43"/>
    </row>
    <row r="45594" spans="2:2" ht="12.75" customHeight="1" x14ac:dyDescent="0.2">
      <c r="B45594" s="43"/>
    </row>
    <row r="45595" spans="2:2" ht="12.75" customHeight="1" x14ac:dyDescent="0.2">
      <c r="B45595" s="43"/>
    </row>
    <row r="45596" spans="2:2" ht="12.75" customHeight="1" x14ac:dyDescent="0.2">
      <c r="B45596" s="43"/>
    </row>
    <row r="45597" spans="2:2" ht="12.75" customHeight="1" x14ac:dyDescent="0.2">
      <c r="B45597" s="43"/>
    </row>
    <row r="45598" spans="2:2" ht="12.75" customHeight="1" x14ac:dyDescent="0.2">
      <c r="B45598" s="43"/>
    </row>
    <row r="45599" spans="2:2" ht="12.75" customHeight="1" x14ac:dyDescent="0.2">
      <c r="B45599" s="43"/>
    </row>
    <row r="45600" spans="2:2" ht="12.75" customHeight="1" x14ac:dyDescent="0.2">
      <c r="B45600" s="43"/>
    </row>
    <row r="45601" spans="2:2" ht="12.75" customHeight="1" x14ac:dyDescent="0.2">
      <c r="B45601" s="43"/>
    </row>
    <row r="45602" spans="2:2" ht="12.75" customHeight="1" x14ac:dyDescent="0.2">
      <c r="B45602" s="43"/>
    </row>
    <row r="45603" spans="2:2" ht="12.75" customHeight="1" x14ac:dyDescent="0.2">
      <c r="B45603" s="43"/>
    </row>
    <row r="45604" spans="2:2" ht="12.75" customHeight="1" x14ac:dyDescent="0.2">
      <c r="B45604" s="43"/>
    </row>
    <row r="45605" spans="2:2" ht="12.75" customHeight="1" x14ac:dyDescent="0.2">
      <c r="B45605" s="43"/>
    </row>
    <row r="45606" spans="2:2" ht="12.75" customHeight="1" x14ac:dyDescent="0.2">
      <c r="B45606" s="43"/>
    </row>
    <row r="45607" spans="2:2" ht="12.75" customHeight="1" x14ac:dyDescent="0.2">
      <c r="B45607" s="43"/>
    </row>
    <row r="45608" spans="2:2" ht="12.75" customHeight="1" x14ac:dyDescent="0.2">
      <c r="B45608" s="43"/>
    </row>
    <row r="45609" spans="2:2" ht="12.75" customHeight="1" x14ac:dyDescent="0.2">
      <c r="B45609" s="43"/>
    </row>
    <row r="45610" spans="2:2" ht="12.75" customHeight="1" x14ac:dyDescent="0.2">
      <c r="B45610" s="43"/>
    </row>
    <row r="45611" spans="2:2" ht="12.75" customHeight="1" x14ac:dyDescent="0.2">
      <c r="B45611" s="43"/>
    </row>
    <row r="45612" spans="2:2" ht="12.75" customHeight="1" x14ac:dyDescent="0.2">
      <c r="B45612" s="43"/>
    </row>
    <row r="45613" spans="2:2" ht="12.75" customHeight="1" x14ac:dyDescent="0.2">
      <c r="B45613" s="43"/>
    </row>
    <row r="45614" spans="2:2" ht="12.75" customHeight="1" x14ac:dyDescent="0.2">
      <c r="B45614" s="43"/>
    </row>
    <row r="45615" spans="2:2" ht="12.75" customHeight="1" x14ac:dyDescent="0.2">
      <c r="B45615" s="43"/>
    </row>
    <row r="45616" spans="2:2" ht="12.75" customHeight="1" x14ac:dyDescent="0.2">
      <c r="B45616" s="43"/>
    </row>
    <row r="45617" spans="2:2" ht="12.75" customHeight="1" x14ac:dyDescent="0.2">
      <c r="B45617" s="43"/>
    </row>
    <row r="45618" spans="2:2" ht="12.75" customHeight="1" x14ac:dyDescent="0.2">
      <c r="B45618" s="43"/>
    </row>
    <row r="45619" spans="2:2" ht="12.75" customHeight="1" x14ac:dyDescent="0.2">
      <c r="B45619" s="43"/>
    </row>
    <row r="45620" spans="2:2" ht="12.75" customHeight="1" x14ac:dyDescent="0.2">
      <c r="B45620" s="43"/>
    </row>
    <row r="45621" spans="2:2" ht="12.75" customHeight="1" x14ac:dyDescent="0.2">
      <c r="B45621" s="43"/>
    </row>
    <row r="45622" spans="2:2" ht="12.75" customHeight="1" x14ac:dyDescent="0.2">
      <c r="B45622" s="43"/>
    </row>
    <row r="45623" spans="2:2" ht="12.75" customHeight="1" x14ac:dyDescent="0.2">
      <c r="B45623" s="43"/>
    </row>
    <row r="45624" spans="2:2" ht="12.75" customHeight="1" x14ac:dyDescent="0.2">
      <c r="B45624" s="43"/>
    </row>
    <row r="45625" spans="2:2" ht="12.75" customHeight="1" x14ac:dyDescent="0.2">
      <c r="B45625" s="43"/>
    </row>
    <row r="45626" spans="2:2" ht="12.75" customHeight="1" x14ac:dyDescent="0.2">
      <c r="B45626" s="43"/>
    </row>
    <row r="45627" spans="2:2" ht="12.75" customHeight="1" x14ac:dyDescent="0.2">
      <c r="B45627" s="43"/>
    </row>
    <row r="45628" spans="2:2" ht="12.75" customHeight="1" x14ac:dyDescent="0.2">
      <c r="B45628" s="43"/>
    </row>
    <row r="45629" spans="2:2" ht="12.75" customHeight="1" x14ac:dyDescent="0.2">
      <c r="B45629" s="43"/>
    </row>
    <row r="45630" spans="2:2" ht="12.75" customHeight="1" x14ac:dyDescent="0.2">
      <c r="B45630" s="43"/>
    </row>
    <row r="45631" spans="2:2" ht="12.75" customHeight="1" x14ac:dyDescent="0.2">
      <c r="B45631" s="43"/>
    </row>
    <row r="45632" spans="2:2" ht="12.75" customHeight="1" x14ac:dyDescent="0.2">
      <c r="B45632" s="43"/>
    </row>
    <row r="45633" spans="2:2" ht="12.75" customHeight="1" x14ac:dyDescent="0.2">
      <c r="B45633" s="43"/>
    </row>
    <row r="45634" spans="2:2" ht="12.75" customHeight="1" x14ac:dyDescent="0.2">
      <c r="B45634" s="43"/>
    </row>
    <row r="45635" spans="2:2" ht="12.75" customHeight="1" x14ac:dyDescent="0.2">
      <c r="B45635" s="43"/>
    </row>
    <row r="45636" spans="2:2" ht="12.75" customHeight="1" x14ac:dyDescent="0.2">
      <c r="B45636" s="43"/>
    </row>
    <row r="45637" spans="2:2" ht="12.75" customHeight="1" x14ac:dyDescent="0.2">
      <c r="B45637" s="43"/>
    </row>
    <row r="45638" spans="2:2" ht="12.75" customHeight="1" x14ac:dyDescent="0.2">
      <c r="B45638" s="43"/>
    </row>
    <row r="45639" spans="2:2" ht="12.75" customHeight="1" x14ac:dyDescent="0.2">
      <c r="B45639" s="43"/>
    </row>
    <row r="45640" spans="2:2" ht="12.75" customHeight="1" x14ac:dyDescent="0.2">
      <c r="B45640" s="43"/>
    </row>
    <row r="45641" spans="2:2" ht="12.75" customHeight="1" x14ac:dyDescent="0.2">
      <c r="B45641" s="43"/>
    </row>
    <row r="45642" spans="2:2" ht="12.75" customHeight="1" x14ac:dyDescent="0.2">
      <c r="B45642" s="43"/>
    </row>
    <row r="45643" spans="2:2" ht="12.75" customHeight="1" x14ac:dyDescent="0.2">
      <c r="B45643" s="43"/>
    </row>
    <row r="45644" spans="2:2" ht="12.75" customHeight="1" x14ac:dyDescent="0.2">
      <c r="B45644" s="43"/>
    </row>
    <row r="45645" spans="2:2" ht="12.75" customHeight="1" x14ac:dyDescent="0.2">
      <c r="B45645" s="43"/>
    </row>
    <row r="45646" spans="2:2" ht="12.75" customHeight="1" x14ac:dyDescent="0.2">
      <c r="B45646" s="43"/>
    </row>
    <row r="45647" spans="2:2" ht="12.75" customHeight="1" x14ac:dyDescent="0.2">
      <c r="B45647" s="43"/>
    </row>
    <row r="45648" spans="2:2" ht="12.75" customHeight="1" x14ac:dyDescent="0.2">
      <c r="B45648" s="43"/>
    </row>
    <row r="45649" spans="2:2" ht="12.75" customHeight="1" x14ac:dyDescent="0.2">
      <c r="B45649" s="43"/>
    </row>
    <row r="45650" spans="2:2" ht="12.75" customHeight="1" x14ac:dyDescent="0.2">
      <c r="B45650" s="43"/>
    </row>
    <row r="45651" spans="2:2" ht="12.75" customHeight="1" x14ac:dyDescent="0.2">
      <c r="B45651" s="43"/>
    </row>
    <row r="45652" spans="2:2" ht="12.75" customHeight="1" x14ac:dyDescent="0.2">
      <c r="B45652" s="43"/>
    </row>
    <row r="45653" spans="2:2" ht="12.75" customHeight="1" x14ac:dyDescent="0.2">
      <c r="B45653" s="43"/>
    </row>
    <row r="45654" spans="2:2" ht="12.75" customHeight="1" x14ac:dyDescent="0.2">
      <c r="B45654" s="43"/>
    </row>
    <row r="45655" spans="2:2" ht="12.75" customHeight="1" x14ac:dyDescent="0.2">
      <c r="B45655" s="43"/>
    </row>
    <row r="45656" spans="2:2" ht="12.75" customHeight="1" x14ac:dyDescent="0.2">
      <c r="B45656" s="43"/>
    </row>
    <row r="45657" spans="2:2" ht="12.75" customHeight="1" x14ac:dyDescent="0.2">
      <c r="B45657" s="43"/>
    </row>
    <row r="45658" spans="2:2" ht="12.75" customHeight="1" x14ac:dyDescent="0.2">
      <c r="B45658" s="43"/>
    </row>
    <row r="45659" spans="2:2" ht="12.75" customHeight="1" x14ac:dyDescent="0.2">
      <c r="B45659" s="43"/>
    </row>
    <row r="45660" spans="2:2" ht="12.75" customHeight="1" x14ac:dyDescent="0.2">
      <c r="B45660" s="43"/>
    </row>
    <row r="45661" spans="2:2" ht="12.75" customHeight="1" x14ac:dyDescent="0.2">
      <c r="B45661" s="43"/>
    </row>
    <row r="45662" spans="2:2" ht="12.75" customHeight="1" x14ac:dyDescent="0.2">
      <c r="B45662" s="43"/>
    </row>
    <row r="45663" spans="2:2" ht="12.75" customHeight="1" x14ac:dyDescent="0.2">
      <c r="B45663" s="43"/>
    </row>
    <row r="45664" spans="2:2" ht="12.75" customHeight="1" x14ac:dyDescent="0.2">
      <c r="B45664" s="43"/>
    </row>
    <row r="45665" spans="2:2" ht="12.75" customHeight="1" x14ac:dyDescent="0.2">
      <c r="B45665" s="43"/>
    </row>
    <row r="45666" spans="2:2" ht="12.75" customHeight="1" x14ac:dyDescent="0.2">
      <c r="B45666" s="43"/>
    </row>
    <row r="45667" spans="2:2" ht="12.75" customHeight="1" x14ac:dyDescent="0.2">
      <c r="B45667" s="43"/>
    </row>
    <row r="45668" spans="2:2" ht="12.75" customHeight="1" x14ac:dyDescent="0.2">
      <c r="B45668" s="43"/>
    </row>
    <row r="45669" spans="2:2" ht="12.75" customHeight="1" x14ac:dyDescent="0.2">
      <c r="B45669" s="43"/>
    </row>
    <row r="45670" spans="2:2" ht="12.75" customHeight="1" x14ac:dyDescent="0.2">
      <c r="B45670" s="43"/>
    </row>
    <row r="45671" spans="2:2" ht="12.75" customHeight="1" x14ac:dyDescent="0.2">
      <c r="B45671" s="43"/>
    </row>
    <row r="45672" spans="2:2" ht="12.75" customHeight="1" x14ac:dyDescent="0.2">
      <c r="B45672" s="43"/>
    </row>
    <row r="45673" spans="2:2" ht="12.75" customHeight="1" x14ac:dyDescent="0.2">
      <c r="B45673" s="43"/>
    </row>
    <row r="45674" spans="2:2" ht="12.75" customHeight="1" x14ac:dyDescent="0.2">
      <c r="B45674" s="43"/>
    </row>
    <row r="45675" spans="2:2" ht="12.75" customHeight="1" x14ac:dyDescent="0.2">
      <c r="B45675" s="43"/>
    </row>
    <row r="45676" spans="2:2" ht="12.75" customHeight="1" x14ac:dyDescent="0.2">
      <c r="B45676" s="43"/>
    </row>
    <row r="45677" spans="2:2" ht="12.75" customHeight="1" x14ac:dyDescent="0.2">
      <c r="B45677" s="43"/>
    </row>
    <row r="45678" spans="2:2" ht="12.75" customHeight="1" x14ac:dyDescent="0.2">
      <c r="B45678" s="43"/>
    </row>
    <row r="45679" spans="2:2" ht="12.75" customHeight="1" x14ac:dyDescent="0.2">
      <c r="B45679" s="43"/>
    </row>
    <row r="45680" spans="2:2" ht="12.75" customHeight="1" x14ac:dyDescent="0.2">
      <c r="B45680" s="43"/>
    </row>
    <row r="45681" spans="2:2" ht="12.75" customHeight="1" x14ac:dyDescent="0.2">
      <c r="B45681" s="43"/>
    </row>
    <row r="45682" spans="2:2" ht="12.75" customHeight="1" x14ac:dyDescent="0.2">
      <c r="B45682" s="43"/>
    </row>
    <row r="45683" spans="2:2" ht="12.75" customHeight="1" x14ac:dyDescent="0.2">
      <c r="B45683" s="43"/>
    </row>
    <row r="45684" spans="2:2" ht="12.75" customHeight="1" x14ac:dyDescent="0.2">
      <c r="B45684" s="43"/>
    </row>
    <row r="45685" spans="2:2" ht="12.75" customHeight="1" x14ac:dyDescent="0.2">
      <c r="B45685" s="43"/>
    </row>
    <row r="45686" spans="2:2" ht="12.75" customHeight="1" x14ac:dyDescent="0.2">
      <c r="B45686" s="43"/>
    </row>
    <row r="45687" spans="2:2" ht="12.75" customHeight="1" x14ac:dyDescent="0.2">
      <c r="B45687" s="43"/>
    </row>
    <row r="45688" spans="2:2" ht="12.75" customHeight="1" x14ac:dyDescent="0.2">
      <c r="B45688" s="43"/>
    </row>
    <row r="45689" spans="2:2" ht="12.75" customHeight="1" x14ac:dyDescent="0.2">
      <c r="B45689" s="43"/>
    </row>
    <row r="45690" spans="2:2" ht="12.75" customHeight="1" x14ac:dyDescent="0.2">
      <c r="B45690" s="43"/>
    </row>
    <row r="45691" spans="2:2" ht="12.75" customHeight="1" x14ac:dyDescent="0.2">
      <c r="B45691" s="43"/>
    </row>
    <row r="45692" spans="2:2" ht="12.75" customHeight="1" x14ac:dyDescent="0.2">
      <c r="B45692" s="43"/>
    </row>
    <row r="45693" spans="2:2" ht="12.75" customHeight="1" x14ac:dyDescent="0.2">
      <c r="B45693" s="43"/>
    </row>
    <row r="45694" spans="2:2" ht="12.75" customHeight="1" x14ac:dyDescent="0.2">
      <c r="B45694" s="43"/>
    </row>
    <row r="45695" spans="2:2" ht="12.75" customHeight="1" x14ac:dyDescent="0.2">
      <c r="B45695" s="43"/>
    </row>
    <row r="45696" spans="2:2" ht="12.75" customHeight="1" x14ac:dyDescent="0.2">
      <c r="B45696" s="43"/>
    </row>
    <row r="45697" spans="2:2" ht="12.75" customHeight="1" x14ac:dyDescent="0.2">
      <c r="B45697" s="43"/>
    </row>
    <row r="45698" spans="2:2" ht="12.75" customHeight="1" x14ac:dyDescent="0.2">
      <c r="B45698" s="43"/>
    </row>
    <row r="45699" spans="2:2" ht="12.75" customHeight="1" x14ac:dyDescent="0.2">
      <c r="B45699" s="43"/>
    </row>
    <row r="45700" spans="2:2" ht="12.75" customHeight="1" x14ac:dyDescent="0.2">
      <c r="B45700" s="43"/>
    </row>
    <row r="45701" spans="2:2" ht="12.75" customHeight="1" x14ac:dyDescent="0.2">
      <c r="B45701" s="43"/>
    </row>
    <row r="45702" spans="2:2" ht="12.75" customHeight="1" x14ac:dyDescent="0.2">
      <c r="B45702" s="43"/>
    </row>
    <row r="45703" spans="2:2" ht="12.75" customHeight="1" x14ac:dyDescent="0.2">
      <c r="B45703" s="43"/>
    </row>
    <row r="45704" spans="2:2" ht="12.75" customHeight="1" x14ac:dyDescent="0.2">
      <c r="B45704" s="43"/>
    </row>
    <row r="45705" spans="2:2" ht="12.75" customHeight="1" x14ac:dyDescent="0.2">
      <c r="B45705" s="43"/>
    </row>
    <row r="45706" spans="2:2" ht="12.75" customHeight="1" x14ac:dyDescent="0.2">
      <c r="B45706" s="43"/>
    </row>
    <row r="45707" spans="2:2" ht="12.75" customHeight="1" x14ac:dyDescent="0.2">
      <c r="B45707" s="43"/>
    </row>
    <row r="45708" spans="2:2" ht="12.75" customHeight="1" x14ac:dyDescent="0.2">
      <c r="B45708" s="43"/>
    </row>
    <row r="45709" spans="2:2" ht="12.75" customHeight="1" x14ac:dyDescent="0.2">
      <c r="B45709" s="43"/>
    </row>
    <row r="45710" spans="2:2" ht="12.75" customHeight="1" x14ac:dyDescent="0.2">
      <c r="B45710" s="43"/>
    </row>
    <row r="45711" spans="2:2" ht="12.75" customHeight="1" x14ac:dyDescent="0.2">
      <c r="B45711" s="43"/>
    </row>
    <row r="45712" spans="2:2" ht="12.75" customHeight="1" x14ac:dyDescent="0.2">
      <c r="B45712" s="43"/>
    </row>
    <row r="45713" spans="2:2" ht="12.75" customHeight="1" x14ac:dyDescent="0.2">
      <c r="B45713" s="43"/>
    </row>
    <row r="45714" spans="2:2" ht="12.75" customHeight="1" x14ac:dyDescent="0.2">
      <c r="B45714" s="43"/>
    </row>
    <row r="45715" spans="2:2" ht="12.75" customHeight="1" x14ac:dyDescent="0.2">
      <c r="B45715" s="43"/>
    </row>
    <row r="45716" spans="2:2" ht="12.75" customHeight="1" x14ac:dyDescent="0.2">
      <c r="B45716" s="43"/>
    </row>
    <row r="45717" spans="2:2" ht="12.75" customHeight="1" x14ac:dyDescent="0.2">
      <c r="B45717" s="43"/>
    </row>
    <row r="45718" spans="2:2" ht="12.75" customHeight="1" x14ac:dyDescent="0.2">
      <c r="B45718" s="43"/>
    </row>
    <row r="45719" spans="2:2" ht="12.75" customHeight="1" x14ac:dyDescent="0.2">
      <c r="B45719" s="43"/>
    </row>
    <row r="45720" spans="2:2" ht="12.75" customHeight="1" x14ac:dyDescent="0.2">
      <c r="B45720" s="43"/>
    </row>
    <row r="45721" spans="2:2" ht="12.75" customHeight="1" x14ac:dyDescent="0.2">
      <c r="B45721" s="43"/>
    </row>
    <row r="45722" spans="2:2" ht="12.75" customHeight="1" x14ac:dyDescent="0.2">
      <c r="B45722" s="43"/>
    </row>
    <row r="45723" spans="2:2" ht="12.75" customHeight="1" x14ac:dyDescent="0.2">
      <c r="B45723" s="43"/>
    </row>
    <row r="45724" spans="2:2" ht="12.75" customHeight="1" x14ac:dyDescent="0.2">
      <c r="B45724" s="43"/>
    </row>
    <row r="45725" spans="2:2" ht="12.75" customHeight="1" x14ac:dyDescent="0.2">
      <c r="B45725" s="43"/>
    </row>
    <row r="45726" spans="2:2" ht="12.75" customHeight="1" x14ac:dyDescent="0.2">
      <c r="B45726" s="43"/>
    </row>
    <row r="45727" spans="2:2" ht="12.75" customHeight="1" x14ac:dyDescent="0.2">
      <c r="B45727" s="43"/>
    </row>
    <row r="45728" spans="2:2" ht="12.75" customHeight="1" x14ac:dyDescent="0.2">
      <c r="B45728" s="43"/>
    </row>
    <row r="45729" spans="2:2" ht="12.75" customHeight="1" x14ac:dyDescent="0.2">
      <c r="B45729" s="43"/>
    </row>
    <row r="45730" spans="2:2" ht="12.75" customHeight="1" x14ac:dyDescent="0.2">
      <c r="B45730" s="43"/>
    </row>
    <row r="45731" spans="2:2" ht="12.75" customHeight="1" x14ac:dyDescent="0.2">
      <c r="B45731" s="43"/>
    </row>
    <row r="45732" spans="2:2" ht="12.75" customHeight="1" x14ac:dyDescent="0.2">
      <c r="B45732" s="43"/>
    </row>
    <row r="45733" spans="2:2" ht="12.75" customHeight="1" x14ac:dyDescent="0.2">
      <c r="B45733" s="43"/>
    </row>
    <row r="45734" spans="2:2" ht="12.75" customHeight="1" x14ac:dyDescent="0.2">
      <c r="B45734" s="43"/>
    </row>
    <row r="45735" spans="2:2" ht="12.75" customHeight="1" x14ac:dyDescent="0.2">
      <c r="B45735" s="43"/>
    </row>
    <row r="45736" spans="2:2" ht="12.75" customHeight="1" x14ac:dyDescent="0.2">
      <c r="B45736" s="43"/>
    </row>
    <row r="45737" spans="2:2" ht="12.75" customHeight="1" x14ac:dyDescent="0.2">
      <c r="B45737" s="43"/>
    </row>
    <row r="45738" spans="2:2" ht="12.75" customHeight="1" x14ac:dyDescent="0.2">
      <c r="B45738" s="43"/>
    </row>
    <row r="45739" spans="2:2" ht="12.75" customHeight="1" x14ac:dyDescent="0.2">
      <c r="B45739" s="43"/>
    </row>
    <row r="45740" spans="2:2" ht="12.75" customHeight="1" x14ac:dyDescent="0.2">
      <c r="B45740" s="43"/>
    </row>
    <row r="45741" spans="2:2" ht="12.75" customHeight="1" x14ac:dyDescent="0.2">
      <c r="B45741" s="43"/>
    </row>
    <row r="45742" spans="2:2" ht="12.75" customHeight="1" x14ac:dyDescent="0.2">
      <c r="B45742" s="43"/>
    </row>
    <row r="45743" spans="2:2" ht="12.75" customHeight="1" x14ac:dyDescent="0.2">
      <c r="B45743" s="43"/>
    </row>
    <row r="45744" spans="2:2" ht="12.75" customHeight="1" x14ac:dyDescent="0.2">
      <c r="B45744" s="43"/>
    </row>
    <row r="45745" spans="2:2" ht="12.75" customHeight="1" x14ac:dyDescent="0.2">
      <c r="B45745" s="43"/>
    </row>
    <row r="45746" spans="2:2" ht="12.75" customHeight="1" x14ac:dyDescent="0.2">
      <c r="B45746" s="43"/>
    </row>
    <row r="45747" spans="2:2" ht="12.75" customHeight="1" x14ac:dyDescent="0.2">
      <c r="B45747" s="43"/>
    </row>
    <row r="45748" spans="2:2" ht="12.75" customHeight="1" x14ac:dyDescent="0.2">
      <c r="B45748" s="43"/>
    </row>
    <row r="45749" spans="2:2" ht="12.75" customHeight="1" x14ac:dyDescent="0.2">
      <c r="B45749" s="43"/>
    </row>
    <row r="45750" spans="2:2" ht="12.75" customHeight="1" x14ac:dyDescent="0.2">
      <c r="B45750" s="43"/>
    </row>
    <row r="45751" spans="2:2" ht="12.75" customHeight="1" x14ac:dyDescent="0.2">
      <c r="B45751" s="43"/>
    </row>
    <row r="45752" spans="2:2" ht="12.75" customHeight="1" x14ac:dyDescent="0.2">
      <c r="B45752" s="43"/>
    </row>
    <row r="45753" spans="2:2" ht="12.75" customHeight="1" x14ac:dyDescent="0.2">
      <c r="B45753" s="43"/>
    </row>
    <row r="45754" spans="2:2" ht="12.75" customHeight="1" x14ac:dyDescent="0.2">
      <c r="B45754" s="43"/>
    </row>
    <row r="45755" spans="2:2" ht="12.75" customHeight="1" x14ac:dyDescent="0.2">
      <c r="B45755" s="43"/>
    </row>
    <row r="45756" spans="2:2" ht="12.75" customHeight="1" x14ac:dyDescent="0.2">
      <c r="B45756" s="43"/>
    </row>
    <row r="45757" spans="2:2" ht="12.75" customHeight="1" x14ac:dyDescent="0.2">
      <c r="B45757" s="43"/>
    </row>
    <row r="45758" spans="2:2" ht="12.75" customHeight="1" x14ac:dyDescent="0.2">
      <c r="B45758" s="43"/>
    </row>
    <row r="45759" spans="2:2" ht="12.75" customHeight="1" x14ac:dyDescent="0.2">
      <c r="B45759" s="43"/>
    </row>
    <row r="45760" spans="2:2" ht="12.75" customHeight="1" x14ac:dyDescent="0.2">
      <c r="B45760" s="43"/>
    </row>
    <row r="45761" spans="2:2" ht="12.75" customHeight="1" x14ac:dyDescent="0.2">
      <c r="B45761" s="43"/>
    </row>
    <row r="45762" spans="2:2" ht="12.75" customHeight="1" x14ac:dyDescent="0.2">
      <c r="B45762" s="43"/>
    </row>
    <row r="45763" spans="2:2" ht="12.75" customHeight="1" x14ac:dyDescent="0.2">
      <c r="B45763" s="43"/>
    </row>
    <row r="45764" spans="2:2" ht="12.75" customHeight="1" x14ac:dyDescent="0.2">
      <c r="B45764" s="43"/>
    </row>
    <row r="45765" spans="2:2" ht="12.75" customHeight="1" x14ac:dyDescent="0.2">
      <c r="B45765" s="43"/>
    </row>
    <row r="45766" spans="2:2" ht="12.75" customHeight="1" x14ac:dyDescent="0.2">
      <c r="B45766" s="43"/>
    </row>
    <row r="45767" spans="2:2" ht="12.75" customHeight="1" x14ac:dyDescent="0.2">
      <c r="B45767" s="43"/>
    </row>
    <row r="45768" spans="2:2" ht="12.75" customHeight="1" x14ac:dyDescent="0.2">
      <c r="B45768" s="43"/>
    </row>
    <row r="45769" spans="2:2" ht="12.75" customHeight="1" x14ac:dyDescent="0.2">
      <c r="B45769" s="43"/>
    </row>
    <row r="45770" spans="2:2" ht="12.75" customHeight="1" x14ac:dyDescent="0.2">
      <c r="B45770" s="43"/>
    </row>
    <row r="45771" spans="2:2" ht="12.75" customHeight="1" x14ac:dyDescent="0.2">
      <c r="B45771" s="43"/>
    </row>
    <row r="45772" spans="2:2" ht="12.75" customHeight="1" x14ac:dyDescent="0.2">
      <c r="B45772" s="43"/>
    </row>
    <row r="45773" spans="2:2" ht="12.75" customHeight="1" x14ac:dyDescent="0.2">
      <c r="B45773" s="43"/>
    </row>
    <row r="45774" spans="2:2" ht="12.75" customHeight="1" x14ac:dyDescent="0.2">
      <c r="B45774" s="43"/>
    </row>
    <row r="45775" spans="2:2" ht="12.75" customHeight="1" x14ac:dyDescent="0.2">
      <c r="B45775" s="43"/>
    </row>
    <row r="45776" spans="2:2" ht="12.75" customHeight="1" x14ac:dyDescent="0.2">
      <c r="B45776" s="43"/>
    </row>
    <row r="45777" spans="2:2" ht="12.75" customHeight="1" x14ac:dyDescent="0.2">
      <c r="B45777" s="43"/>
    </row>
    <row r="45778" spans="2:2" ht="12.75" customHeight="1" x14ac:dyDescent="0.2">
      <c r="B45778" s="43"/>
    </row>
    <row r="45779" spans="2:2" ht="12.75" customHeight="1" x14ac:dyDescent="0.2">
      <c r="B45779" s="43"/>
    </row>
    <row r="45780" spans="2:2" ht="12.75" customHeight="1" x14ac:dyDescent="0.2">
      <c r="B45780" s="43"/>
    </row>
    <row r="45781" spans="2:2" ht="12.75" customHeight="1" x14ac:dyDescent="0.2">
      <c r="B45781" s="43"/>
    </row>
    <row r="45782" spans="2:2" ht="12.75" customHeight="1" x14ac:dyDescent="0.2">
      <c r="B45782" s="43"/>
    </row>
    <row r="45783" spans="2:2" ht="12.75" customHeight="1" x14ac:dyDescent="0.2">
      <c r="B45783" s="43"/>
    </row>
    <row r="45784" spans="2:2" ht="12.75" customHeight="1" x14ac:dyDescent="0.2">
      <c r="B45784" s="43"/>
    </row>
    <row r="45785" spans="2:2" ht="12.75" customHeight="1" x14ac:dyDescent="0.2">
      <c r="B45785" s="43"/>
    </row>
    <row r="45786" spans="2:2" ht="12.75" customHeight="1" x14ac:dyDescent="0.2">
      <c r="B45786" s="43"/>
    </row>
    <row r="45787" spans="2:2" ht="12.75" customHeight="1" x14ac:dyDescent="0.2">
      <c r="B45787" s="43"/>
    </row>
    <row r="45788" spans="2:2" ht="12.75" customHeight="1" x14ac:dyDescent="0.2">
      <c r="B45788" s="43"/>
    </row>
    <row r="45789" spans="2:2" ht="12.75" customHeight="1" x14ac:dyDescent="0.2">
      <c r="B45789" s="43"/>
    </row>
    <row r="45790" spans="2:2" ht="12.75" customHeight="1" x14ac:dyDescent="0.2">
      <c r="B45790" s="43"/>
    </row>
    <row r="45791" spans="2:2" ht="12.75" customHeight="1" x14ac:dyDescent="0.2">
      <c r="B45791" s="43"/>
    </row>
    <row r="45792" spans="2:2" ht="12.75" customHeight="1" x14ac:dyDescent="0.2">
      <c r="B45792" s="43"/>
    </row>
    <row r="45793" spans="2:2" ht="12.75" customHeight="1" x14ac:dyDescent="0.2">
      <c r="B45793" s="43"/>
    </row>
    <row r="45794" spans="2:2" ht="12.75" customHeight="1" x14ac:dyDescent="0.2">
      <c r="B45794" s="43"/>
    </row>
    <row r="45795" spans="2:2" ht="12.75" customHeight="1" x14ac:dyDescent="0.2">
      <c r="B45795" s="43"/>
    </row>
    <row r="45796" spans="2:2" ht="12.75" customHeight="1" x14ac:dyDescent="0.2">
      <c r="B45796" s="43"/>
    </row>
    <row r="45797" spans="2:2" ht="12.75" customHeight="1" x14ac:dyDescent="0.2">
      <c r="B45797" s="43"/>
    </row>
    <row r="45798" spans="2:2" ht="12.75" customHeight="1" x14ac:dyDescent="0.2">
      <c r="B45798" s="43"/>
    </row>
    <row r="45799" spans="2:2" ht="12.75" customHeight="1" x14ac:dyDescent="0.2">
      <c r="B45799" s="43"/>
    </row>
    <row r="45800" spans="2:2" ht="12.75" customHeight="1" x14ac:dyDescent="0.2">
      <c r="B45800" s="43"/>
    </row>
    <row r="45801" spans="2:2" ht="12.75" customHeight="1" x14ac:dyDescent="0.2">
      <c r="B45801" s="43"/>
    </row>
    <row r="45802" spans="2:2" ht="12.75" customHeight="1" x14ac:dyDescent="0.2">
      <c r="B45802" s="43"/>
    </row>
    <row r="45803" spans="2:2" ht="12.75" customHeight="1" x14ac:dyDescent="0.2">
      <c r="B45803" s="43"/>
    </row>
    <row r="45804" spans="2:2" ht="12.75" customHeight="1" x14ac:dyDescent="0.2">
      <c r="B45804" s="43"/>
    </row>
    <row r="45805" spans="2:2" ht="12.75" customHeight="1" x14ac:dyDescent="0.2">
      <c r="B45805" s="43"/>
    </row>
    <row r="45806" spans="2:2" ht="12.75" customHeight="1" x14ac:dyDescent="0.2">
      <c r="B45806" s="43"/>
    </row>
    <row r="45807" spans="2:2" ht="12.75" customHeight="1" x14ac:dyDescent="0.2">
      <c r="B45807" s="43"/>
    </row>
    <row r="45808" spans="2:2" ht="12.75" customHeight="1" x14ac:dyDescent="0.2">
      <c r="B45808" s="43"/>
    </row>
    <row r="45809" spans="2:2" ht="12.75" customHeight="1" x14ac:dyDescent="0.2">
      <c r="B45809" s="43"/>
    </row>
    <row r="45810" spans="2:2" ht="12.75" customHeight="1" x14ac:dyDescent="0.2">
      <c r="B45810" s="43"/>
    </row>
    <row r="45811" spans="2:2" ht="12.75" customHeight="1" x14ac:dyDescent="0.2">
      <c r="B45811" s="43"/>
    </row>
    <row r="45812" spans="2:2" ht="12.75" customHeight="1" x14ac:dyDescent="0.2">
      <c r="B45812" s="43"/>
    </row>
    <row r="45813" spans="2:2" ht="12.75" customHeight="1" x14ac:dyDescent="0.2">
      <c r="B45813" s="43"/>
    </row>
    <row r="45814" spans="2:2" ht="12.75" customHeight="1" x14ac:dyDescent="0.2">
      <c r="B45814" s="43"/>
    </row>
    <row r="45815" spans="2:2" ht="12.75" customHeight="1" x14ac:dyDescent="0.2">
      <c r="B45815" s="43"/>
    </row>
    <row r="45816" spans="2:2" ht="12.75" customHeight="1" x14ac:dyDescent="0.2">
      <c r="B45816" s="43"/>
    </row>
    <row r="45817" spans="2:2" ht="12.75" customHeight="1" x14ac:dyDescent="0.2">
      <c r="B45817" s="43"/>
    </row>
    <row r="45818" spans="2:2" ht="12.75" customHeight="1" x14ac:dyDescent="0.2">
      <c r="B45818" s="43"/>
    </row>
    <row r="45819" spans="2:2" ht="12.75" customHeight="1" x14ac:dyDescent="0.2">
      <c r="B45819" s="43"/>
    </row>
    <row r="45820" spans="2:2" ht="12.75" customHeight="1" x14ac:dyDescent="0.2">
      <c r="B45820" s="43"/>
    </row>
    <row r="45821" spans="2:2" ht="12.75" customHeight="1" x14ac:dyDescent="0.2">
      <c r="B45821" s="43"/>
    </row>
    <row r="45822" spans="2:2" ht="12.75" customHeight="1" x14ac:dyDescent="0.2">
      <c r="B45822" s="43"/>
    </row>
    <row r="45823" spans="2:2" ht="12.75" customHeight="1" x14ac:dyDescent="0.2">
      <c r="B45823" s="43"/>
    </row>
    <row r="45824" spans="2:2" ht="12.75" customHeight="1" x14ac:dyDescent="0.2">
      <c r="B45824" s="43"/>
    </row>
    <row r="45825" spans="2:2" ht="12.75" customHeight="1" x14ac:dyDescent="0.2">
      <c r="B45825" s="43"/>
    </row>
    <row r="45826" spans="2:2" ht="12.75" customHeight="1" x14ac:dyDescent="0.2">
      <c r="B45826" s="43"/>
    </row>
    <row r="45827" spans="2:2" ht="12.75" customHeight="1" x14ac:dyDescent="0.2">
      <c r="B45827" s="43"/>
    </row>
    <row r="45828" spans="2:2" ht="12.75" customHeight="1" x14ac:dyDescent="0.2">
      <c r="B45828" s="43"/>
    </row>
    <row r="45829" spans="2:2" ht="12.75" customHeight="1" x14ac:dyDescent="0.2">
      <c r="B45829" s="43"/>
    </row>
    <row r="45830" spans="2:2" ht="12.75" customHeight="1" x14ac:dyDescent="0.2">
      <c r="B45830" s="43"/>
    </row>
    <row r="45831" spans="2:2" ht="12.75" customHeight="1" x14ac:dyDescent="0.2">
      <c r="B45831" s="43"/>
    </row>
    <row r="45832" spans="2:2" ht="12.75" customHeight="1" x14ac:dyDescent="0.2">
      <c r="B45832" s="43"/>
    </row>
    <row r="45833" spans="2:2" ht="12.75" customHeight="1" x14ac:dyDescent="0.2">
      <c r="B45833" s="43"/>
    </row>
    <row r="45834" spans="2:2" ht="12.75" customHeight="1" x14ac:dyDescent="0.2">
      <c r="B45834" s="43"/>
    </row>
    <row r="45835" spans="2:2" ht="12.75" customHeight="1" x14ac:dyDescent="0.2">
      <c r="B45835" s="43"/>
    </row>
    <row r="45836" spans="2:2" ht="12.75" customHeight="1" x14ac:dyDescent="0.2">
      <c r="B45836" s="43"/>
    </row>
    <row r="45837" spans="2:2" ht="12.75" customHeight="1" x14ac:dyDescent="0.2">
      <c r="B45837" s="43"/>
    </row>
    <row r="45838" spans="2:2" ht="12.75" customHeight="1" x14ac:dyDescent="0.2">
      <c r="B45838" s="43"/>
    </row>
    <row r="45839" spans="2:2" ht="12.75" customHeight="1" x14ac:dyDescent="0.2">
      <c r="B45839" s="43"/>
    </row>
    <row r="45840" spans="2:2" ht="12.75" customHeight="1" x14ac:dyDescent="0.2">
      <c r="B45840" s="43"/>
    </row>
    <row r="45841" spans="2:2" ht="12.75" customHeight="1" x14ac:dyDescent="0.2">
      <c r="B45841" s="43"/>
    </row>
    <row r="45842" spans="2:2" ht="12.75" customHeight="1" x14ac:dyDescent="0.2">
      <c r="B45842" s="43"/>
    </row>
    <row r="45843" spans="2:2" ht="12.75" customHeight="1" x14ac:dyDescent="0.2">
      <c r="B45843" s="43"/>
    </row>
    <row r="45844" spans="2:2" ht="12.75" customHeight="1" x14ac:dyDescent="0.2">
      <c r="B45844" s="43"/>
    </row>
    <row r="45845" spans="2:2" ht="12.75" customHeight="1" x14ac:dyDescent="0.2">
      <c r="B45845" s="43"/>
    </row>
    <row r="45846" spans="2:2" ht="12.75" customHeight="1" x14ac:dyDescent="0.2">
      <c r="B45846" s="43"/>
    </row>
    <row r="45847" spans="2:2" ht="12.75" customHeight="1" x14ac:dyDescent="0.2">
      <c r="B45847" s="43"/>
    </row>
    <row r="45848" spans="2:2" ht="12.75" customHeight="1" x14ac:dyDescent="0.2">
      <c r="B45848" s="43"/>
    </row>
    <row r="45849" spans="2:2" ht="12.75" customHeight="1" x14ac:dyDescent="0.2">
      <c r="B45849" s="43"/>
    </row>
    <row r="45850" spans="2:2" ht="12.75" customHeight="1" x14ac:dyDescent="0.2">
      <c r="B45850" s="43"/>
    </row>
    <row r="45851" spans="2:2" ht="12.75" customHeight="1" x14ac:dyDescent="0.2">
      <c r="B45851" s="43"/>
    </row>
    <row r="45852" spans="2:2" ht="12.75" customHeight="1" x14ac:dyDescent="0.2">
      <c r="B45852" s="43"/>
    </row>
    <row r="45853" spans="2:2" ht="12.75" customHeight="1" x14ac:dyDescent="0.2">
      <c r="B45853" s="43"/>
    </row>
    <row r="45854" spans="2:2" ht="12.75" customHeight="1" x14ac:dyDescent="0.2">
      <c r="B45854" s="43"/>
    </row>
    <row r="45855" spans="2:2" ht="12.75" customHeight="1" x14ac:dyDescent="0.2">
      <c r="B45855" s="43"/>
    </row>
    <row r="45856" spans="2:2" ht="12.75" customHeight="1" x14ac:dyDescent="0.2">
      <c r="B45856" s="43"/>
    </row>
    <row r="45857" spans="2:2" ht="12.75" customHeight="1" x14ac:dyDescent="0.2">
      <c r="B45857" s="43"/>
    </row>
    <row r="45858" spans="2:2" ht="12.75" customHeight="1" x14ac:dyDescent="0.2">
      <c r="B45858" s="43"/>
    </row>
    <row r="45859" spans="2:2" ht="12.75" customHeight="1" x14ac:dyDescent="0.2">
      <c r="B45859" s="43"/>
    </row>
    <row r="45860" spans="2:2" ht="12.75" customHeight="1" x14ac:dyDescent="0.2">
      <c r="B45860" s="43"/>
    </row>
    <row r="45861" spans="2:2" ht="12.75" customHeight="1" x14ac:dyDescent="0.2">
      <c r="B45861" s="43"/>
    </row>
    <row r="45862" spans="2:2" ht="12.75" customHeight="1" x14ac:dyDescent="0.2">
      <c r="B45862" s="43"/>
    </row>
    <row r="45863" spans="2:2" ht="12.75" customHeight="1" x14ac:dyDescent="0.2">
      <c r="B45863" s="43"/>
    </row>
    <row r="45864" spans="2:2" ht="12.75" customHeight="1" x14ac:dyDescent="0.2">
      <c r="B45864" s="43"/>
    </row>
    <row r="45865" spans="2:2" ht="12.75" customHeight="1" x14ac:dyDescent="0.2">
      <c r="B45865" s="43"/>
    </row>
    <row r="45866" spans="2:2" ht="12.75" customHeight="1" x14ac:dyDescent="0.2">
      <c r="B45866" s="43"/>
    </row>
    <row r="45867" spans="2:2" ht="12.75" customHeight="1" x14ac:dyDescent="0.2">
      <c r="B45867" s="43"/>
    </row>
    <row r="45868" spans="2:2" ht="12.75" customHeight="1" x14ac:dyDescent="0.2">
      <c r="B45868" s="43"/>
    </row>
    <row r="45869" spans="2:2" ht="12.75" customHeight="1" x14ac:dyDescent="0.2">
      <c r="B45869" s="43"/>
    </row>
    <row r="45870" spans="2:2" ht="12.75" customHeight="1" x14ac:dyDescent="0.2">
      <c r="B45870" s="43"/>
    </row>
    <row r="45871" spans="2:2" ht="12.75" customHeight="1" x14ac:dyDescent="0.2">
      <c r="B45871" s="43"/>
    </row>
    <row r="45872" spans="2:2" ht="12.75" customHeight="1" x14ac:dyDescent="0.2">
      <c r="B45872" s="43"/>
    </row>
    <row r="45873" spans="2:2" ht="12.75" customHeight="1" x14ac:dyDescent="0.2">
      <c r="B45873" s="43"/>
    </row>
    <row r="45874" spans="2:2" ht="12.75" customHeight="1" x14ac:dyDescent="0.2">
      <c r="B45874" s="43"/>
    </row>
    <row r="45875" spans="2:2" ht="12.75" customHeight="1" x14ac:dyDescent="0.2">
      <c r="B45875" s="43"/>
    </row>
    <row r="45876" spans="2:2" ht="12.75" customHeight="1" x14ac:dyDescent="0.2">
      <c r="B45876" s="43"/>
    </row>
    <row r="45877" spans="2:2" ht="12.75" customHeight="1" x14ac:dyDescent="0.2">
      <c r="B45877" s="43"/>
    </row>
    <row r="45878" spans="2:2" ht="12.75" customHeight="1" x14ac:dyDescent="0.2">
      <c r="B45878" s="43"/>
    </row>
    <row r="45879" spans="2:2" ht="12.75" customHeight="1" x14ac:dyDescent="0.2">
      <c r="B45879" s="43"/>
    </row>
    <row r="45880" spans="2:2" ht="12.75" customHeight="1" x14ac:dyDescent="0.2">
      <c r="B45880" s="43"/>
    </row>
    <row r="45881" spans="2:2" ht="12.75" customHeight="1" x14ac:dyDescent="0.2">
      <c r="B45881" s="43"/>
    </row>
    <row r="45882" spans="2:2" ht="12.75" customHeight="1" x14ac:dyDescent="0.2">
      <c r="B45882" s="43"/>
    </row>
    <row r="45883" spans="2:2" ht="12.75" customHeight="1" x14ac:dyDescent="0.2">
      <c r="B45883" s="43"/>
    </row>
    <row r="45884" spans="2:2" ht="12.75" customHeight="1" x14ac:dyDescent="0.2">
      <c r="B45884" s="43"/>
    </row>
    <row r="45885" spans="2:2" ht="12.75" customHeight="1" x14ac:dyDescent="0.2">
      <c r="B45885" s="43"/>
    </row>
    <row r="45886" spans="2:2" ht="12.75" customHeight="1" x14ac:dyDescent="0.2">
      <c r="B45886" s="43"/>
    </row>
    <row r="45887" spans="2:2" ht="12.75" customHeight="1" x14ac:dyDescent="0.2">
      <c r="B45887" s="43"/>
    </row>
    <row r="45888" spans="2:2" ht="12.75" customHeight="1" x14ac:dyDescent="0.2">
      <c r="B45888" s="43"/>
    </row>
    <row r="45889" spans="2:2" ht="12.75" customHeight="1" x14ac:dyDescent="0.2">
      <c r="B45889" s="43"/>
    </row>
    <row r="45890" spans="2:2" ht="12.75" customHeight="1" x14ac:dyDescent="0.2">
      <c r="B45890" s="43"/>
    </row>
    <row r="45891" spans="2:2" ht="12.75" customHeight="1" x14ac:dyDescent="0.2">
      <c r="B45891" s="43"/>
    </row>
    <row r="45892" spans="2:2" ht="12.75" customHeight="1" x14ac:dyDescent="0.2">
      <c r="B45892" s="43"/>
    </row>
    <row r="45893" spans="2:2" ht="12.75" customHeight="1" x14ac:dyDescent="0.2">
      <c r="B45893" s="43"/>
    </row>
    <row r="45894" spans="2:2" ht="12.75" customHeight="1" x14ac:dyDescent="0.2">
      <c r="B45894" s="43"/>
    </row>
    <row r="45895" spans="2:2" ht="12.75" customHeight="1" x14ac:dyDescent="0.2">
      <c r="B45895" s="43"/>
    </row>
    <row r="45896" spans="2:2" ht="12.75" customHeight="1" x14ac:dyDescent="0.2">
      <c r="B45896" s="43"/>
    </row>
    <row r="45897" spans="2:2" ht="12.75" customHeight="1" x14ac:dyDescent="0.2">
      <c r="B45897" s="43"/>
    </row>
    <row r="45898" spans="2:2" ht="12.75" customHeight="1" x14ac:dyDescent="0.2">
      <c r="B45898" s="43"/>
    </row>
    <row r="45899" spans="2:2" ht="12.75" customHeight="1" x14ac:dyDescent="0.2">
      <c r="B45899" s="43"/>
    </row>
    <row r="45900" spans="2:2" ht="12.75" customHeight="1" x14ac:dyDescent="0.2">
      <c r="B45900" s="43"/>
    </row>
    <row r="45901" spans="2:2" ht="12.75" customHeight="1" x14ac:dyDescent="0.2">
      <c r="B45901" s="43"/>
    </row>
    <row r="45902" spans="2:2" ht="12.75" customHeight="1" x14ac:dyDescent="0.2">
      <c r="B45902" s="43"/>
    </row>
    <row r="45903" spans="2:2" ht="12.75" customHeight="1" x14ac:dyDescent="0.2">
      <c r="B45903" s="43"/>
    </row>
    <row r="45904" spans="2:2" ht="12.75" customHeight="1" x14ac:dyDescent="0.2">
      <c r="B45904" s="43"/>
    </row>
    <row r="45905" spans="2:2" ht="12.75" customHeight="1" x14ac:dyDescent="0.2">
      <c r="B45905" s="43"/>
    </row>
    <row r="45906" spans="2:2" ht="12.75" customHeight="1" x14ac:dyDescent="0.2">
      <c r="B45906" s="43"/>
    </row>
    <row r="45907" spans="2:2" ht="12.75" customHeight="1" x14ac:dyDescent="0.2">
      <c r="B45907" s="43"/>
    </row>
    <row r="45908" spans="2:2" ht="12.75" customHeight="1" x14ac:dyDescent="0.2">
      <c r="B45908" s="43"/>
    </row>
    <row r="45909" spans="2:2" ht="12.75" customHeight="1" x14ac:dyDescent="0.2">
      <c r="B45909" s="43"/>
    </row>
    <row r="45910" spans="2:2" ht="12.75" customHeight="1" x14ac:dyDescent="0.2">
      <c r="B45910" s="43"/>
    </row>
    <row r="45911" spans="2:2" ht="12.75" customHeight="1" x14ac:dyDescent="0.2">
      <c r="B45911" s="43"/>
    </row>
    <row r="45912" spans="2:2" ht="12.75" customHeight="1" x14ac:dyDescent="0.2">
      <c r="B45912" s="43"/>
    </row>
    <row r="45913" spans="2:2" ht="12.75" customHeight="1" x14ac:dyDescent="0.2">
      <c r="B45913" s="43"/>
    </row>
    <row r="45914" spans="2:2" ht="12.75" customHeight="1" x14ac:dyDescent="0.2">
      <c r="B45914" s="43"/>
    </row>
    <row r="45915" spans="2:2" ht="12.75" customHeight="1" x14ac:dyDescent="0.2">
      <c r="B45915" s="43"/>
    </row>
    <row r="45916" spans="2:2" ht="12.75" customHeight="1" x14ac:dyDescent="0.2">
      <c r="B45916" s="43"/>
    </row>
    <row r="45917" spans="2:2" ht="12.75" customHeight="1" x14ac:dyDescent="0.2">
      <c r="B45917" s="43"/>
    </row>
    <row r="45918" spans="2:2" ht="12.75" customHeight="1" x14ac:dyDescent="0.2">
      <c r="B45918" s="43"/>
    </row>
    <row r="45919" spans="2:2" ht="12.75" customHeight="1" x14ac:dyDescent="0.2">
      <c r="B45919" s="43"/>
    </row>
    <row r="45920" spans="2:2" ht="12.75" customHeight="1" x14ac:dyDescent="0.2">
      <c r="B45920" s="43"/>
    </row>
    <row r="45921" spans="2:2" ht="12.75" customHeight="1" x14ac:dyDescent="0.2">
      <c r="B45921" s="43"/>
    </row>
    <row r="45922" spans="2:2" ht="12.75" customHeight="1" x14ac:dyDescent="0.2">
      <c r="B45922" s="43"/>
    </row>
    <row r="45923" spans="2:2" ht="12.75" customHeight="1" x14ac:dyDescent="0.2">
      <c r="B45923" s="43"/>
    </row>
    <row r="45924" spans="2:2" ht="12.75" customHeight="1" x14ac:dyDescent="0.2">
      <c r="B45924" s="43"/>
    </row>
    <row r="45925" spans="2:2" ht="12.75" customHeight="1" x14ac:dyDescent="0.2">
      <c r="B45925" s="43"/>
    </row>
    <row r="45926" spans="2:2" ht="12.75" customHeight="1" x14ac:dyDescent="0.2">
      <c r="B45926" s="43"/>
    </row>
    <row r="45927" spans="2:2" ht="12.75" customHeight="1" x14ac:dyDescent="0.2">
      <c r="B45927" s="43"/>
    </row>
    <row r="45928" spans="2:2" ht="12.75" customHeight="1" x14ac:dyDescent="0.2">
      <c r="B45928" s="43"/>
    </row>
    <row r="45929" spans="2:2" ht="12.75" customHeight="1" x14ac:dyDescent="0.2">
      <c r="B45929" s="43"/>
    </row>
    <row r="45930" spans="2:2" ht="12.75" customHeight="1" x14ac:dyDescent="0.2">
      <c r="B45930" s="43"/>
    </row>
    <row r="45931" spans="2:2" ht="12.75" customHeight="1" x14ac:dyDescent="0.2">
      <c r="B45931" s="43"/>
    </row>
    <row r="45932" spans="2:2" ht="12.75" customHeight="1" x14ac:dyDescent="0.2">
      <c r="B45932" s="43"/>
    </row>
    <row r="45933" spans="2:2" ht="12.75" customHeight="1" x14ac:dyDescent="0.2">
      <c r="B45933" s="43"/>
    </row>
    <row r="45934" spans="2:2" ht="12.75" customHeight="1" x14ac:dyDescent="0.2">
      <c r="B45934" s="43"/>
    </row>
    <row r="45935" spans="2:2" ht="12.75" customHeight="1" x14ac:dyDescent="0.2">
      <c r="B45935" s="43"/>
    </row>
    <row r="45936" spans="2:2" ht="12.75" customHeight="1" x14ac:dyDescent="0.2">
      <c r="B45936" s="43"/>
    </row>
    <row r="45937" spans="2:2" ht="12.75" customHeight="1" x14ac:dyDescent="0.2">
      <c r="B45937" s="43"/>
    </row>
    <row r="45938" spans="2:2" ht="12.75" customHeight="1" x14ac:dyDescent="0.2">
      <c r="B45938" s="43"/>
    </row>
    <row r="45939" spans="2:2" ht="12.75" customHeight="1" x14ac:dyDescent="0.2">
      <c r="B45939" s="43"/>
    </row>
    <row r="45940" spans="2:2" ht="12.75" customHeight="1" x14ac:dyDescent="0.2">
      <c r="B45940" s="43"/>
    </row>
    <row r="45941" spans="2:2" ht="12.75" customHeight="1" x14ac:dyDescent="0.2">
      <c r="B45941" s="43"/>
    </row>
    <row r="45942" spans="2:2" ht="12.75" customHeight="1" x14ac:dyDescent="0.2">
      <c r="B45942" s="43"/>
    </row>
    <row r="45943" spans="2:2" ht="12.75" customHeight="1" x14ac:dyDescent="0.2">
      <c r="B45943" s="43"/>
    </row>
    <row r="45944" spans="2:2" ht="12.75" customHeight="1" x14ac:dyDescent="0.2">
      <c r="B45944" s="43"/>
    </row>
    <row r="45945" spans="2:2" ht="12.75" customHeight="1" x14ac:dyDescent="0.2">
      <c r="B45945" s="43"/>
    </row>
    <row r="45946" spans="2:2" ht="12.75" customHeight="1" x14ac:dyDescent="0.2">
      <c r="B45946" s="43"/>
    </row>
    <row r="45947" spans="2:2" ht="12.75" customHeight="1" x14ac:dyDescent="0.2">
      <c r="B45947" s="43"/>
    </row>
    <row r="45948" spans="2:2" ht="12.75" customHeight="1" x14ac:dyDescent="0.2">
      <c r="B45948" s="43"/>
    </row>
    <row r="45949" spans="2:2" ht="12.75" customHeight="1" x14ac:dyDescent="0.2">
      <c r="B45949" s="43"/>
    </row>
    <row r="45950" spans="2:2" ht="12.75" customHeight="1" x14ac:dyDescent="0.2">
      <c r="B45950" s="43"/>
    </row>
    <row r="45951" spans="2:2" ht="12.75" customHeight="1" x14ac:dyDescent="0.2">
      <c r="B45951" s="43"/>
    </row>
    <row r="45952" spans="2:2" ht="12.75" customHeight="1" x14ac:dyDescent="0.2">
      <c r="B45952" s="43"/>
    </row>
    <row r="45953" spans="2:2" ht="12.75" customHeight="1" x14ac:dyDescent="0.2">
      <c r="B45953" s="43"/>
    </row>
    <row r="45954" spans="2:2" ht="12.75" customHeight="1" x14ac:dyDescent="0.2">
      <c r="B45954" s="43"/>
    </row>
    <row r="45955" spans="2:2" ht="12.75" customHeight="1" x14ac:dyDescent="0.2">
      <c r="B45955" s="43"/>
    </row>
    <row r="45956" spans="2:2" ht="12.75" customHeight="1" x14ac:dyDescent="0.2">
      <c r="B45956" s="43"/>
    </row>
    <row r="45957" spans="2:2" ht="12.75" customHeight="1" x14ac:dyDescent="0.2">
      <c r="B45957" s="43"/>
    </row>
    <row r="45958" spans="2:2" ht="12.75" customHeight="1" x14ac:dyDescent="0.2">
      <c r="B45958" s="43"/>
    </row>
    <row r="45959" spans="2:2" ht="12.75" customHeight="1" x14ac:dyDescent="0.2">
      <c r="B45959" s="43"/>
    </row>
    <row r="45960" spans="2:2" ht="12.75" customHeight="1" x14ac:dyDescent="0.2">
      <c r="B45960" s="43"/>
    </row>
    <row r="45961" spans="2:2" ht="12.75" customHeight="1" x14ac:dyDescent="0.2">
      <c r="B45961" s="43"/>
    </row>
    <row r="45962" spans="2:2" ht="12.75" customHeight="1" x14ac:dyDescent="0.2">
      <c r="B45962" s="43"/>
    </row>
    <row r="45963" spans="2:2" ht="12.75" customHeight="1" x14ac:dyDescent="0.2">
      <c r="B45963" s="43"/>
    </row>
    <row r="45964" spans="2:2" ht="12.75" customHeight="1" x14ac:dyDescent="0.2">
      <c r="B45964" s="43"/>
    </row>
    <row r="45965" spans="2:2" ht="12.75" customHeight="1" x14ac:dyDescent="0.2">
      <c r="B45965" s="43"/>
    </row>
    <row r="45966" spans="2:2" ht="12.75" customHeight="1" x14ac:dyDescent="0.2">
      <c r="B45966" s="43"/>
    </row>
    <row r="45967" spans="2:2" ht="12.75" customHeight="1" x14ac:dyDescent="0.2">
      <c r="B45967" s="43"/>
    </row>
    <row r="45968" spans="2:2" ht="12.75" customHeight="1" x14ac:dyDescent="0.2">
      <c r="B45968" s="43"/>
    </row>
    <row r="45969" spans="2:2" ht="12.75" customHeight="1" x14ac:dyDescent="0.2">
      <c r="B45969" s="43"/>
    </row>
    <row r="45970" spans="2:2" ht="12.75" customHeight="1" x14ac:dyDescent="0.2">
      <c r="B45970" s="43"/>
    </row>
    <row r="45971" spans="2:2" ht="12.75" customHeight="1" x14ac:dyDescent="0.2">
      <c r="B45971" s="43"/>
    </row>
    <row r="45972" spans="2:2" ht="12.75" customHeight="1" x14ac:dyDescent="0.2">
      <c r="B45972" s="43"/>
    </row>
    <row r="45973" spans="2:2" ht="12.75" customHeight="1" x14ac:dyDescent="0.2">
      <c r="B45973" s="43"/>
    </row>
    <row r="45974" spans="2:2" ht="12.75" customHeight="1" x14ac:dyDescent="0.2">
      <c r="B45974" s="43"/>
    </row>
    <row r="45975" spans="2:2" ht="12.75" customHeight="1" x14ac:dyDescent="0.2">
      <c r="B45975" s="43"/>
    </row>
    <row r="45976" spans="2:2" ht="12.75" customHeight="1" x14ac:dyDescent="0.2">
      <c r="B45976" s="43"/>
    </row>
    <row r="45977" spans="2:2" ht="12.75" customHeight="1" x14ac:dyDescent="0.2">
      <c r="B45977" s="43"/>
    </row>
    <row r="45978" spans="2:2" ht="12.75" customHeight="1" x14ac:dyDescent="0.2">
      <c r="B45978" s="43"/>
    </row>
    <row r="45979" spans="2:2" ht="12.75" customHeight="1" x14ac:dyDescent="0.2">
      <c r="B45979" s="43"/>
    </row>
    <row r="45980" spans="2:2" ht="12.75" customHeight="1" x14ac:dyDescent="0.2">
      <c r="B45980" s="43"/>
    </row>
    <row r="45981" spans="2:2" ht="12.75" customHeight="1" x14ac:dyDescent="0.2">
      <c r="B45981" s="43"/>
    </row>
    <row r="45982" spans="2:2" ht="12.75" customHeight="1" x14ac:dyDescent="0.2">
      <c r="B45982" s="43"/>
    </row>
    <row r="45983" spans="2:2" ht="12.75" customHeight="1" x14ac:dyDescent="0.2">
      <c r="B45983" s="43"/>
    </row>
    <row r="45984" spans="2:2" ht="12.75" customHeight="1" x14ac:dyDescent="0.2">
      <c r="B45984" s="43"/>
    </row>
    <row r="45985" spans="2:2" ht="12.75" customHeight="1" x14ac:dyDescent="0.2">
      <c r="B45985" s="43"/>
    </row>
    <row r="45986" spans="2:2" ht="12.75" customHeight="1" x14ac:dyDescent="0.2">
      <c r="B45986" s="43"/>
    </row>
    <row r="45987" spans="2:2" ht="12.75" customHeight="1" x14ac:dyDescent="0.2">
      <c r="B45987" s="43"/>
    </row>
    <row r="45988" spans="2:2" ht="12.75" customHeight="1" x14ac:dyDescent="0.2">
      <c r="B45988" s="43"/>
    </row>
    <row r="45989" spans="2:2" ht="12.75" customHeight="1" x14ac:dyDescent="0.2">
      <c r="B45989" s="43"/>
    </row>
    <row r="45990" spans="2:2" ht="12.75" customHeight="1" x14ac:dyDescent="0.2">
      <c r="B45990" s="43"/>
    </row>
    <row r="45991" spans="2:2" ht="12.75" customHeight="1" x14ac:dyDescent="0.2">
      <c r="B45991" s="43"/>
    </row>
    <row r="45992" spans="2:2" ht="12.75" customHeight="1" x14ac:dyDescent="0.2">
      <c r="B45992" s="43"/>
    </row>
    <row r="45993" spans="2:2" ht="12.75" customHeight="1" x14ac:dyDescent="0.2">
      <c r="B45993" s="43"/>
    </row>
    <row r="45994" spans="2:2" ht="12.75" customHeight="1" x14ac:dyDescent="0.2">
      <c r="B45994" s="43"/>
    </row>
    <row r="45995" spans="2:2" ht="12.75" customHeight="1" x14ac:dyDescent="0.2">
      <c r="B45995" s="43"/>
    </row>
    <row r="45996" spans="2:2" ht="12.75" customHeight="1" x14ac:dyDescent="0.2">
      <c r="B45996" s="43"/>
    </row>
    <row r="45997" spans="2:2" ht="12.75" customHeight="1" x14ac:dyDescent="0.2">
      <c r="B45997" s="43"/>
    </row>
    <row r="45998" spans="2:2" ht="12.75" customHeight="1" x14ac:dyDescent="0.2">
      <c r="B45998" s="43"/>
    </row>
    <row r="45999" spans="2:2" ht="12.75" customHeight="1" x14ac:dyDescent="0.2">
      <c r="B45999" s="43"/>
    </row>
    <row r="46000" spans="2:2" ht="12.75" customHeight="1" x14ac:dyDescent="0.2">
      <c r="B46000" s="43"/>
    </row>
    <row r="46001" spans="2:2" ht="12.75" customHeight="1" x14ac:dyDescent="0.2">
      <c r="B46001" s="43"/>
    </row>
    <row r="46002" spans="2:2" ht="12.75" customHeight="1" x14ac:dyDescent="0.2">
      <c r="B46002" s="43"/>
    </row>
    <row r="46003" spans="2:2" ht="12.75" customHeight="1" x14ac:dyDescent="0.2">
      <c r="B46003" s="43"/>
    </row>
    <row r="46004" spans="2:2" ht="12.75" customHeight="1" x14ac:dyDescent="0.2">
      <c r="B46004" s="43"/>
    </row>
    <row r="46005" spans="2:2" ht="12.75" customHeight="1" x14ac:dyDescent="0.2">
      <c r="B46005" s="43"/>
    </row>
    <row r="46006" spans="2:2" ht="12.75" customHeight="1" x14ac:dyDescent="0.2">
      <c r="B46006" s="43"/>
    </row>
    <row r="46007" spans="2:2" ht="12.75" customHeight="1" x14ac:dyDescent="0.2">
      <c r="B46007" s="43"/>
    </row>
    <row r="46008" spans="2:2" ht="12.75" customHeight="1" x14ac:dyDescent="0.2">
      <c r="B46008" s="43"/>
    </row>
    <row r="46009" spans="2:2" ht="12.75" customHeight="1" x14ac:dyDescent="0.2">
      <c r="B46009" s="43"/>
    </row>
    <row r="46010" spans="2:2" ht="12.75" customHeight="1" x14ac:dyDescent="0.2">
      <c r="B46010" s="43"/>
    </row>
    <row r="46011" spans="2:2" ht="12.75" customHeight="1" x14ac:dyDescent="0.2">
      <c r="B46011" s="43"/>
    </row>
    <row r="46012" spans="2:2" ht="12.75" customHeight="1" x14ac:dyDescent="0.2">
      <c r="B46012" s="43"/>
    </row>
    <row r="46013" spans="2:2" ht="12.75" customHeight="1" x14ac:dyDescent="0.2">
      <c r="B46013" s="43"/>
    </row>
    <row r="46014" spans="2:2" ht="12.75" customHeight="1" x14ac:dyDescent="0.2">
      <c r="B46014" s="43"/>
    </row>
    <row r="46015" spans="2:2" ht="12.75" customHeight="1" x14ac:dyDescent="0.2">
      <c r="B46015" s="43"/>
    </row>
    <row r="46016" spans="2:2" ht="12.75" customHeight="1" x14ac:dyDescent="0.2">
      <c r="B46016" s="43"/>
    </row>
    <row r="46017" spans="2:2" ht="12.75" customHeight="1" x14ac:dyDescent="0.2">
      <c r="B46017" s="43"/>
    </row>
    <row r="46018" spans="2:2" ht="12.75" customHeight="1" x14ac:dyDescent="0.2">
      <c r="B46018" s="43"/>
    </row>
    <row r="46019" spans="2:2" ht="12.75" customHeight="1" x14ac:dyDescent="0.2">
      <c r="B46019" s="43"/>
    </row>
    <row r="46020" spans="2:2" ht="12.75" customHeight="1" x14ac:dyDescent="0.2">
      <c r="B46020" s="43"/>
    </row>
    <row r="46021" spans="2:2" ht="12.75" customHeight="1" x14ac:dyDescent="0.2">
      <c r="B46021" s="43"/>
    </row>
    <row r="46022" spans="2:2" ht="12.75" customHeight="1" x14ac:dyDescent="0.2">
      <c r="B46022" s="43"/>
    </row>
    <row r="46023" spans="2:2" ht="12.75" customHeight="1" x14ac:dyDescent="0.2">
      <c r="B46023" s="43"/>
    </row>
    <row r="46024" spans="2:2" ht="12.75" customHeight="1" x14ac:dyDescent="0.2">
      <c r="B46024" s="43"/>
    </row>
    <row r="46025" spans="2:2" ht="12.75" customHeight="1" x14ac:dyDescent="0.2">
      <c r="B46025" s="43"/>
    </row>
    <row r="46026" spans="2:2" ht="12.75" customHeight="1" x14ac:dyDescent="0.2">
      <c r="B46026" s="43"/>
    </row>
    <row r="46027" spans="2:2" ht="12.75" customHeight="1" x14ac:dyDescent="0.2">
      <c r="B46027" s="43"/>
    </row>
    <row r="46028" spans="2:2" ht="12.75" customHeight="1" x14ac:dyDescent="0.2">
      <c r="B46028" s="43"/>
    </row>
    <row r="46029" spans="2:2" ht="12.75" customHeight="1" x14ac:dyDescent="0.2">
      <c r="B46029" s="43"/>
    </row>
    <row r="46030" spans="2:2" ht="12.75" customHeight="1" x14ac:dyDescent="0.2">
      <c r="B46030" s="43"/>
    </row>
    <row r="46031" spans="2:2" ht="12.75" customHeight="1" x14ac:dyDescent="0.2">
      <c r="B46031" s="43"/>
    </row>
    <row r="46032" spans="2:2" ht="12.75" customHeight="1" x14ac:dyDescent="0.2">
      <c r="B46032" s="43"/>
    </row>
    <row r="46033" spans="2:2" ht="12.75" customHeight="1" x14ac:dyDescent="0.2">
      <c r="B46033" s="43"/>
    </row>
    <row r="46034" spans="2:2" ht="12.75" customHeight="1" x14ac:dyDescent="0.2">
      <c r="B46034" s="43"/>
    </row>
    <row r="46035" spans="2:2" ht="12.75" customHeight="1" x14ac:dyDescent="0.2">
      <c r="B46035" s="43"/>
    </row>
    <row r="46036" spans="2:2" ht="12.75" customHeight="1" x14ac:dyDescent="0.2">
      <c r="B46036" s="43"/>
    </row>
    <row r="46037" spans="2:2" ht="12.75" customHeight="1" x14ac:dyDescent="0.2">
      <c r="B46037" s="43"/>
    </row>
    <row r="46038" spans="2:2" ht="12.75" customHeight="1" x14ac:dyDescent="0.2">
      <c r="B46038" s="43"/>
    </row>
    <row r="46039" spans="2:2" ht="12.75" customHeight="1" x14ac:dyDescent="0.2">
      <c r="B46039" s="43"/>
    </row>
    <row r="46040" spans="2:2" ht="12.75" customHeight="1" x14ac:dyDescent="0.2">
      <c r="B46040" s="43"/>
    </row>
    <row r="46041" spans="2:2" ht="12.75" customHeight="1" x14ac:dyDescent="0.2">
      <c r="B46041" s="43"/>
    </row>
    <row r="46042" spans="2:2" ht="12.75" customHeight="1" x14ac:dyDescent="0.2">
      <c r="B46042" s="43"/>
    </row>
    <row r="46043" spans="2:2" ht="12.75" customHeight="1" x14ac:dyDescent="0.2">
      <c r="B46043" s="43"/>
    </row>
    <row r="46044" spans="2:2" ht="12.75" customHeight="1" x14ac:dyDescent="0.2">
      <c r="B46044" s="43"/>
    </row>
    <row r="46045" spans="2:2" ht="12.75" customHeight="1" x14ac:dyDescent="0.2">
      <c r="B46045" s="43"/>
    </row>
    <row r="46046" spans="2:2" ht="12.75" customHeight="1" x14ac:dyDescent="0.2">
      <c r="B46046" s="43"/>
    </row>
    <row r="46047" spans="2:2" ht="12.75" customHeight="1" x14ac:dyDescent="0.2">
      <c r="B46047" s="43"/>
    </row>
    <row r="46048" spans="2:2" ht="12.75" customHeight="1" x14ac:dyDescent="0.2">
      <c r="B46048" s="43"/>
    </row>
    <row r="46049" spans="2:2" ht="12.75" customHeight="1" x14ac:dyDescent="0.2">
      <c r="B46049" s="43"/>
    </row>
    <row r="46050" spans="2:2" ht="12.75" customHeight="1" x14ac:dyDescent="0.2">
      <c r="B46050" s="43"/>
    </row>
    <row r="46051" spans="2:2" ht="12.75" customHeight="1" x14ac:dyDescent="0.2">
      <c r="B46051" s="43"/>
    </row>
    <row r="46052" spans="2:2" ht="12.75" customHeight="1" x14ac:dyDescent="0.2">
      <c r="B46052" s="43"/>
    </row>
    <row r="46053" spans="2:2" ht="12.75" customHeight="1" x14ac:dyDescent="0.2">
      <c r="B46053" s="43"/>
    </row>
    <row r="46054" spans="2:2" ht="12.75" customHeight="1" x14ac:dyDescent="0.2">
      <c r="B46054" s="43"/>
    </row>
    <row r="46055" spans="2:2" ht="12.75" customHeight="1" x14ac:dyDescent="0.2">
      <c r="B46055" s="43"/>
    </row>
    <row r="46056" spans="2:2" ht="12.75" customHeight="1" x14ac:dyDescent="0.2">
      <c r="B46056" s="43"/>
    </row>
    <row r="46057" spans="2:2" ht="12.75" customHeight="1" x14ac:dyDescent="0.2">
      <c r="B46057" s="43"/>
    </row>
    <row r="46058" spans="2:2" ht="12.75" customHeight="1" x14ac:dyDescent="0.2">
      <c r="B46058" s="43"/>
    </row>
    <row r="46059" spans="2:2" ht="12.75" customHeight="1" x14ac:dyDescent="0.2">
      <c r="B46059" s="43"/>
    </row>
    <row r="46060" spans="2:2" ht="12.75" customHeight="1" x14ac:dyDescent="0.2">
      <c r="B46060" s="43"/>
    </row>
    <row r="46061" spans="2:2" ht="12.75" customHeight="1" x14ac:dyDescent="0.2">
      <c r="B46061" s="43"/>
    </row>
    <row r="46062" spans="2:2" ht="12.75" customHeight="1" x14ac:dyDescent="0.2">
      <c r="B46062" s="43"/>
    </row>
    <row r="46063" spans="2:2" ht="12.75" customHeight="1" x14ac:dyDescent="0.2">
      <c r="B46063" s="43"/>
    </row>
    <row r="46064" spans="2:2" ht="12.75" customHeight="1" x14ac:dyDescent="0.2">
      <c r="B46064" s="43"/>
    </row>
    <row r="46065" spans="2:2" ht="12.75" customHeight="1" x14ac:dyDescent="0.2">
      <c r="B46065" s="43"/>
    </row>
    <row r="46066" spans="2:2" ht="12.75" customHeight="1" x14ac:dyDescent="0.2">
      <c r="B46066" s="43"/>
    </row>
    <row r="46067" spans="2:2" ht="12.75" customHeight="1" x14ac:dyDescent="0.2">
      <c r="B46067" s="43"/>
    </row>
    <row r="46068" spans="2:2" ht="12.75" customHeight="1" x14ac:dyDescent="0.2">
      <c r="B46068" s="43"/>
    </row>
    <row r="46069" spans="2:2" ht="12.75" customHeight="1" x14ac:dyDescent="0.2">
      <c r="B46069" s="43"/>
    </row>
    <row r="46070" spans="2:2" ht="12.75" customHeight="1" x14ac:dyDescent="0.2">
      <c r="B46070" s="43"/>
    </row>
    <row r="46071" spans="2:2" ht="12.75" customHeight="1" x14ac:dyDescent="0.2">
      <c r="B46071" s="43"/>
    </row>
    <row r="46072" spans="2:2" ht="12.75" customHeight="1" x14ac:dyDescent="0.2">
      <c r="B46072" s="43"/>
    </row>
    <row r="46073" spans="2:2" ht="12.75" customHeight="1" x14ac:dyDescent="0.2">
      <c r="B46073" s="43"/>
    </row>
    <row r="46074" spans="2:2" ht="12.75" customHeight="1" x14ac:dyDescent="0.2">
      <c r="B46074" s="43"/>
    </row>
    <row r="46075" spans="2:2" ht="12.75" customHeight="1" x14ac:dyDescent="0.2">
      <c r="B46075" s="43"/>
    </row>
    <row r="46076" spans="2:2" ht="12.75" customHeight="1" x14ac:dyDescent="0.2">
      <c r="B46076" s="43"/>
    </row>
    <row r="46077" spans="2:2" ht="12.75" customHeight="1" x14ac:dyDescent="0.2">
      <c r="B46077" s="43"/>
    </row>
    <row r="46078" spans="2:2" ht="12.75" customHeight="1" x14ac:dyDescent="0.2">
      <c r="B46078" s="43"/>
    </row>
    <row r="46079" spans="2:2" ht="12.75" customHeight="1" x14ac:dyDescent="0.2">
      <c r="B46079" s="43"/>
    </row>
    <row r="46080" spans="2:2" ht="12.75" customHeight="1" x14ac:dyDescent="0.2">
      <c r="B46080" s="43"/>
    </row>
    <row r="46081" spans="2:2" ht="12.75" customHeight="1" x14ac:dyDescent="0.2">
      <c r="B46081" s="43"/>
    </row>
    <row r="46082" spans="2:2" ht="12.75" customHeight="1" x14ac:dyDescent="0.2">
      <c r="B46082" s="43"/>
    </row>
    <row r="46083" spans="2:2" ht="12.75" customHeight="1" x14ac:dyDescent="0.2">
      <c r="B46083" s="43"/>
    </row>
    <row r="46084" spans="2:2" ht="12.75" customHeight="1" x14ac:dyDescent="0.2">
      <c r="B46084" s="43"/>
    </row>
    <row r="46085" spans="2:2" ht="12.75" customHeight="1" x14ac:dyDescent="0.2">
      <c r="B46085" s="43"/>
    </row>
    <row r="46086" spans="2:2" ht="12.75" customHeight="1" x14ac:dyDescent="0.2">
      <c r="B46086" s="43"/>
    </row>
    <row r="46087" spans="2:2" ht="12.75" customHeight="1" x14ac:dyDescent="0.2">
      <c r="B46087" s="43"/>
    </row>
    <row r="46088" spans="2:2" ht="12.75" customHeight="1" x14ac:dyDescent="0.2">
      <c r="B46088" s="43"/>
    </row>
    <row r="46089" spans="2:2" ht="12.75" customHeight="1" x14ac:dyDescent="0.2">
      <c r="B46089" s="43"/>
    </row>
    <row r="46090" spans="2:2" ht="12.75" customHeight="1" x14ac:dyDescent="0.2">
      <c r="B46090" s="43"/>
    </row>
    <row r="46091" spans="2:2" ht="12.75" customHeight="1" x14ac:dyDescent="0.2">
      <c r="B46091" s="43"/>
    </row>
    <row r="46092" spans="2:2" ht="12.75" customHeight="1" x14ac:dyDescent="0.2">
      <c r="B46092" s="43"/>
    </row>
    <row r="46093" spans="2:2" ht="12.75" customHeight="1" x14ac:dyDescent="0.2">
      <c r="B46093" s="43"/>
    </row>
    <row r="46094" spans="2:2" ht="12.75" customHeight="1" x14ac:dyDescent="0.2">
      <c r="B46094" s="43"/>
    </row>
    <row r="46095" spans="2:2" ht="12.75" customHeight="1" x14ac:dyDescent="0.2">
      <c r="B46095" s="43"/>
    </row>
    <row r="46096" spans="2:2" ht="12.75" customHeight="1" x14ac:dyDescent="0.2">
      <c r="B46096" s="43"/>
    </row>
    <row r="46097" spans="2:2" ht="12.75" customHeight="1" x14ac:dyDescent="0.2">
      <c r="B46097" s="43"/>
    </row>
    <row r="46098" spans="2:2" ht="12.75" customHeight="1" x14ac:dyDescent="0.2">
      <c r="B46098" s="43"/>
    </row>
    <row r="46099" spans="2:2" ht="12.75" customHeight="1" x14ac:dyDescent="0.2">
      <c r="B46099" s="43"/>
    </row>
    <row r="46100" spans="2:2" ht="12.75" customHeight="1" x14ac:dyDescent="0.2">
      <c r="B46100" s="43"/>
    </row>
    <row r="46101" spans="2:2" ht="12.75" customHeight="1" x14ac:dyDescent="0.2">
      <c r="B46101" s="43"/>
    </row>
    <row r="46102" spans="2:2" ht="12.75" customHeight="1" x14ac:dyDescent="0.2">
      <c r="B46102" s="43"/>
    </row>
    <row r="46103" spans="2:2" ht="12.75" customHeight="1" x14ac:dyDescent="0.2">
      <c r="B46103" s="43"/>
    </row>
    <row r="46104" spans="2:2" ht="12.75" customHeight="1" x14ac:dyDescent="0.2">
      <c r="B46104" s="43"/>
    </row>
    <row r="46105" spans="2:2" ht="12.75" customHeight="1" x14ac:dyDescent="0.2">
      <c r="B46105" s="43"/>
    </row>
    <row r="46106" spans="2:2" ht="12.75" customHeight="1" x14ac:dyDescent="0.2">
      <c r="B46106" s="43"/>
    </row>
    <row r="46107" spans="2:2" ht="12.75" customHeight="1" x14ac:dyDescent="0.2">
      <c r="B46107" s="43"/>
    </row>
    <row r="46108" spans="2:2" ht="12.75" customHeight="1" x14ac:dyDescent="0.2">
      <c r="B46108" s="43"/>
    </row>
    <row r="46109" spans="2:2" ht="12.75" customHeight="1" x14ac:dyDescent="0.2">
      <c r="B46109" s="43"/>
    </row>
    <row r="46110" spans="2:2" ht="12.75" customHeight="1" x14ac:dyDescent="0.2">
      <c r="B46110" s="43"/>
    </row>
    <row r="46111" spans="2:2" ht="12.75" customHeight="1" x14ac:dyDescent="0.2">
      <c r="B46111" s="43"/>
    </row>
    <row r="46112" spans="2:2" ht="12.75" customHeight="1" x14ac:dyDescent="0.2">
      <c r="B46112" s="43"/>
    </row>
    <row r="46113" spans="2:2" ht="12.75" customHeight="1" x14ac:dyDescent="0.2">
      <c r="B46113" s="43"/>
    </row>
    <row r="46114" spans="2:2" ht="12.75" customHeight="1" x14ac:dyDescent="0.2">
      <c r="B46114" s="43"/>
    </row>
    <row r="46115" spans="2:2" ht="12.75" customHeight="1" x14ac:dyDescent="0.2">
      <c r="B46115" s="43"/>
    </row>
    <row r="46116" spans="2:2" ht="12.75" customHeight="1" x14ac:dyDescent="0.2">
      <c r="B46116" s="43"/>
    </row>
    <row r="46117" spans="2:2" ht="12.75" customHeight="1" x14ac:dyDescent="0.2">
      <c r="B46117" s="43"/>
    </row>
    <row r="46118" spans="2:2" ht="12.75" customHeight="1" x14ac:dyDescent="0.2">
      <c r="B46118" s="43"/>
    </row>
    <row r="46119" spans="2:2" ht="12.75" customHeight="1" x14ac:dyDescent="0.2">
      <c r="B46119" s="43"/>
    </row>
    <row r="46120" spans="2:2" ht="12.75" customHeight="1" x14ac:dyDescent="0.2">
      <c r="B46120" s="43"/>
    </row>
    <row r="46121" spans="2:2" ht="12.75" customHeight="1" x14ac:dyDescent="0.2">
      <c r="B46121" s="43"/>
    </row>
    <row r="46122" spans="2:2" ht="12.75" customHeight="1" x14ac:dyDescent="0.2">
      <c r="B46122" s="43"/>
    </row>
    <row r="46123" spans="2:2" ht="12.75" customHeight="1" x14ac:dyDescent="0.2">
      <c r="B46123" s="43"/>
    </row>
    <row r="46124" spans="2:2" ht="12.75" customHeight="1" x14ac:dyDescent="0.2">
      <c r="B46124" s="43"/>
    </row>
    <row r="46125" spans="2:2" ht="12.75" customHeight="1" x14ac:dyDescent="0.2">
      <c r="B46125" s="43"/>
    </row>
    <row r="46126" spans="2:2" ht="12.75" customHeight="1" x14ac:dyDescent="0.2">
      <c r="B46126" s="43"/>
    </row>
    <row r="46127" spans="2:2" ht="12.75" customHeight="1" x14ac:dyDescent="0.2">
      <c r="B46127" s="43"/>
    </row>
    <row r="46128" spans="2:2" ht="12.75" customHeight="1" x14ac:dyDescent="0.2">
      <c r="B46128" s="43"/>
    </row>
    <row r="46129" spans="2:2" ht="12.75" customHeight="1" x14ac:dyDescent="0.2">
      <c r="B46129" s="43"/>
    </row>
    <row r="46130" spans="2:2" ht="12.75" customHeight="1" x14ac:dyDescent="0.2">
      <c r="B46130" s="43"/>
    </row>
    <row r="46131" spans="2:2" ht="12.75" customHeight="1" x14ac:dyDescent="0.2">
      <c r="B46131" s="43"/>
    </row>
    <row r="46132" spans="2:2" ht="12.75" customHeight="1" x14ac:dyDescent="0.2">
      <c r="B46132" s="43"/>
    </row>
    <row r="46133" spans="2:2" ht="12.75" customHeight="1" x14ac:dyDescent="0.2">
      <c r="B46133" s="43"/>
    </row>
    <row r="46134" spans="2:2" ht="12.75" customHeight="1" x14ac:dyDescent="0.2">
      <c r="B46134" s="43"/>
    </row>
    <row r="46135" spans="2:2" ht="12.75" customHeight="1" x14ac:dyDescent="0.2">
      <c r="B46135" s="43"/>
    </row>
    <row r="46136" spans="2:2" ht="12.75" customHeight="1" x14ac:dyDescent="0.2">
      <c r="B46136" s="43"/>
    </row>
    <row r="46137" spans="2:2" ht="12.75" customHeight="1" x14ac:dyDescent="0.2">
      <c r="B46137" s="43"/>
    </row>
    <row r="46138" spans="2:2" ht="12.75" customHeight="1" x14ac:dyDescent="0.2">
      <c r="B46138" s="43"/>
    </row>
    <row r="46139" spans="2:2" ht="12.75" customHeight="1" x14ac:dyDescent="0.2">
      <c r="B46139" s="43"/>
    </row>
    <row r="46140" spans="2:2" ht="12.75" customHeight="1" x14ac:dyDescent="0.2">
      <c r="B46140" s="43"/>
    </row>
    <row r="46141" spans="2:2" ht="12.75" customHeight="1" x14ac:dyDescent="0.2">
      <c r="B46141" s="43"/>
    </row>
    <row r="46142" spans="2:2" ht="12.75" customHeight="1" x14ac:dyDescent="0.2">
      <c r="B46142" s="43"/>
    </row>
    <row r="46143" spans="2:2" ht="12.75" customHeight="1" x14ac:dyDescent="0.2">
      <c r="B46143" s="43"/>
    </row>
    <row r="46144" spans="2:2" ht="12.75" customHeight="1" x14ac:dyDescent="0.2">
      <c r="B46144" s="43"/>
    </row>
    <row r="46145" spans="2:2" ht="12.75" customHeight="1" x14ac:dyDescent="0.2">
      <c r="B46145" s="43"/>
    </row>
    <row r="46146" spans="2:2" ht="12.75" customHeight="1" x14ac:dyDescent="0.2">
      <c r="B46146" s="43"/>
    </row>
    <row r="46147" spans="2:2" ht="12.75" customHeight="1" x14ac:dyDescent="0.2">
      <c r="B46147" s="43"/>
    </row>
    <row r="46148" spans="2:2" ht="12.75" customHeight="1" x14ac:dyDescent="0.2">
      <c r="B46148" s="43"/>
    </row>
    <row r="46149" spans="2:2" ht="12.75" customHeight="1" x14ac:dyDescent="0.2">
      <c r="B46149" s="43"/>
    </row>
    <row r="46150" spans="2:2" ht="12.75" customHeight="1" x14ac:dyDescent="0.2">
      <c r="B46150" s="43"/>
    </row>
    <row r="46151" spans="2:2" ht="12.75" customHeight="1" x14ac:dyDescent="0.2">
      <c r="B46151" s="43"/>
    </row>
    <row r="46152" spans="2:2" ht="12.75" customHeight="1" x14ac:dyDescent="0.2">
      <c r="B46152" s="43"/>
    </row>
    <row r="46153" spans="2:2" ht="12.75" customHeight="1" x14ac:dyDescent="0.2">
      <c r="B46153" s="43"/>
    </row>
    <row r="46154" spans="2:2" ht="12.75" customHeight="1" x14ac:dyDescent="0.2">
      <c r="B46154" s="43"/>
    </row>
    <row r="46155" spans="2:2" ht="12.75" customHeight="1" x14ac:dyDescent="0.2">
      <c r="B46155" s="43"/>
    </row>
    <row r="46156" spans="2:2" ht="12.75" customHeight="1" x14ac:dyDescent="0.2">
      <c r="B46156" s="43"/>
    </row>
    <row r="46157" spans="2:2" ht="12.75" customHeight="1" x14ac:dyDescent="0.2">
      <c r="B46157" s="43"/>
    </row>
    <row r="46158" spans="2:2" ht="12.75" customHeight="1" x14ac:dyDescent="0.2">
      <c r="B46158" s="43"/>
    </row>
    <row r="46159" spans="2:2" ht="12.75" customHeight="1" x14ac:dyDescent="0.2">
      <c r="B46159" s="43"/>
    </row>
    <row r="46160" spans="2:2" ht="12.75" customHeight="1" x14ac:dyDescent="0.2">
      <c r="B46160" s="43"/>
    </row>
    <row r="46161" spans="2:2" ht="12.75" customHeight="1" x14ac:dyDescent="0.2">
      <c r="B46161" s="43"/>
    </row>
    <row r="46162" spans="2:2" ht="12.75" customHeight="1" x14ac:dyDescent="0.2">
      <c r="B46162" s="43"/>
    </row>
    <row r="46163" spans="2:2" ht="12.75" customHeight="1" x14ac:dyDescent="0.2">
      <c r="B46163" s="43"/>
    </row>
    <row r="46164" spans="2:2" ht="12.75" customHeight="1" x14ac:dyDescent="0.2">
      <c r="B46164" s="43"/>
    </row>
    <row r="46165" spans="2:2" ht="12.75" customHeight="1" x14ac:dyDescent="0.2">
      <c r="B46165" s="43"/>
    </row>
    <row r="46166" spans="2:2" ht="12.75" customHeight="1" x14ac:dyDescent="0.2">
      <c r="B46166" s="43"/>
    </row>
    <row r="46167" spans="2:2" ht="12.75" customHeight="1" x14ac:dyDescent="0.2">
      <c r="B46167" s="43"/>
    </row>
    <row r="46168" spans="2:2" ht="12.75" customHeight="1" x14ac:dyDescent="0.2">
      <c r="B46168" s="43"/>
    </row>
    <row r="46169" spans="2:2" ht="12.75" customHeight="1" x14ac:dyDescent="0.2">
      <c r="B46169" s="43"/>
    </row>
    <row r="46170" spans="2:2" ht="12.75" customHeight="1" x14ac:dyDescent="0.2">
      <c r="B46170" s="43"/>
    </row>
    <row r="46171" spans="2:2" ht="12.75" customHeight="1" x14ac:dyDescent="0.2">
      <c r="B46171" s="43"/>
    </row>
    <row r="46172" spans="2:2" ht="12.75" customHeight="1" x14ac:dyDescent="0.2">
      <c r="B46172" s="43"/>
    </row>
    <row r="46173" spans="2:2" ht="12.75" customHeight="1" x14ac:dyDescent="0.2">
      <c r="B46173" s="43"/>
    </row>
    <row r="46174" spans="2:2" ht="12.75" customHeight="1" x14ac:dyDescent="0.2">
      <c r="B46174" s="43"/>
    </row>
    <row r="46175" spans="2:2" ht="12.75" customHeight="1" x14ac:dyDescent="0.2">
      <c r="B46175" s="43"/>
    </row>
    <row r="46176" spans="2:2" ht="12.75" customHeight="1" x14ac:dyDescent="0.2">
      <c r="B46176" s="43"/>
    </row>
    <row r="46177" spans="2:2" ht="12.75" customHeight="1" x14ac:dyDescent="0.2">
      <c r="B46177" s="43"/>
    </row>
    <row r="46178" spans="2:2" ht="12.75" customHeight="1" x14ac:dyDescent="0.2">
      <c r="B46178" s="43"/>
    </row>
    <row r="46179" spans="2:2" ht="12.75" customHeight="1" x14ac:dyDescent="0.2">
      <c r="B46179" s="43"/>
    </row>
    <row r="46180" spans="2:2" ht="12.75" customHeight="1" x14ac:dyDescent="0.2">
      <c r="B46180" s="43"/>
    </row>
    <row r="46181" spans="2:2" ht="12.75" customHeight="1" x14ac:dyDescent="0.2">
      <c r="B46181" s="43"/>
    </row>
    <row r="46182" spans="2:2" ht="12.75" customHeight="1" x14ac:dyDescent="0.2">
      <c r="B46182" s="43"/>
    </row>
    <row r="46183" spans="2:2" ht="12.75" customHeight="1" x14ac:dyDescent="0.2">
      <c r="B46183" s="43"/>
    </row>
    <row r="46184" spans="2:2" ht="12.75" customHeight="1" x14ac:dyDescent="0.2">
      <c r="B46184" s="43"/>
    </row>
    <row r="46185" spans="2:2" ht="12.75" customHeight="1" x14ac:dyDescent="0.2">
      <c r="B46185" s="43"/>
    </row>
    <row r="46186" spans="2:2" ht="12.75" customHeight="1" x14ac:dyDescent="0.2">
      <c r="B46186" s="43"/>
    </row>
    <row r="46187" spans="2:2" ht="12.75" customHeight="1" x14ac:dyDescent="0.2">
      <c r="B46187" s="43"/>
    </row>
    <row r="46188" spans="2:2" ht="12.75" customHeight="1" x14ac:dyDescent="0.2">
      <c r="B46188" s="43"/>
    </row>
    <row r="46189" spans="2:2" ht="12.75" customHeight="1" x14ac:dyDescent="0.2">
      <c r="B46189" s="43"/>
    </row>
    <row r="46190" spans="2:2" ht="12.75" customHeight="1" x14ac:dyDescent="0.2">
      <c r="B46190" s="43"/>
    </row>
    <row r="46191" spans="2:2" ht="12.75" customHeight="1" x14ac:dyDescent="0.2">
      <c r="B46191" s="43"/>
    </row>
    <row r="46192" spans="2:2" ht="12.75" customHeight="1" x14ac:dyDescent="0.2">
      <c r="B46192" s="43"/>
    </row>
    <row r="46193" spans="2:2" ht="12.75" customHeight="1" x14ac:dyDescent="0.2">
      <c r="B46193" s="43"/>
    </row>
    <row r="46194" spans="2:2" ht="12.75" customHeight="1" x14ac:dyDescent="0.2">
      <c r="B46194" s="43"/>
    </row>
    <row r="46195" spans="2:2" ht="12.75" customHeight="1" x14ac:dyDescent="0.2">
      <c r="B46195" s="43"/>
    </row>
    <row r="46196" spans="2:2" ht="12.75" customHeight="1" x14ac:dyDescent="0.2">
      <c r="B46196" s="43"/>
    </row>
    <row r="46197" spans="2:2" ht="12.75" customHeight="1" x14ac:dyDescent="0.2">
      <c r="B46197" s="43"/>
    </row>
    <row r="46198" spans="2:2" ht="12.75" customHeight="1" x14ac:dyDescent="0.2">
      <c r="B46198" s="43"/>
    </row>
    <row r="46199" spans="2:2" ht="12.75" customHeight="1" x14ac:dyDescent="0.2">
      <c r="B46199" s="43"/>
    </row>
    <row r="46200" spans="2:2" ht="12.75" customHeight="1" x14ac:dyDescent="0.2">
      <c r="B46200" s="43"/>
    </row>
    <row r="46201" spans="2:2" ht="12.75" customHeight="1" x14ac:dyDescent="0.2">
      <c r="B46201" s="43"/>
    </row>
    <row r="46202" spans="2:2" ht="12.75" customHeight="1" x14ac:dyDescent="0.2">
      <c r="B46202" s="43"/>
    </row>
    <row r="46203" spans="2:2" ht="12.75" customHeight="1" x14ac:dyDescent="0.2">
      <c r="B46203" s="43"/>
    </row>
    <row r="46204" spans="2:2" ht="12.75" customHeight="1" x14ac:dyDescent="0.2">
      <c r="B46204" s="43"/>
    </row>
    <row r="46205" spans="2:2" ht="12.75" customHeight="1" x14ac:dyDescent="0.2">
      <c r="B46205" s="43"/>
    </row>
    <row r="46206" spans="2:2" ht="12.75" customHeight="1" x14ac:dyDescent="0.2">
      <c r="B46206" s="43"/>
    </row>
    <row r="46207" spans="2:2" ht="12.75" customHeight="1" x14ac:dyDescent="0.2">
      <c r="B46207" s="43"/>
    </row>
    <row r="46208" spans="2:2" ht="12.75" customHeight="1" x14ac:dyDescent="0.2">
      <c r="B46208" s="43"/>
    </row>
    <row r="46209" spans="2:2" ht="12.75" customHeight="1" x14ac:dyDescent="0.2">
      <c r="B46209" s="43"/>
    </row>
    <row r="46210" spans="2:2" ht="12.75" customHeight="1" x14ac:dyDescent="0.2">
      <c r="B46210" s="43"/>
    </row>
    <row r="46211" spans="2:2" ht="12.75" customHeight="1" x14ac:dyDescent="0.2">
      <c r="B46211" s="43"/>
    </row>
    <row r="46212" spans="2:2" ht="12.75" customHeight="1" x14ac:dyDescent="0.2">
      <c r="B46212" s="43"/>
    </row>
    <row r="46213" spans="2:2" ht="12.75" customHeight="1" x14ac:dyDescent="0.2">
      <c r="B46213" s="43"/>
    </row>
    <row r="46214" spans="2:2" ht="12.75" customHeight="1" x14ac:dyDescent="0.2">
      <c r="B46214" s="43"/>
    </row>
    <row r="46215" spans="2:2" ht="12.75" customHeight="1" x14ac:dyDescent="0.2">
      <c r="B46215" s="43"/>
    </row>
    <row r="46216" spans="2:2" ht="12.75" customHeight="1" x14ac:dyDescent="0.2">
      <c r="B46216" s="43"/>
    </row>
    <row r="46217" spans="2:2" ht="12.75" customHeight="1" x14ac:dyDescent="0.2">
      <c r="B46217" s="43"/>
    </row>
    <row r="46218" spans="2:2" ht="12.75" customHeight="1" x14ac:dyDescent="0.2">
      <c r="B46218" s="43"/>
    </row>
    <row r="46219" spans="2:2" ht="12.75" customHeight="1" x14ac:dyDescent="0.2">
      <c r="B46219" s="43"/>
    </row>
    <row r="46220" spans="2:2" ht="12.75" customHeight="1" x14ac:dyDescent="0.2">
      <c r="B46220" s="43"/>
    </row>
    <row r="46221" spans="2:2" ht="12.75" customHeight="1" x14ac:dyDescent="0.2">
      <c r="B46221" s="43"/>
    </row>
    <row r="46222" spans="2:2" ht="12.75" customHeight="1" x14ac:dyDescent="0.2">
      <c r="B46222" s="43"/>
    </row>
    <row r="46223" spans="2:2" ht="12.75" customHeight="1" x14ac:dyDescent="0.2">
      <c r="B46223" s="43"/>
    </row>
    <row r="46224" spans="2:2" ht="12.75" customHeight="1" x14ac:dyDescent="0.2">
      <c r="B46224" s="43"/>
    </row>
    <row r="46225" spans="2:2" ht="12.75" customHeight="1" x14ac:dyDescent="0.2">
      <c r="B46225" s="43"/>
    </row>
    <row r="46226" spans="2:2" ht="12.75" customHeight="1" x14ac:dyDescent="0.2">
      <c r="B46226" s="43"/>
    </row>
    <row r="46227" spans="2:2" ht="12.75" customHeight="1" x14ac:dyDescent="0.2">
      <c r="B46227" s="43"/>
    </row>
    <row r="46228" spans="2:2" ht="12.75" customHeight="1" x14ac:dyDescent="0.2">
      <c r="B46228" s="43"/>
    </row>
    <row r="46229" spans="2:2" ht="12.75" customHeight="1" x14ac:dyDescent="0.2">
      <c r="B46229" s="43"/>
    </row>
    <row r="46230" spans="2:2" ht="12.75" customHeight="1" x14ac:dyDescent="0.2">
      <c r="B46230" s="43"/>
    </row>
    <row r="46231" spans="2:2" ht="12.75" customHeight="1" x14ac:dyDescent="0.2">
      <c r="B46231" s="43"/>
    </row>
    <row r="46232" spans="2:2" ht="12.75" customHeight="1" x14ac:dyDescent="0.2">
      <c r="B46232" s="43"/>
    </row>
    <row r="46233" spans="2:2" ht="12.75" customHeight="1" x14ac:dyDescent="0.2">
      <c r="B46233" s="43"/>
    </row>
    <row r="46234" spans="2:2" ht="12.75" customHeight="1" x14ac:dyDescent="0.2">
      <c r="B46234" s="43"/>
    </row>
    <row r="46235" spans="2:2" ht="12.75" customHeight="1" x14ac:dyDescent="0.2">
      <c r="B46235" s="43"/>
    </row>
    <row r="46236" spans="2:2" ht="12.75" customHeight="1" x14ac:dyDescent="0.2">
      <c r="B46236" s="43"/>
    </row>
    <row r="46237" spans="2:2" ht="12.75" customHeight="1" x14ac:dyDescent="0.2">
      <c r="B46237" s="43"/>
    </row>
    <row r="46238" spans="2:2" ht="12.75" customHeight="1" x14ac:dyDescent="0.2">
      <c r="B46238" s="43"/>
    </row>
    <row r="46239" spans="2:2" ht="12.75" customHeight="1" x14ac:dyDescent="0.2">
      <c r="B46239" s="43"/>
    </row>
    <row r="46240" spans="2:2" ht="12.75" customHeight="1" x14ac:dyDescent="0.2">
      <c r="B46240" s="43"/>
    </row>
    <row r="46241" spans="2:2" ht="12.75" customHeight="1" x14ac:dyDescent="0.2">
      <c r="B46241" s="43"/>
    </row>
    <row r="46242" spans="2:2" ht="12.75" customHeight="1" x14ac:dyDescent="0.2">
      <c r="B46242" s="43"/>
    </row>
    <row r="46243" spans="2:2" ht="12.75" customHeight="1" x14ac:dyDescent="0.2">
      <c r="B46243" s="43"/>
    </row>
    <row r="46244" spans="2:2" ht="12.75" customHeight="1" x14ac:dyDescent="0.2">
      <c r="B46244" s="43"/>
    </row>
    <row r="46245" spans="2:2" ht="12.75" customHeight="1" x14ac:dyDescent="0.2">
      <c r="B46245" s="43"/>
    </row>
    <row r="46246" spans="2:2" ht="12.75" customHeight="1" x14ac:dyDescent="0.2">
      <c r="B46246" s="43"/>
    </row>
    <row r="46247" spans="2:2" ht="12.75" customHeight="1" x14ac:dyDescent="0.2">
      <c r="B46247" s="43"/>
    </row>
    <row r="46248" spans="2:2" ht="12.75" customHeight="1" x14ac:dyDescent="0.2">
      <c r="B46248" s="43"/>
    </row>
    <row r="46249" spans="2:2" ht="12.75" customHeight="1" x14ac:dyDescent="0.2">
      <c r="B46249" s="43"/>
    </row>
    <row r="46250" spans="2:2" ht="12.75" customHeight="1" x14ac:dyDescent="0.2">
      <c r="B46250" s="43"/>
    </row>
    <row r="46251" spans="2:2" ht="12.75" customHeight="1" x14ac:dyDescent="0.2">
      <c r="B46251" s="43"/>
    </row>
    <row r="46252" spans="2:2" ht="12.75" customHeight="1" x14ac:dyDescent="0.2">
      <c r="B46252" s="43"/>
    </row>
    <row r="46253" spans="2:2" ht="12.75" customHeight="1" x14ac:dyDescent="0.2">
      <c r="B46253" s="43"/>
    </row>
    <row r="46254" spans="2:2" ht="12.75" customHeight="1" x14ac:dyDescent="0.2">
      <c r="B46254" s="43"/>
    </row>
    <row r="46255" spans="2:2" ht="12.75" customHeight="1" x14ac:dyDescent="0.2">
      <c r="B46255" s="43"/>
    </row>
    <row r="46256" spans="2:2" ht="12.75" customHeight="1" x14ac:dyDescent="0.2">
      <c r="B46256" s="43"/>
    </row>
    <row r="46257" spans="2:2" ht="12.75" customHeight="1" x14ac:dyDescent="0.2">
      <c r="B46257" s="43"/>
    </row>
    <row r="46258" spans="2:2" ht="12.75" customHeight="1" x14ac:dyDescent="0.2">
      <c r="B46258" s="43"/>
    </row>
    <row r="46259" spans="2:2" ht="12.75" customHeight="1" x14ac:dyDescent="0.2">
      <c r="B46259" s="43"/>
    </row>
    <row r="46260" spans="2:2" ht="12.75" customHeight="1" x14ac:dyDescent="0.2">
      <c r="B46260" s="43"/>
    </row>
    <row r="46261" spans="2:2" ht="12.75" customHeight="1" x14ac:dyDescent="0.2">
      <c r="B46261" s="43"/>
    </row>
    <row r="46262" spans="2:2" ht="12.75" customHeight="1" x14ac:dyDescent="0.2">
      <c r="B46262" s="43"/>
    </row>
    <row r="46263" spans="2:2" ht="12.75" customHeight="1" x14ac:dyDescent="0.2">
      <c r="B46263" s="43"/>
    </row>
    <row r="46264" spans="2:2" ht="12.75" customHeight="1" x14ac:dyDescent="0.2">
      <c r="B46264" s="43"/>
    </row>
    <row r="46265" spans="2:2" ht="12.75" customHeight="1" x14ac:dyDescent="0.2">
      <c r="B46265" s="43"/>
    </row>
    <row r="46266" spans="2:2" ht="12.75" customHeight="1" x14ac:dyDescent="0.2">
      <c r="B46266" s="43"/>
    </row>
    <row r="46267" spans="2:2" ht="12.75" customHeight="1" x14ac:dyDescent="0.2">
      <c r="B46267" s="43"/>
    </row>
    <row r="46268" spans="2:2" ht="12.75" customHeight="1" x14ac:dyDescent="0.2">
      <c r="B46268" s="43"/>
    </row>
    <row r="46269" spans="2:2" ht="12.75" customHeight="1" x14ac:dyDescent="0.2">
      <c r="B46269" s="43"/>
    </row>
    <row r="46270" spans="2:2" ht="12.75" customHeight="1" x14ac:dyDescent="0.2">
      <c r="B46270" s="43"/>
    </row>
    <row r="46271" spans="2:2" ht="12.75" customHeight="1" x14ac:dyDescent="0.2">
      <c r="B46271" s="43"/>
    </row>
    <row r="46272" spans="2:2" ht="12.75" customHeight="1" x14ac:dyDescent="0.2">
      <c r="B46272" s="43"/>
    </row>
    <row r="46273" spans="2:2" ht="12.75" customHeight="1" x14ac:dyDescent="0.2">
      <c r="B46273" s="43"/>
    </row>
    <row r="46274" spans="2:2" ht="12.75" customHeight="1" x14ac:dyDescent="0.2">
      <c r="B46274" s="43"/>
    </row>
    <row r="46275" spans="2:2" ht="12.75" customHeight="1" x14ac:dyDescent="0.2">
      <c r="B46275" s="43"/>
    </row>
    <row r="46276" spans="2:2" ht="12.75" customHeight="1" x14ac:dyDescent="0.2">
      <c r="B46276" s="43"/>
    </row>
    <row r="46277" spans="2:2" ht="12.75" customHeight="1" x14ac:dyDescent="0.2">
      <c r="B46277" s="43"/>
    </row>
    <row r="46278" spans="2:2" ht="12.75" customHeight="1" x14ac:dyDescent="0.2">
      <c r="B46278" s="43"/>
    </row>
    <row r="46279" spans="2:2" ht="12.75" customHeight="1" x14ac:dyDescent="0.2">
      <c r="B46279" s="43"/>
    </row>
    <row r="46280" spans="2:2" ht="12.75" customHeight="1" x14ac:dyDescent="0.2">
      <c r="B46280" s="43"/>
    </row>
    <row r="46281" spans="2:2" ht="12.75" customHeight="1" x14ac:dyDescent="0.2">
      <c r="B46281" s="43"/>
    </row>
    <row r="46282" spans="2:2" ht="12.75" customHeight="1" x14ac:dyDescent="0.2">
      <c r="B46282" s="43"/>
    </row>
    <row r="46283" spans="2:2" ht="12.75" customHeight="1" x14ac:dyDescent="0.2">
      <c r="B46283" s="43"/>
    </row>
    <row r="46284" spans="2:2" ht="12.75" customHeight="1" x14ac:dyDescent="0.2">
      <c r="B46284" s="43"/>
    </row>
    <row r="46285" spans="2:2" ht="12.75" customHeight="1" x14ac:dyDescent="0.2">
      <c r="B46285" s="43"/>
    </row>
    <row r="46286" spans="2:2" ht="12.75" customHeight="1" x14ac:dyDescent="0.2">
      <c r="B46286" s="43"/>
    </row>
    <row r="46287" spans="2:2" ht="12.75" customHeight="1" x14ac:dyDescent="0.2">
      <c r="B46287" s="43"/>
    </row>
    <row r="46288" spans="2:2" ht="12.75" customHeight="1" x14ac:dyDescent="0.2">
      <c r="B46288" s="43"/>
    </row>
    <row r="46289" spans="2:2" ht="12.75" customHeight="1" x14ac:dyDescent="0.2">
      <c r="B46289" s="43"/>
    </row>
    <row r="46290" spans="2:2" ht="12.75" customHeight="1" x14ac:dyDescent="0.2">
      <c r="B46290" s="43"/>
    </row>
    <row r="46291" spans="2:2" ht="12.75" customHeight="1" x14ac:dyDescent="0.2">
      <c r="B46291" s="43"/>
    </row>
    <row r="46292" spans="2:2" ht="12.75" customHeight="1" x14ac:dyDescent="0.2">
      <c r="B46292" s="43"/>
    </row>
    <row r="46293" spans="2:2" ht="12.75" customHeight="1" x14ac:dyDescent="0.2">
      <c r="B46293" s="43"/>
    </row>
    <row r="46294" spans="2:2" ht="12.75" customHeight="1" x14ac:dyDescent="0.2">
      <c r="B46294" s="43"/>
    </row>
    <row r="46295" spans="2:2" ht="12.75" customHeight="1" x14ac:dyDescent="0.2">
      <c r="B46295" s="43"/>
    </row>
    <row r="46296" spans="2:2" ht="12.75" customHeight="1" x14ac:dyDescent="0.2">
      <c r="B46296" s="43"/>
    </row>
    <row r="46297" spans="2:2" ht="12.75" customHeight="1" x14ac:dyDescent="0.2">
      <c r="B46297" s="43"/>
    </row>
    <row r="46298" spans="2:2" ht="12.75" customHeight="1" x14ac:dyDescent="0.2">
      <c r="B46298" s="43"/>
    </row>
    <row r="46299" spans="2:2" ht="12.75" customHeight="1" x14ac:dyDescent="0.2">
      <c r="B46299" s="43"/>
    </row>
    <row r="46300" spans="2:2" ht="12.75" customHeight="1" x14ac:dyDescent="0.2">
      <c r="B46300" s="43"/>
    </row>
    <row r="46301" spans="2:2" ht="12.75" customHeight="1" x14ac:dyDescent="0.2">
      <c r="B46301" s="43"/>
    </row>
    <row r="46302" spans="2:2" ht="12.75" customHeight="1" x14ac:dyDescent="0.2">
      <c r="B46302" s="43"/>
    </row>
    <row r="46303" spans="2:2" ht="12.75" customHeight="1" x14ac:dyDescent="0.2">
      <c r="B46303" s="43"/>
    </row>
    <row r="46304" spans="2:2" ht="12.75" customHeight="1" x14ac:dyDescent="0.2">
      <c r="B46304" s="43"/>
    </row>
    <row r="46305" spans="2:2" ht="12.75" customHeight="1" x14ac:dyDescent="0.2">
      <c r="B46305" s="43"/>
    </row>
    <row r="46306" spans="2:2" ht="12.75" customHeight="1" x14ac:dyDescent="0.2">
      <c r="B46306" s="43"/>
    </row>
    <row r="46307" spans="2:2" ht="12.75" customHeight="1" x14ac:dyDescent="0.2">
      <c r="B46307" s="43"/>
    </row>
    <row r="46308" spans="2:2" ht="12.75" customHeight="1" x14ac:dyDescent="0.2">
      <c r="B46308" s="43"/>
    </row>
    <row r="46309" spans="2:2" ht="12.75" customHeight="1" x14ac:dyDescent="0.2">
      <c r="B46309" s="43"/>
    </row>
    <row r="46310" spans="2:2" ht="12.75" customHeight="1" x14ac:dyDescent="0.2">
      <c r="B46310" s="43"/>
    </row>
    <row r="46311" spans="2:2" ht="12.75" customHeight="1" x14ac:dyDescent="0.2">
      <c r="B46311" s="43"/>
    </row>
    <row r="46312" spans="2:2" ht="12.75" customHeight="1" x14ac:dyDescent="0.2">
      <c r="B46312" s="43"/>
    </row>
    <row r="46313" spans="2:2" ht="12.75" customHeight="1" x14ac:dyDescent="0.2">
      <c r="B46313" s="43"/>
    </row>
    <row r="46314" spans="2:2" ht="12.75" customHeight="1" x14ac:dyDescent="0.2">
      <c r="B46314" s="43"/>
    </row>
    <row r="46315" spans="2:2" ht="12.75" customHeight="1" x14ac:dyDescent="0.2">
      <c r="B46315" s="43"/>
    </row>
    <row r="46316" spans="2:2" ht="12.75" customHeight="1" x14ac:dyDescent="0.2">
      <c r="B46316" s="43"/>
    </row>
    <row r="46317" spans="2:2" ht="12.75" customHeight="1" x14ac:dyDescent="0.2">
      <c r="B46317" s="43"/>
    </row>
    <row r="46318" spans="2:2" ht="12.75" customHeight="1" x14ac:dyDescent="0.2">
      <c r="B46318" s="43"/>
    </row>
    <row r="46319" spans="2:2" ht="12.75" customHeight="1" x14ac:dyDescent="0.2">
      <c r="B46319" s="43"/>
    </row>
    <row r="46320" spans="2:2" ht="12.75" customHeight="1" x14ac:dyDescent="0.2">
      <c r="B46320" s="43"/>
    </row>
    <row r="46321" spans="2:2" ht="12.75" customHeight="1" x14ac:dyDescent="0.2">
      <c r="B46321" s="43"/>
    </row>
    <row r="46322" spans="2:2" ht="12.75" customHeight="1" x14ac:dyDescent="0.2">
      <c r="B46322" s="43"/>
    </row>
    <row r="46323" spans="2:2" ht="12.75" customHeight="1" x14ac:dyDescent="0.2">
      <c r="B46323" s="43"/>
    </row>
    <row r="46324" spans="2:2" ht="12.75" customHeight="1" x14ac:dyDescent="0.2">
      <c r="B46324" s="43"/>
    </row>
    <row r="46325" spans="2:2" ht="12.75" customHeight="1" x14ac:dyDescent="0.2">
      <c r="B46325" s="43"/>
    </row>
    <row r="46326" spans="2:2" ht="12.75" customHeight="1" x14ac:dyDescent="0.2">
      <c r="B46326" s="43"/>
    </row>
    <row r="46327" spans="2:2" ht="12.75" customHeight="1" x14ac:dyDescent="0.2">
      <c r="B46327" s="43"/>
    </row>
    <row r="46328" spans="2:2" ht="12.75" customHeight="1" x14ac:dyDescent="0.2">
      <c r="B46328" s="43"/>
    </row>
    <row r="46329" spans="2:2" ht="12.75" customHeight="1" x14ac:dyDescent="0.2">
      <c r="B46329" s="43"/>
    </row>
    <row r="46330" spans="2:2" ht="12.75" customHeight="1" x14ac:dyDescent="0.2">
      <c r="B46330" s="43"/>
    </row>
    <row r="46331" spans="2:2" ht="12.75" customHeight="1" x14ac:dyDescent="0.2">
      <c r="B46331" s="43"/>
    </row>
    <row r="46332" spans="2:2" ht="12.75" customHeight="1" x14ac:dyDescent="0.2">
      <c r="B46332" s="43"/>
    </row>
    <row r="46333" spans="2:2" ht="12.75" customHeight="1" x14ac:dyDescent="0.2">
      <c r="B46333" s="43"/>
    </row>
    <row r="46334" spans="2:2" ht="12.75" customHeight="1" x14ac:dyDescent="0.2">
      <c r="B46334" s="43"/>
    </row>
    <row r="46335" spans="2:2" ht="12.75" customHeight="1" x14ac:dyDescent="0.2">
      <c r="B46335" s="43"/>
    </row>
    <row r="46336" spans="2:2" ht="12.75" customHeight="1" x14ac:dyDescent="0.2">
      <c r="B46336" s="43"/>
    </row>
    <row r="46337" spans="2:2" ht="12.75" customHeight="1" x14ac:dyDescent="0.2">
      <c r="B46337" s="43"/>
    </row>
    <row r="46338" spans="2:2" ht="12.75" customHeight="1" x14ac:dyDescent="0.2">
      <c r="B46338" s="43"/>
    </row>
    <row r="46339" spans="2:2" ht="12.75" customHeight="1" x14ac:dyDescent="0.2">
      <c r="B46339" s="43"/>
    </row>
    <row r="46340" spans="2:2" ht="12.75" customHeight="1" x14ac:dyDescent="0.2">
      <c r="B46340" s="43"/>
    </row>
    <row r="46341" spans="2:2" ht="12.75" customHeight="1" x14ac:dyDescent="0.2">
      <c r="B46341" s="43"/>
    </row>
    <row r="46342" spans="2:2" ht="12.75" customHeight="1" x14ac:dyDescent="0.2">
      <c r="B46342" s="43"/>
    </row>
    <row r="46343" spans="2:2" ht="12.75" customHeight="1" x14ac:dyDescent="0.2">
      <c r="B46343" s="43"/>
    </row>
    <row r="46344" spans="2:2" ht="12.75" customHeight="1" x14ac:dyDescent="0.2">
      <c r="B46344" s="43"/>
    </row>
    <row r="46345" spans="2:2" ht="12.75" customHeight="1" x14ac:dyDescent="0.2">
      <c r="B46345" s="43"/>
    </row>
    <row r="46346" spans="2:2" ht="12.75" customHeight="1" x14ac:dyDescent="0.2">
      <c r="B46346" s="43"/>
    </row>
    <row r="46347" spans="2:2" ht="12.75" customHeight="1" x14ac:dyDescent="0.2">
      <c r="B46347" s="43"/>
    </row>
    <row r="46348" spans="2:2" ht="12.75" customHeight="1" x14ac:dyDescent="0.2">
      <c r="B46348" s="43"/>
    </row>
    <row r="46349" spans="2:2" ht="12.75" customHeight="1" x14ac:dyDescent="0.2">
      <c r="B46349" s="43"/>
    </row>
    <row r="46350" spans="2:2" ht="12.75" customHeight="1" x14ac:dyDescent="0.2">
      <c r="B46350" s="43"/>
    </row>
    <row r="46351" spans="2:2" ht="12.75" customHeight="1" x14ac:dyDescent="0.2">
      <c r="B46351" s="43"/>
    </row>
    <row r="46352" spans="2:2" ht="12.75" customHeight="1" x14ac:dyDescent="0.2">
      <c r="B46352" s="43"/>
    </row>
    <row r="46353" spans="2:2" ht="12.75" customHeight="1" x14ac:dyDescent="0.2">
      <c r="B46353" s="43"/>
    </row>
    <row r="46354" spans="2:2" ht="12.75" customHeight="1" x14ac:dyDescent="0.2">
      <c r="B46354" s="43"/>
    </row>
    <row r="46355" spans="2:2" ht="12.75" customHeight="1" x14ac:dyDescent="0.2">
      <c r="B46355" s="43"/>
    </row>
    <row r="46356" spans="2:2" ht="12.75" customHeight="1" x14ac:dyDescent="0.2">
      <c r="B46356" s="43"/>
    </row>
    <row r="46357" spans="2:2" ht="12.75" customHeight="1" x14ac:dyDescent="0.2">
      <c r="B46357" s="43"/>
    </row>
    <row r="46358" spans="2:2" ht="12.75" customHeight="1" x14ac:dyDescent="0.2">
      <c r="B46358" s="43"/>
    </row>
    <row r="46359" spans="2:2" ht="12.75" customHeight="1" x14ac:dyDescent="0.2">
      <c r="B46359" s="43"/>
    </row>
    <row r="46360" spans="2:2" ht="12.75" customHeight="1" x14ac:dyDescent="0.2">
      <c r="B46360" s="43"/>
    </row>
    <row r="46361" spans="2:2" ht="12.75" customHeight="1" x14ac:dyDescent="0.2">
      <c r="B46361" s="43"/>
    </row>
    <row r="46362" spans="2:2" ht="12.75" customHeight="1" x14ac:dyDescent="0.2">
      <c r="B46362" s="43"/>
    </row>
    <row r="46363" spans="2:2" ht="12.75" customHeight="1" x14ac:dyDescent="0.2">
      <c r="B46363" s="43"/>
    </row>
    <row r="46364" spans="2:2" ht="12.75" customHeight="1" x14ac:dyDescent="0.2">
      <c r="B46364" s="43"/>
    </row>
    <row r="46365" spans="2:2" ht="12.75" customHeight="1" x14ac:dyDescent="0.2">
      <c r="B46365" s="43"/>
    </row>
    <row r="46366" spans="2:2" ht="12.75" customHeight="1" x14ac:dyDescent="0.2">
      <c r="B46366" s="43"/>
    </row>
    <row r="46367" spans="2:2" ht="12.75" customHeight="1" x14ac:dyDescent="0.2">
      <c r="B46367" s="43"/>
    </row>
    <row r="46368" spans="2:2" ht="12.75" customHeight="1" x14ac:dyDescent="0.2">
      <c r="B46368" s="43"/>
    </row>
    <row r="46369" spans="2:2" ht="12.75" customHeight="1" x14ac:dyDescent="0.2">
      <c r="B46369" s="43"/>
    </row>
    <row r="46370" spans="2:2" ht="12.75" customHeight="1" x14ac:dyDescent="0.2">
      <c r="B46370" s="43"/>
    </row>
    <row r="46371" spans="2:2" ht="12.75" customHeight="1" x14ac:dyDescent="0.2">
      <c r="B46371" s="43"/>
    </row>
    <row r="46372" spans="2:2" ht="12.75" customHeight="1" x14ac:dyDescent="0.2">
      <c r="B46372" s="43"/>
    </row>
    <row r="46373" spans="2:2" ht="12.75" customHeight="1" x14ac:dyDescent="0.2">
      <c r="B46373" s="43"/>
    </row>
    <row r="46374" spans="2:2" ht="12.75" customHeight="1" x14ac:dyDescent="0.2">
      <c r="B46374" s="43"/>
    </row>
    <row r="46375" spans="2:2" ht="12.75" customHeight="1" x14ac:dyDescent="0.2">
      <c r="B46375" s="43"/>
    </row>
    <row r="46376" spans="2:2" ht="12.75" customHeight="1" x14ac:dyDescent="0.2">
      <c r="B46376" s="43"/>
    </row>
    <row r="46377" spans="2:2" ht="12.75" customHeight="1" x14ac:dyDescent="0.2">
      <c r="B46377" s="43"/>
    </row>
    <row r="46378" spans="2:2" ht="12.75" customHeight="1" x14ac:dyDescent="0.2">
      <c r="B46378" s="43"/>
    </row>
    <row r="46379" spans="2:2" ht="12.75" customHeight="1" x14ac:dyDescent="0.2">
      <c r="B46379" s="43"/>
    </row>
    <row r="46380" spans="2:2" ht="12.75" customHeight="1" x14ac:dyDescent="0.2">
      <c r="B46380" s="43"/>
    </row>
    <row r="46381" spans="2:2" ht="12.75" customHeight="1" x14ac:dyDescent="0.2">
      <c r="B46381" s="43"/>
    </row>
    <row r="46382" spans="2:2" ht="12.75" customHeight="1" x14ac:dyDescent="0.2">
      <c r="B46382" s="43"/>
    </row>
    <row r="46383" spans="2:2" ht="12.75" customHeight="1" x14ac:dyDescent="0.2">
      <c r="B46383" s="43"/>
    </row>
    <row r="46384" spans="2:2" ht="12.75" customHeight="1" x14ac:dyDescent="0.2">
      <c r="B46384" s="43"/>
    </row>
    <row r="46385" spans="2:2" ht="12.75" customHeight="1" x14ac:dyDescent="0.2">
      <c r="B46385" s="43"/>
    </row>
    <row r="46386" spans="2:2" ht="12.75" customHeight="1" x14ac:dyDescent="0.2">
      <c r="B46386" s="43"/>
    </row>
    <row r="46387" spans="2:2" ht="12.75" customHeight="1" x14ac:dyDescent="0.2">
      <c r="B46387" s="43"/>
    </row>
    <row r="46388" spans="2:2" ht="12.75" customHeight="1" x14ac:dyDescent="0.2">
      <c r="B46388" s="43"/>
    </row>
    <row r="46389" spans="2:2" ht="12.75" customHeight="1" x14ac:dyDescent="0.2">
      <c r="B46389" s="43"/>
    </row>
    <row r="46390" spans="2:2" ht="12.75" customHeight="1" x14ac:dyDescent="0.2">
      <c r="B46390" s="43"/>
    </row>
    <row r="46391" spans="2:2" ht="12.75" customHeight="1" x14ac:dyDescent="0.2">
      <c r="B46391" s="43"/>
    </row>
    <row r="46392" spans="2:2" ht="12.75" customHeight="1" x14ac:dyDescent="0.2">
      <c r="B46392" s="43"/>
    </row>
    <row r="46393" spans="2:2" ht="12.75" customHeight="1" x14ac:dyDescent="0.2">
      <c r="B46393" s="43"/>
    </row>
    <row r="46394" spans="2:2" ht="12.75" customHeight="1" x14ac:dyDescent="0.2">
      <c r="B46394" s="43"/>
    </row>
    <row r="46395" spans="2:2" ht="12.75" customHeight="1" x14ac:dyDescent="0.2">
      <c r="B46395" s="43"/>
    </row>
    <row r="46396" spans="2:2" ht="12.75" customHeight="1" x14ac:dyDescent="0.2">
      <c r="B46396" s="43"/>
    </row>
    <row r="46397" spans="2:2" ht="12.75" customHeight="1" x14ac:dyDescent="0.2">
      <c r="B46397" s="43"/>
    </row>
    <row r="46398" spans="2:2" ht="12.75" customHeight="1" x14ac:dyDescent="0.2">
      <c r="B46398" s="43"/>
    </row>
    <row r="46399" spans="2:2" ht="12.75" customHeight="1" x14ac:dyDescent="0.2">
      <c r="B46399" s="43"/>
    </row>
    <row r="46400" spans="2:2" ht="12.75" customHeight="1" x14ac:dyDescent="0.2">
      <c r="B46400" s="43"/>
    </row>
    <row r="46401" spans="2:2" ht="12.75" customHeight="1" x14ac:dyDescent="0.2">
      <c r="B46401" s="43"/>
    </row>
    <row r="46402" spans="2:2" ht="12.75" customHeight="1" x14ac:dyDescent="0.2">
      <c r="B46402" s="43"/>
    </row>
    <row r="46403" spans="2:2" ht="12.75" customHeight="1" x14ac:dyDescent="0.2">
      <c r="B46403" s="43"/>
    </row>
    <row r="46404" spans="2:2" ht="12.75" customHeight="1" x14ac:dyDescent="0.2">
      <c r="B46404" s="43"/>
    </row>
    <row r="46405" spans="2:2" ht="12.75" customHeight="1" x14ac:dyDescent="0.2">
      <c r="B46405" s="43"/>
    </row>
    <row r="46406" spans="2:2" ht="12.75" customHeight="1" x14ac:dyDescent="0.2">
      <c r="B46406" s="43"/>
    </row>
    <row r="46407" spans="2:2" ht="12.75" customHeight="1" x14ac:dyDescent="0.2">
      <c r="B46407" s="43"/>
    </row>
    <row r="46408" spans="2:2" ht="12.75" customHeight="1" x14ac:dyDescent="0.2">
      <c r="B46408" s="43"/>
    </row>
    <row r="46409" spans="2:2" ht="12.75" customHeight="1" x14ac:dyDescent="0.2">
      <c r="B46409" s="43"/>
    </row>
    <row r="46410" spans="2:2" ht="12.75" customHeight="1" x14ac:dyDescent="0.2">
      <c r="B46410" s="43"/>
    </row>
    <row r="46411" spans="2:2" ht="12.75" customHeight="1" x14ac:dyDescent="0.2">
      <c r="B46411" s="43"/>
    </row>
    <row r="46412" spans="2:2" ht="12.75" customHeight="1" x14ac:dyDescent="0.2">
      <c r="B46412" s="43"/>
    </row>
    <row r="46413" spans="2:2" ht="12.75" customHeight="1" x14ac:dyDescent="0.2">
      <c r="B46413" s="43"/>
    </row>
    <row r="46414" spans="2:2" ht="12.75" customHeight="1" x14ac:dyDescent="0.2">
      <c r="B46414" s="43"/>
    </row>
    <row r="46415" spans="2:2" ht="12.75" customHeight="1" x14ac:dyDescent="0.2">
      <c r="B46415" s="43"/>
    </row>
    <row r="46416" spans="2:2" ht="12.75" customHeight="1" x14ac:dyDescent="0.2">
      <c r="B46416" s="43"/>
    </row>
    <row r="46417" spans="2:2" ht="12.75" customHeight="1" x14ac:dyDescent="0.2">
      <c r="B46417" s="43"/>
    </row>
    <row r="46418" spans="2:2" ht="12.75" customHeight="1" x14ac:dyDescent="0.2">
      <c r="B46418" s="43"/>
    </row>
    <row r="46419" spans="2:2" ht="12.75" customHeight="1" x14ac:dyDescent="0.2">
      <c r="B46419" s="43"/>
    </row>
    <row r="46420" spans="2:2" ht="12.75" customHeight="1" x14ac:dyDescent="0.2">
      <c r="B46420" s="43"/>
    </row>
    <row r="46421" spans="2:2" ht="12.75" customHeight="1" x14ac:dyDescent="0.2">
      <c r="B46421" s="43"/>
    </row>
    <row r="46422" spans="2:2" ht="12.75" customHeight="1" x14ac:dyDescent="0.2">
      <c r="B46422" s="43"/>
    </row>
    <row r="46423" spans="2:2" ht="12.75" customHeight="1" x14ac:dyDescent="0.2">
      <c r="B46423" s="43"/>
    </row>
    <row r="46424" spans="2:2" ht="12.75" customHeight="1" x14ac:dyDescent="0.2">
      <c r="B46424" s="43"/>
    </row>
    <row r="46425" spans="2:2" ht="12.75" customHeight="1" x14ac:dyDescent="0.2">
      <c r="B46425" s="43"/>
    </row>
    <row r="46426" spans="2:2" ht="12.75" customHeight="1" x14ac:dyDescent="0.2">
      <c r="B46426" s="43"/>
    </row>
    <row r="46427" spans="2:2" ht="12.75" customHeight="1" x14ac:dyDescent="0.2">
      <c r="B46427" s="43"/>
    </row>
    <row r="46428" spans="2:2" ht="12.75" customHeight="1" x14ac:dyDescent="0.2">
      <c r="B46428" s="43"/>
    </row>
    <row r="46429" spans="2:2" ht="12.75" customHeight="1" x14ac:dyDescent="0.2">
      <c r="B46429" s="43"/>
    </row>
    <row r="46430" spans="2:2" ht="12.75" customHeight="1" x14ac:dyDescent="0.2">
      <c r="B46430" s="43"/>
    </row>
    <row r="46431" spans="2:2" ht="12.75" customHeight="1" x14ac:dyDescent="0.2">
      <c r="B46431" s="43"/>
    </row>
    <row r="46432" spans="2:2" ht="12.75" customHeight="1" x14ac:dyDescent="0.2">
      <c r="B46432" s="43"/>
    </row>
    <row r="46433" spans="2:2" ht="12.75" customHeight="1" x14ac:dyDescent="0.2">
      <c r="B46433" s="43"/>
    </row>
    <row r="46434" spans="2:2" ht="12.75" customHeight="1" x14ac:dyDescent="0.2">
      <c r="B46434" s="43"/>
    </row>
    <row r="46435" spans="2:2" ht="12.75" customHeight="1" x14ac:dyDescent="0.2">
      <c r="B46435" s="43"/>
    </row>
    <row r="46436" spans="2:2" ht="12.75" customHeight="1" x14ac:dyDescent="0.2">
      <c r="B46436" s="43"/>
    </row>
    <row r="46437" spans="2:2" ht="12.75" customHeight="1" x14ac:dyDescent="0.2">
      <c r="B46437" s="43"/>
    </row>
    <row r="46438" spans="2:2" ht="12.75" customHeight="1" x14ac:dyDescent="0.2">
      <c r="B46438" s="43"/>
    </row>
    <row r="46439" spans="2:2" ht="12.75" customHeight="1" x14ac:dyDescent="0.2">
      <c r="B46439" s="43"/>
    </row>
    <row r="46440" spans="2:2" ht="12.75" customHeight="1" x14ac:dyDescent="0.2">
      <c r="B46440" s="43"/>
    </row>
    <row r="46441" spans="2:2" ht="12.75" customHeight="1" x14ac:dyDescent="0.2">
      <c r="B46441" s="43"/>
    </row>
    <row r="46442" spans="2:2" ht="12.75" customHeight="1" x14ac:dyDescent="0.2">
      <c r="B46442" s="43"/>
    </row>
    <row r="46443" spans="2:2" ht="12.75" customHeight="1" x14ac:dyDescent="0.2">
      <c r="B46443" s="43"/>
    </row>
    <row r="46444" spans="2:2" ht="12.75" customHeight="1" x14ac:dyDescent="0.2">
      <c r="B46444" s="43"/>
    </row>
    <row r="46445" spans="2:2" ht="12.75" customHeight="1" x14ac:dyDescent="0.2">
      <c r="B46445" s="43"/>
    </row>
    <row r="46446" spans="2:2" ht="12.75" customHeight="1" x14ac:dyDescent="0.2">
      <c r="B46446" s="43"/>
    </row>
    <row r="46447" spans="2:2" ht="12.75" customHeight="1" x14ac:dyDescent="0.2">
      <c r="B46447" s="43"/>
    </row>
    <row r="46448" spans="2:2" ht="12.75" customHeight="1" x14ac:dyDescent="0.2">
      <c r="B46448" s="43"/>
    </row>
    <row r="46449" spans="2:2" ht="12.75" customHeight="1" x14ac:dyDescent="0.2">
      <c r="B46449" s="43"/>
    </row>
    <row r="46450" spans="2:2" ht="12.75" customHeight="1" x14ac:dyDescent="0.2">
      <c r="B46450" s="43"/>
    </row>
    <row r="46451" spans="2:2" ht="12.75" customHeight="1" x14ac:dyDescent="0.2">
      <c r="B46451" s="43"/>
    </row>
    <row r="46452" spans="2:2" ht="12.75" customHeight="1" x14ac:dyDescent="0.2">
      <c r="B46452" s="43"/>
    </row>
    <row r="46453" spans="2:2" ht="12.75" customHeight="1" x14ac:dyDescent="0.2">
      <c r="B46453" s="43"/>
    </row>
    <row r="46454" spans="2:2" ht="12.75" customHeight="1" x14ac:dyDescent="0.2">
      <c r="B46454" s="43"/>
    </row>
    <row r="46455" spans="2:2" ht="12.75" customHeight="1" x14ac:dyDescent="0.2">
      <c r="B46455" s="43"/>
    </row>
    <row r="46456" spans="2:2" ht="12.75" customHeight="1" x14ac:dyDescent="0.2">
      <c r="B46456" s="43"/>
    </row>
    <row r="46457" spans="2:2" ht="12.75" customHeight="1" x14ac:dyDescent="0.2">
      <c r="B46457" s="43"/>
    </row>
    <row r="46458" spans="2:2" ht="12.75" customHeight="1" x14ac:dyDescent="0.2">
      <c r="B46458" s="43"/>
    </row>
    <row r="46459" spans="2:2" ht="12.75" customHeight="1" x14ac:dyDescent="0.2">
      <c r="B46459" s="43"/>
    </row>
    <row r="46460" spans="2:2" ht="12.75" customHeight="1" x14ac:dyDescent="0.2">
      <c r="B46460" s="43"/>
    </row>
    <row r="46461" spans="2:2" ht="12.75" customHeight="1" x14ac:dyDescent="0.2">
      <c r="B46461" s="43"/>
    </row>
    <row r="46462" spans="2:2" ht="12.75" customHeight="1" x14ac:dyDescent="0.2">
      <c r="B46462" s="43"/>
    </row>
    <row r="46463" spans="2:2" ht="12.75" customHeight="1" x14ac:dyDescent="0.2">
      <c r="B46463" s="43"/>
    </row>
    <row r="46464" spans="2:2" ht="12.75" customHeight="1" x14ac:dyDescent="0.2">
      <c r="B46464" s="43"/>
    </row>
    <row r="46465" spans="2:2" ht="12.75" customHeight="1" x14ac:dyDescent="0.2">
      <c r="B46465" s="43"/>
    </row>
    <row r="46466" spans="2:2" ht="12.75" customHeight="1" x14ac:dyDescent="0.2">
      <c r="B46466" s="43"/>
    </row>
    <row r="46467" spans="2:2" ht="12.75" customHeight="1" x14ac:dyDescent="0.2">
      <c r="B46467" s="43"/>
    </row>
    <row r="46468" spans="2:2" ht="12.75" customHeight="1" x14ac:dyDescent="0.2">
      <c r="B46468" s="43"/>
    </row>
    <row r="46469" spans="2:2" ht="12.75" customHeight="1" x14ac:dyDescent="0.2">
      <c r="B46469" s="43"/>
    </row>
    <row r="46470" spans="2:2" ht="12.75" customHeight="1" x14ac:dyDescent="0.2">
      <c r="B46470" s="43"/>
    </row>
    <row r="46471" spans="2:2" ht="12.75" customHeight="1" x14ac:dyDescent="0.2">
      <c r="B46471" s="43"/>
    </row>
    <row r="46472" spans="2:2" ht="12.75" customHeight="1" x14ac:dyDescent="0.2">
      <c r="B46472" s="43"/>
    </row>
    <row r="46473" spans="2:2" ht="12.75" customHeight="1" x14ac:dyDescent="0.2">
      <c r="B46473" s="43"/>
    </row>
    <row r="46474" spans="2:2" ht="12.75" customHeight="1" x14ac:dyDescent="0.2">
      <c r="B46474" s="43"/>
    </row>
    <row r="46475" spans="2:2" ht="12.75" customHeight="1" x14ac:dyDescent="0.2">
      <c r="B46475" s="43"/>
    </row>
    <row r="46476" spans="2:2" ht="12.75" customHeight="1" x14ac:dyDescent="0.2">
      <c r="B46476" s="43"/>
    </row>
    <row r="46477" spans="2:2" ht="12.75" customHeight="1" x14ac:dyDescent="0.2">
      <c r="B46477" s="43"/>
    </row>
    <row r="46478" spans="2:2" ht="12.75" customHeight="1" x14ac:dyDescent="0.2">
      <c r="B46478" s="43"/>
    </row>
    <row r="46479" spans="2:2" ht="12.75" customHeight="1" x14ac:dyDescent="0.2">
      <c r="B46479" s="43"/>
    </row>
    <row r="46480" spans="2:2" ht="12.75" customHeight="1" x14ac:dyDescent="0.2">
      <c r="B46480" s="43"/>
    </row>
    <row r="46481" spans="2:2" ht="12.75" customHeight="1" x14ac:dyDescent="0.2">
      <c r="B46481" s="43"/>
    </row>
    <row r="46482" spans="2:2" ht="12.75" customHeight="1" x14ac:dyDescent="0.2">
      <c r="B46482" s="43"/>
    </row>
    <row r="46483" spans="2:2" ht="12.75" customHeight="1" x14ac:dyDescent="0.2">
      <c r="B46483" s="43"/>
    </row>
    <row r="46484" spans="2:2" ht="12.75" customHeight="1" x14ac:dyDescent="0.2">
      <c r="B46484" s="43"/>
    </row>
    <row r="46485" spans="2:2" ht="12.75" customHeight="1" x14ac:dyDescent="0.2">
      <c r="B46485" s="43"/>
    </row>
    <row r="46486" spans="2:2" ht="12.75" customHeight="1" x14ac:dyDescent="0.2">
      <c r="B46486" s="43"/>
    </row>
    <row r="46487" spans="2:2" ht="12.75" customHeight="1" x14ac:dyDescent="0.2">
      <c r="B46487" s="43"/>
    </row>
    <row r="46488" spans="2:2" ht="12.75" customHeight="1" x14ac:dyDescent="0.2">
      <c r="B46488" s="43"/>
    </row>
    <row r="46489" spans="2:2" ht="12.75" customHeight="1" x14ac:dyDescent="0.2">
      <c r="B46489" s="43"/>
    </row>
    <row r="46490" spans="2:2" ht="12.75" customHeight="1" x14ac:dyDescent="0.2">
      <c r="B46490" s="43"/>
    </row>
    <row r="46491" spans="2:2" ht="12.75" customHeight="1" x14ac:dyDescent="0.2">
      <c r="B46491" s="43"/>
    </row>
    <row r="46492" spans="2:2" ht="12.75" customHeight="1" x14ac:dyDescent="0.2">
      <c r="B46492" s="43"/>
    </row>
    <row r="46493" spans="2:2" ht="12.75" customHeight="1" x14ac:dyDescent="0.2">
      <c r="B46493" s="43"/>
    </row>
    <row r="46494" spans="2:2" ht="12.75" customHeight="1" x14ac:dyDescent="0.2">
      <c r="B46494" s="43"/>
    </row>
    <row r="46495" spans="2:2" ht="12.75" customHeight="1" x14ac:dyDescent="0.2">
      <c r="B46495" s="43"/>
    </row>
    <row r="46496" spans="2:2" ht="12.75" customHeight="1" x14ac:dyDescent="0.2">
      <c r="B46496" s="43"/>
    </row>
    <row r="46497" spans="2:2" ht="12.75" customHeight="1" x14ac:dyDescent="0.2">
      <c r="B46497" s="43"/>
    </row>
    <row r="46498" spans="2:2" ht="12.75" customHeight="1" x14ac:dyDescent="0.2">
      <c r="B46498" s="43"/>
    </row>
    <row r="46499" spans="2:2" ht="12.75" customHeight="1" x14ac:dyDescent="0.2">
      <c r="B46499" s="43"/>
    </row>
    <row r="46500" spans="2:2" ht="12.75" customHeight="1" x14ac:dyDescent="0.2">
      <c r="B46500" s="43"/>
    </row>
    <row r="46501" spans="2:2" ht="12.75" customHeight="1" x14ac:dyDescent="0.2">
      <c r="B46501" s="43"/>
    </row>
    <row r="46502" spans="2:2" ht="12.75" customHeight="1" x14ac:dyDescent="0.2">
      <c r="B46502" s="43"/>
    </row>
    <row r="46503" spans="2:2" ht="12.75" customHeight="1" x14ac:dyDescent="0.2">
      <c r="B46503" s="43"/>
    </row>
    <row r="46504" spans="2:2" ht="12.75" customHeight="1" x14ac:dyDescent="0.2">
      <c r="B46504" s="43"/>
    </row>
    <row r="46505" spans="2:2" ht="12.75" customHeight="1" x14ac:dyDescent="0.2">
      <c r="B46505" s="43"/>
    </row>
    <row r="46506" spans="2:2" ht="12.75" customHeight="1" x14ac:dyDescent="0.2">
      <c r="B46506" s="43"/>
    </row>
    <row r="46507" spans="2:2" ht="12.75" customHeight="1" x14ac:dyDescent="0.2">
      <c r="B46507" s="43"/>
    </row>
    <row r="46508" spans="2:2" ht="12.75" customHeight="1" x14ac:dyDescent="0.2">
      <c r="B46508" s="43"/>
    </row>
    <row r="46509" spans="2:2" ht="12.75" customHeight="1" x14ac:dyDescent="0.2">
      <c r="B46509" s="43"/>
    </row>
    <row r="46510" spans="2:2" ht="12.75" customHeight="1" x14ac:dyDescent="0.2">
      <c r="B46510" s="43"/>
    </row>
    <row r="46511" spans="2:2" ht="12.75" customHeight="1" x14ac:dyDescent="0.2">
      <c r="B46511" s="43"/>
    </row>
    <row r="46512" spans="2:2" ht="12.75" customHeight="1" x14ac:dyDescent="0.2">
      <c r="B46512" s="43"/>
    </row>
    <row r="46513" spans="2:2" ht="12.75" customHeight="1" x14ac:dyDescent="0.2">
      <c r="B46513" s="43"/>
    </row>
    <row r="46514" spans="2:2" ht="12.75" customHeight="1" x14ac:dyDescent="0.2">
      <c r="B46514" s="43"/>
    </row>
    <row r="46515" spans="2:2" ht="12.75" customHeight="1" x14ac:dyDescent="0.2">
      <c r="B46515" s="43"/>
    </row>
    <row r="46516" spans="2:2" ht="12.75" customHeight="1" x14ac:dyDescent="0.2">
      <c r="B46516" s="43"/>
    </row>
    <row r="46517" spans="2:2" ht="12.75" customHeight="1" x14ac:dyDescent="0.2">
      <c r="B46517" s="43"/>
    </row>
    <row r="46518" spans="2:2" ht="12.75" customHeight="1" x14ac:dyDescent="0.2">
      <c r="B46518" s="43"/>
    </row>
    <row r="46519" spans="2:2" ht="12.75" customHeight="1" x14ac:dyDescent="0.2">
      <c r="B46519" s="43"/>
    </row>
    <row r="46520" spans="2:2" ht="12.75" customHeight="1" x14ac:dyDescent="0.2">
      <c r="B46520" s="43"/>
    </row>
    <row r="46521" spans="2:2" ht="12.75" customHeight="1" x14ac:dyDescent="0.2">
      <c r="B46521" s="43"/>
    </row>
    <row r="46522" spans="2:2" ht="12.75" customHeight="1" x14ac:dyDescent="0.2">
      <c r="B46522" s="43"/>
    </row>
    <row r="46523" spans="2:2" ht="12.75" customHeight="1" x14ac:dyDescent="0.2">
      <c r="B46523" s="43"/>
    </row>
    <row r="46524" spans="2:2" ht="12.75" customHeight="1" x14ac:dyDescent="0.2">
      <c r="B46524" s="43"/>
    </row>
    <row r="46525" spans="2:2" ht="12.75" customHeight="1" x14ac:dyDescent="0.2">
      <c r="B46525" s="43"/>
    </row>
    <row r="46526" spans="2:2" ht="12.75" customHeight="1" x14ac:dyDescent="0.2">
      <c r="B46526" s="43"/>
    </row>
    <row r="46527" spans="2:2" ht="12.75" customHeight="1" x14ac:dyDescent="0.2">
      <c r="B46527" s="43"/>
    </row>
    <row r="46528" spans="2:2" ht="12.75" customHeight="1" x14ac:dyDescent="0.2">
      <c r="B46528" s="43"/>
    </row>
    <row r="46529" spans="2:2" ht="12.75" customHeight="1" x14ac:dyDescent="0.2">
      <c r="B46529" s="43"/>
    </row>
    <row r="46530" spans="2:2" ht="12.75" customHeight="1" x14ac:dyDescent="0.2">
      <c r="B46530" s="43"/>
    </row>
    <row r="46531" spans="2:2" ht="12.75" customHeight="1" x14ac:dyDescent="0.2">
      <c r="B46531" s="43"/>
    </row>
    <row r="46532" spans="2:2" ht="12.75" customHeight="1" x14ac:dyDescent="0.2">
      <c r="B46532" s="43"/>
    </row>
    <row r="46533" spans="2:2" ht="12.75" customHeight="1" x14ac:dyDescent="0.2">
      <c r="B46533" s="43"/>
    </row>
    <row r="46534" spans="2:2" ht="12.75" customHeight="1" x14ac:dyDescent="0.2">
      <c r="B46534" s="43"/>
    </row>
    <row r="46535" spans="2:2" ht="12.75" customHeight="1" x14ac:dyDescent="0.2">
      <c r="B46535" s="43"/>
    </row>
    <row r="46536" spans="2:2" ht="12.75" customHeight="1" x14ac:dyDescent="0.2">
      <c r="B46536" s="43"/>
    </row>
    <row r="46537" spans="2:2" ht="12.75" customHeight="1" x14ac:dyDescent="0.2">
      <c r="B46537" s="43"/>
    </row>
    <row r="46538" spans="2:2" ht="12.75" customHeight="1" x14ac:dyDescent="0.2">
      <c r="B46538" s="43"/>
    </row>
    <row r="46539" spans="2:2" ht="12.75" customHeight="1" x14ac:dyDescent="0.2">
      <c r="B46539" s="43"/>
    </row>
    <row r="46540" spans="2:2" ht="12.75" customHeight="1" x14ac:dyDescent="0.2">
      <c r="B46540" s="43"/>
    </row>
    <row r="46541" spans="2:2" ht="12.75" customHeight="1" x14ac:dyDescent="0.2">
      <c r="B46541" s="43"/>
    </row>
    <row r="46542" spans="2:2" ht="12.75" customHeight="1" x14ac:dyDescent="0.2">
      <c r="B46542" s="43"/>
    </row>
    <row r="46543" spans="2:2" ht="12.75" customHeight="1" x14ac:dyDescent="0.2">
      <c r="B46543" s="43"/>
    </row>
    <row r="46544" spans="2:2" ht="12.75" customHeight="1" x14ac:dyDescent="0.2">
      <c r="B46544" s="43"/>
    </row>
    <row r="46545" spans="2:2" ht="12.75" customHeight="1" x14ac:dyDescent="0.2">
      <c r="B46545" s="43"/>
    </row>
    <row r="46546" spans="2:2" ht="12.75" customHeight="1" x14ac:dyDescent="0.2">
      <c r="B46546" s="43"/>
    </row>
    <row r="46547" spans="2:2" ht="12.75" customHeight="1" x14ac:dyDescent="0.2">
      <c r="B46547" s="43"/>
    </row>
    <row r="46548" spans="2:2" ht="12.75" customHeight="1" x14ac:dyDescent="0.2">
      <c r="B46548" s="43"/>
    </row>
    <row r="46549" spans="2:2" ht="12.75" customHeight="1" x14ac:dyDescent="0.2">
      <c r="B46549" s="43"/>
    </row>
    <row r="46550" spans="2:2" ht="12.75" customHeight="1" x14ac:dyDescent="0.2">
      <c r="B46550" s="43"/>
    </row>
    <row r="46551" spans="2:2" ht="12.75" customHeight="1" x14ac:dyDescent="0.2">
      <c r="B46551" s="43"/>
    </row>
    <row r="46552" spans="2:2" ht="12.75" customHeight="1" x14ac:dyDescent="0.2">
      <c r="B46552" s="43"/>
    </row>
    <row r="46553" spans="2:2" ht="12.75" customHeight="1" x14ac:dyDescent="0.2">
      <c r="B46553" s="43"/>
    </row>
    <row r="46554" spans="2:2" ht="12.75" customHeight="1" x14ac:dyDescent="0.2">
      <c r="B46554" s="43"/>
    </row>
    <row r="46555" spans="2:2" ht="12.75" customHeight="1" x14ac:dyDescent="0.2">
      <c r="B46555" s="43"/>
    </row>
    <row r="46556" spans="2:2" ht="12.75" customHeight="1" x14ac:dyDescent="0.2">
      <c r="B46556" s="43"/>
    </row>
    <row r="46557" spans="2:2" ht="12.75" customHeight="1" x14ac:dyDescent="0.2">
      <c r="B46557" s="43"/>
    </row>
    <row r="46558" spans="2:2" ht="12.75" customHeight="1" x14ac:dyDescent="0.2">
      <c r="B46558" s="43"/>
    </row>
    <row r="46559" spans="2:2" ht="12.75" customHeight="1" x14ac:dyDescent="0.2">
      <c r="B46559" s="43"/>
    </row>
    <row r="46560" spans="2:2" ht="12.75" customHeight="1" x14ac:dyDescent="0.2">
      <c r="B46560" s="43"/>
    </row>
    <row r="46561" spans="2:2" ht="12.75" customHeight="1" x14ac:dyDescent="0.2">
      <c r="B46561" s="43"/>
    </row>
    <row r="46562" spans="2:2" ht="12.75" customHeight="1" x14ac:dyDescent="0.2">
      <c r="B46562" s="43"/>
    </row>
    <row r="46563" spans="2:2" ht="12.75" customHeight="1" x14ac:dyDescent="0.2">
      <c r="B46563" s="43"/>
    </row>
    <row r="46564" spans="2:2" ht="12.75" customHeight="1" x14ac:dyDescent="0.2">
      <c r="B46564" s="43"/>
    </row>
    <row r="46565" spans="2:2" ht="12.75" customHeight="1" x14ac:dyDescent="0.2">
      <c r="B46565" s="43"/>
    </row>
    <row r="46566" spans="2:2" ht="12.75" customHeight="1" x14ac:dyDescent="0.2">
      <c r="B46566" s="43"/>
    </row>
    <row r="46567" spans="2:2" ht="12.75" customHeight="1" x14ac:dyDescent="0.2">
      <c r="B46567" s="43"/>
    </row>
    <row r="46568" spans="2:2" ht="12.75" customHeight="1" x14ac:dyDescent="0.2">
      <c r="B46568" s="43"/>
    </row>
    <row r="46569" spans="2:2" ht="12.75" customHeight="1" x14ac:dyDescent="0.2">
      <c r="B46569" s="43"/>
    </row>
    <row r="46570" spans="2:2" ht="12.75" customHeight="1" x14ac:dyDescent="0.2">
      <c r="B46570" s="43"/>
    </row>
    <row r="46571" spans="2:2" ht="12.75" customHeight="1" x14ac:dyDescent="0.2">
      <c r="B46571" s="43"/>
    </row>
    <row r="46572" spans="2:2" ht="12.75" customHeight="1" x14ac:dyDescent="0.2">
      <c r="B46572" s="43"/>
    </row>
    <row r="46573" spans="2:2" ht="12.75" customHeight="1" x14ac:dyDescent="0.2">
      <c r="B46573" s="43"/>
    </row>
    <row r="46574" spans="2:2" ht="12.75" customHeight="1" x14ac:dyDescent="0.2">
      <c r="B46574" s="43"/>
    </row>
    <row r="46575" spans="2:2" ht="12.75" customHeight="1" x14ac:dyDescent="0.2">
      <c r="B46575" s="43"/>
    </row>
    <row r="46576" spans="2:2" ht="12.75" customHeight="1" x14ac:dyDescent="0.2">
      <c r="B46576" s="43"/>
    </row>
    <row r="46577" spans="2:2" ht="12.75" customHeight="1" x14ac:dyDescent="0.2">
      <c r="B46577" s="43"/>
    </row>
    <row r="46578" spans="2:2" ht="12.75" customHeight="1" x14ac:dyDescent="0.2">
      <c r="B46578" s="43"/>
    </row>
    <row r="46579" spans="2:2" ht="12.75" customHeight="1" x14ac:dyDescent="0.2">
      <c r="B46579" s="43"/>
    </row>
    <row r="46580" spans="2:2" ht="12.75" customHeight="1" x14ac:dyDescent="0.2">
      <c r="B46580" s="43"/>
    </row>
    <row r="46581" spans="2:2" ht="12.75" customHeight="1" x14ac:dyDescent="0.2">
      <c r="B46581" s="43"/>
    </row>
    <row r="46582" spans="2:2" ht="12.75" customHeight="1" x14ac:dyDescent="0.2">
      <c r="B46582" s="43"/>
    </row>
    <row r="46583" spans="2:2" ht="12.75" customHeight="1" x14ac:dyDescent="0.2">
      <c r="B46583" s="43"/>
    </row>
    <row r="46584" spans="2:2" ht="12.75" customHeight="1" x14ac:dyDescent="0.2">
      <c r="B46584" s="43"/>
    </row>
    <row r="46585" spans="2:2" ht="12.75" customHeight="1" x14ac:dyDescent="0.2">
      <c r="B46585" s="43"/>
    </row>
    <row r="46586" spans="2:2" ht="12.75" customHeight="1" x14ac:dyDescent="0.2">
      <c r="B46586" s="43"/>
    </row>
    <row r="46587" spans="2:2" ht="12.75" customHeight="1" x14ac:dyDescent="0.2">
      <c r="B46587" s="43"/>
    </row>
    <row r="46588" spans="2:2" ht="12.75" customHeight="1" x14ac:dyDescent="0.2">
      <c r="B46588" s="43"/>
    </row>
    <row r="46589" spans="2:2" ht="12.75" customHeight="1" x14ac:dyDescent="0.2">
      <c r="B46589" s="43"/>
    </row>
    <row r="46590" spans="2:2" ht="12.75" customHeight="1" x14ac:dyDescent="0.2">
      <c r="B46590" s="43"/>
    </row>
    <row r="46591" spans="2:2" ht="12.75" customHeight="1" x14ac:dyDescent="0.2">
      <c r="B46591" s="43"/>
    </row>
    <row r="46592" spans="2:2" ht="12.75" customHeight="1" x14ac:dyDescent="0.2">
      <c r="B46592" s="43"/>
    </row>
    <row r="46593" spans="2:2" ht="12.75" customHeight="1" x14ac:dyDescent="0.2">
      <c r="B46593" s="43"/>
    </row>
    <row r="46594" spans="2:2" ht="12.75" customHeight="1" x14ac:dyDescent="0.2">
      <c r="B46594" s="43"/>
    </row>
    <row r="46595" spans="2:2" ht="12.75" customHeight="1" x14ac:dyDescent="0.2">
      <c r="B46595" s="43"/>
    </row>
    <row r="46596" spans="2:2" ht="12.75" customHeight="1" x14ac:dyDescent="0.2">
      <c r="B46596" s="43"/>
    </row>
    <row r="46597" spans="2:2" ht="12.75" customHeight="1" x14ac:dyDescent="0.2">
      <c r="B46597" s="43"/>
    </row>
    <row r="46598" spans="2:2" ht="12.75" customHeight="1" x14ac:dyDescent="0.2">
      <c r="B46598" s="43"/>
    </row>
    <row r="46599" spans="2:2" ht="12.75" customHeight="1" x14ac:dyDescent="0.2">
      <c r="B46599" s="43"/>
    </row>
    <row r="46600" spans="2:2" ht="12.75" customHeight="1" x14ac:dyDescent="0.2">
      <c r="B46600" s="43"/>
    </row>
    <row r="46601" spans="2:2" ht="12.75" customHeight="1" x14ac:dyDescent="0.2">
      <c r="B46601" s="43"/>
    </row>
    <row r="46602" spans="2:2" ht="12.75" customHeight="1" x14ac:dyDescent="0.2">
      <c r="B46602" s="43"/>
    </row>
    <row r="46603" spans="2:2" ht="12.75" customHeight="1" x14ac:dyDescent="0.2">
      <c r="B46603" s="43"/>
    </row>
    <row r="46604" spans="2:2" ht="12.75" customHeight="1" x14ac:dyDescent="0.2">
      <c r="B46604" s="43"/>
    </row>
    <row r="46605" spans="2:2" ht="12.75" customHeight="1" x14ac:dyDescent="0.2">
      <c r="B46605" s="43"/>
    </row>
    <row r="46606" spans="2:2" ht="12.75" customHeight="1" x14ac:dyDescent="0.2">
      <c r="B46606" s="43"/>
    </row>
    <row r="46607" spans="2:2" ht="12.75" customHeight="1" x14ac:dyDescent="0.2">
      <c r="B46607" s="43"/>
    </row>
    <row r="46608" spans="2:2" ht="12.75" customHeight="1" x14ac:dyDescent="0.2">
      <c r="B46608" s="43"/>
    </row>
    <row r="46609" spans="2:2" ht="12.75" customHeight="1" x14ac:dyDescent="0.2">
      <c r="B46609" s="43"/>
    </row>
    <row r="46610" spans="2:2" ht="12.75" customHeight="1" x14ac:dyDescent="0.2">
      <c r="B46610" s="43"/>
    </row>
    <row r="46611" spans="2:2" ht="12.75" customHeight="1" x14ac:dyDescent="0.2">
      <c r="B46611" s="43"/>
    </row>
    <row r="46612" spans="2:2" ht="12.75" customHeight="1" x14ac:dyDescent="0.2">
      <c r="B46612" s="43"/>
    </row>
    <row r="46613" spans="2:2" ht="12.75" customHeight="1" x14ac:dyDescent="0.2">
      <c r="B46613" s="43"/>
    </row>
    <row r="46614" spans="2:2" ht="12.75" customHeight="1" x14ac:dyDescent="0.2">
      <c r="B46614" s="43"/>
    </row>
    <row r="46615" spans="2:2" ht="12.75" customHeight="1" x14ac:dyDescent="0.2">
      <c r="B46615" s="43"/>
    </row>
    <row r="46616" spans="2:2" ht="12.75" customHeight="1" x14ac:dyDescent="0.2">
      <c r="B46616" s="43"/>
    </row>
    <row r="46617" spans="2:2" ht="12.75" customHeight="1" x14ac:dyDescent="0.2">
      <c r="B46617" s="43"/>
    </row>
    <row r="46618" spans="2:2" ht="12.75" customHeight="1" x14ac:dyDescent="0.2">
      <c r="B46618" s="43"/>
    </row>
    <row r="46619" spans="2:2" ht="12.75" customHeight="1" x14ac:dyDescent="0.2">
      <c r="B46619" s="43"/>
    </row>
    <row r="46620" spans="2:2" ht="12.75" customHeight="1" x14ac:dyDescent="0.2">
      <c r="B46620" s="43"/>
    </row>
    <row r="46621" spans="2:2" ht="12.75" customHeight="1" x14ac:dyDescent="0.2">
      <c r="B46621" s="43"/>
    </row>
    <row r="46622" spans="2:2" ht="12.75" customHeight="1" x14ac:dyDescent="0.2">
      <c r="B46622" s="43"/>
    </row>
    <row r="46623" spans="2:2" ht="12.75" customHeight="1" x14ac:dyDescent="0.2">
      <c r="B46623" s="43"/>
    </row>
    <row r="46624" spans="2:2" ht="12.75" customHeight="1" x14ac:dyDescent="0.2">
      <c r="B46624" s="43"/>
    </row>
    <row r="46625" spans="2:2" ht="12.75" customHeight="1" x14ac:dyDescent="0.2">
      <c r="B46625" s="43"/>
    </row>
    <row r="46626" spans="2:2" ht="12.75" customHeight="1" x14ac:dyDescent="0.2">
      <c r="B46626" s="43"/>
    </row>
    <row r="46627" spans="2:2" ht="12.75" customHeight="1" x14ac:dyDescent="0.2">
      <c r="B46627" s="43"/>
    </row>
    <row r="46628" spans="2:2" ht="12.75" customHeight="1" x14ac:dyDescent="0.2">
      <c r="B46628" s="43"/>
    </row>
    <row r="46629" spans="2:2" ht="12.75" customHeight="1" x14ac:dyDescent="0.2">
      <c r="B46629" s="43"/>
    </row>
    <row r="46630" spans="2:2" ht="12.75" customHeight="1" x14ac:dyDescent="0.2">
      <c r="B46630" s="43"/>
    </row>
    <row r="46631" spans="2:2" ht="12.75" customHeight="1" x14ac:dyDescent="0.2">
      <c r="B46631" s="43"/>
    </row>
    <row r="46632" spans="2:2" ht="12.75" customHeight="1" x14ac:dyDescent="0.2">
      <c r="B46632" s="43"/>
    </row>
    <row r="46633" spans="2:2" ht="12.75" customHeight="1" x14ac:dyDescent="0.2">
      <c r="B46633" s="43"/>
    </row>
    <row r="46634" spans="2:2" ht="12.75" customHeight="1" x14ac:dyDescent="0.2">
      <c r="B46634" s="43"/>
    </row>
    <row r="46635" spans="2:2" ht="12.75" customHeight="1" x14ac:dyDescent="0.2">
      <c r="B46635" s="43"/>
    </row>
    <row r="46636" spans="2:2" ht="12.75" customHeight="1" x14ac:dyDescent="0.2">
      <c r="B46636" s="43"/>
    </row>
    <row r="46637" spans="2:2" ht="12.75" customHeight="1" x14ac:dyDescent="0.2">
      <c r="B46637" s="43"/>
    </row>
    <row r="46638" spans="2:2" ht="12.75" customHeight="1" x14ac:dyDescent="0.2">
      <c r="B46638" s="43"/>
    </row>
    <row r="46639" spans="2:2" ht="12.75" customHeight="1" x14ac:dyDescent="0.2">
      <c r="B46639" s="43"/>
    </row>
    <row r="46640" spans="2:2" ht="12.75" customHeight="1" x14ac:dyDescent="0.2">
      <c r="B46640" s="43"/>
    </row>
    <row r="46641" spans="2:2" ht="12.75" customHeight="1" x14ac:dyDescent="0.2">
      <c r="B46641" s="43"/>
    </row>
    <row r="46642" spans="2:2" ht="12.75" customHeight="1" x14ac:dyDescent="0.2">
      <c r="B46642" s="43"/>
    </row>
    <row r="46643" spans="2:2" ht="12.75" customHeight="1" x14ac:dyDescent="0.2">
      <c r="B46643" s="43"/>
    </row>
    <row r="46644" spans="2:2" ht="12.75" customHeight="1" x14ac:dyDescent="0.2">
      <c r="B46644" s="43"/>
    </row>
    <row r="46645" spans="2:2" ht="12.75" customHeight="1" x14ac:dyDescent="0.2">
      <c r="B46645" s="43"/>
    </row>
    <row r="46646" spans="2:2" ht="12.75" customHeight="1" x14ac:dyDescent="0.2">
      <c r="B46646" s="43"/>
    </row>
    <row r="46647" spans="2:2" ht="12.75" customHeight="1" x14ac:dyDescent="0.2">
      <c r="B46647" s="43"/>
    </row>
    <row r="46648" spans="2:2" ht="12.75" customHeight="1" x14ac:dyDescent="0.2">
      <c r="B46648" s="43"/>
    </row>
    <row r="46649" spans="2:2" ht="12.75" customHeight="1" x14ac:dyDescent="0.2">
      <c r="B46649" s="43"/>
    </row>
    <row r="46650" spans="2:2" ht="12.75" customHeight="1" x14ac:dyDescent="0.2">
      <c r="B46650" s="43"/>
    </row>
    <row r="46651" spans="2:2" ht="12.75" customHeight="1" x14ac:dyDescent="0.2">
      <c r="B46651" s="43"/>
    </row>
    <row r="46652" spans="2:2" ht="12.75" customHeight="1" x14ac:dyDescent="0.2">
      <c r="B46652" s="43"/>
    </row>
    <row r="46653" spans="2:2" ht="12.75" customHeight="1" x14ac:dyDescent="0.2">
      <c r="B46653" s="43"/>
    </row>
    <row r="46654" spans="2:2" ht="12.75" customHeight="1" x14ac:dyDescent="0.2">
      <c r="B46654" s="43"/>
    </row>
    <row r="46655" spans="2:2" ht="12.75" customHeight="1" x14ac:dyDescent="0.2">
      <c r="B46655" s="43"/>
    </row>
    <row r="46656" spans="2:2" ht="12.75" customHeight="1" x14ac:dyDescent="0.2">
      <c r="B46656" s="43"/>
    </row>
    <row r="46657" spans="2:2" ht="12.75" customHeight="1" x14ac:dyDescent="0.2">
      <c r="B46657" s="43"/>
    </row>
    <row r="46658" spans="2:2" ht="12.75" customHeight="1" x14ac:dyDescent="0.2">
      <c r="B46658" s="43"/>
    </row>
    <row r="46659" spans="2:2" ht="12.75" customHeight="1" x14ac:dyDescent="0.2">
      <c r="B46659" s="43"/>
    </row>
    <row r="46660" spans="2:2" ht="12.75" customHeight="1" x14ac:dyDescent="0.2">
      <c r="B46660" s="43"/>
    </row>
    <row r="46661" spans="2:2" ht="12.75" customHeight="1" x14ac:dyDescent="0.2">
      <c r="B46661" s="43"/>
    </row>
    <row r="46662" spans="2:2" ht="12.75" customHeight="1" x14ac:dyDescent="0.2">
      <c r="B46662" s="43"/>
    </row>
    <row r="46663" spans="2:2" ht="12.75" customHeight="1" x14ac:dyDescent="0.2">
      <c r="B46663" s="43"/>
    </row>
    <row r="46664" spans="2:2" ht="12.75" customHeight="1" x14ac:dyDescent="0.2">
      <c r="B46664" s="43"/>
    </row>
    <row r="46665" spans="2:2" ht="12.75" customHeight="1" x14ac:dyDescent="0.2">
      <c r="B46665" s="43"/>
    </row>
    <row r="46666" spans="2:2" ht="12.75" customHeight="1" x14ac:dyDescent="0.2">
      <c r="B46666" s="43"/>
    </row>
    <row r="46667" spans="2:2" ht="12.75" customHeight="1" x14ac:dyDescent="0.2">
      <c r="B46667" s="43"/>
    </row>
    <row r="46668" spans="2:2" ht="12.75" customHeight="1" x14ac:dyDescent="0.2">
      <c r="B46668" s="43"/>
    </row>
    <row r="46669" spans="2:2" ht="12.75" customHeight="1" x14ac:dyDescent="0.2">
      <c r="B46669" s="43"/>
    </row>
    <row r="46670" spans="2:2" ht="12.75" customHeight="1" x14ac:dyDescent="0.2">
      <c r="B46670" s="43"/>
    </row>
    <row r="46671" spans="2:2" ht="12.75" customHeight="1" x14ac:dyDescent="0.2">
      <c r="B46671" s="43"/>
    </row>
    <row r="46672" spans="2:2" ht="12.75" customHeight="1" x14ac:dyDescent="0.2">
      <c r="B46672" s="43"/>
    </row>
    <row r="46673" spans="2:2" ht="12.75" customHeight="1" x14ac:dyDescent="0.2">
      <c r="B46673" s="43"/>
    </row>
    <row r="46674" spans="2:2" ht="12.75" customHeight="1" x14ac:dyDescent="0.2">
      <c r="B46674" s="43"/>
    </row>
    <row r="46675" spans="2:2" ht="12.75" customHeight="1" x14ac:dyDescent="0.2">
      <c r="B46675" s="43"/>
    </row>
    <row r="46676" spans="2:2" ht="12.75" customHeight="1" x14ac:dyDescent="0.2">
      <c r="B46676" s="43"/>
    </row>
    <row r="46677" spans="2:2" ht="12.75" customHeight="1" x14ac:dyDescent="0.2">
      <c r="B46677" s="43"/>
    </row>
    <row r="46678" spans="2:2" ht="12.75" customHeight="1" x14ac:dyDescent="0.2">
      <c r="B46678" s="43"/>
    </row>
    <row r="46679" spans="2:2" ht="12.75" customHeight="1" x14ac:dyDescent="0.2">
      <c r="B46679" s="43"/>
    </row>
    <row r="46680" spans="2:2" ht="12.75" customHeight="1" x14ac:dyDescent="0.2">
      <c r="B46680" s="43"/>
    </row>
    <row r="46681" spans="2:2" ht="12.75" customHeight="1" x14ac:dyDescent="0.2">
      <c r="B46681" s="43"/>
    </row>
    <row r="46682" spans="2:2" ht="12.75" customHeight="1" x14ac:dyDescent="0.2">
      <c r="B46682" s="43"/>
    </row>
    <row r="46683" spans="2:2" ht="12.75" customHeight="1" x14ac:dyDescent="0.2">
      <c r="B46683" s="43"/>
    </row>
    <row r="46684" spans="2:2" ht="12.75" customHeight="1" x14ac:dyDescent="0.2">
      <c r="B46684" s="43"/>
    </row>
    <row r="46685" spans="2:2" ht="12.75" customHeight="1" x14ac:dyDescent="0.2">
      <c r="B46685" s="43"/>
    </row>
    <row r="46686" spans="2:2" ht="12.75" customHeight="1" x14ac:dyDescent="0.2">
      <c r="B46686" s="43"/>
    </row>
    <row r="46687" spans="2:2" ht="12.75" customHeight="1" x14ac:dyDescent="0.2">
      <c r="B46687" s="43"/>
    </row>
    <row r="46688" spans="2:2" ht="12.75" customHeight="1" x14ac:dyDescent="0.2">
      <c r="B46688" s="43"/>
    </row>
    <row r="46689" spans="2:2" ht="12.75" customHeight="1" x14ac:dyDescent="0.2">
      <c r="B46689" s="43"/>
    </row>
    <row r="46690" spans="2:2" ht="12.75" customHeight="1" x14ac:dyDescent="0.2">
      <c r="B46690" s="43"/>
    </row>
    <row r="46691" spans="2:2" ht="12.75" customHeight="1" x14ac:dyDescent="0.2">
      <c r="B46691" s="43"/>
    </row>
    <row r="46692" spans="2:2" ht="12.75" customHeight="1" x14ac:dyDescent="0.2">
      <c r="B46692" s="43"/>
    </row>
    <row r="46693" spans="2:2" ht="12.75" customHeight="1" x14ac:dyDescent="0.2">
      <c r="B46693" s="43"/>
    </row>
    <row r="46694" spans="2:2" ht="12.75" customHeight="1" x14ac:dyDescent="0.2">
      <c r="B46694" s="43"/>
    </row>
    <row r="46695" spans="2:2" ht="12.75" customHeight="1" x14ac:dyDescent="0.2">
      <c r="B46695" s="43"/>
    </row>
    <row r="46696" spans="2:2" ht="12.75" customHeight="1" x14ac:dyDescent="0.2">
      <c r="B46696" s="43"/>
    </row>
    <row r="46697" spans="2:2" ht="12.75" customHeight="1" x14ac:dyDescent="0.2">
      <c r="B46697" s="43"/>
    </row>
    <row r="46698" spans="2:2" ht="12.75" customHeight="1" x14ac:dyDescent="0.2">
      <c r="B46698" s="43"/>
    </row>
    <row r="46699" spans="2:2" ht="12.75" customHeight="1" x14ac:dyDescent="0.2">
      <c r="B46699" s="43"/>
    </row>
    <row r="46700" spans="2:2" ht="12.75" customHeight="1" x14ac:dyDescent="0.2">
      <c r="B46700" s="43"/>
    </row>
    <row r="46701" spans="2:2" ht="12.75" customHeight="1" x14ac:dyDescent="0.2">
      <c r="B46701" s="43"/>
    </row>
    <row r="46702" spans="2:2" ht="12.75" customHeight="1" x14ac:dyDescent="0.2">
      <c r="B46702" s="43"/>
    </row>
    <row r="46703" spans="2:2" ht="12.75" customHeight="1" x14ac:dyDescent="0.2">
      <c r="B46703" s="43"/>
    </row>
    <row r="46704" spans="2:2" ht="12.75" customHeight="1" x14ac:dyDescent="0.2">
      <c r="B46704" s="43"/>
    </row>
    <row r="46705" spans="2:2" ht="12.75" customHeight="1" x14ac:dyDescent="0.2">
      <c r="B46705" s="43"/>
    </row>
    <row r="46706" spans="2:2" ht="12.75" customHeight="1" x14ac:dyDescent="0.2">
      <c r="B46706" s="43"/>
    </row>
    <row r="46707" spans="2:2" ht="12.75" customHeight="1" x14ac:dyDescent="0.2">
      <c r="B46707" s="43"/>
    </row>
    <row r="46708" spans="2:2" ht="12.75" customHeight="1" x14ac:dyDescent="0.2">
      <c r="B46708" s="43"/>
    </row>
    <row r="46709" spans="2:2" ht="12.75" customHeight="1" x14ac:dyDescent="0.2">
      <c r="B46709" s="43"/>
    </row>
    <row r="46710" spans="2:2" ht="12.75" customHeight="1" x14ac:dyDescent="0.2">
      <c r="B46710" s="43"/>
    </row>
    <row r="46711" spans="2:2" ht="12.75" customHeight="1" x14ac:dyDescent="0.2">
      <c r="B46711" s="43"/>
    </row>
    <row r="46712" spans="2:2" ht="12.75" customHeight="1" x14ac:dyDescent="0.2">
      <c r="B46712" s="43"/>
    </row>
    <row r="46713" spans="2:2" ht="12.75" customHeight="1" x14ac:dyDescent="0.2">
      <c r="B46713" s="43"/>
    </row>
    <row r="46714" spans="2:2" ht="12.75" customHeight="1" x14ac:dyDescent="0.2">
      <c r="B46714" s="43"/>
    </row>
    <row r="46715" spans="2:2" ht="12.75" customHeight="1" x14ac:dyDescent="0.2">
      <c r="B46715" s="43"/>
    </row>
    <row r="46716" spans="2:2" ht="12.75" customHeight="1" x14ac:dyDescent="0.2">
      <c r="B46716" s="43"/>
    </row>
    <row r="46717" spans="2:2" ht="12.75" customHeight="1" x14ac:dyDescent="0.2">
      <c r="B46717" s="43"/>
    </row>
    <row r="46718" spans="2:2" ht="12.75" customHeight="1" x14ac:dyDescent="0.2">
      <c r="B46718" s="43"/>
    </row>
    <row r="46719" spans="2:2" ht="12.75" customHeight="1" x14ac:dyDescent="0.2">
      <c r="B46719" s="43"/>
    </row>
    <row r="46720" spans="2:2" ht="12.75" customHeight="1" x14ac:dyDescent="0.2">
      <c r="B46720" s="43"/>
    </row>
    <row r="46721" spans="2:2" ht="12.75" customHeight="1" x14ac:dyDescent="0.2">
      <c r="B46721" s="43"/>
    </row>
    <row r="46722" spans="2:2" ht="12.75" customHeight="1" x14ac:dyDescent="0.2">
      <c r="B46722" s="43"/>
    </row>
    <row r="46723" spans="2:2" ht="12.75" customHeight="1" x14ac:dyDescent="0.2">
      <c r="B46723" s="43"/>
    </row>
    <row r="46724" spans="2:2" ht="12.75" customHeight="1" x14ac:dyDescent="0.2">
      <c r="B46724" s="43"/>
    </row>
    <row r="46725" spans="2:2" ht="12.75" customHeight="1" x14ac:dyDescent="0.2">
      <c r="B46725" s="43"/>
    </row>
    <row r="46726" spans="2:2" ht="12.75" customHeight="1" x14ac:dyDescent="0.2">
      <c r="B46726" s="43"/>
    </row>
    <row r="46727" spans="2:2" ht="12.75" customHeight="1" x14ac:dyDescent="0.2">
      <c r="B46727" s="43"/>
    </row>
    <row r="46728" spans="2:2" ht="12.75" customHeight="1" x14ac:dyDescent="0.2">
      <c r="B46728" s="43"/>
    </row>
    <row r="46729" spans="2:2" ht="12.75" customHeight="1" x14ac:dyDescent="0.2">
      <c r="B46729" s="43"/>
    </row>
    <row r="46730" spans="2:2" ht="12.75" customHeight="1" x14ac:dyDescent="0.2">
      <c r="B46730" s="43"/>
    </row>
    <row r="46731" spans="2:2" ht="12.75" customHeight="1" x14ac:dyDescent="0.2">
      <c r="B46731" s="43"/>
    </row>
    <row r="46732" spans="2:2" ht="12.75" customHeight="1" x14ac:dyDescent="0.2">
      <c r="B46732" s="43"/>
    </row>
    <row r="46733" spans="2:2" ht="12.75" customHeight="1" x14ac:dyDescent="0.2">
      <c r="B46733" s="43"/>
    </row>
    <row r="46734" spans="2:2" ht="12.75" customHeight="1" x14ac:dyDescent="0.2">
      <c r="B46734" s="43"/>
    </row>
    <row r="46735" spans="2:2" ht="12.75" customHeight="1" x14ac:dyDescent="0.2">
      <c r="B46735" s="43"/>
    </row>
    <row r="46736" spans="2:2" ht="12.75" customHeight="1" x14ac:dyDescent="0.2">
      <c r="B46736" s="43"/>
    </row>
    <row r="46737" spans="2:2" ht="12.75" customHeight="1" x14ac:dyDescent="0.2">
      <c r="B46737" s="43"/>
    </row>
    <row r="46738" spans="2:2" ht="12.75" customHeight="1" x14ac:dyDescent="0.2">
      <c r="B46738" s="43"/>
    </row>
    <row r="46739" spans="2:2" ht="12.75" customHeight="1" x14ac:dyDescent="0.2">
      <c r="B46739" s="43"/>
    </row>
    <row r="46740" spans="2:2" ht="12.75" customHeight="1" x14ac:dyDescent="0.2">
      <c r="B46740" s="43"/>
    </row>
    <row r="46741" spans="2:2" ht="12.75" customHeight="1" x14ac:dyDescent="0.2">
      <c r="B46741" s="43"/>
    </row>
    <row r="46742" spans="2:2" ht="12.75" customHeight="1" x14ac:dyDescent="0.2">
      <c r="B46742" s="43"/>
    </row>
    <row r="46743" spans="2:2" ht="12.75" customHeight="1" x14ac:dyDescent="0.2">
      <c r="B46743" s="43"/>
    </row>
    <row r="46744" spans="2:2" ht="12.75" customHeight="1" x14ac:dyDescent="0.2">
      <c r="B46744" s="43"/>
    </row>
    <row r="46745" spans="2:2" ht="12.75" customHeight="1" x14ac:dyDescent="0.2">
      <c r="B46745" s="43"/>
    </row>
    <row r="46746" spans="2:2" ht="12.75" customHeight="1" x14ac:dyDescent="0.2">
      <c r="B46746" s="43"/>
    </row>
    <row r="46747" spans="2:2" ht="12.75" customHeight="1" x14ac:dyDescent="0.2">
      <c r="B46747" s="43"/>
    </row>
    <row r="46748" spans="2:2" ht="12.75" customHeight="1" x14ac:dyDescent="0.2">
      <c r="B46748" s="43"/>
    </row>
    <row r="46749" spans="2:2" ht="12.75" customHeight="1" x14ac:dyDescent="0.2">
      <c r="B46749" s="43"/>
    </row>
    <row r="46750" spans="2:2" ht="12.75" customHeight="1" x14ac:dyDescent="0.2">
      <c r="B46750" s="43"/>
    </row>
    <row r="46751" spans="2:2" ht="12.75" customHeight="1" x14ac:dyDescent="0.2">
      <c r="B46751" s="43"/>
    </row>
    <row r="46752" spans="2:2" ht="12.75" customHeight="1" x14ac:dyDescent="0.2">
      <c r="B46752" s="43"/>
    </row>
    <row r="46753" spans="2:2" ht="12.75" customHeight="1" x14ac:dyDescent="0.2">
      <c r="B46753" s="43"/>
    </row>
    <row r="46754" spans="2:2" ht="12.75" customHeight="1" x14ac:dyDescent="0.2">
      <c r="B46754" s="43"/>
    </row>
    <row r="46755" spans="2:2" ht="12.75" customHeight="1" x14ac:dyDescent="0.2">
      <c r="B46755" s="43"/>
    </row>
    <row r="46756" spans="2:2" ht="12.75" customHeight="1" x14ac:dyDescent="0.2">
      <c r="B46756" s="43"/>
    </row>
    <row r="46757" spans="2:2" ht="12.75" customHeight="1" x14ac:dyDescent="0.2">
      <c r="B46757" s="43"/>
    </row>
    <row r="46758" spans="2:2" ht="12.75" customHeight="1" x14ac:dyDescent="0.2">
      <c r="B46758" s="43"/>
    </row>
    <row r="46759" spans="2:2" ht="12.75" customHeight="1" x14ac:dyDescent="0.2">
      <c r="B46759" s="43"/>
    </row>
    <row r="46760" spans="2:2" ht="12.75" customHeight="1" x14ac:dyDescent="0.2">
      <c r="B46760" s="43"/>
    </row>
    <row r="46761" spans="2:2" ht="12.75" customHeight="1" x14ac:dyDescent="0.2">
      <c r="B46761" s="43"/>
    </row>
    <row r="46762" spans="2:2" ht="12.75" customHeight="1" x14ac:dyDescent="0.2">
      <c r="B46762" s="43"/>
    </row>
    <row r="46763" spans="2:2" ht="12.75" customHeight="1" x14ac:dyDescent="0.2">
      <c r="B46763" s="43"/>
    </row>
    <row r="46764" spans="2:2" ht="12.75" customHeight="1" x14ac:dyDescent="0.2">
      <c r="B46764" s="43"/>
    </row>
    <row r="46765" spans="2:2" ht="12.75" customHeight="1" x14ac:dyDescent="0.2">
      <c r="B46765" s="43"/>
    </row>
    <row r="46766" spans="2:2" ht="12.75" customHeight="1" x14ac:dyDescent="0.2">
      <c r="B46766" s="43"/>
    </row>
    <row r="46767" spans="2:2" ht="12.75" customHeight="1" x14ac:dyDescent="0.2">
      <c r="B46767" s="43"/>
    </row>
    <row r="46768" spans="2:2" ht="12.75" customHeight="1" x14ac:dyDescent="0.2">
      <c r="B46768" s="43"/>
    </row>
    <row r="46769" spans="2:2" ht="12.75" customHeight="1" x14ac:dyDescent="0.2">
      <c r="B46769" s="43"/>
    </row>
    <row r="46770" spans="2:2" ht="12.75" customHeight="1" x14ac:dyDescent="0.2">
      <c r="B46770" s="43"/>
    </row>
    <row r="46771" spans="2:2" ht="12.75" customHeight="1" x14ac:dyDescent="0.2">
      <c r="B46771" s="43"/>
    </row>
    <row r="46772" spans="2:2" ht="12.75" customHeight="1" x14ac:dyDescent="0.2">
      <c r="B46772" s="43"/>
    </row>
    <row r="46773" spans="2:2" ht="12.75" customHeight="1" x14ac:dyDescent="0.2">
      <c r="B46773" s="43"/>
    </row>
    <row r="46774" spans="2:2" ht="12.75" customHeight="1" x14ac:dyDescent="0.2">
      <c r="B46774" s="43"/>
    </row>
    <row r="46775" spans="2:2" ht="12.75" customHeight="1" x14ac:dyDescent="0.2">
      <c r="B46775" s="43"/>
    </row>
    <row r="46776" spans="2:2" ht="12.75" customHeight="1" x14ac:dyDescent="0.2">
      <c r="B46776" s="43"/>
    </row>
    <row r="46777" spans="2:2" ht="12.75" customHeight="1" x14ac:dyDescent="0.2">
      <c r="B46777" s="43"/>
    </row>
    <row r="46778" spans="2:2" ht="12.75" customHeight="1" x14ac:dyDescent="0.2">
      <c r="B46778" s="43"/>
    </row>
    <row r="46779" spans="2:2" ht="12.75" customHeight="1" x14ac:dyDescent="0.2">
      <c r="B46779" s="43"/>
    </row>
    <row r="46780" spans="2:2" ht="12.75" customHeight="1" x14ac:dyDescent="0.2">
      <c r="B46780" s="43"/>
    </row>
    <row r="46781" spans="2:2" ht="12.75" customHeight="1" x14ac:dyDescent="0.2">
      <c r="B46781" s="43"/>
    </row>
    <row r="46782" spans="2:2" ht="12.75" customHeight="1" x14ac:dyDescent="0.2">
      <c r="B46782" s="43"/>
    </row>
    <row r="46783" spans="2:2" ht="12.75" customHeight="1" x14ac:dyDescent="0.2">
      <c r="B46783" s="43"/>
    </row>
    <row r="46784" spans="2:2" ht="12.75" customHeight="1" x14ac:dyDescent="0.2">
      <c r="B46784" s="43"/>
    </row>
    <row r="46785" spans="2:2" ht="12.75" customHeight="1" x14ac:dyDescent="0.2">
      <c r="B46785" s="43"/>
    </row>
    <row r="46786" spans="2:2" ht="12.75" customHeight="1" x14ac:dyDescent="0.2">
      <c r="B46786" s="43"/>
    </row>
    <row r="46787" spans="2:2" ht="12.75" customHeight="1" x14ac:dyDescent="0.2">
      <c r="B46787" s="43"/>
    </row>
    <row r="46788" spans="2:2" ht="12.75" customHeight="1" x14ac:dyDescent="0.2">
      <c r="B46788" s="43"/>
    </row>
    <row r="46789" spans="2:2" ht="12.75" customHeight="1" x14ac:dyDescent="0.2">
      <c r="B46789" s="43"/>
    </row>
    <row r="46790" spans="2:2" ht="12.75" customHeight="1" x14ac:dyDescent="0.2">
      <c r="B46790" s="43"/>
    </row>
    <row r="46791" spans="2:2" ht="12.75" customHeight="1" x14ac:dyDescent="0.2">
      <c r="B46791" s="43"/>
    </row>
    <row r="46792" spans="2:2" ht="12.75" customHeight="1" x14ac:dyDescent="0.2">
      <c r="B46792" s="43"/>
    </row>
    <row r="46793" spans="2:2" ht="12.75" customHeight="1" x14ac:dyDescent="0.2">
      <c r="B46793" s="43"/>
    </row>
    <row r="46794" spans="2:2" ht="12.75" customHeight="1" x14ac:dyDescent="0.2">
      <c r="B46794" s="43"/>
    </row>
    <row r="46795" spans="2:2" ht="12.75" customHeight="1" x14ac:dyDescent="0.2">
      <c r="B46795" s="43"/>
    </row>
    <row r="46796" spans="2:2" ht="12.75" customHeight="1" x14ac:dyDescent="0.2">
      <c r="B46796" s="43"/>
    </row>
    <row r="46797" spans="2:2" ht="12.75" customHeight="1" x14ac:dyDescent="0.2">
      <c r="B46797" s="43"/>
    </row>
    <row r="46798" spans="2:2" ht="12.75" customHeight="1" x14ac:dyDescent="0.2">
      <c r="B46798" s="43"/>
    </row>
    <row r="46799" spans="2:2" ht="12.75" customHeight="1" x14ac:dyDescent="0.2">
      <c r="B46799" s="43"/>
    </row>
    <row r="46800" spans="2:2" ht="12.75" customHeight="1" x14ac:dyDescent="0.2">
      <c r="B46800" s="43"/>
    </row>
    <row r="46801" spans="2:2" ht="12.75" customHeight="1" x14ac:dyDescent="0.2">
      <c r="B46801" s="43"/>
    </row>
    <row r="46802" spans="2:2" ht="12.75" customHeight="1" x14ac:dyDescent="0.2">
      <c r="B46802" s="43"/>
    </row>
    <row r="46803" spans="2:2" ht="12.75" customHeight="1" x14ac:dyDescent="0.2">
      <c r="B46803" s="43"/>
    </row>
    <row r="46804" spans="2:2" ht="12.75" customHeight="1" x14ac:dyDescent="0.2">
      <c r="B46804" s="43"/>
    </row>
    <row r="46805" spans="2:2" ht="12.75" customHeight="1" x14ac:dyDescent="0.2">
      <c r="B46805" s="43"/>
    </row>
    <row r="46806" spans="2:2" ht="12.75" customHeight="1" x14ac:dyDescent="0.2">
      <c r="B46806" s="43"/>
    </row>
    <row r="46807" spans="2:2" ht="12.75" customHeight="1" x14ac:dyDescent="0.2">
      <c r="B46807" s="43"/>
    </row>
    <row r="46808" spans="2:2" ht="12.75" customHeight="1" x14ac:dyDescent="0.2">
      <c r="B46808" s="43"/>
    </row>
    <row r="46809" spans="2:2" ht="12.75" customHeight="1" x14ac:dyDescent="0.2">
      <c r="B46809" s="43"/>
    </row>
    <row r="46810" spans="2:2" ht="12.75" customHeight="1" x14ac:dyDescent="0.2">
      <c r="B46810" s="43"/>
    </row>
    <row r="46811" spans="2:2" ht="12.75" customHeight="1" x14ac:dyDescent="0.2">
      <c r="B46811" s="43"/>
    </row>
    <row r="46812" spans="2:2" ht="12.75" customHeight="1" x14ac:dyDescent="0.2">
      <c r="B46812" s="43"/>
    </row>
    <row r="46813" spans="2:2" ht="12.75" customHeight="1" x14ac:dyDescent="0.2">
      <c r="B46813" s="43"/>
    </row>
    <row r="46814" spans="2:2" ht="12.75" customHeight="1" x14ac:dyDescent="0.2">
      <c r="B46814" s="43"/>
    </row>
    <row r="46815" spans="2:2" ht="12.75" customHeight="1" x14ac:dyDescent="0.2">
      <c r="B46815" s="43"/>
    </row>
    <row r="46816" spans="2:2" ht="12.75" customHeight="1" x14ac:dyDescent="0.2">
      <c r="B46816" s="43"/>
    </row>
    <row r="46817" spans="2:2" ht="12.75" customHeight="1" x14ac:dyDescent="0.2">
      <c r="B46817" s="43"/>
    </row>
    <row r="46818" spans="2:2" ht="12.75" customHeight="1" x14ac:dyDescent="0.2">
      <c r="B46818" s="43"/>
    </row>
    <row r="46819" spans="2:2" ht="12.75" customHeight="1" x14ac:dyDescent="0.2">
      <c r="B46819" s="43"/>
    </row>
    <row r="46820" spans="2:2" ht="12.75" customHeight="1" x14ac:dyDescent="0.2">
      <c r="B46820" s="43"/>
    </row>
    <row r="46821" spans="2:2" ht="12.75" customHeight="1" x14ac:dyDescent="0.2">
      <c r="B46821" s="43"/>
    </row>
    <row r="46822" spans="2:2" ht="12.75" customHeight="1" x14ac:dyDescent="0.2">
      <c r="B46822" s="43"/>
    </row>
    <row r="46823" spans="2:2" ht="12.75" customHeight="1" x14ac:dyDescent="0.2">
      <c r="B46823" s="43"/>
    </row>
    <row r="46824" spans="2:2" ht="12.75" customHeight="1" x14ac:dyDescent="0.2">
      <c r="B46824" s="43"/>
    </row>
    <row r="46825" spans="2:2" ht="12.75" customHeight="1" x14ac:dyDescent="0.2">
      <c r="B46825" s="43"/>
    </row>
    <row r="46826" spans="2:2" ht="12.75" customHeight="1" x14ac:dyDescent="0.2">
      <c r="B46826" s="43"/>
    </row>
    <row r="46827" spans="2:2" ht="12.75" customHeight="1" x14ac:dyDescent="0.2">
      <c r="B46827" s="43"/>
    </row>
    <row r="46828" spans="2:2" ht="12.75" customHeight="1" x14ac:dyDescent="0.2">
      <c r="B46828" s="43"/>
    </row>
    <row r="46829" spans="2:2" ht="12.75" customHeight="1" x14ac:dyDescent="0.2">
      <c r="B46829" s="43"/>
    </row>
    <row r="46830" spans="2:2" ht="12.75" customHeight="1" x14ac:dyDescent="0.2">
      <c r="B46830" s="43"/>
    </row>
    <row r="46831" spans="2:2" ht="12.75" customHeight="1" x14ac:dyDescent="0.2">
      <c r="B46831" s="43"/>
    </row>
    <row r="46832" spans="2:2" ht="12.75" customHeight="1" x14ac:dyDescent="0.2">
      <c r="B46832" s="43"/>
    </row>
    <row r="46833" spans="2:2" ht="12.75" customHeight="1" x14ac:dyDescent="0.2">
      <c r="B46833" s="43"/>
    </row>
    <row r="46834" spans="2:2" ht="12.75" customHeight="1" x14ac:dyDescent="0.2">
      <c r="B46834" s="43"/>
    </row>
    <row r="46835" spans="2:2" ht="12.75" customHeight="1" x14ac:dyDescent="0.2">
      <c r="B46835" s="43"/>
    </row>
    <row r="46836" spans="2:2" ht="12.75" customHeight="1" x14ac:dyDescent="0.2">
      <c r="B46836" s="43"/>
    </row>
    <row r="46837" spans="2:2" ht="12.75" customHeight="1" x14ac:dyDescent="0.2">
      <c r="B46837" s="43"/>
    </row>
    <row r="46838" spans="2:2" ht="12.75" customHeight="1" x14ac:dyDescent="0.2">
      <c r="B46838" s="43"/>
    </row>
    <row r="46839" spans="2:2" ht="12.75" customHeight="1" x14ac:dyDescent="0.2">
      <c r="B46839" s="43"/>
    </row>
    <row r="46840" spans="2:2" ht="12.75" customHeight="1" x14ac:dyDescent="0.2">
      <c r="B46840" s="43"/>
    </row>
    <row r="46841" spans="2:2" ht="12.75" customHeight="1" x14ac:dyDescent="0.2">
      <c r="B46841" s="43"/>
    </row>
    <row r="46842" spans="2:2" ht="12.75" customHeight="1" x14ac:dyDescent="0.2">
      <c r="B46842" s="43"/>
    </row>
    <row r="46843" spans="2:2" ht="12.75" customHeight="1" x14ac:dyDescent="0.2">
      <c r="B46843" s="43"/>
    </row>
    <row r="46844" spans="2:2" ht="12.75" customHeight="1" x14ac:dyDescent="0.2">
      <c r="B46844" s="43"/>
    </row>
    <row r="46845" spans="2:2" ht="12.75" customHeight="1" x14ac:dyDescent="0.2">
      <c r="B46845" s="43"/>
    </row>
    <row r="46846" spans="2:2" ht="12.75" customHeight="1" x14ac:dyDescent="0.2">
      <c r="B46846" s="43"/>
    </row>
    <row r="46847" spans="2:2" ht="12.75" customHeight="1" x14ac:dyDescent="0.2">
      <c r="B46847" s="43"/>
    </row>
    <row r="46848" spans="2:2" ht="12.75" customHeight="1" x14ac:dyDescent="0.2">
      <c r="B46848" s="43"/>
    </row>
    <row r="46849" spans="2:2" ht="12.75" customHeight="1" x14ac:dyDescent="0.2">
      <c r="B46849" s="43"/>
    </row>
    <row r="46850" spans="2:2" ht="12.75" customHeight="1" x14ac:dyDescent="0.2">
      <c r="B46850" s="43"/>
    </row>
    <row r="46851" spans="2:2" ht="12.75" customHeight="1" x14ac:dyDescent="0.2">
      <c r="B46851" s="43"/>
    </row>
    <row r="46852" spans="2:2" ht="12.75" customHeight="1" x14ac:dyDescent="0.2">
      <c r="B46852" s="43"/>
    </row>
    <row r="46853" spans="2:2" ht="12.75" customHeight="1" x14ac:dyDescent="0.2">
      <c r="B46853" s="43"/>
    </row>
    <row r="46854" spans="2:2" ht="12.75" customHeight="1" x14ac:dyDescent="0.2">
      <c r="B46854" s="43"/>
    </row>
    <row r="46855" spans="2:2" ht="12.75" customHeight="1" x14ac:dyDescent="0.2">
      <c r="B46855" s="43"/>
    </row>
    <row r="46856" spans="2:2" ht="12.75" customHeight="1" x14ac:dyDescent="0.2">
      <c r="B46856" s="43"/>
    </row>
    <row r="46857" spans="2:2" ht="12.75" customHeight="1" x14ac:dyDescent="0.2">
      <c r="B46857" s="43"/>
    </row>
    <row r="46858" spans="2:2" ht="12.75" customHeight="1" x14ac:dyDescent="0.2">
      <c r="B46858" s="43"/>
    </row>
    <row r="46859" spans="2:2" ht="12.75" customHeight="1" x14ac:dyDescent="0.2">
      <c r="B46859" s="43"/>
    </row>
    <row r="46860" spans="2:2" ht="12.75" customHeight="1" x14ac:dyDescent="0.2">
      <c r="B46860" s="43"/>
    </row>
    <row r="46861" spans="2:2" ht="12.75" customHeight="1" x14ac:dyDescent="0.2">
      <c r="B46861" s="43"/>
    </row>
    <row r="46862" spans="2:2" ht="12.75" customHeight="1" x14ac:dyDescent="0.2">
      <c r="B46862" s="43"/>
    </row>
    <row r="46863" spans="2:2" ht="12.75" customHeight="1" x14ac:dyDescent="0.2">
      <c r="B46863" s="43"/>
    </row>
    <row r="46864" spans="2:2" ht="12.75" customHeight="1" x14ac:dyDescent="0.2">
      <c r="B46864" s="43"/>
    </row>
    <row r="46865" spans="2:2" ht="12.75" customHeight="1" x14ac:dyDescent="0.2">
      <c r="B46865" s="43"/>
    </row>
    <row r="46866" spans="2:2" ht="12.75" customHeight="1" x14ac:dyDescent="0.2">
      <c r="B46866" s="43"/>
    </row>
    <row r="46867" spans="2:2" ht="12.75" customHeight="1" x14ac:dyDescent="0.2">
      <c r="B46867" s="43"/>
    </row>
    <row r="46868" spans="2:2" ht="12.75" customHeight="1" x14ac:dyDescent="0.2">
      <c r="B46868" s="43"/>
    </row>
    <row r="46869" spans="2:2" ht="12.75" customHeight="1" x14ac:dyDescent="0.2">
      <c r="B46869" s="43"/>
    </row>
    <row r="46870" spans="2:2" ht="12.75" customHeight="1" x14ac:dyDescent="0.2">
      <c r="B46870" s="43"/>
    </row>
    <row r="46871" spans="2:2" ht="12.75" customHeight="1" x14ac:dyDescent="0.2">
      <c r="B46871" s="43"/>
    </row>
    <row r="46872" spans="2:2" ht="12.75" customHeight="1" x14ac:dyDescent="0.2">
      <c r="B46872" s="43"/>
    </row>
    <row r="46873" spans="2:2" ht="12.75" customHeight="1" x14ac:dyDescent="0.2">
      <c r="B46873" s="43"/>
    </row>
    <row r="46874" spans="2:2" ht="12.75" customHeight="1" x14ac:dyDescent="0.2">
      <c r="B46874" s="43"/>
    </row>
    <row r="46875" spans="2:2" ht="12.75" customHeight="1" x14ac:dyDescent="0.2">
      <c r="B46875" s="43"/>
    </row>
    <row r="46876" spans="2:2" ht="12.75" customHeight="1" x14ac:dyDescent="0.2">
      <c r="B46876" s="43"/>
    </row>
    <row r="46877" spans="2:2" ht="12.75" customHeight="1" x14ac:dyDescent="0.2">
      <c r="B46877" s="43"/>
    </row>
    <row r="46878" spans="2:2" ht="12.75" customHeight="1" x14ac:dyDescent="0.2">
      <c r="B46878" s="43"/>
    </row>
    <row r="46879" spans="2:2" ht="12.75" customHeight="1" x14ac:dyDescent="0.2">
      <c r="B46879" s="43"/>
    </row>
    <row r="46880" spans="2:2" ht="12.75" customHeight="1" x14ac:dyDescent="0.2">
      <c r="B46880" s="43"/>
    </row>
    <row r="46881" spans="2:2" ht="12.75" customHeight="1" x14ac:dyDescent="0.2">
      <c r="B46881" s="43"/>
    </row>
    <row r="46882" spans="2:2" ht="12.75" customHeight="1" x14ac:dyDescent="0.2">
      <c r="B46882" s="43"/>
    </row>
    <row r="46883" spans="2:2" ht="12.75" customHeight="1" x14ac:dyDescent="0.2">
      <c r="B46883" s="43"/>
    </row>
    <row r="46884" spans="2:2" ht="12.75" customHeight="1" x14ac:dyDescent="0.2">
      <c r="B46884" s="43"/>
    </row>
    <row r="46885" spans="2:2" ht="12.75" customHeight="1" x14ac:dyDescent="0.2">
      <c r="B46885" s="43"/>
    </row>
    <row r="46886" spans="2:2" ht="12.75" customHeight="1" x14ac:dyDescent="0.2">
      <c r="B46886" s="43"/>
    </row>
    <row r="46887" spans="2:2" ht="12.75" customHeight="1" x14ac:dyDescent="0.2">
      <c r="B46887" s="43"/>
    </row>
    <row r="46888" spans="2:2" ht="12.75" customHeight="1" x14ac:dyDescent="0.2">
      <c r="B46888" s="43"/>
    </row>
    <row r="46889" spans="2:2" ht="12.75" customHeight="1" x14ac:dyDescent="0.2">
      <c r="B46889" s="43"/>
    </row>
    <row r="46890" spans="2:2" ht="12.75" customHeight="1" x14ac:dyDescent="0.2">
      <c r="B46890" s="43"/>
    </row>
    <row r="46891" spans="2:2" ht="12.75" customHeight="1" x14ac:dyDescent="0.2">
      <c r="B46891" s="43"/>
    </row>
    <row r="46892" spans="2:2" ht="12.75" customHeight="1" x14ac:dyDescent="0.2">
      <c r="B46892" s="43"/>
    </row>
    <row r="46893" spans="2:2" ht="12.75" customHeight="1" x14ac:dyDescent="0.2">
      <c r="B46893" s="43"/>
    </row>
    <row r="46894" spans="2:2" ht="12.75" customHeight="1" x14ac:dyDescent="0.2">
      <c r="B46894" s="43"/>
    </row>
    <row r="46895" spans="2:2" ht="12.75" customHeight="1" x14ac:dyDescent="0.2">
      <c r="B46895" s="43"/>
    </row>
    <row r="46896" spans="2:2" ht="12.75" customHeight="1" x14ac:dyDescent="0.2">
      <c r="B46896" s="43"/>
    </row>
    <row r="46897" spans="2:2" ht="12.75" customHeight="1" x14ac:dyDescent="0.2">
      <c r="B46897" s="43"/>
    </row>
    <row r="46898" spans="2:2" ht="12.75" customHeight="1" x14ac:dyDescent="0.2">
      <c r="B46898" s="43"/>
    </row>
    <row r="46899" spans="2:2" ht="12.75" customHeight="1" x14ac:dyDescent="0.2">
      <c r="B46899" s="43"/>
    </row>
    <row r="46900" spans="2:2" ht="12.75" customHeight="1" x14ac:dyDescent="0.2">
      <c r="B46900" s="43"/>
    </row>
    <row r="46901" spans="2:2" ht="12.75" customHeight="1" x14ac:dyDescent="0.2">
      <c r="B46901" s="43"/>
    </row>
    <row r="46902" spans="2:2" ht="12.75" customHeight="1" x14ac:dyDescent="0.2">
      <c r="B46902" s="43"/>
    </row>
    <row r="46903" spans="2:2" ht="12.75" customHeight="1" x14ac:dyDescent="0.2">
      <c r="B46903" s="43"/>
    </row>
    <row r="46904" spans="2:2" ht="12.75" customHeight="1" x14ac:dyDescent="0.2">
      <c r="B46904" s="43"/>
    </row>
    <row r="46905" spans="2:2" ht="12.75" customHeight="1" x14ac:dyDescent="0.2">
      <c r="B46905" s="43"/>
    </row>
    <row r="46906" spans="2:2" ht="12.75" customHeight="1" x14ac:dyDescent="0.2">
      <c r="B46906" s="43"/>
    </row>
    <row r="46907" spans="2:2" ht="12.75" customHeight="1" x14ac:dyDescent="0.2">
      <c r="B46907" s="43"/>
    </row>
    <row r="46908" spans="2:2" ht="12.75" customHeight="1" x14ac:dyDescent="0.2">
      <c r="B46908" s="43"/>
    </row>
    <row r="46909" spans="2:2" ht="12.75" customHeight="1" x14ac:dyDescent="0.2">
      <c r="B46909" s="43"/>
    </row>
    <row r="46910" spans="2:2" ht="12.75" customHeight="1" x14ac:dyDescent="0.2">
      <c r="B46910" s="43"/>
    </row>
    <row r="46911" spans="2:2" ht="12.75" customHeight="1" x14ac:dyDescent="0.2">
      <c r="B46911" s="43"/>
    </row>
    <row r="46912" spans="2:2" ht="12.75" customHeight="1" x14ac:dyDescent="0.2">
      <c r="B46912" s="43"/>
    </row>
    <row r="46913" spans="2:2" ht="12.75" customHeight="1" x14ac:dyDescent="0.2">
      <c r="B46913" s="43"/>
    </row>
    <row r="46914" spans="2:2" ht="12.75" customHeight="1" x14ac:dyDescent="0.2">
      <c r="B46914" s="43"/>
    </row>
    <row r="46915" spans="2:2" ht="12.75" customHeight="1" x14ac:dyDescent="0.2">
      <c r="B46915" s="43"/>
    </row>
    <row r="46916" spans="2:2" ht="12.75" customHeight="1" x14ac:dyDescent="0.2">
      <c r="B46916" s="43"/>
    </row>
    <row r="46917" spans="2:2" ht="12.75" customHeight="1" x14ac:dyDescent="0.2">
      <c r="B46917" s="43"/>
    </row>
    <row r="46918" spans="2:2" ht="12.75" customHeight="1" x14ac:dyDescent="0.2">
      <c r="B46918" s="43"/>
    </row>
    <row r="46919" spans="2:2" ht="12.75" customHeight="1" x14ac:dyDescent="0.2">
      <c r="B46919" s="43"/>
    </row>
    <row r="46920" spans="2:2" ht="12.75" customHeight="1" x14ac:dyDescent="0.2">
      <c r="B46920" s="43"/>
    </row>
    <row r="46921" spans="2:2" ht="12.75" customHeight="1" x14ac:dyDescent="0.2">
      <c r="B46921" s="43"/>
    </row>
    <row r="46922" spans="2:2" ht="12.75" customHeight="1" x14ac:dyDescent="0.2">
      <c r="B46922" s="43"/>
    </row>
    <row r="46923" spans="2:2" ht="12.75" customHeight="1" x14ac:dyDescent="0.2">
      <c r="B46923" s="43"/>
    </row>
    <row r="46924" spans="2:2" ht="12.75" customHeight="1" x14ac:dyDescent="0.2">
      <c r="B46924" s="43"/>
    </row>
    <row r="46925" spans="2:2" ht="12.75" customHeight="1" x14ac:dyDescent="0.2">
      <c r="B46925" s="43"/>
    </row>
    <row r="46926" spans="2:2" ht="12.75" customHeight="1" x14ac:dyDescent="0.2">
      <c r="B46926" s="43"/>
    </row>
    <row r="46927" spans="2:2" ht="12.75" customHeight="1" x14ac:dyDescent="0.2">
      <c r="B46927" s="43"/>
    </row>
    <row r="46928" spans="2:2" ht="12.75" customHeight="1" x14ac:dyDescent="0.2">
      <c r="B46928" s="43"/>
    </row>
    <row r="46929" spans="2:2" ht="12.75" customHeight="1" x14ac:dyDescent="0.2">
      <c r="B46929" s="43"/>
    </row>
    <row r="46930" spans="2:2" ht="12.75" customHeight="1" x14ac:dyDescent="0.2">
      <c r="B46930" s="43"/>
    </row>
    <row r="46931" spans="2:2" ht="12.75" customHeight="1" x14ac:dyDescent="0.2">
      <c r="B46931" s="43"/>
    </row>
    <row r="46932" spans="2:2" ht="12.75" customHeight="1" x14ac:dyDescent="0.2">
      <c r="B46932" s="43"/>
    </row>
    <row r="46933" spans="2:2" ht="12.75" customHeight="1" x14ac:dyDescent="0.2">
      <c r="B46933" s="43"/>
    </row>
    <row r="46934" spans="2:2" ht="12.75" customHeight="1" x14ac:dyDescent="0.2">
      <c r="B46934" s="43"/>
    </row>
    <row r="46935" spans="2:2" ht="12.75" customHeight="1" x14ac:dyDescent="0.2">
      <c r="B46935" s="43"/>
    </row>
    <row r="46936" spans="2:2" ht="12.75" customHeight="1" x14ac:dyDescent="0.2">
      <c r="B46936" s="43"/>
    </row>
    <row r="46937" spans="2:2" ht="12.75" customHeight="1" x14ac:dyDescent="0.2">
      <c r="B46937" s="43"/>
    </row>
    <row r="46938" spans="2:2" ht="12.75" customHeight="1" x14ac:dyDescent="0.2">
      <c r="B46938" s="43"/>
    </row>
    <row r="46939" spans="2:2" ht="12.75" customHeight="1" x14ac:dyDescent="0.2">
      <c r="B46939" s="43"/>
    </row>
    <row r="46940" spans="2:2" ht="12.75" customHeight="1" x14ac:dyDescent="0.2">
      <c r="B46940" s="43"/>
    </row>
    <row r="46941" spans="2:2" ht="12.75" customHeight="1" x14ac:dyDescent="0.2">
      <c r="B46941" s="43"/>
    </row>
    <row r="46942" spans="2:2" ht="12.75" customHeight="1" x14ac:dyDescent="0.2">
      <c r="B46942" s="43"/>
    </row>
    <row r="46943" spans="2:2" ht="12.75" customHeight="1" x14ac:dyDescent="0.2">
      <c r="B46943" s="43"/>
    </row>
    <row r="46944" spans="2:2" ht="12.75" customHeight="1" x14ac:dyDescent="0.2">
      <c r="B46944" s="43"/>
    </row>
    <row r="46945" spans="2:2" ht="12.75" customHeight="1" x14ac:dyDescent="0.2">
      <c r="B46945" s="43"/>
    </row>
    <row r="46946" spans="2:2" ht="12.75" customHeight="1" x14ac:dyDescent="0.2">
      <c r="B46946" s="43"/>
    </row>
    <row r="46947" spans="2:2" ht="12.75" customHeight="1" x14ac:dyDescent="0.2">
      <c r="B46947" s="43"/>
    </row>
    <row r="46948" spans="2:2" ht="12.75" customHeight="1" x14ac:dyDescent="0.2">
      <c r="B46948" s="43"/>
    </row>
    <row r="46949" spans="2:2" ht="12.75" customHeight="1" x14ac:dyDescent="0.2">
      <c r="B46949" s="43"/>
    </row>
    <row r="46950" spans="2:2" ht="12.75" customHeight="1" x14ac:dyDescent="0.2">
      <c r="B46950" s="43"/>
    </row>
    <row r="46951" spans="2:2" ht="12.75" customHeight="1" x14ac:dyDescent="0.2">
      <c r="B46951" s="43"/>
    </row>
    <row r="46952" spans="2:2" ht="12.75" customHeight="1" x14ac:dyDescent="0.2">
      <c r="B46952" s="43"/>
    </row>
    <row r="46953" spans="2:2" ht="12.75" customHeight="1" x14ac:dyDescent="0.2">
      <c r="B46953" s="43"/>
    </row>
    <row r="46954" spans="2:2" ht="12.75" customHeight="1" x14ac:dyDescent="0.2">
      <c r="B46954" s="43"/>
    </row>
    <row r="46955" spans="2:2" ht="12.75" customHeight="1" x14ac:dyDescent="0.2">
      <c r="B46955" s="43"/>
    </row>
    <row r="46956" spans="2:2" ht="12.75" customHeight="1" x14ac:dyDescent="0.2">
      <c r="B46956" s="43"/>
    </row>
    <row r="46957" spans="2:2" ht="12.75" customHeight="1" x14ac:dyDescent="0.2">
      <c r="B46957" s="43"/>
    </row>
    <row r="46958" spans="2:2" ht="12.75" customHeight="1" x14ac:dyDescent="0.2">
      <c r="B46958" s="43"/>
    </row>
    <row r="46959" spans="2:2" ht="12.75" customHeight="1" x14ac:dyDescent="0.2">
      <c r="B46959" s="43"/>
    </row>
    <row r="46960" spans="2:2" ht="12.75" customHeight="1" x14ac:dyDescent="0.2">
      <c r="B46960" s="43"/>
    </row>
    <row r="46961" spans="2:2" ht="12.75" customHeight="1" x14ac:dyDescent="0.2">
      <c r="B46961" s="43"/>
    </row>
    <row r="46962" spans="2:2" ht="12.75" customHeight="1" x14ac:dyDescent="0.2">
      <c r="B46962" s="43"/>
    </row>
    <row r="46963" spans="2:2" ht="12.75" customHeight="1" x14ac:dyDescent="0.2">
      <c r="B46963" s="43"/>
    </row>
    <row r="46964" spans="2:2" ht="12.75" customHeight="1" x14ac:dyDescent="0.2">
      <c r="B46964" s="43"/>
    </row>
    <row r="46965" spans="2:2" ht="12.75" customHeight="1" x14ac:dyDescent="0.2">
      <c r="B46965" s="43"/>
    </row>
    <row r="46966" spans="2:2" ht="12.75" customHeight="1" x14ac:dyDescent="0.2">
      <c r="B46966" s="43"/>
    </row>
    <row r="46967" spans="2:2" ht="12.75" customHeight="1" x14ac:dyDescent="0.2">
      <c r="B46967" s="43"/>
    </row>
    <row r="46968" spans="2:2" ht="12.75" customHeight="1" x14ac:dyDescent="0.2">
      <c r="B46968" s="43"/>
    </row>
    <row r="46969" spans="2:2" ht="12.75" customHeight="1" x14ac:dyDescent="0.2">
      <c r="B46969" s="43"/>
    </row>
    <row r="46970" spans="2:2" ht="12.75" customHeight="1" x14ac:dyDescent="0.2">
      <c r="B46970" s="43"/>
    </row>
    <row r="46971" spans="2:2" ht="12.75" customHeight="1" x14ac:dyDescent="0.2">
      <c r="B46971" s="43"/>
    </row>
    <row r="46972" spans="2:2" ht="12.75" customHeight="1" x14ac:dyDescent="0.2">
      <c r="B46972" s="43"/>
    </row>
    <row r="46973" spans="2:2" ht="12.75" customHeight="1" x14ac:dyDescent="0.2">
      <c r="B46973" s="43"/>
    </row>
    <row r="46974" spans="2:2" ht="12.75" customHeight="1" x14ac:dyDescent="0.2">
      <c r="B46974" s="43"/>
    </row>
    <row r="46975" spans="2:2" ht="12.75" customHeight="1" x14ac:dyDescent="0.2">
      <c r="B46975" s="43"/>
    </row>
    <row r="46976" spans="2:2" ht="12.75" customHeight="1" x14ac:dyDescent="0.2">
      <c r="B46976" s="43"/>
    </row>
    <row r="46977" spans="2:2" ht="12.75" customHeight="1" x14ac:dyDescent="0.2">
      <c r="B46977" s="43"/>
    </row>
    <row r="46978" spans="2:2" ht="12.75" customHeight="1" x14ac:dyDescent="0.2">
      <c r="B46978" s="43"/>
    </row>
    <row r="46979" spans="2:2" ht="12.75" customHeight="1" x14ac:dyDescent="0.2">
      <c r="B46979" s="43"/>
    </row>
    <row r="46980" spans="2:2" ht="12.75" customHeight="1" x14ac:dyDescent="0.2">
      <c r="B46980" s="43"/>
    </row>
    <row r="46981" spans="2:2" ht="12.75" customHeight="1" x14ac:dyDescent="0.2">
      <c r="B46981" s="43"/>
    </row>
    <row r="46982" spans="2:2" ht="12.75" customHeight="1" x14ac:dyDescent="0.2">
      <c r="B46982" s="43"/>
    </row>
    <row r="46983" spans="2:2" ht="12.75" customHeight="1" x14ac:dyDescent="0.2">
      <c r="B46983" s="43"/>
    </row>
    <row r="46984" spans="2:2" ht="12.75" customHeight="1" x14ac:dyDescent="0.2">
      <c r="B46984" s="43"/>
    </row>
    <row r="46985" spans="2:2" ht="12.75" customHeight="1" x14ac:dyDescent="0.2">
      <c r="B46985" s="43"/>
    </row>
    <row r="46986" spans="2:2" ht="12.75" customHeight="1" x14ac:dyDescent="0.2">
      <c r="B46986" s="43"/>
    </row>
    <row r="46987" spans="2:2" ht="12.75" customHeight="1" x14ac:dyDescent="0.2">
      <c r="B46987" s="43"/>
    </row>
    <row r="46988" spans="2:2" ht="12.75" customHeight="1" x14ac:dyDescent="0.2">
      <c r="B46988" s="43"/>
    </row>
    <row r="46989" spans="2:2" ht="12.75" customHeight="1" x14ac:dyDescent="0.2">
      <c r="B46989" s="43"/>
    </row>
    <row r="46990" spans="2:2" ht="12.75" customHeight="1" x14ac:dyDescent="0.2">
      <c r="B46990" s="43"/>
    </row>
    <row r="46991" spans="2:2" ht="12.75" customHeight="1" x14ac:dyDescent="0.2">
      <c r="B46991" s="43"/>
    </row>
    <row r="46992" spans="2:2" ht="12.75" customHeight="1" x14ac:dyDescent="0.2">
      <c r="B46992" s="43"/>
    </row>
    <row r="46993" spans="2:2" ht="12.75" customHeight="1" x14ac:dyDescent="0.2">
      <c r="B46993" s="43"/>
    </row>
    <row r="46994" spans="2:2" ht="12.75" customHeight="1" x14ac:dyDescent="0.2">
      <c r="B46994" s="43"/>
    </row>
    <row r="46995" spans="2:2" ht="12.75" customHeight="1" x14ac:dyDescent="0.2">
      <c r="B46995" s="43"/>
    </row>
    <row r="46996" spans="2:2" ht="12.75" customHeight="1" x14ac:dyDescent="0.2">
      <c r="B46996" s="43"/>
    </row>
    <row r="46997" spans="2:2" ht="12.75" customHeight="1" x14ac:dyDescent="0.2">
      <c r="B46997" s="43"/>
    </row>
    <row r="46998" spans="2:2" ht="12.75" customHeight="1" x14ac:dyDescent="0.2">
      <c r="B46998" s="43"/>
    </row>
    <row r="46999" spans="2:2" ht="12.75" customHeight="1" x14ac:dyDescent="0.2">
      <c r="B46999" s="43"/>
    </row>
    <row r="47000" spans="2:2" ht="12.75" customHeight="1" x14ac:dyDescent="0.2">
      <c r="B47000" s="43"/>
    </row>
    <row r="47001" spans="2:2" ht="12.75" customHeight="1" x14ac:dyDescent="0.2">
      <c r="B47001" s="43"/>
    </row>
    <row r="47002" spans="2:2" ht="12.75" customHeight="1" x14ac:dyDescent="0.2">
      <c r="B47002" s="43"/>
    </row>
    <row r="47003" spans="2:2" ht="12.75" customHeight="1" x14ac:dyDescent="0.2">
      <c r="B47003" s="43"/>
    </row>
    <row r="47004" spans="2:2" ht="12.75" customHeight="1" x14ac:dyDescent="0.2">
      <c r="B47004" s="43"/>
    </row>
    <row r="47005" spans="2:2" ht="12.75" customHeight="1" x14ac:dyDescent="0.2">
      <c r="B47005" s="43"/>
    </row>
    <row r="47006" spans="2:2" ht="12.75" customHeight="1" x14ac:dyDescent="0.2">
      <c r="B47006" s="43"/>
    </row>
    <row r="47007" spans="2:2" ht="12.75" customHeight="1" x14ac:dyDescent="0.2">
      <c r="B47007" s="43"/>
    </row>
    <row r="47008" spans="2:2" ht="12.75" customHeight="1" x14ac:dyDescent="0.2">
      <c r="B47008" s="43"/>
    </row>
    <row r="47009" spans="2:2" ht="12.75" customHeight="1" x14ac:dyDescent="0.2">
      <c r="B47009" s="43"/>
    </row>
    <row r="47010" spans="2:2" ht="12.75" customHeight="1" x14ac:dyDescent="0.2">
      <c r="B47010" s="43"/>
    </row>
    <row r="47011" spans="2:2" ht="12.75" customHeight="1" x14ac:dyDescent="0.2">
      <c r="B47011" s="43"/>
    </row>
    <row r="47012" spans="2:2" ht="12.75" customHeight="1" x14ac:dyDescent="0.2">
      <c r="B47012" s="43"/>
    </row>
    <row r="47013" spans="2:2" ht="12.75" customHeight="1" x14ac:dyDescent="0.2">
      <c r="B47013" s="43"/>
    </row>
    <row r="47014" spans="2:2" ht="12.75" customHeight="1" x14ac:dyDescent="0.2">
      <c r="B47014" s="43"/>
    </row>
    <row r="47015" spans="2:2" ht="12.75" customHeight="1" x14ac:dyDescent="0.2">
      <c r="B47015" s="43"/>
    </row>
    <row r="47016" spans="2:2" ht="12.75" customHeight="1" x14ac:dyDescent="0.2">
      <c r="B47016" s="43"/>
    </row>
    <row r="47017" spans="2:2" ht="12.75" customHeight="1" x14ac:dyDescent="0.2">
      <c r="B47017" s="43"/>
    </row>
    <row r="47018" spans="2:2" ht="12.75" customHeight="1" x14ac:dyDescent="0.2">
      <c r="B47018" s="43"/>
    </row>
    <row r="47019" spans="2:2" ht="12.75" customHeight="1" x14ac:dyDescent="0.2">
      <c r="B47019" s="43"/>
    </row>
    <row r="47020" spans="2:2" ht="12.75" customHeight="1" x14ac:dyDescent="0.2">
      <c r="B47020" s="43"/>
    </row>
    <row r="47021" spans="2:2" ht="12.75" customHeight="1" x14ac:dyDescent="0.2">
      <c r="B47021" s="43"/>
    </row>
    <row r="47022" spans="2:2" ht="12.75" customHeight="1" x14ac:dyDescent="0.2">
      <c r="B47022" s="43"/>
    </row>
    <row r="47023" spans="2:2" ht="12.75" customHeight="1" x14ac:dyDescent="0.2">
      <c r="B47023" s="43"/>
    </row>
    <row r="47024" spans="2:2" ht="12.75" customHeight="1" x14ac:dyDescent="0.2">
      <c r="B47024" s="43"/>
    </row>
    <row r="47025" spans="2:2" ht="12.75" customHeight="1" x14ac:dyDescent="0.2">
      <c r="B47025" s="43"/>
    </row>
    <row r="47026" spans="2:2" ht="12.75" customHeight="1" x14ac:dyDescent="0.2">
      <c r="B47026" s="43"/>
    </row>
    <row r="47027" spans="2:2" ht="12.75" customHeight="1" x14ac:dyDescent="0.2">
      <c r="B47027" s="43"/>
    </row>
    <row r="47028" spans="2:2" ht="12.75" customHeight="1" x14ac:dyDescent="0.2">
      <c r="B47028" s="43"/>
    </row>
    <row r="47029" spans="2:2" ht="12.75" customHeight="1" x14ac:dyDescent="0.2">
      <c r="B47029" s="43"/>
    </row>
    <row r="47030" spans="2:2" ht="12.75" customHeight="1" x14ac:dyDescent="0.2">
      <c r="B47030" s="43"/>
    </row>
    <row r="47031" spans="2:2" ht="12.75" customHeight="1" x14ac:dyDescent="0.2">
      <c r="B47031" s="43"/>
    </row>
    <row r="47032" spans="2:2" ht="12.75" customHeight="1" x14ac:dyDescent="0.2">
      <c r="B47032" s="43"/>
    </row>
    <row r="47033" spans="2:2" ht="12.75" customHeight="1" x14ac:dyDescent="0.2">
      <c r="B47033" s="43"/>
    </row>
    <row r="47034" spans="2:2" ht="12.75" customHeight="1" x14ac:dyDescent="0.2">
      <c r="B47034" s="43"/>
    </row>
    <row r="47035" spans="2:2" ht="12.75" customHeight="1" x14ac:dyDescent="0.2">
      <c r="B47035" s="43"/>
    </row>
    <row r="47036" spans="2:2" ht="12.75" customHeight="1" x14ac:dyDescent="0.2">
      <c r="B47036" s="43"/>
    </row>
    <row r="47037" spans="2:2" ht="12.75" customHeight="1" x14ac:dyDescent="0.2">
      <c r="B47037" s="43"/>
    </row>
    <row r="47038" spans="2:2" ht="12.75" customHeight="1" x14ac:dyDescent="0.2">
      <c r="B47038" s="43"/>
    </row>
    <row r="47039" spans="2:2" ht="12.75" customHeight="1" x14ac:dyDescent="0.2">
      <c r="B47039" s="43"/>
    </row>
    <row r="47040" spans="2:2" ht="12.75" customHeight="1" x14ac:dyDescent="0.2">
      <c r="B47040" s="43"/>
    </row>
    <row r="47041" spans="2:2" ht="12.75" customHeight="1" x14ac:dyDescent="0.2">
      <c r="B47041" s="43"/>
    </row>
    <row r="47042" spans="2:2" ht="12.75" customHeight="1" x14ac:dyDescent="0.2">
      <c r="B47042" s="43"/>
    </row>
    <row r="47043" spans="2:2" ht="12.75" customHeight="1" x14ac:dyDescent="0.2">
      <c r="B47043" s="43"/>
    </row>
    <row r="47044" spans="2:2" ht="12.75" customHeight="1" x14ac:dyDescent="0.2">
      <c r="B47044" s="43"/>
    </row>
    <row r="47045" spans="2:2" ht="12.75" customHeight="1" x14ac:dyDescent="0.2">
      <c r="B47045" s="43"/>
    </row>
    <row r="47046" spans="2:2" ht="12.75" customHeight="1" x14ac:dyDescent="0.2">
      <c r="B47046" s="43"/>
    </row>
    <row r="47047" spans="2:2" ht="12.75" customHeight="1" x14ac:dyDescent="0.2">
      <c r="B47047" s="43"/>
    </row>
    <row r="47048" spans="2:2" ht="12.75" customHeight="1" x14ac:dyDescent="0.2">
      <c r="B47048" s="43"/>
    </row>
    <row r="47049" spans="2:2" ht="12.75" customHeight="1" x14ac:dyDescent="0.2">
      <c r="B47049" s="43"/>
    </row>
    <row r="47050" spans="2:2" ht="12.75" customHeight="1" x14ac:dyDescent="0.2">
      <c r="B47050" s="43"/>
    </row>
    <row r="47051" spans="2:2" ht="12.75" customHeight="1" x14ac:dyDescent="0.2">
      <c r="B47051" s="43"/>
    </row>
    <row r="47052" spans="2:2" ht="12.75" customHeight="1" x14ac:dyDescent="0.2">
      <c r="B47052" s="43"/>
    </row>
    <row r="47053" spans="2:2" ht="12.75" customHeight="1" x14ac:dyDescent="0.2">
      <c r="B47053" s="43"/>
    </row>
    <row r="47054" spans="2:2" ht="12.75" customHeight="1" x14ac:dyDescent="0.2">
      <c r="B47054" s="43"/>
    </row>
    <row r="47055" spans="2:2" ht="12.75" customHeight="1" x14ac:dyDescent="0.2">
      <c r="B47055" s="43"/>
    </row>
    <row r="47056" spans="2:2" ht="12.75" customHeight="1" x14ac:dyDescent="0.2">
      <c r="B47056" s="43"/>
    </row>
    <row r="47057" spans="2:2" ht="12.75" customHeight="1" x14ac:dyDescent="0.2">
      <c r="B47057" s="43"/>
    </row>
    <row r="47058" spans="2:2" ht="12.75" customHeight="1" x14ac:dyDescent="0.2">
      <c r="B47058" s="43"/>
    </row>
    <row r="47059" spans="2:2" ht="12.75" customHeight="1" x14ac:dyDescent="0.2">
      <c r="B47059" s="43"/>
    </row>
    <row r="47060" spans="2:2" ht="12.75" customHeight="1" x14ac:dyDescent="0.2">
      <c r="B47060" s="43"/>
    </row>
    <row r="47061" spans="2:2" ht="12.75" customHeight="1" x14ac:dyDescent="0.2">
      <c r="B47061" s="43"/>
    </row>
    <row r="47062" spans="2:2" ht="12.75" customHeight="1" x14ac:dyDescent="0.2">
      <c r="B47062" s="43"/>
    </row>
    <row r="47063" spans="2:2" ht="12.75" customHeight="1" x14ac:dyDescent="0.2">
      <c r="B47063" s="43"/>
    </row>
    <row r="47064" spans="2:2" ht="12.75" customHeight="1" x14ac:dyDescent="0.2">
      <c r="B47064" s="43"/>
    </row>
    <row r="47065" spans="2:2" ht="12.75" customHeight="1" x14ac:dyDescent="0.2">
      <c r="B47065" s="43"/>
    </row>
    <row r="47066" spans="2:2" ht="12.75" customHeight="1" x14ac:dyDescent="0.2">
      <c r="B47066" s="43"/>
    </row>
    <row r="47067" spans="2:2" ht="12.75" customHeight="1" x14ac:dyDescent="0.2">
      <c r="B47067" s="43"/>
    </row>
    <row r="47068" spans="2:2" ht="12.75" customHeight="1" x14ac:dyDescent="0.2">
      <c r="B47068" s="43"/>
    </row>
    <row r="47069" spans="2:2" ht="12.75" customHeight="1" x14ac:dyDescent="0.2">
      <c r="B47069" s="43"/>
    </row>
    <row r="47070" spans="2:2" ht="12.75" customHeight="1" x14ac:dyDescent="0.2">
      <c r="B47070" s="43"/>
    </row>
    <row r="47071" spans="2:2" ht="12.75" customHeight="1" x14ac:dyDescent="0.2">
      <c r="B47071" s="43"/>
    </row>
    <row r="47072" spans="2:2" ht="12.75" customHeight="1" x14ac:dyDescent="0.2">
      <c r="B47072" s="43"/>
    </row>
    <row r="47073" spans="2:2" ht="12.75" customHeight="1" x14ac:dyDescent="0.2">
      <c r="B47073" s="43"/>
    </row>
    <row r="47074" spans="2:2" ht="12.75" customHeight="1" x14ac:dyDescent="0.2">
      <c r="B47074" s="43"/>
    </row>
    <row r="47075" spans="2:2" ht="12.75" customHeight="1" x14ac:dyDescent="0.2">
      <c r="B47075" s="43"/>
    </row>
    <row r="47076" spans="2:2" ht="12.75" customHeight="1" x14ac:dyDescent="0.2">
      <c r="B47076" s="43"/>
    </row>
    <row r="47077" spans="2:2" ht="12.75" customHeight="1" x14ac:dyDescent="0.2">
      <c r="B47077" s="43"/>
    </row>
    <row r="47078" spans="2:2" ht="12.75" customHeight="1" x14ac:dyDescent="0.2">
      <c r="B47078" s="43"/>
    </row>
    <row r="47079" spans="2:2" ht="12.75" customHeight="1" x14ac:dyDescent="0.2">
      <c r="B47079" s="43"/>
    </row>
    <row r="47080" spans="2:2" ht="12.75" customHeight="1" x14ac:dyDescent="0.2">
      <c r="B47080" s="43"/>
    </row>
    <row r="47081" spans="2:2" ht="12.75" customHeight="1" x14ac:dyDescent="0.2">
      <c r="B47081" s="43"/>
    </row>
    <row r="47082" spans="2:2" ht="12.75" customHeight="1" x14ac:dyDescent="0.2">
      <c r="B47082" s="43"/>
    </row>
    <row r="47083" spans="2:2" ht="12.75" customHeight="1" x14ac:dyDescent="0.2">
      <c r="B47083" s="43"/>
    </row>
    <row r="47084" spans="2:2" ht="12.75" customHeight="1" x14ac:dyDescent="0.2">
      <c r="B47084" s="43"/>
    </row>
    <row r="47085" spans="2:2" ht="12.75" customHeight="1" x14ac:dyDescent="0.2">
      <c r="B47085" s="43"/>
    </row>
    <row r="47086" spans="2:2" ht="12.75" customHeight="1" x14ac:dyDescent="0.2">
      <c r="B47086" s="43"/>
    </row>
    <row r="47087" spans="2:2" ht="12.75" customHeight="1" x14ac:dyDescent="0.2">
      <c r="B47087" s="43"/>
    </row>
    <row r="47088" spans="2:2" ht="12.75" customHeight="1" x14ac:dyDescent="0.2">
      <c r="B47088" s="43"/>
    </row>
    <row r="47089" spans="2:2" ht="12.75" customHeight="1" x14ac:dyDescent="0.2">
      <c r="B47089" s="43"/>
    </row>
    <row r="47090" spans="2:2" ht="12.75" customHeight="1" x14ac:dyDescent="0.2">
      <c r="B47090" s="43"/>
    </row>
    <row r="47091" spans="2:2" ht="12.75" customHeight="1" x14ac:dyDescent="0.2">
      <c r="B47091" s="43"/>
    </row>
    <row r="47092" spans="2:2" ht="12.75" customHeight="1" x14ac:dyDescent="0.2">
      <c r="B47092" s="43"/>
    </row>
    <row r="47093" spans="2:2" ht="12.75" customHeight="1" x14ac:dyDescent="0.2">
      <c r="B47093" s="43"/>
    </row>
    <row r="47094" spans="2:2" ht="12.75" customHeight="1" x14ac:dyDescent="0.2">
      <c r="B47094" s="43"/>
    </row>
    <row r="47095" spans="2:2" ht="12.75" customHeight="1" x14ac:dyDescent="0.2">
      <c r="B47095" s="43"/>
    </row>
    <row r="47096" spans="2:2" ht="12.75" customHeight="1" x14ac:dyDescent="0.2">
      <c r="B47096" s="43"/>
    </row>
    <row r="47097" spans="2:2" ht="12.75" customHeight="1" x14ac:dyDescent="0.2">
      <c r="B47097" s="43"/>
    </row>
    <row r="47098" spans="2:2" ht="12.75" customHeight="1" x14ac:dyDescent="0.2">
      <c r="B47098" s="43"/>
    </row>
    <row r="47099" spans="2:2" ht="12.75" customHeight="1" x14ac:dyDescent="0.2">
      <c r="B47099" s="43"/>
    </row>
    <row r="47100" spans="2:2" ht="12.75" customHeight="1" x14ac:dyDescent="0.2">
      <c r="B47100" s="43"/>
    </row>
    <row r="47101" spans="2:2" ht="12.75" customHeight="1" x14ac:dyDescent="0.2">
      <c r="B47101" s="43"/>
    </row>
    <row r="47102" spans="2:2" ht="12.75" customHeight="1" x14ac:dyDescent="0.2">
      <c r="B47102" s="43"/>
    </row>
    <row r="47103" spans="2:2" ht="12.75" customHeight="1" x14ac:dyDescent="0.2">
      <c r="B47103" s="43"/>
    </row>
    <row r="47104" spans="2:2" ht="12.75" customHeight="1" x14ac:dyDescent="0.2">
      <c r="B47104" s="43"/>
    </row>
    <row r="47105" spans="2:2" ht="12.75" customHeight="1" x14ac:dyDescent="0.2">
      <c r="B47105" s="43"/>
    </row>
    <row r="47106" spans="2:2" ht="12.75" customHeight="1" x14ac:dyDescent="0.2">
      <c r="B47106" s="43"/>
    </row>
    <row r="47107" spans="2:2" ht="12.75" customHeight="1" x14ac:dyDescent="0.2">
      <c r="B47107" s="43"/>
    </row>
    <row r="47108" spans="2:2" ht="12.75" customHeight="1" x14ac:dyDescent="0.2">
      <c r="B47108" s="43"/>
    </row>
    <row r="47109" spans="2:2" ht="12.75" customHeight="1" x14ac:dyDescent="0.2">
      <c r="B47109" s="43"/>
    </row>
    <row r="47110" spans="2:2" ht="12.75" customHeight="1" x14ac:dyDescent="0.2">
      <c r="B47110" s="43"/>
    </row>
    <row r="47111" spans="2:2" ht="12.75" customHeight="1" x14ac:dyDescent="0.2">
      <c r="B47111" s="43"/>
    </row>
    <row r="47112" spans="2:2" ht="12.75" customHeight="1" x14ac:dyDescent="0.2">
      <c r="B47112" s="43"/>
    </row>
    <row r="47113" spans="2:2" ht="12.75" customHeight="1" x14ac:dyDescent="0.2">
      <c r="B47113" s="43"/>
    </row>
    <row r="47114" spans="2:2" ht="12.75" customHeight="1" x14ac:dyDescent="0.2">
      <c r="B47114" s="43"/>
    </row>
    <row r="47115" spans="2:2" ht="12.75" customHeight="1" x14ac:dyDescent="0.2">
      <c r="B47115" s="43"/>
    </row>
    <row r="47116" spans="2:2" ht="12.75" customHeight="1" x14ac:dyDescent="0.2">
      <c r="B47116" s="43"/>
    </row>
    <row r="47117" spans="2:2" ht="12.75" customHeight="1" x14ac:dyDescent="0.2">
      <c r="B47117" s="43"/>
    </row>
    <row r="47118" spans="2:2" ht="12.75" customHeight="1" x14ac:dyDescent="0.2">
      <c r="B47118" s="43"/>
    </row>
    <row r="47119" spans="2:2" ht="12.75" customHeight="1" x14ac:dyDescent="0.2">
      <c r="B47119" s="43"/>
    </row>
    <row r="47120" spans="2:2" ht="12.75" customHeight="1" x14ac:dyDescent="0.2">
      <c r="B47120" s="43"/>
    </row>
    <row r="47121" spans="2:2" ht="12.75" customHeight="1" x14ac:dyDescent="0.2">
      <c r="B47121" s="43"/>
    </row>
    <row r="47122" spans="2:2" ht="12.75" customHeight="1" x14ac:dyDescent="0.2">
      <c r="B47122" s="43"/>
    </row>
    <row r="47123" spans="2:2" ht="12.75" customHeight="1" x14ac:dyDescent="0.2">
      <c r="B47123" s="43"/>
    </row>
    <row r="47124" spans="2:2" ht="12.75" customHeight="1" x14ac:dyDescent="0.2">
      <c r="B47124" s="43"/>
    </row>
    <row r="47125" spans="2:2" ht="12.75" customHeight="1" x14ac:dyDescent="0.2">
      <c r="B47125" s="43"/>
    </row>
    <row r="47126" spans="2:2" ht="12.75" customHeight="1" x14ac:dyDescent="0.2">
      <c r="B47126" s="43"/>
    </row>
    <row r="47127" spans="2:2" ht="12.75" customHeight="1" x14ac:dyDescent="0.2">
      <c r="B47127" s="43"/>
    </row>
    <row r="47128" spans="2:2" ht="12.75" customHeight="1" x14ac:dyDescent="0.2">
      <c r="B47128" s="43"/>
    </row>
    <row r="47129" spans="2:2" ht="12.75" customHeight="1" x14ac:dyDescent="0.2">
      <c r="B47129" s="43"/>
    </row>
    <row r="47130" spans="2:2" ht="12.75" customHeight="1" x14ac:dyDescent="0.2">
      <c r="B47130" s="43"/>
    </row>
    <row r="47131" spans="2:2" ht="12.75" customHeight="1" x14ac:dyDescent="0.2">
      <c r="B47131" s="43"/>
    </row>
    <row r="47132" spans="2:2" ht="12.75" customHeight="1" x14ac:dyDescent="0.2">
      <c r="B47132" s="43"/>
    </row>
    <row r="47133" spans="2:2" ht="12.75" customHeight="1" x14ac:dyDescent="0.2">
      <c r="B47133" s="43"/>
    </row>
    <row r="47134" spans="2:2" ht="12.75" customHeight="1" x14ac:dyDescent="0.2">
      <c r="B47134" s="43"/>
    </row>
    <row r="47135" spans="2:2" ht="12.75" customHeight="1" x14ac:dyDescent="0.2">
      <c r="B47135" s="43"/>
    </row>
    <row r="47136" spans="2:2" ht="12.75" customHeight="1" x14ac:dyDescent="0.2">
      <c r="B47136" s="43"/>
    </row>
    <row r="47137" spans="2:2" ht="12.75" customHeight="1" x14ac:dyDescent="0.2">
      <c r="B47137" s="43"/>
    </row>
    <row r="47138" spans="2:2" ht="12.75" customHeight="1" x14ac:dyDescent="0.2">
      <c r="B47138" s="43"/>
    </row>
    <row r="47139" spans="2:2" ht="12.75" customHeight="1" x14ac:dyDescent="0.2">
      <c r="B47139" s="43"/>
    </row>
    <row r="47140" spans="2:2" ht="12.75" customHeight="1" x14ac:dyDescent="0.2">
      <c r="B47140" s="43"/>
    </row>
    <row r="47141" spans="2:2" ht="12.75" customHeight="1" x14ac:dyDescent="0.2">
      <c r="B47141" s="43"/>
    </row>
    <row r="47142" spans="2:2" ht="12.75" customHeight="1" x14ac:dyDescent="0.2">
      <c r="B47142" s="43"/>
    </row>
    <row r="47143" spans="2:2" ht="12.75" customHeight="1" x14ac:dyDescent="0.2">
      <c r="B47143" s="43"/>
    </row>
    <row r="47144" spans="2:2" ht="12.75" customHeight="1" x14ac:dyDescent="0.2">
      <c r="B47144" s="43"/>
    </row>
    <row r="47145" spans="2:2" ht="12.75" customHeight="1" x14ac:dyDescent="0.2">
      <c r="B47145" s="43"/>
    </row>
    <row r="47146" spans="2:2" ht="12.75" customHeight="1" x14ac:dyDescent="0.2">
      <c r="B47146" s="43"/>
    </row>
    <row r="47147" spans="2:2" ht="12.75" customHeight="1" x14ac:dyDescent="0.2">
      <c r="B47147" s="43"/>
    </row>
    <row r="47148" spans="2:2" ht="12.75" customHeight="1" x14ac:dyDescent="0.2">
      <c r="B47148" s="43"/>
    </row>
    <row r="47149" spans="2:2" ht="12.75" customHeight="1" x14ac:dyDescent="0.2">
      <c r="B47149" s="43"/>
    </row>
    <row r="47150" spans="2:2" ht="12.75" customHeight="1" x14ac:dyDescent="0.2">
      <c r="B47150" s="43"/>
    </row>
    <row r="47151" spans="2:2" ht="12.75" customHeight="1" x14ac:dyDescent="0.2">
      <c r="B47151" s="43"/>
    </row>
    <row r="47152" spans="2:2" ht="12.75" customHeight="1" x14ac:dyDescent="0.2">
      <c r="B47152" s="43"/>
    </row>
    <row r="47153" spans="2:2" ht="12.75" customHeight="1" x14ac:dyDescent="0.2">
      <c r="B47153" s="43"/>
    </row>
    <row r="47154" spans="2:2" ht="12.75" customHeight="1" x14ac:dyDescent="0.2">
      <c r="B47154" s="43"/>
    </row>
    <row r="47155" spans="2:2" ht="12.75" customHeight="1" x14ac:dyDescent="0.2">
      <c r="B47155" s="43"/>
    </row>
    <row r="47156" spans="2:2" ht="12.75" customHeight="1" x14ac:dyDescent="0.2">
      <c r="B47156" s="43"/>
    </row>
    <row r="47157" spans="2:2" ht="12.75" customHeight="1" x14ac:dyDescent="0.2">
      <c r="B47157" s="43"/>
    </row>
    <row r="47158" spans="2:2" ht="12.75" customHeight="1" x14ac:dyDescent="0.2">
      <c r="B47158" s="43"/>
    </row>
    <row r="47159" spans="2:2" ht="12.75" customHeight="1" x14ac:dyDescent="0.2">
      <c r="B47159" s="43"/>
    </row>
    <row r="47160" spans="2:2" ht="12.75" customHeight="1" x14ac:dyDescent="0.2">
      <c r="B47160" s="43"/>
    </row>
    <row r="47161" spans="2:2" ht="12.75" customHeight="1" x14ac:dyDescent="0.2">
      <c r="B47161" s="43"/>
    </row>
    <row r="47162" spans="2:2" ht="12.75" customHeight="1" x14ac:dyDescent="0.2">
      <c r="B47162" s="43"/>
    </row>
    <row r="47163" spans="2:2" ht="12.75" customHeight="1" x14ac:dyDescent="0.2">
      <c r="B47163" s="43"/>
    </row>
    <row r="47164" spans="2:2" ht="12.75" customHeight="1" x14ac:dyDescent="0.2">
      <c r="B47164" s="43"/>
    </row>
    <row r="47165" spans="2:2" ht="12.75" customHeight="1" x14ac:dyDescent="0.2">
      <c r="B47165" s="43"/>
    </row>
    <row r="47166" spans="2:2" ht="12.75" customHeight="1" x14ac:dyDescent="0.2">
      <c r="B47166" s="43"/>
    </row>
    <row r="47167" spans="2:2" ht="12.75" customHeight="1" x14ac:dyDescent="0.2">
      <c r="B47167" s="43"/>
    </row>
    <row r="47168" spans="2:2" ht="12.75" customHeight="1" x14ac:dyDescent="0.2">
      <c r="B47168" s="43"/>
    </row>
    <row r="47169" spans="2:2" ht="12.75" customHeight="1" x14ac:dyDescent="0.2">
      <c r="B47169" s="43"/>
    </row>
    <row r="47170" spans="2:2" ht="12.75" customHeight="1" x14ac:dyDescent="0.2">
      <c r="B47170" s="43"/>
    </row>
    <row r="47171" spans="2:2" ht="12.75" customHeight="1" x14ac:dyDescent="0.2">
      <c r="B47171" s="43"/>
    </row>
    <row r="47172" spans="2:2" ht="12.75" customHeight="1" x14ac:dyDescent="0.2">
      <c r="B47172" s="43"/>
    </row>
    <row r="47173" spans="2:2" ht="12.75" customHeight="1" x14ac:dyDescent="0.2">
      <c r="B47173" s="43"/>
    </row>
    <row r="47174" spans="2:2" ht="12.75" customHeight="1" x14ac:dyDescent="0.2">
      <c r="B47174" s="43"/>
    </row>
    <row r="47175" spans="2:2" ht="12.75" customHeight="1" x14ac:dyDescent="0.2">
      <c r="B47175" s="43"/>
    </row>
    <row r="47176" spans="2:2" ht="12.75" customHeight="1" x14ac:dyDescent="0.2">
      <c r="B47176" s="43"/>
    </row>
    <row r="47177" spans="2:2" ht="12.75" customHeight="1" x14ac:dyDescent="0.2">
      <c r="B47177" s="43"/>
    </row>
    <row r="47178" spans="2:2" ht="12.75" customHeight="1" x14ac:dyDescent="0.2">
      <c r="B47178" s="43"/>
    </row>
    <row r="47179" spans="2:2" ht="12.75" customHeight="1" x14ac:dyDescent="0.2">
      <c r="B47179" s="43"/>
    </row>
    <row r="47180" spans="2:2" ht="12.75" customHeight="1" x14ac:dyDescent="0.2">
      <c r="B47180" s="43"/>
    </row>
    <row r="47181" spans="2:2" ht="12.75" customHeight="1" x14ac:dyDescent="0.2">
      <c r="B47181" s="43"/>
    </row>
    <row r="47182" spans="2:2" ht="12.75" customHeight="1" x14ac:dyDescent="0.2">
      <c r="B47182" s="43"/>
    </row>
    <row r="47183" spans="2:2" ht="12.75" customHeight="1" x14ac:dyDescent="0.2">
      <c r="B47183" s="43"/>
    </row>
    <row r="47184" spans="2:2" ht="12.75" customHeight="1" x14ac:dyDescent="0.2">
      <c r="B47184" s="43"/>
    </row>
    <row r="47185" spans="2:2" ht="12.75" customHeight="1" x14ac:dyDescent="0.2">
      <c r="B47185" s="43"/>
    </row>
    <row r="47186" spans="2:2" ht="12.75" customHeight="1" x14ac:dyDescent="0.2">
      <c r="B47186" s="43"/>
    </row>
    <row r="47187" spans="2:2" ht="12.75" customHeight="1" x14ac:dyDescent="0.2">
      <c r="B47187" s="43"/>
    </row>
    <row r="47188" spans="2:2" ht="12.75" customHeight="1" x14ac:dyDescent="0.2">
      <c r="B47188" s="43"/>
    </row>
    <row r="47189" spans="2:2" ht="12.75" customHeight="1" x14ac:dyDescent="0.2">
      <c r="B47189" s="43"/>
    </row>
    <row r="47190" spans="2:2" ht="12.75" customHeight="1" x14ac:dyDescent="0.2">
      <c r="B47190" s="43"/>
    </row>
    <row r="47191" spans="2:2" ht="12.75" customHeight="1" x14ac:dyDescent="0.2">
      <c r="B47191" s="43"/>
    </row>
    <row r="47192" spans="2:2" ht="12.75" customHeight="1" x14ac:dyDescent="0.2">
      <c r="B47192" s="43"/>
    </row>
    <row r="47193" spans="2:2" ht="12.75" customHeight="1" x14ac:dyDescent="0.2">
      <c r="B47193" s="43"/>
    </row>
    <row r="47194" spans="2:2" ht="12.75" customHeight="1" x14ac:dyDescent="0.2">
      <c r="B47194" s="43"/>
    </row>
    <row r="47195" spans="2:2" ht="12.75" customHeight="1" x14ac:dyDescent="0.2">
      <c r="B47195" s="43"/>
    </row>
    <row r="47196" spans="2:2" ht="12.75" customHeight="1" x14ac:dyDescent="0.2">
      <c r="B47196" s="43"/>
    </row>
    <row r="47197" spans="2:2" ht="12.75" customHeight="1" x14ac:dyDescent="0.2">
      <c r="B47197" s="43"/>
    </row>
    <row r="47198" spans="2:2" ht="12.75" customHeight="1" x14ac:dyDescent="0.2">
      <c r="B47198" s="43"/>
    </row>
    <row r="47199" spans="2:2" ht="12.75" customHeight="1" x14ac:dyDescent="0.2">
      <c r="B47199" s="43"/>
    </row>
    <row r="47200" spans="2:2" ht="12.75" customHeight="1" x14ac:dyDescent="0.2">
      <c r="B47200" s="43"/>
    </row>
    <row r="47201" spans="2:2" ht="12.75" customHeight="1" x14ac:dyDescent="0.2">
      <c r="B47201" s="43"/>
    </row>
    <row r="47202" spans="2:2" ht="12.75" customHeight="1" x14ac:dyDescent="0.2">
      <c r="B47202" s="43"/>
    </row>
    <row r="47203" spans="2:2" ht="12.75" customHeight="1" x14ac:dyDescent="0.2">
      <c r="B47203" s="43"/>
    </row>
    <row r="47204" spans="2:2" ht="12.75" customHeight="1" x14ac:dyDescent="0.2">
      <c r="B47204" s="43"/>
    </row>
    <row r="47205" spans="2:2" ht="12.75" customHeight="1" x14ac:dyDescent="0.2">
      <c r="B47205" s="43"/>
    </row>
    <row r="47206" spans="2:2" ht="12.75" customHeight="1" x14ac:dyDescent="0.2">
      <c r="B47206" s="43"/>
    </row>
    <row r="47207" spans="2:2" ht="12.75" customHeight="1" x14ac:dyDescent="0.2">
      <c r="B47207" s="43"/>
    </row>
    <row r="47208" spans="2:2" ht="12.75" customHeight="1" x14ac:dyDescent="0.2">
      <c r="B47208" s="43"/>
    </row>
    <row r="47209" spans="2:2" ht="12.75" customHeight="1" x14ac:dyDescent="0.2">
      <c r="B47209" s="43"/>
    </row>
    <row r="47210" spans="2:2" ht="12.75" customHeight="1" x14ac:dyDescent="0.2">
      <c r="B47210" s="43"/>
    </row>
    <row r="47211" spans="2:2" ht="12.75" customHeight="1" x14ac:dyDescent="0.2">
      <c r="B47211" s="43"/>
    </row>
    <row r="47212" spans="2:2" ht="12.75" customHeight="1" x14ac:dyDescent="0.2">
      <c r="B47212" s="43"/>
    </row>
    <row r="47213" spans="2:2" ht="12.75" customHeight="1" x14ac:dyDescent="0.2">
      <c r="B47213" s="43"/>
    </row>
    <row r="47214" spans="2:2" ht="12.75" customHeight="1" x14ac:dyDescent="0.2">
      <c r="B47214" s="43"/>
    </row>
    <row r="47215" spans="2:2" ht="12.75" customHeight="1" x14ac:dyDescent="0.2">
      <c r="B47215" s="43"/>
    </row>
    <row r="47216" spans="2:2" ht="12.75" customHeight="1" x14ac:dyDescent="0.2">
      <c r="B47216" s="43"/>
    </row>
    <row r="47217" spans="2:2" ht="12.75" customHeight="1" x14ac:dyDescent="0.2">
      <c r="B47217" s="43"/>
    </row>
    <row r="47218" spans="2:2" ht="12.75" customHeight="1" x14ac:dyDescent="0.2">
      <c r="B47218" s="43"/>
    </row>
    <row r="47219" spans="2:2" ht="12.75" customHeight="1" x14ac:dyDescent="0.2">
      <c r="B47219" s="43"/>
    </row>
    <row r="47220" spans="2:2" ht="12.75" customHeight="1" x14ac:dyDescent="0.2">
      <c r="B47220" s="43"/>
    </row>
    <row r="47221" spans="2:2" ht="12.75" customHeight="1" x14ac:dyDescent="0.2">
      <c r="B47221" s="43"/>
    </row>
    <row r="47222" spans="2:2" ht="12.75" customHeight="1" x14ac:dyDescent="0.2">
      <c r="B47222" s="43"/>
    </row>
    <row r="47223" spans="2:2" ht="12.75" customHeight="1" x14ac:dyDescent="0.2">
      <c r="B47223" s="43"/>
    </row>
    <row r="47224" spans="2:2" ht="12.75" customHeight="1" x14ac:dyDescent="0.2">
      <c r="B47224" s="43"/>
    </row>
    <row r="47225" spans="2:2" ht="12.75" customHeight="1" x14ac:dyDescent="0.2">
      <c r="B47225" s="43"/>
    </row>
    <row r="47226" spans="2:2" ht="12.75" customHeight="1" x14ac:dyDescent="0.2">
      <c r="B47226" s="43"/>
    </row>
    <row r="47227" spans="2:2" ht="12.75" customHeight="1" x14ac:dyDescent="0.2">
      <c r="B47227" s="43"/>
    </row>
    <row r="47228" spans="2:2" ht="12.75" customHeight="1" x14ac:dyDescent="0.2">
      <c r="B47228" s="43"/>
    </row>
    <row r="47229" spans="2:2" ht="12.75" customHeight="1" x14ac:dyDescent="0.2">
      <c r="B47229" s="43"/>
    </row>
    <row r="47230" spans="2:2" ht="12.75" customHeight="1" x14ac:dyDescent="0.2">
      <c r="B47230" s="43"/>
    </row>
    <row r="47231" spans="2:2" ht="12.75" customHeight="1" x14ac:dyDescent="0.2">
      <c r="B47231" s="43"/>
    </row>
    <row r="47232" spans="2:2" ht="12.75" customHeight="1" x14ac:dyDescent="0.2">
      <c r="B47232" s="43"/>
    </row>
    <row r="47233" spans="2:2" ht="12.75" customHeight="1" x14ac:dyDescent="0.2">
      <c r="B47233" s="43"/>
    </row>
    <row r="47234" spans="2:2" ht="12.75" customHeight="1" x14ac:dyDescent="0.2">
      <c r="B47234" s="43"/>
    </row>
    <row r="47235" spans="2:2" ht="12.75" customHeight="1" x14ac:dyDescent="0.2">
      <c r="B47235" s="43"/>
    </row>
    <row r="47236" spans="2:2" ht="12.75" customHeight="1" x14ac:dyDescent="0.2">
      <c r="B47236" s="43"/>
    </row>
    <row r="47237" spans="2:2" ht="12.75" customHeight="1" x14ac:dyDescent="0.2">
      <c r="B47237" s="43"/>
    </row>
    <row r="47238" spans="2:2" ht="12.75" customHeight="1" x14ac:dyDescent="0.2">
      <c r="B47238" s="43"/>
    </row>
    <row r="47239" spans="2:2" ht="12.75" customHeight="1" x14ac:dyDescent="0.2">
      <c r="B47239" s="43"/>
    </row>
    <row r="47240" spans="2:2" ht="12.75" customHeight="1" x14ac:dyDescent="0.2">
      <c r="B47240" s="43"/>
    </row>
    <row r="47241" spans="2:2" ht="12.75" customHeight="1" x14ac:dyDescent="0.2">
      <c r="B47241" s="43"/>
    </row>
    <row r="47242" spans="2:2" ht="12.75" customHeight="1" x14ac:dyDescent="0.2">
      <c r="B47242" s="43"/>
    </row>
    <row r="47243" spans="2:2" ht="12.75" customHeight="1" x14ac:dyDescent="0.2">
      <c r="B47243" s="43"/>
    </row>
    <row r="47244" spans="2:2" ht="12.75" customHeight="1" x14ac:dyDescent="0.2">
      <c r="B47244" s="43"/>
    </row>
    <row r="47245" spans="2:2" ht="12.75" customHeight="1" x14ac:dyDescent="0.2">
      <c r="B47245" s="43"/>
    </row>
    <row r="47246" spans="2:2" ht="12.75" customHeight="1" x14ac:dyDescent="0.2">
      <c r="B47246" s="43"/>
    </row>
    <row r="47247" spans="2:2" ht="12.75" customHeight="1" x14ac:dyDescent="0.2">
      <c r="B47247" s="43"/>
    </row>
    <row r="47248" spans="2:2" ht="12.75" customHeight="1" x14ac:dyDescent="0.2">
      <c r="B47248" s="43"/>
    </row>
    <row r="47249" spans="2:2" ht="12.75" customHeight="1" x14ac:dyDescent="0.2">
      <c r="B47249" s="43"/>
    </row>
    <row r="47250" spans="2:2" ht="12.75" customHeight="1" x14ac:dyDescent="0.2">
      <c r="B47250" s="43"/>
    </row>
    <row r="47251" spans="2:2" ht="12.75" customHeight="1" x14ac:dyDescent="0.2">
      <c r="B47251" s="43"/>
    </row>
    <row r="47252" spans="2:2" ht="12.75" customHeight="1" x14ac:dyDescent="0.2">
      <c r="B47252" s="43"/>
    </row>
    <row r="47253" spans="2:2" ht="12.75" customHeight="1" x14ac:dyDescent="0.2">
      <c r="B47253" s="43"/>
    </row>
    <row r="47254" spans="2:2" ht="12.75" customHeight="1" x14ac:dyDescent="0.2">
      <c r="B47254" s="43"/>
    </row>
    <row r="47255" spans="2:2" ht="12.75" customHeight="1" x14ac:dyDescent="0.2">
      <c r="B47255" s="43"/>
    </row>
    <row r="47256" spans="2:2" ht="12.75" customHeight="1" x14ac:dyDescent="0.2">
      <c r="B47256" s="43"/>
    </row>
    <row r="47257" spans="2:2" ht="12.75" customHeight="1" x14ac:dyDescent="0.2">
      <c r="B47257" s="43"/>
    </row>
    <row r="47258" spans="2:2" ht="12.75" customHeight="1" x14ac:dyDescent="0.2">
      <c r="B47258" s="43"/>
    </row>
    <row r="47259" spans="2:2" ht="12.75" customHeight="1" x14ac:dyDescent="0.2">
      <c r="B47259" s="43"/>
    </row>
    <row r="47260" spans="2:2" ht="12.75" customHeight="1" x14ac:dyDescent="0.2">
      <c r="B47260" s="43"/>
    </row>
    <row r="47261" spans="2:2" ht="12.75" customHeight="1" x14ac:dyDescent="0.2">
      <c r="B47261" s="43"/>
    </row>
    <row r="47262" spans="2:2" ht="12.75" customHeight="1" x14ac:dyDescent="0.2">
      <c r="B47262" s="43"/>
    </row>
    <row r="47263" spans="2:2" ht="12.75" customHeight="1" x14ac:dyDescent="0.2">
      <c r="B47263" s="43"/>
    </row>
    <row r="47264" spans="2:2" ht="12.75" customHeight="1" x14ac:dyDescent="0.2">
      <c r="B47264" s="43"/>
    </row>
    <row r="47265" spans="2:2" ht="12.75" customHeight="1" x14ac:dyDescent="0.2">
      <c r="B47265" s="43"/>
    </row>
    <row r="47266" spans="2:2" ht="12.75" customHeight="1" x14ac:dyDescent="0.2">
      <c r="B47266" s="43"/>
    </row>
    <row r="47267" spans="2:2" ht="12.75" customHeight="1" x14ac:dyDescent="0.2">
      <c r="B47267" s="43"/>
    </row>
    <row r="47268" spans="2:2" ht="12.75" customHeight="1" x14ac:dyDescent="0.2">
      <c r="B47268" s="43"/>
    </row>
    <row r="47269" spans="2:2" ht="12.75" customHeight="1" x14ac:dyDescent="0.2">
      <c r="B47269" s="43"/>
    </row>
    <row r="47270" spans="2:2" ht="12.75" customHeight="1" x14ac:dyDescent="0.2">
      <c r="B47270" s="43"/>
    </row>
    <row r="47271" spans="2:2" ht="12.75" customHeight="1" x14ac:dyDescent="0.2">
      <c r="B47271" s="43"/>
    </row>
    <row r="47272" spans="2:2" ht="12.75" customHeight="1" x14ac:dyDescent="0.2">
      <c r="B47272" s="43"/>
    </row>
    <row r="47273" spans="2:2" ht="12.75" customHeight="1" x14ac:dyDescent="0.2">
      <c r="B47273" s="43"/>
    </row>
    <row r="47274" spans="2:2" ht="12.75" customHeight="1" x14ac:dyDescent="0.2">
      <c r="B47274" s="43"/>
    </row>
    <row r="47275" spans="2:2" ht="12.75" customHeight="1" x14ac:dyDescent="0.2">
      <c r="B47275" s="43"/>
    </row>
    <row r="47276" spans="2:2" ht="12.75" customHeight="1" x14ac:dyDescent="0.2">
      <c r="B47276" s="43"/>
    </row>
    <row r="47277" spans="2:2" ht="12.75" customHeight="1" x14ac:dyDescent="0.2">
      <c r="B47277" s="43"/>
    </row>
    <row r="47278" spans="2:2" ht="12.75" customHeight="1" x14ac:dyDescent="0.2">
      <c r="B47278" s="43"/>
    </row>
    <row r="47279" spans="2:2" ht="12.75" customHeight="1" x14ac:dyDescent="0.2">
      <c r="B47279" s="43"/>
    </row>
    <row r="47280" spans="2:2" ht="12.75" customHeight="1" x14ac:dyDescent="0.2">
      <c r="B47280" s="43"/>
    </row>
    <row r="47281" spans="2:2" ht="12.75" customHeight="1" x14ac:dyDescent="0.2">
      <c r="B47281" s="43"/>
    </row>
    <row r="47282" spans="2:2" ht="12.75" customHeight="1" x14ac:dyDescent="0.2">
      <c r="B47282" s="43"/>
    </row>
    <row r="47283" spans="2:2" ht="12.75" customHeight="1" x14ac:dyDescent="0.2">
      <c r="B47283" s="43"/>
    </row>
    <row r="47284" spans="2:2" ht="12.75" customHeight="1" x14ac:dyDescent="0.2">
      <c r="B47284" s="43"/>
    </row>
    <row r="47285" spans="2:2" ht="12.75" customHeight="1" x14ac:dyDescent="0.2">
      <c r="B47285" s="43"/>
    </row>
    <row r="47286" spans="2:2" ht="12.75" customHeight="1" x14ac:dyDescent="0.2">
      <c r="B47286" s="43"/>
    </row>
    <row r="47287" spans="2:2" ht="12.75" customHeight="1" x14ac:dyDescent="0.2">
      <c r="B47287" s="43"/>
    </row>
    <row r="47288" spans="2:2" ht="12.75" customHeight="1" x14ac:dyDescent="0.2">
      <c r="B47288" s="43"/>
    </row>
    <row r="47289" spans="2:2" ht="12.75" customHeight="1" x14ac:dyDescent="0.2">
      <c r="B47289" s="43"/>
    </row>
    <row r="47290" spans="2:2" ht="12.75" customHeight="1" x14ac:dyDescent="0.2">
      <c r="B47290" s="43"/>
    </row>
    <row r="47291" spans="2:2" ht="12.75" customHeight="1" x14ac:dyDescent="0.2">
      <c r="B47291" s="43"/>
    </row>
    <row r="47292" spans="2:2" ht="12.75" customHeight="1" x14ac:dyDescent="0.2">
      <c r="B47292" s="43"/>
    </row>
    <row r="47293" spans="2:2" ht="12.75" customHeight="1" x14ac:dyDescent="0.2">
      <c r="B47293" s="43"/>
    </row>
    <row r="47294" spans="2:2" ht="12.75" customHeight="1" x14ac:dyDescent="0.2">
      <c r="B47294" s="43"/>
    </row>
    <row r="47295" spans="2:2" ht="12.75" customHeight="1" x14ac:dyDescent="0.2">
      <c r="B47295" s="43"/>
    </row>
    <row r="47296" spans="2:2" ht="12.75" customHeight="1" x14ac:dyDescent="0.2">
      <c r="B47296" s="43"/>
    </row>
    <row r="47297" spans="2:2" ht="12.75" customHeight="1" x14ac:dyDescent="0.2">
      <c r="B47297" s="43"/>
    </row>
    <row r="47298" spans="2:2" ht="12.75" customHeight="1" x14ac:dyDescent="0.2">
      <c r="B47298" s="43"/>
    </row>
    <row r="47299" spans="2:2" ht="12.75" customHeight="1" x14ac:dyDescent="0.2">
      <c r="B47299" s="43"/>
    </row>
    <row r="47300" spans="2:2" ht="12.75" customHeight="1" x14ac:dyDescent="0.2">
      <c r="B47300" s="43"/>
    </row>
    <row r="47301" spans="2:2" ht="12.75" customHeight="1" x14ac:dyDescent="0.2">
      <c r="B47301" s="43"/>
    </row>
    <row r="47302" spans="2:2" ht="12.75" customHeight="1" x14ac:dyDescent="0.2">
      <c r="B47302" s="43"/>
    </row>
    <row r="47303" spans="2:2" ht="12.75" customHeight="1" x14ac:dyDescent="0.2">
      <c r="B47303" s="43"/>
    </row>
    <row r="47304" spans="2:2" ht="12.75" customHeight="1" x14ac:dyDescent="0.2">
      <c r="B47304" s="43"/>
    </row>
    <row r="47305" spans="2:2" ht="12.75" customHeight="1" x14ac:dyDescent="0.2">
      <c r="B47305" s="43"/>
    </row>
    <row r="47306" spans="2:2" ht="12.75" customHeight="1" x14ac:dyDescent="0.2">
      <c r="B47306" s="43"/>
    </row>
    <row r="47307" spans="2:2" ht="12.75" customHeight="1" x14ac:dyDescent="0.2">
      <c r="B47307" s="43"/>
    </row>
    <row r="47308" spans="2:2" ht="12.75" customHeight="1" x14ac:dyDescent="0.2">
      <c r="B47308" s="43"/>
    </row>
    <row r="47309" spans="2:2" ht="12.75" customHeight="1" x14ac:dyDescent="0.2">
      <c r="B47309" s="43"/>
    </row>
    <row r="47310" spans="2:2" ht="12.75" customHeight="1" x14ac:dyDescent="0.2">
      <c r="B47310" s="43"/>
    </row>
    <row r="47311" spans="2:2" ht="12.75" customHeight="1" x14ac:dyDescent="0.2">
      <c r="B47311" s="43"/>
    </row>
    <row r="47312" spans="2:2" ht="12.75" customHeight="1" x14ac:dyDescent="0.2">
      <c r="B47312" s="43"/>
    </row>
    <row r="47313" spans="2:2" ht="12.75" customHeight="1" x14ac:dyDescent="0.2">
      <c r="B47313" s="43"/>
    </row>
    <row r="47314" spans="2:2" ht="12.75" customHeight="1" x14ac:dyDescent="0.2">
      <c r="B47314" s="43"/>
    </row>
    <row r="47315" spans="2:2" ht="12.75" customHeight="1" x14ac:dyDescent="0.2">
      <c r="B47315" s="43"/>
    </row>
    <row r="47316" spans="2:2" ht="12.75" customHeight="1" x14ac:dyDescent="0.2">
      <c r="B47316" s="43"/>
    </row>
    <row r="47317" spans="2:2" ht="12.75" customHeight="1" x14ac:dyDescent="0.2">
      <c r="B47317" s="43"/>
    </row>
    <row r="47318" spans="2:2" ht="12.75" customHeight="1" x14ac:dyDescent="0.2">
      <c r="B47318" s="43"/>
    </row>
    <row r="47319" spans="2:2" ht="12.75" customHeight="1" x14ac:dyDescent="0.2">
      <c r="B47319" s="43"/>
    </row>
    <row r="47320" spans="2:2" ht="12.75" customHeight="1" x14ac:dyDescent="0.2">
      <c r="B47320" s="43"/>
    </row>
    <row r="47321" spans="2:2" ht="12.75" customHeight="1" x14ac:dyDescent="0.2">
      <c r="B47321" s="43"/>
    </row>
    <row r="47322" spans="2:2" ht="12.75" customHeight="1" x14ac:dyDescent="0.2">
      <c r="B47322" s="43"/>
    </row>
    <row r="47323" spans="2:2" ht="12.75" customHeight="1" x14ac:dyDescent="0.2">
      <c r="B47323" s="43"/>
    </row>
    <row r="47324" spans="2:2" ht="12.75" customHeight="1" x14ac:dyDescent="0.2">
      <c r="B47324" s="43"/>
    </row>
    <row r="47325" spans="2:2" ht="12.75" customHeight="1" x14ac:dyDescent="0.2">
      <c r="B47325" s="43"/>
    </row>
    <row r="47326" spans="2:2" ht="12.75" customHeight="1" x14ac:dyDescent="0.2">
      <c r="B47326" s="43"/>
    </row>
    <row r="47327" spans="2:2" ht="12.75" customHeight="1" x14ac:dyDescent="0.2">
      <c r="B47327" s="43"/>
    </row>
    <row r="47328" spans="2:2" ht="12.75" customHeight="1" x14ac:dyDescent="0.2">
      <c r="B47328" s="43"/>
    </row>
    <row r="47329" spans="2:2" ht="12.75" customHeight="1" x14ac:dyDescent="0.2">
      <c r="B47329" s="43"/>
    </row>
    <row r="47330" spans="2:2" ht="12.75" customHeight="1" x14ac:dyDescent="0.2">
      <c r="B47330" s="43"/>
    </row>
    <row r="47331" spans="2:2" ht="12.75" customHeight="1" x14ac:dyDescent="0.2">
      <c r="B47331" s="43"/>
    </row>
    <row r="47332" spans="2:2" ht="12.75" customHeight="1" x14ac:dyDescent="0.2">
      <c r="B47332" s="43"/>
    </row>
    <row r="47333" spans="2:2" ht="12.75" customHeight="1" x14ac:dyDescent="0.2">
      <c r="B47333" s="43"/>
    </row>
    <row r="47334" spans="2:2" ht="12.75" customHeight="1" x14ac:dyDescent="0.2">
      <c r="B47334" s="43"/>
    </row>
    <row r="47335" spans="2:2" ht="12.75" customHeight="1" x14ac:dyDescent="0.2">
      <c r="B47335" s="43"/>
    </row>
    <row r="47336" spans="2:2" ht="12.75" customHeight="1" x14ac:dyDescent="0.2">
      <c r="B47336" s="43"/>
    </row>
    <row r="47337" spans="2:2" ht="12.75" customHeight="1" x14ac:dyDescent="0.2">
      <c r="B47337" s="43"/>
    </row>
    <row r="47338" spans="2:2" ht="12.75" customHeight="1" x14ac:dyDescent="0.2">
      <c r="B47338" s="43"/>
    </row>
    <row r="47339" spans="2:2" ht="12.75" customHeight="1" x14ac:dyDescent="0.2">
      <c r="B47339" s="43"/>
    </row>
    <row r="47340" spans="2:2" ht="12.75" customHeight="1" x14ac:dyDescent="0.2">
      <c r="B47340" s="43"/>
    </row>
    <row r="47341" spans="2:2" ht="12.75" customHeight="1" x14ac:dyDescent="0.2">
      <c r="B47341" s="43"/>
    </row>
    <row r="47342" spans="2:2" ht="12.75" customHeight="1" x14ac:dyDescent="0.2">
      <c r="B47342" s="43"/>
    </row>
    <row r="47343" spans="2:2" ht="12.75" customHeight="1" x14ac:dyDescent="0.2">
      <c r="B47343" s="43"/>
    </row>
    <row r="47344" spans="2:2" ht="12.75" customHeight="1" x14ac:dyDescent="0.2">
      <c r="B47344" s="43"/>
    </row>
    <row r="47345" spans="2:2" ht="12.75" customHeight="1" x14ac:dyDescent="0.2">
      <c r="B47345" s="43"/>
    </row>
    <row r="47346" spans="2:2" ht="12.75" customHeight="1" x14ac:dyDescent="0.2">
      <c r="B47346" s="43"/>
    </row>
    <row r="47347" spans="2:2" ht="12.75" customHeight="1" x14ac:dyDescent="0.2">
      <c r="B47347" s="43"/>
    </row>
    <row r="47348" spans="2:2" ht="12.75" customHeight="1" x14ac:dyDescent="0.2">
      <c r="B47348" s="43"/>
    </row>
    <row r="47349" spans="2:2" ht="12.75" customHeight="1" x14ac:dyDescent="0.2">
      <c r="B47349" s="43"/>
    </row>
    <row r="47350" spans="2:2" ht="12.75" customHeight="1" x14ac:dyDescent="0.2">
      <c r="B47350" s="43"/>
    </row>
    <row r="47351" spans="2:2" ht="12.75" customHeight="1" x14ac:dyDescent="0.2">
      <c r="B47351" s="43"/>
    </row>
    <row r="47352" spans="2:2" ht="12.75" customHeight="1" x14ac:dyDescent="0.2">
      <c r="B47352" s="43"/>
    </row>
    <row r="47353" spans="2:2" ht="12.75" customHeight="1" x14ac:dyDescent="0.2">
      <c r="B47353" s="43"/>
    </row>
    <row r="47354" spans="2:2" ht="12.75" customHeight="1" x14ac:dyDescent="0.2">
      <c r="B47354" s="43"/>
    </row>
    <row r="47355" spans="2:2" ht="12.75" customHeight="1" x14ac:dyDescent="0.2">
      <c r="B47355" s="43"/>
    </row>
    <row r="47356" spans="2:2" ht="12.75" customHeight="1" x14ac:dyDescent="0.2">
      <c r="B47356" s="43"/>
    </row>
    <row r="47357" spans="2:2" ht="12.75" customHeight="1" x14ac:dyDescent="0.2">
      <c r="B47357" s="43"/>
    </row>
    <row r="47358" spans="2:2" ht="12.75" customHeight="1" x14ac:dyDescent="0.2">
      <c r="B47358" s="43"/>
    </row>
    <row r="47359" spans="2:2" ht="12.75" customHeight="1" x14ac:dyDescent="0.2">
      <c r="B47359" s="43"/>
    </row>
    <row r="47360" spans="2:2" ht="12.75" customHeight="1" x14ac:dyDescent="0.2">
      <c r="B47360" s="43"/>
    </row>
    <row r="47361" spans="2:2" ht="12.75" customHeight="1" x14ac:dyDescent="0.2">
      <c r="B47361" s="43"/>
    </row>
    <row r="47362" spans="2:2" ht="12.75" customHeight="1" x14ac:dyDescent="0.2">
      <c r="B47362" s="43"/>
    </row>
    <row r="47363" spans="2:2" ht="12.75" customHeight="1" x14ac:dyDescent="0.2">
      <c r="B47363" s="43"/>
    </row>
    <row r="47364" spans="2:2" ht="12.75" customHeight="1" x14ac:dyDescent="0.2">
      <c r="B47364" s="43"/>
    </row>
    <row r="47365" spans="2:2" ht="12.75" customHeight="1" x14ac:dyDescent="0.2">
      <c r="B47365" s="43"/>
    </row>
    <row r="47366" spans="2:2" ht="12.75" customHeight="1" x14ac:dyDescent="0.2">
      <c r="B47366" s="43"/>
    </row>
    <row r="47367" spans="2:2" ht="12.75" customHeight="1" x14ac:dyDescent="0.2">
      <c r="B47367" s="43"/>
    </row>
    <row r="47368" spans="2:2" ht="12.75" customHeight="1" x14ac:dyDescent="0.2">
      <c r="B47368" s="43"/>
    </row>
    <row r="47369" spans="2:2" ht="12.75" customHeight="1" x14ac:dyDescent="0.2">
      <c r="B47369" s="43"/>
    </row>
    <row r="47370" spans="2:2" ht="12.75" customHeight="1" x14ac:dyDescent="0.2">
      <c r="B47370" s="43"/>
    </row>
    <row r="47371" spans="2:2" ht="12.75" customHeight="1" x14ac:dyDescent="0.2">
      <c r="B47371" s="43"/>
    </row>
    <row r="47372" spans="2:2" ht="12.75" customHeight="1" x14ac:dyDescent="0.2">
      <c r="B47372" s="43"/>
    </row>
    <row r="47373" spans="2:2" ht="12.75" customHeight="1" x14ac:dyDescent="0.2">
      <c r="B47373" s="43"/>
    </row>
    <row r="47374" spans="2:2" ht="12.75" customHeight="1" x14ac:dyDescent="0.2">
      <c r="B47374" s="43"/>
    </row>
    <row r="47375" spans="2:2" ht="12.75" customHeight="1" x14ac:dyDescent="0.2">
      <c r="B47375" s="43"/>
    </row>
    <row r="47376" spans="2:2" ht="12.75" customHeight="1" x14ac:dyDescent="0.2">
      <c r="B47376" s="43"/>
    </row>
    <row r="47377" spans="2:2" ht="12.75" customHeight="1" x14ac:dyDescent="0.2">
      <c r="B47377" s="43"/>
    </row>
    <row r="47378" spans="2:2" ht="12.75" customHeight="1" x14ac:dyDescent="0.2">
      <c r="B47378" s="43"/>
    </row>
    <row r="47379" spans="2:2" ht="12.75" customHeight="1" x14ac:dyDescent="0.2">
      <c r="B47379" s="43"/>
    </row>
    <row r="47380" spans="2:2" ht="12.75" customHeight="1" x14ac:dyDescent="0.2">
      <c r="B47380" s="43"/>
    </row>
    <row r="47381" spans="2:2" ht="12.75" customHeight="1" x14ac:dyDescent="0.2">
      <c r="B47381" s="43"/>
    </row>
    <row r="47382" spans="2:2" ht="12.75" customHeight="1" x14ac:dyDescent="0.2">
      <c r="B47382" s="43"/>
    </row>
    <row r="47383" spans="2:2" ht="12.75" customHeight="1" x14ac:dyDescent="0.2">
      <c r="B47383" s="43"/>
    </row>
    <row r="47384" spans="2:2" ht="12.75" customHeight="1" x14ac:dyDescent="0.2">
      <c r="B47384" s="43"/>
    </row>
    <row r="47385" spans="2:2" ht="12.75" customHeight="1" x14ac:dyDescent="0.2">
      <c r="B47385" s="43"/>
    </row>
    <row r="47386" spans="2:2" ht="12.75" customHeight="1" x14ac:dyDescent="0.2">
      <c r="B47386" s="43"/>
    </row>
    <row r="47387" spans="2:2" ht="12.75" customHeight="1" x14ac:dyDescent="0.2">
      <c r="B47387" s="43"/>
    </row>
    <row r="47388" spans="2:2" ht="12.75" customHeight="1" x14ac:dyDescent="0.2">
      <c r="B47388" s="43"/>
    </row>
    <row r="47389" spans="2:2" ht="12.75" customHeight="1" x14ac:dyDescent="0.2">
      <c r="B47389" s="43"/>
    </row>
    <row r="47390" spans="2:2" ht="12.75" customHeight="1" x14ac:dyDescent="0.2">
      <c r="B47390" s="43"/>
    </row>
    <row r="47391" spans="2:2" ht="12.75" customHeight="1" x14ac:dyDescent="0.2">
      <c r="B47391" s="43"/>
    </row>
    <row r="47392" spans="2:2" ht="12.75" customHeight="1" x14ac:dyDescent="0.2">
      <c r="B47392" s="43"/>
    </row>
    <row r="47393" spans="2:2" ht="12.75" customHeight="1" x14ac:dyDescent="0.2">
      <c r="B47393" s="43"/>
    </row>
    <row r="47394" spans="2:2" ht="12.75" customHeight="1" x14ac:dyDescent="0.2">
      <c r="B47394" s="43"/>
    </row>
    <row r="47395" spans="2:2" ht="12.75" customHeight="1" x14ac:dyDescent="0.2">
      <c r="B47395" s="43"/>
    </row>
    <row r="47396" spans="2:2" ht="12.75" customHeight="1" x14ac:dyDescent="0.2">
      <c r="B47396" s="43"/>
    </row>
    <row r="47397" spans="2:2" ht="12.75" customHeight="1" x14ac:dyDescent="0.2">
      <c r="B47397" s="43"/>
    </row>
    <row r="47398" spans="2:2" ht="12.75" customHeight="1" x14ac:dyDescent="0.2">
      <c r="B47398" s="43"/>
    </row>
    <row r="47399" spans="2:2" ht="12.75" customHeight="1" x14ac:dyDescent="0.2">
      <c r="B47399" s="43"/>
    </row>
    <row r="47400" spans="2:2" ht="12.75" customHeight="1" x14ac:dyDescent="0.2">
      <c r="B47400" s="43"/>
    </row>
    <row r="47401" spans="2:2" ht="12.75" customHeight="1" x14ac:dyDescent="0.2">
      <c r="B47401" s="43"/>
    </row>
    <row r="47402" spans="2:2" ht="12.75" customHeight="1" x14ac:dyDescent="0.2">
      <c r="B47402" s="43"/>
    </row>
    <row r="47403" spans="2:2" ht="12.75" customHeight="1" x14ac:dyDescent="0.2">
      <c r="B47403" s="43"/>
    </row>
    <row r="47404" spans="2:2" ht="12.75" customHeight="1" x14ac:dyDescent="0.2">
      <c r="B47404" s="43"/>
    </row>
    <row r="47405" spans="2:2" ht="12.75" customHeight="1" x14ac:dyDescent="0.2">
      <c r="B47405" s="43"/>
    </row>
    <row r="47406" spans="2:2" ht="12.75" customHeight="1" x14ac:dyDescent="0.2">
      <c r="B47406" s="43"/>
    </row>
    <row r="47407" spans="2:2" ht="12.75" customHeight="1" x14ac:dyDescent="0.2">
      <c r="B47407" s="43"/>
    </row>
    <row r="47408" spans="2:2" ht="12.75" customHeight="1" x14ac:dyDescent="0.2">
      <c r="B47408" s="43"/>
    </row>
    <row r="47409" spans="2:2" ht="12.75" customHeight="1" x14ac:dyDescent="0.2">
      <c r="B47409" s="43"/>
    </row>
    <row r="47410" spans="2:2" ht="12.75" customHeight="1" x14ac:dyDescent="0.2">
      <c r="B47410" s="43"/>
    </row>
    <row r="47411" spans="2:2" ht="12.75" customHeight="1" x14ac:dyDescent="0.2">
      <c r="B47411" s="43"/>
    </row>
    <row r="47412" spans="2:2" ht="12.75" customHeight="1" x14ac:dyDescent="0.2">
      <c r="B47412" s="43"/>
    </row>
    <row r="47413" spans="2:2" ht="12.75" customHeight="1" x14ac:dyDescent="0.2">
      <c r="B47413" s="43"/>
    </row>
    <row r="47414" spans="2:2" ht="12.75" customHeight="1" x14ac:dyDescent="0.2">
      <c r="B47414" s="43"/>
    </row>
    <row r="47415" spans="2:2" ht="12.75" customHeight="1" x14ac:dyDescent="0.2">
      <c r="B47415" s="43"/>
    </row>
    <row r="47416" spans="2:2" ht="12.75" customHeight="1" x14ac:dyDescent="0.2">
      <c r="B47416" s="43"/>
    </row>
    <row r="47417" spans="2:2" ht="12.75" customHeight="1" x14ac:dyDescent="0.2">
      <c r="B47417" s="43"/>
    </row>
    <row r="47418" spans="2:2" ht="12.75" customHeight="1" x14ac:dyDescent="0.2">
      <c r="B47418" s="43"/>
    </row>
    <row r="47419" spans="2:2" ht="12.75" customHeight="1" x14ac:dyDescent="0.2">
      <c r="B47419" s="43"/>
    </row>
    <row r="47420" spans="2:2" ht="12.75" customHeight="1" x14ac:dyDescent="0.2">
      <c r="B47420" s="43"/>
    </row>
    <row r="47421" spans="2:2" ht="12.75" customHeight="1" x14ac:dyDescent="0.2">
      <c r="B47421" s="43"/>
    </row>
    <row r="47422" spans="2:2" ht="12.75" customHeight="1" x14ac:dyDescent="0.2">
      <c r="B47422" s="43"/>
    </row>
    <row r="47423" spans="2:2" ht="12.75" customHeight="1" x14ac:dyDescent="0.2">
      <c r="B47423" s="43"/>
    </row>
    <row r="47424" spans="2:2" ht="12.75" customHeight="1" x14ac:dyDescent="0.2">
      <c r="B47424" s="43"/>
    </row>
    <row r="47425" spans="2:2" ht="12.75" customHeight="1" x14ac:dyDescent="0.2">
      <c r="B47425" s="43"/>
    </row>
    <row r="47426" spans="2:2" ht="12.75" customHeight="1" x14ac:dyDescent="0.2">
      <c r="B47426" s="43"/>
    </row>
    <row r="47427" spans="2:2" ht="12.75" customHeight="1" x14ac:dyDescent="0.2">
      <c r="B47427" s="43"/>
    </row>
    <row r="47428" spans="2:2" ht="12.75" customHeight="1" x14ac:dyDescent="0.2">
      <c r="B47428" s="43"/>
    </row>
    <row r="47429" spans="2:2" ht="12.75" customHeight="1" x14ac:dyDescent="0.2">
      <c r="B47429" s="43"/>
    </row>
    <row r="47430" spans="2:2" ht="12.75" customHeight="1" x14ac:dyDescent="0.2">
      <c r="B47430" s="43"/>
    </row>
    <row r="47431" spans="2:2" ht="12.75" customHeight="1" x14ac:dyDescent="0.2">
      <c r="B47431" s="43"/>
    </row>
    <row r="47432" spans="2:2" ht="12.75" customHeight="1" x14ac:dyDescent="0.2">
      <c r="B47432" s="43"/>
    </row>
    <row r="47433" spans="2:2" ht="12.75" customHeight="1" x14ac:dyDescent="0.2">
      <c r="B47433" s="43"/>
    </row>
    <row r="47434" spans="2:2" ht="12.75" customHeight="1" x14ac:dyDescent="0.2">
      <c r="B47434" s="43"/>
    </row>
    <row r="47435" spans="2:2" ht="12.75" customHeight="1" x14ac:dyDescent="0.2">
      <c r="B47435" s="43"/>
    </row>
    <row r="47436" spans="2:2" ht="12.75" customHeight="1" x14ac:dyDescent="0.2">
      <c r="B47436" s="43"/>
    </row>
    <row r="47437" spans="2:2" ht="12.75" customHeight="1" x14ac:dyDescent="0.2">
      <c r="B47437" s="43"/>
    </row>
    <row r="47438" spans="2:2" ht="12.75" customHeight="1" x14ac:dyDescent="0.2">
      <c r="B47438" s="43"/>
    </row>
    <row r="47439" spans="2:2" ht="12.75" customHeight="1" x14ac:dyDescent="0.2">
      <c r="B47439" s="43"/>
    </row>
    <row r="47440" spans="2:2" ht="12.75" customHeight="1" x14ac:dyDescent="0.2">
      <c r="B47440" s="43"/>
    </row>
    <row r="47441" spans="2:2" ht="12.75" customHeight="1" x14ac:dyDescent="0.2">
      <c r="B47441" s="43"/>
    </row>
    <row r="47442" spans="2:2" ht="12.75" customHeight="1" x14ac:dyDescent="0.2">
      <c r="B47442" s="43"/>
    </row>
    <row r="47443" spans="2:2" ht="12.75" customHeight="1" x14ac:dyDescent="0.2">
      <c r="B47443" s="43"/>
    </row>
    <row r="47444" spans="2:2" ht="12.75" customHeight="1" x14ac:dyDescent="0.2">
      <c r="B47444" s="43"/>
    </row>
    <row r="47445" spans="2:2" ht="12.75" customHeight="1" x14ac:dyDescent="0.2">
      <c r="B47445" s="43"/>
    </row>
    <row r="47446" spans="2:2" ht="12.75" customHeight="1" x14ac:dyDescent="0.2">
      <c r="B47446" s="43"/>
    </row>
    <row r="47447" spans="2:2" ht="12.75" customHeight="1" x14ac:dyDescent="0.2">
      <c r="B47447" s="43"/>
    </row>
    <row r="47448" spans="2:2" ht="12.75" customHeight="1" x14ac:dyDescent="0.2">
      <c r="B47448" s="43"/>
    </row>
    <row r="47449" spans="2:2" ht="12.75" customHeight="1" x14ac:dyDescent="0.2">
      <c r="B47449" s="43"/>
    </row>
    <row r="47450" spans="2:2" ht="12.75" customHeight="1" x14ac:dyDescent="0.2">
      <c r="B47450" s="43"/>
    </row>
    <row r="47451" spans="2:2" ht="12.75" customHeight="1" x14ac:dyDescent="0.2">
      <c r="B47451" s="43"/>
    </row>
    <row r="47452" spans="2:2" ht="12.75" customHeight="1" x14ac:dyDescent="0.2">
      <c r="B47452" s="43"/>
    </row>
    <row r="47453" spans="2:2" ht="12.75" customHeight="1" x14ac:dyDescent="0.2">
      <c r="B47453" s="43"/>
    </row>
    <row r="47454" spans="2:2" ht="12.75" customHeight="1" x14ac:dyDescent="0.2">
      <c r="B47454" s="43"/>
    </row>
    <row r="47455" spans="2:2" ht="12.75" customHeight="1" x14ac:dyDescent="0.2">
      <c r="B47455" s="43"/>
    </row>
    <row r="47456" spans="2:2" ht="12.75" customHeight="1" x14ac:dyDescent="0.2">
      <c r="B47456" s="43"/>
    </row>
    <row r="47457" spans="2:2" ht="12.75" customHeight="1" x14ac:dyDescent="0.2">
      <c r="B47457" s="43"/>
    </row>
    <row r="47458" spans="2:2" ht="12.75" customHeight="1" x14ac:dyDescent="0.2">
      <c r="B47458" s="43"/>
    </row>
    <row r="47459" spans="2:2" ht="12.75" customHeight="1" x14ac:dyDescent="0.2">
      <c r="B47459" s="43"/>
    </row>
    <row r="47460" spans="2:2" ht="12.75" customHeight="1" x14ac:dyDescent="0.2">
      <c r="B47460" s="43"/>
    </row>
    <row r="47461" spans="2:2" ht="12.75" customHeight="1" x14ac:dyDescent="0.2">
      <c r="B47461" s="43"/>
    </row>
    <row r="47462" spans="2:2" ht="12.75" customHeight="1" x14ac:dyDescent="0.2">
      <c r="B47462" s="43"/>
    </row>
    <row r="47463" spans="2:2" ht="12.75" customHeight="1" x14ac:dyDescent="0.2">
      <c r="B47463" s="43"/>
    </row>
    <row r="47464" spans="2:2" ht="12.75" customHeight="1" x14ac:dyDescent="0.2">
      <c r="B47464" s="43"/>
    </row>
    <row r="47465" spans="2:2" ht="12.75" customHeight="1" x14ac:dyDescent="0.2">
      <c r="B47465" s="43"/>
    </row>
    <row r="47466" spans="2:2" ht="12.75" customHeight="1" x14ac:dyDescent="0.2">
      <c r="B47466" s="43"/>
    </row>
    <row r="47467" spans="2:2" ht="12.75" customHeight="1" x14ac:dyDescent="0.2">
      <c r="B47467" s="43"/>
    </row>
    <row r="47468" spans="2:2" ht="12.75" customHeight="1" x14ac:dyDescent="0.2">
      <c r="B47468" s="43"/>
    </row>
    <row r="47469" spans="2:2" ht="12.75" customHeight="1" x14ac:dyDescent="0.2">
      <c r="B47469" s="43"/>
    </row>
    <row r="47470" spans="2:2" ht="12.75" customHeight="1" x14ac:dyDescent="0.2">
      <c r="B47470" s="43"/>
    </row>
    <row r="47471" spans="2:2" ht="12.75" customHeight="1" x14ac:dyDescent="0.2">
      <c r="B47471" s="43"/>
    </row>
    <row r="47472" spans="2:2" ht="12.75" customHeight="1" x14ac:dyDescent="0.2">
      <c r="B47472" s="43"/>
    </row>
    <row r="47473" spans="2:2" ht="12.75" customHeight="1" x14ac:dyDescent="0.2">
      <c r="B47473" s="43"/>
    </row>
    <row r="47474" spans="2:2" ht="12.75" customHeight="1" x14ac:dyDescent="0.2">
      <c r="B47474" s="43"/>
    </row>
    <row r="47475" spans="2:2" ht="12.75" customHeight="1" x14ac:dyDescent="0.2">
      <c r="B47475" s="43"/>
    </row>
    <row r="47476" spans="2:2" ht="12.75" customHeight="1" x14ac:dyDescent="0.2">
      <c r="B47476" s="43"/>
    </row>
    <row r="47477" spans="2:2" ht="12.75" customHeight="1" x14ac:dyDescent="0.2">
      <c r="B47477" s="43"/>
    </row>
    <row r="47478" spans="2:2" ht="12.75" customHeight="1" x14ac:dyDescent="0.2">
      <c r="B47478" s="43"/>
    </row>
    <row r="47479" spans="2:2" ht="12.75" customHeight="1" x14ac:dyDescent="0.2">
      <c r="B47479" s="43"/>
    </row>
    <row r="47480" spans="2:2" ht="12.75" customHeight="1" x14ac:dyDescent="0.2">
      <c r="B47480" s="43"/>
    </row>
    <row r="47481" spans="2:2" ht="12.75" customHeight="1" x14ac:dyDescent="0.2">
      <c r="B47481" s="43"/>
    </row>
    <row r="47482" spans="2:2" ht="12.75" customHeight="1" x14ac:dyDescent="0.2">
      <c r="B47482" s="43"/>
    </row>
    <row r="47483" spans="2:2" ht="12.75" customHeight="1" x14ac:dyDescent="0.2">
      <c r="B47483" s="43"/>
    </row>
    <row r="47484" spans="2:2" ht="12.75" customHeight="1" x14ac:dyDescent="0.2">
      <c r="B47484" s="43"/>
    </row>
    <row r="47485" spans="2:2" ht="12.75" customHeight="1" x14ac:dyDescent="0.2">
      <c r="B47485" s="43"/>
    </row>
    <row r="47486" spans="2:2" ht="12.75" customHeight="1" x14ac:dyDescent="0.2">
      <c r="B47486" s="43"/>
    </row>
    <row r="47487" spans="2:2" ht="12.75" customHeight="1" x14ac:dyDescent="0.2">
      <c r="B47487" s="43"/>
    </row>
    <row r="47488" spans="2:2" ht="12.75" customHeight="1" x14ac:dyDescent="0.2">
      <c r="B47488" s="43"/>
    </row>
    <row r="47489" spans="2:2" ht="12.75" customHeight="1" x14ac:dyDescent="0.2">
      <c r="B47489" s="43"/>
    </row>
    <row r="47490" spans="2:2" ht="12.75" customHeight="1" x14ac:dyDescent="0.2">
      <c r="B47490" s="43"/>
    </row>
    <row r="47491" spans="2:2" ht="12.75" customHeight="1" x14ac:dyDescent="0.2">
      <c r="B47491" s="43"/>
    </row>
    <row r="47492" spans="2:2" ht="12.75" customHeight="1" x14ac:dyDescent="0.2">
      <c r="B47492" s="43"/>
    </row>
    <row r="47493" spans="2:2" ht="12.75" customHeight="1" x14ac:dyDescent="0.2">
      <c r="B47493" s="43"/>
    </row>
    <row r="47494" spans="2:2" ht="12.75" customHeight="1" x14ac:dyDescent="0.2">
      <c r="B47494" s="43"/>
    </row>
    <row r="47495" spans="2:2" ht="12.75" customHeight="1" x14ac:dyDescent="0.2">
      <c r="B47495" s="43"/>
    </row>
    <row r="47496" spans="2:2" ht="12.75" customHeight="1" x14ac:dyDescent="0.2">
      <c r="B47496" s="43"/>
    </row>
    <row r="47497" spans="2:2" ht="12.75" customHeight="1" x14ac:dyDescent="0.2">
      <c r="B47497" s="43"/>
    </row>
    <row r="47498" spans="2:2" ht="12.75" customHeight="1" x14ac:dyDescent="0.2">
      <c r="B47498" s="43"/>
    </row>
    <row r="47499" spans="2:2" ht="12.75" customHeight="1" x14ac:dyDescent="0.2">
      <c r="B47499" s="43"/>
    </row>
    <row r="47500" spans="2:2" ht="12.75" customHeight="1" x14ac:dyDescent="0.2">
      <c r="B47500" s="43"/>
    </row>
    <row r="47501" spans="2:2" ht="12.75" customHeight="1" x14ac:dyDescent="0.2">
      <c r="B47501" s="43"/>
    </row>
    <row r="47502" spans="2:2" ht="12.75" customHeight="1" x14ac:dyDescent="0.2">
      <c r="B47502" s="43"/>
    </row>
    <row r="47503" spans="2:2" ht="12.75" customHeight="1" x14ac:dyDescent="0.2">
      <c r="B47503" s="43"/>
    </row>
    <row r="47504" spans="2:2" ht="12.75" customHeight="1" x14ac:dyDescent="0.2">
      <c r="B47504" s="43"/>
    </row>
    <row r="47505" spans="2:2" ht="12.75" customHeight="1" x14ac:dyDescent="0.2">
      <c r="B47505" s="43"/>
    </row>
    <row r="47506" spans="2:2" ht="12.75" customHeight="1" x14ac:dyDescent="0.2">
      <c r="B47506" s="43"/>
    </row>
    <row r="47507" spans="2:2" ht="12.75" customHeight="1" x14ac:dyDescent="0.2">
      <c r="B47507" s="43"/>
    </row>
    <row r="47508" spans="2:2" ht="12.75" customHeight="1" x14ac:dyDescent="0.2">
      <c r="B47508" s="43"/>
    </row>
    <row r="47509" spans="2:2" ht="12.75" customHeight="1" x14ac:dyDescent="0.2">
      <c r="B47509" s="43"/>
    </row>
    <row r="47510" spans="2:2" ht="12.75" customHeight="1" x14ac:dyDescent="0.2">
      <c r="B47510" s="43"/>
    </row>
    <row r="47511" spans="2:2" ht="12.75" customHeight="1" x14ac:dyDescent="0.2">
      <c r="B47511" s="43"/>
    </row>
    <row r="47512" spans="2:2" ht="12.75" customHeight="1" x14ac:dyDescent="0.2">
      <c r="B47512" s="43"/>
    </row>
    <row r="47513" spans="2:2" ht="12.75" customHeight="1" x14ac:dyDescent="0.2">
      <c r="B47513" s="43"/>
    </row>
    <row r="47514" spans="2:2" ht="12.75" customHeight="1" x14ac:dyDescent="0.2">
      <c r="B47514" s="43"/>
    </row>
    <row r="47515" spans="2:2" ht="12.75" customHeight="1" x14ac:dyDescent="0.2">
      <c r="B47515" s="43"/>
    </row>
    <row r="47516" spans="2:2" ht="12.75" customHeight="1" x14ac:dyDescent="0.2">
      <c r="B47516" s="43"/>
    </row>
    <row r="47517" spans="2:2" ht="12.75" customHeight="1" x14ac:dyDescent="0.2">
      <c r="B47517" s="43"/>
    </row>
    <row r="47518" spans="2:2" ht="12.75" customHeight="1" x14ac:dyDescent="0.2">
      <c r="B47518" s="43"/>
    </row>
    <row r="47519" spans="2:2" ht="12.75" customHeight="1" x14ac:dyDescent="0.2">
      <c r="B47519" s="43"/>
    </row>
    <row r="47520" spans="2:2" ht="12.75" customHeight="1" x14ac:dyDescent="0.2">
      <c r="B47520" s="43"/>
    </row>
    <row r="47521" spans="2:2" ht="12.75" customHeight="1" x14ac:dyDescent="0.2">
      <c r="B47521" s="43"/>
    </row>
    <row r="47522" spans="2:2" ht="12.75" customHeight="1" x14ac:dyDescent="0.2">
      <c r="B47522" s="43"/>
    </row>
    <row r="47523" spans="2:2" ht="12.75" customHeight="1" x14ac:dyDescent="0.2">
      <c r="B47523" s="43"/>
    </row>
    <row r="47524" spans="2:2" ht="12.75" customHeight="1" x14ac:dyDescent="0.2">
      <c r="B47524" s="43"/>
    </row>
    <row r="47525" spans="2:2" ht="12.75" customHeight="1" x14ac:dyDescent="0.2">
      <c r="B47525" s="43"/>
    </row>
    <row r="47526" spans="2:2" ht="12.75" customHeight="1" x14ac:dyDescent="0.2">
      <c r="B47526" s="43"/>
    </row>
    <row r="47527" spans="2:2" ht="12.75" customHeight="1" x14ac:dyDescent="0.2">
      <c r="B47527" s="43"/>
    </row>
    <row r="47528" spans="2:2" ht="12.75" customHeight="1" x14ac:dyDescent="0.2">
      <c r="B47528" s="43"/>
    </row>
    <row r="47529" spans="2:2" ht="12.75" customHeight="1" x14ac:dyDescent="0.2">
      <c r="B47529" s="43"/>
    </row>
    <row r="47530" spans="2:2" ht="12.75" customHeight="1" x14ac:dyDescent="0.2">
      <c r="B47530" s="43"/>
    </row>
    <row r="47531" spans="2:2" ht="12.75" customHeight="1" x14ac:dyDescent="0.2">
      <c r="B47531" s="43"/>
    </row>
    <row r="47532" spans="2:2" ht="12.75" customHeight="1" x14ac:dyDescent="0.2">
      <c r="B47532" s="43"/>
    </row>
    <row r="47533" spans="2:2" ht="12.75" customHeight="1" x14ac:dyDescent="0.2">
      <c r="B47533" s="43"/>
    </row>
    <row r="47534" spans="2:2" ht="12.75" customHeight="1" x14ac:dyDescent="0.2">
      <c r="B47534" s="43"/>
    </row>
    <row r="47535" spans="2:2" ht="12.75" customHeight="1" x14ac:dyDescent="0.2">
      <c r="B47535" s="43"/>
    </row>
    <row r="47536" spans="2:2" ht="12.75" customHeight="1" x14ac:dyDescent="0.2">
      <c r="B47536" s="43"/>
    </row>
    <row r="47537" spans="2:2" ht="12.75" customHeight="1" x14ac:dyDescent="0.2">
      <c r="B47537" s="43"/>
    </row>
    <row r="47538" spans="2:2" ht="12.75" customHeight="1" x14ac:dyDescent="0.2">
      <c r="B47538" s="43"/>
    </row>
    <row r="47539" spans="2:2" ht="12.75" customHeight="1" x14ac:dyDescent="0.2">
      <c r="B47539" s="43"/>
    </row>
    <row r="47540" spans="2:2" ht="12.75" customHeight="1" x14ac:dyDescent="0.2">
      <c r="B47540" s="43"/>
    </row>
    <row r="47541" spans="2:2" ht="12.75" customHeight="1" x14ac:dyDescent="0.2">
      <c r="B47541" s="43"/>
    </row>
    <row r="47542" spans="2:2" ht="12.75" customHeight="1" x14ac:dyDescent="0.2">
      <c r="B47542" s="43"/>
    </row>
    <row r="47543" spans="2:2" ht="12.75" customHeight="1" x14ac:dyDescent="0.2">
      <c r="B47543" s="43"/>
    </row>
    <row r="47544" spans="2:2" ht="12.75" customHeight="1" x14ac:dyDescent="0.2">
      <c r="B47544" s="43"/>
    </row>
    <row r="47545" spans="2:2" ht="12.75" customHeight="1" x14ac:dyDescent="0.2">
      <c r="B47545" s="43"/>
    </row>
    <row r="47546" spans="2:2" ht="12.75" customHeight="1" x14ac:dyDescent="0.2">
      <c r="B47546" s="43"/>
    </row>
    <row r="47547" spans="2:2" ht="12.75" customHeight="1" x14ac:dyDescent="0.2">
      <c r="B47547" s="43"/>
    </row>
    <row r="47548" spans="2:2" ht="12.75" customHeight="1" x14ac:dyDescent="0.2">
      <c r="B47548" s="43"/>
    </row>
    <row r="47549" spans="2:2" ht="12.75" customHeight="1" x14ac:dyDescent="0.2">
      <c r="B47549" s="43"/>
    </row>
    <row r="47550" spans="2:2" ht="12.75" customHeight="1" x14ac:dyDescent="0.2">
      <c r="B47550" s="43"/>
    </row>
    <row r="47551" spans="2:2" ht="12.75" customHeight="1" x14ac:dyDescent="0.2">
      <c r="B47551" s="43"/>
    </row>
    <row r="47552" spans="2:2" ht="12.75" customHeight="1" x14ac:dyDescent="0.2">
      <c r="B47552" s="43"/>
    </row>
    <row r="47553" spans="2:2" ht="12.75" customHeight="1" x14ac:dyDescent="0.2">
      <c r="B47553" s="43"/>
    </row>
    <row r="47554" spans="2:2" ht="12.75" customHeight="1" x14ac:dyDescent="0.2">
      <c r="B47554" s="43"/>
    </row>
    <row r="47555" spans="2:2" ht="12.75" customHeight="1" x14ac:dyDescent="0.2">
      <c r="B47555" s="43"/>
    </row>
    <row r="47556" spans="2:2" ht="12.75" customHeight="1" x14ac:dyDescent="0.2">
      <c r="B47556" s="43"/>
    </row>
    <row r="47557" spans="2:2" ht="12.75" customHeight="1" x14ac:dyDescent="0.2">
      <c r="B47557" s="43"/>
    </row>
    <row r="47558" spans="2:2" ht="12.75" customHeight="1" x14ac:dyDescent="0.2">
      <c r="B47558" s="43"/>
    </row>
    <row r="47559" spans="2:2" ht="12.75" customHeight="1" x14ac:dyDescent="0.2">
      <c r="B47559" s="43"/>
    </row>
    <row r="47560" spans="2:2" ht="12.75" customHeight="1" x14ac:dyDescent="0.2">
      <c r="B47560" s="43"/>
    </row>
    <row r="47561" spans="2:2" ht="12.75" customHeight="1" x14ac:dyDescent="0.2">
      <c r="B47561" s="43"/>
    </row>
    <row r="47562" spans="2:2" ht="12.75" customHeight="1" x14ac:dyDescent="0.2">
      <c r="B47562" s="43"/>
    </row>
    <row r="47563" spans="2:2" ht="12.75" customHeight="1" x14ac:dyDescent="0.2">
      <c r="B47563" s="43"/>
    </row>
    <row r="47564" spans="2:2" ht="12.75" customHeight="1" x14ac:dyDescent="0.2">
      <c r="B47564" s="43"/>
    </row>
    <row r="47565" spans="2:2" ht="12.75" customHeight="1" x14ac:dyDescent="0.2">
      <c r="B47565" s="43"/>
    </row>
    <row r="47566" spans="2:2" ht="12.75" customHeight="1" x14ac:dyDescent="0.2">
      <c r="B47566" s="43"/>
    </row>
    <row r="47567" spans="2:2" ht="12.75" customHeight="1" x14ac:dyDescent="0.2">
      <c r="B47567" s="43"/>
    </row>
    <row r="47568" spans="2:2" ht="12.75" customHeight="1" x14ac:dyDescent="0.2">
      <c r="B47568" s="43"/>
    </row>
    <row r="47569" spans="2:2" ht="12.75" customHeight="1" x14ac:dyDescent="0.2">
      <c r="B47569" s="43"/>
    </row>
    <row r="47570" spans="2:2" ht="12.75" customHeight="1" x14ac:dyDescent="0.2">
      <c r="B47570" s="43"/>
    </row>
    <row r="47571" spans="2:2" ht="12.75" customHeight="1" x14ac:dyDescent="0.2">
      <c r="B47571" s="43"/>
    </row>
    <row r="47572" spans="2:2" ht="12.75" customHeight="1" x14ac:dyDescent="0.2">
      <c r="B47572" s="43"/>
    </row>
    <row r="47573" spans="2:2" ht="12.75" customHeight="1" x14ac:dyDescent="0.2">
      <c r="B47573" s="43"/>
    </row>
    <row r="47574" spans="2:2" ht="12.75" customHeight="1" x14ac:dyDescent="0.2">
      <c r="B47574" s="43"/>
    </row>
    <row r="47575" spans="2:2" ht="12.75" customHeight="1" x14ac:dyDescent="0.2">
      <c r="B47575" s="43"/>
    </row>
    <row r="47576" spans="2:2" ht="12.75" customHeight="1" x14ac:dyDescent="0.2">
      <c r="B47576" s="43"/>
    </row>
    <row r="47577" spans="2:2" ht="12.75" customHeight="1" x14ac:dyDescent="0.2">
      <c r="B47577" s="43"/>
    </row>
    <row r="47578" spans="2:2" ht="12.75" customHeight="1" x14ac:dyDescent="0.2">
      <c r="B47578" s="43"/>
    </row>
    <row r="47579" spans="2:2" ht="12.75" customHeight="1" x14ac:dyDescent="0.2">
      <c r="B47579" s="43"/>
    </row>
    <row r="47580" spans="2:2" ht="12.75" customHeight="1" x14ac:dyDescent="0.2">
      <c r="B47580" s="43"/>
    </row>
    <row r="47581" spans="2:2" ht="12.75" customHeight="1" x14ac:dyDescent="0.2">
      <c r="B47581" s="43"/>
    </row>
    <row r="47582" spans="2:2" ht="12.75" customHeight="1" x14ac:dyDescent="0.2">
      <c r="B47582" s="43"/>
    </row>
    <row r="47583" spans="2:2" ht="12.75" customHeight="1" x14ac:dyDescent="0.2">
      <c r="B47583" s="43"/>
    </row>
    <row r="47584" spans="2:2" ht="12.75" customHeight="1" x14ac:dyDescent="0.2">
      <c r="B47584" s="43"/>
    </row>
    <row r="47585" spans="2:2" ht="12.75" customHeight="1" x14ac:dyDescent="0.2">
      <c r="B47585" s="43"/>
    </row>
    <row r="47586" spans="2:2" ht="12.75" customHeight="1" x14ac:dyDescent="0.2">
      <c r="B47586" s="43"/>
    </row>
    <row r="47587" spans="2:2" ht="12.75" customHeight="1" x14ac:dyDescent="0.2">
      <c r="B47587" s="43"/>
    </row>
    <row r="47588" spans="2:2" ht="12.75" customHeight="1" x14ac:dyDescent="0.2">
      <c r="B47588" s="43"/>
    </row>
    <row r="47589" spans="2:2" ht="12.75" customHeight="1" x14ac:dyDescent="0.2">
      <c r="B47589" s="43"/>
    </row>
    <row r="47590" spans="2:2" ht="12.75" customHeight="1" x14ac:dyDescent="0.2">
      <c r="B47590" s="43"/>
    </row>
    <row r="47591" spans="2:2" ht="12.75" customHeight="1" x14ac:dyDescent="0.2">
      <c r="B47591" s="43"/>
    </row>
    <row r="47592" spans="2:2" ht="12.75" customHeight="1" x14ac:dyDescent="0.2">
      <c r="B47592" s="43"/>
    </row>
    <row r="47593" spans="2:2" ht="12.75" customHeight="1" x14ac:dyDescent="0.2">
      <c r="B47593" s="43"/>
    </row>
    <row r="47594" spans="2:2" ht="12.75" customHeight="1" x14ac:dyDescent="0.2">
      <c r="B47594" s="43"/>
    </row>
    <row r="47595" spans="2:2" ht="12.75" customHeight="1" x14ac:dyDescent="0.2">
      <c r="B47595" s="43"/>
    </row>
    <row r="47596" spans="2:2" ht="12.75" customHeight="1" x14ac:dyDescent="0.2">
      <c r="B47596" s="43"/>
    </row>
    <row r="47597" spans="2:2" ht="12.75" customHeight="1" x14ac:dyDescent="0.2">
      <c r="B47597" s="43"/>
    </row>
    <row r="47598" spans="2:2" ht="12.75" customHeight="1" x14ac:dyDescent="0.2">
      <c r="B47598" s="43"/>
    </row>
    <row r="47599" spans="2:2" ht="12.75" customHeight="1" x14ac:dyDescent="0.2">
      <c r="B47599" s="43"/>
    </row>
    <row r="47600" spans="2:2" ht="12.75" customHeight="1" x14ac:dyDescent="0.2">
      <c r="B47600" s="43"/>
    </row>
    <row r="47601" spans="2:2" ht="12.75" customHeight="1" x14ac:dyDescent="0.2">
      <c r="B47601" s="43"/>
    </row>
    <row r="47602" spans="2:2" ht="12.75" customHeight="1" x14ac:dyDescent="0.2">
      <c r="B47602" s="43"/>
    </row>
    <row r="47603" spans="2:2" ht="12.75" customHeight="1" x14ac:dyDescent="0.2">
      <c r="B47603" s="43"/>
    </row>
    <row r="47604" spans="2:2" ht="12.75" customHeight="1" x14ac:dyDescent="0.2">
      <c r="B47604" s="43"/>
    </row>
    <row r="47605" spans="2:2" ht="12.75" customHeight="1" x14ac:dyDescent="0.2">
      <c r="B47605" s="43"/>
    </row>
    <row r="47606" spans="2:2" ht="12.75" customHeight="1" x14ac:dyDescent="0.2">
      <c r="B47606" s="43"/>
    </row>
    <row r="47607" spans="2:2" ht="12.75" customHeight="1" x14ac:dyDescent="0.2">
      <c r="B47607" s="43"/>
    </row>
    <row r="47608" spans="2:2" ht="12.75" customHeight="1" x14ac:dyDescent="0.2">
      <c r="B47608" s="43"/>
    </row>
    <row r="47609" spans="2:2" ht="12.75" customHeight="1" x14ac:dyDescent="0.2">
      <c r="B47609" s="43"/>
    </row>
    <row r="47610" spans="2:2" ht="12.75" customHeight="1" x14ac:dyDescent="0.2">
      <c r="B47610" s="43"/>
    </row>
    <row r="47611" spans="2:2" ht="12.75" customHeight="1" x14ac:dyDescent="0.2">
      <c r="B47611" s="43"/>
    </row>
    <row r="47612" spans="2:2" ht="12.75" customHeight="1" x14ac:dyDescent="0.2">
      <c r="B47612" s="43"/>
    </row>
    <row r="47613" spans="2:2" ht="12.75" customHeight="1" x14ac:dyDescent="0.2">
      <c r="B47613" s="43"/>
    </row>
    <row r="47614" spans="2:2" ht="12.75" customHeight="1" x14ac:dyDescent="0.2">
      <c r="B47614" s="43"/>
    </row>
    <row r="47615" spans="2:2" ht="12.75" customHeight="1" x14ac:dyDescent="0.2">
      <c r="B47615" s="43"/>
    </row>
    <row r="47616" spans="2:2" ht="12.75" customHeight="1" x14ac:dyDescent="0.2">
      <c r="B47616" s="43"/>
    </row>
    <row r="47617" spans="2:2" ht="12.75" customHeight="1" x14ac:dyDescent="0.2">
      <c r="B47617" s="43"/>
    </row>
    <row r="47618" spans="2:2" ht="12.75" customHeight="1" x14ac:dyDescent="0.2">
      <c r="B47618" s="43"/>
    </row>
    <row r="47619" spans="2:2" ht="12.75" customHeight="1" x14ac:dyDescent="0.2">
      <c r="B47619" s="43"/>
    </row>
    <row r="47620" spans="2:2" ht="12.75" customHeight="1" x14ac:dyDescent="0.2">
      <c r="B47620" s="43"/>
    </row>
    <row r="47621" spans="2:2" ht="12.75" customHeight="1" x14ac:dyDescent="0.2">
      <c r="B47621" s="43"/>
    </row>
    <row r="47622" spans="2:2" ht="12.75" customHeight="1" x14ac:dyDescent="0.2">
      <c r="B47622" s="43"/>
    </row>
    <row r="47623" spans="2:2" ht="12.75" customHeight="1" x14ac:dyDescent="0.2">
      <c r="B47623" s="43"/>
    </row>
    <row r="47624" spans="2:2" ht="12.75" customHeight="1" x14ac:dyDescent="0.2">
      <c r="B47624" s="43"/>
    </row>
    <row r="47625" spans="2:2" ht="12.75" customHeight="1" x14ac:dyDescent="0.2">
      <c r="B47625" s="43"/>
    </row>
    <row r="47626" spans="2:2" ht="12.75" customHeight="1" x14ac:dyDescent="0.2">
      <c r="B47626" s="43"/>
    </row>
    <row r="47627" spans="2:2" ht="12.75" customHeight="1" x14ac:dyDescent="0.2">
      <c r="B47627" s="43"/>
    </row>
    <row r="47628" spans="2:2" ht="12.75" customHeight="1" x14ac:dyDescent="0.2">
      <c r="B47628" s="43"/>
    </row>
    <row r="47629" spans="2:2" ht="12.75" customHeight="1" x14ac:dyDescent="0.2">
      <c r="B47629" s="43"/>
    </row>
    <row r="47630" spans="2:2" ht="12.75" customHeight="1" x14ac:dyDescent="0.2">
      <c r="B47630" s="43"/>
    </row>
    <row r="47631" spans="2:2" ht="12.75" customHeight="1" x14ac:dyDescent="0.2">
      <c r="B47631" s="43"/>
    </row>
    <row r="47632" spans="2:2" ht="12.75" customHeight="1" x14ac:dyDescent="0.2">
      <c r="B47632" s="43"/>
    </row>
    <row r="47633" spans="2:2" ht="12.75" customHeight="1" x14ac:dyDescent="0.2">
      <c r="B47633" s="43"/>
    </row>
    <row r="47634" spans="2:2" ht="12.75" customHeight="1" x14ac:dyDescent="0.2">
      <c r="B47634" s="43"/>
    </row>
    <row r="47635" spans="2:2" ht="12.75" customHeight="1" x14ac:dyDescent="0.2">
      <c r="B47635" s="43"/>
    </row>
    <row r="47636" spans="2:2" ht="12.75" customHeight="1" x14ac:dyDescent="0.2">
      <c r="B47636" s="43"/>
    </row>
    <row r="47637" spans="2:2" ht="12.75" customHeight="1" x14ac:dyDescent="0.2">
      <c r="B47637" s="43"/>
    </row>
    <row r="47638" spans="2:2" ht="12.75" customHeight="1" x14ac:dyDescent="0.2">
      <c r="B47638" s="43"/>
    </row>
    <row r="47639" spans="2:2" ht="12.75" customHeight="1" x14ac:dyDescent="0.2">
      <c r="B47639" s="43"/>
    </row>
    <row r="47640" spans="2:2" ht="12.75" customHeight="1" x14ac:dyDescent="0.2">
      <c r="B47640" s="43"/>
    </row>
    <row r="47641" spans="2:2" ht="12.75" customHeight="1" x14ac:dyDescent="0.2">
      <c r="B47641" s="43"/>
    </row>
    <row r="47642" spans="2:2" ht="12.75" customHeight="1" x14ac:dyDescent="0.2">
      <c r="B47642" s="43"/>
    </row>
    <row r="47643" spans="2:2" ht="12.75" customHeight="1" x14ac:dyDescent="0.2">
      <c r="B47643" s="43"/>
    </row>
    <row r="47644" spans="2:2" ht="12.75" customHeight="1" x14ac:dyDescent="0.2">
      <c r="B47644" s="43"/>
    </row>
    <row r="47645" spans="2:2" ht="12.75" customHeight="1" x14ac:dyDescent="0.2">
      <c r="B47645" s="43"/>
    </row>
    <row r="47646" spans="2:2" ht="12.75" customHeight="1" x14ac:dyDescent="0.2">
      <c r="B47646" s="43"/>
    </row>
    <row r="47647" spans="2:2" ht="12.75" customHeight="1" x14ac:dyDescent="0.2">
      <c r="B47647" s="43"/>
    </row>
    <row r="47648" spans="2:2" ht="12.75" customHeight="1" x14ac:dyDescent="0.2">
      <c r="B47648" s="43"/>
    </row>
    <row r="47649" spans="2:2" ht="12.75" customHeight="1" x14ac:dyDescent="0.2">
      <c r="B47649" s="43"/>
    </row>
    <row r="47650" spans="2:2" ht="12.75" customHeight="1" x14ac:dyDescent="0.2">
      <c r="B47650" s="43"/>
    </row>
    <row r="47651" spans="2:2" ht="12.75" customHeight="1" x14ac:dyDescent="0.2">
      <c r="B47651" s="43"/>
    </row>
    <row r="47652" spans="2:2" ht="12.75" customHeight="1" x14ac:dyDescent="0.2">
      <c r="B47652" s="43"/>
    </row>
    <row r="47653" spans="2:2" ht="12.75" customHeight="1" x14ac:dyDescent="0.2">
      <c r="B47653" s="43"/>
    </row>
    <row r="47654" spans="2:2" ht="12.75" customHeight="1" x14ac:dyDescent="0.2">
      <c r="B47654" s="43"/>
    </row>
    <row r="47655" spans="2:2" ht="12.75" customHeight="1" x14ac:dyDescent="0.2">
      <c r="B47655" s="43"/>
    </row>
    <row r="47656" spans="2:2" ht="12.75" customHeight="1" x14ac:dyDescent="0.2">
      <c r="B47656" s="43"/>
    </row>
    <row r="47657" spans="2:2" ht="12.75" customHeight="1" x14ac:dyDescent="0.2">
      <c r="B47657" s="43"/>
    </row>
    <row r="47658" spans="2:2" ht="12.75" customHeight="1" x14ac:dyDescent="0.2">
      <c r="B47658" s="43"/>
    </row>
    <row r="47659" spans="2:2" ht="12.75" customHeight="1" x14ac:dyDescent="0.2">
      <c r="B47659" s="43"/>
    </row>
    <row r="47660" spans="2:2" ht="12.75" customHeight="1" x14ac:dyDescent="0.2">
      <c r="B47660" s="43"/>
    </row>
    <row r="47661" spans="2:2" ht="12.75" customHeight="1" x14ac:dyDescent="0.2">
      <c r="B47661" s="43"/>
    </row>
    <row r="47662" spans="2:2" ht="12.75" customHeight="1" x14ac:dyDescent="0.2">
      <c r="B47662" s="43"/>
    </row>
    <row r="47663" spans="2:2" ht="12.75" customHeight="1" x14ac:dyDescent="0.2">
      <c r="B47663" s="43"/>
    </row>
    <row r="47664" spans="2:2" ht="12.75" customHeight="1" x14ac:dyDescent="0.2">
      <c r="B47664" s="43"/>
    </row>
    <row r="47665" spans="2:2" ht="12.75" customHeight="1" x14ac:dyDescent="0.2">
      <c r="B47665" s="43"/>
    </row>
    <row r="47666" spans="2:2" ht="12.75" customHeight="1" x14ac:dyDescent="0.2">
      <c r="B47666" s="43"/>
    </row>
    <row r="47667" spans="2:2" ht="12.75" customHeight="1" x14ac:dyDescent="0.2">
      <c r="B47667" s="43"/>
    </row>
    <row r="47668" spans="2:2" ht="12.75" customHeight="1" x14ac:dyDescent="0.2">
      <c r="B47668" s="43"/>
    </row>
    <row r="47669" spans="2:2" ht="12.75" customHeight="1" x14ac:dyDescent="0.2">
      <c r="B47669" s="43"/>
    </row>
    <row r="47670" spans="2:2" ht="12.75" customHeight="1" x14ac:dyDescent="0.2">
      <c r="B47670" s="43"/>
    </row>
    <row r="47671" spans="2:2" ht="12.75" customHeight="1" x14ac:dyDescent="0.2">
      <c r="B47671" s="43"/>
    </row>
    <row r="47672" spans="2:2" ht="12.75" customHeight="1" x14ac:dyDescent="0.2">
      <c r="B47672" s="43"/>
    </row>
    <row r="47673" spans="2:2" ht="12.75" customHeight="1" x14ac:dyDescent="0.2">
      <c r="B47673" s="43"/>
    </row>
    <row r="47674" spans="2:2" ht="12.75" customHeight="1" x14ac:dyDescent="0.2">
      <c r="B47674" s="43"/>
    </row>
    <row r="47675" spans="2:2" ht="12.75" customHeight="1" x14ac:dyDescent="0.2">
      <c r="B47675" s="43"/>
    </row>
    <row r="47676" spans="2:2" ht="12.75" customHeight="1" x14ac:dyDescent="0.2">
      <c r="B47676" s="43"/>
    </row>
    <row r="47677" spans="2:2" ht="12.75" customHeight="1" x14ac:dyDescent="0.2">
      <c r="B47677" s="43"/>
    </row>
    <row r="47678" spans="2:2" ht="12.75" customHeight="1" x14ac:dyDescent="0.2">
      <c r="B47678" s="43"/>
    </row>
    <row r="47679" spans="2:2" ht="12.75" customHeight="1" x14ac:dyDescent="0.2">
      <c r="B47679" s="43"/>
    </row>
    <row r="47680" spans="2:2" ht="12.75" customHeight="1" x14ac:dyDescent="0.2">
      <c r="B47680" s="43"/>
    </row>
    <row r="47681" spans="2:2" ht="12.75" customHeight="1" x14ac:dyDescent="0.2">
      <c r="B47681" s="43"/>
    </row>
    <row r="47682" spans="2:2" ht="12.75" customHeight="1" x14ac:dyDescent="0.2">
      <c r="B47682" s="43"/>
    </row>
    <row r="47683" spans="2:2" ht="12.75" customHeight="1" x14ac:dyDescent="0.2">
      <c r="B47683" s="43"/>
    </row>
    <row r="47684" spans="2:2" ht="12.75" customHeight="1" x14ac:dyDescent="0.2">
      <c r="B47684" s="43"/>
    </row>
    <row r="47685" spans="2:2" ht="12.75" customHeight="1" x14ac:dyDescent="0.2">
      <c r="B47685" s="43"/>
    </row>
    <row r="47686" spans="2:2" ht="12.75" customHeight="1" x14ac:dyDescent="0.2">
      <c r="B47686" s="43"/>
    </row>
    <row r="47687" spans="2:2" ht="12.75" customHeight="1" x14ac:dyDescent="0.2">
      <c r="B47687" s="43"/>
    </row>
    <row r="47688" spans="2:2" ht="12.75" customHeight="1" x14ac:dyDescent="0.2">
      <c r="B47688" s="43"/>
    </row>
    <row r="47689" spans="2:2" ht="12.75" customHeight="1" x14ac:dyDescent="0.2">
      <c r="B47689" s="43"/>
    </row>
    <row r="47690" spans="2:2" ht="12.75" customHeight="1" x14ac:dyDescent="0.2">
      <c r="B47690" s="43"/>
    </row>
    <row r="47691" spans="2:2" ht="12.75" customHeight="1" x14ac:dyDescent="0.2">
      <c r="B47691" s="43"/>
    </row>
    <row r="47692" spans="2:2" ht="12.75" customHeight="1" x14ac:dyDescent="0.2">
      <c r="B47692" s="43"/>
    </row>
    <row r="47693" spans="2:2" ht="12.75" customHeight="1" x14ac:dyDescent="0.2">
      <c r="B47693" s="43"/>
    </row>
    <row r="47694" spans="2:2" ht="12.75" customHeight="1" x14ac:dyDescent="0.2">
      <c r="B47694" s="43"/>
    </row>
    <row r="47695" spans="2:2" ht="12.75" customHeight="1" x14ac:dyDescent="0.2">
      <c r="B47695" s="43"/>
    </row>
    <row r="47696" spans="2:2" ht="12.75" customHeight="1" x14ac:dyDescent="0.2">
      <c r="B47696" s="43"/>
    </row>
    <row r="47697" spans="2:2" ht="12.75" customHeight="1" x14ac:dyDescent="0.2">
      <c r="B47697" s="43"/>
    </row>
    <row r="47698" spans="2:2" ht="12.75" customHeight="1" x14ac:dyDescent="0.2">
      <c r="B47698" s="43"/>
    </row>
    <row r="47699" spans="2:2" ht="12.75" customHeight="1" x14ac:dyDescent="0.2">
      <c r="B47699" s="43"/>
    </row>
    <row r="47700" spans="2:2" ht="12.75" customHeight="1" x14ac:dyDescent="0.2">
      <c r="B47700" s="43"/>
    </row>
    <row r="47701" spans="2:2" ht="12.75" customHeight="1" x14ac:dyDescent="0.2">
      <c r="B47701" s="43"/>
    </row>
    <row r="47702" spans="2:2" ht="12.75" customHeight="1" x14ac:dyDescent="0.2">
      <c r="B47702" s="43"/>
    </row>
    <row r="47703" spans="2:2" ht="12.75" customHeight="1" x14ac:dyDescent="0.2">
      <c r="B47703" s="43"/>
    </row>
    <row r="47704" spans="2:2" ht="12.75" customHeight="1" x14ac:dyDescent="0.2">
      <c r="B47704" s="43"/>
    </row>
    <row r="47705" spans="2:2" ht="12.75" customHeight="1" x14ac:dyDescent="0.2">
      <c r="B47705" s="43"/>
    </row>
    <row r="47706" spans="2:2" ht="12.75" customHeight="1" x14ac:dyDescent="0.2">
      <c r="B47706" s="43"/>
    </row>
    <row r="47707" spans="2:2" ht="12.75" customHeight="1" x14ac:dyDescent="0.2">
      <c r="B47707" s="43"/>
    </row>
    <row r="47708" spans="2:2" ht="12.75" customHeight="1" x14ac:dyDescent="0.2">
      <c r="B47708" s="43"/>
    </row>
    <row r="47709" spans="2:2" ht="12.75" customHeight="1" x14ac:dyDescent="0.2">
      <c r="B47709" s="43"/>
    </row>
    <row r="47710" spans="2:2" ht="12.75" customHeight="1" x14ac:dyDescent="0.2">
      <c r="B47710" s="43"/>
    </row>
    <row r="47711" spans="2:2" ht="12.75" customHeight="1" x14ac:dyDescent="0.2">
      <c r="B47711" s="43"/>
    </row>
    <row r="47712" spans="2:2" ht="12.75" customHeight="1" x14ac:dyDescent="0.2">
      <c r="B47712" s="43"/>
    </row>
    <row r="47713" spans="2:2" ht="12.75" customHeight="1" x14ac:dyDescent="0.2">
      <c r="B47713" s="43"/>
    </row>
    <row r="47714" spans="2:2" ht="12.75" customHeight="1" x14ac:dyDescent="0.2">
      <c r="B47714" s="43"/>
    </row>
    <row r="47715" spans="2:2" ht="12.75" customHeight="1" x14ac:dyDescent="0.2">
      <c r="B47715" s="43"/>
    </row>
    <row r="47716" spans="2:2" ht="12.75" customHeight="1" x14ac:dyDescent="0.2">
      <c r="B47716" s="43"/>
    </row>
    <row r="47717" spans="2:2" ht="12.75" customHeight="1" x14ac:dyDescent="0.2">
      <c r="B47717" s="43"/>
    </row>
    <row r="47718" spans="2:2" ht="12.75" customHeight="1" x14ac:dyDescent="0.2">
      <c r="B47718" s="43"/>
    </row>
    <row r="47719" spans="2:2" ht="12.75" customHeight="1" x14ac:dyDescent="0.2">
      <c r="B47719" s="43"/>
    </row>
    <row r="47720" spans="2:2" ht="12.75" customHeight="1" x14ac:dyDescent="0.2">
      <c r="B47720" s="43"/>
    </row>
    <row r="47721" spans="2:2" ht="12.75" customHeight="1" x14ac:dyDescent="0.2">
      <c r="B47721" s="43"/>
    </row>
    <row r="47722" spans="2:2" ht="12.75" customHeight="1" x14ac:dyDescent="0.2">
      <c r="B47722" s="43"/>
    </row>
    <row r="47723" spans="2:2" ht="12.75" customHeight="1" x14ac:dyDescent="0.2">
      <c r="B47723" s="43"/>
    </row>
    <row r="47724" spans="2:2" ht="12.75" customHeight="1" x14ac:dyDescent="0.2">
      <c r="B47724" s="43"/>
    </row>
    <row r="47725" spans="2:2" ht="12.75" customHeight="1" x14ac:dyDescent="0.2">
      <c r="B47725" s="43"/>
    </row>
    <row r="47726" spans="2:2" ht="12.75" customHeight="1" x14ac:dyDescent="0.2">
      <c r="B47726" s="43"/>
    </row>
    <row r="47727" spans="2:2" ht="12.75" customHeight="1" x14ac:dyDescent="0.2">
      <c r="B47727" s="43"/>
    </row>
    <row r="47728" spans="2:2" ht="12.75" customHeight="1" x14ac:dyDescent="0.2">
      <c r="B47728" s="43"/>
    </row>
    <row r="47729" spans="2:2" ht="12.75" customHeight="1" x14ac:dyDescent="0.2">
      <c r="B47729" s="43"/>
    </row>
    <row r="47730" spans="2:2" ht="12.75" customHeight="1" x14ac:dyDescent="0.2">
      <c r="B47730" s="43"/>
    </row>
    <row r="47731" spans="2:2" ht="12.75" customHeight="1" x14ac:dyDescent="0.2">
      <c r="B47731" s="43"/>
    </row>
    <row r="47732" spans="2:2" ht="12.75" customHeight="1" x14ac:dyDescent="0.2">
      <c r="B47732" s="43"/>
    </row>
    <row r="47733" spans="2:2" ht="12.75" customHeight="1" x14ac:dyDescent="0.2">
      <c r="B47733" s="43"/>
    </row>
    <row r="47734" spans="2:2" ht="12.75" customHeight="1" x14ac:dyDescent="0.2">
      <c r="B47734" s="43"/>
    </row>
    <row r="47735" spans="2:2" ht="12.75" customHeight="1" x14ac:dyDescent="0.2">
      <c r="B47735" s="43"/>
    </row>
    <row r="47736" spans="2:2" ht="12.75" customHeight="1" x14ac:dyDescent="0.2">
      <c r="B47736" s="43"/>
    </row>
    <row r="47737" spans="2:2" ht="12.75" customHeight="1" x14ac:dyDescent="0.2">
      <c r="B47737" s="43"/>
    </row>
    <row r="47738" spans="2:2" ht="12.75" customHeight="1" x14ac:dyDescent="0.2">
      <c r="B47738" s="43"/>
    </row>
    <row r="47739" spans="2:2" ht="12.75" customHeight="1" x14ac:dyDescent="0.2">
      <c r="B47739" s="43"/>
    </row>
    <row r="47740" spans="2:2" ht="12.75" customHeight="1" x14ac:dyDescent="0.2">
      <c r="B47740" s="43"/>
    </row>
    <row r="47741" spans="2:2" ht="12.75" customHeight="1" x14ac:dyDescent="0.2">
      <c r="B47741" s="43"/>
    </row>
    <row r="47742" spans="2:2" ht="12.75" customHeight="1" x14ac:dyDescent="0.2">
      <c r="B47742" s="43"/>
    </row>
    <row r="47743" spans="2:2" ht="12.75" customHeight="1" x14ac:dyDescent="0.2">
      <c r="B47743" s="43"/>
    </row>
    <row r="47744" spans="2:2" ht="12.75" customHeight="1" x14ac:dyDescent="0.2">
      <c r="B47744" s="43"/>
    </row>
    <row r="47745" spans="2:2" ht="12.75" customHeight="1" x14ac:dyDescent="0.2">
      <c r="B47745" s="43"/>
    </row>
    <row r="47746" spans="2:2" ht="12.75" customHeight="1" x14ac:dyDescent="0.2">
      <c r="B47746" s="43"/>
    </row>
    <row r="47747" spans="2:2" ht="12.75" customHeight="1" x14ac:dyDescent="0.2">
      <c r="B47747" s="43"/>
    </row>
    <row r="47748" spans="2:2" ht="12.75" customHeight="1" x14ac:dyDescent="0.2">
      <c r="B47748" s="43"/>
    </row>
    <row r="47749" spans="2:2" ht="12.75" customHeight="1" x14ac:dyDescent="0.2">
      <c r="B47749" s="43"/>
    </row>
    <row r="47750" spans="2:2" ht="12.75" customHeight="1" x14ac:dyDescent="0.2">
      <c r="B47750" s="43"/>
    </row>
    <row r="47751" spans="2:2" ht="12.75" customHeight="1" x14ac:dyDescent="0.2">
      <c r="B47751" s="43"/>
    </row>
    <row r="47752" spans="2:2" ht="12.75" customHeight="1" x14ac:dyDescent="0.2">
      <c r="B47752" s="43"/>
    </row>
    <row r="47753" spans="2:2" ht="12.75" customHeight="1" x14ac:dyDescent="0.2">
      <c r="B47753" s="43"/>
    </row>
    <row r="47754" spans="2:2" ht="12.75" customHeight="1" x14ac:dyDescent="0.2">
      <c r="B47754" s="43"/>
    </row>
    <row r="47755" spans="2:2" ht="12.75" customHeight="1" x14ac:dyDescent="0.2">
      <c r="B47755" s="43"/>
    </row>
    <row r="47756" spans="2:2" ht="12.75" customHeight="1" x14ac:dyDescent="0.2">
      <c r="B47756" s="43"/>
    </row>
    <row r="47757" spans="2:2" ht="12.75" customHeight="1" x14ac:dyDescent="0.2">
      <c r="B47757" s="43"/>
    </row>
    <row r="47758" spans="2:2" ht="12.75" customHeight="1" x14ac:dyDescent="0.2">
      <c r="B47758" s="43"/>
    </row>
    <row r="47759" spans="2:2" ht="12.75" customHeight="1" x14ac:dyDescent="0.2">
      <c r="B47759" s="43"/>
    </row>
    <row r="47760" spans="2:2" ht="12.75" customHeight="1" x14ac:dyDescent="0.2">
      <c r="B47760" s="43"/>
    </row>
    <row r="47761" spans="2:2" ht="12.75" customHeight="1" x14ac:dyDescent="0.2">
      <c r="B47761" s="43"/>
    </row>
    <row r="47762" spans="2:2" ht="12.75" customHeight="1" x14ac:dyDescent="0.2">
      <c r="B47762" s="43"/>
    </row>
    <row r="47763" spans="2:2" ht="12.75" customHeight="1" x14ac:dyDescent="0.2">
      <c r="B47763" s="43"/>
    </row>
    <row r="47764" spans="2:2" ht="12.75" customHeight="1" x14ac:dyDescent="0.2">
      <c r="B47764" s="43"/>
    </row>
    <row r="47765" spans="2:2" ht="12.75" customHeight="1" x14ac:dyDescent="0.2">
      <c r="B47765" s="43"/>
    </row>
    <row r="47766" spans="2:2" ht="12.75" customHeight="1" x14ac:dyDescent="0.2">
      <c r="B47766" s="43"/>
    </row>
    <row r="47767" spans="2:2" ht="12.75" customHeight="1" x14ac:dyDescent="0.2">
      <c r="B47767" s="43"/>
    </row>
    <row r="47768" spans="2:2" ht="12.75" customHeight="1" x14ac:dyDescent="0.2">
      <c r="B47768" s="43"/>
    </row>
    <row r="47769" spans="2:2" ht="12.75" customHeight="1" x14ac:dyDescent="0.2">
      <c r="B47769" s="43"/>
    </row>
    <row r="47770" spans="2:2" ht="12.75" customHeight="1" x14ac:dyDescent="0.2">
      <c r="B47770" s="43"/>
    </row>
    <row r="47771" spans="2:2" ht="12.75" customHeight="1" x14ac:dyDescent="0.2">
      <c r="B47771" s="43"/>
    </row>
    <row r="47772" spans="2:2" ht="12.75" customHeight="1" x14ac:dyDescent="0.2">
      <c r="B47772" s="43"/>
    </row>
    <row r="47773" spans="2:2" ht="12.75" customHeight="1" x14ac:dyDescent="0.2">
      <c r="B47773" s="43"/>
    </row>
    <row r="47774" spans="2:2" ht="12.75" customHeight="1" x14ac:dyDescent="0.2">
      <c r="B47774" s="43"/>
    </row>
    <row r="47775" spans="2:2" ht="12.75" customHeight="1" x14ac:dyDescent="0.2">
      <c r="B47775" s="43"/>
    </row>
    <row r="47776" spans="2:2" ht="12.75" customHeight="1" x14ac:dyDescent="0.2">
      <c r="B47776" s="43"/>
    </row>
    <row r="47777" spans="2:2" ht="12.75" customHeight="1" x14ac:dyDescent="0.2">
      <c r="B47777" s="43"/>
    </row>
    <row r="47778" spans="2:2" ht="12.75" customHeight="1" x14ac:dyDescent="0.2">
      <c r="B47778" s="43"/>
    </row>
    <row r="47779" spans="2:2" ht="12.75" customHeight="1" x14ac:dyDescent="0.2">
      <c r="B47779" s="43"/>
    </row>
    <row r="47780" spans="2:2" ht="12.75" customHeight="1" x14ac:dyDescent="0.2">
      <c r="B47780" s="43"/>
    </row>
    <row r="47781" spans="2:2" ht="12.75" customHeight="1" x14ac:dyDescent="0.2">
      <c r="B47781" s="43"/>
    </row>
    <row r="47782" spans="2:2" ht="12.75" customHeight="1" x14ac:dyDescent="0.2">
      <c r="B47782" s="43"/>
    </row>
    <row r="47783" spans="2:2" ht="12.75" customHeight="1" x14ac:dyDescent="0.2">
      <c r="B47783" s="43"/>
    </row>
    <row r="47784" spans="2:2" ht="12.75" customHeight="1" x14ac:dyDescent="0.2">
      <c r="B47784" s="43"/>
    </row>
    <row r="47785" spans="2:2" ht="12.75" customHeight="1" x14ac:dyDescent="0.2">
      <c r="B47785" s="43"/>
    </row>
    <row r="47786" spans="2:2" ht="12.75" customHeight="1" x14ac:dyDescent="0.2">
      <c r="B47786" s="43"/>
    </row>
    <row r="47787" spans="2:2" ht="12.75" customHeight="1" x14ac:dyDescent="0.2">
      <c r="B47787" s="43"/>
    </row>
    <row r="47788" spans="2:2" ht="12.75" customHeight="1" x14ac:dyDescent="0.2">
      <c r="B47788" s="43"/>
    </row>
    <row r="47789" spans="2:2" ht="12.75" customHeight="1" x14ac:dyDescent="0.2">
      <c r="B47789" s="43"/>
    </row>
    <row r="47790" spans="2:2" ht="12.75" customHeight="1" x14ac:dyDescent="0.2">
      <c r="B47790" s="43"/>
    </row>
    <row r="47791" spans="2:2" ht="12.75" customHeight="1" x14ac:dyDescent="0.2">
      <c r="B47791" s="43"/>
    </row>
    <row r="47792" spans="2:2" ht="12.75" customHeight="1" x14ac:dyDescent="0.2">
      <c r="B47792" s="43"/>
    </row>
    <row r="47793" spans="2:2" ht="12.75" customHeight="1" x14ac:dyDescent="0.2">
      <c r="B47793" s="43"/>
    </row>
    <row r="47794" spans="2:2" ht="12.75" customHeight="1" x14ac:dyDescent="0.2">
      <c r="B47794" s="43"/>
    </row>
    <row r="47795" spans="2:2" ht="12.75" customHeight="1" x14ac:dyDescent="0.2">
      <c r="B47795" s="43"/>
    </row>
    <row r="47796" spans="2:2" ht="12.75" customHeight="1" x14ac:dyDescent="0.2">
      <c r="B47796" s="43"/>
    </row>
    <row r="47797" spans="2:2" ht="12.75" customHeight="1" x14ac:dyDescent="0.2">
      <c r="B47797" s="43"/>
    </row>
    <row r="47798" spans="2:2" ht="12.75" customHeight="1" x14ac:dyDescent="0.2">
      <c r="B47798" s="43"/>
    </row>
    <row r="47799" spans="2:2" ht="12.75" customHeight="1" x14ac:dyDescent="0.2">
      <c r="B47799" s="43"/>
    </row>
    <row r="47800" spans="2:2" ht="12.75" customHeight="1" x14ac:dyDescent="0.2">
      <c r="B47800" s="43"/>
    </row>
    <row r="47801" spans="2:2" ht="12.75" customHeight="1" x14ac:dyDescent="0.2">
      <c r="B47801" s="43"/>
    </row>
    <row r="47802" spans="2:2" ht="12.75" customHeight="1" x14ac:dyDescent="0.2">
      <c r="B47802" s="43"/>
    </row>
    <row r="47803" spans="2:2" ht="12.75" customHeight="1" x14ac:dyDescent="0.2">
      <c r="B47803" s="43"/>
    </row>
    <row r="47804" spans="2:2" ht="12.75" customHeight="1" x14ac:dyDescent="0.2">
      <c r="B47804" s="43"/>
    </row>
    <row r="47805" spans="2:2" ht="12.75" customHeight="1" x14ac:dyDescent="0.2">
      <c r="B47805" s="43"/>
    </row>
    <row r="47806" spans="2:2" ht="12.75" customHeight="1" x14ac:dyDescent="0.2">
      <c r="B47806" s="43"/>
    </row>
    <row r="47807" spans="2:2" ht="12.75" customHeight="1" x14ac:dyDescent="0.2">
      <c r="B47807" s="43"/>
    </row>
    <row r="47808" spans="2:2" ht="12.75" customHeight="1" x14ac:dyDescent="0.2">
      <c r="B47808" s="43"/>
    </row>
    <row r="47809" spans="2:2" ht="12.75" customHeight="1" x14ac:dyDescent="0.2">
      <c r="B47809" s="43"/>
    </row>
    <row r="47810" spans="2:2" ht="12.75" customHeight="1" x14ac:dyDescent="0.2">
      <c r="B47810" s="43"/>
    </row>
    <row r="47811" spans="2:2" ht="12.75" customHeight="1" x14ac:dyDescent="0.2">
      <c r="B47811" s="43"/>
    </row>
    <row r="47812" spans="2:2" ht="12.75" customHeight="1" x14ac:dyDescent="0.2">
      <c r="B47812" s="43"/>
    </row>
    <row r="47813" spans="2:2" ht="12.75" customHeight="1" x14ac:dyDescent="0.2">
      <c r="B47813" s="43"/>
    </row>
    <row r="47814" spans="2:2" ht="12.75" customHeight="1" x14ac:dyDescent="0.2">
      <c r="B47814" s="43"/>
    </row>
    <row r="47815" spans="2:2" ht="12.75" customHeight="1" x14ac:dyDescent="0.2">
      <c r="B47815" s="43"/>
    </row>
    <row r="47816" spans="2:2" ht="12.75" customHeight="1" x14ac:dyDescent="0.2">
      <c r="B47816" s="43"/>
    </row>
    <row r="47817" spans="2:2" ht="12.75" customHeight="1" x14ac:dyDescent="0.2">
      <c r="B47817" s="43"/>
    </row>
    <row r="47818" spans="2:2" ht="12.75" customHeight="1" x14ac:dyDescent="0.2">
      <c r="B47818" s="43"/>
    </row>
    <row r="47819" spans="2:2" ht="12.75" customHeight="1" x14ac:dyDescent="0.2">
      <c r="B47819" s="43"/>
    </row>
    <row r="47820" spans="2:2" ht="12.75" customHeight="1" x14ac:dyDescent="0.2">
      <c r="B47820" s="43"/>
    </row>
    <row r="47821" spans="2:2" ht="12.75" customHeight="1" x14ac:dyDescent="0.2">
      <c r="B47821" s="43"/>
    </row>
    <row r="47822" spans="2:2" ht="12.75" customHeight="1" x14ac:dyDescent="0.2">
      <c r="B47822" s="43"/>
    </row>
    <row r="47823" spans="2:2" ht="12.75" customHeight="1" x14ac:dyDescent="0.2">
      <c r="B47823" s="43"/>
    </row>
    <row r="47824" spans="2:2" ht="12.75" customHeight="1" x14ac:dyDescent="0.2">
      <c r="B47824" s="43"/>
    </row>
    <row r="47825" spans="2:2" ht="12.75" customHeight="1" x14ac:dyDescent="0.2">
      <c r="B47825" s="43"/>
    </row>
    <row r="47826" spans="2:2" ht="12.75" customHeight="1" x14ac:dyDescent="0.2">
      <c r="B47826" s="43"/>
    </row>
    <row r="47827" spans="2:2" ht="12.75" customHeight="1" x14ac:dyDescent="0.2">
      <c r="B47827" s="43"/>
    </row>
    <row r="47828" spans="2:2" ht="12.75" customHeight="1" x14ac:dyDescent="0.2">
      <c r="B47828" s="43"/>
    </row>
    <row r="47829" spans="2:2" ht="12.75" customHeight="1" x14ac:dyDescent="0.2">
      <c r="B47829" s="43"/>
    </row>
    <row r="47830" spans="2:2" ht="12.75" customHeight="1" x14ac:dyDescent="0.2">
      <c r="B47830" s="43"/>
    </row>
    <row r="47831" spans="2:2" ht="12.75" customHeight="1" x14ac:dyDescent="0.2">
      <c r="B47831" s="43"/>
    </row>
    <row r="47832" spans="2:2" ht="12.75" customHeight="1" x14ac:dyDescent="0.2">
      <c r="B47832" s="43"/>
    </row>
    <row r="47833" spans="2:2" ht="12.75" customHeight="1" x14ac:dyDescent="0.2">
      <c r="B47833" s="43"/>
    </row>
    <row r="47834" spans="2:2" ht="12.75" customHeight="1" x14ac:dyDescent="0.2">
      <c r="B47834" s="43"/>
    </row>
    <row r="47835" spans="2:2" ht="12.75" customHeight="1" x14ac:dyDescent="0.2">
      <c r="B47835" s="43"/>
    </row>
    <row r="47836" spans="2:2" ht="12.75" customHeight="1" x14ac:dyDescent="0.2">
      <c r="B47836" s="43"/>
    </row>
    <row r="47837" spans="2:2" ht="12.75" customHeight="1" x14ac:dyDescent="0.2">
      <c r="B47837" s="43"/>
    </row>
    <row r="47838" spans="2:2" ht="12.75" customHeight="1" x14ac:dyDescent="0.2">
      <c r="B47838" s="43"/>
    </row>
    <row r="47839" spans="2:2" ht="12.75" customHeight="1" x14ac:dyDescent="0.2">
      <c r="B47839" s="43"/>
    </row>
    <row r="47840" spans="2:2" ht="12.75" customHeight="1" x14ac:dyDescent="0.2">
      <c r="B47840" s="43"/>
    </row>
    <row r="47841" spans="2:2" ht="12.75" customHeight="1" x14ac:dyDescent="0.2">
      <c r="B47841" s="43"/>
    </row>
    <row r="47842" spans="2:2" ht="12.75" customHeight="1" x14ac:dyDescent="0.2">
      <c r="B47842" s="43"/>
    </row>
    <row r="47843" spans="2:2" ht="12.75" customHeight="1" x14ac:dyDescent="0.2">
      <c r="B47843" s="43"/>
    </row>
    <row r="47844" spans="2:2" ht="12.75" customHeight="1" x14ac:dyDescent="0.2">
      <c r="B47844" s="43"/>
    </row>
    <row r="47845" spans="2:2" ht="12.75" customHeight="1" x14ac:dyDescent="0.2">
      <c r="B47845" s="43"/>
    </row>
    <row r="47846" spans="2:2" ht="12.75" customHeight="1" x14ac:dyDescent="0.2">
      <c r="B47846" s="43"/>
    </row>
    <row r="47847" spans="2:2" ht="12.75" customHeight="1" x14ac:dyDescent="0.2">
      <c r="B47847" s="43"/>
    </row>
    <row r="47848" spans="2:2" ht="12.75" customHeight="1" x14ac:dyDescent="0.2">
      <c r="B47848" s="43"/>
    </row>
    <row r="47849" spans="2:2" ht="12.75" customHeight="1" x14ac:dyDescent="0.2">
      <c r="B47849" s="43"/>
    </row>
    <row r="47850" spans="2:2" ht="12.75" customHeight="1" x14ac:dyDescent="0.2">
      <c r="B47850" s="43"/>
    </row>
    <row r="47851" spans="2:2" ht="12.75" customHeight="1" x14ac:dyDescent="0.2">
      <c r="B47851" s="43"/>
    </row>
    <row r="47852" spans="2:2" ht="12.75" customHeight="1" x14ac:dyDescent="0.2">
      <c r="B47852" s="43"/>
    </row>
    <row r="47853" spans="2:2" ht="12.75" customHeight="1" x14ac:dyDescent="0.2">
      <c r="B47853" s="43"/>
    </row>
    <row r="47854" spans="2:2" ht="12.75" customHeight="1" x14ac:dyDescent="0.2">
      <c r="B47854" s="43"/>
    </row>
    <row r="47855" spans="2:2" ht="12.75" customHeight="1" x14ac:dyDescent="0.2">
      <c r="B47855" s="43"/>
    </row>
    <row r="47856" spans="2:2" ht="12.75" customHeight="1" x14ac:dyDescent="0.2">
      <c r="B47856" s="43"/>
    </row>
    <row r="47857" spans="2:2" ht="12.75" customHeight="1" x14ac:dyDescent="0.2">
      <c r="B47857" s="43"/>
    </row>
    <row r="47858" spans="2:2" ht="12.75" customHeight="1" x14ac:dyDescent="0.2">
      <c r="B47858" s="43"/>
    </row>
    <row r="47859" spans="2:2" ht="12.75" customHeight="1" x14ac:dyDescent="0.2">
      <c r="B47859" s="43"/>
    </row>
    <row r="47860" spans="2:2" ht="12.75" customHeight="1" x14ac:dyDescent="0.2">
      <c r="B47860" s="43"/>
    </row>
    <row r="47861" spans="2:2" ht="12.75" customHeight="1" x14ac:dyDescent="0.2">
      <c r="B47861" s="43"/>
    </row>
    <row r="47862" spans="2:2" ht="12.75" customHeight="1" x14ac:dyDescent="0.2">
      <c r="B47862" s="43"/>
    </row>
    <row r="47863" spans="2:2" ht="12.75" customHeight="1" x14ac:dyDescent="0.2">
      <c r="B47863" s="43"/>
    </row>
    <row r="47864" spans="2:2" ht="12.75" customHeight="1" x14ac:dyDescent="0.2">
      <c r="B47864" s="43"/>
    </row>
    <row r="47865" spans="2:2" ht="12.75" customHeight="1" x14ac:dyDescent="0.2">
      <c r="B47865" s="43"/>
    </row>
    <row r="47866" spans="2:2" ht="12.75" customHeight="1" x14ac:dyDescent="0.2">
      <c r="B47866" s="43"/>
    </row>
    <row r="47867" spans="2:2" ht="12.75" customHeight="1" x14ac:dyDescent="0.2">
      <c r="B47867" s="43"/>
    </row>
    <row r="47868" spans="2:2" ht="12.75" customHeight="1" x14ac:dyDescent="0.2">
      <c r="B47868" s="43"/>
    </row>
    <row r="47869" spans="2:2" ht="12.75" customHeight="1" x14ac:dyDescent="0.2">
      <c r="B47869" s="43"/>
    </row>
    <row r="47870" spans="2:2" ht="12.75" customHeight="1" x14ac:dyDescent="0.2">
      <c r="B47870" s="43"/>
    </row>
    <row r="47871" spans="2:2" ht="12.75" customHeight="1" x14ac:dyDescent="0.2">
      <c r="B47871" s="43"/>
    </row>
    <row r="47872" spans="2:2" ht="12.75" customHeight="1" x14ac:dyDescent="0.2">
      <c r="B47872" s="43"/>
    </row>
    <row r="47873" spans="2:2" ht="12.75" customHeight="1" x14ac:dyDescent="0.2">
      <c r="B47873" s="43"/>
    </row>
    <row r="47874" spans="2:2" ht="12.75" customHeight="1" x14ac:dyDescent="0.2">
      <c r="B47874" s="43"/>
    </row>
    <row r="47875" spans="2:2" ht="12.75" customHeight="1" x14ac:dyDescent="0.2">
      <c r="B47875" s="43"/>
    </row>
    <row r="47876" spans="2:2" ht="12.75" customHeight="1" x14ac:dyDescent="0.2">
      <c r="B47876" s="43"/>
    </row>
    <row r="47877" spans="2:2" ht="12.75" customHeight="1" x14ac:dyDescent="0.2">
      <c r="B47877" s="43"/>
    </row>
    <row r="47878" spans="2:2" ht="12.75" customHeight="1" x14ac:dyDescent="0.2">
      <c r="B47878" s="43"/>
    </row>
    <row r="47879" spans="2:2" ht="12.75" customHeight="1" x14ac:dyDescent="0.2">
      <c r="B47879" s="43"/>
    </row>
    <row r="47880" spans="2:2" ht="12.75" customHeight="1" x14ac:dyDescent="0.2">
      <c r="B47880" s="43"/>
    </row>
    <row r="47881" spans="2:2" ht="12.75" customHeight="1" x14ac:dyDescent="0.2">
      <c r="B47881" s="43"/>
    </row>
    <row r="47882" spans="2:2" ht="12.75" customHeight="1" x14ac:dyDescent="0.2">
      <c r="B47882" s="43"/>
    </row>
    <row r="47883" spans="2:2" ht="12.75" customHeight="1" x14ac:dyDescent="0.2">
      <c r="B47883" s="43"/>
    </row>
    <row r="47884" spans="2:2" ht="12.75" customHeight="1" x14ac:dyDescent="0.2">
      <c r="B47884" s="43"/>
    </row>
    <row r="47885" spans="2:2" ht="12.75" customHeight="1" x14ac:dyDescent="0.2">
      <c r="B47885" s="43"/>
    </row>
    <row r="47886" spans="2:2" ht="12.75" customHeight="1" x14ac:dyDescent="0.2">
      <c r="B47886" s="43"/>
    </row>
    <row r="47887" spans="2:2" ht="12.75" customHeight="1" x14ac:dyDescent="0.2">
      <c r="B47887" s="43"/>
    </row>
    <row r="47888" spans="2:2" ht="12.75" customHeight="1" x14ac:dyDescent="0.2">
      <c r="B47888" s="43"/>
    </row>
    <row r="47889" spans="2:2" ht="12.75" customHeight="1" x14ac:dyDescent="0.2">
      <c r="B47889" s="43"/>
    </row>
    <row r="47890" spans="2:2" ht="12.75" customHeight="1" x14ac:dyDescent="0.2">
      <c r="B47890" s="43"/>
    </row>
    <row r="47891" spans="2:2" ht="12.75" customHeight="1" x14ac:dyDescent="0.2">
      <c r="B47891" s="43"/>
    </row>
    <row r="47892" spans="2:2" ht="12.75" customHeight="1" x14ac:dyDescent="0.2">
      <c r="B47892" s="43"/>
    </row>
    <row r="47893" spans="2:2" ht="12.75" customHeight="1" x14ac:dyDescent="0.2">
      <c r="B47893" s="43"/>
    </row>
    <row r="47894" spans="2:2" ht="12.75" customHeight="1" x14ac:dyDescent="0.2">
      <c r="B47894" s="43"/>
    </row>
    <row r="47895" spans="2:2" ht="12.75" customHeight="1" x14ac:dyDescent="0.2">
      <c r="B47895" s="43"/>
    </row>
    <row r="47896" spans="2:2" ht="12.75" customHeight="1" x14ac:dyDescent="0.2">
      <c r="B47896" s="43"/>
    </row>
    <row r="47897" spans="2:2" ht="12.75" customHeight="1" x14ac:dyDescent="0.2">
      <c r="B47897" s="43"/>
    </row>
    <row r="47898" spans="2:2" ht="12.75" customHeight="1" x14ac:dyDescent="0.2">
      <c r="B47898" s="43"/>
    </row>
    <row r="47899" spans="2:2" ht="12.75" customHeight="1" x14ac:dyDescent="0.2">
      <c r="B47899" s="43"/>
    </row>
    <row r="47900" spans="2:2" ht="12.75" customHeight="1" x14ac:dyDescent="0.2">
      <c r="B47900" s="43"/>
    </row>
    <row r="47901" spans="2:2" ht="12.75" customHeight="1" x14ac:dyDescent="0.2">
      <c r="B47901" s="43"/>
    </row>
    <row r="47902" spans="2:2" ht="12.75" customHeight="1" x14ac:dyDescent="0.2">
      <c r="B47902" s="43"/>
    </row>
    <row r="47903" spans="2:2" ht="12.75" customHeight="1" x14ac:dyDescent="0.2">
      <c r="B47903" s="43"/>
    </row>
    <row r="47904" spans="2:2" ht="12.75" customHeight="1" x14ac:dyDescent="0.2">
      <c r="B47904" s="43"/>
    </row>
    <row r="47905" spans="2:2" ht="12.75" customHeight="1" x14ac:dyDescent="0.2">
      <c r="B47905" s="43"/>
    </row>
    <row r="47906" spans="2:2" ht="12.75" customHeight="1" x14ac:dyDescent="0.2">
      <c r="B47906" s="43"/>
    </row>
    <row r="47907" spans="2:2" ht="12.75" customHeight="1" x14ac:dyDescent="0.2">
      <c r="B47907" s="43"/>
    </row>
    <row r="47908" spans="2:2" ht="12.75" customHeight="1" x14ac:dyDescent="0.2">
      <c r="B47908" s="43"/>
    </row>
    <row r="47909" spans="2:2" ht="12.75" customHeight="1" x14ac:dyDescent="0.2">
      <c r="B47909" s="43"/>
    </row>
    <row r="47910" spans="2:2" ht="12.75" customHeight="1" x14ac:dyDescent="0.2">
      <c r="B47910" s="43"/>
    </row>
    <row r="47911" spans="2:2" ht="12.75" customHeight="1" x14ac:dyDescent="0.2">
      <c r="B47911" s="43"/>
    </row>
    <row r="47912" spans="2:2" ht="12.75" customHeight="1" x14ac:dyDescent="0.2">
      <c r="B47912" s="43"/>
    </row>
    <row r="47913" spans="2:2" ht="12.75" customHeight="1" x14ac:dyDescent="0.2">
      <c r="B47913" s="43"/>
    </row>
    <row r="47914" spans="2:2" ht="12.75" customHeight="1" x14ac:dyDescent="0.2">
      <c r="B47914" s="43"/>
    </row>
    <row r="47915" spans="2:2" ht="12.75" customHeight="1" x14ac:dyDescent="0.2">
      <c r="B47915" s="43"/>
    </row>
    <row r="47916" spans="2:2" ht="12.75" customHeight="1" x14ac:dyDescent="0.2">
      <c r="B47916" s="43"/>
    </row>
    <row r="47917" spans="2:2" ht="12.75" customHeight="1" x14ac:dyDescent="0.2">
      <c r="B47917" s="43"/>
    </row>
    <row r="47918" spans="2:2" ht="12.75" customHeight="1" x14ac:dyDescent="0.2">
      <c r="B47918" s="43"/>
    </row>
    <row r="47919" spans="2:2" ht="12.75" customHeight="1" x14ac:dyDescent="0.2">
      <c r="B47919" s="43"/>
    </row>
    <row r="47920" spans="2:2" ht="12.75" customHeight="1" x14ac:dyDescent="0.2">
      <c r="B47920" s="43"/>
    </row>
    <row r="47921" spans="2:2" ht="12.75" customHeight="1" x14ac:dyDescent="0.2">
      <c r="B47921" s="43"/>
    </row>
    <row r="47922" spans="2:2" ht="12.75" customHeight="1" x14ac:dyDescent="0.2">
      <c r="B47922" s="43"/>
    </row>
    <row r="47923" spans="2:2" ht="12.75" customHeight="1" x14ac:dyDescent="0.2">
      <c r="B47923" s="43"/>
    </row>
    <row r="47924" spans="2:2" ht="12.75" customHeight="1" x14ac:dyDescent="0.2">
      <c r="B47924" s="43"/>
    </row>
    <row r="47925" spans="2:2" ht="12.75" customHeight="1" x14ac:dyDescent="0.2">
      <c r="B47925" s="43"/>
    </row>
    <row r="47926" spans="2:2" ht="12.75" customHeight="1" x14ac:dyDescent="0.2">
      <c r="B47926" s="43"/>
    </row>
    <row r="47927" spans="2:2" ht="12.75" customHeight="1" x14ac:dyDescent="0.2">
      <c r="B47927" s="43"/>
    </row>
    <row r="47928" spans="2:2" ht="12.75" customHeight="1" x14ac:dyDescent="0.2">
      <c r="B47928" s="43"/>
    </row>
    <row r="47929" spans="2:2" ht="12.75" customHeight="1" x14ac:dyDescent="0.2">
      <c r="B47929" s="43"/>
    </row>
    <row r="47930" spans="2:2" ht="12.75" customHeight="1" x14ac:dyDescent="0.2">
      <c r="B47930" s="43"/>
    </row>
    <row r="47931" spans="2:2" ht="12.75" customHeight="1" x14ac:dyDescent="0.2">
      <c r="B47931" s="43"/>
    </row>
    <row r="47932" spans="2:2" ht="12.75" customHeight="1" x14ac:dyDescent="0.2">
      <c r="B47932" s="43"/>
    </row>
    <row r="47933" spans="2:2" ht="12.75" customHeight="1" x14ac:dyDescent="0.2">
      <c r="B47933" s="43"/>
    </row>
    <row r="47934" spans="2:2" ht="12.75" customHeight="1" x14ac:dyDescent="0.2">
      <c r="B47934" s="43"/>
    </row>
    <row r="47935" spans="2:2" ht="12.75" customHeight="1" x14ac:dyDescent="0.2">
      <c r="B47935" s="43"/>
    </row>
    <row r="47936" spans="2:2" ht="12.75" customHeight="1" x14ac:dyDescent="0.2">
      <c r="B47936" s="43"/>
    </row>
    <row r="47937" spans="2:2" ht="12.75" customHeight="1" x14ac:dyDescent="0.2">
      <c r="B47937" s="43"/>
    </row>
    <row r="47938" spans="2:2" ht="12.75" customHeight="1" x14ac:dyDescent="0.2">
      <c r="B47938" s="43"/>
    </row>
    <row r="47939" spans="2:2" ht="12.75" customHeight="1" x14ac:dyDescent="0.2">
      <c r="B47939" s="43"/>
    </row>
    <row r="47940" spans="2:2" ht="12.75" customHeight="1" x14ac:dyDescent="0.2">
      <c r="B47940" s="43"/>
    </row>
    <row r="47941" spans="2:2" ht="12.75" customHeight="1" x14ac:dyDescent="0.2">
      <c r="B47941" s="43"/>
    </row>
    <row r="47942" spans="2:2" ht="12.75" customHeight="1" x14ac:dyDescent="0.2">
      <c r="B47942" s="43"/>
    </row>
    <row r="47943" spans="2:2" ht="12.75" customHeight="1" x14ac:dyDescent="0.2">
      <c r="B47943" s="43"/>
    </row>
    <row r="47944" spans="2:2" ht="12.75" customHeight="1" x14ac:dyDescent="0.2">
      <c r="B47944" s="43"/>
    </row>
    <row r="47945" spans="2:2" ht="12.75" customHeight="1" x14ac:dyDescent="0.2">
      <c r="B47945" s="43"/>
    </row>
    <row r="47946" spans="2:2" ht="12.75" customHeight="1" x14ac:dyDescent="0.2">
      <c r="B47946" s="43"/>
    </row>
    <row r="47947" spans="2:2" ht="12.75" customHeight="1" x14ac:dyDescent="0.2">
      <c r="B47947" s="43"/>
    </row>
    <row r="47948" spans="2:2" ht="12.75" customHeight="1" x14ac:dyDescent="0.2">
      <c r="B47948" s="43"/>
    </row>
    <row r="47949" spans="2:2" ht="12.75" customHeight="1" x14ac:dyDescent="0.2">
      <c r="B47949" s="43"/>
    </row>
    <row r="47950" spans="2:2" ht="12.75" customHeight="1" x14ac:dyDescent="0.2">
      <c r="B47950" s="43"/>
    </row>
    <row r="47951" spans="2:2" ht="12.75" customHeight="1" x14ac:dyDescent="0.2">
      <c r="B47951" s="43"/>
    </row>
    <row r="47952" spans="2:2" ht="12.75" customHeight="1" x14ac:dyDescent="0.2">
      <c r="B47952" s="43"/>
    </row>
    <row r="47953" spans="2:2" ht="12.75" customHeight="1" x14ac:dyDescent="0.2">
      <c r="B47953" s="43"/>
    </row>
    <row r="47954" spans="2:2" ht="12.75" customHeight="1" x14ac:dyDescent="0.2">
      <c r="B47954" s="43"/>
    </row>
    <row r="47955" spans="2:2" ht="12.75" customHeight="1" x14ac:dyDescent="0.2">
      <c r="B47955" s="43"/>
    </row>
    <row r="47956" spans="2:2" ht="12.75" customHeight="1" x14ac:dyDescent="0.2">
      <c r="B47956" s="43"/>
    </row>
    <row r="47957" spans="2:2" ht="12.75" customHeight="1" x14ac:dyDescent="0.2">
      <c r="B47957" s="43"/>
    </row>
    <row r="47958" spans="2:2" ht="12.75" customHeight="1" x14ac:dyDescent="0.2">
      <c r="B47958" s="43"/>
    </row>
    <row r="47959" spans="2:2" ht="12.75" customHeight="1" x14ac:dyDescent="0.2">
      <c r="B47959" s="43"/>
    </row>
    <row r="47960" spans="2:2" ht="12.75" customHeight="1" x14ac:dyDescent="0.2">
      <c r="B47960" s="43"/>
    </row>
    <row r="47961" spans="2:2" ht="12.75" customHeight="1" x14ac:dyDescent="0.2">
      <c r="B47961" s="43"/>
    </row>
    <row r="47962" spans="2:2" ht="12.75" customHeight="1" x14ac:dyDescent="0.2">
      <c r="B47962" s="43"/>
    </row>
    <row r="47963" spans="2:2" ht="12.75" customHeight="1" x14ac:dyDescent="0.2">
      <c r="B47963" s="43"/>
    </row>
    <row r="47964" spans="2:2" ht="12.75" customHeight="1" x14ac:dyDescent="0.2">
      <c r="B47964" s="43"/>
    </row>
    <row r="47965" spans="2:2" ht="12.75" customHeight="1" x14ac:dyDescent="0.2">
      <c r="B47965" s="43"/>
    </row>
    <row r="47966" spans="2:2" ht="12.75" customHeight="1" x14ac:dyDescent="0.2">
      <c r="B47966" s="43"/>
    </row>
    <row r="47967" spans="2:2" ht="12.75" customHeight="1" x14ac:dyDescent="0.2">
      <c r="B47967" s="43"/>
    </row>
    <row r="47968" spans="2:2" ht="12.75" customHeight="1" x14ac:dyDescent="0.2">
      <c r="B47968" s="43"/>
    </row>
    <row r="47969" spans="2:2" ht="12.75" customHeight="1" x14ac:dyDescent="0.2">
      <c r="B47969" s="43"/>
    </row>
    <row r="47970" spans="2:2" ht="12.75" customHeight="1" x14ac:dyDescent="0.2">
      <c r="B47970" s="43"/>
    </row>
    <row r="47971" spans="2:2" ht="12.75" customHeight="1" x14ac:dyDescent="0.2">
      <c r="B47971" s="43"/>
    </row>
    <row r="47972" spans="2:2" ht="12.75" customHeight="1" x14ac:dyDescent="0.2">
      <c r="B47972" s="43"/>
    </row>
    <row r="47973" spans="2:2" ht="12.75" customHeight="1" x14ac:dyDescent="0.2">
      <c r="B47973" s="43"/>
    </row>
    <row r="47974" spans="2:2" ht="12.75" customHeight="1" x14ac:dyDescent="0.2">
      <c r="B47974" s="43"/>
    </row>
    <row r="47975" spans="2:2" ht="12.75" customHeight="1" x14ac:dyDescent="0.2">
      <c r="B47975" s="43"/>
    </row>
    <row r="47976" spans="2:2" ht="12.75" customHeight="1" x14ac:dyDescent="0.2">
      <c r="B47976" s="43"/>
    </row>
    <row r="47977" spans="2:2" ht="12.75" customHeight="1" x14ac:dyDescent="0.2">
      <c r="B47977" s="43"/>
    </row>
    <row r="47978" spans="2:2" ht="12.75" customHeight="1" x14ac:dyDescent="0.2">
      <c r="B47978" s="43"/>
    </row>
    <row r="47979" spans="2:2" ht="12.75" customHeight="1" x14ac:dyDescent="0.2">
      <c r="B47979" s="43"/>
    </row>
    <row r="47980" spans="2:2" ht="12.75" customHeight="1" x14ac:dyDescent="0.2">
      <c r="B47980" s="43"/>
    </row>
    <row r="47981" spans="2:2" ht="12.75" customHeight="1" x14ac:dyDescent="0.2">
      <c r="B47981" s="43"/>
    </row>
    <row r="47982" spans="2:2" ht="12.75" customHeight="1" x14ac:dyDescent="0.2">
      <c r="B47982" s="43"/>
    </row>
    <row r="47983" spans="2:2" ht="12.75" customHeight="1" x14ac:dyDescent="0.2">
      <c r="B47983" s="43"/>
    </row>
    <row r="47984" spans="2:2" ht="12.75" customHeight="1" x14ac:dyDescent="0.2">
      <c r="B47984" s="43"/>
    </row>
    <row r="47985" spans="2:2" ht="12.75" customHeight="1" x14ac:dyDescent="0.2">
      <c r="B47985" s="43"/>
    </row>
    <row r="47986" spans="2:2" ht="12.75" customHeight="1" x14ac:dyDescent="0.2">
      <c r="B47986" s="43"/>
    </row>
    <row r="47987" spans="2:2" ht="12.75" customHeight="1" x14ac:dyDescent="0.2">
      <c r="B47987" s="43"/>
    </row>
    <row r="47988" spans="2:2" ht="12.75" customHeight="1" x14ac:dyDescent="0.2">
      <c r="B47988" s="43"/>
    </row>
    <row r="47989" spans="2:2" ht="12.75" customHeight="1" x14ac:dyDescent="0.2">
      <c r="B47989" s="43"/>
    </row>
    <row r="47990" spans="2:2" ht="12.75" customHeight="1" x14ac:dyDescent="0.2">
      <c r="B47990" s="43"/>
    </row>
    <row r="47991" spans="2:2" ht="12.75" customHeight="1" x14ac:dyDescent="0.2">
      <c r="B47991" s="43"/>
    </row>
    <row r="47992" spans="2:2" ht="12.75" customHeight="1" x14ac:dyDescent="0.2">
      <c r="B47992" s="43"/>
    </row>
    <row r="47993" spans="2:2" ht="12.75" customHeight="1" x14ac:dyDescent="0.2">
      <c r="B47993" s="43"/>
    </row>
    <row r="47994" spans="2:2" ht="12.75" customHeight="1" x14ac:dyDescent="0.2">
      <c r="B47994" s="43"/>
    </row>
    <row r="47995" spans="2:2" ht="12.75" customHeight="1" x14ac:dyDescent="0.2">
      <c r="B47995" s="43"/>
    </row>
    <row r="47996" spans="2:2" ht="12.75" customHeight="1" x14ac:dyDescent="0.2">
      <c r="B47996" s="43"/>
    </row>
    <row r="47997" spans="2:2" ht="12.75" customHeight="1" x14ac:dyDescent="0.2">
      <c r="B47997" s="43"/>
    </row>
    <row r="47998" spans="2:2" ht="12.75" customHeight="1" x14ac:dyDescent="0.2">
      <c r="B47998" s="43"/>
    </row>
    <row r="47999" spans="2:2" ht="12.75" customHeight="1" x14ac:dyDescent="0.2">
      <c r="B47999" s="43"/>
    </row>
    <row r="48000" spans="2:2" ht="12.75" customHeight="1" x14ac:dyDescent="0.2">
      <c r="B48000" s="43"/>
    </row>
    <row r="48001" spans="2:2" ht="12.75" customHeight="1" x14ac:dyDescent="0.2">
      <c r="B48001" s="43"/>
    </row>
    <row r="48002" spans="2:2" ht="12.75" customHeight="1" x14ac:dyDescent="0.2">
      <c r="B48002" s="43"/>
    </row>
    <row r="48003" spans="2:2" ht="12.75" customHeight="1" x14ac:dyDescent="0.2">
      <c r="B48003" s="43"/>
    </row>
    <row r="48004" spans="2:2" ht="12.75" customHeight="1" x14ac:dyDescent="0.2">
      <c r="B48004" s="43"/>
    </row>
    <row r="48005" spans="2:2" ht="12.75" customHeight="1" x14ac:dyDescent="0.2">
      <c r="B48005" s="43"/>
    </row>
    <row r="48006" spans="2:2" ht="12.75" customHeight="1" x14ac:dyDescent="0.2">
      <c r="B48006" s="43"/>
    </row>
    <row r="48007" spans="2:2" ht="12.75" customHeight="1" x14ac:dyDescent="0.2">
      <c r="B48007" s="43"/>
    </row>
    <row r="48008" spans="2:2" ht="12.75" customHeight="1" x14ac:dyDescent="0.2">
      <c r="B48008" s="43"/>
    </row>
    <row r="48009" spans="2:2" ht="12.75" customHeight="1" x14ac:dyDescent="0.2">
      <c r="B48009" s="43"/>
    </row>
    <row r="48010" spans="2:2" ht="12.75" customHeight="1" x14ac:dyDescent="0.2">
      <c r="B48010" s="43"/>
    </row>
    <row r="48011" spans="2:2" ht="12.75" customHeight="1" x14ac:dyDescent="0.2">
      <c r="B48011" s="43"/>
    </row>
    <row r="48012" spans="2:2" ht="12.75" customHeight="1" x14ac:dyDescent="0.2">
      <c r="B48012" s="43"/>
    </row>
    <row r="48013" spans="2:2" ht="12.75" customHeight="1" x14ac:dyDescent="0.2">
      <c r="B48013" s="43"/>
    </row>
    <row r="48014" spans="2:2" ht="12.75" customHeight="1" x14ac:dyDescent="0.2">
      <c r="B48014" s="43"/>
    </row>
    <row r="48015" spans="2:2" ht="12.75" customHeight="1" x14ac:dyDescent="0.2">
      <c r="B48015" s="43"/>
    </row>
    <row r="48016" spans="2:2" ht="12.75" customHeight="1" x14ac:dyDescent="0.2">
      <c r="B48016" s="43"/>
    </row>
    <row r="48017" spans="2:2" ht="12.75" customHeight="1" x14ac:dyDescent="0.2">
      <c r="B48017" s="43"/>
    </row>
    <row r="48018" spans="2:2" ht="12.75" customHeight="1" x14ac:dyDescent="0.2">
      <c r="B48018" s="43"/>
    </row>
    <row r="48019" spans="2:2" ht="12.75" customHeight="1" x14ac:dyDescent="0.2">
      <c r="B48019" s="43"/>
    </row>
    <row r="48020" spans="2:2" ht="12.75" customHeight="1" x14ac:dyDescent="0.2">
      <c r="B48020" s="43"/>
    </row>
    <row r="48021" spans="2:2" ht="12.75" customHeight="1" x14ac:dyDescent="0.2">
      <c r="B48021" s="43"/>
    </row>
    <row r="48022" spans="2:2" ht="12.75" customHeight="1" x14ac:dyDescent="0.2">
      <c r="B48022" s="43"/>
    </row>
    <row r="48023" spans="2:2" ht="12.75" customHeight="1" x14ac:dyDescent="0.2">
      <c r="B48023" s="43"/>
    </row>
    <row r="48024" spans="2:2" ht="12.75" customHeight="1" x14ac:dyDescent="0.2">
      <c r="B48024" s="43"/>
    </row>
    <row r="48025" spans="2:2" ht="12.75" customHeight="1" x14ac:dyDescent="0.2">
      <c r="B48025" s="43"/>
    </row>
    <row r="48026" spans="2:2" ht="12.75" customHeight="1" x14ac:dyDescent="0.2">
      <c r="B48026" s="43"/>
    </row>
    <row r="48027" spans="2:2" ht="12.75" customHeight="1" x14ac:dyDescent="0.2">
      <c r="B48027" s="43"/>
    </row>
    <row r="48028" spans="2:2" ht="12.75" customHeight="1" x14ac:dyDescent="0.2">
      <c r="B48028" s="43"/>
    </row>
    <row r="48029" spans="2:2" ht="12.75" customHeight="1" x14ac:dyDescent="0.2">
      <c r="B48029" s="43"/>
    </row>
    <row r="48030" spans="2:2" ht="12.75" customHeight="1" x14ac:dyDescent="0.2">
      <c r="B48030" s="43"/>
    </row>
    <row r="48031" spans="2:2" ht="12.75" customHeight="1" x14ac:dyDescent="0.2">
      <c r="B48031" s="43"/>
    </row>
    <row r="48032" spans="2:2" ht="12.75" customHeight="1" x14ac:dyDescent="0.2">
      <c r="B48032" s="43"/>
    </row>
    <row r="48033" spans="2:2" ht="12.75" customHeight="1" x14ac:dyDescent="0.2">
      <c r="B48033" s="43"/>
    </row>
    <row r="48034" spans="2:2" ht="12.75" customHeight="1" x14ac:dyDescent="0.2">
      <c r="B48034" s="43"/>
    </row>
    <row r="48035" spans="2:2" ht="12.75" customHeight="1" x14ac:dyDescent="0.2">
      <c r="B48035" s="43"/>
    </row>
    <row r="48036" spans="2:2" ht="12.75" customHeight="1" x14ac:dyDescent="0.2">
      <c r="B48036" s="43"/>
    </row>
    <row r="48037" spans="2:2" ht="12.75" customHeight="1" x14ac:dyDescent="0.2">
      <c r="B48037" s="43"/>
    </row>
    <row r="48038" spans="2:2" ht="12.75" customHeight="1" x14ac:dyDescent="0.2">
      <c r="B48038" s="43"/>
    </row>
    <row r="48039" spans="2:2" ht="12.75" customHeight="1" x14ac:dyDescent="0.2">
      <c r="B48039" s="43"/>
    </row>
    <row r="48040" spans="2:2" ht="12.75" customHeight="1" x14ac:dyDescent="0.2">
      <c r="B48040" s="43"/>
    </row>
    <row r="48041" spans="2:2" ht="12.75" customHeight="1" x14ac:dyDescent="0.2">
      <c r="B48041" s="43"/>
    </row>
    <row r="48042" spans="2:2" ht="12.75" customHeight="1" x14ac:dyDescent="0.2">
      <c r="B48042" s="43"/>
    </row>
    <row r="48043" spans="2:2" ht="12.75" customHeight="1" x14ac:dyDescent="0.2">
      <c r="B48043" s="43"/>
    </row>
    <row r="48044" spans="2:2" ht="12.75" customHeight="1" x14ac:dyDescent="0.2">
      <c r="B48044" s="43"/>
    </row>
    <row r="48045" spans="2:2" ht="12.75" customHeight="1" x14ac:dyDescent="0.2">
      <c r="B48045" s="43"/>
    </row>
    <row r="48046" spans="2:2" ht="12.75" customHeight="1" x14ac:dyDescent="0.2">
      <c r="B48046" s="43"/>
    </row>
    <row r="48047" spans="2:2" ht="12.75" customHeight="1" x14ac:dyDescent="0.2">
      <c r="B48047" s="43"/>
    </row>
    <row r="48048" spans="2:2" ht="12.75" customHeight="1" x14ac:dyDescent="0.2">
      <c r="B48048" s="43"/>
    </row>
    <row r="48049" spans="2:2" ht="12.75" customHeight="1" x14ac:dyDescent="0.2">
      <c r="B48049" s="43"/>
    </row>
    <row r="48050" spans="2:2" ht="12.75" customHeight="1" x14ac:dyDescent="0.2">
      <c r="B48050" s="43"/>
    </row>
    <row r="48051" spans="2:2" ht="12.75" customHeight="1" x14ac:dyDescent="0.2">
      <c r="B48051" s="43"/>
    </row>
    <row r="48052" spans="2:2" ht="12.75" customHeight="1" x14ac:dyDescent="0.2">
      <c r="B48052" s="43"/>
    </row>
    <row r="48053" spans="2:2" ht="12.75" customHeight="1" x14ac:dyDescent="0.2">
      <c r="B48053" s="43"/>
    </row>
    <row r="48054" spans="2:2" ht="12.75" customHeight="1" x14ac:dyDescent="0.2">
      <c r="B48054" s="43"/>
    </row>
    <row r="48055" spans="2:2" ht="12.75" customHeight="1" x14ac:dyDescent="0.2">
      <c r="B48055" s="43"/>
    </row>
    <row r="48056" spans="2:2" ht="12.75" customHeight="1" x14ac:dyDescent="0.2">
      <c r="B48056" s="43"/>
    </row>
    <row r="48057" spans="2:2" ht="12.75" customHeight="1" x14ac:dyDescent="0.2">
      <c r="B48057" s="43"/>
    </row>
    <row r="48058" spans="2:2" ht="12.75" customHeight="1" x14ac:dyDescent="0.2">
      <c r="B48058" s="43"/>
    </row>
    <row r="48059" spans="2:2" ht="12.75" customHeight="1" x14ac:dyDescent="0.2">
      <c r="B48059" s="43"/>
    </row>
    <row r="48060" spans="2:2" ht="12.75" customHeight="1" x14ac:dyDescent="0.2">
      <c r="B48060" s="43"/>
    </row>
    <row r="48061" spans="2:2" ht="12.75" customHeight="1" x14ac:dyDescent="0.2">
      <c r="B48061" s="43"/>
    </row>
    <row r="48062" spans="2:2" ht="12.75" customHeight="1" x14ac:dyDescent="0.2">
      <c r="B48062" s="43"/>
    </row>
    <row r="48063" spans="2:2" ht="12.75" customHeight="1" x14ac:dyDescent="0.2">
      <c r="B48063" s="43"/>
    </row>
    <row r="48064" spans="2:2" ht="12.75" customHeight="1" x14ac:dyDescent="0.2">
      <c r="B48064" s="43"/>
    </row>
    <row r="48065" spans="2:2" ht="12.75" customHeight="1" x14ac:dyDescent="0.2">
      <c r="B48065" s="43"/>
    </row>
    <row r="48066" spans="2:2" ht="12.75" customHeight="1" x14ac:dyDescent="0.2">
      <c r="B48066" s="43"/>
    </row>
    <row r="48067" spans="2:2" ht="12.75" customHeight="1" x14ac:dyDescent="0.2">
      <c r="B48067" s="43"/>
    </row>
    <row r="48068" spans="2:2" ht="12.75" customHeight="1" x14ac:dyDescent="0.2">
      <c r="B48068" s="43"/>
    </row>
    <row r="48069" spans="2:2" ht="12.75" customHeight="1" x14ac:dyDescent="0.2">
      <c r="B48069" s="43"/>
    </row>
    <row r="48070" spans="2:2" ht="12.75" customHeight="1" x14ac:dyDescent="0.2">
      <c r="B48070" s="43"/>
    </row>
    <row r="48071" spans="2:2" ht="12.75" customHeight="1" x14ac:dyDescent="0.2">
      <c r="B48071" s="43"/>
    </row>
    <row r="48072" spans="2:2" ht="12.75" customHeight="1" x14ac:dyDescent="0.2">
      <c r="B48072" s="43"/>
    </row>
    <row r="48073" spans="2:2" ht="12.75" customHeight="1" x14ac:dyDescent="0.2">
      <c r="B48073" s="43"/>
    </row>
    <row r="48074" spans="2:2" ht="12.75" customHeight="1" x14ac:dyDescent="0.2">
      <c r="B48074" s="43"/>
    </row>
    <row r="48075" spans="2:2" ht="12.75" customHeight="1" x14ac:dyDescent="0.2">
      <c r="B48075" s="43"/>
    </row>
    <row r="48076" spans="2:2" ht="12.75" customHeight="1" x14ac:dyDescent="0.2">
      <c r="B48076" s="43"/>
    </row>
    <row r="48077" spans="2:2" ht="12.75" customHeight="1" x14ac:dyDescent="0.2">
      <c r="B48077" s="43"/>
    </row>
    <row r="48078" spans="2:2" ht="12.75" customHeight="1" x14ac:dyDescent="0.2">
      <c r="B48078" s="43"/>
    </row>
    <row r="48079" spans="2:2" ht="12.75" customHeight="1" x14ac:dyDescent="0.2">
      <c r="B48079" s="43"/>
    </row>
    <row r="48080" spans="2:2" ht="12.75" customHeight="1" x14ac:dyDescent="0.2">
      <c r="B48080" s="43"/>
    </row>
    <row r="48081" spans="2:2" ht="12.75" customHeight="1" x14ac:dyDescent="0.2">
      <c r="B48081" s="43"/>
    </row>
    <row r="48082" spans="2:2" ht="12.75" customHeight="1" x14ac:dyDescent="0.2">
      <c r="B48082" s="43"/>
    </row>
    <row r="48083" spans="2:2" ht="12.75" customHeight="1" x14ac:dyDescent="0.2">
      <c r="B48083" s="43"/>
    </row>
    <row r="48084" spans="2:2" ht="12.75" customHeight="1" x14ac:dyDescent="0.2">
      <c r="B48084" s="43"/>
    </row>
    <row r="48085" spans="2:2" ht="12.75" customHeight="1" x14ac:dyDescent="0.2">
      <c r="B48085" s="43"/>
    </row>
    <row r="48086" spans="2:2" ht="12.75" customHeight="1" x14ac:dyDescent="0.2">
      <c r="B48086" s="43"/>
    </row>
    <row r="48087" spans="2:2" ht="12.75" customHeight="1" x14ac:dyDescent="0.2">
      <c r="B48087" s="43"/>
    </row>
    <row r="48088" spans="2:2" ht="12.75" customHeight="1" x14ac:dyDescent="0.2">
      <c r="B48088" s="43"/>
    </row>
    <row r="48089" spans="2:2" ht="12.75" customHeight="1" x14ac:dyDescent="0.2">
      <c r="B48089" s="43"/>
    </row>
    <row r="48090" spans="2:2" ht="12.75" customHeight="1" x14ac:dyDescent="0.2">
      <c r="B48090" s="43"/>
    </row>
    <row r="48091" spans="2:2" ht="12.75" customHeight="1" x14ac:dyDescent="0.2">
      <c r="B48091" s="43"/>
    </row>
    <row r="48092" spans="2:2" ht="12.75" customHeight="1" x14ac:dyDescent="0.2">
      <c r="B48092" s="43"/>
    </row>
    <row r="48093" spans="2:2" ht="12.75" customHeight="1" x14ac:dyDescent="0.2">
      <c r="B48093" s="43"/>
    </row>
    <row r="48094" spans="2:2" ht="12.75" customHeight="1" x14ac:dyDescent="0.2">
      <c r="B48094" s="43"/>
    </row>
    <row r="48095" spans="2:2" ht="12.75" customHeight="1" x14ac:dyDescent="0.2">
      <c r="B48095" s="43"/>
    </row>
    <row r="48096" spans="2:2" ht="12.75" customHeight="1" x14ac:dyDescent="0.2">
      <c r="B48096" s="43"/>
    </row>
    <row r="48097" spans="2:2" ht="12.75" customHeight="1" x14ac:dyDescent="0.2">
      <c r="B48097" s="43"/>
    </row>
    <row r="48098" spans="2:2" ht="12.75" customHeight="1" x14ac:dyDescent="0.2">
      <c r="B48098" s="43"/>
    </row>
    <row r="48099" spans="2:2" ht="12.75" customHeight="1" x14ac:dyDescent="0.2">
      <c r="B48099" s="43"/>
    </row>
    <row r="48100" spans="2:2" ht="12.75" customHeight="1" x14ac:dyDescent="0.2">
      <c r="B48100" s="43"/>
    </row>
    <row r="48101" spans="2:2" ht="12.75" customHeight="1" x14ac:dyDescent="0.2">
      <c r="B48101" s="43"/>
    </row>
    <row r="48102" spans="2:2" ht="12.75" customHeight="1" x14ac:dyDescent="0.2">
      <c r="B48102" s="43"/>
    </row>
    <row r="48103" spans="2:2" ht="12.75" customHeight="1" x14ac:dyDescent="0.2">
      <c r="B48103" s="43"/>
    </row>
    <row r="48104" spans="2:2" ht="12.75" customHeight="1" x14ac:dyDescent="0.2">
      <c r="B48104" s="43"/>
    </row>
    <row r="48105" spans="2:2" ht="12.75" customHeight="1" x14ac:dyDescent="0.2">
      <c r="B48105" s="43"/>
    </row>
    <row r="48106" spans="2:2" ht="12.75" customHeight="1" x14ac:dyDescent="0.2">
      <c r="B48106" s="43"/>
    </row>
    <row r="48107" spans="2:2" ht="12.75" customHeight="1" x14ac:dyDescent="0.2">
      <c r="B48107" s="43"/>
    </row>
    <row r="48108" spans="2:2" ht="12.75" customHeight="1" x14ac:dyDescent="0.2">
      <c r="B48108" s="43"/>
    </row>
    <row r="48109" spans="2:2" ht="12.75" customHeight="1" x14ac:dyDescent="0.2">
      <c r="B48109" s="43"/>
    </row>
    <row r="48110" spans="2:2" ht="12.75" customHeight="1" x14ac:dyDescent="0.2">
      <c r="B48110" s="43"/>
    </row>
    <row r="48111" spans="2:2" ht="12.75" customHeight="1" x14ac:dyDescent="0.2">
      <c r="B48111" s="43"/>
    </row>
    <row r="48112" spans="2:2" ht="12.75" customHeight="1" x14ac:dyDescent="0.2">
      <c r="B48112" s="43"/>
    </row>
    <row r="48113" spans="2:2" ht="12.75" customHeight="1" x14ac:dyDescent="0.2">
      <c r="B48113" s="43"/>
    </row>
    <row r="48114" spans="2:2" ht="12.75" customHeight="1" x14ac:dyDescent="0.2">
      <c r="B48114" s="43"/>
    </row>
    <row r="48115" spans="2:2" ht="12.75" customHeight="1" x14ac:dyDescent="0.2">
      <c r="B48115" s="43"/>
    </row>
    <row r="48116" spans="2:2" ht="12.75" customHeight="1" x14ac:dyDescent="0.2">
      <c r="B48116" s="43"/>
    </row>
    <row r="48117" spans="2:2" ht="12.75" customHeight="1" x14ac:dyDescent="0.2">
      <c r="B48117" s="43"/>
    </row>
    <row r="48118" spans="2:2" ht="12.75" customHeight="1" x14ac:dyDescent="0.2">
      <c r="B48118" s="43"/>
    </row>
    <row r="48119" spans="2:2" ht="12.75" customHeight="1" x14ac:dyDescent="0.2">
      <c r="B48119" s="43"/>
    </row>
    <row r="48120" spans="2:2" ht="12.75" customHeight="1" x14ac:dyDescent="0.2">
      <c r="B48120" s="43"/>
    </row>
    <row r="48121" spans="2:2" ht="12.75" customHeight="1" x14ac:dyDescent="0.2">
      <c r="B48121" s="43"/>
    </row>
    <row r="48122" spans="2:2" ht="12.75" customHeight="1" x14ac:dyDescent="0.2">
      <c r="B48122" s="43"/>
    </row>
    <row r="48123" spans="2:2" ht="12.75" customHeight="1" x14ac:dyDescent="0.2">
      <c r="B48123" s="43"/>
    </row>
    <row r="48124" spans="2:2" ht="12.75" customHeight="1" x14ac:dyDescent="0.2">
      <c r="B48124" s="43"/>
    </row>
    <row r="48125" spans="2:2" ht="12.75" customHeight="1" x14ac:dyDescent="0.2">
      <c r="B48125" s="43"/>
    </row>
    <row r="48126" spans="2:2" ht="12.75" customHeight="1" x14ac:dyDescent="0.2">
      <c r="B48126" s="43"/>
    </row>
    <row r="48127" spans="2:2" ht="12.75" customHeight="1" x14ac:dyDescent="0.2">
      <c r="B48127" s="43"/>
    </row>
    <row r="48128" spans="2:2" ht="12.75" customHeight="1" x14ac:dyDescent="0.2">
      <c r="B48128" s="43"/>
    </row>
    <row r="48129" spans="2:2" ht="12.75" customHeight="1" x14ac:dyDescent="0.2">
      <c r="B48129" s="43"/>
    </row>
    <row r="48130" spans="2:2" ht="12.75" customHeight="1" x14ac:dyDescent="0.2">
      <c r="B48130" s="43"/>
    </row>
    <row r="48131" spans="2:2" ht="12.75" customHeight="1" x14ac:dyDescent="0.2">
      <c r="B48131" s="43"/>
    </row>
    <row r="48132" spans="2:2" ht="12.75" customHeight="1" x14ac:dyDescent="0.2">
      <c r="B48132" s="43"/>
    </row>
    <row r="48133" spans="2:2" ht="12.75" customHeight="1" x14ac:dyDescent="0.2">
      <c r="B48133" s="43"/>
    </row>
    <row r="48134" spans="2:2" ht="12.75" customHeight="1" x14ac:dyDescent="0.2">
      <c r="B48134" s="43"/>
    </row>
    <row r="48135" spans="2:2" ht="12.75" customHeight="1" x14ac:dyDescent="0.2">
      <c r="B48135" s="43"/>
    </row>
    <row r="48136" spans="2:2" ht="12.75" customHeight="1" x14ac:dyDescent="0.2">
      <c r="B48136" s="43"/>
    </row>
    <row r="48137" spans="2:2" ht="12.75" customHeight="1" x14ac:dyDescent="0.2">
      <c r="B48137" s="43"/>
    </row>
    <row r="48138" spans="2:2" ht="12.75" customHeight="1" x14ac:dyDescent="0.2">
      <c r="B48138" s="43"/>
    </row>
    <row r="48139" spans="2:2" ht="12.75" customHeight="1" x14ac:dyDescent="0.2">
      <c r="B48139" s="43"/>
    </row>
    <row r="48140" spans="2:2" ht="12.75" customHeight="1" x14ac:dyDescent="0.2">
      <c r="B48140" s="43"/>
    </row>
    <row r="48141" spans="2:2" ht="12.75" customHeight="1" x14ac:dyDescent="0.2">
      <c r="B48141" s="43"/>
    </row>
    <row r="48142" spans="2:2" ht="12.75" customHeight="1" x14ac:dyDescent="0.2">
      <c r="B48142" s="43"/>
    </row>
    <row r="48143" spans="2:2" ht="12.75" customHeight="1" x14ac:dyDescent="0.2">
      <c r="B48143" s="43"/>
    </row>
    <row r="48144" spans="2:2" ht="12.75" customHeight="1" x14ac:dyDescent="0.2">
      <c r="B48144" s="43"/>
    </row>
    <row r="48145" spans="2:2" ht="12.75" customHeight="1" x14ac:dyDescent="0.2">
      <c r="B48145" s="43"/>
    </row>
    <row r="48146" spans="2:2" ht="12.75" customHeight="1" x14ac:dyDescent="0.2">
      <c r="B48146" s="43"/>
    </row>
    <row r="48147" spans="2:2" ht="12.75" customHeight="1" x14ac:dyDescent="0.2">
      <c r="B48147" s="43"/>
    </row>
    <row r="48148" spans="2:2" ht="12.75" customHeight="1" x14ac:dyDescent="0.2">
      <c r="B48148" s="43"/>
    </row>
    <row r="48149" spans="2:2" ht="12.75" customHeight="1" x14ac:dyDescent="0.2">
      <c r="B48149" s="43"/>
    </row>
    <row r="48150" spans="2:2" ht="12.75" customHeight="1" x14ac:dyDescent="0.2">
      <c r="B48150" s="43"/>
    </row>
    <row r="48151" spans="2:2" ht="12.75" customHeight="1" x14ac:dyDescent="0.2">
      <c r="B48151" s="43"/>
    </row>
    <row r="48152" spans="2:2" ht="12.75" customHeight="1" x14ac:dyDescent="0.2">
      <c r="B48152" s="43"/>
    </row>
    <row r="48153" spans="2:2" ht="12.75" customHeight="1" x14ac:dyDescent="0.2">
      <c r="B48153" s="43"/>
    </row>
    <row r="48154" spans="2:2" ht="12.75" customHeight="1" x14ac:dyDescent="0.2">
      <c r="B48154" s="43"/>
    </row>
    <row r="48155" spans="2:2" ht="12.75" customHeight="1" x14ac:dyDescent="0.2">
      <c r="B48155" s="43"/>
    </row>
    <row r="48156" spans="2:2" ht="12.75" customHeight="1" x14ac:dyDescent="0.2">
      <c r="B48156" s="43"/>
    </row>
    <row r="48157" spans="2:2" ht="12.75" customHeight="1" x14ac:dyDescent="0.2">
      <c r="B48157" s="43"/>
    </row>
    <row r="48158" spans="2:2" ht="12.75" customHeight="1" x14ac:dyDescent="0.2">
      <c r="B48158" s="43"/>
    </row>
    <row r="48159" spans="2:2" ht="12.75" customHeight="1" x14ac:dyDescent="0.2">
      <c r="B48159" s="43"/>
    </row>
    <row r="48160" spans="2:2" ht="12.75" customHeight="1" x14ac:dyDescent="0.2">
      <c r="B48160" s="43"/>
    </row>
    <row r="48161" spans="2:2" ht="12.75" customHeight="1" x14ac:dyDescent="0.2">
      <c r="B48161" s="43"/>
    </row>
    <row r="48162" spans="2:2" ht="12.75" customHeight="1" x14ac:dyDescent="0.2">
      <c r="B48162" s="43"/>
    </row>
    <row r="48163" spans="2:2" ht="12.75" customHeight="1" x14ac:dyDescent="0.2">
      <c r="B48163" s="43"/>
    </row>
    <row r="48164" spans="2:2" ht="12.75" customHeight="1" x14ac:dyDescent="0.2">
      <c r="B48164" s="43"/>
    </row>
    <row r="48165" spans="2:2" ht="12.75" customHeight="1" x14ac:dyDescent="0.2">
      <c r="B48165" s="43"/>
    </row>
    <row r="48166" spans="2:2" ht="12.75" customHeight="1" x14ac:dyDescent="0.2">
      <c r="B48166" s="43"/>
    </row>
    <row r="48167" spans="2:2" ht="12.75" customHeight="1" x14ac:dyDescent="0.2">
      <c r="B48167" s="43"/>
    </row>
    <row r="48168" spans="2:2" ht="12.75" customHeight="1" x14ac:dyDescent="0.2">
      <c r="B48168" s="43"/>
    </row>
    <row r="48169" spans="2:2" ht="12.75" customHeight="1" x14ac:dyDescent="0.2">
      <c r="B48169" s="43"/>
    </row>
    <row r="48170" spans="2:2" ht="12.75" customHeight="1" x14ac:dyDescent="0.2">
      <c r="B48170" s="43"/>
    </row>
    <row r="48171" spans="2:2" ht="12.75" customHeight="1" x14ac:dyDescent="0.2">
      <c r="B48171" s="43"/>
    </row>
    <row r="48172" spans="2:2" ht="12.75" customHeight="1" x14ac:dyDescent="0.2">
      <c r="B48172" s="43"/>
    </row>
    <row r="48173" spans="2:2" ht="12.75" customHeight="1" x14ac:dyDescent="0.2">
      <c r="B48173" s="43"/>
    </row>
    <row r="48174" spans="2:2" ht="12.75" customHeight="1" x14ac:dyDescent="0.2">
      <c r="B48174" s="43"/>
    </row>
    <row r="48175" spans="2:2" ht="12.75" customHeight="1" x14ac:dyDescent="0.2">
      <c r="B48175" s="43"/>
    </row>
    <row r="48176" spans="2:2" ht="12.75" customHeight="1" x14ac:dyDescent="0.2">
      <c r="B48176" s="43"/>
    </row>
    <row r="48177" spans="2:2" ht="12.75" customHeight="1" x14ac:dyDescent="0.2">
      <c r="B48177" s="43"/>
    </row>
    <row r="48178" spans="2:2" ht="12.75" customHeight="1" x14ac:dyDescent="0.2">
      <c r="B48178" s="43"/>
    </row>
    <row r="48179" spans="2:2" ht="12.75" customHeight="1" x14ac:dyDescent="0.2">
      <c r="B48179" s="43"/>
    </row>
    <row r="48180" spans="2:2" ht="12.75" customHeight="1" x14ac:dyDescent="0.2">
      <c r="B48180" s="43"/>
    </row>
    <row r="48181" spans="2:2" ht="12.75" customHeight="1" x14ac:dyDescent="0.2">
      <c r="B48181" s="43"/>
    </row>
    <row r="48182" spans="2:2" ht="12.75" customHeight="1" x14ac:dyDescent="0.2">
      <c r="B48182" s="43"/>
    </row>
    <row r="48183" spans="2:2" ht="12.75" customHeight="1" x14ac:dyDescent="0.2">
      <c r="B48183" s="43"/>
    </row>
    <row r="48184" spans="2:2" ht="12.75" customHeight="1" x14ac:dyDescent="0.2">
      <c r="B48184" s="43"/>
    </row>
    <row r="48185" spans="2:2" ht="12.75" customHeight="1" x14ac:dyDescent="0.2">
      <c r="B48185" s="43"/>
    </row>
    <row r="48186" spans="2:2" ht="12.75" customHeight="1" x14ac:dyDescent="0.2">
      <c r="B48186" s="43"/>
    </row>
    <row r="48187" spans="2:2" ht="12.75" customHeight="1" x14ac:dyDescent="0.2">
      <c r="B48187" s="43"/>
    </row>
    <row r="48188" spans="2:2" ht="12.75" customHeight="1" x14ac:dyDescent="0.2">
      <c r="B48188" s="43"/>
    </row>
    <row r="48189" spans="2:2" ht="12.75" customHeight="1" x14ac:dyDescent="0.2">
      <c r="B48189" s="43"/>
    </row>
    <row r="48190" spans="2:2" ht="12.75" customHeight="1" x14ac:dyDescent="0.2">
      <c r="B48190" s="43"/>
    </row>
    <row r="48191" spans="2:2" ht="12.75" customHeight="1" x14ac:dyDescent="0.2">
      <c r="B48191" s="43"/>
    </row>
    <row r="48192" spans="2:2" ht="12.75" customHeight="1" x14ac:dyDescent="0.2">
      <c r="B48192" s="43"/>
    </row>
    <row r="48193" spans="2:2" ht="12.75" customHeight="1" x14ac:dyDescent="0.2">
      <c r="B48193" s="43"/>
    </row>
    <row r="48194" spans="2:2" ht="12.75" customHeight="1" x14ac:dyDescent="0.2">
      <c r="B48194" s="43"/>
    </row>
    <row r="48195" spans="2:2" ht="12.75" customHeight="1" x14ac:dyDescent="0.2">
      <c r="B48195" s="43"/>
    </row>
    <row r="48196" spans="2:2" ht="12.75" customHeight="1" x14ac:dyDescent="0.2">
      <c r="B48196" s="43"/>
    </row>
    <row r="48197" spans="2:2" ht="12.75" customHeight="1" x14ac:dyDescent="0.2">
      <c r="B48197" s="43"/>
    </row>
    <row r="48198" spans="2:2" ht="12.75" customHeight="1" x14ac:dyDescent="0.2">
      <c r="B48198" s="43"/>
    </row>
    <row r="48199" spans="2:2" ht="12.75" customHeight="1" x14ac:dyDescent="0.2">
      <c r="B48199" s="43"/>
    </row>
    <row r="48200" spans="2:2" ht="12.75" customHeight="1" x14ac:dyDescent="0.2">
      <c r="B48200" s="43"/>
    </row>
    <row r="48201" spans="2:2" ht="12.75" customHeight="1" x14ac:dyDescent="0.2">
      <c r="B48201" s="43"/>
    </row>
    <row r="48202" spans="2:2" ht="12.75" customHeight="1" x14ac:dyDescent="0.2">
      <c r="B48202" s="43"/>
    </row>
    <row r="48203" spans="2:2" ht="12.75" customHeight="1" x14ac:dyDescent="0.2">
      <c r="B48203" s="43"/>
    </row>
    <row r="48204" spans="2:2" ht="12.75" customHeight="1" x14ac:dyDescent="0.2">
      <c r="B48204" s="43"/>
    </row>
    <row r="48205" spans="2:2" ht="12.75" customHeight="1" x14ac:dyDescent="0.2">
      <c r="B48205" s="43"/>
    </row>
    <row r="48206" spans="2:2" ht="12.75" customHeight="1" x14ac:dyDescent="0.2">
      <c r="B48206" s="43"/>
    </row>
    <row r="48207" spans="2:2" ht="12.75" customHeight="1" x14ac:dyDescent="0.2">
      <c r="B48207" s="43"/>
    </row>
    <row r="48208" spans="2:2" ht="12.75" customHeight="1" x14ac:dyDescent="0.2">
      <c r="B48208" s="43"/>
    </row>
    <row r="48209" spans="2:2" ht="12.75" customHeight="1" x14ac:dyDescent="0.2">
      <c r="B48209" s="43"/>
    </row>
    <row r="48210" spans="2:2" ht="12.75" customHeight="1" x14ac:dyDescent="0.2">
      <c r="B48210" s="43"/>
    </row>
    <row r="48211" spans="2:2" ht="12.75" customHeight="1" x14ac:dyDescent="0.2">
      <c r="B48211" s="43"/>
    </row>
    <row r="48212" spans="2:2" ht="12.75" customHeight="1" x14ac:dyDescent="0.2">
      <c r="B48212" s="43"/>
    </row>
    <row r="48213" spans="2:2" ht="12.75" customHeight="1" x14ac:dyDescent="0.2">
      <c r="B48213" s="43"/>
    </row>
    <row r="48214" spans="2:2" ht="12.75" customHeight="1" x14ac:dyDescent="0.2">
      <c r="B48214" s="43"/>
    </row>
    <row r="48215" spans="2:2" ht="12.75" customHeight="1" x14ac:dyDescent="0.2">
      <c r="B48215" s="43"/>
    </row>
    <row r="48216" spans="2:2" ht="12.75" customHeight="1" x14ac:dyDescent="0.2">
      <c r="B48216" s="43"/>
    </row>
    <row r="48217" spans="2:2" ht="12.75" customHeight="1" x14ac:dyDescent="0.2">
      <c r="B48217" s="43"/>
    </row>
    <row r="48218" spans="2:2" ht="12.75" customHeight="1" x14ac:dyDescent="0.2">
      <c r="B48218" s="43"/>
    </row>
    <row r="48219" spans="2:2" ht="12.75" customHeight="1" x14ac:dyDescent="0.2">
      <c r="B48219" s="43"/>
    </row>
    <row r="48220" spans="2:2" ht="12.75" customHeight="1" x14ac:dyDescent="0.2">
      <c r="B48220" s="43"/>
    </row>
    <row r="48221" spans="2:2" ht="12.75" customHeight="1" x14ac:dyDescent="0.2">
      <c r="B48221" s="43"/>
    </row>
    <row r="48222" spans="2:2" ht="12.75" customHeight="1" x14ac:dyDescent="0.2">
      <c r="B48222" s="43"/>
    </row>
    <row r="48223" spans="2:2" ht="12.75" customHeight="1" x14ac:dyDescent="0.2">
      <c r="B48223" s="43"/>
    </row>
    <row r="48224" spans="2:2" ht="12.75" customHeight="1" x14ac:dyDescent="0.2">
      <c r="B48224" s="43"/>
    </row>
    <row r="48225" spans="2:2" ht="12.75" customHeight="1" x14ac:dyDescent="0.2">
      <c r="B48225" s="43"/>
    </row>
    <row r="48226" spans="2:2" ht="12.75" customHeight="1" x14ac:dyDescent="0.2">
      <c r="B48226" s="43"/>
    </row>
    <row r="48227" spans="2:2" ht="12.75" customHeight="1" x14ac:dyDescent="0.2">
      <c r="B48227" s="43"/>
    </row>
    <row r="48228" spans="2:2" ht="12.75" customHeight="1" x14ac:dyDescent="0.2">
      <c r="B48228" s="43"/>
    </row>
    <row r="48229" spans="2:2" ht="12.75" customHeight="1" x14ac:dyDescent="0.2">
      <c r="B48229" s="43"/>
    </row>
    <row r="48230" spans="2:2" ht="12.75" customHeight="1" x14ac:dyDescent="0.2">
      <c r="B48230" s="43"/>
    </row>
    <row r="48231" spans="2:2" ht="12.75" customHeight="1" x14ac:dyDescent="0.2">
      <c r="B48231" s="43"/>
    </row>
    <row r="48232" spans="2:2" ht="12.75" customHeight="1" x14ac:dyDescent="0.2">
      <c r="B48232" s="43"/>
    </row>
    <row r="48233" spans="2:2" ht="12.75" customHeight="1" x14ac:dyDescent="0.2">
      <c r="B48233" s="43"/>
    </row>
    <row r="48234" spans="2:2" ht="12.75" customHeight="1" x14ac:dyDescent="0.2">
      <c r="B48234" s="43"/>
    </row>
    <row r="48235" spans="2:2" ht="12.75" customHeight="1" x14ac:dyDescent="0.2">
      <c r="B48235" s="43"/>
    </row>
    <row r="48236" spans="2:2" ht="12.75" customHeight="1" x14ac:dyDescent="0.2">
      <c r="B48236" s="43"/>
    </row>
    <row r="48237" spans="2:2" ht="12.75" customHeight="1" x14ac:dyDescent="0.2">
      <c r="B48237" s="43"/>
    </row>
    <row r="48238" spans="2:2" ht="12.75" customHeight="1" x14ac:dyDescent="0.2">
      <c r="B48238" s="43"/>
    </row>
    <row r="48239" spans="2:2" ht="12.75" customHeight="1" x14ac:dyDescent="0.2">
      <c r="B48239" s="43"/>
    </row>
    <row r="48240" spans="2:2" ht="12.75" customHeight="1" x14ac:dyDescent="0.2">
      <c r="B48240" s="43"/>
    </row>
    <row r="48241" spans="2:2" ht="12.75" customHeight="1" x14ac:dyDescent="0.2">
      <c r="B48241" s="43"/>
    </row>
    <row r="48242" spans="2:2" ht="12.75" customHeight="1" x14ac:dyDescent="0.2">
      <c r="B48242" s="43"/>
    </row>
    <row r="48243" spans="2:2" ht="12.75" customHeight="1" x14ac:dyDescent="0.2">
      <c r="B48243" s="43"/>
    </row>
    <row r="48244" spans="2:2" ht="12.75" customHeight="1" x14ac:dyDescent="0.2">
      <c r="B48244" s="43"/>
    </row>
    <row r="48245" spans="2:2" ht="12.75" customHeight="1" x14ac:dyDescent="0.2">
      <c r="B48245" s="43"/>
    </row>
    <row r="48246" spans="2:2" ht="12.75" customHeight="1" x14ac:dyDescent="0.2">
      <c r="B48246" s="43"/>
    </row>
    <row r="48247" spans="2:2" ht="12.75" customHeight="1" x14ac:dyDescent="0.2">
      <c r="B48247" s="43"/>
    </row>
    <row r="48248" spans="2:2" ht="12.75" customHeight="1" x14ac:dyDescent="0.2">
      <c r="B48248" s="43"/>
    </row>
    <row r="48249" spans="2:2" ht="12.75" customHeight="1" x14ac:dyDescent="0.2">
      <c r="B48249" s="43"/>
    </row>
    <row r="48250" spans="2:2" ht="12.75" customHeight="1" x14ac:dyDescent="0.2">
      <c r="B48250" s="43"/>
    </row>
    <row r="48251" spans="2:2" ht="12.75" customHeight="1" x14ac:dyDescent="0.2">
      <c r="B48251" s="43"/>
    </row>
    <row r="48252" spans="2:2" ht="12.75" customHeight="1" x14ac:dyDescent="0.2">
      <c r="B48252" s="43"/>
    </row>
    <row r="48253" spans="2:2" ht="12.75" customHeight="1" x14ac:dyDescent="0.2">
      <c r="B48253" s="43"/>
    </row>
    <row r="48254" spans="2:2" ht="12.75" customHeight="1" x14ac:dyDescent="0.2">
      <c r="B48254" s="43"/>
    </row>
    <row r="48255" spans="2:2" ht="12.75" customHeight="1" x14ac:dyDescent="0.2">
      <c r="B48255" s="43"/>
    </row>
    <row r="48256" spans="2:2" ht="12.75" customHeight="1" x14ac:dyDescent="0.2">
      <c r="B48256" s="43"/>
    </row>
    <row r="48257" spans="2:2" ht="12.75" customHeight="1" x14ac:dyDescent="0.2">
      <c r="B48257" s="43"/>
    </row>
    <row r="48258" spans="2:2" ht="12.75" customHeight="1" x14ac:dyDescent="0.2">
      <c r="B48258" s="43"/>
    </row>
    <row r="48259" spans="2:2" ht="12.75" customHeight="1" x14ac:dyDescent="0.2">
      <c r="B48259" s="43"/>
    </row>
    <row r="48260" spans="2:2" ht="12.75" customHeight="1" x14ac:dyDescent="0.2">
      <c r="B48260" s="43"/>
    </row>
    <row r="48261" spans="2:2" ht="12.75" customHeight="1" x14ac:dyDescent="0.2">
      <c r="B48261" s="43"/>
    </row>
    <row r="48262" spans="2:2" ht="12.75" customHeight="1" x14ac:dyDescent="0.2">
      <c r="B48262" s="43"/>
    </row>
    <row r="48263" spans="2:2" ht="12.75" customHeight="1" x14ac:dyDescent="0.2">
      <c r="B48263" s="43"/>
    </row>
    <row r="48264" spans="2:2" ht="12.75" customHeight="1" x14ac:dyDescent="0.2">
      <c r="B48264" s="43"/>
    </row>
    <row r="48265" spans="2:2" ht="12.75" customHeight="1" x14ac:dyDescent="0.2">
      <c r="B48265" s="43"/>
    </row>
    <row r="48266" spans="2:2" ht="12.75" customHeight="1" x14ac:dyDescent="0.2">
      <c r="B48266" s="43"/>
    </row>
    <row r="48267" spans="2:2" ht="12.75" customHeight="1" x14ac:dyDescent="0.2">
      <c r="B48267" s="43"/>
    </row>
    <row r="48268" spans="2:2" ht="12.75" customHeight="1" x14ac:dyDescent="0.2">
      <c r="B48268" s="43"/>
    </row>
    <row r="48269" spans="2:2" ht="12.75" customHeight="1" x14ac:dyDescent="0.2">
      <c r="B48269" s="43"/>
    </row>
    <row r="48270" spans="2:2" ht="12.75" customHeight="1" x14ac:dyDescent="0.2">
      <c r="B48270" s="43"/>
    </row>
    <row r="48271" spans="2:2" ht="12.75" customHeight="1" x14ac:dyDescent="0.2">
      <c r="B48271" s="43"/>
    </row>
    <row r="48272" spans="2:2" ht="12.75" customHeight="1" x14ac:dyDescent="0.2">
      <c r="B48272" s="43"/>
    </row>
    <row r="48273" spans="2:2" ht="12.75" customHeight="1" x14ac:dyDescent="0.2">
      <c r="B48273" s="43"/>
    </row>
    <row r="48274" spans="2:2" ht="12.75" customHeight="1" x14ac:dyDescent="0.2">
      <c r="B48274" s="43"/>
    </row>
    <row r="48275" spans="2:2" ht="12.75" customHeight="1" x14ac:dyDescent="0.2">
      <c r="B48275" s="43"/>
    </row>
    <row r="48276" spans="2:2" ht="12.75" customHeight="1" x14ac:dyDescent="0.2">
      <c r="B48276" s="43"/>
    </row>
    <row r="48277" spans="2:2" ht="12.75" customHeight="1" x14ac:dyDescent="0.2">
      <c r="B48277" s="43"/>
    </row>
    <row r="48278" spans="2:2" ht="12.75" customHeight="1" x14ac:dyDescent="0.2">
      <c r="B48278" s="43"/>
    </row>
    <row r="48279" spans="2:2" ht="12.75" customHeight="1" x14ac:dyDescent="0.2">
      <c r="B48279" s="43"/>
    </row>
    <row r="48280" spans="2:2" ht="12.75" customHeight="1" x14ac:dyDescent="0.2">
      <c r="B48280" s="43"/>
    </row>
    <row r="48281" spans="2:2" ht="12.75" customHeight="1" x14ac:dyDescent="0.2">
      <c r="B48281" s="43"/>
    </row>
    <row r="48282" spans="2:2" ht="12.75" customHeight="1" x14ac:dyDescent="0.2">
      <c r="B48282" s="43"/>
    </row>
    <row r="48283" spans="2:2" ht="12.75" customHeight="1" x14ac:dyDescent="0.2">
      <c r="B48283" s="43"/>
    </row>
    <row r="48284" spans="2:2" ht="12.75" customHeight="1" x14ac:dyDescent="0.2">
      <c r="B48284" s="43"/>
    </row>
    <row r="48285" spans="2:2" ht="12.75" customHeight="1" x14ac:dyDescent="0.2">
      <c r="B48285" s="43"/>
    </row>
    <row r="48286" spans="2:2" ht="12.75" customHeight="1" x14ac:dyDescent="0.2">
      <c r="B48286" s="43"/>
    </row>
    <row r="48287" spans="2:2" ht="12.75" customHeight="1" x14ac:dyDescent="0.2">
      <c r="B48287" s="43"/>
    </row>
    <row r="48288" spans="2:2" ht="12.75" customHeight="1" x14ac:dyDescent="0.2">
      <c r="B48288" s="43"/>
    </row>
    <row r="48289" spans="2:2" ht="12.75" customHeight="1" x14ac:dyDescent="0.2">
      <c r="B48289" s="43"/>
    </row>
    <row r="48290" spans="2:2" ht="12.75" customHeight="1" x14ac:dyDescent="0.2">
      <c r="B48290" s="43"/>
    </row>
    <row r="48291" spans="2:2" ht="12.75" customHeight="1" x14ac:dyDescent="0.2">
      <c r="B48291" s="43"/>
    </row>
    <row r="48292" spans="2:2" ht="12.75" customHeight="1" x14ac:dyDescent="0.2">
      <c r="B48292" s="43"/>
    </row>
    <row r="48293" spans="2:2" ht="12.75" customHeight="1" x14ac:dyDescent="0.2">
      <c r="B48293" s="43"/>
    </row>
    <row r="48294" spans="2:2" ht="12.75" customHeight="1" x14ac:dyDescent="0.2">
      <c r="B48294" s="43"/>
    </row>
    <row r="48295" spans="2:2" ht="12.75" customHeight="1" x14ac:dyDescent="0.2">
      <c r="B48295" s="43"/>
    </row>
    <row r="48296" spans="2:2" ht="12.75" customHeight="1" x14ac:dyDescent="0.2">
      <c r="B48296" s="43"/>
    </row>
    <row r="48297" spans="2:2" ht="12.75" customHeight="1" x14ac:dyDescent="0.2">
      <c r="B48297" s="43"/>
    </row>
    <row r="48298" spans="2:2" ht="12.75" customHeight="1" x14ac:dyDescent="0.2">
      <c r="B48298" s="43"/>
    </row>
    <row r="48299" spans="2:2" ht="12.75" customHeight="1" x14ac:dyDescent="0.2">
      <c r="B48299" s="43"/>
    </row>
    <row r="48300" spans="2:2" ht="12.75" customHeight="1" x14ac:dyDescent="0.2">
      <c r="B48300" s="43"/>
    </row>
    <row r="48301" spans="2:2" ht="12.75" customHeight="1" x14ac:dyDescent="0.2">
      <c r="B48301" s="43"/>
    </row>
    <row r="48302" spans="2:2" ht="12.75" customHeight="1" x14ac:dyDescent="0.2">
      <c r="B48302" s="43"/>
    </row>
    <row r="48303" spans="2:2" ht="12.75" customHeight="1" x14ac:dyDescent="0.2">
      <c r="B48303" s="43"/>
    </row>
    <row r="48304" spans="2:2" ht="12.75" customHeight="1" x14ac:dyDescent="0.2">
      <c r="B48304" s="43"/>
    </row>
    <row r="48305" spans="2:2" ht="12.75" customHeight="1" x14ac:dyDescent="0.2">
      <c r="B48305" s="43"/>
    </row>
    <row r="48306" spans="2:2" ht="12.75" customHeight="1" x14ac:dyDescent="0.2">
      <c r="B48306" s="43"/>
    </row>
    <row r="48307" spans="2:2" ht="12.75" customHeight="1" x14ac:dyDescent="0.2">
      <c r="B48307" s="43"/>
    </row>
    <row r="48308" spans="2:2" ht="12.75" customHeight="1" x14ac:dyDescent="0.2">
      <c r="B48308" s="43"/>
    </row>
    <row r="48309" spans="2:2" ht="12.75" customHeight="1" x14ac:dyDescent="0.2">
      <c r="B48309" s="43"/>
    </row>
    <row r="48310" spans="2:2" ht="12.75" customHeight="1" x14ac:dyDescent="0.2">
      <c r="B48310" s="43"/>
    </row>
    <row r="48311" spans="2:2" ht="12.75" customHeight="1" x14ac:dyDescent="0.2">
      <c r="B48311" s="43"/>
    </row>
    <row r="48312" spans="2:2" ht="12.75" customHeight="1" x14ac:dyDescent="0.2">
      <c r="B48312" s="43"/>
    </row>
    <row r="48313" spans="2:2" ht="12.75" customHeight="1" x14ac:dyDescent="0.2">
      <c r="B48313" s="43"/>
    </row>
    <row r="48314" spans="2:2" ht="12.75" customHeight="1" x14ac:dyDescent="0.2">
      <c r="B48314" s="43"/>
    </row>
    <row r="48315" spans="2:2" ht="12.75" customHeight="1" x14ac:dyDescent="0.2">
      <c r="B48315" s="43"/>
    </row>
    <row r="48316" spans="2:2" ht="12.75" customHeight="1" x14ac:dyDescent="0.2">
      <c r="B48316" s="43"/>
    </row>
    <row r="48317" spans="2:2" ht="12.75" customHeight="1" x14ac:dyDescent="0.2">
      <c r="B48317" s="43"/>
    </row>
    <row r="48318" spans="2:2" ht="12.75" customHeight="1" x14ac:dyDescent="0.2">
      <c r="B48318" s="43"/>
    </row>
    <row r="48319" spans="2:2" ht="12.75" customHeight="1" x14ac:dyDescent="0.2">
      <c r="B48319" s="43"/>
    </row>
    <row r="48320" spans="2:2" ht="12.75" customHeight="1" x14ac:dyDescent="0.2">
      <c r="B48320" s="43"/>
    </row>
    <row r="48321" spans="2:2" ht="12.75" customHeight="1" x14ac:dyDescent="0.2">
      <c r="B48321" s="43"/>
    </row>
    <row r="48322" spans="2:2" ht="12.75" customHeight="1" x14ac:dyDescent="0.2">
      <c r="B48322" s="43"/>
    </row>
    <row r="48323" spans="2:2" ht="12.75" customHeight="1" x14ac:dyDescent="0.2">
      <c r="B48323" s="43"/>
    </row>
    <row r="48324" spans="2:2" ht="12.75" customHeight="1" x14ac:dyDescent="0.2">
      <c r="B48324" s="43"/>
    </row>
    <row r="48325" spans="2:2" ht="12.75" customHeight="1" x14ac:dyDescent="0.2">
      <c r="B48325" s="43"/>
    </row>
    <row r="48326" spans="2:2" ht="12.75" customHeight="1" x14ac:dyDescent="0.2">
      <c r="B48326" s="43"/>
    </row>
    <row r="48327" spans="2:2" ht="12.75" customHeight="1" x14ac:dyDescent="0.2">
      <c r="B48327" s="43"/>
    </row>
    <row r="48328" spans="2:2" ht="12.75" customHeight="1" x14ac:dyDescent="0.2">
      <c r="B48328" s="43"/>
    </row>
    <row r="48329" spans="2:2" ht="12.75" customHeight="1" x14ac:dyDescent="0.2">
      <c r="B48329" s="43"/>
    </row>
    <row r="48330" spans="2:2" ht="12.75" customHeight="1" x14ac:dyDescent="0.2">
      <c r="B48330" s="43"/>
    </row>
    <row r="48331" spans="2:2" ht="12.75" customHeight="1" x14ac:dyDescent="0.2">
      <c r="B48331" s="43"/>
    </row>
    <row r="48332" spans="2:2" ht="12.75" customHeight="1" x14ac:dyDescent="0.2">
      <c r="B48332" s="43"/>
    </row>
    <row r="48333" spans="2:2" ht="12.75" customHeight="1" x14ac:dyDescent="0.2">
      <c r="B48333" s="43"/>
    </row>
    <row r="48334" spans="2:2" ht="12.75" customHeight="1" x14ac:dyDescent="0.2">
      <c r="B48334" s="43"/>
    </row>
    <row r="48335" spans="2:2" ht="12.75" customHeight="1" x14ac:dyDescent="0.2">
      <c r="B48335" s="43"/>
    </row>
    <row r="48336" spans="2:2" ht="12.75" customHeight="1" x14ac:dyDescent="0.2">
      <c r="B48336" s="43"/>
    </row>
    <row r="48337" spans="2:2" ht="12.75" customHeight="1" x14ac:dyDescent="0.2">
      <c r="B48337" s="43"/>
    </row>
    <row r="48338" spans="2:2" ht="12.75" customHeight="1" x14ac:dyDescent="0.2">
      <c r="B48338" s="43"/>
    </row>
    <row r="48339" spans="2:2" ht="12.75" customHeight="1" x14ac:dyDescent="0.2">
      <c r="B48339" s="43"/>
    </row>
    <row r="48340" spans="2:2" ht="12.75" customHeight="1" x14ac:dyDescent="0.2">
      <c r="B48340" s="43"/>
    </row>
    <row r="48341" spans="2:2" ht="12.75" customHeight="1" x14ac:dyDescent="0.2">
      <c r="B48341" s="43"/>
    </row>
    <row r="48342" spans="2:2" ht="12.75" customHeight="1" x14ac:dyDescent="0.2">
      <c r="B48342" s="43"/>
    </row>
    <row r="48343" spans="2:2" ht="12.75" customHeight="1" x14ac:dyDescent="0.2">
      <c r="B48343" s="43"/>
    </row>
    <row r="48344" spans="2:2" ht="12.75" customHeight="1" x14ac:dyDescent="0.2">
      <c r="B48344" s="43"/>
    </row>
    <row r="48345" spans="2:2" ht="12.75" customHeight="1" x14ac:dyDescent="0.2">
      <c r="B48345" s="43"/>
    </row>
    <row r="48346" spans="2:2" ht="12.75" customHeight="1" x14ac:dyDescent="0.2">
      <c r="B48346" s="43"/>
    </row>
    <row r="48347" spans="2:2" ht="12.75" customHeight="1" x14ac:dyDescent="0.2">
      <c r="B48347" s="43"/>
    </row>
    <row r="48348" spans="2:2" ht="12.75" customHeight="1" x14ac:dyDescent="0.2">
      <c r="B48348" s="43"/>
    </row>
    <row r="48349" spans="2:2" ht="12.75" customHeight="1" x14ac:dyDescent="0.2">
      <c r="B48349" s="43"/>
    </row>
    <row r="48350" spans="2:2" ht="12.75" customHeight="1" x14ac:dyDescent="0.2">
      <c r="B48350" s="43"/>
    </row>
    <row r="48351" spans="2:2" ht="12.75" customHeight="1" x14ac:dyDescent="0.2">
      <c r="B48351" s="43"/>
    </row>
    <row r="48352" spans="2:2" ht="12.75" customHeight="1" x14ac:dyDescent="0.2">
      <c r="B48352" s="43"/>
    </row>
    <row r="48353" spans="2:2" ht="12.75" customHeight="1" x14ac:dyDescent="0.2">
      <c r="B48353" s="43"/>
    </row>
    <row r="48354" spans="2:2" ht="12.75" customHeight="1" x14ac:dyDescent="0.2">
      <c r="B48354" s="43"/>
    </row>
    <row r="48355" spans="2:2" ht="12.75" customHeight="1" x14ac:dyDescent="0.2">
      <c r="B48355" s="43"/>
    </row>
    <row r="48356" spans="2:2" ht="12.75" customHeight="1" x14ac:dyDescent="0.2">
      <c r="B48356" s="43"/>
    </row>
    <row r="48357" spans="2:2" ht="12.75" customHeight="1" x14ac:dyDescent="0.2">
      <c r="B48357" s="43"/>
    </row>
    <row r="48358" spans="2:2" ht="12.75" customHeight="1" x14ac:dyDescent="0.2">
      <c r="B48358" s="43"/>
    </row>
    <row r="48359" spans="2:2" ht="12.75" customHeight="1" x14ac:dyDescent="0.2">
      <c r="B48359" s="43"/>
    </row>
    <row r="48360" spans="2:2" ht="12.75" customHeight="1" x14ac:dyDescent="0.2">
      <c r="B48360" s="43"/>
    </row>
    <row r="48361" spans="2:2" ht="12.75" customHeight="1" x14ac:dyDescent="0.2">
      <c r="B48361" s="43"/>
    </row>
    <row r="48362" spans="2:2" ht="12.75" customHeight="1" x14ac:dyDescent="0.2">
      <c r="B48362" s="43"/>
    </row>
    <row r="48363" spans="2:2" ht="12.75" customHeight="1" x14ac:dyDescent="0.2">
      <c r="B48363" s="43"/>
    </row>
    <row r="48364" spans="2:2" ht="12.75" customHeight="1" x14ac:dyDescent="0.2">
      <c r="B48364" s="43"/>
    </row>
    <row r="48365" spans="2:2" ht="12.75" customHeight="1" x14ac:dyDescent="0.2">
      <c r="B48365" s="43"/>
    </row>
    <row r="48366" spans="2:2" ht="12.75" customHeight="1" x14ac:dyDescent="0.2">
      <c r="B48366" s="43"/>
    </row>
    <row r="48367" spans="2:2" ht="12.75" customHeight="1" x14ac:dyDescent="0.2">
      <c r="B48367" s="43"/>
    </row>
    <row r="48368" spans="2:2" ht="12.75" customHeight="1" x14ac:dyDescent="0.2">
      <c r="B48368" s="43"/>
    </row>
    <row r="48369" spans="2:2" ht="12.75" customHeight="1" x14ac:dyDescent="0.2">
      <c r="B48369" s="43"/>
    </row>
    <row r="48370" spans="2:2" ht="12.75" customHeight="1" x14ac:dyDescent="0.2">
      <c r="B48370" s="43"/>
    </row>
    <row r="48371" spans="2:2" ht="12.75" customHeight="1" x14ac:dyDescent="0.2">
      <c r="B48371" s="43"/>
    </row>
    <row r="48372" spans="2:2" ht="12.75" customHeight="1" x14ac:dyDescent="0.2">
      <c r="B48372" s="43"/>
    </row>
    <row r="48373" spans="2:2" ht="12.75" customHeight="1" x14ac:dyDescent="0.2">
      <c r="B48373" s="43"/>
    </row>
    <row r="48374" spans="2:2" ht="12.75" customHeight="1" x14ac:dyDescent="0.2">
      <c r="B48374" s="43"/>
    </row>
    <row r="48375" spans="2:2" ht="12.75" customHeight="1" x14ac:dyDescent="0.2">
      <c r="B48375" s="43"/>
    </row>
    <row r="48376" spans="2:2" ht="12.75" customHeight="1" x14ac:dyDescent="0.2">
      <c r="B48376" s="43"/>
    </row>
    <row r="48377" spans="2:2" ht="12.75" customHeight="1" x14ac:dyDescent="0.2">
      <c r="B48377" s="43"/>
    </row>
    <row r="48378" spans="2:2" ht="12.75" customHeight="1" x14ac:dyDescent="0.2">
      <c r="B48378" s="43"/>
    </row>
    <row r="48379" spans="2:2" ht="12.75" customHeight="1" x14ac:dyDescent="0.2">
      <c r="B48379" s="43"/>
    </row>
    <row r="48380" spans="2:2" ht="12.75" customHeight="1" x14ac:dyDescent="0.2">
      <c r="B48380" s="43"/>
    </row>
    <row r="48381" spans="2:2" ht="12.75" customHeight="1" x14ac:dyDescent="0.2">
      <c r="B48381" s="43"/>
    </row>
    <row r="48382" spans="2:2" ht="12.75" customHeight="1" x14ac:dyDescent="0.2">
      <c r="B48382" s="43"/>
    </row>
    <row r="48383" spans="2:2" ht="12.75" customHeight="1" x14ac:dyDescent="0.2">
      <c r="B48383" s="43"/>
    </row>
    <row r="48384" spans="2:2" ht="12.75" customHeight="1" x14ac:dyDescent="0.2">
      <c r="B48384" s="43"/>
    </row>
    <row r="48385" spans="2:2" ht="12.75" customHeight="1" x14ac:dyDescent="0.2">
      <c r="B48385" s="43"/>
    </row>
    <row r="48386" spans="2:2" ht="12.75" customHeight="1" x14ac:dyDescent="0.2">
      <c r="B48386" s="43"/>
    </row>
    <row r="48387" spans="2:2" ht="12.75" customHeight="1" x14ac:dyDescent="0.2">
      <c r="B48387" s="43"/>
    </row>
    <row r="48388" spans="2:2" ht="12.75" customHeight="1" x14ac:dyDescent="0.2">
      <c r="B48388" s="43"/>
    </row>
    <row r="48389" spans="2:2" ht="12.75" customHeight="1" x14ac:dyDescent="0.2">
      <c r="B48389" s="43"/>
    </row>
    <row r="48390" spans="2:2" ht="12.75" customHeight="1" x14ac:dyDescent="0.2">
      <c r="B48390" s="43"/>
    </row>
    <row r="48391" spans="2:2" ht="12.75" customHeight="1" x14ac:dyDescent="0.2">
      <c r="B48391" s="43"/>
    </row>
    <row r="48392" spans="2:2" ht="12.75" customHeight="1" x14ac:dyDescent="0.2">
      <c r="B48392" s="43"/>
    </row>
    <row r="48393" spans="2:2" ht="12.75" customHeight="1" x14ac:dyDescent="0.2">
      <c r="B48393" s="43"/>
    </row>
    <row r="48394" spans="2:2" ht="12.75" customHeight="1" x14ac:dyDescent="0.2">
      <c r="B48394" s="43"/>
    </row>
    <row r="48395" spans="2:2" ht="12.75" customHeight="1" x14ac:dyDescent="0.2">
      <c r="B48395" s="43"/>
    </row>
    <row r="48396" spans="2:2" ht="12.75" customHeight="1" x14ac:dyDescent="0.2">
      <c r="B48396" s="43"/>
    </row>
    <row r="48397" spans="2:2" ht="12.75" customHeight="1" x14ac:dyDescent="0.2">
      <c r="B48397" s="43"/>
    </row>
    <row r="48398" spans="2:2" ht="12.75" customHeight="1" x14ac:dyDescent="0.2">
      <c r="B48398" s="43"/>
    </row>
    <row r="48399" spans="2:2" ht="12.75" customHeight="1" x14ac:dyDescent="0.2">
      <c r="B48399" s="43"/>
    </row>
    <row r="48400" spans="2:2" ht="12.75" customHeight="1" x14ac:dyDescent="0.2">
      <c r="B48400" s="43"/>
    </row>
    <row r="48401" spans="2:2" ht="12.75" customHeight="1" x14ac:dyDescent="0.2">
      <c r="B48401" s="43"/>
    </row>
    <row r="48402" spans="2:2" ht="12.75" customHeight="1" x14ac:dyDescent="0.2">
      <c r="B48402" s="43"/>
    </row>
    <row r="48403" spans="2:2" ht="12.75" customHeight="1" x14ac:dyDescent="0.2">
      <c r="B48403" s="43"/>
    </row>
    <row r="48404" spans="2:2" ht="12.75" customHeight="1" x14ac:dyDescent="0.2">
      <c r="B48404" s="43"/>
    </row>
    <row r="48405" spans="2:2" ht="12.75" customHeight="1" x14ac:dyDescent="0.2">
      <c r="B48405" s="43"/>
    </row>
    <row r="48406" spans="2:2" ht="12.75" customHeight="1" x14ac:dyDescent="0.2">
      <c r="B48406" s="43"/>
    </row>
    <row r="48407" spans="2:2" ht="12.75" customHeight="1" x14ac:dyDescent="0.2">
      <c r="B48407" s="43"/>
    </row>
    <row r="48408" spans="2:2" ht="12.75" customHeight="1" x14ac:dyDescent="0.2">
      <c r="B48408" s="43"/>
    </row>
    <row r="48409" spans="2:2" ht="12.75" customHeight="1" x14ac:dyDescent="0.2">
      <c r="B48409" s="43"/>
    </row>
    <row r="48410" spans="2:2" ht="12.75" customHeight="1" x14ac:dyDescent="0.2">
      <c r="B48410" s="43"/>
    </row>
    <row r="48411" spans="2:2" ht="12.75" customHeight="1" x14ac:dyDescent="0.2">
      <c r="B48411" s="43"/>
    </row>
    <row r="48412" spans="2:2" ht="12.75" customHeight="1" x14ac:dyDescent="0.2">
      <c r="B48412" s="43"/>
    </row>
    <row r="48413" spans="2:2" ht="12.75" customHeight="1" x14ac:dyDescent="0.2">
      <c r="B48413" s="43"/>
    </row>
    <row r="48414" spans="2:2" ht="12.75" customHeight="1" x14ac:dyDescent="0.2">
      <c r="B48414" s="43"/>
    </row>
    <row r="48415" spans="2:2" ht="12.75" customHeight="1" x14ac:dyDescent="0.2">
      <c r="B48415" s="43"/>
    </row>
    <row r="48416" spans="2:2" ht="12.75" customHeight="1" x14ac:dyDescent="0.2">
      <c r="B48416" s="43"/>
    </row>
    <row r="48417" spans="2:2" ht="12.75" customHeight="1" x14ac:dyDescent="0.2">
      <c r="B48417" s="43"/>
    </row>
    <row r="48418" spans="2:2" ht="12.75" customHeight="1" x14ac:dyDescent="0.2">
      <c r="B48418" s="43"/>
    </row>
    <row r="48419" spans="2:2" ht="12.75" customHeight="1" x14ac:dyDescent="0.2">
      <c r="B48419" s="43"/>
    </row>
    <row r="48420" spans="2:2" ht="12.75" customHeight="1" x14ac:dyDescent="0.2">
      <c r="B48420" s="43"/>
    </row>
    <row r="48421" spans="2:2" ht="12.75" customHeight="1" x14ac:dyDescent="0.2">
      <c r="B48421" s="43"/>
    </row>
    <row r="48422" spans="2:2" ht="12.75" customHeight="1" x14ac:dyDescent="0.2">
      <c r="B48422" s="43"/>
    </row>
    <row r="48423" spans="2:2" ht="12.75" customHeight="1" x14ac:dyDescent="0.2">
      <c r="B48423" s="43"/>
    </row>
    <row r="48424" spans="2:2" ht="12.75" customHeight="1" x14ac:dyDescent="0.2">
      <c r="B48424" s="43"/>
    </row>
    <row r="48425" spans="2:2" ht="12.75" customHeight="1" x14ac:dyDescent="0.2">
      <c r="B48425" s="43"/>
    </row>
    <row r="48426" spans="2:2" ht="12.75" customHeight="1" x14ac:dyDescent="0.2">
      <c r="B48426" s="43"/>
    </row>
    <row r="48427" spans="2:2" ht="12.75" customHeight="1" x14ac:dyDescent="0.2">
      <c r="B48427" s="43"/>
    </row>
    <row r="48428" spans="2:2" ht="12.75" customHeight="1" x14ac:dyDescent="0.2">
      <c r="B48428" s="43"/>
    </row>
    <row r="48429" spans="2:2" ht="12.75" customHeight="1" x14ac:dyDescent="0.2">
      <c r="B48429" s="43"/>
    </row>
    <row r="48430" spans="2:2" ht="12.75" customHeight="1" x14ac:dyDescent="0.2">
      <c r="B48430" s="43"/>
    </row>
    <row r="48431" spans="2:2" ht="12.75" customHeight="1" x14ac:dyDescent="0.2">
      <c r="B48431" s="43"/>
    </row>
    <row r="48432" spans="2:2" ht="12.75" customHeight="1" x14ac:dyDescent="0.2">
      <c r="B48432" s="43"/>
    </row>
    <row r="48433" spans="2:2" ht="12.75" customHeight="1" x14ac:dyDescent="0.2">
      <c r="B48433" s="43"/>
    </row>
    <row r="48434" spans="2:2" ht="12.75" customHeight="1" x14ac:dyDescent="0.2">
      <c r="B48434" s="43"/>
    </row>
    <row r="48435" spans="2:2" ht="12.75" customHeight="1" x14ac:dyDescent="0.2">
      <c r="B48435" s="43"/>
    </row>
    <row r="48436" spans="2:2" ht="12.75" customHeight="1" x14ac:dyDescent="0.2">
      <c r="B48436" s="43"/>
    </row>
    <row r="48437" spans="2:2" ht="12.75" customHeight="1" x14ac:dyDescent="0.2">
      <c r="B48437" s="43"/>
    </row>
    <row r="48438" spans="2:2" ht="12.75" customHeight="1" x14ac:dyDescent="0.2">
      <c r="B48438" s="43"/>
    </row>
    <row r="48439" spans="2:2" ht="12.75" customHeight="1" x14ac:dyDescent="0.2">
      <c r="B48439" s="43"/>
    </row>
    <row r="48440" spans="2:2" ht="12.75" customHeight="1" x14ac:dyDescent="0.2">
      <c r="B48440" s="43"/>
    </row>
    <row r="48441" spans="2:2" ht="12.75" customHeight="1" x14ac:dyDescent="0.2">
      <c r="B48441" s="43"/>
    </row>
    <row r="48442" spans="2:2" ht="12.75" customHeight="1" x14ac:dyDescent="0.2">
      <c r="B48442" s="43"/>
    </row>
    <row r="48443" spans="2:2" ht="12.75" customHeight="1" x14ac:dyDescent="0.2">
      <c r="B48443" s="43"/>
    </row>
    <row r="48444" spans="2:2" ht="12.75" customHeight="1" x14ac:dyDescent="0.2">
      <c r="B48444" s="43"/>
    </row>
    <row r="48445" spans="2:2" ht="12.75" customHeight="1" x14ac:dyDescent="0.2">
      <c r="B48445" s="43"/>
    </row>
    <row r="48446" spans="2:2" ht="12.75" customHeight="1" x14ac:dyDescent="0.2">
      <c r="B48446" s="43"/>
    </row>
    <row r="48447" spans="2:2" ht="12.75" customHeight="1" x14ac:dyDescent="0.2">
      <c r="B48447" s="43"/>
    </row>
    <row r="48448" spans="2:2" ht="12.75" customHeight="1" x14ac:dyDescent="0.2">
      <c r="B48448" s="43"/>
    </row>
    <row r="48449" spans="2:2" ht="12.75" customHeight="1" x14ac:dyDescent="0.2">
      <c r="B48449" s="43"/>
    </row>
    <row r="48450" spans="2:2" ht="12.75" customHeight="1" x14ac:dyDescent="0.2">
      <c r="B48450" s="43"/>
    </row>
    <row r="48451" spans="2:2" ht="12.75" customHeight="1" x14ac:dyDescent="0.2">
      <c r="B48451" s="43"/>
    </row>
    <row r="48452" spans="2:2" ht="12.75" customHeight="1" x14ac:dyDescent="0.2">
      <c r="B48452" s="43"/>
    </row>
    <row r="48453" spans="2:2" ht="12.75" customHeight="1" x14ac:dyDescent="0.2">
      <c r="B48453" s="43"/>
    </row>
    <row r="48454" spans="2:2" ht="12.75" customHeight="1" x14ac:dyDescent="0.2">
      <c r="B48454" s="43"/>
    </row>
    <row r="48455" spans="2:2" ht="12.75" customHeight="1" x14ac:dyDescent="0.2">
      <c r="B48455" s="43"/>
    </row>
    <row r="48456" spans="2:2" ht="12.75" customHeight="1" x14ac:dyDescent="0.2">
      <c r="B48456" s="43"/>
    </row>
    <row r="48457" spans="2:2" ht="12.75" customHeight="1" x14ac:dyDescent="0.2">
      <c r="B48457" s="43"/>
    </row>
    <row r="48458" spans="2:2" ht="12.75" customHeight="1" x14ac:dyDescent="0.2">
      <c r="B48458" s="43"/>
    </row>
    <row r="48459" spans="2:2" ht="12.75" customHeight="1" x14ac:dyDescent="0.2">
      <c r="B48459" s="43"/>
    </row>
    <row r="48460" spans="2:2" ht="12.75" customHeight="1" x14ac:dyDescent="0.2">
      <c r="B48460" s="43"/>
    </row>
    <row r="48461" spans="2:2" ht="12.75" customHeight="1" x14ac:dyDescent="0.2">
      <c r="B48461" s="43"/>
    </row>
    <row r="48462" spans="2:2" ht="12.75" customHeight="1" x14ac:dyDescent="0.2">
      <c r="B48462" s="43"/>
    </row>
    <row r="48463" spans="2:2" ht="12.75" customHeight="1" x14ac:dyDescent="0.2">
      <c r="B48463" s="43"/>
    </row>
    <row r="48464" spans="2:2" ht="12.75" customHeight="1" x14ac:dyDescent="0.2">
      <c r="B48464" s="43"/>
    </row>
    <row r="48465" spans="2:2" ht="12.75" customHeight="1" x14ac:dyDescent="0.2">
      <c r="B48465" s="43"/>
    </row>
    <row r="48466" spans="2:2" ht="12.75" customHeight="1" x14ac:dyDescent="0.2">
      <c r="B48466" s="43"/>
    </row>
    <row r="48467" spans="2:2" ht="12.75" customHeight="1" x14ac:dyDescent="0.2">
      <c r="B48467" s="43"/>
    </row>
    <row r="48468" spans="2:2" ht="12.75" customHeight="1" x14ac:dyDescent="0.2">
      <c r="B48468" s="43"/>
    </row>
    <row r="48469" spans="2:2" ht="12.75" customHeight="1" x14ac:dyDescent="0.2">
      <c r="B48469" s="43"/>
    </row>
    <row r="48470" spans="2:2" ht="12.75" customHeight="1" x14ac:dyDescent="0.2">
      <c r="B48470" s="43"/>
    </row>
    <row r="48471" spans="2:2" ht="12.75" customHeight="1" x14ac:dyDescent="0.2">
      <c r="B48471" s="43"/>
    </row>
    <row r="48472" spans="2:2" ht="12.75" customHeight="1" x14ac:dyDescent="0.2">
      <c r="B48472" s="43"/>
    </row>
    <row r="48473" spans="2:2" ht="12.75" customHeight="1" x14ac:dyDescent="0.2">
      <c r="B48473" s="43"/>
    </row>
    <row r="48474" spans="2:2" ht="12.75" customHeight="1" x14ac:dyDescent="0.2">
      <c r="B48474" s="43"/>
    </row>
    <row r="48475" spans="2:2" ht="12.75" customHeight="1" x14ac:dyDescent="0.2">
      <c r="B48475" s="43"/>
    </row>
    <row r="48476" spans="2:2" ht="12.75" customHeight="1" x14ac:dyDescent="0.2">
      <c r="B48476" s="43"/>
    </row>
    <row r="48477" spans="2:2" ht="12.75" customHeight="1" x14ac:dyDescent="0.2">
      <c r="B48477" s="43"/>
    </row>
    <row r="48478" spans="2:2" ht="12.75" customHeight="1" x14ac:dyDescent="0.2">
      <c r="B48478" s="43"/>
    </row>
    <row r="48479" spans="2:2" ht="12.75" customHeight="1" x14ac:dyDescent="0.2">
      <c r="B48479" s="43"/>
    </row>
    <row r="48480" spans="2:2" ht="12.75" customHeight="1" x14ac:dyDescent="0.2">
      <c r="B48480" s="43"/>
    </row>
    <row r="48481" spans="2:2" ht="12.75" customHeight="1" x14ac:dyDescent="0.2">
      <c r="B48481" s="43"/>
    </row>
    <row r="48482" spans="2:2" ht="12.75" customHeight="1" x14ac:dyDescent="0.2">
      <c r="B48482" s="43"/>
    </row>
    <row r="48483" spans="2:2" ht="12.75" customHeight="1" x14ac:dyDescent="0.2">
      <c r="B48483" s="43"/>
    </row>
    <row r="48484" spans="2:2" ht="12.75" customHeight="1" x14ac:dyDescent="0.2">
      <c r="B48484" s="43"/>
    </row>
    <row r="48485" spans="2:2" ht="12.75" customHeight="1" x14ac:dyDescent="0.2">
      <c r="B48485" s="43"/>
    </row>
    <row r="48486" spans="2:2" ht="12.75" customHeight="1" x14ac:dyDescent="0.2">
      <c r="B48486" s="43"/>
    </row>
    <row r="48487" spans="2:2" ht="12.75" customHeight="1" x14ac:dyDescent="0.2">
      <c r="B48487" s="43"/>
    </row>
    <row r="48488" spans="2:2" ht="12.75" customHeight="1" x14ac:dyDescent="0.2">
      <c r="B48488" s="43"/>
    </row>
    <row r="48489" spans="2:2" ht="12.75" customHeight="1" x14ac:dyDescent="0.2">
      <c r="B48489" s="43"/>
    </row>
    <row r="48490" spans="2:2" ht="12.75" customHeight="1" x14ac:dyDescent="0.2">
      <c r="B48490" s="43"/>
    </row>
    <row r="48491" spans="2:2" ht="12.75" customHeight="1" x14ac:dyDescent="0.2">
      <c r="B48491" s="43"/>
    </row>
    <row r="48492" spans="2:2" ht="12.75" customHeight="1" x14ac:dyDescent="0.2">
      <c r="B48492" s="43"/>
    </row>
    <row r="48493" spans="2:2" ht="12.75" customHeight="1" x14ac:dyDescent="0.2">
      <c r="B48493" s="43"/>
    </row>
    <row r="48494" spans="2:2" ht="12.75" customHeight="1" x14ac:dyDescent="0.2">
      <c r="B48494" s="43"/>
    </row>
    <row r="48495" spans="2:2" ht="12.75" customHeight="1" x14ac:dyDescent="0.2">
      <c r="B48495" s="43"/>
    </row>
    <row r="48496" spans="2:2" ht="12.75" customHeight="1" x14ac:dyDescent="0.2">
      <c r="B48496" s="43"/>
    </row>
    <row r="48497" spans="2:2" ht="12.75" customHeight="1" x14ac:dyDescent="0.2">
      <c r="B48497" s="43"/>
    </row>
    <row r="48498" spans="2:2" ht="12.75" customHeight="1" x14ac:dyDescent="0.2">
      <c r="B48498" s="43"/>
    </row>
    <row r="48499" spans="2:2" ht="12.75" customHeight="1" x14ac:dyDescent="0.2">
      <c r="B48499" s="43"/>
    </row>
    <row r="48500" spans="2:2" ht="12.75" customHeight="1" x14ac:dyDescent="0.2">
      <c r="B48500" s="43"/>
    </row>
    <row r="48501" spans="2:2" ht="12.75" customHeight="1" x14ac:dyDescent="0.2">
      <c r="B48501" s="43"/>
    </row>
    <row r="48502" spans="2:2" ht="12.75" customHeight="1" x14ac:dyDescent="0.2">
      <c r="B48502" s="43"/>
    </row>
    <row r="48503" spans="2:2" ht="12.75" customHeight="1" x14ac:dyDescent="0.2">
      <c r="B48503" s="43"/>
    </row>
    <row r="48504" spans="2:2" ht="12.75" customHeight="1" x14ac:dyDescent="0.2">
      <c r="B48504" s="43"/>
    </row>
    <row r="48505" spans="2:2" ht="12.75" customHeight="1" x14ac:dyDescent="0.2">
      <c r="B48505" s="43"/>
    </row>
    <row r="48506" spans="2:2" ht="12.75" customHeight="1" x14ac:dyDescent="0.2">
      <c r="B48506" s="43"/>
    </row>
    <row r="48507" spans="2:2" ht="12.75" customHeight="1" x14ac:dyDescent="0.2">
      <c r="B48507" s="43"/>
    </row>
    <row r="48508" spans="2:2" ht="12.75" customHeight="1" x14ac:dyDescent="0.2">
      <c r="B48508" s="43"/>
    </row>
    <row r="48509" spans="2:2" ht="12.75" customHeight="1" x14ac:dyDescent="0.2">
      <c r="B48509" s="43"/>
    </row>
    <row r="48510" spans="2:2" ht="12.75" customHeight="1" x14ac:dyDescent="0.2">
      <c r="B48510" s="43"/>
    </row>
    <row r="48511" spans="2:2" ht="12.75" customHeight="1" x14ac:dyDescent="0.2">
      <c r="B48511" s="43"/>
    </row>
    <row r="48512" spans="2:2" ht="12.75" customHeight="1" x14ac:dyDescent="0.2">
      <c r="B48512" s="43"/>
    </row>
    <row r="48513" spans="2:2" ht="12.75" customHeight="1" x14ac:dyDescent="0.2">
      <c r="B48513" s="43"/>
    </row>
    <row r="48514" spans="2:2" ht="12.75" customHeight="1" x14ac:dyDescent="0.2">
      <c r="B48514" s="43"/>
    </row>
    <row r="48515" spans="2:2" ht="12.75" customHeight="1" x14ac:dyDescent="0.2">
      <c r="B48515" s="43"/>
    </row>
    <row r="48516" spans="2:2" ht="12.75" customHeight="1" x14ac:dyDescent="0.2">
      <c r="B48516" s="43"/>
    </row>
    <row r="48517" spans="2:2" ht="12.75" customHeight="1" x14ac:dyDescent="0.2">
      <c r="B48517" s="43"/>
    </row>
    <row r="48518" spans="2:2" ht="12.75" customHeight="1" x14ac:dyDescent="0.2">
      <c r="B48518" s="43"/>
    </row>
    <row r="48519" spans="2:2" ht="12.75" customHeight="1" x14ac:dyDescent="0.2">
      <c r="B48519" s="43"/>
    </row>
    <row r="48520" spans="2:2" ht="12.75" customHeight="1" x14ac:dyDescent="0.2">
      <c r="B48520" s="43"/>
    </row>
    <row r="48521" spans="2:2" ht="12.75" customHeight="1" x14ac:dyDescent="0.2">
      <c r="B48521" s="43"/>
    </row>
    <row r="48522" spans="2:2" ht="12.75" customHeight="1" x14ac:dyDescent="0.2">
      <c r="B48522" s="43"/>
    </row>
    <row r="48523" spans="2:2" ht="12.75" customHeight="1" x14ac:dyDescent="0.2">
      <c r="B48523" s="43"/>
    </row>
    <row r="48524" spans="2:2" ht="12.75" customHeight="1" x14ac:dyDescent="0.2">
      <c r="B48524" s="43"/>
    </row>
    <row r="48525" spans="2:2" ht="12.75" customHeight="1" x14ac:dyDescent="0.2">
      <c r="B48525" s="43"/>
    </row>
    <row r="48526" spans="2:2" ht="12.75" customHeight="1" x14ac:dyDescent="0.2">
      <c r="B48526" s="43"/>
    </row>
    <row r="48527" spans="2:2" ht="12.75" customHeight="1" x14ac:dyDescent="0.2">
      <c r="B48527" s="43"/>
    </row>
    <row r="48528" spans="2:2" ht="12.75" customHeight="1" x14ac:dyDescent="0.2">
      <c r="B48528" s="43"/>
    </row>
    <row r="48529" spans="2:2" ht="12.75" customHeight="1" x14ac:dyDescent="0.2">
      <c r="B48529" s="43"/>
    </row>
    <row r="48530" spans="2:2" ht="12.75" customHeight="1" x14ac:dyDescent="0.2">
      <c r="B48530" s="43"/>
    </row>
    <row r="48531" spans="2:2" ht="12.75" customHeight="1" x14ac:dyDescent="0.2">
      <c r="B48531" s="43"/>
    </row>
    <row r="48532" spans="2:2" ht="12.75" customHeight="1" x14ac:dyDescent="0.2">
      <c r="B48532" s="43"/>
    </row>
    <row r="48533" spans="2:2" ht="12.75" customHeight="1" x14ac:dyDescent="0.2">
      <c r="B48533" s="43"/>
    </row>
    <row r="48534" spans="2:2" ht="12.75" customHeight="1" x14ac:dyDescent="0.2">
      <c r="B48534" s="43"/>
    </row>
    <row r="48535" spans="2:2" ht="12.75" customHeight="1" x14ac:dyDescent="0.2">
      <c r="B48535" s="43"/>
    </row>
    <row r="48536" spans="2:2" ht="12.75" customHeight="1" x14ac:dyDescent="0.2">
      <c r="B48536" s="43"/>
    </row>
    <row r="48537" spans="2:2" ht="12.75" customHeight="1" x14ac:dyDescent="0.2">
      <c r="B48537" s="43"/>
    </row>
    <row r="48538" spans="2:2" ht="12.75" customHeight="1" x14ac:dyDescent="0.2">
      <c r="B48538" s="43"/>
    </row>
    <row r="48539" spans="2:2" ht="12.75" customHeight="1" x14ac:dyDescent="0.2">
      <c r="B48539" s="43"/>
    </row>
    <row r="48540" spans="2:2" ht="12.75" customHeight="1" x14ac:dyDescent="0.2">
      <c r="B48540" s="43"/>
    </row>
    <row r="48541" spans="2:2" ht="12.75" customHeight="1" x14ac:dyDescent="0.2">
      <c r="B48541" s="43"/>
    </row>
    <row r="48542" spans="2:2" ht="12.75" customHeight="1" x14ac:dyDescent="0.2">
      <c r="B48542" s="43"/>
    </row>
    <row r="48543" spans="2:2" ht="12.75" customHeight="1" x14ac:dyDescent="0.2">
      <c r="B48543" s="43"/>
    </row>
    <row r="48544" spans="2:2" ht="12.75" customHeight="1" x14ac:dyDescent="0.2">
      <c r="B48544" s="43"/>
    </row>
    <row r="48545" spans="2:2" ht="12.75" customHeight="1" x14ac:dyDescent="0.2">
      <c r="B48545" s="43"/>
    </row>
    <row r="48546" spans="2:2" ht="12.75" customHeight="1" x14ac:dyDescent="0.2">
      <c r="B48546" s="43"/>
    </row>
    <row r="48547" spans="2:2" ht="12.75" customHeight="1" x14ac:dyDescent="0.2">
      <c r="B48547" s="43"/>
    </row>
    <row r="48548" spans="2:2" ht="12.75" customHeight="1" x14ac:dyDescent="0.2">
      <c r="B48548" s="43"/>
    </row>
    <row r="48549" spans="2:2" ht="12.75" customHeight="1" x14ac:dyDescent="0.2">
      <c r="B48549" s="43"/>
    </row>
    <row r="48550" spans="2:2" ht="12.75" customHeight="1" x14ac:dyDescent="0.2">
      <c r="B48550" s="43"/>
    </row>
    <row r="48551" spans="2:2" ht="12.75" customHeight="1" x14ac:dyDescent="0.2">
      <c r="B48551" s="43"/>
    </row>
    <row r="48552" spans="2:2" ht="12.75" customHeight="1" x14ac:dyDescent="0.2">
      <c r="B48552" s="43"/>
    </row>
    <row r="48553" spans="2:2" ht="12.75" customHeight="1" x14ac:dyDescent="0.2">
      <c r="B48553" s="43"/>
    </row>
    <row r="48554" spans="2:2" ht="12.75" customHeight="1" x14ac:dyDescent="0.2">
      <c r="B48554" s="43"/>
    </row>
    <row r="48555" spans="2:2" ht="12.75" customHeight="1" x14ac:dyDescent="0.2">
      <c r="B48555" s="43"/>
    </row>
    <row r="48556" spans="2:2" ht="12.75" customHeight="1" x14ac:dyDescent="0.2">
      <c r="B48556" s="43"/>
    </row>
    <row r="48557" spans="2:2" ht="12.75" customHeight="1" x14ac:dyDescent="0.2">
      <c r="B48557" s="43"/>
    </row>
    <row r="48558" spans="2:2" ht="12.75" customHeight="1" x14ac:dyDescent="0.2">
      <c r="B48558" s="43"/>
    </row>
    <row r="48559" spans="2:2" ht="12.75" customHeight="1" x14ac:dyDescent="0.2">
      <c r="B48559" s="43"/>
    </row>
    <row r="48560" spans="2:2" ht="12.75" customHeight="1" x14ac:dyDescent="0.2">
      <c r="B48560" s="43"/>
    </row>
    <row r="48561" spans="2:2" ht="12.75" customHeight="1" x14ac:dyDescent="0.2">
      <c r="B48561" s="43"/>
    </row>
    <row r="48562" spans="2:2" ht="12.75" customHeight="1" x14ac:dyDescent="0.2">
      <c r="B48562" s="43"/>
    </row>
    <row r="48563" spans="2:2" ht="12.75" customHeight="1" x14ac:dyDescent="0.2">
      <c r="B48563" s="43"/>
    </row>
    <row r="48564" spans="2:2" ht="12.75" customHeight="1" x14ac:dyDescent="0.2">
      <c r="B48564" s="43"/>
    </row>
    <row r="48565" spans="2:2" ht="12.75" customHeight="1" x14ac:dyDescent="0.2">
      <c r="B48565" s="43"/>
    </row>
    <row r="48566" spans="2:2" ht="12.75" customHeight="1" x14ac:dyDescent="0.2">
      <c r="B48566" s="43"/>
    </row>
    <row r="48567" spans="2:2" ht="12.75" customHeight="1" x14ac:dyDescent="0.2">
      <c r="B48567" s="43"/>
    </row>
    <row r="48568" spans="2:2" ht="12.75" customHeight="1" x14ac:dyDescent="0.2">
      <c r="B48568" s="43"/>
    </row>
    <row r="48569" spans="2:2" ht="12.75" customHeight="1" x14ac:dyDescent="0.2">
      <c r="B48569" s="43"/>
    </row>
    <row r="48570" spans="2:2" ht="12.75" customHeight="1" x14ac:dyDescent="0.2">
      <c r="B48570" s="43"/>
    </row>
    <row r="48571" spans="2:2" ht="12.75" customHeight="1" x14ac:dyDescent="0.2">
      <c r="B48571" s="43"/>
    </row>
    <row r="48572" spans="2:2" ht="12.75" customHeight="1" x14ac:dyDescent="0.2">
      <c r="B48572" s="43"/>
    </row>
    <row r="48573" spans="2:2" ht="12.75" customHeight="1" x14ac:dyDescent="0.2">
      <c r="B48573" s="43"/>
    </row>
    <row r="48574" spans="2:2" ht="12.75" customHeight="1" x14ac:dyDescent="0.2">
      <c r="B48574" s="43"/>
    </row>
    <row r="48575" spans="2:2" ht="12.75" customHeight="1" x14ac:dyDescent="0.2">
      <c r="B48575" s="43"/>
    </row>
    <row r="48576" spans="2:2" ht="12.75" customHeight="1" x14ac:dyDescent="0.2">
      <c r="B48576" s="43"/>
    </row>
    <row r="48577" spans="2:2" ht="12.75" customHeight="1" x14ac:dyDescent="0.2">
      <c r="B48577" s="43"/>
    </row>
    <row r="48578" spans="2:2" ht="12.75" customHeight="1" x14ac:dyDescent="0.2">
      <c r="B48578" s="43"/>
    </row>
    <row r="48579" spans="2:2" ht="12.75" customHeight="1" x14ac:dyDescent="0.2">
      <c r="B48579" s="43"/>
    </row>
    <row r="48580" spans="2:2" ht="12.75" customHeight="1" x14ac:dyDescent="0.2">
      <c r="B48580" s="43"/>
    </row>
    <row r="48581" spans="2:2" ht="12.75" customHeight="1" x14ac:dyDescent="0.2">
      <c r="B48581" s="43"/>
    </row>
    <row r="48582" spans="2:2" ht="12.75" customHeight="1" x14ac:dyDescent="0.2">
      <c r="B48582" s="43"/>
    </row>
    <row r="48583" spans="2:2" ht="12.75" customHeight="1" x14ac:dyDescent="0.2">
      <c r="B48583" s="43"/>
    </row>
    <row r="48584" spans="2:2" ht="12.75" customHeight="1" x14ac:dyDescent="0.2">
      <c r="B48584" s="43"/>
    </row>
    <row r="48585" spans="2:2" ht="12.75" customHeight="1" x14ac:dyDescent="0.2">
      <c r="B48585" s="43"/>
    </row>
    <row r="48586" spans="2:2" ht="12.75" customHeight="1" x14ac:dyDescent="0.2">
      <c r="B48586" s="43"/>
    </row>
    <row r="48587" spans="2:2" ht="12.75" customHeight="1" x14ac:dyDescent="0.2">
      <c r="B48587" s="43"/>
    </row>
    <row r="48588" spans="2:2" ht="12.75" customHeight="1" x14ac:dyDescent="0.2">
      <c r="B48588" s="43"/>
    </row>
    <row r="48589" spans="2:2" ht="12.75" customHeight="1" x14ac:dyDescent="0.2">
      <c r="B48589" s="43"/>
    </row>
    <row r="48590" spans="2:2" ht="12.75" customHeight="1" x14ac:dyDescent="0.2">
      <c r="B48590" s="43"/>
    </row>
    <row r="48591" spans="2:2" ht="12.75" customHeight="1" x14ac:dyDescent="0.2">
      <c r="B48591" s="43"/>
    </row>
    <row r="48592" spans="2:2" ht="12.75" customHeight="1" x14ac:dyDescent="0.2">
      <c r="B48592" s="43"/>
    </row>
    <row r="48593" spans="2:2" ht="12.75" customHeight="1" x14ac:dyDescent="0.2">
      <c r="B48593" s="43"/>
    </row>
    <row r="48594" spans="2:2" ht="12.75" customHeight="1" x14ac:dyDescent="0.2">
      <c r="B48594" s="43"/>
    </row>
    <row r="48595" spans="2:2" ht="12.75" customHeight="1" x14ac:dyDescent="0.2">
      <c r="B48595" s="43"/>
    </row>
    <row r="48596" spans="2:2" ht="12.75" customHeight="1" x14ac:dyDescent="0.2">
      <c r="B48596" s="43"/>
    </row>
    <row r="48597" spans="2:2" ht="12.75" customHeight="1" x14ac:dyDescent="0.2">
      <c r="B48597" s="43"/>
    </row>
    <row r="48598" spans="2:2" ht="12.75" customHeight="1" x14ac:dyDescent="0.2">
      <c r="B48598" s="43"/>
    </row>
    <row r="48599" spans="2:2" ht="12.75" customHeight="1" x14ac:dyDescent="0.2">
      <c r="B48599" s="43"/>
    </row>
    <row r="48600" spans="2:2" ht="12.75" customHeight="1" x14ac:dyDescent="0.2">
      <c r="B48600" s="43"/>
    </row>
    <row r="48601" spans="2:2" ht="12.75" customHeight="1" x14ac:dyDescent="0.2">
      <c r="B48601" s="43"/>
    </row>
    <row r="48602" spans="2:2" ht="12.75" customHeight="1" x14ac:dyDescent="0.2">
      <c r="B48602" s="43"/>
    </row>
    <row r="48603" spans="2:2" ht="12.75" customHeight="1" x14ac:dyDescent="0.2">
      <c r="B48603" s="43"/>
    </row>
    <row r="48604" spans="2:2" ht="12.75" customHeight="1" x14ac:dyDescent="0.2">
      <c r="B48604" s="43"/>
    </row>
    <row r="48605" spans="2:2" ht="12.75" customHeight="1" x14ac:dyDescent="0.2">
      <c r="B48605" s="43"/>
    </row>
    <row r="48606" spans="2:2" ht="12.75" customHeight="1" x14ac:dyDescent="0.2">
      <c r="B48606" s="43"/>
    </row>
    <row r="48607" spans="2:2" ht="12.75" customHeight="1" x14ac:dyDescent="0.2">
      <c r="B48607" s="43"/>
    </row>
    <row r="48608" spans="2:2" ht="12.75" customHeight="1" x14ac:dyDescent="0.2">
      <c r="B48608" s="43"/>
    </row>
    <row r="48609" spans="2:2" ht="12.75" customHeight="1" x14ac:dyDescent="0.2">
      <c r="B48609" s="43"/>
    </row>
    <row r="48610" spans="2:2" ht="12.75" customHeight="1" x14ac:dyDescent="0.2">
      <c r="B48610" s="43"/>
    </row>
    <row r="48611" spans="2:2" ht="12.75" customHeight="1" x14ac:dyDescent="0.2">
      <c r="B48611" s="43"/>
    </row>
    <row r="48612" spans="2:2" ht="12.75" customHeight="1" x14ac:dyDescent="0.2">
      <c r="B48612" s="43"/>
    </row>
    <row r="48613" spans="2:2" ht="12.75" customHeight="1" x14ac:dyDescent="0.2">
      <c r="B48613" s="43"/>
    </row>
    <row r="48614" spans="2:2" ht="12.75" customHeight="1" x14ac:dyDescent="0.2">
      <c r="B48614" s="43"/>
    </row>
    <row r="48615" spans="2:2" ht="12.75" customHeight="1" x14ac:dyDescent="0.2">
      <c r="B48615" s="43"/>
    </row>
    <row r="48616" spans="2:2" ht="12.75" customHeight="1" x14ac:dyDescent="0.2">
      <c r="B48616" s="43"/>
    </row>
    <row r="48617" spans="2:2" ht="12.75" customHeight="1" x14ac:dyDescent="0.2">
      <c r="B48617" s="43"/>
    </row>
    <row r="48618" spans="2:2" ht="12.75" customHeight="1" x14ac:dyDescent="0.2">
      <c r="B48618" s="43"/>
    </row>
    <row r="48619" spans="2:2" ht="12.75" customHeight="1" x14ac:dyDescent="0.2">
      <c r="B48619" s="43"/>
    </row>
    <row r="48620" spans="2:2" ht="12.75" customHeight="1" x14ac:dyDescent="0.2">
      <c r="B48620" s="43"/>
    </row>
    <row r="48621" spans="2:2" ht="12.75" customHeight="1" x14ac:dyDescent="0.2">
      <c r="B48621" s="43"/>
    </row>
    <row r="48622" spans="2:2" ht="12.75" customHeight="1" x14ac:dyDescent="0.2">
      <c r="B48622" s="43"/>
    </row>
    <row r="48623" spans="2:2" ht="12.75" customHeight="1" x14ac:dyDescent="0.2">
      <c r="B48623" s="43"/>
    </row>
    <row r="48624" spans="2:2" ht="12.75" customHeight="1" x14ac:dyDescent="0.2">
      <c r="B48624" s="43"/>
    </row>
    <row r="48625" spans="2:2" ht="12.75" customHeight="1" x14ac:dyDescent="0.2">
      <c r="B48625" s="43"/>
    </row>
    <row r="48626" spans="2:2" ht="12.75" customHeight="1" x14ac:dyDescent="0.2">
      <c r="B48626" s="43"/>
    </row>
    <row r="48627" spans="2:2" ht="12.75" customHeight="1" x14ac:dyDescent="0.2">
      <c r="B48627" s="43"/>
    </row>
    <row r="48628" spans="2:2" ht="12.75" customHeight="1" x14ac:dyDescent="0.2">
      <c r="B48628" s="43"/>
    </row>
    <row r="48629" spans="2:2" ht="12.75" customHeight="1" x14ac:dyDescent="0.2">
      <c r="B48629" s="43"/>
    </row>
    <row r="48630" spans="2:2" ht="12.75" customHeight="1" x14ac:dyDescent="0.2">
      <c r="B48630" s="43"/>
    </row>
    <row r="48631" spans="2:2" ht="12.75" customHeight="1" x14ac:dyDescent="0.2">
      <c r="B48631" s="43"/>
    </row>
    <row r="48632" spans="2:2" ht="12.75" customHeight="1" x14ac:dyDescent="0.2">
      <c r="B48632" s="43"/>
    </row>
    <row r="48633" spans="2:2" ht="12.75" customHeight="1" x14ac:dyDescent="0.2">
      <c r="B48633" s="43"/>
    </row>
    <row r="48634" spans="2:2" ht="12.75" customHeight="1" x14ac:dyDescent="0.2">
      <c r="B48634" s="43"/>
    </row>
    <row r="48635" spans="2:2" ht="12.75" customHeight="1" x14ac:dyDescent="0.2">
      <c r="B48635" s="43"/>
    </row>
    <row r="48636" spans="2:2" ht="12.75" customHeight="1" x14ac:dyDescent="0.2">
      <c r="B48636" s="43"/>
    </row>
    <row r="48637" spans="2:2" ht="12.75" customHeight="1" x14ac:dyDescent="0.2">
      <c r="B48637" s="43"/>
    </row>
    <row r="48638" spans="2:2" ht="12.75" customHeight="1" x14ac:dyDescent="0.2">
      <c r="B48638" s="43"/>
    </row>
    <row r="48639" spans="2:2" ht="12.75" customHeight="1" x14ac:dyDescent="0.2">
      <c r="B48639" s="43"/>
    </row>
    <row r="48640" spans="2:2" ht="12.75" customHeight="1" x14ac:dyDescent="0.2">
      <c r="B48640" s="43"/>
    </row>
    <row r="48641" spans="2:2" ht="12.75" customHeight="1" x14ac:dyDescent="0.2">
      <c r="B48641" s="43"/>
    </row>
    <row r="48642" spans="2:2" ht="12.75" customHeight="1" x14ac:dyDescent="0.2">
      <c r="B48642" s="43"/>
    </row>
    <row r="48643" spans="2:2" ht="12.75" customHeight="1" x14ac:dyDescent="0.2">
      <c r="B48643" s="43"/>
    </row>
    <row r="48644" spans="2:2" ht="12.75" customHeight="1" x14ac:dyDescent="0.2">
      <c r="B48644" s="43"/>
    </row>
    <row r="48645" spans="2:2" ht="12.75" customHeight="1" x14ac:dyDescent="0.2">
      <c r="B48645" s="43"/>
    </row>
    <row r="48646" spans="2:2" ht="12.75" customHeight="1" x14ac:dyDescent="0.2">
      <c r="B48646" s="43"/>
    </row>
    <row r="48647" spans="2:2" ht="12.75" customHeight="1" x14ac:dyDescent="0.2">
      <c r="B48647" s="43"/>
    </row>
    <row r="48648" spans="2:2" ht="12.75" customHeight="1" x14ac:dyDescent="0.2">
      <c r="B48648" s="43"/>
    </row>
    <row r="48649" spans="2:2" ht="12.75" customHeight="1" x14ac:dyDescent="0.2">
      <c r="B48649" s="43"/>
    </row>
    <row r="48650" spans="2:2" ht="12.75" customHeight="1" x14ac:dyDescent="0.2">
      <c r="B48650" s="43"/>
    </row>
    <row r="48651" spans="2:2" ht="12.75" customHeight="1" x14ac:dyDescent="0.2">
      <c r="B48651" s="43"/>
    </row>
    <row r="48652" spans="2:2" ht="12.75" customHeight="1" x14ac:dyDescent="0.2">
      <c r="B48652" s="43"/>
    </row>
    <row r="48653" spans="2:2" ht="12.75" customHeight="1" x14ac:dyDescent="0.2">
      <c r="B48653" s="43"/>
    </row>
    <row r="48654" spans="2:2" ht="12.75" customHeight="1" x14ac:dyDescent="0.2">
      <c r="B48654" s="43"/>
    </row>
    <row r="48655" spans="2:2" ht="12.75" customHeight="1" x14ac:dyDescent="0.2">
      <c r="B48655" s="43"/>
    </row>
    <row r="48656" spans="2:2" ht="12.75" customHeight="1" x14ac:dyDescent="0.2">
      <c r="B48656" s="43"/>
    </row>
    <row r="48657" spans="2:2" ht="12.75" customHeight="1" x14ac:dyDescent="0.2">
      <c r="B48657" s="43"/>
    </row>
    <row r="48658" spans="2:2" ht="12.75" customHeight="1" x14ac:dyDescent="0.2">
      <c r="B48658" s="43"/>
    </row>
    <row r="48659" spans="2:2" ht="12.75" customHeight="1" x14ac:dyDescent="0.2">
      <c r="B48659" s="43"/>
    </row>
    <row r="48660" spans="2:2" ht="12.75" customHeight="1" x14ac:dyDescent="0.2">
      <c r="B48660" s="43"/>
    </row>
    <row r="48661" spans="2:2" ht="12.75" customHeight="1" x14ac:dyDescent="0.2">
      <c r="B48661" s="43"/>
    </row>
    <row r="48662" spans="2:2" ht="12.75" customHeight="1" x14ac:dyDescent="0.2">
      <c r="B48662" s="43"/>
    </row>
    <row r="48663" spans="2:2" ht="12.75" customHeight="1" x14ac:dyDescent="0.2">
      <c r="B48663" s="43"/>
    </row>
    <row r="48664" spans="2:2" ht="12.75" customHeight="1" x14ac:dyDescent="0.2">
      <c r="B48664" s="43"/>
    </row>
    <row r="48665" spans="2:2" ht="12.75" customHeight="1" x14ac:dyDescent="0.2">
      <c r="B48665" s="43"/>
    </row>
    <row r="48666" spans="2:2" ht="12.75" customHeight="1" x14ac:dyDescent="0.2">
      <c r="B48666" s="43"/>
    </row>
    <row r="48667" spans="2:2" ht="12.75" customHeight="1" x14ac:dyDescent="0.2">
      <c r="B48667" s="43"/>
    </row>
    <row r="48668" spans="2:2" ht="12.75" customHeight="1" x14ac:dyDescent="0.2">
      <c r="B48668" s="43"/>
    </row>
    <row r="48669" spans="2:2" ht="12.75" customHeight="1" x14ac:dyDescent="0.2">
      <c r="B48669" s="43"/>
    </row>
    <row r="48670" spans="2:2" ht="12.75" customHeight="1" x14ac:dyDescent="0.2">
      <c r="B48670" s="43"/>
    </row>
    <row r="48671" spans="2:2" ht="12.75" customHeight="1" x14ac:dyDescent="0.2">
      <c r="B48671" s="43"/>
    </row>
    <row r="48672" spans="2:2" ht="12.75" customHeight="1" x14ac:dyDescent="0.2">
      <c r="B48672" s="43"/>
    </row>
    <row r="48673" spans="2:2" ht="12.75" customHeight="1" x14ac:dyDescent="0.2">
      <c r="B48673" s="43"/>
    </row>
    <row r="48674" spans="2:2" ht="12.75" customHeight="1" x14ac:dyDescent="0.2">
      <c r="B48674" s="43"/>
    </row>
    <row r="48675" spans="2:2" ht="12.75" customHeight="1" x14ac:dyDescent="0.2">
      <c r="B48675" s="43"/>
    </row>
    <row r="48676" spans="2:2" ht="12.75" customHeight="1" x14ac:dyDescent="0.2">
      <c r="B48676" s="43"/>
    </row>
    <row r="48677" spans="2:2" ht="12.75" customHeight="1" x14ac:dyDescent="0.2">
      <c r="B48677" s="43"/>
    </row>
    <row r="48678" spans="2:2" ht="12.75" customHeight="1" x14ac:dyDescent="0.2">
      <c r="B48678" s="43"/>
    </row>
    <row r="48679" spans="2:2" ht="12.75" customHeight="1" x14ac:dyDescent="0.2">
      <c r="B48679" s="43"/>
    </row>
    <row r="48680" spans="2:2" ht="12.75" customHeight="1" x14ac:dyDescent="0.2">
      <c r="B48680" s="43"/>
    </row>
    <row r="48681" spans="2:2" ht="12.75" customHeight="1" x14ac:dyDescent="0.2">
      <c r="B48681" s="43"/>
    </row>
    <row r="48682" spans="2:2" ht="12.75" customHeight="1" x14ac:dyDescent="0.2">
      <c r="B48682" s="43"/>
    </row>
    <row r="48683" spans="2:2" ht="12.75" customHeight="1" x14ac:dyDescent="0.2">
      <c r="B48683" s="43"/>
    </row>
    <row r="48684" spans="2:2" ht="12.75" customHeight="1" x14ac:dyDescent="0.2">
      <c r="B48684" s="43"/>
    </row>
    <row r="48685" spans="2:2" ht="12.75" customHeight="1" x14ac:dyDescent="0.2">
      <c r="B48685" s="43"/>
    </row>
    <row r="48686" spans="2:2" ht="12.75" customHeight="1" x14ac:dyDescent="0.2">
      <c r="B48686" s="43"/>
    </row>
    <row r="48687" spans="2:2" ht="12.75" customHeight="1" x14ac:dyDescent="0.2">
      <c r="B48687" s="43"/>
    </row>
    <row r="48688" spans="2:2" ht="12.75" customHeight="1" x14ac:dyDescent="0.2">
      <c r="B48688" s="43"/>
    </row>
    <row r="48689" spans="2:2" ht="12.75" customHeight="1" x14ac:dyDescent="0.2">
      <c r="B48689" s="43"/>
    </row>
    <row r="48690" spans="2:2" ht="12.75" customHeight="1" x14ac:dyDescent="0.2">
      <c r="B48690" s="43"/>
    </row>
    <row r="48691" spans="2:2" ht="12.75" customHeight="1" x14ac:dyDescent="0.2">
      <c r="B48691" s="43"/>
    </row>
    <row r="48692" spans="2:2" ht="12.75" customHeight="1" x14ac:dyDescent="0.2">
      <c r="B48692" s="43"/>
    </row>
    <row r="48693" spans="2:2" ht="12.75" customHeight="1" x14ac:dyDescent="0.2">
      <c r="B48693" s="43"/>
    </row>
    <row r="48694" spans="2:2" ht="12.75" customHeight="1" x14ac:dyDescent="0.2">
      <c r="B48694" s="43"/>
    </row>
    <row r="48695" spans="2:2" ht="12.75" customHeight="1" x14ac:dyDescent="0.2">
      <c r="B48695" s="43"/>
    </row>
    <row r="48696" spans="2:2" ht="12.75" customHeight="1" x14ac:dyDescent="0.2">
      <c r="B48696" s="43"/>
    </row>
    <row r="48697" spans="2:2" ht="12.75" customHeight="1" x14ac:dyDescent="0.2">
      <c r="B48697" s="43"/>
    </row>
    <row r="48698" spans="2:2" ht="12.75" customHeight="1" x14ac:dyDescent="0.2">
      <c r="B48698" s="43"/>
    </row>
    <row r="48699" spans="2:2" ht="12.75" customHeight="1" x14ac:dyDescent="0.2">
      <c r="B48699" s="43"/>
    </row>
    <row r="48700" spans="2:2" ht="12.75" customHeight="1" x14ac:dyDescent="0.2">
      <c r="B48700" s="43"/>
    </row>
    <row r="48701" spans="2:2" ht="12.75" customHeight="1" x14ac:dyDescent="0.2">
      <c r="B48701" s="43"/>
    </row>
    <row r="48702" spans="2:2" ht="12.75" customHeight="1" x14ac:dyDescent="0.2">
      <c r="B48702" s="43"/>
    </row>
    <row r="48703" spans="2:2" ht="12.75" customHeight="1" x14ac:dyDescent="0.2">
      <c r="B48703" s="43"/>
    </row>
    <row r="48704" spans="2:2" ht="12.75" customHeight="1" x14ac:dyDescent="0.2">
      <c r="B48704" s="43"/>
    </row>
    <row r="48705" spans="2:2" ht="12.75" customHeight="1" x14ac:dyDescent="0.2">
      <c r="B48705" s="43"/>
    </row>
    <row r="48706" spans="2:2" ht="12.75" customHeight="1" x14ac:dyDescent="0.2">
      <c r="B48706" s="43"/>
    </row>
    <row r="48707" spans="2:2" ht="12.75" customHeight="1" x14ac:dyDescent="0.2">
      <c r="B48707" s="43"/>
    </row>
    <row r="48708" spans="2:2" ht="12.75" customHeight="1" x14ac:dyDescent="0.2">
      <c r="B48708" s="43"/>
    </row>
    <row r="48709" spans="2:2" ht="12.75" customHeight="1" x14ac:dyDescent="0.2">
      <c r="B48709" s="43"/>
    </row>
    <row r="48710" spans="2:2" ht="12.75" customHeight="1" x14ac:dyDescent="0.2">
      <c r="B48710" s="43"/>
    </row>
    <row r="48711" spans="2:2" ht="12.75" customHeight="1" x14ac:dyDescent="0.2">
      <c r="B48711" s="43"/>
    </row>
    <row r="48712" spans="2:2" ht="12.75" customHeight="1" x14ac:dyDescent="0.2">
      <c r="B48712" s="43"/>
    </row>
    <row r="48713" spans="2:2" ht="12.75" customHeight="1" x14ac:dyDescent="0.2">
      <c r="B48713" s="43"/>
    </row>
    <row r="48714" spans="2:2" ht="12.75" customHeight="1" x14ac:dyDescent="0.2">
      <c r="B48714" s="43"/>
    </row>
    <row r="48715" spans="2:2" ht="12.75" customHeight="1" x14ac:dyDescent="0.2">
      <c r="B48715" s="43"/>
    </row>
    <row r="48716" spans="2:2" ht="12.75" customHeight="1" x14ac:dyDescent="0.2">
      <c r="B48716" s="43"/>
    </row>
    <row r="48717" spans="2:2" ht="12.75" customHeight="1" x14ac:dyDescent="0.2">
      <c r="B48717" s="43"/>
    </row>
    <row r="48718" spans="2:2" ht="12.75" customHeight="1" x14ac:dyDescent="0.2">
      <c r="B48718" s="43"/>
    </row>
    <row r="48719" spans="2:2" ht="12.75" customHeight="1" x14ac:dyDescent="0.2">
      <c r="B48719" s="43"/>
    </row>
    <row r="48720" spans="2:2" ht="12.75" customHeight="1" x14ac:dyDescent="0.2">
      <c r="B48720" s="43"/>
    </row>
    <row r="48721" spans="2:2" ht="12.75" customHeight="1" x14ac:dyDescent="0.2">
      <c r="B48721" s="43"/>
    </row>
    <row r="48722" spans="2:2" ht="12.75" customHeight="1" x14ac:dyDescent="0.2">
      <c r="B48722" s="43"/>
    </row>
    <row r="48723" spans="2:2" ht="12.75" customHeight="1" x14ac:dyDescent="0.2">
      <c r="B48723" s="43"/>
    </row>
    <row r="48724" spans="2:2" ht="12.75" customHeight="1" x14ac:dyDescent="0.2">
      <c r="B48724" s="43"/>
    </row>
    <row r="48725" spans="2:2" ht="12.75" customHeight="1" x14ac:dyDescent="0.2">
      <c r="B48725" s="43"/>
    </row>
    <row r="48726" spans="2:2" ht="12.75" customHeight="1" x14ac:dyDescent="0.2">
      <c r="B48726" s="43"/>
    </row>
    <row r="48727" spans="2:2" ht="12.75" customHeight="1" x14ac:dyDescent="0.2">
      <c r="B48727" s="43"/>
    </row>
    <row r="48728" spans="2:2" ht="12.75" customHeight="1" x14ac:dyDescent="0.2">
      <c r="B48728" s="43"/>
    </row>
    <row r="48729" spans="2:2" ht="12.75" customHeight="1" x14ac:dyDescent="0.2">
      <c r="B48729" s="43"/>
    </row>
    <row r="48730" spans="2:2" ht="12.75" customHeight="1" x14ac:dyDescent="0.2">
      <c r="B48730" s="43"/>
    </row>
    <row r="48731" spans="2:2" ht="12.75" customHeight="1" x14ac:dyDescent="0.2">
      <c r="B48731" s="43"/>
    </row>
    <row r="48732" spans="2:2" ht="12.75" customHeight="1" x14ac:dyDescent="0.2">
      <c r="B48732" s="43"/>
    </row>
    <row r="48733" spans="2:2" ht="12.75" customHeight="1" x14ac:dyDescent="0.2">
      <c r="B48733" s="43"/>
    </row>
    <row r="48734" spans="2:2" ht="12.75" customHeight="1" x14ac:dyDescent="0.2">
      <c r="B48734" s="43"/>
    </row>
    <row r="48735" spans="2:2" ht="12.75" customHeight="1" x14ac:dyDescent="0.2">
      <c r="B48735" s="43"/>
    </row>
    <row r="48736" spans="2:2" ht="12.75" customHeight="1" x14ac:dyDescent="0.2">
      <c r="B48736" s="43"/>
    </row>
    <row r="48737" spans="2:2" ht="12.75" customHeight="1" x14ac:dyDescent="0.2">
      <c r="B48737" s="43"/>
    </row>
    <row r="48738" spans="2:2" ht="12.75" customHeight="1" x14ac:dyDescent="0.2">
      <c r="B48738" s="43"/>
    </row>
    <row r="48739" spans="2:2" ht="12.75" customHeight="1" x14ac:dyDescent="0.2">
      <c r="B48739" s="43"/>
    </row>
    <row r="48740" spans="2:2" ht="12.75" customHeight="1" x14ac:dyDescent="0.2">
      <c r="B48740" s="43"/>
    </row>
    <row r="48741" spans="2:2" ht="12.75" customHeight="1" x14ac:dyDescent="0.2">
      <c r="B48741" s="43"/>
    </row>
    <row r="48742" spans="2:2" ht="12.75" customHeight="1" x14ac:dyDescent="0.2">
      <c r="B48742" s="43"/>
    </row>
    <row r="48743" spans="2:2" ht="12.75" customHeight="1" x14ac:dyDescent="0.2">
      <c r="B48743" s="43"/>
    </row>
    <row r="48744" spans="2:2" ht="12.75" customHeight="1" x14ac:dyDescent="0.2">
      <c r="B48744" s="43"/>
    </row>
    <row r="48745" spans="2:2" ht="12.75" customHeight="1" x14ac:dyDescent="0.2">
      <c r="B48745" s="43"/>
    </row>
    <row r="48746" spans="2:2" ht="12.75" customHeight="1" x14ac:dyDescent="0.2">
      <c r="B48746" s="43"/>
    </row>
    <row r="48747" spans="2:2" ht="12.75" customHeight="1" x14ac:dyDescent="0.2">
      <c r="B48747" s="43"/>
    </row>
    <row r="48748" spans="2:2" ht="12.75" customHeight="1" x14ac:dyDescent="0.2">
      <c r="B48748" s="43"/>
    </row>
    <row r="48749" spans="2:2" ht="12.75" customHeight="1" x14ac:dyDescent="0.2">
      <c r="B48749" s="43"/>
    </row>
    <row r="48750" spans="2:2" ht="12.75" customHeight="1" x14ac:dyDescent="0.2">
      <c r="B48750" s="43"/>
    </row>
    <row r="48751" spans="2:2" ht="12.75" customHeight="1" x14ac:dyDescent="0.2">
      <c r="B48751" s="43"/>
    </row>
    <row r="48752" spans="2:2" ht="12.75" customHeight="1" x14ac:dyDescent="0.2">
      <c r="B48752" s="43"/>
    </row>
    <row r="48753" spans="2:2" ht="12.75" customHeight="1" x14ac:dyDescent="0.2">
      <c r="B48753" s="43"/>
    </row>
    <row r="48754" spans="2:2" ht="12.75" customHeight="1" x14ac:dyDescent="0.2">
      <c r="B48754" s="43"/>
    </row>
    <row r="48755" spans="2:2" ht="12.75" customHeight="1" x14ac:dyDescent="0.2">
      <c r="B48755" s="43"/>
    </row>
    <row r="48756" spans="2:2" ht="12.75" customHeight="1" x14ac:dyDescent="0.2">
      <c r="B48756" s="43"/>
    </row>
    <row r="48757" spans="2:2" ht="12.75" customHeight="1" x14ac:dyDescent="0.2">
      <c r="B48757" s="43"/>
    </row>
    <row r="48758" spans="2:2" ht="12.75" customHeight="1" x14ac:dyDescent="0.2">
      <c r="B48758" s="43"/>
    </row>
    <row r="48759" spans="2:2" ht="12.75" customHeight="1" x14ac:dyDescent="0.2">
      <c r="B48759" s="43"/>
    </row>
    <row r="48760" spans="2:2" ht="12.75" customHeight="1" x14ac:dyDescent="0.2">
      <c r="B48760" s="43"/>
    </row>
    <row r="48761" spans="2:2" ht="12.75" customHeight="1" x14ac:dyDescent="0.2">
      <c r="B48761" s="43"/>
    </row>
    <row r="48762" spans="2:2" ht="12.75" customHeight="1" x14ac:dyDescent="0.2">
      <c r="B48762" s="43"/>
    </row>
    <row r="48763" spans="2:2" ht="12.75" customHeight="1" x14ac:dyDescent="0.2">
      <c r="B48763" s="43"/>
    </row>
    <row r="48764" spans="2:2" ht="12.75" customHeight="1" x14ac:dyDescent="0.2">
      <c r="B48764" s="43"/>
    </row>
    <row r="48765" spans="2:2" ht="12.75" customHeight="1" x14ac:dyDescent="0.2">
      <c r="B48765" s="43"/>
    </row>
    <row r="48766" spans="2:2" ht="12.75" customHeight="1" x14ac:dyDescent="0.2">
      <c r="B48766" s="43"/>
    </row>
    <row r="48767" spans="2:2" ht="12.75" customHeight="1" x14ac:dyDescent="0.2">
      <c r="B48767" s="43"/>
    </row>
    <row r="48768" spans="2:2" ht="12.75" customHeight="1" x14ac:dyDescent="0.2">
      <c r="B48768" s="43"/>
    </row>
    <row r="48769" spans="2:2" ht="12.75" customHeight="1" x14ac:dyDescent="0.2">
      <c r="B48769" s="43"/>
    </row>
    <row r="48770" spans="2:2" ht="12.75" customHeight="1" x14ac:dyDescent="0.2">
      <c r="B48770" s="43"/>
    </row>
    <row r="48771" spans="2:2" ht="12.75" customHeight="1" x14ac:dyDescent="0.2">
      <c r="B48771" s="43"/>
    </row>
    <row r="48772" spans="2:2" ht="12.75" customHeight="1" x14ac:dyDescent="0.2">
      <c r="B48772" s="43"/>
    </row>
    <row r="48773" spans="2:2" ht="12.75" customHeight="1" x14ac:dyDescent="0.2">
      <c r="B48773" s="43"/>
    </row>
    <row r="48774" spans="2:2" ht="12.75" customHeight="1" x14ac:dyDescent="0.2">
      <c r="B48774" s="43"/>
    </row>
    <row r="48775" spans="2:2" ht="12.75" customHeight="1" x14ac:dyDescent="0.2">
      <c r="B48775" s="43"/>
    </row>
    <row r="48776" spans="2:2" ht="12.75" customHeight="1" x14ac:dyDescent="0.2">
      <c r="B48776" s="43"/>
    </row>
    <row r="48777" spans="2:2" ht="12.75" customHeight="1" x14ac:dyDescent="0.2">
      <c r="B48777" s="43"/>
    </row>
    <row r="48778" spans="2:2" ht="12.75" customHeight="1" x14ac:dyDescent="0.2">
      <c r="B48778" s="43"/>
    </row>
    <row r="48779" spans="2:2" ht="12.75" customHeight="1" x14ac:dyDescent="0.2">
      <c r="B48779" s="43"/>
    </row>
    <row r="48780" spans="2:2" ht="12.75" customHeight="1" x14ac:dyDescent="0.2">
      <c r="B48780" s="43"/>
    </row>
    <row r="48781" spans="2:2" ht="12.75" customHeight="1" x14ac:dyDescent="0.2">
      <c r="B48781" s="43"/>
    </row>
    <row r="48782" spans="2:2" ht="12.75" customHeight="1" x14ac:dyDescent="0.2">
      <c r="B48782" s="43"/>
    </row>
    <row r="48783" spans="2:2" ht="12.75" customHeight="1" x14ac:dyDescent="0.2">
      <c r="B48783" s="43"/>
    </row>
    <row r="48784" spans="2:2" ht="12.75" customHeight="1" x14ac:dyDescent="0.2">
      <c r="B48784" s="43"/>
    </row>
    <row r="48785" spans="2:2" ht="12.75" customHeight="1" x14ac:dyDescent="0.2">
      <c r="B48785" s="43"/>
    </row>
    <row r="48786" spans="2:2" ht="12.75" customHeight="1" x14ac:dyDescent="0.2">
      <c r="B48786" s="43"/>
    </row>
    <row r="48787" spans="2:2" ht="12.75" customHeight="1" x14ac:dyDescent="0.2">
      <c r="B48787" s="43"/>
    </row>
    <row r="48788" spans="2:2" ht="12.75" customHeight="1" x14ac:dyDescent="0.2">
      <c r="B48788" s="43"/>
    </row>
    <row r="48789" spans="2:2" ht="12.75" customHeight="1" x14ac:dyDescent="0.2">
      <c r="B48789" s="43"/>
    </row>
    <row r="48790" spans="2:2" ht="12.75" customHeight="1" x14ac:dyDescent="0.2">
      <c r="B48790" s="43"/>
    </row>
    <row r="48791" spans="2:2" ht="12.75" customHeight="1" x14ac:dyDescent="0.2">
      <c r="B48791" s="43"/>
    </row>
    <row r="48792" spans="2:2" ht="12.75" customHeight="1" x14ac:dyDescent="0.2">
      <c r="B48792" s="43"/>
    </row>
    <row r="48793" spans="2:2" ht="12.75" customHeight="1" x14ac:dyDescent="0.2">
      <c r="B48793" s="43"/>
    </row>
    <row r="48794" spans="2:2" ht="12.75" customHeight="1" x14ac:dyDescent="0.2">
      <c r="B48794" s="43"/>
    </row>
    <row r="48795" spans="2:2" ht="12.75" customHeight="1" x14ac:dyDescent="0.2">
      <c r="B48795" s="43"/>
    </row>
    <row r="48796" spans="2:2" ht="12.75" customHeight="1" x14ac:dyDescent="0.2">
      <c r="B48796" s="43"/>
    </row>
    <row r="48797" spans="2:2" ht="12.75" customHeight="1" x14ac:dyDescent="0.2">
      <c r="B48797" s="43"/>
    </row>
    <row r="48798" spans="2:2" ht="12.75" customHeight="1" x14ac:dyDescent="0.2">
      <c r="B48798" s="43"/>
    </row>
    <row r="48799" spans="2:2" ht="12.75" customHeight="1" x14ac:dyDescent="0.2">
      <c r="B48799" s="43"/>
    </row>
    <row r="48800" spans="2:2" ht="12.75" customHeight="1" x14ac:dyDescent="0.2">
      <c r="B48800" s="43"/>
    </row>
    <row r="48801" spans="2:2" ht="12.75" customHeight="1" x14ac:dyDescent="0.2">
      <c r="B48801" s="43"/>
    </row>
    <row r="48802" spans="2:2" ht="12.75" customHeight="1" x14ac:dyDescent="0.2">
      <c r="B48802" s="43"/>
    </row>
    <row r="48803" spans="2:2" ht="12.75" customHeight="1" x14ac:dyDescent="0.2">
      <c r="B48803" s="43"/>
    </row>
    <row r="48804" spans="2:2" ht="12.75" customHeight="1" x14ac:dyDescent="0.2">
      <c r="B48804" s="43"/>
    </row>
    <row r="48805" spans="2:2" ht="12.75" customHeight="1" x14ac:dyDescent="0.2">
      <c r="B48805" s="43"/>
    </row>
    <row r="48806" spans="2:2" ht="12.75" customHeight="1" x14ac:dyDescent="0.2">
      <c r="B48806" s="43"/>
    </row>
    <row r="48807" spans="2:2" ht="12.75" customHeight="1" x14ac:dyDescent="0.2">
      <c r="B48807" s="43"/>
    </row>
    <row r="48808" spans="2:2" ht="12.75" customHeight="1" x14ac:dyDescent="0.2">
      <c r="B48808" s="43"/>
    </row>
    <row r="48809" spans="2:2" ht="12.75" customHeight="1" x14ac:dyDescent="0.2">
      <c r="B48809" s="43"/>
    </row>
    <row r="48810" spans="2:2" ht="12.75" customHeight="1" x14ac:dyDescent="0.2">
      <c r="B48810" s="43"/>
    </row>
    <row r="48811" spans="2:2" ht="12.75" customHeight="1" x14ac:dyDescent="0.2">
      <c r="B48811" s="43"/>
    </row>
    <row r="48812" spans="2:2" ht="12.75" customHeight="1" x14ac:dyDescent="0.2">
      <c r="B48812" s="43"/>
    </row>
    <row r="48813" spans="2:2" ht="12.75" customHeight="1" x14ac:dyDescent="0.2">
      <c r="B48813" s="43"/>
    </row>
    <row r="48814" spans="2:2" ht="12.75" customHeight="1" x14ac:dyDescent="0.2">
      <c r="B48814" s="43"/>
    </row>
    <row r="48815" spans="2:2" ht="12.75" customHeight="1" x14ac:dyDescent="0.2">
      <c r="B48815" s="43"/>
    </row>
    <row r="48816" spans="2:2" ht="12.75" customHeight="1" x14ac:dyDescent="0.2">
      <c r="B48816" s="43"/>
    </row>
    <row r="48817" spans="2:2" ht="12.75" customHeight="1" x14ac:dyDescent="0.2">
      <c r="B48817" s="43"/>
    </row>
    <row r="48818" spans="2:2" ht="12.75" customHeight="1" x14ac:dyDescent="0.2">
      <c r="B48818" s="43"/>
    </row>
    <row r="48819" spans="2:2" ht="12.75" customHeight="1" x14ac:dyDescent="0.2">
      <c r="B48819" s="43"/>
    </row>
    <row r="48820" spans="2:2" ht="12.75" customHeight="1" x14ac:dyDescent="0.2">
      <c r="B48820" s="43"/>
    </row>
    <row r="48821" spans="2:2" ht="12.75" customHeight="1" x14ac:dyDescent="0.2">
      <c r="B48821" s="43"/>
    </row>
    <row r="48822" spans="2:2" ht="12.75" customHeight="1" x14ac:dyDescent="0.2">
      <c r="B48822" s="43"/>
    </row>
    <row r="48823" spans="2:2" ht="12.75" customHeight="1" x14ac:dyDescent="0.2">
      <c r="B48823" s="43"/>
    </row>
    <row r="48824" spans="2:2" ht="12.75" customHeight="1" x14ac:dyDescent="0.2">
      <c r="B48824" s="43"/>
    </row>
    <row r="48825" spans="2:2" ht="12.75" customHeight="1" x14ac:dyDescent="0.2">
      <c r="B48825" s="43"/>
    </row>
    <row r="48826" spans="2:2" ht="12.75" customHeight="1" x14ac:dyDescent="0.2">
      <c r="B48826" s="43"/>
    </row>
    <row r="48827" spans="2:2" ht="12.75" customHeight="1" x14ac:dyDescent="0.2">
      <c r="B48827" s="43"/>
    </row>
    <row r="48828" spans="2:2" ht="12.75" customHeight="1" x14ac:dyDescent="0.2">
      <c r="B48828" s="43"/>
    </row>
    <row r="48829" spans="2:2" ht="12.75" customHeight="1" x14ac:dyDescent="0.2">
      <c r="B48829" s="43"/>
    </row>
    <row r="48830" spans="2:2" ht="12.75" customHeight="1" x14ac:dyDescent="0.2">
      <c r="B48830" s="43"/>
    </row>
    <row r="48831" spans="2:2" ht="12.75" customHeight="1" x14ac:dyDescent="0.2">
      <c r="B48831" s="43"/>
    </row>
    <row r="48832" spans="2:2" ht="12.75" customHeight="1" x14ac:dyDescent="0.2">
      <c r="B48832" s="43"/>
    </row>
    <row r="48833" spans="2:2" ht="12.75" customHeight="1" x14ac:dyDescent="0.2">
      <c r="B48833" s="43"/>
    </row>
    <row r="48834" spans="2:2" ht="12.75" customHeight="1" x14ac:dyDescent="0.2">
      <c r="B48834" s="43"/>
    </row>
    <row r="48835" spans="2:2" ht="12.75" customHeight="1" x14ac:dyDescent="0.2">
      <c r="B48835" s="43"/>
    </row>
    <row r="48836" spans="2:2" ht="12.75" customHeight="1" x14ac:dyDescent="0.2">
      <c r="B48836" s="43"/>
    </row>
    <row r="48837" spans="2:2" ht="12.75" customHeight="1" x14ac:dyDescent="0.2">
      <c r="B48837" s="43"/>
    </row>
    <row r="48838" spans="2:2" ht="12.75" customHeight="1" x14ac:dyDescent="0.2">
      <c r="B48838" s="43"/>
    </row>
    <row r="48839" spans="2:2" ht="12.75" customHeight="1" x14ac:dyDescent="0.2">
      <c r="B48839" s="43"/>
    </row>
    <row r="48840" spans="2:2" ht="12.75" customHeight="1" x14ac:dyDescent="0.2">
      <c r="B48840" s="43"/>
    </row>
    <row r="48841" spans="2:2" ht="12.75" customHeight="1" x14ac:dyDescent="0.2">
      <c r="B48841" s="43"/>
    </row>
    <row r="48842" spans="2:2" ht="12.75" customHeight="1" x14ac:dyDescent="0.2">
      <c r="B48842" s="43"/>
    </row>
    <row r="48843" spans="2:2" ht="12.75" customHeight="1" x14ac:dyDescent="0.2">
      <c r="B48843" s="43"/>
    </row>
    <row r="48844" spans="2:2" ht="12.75" customHeight="1" x14ac:dyDescent="0.2">
      <c r="B48844" s="43"/>
    </row>
    <row r="48845" spans="2:2" ht="12.75" customHeight="1" x14ac:dyDescent="0.2">
      <c r="B48845" s="43"/>
    </row>
    <row r="48846" spans="2:2" ht="12.75" customHeight="1" x14ac:dyDescent="0.2">
      <c r="B48846" s="43"/>
    </row>
    <row r="48847" spans="2:2" ht="12.75" customHeight="1" x14ac:dyDescent="0.2">
      <c r="B48847" s="43"/>
    </row>
    <row r="48848" spans="2:2" ht="12.75" customHeight="1" x14ac:dyDescent="0.2">
      <c r="B48848" s="43"/>
    </row>
    <row r="48849" spans="2:2" ht="12.75" customHeight="1" x14ac:dyDescent="0.2">
      <c r="B48849" s="43"/>
    </row>
    <row r="48850" spans="2:2" ht="12.75" customHeight="1" x14ac:dyDescent="0.2">
      <c r="B48850" s="43"/>
    </row>
    <row r="48851" spans="2:2" ht="12.75" customHeight="1" x14ac:dyDescent="0.2">
      <c r="B48851" s="43"/>
    </row>
    <row r="48852" spans="2:2" ht="12.75" customHeight="1" x14ac:dyDescent="0.2">
      <c r="B48852" s="43"/>
    </row>
    <row r="48853" spans="2:2" ht="12.75" customHeight="1" x14ac:dyDescent="0.2">
      <c r="B48853" s="43"/>
    </row>
    <row r="48854" spans="2:2" ht="12.75" customHeight="1" x14ac:dyDescent="0.2">
      <c r="B48854" s="43"/>
    </row>
    <row r="48855" spans="2:2" ht="12.75" customHeight="1" x14ac:dyDescent="0.2">
      <c r="B48855" s="43"/>
    </row>
    <row r="48856" spans="2:2" ht="12.75" customHeight="1" x14ac:dyDescent="0.2">
      <c r="B48856" s="43"/>
    </row>
    <row r="48857" spans="2:2" ht="12.75" customHeight="1" x14ac:dyDescent="0.2">
      <c r="B48857" s="43"/>
    </row>
    <row r="48858" spans="2:2" ht="12.75" customHeight="1" x14ac:dyDescent="0.2">
      <c r="B48858" s="43"/>
    </row>
    <row r="48859" spans="2:2" ht="12.75" customHeight="1" x14ac:dyDescent="0.2">
      <c r="B48859" s="43"/>
    </row>
    <row r="48860" spans="2:2" ht="12.75" customHeight="1" x14ac:dyDescent="0.2">
      <c r="B48860" s="43"/>
    </row>
    <row r="48861" spans="2:2" ht="12.75" customHeight="1" x14ac:dyDescent="0.2">
      <c r="B48861" s="43"/>
    </row>
    <row r="48862" spans="2:2" ht="12.75" customHeight="1" x14ac:dyDescent="0.2">
      <c r="B48862" s="43"/>
    </row>
    <row r="48863" spans="2:2" ht="12.75" customHeight="1" x14ac:dyDescent="0.2">
      <c r="B48863" s="43"/>
    </row>
    <row r="48864" spans="2:2" ht="12.75" customHeight="1" x14ac:dyDescent="0.2">
      <c r="B48864" s="43"/>
    </row>
    <row r="48865" spans="2:2" ht="12.75" customHeight="1" x14ac:dyDescent="0.2">
      <c r="B48865" s="43"/>
    </row>
    <row r="48866" spans="2:2" ht="12.75" customHeight="1" x14ac:dyDescent="0.2">
      <c r="B48866" s="43"/>
    </row>
    <row r="48867" spans="2:2" ht="12.75" customHeight="1" x14ac:dyDescent="0.2">
      <c r="B48867" s="43"/>
    </row>
    <row r="48868" spans="2:2" ht="12.75" customHeight="1" x14ac:dyDescent="0.2">
      <c r="B48868" s="43"/>
    </row>
    <row r="48869" spans="2:2" ht="12.75" customHeight="1" x14ac:dyDescent="0.2">
      <c r="B48869" s="43"/>
    </row>
    <row r="48870" spans="2:2" ht="12.75" customHeight="1" x14ac:dyDescent="0.2">
      <c r="B48870" s="43"/>
    </row>
    <row r="48871" spans="2:2" ht="12.75" customHeight="1" x14ac:dyDescent="0.2">
      <c r="B48871" s="43"/>
    </row>
    <row r="48872" spans="2:2" ht="12.75" customHeight="1" x14ac:dyDescent="0.2">
      <c r="B48872" s="43"/>
    </row>
    <row r="48873" spans="2:2" ht="12.75" customHeight="1" x14ac:dyDescent="0.2">
      <c r="B48873" s="43"/>
    </row>
    <row r="48874" spans="2:2" ht="12.75" customHeight="1" x14ac:dyDescent="0.2">
      <c r="B48874" s="43"/>
    </row>
    <row r="48875" spans="2:2" ht="12.75" customHeight="1" x14ac:dyDescent="0.2">
      <c r="B48875" s="43"/>
    </row>
    <row r="48876" spans="2:2" ht="12.75" customHeight="1" x14ac:dyDescent="0.2">
      <c r="B48876" s="43"/>
    </row>
    <row r="48877" spans="2:2" ht="12.75" customHeight="1" x14ac:dyDescent="0.2">
      <c r="B48877" s="43"/>
    </row>
    <row r="48878" spans="2:2" ht="12.75" customHeight="1" x14ac:dyDescent="0.2">
      <c r="B48878" s="43"/>
    </row>
    <row r="48879" spans="2:2" ht="12.75" customHeight="1" x14ac:dyDescent="0.2">
      <c r="B48879" s="43"/>
    </row>
    <row r="48880" spans="2:2" ht="12.75" customHeight="1" x14ac:dyDescent="0.2">
      <c r="B48880" s="43"/>
    </row>
    <row r="48881" spans="2:2" ht="12.75" customHeight="1" x14ac:dyDescent="0.2">
      <c r="B48881" s="43"/>
    </row>
    <row r="48882" spans="2:2" ht="12.75" customHeight="1" x14ac:dyDescent="0.2">
      <c r="B48882" s="43"/>
    </row>
    <row r="48883" spans="2:2" ht="12.75" customHeight="1" x14ac:dyDescent="0.2">
      <c r="B48883" s="43"/>
    </row>
    <row r="48884" spans="2:2" ht="12.75" customHeight="1" x14ac:dyDescent="0.2">
      <c r="B48884" s="43"/>
    </row>
    <row r="48885" spans="2:2" ht="12.75" customHeight="1" x14ac:dyDescent="0.2">
      <c r="B48885" s="43"/>
    </row>
    <row r="48886" spans="2:2" ht="12.75" customHeight="1" x14ac:dyDescent="0.2">
      <c r="B48886" s="43"/>
    </row>
    <row r="48887" spans="2:2" ht="12.75" customHeight="1" x14ac:dyDescent="0.2">
      <c r="B48887" s="43"/>
    </row>
    <row r="48888" spans="2:2" ht="12.75" customHeight="1" x14ac:dyDescent="0.2">
      <c r="B48888" s="43"/>
    </row>
    <row r="48889" spans="2:2" ht="12.75" customHeight="1" x14ac:dyDescent="0.2">
      <c r="B48889" s="43"/>
    </row>
    <row r="48890" spans="2:2" ht="12.75" customHeight="1" x14ac:dyDescent="0.2">
      <c r="B48890" s="43"/>
    </row>
    <row r="48891" spans="2:2" ht="12.75" customHeight="1" x14ac:dyDescent="0.2">
      <c r="B48891" s="43"/>
    </row>
    <row r="48892" spans="2:2" ht="12.75" customHeight="1" x14ac:dyDescent="0.2">
      <c r="B48892" s="43"/>
    </row>
    <row r="48893" spans="2:2" ht="12.75" customHeight="1" x14ac:dyDescent="0.2">
      <c r="B48893" s="43"/>
    </row>
    <row r="48894" spans="2:2" ht="12.75" customHeight="1" x14ac:dyDescent="0.2">
      <c r="B48894" s="43"/>
    </row>
    <row r="48895" spans="2:2" ht="12.75" customHeight="1" x14ac:dyDescent="0.2">
      <c r="B48895" s="43"/>
    </row>
    <row r="48896" spans="2:2" ht="12.75" customHeight="1" x14ac:dyDescent="0.2">
      <c r="B48896" s="43"/>
    </row>
    <row r="48897" spans="2:2" ht="12.75" customHeight="1" x14ac:dyDescent="0.2">
      <c r="B48897" s="43"/>
    </row>
    <row r="48898" spans="2:2" ht="12.75" customHeight="1" x14ac:dyDescent="0.2">
      <c r="B48898" s="43"/>
    </row>
    <row r="48899" spans="2:2" ht="12.75" customHeight="1" x14ac:dyDescent="0.2">
      <c r="B48899" s="43"/>
    </row>
    <row r="48900" spans="2:2" ht="12.75" customHeight="1" x14ac:dyDescent="0.2">
      <c r="B48900" s="43"/>
    </row>
    <row r="48901" spans="2:2" ht="12.75" customHeight="1" x14ac:dyDescent="0.2">
      <c r="B48901" s="43"/>
    </row>
    <row r="48902" spans="2:2" ht="12.75" customHeight="1" x14ac:dyDescent="0.2">
      <c r="B48902" s="43"/>
    </row>
    <row r="48903" spans="2:2" ht="12.75" customHeight="1" x14ac:dyDescent="0.2">
      <c r="B48903" s="43"/>
    </row>
    <row r="48904" spans="2:2" ht="12.75" customHeight="1" x14ac:dyDescent="0.2">
      <c r="B48904" s="43"/>
    </row>
    <row r="48905" spans="2:2" ht="12.75" customHeight="1" x14ac:dyDescent="0.2">
      <c r="B48905" s="43"/>
    </row>
    <row r="48906" spans="2:2" ht="12.75" customHeight="1" x14ac:dyDescent="0.2">
      <c r="B48906" s="43"/>
    </row>
    <row r="48907" spans="2:2" ht="12.75" customHeight="1" x14ac:dyDescent="0.2">
      <c r="B48907" s="43"/>
    </row>
    <row r="48908" spans="2:2" ht="12.75" customHeight="1" x14ac:dyDescent="0.2">
      <c r="B48908" s="43"/>
    </row>
    <row r="48909" spans="2:2" ht="12.75" customHeight="1" x14ac:dyDescent="0.2">
      <c r="B48909" s="43"/>
    </row>
    <row r="48910" spans="2:2" ht="12.75" customHeight="1" x14ac:dyDescent="0.2">
      <c r="B48910" s="43"/>
    </row>
    <row r="48911" spans="2:2" ht="12.75" customHeight="1" x14ac:dyDescent="0.2">
      <c r="B48911" s="43"/>
    </row>
    <row r="48912" spans="2:2" ht="12.75" customHeight="1" x14ac:dyDescent="0.2">
      <c r="B48912" s="43"/>
    </row>
    <row r="48913" spans="2:2" ht="12.75" customHeight="1" x14ac:dyDescent="0.2">
      <c r="B48913" s="43"/>
    </row>
    <row r="48914" spans="2:2" ht="12.75" customHeight="1" x14ac:dyDescent="0.2">
      <c r="B48914" s="43"/>
    </row>
    <row r="48915" spans="2:2" ht="12.75" customHeight="1" x14ac:dyDescent="0.2">
      <c r="B48915" s="43"/>
    </row>
    <row r="48916" spans="2:2" ht="12.75" customHeight="1" x14ac:dyDescent="0.2">
      <c r="B48916" s="43"/>
    </row>
    <row r="48917" spans="2:2" ht="12.75" customHeight="1" x14ac:dyDescent="0.2">
      <c r="B48917" s="43"/>
    </row>
    <row r="48918" spans="2:2" ht="12.75" customHeight="1" x14ac:dyDescent="0.2">
      <c r="B48918" s="43"/>
    </row>
    <row r="48919" spans="2:2" ht="12.75" customHeight="1" x14ac:dyDescent="0.2">
      <c r="B48919" s="43"/>
    </row>
    <row r="48920" spans="2:2" ht="12.75" customHeight="1" x14ac:dyDescent="0.2">
      <c r="B48920" s="43"/>
    </row>
    <row r="48921" spans="2:2" ht="12.75" customHeight="1" x14ac:dyDescent="0.2">
      <c r="B48921" s="43"/>
    </row>
    <row r="48922" spans="2:2" ht="12.75" customHeight="1" x14ac:dyDescent="0.2">
      <c r="B48922" s="43"/>
    </row>
    <row r="48923" spans="2:2" ht="12.75" customHeight="1" x14ac:dyDescent="0.2">
      <c r="B48923" s="43"/>
    </row>
    <row r="48924" spans="2:2" ht="12.75" customHeight="1" x14ac:dyDescent="0.2">
      <c r="B48924" s="43"/>
    </row>
    <row r="48925" spans="2:2" ht="12.75" customHeight="1" x14ac:dyDescent="0.2">
      <c r="B48925" s="43"/>
    </row>
    <row r="48926" spans="2:2" ht="12.75" customHeight="1" x14ac:dyDescent="0.2">
      <c r="B48926" s="43"/>
    </row>
    <row r="48927" spans="2:2" ht="12.75" customHeight="1" x14ac:dyDescent="0.2">
      <c r="B48927" s="43"/>
    </row>
    <row r="48928" spans="2:2" ht="12.75" customHeight="1" x14ac:dyDescent="0.2">
      <c r="B48928" s="43"/>
    </row>
    <row r="48929" spans="2:2" ht="12.75" customHeight="1" x14ac:dyDescent="0.2">
      <c r="B48929" s="43"/>
    </row>
    <row r="48930" spans="2:2" ht="12.75" customHeight="1" x14ac:dyDescent="0.2">
      <c r="B48930" s="43"/>
    </row>
    <row r="48931" spans="2:2" ht="12.75" customHeight="1" x14ac:dyDescent="0.2">
      <c r="B48931" s="43"/>
    </row>
    <row r="48932" spans="2:2" ht="12.75" customHeight="1" x14ac:dyDescent="0.2">
      <c r="B48932" s="43"/>
    </row>
    <row r="48933" spans="2:2" ht="12.75" customHeight="1" x14ac:dyDescent="0.2">
      <c r="B48933" s="43"/>
    </row>
    <row r="48934" spans="2:2" ht="12.75" customHeight="1" x14ac:dyDescent="0.2">
      <c r="B48934" s="43"/>
    </row>
    <row r="48935" spans="2:2" ht="12.75" customHeight="1" x14ac:dyDescent="0.2">
      <c r="B48935" s="43"/>
    </row>
    <row r="48936" spans="2:2" ht="12.75" customHeight="1" x14ac:dyDescent="0.2">
      <c r="B48936" s="43"/>
    </row>
    <row r="48937" spans="2:2" ht="12.75" customHeight="1" x14ac:dyDescent="0.2">
      <c r="B48937" s="43"/>
    </row>
    <row r="48938" spans="2:2" ht="12.75" customHeight="1" x14ac:dyDescent="0.2">
      <c r="B48938" s="43"/>
    </row>
    <row r="48939" spans="2:2" ht="12.75" customHeight="1" x14ac:dyDescent="0.2">
      <c r="B48939" s="43"/>
    </row>
    <row r="48940" spans="2:2" ht="12.75" customHeight="1" x14ac:dyDescent="0.2">
      <c r="B48940" s="43"/>
    </row>
    <row r="48941" spans="2:2" ht="12.75" customHeight="1" x14ac:dyDescent="0.2">
      <c r="B48941" s="43"/>
    </row>
    <row r="48942" spans="2:2" ht="12.75" customHeight="1" x14ac:dyDescent="0.2">
      <c r="B48942" s="43"/>
    </row>
    <row r="48943" spans="2:2" ht="12.75" customHeight="1" x14ac:dyDescent="0.2">
      <c r="B48943" s="43"/>
    </row>
    <row r="48944" spans="2:2" ht="12.75" customHeight="1" x14ac:dyDescent="0.2">
      <c r="B48944" s="43"/>
    </row>
    <row r="48945" spans="2:2" ht="12.75" customHeight="1" x14ac:dyDescent="0.2">
      <c r="B48945" s="43"/>
    </row>
    <row r="48946" spans="2:2" ht="12.75" customHeight="1" x14ac:dyDescent="0.2">
      <c r="B48946" s="43"/>
    </row>
    <row r="48947" spans="2:2" ht="12.75" customHeight="1" x14ac:dyDescent="0.2">
      <c r="B48947" s="43"/>
    </row>
    <row r="48948" spans="2:2" ht="12.75" customHeight="1" x14ac:dyDescent="0.2">
      <c r="B48948" s="43"/>
    </row>
    <row r="48949" spans="2:2" ht="12.75" customHeight="1" x14ac:dyDescent="0.2">
      <c r="B48949" s="43"/>
    </row>
    <row r="48950" spans="2:2" ht="12.75" customHeight="1" x14ac:dyDescent="0.2">
      <c r="B48950" s="43"/>
    </row>
    <row r="48951" spans="2:2" ht="12.75" customHeight="1" x14ac:dyDescent="0.2">
      <c r="B48951" s="43"/>
    </row>
    <row r="48952" spans="2:2" ht="12.75" customHeight="1" x14ac:dyDescent="0.2">
      <c r="B48952" s="43"/>
    </row>
    <row r="48953" spans="2:2" ht="12.75" customHeight="1" x14ac:dyDescent="0.2">
      <c r="B48953" s="43"/>
    </row>
    <row r="48954" spans="2:2" ht="12.75" customHeight="1" x14ac:dyDescent="0.2">
      <c r="B48954" s="43"/>
    </row>
    <row r="48955" spans="2:2" ht="12.75" customHeight="1" x14ac:dyDescent="0.2">
      <c r="B48955" s="43"/>
    </row>
    <row r="48956" spans="2:2" ht="12.75" customHeight="1" x14ac:dyDescent="0.2">
      <c r="B48956" s="43"/>
    </row>
    <row r="48957" spans="2:2" ht="12.75" customHeight="1" x14ac:dyDescent="0.2">
      <c r="B48957" s="43"/>
    </row>
    <row r="48958" spans="2:2" ht="12.75" customHeight="1" x14ac:dyDescent="0.2">
      <c r="B48958" s="43"/>
    </row>
    <row r="48959" spans="2:2" ht="12.75" customHeight="1" x14ac:dyDescent="0.2">
      <c r="B48959" s="43"/>
    </row>
    <row r="48960" spans="2:2" ht="12.75" customHeight="1" x14ac:dyDescent="0.2">
      <c r="B48960" s="43"/>
    </row>
    <row r="48961" spans="2:2" ht="12.75" customHeight="1" x14ac:dyDescent="0.2">
      <c r="B48961" s="43"/>
    </row>
    <row r="48962" spans="2:2" ht="12.75" customHeight="1" x14ac:dyDescent="0.2">
      <c r="B48962" s="43"/>
    </row>
    <row r="48963" spans="2:2" ht="12.75" customHeight="1" x14ac:dyDescent="0.2">
      <c r="B48963" s="43"/>
    </row>
    <row r="48964" spans="2:2" ht="12.75" customHeight="1" x14ac:dyDescent="0.2">
      <c r="B48964" s="43"/>
    </row>
    <row r="48965" spans="2:2" ht="12.75" customHeight="1" x14ac:dyDescent="0.2">
      <c r="B48965" s="43"/>
    </row>
    <row r="48966" spans="2:2" ht="12.75" customHeight="1" x14ac:dyDescent="0.2">
      <c r="B48966" s="43"/>
    </row>
    <row r="48967" spans="2:2" ht="12.75" customHeight="1" x14ac:dyDescent="0.2">
      <c r="B48967" s="43"/>
    </row>
    <row r="48968" spans="2:2" ht="12.75" customHeight="1" x14ac:dyDescent="0.2">
      <c r="B48968" s="43"/>
    </row>
    <row r="48969" spans="2:2" ht="12.75" customHeight="1" x14ac:dyDescent="0.2">
      <c r="B48969" s="43"/>
    </row>
    <row r="48970" spans="2:2" ht="12.75" customHeight="1" x14ac:dyDescent="0.2">
      <c r="B48970" s="43"/>
    </row>
    <row r="48971" spans="2:2" ht="12.75" customHeight="1" x14ac:dyDescent="0.2">
      <c r="B48971" s="43"/>
    </row>
    <row r="48972" spans="2:2" ht="12.75" customHeight="1" x14ac:dyDescent="0.2">
      <c r="B48972" s="43"/>
    </row>
    <row r="48973" spans="2:2" ht="12.75" customHeight="1" x14ac:dyDescent="0.2">
      <c r="B48973" s="43"/>
    </row>
    <row r="48974" spans="2:2" ht="12.75" customHeight="1" x14ac:dyDescent="0.2">
      <c r="B48974" s="43"/>
    </row>
    <row r="48975" spans="2:2" ht="12.75" customHeight="1" x14ac:dyDescent="0.2">
      <c r="B48975" s="43"/>
    </row>
    <row r="48976" spans="2:2" ht="12.75" customHeight="1" x14ac:dyDescent="0.2">
      <c r="B48976" s="43"/>
    </row>
    <row r="48977" spans="2:2" ht="12.75" customHeight="1" x14ac:dyDescent="0.2">
      <c r="B48977" s="43"/>
    </row>
    <row r="48978" spans="2:2" ht="12.75" customHeight="1" x14ac:dyDescent="0.2">
      <c r="B48978" s="43"/>
    </row>
    <row r="48979" spans="2:2" ht="12.75" customHeight="1" x14ac:dyDescent="0.2">
      <c r="B48979" s="43"/>
    </row>
    <row r="48980" spans="2:2" ht="12.75" customHeight="1" x14ac:dyDescent="0.2">
      <c r="B48980" s="43"/>
    </row>
    <row r="48981" spans="2:2" ht="12.75" customHeight="1" x14ac:dyDescent="0.2">
      <c r="B48981" s="43"/>
    </row>
    <row r="48982" spans="2:2" ht="12.75" customHeight="1" x14ac:dyDescent="0.2">
      <c r="B48982" s="43"/>
    </row>
    <row r="48983" spans="2:2" ht="12.75" customHeight="1" x14ac:dyDescent="0.2">
      <c r="B48983" s="43"/>
    </row>
    <row r="48984" spans="2:2" ht="12.75" customHeight="1" x14ac:dyDescent="0.2">
      <c r="B48984" s="43"/>
    </row>
    <row r="48985" spans="2:2" ht="12.75" customHeight="1" x14ac:dyDescent="0.2">
      <c r="B48985" s="43"/>
    </row>
    <row r="48986" spans="2:2" ht="12.75" customHeight="1" x14ac:dyDescent="0.2">
      <c r="B48986" s="43"/>
    </row>
    <row r="48987" spans="2:2" ht="12.75" customHeight="1" x14ac:dyDescent="0.2">
      <c r="B48987" s="43"/>
    </row>
    <row r="48988" spans="2:2" ht="12.75" customHeight="1" x14ac:dyDescent="0.2">
      <c r="B48988" s="43"/>
    </row>
    <row r="48989" spans="2:2" ht="12.75" customHeight="1" x14ac:dyDescent="0.2">
      <c r="B48989" s="43"/>
    </row>
    <row r="48990" spans="2:2" ht="12.75" customHeight="1" x14ac:dyDescent="0.2">
      <c r="B48990" s="43"/>
    </row>
    <row r="48991" spans="2:2" ht="12.75" customHeight="1" x14ac:dyDescent="0.2">
      <c r="B48991" s="43"/>
    </row>
    <row r="48992" spans="2:2" ht="12.75" customHeight="1" x14ac:dyDescent="0.2">
      <c r="B48992" s="43"/>
    </row>
    <row r="48993" spans="2:2" ht="12.75" customHeight="1" x14ac:dyDescent="0.2">
      <c r="B48993" s="43"/>
    </row>
    <row r="48994" spans="2:2" ht="12.75" customHeight="1" x14ac:dyDescent="0.2">
      <c r="B48994" s="43"/>
    </row>
    <row r="48995" spans="2:2" ht="12.75" customHeight="1" x14ac:dyDescent="0.2">
      <c r="B48995" s="43"/>
    </row>
    <row r="48996" spans="2:2" ht="12.75" customHeight="1" x14ac:dyDescent="0.2">
      <c r="B48996" s="43"/>
    </row>
    <row r="48997" spans="2:2" ht="12.75" customHeight="1" x14ac:dyDescent="0.2">
      <c r="B48997" s="43"/>
    </row>
    <row r="48998" spans="2:2" ht="12.75" customHeight="1" x14ac:dyDescent="0.2">
      <c r="B48998" s="43"/>
    </row>
    <row r="48999" spans="2:2" ht="12.75" customHeight="1" x14ac:dyDescent="0.2">
      <c r="B48999" s="43"/>
    </row>
    <row r="49000" spans="2:2" ht="12.75" customHeight="1" x14ac:dyDescent="0.2">
      <c r="B49000" s="43"/>
    </row>
    <row r="49001" spans="2:2" ht="12.75" customHeight="1" x14ac:dyDescent="0.2">
      <c r="B49001" s="43"/>
    </row>
    <row r="49002" spans="2:2" ht="12.75" customHeight="1" x14ac:dyDescent="0.2">
      <c r="B49002" s="43"/>
    </row>
    <row r="49003" spans="2:2" ht="12.75" customHeight="1" x14ac:dyDescent="0.2">
      <c r="B49003" s="43"/>
    </row>
    <row r="49004" spans="2:2" ht="12.75" customHeight="1" x14ac:dyDescent="0.2">
      <c r="B49004" s="43"/>
    </row>
    <row r="49005" spans="2:2" ht="12.75" customHeight="1" x14ac:dyDescent="0.2">
      <c r="B49005" s="43"/>
    </row>
    <row r="49006" spans="2:2" ht="12.75" customHeight="1" x14ac:dyDescent="0.2">
      <c r="B49006" s="43"/>
    </row>
    <row r="49007" spans="2:2" ht="12.75" customHeight="1" x14ac:dyDescent="0.2">
      <c r="B49007" s="43"/>
    </row>
    <row r="49008" spans="2:2" ht="12.75" customHeight="1" x14ac:dyDescent="0.2">
      <c r="B49008" s="43"/>
    </row>
    <row r="49009" spans="2:2" ht="12.75" customHeight="1" x14ac:dyDescent="0.2">
      <c r="B49009" s="43"/>
    </row>
    <row r="49010" spans="2:2" ht="12.75" customHeight="1" x14ac:dyDescent="0.2">
      <c r="B49010" s="43"/>
    </row>
    <row r="49011" spans="2:2" ht="12.75" customHeight="1" x14ac:dyDescent="0.2">
      <c r="B49011" s="43"/>
    </row>
    <row r="49012" spans="2:2" ht="12.75" customHeight="1" x14ac:dyDescent="0.2">
      <c r="B49012" s="43"/>
    </row>
    <row r="49013" spans="2:2" ht="12.75" customHeight="1" x14ac:dyDescent="0.2">
      <c r="B49013" s="43"/>
    </row>
    <row r="49014" spans="2:2" ht="12.75" customHeight="1" x14ac:dyDescent="0.2">
      <c r="B49014" s="43"/>
    </row>
    <row r="49015" spans="2:2" ht="12.75" customHeight="1" x14ac:dyDescent="0.2">
      <c r="B49015" s="43"/>
    </row>
    <row r="49016" spans="2:2" ht="12.75" customHeight="1" x14ac:dyDescent="0.2">
      <c r="B49016" s="43"/>
    </row>
    <row r="49017" spans="2:2" ht="12.75" customHeight="1" x14ac:dyDescent="0.2">
      <c r="B49017" s="43"/>
    </row>
    <row r="49018" spans="2:2" ht="12.75" customHeight="1" x14ac:dyDescent="0.2">
      <c r="B49018" s="43"/>
    </row>
    <row r="49019" spans="2:2" ht="12.75" customHeight="1" x14ac:dyDescent="0.2">
      <c r="B49019" s="43"/>
    </row>
    <row r="49020" spans="2:2" ht="12.75" customHeight="1" x14ac:dyDescent="0.2">
      <c r="B49020" s="43"/>
    </row>
    <row r="49021" spans="2:2" ht="12.75" customHeight="1" x14ac:dyDescent="0.2">
      <c r="B49021" s="43"/>
    </row>
    <row r="49022" spans="2:2" ht="12.75" customHeight="1" x14ac:dyDescent="0.2">
      <c r="B49022" s="43"/>
    </row>
    <row r="49023" spans="2:2" ht="12.75" customHeight="1" x14ac:dyDescent="0.2">
      <c r="B49023" s="43"/>
    </row>
    <row r="49024" spans="2:2" ht="12.75" customHeight="1" x14ac:dyDescent="0.2">
      <c r="B49024" s="43"/>
    </row>
    <row r="49025" spans="2:2" ht="12.75" customHeight="1" x14ac:dyDescent="0.2">
      <c r="B49025" s="43"/>
    </row>
    <row r="49026" spans="2:2" ht="12.75" customHeight="1" x14ac:dyDescent="0.2">
      <c r="B49026" s="43"/>
    </row>
    <row r="49027" spans="2:2" ht="12.75" customHeight="1" x14ac:dyDescent="0.2">
      <c r="B49027" s="43"/>
    </row>
    <row r="49028" spans="2:2" ht="12.75" customHeight="1" x14ac:dyDescent="0.2">
      <c r="B49028" s="43"/>
    </row>
    <row r="49029" spans="2:2" ht="12.75" customHeight="1" x14ac:dyDescent="0.2">
      <c r="B49029" s="43"/>
    </row>
    <row r="49030" spans="2:2" ht="12.75" customHeight="1" x14ac:dyDescent="0.2">
      <c r="B49030" s="43"/>
    </row>
    <row r="49031" spans="2:2" ht="12.75" customHeight="1" x14ac:dyDescent="0.2">
      <c r="B49031" s="43"/>
    </row>
    <row r="49032" spans="2:2" ht="12.75" customHeight="1" x14ac:dyDescent="0.2">
      <c r="B49032" s="43"/>
    </row>
    <row r="49033" spans="2:2" ht="12.75" customHeight="1" x14ac:dyDescent="0.2">
      <c r="B49033" s="43"/>
    </row>
    <row r="49034" spans="2:2" ht="12.75" customHeight="1" x14ac:dyDescent="0.2">
      <c r="B49034" s="43"/>
    </row>
    <row r="49035" spans="2:2" ht="12.75" customHeight="1" x14ac:dyDescent="0.2">
      <c r="B49035" s="43"/>
    </row>
    <row r="49036" spans="2:2" ht="12.75" customHeight="1" x14ac:dyDescent="0.2">
      <c r="B49036" s="43"/>
    </row>
    <row r="49037" spans="2:2" ht="12.75" customHeight="1" x14ac:dyDescent="0.2">
      <c r="B49037" s="43"/>
    </row>
    <row r="49038" spans="2:2" ht="12.75" customHeight="1" x14ac:dyDescent="0.2">
      <c r="B49038" s="43"/>
    </row>
    <row r="49039" spans="2:2" ht="12.75" customHeight="1" x14ac:dyDescent="0.2">
      <c r="B49039" s="43"/>
    </row>
    <row r="49040" spans="2:2" ht="12.75" customHeight="1" x14ac:dyDescent="0.2">
      <c r="B49040" s="43"/>
    </row>
    <row r="49041" spans="2:2" ht="12.75" customHeight="1" x14ac:dyDescent="0.2">
      <c r="B49041" s="43"/>
    </row>
    <row r="49042" spans="2:2" ht="12.75" customHeight="1" x14ac:dyDescent="0.2">
      <c r="B49042" s="43"/>
    </row>
    <row r="49043" spans="2:2" ht="12.75" customHeight="1" x14ac:dyDescent="0.2">
      <c r="B49043" s="43"/>
    </row>
    <row r="49044" spans="2:2" ht="12.75" customHeight="1" x14ac:dyDescent="0.2">
      <c r="B49044" s="43"/>
    </row>
    <row r="49045" spans="2:2" ht="12.75" customHeight="1" x14ac:dyDescent="0.2">
      <c r="B49045" s="43"/>
    </row>
    <row r="49046" spans="2:2" ht="12.75" customHeight="1" x14ac:dyDescent="0.2">
      <c r="B49046" s="43"/>
    </row>
    <row r="49047" spans="2:2" ht="12.75" customHeight="1" x14ac:dyDescent="0.2">
      <c r="B49047" s="43"/>
    </row>
    <row r="49048" spans="2:2" ht="12.75" customHeight="1" x14ac:dyDescent="0.2">
      <c r="B49048" s="43"/>
    </row>
    <row r="49049" spans="2:2" ht="12.75" customHeight="1" x14ac:dyDescent="0.2">
      <c r="B49049" s="43"/>
    </row>
    <row r="49050" spans="2:2" ht="12.75" customHeight="1" x14ac:dyDescent="0.2">
      <c r="B49050" s="43"/>
    </row>
    <row r="49051" spans="2:2" ht="12.75" customHeight="1" x14ac:dyDescent="0.2">
      <c r="B49051" s="43"/>
    </row>
    <row r="49052" spans="2:2" ht="12.75" customHeight="1" x14ac:dyDescent="0.2">
      <c r="B49052" s="43"/>
    </row>
    <row r="49053" spans="2:2" ht="12.75" customHeight="1" x14ac:dyDescent="0.2">
      <c r="B49053" s="43"/>
    </row>
    <row r="49054" spans="2:2" ht="12.75" customHeight="1" x14ac:dyDescent="0.2">
      <c r="B49054" s="43"/>
    </row>
    <row r="49055" spans="2:2" ht="12.75" customHeight="1" x14ac:dyDescent="0.2">
      <c r="B49055" s="43"/>
    </row>
    <row r="49056" spans="2:2" ht="12.75" customHeight="1" x14ac:dyDescent="0.2">
      <c r="B49056" s="43"/>
    </row>
    <row r="49057" spans="2:2" ht="12.75" customHeight="1" x14ac:dyDescent="0.2">
      <c r="B49057" s="43"/>
    </row>
    <row r="49058" spans="2:2" ht="12.75" customHeight="1" x14ac:dyDescent="0.2">
      <c r="B49058" s="43"/>
    </row>
    <row r="49059" spans="2:2" ht="12.75" customHeight="1" x14ac:dyDescent="0.2">
      <c r="B49059" s="43"/>
    </row>
    <row r="49060" spans="2:2" ht="12.75" customHeight="1" x14ac:dyDescent="0.2">
      <c r="B49060" s="43"/>
    </row>
    <row r="49061" spans="2:2" ht="12.75" customHeight="1" x14ac:dyDescent="0.2">
      <c r="B49061" s="43"/>
    </row>
    <row r="49062" spans="2:2" ht="12.75" customHeight="1" x14ac:dyDescent="0.2">
      <c r="B49062" s="43"/>
    </row>
    <row r="49063" spans="2:2" ht="12.75" customHeight="1" x14ac:dyDescent="0.2">
      <c r="B49063" s="43"/>
    </row>
    <row r="49064" spans="2:2" ht="12.75" customHeight="1" x14ac:dyDescent="0.2">
      <c r="B49064" s="43"/>
    </row>
    <row r="49065" spans="2:2" ht="12.75" customHeight="1" x14ac:dyDescent="0.2">
      <c r="B49065" s="43"/>
    </row>
    <row r="49066" spans="2:2" ht="12.75" customHeight="1" x14ac:dyDescent="0.2">
      <c r="B49066" s="43"/>
    </row>
    <row r="49067" spans="2:2" ht="12.75" customHeight="1" x14ac:dyDescent="0.2">
      <c r="B49067" s="43"/>
    </row>
    <row r="49068" spans="2:2" ht="12.75" customHeight="1" x14ac:dyDescent="0.2">
      <c r="B49068" s="43"/>
    </row>
    <row r="49069" spans="2:2" ht="12.75" customHeight="1" x14ac:dyDescent="0.2">
      <c r="B49069" s="43"/>
    </row>
    <row r="49070" spans="2:2" ht="12.75" customHeight="1" x14ac:dyDescent="0.2">
      <c r="B49070" s="43"/>
    </row>
    <row r="49071" spans="2:2" ht="12.75" customHeight="1" x14ac:dyDescent="0.2">
      <c r="B49071" s="43"/>
    </row>
    <row r="49072" spans="2:2" ht="12.75" customHeight="1" x14ac:dyDescent="0.2">
      <c r="B49072" s="43"/>
    </row>
    <row r="49073" spans="2:2" ht="12.75" customHeight="1" x14ac:dyDescent="0.2">
      <c r="B49073" s="43"/>
    </row>
    <row r="49074" spans="2:2" ht="12.75" customHeight="1" x14ac:dyDescent="0.2">
      <c r="B49074" s="43"/>
    </row>
    <row r="49075" spans="2:2" ht="12.75" customHeight="1" x14ac:dyDescent="0.2">
      <c r="B49075" s="43"/>
    </row>
    <row r="49076" spans="2:2" ht="12.75" customHeight="1" x14ac:dyDescent="0.2">
      <c r="B49076" s="43"/>
    </row>
    <row r="49077" spans="2:2" ht="12.75" customHeight="1" x14ac:dyDescent="0.2">
      <c r="B49077" s="43"/>
    </row>
    <row r="49078" spans="2:2" ht="12.75" customHeight="1" x14ac:dyDescent="0.2">
      <c r="B49078" s="43"/>
    </row>
    <row r="49079" spans="2:2" ht="12.75" customHeight="1" x14ac:dyDescent="0.2">
      <c r="B49079" s="43"/>
    </row>
    <row r="49080" spans="2:2" ht="12.75" customHeight="1" x14ac:dyDescent="0.2">
      <c r="B49080" s="43"/>
    </row>
    <row r="49081" spans="2:2" ht="12.75" customHeight="1" x14ac:dyDescent="0.2">
      <c r="B49081" s="43"/>
    </row>
    <row r="49082" spans="2:2" ht="12.75" customHeight="1" x14ac:dyDescent="0.2">
      <c r="B49082" s="43"/>
    </row>
    <row r="49083" spans="2:2" ht="12.75" customHeight="1" x14ac:dyDescent="0.2">
      <c r="B49083" s="43"/>
    </row>
    <row r="49084" spans="2:2" ht="12.75" customHeight="1" x14ac:dyDescent="0.2">
      <c r="B49084" s="43"/>
    </row>
    <row r="49085" spans="2:2" ht="12.75" customHeight="1" x14ac:dyDescent="0.2">
      <c r="B49085" s="43"/>
    </row>
    <row r="49086" spans="2:2" ht="12.75" customHeight="1" x14ac:dyDescent="0.2">
      <c r="B49086" s="43"/>
    </row>
    <row r="49087" spans="2:2" ht="12.75" customHeight="1" x14ac:dyDescent="0.2">
      <c r="B49087" s="43"/>
    </row>
    <row r="49088" spans="2:2" ht="12.75" customHeight="1" x14ac:dyDescent="0.2">
      <c r="B49088" s="43"/>
    </row>
    <row r="49089" spans="2:2" ht="12.75" customHeight="1" x14ac:dyDescent="0.2">
      <c r="B49089" s="43"/>
    </row>
    <row r="49090" spans="2:2" ht="12.75" customHeight="1" x14ac:dyDescent="0.2">
      <c r="B49090" s="43"/>
    </row>
    <row r="49091" spans="2:2" ht="12.75" customHeight="1" x14ac:dyDescent="0.2">
      <c r="B49091" s="43"/>
    </row>
    <row r="49092" spans="2:2" ht="12.75" customHeight="1" x14ac:dyDescent="0.2">
      <c r="B49092" s="43"/>
    </row>
    <row r="49093" spans="2:2" ht="12.75" customHeight="1" x14ac:dyDescent="0.2">
      <c r="B49093" s="43"/>
    </row>
    <row r="49094" spans="2:2" ht="12.75" customHeight="1" x14ac:dyDescent="0.2">
      <c r="B49094" s="43"/>
    </row>
    <row r="49095" spans="2:2" ht="12.75" customHeight="1" x14ac:dyDescent="0.2">
      <c r="B49095" s="43"/>
    </row>
    <row r="49096" spans="2:2" ht="12.75" customHeight="1" x14ac:dyDescent="0.2">
      <c r="B49096" s="43"/>
    </row>
    <row r="49097" spans="2:2" ht="12.75" customHeight="1" x14ac:dyDescent="0.2">
      <c r="B49097" s="43"/>
    </row>
    <row r="49098" spans="2:2" ht="12.75" customHeight="1" x14ac:dyDescent="0.2">
      <c r="B49098" s="43"/>
    </row>
    <row r="49099" spans="2:2" ht="12.75" customHeight="1" x14ac:dyDescent="0.2">
      <c r="B49099" s="43"/>
    </row>
    <row r="49100" spans="2:2" ht="12.75" customHeight="1" x14ac:dyDescent="0.2">
      <c r="B49100" s="43"/>
    </row>
    <row r="49101" spans="2:2" ht="12.75" customHeight="1" x14ac:dyDescent="0.2">
      <c r="B49101" s="43"/>
    </row>
    <row r="49102" spans="2:2" ht="12.75" customHeight="1" x14ac:dyDescent="0.2">
      <c r="B49102" s="43"/>
    </row>
    <row r="49103" spans="2:2" ht="12.75" customHeight="1" x14ac:dyDescent="0.2">
      <c r="B49103" s="43"/>
    </row>
    <row r="49104" spans="2:2" ht="12.75" customHeight="1" x14ac:dyDescent="0.2">
      <c r="B49104" s="43"/>
    </row>
    <row r="49105" spans="2:2" ht="12.75" customHeight="1" x14ac:dyDescent="0.2">
      <c r="B49105" s="43"/>
    </row>
    <row r="49106" spans="2:2" ht="12.75" customHeight="1" x14ac:dyDescent="0.2">
      <c r="B49106" s="43"/>
    </row>
    <row r="49107" spans="2:2" ht="12.75" customHeight="1" x14ac:dyDescent="0.2">
      <c r="B49107" s="43"/>
    </row>
    <row r="49108" spans="2:2" ht="12.75" customHeight="1" x14ac:dyDescent="0.2">
      <c r="B49108" s="43"/>
    </row>
    <row r="49109" spans="2:2" ht="12.75" customHeight="1" x14ac:dyDescent="0.2">
      <c r="B49109" s="43"/>
    </row>
    <row r="49110" spans="2:2" ht="12.75" customHeight="1" x14ac:dyDescent="0.2">
      <c r="B49110" s="43"/>
    </row>
    <row r="49111" spans="2:2" ht="12.75" customHeight="1" x14ac:dyDescent="0.2">
      <c r="B49111" s="43"/>
    </row>
    <row r="49112" spans="2:2" ht="12.75" customHeight="1" x14ac:dyDescent="0.2">
      <c r="B49112" s="43"/>
    </row>
    <row r="49113" spans="2:2" ht="12.75" customHeight="1" x14ac:dyDescent="0.2">
      <c r="B49113" s="43"/>
    </row>
    <row r="49114" spans="2:2" ht="12.75" customHeight="1" x14ac:dyDescent="0.2">
      <c r="B49114" s="43"/>
    </row>
    <row r="49115" spans="2:2" ht="12.75" customHeight="1" x14ac:dyDescent="0.2">
      <c r="B49115" s="43"/>
    </row>
    <row r="49116" spans="2:2" ht="12.75" customHeight="1" x14ac:dyDescent="0.2">
      <c r="B49116" s="43"/>
    </row>
    <row r="49117" spans="2:2" ht="12.75" customHeight="1" x14ac:dyDescent="0.2">
      <c r="B49117" s="43"/>
    </row>
    <row r="49118" spans="2:2" ht="12.75" customHeight="1" x14ac:dyDescent="0.2">
      <c r="B49118" s="43"/>
    </row>
    <row r="49119" spans="2:2" ht="12.75" customHeight="1" x14ac:dyDescent="0.2">
      <c r="B49119" s="43"/>
    </row>
    <row r="49120" spans="2:2" ht="12.75" customHeight="1" x14ac:dyDescent="0.2">
      <c r="B49120" s="43"/>
    </row>
    <row r="49121" spans="2:2" ht="12.75" customHeight="1" x14ac:dyDescent="0.2">
      <c r="B49121" s="43"/>
    </row>
    <row r="49122" spans="2:2" ht="12.75" customHeight="1" x14ac:dyDescent="0.2">
      <c r="B49122" s="43"/>
    </row>
    <row r="49123" spans="2:2" ht="12.75" customHeight="1" x14ac:dyDescent="0.2">
      <c r="B49123" s="43"/>
    </row>
    <row r="49124" spans="2:2" ht="12.75" customHeight="1" x14ac:dyDescent="0.2">
      <c r="B49124" s="43"/>
    </row>
    <row r="49125" spans="2:2" ht="12.75" customHeight="1" x14ac:dyDescent="0.2">
      <c r="B49125" s="43"/>
    </row>
    <row r="49126" spans="2:2" ht="12.75" customHeight="1" x14ac:dyDescent="0.2">
      <c r="B49126" s="43"/>
    </row>
    <row r="49127" spans="2:2" ht="12.75" customHeight="1" x14ac:dyDescent="0.2">
      <c r="B49127" s="43"/>
    </row>
    <row r="49128" spans="2:2" ht="12.75" customHeight="1" x14ac:dyDescent="0.2">
      <c r="B49128" s="43"/>
    </row>
    <row r="49129" spans="2:2" ht="12.75" customHeight="1" x14ac:dyDescent="0.2">
      <c r="B49129" s="43"/>
    </row>
    <row r="49130" spans="2:2" ht="12.75" customHeight="1" x14ac:dyDescent="0.2">
      <c r="B49130" s="43"/>
    </row>
    <row r="49131" spans="2:2" ht="12.75" customHeight="1" x14ac:dyDescent="0.2">
      <c r="B49131" s="43"/>
    </row>
    <row r="49132" spans="2:2" ht="12.75" customHeight="1" x14ac:dyDescent="0.2">
      <c r="B49132" s="43"/>
    </row>
    <row r="49133" spans="2:2" ht="12.75" customHeight="1" x14ac:dyDescent="0.2">
      <c r="B49133" s="43"/>
    </row>
    <row r="49134" spans="2:2" ht="12.75" customHeight="1" x14ac:dyDescent="0.2">
      <c r="B49134" s="43"/>
    </row>
    <row r="49135" spans="2:2" ht="12.75" customHeight="1" x14ac:dyDescent="0.2">
      <c r="B49135" s="43"/>
    </row>
    <row r="49136" spans="2:2" ht="12.75" customHeight="1" x14ac:dyDescent="0.2">
      <c r="B49136" s="43"/>
    </row>
    <row r="49137" spans="2:2" ht="12.75" customHeight="1" x14ac:dyDescent="0.2">
      <c r="B49137" s="43"/>
    </row>
    <row r="49138" spans="2:2" ht="12.75" customHeight="1" x14ac:dyDescent="0.2">
      <c r="B49138" s="43"/>
    </row>
    <row r="49139" spans="2:2" ht="12.75" customHeight="1" x14ac:dyDescent="0.2">
      <c r="B49139" s="43"/>
    </row>
    <row r="49140" spans="2:2" ht="12.75" customHeight="1" x14ac:dyDescent="0.2">
      <c r="B49140" s="43"/>
    </row>
    <row r="49141" spans="2:2" ht="12.75" customHeight="1" x14ac:dyDescent="0.2">
      <c r="B49141" s="43"/>
    </row>
    <row r="49142" spans="2:2" ht="12.75" customHeight="1" x14ac:dyDescent="0.2">
      <c r="B49142" s="43"/>
    </row>
    <row r="49143" spans="2:2" ht="12.75" customHeight="1" x14ac:dyDescent="0.2">
      <c r="B49143" s="43"/>
    </row>
    <row r="49144" spans="2:2" ht="12.75" customHeight="1" x14ac:dyDescent="0.2">
      <c r="B49144" s="43"/>
    </row>
    <row r="49145" spans="2:2" ht="12.75" customHeight="1" x14ac:dyDescent="0.2">
      <c r="B49145" s="43"/>
    </row>
    <row r="49146" spans="2:2" ht="12.75" customHeight="1" x14ac:dyDescent="0.2">
      <c r="B49146" s="43"/>
    </row>
    <row r="49147" spans="2:2" ht="12.75" customHeight="1" x14ac:dyDescent="0.2">
      <c r="B49147" s="43"/>
    </row>
    <row r="49148" spans="2:2" ht="12.75" customHeight="1" x14ac:dyDescent="0.2">
      <c r="B49148" s="43"/>
    </row>
    <row r="49149" spans="2:2" ht="12.75" customHeight="1" x14ac:dyDescent="0.2">
      <c r="B49149" s="43"/>
    </row>
    <row r="49150" spans="2:2" ht="12.75" customHeight="1" x14ac:dyDescent="0.2">
      <c r="B49150" s="43"/>
    </row>
    <row r="49151" spans="2:2" ht="12.75" customHeight="1" x14ac:dyDescent="0.2">
      <c r="B49151" s="43"/>
    </row>
    <row r="49152" spans="2:2" ht="12.75" customHeight="1" x14ac:dyDescent="0.2">
      <c r="B49152" s="43"/>
    </row>
    <row r="49153" spans="2:2" ht="12.75" customHeight="1" x14ac:dyDescent="0.2">
      <c r="B49153" s="43"/>
    </row>
    <row r="49154" spans="2:2" ht="12.75" customHeight="1" x14ac:dyDescent="0.2">
      <c r="B49154" s="43"/>
    </row>
    <row r="49155" spans="2:2" ht="12.75" customHeight="1" x14ac:dyDescent="0.2">
      <c r="B49155" s="43"/>
    </row>
    <row r="49156" spans="2:2" ht="12.75" customHeight="1" x14ac:dyDescent="0.2">
      <c r="B49156" s="43"/>
    </row>
    <row r="49157" spans="2:2" ht="12.75" customHeight="1" x14ac:dyDescent="0.2">
      <c r="B49157" s="43"/>
    </row>
    <row r="49158" spans="2:2" ht="12.75" customHeight="1" x14ac:dyDescent="0.2">
      <c r="B49158" s="43"/>
    </row>
    <row r="49159" spans="2:2" ht="12.75" customHeight="1" x14ac:dyDescent="0.2">
      <c r="B49159" s="43"/>
    </row>
    <row r="49160" spans="2:2" ht="12.75" customHeight="1" x14ac:dyDescent="0.2">
      <c r="B49160" s="43"/>
    </row>
    <row r="49161" spans="2:2" ht="12.75" customHeight="1" x14ac:dyDescent="0.2">
      <c r="B49161" s="43"/>
    </row>
    <row r="49162" spans="2:2" ht="12.75" customHeight="1" x14ac:dyDescent="0.2">
      <c r="B49162" s="43"/>
    </row>
    <row r="49163" spans="2:2" ht="12.75" customHeight="1" x14ac:dyDescent="0.2">
      <c r="B49163" s="43"/>
    </row>
    <row r="49164" spans="2:2" ht="12.75" customHeight="1" x14ac:dyDescent="0.2">
      <c r="B49164" s="43"/>
    </row>
    <row r="49165" spans="2:2" ht="12.75" customHeight="1" x14ac:dyDescent="0.2">
      <c r="B49165" s="43"/>
    </row>
    <row r="49166" spans="2:2" ht="12.75" customHeight="1" x14ac:dyDescent="0.2">
      <c r="B49166" s="43"/>
    </row>
    <row r="49167" spans="2:2" ht="12.75" customHeight="1" x14ac:dyDescent="0.2">
      <c r="B49167" s="43"/>
    </row>
    <row r="49168" spans="2:2" ht="12.75" customHeight="1" x14ac:dyDescent="0.2">
      <c r="B49168" s="43"/>
    </row>
    <row r="49169" spans="2:2" ht="12.75" customHeight="1" x14ac:dyDescent="0.2">
      <c r="B49169" s="43"/>
    </row>
    <row r="49170" spans="2:2" ht="12.75" customHeight="1" x14ac:dyDescent="0.2">
      <c r="B49170" s="43"/>
    </row>
    <row r="49171" spans="2:2" ht="12.75" customHeight="1" x14ac:dyDescent="0.2">
      <c r="B49171" s="43"/>
    </row>
    <row r="49172" spans="2:2" ht="12.75" customHeight="1" x14ac:dyDescent="0.2">
      <c r="B49172" s="43"/>
    </row>
    <row r="49173" spans="2:2" ht="12.75" customHeight="1" x14ac:dyDescent="0.2">
      <c r="B49173" s="43"/>
    </row>
    <row r="49174" spans="2:2" ht="12.75" customHeight="1" x14ac:dyDescent="0.2">
      <c r="B49174" s="43"/>
    </row>
    <row r="49175" spans="2:2" ht="12.75" customHeight="1" x14ac:dyDescent="0.2">
      <c r="B49175" s="43"/>
    </row>
    <row r="49176" spans="2:2" ht="12.75" customHeight="1" x14ac:dyDescent="0.2">
      <c r="B49176" s="43"/>
    </row>
    <row r="49177" spans="2:2" ht="12.75" customHeight="1" x14ac:dyDescent="0.2">
      <c r="B49177" s="43"/>
    </row>
    <row r="49178" spans="2:2" ht="12.75" customHeight="1" x14ac:dyDescent="0.2">
      <c r="B49178" s="43"/>
    </row>
    <row r="49179" spans="2:2" ht="12.75" customHeight="1" x14ac:dyDescent="0.2">
      <c r="B49179" s="43"/>
    </row>
    <row r="49180" spans="2:2" ht="12.75" customHeight="1" x14ac:dyDescent="0.2">
      <c r="B49180" s="43"/>
    </row>
    <row r="49181" spans="2:2" ht="12.75" customHeight="1" x14ac:dyDescent="0.2">
      <c r="B49181" s="43"/>
    </row>
    <row r="49182" spans="2:2" ht="12.75" customHeight="1" x14ac:dyDescent="0.2">
      <c r="B49182" s="43"/>
    </row>
    <row r="49183" spans="2:2" ht="12.75" customHeight="1" x14ac:dyDescent="0.2">
      <c r="B49183" s="43"/>
    </row>
    <row r="49184" spans="2:2" ht="12.75" customHeight="1" x14ac:dyDescent="0.2">
      <c r="B49184" s="43"/>
    </row>
    <row r="49185" spans="2:2" ht="12.75" customHeight="1" x14ac:dyDescent="0.2">
      <c r="B49185" s="43"/>
    </row>
    <row r="49186" spans="2:2" ht="12.75" customHeight="1" x14ac:dyDescent="0.2">
      <c r="B49186" s="43"/>
    </row>
    <row r="49187" spans="2:2" ht="12.75" customHeight="1" x14ac:dyDescent="0.2">
      <c r="B49187" s="43"/>
    </row>
    <row r="49188" spans="2:2" ht="12.75" customHeight="1" x14ac:dyDescent="0.2">
      <c r="B49188" s="43"/>
    </row>
    <row r="49189" spans="2:2" ht="12.75" customHeight="1" x14ac:dyDescent="0.2">
      <c r="B49189" s="43"/>
    </row>
    <row r="49190" spans="2:2" ht="12.75" customHeight="1" x14ac:dyDescent="0.2">
      <c r="B49190" s="43"/>
    </row>
    <row r="49191" spans="2:2" ht="12.75" customHeight="1" x14ac:dyDescent="0.2">
      <c r="B49191" s="43"/>
    </row>
    <row r="49192" spans="2:2" ht="12.75" customHeight="1" x14ac:dyDescent="0.2">
      <c r="B49192" s="43"/>
    </row>
    <row r="49193" spans="2:2" ht="12.75" customHeight="1" x14ac:dyDescent="0.2">
      <c r="B49193" s="43"/>
    </row>
    <row r="49194" spans="2:2" ht="12.75" customHeight="1" x14ac:dyDescent="0.2">
      <c r="B49194" s="43"/>
    </row>
    <row r="49195" spans="2:2" ht="12.75" customHeight="1" x14ac:dyDescent="0.2">
      <c r="B49195" s="43"/>
    </row>
    <row r="49196" spans="2:2" ht="12.75" customHeight="1" x14ac:dyDescent="0.2">
      <c r="B49196" s="43"/>
    </row>
    <row r="49197" spans="2:2" ht="12.75" customHeight="1" x14ac:dyDescent="0.2">
      <c r="B49197" s="43"/>
    </row>
    <row r="49198" spans="2:2" ht="12.75" customHeight="1" x14ac:dyDescent="0.2">
      <c r="B49198" s="43"/>
    </row>
    <row r="49199" spans="2:2" ht="12.75" customHeight="1" x14ac:dyDescent="0.2">
      <c r="B49199" s="43"/>
    </row>
    <row r="49200" spans="2:2" ht="12.75" customHeight="1" x14ac:dyDescent="0.2">
      <c r="B49200" s="43"/>
    </row>
    <row r="49201" spans="2:2" ht="12.75" customHeight="1" x14ac:dyDescent="0.2">
      <c r="B49201" s="43"/>
    </row>
    <row r="49202" spans="2:2" ht="12.75" customHeight="1" x14ac:dyDescent="0.2">
      <c r="B49202" s="43"/>
    </row>
    <row r="49203" spans="2:2" ht="12.75" customHeight="1" x14ac:dyDescent="0.2">
      <c r="B49203" s="43"/>
    </row>
    <row r="49204" spans="2:2" ht="12.75" customHeight="1" x14ac:dyDescent="0.2">
      <c r="B49204" s="43"/>
    </row>
    <row r="49205" spans="2:2" ht="12.75" customHeight="1" x14ac:dyDescent="0.2">
      <c r="B49205" s="43"/>
    </row>
    <row r="49206" spans="2:2" ht="12.75" customHeight="1" x14ac:dyDescent="0.2">
      <c r="B49206" s="43"/>
    </row>
    <row r="49207" spans="2:2" ht="12.75" customHeight="1" x14ac:dyDescent="0.2">
      <c r="B49207" s="43"/>
    </row>
    <row r="49208" spans="2:2" ht="12.75" customHeight="1" x14ac:dyDescent="0.2">
      <c r="B49208" s="43"/>
    </row>
    <row r="49209" spans="2:2" ht="12.75" customHeight="1" x14ac:dyDescent="0.2">
      <c r="B49209" s="43"/>
    </row>
    <row r="49210" spans="2:2" ht="12.75" customHeight="1" x14ac:dyDescent="0.2">
      <c r="B49210" s="43"/>
    </row>
    <row r="49211" spans="2:2" ht="12.75" customHeight="1" x14ac:dyDescent="0.2">
      <c r="B49211" s="43"/>
    </row>
    <row r="49212" spans="2:2" ht="12.75" customHeight="1" x14ac:dyDescent="0.2">
      <c r="B49212" s="43"/>
    </row>
    <row r="49213" spans="2:2" ht="12.75" customHeight="1" x14ac:dyDescent="0.2">
      <c r="B49213" s="43"/>
    </row>
    <row r="49214" spans="2:2" ht="12.75" customHeight="1" x14ac:dyDescent="0.2">
      <c r="B49214" s="43"/>
    </row>
    <row r="49215" spans="2:2" ht="12.75" customHeight="1" x14ac:dyDescent="0.2">
      <c r="B49215" s="43"/>
    </row>
    <row r="49216" spans="2:2" ht="12.75" customHeight="1" x14ac:dyDescent="0.2">
      <c r="B49216" s="43"/>
    </row>
    <row r="49217" spans="2:2" ht="12.75" customHeight="1" x14ac:dyDescent="0.2">
      <c r="B49217" s="43"/>
    </row>
    <row r="49218" spans="2:2" ht="12.75" customHeight="1" x14ac:dyDescent="0.2">
      <c r="B49218" s="43"/>
    </row>
    <row r="49219" spans="2:2" ht="12.75" customHeight="1" x14ac:dyDescent="0.2">
      <c r="B49219" s="43"/>
    </row>
    <row r="49220" spans="2:2" ht="12.75" customHeight="1" x14ac:dyDescent="0.2">
      <c r="B49220" s="43"/>
    </row>
    <row r="49221" spans="2:2" ht="12.75" customHeight="1" x14ac:dyDescent="0.2">
      <c r="B49221" s="43"/>
    </row>
    <row r="49222" spans="2:2" ht="12.75" customHeight="1" x14ac:dyDescent="0.2">
      <c r="B49222" s="43"/>
    </row>
    <row r="49223" spans="2:2" ht="12.75" customHeight="1" x14ac:dyDescent="0.2">
      <c r="B49223" s="43"/>
    </row>
    <row r="49224" spans="2:2" ht="12.75" customHeight="1" x14ac:dyDescent="0.2">
      <c r="B49224" s="43"/>
    </row>
    <row r="49225" spans="2:2" ht="12.75" customHeight="1" x14ac:dyDescent="0.2">
      <c r="B49225" s="43"/>
    </row>
    <row r="49226" spans="2:2" ht="12.75" customHeight="1" x14ac:dyDescent="0.2">
      <c r="B49226" s="43"/>
    </row>
    <row r="49227" spans="2:2" ht="12.75" customHeight="1" x14ac:dyDescent="0.2">
      <c r="B49227" s="43"/>
    </row>
    <row r="49228" spans="2:2" ht="12.75" customHeight="1" x14ac:dyDescent="0.2">
      <c r="B49228" s="43"/>
    </row>
    <row r="49229" spans="2:2" ht="12.75" customHeight="1" x14ac:dyDescent="0.2">
      <c r="B49229" s="43"/>
    </row>
    <row r="49230" spans="2:2" ht="12.75" customHeight="1" x14ac:dyDescent="0.2">
      <c r="B49230" s="43"/>
    </row>
    <row r="49231" spans="2:2" ht="12.75" customHeight="1" x14ac:dyDescent="0.2">
      <c r="B49231" s="43"/>
    </row>
    <row r="49232" spans="2:2" ht="12.75" customHeight="1" x14ac:dyDescent="0.2">
      <c r="B49232" s="43"/>
    </row>
    <row r="49233" spans="2:2" ht="12.75" customHeight="1" x14ac:dyDescent="0.2">
      <c r="B49233" s="43"/>
    </row>
    <row r="49234" spans="2:2" ht="12.75" customHeight="1" x14ac:dyDescent="0.2">
      <c r="B49234" s="43"/>
    </row>
    <row r="49235" spans="2:2" ht="12.75" customHeight="1" x14ac:dyDescent="0.2">
      <c r="B49235" s="43"/>
    </row>
    <row r="49236" spans="2:2" ht="12.75" customHeight="1" x14ac:dyDescent="0.2">
      <c r="B49236" s="43"/>
    </row>
    <row r="49237" spans="2:2" ht="12.75" customHeight="1" x14ac:dyDescent="0.2">
      <c r="B49237" s="43"/>
    </row>
    <row r="49238" spans="2:2" ht="12.75" customHeight="1" x14ac:dyDescent="0.2">
      <c r="B49238" s="43"/>
    </row>
    <row r="49239" spans="2:2" ht="12.75" customHeight="1" x14ac:dyDescent="0.2">
      <c r="B49239" s="43"/>
    </row>
    <row r="49240" spans="2:2" ht="12.75" customHeight="1" x14ac:dyDescent="0.2">
      <c r="B49240" s="43"/>
    </row>
    <row r="49241" spans="2:2" ht="12.75" customHeight="1" x14ac:dyDescent="0.2">
      <c r="B49241" s="43"/>
    </row>
    <row r="49242" spans="2:2" ht="12.75" customHeight="1" x14ac:dyDescent="0.2">
      <c r="B49242" s="43"/>
    </row>
    <row r="49243" spans="2:2" ht="12.75" customHeight="1" x14ac:dyDescent="0.2">
      <c r="B49243" s="43"/>
    </row>
    <row r="49244" spans="2:2" ht="12.75" customHeight="1" x14ac:dyDescent="0.2">
      <c r="B49244" s="43"/>
    </row>
    <row r="49245" spans="2:2" ht="12.75" customHeight="1" x14ac:dyDescent="0.2">
      <c r="B49245" s="43"/>
    </row>
    <row r="49246" spans="2:2" ht="12.75" customHeight="1" x14ac:dyDescent="0.2">
      <c r="B49246" s="43"/>
    </row>
    <row r="49247" spans="2:2" ht="12.75" customHeight="1" x14ac:dyDescent="0.2">
      <c r="B49247" s="43"/>
    </row>
    <row r="49248" spans="2:2" ht="12.75" customHeight="1" x14ac:dyDescent="0.2">
      <c r="B49248" s="43"/>
    </row>
    <row r="49249" spans="2:2" ht="12.75" customHeight="1" x14ac:dyDescent="0.2">
      <c r="B49249" s="43"/>
    </row>
    <row r="49250" spans="2:2" ht="12.75" customHeight="1" x14ac:dyDescent="0.2">
      <c r="B49250" s="43"/>
    </row>
    <row r="49251" spans="2:2" ht="12.75" customHeight="1" x14ac:dyDescent="0.2">
      <c r="B49251" s="43"/>
    </row>
    <row r="49252" spans="2:2" ht="12.75" customHeight="1" x14ac:dyDescent="0.2">
      <c r="B49252" s="43"/>
    </row>
    <row r="49253" spans="2:2" ht="12.75" customHeight="1" x14ac:dyDescent="0.2">
      <c r="B49253" s="43"/>
    </row>
    <row r="49254" spans="2:2" ht="12.75" customHeight="1" x14ac:dyDescent="0.2">
      <c r="B49254" s="43"/>
    </row>
    <row r="49255" spans="2:2" ht="12.75" customHeight="1" x14ac:dyDescent="0.2">
      <c r="B49255" s="43"/>
    </row>
    <row r="49256" spans="2:2" ht="12.75" customHeight="1" x14ac:dyDescent="0.2">
      <c r="B49256" s="43"/>
    </row>
    <row r="49257" spans="2:2" ht="12.75" customHeight="1" x14ac:dyDescent="0.2">
      <c r="B49257" s="43"/>
    </row>
    <row r="49258" spans="2:2" ht="12.75" customHeight="1" x14ac:dyDescent="0.2">
      <c r="B49258" s="43"/>
    </row>
    <row r="49259" spans="2:2" ht="12.75" customHeight="1" x14ac:dyDescent="0.2">
      <c r="B49259" s="43"/>
    </row>
    <row r="49260" spans="2:2" ht="12.75" customHeight="1" x14ac:dyDescent="0.2">
      <c r="B49260" s="43"/>
    </row>
    <row r="49261" spans="2:2" ht="12.75" customHeight="1" x14ac:dyDescent="0.2">
      <c r="B49261" s="43"/>
    </row>
    <row r="49262" spans="2:2" ht="12.75" customHeight="1" x14ac:dyDescent="0.2">
      <c r="B49262" s="43"/>
    </row>
    <row r="49263" spans="2:2" ht="12.75" customHeight="1" x14ac:dyDescent="0.2">
      <c r="B49263" s="43"/>
    </row>
    <row r="49264" spans="2:2" ht="12.75" customHeight="1" x14ac:dyDescent="0.2">
      <c r="B49264" s="43"/>
    </row>
    <row r="49265" spans="2:2" ht="12.75" customHeight="1" x14ac:dyDescent="0.2">
      <c r="B49265" s="43"/>
    </row>
    <row r="49266" spans="2:2" ht="12.75" customHeight="1" x14ac:dyDescent="0.2">
      <c r="B49266" s="43"/>
    </row>
    <row r="49267" spans="2:2" ht="12.75" customHeight="1" x14ac:dyDescent="0.2">
      <c r="B49267" s="43"/>
    </row>
    <row r="49268" spans="2:2" ht="12.75" customHeight="1" x14ac:dyDescent="0.2">
      <c r="B49268" s="43"/>
    </row>
    <row r="49269" spans="2:2" ht="12.75" customHeight="1" x14ac:dyDescent="0.2">
      <c r="B49269" s="43"/>
    </row>
    <row r="49270" spans="2:2" ht="12.75" customHeight="1" x14ac:dyDescent="0.2">
      <c r="B49270" s="43"/>
    </row>
    <row r="49271" spans="2:2" ht="12.75" customHeight="1" x14ac:dyDescent="0.2">
      <c r="B49271" s="43"/>
    </row>
    <row r="49272" spans="2:2" ht="12.75" customHeight="1" x14ac:dyDescent="0.2">
      <c r="B49272" s="43"/>
    </row>
    <row r="49273" spans="2:2" ht="12.75" customHeight="1" x14ac:dyDescent="0.2">
      <c r="B49273" s="43"/>
    </row>
    <row r="49274" spans="2:2" ht="12.75" customHeight="1" x14ac:dyDescent="0.2">
      <c r="B49274" s="43"/>
    </row>
    <row r="49275" spans="2:2" ht="12.75" customHeight="1" x14ac:dyDescent="0.2">
      <c r="B49275" s="43"/>
    </row>
    <row r="49276" spans="2:2" ht="12.75" customHeight="1" x14ac:dyDescent="0.2">
      <c r="B49276" s="43"/>
    </row>
    <row r="49277" spans="2:2" ht="12.75" customHeight="1" x14ac:dyDescent="0.2">
      <c r="B49277" s="43"/>
    </row>
    <row r="49278" spans="2:2" ht="12.75" customHeight="1" x14ac:dyDescent="0.2">
      <c r="B49278" s="43"/>
    </row>
    <row r="49279" spans="2:2" ht="12.75" customHeight="1" x14ac:dyDescent="0.2">
      <c r="B49279" s="43"/>
    </row>
    <row r="49280" spans="2:2" ht="12.75" customHeight="1" x14ac:dyDescent="0.2">
      <c r="B49280" s="43"/>
    </row>
    <row r="49281" spans="2:2" ht="12.75" customHeight="1" x14ac:dyDescent="0.2">
      <c r="B49281" s="43"/>
    </row>
    <row r="49282" spans="2:2" ht="12.75" customHeight="1" x14ac:dyDescent="0.2">
      <c r="B49282" s="43"/>
    </row>
    <row r="49283" spans="2:2" ht="12.75" customHeight="1" x14ac:dyDescent="0.2">
      <c r="B49283" s="43"/>
    </row>
    <row r="49284" spans="2:2" ht="12.75" customHeight="1" x14ac:dyDescent="0.2">
      <c r="B49284" s="43"/>
    </row>
    <row r="49285" spans="2:2" ht="12.75" customHeight="1" x14ac:dyDescent="0.2">
      <c r="B49285" s="43"/>
    </row>
    <row r="49286" spans="2:2" ht="12.75" customHeight="1" x14ac:dyDescent="0.2">
      <c r="B49286" s="43"/>
    </row>
    <row r="49287" spans="2:2" ht="12.75" customHeight="1" x14ac:dyDescent="0.2">
      <c r="B49287" s="43"/>
    </row>
    <row r="49288" spans="2:2" ht="12.75" customHeight="1" x14ac:dyDescent="0.2">
      <c r="B49288" s="43"/>
    </row>
    <row r="49289" spans="2:2" ht="12.75" customHeight="1" x14ac:dyDescent="0.2">
      <c r="B49289" s="43"/>
    </row>
    <row r="49290" spans="2:2" ht="12.75" customHeight="1" x14ac:dyDescent="0.2">
      <c r="B49290" s="43"/>
    </row>
    <row r="49291" spans="2:2" ht="12.75" customHeight="1" x14ac:dyDescent="0.2">
      <c r="B49291" s="43"/>
    </row>
    <row r="49292" spans="2:2" ht="12.75" customHeight="1" x14ac:dyDescent="0.2">
      <c r="B49292" s="43"/>
    </row>
    <row r="49293" spans="2:2" ht="12.75" customHeight="1" x14ac:dyDescent="0.2">
      <c r="B49293" s="43"/>
    </row>
    <row r="49294" spans="2:2" ht="12.75" customHeight="1" x14ac:dyDescent="0.2">
      <c r="B49294" s="43"/>
    </row>
    <row r="49295" spans="2:2" ht="12.75" customHeight="1" x14ac:dyDescent="0.2">
      <c r="B49295" s="43"/>
    </row>
    <row r="49296" spans="2:2" ht="12.75" customHeight="1" x14ac:dyDescent="0.2">
      <c r="B49296" s="43"/>
    </row>
    <row r="49297" spans="2:2" ht="12.75" customHeight="1" x14ac:dyDescent="0.2">
      <c r="B49297" s="43"/>
    </row>
    <row r="49298" spans="2:2" ht="12.75" customHeight="1" x14ac:dyDescent="0.2">
      <c r="B49298" s="43"/>
    </row>
    <row r="49299" spans="2:2" ht="12.75" customHeight="1" x14ac:dyDescent="0.2">
      <c r="B49299" s="43"/>
    </row>
    <row r="49300" spans="2:2" ht="12.75" customHeight="1" x14ac:dyDescent="0.2">
      <c r="B49300" s="43"/>
    </row>
    <row r="49301" spans="2:2" ht="12.75" customHeight="1" x14ac:dyDescent="0.2">
      <c r="B49301" s="43"/>
    </row>
    <row r="49302" spans="2:2" ht="12.75" customHeight="1" x14ac:dyDescent="0.2">
      <c r="B49302" s="43"/>
    </row>
    <row r="49303" spans="2:2" ht="12.75" customHeight="1" x14ac:dyDescent="0.2">
      <c r="B49303" s="43"/>
    </row>
    <row r="49304" spans="2:2" ht="12.75" customHeight="1" x14ac:dyDescent="0.2">
      <c r="B49304" s="43"/>
    </row>
    <row r="49305" spans="2:2" ht="12.75" customHeight="1" x14ac:dyDescent="0.2">
      <c r="B49305" s="43"/>
    </row>
    <row r="49306" spans="2:2" ht="12.75" customHeight="1" x14ac:dyDescent="0.2">
      <c r="B49306" s="43"/>
    </row>
    <row r="49307" spans="2:2" ht="12.75" customHeight="1" x14ac:dyDescent="0.2">
      <c r="B49307" s="43"/>
    </row>
    <row r="49308" spans="2:2" ht="12.75" customHeight="1" x14ac:dyDescent="0.2">
      <c r="B49308" s="43"/>
    </row>
    <row r="49309" spans="2:2" ht="12.75" customHeight="1" x14ac:dyDescent="0.2">
      <c r="B49309" s="43"/>
    </row>
    <row r="49310" spans="2:2" ht="12.75" customHeight="1" x14ac:dyDescent="0.2">
      <c r="B49310" s="43"/>
    </row>
    <row r="49311" spans="2:2" ht="12.75" customHeight="1" x14ac:dyDescent="0.2">
      <c r="B49311" s="43"/>
    </row>
    <row r="49312" spans="2:2" ht="12.75" customHeight="1" x14ac:dyDescent="0.2">
      <c r="B49312" s="43"/>
    </row>
    <row r="49313" spans="2:2" ht="12.75" customHeight="1" x14ac:dyDescent="0.2">
      <c r="B49313" s="43"/>
    </row>
    <row r="49314" spans="2:2" ht="12.75" customHeight="1" x14ac:dyDescent="0.2">
      <c r="B49314" s="43"/>
    </row>
    <row r="49315" spans="2:2" ht="12.75" customHeight="1" x14ac:dyDescent="0.2">
      <c r="B49315" s="43"/>
    </row>
    <row r="49316" spans="2:2" ht="12.75" customHeight="1" x14ac:dyDescent="0.2">
      <c r="B49316" s="43"/>
    </row>
    <row r="49317" spans="2:2" ht="12.75" customHeight="1" x14ac:dyDescent="0.2">
      <c r="B49317" s="43"/>
    </row>
    <row r="49318" spans="2:2" ht="12.75" customHeight="1" x14ac:dyDescent="0.2">
      <c r="B49318" s="43"/>
    </row>
    <row r="49319" spans="2:2" ht="12.75" customHeight="1" x14ac:dyDescent="0.2">
      <c r="B49319" s="43"/>
    </row>
    <row r="49320" spans="2:2" ht="12.75" customHeight="1" x14ac:dyDescent="0.2">
      <c r="B49320" s="43"/>
    </row>
    <row r="49321" spans="2:2" ht="12.75" customHeight="1" x14ac:dyDescent="0.2">
      <c r="B49321" s="43"/>
    </row>
    <row r="49322" spans="2:2" ht="12.75" customHeight="1" x14ac:dyDescent="0.2">
      <c r="B49322" s="43"/>
    </row>
    <row r="49323" spans="2:2" ht="12.75" customHeight="1" x14ac:dyDescent="0.2">
      <c r="B49323" s="43"/>
    </row>
    <row r="49324" spans="2:2" ht="12.75" customHeight="1" x14ac:dyDescent="0.2">
      <c r="B49324" s="43"/>
    </row>
    <row r="49325" spans="2:2" ht="12.75" customHeight="1" x14ac:dyDescent="0.2">
      <c r="B49325" s="43"/>
    </row>
    <row r="49326" spans="2:2" ht="12.75" customHeight="1" x14ac:dyDescent="0.2">
      <c r="B49326" s="43"/>
    </row>
    <row r="49327" spans="2:2" ht="12.75" customHeight="1" x14ac:dyDescent="0.2">
      <c r="B49327" s="43"/>
    </row>
    <row r="49328" spans="2:2" ht="12.75" customHeight="1" x14ac:dyDescent="0.2">
      <c r="B49328" s="43"/>
    </row>
    <row r="49329" spans="2:2" ht="12.75" customHeight="1" x14ac:dyDescent="0.2">
      <c r="B49329" s="43"/>
    </row>
    <row r="49330" spans="2:2" ht="12.75" customHeight="1" x14ac:dyDescent="0.2">
      <c r="B49330" s="43"/>
    </row>
    <row r="49331" spans="2:2" ht="12.75" customHeight="1" x14ac:dyDescent="0.2">
      <c r="B49331" s="43"/>
    </row>
    <row r="49332" spans="2:2" ht="12.75" customHeight="1" x14ac:dyDescent="0.2">
      <c r="B49332" s="43"/>
    </row>
    <row r="49333" spans="2:2" ht="12.75" customHeight="1" x14ac:dyDescent="0.2">
      <c r="B49333" s="43"/>
    </row>
    <row r="49334" spans="2:2" ht="12.75" customHeight="1" x14ac:dyDescent="0.2">
      <c r="B49334" s="43"/>
    </row>
    <row r="49335" spans="2:2" ht="12.75" customHeight="1" x14ac:dyDescent="0.2">
      <c r="B49335" s="43"/>
    </row>
    <row r="49336" spans="2:2" ht="12.75" customHeight="1" x14ac:dyDescent="0.2">
      <c r="B49336" s="43"/>
    </row>
    <row r="49337" spans="2:2" ht="12.75" customHeight="1" x14ac:dyDescent="0.2">
      <c r="B49337" s="43"/>
    </row>
    <row r="49338" spans="2:2" ht="12.75" customHeight="1" x14ac:dyDescent="0.2">
      <c r="B49338" s="43"/>
    </row>
    <row r="49339" spans="2:2" ht="12.75" customHeight="1" x14ac:dyDescent="0.2">
      <c r="B49339" s="43"/>
    </row>
    <row r="49340" spans="2:2" ht="12.75" customHeight="1" x14ac:dyDescent="0.2">
      <c r="B49340" s="43"/>
    </row>
    <row r="49341" spans="2:2" ht="12.75" customHeight="1" x14ac:dyDescent="0.2">
      <c r="B49341" s="43"/>
    </row>
    <row r="49342" spans="2:2" ht="12.75" customHeight="1" x14ac:dyDescent="0.2">
      <c r="B49342" s="43"/>
    </row>
    <row r="49343" spans="2:2" ht="12.75" customHeight="1" x14ac:dyDescent="0.2">
      <c r="B49343" s="43"/>
    </row>
    <row r="49344" spans="2:2" ht="12.75" customHeight="1" x14ac:dyDescent="0.2">
      <c r="B49344" s="43"/>
    </row>
    <row r="49345" spans="2:2" ht="12.75" customHeight="1" x14ac:dyDescent="0.2">
      <c r="B49345" s="43"/>
    </row>
    <row r="49346" spans="2:2" ht="12.75" customHeight="1" x14ac:dyDescent="0.2">
      <c r="B49346" s="43"/>
    </row>
    <row r="49347" spans="2:2" ht="12.75" customHeight="1" x14ac:dyDescent="0.2">
      <c r="B49347" s="43"/>
    </row>
    <row r="49348" spans="2:2" ht="12.75" customHeight="1" x14ac:dyDescent="0.2">
      <c r="B49348" s="43"/>
    </row>
    <row r="49349" spans="2:2" ht="12.75" customHeight="1" x14ac:dyDescent="0.2">
      <c r="B49349" s="43"/>
    </row>
    <row r="49350" spans="2:2" ht="12.75" customHeight="1" x14ac:dyDescent="0.2">
      <c r="B49350" s="43"/>
    </row>
    <row r="49351" spans="2:2" ht="12.75" customHeight="1" x14ac:dyDescent="0.2">
      <c r="B49351" s="43"/>
    </row>
    <row r="49352" spans="2:2" ht="12.75" customHeight="1" x14ac:dyDescent="0.2">
      <c r="B49352" s="43"/>
    </row>
    <row r="49353" spans="2:2" ht="12.75" customHeight="1" x14ac:dyDescent="0.2">
      <c r="B49353" s="43"/>
    </row>
    <row r="49354" spans="2:2" ht="12.75" customHeight="1" x14ac:dyDescent="0.2">
      <c r="B49354" s="43"/>
    </row>
    <row r="49355" spans="2:2" ht="12.75" customHeight="1" x14ac:dyDescent="0.2">
      <c r="B49355" s="43"/>
    </row>
    <row r="49356" spans="2:2" ht="12.75" customHeight="1" x14ac:dyDescent="0.2">
      <c r="B49356" s="43"/>
    </row>
    <row r="49357" spans="2:2" ht="12.75" customHeight="1" x14ac:dyDescent="0.2">
      <c r="B49357" s="43"/>
    </row>
    <row r="49358" spans="2:2" ht="12.75" customHeight="1" x14ac:dyDescent="0.2">
      <c r="B49358" s="43"/>
    </row>
    <row r="49359" spans="2:2" ht="12.75" customHeight="1" x14ac:dyDescent="0.2">
      <c r="B49359" s="43"/>
    </row>
    <row r="49360" spans="2:2" ht="12.75" customHeight="1" x14ac:dyDescent="0.2">
      <c r="B49360" s="43"/>
    </row>
    <row r="49361" spans="2:2" ht="12.75" customHeight="1" x14ac:dyDescent="0.2">
      <c r="B49361" s="43"/>
    </row>
    <row r="49362" spans="2:2" ht="12.75" customHeight="1" x14ac:dyDescent="0.2">
      <c r="B49362" s="43"/>
    </row>
    <row r="49363" spans="2:2" ht="12.75" customHeight="1" x14ac:dyDescent="0.2">
      <c r="B49363" s="43"/>
    </row>
    <row r="49364" spans="2:2" ht="12.75" customHeight="1" x14ac:dyDescent="0.2">
      <c r="B49364" s="43"/>
    </row>
    <row r="49365" spans="2:2" ht="12.75" customHeight="1" x14ac:dyDescent="0.2">
      <c r="B49365" s="43"/>
    </row>
    <row r="49366" spans="2:2" ht="12.75" customHeight="1" x14ac:dyDescent="0.2">
      <c r="B49366" s="43"/>
    </row>
    <row r="49367" spans="2:2" ht="12.75" customHeight="1" x14ac:dyDescent="0.2">
      <c r="B49367" s="43"/>
    </row>
    <row r="49368" spans="2:2" ht="12.75" customHeight="1" x14ac:dyDescent="0.2">
      <c r="B49368" s="43"/>
    </row>
    <row r="49369" spans="2:2" ht="12.75" customHeight="1" x14ac:dyDescent="0.2">
      <c r="B49369" s="43"/>
    </row>
    <row r="49370" spans="2:2" ht="12.75" customHeight="1" x14ac:dyDescent="0.2">
      <c r="B49370" s="43"/>
    </row>
    <row r="49371" spans="2:2" ht="12.75" customHeight="1" x14ac:dyDescent="0.2">
      <c r="B49371" s="43"/>
    </row>
    <row r="49372" spans="2:2" ht="12.75" customHeight="1" x14ac:dyDescent="0.2">
      <c r="B49372" s="43"/>
    </row>
    <row r="49373" spans="2:2" ht="12.75" customHeight="1" x14ac:dyDescent="0.2">
      <c r="B49373" s="43"/>
    </row>
    <row r="49374" spans="2:2" ht="12.75" customHeight="1" x14ac:dyDescent="0.2">
      <c r="B49374" s="43"/>
    </row>
    <row r="49375" spans="2:2" ht="12.75" customHeight="1" x14ac:dyDescent="0.2">
      <c r="B49375" s="43"/>
    </row>
    <row r="49376" spans="2:2" ht="12.75" customHeight="1" x14ac:dyDescent="0.2">
      <c r="B49376" s="43"/>
    </row>
    <row r="49377" spans="2:2" ht="12.75" customHeight="1" x14ac:dyDescent="0.2">
      <c r="B49377" s="43"/>
    </row>
    <row r="49378" spans="2:2" ht="12.75" customHeight="1" x14ac:dyDescent="0.2">
      <c r="B49378" s="43"/>
    </row>
    <row r="49379" spans="2:2" ht="12.75" customHeight="1" x14ac:dyDescent="0.2">
      <c r="B49379" s="43"/>
    </row>
    <row r="49380" spans="2:2" ht="12.75" customHeight="1" x14ac:dyDescent="0.2">
      <c r="B49380" s="43"/>
    </row>
    <row r="49381" spans="2:2" ht="12.75" customHeight="1" x14ac:dyDescent="0.2">
      <c r="B49381" s="43"/>
    </row>
    <row r="49382" spans="2:2" ht="12.75" customHeight="1" x14ac:dyDescent="0.2">
      <c r="B49382" s="43"/>
    </row>
    <row r="49383" spans="2:2" ht="12.75" customHeight="1" x14ac:dyDescent="0.2">
      <c r="B49383" s="43"/>
    </row>
    <row r="49384" spans="2:2" ht="12.75" customHeight="1" x14ac:dyDescent="0.2">
      <c r="B49384" s="43"/>
    </row>
    <row r="49385" spans="2:2" ht="12.75" customHeight="1" x14ac:dyDescent="0.2">
      <c r="B49385" s="43"/>
    </row>
    <row r="49386" spans="2:2" ht="12.75" customHeight="1" x14ac:dyDescent="0.2">
      <c r="B49386" s="43"/>
    </row>
    <row r="49387" spans="2:2" ht="12.75" customHeight="1" x14ac:dyDescent="0.2">
      <c r="B49387" s="43"/>
    </row>
    <row r="49388" spans="2:2" ht="12.75" customHeight="1" x14ac:dyDescent="0.2">
      <c r="B49388" s="43"/>
    </row>
    <row r="49389" spans="2:2" ht="12.75" customHeight="1" x14ac:dyDescent="0.2">
      <c r="B49389" s="43"/>
    </row>
    <row r="49390" spans="2:2" ht="12.75" customHeight="1" x14ac:dyDescent="0.2">
      <c r="B49390" s="43"/>
    </row>
    <row r="49391" spans="2:2" ht="12.75" customHeight="1" x14ac:dyDescent="0.2">
      <c r="B49391" s="43"/>
    </row>
    <row r="49392" spans="2:2" ht="12.75" customHeight="1" x14ac:dyDescent="0.2">
      <c r="B49392" s="43"/>
    </row>
    <row r="49393" spans="2:2" ht="12.75" customHeight="1" x14ac:dyDescent="0.2">
      <c r="B49393" s="43"/>
    </row>
    <row r="49394" spans="2:2" ht="12.75" customHeight="1" x14ac:dyDescent="0.2">
      <c r="B49394" s="43"/>
    </row>
    <row r="49395" spans="2:2" ht="12.75" customHeight="1" x14ac:dyDescent="0.2">
      <c r="B49395" s="43"/>
    </row>
    <row r="49396" spans="2:2" ht="12.75" customHeight="1" x14ac:dyDescent="0.2">
      <c r="B49396" s="43"/>
    </row>
    <row r="49397" spans="2:2" ht="12.75" customHeight="1" x14ac:dyDescent="0.2">
      <c r="B49397" s="43"/>
    </row>
    <row r="49398" spans="2:2" ht="12.75" customHeight="1" x14ac:dyDescent="0.2">
      <c r="B49398" s="43"/>
    </row>
    <row r="49399" spans="2:2" ht="12.75" customHeight="1" x14ac:dyDescent="0.2">
      <c r="B49399" s="43"/>
    </row>
    <row r="49400" spans="2:2" ht="12.75" customHeight="1" x14ac:dyDescent="0.2">
      <c r="B49400" s="43"/>
    </row>
    <row r="49401" spans="2:2" ht="12.75" customHeight="1" x14ac:dyDescent="0.2">
      <c r="B49401" s="43"/>
    </row>
    <row r="49402" spans="2:2" ht="12.75" customHeight="1" x14ac:dyDescent="0.2">
      <c r="B49402" s="43"/>
    </row>
    <row r="49403" spans="2:2" ht="12.75" customHeight="1" x14ac:dyDescent="0.2">
      <c r="B49403" s="43"/>
    </row>
    <row r="49404" spans="2:2" ht="12.75" customHeight="1" x14ac:dyDescent="0.2">
      <c r="B49404" s="43"/>
    </row>
    <row r="49405" spans="2:2" ht="12.75" customHeight="1" x14ac:dyDescent="0.2">
      <c r="B49405" s="43"/>
    </row>
    <row r="49406" spans="2:2" ht="12.75" customHeight="1" x14ac:dyDescent="0.2">
      <c r="B49406" s="43"/>
    </row>
    <row r="49407" spans="2:2" ht="12.75" customHeight="1" x14ac:dyDescent="0.2">
      <c r="B49407" s="43"/>
    </row>
    <row r="49408" spans="2:2" ht="12.75" customHeight="1" x14ac:dyDescent="0.2">
      <c r="B49408" s="43"/>
    </row>
    <row r="49409" spans="2:2" ht="12.75" customHeight="1" x14ac:dyDescent="0.2">
      <c r="B49409" s="43"/>
    </row>
    <row r="49410" spans="2:2" ht="12.75" customHeight="1" x14ac:dyDescent="0.2">
      <c r="B49410" s="43"/>
    </row>
    <row r="49411" spans="2:2" ht="12.75" customHeight="1" x14ac:dyDescent="0.2">
      <c r="B49411" s="43"/>
    </row>
    <row r="49412" spans="2:2" ht="12.75" customHeight="1" x14ac:dyDescent="0.2">
      <c r="B49412" s="43"/>
    </row>
    <row r="49413" spans="2:2" ht="12.75" customHeight="1" x14ac:dyDescent="0.2">
      <c r="B49413" s="43"/>
    </row>
    <row r="49414" spans="2:2" ht="12.75" customHeight="1" x14ac:dyDescent="0.2">
      <c r="B49414" s="43"/>
    </row>
    <row r="49415" spans="2:2" ht="12.75" customHeight="1" x14ac:dyDescent="0.2">
      <c r="B49415" s="43"/>
    </row>
    <row r="49416" spans="2:2" ht="12.75" customHeight="1" x14ac:dyDescent="0.2">
      <c r="B49416" s="43"/>
    </row>
    <row r="49417" spans="2:2" ht="12.75" customHeight="1" x14ac:dyDescent="0.2">
      <c r="B49417" s="43"/>
    </row>
    <row r="49418" spans="2:2" ht="12.75" customHeight="1" x14ac:dyDescent="0.2">
      <c r="B49418" s="43"/>
    </row>
    <row r="49419" spans="2:2" ht="12.75" customHeight="1" x14ac:dyDescent="0.2">
      <c r="B49419" s="43"/>
    </row>
    <row r="49420" spans="2:2" ht="12.75" customHeight="1" x14ac:dyDescent="0.2">
      <c r="B49420" s="43"/>
    </row>
    <row r="49421" spans="2:2" ht="12.75" customHeight="1" x14ac:dyDescent="0.2">
      <c r="B49421" s="43"/>
    </row>
    <row r="49422" spans="2:2" ht="12.75" customHeight="1" x14ac:dyDescent="0.2">
      <c r="B49422" s="43"/>
    </row>
    <row r="49423" spans="2:2" ht="12.75" customHeight="1" x14ac:dyDescent="0.2">
      <c r="B49423" s="43"/>
    </row>
    <row r="49424" spans="2:2" ht="12.75" customHeight="1" x14ac:dyDescent="0.2">
      <c r="B49424" s="43"/>
    </row>
    <row r="49425" spans="2:2" ht="12.75" customHeight="1" x14ac:dyDescent="0.2">
      <c r="B49425" s="43"/>
    </row>
    <row r="49426" spans="2:2" ht="12.75" customHeight="1" x14ac:dyDescent="0.2">
      <c r="B49426" s="43"/>
    </row>
    <row r="49427" spans="2:2" ht="12.75" customHeight="1" x14ac:dyDescent="0.2">
      <c r="B49427" s="43"/>
    </row>
    <row r="49428" spans="2:2" ht="12.75" customHeight="1" x14ac:dyDescent="0.2">
      <c r="B49428" s="43"/>
    </row>
    <row r="49429" spans="2:2" ht="12.75" customHeight="1" x14ac:dyDescent="0.2">
      <c r="B49429" s="43"/>
    </row>
    <row r="49430" spans="2:2" ht="12.75" customHeight="1" x14ac:dyDescent="0.2">
      <c r="B49430" s="43"/>
    </row>
    <row r="49431" spans="2:2" ht="12.75" customHeight="1" x14ac:dyDescent="0.2">
      <c r="B49431" s="43"/>
    </row>
    <row r="49432" spans="2:2" ht="12.75" customHeight="1" x14ac:dyDescent="0.2">
      <c r="B49432" s="43"/>
    </row>
    <row r="49433" spans="2:2" ht="12.75" customHeight="1" x14ac:dyDescent="0.2">
      <c r="B49433" s="43"/>
    </row>
    <row r="49434" spans="2:2" ht="12.75" customHeight="1" x14ac:dyDescent="0.2">
      <c r="B49434" s="43"/>
    </row>
    <row r="49435" spans="2:2" ht="12.75" customHeight="1" x14ac:dyDescent="0.2">
      <c r="B49435" s="43"/>
    </row>
    <row r="49436" spans="2:2" ht="12.75" customHeight="1" x14ac:dyDescent="0.2">
      <c r="B49436" s="43"/>
    </row>
    <row r="49437" spans="2:2" ht="12.75" customHeight="1" x14ac:dyDescent="0.2">
      <c r="B49437" s="43"/>
    </row>
    <row r="49438" spans="2:2" ht="12.75" customHeight="1" x14ac:dyDescent="0.2">
      <c r="B49438" s="43"/>
    </row>
    <row r="49439" spans="2:2" ht="12.75" customHeight="1" x14ac:dyDescent="0.2">
      <c r="B49439" s="43"/>
    </row>
    <row r="49440" spans="2:2" ht="12.75" customHeight="1" x14ac:dyDescent="0.2">
      <c r="B49440" s="43"/>
    </row>
    <row r="49441" spans="2:2" ht="12.75" customHeight="1" x14ac:dyDescent="0.2">
      <c r="B49441" s="43"/>
    </row>
    <row r="49442" spans="2:2" ht="12.75" customHeight="1" x14ac:dyDescent="0.2">
      <c r="B49442" s="43"/>
    </row>
    <row r="49443" spans="2:2" ht="12.75" customHeight="1" x14ac:dyDescent="0.2">
      <c r="B49443" s="43"/>
    </row>
    <row r="49444" spans="2:2" ht="12.75" customHeight="1" x14ac:dyDescent="0.2">
      <c r="B49444" s="43"/>
    </row>
    <row r="49445" spans="2:2" ht="12.75" customHeight="1" x14ac:dyDescent="0.2">
      <c r="B49445" s="43"/>
    </row>
    <row r="49446" spans="2:2" ht="12.75" customHeight="1" x14ac:dyDescent="0.2">
      <c r="B49446" s="43"/>
    </row>
    <row r="49447" spans="2:2" ht="12.75" customHeight="1" x14ac:dyDescent="0.2">
      <c r="B49447" s="43"/>
    </row>
    <row r="49448" spans="2:2" ht="12.75" customHeight="1" x14ac:dyDescent="0.2">
      <c r="B49448" s="43"/>
    </row>
    <row r="49449" spans="2:2" ht="12.75" customHeight="1" x14ac:dyDescent="0.2">
      <c r="B49449" s="43"/>
    </row>
    <row r="49450" spans="2:2" ht="12.75" customHeight="1" x14ac:dyDescent="0.2">
      <c r="B49450" s="43"/>
    </row>
    <row r="49451" spans="2:2" ht="12.75" customHeight="1" x14ac:dyDescent="0.2">
      <c r="B49451" s="43"/>
    </row>
    <row r="49452" spans="2:2" ht="12.75" customHeight="1" x14ac:dyDescent="0.2">
      <c r="B49452" s="43"/>
    </row>
    <row r="49453" spans="2:2" ht="12.75" customHeight="1" x14ac:dyDescent="0.2">
      <c r="B49453" s="43"/>
    </row>
    <row r="49454" spans="2:2" ht="12.75" customHeight="1" x14ac:dyDescent="0.2">
      <c r="B49454" s="43"/>
    </row>
    <row r="49455" spans="2:2" ht="12.75" customHeight="1" x14ac:dyDescent="0.2">
      <c r="B49455" s="43"/>
    </row>
    <row r="49456" spans="2:2" ht="12.75" customHeight="1" x14ac:dyDescent="0.2">
      <c r="B49456" s="43"/>
    </row>
    <row r="49457" spans="2:2" ht="12.75" customHeight="1" x14ac:dyDescent="0.2">
      <c r="B49457" s="43"/>
    </row>
    <row r="49458" spans="2:2" ht="12.75" customHeight="1" x14ac:dyDescent="0.2">
      <c r="B49458" s="43"/>
    </row>
    <row r="49459" spans="2:2" ht="12.75" customHeight="1" x14ac:dyDescent="0.2">
      <c r="B49459" s="43"/>
    </row>
    <row r="49460" spans="2:2" ht="12.75" customHeight="1" x14ac:dyDescent="0.2">
      <c r="B49460" s="43"/>
    </row>
    <row r="49461" spans="2:2" ht="12.75" customHeight="1" x14ac:dyDescent="0.2">
      <c r="B49461" s="43"/>
    </row>
    <row r="49462" spans="2:2" ht="12.75" customHeight="1" x14ac:dyDescent="0.2">
      <c r="B49462" s="43"/>
    </row>
    <row r="49463" spans="2:2" ht="12.75" customHeight="1" x14ac:dyDescent="0.2">
      <c r="B49463" s="43"/>
    </row>
    <row r="49464" spans="2:2" ht="12.75" customHeight="1" x14ac:dyDescent="0.2">
      <c r="B49464" s="43"/>
    </row>
    <row r="49465" spans="2:2" ht="12.75" customHeight="1" x14ac:dyDescent="0.2">
      <c r="B49465" s="43"/>
    </row>
    <row r="49466" spans="2:2" ht="12.75" customHeight="1" x14ac:dyDescent="0.2">
      <c r="B49466" s="43"/>
    </row>
    <row r="49467" spans="2:2" ht="12.75" customHeight="1" x14ac:dyDescent="0.2">
      <c r="B49467" s="43"/>
    </row>
    <row r="49468" spans="2:2" ht="12.75" customHeight="1" x14ac:dyDescent="0.2">
      <c r="B49468" s="43"/>
    </row>
    <row r="49469" spans="2:2" ht="12.75" customHeight="1" x14ac:dyDescent="0.2">
      <c r="B49469" s="43"/>
    </row>
    <row r="49470" spans="2:2" ht="12.75" customHeight="1" x14ac:dyDescent="0.2">
      <c r="B49470" s="43"/>
    </row>
    <row r="49471" spans="2:2" ht="12.75" customHeight="1" x14ac:dyDescent="0.2">
      <c r="B49471" s="43"/>
    </row>
    <row r="49472" spans="2:2" ht="12.75" customHeight="1" x14ac:dyDescent="0.2">
      <c r="B49472" s="43"/>
    </row>
    <row r="49473" spans="2:2" ht="12.75" customHeight="1" x14ac:dyDescent="0.2">
      <c r="B49473" s="43"/>
    </row>
    <row r="49474" spans="2:2" ht="12.75" customHeight="1" x14ac:dyDescent="0.2">
      <c r="B49474" s="43"/>
    </row>
    <row r="49475" spans="2:2" ht="12.75" customHeight="1" x14ac:dyDescent="0.2">
      <c r="B49475" s="43"/>
    </row>
    <row r="49476" spans="2:2" ht="12.75" customHeight="1" x14ac:dyDescent="0.2">
      <c r="B49476" s="43"/>
    </row>
    <row r="49477" spans="2:2" ht="12.75" customHeight="1" x14ac:dyDescent="0.2">
      <c r="B49477" s="43"/>
    </row>
    <row r="49478" spans="2:2" ht="12.75" customHeight="1" x14ac:dyDescent="0.2">
      <c r="B49478" s="43"/>
    </row>
    <row r="49479" spans="2:2" ht="12.75" customHeight="1" x14ac:dyDescent="0.2">
      <c r="B49479" s="43"/>
    </row>
    <row r="49480" spans="2:2" ht="12.75" customHeight="1" x14ac:dyDescent="0.2">
      <c r="B49480" s="43"/>
    </row>
    <row r="49481" spans="2:2" ht="12.75" customHeight="1" x14ac:dyDescent="0.2">
      <c r="B49481" s="43"/>
    </row>
    <row r="49482" spans="2:2" ht="12.75" customHeight="1" x14ac:dyDescent="0.2">
      <c r="B49482" s="43"/>
    </row>
    <row r="49483" spans="2:2" ht="12.75" customHeight="1" x14ac:dyDescent="0.2">
      <c r="B49483" s="43"/>
    </row>
    <row r="49484" spans="2:2" ht="12.75" customHeight="1" x14ac:dyDescent="0.2">
      <c r="B49484" s="43"/>
    </row>
    <row r="49485" spans="2:2" ht="12.75" customHeight="1" x14ac:dyDescent="0.2">
      <c r="B49485" s="43"/>
    </row>
    <row r="49486" spans="2:2" ht="12.75" customHeight="1" x14ac:dyDescent="0.2">
      <c r="B49486" s="43"/>
    </row>
    <row r="49487" spans="2:2" ht="12.75" customHeight="1" x14ac:dyDescent="0.2">
      <c r="B49487" s="43"/>
    </row>
    <row r="49488" spans="2:2" ht="12.75" customHeight="1" x14ac:dyDescent="0.2">
      <c r="B49488" s="43"/>
    </row>
    <row r="49489" spans="2:2" ht="12.75" customHeight="1" x14ac:dyDescent="0.2">
      <c r="B49489" s="43"/>
    </row>
    <row r="49490" spans="2:2" ht="12.75" customHeight="1" x14ac:dyDescent="0.2">
      <c r="B49490" s="43"/>
    </row>
    <row r="49491" spans="2:2" ht="12.75" customHeight="1" x14ac:dyDescent="0.2">
      <c r="B49491" s="43"/>
    </row>
    <row r="49492" spans="2:2" ht="12.75" customHeight="1" x14ac:dyDescent="0.2">
      <c r="B49492" s="43"/>
    </row>
    <row r="49493" spans="2:2" ht="12.75" customHeight="1" x14ac:dyDescent="0.2">
      <c r="B49493" s="43"/>
    </row>
    <row r="49494" spans="2:2" ht="12.75" customHeight="1" x14ac:dyDescent="0.2">
      <c r="B49494" s="43"/>
    </row>
    <row r="49495" spans="2:2" ht="12.75" customHeight="1" x14ac:dyDescent="0.2">
      <c r="B49495" s="43"/>
    </row>
    <row r="49496" spans="2:2" ht="12.75" customHeight="1" x14ac:dyDescent="0.2">
      <c r="B49496" s="43"/>
    </row>
    <row r="49497" spans="2:2" ht="12.75" customHeight="1" x14ac:dyDescent="0.2">
      <c r="B49497" s="43"/>
    </row>
    <row r="49498" spans="2:2" ht="12.75" customHeight="1" x14ac:dyDescent="0.2">
      <c r="B49498" s="43"/>
    </row>
    <row r="49499" spans="2:2" ht="12.75" customHeight="1" x14ac:dyDescent="0.2">
      <c r="B49499" s="43"/>
    </row>
    <row r="49500" spans="2:2" ht="12.75" customHeight="1" x14ac:dyDescent="0.2">
      <c r="B49500" s="43"/>
    </row>
    <row r="49501" spans="2:2" ht="12.75" customHeight="1" x14ac:dyDescent="0.2">
      <c r="B49501" s="43"/>
    </row>
    <row r="49502" spans="2:2" ht="12.75" customHeight="1" x14ac:dyDescent="0.2">
      <c r="B49502" s="43"/>
    </row>
    <row r="49503" spans="2:2" ht="12.75" customHeight="1" x14ac:dyDescent="0.2">
      <c r="B49503" s="43"/>
    </row>
    <row r="49504" spans="2:2" ht="12.75" customHeight="1" x14ac:dyDescent="0.2">
      <c r="B49504" s="43"/>
    </row>
    <row r="49505" spans="2:2" ht="12.75" customHeight="1" x14ac:dyDescent="0.2">
      <c r="B49505" s="43"/>
    </row>
    <row r="49506" spans="2:2" ht="12.75" customHeight="1" x14ac:dyDescent="0.2">
      <c r="B49506" s="43"/>
    </row>
    <row r="49507" spans="2:2" ht="12.75" customHeight="1" x14ac:dyDescent="0.2">
      <c r="B49507" s="43"/>
    </row>
    <row r="49508" spans="2:2" ht="12.75" customHeight="1" x14ac:dyDescent="0.2">
      <c r="B49508" s="43"/>
    </row>
    <row r="49509" spans="2:2" ht="12.75" customHeight="1" x14ac:dyDescent="0.2">
      <c r="B49509" s="43"/>
    </row>
    <row r="49510" spans="2:2" ht="12.75" customHeight="1" x14ac:dyDescent="0.2">
      <c r="B49510" s="43"/>
    </row>
    <row r="49511" spans="2:2" ht="12.75" customHeight="1" x14ac:dyDescent="0.2">
      <c r="B49511" s="43"/>
    </row>
    <row r="49512" spans="2:2" ht="12.75" customHeight="1" x14ac:dyDescent="0.2">
      <c r="B49512" s="43"/>
    </row>
    <row r="49513" spans="2:2" ht="12.75" customHeight="1" x14ac:dyDescent="0.2">
      <c r="B49513" s="43"/>
    </row>
    <row r="49514" spans="2:2" ht="12.75" customHeight="1" x14ac:dyDescent="0.2">
      <c r="B49514" s="43"/>
    </row>
    <row r="49515" spans="2:2" ht="12.75" customHeight="1" x14ac:dyDescent="0.2">
      <c r="B49515" s="43"/>
    </row>
    <row r="49516" spans="2:2" ht="12.75" customHeight="1" x14ac:dyDescent="0.2">
      <c r="B49516" s="43"/>
    </row>
    <row r="49517" spans="2:2" ht="12.75" customHeight="1" x14ac:dyDescent="0.2">
      <c r="B49517" s="43"/>
    </row>
    <row r="49518" spans="2:2" ht="12.75" customHeight="1" x14ac:dyDescent="0.2">
      <c r="B49518" s="43"/>
    </row>
    <row r="49519" spans="2:2" ht="12.75" customHeight="1" x14ac:dyDescent="0.2">
      <c r="B49519" s="43"/>
    </row>
    <row r="49520" spans="2:2" ht="12.75" customHeight="1" x14ac:dyDescent="0.2">
      <c r="B49520" s="43"/>
    </row>
    <row r="49521" spans="2:2" ht="12.75" customHeight="1" x14ac:dyDescent="0.2">
      <c r="B49521" s="43"/>
    </row>
    <row r="49522" spans="2:2" ht="12.75" customHeight="1" x14ac:dyDescent="0.2">
      <c r="B49522" s="43"/>
    </row>
    <row r="49523" spans="2:2" ht="12.75" customHeight="1" x14ac:dyDescent="0.2">
      <c r="B49523" s="43"/>
    </row>
    <row r="49524" spans="2:2" ht="12.75" customHeight="1" x14ac:dyDescent="0.2">
      <c r="B49524" s="43"/>
    </row>
    <row r="49525" spans="2:2" ht="12.75" customHeight="1" x14ac:dyDescent="0.2">
      <c r="B49525" s="43"/>
    </row>
    <row r="49526" spans="2:2" ht="12.75" customHeight="1" x14ac:dyDescent="0.2">
      <c r="B49526" s="43"/>
    </row>
    <row r="49527" spans="2:2" ht="12.75" customHeight="1" x14ac:dyDescent="0.2">
      <c r="B49527" s="43"/>
    </row>
    <row r="49528" spans="2:2" ht="12.75" customHeight="1" x14ac:dyDescent="0.2">
      <c r="B49528" s="43"/>
    </row>
    <row r="49529" spans="2:2" ht="12.75" customHeight="1" x14ac:dyDescent="0.2">
      <c r="B49529" s="43"/>
    </row>
    <row r="49530" spans="2:2" ht="12.75" customHeight="1" x14ac:dyDescent="0.2">
      <c r="B49530" s="43"/>
    </row>
    <row r="49531" spans="2:2" ht="12.75" customHeight="1" x14ac:dyDescent="0.2">
      <c r="B49531" s="43"/>
    </row>
    <row r="49532" spans="2:2" ht="12.75" customHeight="1" x14ac:dyDescent="0.2">
      <c r="B49532" s="43"/>
    </row>
    <row r="49533" spans="2:2" ht="12.75" customHeight="1" x14ac:dyDescent="0.2">
      <c r="B49533" s="43"/>
    </row>
    <row r="49534" spans="2:2" ht="12.75" customHeight="1" x14ac:dyDescent="0.2">
      <c r="B49534" s="43"/>
    </row>
    <row r="49535" spans="2:2" ht="12.75" customHeight="1" x14ac:dyDescent="0.2">
      <c r="B49535" s="43"/>
    </row>
    <row r="49536" spans="2:2" ht="12.75" customHeight="1" x14ac:dyDescent="0.2">
      <c r="B49536" s="43"/>
    </row>
    <row r="49537" spans="2:2" ht="12.75" customHeight="1" x14ac:dyDescent="0.2">
      <c r="B49537" s="43"/>
    </row>
    <row r="49538" spans="2:2" ht="12.75" customHeight="1" x14ac:dyDescent="0.2">
      <c r="B49538" s="43"/>
    </row>
    <row r="49539" spans="2:2" ht="12.75" customHeight="1" x14ac:dyDescent="0.2">
      <c r="B49539" s="43"/>
    </row>
    <row r="49540" spans="2:2" ht="12.75" customHeight="1" x14ac:dyDescent="0.2">
      <c r="B49540" s="43"/>
    </row>
    <row r="49541" spans="2:2" ht="12.75" customHeight="1" x14ac:dyDescent="0.2">
      <c r="B49541" s="43"/>
    </row>
    <row r="49542" spans="2:2" ht="12.75" customHeight="1" x14ac:dyDescent="0.2">
      <c r="B49542" s="43"/>
    </row>
    <row r="49543" spans="2:2" ht="12.75" customHeight="1" x14ac:dyDescent="0.2">
      <c r="B49543" s="43"/>
    </row>
    <row r="49544" spans="2:2" ht="12.75" customHeight="1" x14ac:dyDescent="0.2">
      <c r="B49544" s="43"/>
    </row>
    <row r="49545" spans="2:2" ht="12.75" customHeight="1" x14ac:dyDescent="0.2">
      <c r="B49545" s="43"/>
    </row>
    <row r="49546" spans="2:2" ht="12.75" customHeight="1" x14ac:dyDescent="0.2">
      <c r="B49546" s="43"/>
    </row>
    <row r="49547" spans="2:2" ht="12.75" customHeight="1" x14ac:dyDescent="0.2">
      <c r="B49547" s="43"/>
    </row>
    <row r="49548" spans="2:2" ht="12.75" customHeight="1" x14ac:dyDescent="0.2">
      <c r="B49548" s="43"/>
    </row>
    <row r="49549" spans="2:2" ht="12.75" customHeight="1" x14ac:dyDescent="0.2">
      <c r="B49549" s="43"/>
    </row>
    <row r="49550" spans="2:2" ht="12.75" customHeight="1" x14ac:dyDescent="0.2">
      <c r="B49550" s="43"/>
    </row>
    <row r="49551" spans="2:2" ht="12.75" customHeight="1" x14ac:dyDescent="0.2">
      <c r="B49551" s="43"/>
    </row>
    <row r="49552" spans="2:2" ht="12.75" customHeight="1" x14ac:dyDescent="0.2">
      <c r="B49552" s="43"/>
    </row>
    <row r="49553" spans="2:2" ht="12.75" customHeight="1" x14ac:dyDescent="0.2">
      <c r="B49553" s="43"/>
    </row>
    <row r="49554" spans="2:2" ht="12.75" customHeight="1" x14ac:dyDescent="0.2">
      <c r="B49554" s="43"/>
    </row>
    <row r="49555" spans="2:2" ht="12.75" customHeight="1" x14ac:dyDescent="0.2">
      <c r="B49555" s="43"/>
    </row>
    <row r="49556" spans="2:2" ht="12.75" customHeight="1" x14ac:dyDescent="0.2">
      <c r="B49556" s="43"/>
    </row>
    <row r="49557" spans="2:2" ht="12.75" customHeight="1" x14ac:dyDescent="0.2">
      <c r="B49557" s="43"/>
    </row>
    <row r="49558" spans="2:2" ht="12.75" customHeight="1" x14ac:dyDescent="0.2">
      <c r="B49558" s="43"/>
    </row>
    <row r="49559" spans="2:2" ht="12.75" customHeight="1" x14ac:dyDescent="0.2">
      <c r="B49559" s="43"/>
    </row>
    <row r="49560" spans="2:2" ht="12.75" customHeight="1" x14ac:dyDescent="0.2">
      <c r="B49560" s="43"/>
    </row>
    <row r="49561" spans="2:2" ht="12.75" customHeight="1" x14ac:dyDescent="0.2">
      <c r="B49561" s="43"/>
    </row>
    <row r="49562" spans="2:2" ht="12.75" customHeight="1" x14ac:dyDescent="0.2">
      <c r="B49562" s="43"/>
    </row>
    <row r="49563" spans="2:2" ht="12.75" customHeight="1" x14ac:dyDescent="0.2">
      <c r="B49563" s="43"/>
    </row>
    <row r="49564" spans="2:2" ht="12.75" customHeight="1" x14ac:dyDescent="0.2">
      <c r="B49564" s="43"/>
    </row>
    <row r="49565" spans="2:2" ht="12.75" customHeight="1" x14ac:dyDescent="0.2">
      <c r="B49565" s="43"/>
    </row>
    <row r="49566" spans="2:2" ht="12.75" customHeight="1" x14ac:dyDescent="0.2">
      <c r="B49566" s="43"/>
    </row>
    <row r="49567" spans="2:2" ht="12.75" customHeight="1" x14ac:dyDescent="0.2">
      <c r="B49567" s="43"/>
    </row>
    <row r="49568" spans="2:2" ht="12.75" customHeight="1" x14ac:dyDescent="0.2">
      <c r="B49568" s="43"/>
    </row>
    <row r="49569" spans="2:2" ht="12.75" customHeight="1" x14ac:dyDescent="0.2">
      <c r="B49569" s="43"/>
    </row>
    <row r="49570" spans="2:2" ht="12.75" customHeight="1" x14ac:dyDescent="0.2">
      <c r="B49570" s="43"/>
    </row>
    <row r="49571" spans="2:2" ht="12.75" customHeight="1" x14ac:dyDescent="0.2">
      <c r="B49571" s="43"/>
    </row>
    <row r="49572" spans="2:2" ht="12.75" customHeight="1" x14ac:dyDescent="0.2">
      <c r="B49572" s="43"/>
    </row>
    <row r="49573" spans="2:2" ht="12.75" customHeight="1" x14ac:dyDescent="0.2">
      <c r="B49573" s="43"/>
    </row>
    <row r="49574" spans="2:2" ht="12.75" customHeight="1" x14ac:dyDescent="0.2">
      <c r="B49574" s="43"/>
    </row>
    <row r="49575" spans="2:2" ht="12.75" customHeight="1" x14ac:dyDescent="0.2">
      <c r="B49575" s="43"/>
    </row>
    <row r="49576" spans="2:2" ht="12.75" customHeight="1" x14ac:dyDescent="0.2">
      <c r="B49576" s="43"/>
    </row>
    <row r="49577" spans="2:2" ht="12.75" customHeight="1" x14ac:dyDescent="0.2">
      <c r="B49577" s="43"/>
    </row>
    <row r="49578" spans="2:2" ht="12.75" customHeight="1" x14ac:dyDescent="0.2">
      <c r="B49578" s="43"/>
    </row>
    <row r="49579" spans="2:2" ht="12.75" customHeight="1" x14ac:dyDescent="0.2">
      <c r="B49579" s="43"/>
    </row>
    <row r="49580" spans="2:2" ht="12.75" customHeight="1" x14ac:dyDescent="0.2">
      <c r="B49580" s="43"/>
    </row>
    <row r="49581" spans="2:2" ht="12.75" customHeight="1" x14ac:dyDescent="0.2">
      <c r="B49581" s="43"/>
    </row>
    <row r="49582" spans="2:2" ht="12.75" customHeight="1" x14ac:dyDescent="0.2">
      <c r="B49582" s="43"/>
    </row>
    <row r="49583" spans="2:2" ht="12.75" customHeight="1" x14ac:dyDescent="0.2">
      <c r="B49583" s="43"/>
    </row>
    <row r="49584" spans="2:2" ht="12.75" customHeight="1" x14ac:dyDescent="0.2">
      <c r="B49584" s="43"/>
    </row>
    <row r="49585" spans="2:2" ht="12.75" customHeight="1" x14ac:dyDescent="0.2">
      <c r="B49585" s="43"/>
    </row>
    <row r="49586" spans="2:2" ht="12.75" customHeight="1" x14ac:dyDescent="0.2">
      <c r="B49586" s="43"/>
    </row>
    <row r="49587" spans="2:2" ht="12.75" customHeight="1" x14ac:dyDescent="0.2">
      <c r="B49587" s="43"/>
    </row>
    <row r="49588" spans="2:2" ht="12.75" customHeight="1" x14ac:dyDescent="0.2">
      <c r="B49588" s="43"/>
    </row>
    <row r="49589" spans="2:2" ht="12.75" customHeight="1" x14ac:dyDescent="0.2">
      <c r="B49589" s="43"/>
    </row>
    <row r="49590" spans="2:2" ht="12.75" customHeight="1" x14ac:dyDescent="0.2">
      <c r="B49590" s="43"/>
    </row>
    <row r="49591" spans="2:2" ht="12.75" customHeight="1" x14ac:dyDescent="0.2">
      <c r="B49591" s="43"/>
    </row>
    <row r="49592" spans="2:2" ht="12.75" customHeight="1" x14ac:dyDescent="0.2">
      <c r="B49592" s="43"/>
    </row>
    <row r="49593" spans="2:2" ht="12.75" customHeight="1" x14ac:dyDescent="0.2">
      <c r="B49593" s="43"/>
    </row>
    <row r="49594" spans="2:2" ht="12.75" customHeight="1" x14ac:dyDescent="0.2">
      <c r="B49594" s="43"/>
    </row>
    <row r="49595" spans="2:2" ht="12.75" customHeight="1" x14ac:dyDescent="0.2">
      <c r="B49595" s="43"/>
    </row>
    <row r="49596" spans="2:2" ht="12.75" customHeight="1" x14ac:dyDescent="0.2">
      <c r="B49596" s="43"/>
    </row>
    <row r="49597" spans="2:2" ht="12.75" customHeight="1" x14ac:dyDescent="0.2">
      <c r="B49597" s="43"/>
    </row>
    <row r="49598" spans="2:2" ht="12.75" customHeight="1" x14ac:dyDescent="0.2">
      <c r="B49598" s="43"/>
    </row>
    <row r="49599" spans="2:2" ht="12.75" customHeight="1" x14ac:dyDescent="0.2">
      <c r="B49599" s="43"/>
    </row>
    <row r="49600" spans="2:2" ht="12.75" customHeight="1" x14ac:dyDescent="0.2">
      <c r="B49600" s="43"/>
    </row>
    <row r="49601" spans="2:2" ht="12.75" customHeight="1" x14ac:dyDescent="0.2">
      <c r="B49601" s="43"/>
    </row>
    <row r="49602" spans="2:2" ht="12.75" customHeight="1" x14ac:dyDescent="0.2">
      <c r="B49602" s="43"/>
    </row>
    <row r="49603" spans="2:2" ht="12.75" customHeight="1" x14ac:dyDescent="0.2">
      <c r="B49603" s="43"/>
    </row>
    <row r="49604" spans="2:2" ht="12.75" customHeight="1" x14ac:dyDescent="0.2">
      <c r="B49604" s="43"/>
    </row>
    <row r="49605" spans="2:2" ht="12.75" customHeight="1" x14ac:dyDescent="0.2">
      <c r="B49605" s="43"/>
    </row>
    <row r="49606" spans="2:2" ht="12.75" customHeight="1" x14ac:dyDescent="0.2">
      <c r="B49606" s="43"/>
    </row>
    <row r="49607" spans="2:2" ht="12.75" customHeight="1" x14ac:dyDescent="0.2">
      <c r="B49607" s="43"/>
    </row>
    <row r="49608" spans="2:2" ht="12.75" customHeight="1" x14ac:dyDescent="0.2">
      <c r="B49608" s="43"/>
    </row>
    <row r="49609" spans="2:2" ht="12.75" customHeight="1" x14ac:dyDescent="0.2">
      <c r="B49609" s="43"/>
    </row>
    <row r="49610" spans="2:2" ht="12.75" customHeight="1" x14ac:dyDescent="0.2">
      <c r="B49610" s="43"/>
    </row>
    <row r="49611" spans="2:2" ht="12.75" customHeight="1" x14ac:dyDescent="0.2">
      <c r="B49611" s="43"/>
    </row>
    <row r="49612" spans="2:2" ht="12.75" customHeight="1" x14ac:dyDescent="0.2">
      <c r="B49612" s="43"/>
    </row>
    <row r="49613" spans="2:2" ht="12.75" customHeight="1" x14ac:dyDescent="0.2">
      <c r="B49613" s="43"/>
    </row>
    <row r="49614" spans="2:2" ht="12.75" customHeight="1" x14ac:dyDescent="0.2">
      <c r="B49614" s="43"/>
    </row>
    <row r="49615" spans="2:2" ht="12.75" customHeight="1" x14ac:dyDescent="0.2">
      <c r="B49615" s="43"/>
    </row>
    <row r="49616" spans="2:2" ht="12.75" customHeight="1" x14ac:dyDescent="0.2">
      <c r="B49616" s="43"/>
    </row>
    <row r="49617" spans="2:2" ht="12.75" customHeight="1" x14ac:dyDescent="0.2">
      <c r="B49617" s="43"/>
    </row>
    <row r="49618" spans="2:2" ht="12.75" customHeight="1" x14ac:dyDescent="0.2">
      <c r="B49618" s="43"/>
    </row>
    <row r="49619" spans="2:2" ht="12.75" customHeight="1" x14ac:dyDescent="0.2">
      <c r="B49619" s="43"/>
    </row>
    <row r="49620" spans="2:2" ht="12.75" customHeight="1" x14ac:dyDescent="0.2">
      <c r="B49620" s="43"/>
    </row>
    <row r="49621" spans="2:2" ht="12.75" customHeight="1" x14ac:dyDescent="0.2">
      <c r="B49621" s="43"/>
    </row>
    <row r="49622" spans="2:2" ht="12.75" customHeight="1" x14ac:dyDescent="0.2">
      <c r="B49622" s="43"/>
    </row>
    <row r="49623" spans="2:2" ht="12.75" customHeight="1" x14ac:dyDescent="0.2">
      <c r="B49623" s="43"/>
    </row>
    <row r="49624" spans="2:2" ht="12.75" customHeight="1" x14ac:dyDescent="0.2">
      <c r="B49624" s="43"/>
    </row>
    <row r="49625" spans="2:2" ht="12.75" customHeight="1" x14ac:dyDescent="0.2">
      <c r="B49625" s="43"/>
    </row>
    <row r="49626" spans="2:2" ht="12.75" customHeight="1" x14ac:dyDescent="0.2">
      <c r="B49626" s="43"/>
    </row>
    <row r="49627" spans="2:2" ht="12.75" customHeight="1" x14ac:dyDescent="0.2">
      <c r="B49627" s="43"/>
    </row>
    <row r="49628" spans="2:2" ht="12.75" customHeight="1" x14ac:dyDescent="0.2">
      <c r="B49628" s="43"/>
    </row>
    <row r="49629" spans="2:2" ht="12.75" customHeight="1" x14ac:dyDescent="0.2">
      <c r="B49629" s="43"/>
    </row>
    <row r="49630" spans="2:2" ht="12.75" customHeight="1" x14ac:dyDescent="0.2">
      <c r="B49630" s="43"/>
    </row>
    <row r="49631" spans="2:2" ht="12.75" customHeight="1" x14ac:dyDescent="0.2">
      <c r="B49631" s="43"/>
    </row>
    <row r="49632" spans="2:2" ht="12.75" customHeight="1" x14ac:dyDescent="0.2">
      <c r="B49632" s="43"/>
    </row>
    <row r="49633" spans="2:2" ht="12.75" customHeight="1" x14ac:dyDescent="0.2">
      <c r="B49633" s="43"/>
    </row>
    <row r="49634" spans="2:2" ht="12.75" customHeight="1" x14ac:dyDescent="0.2">
      <c r="B49634" s="43"/>
    </row>
    <row r="49635" spans="2:2" ht="12.75" customHeight="1" x14ac:dyDescent="0.2">
      <c r="B49635" s="43"/>
    </row>
    <row r="49636" spans="2:2" ht="12.75" customHeight="1" x14ac:dyDescent="0.2">
      <c r="B49636" s="43"/>
    </row>
    <row r="49637" spans="2:2" ht="12.75" customHeight="1" x14ac:dyDescent="0.2">
      <c r="B49637" s="43"/>
    </row>
    <row r="49638" spans="2:2" ht="12.75" customHeight="1" x14ac:dyDescent="0.2">
      <c r="B49638" s="43"/>
    </row>
    <row r="49639" spans="2:2" ht="12.75" customHeight="1" x14ac:dyDescent="0.2">
      <c r="B49639" s="43"/>
    </row>
    <row r="49640" spans="2:2" ht="12.75" customHeight="1" x14ac:dyDescent="0.2">
      <c r="B49640" s="43"/>
    </row>
    <row r="49641" spans="2:2" ht="12.75" customHeight="1" x14ac:dyDescent="0.2">
      <c r="B49641" s="43"/>
    </row>
    <row r="49642" spans="2:2" ht="12.75" customHeight="1" x14ac:dyDescent="0.2">
      <c r="B49642" s="43"/>
    </row>
    <row r="49643" spans="2:2" ht="12.75" customHeight="1" x14ac:dyDescent="0.2">
      <c r="B49643" s="43"/>
    </row>
    <row r="49644" spans="2:2" ht="12.75" customHeight="1" x14ac:dyDescent="0.2">
      <c r="B49644" s="43"/>
    </row>
    <row r="49645" spans="2:2" ht="12.75" customHeight="1" x14ac:dyDescent="0.2">
      <c r="B49645" s="43"/>
    </row>
    <row r="49646" spans="2:2" ht="12.75" customHeight="1" x14ac:dyDescent="0.2">
      <c r="B49646" s="43"/>
    </row>
    <row r="49647" spans="2:2" ht="12.75" customHeight="1" x14ac:dyDescent="0.2">
      <c r="B49647" s="43"/>
    </row>
    <row r="49648" spans="2:2" ht="12.75" customHeight="1" x14ac:dyDescent="0.2">
      <c r="B49648" s="43"/>
    </row>
    <row r="49649" spans="2:2" ht="12.75" customHeight="1" x14ac:dyDescent="0.2">
      <c r="B49649" s="43"/>
    </row>
    <row r="49650" spans="2:2" ht="12.75" customHeight="1" x14ac:dyDescent="0.2">
      <c r="B49650" s="43"/>
    </row>
    <row r="49651" spans="2:2" ht="12.75" customHeight="1" x14ac:dyDescent="0.2">
      <c r="B49651" s="43"/>
    </row>
    <row r="49652" spans="2:2" ht="12.75" customHeight="1" x14ac:dyDescent="0.2">
      <c r="B49652" s="43"/>
    </row>
    <row r="49653" spans="2:2" ht="12.75" customHeight="1" x14ac:dyDescent="0.2">
      <c r="B49653" s="43"/>
    </row>
    <row r="49654" spans="2:2" ht="12.75" customHeight="1" x14ac:dyDescent="0.2">
      <c r="B49654" s="43"/>
    </row>
    <row r="49655" spans="2:2" ht="12.75" customHeight="1" x14ac:dyDescent="0.2">
      <c r="B49655" s="43"/>
    </row>
    <row r="49656" spans="2:2" ht="12.75" customHeight="1" x14ac:dyDescent="0.2">
      <c r="B49656" s="43"/>
    </row>
    <row r="49657" spans="2:2" ht="12.75" customHeight="1" x14ac:dyDescent="0.2">
      <c r="B49657" s="43"/>
    </row>
    <row r="49658" spans="2:2" ht="12.75" customHeight="1" x14ac:dyDescent="0.2">
      <c r="B49658" s="43"/>
    </row>
    <row r="49659" spans="2:2" ht="12.75" customHeight="1" x14ac:dyDescent="0.2">
      <c r="B49659" s="43"/>
    </row>
    <row r="49660" spans="2:2" ht="12.75" customHeight="1" x14ac:dyDescent="0.2">
      <c r="B49660" s="43"/>
    </row>
    <row r="49661" spans="2:2" ht="12.75" customHeight="1" x14ac:dyDescent="0.2">
      <c r="B49661" s="43"/>
    </row>
    <row r="49662" spans="2:2" ht="12.75" customHeight="1" x14ac:dyDescent="0.2">
      <c r="B49662" s="43"/>
    </row>
    <row r="49663" spans="2:2" ht="12.75" customHeight="1" x14ac:dyDescent="0.2">
      <c r="B49663" s="43"/>
    </row>
    <row r="49664" spans="2:2" ht="12.75" customHeight="1" x14ac:dyDescent="0.2">
      <c r="B49664" s="43"/>
    </row>
    <row r="49665" spans="2:2" ht="12.75" customHeight="1" x14ac:dyDescent="0.2">
      <c r="B49665" s="43"/>
    </row>
    <row r="49666" spans="2:2" ht="12.75" customHeight="1" x14ac:dyDescent="0.2">
      <c r="B49666" s="43"/>
    </row>
    <row r="49667" spans="2:2" ht="12.75" customHeight="1" x14ac:dyDescent="0.2">
      <c r="B49667" s="43"/>
    </row>
    <row r="49668" spans="2:2" ht="12.75" customHeight="1" x14ac:dyDescent="0.2">
      <c r="B49668" s="43"/>
    </row>
    <row r="49669" spans="2:2" ht="12.75" customHeight="1" x14ac:dyDescent="0.2">
      <c r="B49669" s="43"/>
    </row>
    <row r="49670" spans="2:2" ht="12.75" customHeight="1" x14ac:dyDescent="0.2">
      <c r="B49670" s="43"/>
    </row>
    <row r="49671" spans="2:2" ht="12.75" customHeight="1" x14ac:dyDescent="0.2">
      <c r="B49671" s="43"/>
    </row>
    <row r="49672" spans="2:2" ht="12.75" customHeight="1" x14ac:dyDescent="0.2">
      <c r="B49672" s="43"/>
    </row>
    <row r="49673" spans="2:2" ht="12.75" customHeight="1" x14ac:dyDescent="0.2">
      <c r="B49673" s="43"/>
    </row>
    <row r="49674" spans="2:2" ht="12.75" customHeight="1" x14ac:dyDescent="0.2">
      <c r="B49674" s="43"/>
    </row>
    <row r="49675" spans="2:2" ht="12.75" customHeight="1" x14ac:dyDescent="0.2">
      <c r="B49675" s="43"/>
    </row>
    <row r="49676" spans="2:2" ht="12.75" customHeight="1" x14ac:dyDescent="0.2">
      <c r="B49676" s="43"/>
    </row>
    <row r="49677" spans="2:2" ht="12.75" customHeight="1" x14ac:dyDescent="0.2">
      <c r="B49677" s="43"/>
    </row>
    <row r="49678" spans="2:2" ht="12.75" customHeight="1" x14ac:dyDescent="0.2">
      <c r="B49678" s="43"/>
    </row>
    <row r="49679" spans="2:2" ht="12.75" customHeight="1" x14ac:dyDescent="0.2">
      <c r="B49679" s="43"/>
    </row>
    <row r="49680" spans="2:2" ht="12.75" customHeight="1" x14ac:dyDescent="0.2">
      <c r="B49680" s="43"/>
    </row>
    <row r="49681" spans="2:2" ht="12.75" customHeight="1" x14ac:dyDescent="0.2">
      <c r="B49681" s="43"/>
    </row>
    <row r="49682" spans="2:2" ht="12.75" customHeight="1" x14ac:dyDescent="0.2">
      <c r="B49682" s="43"/>
    </row>
    <row r="49683" spans="2:2" ht="12.75" customHeight="1" x14ac:dyDescent="0.2">
      <c r="B49683" s="43"/>
    </row>
    <row r="49684" spans="2:2" ht="12.75" customHeight="1" x14ac:dyDescent="0.2">
      <c r="B49684" s="43"/>
    </row>
    <row r="49685" spans="2:2" ht="12.75" customHeight="1" x14ac:dyDescent="0.2">
      <c r="B49685" s="43"/>
    </row>
    <row r="49686" spans="2:2" ht="12.75" customHeight="1" x14ac:dyDescent="0.2">
      <c r="B49686" s="43"/>
    </row>
    <row r="49687" spans="2:2" ht="12.75" customHeight="1" x14ac:dyDescent="0.2">
      <c r="B49687" s="43"/>
    </row>
    <row r="49688" spans="2:2" ht="12.75" customHeight="1" x14ac:dyDescent="0.2">
      <c r="B49688" s="43"/>
    </row>
    <row r="49689" spans="2:2" ht="12.75" customHeight="1" x14ac:dyDescent="0.2">
      <c r="B49689" s="43"/>
    </row>
    <row r="49690" spans="2:2" ht="12.75" customHeight="1" x14ac:dyDescent="0.2">
      <c r="B49690" s="43"/>
    </row>
    <row r="49691" spans="2:2" ht="12.75" customHeight="1" x14ac:dyDescent="0.2">
      <c r="B49691" s="43"/>
    </row>
    <row r="49692" spans="2:2" ht="12.75" customHeight="1" x14ac:dyDescent="0.2">
      <c r="B49692" s="43"/>
    </row>
    <row r="49693" spans="2:2" ht="12.75" customHeight="1" x14ac:dyDescent="0.2">
      <c r="B49693" s="43"/>
    </row>
    <row r="49694" spans="2:2" ht="12.75" customHeight="1" x14ac:dyDescent="0.2">
      <c r="B49694" s="43"/>
    </row>
    <row r="49695" spans="2:2" ht="12.75" customHeight="1" x14ac:dyDescent="0.2">
      <c r="B49695" s="43"/>
    </row>
    <row r="49696" spans="2:2" ht="12.75" customHeight="1" x14ac:dyDescent="0.2">
      <c r="B49696" s="43"/>
    </row>
    <row r="49697" spans="2:2" ht="12.75" customHeight="1" x14ac:dyDescent="0.2">
      <c r="B49697" s="43"/>
    </row>
    <row r="49698" spans="2:2" ht="12.75" customHeight="1" x14ac:dyDescent="0.2">
      <c r="B49698" s="43"/>
    </row>
    <row r="49699" spans="2:2" ht="12.75" customHeight="1" x14ac:dyDescent="0.2">
      <c r="B49699" s="43"/>
    </row>
    <row r="49700" spans="2:2" ht="12.75" customHeight="1" x14ac:dyDescent="0.2">
      <c r="B49700" s="43"/>
    </row>
    <row r="49701" spans="2:2" ht="12.75" customHeight="1" x14ac:dyDescent="0.2">
      <c r="B49701" s="43"/>
    </row>
    <row r="49702" spans="2:2" ht="12.75" customHeight="1" x14ac:dyDescent="0.2">
      <c r="B49702" s="43"/>
    </row>
    <row r="49703" spans="2:2" ht="12.75" customHeight="1" x14ac:dyDescent="0.2">
      <c r="B49703" s="43"/>
    </row>
    <row r="49704" spans="2:2" ht="12.75" customHeight="1" x14ac:dyDescent="0.2">
      <c r="B49704" s="43"/>
    </row>
    <row r="49705" spans="2:2" ht="12.75" customHeight="1" x14ac:dyDescent="0.2">
      <c r="B49705" s="43"/>
    </row>
    <row r="49706" spans="2:2" ht="12.75" customHeight="1" x14ac:dyDescent="0.2">
      <c r="B49706" s="43"/>
    </row>
    <row r="49707" spans="2:2" ht="12.75" customHeight="1" x14ac:dyDescent="0.2">
      <c r="B49707" s="43"/>
    </row>
    <row r="49708" spans="2:2" ht="12.75" customHeight="1" x14ac:dyDescent="0.2">
      <c r="B49708" s="43"/>
    </row>
    <row r="49709" spans="2:2" ht="12.75" customHeight="1" x14ac:dyDescent="0.2">
      <c r="B49709" s="43"/>
    </row>
    <row r="49710" spans="2:2" ht="12.75" customHeight="1" x14ac:dyDescent="0.2">
      <c r="B49710" s="43"/>
    </row>
    <row r="49711" spans="2:2" ht="12.75" customHeight="1" x14ac:dyDescent="0.2">
      <c r="B49711" s="43"/>
    </row>
    <row r="49712" spans="2:2" ht="12.75" customHeight="1" x14ac:dyDescent="0.2">
      <c r="B49712" s="43"/>
    </row>
    <row r="49713" spans="2:2" ht="12.75" customHeight="1" x14ac:dyDescent="0.2">
      <c r="B49713" s="43"/>
    </row>
    <row r="49714" spans="2:2" ht="12.75" customHeight="1" x14ac:dyDescent="0.2">
      <c r="B49714" s="43"/>
    </row>
    <row r="49715" spans="2:2" ht="12.75" customHeight="1" x14ac:dyDescent="0.2">
      <c r="B49715" s="43"/>
    </row>
    <row r="49716" spans="2:2" ht="12.75" customHeight="1" x14ac:dyDescent="0.2">
      <c r="B49716" s="43"/>
    </row>
    <row r="49717" spans="2:2" ht="12.75" customHeight="1" x14ac:dyDescent="0.2">
      <c r="B49717" s="43"/>
    </row>
    <row r="49718" spans="2:2" ht="12.75" customHeight="1" x14ac:dyDescent="0.2">
      <c r="B49718" s="43"/>
    </row>
    <row r="49719" spans="2:2" ht="12.75" customHeight="1" x14ac:dyDescent="0.2">
      <c r="B49719" s="43"/>
    </row>
    <row r="49720" spans="2:2" ht="12.75" customHeight="1" x14ac:dyDescent="0.2">
      <c r="B49720" s="43"/>
    </row>
    <row r="49721" spans="2:2" ht="12.75" customHeight="1" x14ac:dyDescent="0.2">
      <c r="B49721" s="43"/>
    </row>
    <row r="49722" spans="2:2" ht="12.75" customHeight="1" x14ac:dyDescent="0.2">
      <c r="B49722" s="43"/>
    </row>
    <row r="49723" spans="2:2" ht="12.75" customHeight="1" x14ac:dyDescent="0.2">
      <c r="B49723" s="43"/>
    </row>
    <row r="49724" spans="2:2" ht="12.75" customHeight="1" x14ac:dyDescent="0.2">
      <c r="B49724" s="43"/>
    </row>
    <row r="49725" spans="2:2" ht="12.75" customHeight="1" x14ac:dyDescent="0.2">
      <c r="B49725" s="43"/>
    </row>
    <row r="49726" spans="2:2" ht="12.75" customHeight="1" x14ac:dyDescent="0.2">
      <c r="B49726" s="43"/>
    </row>
    <row r="49727" spans="2:2" ht="12.75" customHeight="1" x14ac:dyDescent="0.2">
      <c r="B49727" s="43"/>
    </row>
    <row r="49728" spans="2:2" ht="12.75" customHeight="1" x14ac:dyDescent="0.2">
      <c r="B49728" s="43"/>
    </row>
    <row r="49729" spans="2:2" ht="12.75" customHeight="1" x14ac:dyDescent="0.2">
      <c r="B49729" s="43"/>
    </row>
    <row r="49730" spans="2:2" ht="12.75" customHeight="1" x14ac:dyDescent="0.2">
      <c r="B49730" s="43"/>
    </row>
    <row r="49731" spans="2:2" ht="12.75" customHeight="1" x14ac:dyDescent="0.2">
      <c r="B49731" s="43"/>
    </row>
    <row r="49732" spans="2:2" ht="12.75" customHeight="1" x14ac:dyDescent="0.2">
      <c r="B49732" s="43"/>
    </row>
    <row r="49733" spans="2:2" ht="12.75" customHeight="1" x14ac:dyDescent="0.2">
      <c r="B49733" s="43"/>
    </row>
    <row r="49734" spans="2:2" ht="12.75" customHeight="1" x14ac:dyDescent="0.2">
      <c r="B49734" s="43"/>
    </row>
    <row r="49735" spans="2:2" ht="12.75" customHeight="1" x14ac:dyDescent="0.2">
      <c r="B49735" s="43"/>
    </row>
    <row r="49736" spans="2:2" ht="12.75" customHeight="1" x14ac:dyDescent="0.2">
      <c r="B49736" s="43"/>
    </row>
    <row r="49737" spans="2:2" ht="12.75" customHeight="1" x14ac:dyDescent="0.2">
      <c r="B49737" s="43"/>
    </row>
    <row r="49738" spans="2:2" ht="12.75" customHeight="1" x14ac:dyDescent="0.2">
      <c r="B49738" s="43"/>
    </row>
    <row r="49739" spans="2:2" ht="12.75" customHeight="1" x14ac:dyDescent="0.2">
      <c r="B49739" s="43"/>
    </row>
    <row r="49740" spans="2:2" ht="12.75" customHeight="1" x14ac:dyDescent="0.2">
      <c r="B49740" s="43"/>
    </row>
    <row r="49741" spans="2:2" ht="12.75" customHeight="1" x14ac:dyDescent="0.2">
      <c r="B49741" s="43"/>
    </row>
    <row r="49742" spans="2:2" ht="12.75" customHeight="1" x14ac:dyDescent="0.2">
      <c r="B49742" s="43"/>
    </row>
    <row r="49743" spans="2:2" ht="12.75" customHeight="1" x14ac:dyDescent="0.2">
      <c r="B49743" s="43"/>
    </row>
    <row r="49744" spans="2:2" ht="12.75" customHeight="1" x14ac:dyDescent="0.2">
      <c r="B49744" s="43"/>
    </row>
    <row r="49745" spans="2:2" ht="12.75" customHeight="1" x14ac:dyDescent="0.2">
      <c r="B49745" s="43"/>
    </row>
    <row r="49746" spans="2:2" ht="12.75" customHeight="1" x14ac:dyDescent="0.2">
      <c r="B49746" s="43"/>
    </row>
    <row r="49747" spans="2:2" ht="12.75" customHeight="1" x14ac:dyDescent="0.2">
      <c r="B49747" s="43"/>
    </row>
    <row r="49748" spans="2:2" ht="12.75" customHeight="1" x14ac:dyDescent="0.2">
      <c r="B49748" s="43"/>
    </row>
    <row r="49749" spans="2:2" ht="12.75" customHeight="1" x14ac:dyDescent="0.2">
      <c r="B49749" s="43"/>
    </row>
    <row r="49750" spans="2:2" ht="12.75" customHeight="1" x14ac:dyDescent="0.2">
      <c r="B49750" s="43"/>
    </row>
    <row r="49751" spans="2:2" ht="12.75" customHeight="1" x14ac:dyDescent="0.2">
      <c r="B49751" s="43"/>
    </row>
    <row r="49752" spans="2:2" ht="12.75" customHeight="1" x14ac:dyDescent="0.2">
      <c r="B49752" s="43"/>
    </row>
    <row r="49753" spans="2:2" ht="12.75" customHeight="1" x14ac:dyDescent="0.2">
      <c r="B49753" s="43"/>
    </row>
    <row r="49754" spans="2:2" ht="12.75" customHeight="1" x14ac:dyDescent="0.2">
      <c r="B49754" s="43"/>
    </row>
    <row r="49755" spans="2:2" ht="12.75" customHeight="1" x14ac:dyDescent="0.2">
      <c r="B49755" s="43"/>
    </row>
    <row r="49756" spans="2:2" ht="12.75" customHeight="1" x14ac:dyDescent="0.2">
      <c r="B49756" s="43"/>
    </row>
    <row r="49757" spans="2:2" ht="12.75" customHeight="1" x14ac:dyDescent="0.2">
      <c r="B49757" s="43"/>
    </row>
    <row r="49758" spans="2:2" ht="12.75" customHeight="1" x14ac:dyDescent="0.2">
      <c r="B49758" s="43"/>
    </row>
    <row r="49759" spans="2:2" ht="12.75" customHeight="1" x14ac:dyDescent="0.2">
      <c r="B49759" s="43"/>
    </row>
    <row r="49760" spans="2:2" ht="12.75" customHeight="1" x14ac:dyDescent="0.2">
      <c r="B49760" s="43"/>
    </row>
    <row r="49761" spans="2:2" ht="12.75" customHeight="1" x14ac:dyDescent="0.2">
      <c r="B49761" s="43"/>
    </row>
    <row r="49762" spans="2:2" ht="12.75" customHeight="1" x14ac:dyDescent="0.2">
      <c r="B49762" s="43"/>
    </row>
    <row r="49763" spans="2:2" ht="12.75" customHeight="1" x14ac:dyDescent="0.2">
      <c r="B49763" s="43"/>
    </row>
    <row r="49764" spans="2:2" ht="12.75" customHeight="1" x14ac:dyDescent="0.2">
      <c r="B49764" s="43"/>
    </row>
    <row r="49765" spans="2:2" ht="12.75" customHeight="1" x14ac:dyDescent="0.2">
      <c r="B49765" s="43"/>
    </row>
    <row r="49766" spans="2:2" ht="12.75" customHeight="1" x14ac:dyDescent="0.2">
      <c r="B49766" s="43"/>
    </row>
    <row r="49767" spans="2:2" ht="12.75" customHeight="1" x14ac:dyDescent="0.2">
      <c r="B49767" s="43"/>
    </row>
    <row r="49768" spans="2:2" ht="12.75" customHeight="1" x14ac:dyDescent="0.2">
      <c r="B49768" s="43"/>
    </row>
    <row r="49769" spans="2:2" ht="12.75" customHeight="1" x14ac:dyDescent="0.2">
      <c r="B49769" s="43"/>
    </row>
    <row r="49770" spans="2:2" ht="12.75" customHeight="1" x14ac:dyDescent="0.2">
      <c r="B49770" s="43"/>
    </row>
    <row r="49771" spans="2:2" ht="12.75" customHeight="1" x14ac:dyDescent="0.2">
      <c r="B49771" s="43"/>
    </row>
    <row r="49772" spans="2:2" ht="12.75" customHeight="1" x14ac:dyDescent="0.2">
      <c r="B49772" s="43"/>
    </row>
    <row r="49773" spans="2:2" ht="12.75" customHeight="1" x14ac:dyDescent="0.2">
      <c r="B49773" s="43"/>
    </row>
    <row r="49774" spans="2:2" ht="12.75" customHeight="1" x14ac:dyDescent="0.2">
      <c r="B49774" s="43"/>
    </row>
    <row r="49775" spans="2:2" ht="12.75" customHeight="1" x14ac:dyDescent="0.2">
      <c r="B49775" s="43"/>
    </row>
    <row r="49776" spans="2:2" ht="12.75" customHeight="1" x14ac:dyDescent="0.2">
      <c r="B49776" s="43"/>
    </row>
    <row r="49777" spans="2:2" ht="12.75" customHeight="1" x14ac:dyDescent="0.2">
      <c r="B49777" s="43"/>
    </row>
    <row r="49778" spans="2:2" ht="12.75" customHeight="1" x14ac:dyDescent="0.2">
      <c r="B49778" s="43"/>
    </row>
    <row r="49779" spans="2:2" ht="12.75" customHeight="1" x14ac:dyDescent="0.2">
      <c r="B49779" s="43"/>
    </row>
    <row r="49780" spans="2:2" ht="12.75" customHeight="1" x14ac:dyDescent="0.2">
      <c r="B49780" s="43"/>
    </row>
    <row r="49781" spans="2:2" ht="12.75" customHeight="1" x14ac:dyDescent="0.2">
      <c r="B49781" s="43"/>
    </row>
    <row r="49782" spans="2:2" ht="12.75" customHeight="1" x14ac:dyDescent="0.2">
      <c r="B49782" s="43"/>
    </row>
    <row r="49783" spans="2:2" ht="12.75" customHeight="1" x14ac:dyDescent="0.2">
      <c r="B49783" s="43"/>
    </row>
    <row r="49784" spans="2:2" ht="12.75" customHeight="1" x14ac:dyDescent="0.2">
      <c r="B49784" s="43"/>
    </row>
    <row r="49785" spans="2:2" ht="12.75" customHeight="1" x14ac:dyDescent="0.2">
      <c r="B49785" s="43"/>
    </row>
    <row r="49786" spans="2:2" ht="12.75" customHeight="1" x14ac:dyDescent="0.2">
      <c r="B49786" s="43"/>
    </row>
    <row r="49787" spans="2:2" ht="12.75" customHeight="1" x14ac:dyDescent="0.2">
      <c r="B49787" s="43"/>
    </row>
    <row r="49788" spans="2:2" ht="12.75" customHeight="1" x14ac:dyDescent="0.2">
      <c r="B49788" s="43"/>
    </row>
    <row r="49789" spans="2:2" ht="12.75" customHeight="1" x14ac:dyDescent="0.2">
      <c r="B49789" s="43"/>
    </row>
    <row r="49790" spans="2:2" ht="12.75" customHeight="1" x14ac:dyDescent="0.2">
      <c r="B49790" s="43"/>
    </row>
    <row r="49791" spans="2:2" ht="12.75" customHeight="1" x14ac:dyDescent="0.2">
      <c r="B49791" s="43"/>
    </row>
    <row r="49792" spans="2:2" ht="12.75" customHeight="1" x14ac:dyDescent="0.2">
      <c r="B49792" s="43"/>
    </row>
    <row r="49793" spans="2:2" ht="12.75" customHeight="1" x14ac:dyDescent="0.2">
      <c r="B49793" s="43"/>
    </row>
    <row r="49794" spans="2:2" ht="12.75" customHeight="1" x14ac:dyDescent="0.2">
      <c r="B49794" s="43"/>
    </row>
    <row r="49795" spans="2:2" ht="12.75" customHeight="1" x14ac:dyDescent="0.2">
      <c r="B49795" s="43"/>
    </row>
    <row r="49796" spans="2:2" ht="12.75" customHeight="1" x14ac:dyDescent="0.2">
      <c r="B49796" s="43"/>
    </row>
    <row r="49797" spans="2:2" ht="12.75" customHeight="1" x14ac:dyDescent="0.2">
      <c r="B49797" s="43"/>
    </row>
    <row r="49798" spans="2:2" ht="12.75" customHeight="1" x14ac:dyDescent="0.2">
      <c r="B49798" s="43"/>
    </row>
    <row r="49799" spans="2:2" ht="12.75" customHeight="1" x14ac:dyDescent="0.2">
      <c r="B49799" s="43"/>
    </row>
    <row r="49800" spans="2:2" ht="12.75" customHeight="1" x14ac:dyDescent="0.2">
      <c r="B49800" s="43"/>
    </row>
    <row r="49801" spans="2:2" ht="12.75" customHeight="1" x14ac:dyDescent="0.2">
      <c r="B49801" s="43"/>
    </row>
    <row r="49802" spans="2:2" ht="12.75" customHeight="1" x14ac:dyDescent="0.2">
      <c r="B49802" s="43"/>
    </row>
    <row r="49803" spans="2:2" ht="12.75" customHeight="1" x14ac:dyDescent="0.2">
      <c r="B49803" s="43"/>
    </row>
    <row r="49804" spans="2:2" ht="12.75" customHeight="1" x14ac:dyDescent="0.2">
      <c r="B49804" s="43"/>
    </row>
    <row r="49805" spans="2:2" ht="12.75" customHeight="1" x14ac:dyDescent="0.2">
      <c r="B49805" s="43"/>
    </row>
    <row r="49806" spans="2:2" ht="12.75" customHeight="1" x14ac:dyDescent="0.2">
      <c r="B49806" s="43"/>
    </row>
    <row r="49807" spans="2:2" ht="12.75" customHeight="1" x14ac:dyDescent="0.2">
      <c r="B49807" s="43"/>
    </row>
    <row r="49808" spans="2:2" ht="12.75" customHeight="1" x14ac:dyDescent="0.2">
      <c r="B49808" s="43"/>
    </row>
    <row r="49809" spans="2:2" ht="12.75" customHeight="1" x14ac:dyDescent="0.2">
      <c r="B49809" s="43"/>
    </row>
    <row r="49810" spans="2:2" ht="12.75" customHeight="1" x14ac:dyDescent="0.2">
      <c r="B49810" s="43"/>
    </row>
    <row r="49811" spans="2:2" ht="12.75" customHeight="1" x14ac:dyDescent="0.2">
      <c r="B49811" s="43"/>
    </row>
    <row r="49812" spans="2:2" ht="12.75" customHeight="1" x14ac:dyDescent="0.2">
      <c r="B49812" s="43"/>
    </row>
    <row r="49813" spans="2:2" ht="12.75" customHeight="1" x14ac:dyDescent="0.2">
      <c r="B49813" s="43"/>
    </row>
    <row r="49814" spans="2:2" ht="12.75" customHeight="1" x14ac:dyDescent="0.2">
      <c r="B49814" s="43"/>
    </row>
    <row r="49815" spans="2:2" ht="12.75" customHeight="1" x14ac:dyDescent="0.2">
      <c r="B49815" s="43"/>
    </row>
    <row r="49816" spans="2:2" ht="12.75" customHeight="1" x14ac:dyDescent="0.2">
      <c r="B49816" s="43"/>
    </row>
    <row r="49817" spans="2:2" ht="12.75" customHeight="1" x14ac:dyDescent="0.2">
      <c r="B49817" s="43"/>
    </row>
    <row r="49818" spans="2:2" ht="12.75" customHeight="1" x14ac:dyDescent="0.2">
      <c r="B49818" s="43"/>
    </row>
    <row r="49819" spans="2:2" ht="12.75" customHeight="1" x14ac:dyDescent="0.2">
      <c r="B49819" s="43"/>
    </row>
    <row r="49820" spans="2:2" ht="12.75" customHeight="1" x14ac:dyDescent="0.2">
      <c r="B49820" s="43"/>
    </row>
    <row r="49821" spans="2:2" ht="12.75" customHeight="1" x14ac:dyDescent="0.2">
      <c r="B49821" s="43"/>
    </row>
    <row r="49822" spans="2:2" ht="12.75" customHeight="1" x14ac:dyDescent="0.2">
      <c r="B49822" s="43"/>
    </row>
    <row r="49823" spans="2:2" ht="12.75" customHeight="1" x14ac:dyDescent="0.2">
      <c r="B49823" s="43"/>
    </row>
    <row r="49824" spans="2:2" ht="12.75" customHeight="1" x14ac:dyDescent="0.2">
      <c r="B49824" s="43"/>
    </row>
    <row r="49825" spans="2:2" ht="12.75" customHeight="1" x14ac:dyDescent="0.2">
      <c r="B49825" s="43"/>
    </row>
    <row r="49826" spans="2:2" ht="12.75" customHeight="1" x14ac:dyDescent="0.2">
      <c r="B49826" s="43"/>
    </row>
    <row r="49827" spans="2:2" ht="12.75" customHeight="1" x14ac:dyDescent="0.2">
      <c r="B49827" s="43"/>
    </row>
    <row r="49828" spans="2:2" ht="12.75" customHeight="1" x14ac:dyDescent="0.2">
      <c r="B49828" s="43"/>
    </row>
    <row r="49829" spans="2:2" ht="12.75" customHeight="1" x14ac:dyDescent="0.2">
      <c r="B49829" s="43"/>
    </row>
    <row r="49830" spans="2:2" ht="12.75" customHeight="1" x14ac:dyDescent="0.2">
      <c r="B49830" s="43"/>
    </row>
    <row r="49831" spans="2:2" ht="12.75" customHeight="1" x14ac:dyDescent="0.2">
      <c r="B49831" s="43"/>
    </row>
    <row r="49832" spans="2:2" ht="12.75" customHeight="1" x14ac:dyDescent="0.2">
      <c r="B49832" s="43"/>
    </row>
    <row r="49833" spans="2:2" ht="12.75" customHeight="1" x14ac:dyDescent="0.2">
      <c r="B49833" s="43"/>
    </row>
    <row r="49834" spans="2:2" ht="12.75" customHeight="1" x14ac:dyDescent="0.2">
      <c r="B49834" s="43"/>
    </row>
    <row r="49835" spans="2:2" ht="12.75" customHeight="1" x14ac:dyDescent="0.2">
      <c r="B49835" s="43"/>
    </row>
    <row r="49836" spans="2:2" ht="12.75" customHeight="1" x14ac:dyDescent="0.2">
      <c r="B49836" s="43"/>
    </row>
    <row r="49837" spans="2:2" ht="12.75" customHeight="1" x14ac:dyDescent="0.2">
      <c r="B49837" s="43"/>
    </row>
    <row r="49838" spans="2:2" ht="12.75" customHeight="1" x14ac:dyDescent="0.2">
      <c r="B49838" s="43"/>
    </row>
    <row r="49839" spans="2:2" ht="12.75" customHeight="1" x14ac:dyDescent="0.2">
      <c r="B49839" s="43"/>
    </row>
    <row r="49840" spans="2:2" ht="12.75" customHeight="1" x14ac:dyDescent="0.2">
      <c r="B49840" s="43"/>
    </row>
    <row r="49841" spans="2:2" ht="12.75" customHeight="1" x14ac:dyDescent="0.2">
      <c r="B49841" s="43"/>
    </row>
    <row r="49842" spans="2:2" ht="12.75" customHeight="1" x14ac:dyDescent="0.2">
      <c r="B49842" s="43"/>
    </row>
    <row r="49843" spans="2:2" ht="12.75" customHeight="1" x14ac:dyDescent="0.2">
      <c r="B49843" s="43"/>
    </row>
    <row r="49844" spans="2:2" ht="12.75" customHeight="1" x14ac:dyDescent="0.2">
      <c r="B49844" s="43"/>
    </row>
    <row r="49845" spans="2:2" ht="12.75" customHeight="1" x14ac:dyDescent="0.2">
      <c r="B49845" s="43"/>
    </row>
    <row r="49846" spans="2:2" ht="12.75" customHeight="1" x14ac:dyDescent="0.2">
      <c r="B49846" s="43"/>
    </row>
    <row r="49847" spans="2:2" ht="12.75" customHeight="1" x14ac:dyDescent="0.2">
      <c r="B49847" s="43"/>
    </row>
    <row r="49848" spans="2:2" ht="12.75" customHeight="1" x14ac:dyDescent="0.2">
      <c r="B49848" s="43"/>
    </row>
    <row r="49849" spans="2:2" ht="12.75" customHeight="1" x14ac:dyDescent="0.2">
      <c r="B49849" s="43"/>
    </row>
    <row r="49850" spans="2:2" ht="12.75" customHeight="1" x14ac:dyDescent="0.2">
      <c r="B49850" s="43"/>
    </row>
    <row r="49851" spans="2:2" ht="12.75" customHeight="1" x14ac:dyDescent="0.2">
      <c r="B49851" s="43"/>
    </row>
    <row r="49852" spans="2:2" ht="12.75" customHeight="1" x14ac:dyDescent="0.2">
      <c r="B49852" s="43"/>
    </row>
    <row r="49853" spans="2:2" ht="12.75" customHeight="1" x14ac:dyDescent="0.2">
      <c r="B49853" s="43"/>
    </row>
    <row r="49854" spans="2:2" ht="12.75" customHeight="1" x14ac:dyDescent="0.2">
      <c r="B49854" s="43"/>
    </row>
    <row r="49855" spans="2:2" ht="12.75" customHeight="1" x14ac:dyDescent="0.2">
      <c r="B49855" s="43"/>
    </row>
    <row r="49856" spans="2:2" ht="12.75" customHeight="1" x14ac:dyDescent="0.2">
      <c r="B49856" s="43"/>
    </row>
    <row r="49857" spans="2:2" ht="12.75" customHeight="1" x14ac:dyDescent="0.2">
      <c r="B49857" s="43"/>
    </row>
    <row r="49858" spans="2:2" ht="12.75" customHeight="1" x14ac:dyDescent="0.2">
      <c r="B49858" s="43"/>
    </row>
    <row r="49859" spans="2:2" ht="12.75" customHeight="1" x14ac:dyDescent="0.2">
      <c r="B49859" s="43"/>
    </row>
    <row r="49860" spans="2:2" ht="12.75" customHeight="1" x14ac:dyDescent="0.2">
      <c r="B49860" s="43"/>
    </row>
    <row r="49861" spans="2:2" ht="12.75" customHeight="1" x14ac:dyDescent="0.2">
      <c r="B49861" s="43"/>
    </row>
    <row r="49862" spans="2:2" ht="12.75" customHeight="1" x14ac:dyDescent="0.2">
      <c r="B49862" s="43"/>
    </row>
    <row r="49863" spans="2:2" ht="12.75" customHeight="1" x14ac:dyDescent="0.2">
      <c r="B49863" s="43"/>
    </row>
    <row r="49864" spans="2:2" ht="12.75" customHeight="1" x14ac:dyDescent="0.2">
      <c r="B49864" s="43"/>
    </row>
    <row r="49865" spans="2:2" ht="12.75" customHeight="1" x14ac:dyDescent="0.2">
      <c r="B49865" s="43"/>
    </row>
    <row r="49866" spans="2:2" ht="12.75" customHeight="1" x14ac:dyDescent="0.2">
      <c r="B49866" s="43"/>
    </row>
    <row r="49867" spans="2:2" ht="12.75" customHeight="1" x14ac:dyDescent="0.2">
      <c r="B49867" s="43"/>
    </row>
    <row r="49868" spans="2:2" ht="12.75" customHeight="1" x14ac:dyDescent="0.2">
      <c r="B49868" s="43"/>
    </row>
    <row r="49869" spans="2:2" ht="12.75" customHeight="1" x14ac:dyDescent="0.2">
      <c r="B49869" s="43"/>
    </row>
    <row r="49870" spans="2:2" ht="12.75" customHeight="1" x14ac:dyDescent="0.2">
      <c r="B49870" s="43"/>
    </row>
    <row r="49871" spans="2:2" ht="12.75" customHeight="1" x14ac:dyDescent="0.2">
      <c r="B49871" s="43"/>
    </row>
    <row r="49872" spans="2:2" ht="12.75" customHeight="1" x14ac:dyDescent="0.2">
      <c r="B49872" s="43"/>
    </row>
    <row r="49873" spans="2:2" ht="12.75" customHeight="1" x14ac:dyDescent="0.2">
      <c r="B49873" s="43"/>
    </row>
    <row r="49874" spans="2:2" ht="12.75" customHeight="1" x14ac:dyDescent="0.2">
      <c r="B49874" s="43"/>
    </row>
    <row r="49875" spans="2:2" ht="12.75" customHeight="1" x14ac:dyDescent="0.2">
      <c r="B49875" s="43"/>
    </row>
    <row r="49876" spans="2:2" ht="12.75" customHeight="1" x14ac:dyDescent="0.2">
      <c r="B49876" s="43"/>
    </row>
    <row r="49877" spans="2:2" ht="12.75" customHeight="1" x14ac:dyDescent="0.2">
      <c r="B49877" s="43"/>
    </row>
    <row r="49878" spans="2:2" ht="12.75" customHeight="1" x14ac:dyDescent="0.2">
      <c r="B49878" s="43"/>
    </row>
    <row r="49879" spans="2:2" ht="12.75" customHeight="1" x14ac:dyDescent="0.2">
      <c r="B49879" s="43"/>
    </row>
    <row r="49880" spans="2:2" ht="12.75" customHeight="1" x14ac:dyDescent="0.2">
      <c r="B49880" s="43"/>
    </row>
    <row r="49881" spans="2:2" ht="12.75" customHeight="1" x14ac:dyDescent="0.2">
      <c r="B49881" s="43"/>
    </row>
    <row r="49882" spans="2:2" ht="12.75" customHeight="1" x14ac:dyDescent="0.2">
      <c r="B49882" s="43"/>
    </row>
    <row r="49883" spans="2:2" ht="12.75" customHeight="1" x14ac:dyDescent="0.2">
      <c r="B49883" s="43"/>
    </row>
    <row r="49884" spans="2:2" ht="12.75" customHeight="1" x14ac:dyDescent="0.2">
      <c r="B49884" s="43"/>
    </row>
    <row r="49885" spans="2:2" ht="12.75" customHeight="1" x14ac:dyDescent="0.2">
      <c r="B49885" s="43"/>
    </row>
    <row r="49886" spans="2:2" ht="12.75" customHeight="1" x14ac:dyDescent="0.2">
      <c r="B49886" s="43"/>
    </row>
    <row r="49887" spans="2:2" ht="12.75" customHeight="1" x14ac:dyDescent="0.2">
      <c r="B49887" s="43"/>
    </row>
    <row r="49888" spans="2:2" ht="12.75" customHeight="1" x14ac:dyDescent="0.2">
      <c r="B49888" s="43"/>
    </row>
    <row r="49889" spans="2:2" ht="12.75" customHeight="1" x14ac:dyDescent="0.2">
      <c r="B49889" s="43"/>
    </row>
    <row r="49890" spans="2:2" ht="12.75" customHeight="1" x14ac:dyDescent="0.2">
      <c r="B49890" s="43"/>
    </row>
    <row r="49891" spans="2:2" ht="12.75" customHeight="1" x14ac:dyDescent="0.2">
      <c r="B49891" s="43"/>
    </row>
    <row r="49892" spans="2:2" ht="12.75" customHeight="1" x14ac:dyDescent="0.2">
      <c r="B49892" s="43"/>
    </row>
    <row r="49893" spans="2:2" ht="12.75" customHeight="1" x14ac:dyDescent="0.2">
      <c r="B49893" s="43"/>
    </row>
    <row r="49894" spans="2:2" ht="12.75" customHeight="1" x14ac:dyDescent="0.2">
      <c r="B49894" s="43"/>
    </row>
    <row r="49895" spans="2:2" ht="12.75" customHeight="1" x14ac:dyDescent="0.2">
      <c r="B49895" s="43"/>
    </row>
    <row r="49896" spans="2:2" ht="12.75" customHeight="1" x14ac:dyDescent="0.2">
      <c r="B49896" s="43"/>
    </row>
    <row r="49897" spans="2:2" ht="12.75" customHeight="1" x14ac:dyDescent="0.2">
      <c r="B49897" s="43"/>
    </row>
    <row r="49898" spans="2:2" ht="12.75" customHeight="1" x14ac:dyDescent="0.2">
      <c r="B49898" s="43"/>
    </row>
    <row r="49899" spans="2:2" ht="12.75" customHeight="1" x14ac:dyDescent="0.2">
      <c r="B49899" s="43"/>
    </row>
    <row r="49900" spans="2:2" ht="12.75" customHeight="1" x14ac:dyDescent="0.2">
      <c r="B49900" s="43"/>
    </row>
    <row r="49901" spans="2:2" ht="12.75" customHeight="1" x14ac:dyDescent="0.2">
      <c r="B49901" s="43"/>
    </row>
    <row r="49902" spans="2:2" ht="12.75" customHeight="1" x14ac:dyDescent="0.2">
      <c r="B49902" s="43"/>
    </row>
    <row r="49903" spans="2:2" ht="12.75" customHeight="1" x14ac:dyDescent="0.2">
      <c r="B49903" s="43"/>
    </row>
    <row r="49904" spans="2:2" ht="12.75" customHeight="1" x14ac:dyDescent="0.2">
      <c r="B49904" s="43"/>
    </row>
    <row r="49905" spans="2:2" ht="12.75" customHeight="1" x14ac:dyDescent="0.2">
      <c r="B49905" s="43"/>
    </row>
    <row r="49906" spans="2:2" ht="12.75" customHeight="1" x14ac:dyDescent="0.2">
      <c r="B49906" s="43"/>
    </row>
    <row r="49907" spans="2:2" ht="12.75" customHeight="1" x14ac:dyDescent="0.2">
      <c r="B49907" s="43"/>
    </row>
    <row r="49908" spans="2:2" ht="12.75" customHeight="1" x14ac:dyDescent="0.2">
      <c r="B49908" s="43"/>
    </row>
    <row r="49909" spans="2:2" ht="12.75" customHeight="1" x14ac:dyDescent="0.2">
      <c r="B49909" s="43"/>
    </row>
    <row r="49910" spans="2:2" ht="12.75" customHeight="1" x14ac:dyDescent="0.2">
      <c r="B49910" s="43"/>
    </row>
    <row r="49911" spans="2:2" ht="12.75" customHeight="1" x14ac:dyDescent="0.2">
      <c r="B49911" s="43"/>
    </row>
    <row r="49912" spans="2:2" ht="12.75" customHeight="1" x14ac:dyDescent="0.2">
      <c r="B49912" s="43"/>
    </row>
    <row r="49913" spans="2:2" ht="12.75" customHeight="1" x14ac:dyDescent="0.2">
      <c r="B49913" s="43"/>
    </row>
    <row r="49914" spans="2:2" ht="12.75" customHeight="1" x14ac:dyDescent="0.2">
      <c r="B49914" s="43"/>
    </row>
    <row r="49915" spans="2:2" ht="12.75" customHeight="1" x14ac:dyDescent="0.2">
      <c r="B49915" s="43"/>
    </row>
    <row r="49916" spans="2:2" ht="12.75" customHeight="1" x14ac:dyDescent="0.2">
      <c r="B49916" s="43"/>
    </row>
    <row r="49917" spans="2:2" ht="12.75" customHeight="1" x14ac:dyDescent="0.2">
      <c r="B49917" s="43"/>
    </row>
    <row r="49918" spans="2:2" ht="12.75" customHeight="1" x14ac:dyDescent="0.2">
      <c r="B49918" s="43"/>
    </row>
    <row r="49919" spans="2:2" ht="12.75" customHeight="1" x14ac:dyDescent="0.2">
      <c r="B49919" s="43"/>
    </row>
    <row r="49920" spans="2:2" ht="12.75" customHeight="1" x14ac:dyDescent="0.2">
      <c r="B49920" s="43"/>
    </row>
    <row r="49921" spans="2:2" ht="12.75" customHeight="1" x14ac:dyDescent="0.2">
      <c r="B49921" s="43"/>
    </row>
    <row r="49922" spans="2:2" ht="12.75" customHeight="1" x14ac:dyDescent="0.2">
      <c r="B49922" s="43"/>
    </row>
    <row r="49923" spans="2:2" ht="12.75" customHeight="1" x14ac:dyDescent="0.2">
      <c r="B49923" s="43"/>
    </row>
    <row r="49924" spans="2:2" ht="12.75" customHeight="1" x14ac:dyDescent="0.2">
      <c r="B49924" s="43"/>
    </row>
    <row r="49925" spans="2:2" ht="12.75" customHeight="1" x14ac:dyDescent="0.2">
      <c r="B49925" s="43"/>
    </row>
    <row r="49926" spans="2:2" ht="12.75" customHeight="1" x14ac:dyDescent="0.2">
      <c r="B49926" s="43"/>
    </row>
    <row r="49927" spans="2:2" ht="12.75" customHeight="1" x14ac:dyDescent="0.2">
      <c r="B49927" s="43"/>
    </row>
    <row r="49928" spans="2:2" ht="12.75" customHeight="1" x14ac:dyDescent="0.2">
      <c r="B49928" s="43"/>
    </row>
    <row r="49929" spans="2:2" ht="12.75" customHeight="1" x14ac:dyDescent="0.2">
      <c r="B49929" s="43"/>
    </row>
    <row r="49930" spans="2:2" ht="12.75" customHeight="1" x14ac:dyDescent="0.2">
      <c r="B49930" s="43"/>
    </row>
    <row r="49931" spans="2:2" ht="12.75" customHeight="1" x14ac:dyDescent="0.2">
      <c r="B49931" s="43"/>
    </row>
    <row r="49932" spans="2:2" ht="12.75" customHeight="1" x14ac:dyDescent="0.2">
      <c r="B49932" s="43"/>
    </row>
    <row r="49933" spans="2:2" ht="12.75" customHeight="1" x14ac:dyDescent="0.2">
      <c r="B49933" s="43"/>
    </row>
    <row r="49934" spans="2:2" ht="12.75" customHeight="1" x14ac:dyDescent="0.2">
      <c r="B49934" s="43"/>
    </row>
    <row r="49935" spans="2:2" ht="12.75" customHeight="1" x14ac:dyDescent="0.2">
      <c r="B49935" s="43"/>
    </row>
    <row r="49936" spans="2:2" ht="12.75" customHeight="1" x14ac:dyDescent="0.2">
      <c r="B49936" s="43"/>
    </row>
    <row r="49937" spans="2:2" ht="12.75" customHeight="1" x14ac:dyDescent="0.2">
      <c r="B49937" s="43"/>
    </row>
    <row r="49938" spans="2:2" ht="12.75" customHeight="1" x14ac:dyDescent="0.2">
      <c r="B49938" s="43"/>
    </row>
    <row r="49939" spans="2:2" ht="12.75" customHeight="1" x14ac:dyDescent="0.2">
      <c r="B49939" s="43"/>
    </row>
    <row r="49940" spans="2:2" ht="12.75" customHeight="1" x14ac:dyDescent="0.2">
      <c r="B49940" s="43"/>
    </row>
    <row r="49941" spans="2:2" ht="12.75" customHeight="1" x14ac:dyDescent="0.2">
      <c r="B49941" s="43"/>
    </row>
    <row r="49942" spans="2:2" ht="12.75" customHeight="1" x14ac:dyDescent="0.2">
      <c r="B49942" s="43"/>
    </row>
    <row r="49943" spans="2:2" ht="12.75" customHeight="1" x14ac:dyDescent="0.2">
      <c r="B49943" s="43"/>
    </row>
    <row r="49944" spans="2:2" ht="12.75" customHeight="1" x14ac:dyDescent="0.2">
      <c r="B49944" s="43"/>
    </row>
    <row r="49945" spans="2:2" ht="12.75" customHeight="1" x14ac:dyDescent="0.2">
      <c r="B49945" s="43"/>
    </row>
    <row r="49946" spans="2:2" ht="12.75" customHeight="1" x14ac:dyDescent="0.2">
      <c r="B49946" s="43"/>
    </row>
    <row r="49947" spans="2:2" ht="12.75" customHeight="1" x14ac:dyDescent="0.2">
      <c r="B49947" s="43"/>
    </row>
    <row r="49948" spans="2:2" ht="12.75" customHeight="1" x14ac:dyDescent="0.2">
      <c r="B49948" s="43"/>
    </row>
    <row r="49949" spans="2:2" ht="12.75" customHeight="1" x14ac:dyDescent="0.2">
      <c r="B49949" s="43"/>
    </row>
    <row r="49950" spans="2:2" ht="12.75" customHeight="1" x14ac:dyDescent="0.2">
      <c r="B49950" s="43"/>
    </row>
    <row r="49951" spans="2:2" ht="12.75" customHeight="1" x14ac:dyDescent="0.2">
      <c r="B49951" s="43"/>
    </row>
    <row r="49952" spans="2:2" ht="12.75" customHeight="1" x14ac:dyDescent="0.2">
      <c r="B49952" s="43"/>
    </row>
    <row r="49953" spans="2:2" ht="12.75" customHeight="1" x14ac:dyDescent="0.2">
      <c r="B49953" s="43"/>
    </row>
    <row r="49954" spans="2:2" ht="12.75" customHeight="1" x14ac:dyDescent="0.2">
      <c r="B49954" s="43"/>
    </row>
    <row r="49955" spans="2:2" ht="12.75" customHeight="1" x14ac:dyDescent="0.2">
      <c r="B49955" s="43"/>
    </row>
    <row r="49956" spans="2:2" ht="12.75" customHeight="1" x14ac:dyDescent="0.2">
      <c r="B49956" s="43"/>
    </row>
    <row r="49957" spans="2:2" ht="12.75" customHeight="1" x14ac:dyDescent="0.2">
      <c r="B49957" s="43"/>
    </row>
    <row r="49958" spans="2:2" ht="12.75" customHeight="1" x14ac:dyDescent="0.2">
      <c r="B49958" s="43"/>
    </row>
    <row r="49959" spans="2:2" ht="12.75" customHeight="1" x14ac:dyDescent="0.2">
      <c r="B49959" s="43"/>
    </row>
    <row r="49960" spans="2:2" ht="12.75" customHeight="1" x14ac:dyDescent="0.2">
      <c r="B49960" s="43"/>
    </row>
    <row r="49961" spans="2:2" ht="12.75" customHeight="1" x14ac:dyDescent="0.2">
      <c r="B49961" s="43"/>
    </row>
    <row r="49962" spans="2:2" ht="12.75" customHeight="1" x14ac:dyDescent="0.2">
      <c r="B49962" s="43"/>
    </row>
    <row r="49963" spans="2:2" ht="12.75" customHeight="1" x14ac:dyDescent="0.2">
      <c r="B49963" s="43"/>
    </row>
    <row r="49964" spans="2:2" ht="12.75" customHeight="1" x14ac:dyDescent="0.2">
      <c r="B49964" s="43"/>
    </row>
    <row r="49965" spans="2:2" ht="12.75" customHeight="1" x14ac:dyDescent="0.2">
      <c r="B49965" s="43"/>
    </row>
    <row r="49966" spans="2:2" ht="12.75" customHeight="1" x14ac:dyDescent="0.2">
      <c r="B49966" s="43"/>
    </row>
    <row r="49967" spans="2:2" ht="12.75" customHeight="1" x14ac:dyDescent="0.2">
      <c r="B49967" s="43"/>
    </row>
    <row r="49968" spans="2:2" ht="12.75" customHeight="1" x14ac:dyDescent="0.2">
      <c r="B49968" s="43"/>
    </row>
    <row r="49969" spans="2:2" ht="12.75" customHeight="1" x14ac:dyDescent="0.2">
      <c r="B49969" s="43"/>
    </row>
    <row r="49970" spans="2:2" ht="12.75" customHeight="1" x14ac:dyDescent="0.2">
      <c r="B49970" s="43"/>
    </row>
    <row r="49971" spans="2:2" ht="12.75" customHeight="1" x14ac:dyDescent="0.2">
      <c r="B49971" s="43"/>
    </row>
    <row r="49972" spans="2:2" ht="12.75" customHeight="1" x14ac:dyDescent="0.2">
      <c r="B49972" s="43"/>
    </row>
    <row r="49973" spans="2:2" ht="12.75" customHeight="1" x14ac:dyDescent="0.2">
      <c r="B49973" s="43"/>
    </row>
    <row r="49974" spans="2:2" ht="12.75" customHeight="1" x14ac:dyDescent="0.2">
      <c r="B49974" s="43"/>
    </row>
    <row r="49975" spans="2:2" ht="12.75" customHeight="1" x14ac:dyDescent="0.2">
      <c r="B49975" s="43"/>
    </row>
    <row r="49976" spans="2:2" ht="12.75" customHeight="1" x14ac:dyDescent="0.2">
      <c r="B49976" s="43"/>
    </row>
    <row r="49977" spans="2:2" ht="12.75" customHeight="1" x14ac:dyDescent="0.2">
      <c r="B49977" s="43"/>
    </row>
    <row r="49978" spans="2:2" ht="12.75" customHeight="1" x14ac:dyDescent="0.2">
      <c r="B49978" s="43"/>
    </row>
    <row r="49979" spans="2:2" ht="12.75" customHeight="1" x14ac:dyDescent="0.2">
      <c r="B49979" s="43"/>
    </row>
    <row r="49980" spans="2:2" ht="12.75" customHeight="1" x14ac:dyDescent="0.2">
      <c r="B49980" s="43"/>
    </row>
    <row r="49981" spans="2:2" ht="12.75" customHeight="1" x14ac:dyDescent="0.2">
      <c r="B49981" s="43"/>
    </row>
    <row r="49982" spans="2:2" ht="12.75" customHeight="1" x14ac:dyDescent="0.2">
      <c r="B49982" s="43"/>
    </row>
    <row r="49983" spans="2:2" ht="12.75" customHeight="1" x14ac:dyDescent="0.2">
      <c r="B49983" s="43"/>
    </row>
    <row r="49984" spans="2:2" ht="12.75" customHeight="1" x14ac:dyDescent="0.2">
      <c r="B49984" s="43"/>
    </row>
    <row r="49985" spans="2:2" ht="12.75" customHeight="1" x14ac:dyDescent="0.2">
      <c r="B49985" s="43"/>
    </row>
    <row r="49986" spans="2:2" ht="12.75" customHeight="1" x14ac:dyDescent="0.2">
      <c r="B49986" s="43"/>
    </row>
    <row r="49987" spans="2:2" ht="12.75" customHeight="1" x14ac:dyDescent="0.2">
      <c r="B49987" s="43"/>
    </row>
    <row r="49988" spans="2:2" ht="12.75" customHeight="1" x14ac:dyDescent="0.2">
      <c r="B49988" s="43"/>
    </row>
    <row r="49989" spans="2:2" ht="12.75" customHeight="1" x14ac:dyDescent="0.2">
      <c r="B49989" s="43"/>
    </row>
    <row r="49990" spans="2:2" ht="12.75" customHeight="1" x14ac:dyDescent="0.2">
      <c r="B49990" s="43"/>
    </row>
    <row r="49991" spans="2:2" ht="12.75" customHeight="1" x14ac:dyDescent="0.2">
      <c r="B49991" s="43"/>
    </row>
    <row r="49992" spans="2:2" ht="12.75" customHeight="1" x14ac:dyDescent="0.2">
      <c r="B49992" s="43"/>
    </row>
    <row r="49993" spans="2:2" ht="12.75" customHeight="1" x14ac:dyDescent="0.2">
      <c r="B49993" s="43"/>
    </row>
    <row r="49994" spans="2:2" ht="12.75" customHeight="1" x14ac:dyDescent="0.2">
      <c r="B49994" s="43"/>
    </row>
    <row r="49995" spans="2:2" ht="12.75" customHeight="1" x14ac:dyDescent="0.2">
      <c r="B49995" s="43"/>
    </row>
    <row r="49996" spans="2:2" ht="12.75" customHeight="1" x14ac:dyDescent="0.2">
      <c r="B49996" s="43"/>
    </row>
    <row r="49997" spans="2:2" ht="12.75" customHeight="1" x14ac:dyDescent="0.2">
      <c r="B49997" s="43"/>
    </row>
    <row r="49998" spans="2:2" ht="12.75" customHeight="1" x14ac:dyDescent="0.2">
      <c r="B49998" s="43"/>
    </row>
    <row r="49999" spans="2:2" ht="12.75" customHeight="1" x14ac:dyDescent="0.2">
      <c r="B49999" s="43"/>
    </row>
    <row r="50000" spans="2:2" ht="12.75" customHeight="1" x14ac:dyDescent="0.2">
      <c r="B50000" s="43"/>
    </row>
    <row r="50001" spans="2:2" ht="12.75" customHeight="1" x14ac:dyDescent="0.2">
      <c r="B50001" s="43"/>
    </row>
    <row r="50002" spans="2:2" ht="12.75" customHeight="1" x14ac:dyDescent="0.2">
      <c r="B50002" s="43"/>
    </row>
    <row r="50003" spans="2:2" ht="12.75" customHeight="1" x14ac:dyDescent="0.2">
      <c r="B50003" s="43"/>
    </row>
    <row r="50004" spans="2:2" ht="12.75" customHeight="1" x14ac:dyDescent="0.2">
      <c r="B50004" s="43"/>
    </row>
    <row r="50005" spans="2:2" ht="12.75" customHeight="1" x14ac:dyDescent="0.2">
      <c r="B50005" s="43"/>
    </row>
    <row r="50006" spans="2:2" ht="12.75" customHeight="1" x14ac:dyDescent="0.2">
      <c r="B50006" s="43"/>
    </row>
    <row r="50007" spans="2:2" ht="12.75" customHeight="1" x14ac:dyDescent="0.2">
      <c r="B50007" s="43"/>
    </row>
    <row r="50008" spans="2:2" ht="12.75" customHeight="1" x14ac:dyDescent="0.2">
      <c r="B50008" s="43"/>
    </row>
    <row r="50009" spans="2:2" ht="12.75" customHeight="1" x14ac:dyDescent="0.2">
      <c r="B50009" s="43"/>
    </row>
    <row r="50010" spans="2:2" ht="12.75" customHeight="1" x14ac:dyDescent="0.2">
      <c r="B50010" s="43"/>
    </row>
    <row r="50011" spans="2:2" ht="12.75" customHeight="1" x14ac:dyDescent="0.2">
      <c r="B50011" s="43"/>
    </row>
    <row r="50012" spans="2:2" ht="12.75" customHeight="1" x14ac:dyDescent="0.2">
      <c r="B50012" s="43"/>
    </row>
    <row r="50013" spans="2:2" ht="12.75" customHeight="1" x14ac:dyDescent="0.2">
      <c r="B50013" s="43"/>
    </row>
    <row r="50014" spans="2:2" ht="12.75" customHeight="1" x14ac:dyDescent="0.2">
      <c r="B50014" s="43"/>
    </row>
    <row r="50015" spans="2:2" ht="12.75" customHeight="1" x14ac:dyDescent="0.2">
      <c r="B50015" s="43"/>
    </row>
    <row r="50016" spans="2:2" ht="12.75" customHeight="1" x14ac:dyDescent="0.2">
      <c r="B50016" s="43"/>
    </row>
    <row r="50017" spans="2:2" ht="12.75" customHeight="1" x14ac:dyDescent="0.2">
      <c r="B50017" s="43"/>
    </row>
    <row r="50018" spans="2:2" ht="12.75" customHeight="1" x14ac:dyDescent="0.2">
      <c r="B50018" s="43"/>
    </row>
    <row r="50019" spans="2:2" ht="12.75" customHeight="1" x14ac:dyDescent="0.2">
      <c r="B50019" s="43"/>
    </row>
    <row r="50020" spans="2:2" ht="12.75" customHeight="1" x14ac:dyDescent="0.2">
      <c r="B50020" s="43"/>
    </row>
    <row r="50021" spans="2:2" ht="12.75" customHeight="1" x14ac:dyDescent="0.2">
      <c r="B50021" s="43"/>
    </row>
    <row r="50022" spans="2:2" ht="12.75" customHeight="1" x14ac:dyDescent="0.2">
      <c r="B50022" s="43"/>
    </row>
    <row r="50023" spans="2:2" ht="12.75" customHeight="1" x14ac:dyDescent="0.2">
      <c r="B50023" s="43"/>
    </row>
    <row r="50024" spans="2:2" ht="12.75" customHeight="1" x14ac:dyDescent="0.2">
      <c r="B50024" s="43"/>
    </row>
    <row r="50025" spans="2:2" ht="12.75" customHeight="1" x14ac:dyDescent="0.2">
      <c r="B50025" s="43"/>
    </row>
    <row r="50026" spans="2:2" ht="12.75" customHeight="1" x14ac:dyDescent="0.2">
      <c r="B50026" s="43"/>
    </row>
    <row r="50027" spans="2:2" ht="12.75" customHeight="1" x14ac:dyDescent="0.2">
      <c r="B50027" s="43"/>
    </row>
    <row r="50028" spans="2:2" ht="12.75" customHeight="1" x14ac:dyDescent="0.2">
      <c r="B50028" s="43"/>
    </row>
    <row r="50029" spans="2:2" ht="12.75" customHeight="1" x14ac:dyDescent="0.2">
      <c r="B50029" s="43"/>
    </row>
    <row r="50030" spans="2:2" ht="12.75" customHeight="1" x14ac:dyDescent="0.2">
      <c r="B50030" s="43"/>
    </row>
    <row r="50031" spans="2:2" ht="12.75" customHeight="1" x14ac:dyDescent="0.2">
      <c r="B50031" s="43"/>
    </row>
    <row r="50032" spans="2:2" ht="12.75" customHeight="1" x14ac:dyDescent="0.2">
      <c r="B50032" s="43"/>
    </row>
    <row r="50033" spans="2:2" ht="12.75" customHeight="1" x14ac:dyDescent="0.2">
      <c r="B50033" s="43"/>
    </row>
    <row r="50034" spans="2:2" ht="12.75" customHeight="1" x14ac:dyDescent="0.2">
      <c r="B50034" s="43"/>
    </row>
    <row r="50035" spans="2:2" ht="12.75" customHeight="1" x14ac:dyDescent="0.2">
      <c r="B50035" s="43"/>
    </row>
    <row r="50036" spans="2:2" ht="12.75" customHeight="1" x14ac:dyDescent="0.2">
      <c r="B50036" s="43"/>
    </row>
    <row r="50037" spans="2:2" ht="12.75" customHeight="1" x14ac:dyDescent="0.2">
      <c r="B50037" s="43"/>
    </row>
    <row r="50038" spans="2:2" ht="12.75" customHeight="1" x14ac:dyDescent="0.2">
      <c r="B50038" s="43"/>
    </row>
    <row r="50039" spans="2:2" ht="12.75" customHeight="1" x14ac:dyDescent="0.2">
      <c r="B50039" s="43"/>
    </row>
    <row r="50040" spans="2:2" ht="12.75" customHeight="1" x14ac:dyDescent="0.2">
      <c r="B50040" s="43"/>
    </row>
    <row r="50041" spans="2:2" ht="12.75" customHeight="1" x14ac:dyDescent="0.2">
      <c r="B50041" s="43"/>
    </row>
    <row r="50042" spans="2:2" ht="12.75" customHeight="1" x14ac:dyDescent="0.2">
      <c r="B50042" s="43"/>
    </row>
    <row r="50043" spans="2:2" ht="12.75" customHeight="1" x14ac:dyDescent="0.2">
      <c r="B50043" s="43"/>
    </row>
    <row r="50044" spans="2:2" ht="12.75" customHeight="1" x14ac:dyDescent="0.2">
      <c r="B50044" s="43"/>
    </row>
    <row r="50045" spans="2:2" ht="12.75" customHeight="1" x14ac:dyDescent="0.2">
      <c r="B50045" s="43"/>
    </row>
    <row r="50046" spans="2:2" ht="12.75" customHeight="1" x14ac:dyDescent="0.2">
      <c r="B50046" s="43"/>
    </row>
    <row r="50047" spans="2:2" ht="12.75" customHeight="1" x14ac:dyDescent="0.2">
      <c r="B50047" s="43"/>
    </row>
    <row r="50048" spans="2:2" ht="12.75" customHeight="1" x14ac:dyDescent="0.2">
      <c r="B50048" s="43"/>
    </row>
    <row r="50049" spans="2:2" ht="12.75" customHeight="1" x14ac:dyDescent="0.2">
      <c r="B50049" s="43"/>
    </row>
    <row r="50050" spans="2:2" ht="12.75" customHeight="1" x14ac:dyDescent="0.2">
      <c r="B50050" s="43"/>
    </row>
    <row r="50051" spans="2:2" ht="12.75" customHeight="1" x14ac:dyDescent="0.2">
      <c r="B50051" s="43"/>
    </row>
    <row r="50052" spans="2:2" ht="12.75" customHeight="1" x14ac:dyDescent="0.2">
      <c r="B50052" s="43"/>
    </row>
    <row r="50053" spans="2:2" ht="12.75" customHeight="1" x14ac:dyDescent="0.2">
      <c r="B50053" s="43"/>
    </row>
    <row r="50054" spans="2:2" ht="12.75" customHeight="1" x14ac:dyDescent="0.2">
      <c r="B50054" s="43"/>
    </row>
    <row r="50055" spans="2:2" ht="12.75" customHeight="1" x14ac:dyDescent="0.2">
      <c r="B50055" s="43"/>
    </row>
    <row r="50056" spans="2:2" ht="12.75" customHeight="1" x14ac:dyDescent="0.2">
      <c r="B50056" s="43"/>
    </row>
    <row r="50057" spans="2:2" ht="12.75" customHeight="1" x14ac:dyDescent="0.2">
      <c r="B50057" s="43"/>
    </row>
    <row r="50058" spans="2:2" ht="12.75" customHeight="1" x14ac:dyDescent="0.2">
      <c r="B50058" s="43"/>
    </row>
    <row r="50059" spans="2:2" ht="12.75" customHeight="1" x14ac:dyDescent="0.2">
      <c r="B50059" s="43"/>
    </row>
    <row r="50060" spans="2:2" ht="12.75" customHeight="1" x14ac:dyDescent="0.2">
      <c r="B50060" s="43"/>
    </row>
    <row r="50061" spans="2:2" ht="12.75" customHeight="1" x14ac:dyDescent="0.2">
      <c r="B50061" s="43"/>
    </row>
    <row r="50062" spans="2:2" ht="12.75" customHeight="1" x14ac:dyDescent="0.2">
      <c r="B50062" s="43"/>
    </row>
    <row r="50063" spans="2:2" ht="12.75" customHeight="1" x14ac:dyDescent="0.2">
      <c r="B50063" s="43"/>
    </row>
    <row r="50064" spans="2:2" ht="12.75" customHeight="1" x14ac:dyDescent="0.2">
      <c r="B50064" s="43"/>
    </row>
    <row r="50065" spans="2:2" ht="12.75" customHeight="1" x14ac:dyDescent="0.2">
      <c r="B50065" s="43"/>
    </row>
    <row r="50066" spans="2:2" ht="12.75" customHeight="1" x14ac:dyDescent="0.2">
      <c r="B50066" s="43"/>
    </row>
    <row r="50067" spans="2:2" ht="12.75" customHeight="1" x14ac:dyDescent="0.2">
      <c r="B50067" s="43"/>
    </row>
    <row r="50068" spans="2:2" ht="12.75" customHeight="1" x14ac:dyDescent="0.2">
      <c r="B50068" s="43"/>
    </row>
    <row r="50069" spans="2:2" ht="12.75" customHeight="1" x14ac:dyDescent="0.2">
      <c r="B50069" s="43"/>
    </row>
    <row r="50070" spans="2:2" ht="12.75" customHeight="1" x14ac:dyDescent="0.2">
      <c r="B50070" s="43"/>
    </row>
    <row r="50071" spans="2:2" ht="12.75" customHeight="1" x14ac:dyDescent="0.2">
      <c r="B50071" s="43"/>
    </row>
    <row r="50072" spans="2:2" ht="12.75" customHeight="1" x14ac:dyDescent="0.2">
      <c r="B50072" s="43"/>
    </row>
    <row r="50073" spans="2:2" ht="12.75" customHeight="1" x14ac:dyDescent="0.2">
      <c r="B50073" s="43"/>
    </row>
    <row r="50074" spans="2:2" ht="12.75" customHeight="1" x14ac:dyDescent="0.2">
      <c r="B50074" s="43"/>
    </row>
    <row r="50075" spans="2:2" ht="12.75" customHeight="1" x14ac:dyDescent="0.2">
      <c r="B50075" s="43"/>
    </row>
    <row r="50076" spans="2:2" ht="12.75" customHeight="1" x14ac:dyDescent="0.2">
      <c r="B50076" s="43"/>
    </row>
    <row r="50077" spans="2:2" ht="12.75" customHeight="1" x14ac:dyDescent="0.2">
      <c r="B50077" s="43"/>
    </row>
    <row r="50078" spans="2:2" ht="12.75" customHeight="1" x14ac:dyDescent="0.2">
      <c r="B50078" s="43"/>
    </row>
    <row r="50079" spans="2:2" ht="12.75" customHeight="1" x14ac:dyDescent="0.2">
      <c r="B50079" s="43"/>
    </row>
    <row r="50080" spans="2:2" ht="12.75" customHeight="1" x14ac:dyDescent="0.2">
      <c r="B50080" s="43"/>
    </row>
    <row r="50081" spans="2:2" ht="12.75" customHeight="1" x14ac:dyDescent="0.2">
      <c r="B50081" s="43"/>
    </row>
    <row r="50082" spans="2:2" ht="12.75" customHeight="1" x14ac:dyDescent="0.2">
      <c r="B50082" s="43"/>
    </row>
    <row r="50083" spans="2:2" ht="12.75" customHeight="1" x14ac:dyDescent="0.2">
      <c r="B50083" s="43"/>
    </row>
    <row r="50084" spans="2:2" ht="12.75" customHeight="1" x14ac:dyDescent="0.2">
      <c r="B50084" s="43"/>
    </row>
    <row r="50085" spans="2:2" ht="12.75" customHeight="1" x14ac:dyDescent="0.2">
      <c r="B50085" s="43"/>
    </row>
    <row r="50086" spans="2:2" ht="12.75" customHeight="1" x14ac:dyDescent="0.2">
      <c r="B50086" s="43"/>
    </row>
    <row r="50087" spans="2:2" ht="12.75" customHeight="1" x14ac:dyDescent="0.2">
      <c r="B50087" s="43"/>
    </row>
    <row r="50088" spans="2:2" ht="12.75" customHeight="1" x14ac:dyDescent="0.2">
      <c r="B50088" s="43"/>
    </row>
    <row r="50089" spans="2:2" ht="12.75" customHeight="1" x14ac:dyDescent="0.2">
      <c r="B50089" s="43"/>
    </row>
    <row r="50090" spans="2:2" ht="12.75" customHeight="1" x14ac:dyDescent="0.2">
      <c r="B50090" s="43"/>
    </row>
    <row r="50091" spans="2:2" ht="12.75" customHeight="1" x14ac:dyDescent="0.2">
      <c r="B50091" s="43"/>
    </row>
    <row r="50092" spans="2:2" ht="12.75" customHeight="1" x14ac:dyDescent="0.2">
      <c r="B50092" s="43"/>
    </row>
    <row r="50093" spans="2:2" ht="12.75" customHeight="1" x14ac:dyDescent="0.2">
      <c r="B50093" s="43"/>
    </row>
    <row r="50094" spans="2:2" ht="12.75" customHeight="1" x14ac:dyDescent="0.2">
      <c r="B50094" s="43"/>
    </row>
    <row r="50095" spans="2:2" ht="12.75" customHeight="1" x14ac:dyDescent="0.2">
      <c r="B50095" s="43"/>
    </row>
    <row r="50096" spans="2:2" ht="12.75" customHeight="1" x14ac:dyDescent="0.2">
      <c r="B50096" s="43"/>
    </row>
    <row r="50097" spans="2:2" ht="12.75" customHeight="1" x14ac:dyDescent="0.2">
      <c r="B50097" s="43"/>
    </row>
    <row r="50098" spans="2:2" ht="12.75" customHeight="1" x14ac:dyDescent="0.2">
      <c r="B50098" s="43"/>
    </row>
    <row r="50099" spans="2:2" ht="12.75" customHeight="1" x14ac:dyDescent="0.2">
      <c r="B50099" s="43"/>
    </row>
    <row r="50100" spans="2:2" ht="12.75" customHeight="1" x14ac:dyDescent="0.2">
      <c r="B50100" s="43"/>
    </row>
    <row r="50101" spans="2:2" ht="12.75" customHeight="1" x14ac:dyDescent="0.2">
      <c r="B50101" s="43"/>
    </row>
    <row r="50102" spans="2:2" ht="12.75" customHeight="1" x14ac:dyDescent="0.2">
      <c r="B50102" s="43"/>
    </row>
    <row r="50103" spans="2:2" ht="12.75" customHeight="1" x14ac:dyDescent="0.2">
      <c r="B50103" s="43"/>
    </row>
    <row r="50104" spans="2:2" ht="12.75" customHeight="1" x14ac:dyDescent="0.2">
      <c r="B50104" s="43"/>
    </row>
    <row r="50105" spans="2:2" ht="12.75" customHeight="1" x14ac:dyDescent="0.2">
      <c r="B50105" s="43"/>
    </row>
    <row r="50106" spans="2:2" ht="12.75" customHeight="1" x14ac:dyDescent="0.2">
      <c r="B50106" s="43"/>
    </row>
    <row r="50107" spans="2:2" ht="12.75" customHeight="1" x14ac:dyDescent="0.2">
      <c r="B50107" s="43"/>
    </row>
    <row r="50108" spans="2:2" ht="12.75" customHeight="1" x14ac:dyDescent="0.2">
      <c r="B50108" s="43"/>
    </row>
    <row r="50109" spans="2:2" ht="12.75" customHeight="1" x14ac:dyDescent="0.2">
      <c r="B50109" s="43"/>
    </row>
    <row r="50110" spans="2:2" ht="12.75" customHeight="1" x14ac:dyDescent="0.2">
      <c r="B50110" s="43"/>
    </row>
    <row r="50111" spans="2:2" ht="12.75" customHeight="1" x14ac:dyDescent="0.2">
      <c r="B50111" s="43"/>
    </row>
    <row r="50112" spans="2:2" ht="12.75" customHeight="1" x14ac:dyDescent="0.2">
      <c r="B50112" s="43"/>
    </row>
    <row r="50113" spans="2:2" ht="12.75" customHeight="1" x14ac:dyDescent="0.2">
      <c r="B50113" s="43"/>
    </row>
    <row r="50114" spans="2:2" ht="12.75" customHeight="1" x14ac:dyDescent="0.2">
      <c r="B50114" s="43"/>
    </row>
    <row r="50115" spans="2:2" ht="12.75" customHeight="1" x14ac:dyDescent="0.2">
      <c r="B50115" s="43"/>
    </row>
    <row r="50116" spans="2:2" ht="12.75" customHeight="1" x14ac:dyDescent="0.2">
      <c r="B50116" s="43"/>
    </row>
    <row r="50117" spans="2:2" ht="12.75" customHeight="1" x14ac:dyDescent="0.2">
      <c r="B50117" s="43"/>
    </row>
    <row r="50118" spans="2:2" ht="12.75" customHeight="1" x14ac:dyDescent="0.2">
      <c r="B50118" s="43"/>
    </row>
    <row r="50119" spans="2:2" ht="12.75" customHeight="1" x14ac:dyDescent="0.2">
      <c r="B50119" s="43"/>
    </row>
    <row r="50120" spans="2:2" ht="12.75" customHeight="1" x14ac:dyDescent="0.2">
      <c r="B50120" s="43"/>
    </row>
    <row r="50121" spans="2:2" ht="12.75" customHeight="1" x14ac:dyDescent="0.2">
      <c r="B50121" s="43"/>
    </row>
    <row r="50122" spans="2:2" ht="12.75" customHeight="1" x14ac:dyDescent="0.2">
      <c r="B50122" s="43"/>
    </row>
    <row r="50123" spans="2:2" ht="12.75" customHeight="1" x14ac:dyDescent="0.2">
      <c r="B50123" s="43"/>
    </row>
    <row r="50124" spans="2:2" ht="12.75" customHeight="1" x14ac:dyDescent="0.2">
      <c r="B50124" s="43"/>
    </row>
    <row r="50125" spans="2:2" ht="12.75" customHeight="1" x14ac:dyDescent="0.2">
      <c r="B50125" s="43"/>
    </row>
    <row r="50126" spans="2:2" ht="12.75" customHeight="1" x14ac:dyDescent="0.2">
      <c r="B50126" s="43"/>
    </row>
    <row r="50127" spans="2:2" ht="12.75" customHeight="1" x14ac:dyDescent="0.2">
      <c r="B50127" s="43"/>
    </row>
    <row r="50128" spans="2:2" ht="12.75" customHeight="1" x14ac:dyDescent="0.2">
      <c r="B50128" s="43"/>
    </row>
    <row r="50129" spans="2:2" ht="12.75" customHeight="1" x14ac:dyDescent="0.2">
      <c r="B50129" s="43"/>
    </row>
    <row r="50130" spans="2:2" ht="12.75" customHeight="1" x14ac:dyDescent="0.2">
      <c r="B50130" s="43"/>
    </row>
    <row r="50131" spans="2:2" ht="12.75" customHeight="1" x14ac:dyDescent="0.2">
      <c r="B50131" s="43"/>
    </row>
    <row r="50132" spans="2:2" ht="12.75" customHeight="1" x14ac:dyDescent="0.2">
      <c r="B50132" s="43"/>
    </row>
    <row r="50133" spans="2:2" ht="12.75" customHeight="1" x14ac:dyDescent="0.2">
      <c r="B50133" s="43"/>
    </row>
    <row r="50134" spans="2:2" ht="12.75" customHeight="1" x14ac:dyDescent="0.2">
      <c r="B50134" s="43"/>
    </row>
    <row r="50135" spans="2:2" ht="12.75" customHeight="1" x14ac:dyDescent="0.2">
      <c r="B50135" s="43"/>
    </row>
    <row r="50136" spans="2:2" ht="12.75" customHeight="1" x14ac:dyDescent="0.2">
      <c r="B50136" s="43"/>
    </row>
    <row r="50137" spans="2:2" ht="12.75" customHeight="1" x14ac:dyDescent="0.2">
      <c r="B50137" s="43"/>
    </row>
    <row r="50138" spans="2:2" ht="12.75" customHeight="1" x14ac:dyDescent="0.2">
      <c r="B50138" s="43"/>
    </row>
    <row r="50139" spans="2:2" ht="12.75" customHeight="1" x14ac:dyDescent="0.2">
      <c r="B50139" s="43"/>
    </row>
    <row r="50140" spans="2:2" ht="12.75" customHeight="1" x14ac:dyDescent="0.2">
      <c r="B50140" s="43"/>
    </row>
    <row r="50141" spans="2:2" ht="12.75" customHeight="1" x14ac:dyDescent="0.2">
      <c r="B50141" s="43"/>
    </row>
    <row r="50142" spans="2:2" ht="12.75" customHeight="1" x14ac:dyDescent="0.2">
      <c r="B50142" s="43"/>
    </row>
    <row r="50143" spans="2:2" ht="12.75" customHeight="1" x14ac:dyDescent="0.2">
      <c r="B50143" s="43"/>
    </row>
    <row r="50144" spans="2:2" ht="12.75" customHeight="1" x14ac:dyDescent="0.2">
      <c r="B50144" s="43"/>
    </row>
    <row r="50145" spans="2:2" ht="12.75" customHeight="1" x14ac:dyDescent="0.2">
      <c r="B50145" s="43"/>
    </row>
    <row r="50146" spans="2:2" ht="12.75" customHeight="1" x14ac:dyDescent="0.2">
      <c r="B50146" s="43"/>
    </row>
    <row r="50147" spans="2:2" ht="12.75" customHeight="1" x14ac:dyDescent="0.2">
      <c r="B50147" s="43"/>
    </row>
    <row r="50148" spans="2:2" ht="12.75" customHeight="1" x14ac:dyDescent="0.2">
      <c r="B50148" s="43"/>
    </row>
    <row r="50149" spans="2:2" ht="12.75" customHeight="1" x14ac:dyDescent="0.2">
      <c r="B50149" s="43"/>
    </row>
    <row r="50150" spans="2:2" ht="12.75" customHeight="1" x14ac:dyDescent="0.2">
      <c r="B50150" s="43"/>
    </row>
    <row r="50151" spans="2:2" ht="12.75" customHeight="1" x14ac:dyDescent="0.2">
      <c r="B50151" s="43"/>
    </row>
    <row r="50152" spans="2:2" ht="12.75" customHeight="1" x14ac:dyDescent="0.2">
      <c r="B50152" s="43"/>
    </row>
    <row r="50153" spans="2:2" ht="12.75" customHeight="1" x14ac:dyDescent="0.2">
      <c r="B50153" s="43"/>
    </row>
    <row r="50154" spans="2:2" ht="12.75" customHeight="1" x14ac:dyDescent="0.2">
      <c r="B50154" s="43"/>
    </row>
    <row r="50155" spans="2:2" ht="12.75" customHeight="1" x14ac:dyDescent="0.2">
      <c r="B50155" s="43"/>
    </row>
    <row r="50156" spans="2:2" ht="12.75" customHeight="1" x14ac:dyDescent="0.2">
      <c r="B50156" s="43"/>
    </row>
    <row r="50157" spans="2:2" ht="12.75" customHeight="1" x14ac:dyDescent="0.2">
      <c r="B50157" s="43"/>
    </row>
    <row r="50158" spans="2:2" ht="12.75" customHeight="1" x14ac:dyDescent="0.2">
      <c r="B50158" s="43"/>
    </row>
    <row r="50159" spans="2:2" ht="12.75" customHeight="1" x14ac:dyDescent="0.2">
      <c r="B50159" s="43"/>
    </row>
    <row r="50160" spans="2:2" ht="12.75" customHeight="1" x14ac:dyDescent="0.2">
      <c r="B50160" s="43"/>
    </row>
    <row r="50161" spans="2:2" ht="12.75" customHeight="1" x14ac:dyDescent="0.2">
      <c r="B50161" s="43"/>
    </row>
    <row r="50162" spans="2:2" ht="12.75" customHeight="1" x14ac:dyDescent="0.2">
      <c r="B50162" s="43"/>
    </row>
    <row r="50163" spans="2:2" ht="12.75" customHeight="1" x14ac:dyDescent="0.2">
      <c r="B50163" s="43"/>
    </row>
    <row r="50164" spans="2:2" ht="12.75" customHeight="1" x14ac:dyDescent="0.2">
      <c r="B50164" s="43"/>
    </row>
    <row r="50165" spans="2:2" ht="12.75" customHeight="1" x14ac:dyDescent="0.2">
      <c r="B50165" s="43"/>
    </row>
    <row r="50166" spans="2:2" ht="12.75" customHeight="1" x14ac:dyDescent="0.2">
      <c r="B50166" s="43"/>
    </row>
    <row r="50167" spans="2:2" ht="12.75" customHeight="1" x14ac:dyDescent="0.2">
      <c r="B50167" s="43"/>
    </row>
    <row r="50168" spans="2:2" ht="12.75" customHeight="1" x14ac:dyDescent="0.2">
      <c r="B50168" s="43"/>
    </row>
    <row r="50169" spans="2:2" ht="12.75" customHeight="1" x14ac:dyDescent="0.2">
      <c r="B50169" s="43"/>
    </row>
    <row r="50170" spans="2:2" ht="12.75" customHeight="1" x14ac:dyDescent="0.2">
      <c r="B50170" s="43"/>
    </row>
    <row r="50171" spans="2:2" ht="12.75" customHeight="1" x14ac:dyDescent="0.2">
      <c r="B50171" s="43"/>
    </row>
    <row r="50172" spans="2:2" ht="12.75" customHeight="1" x14ac:dyDescent="0.2">
      <c r="B50172" s="43"/>
    </row>
    <row r="50173" spans="2:2" ht="12.75" customHeight="1" x14ac:dyDescent="0.2">
      <c r="B50173" s="43"/>
    </row>
    <row r="50174" spans="2:2" ht="12.75" customHeight="1" x14ac:dyDescent="0.2">
      <c r="B50174" s="43"/>
    </row>
    <row r="50175" spans="2:2" ht="12.75" customHeight="1" x14ac:dyDescent="0.2">
      <c r="B50175" s="43"/>
    </row>
    <row r="50176" spans="2:2" ht="12.75" customHeight="1" x14ac:dyDescent="0.2">
      <c r="B50176" s="43"/>
    </row>
    <row r="50177" spans="2:2" ht="12.75" customHeight="1" x14ac:dyDescent="0.2">
      <c r="B50177" s="43"/>
    </row>
    <row r="50178" spans="2:2" ht="12.75" customHeight="1" x14ac:dyDescent="0.2">
      <c r="B50178" s="43"/>
    </row>
    <row r="50179" spans="2:2" ht="12.75" customHeight="1" x14ac:dyDescent="0.2">
      <c r="B50179" s="43"/>
    </row>
    <row r="50180" spans="2:2" ht="12.75" customHeight="1" x14ac:dyDescent="0.2">
      <c r="B50180" s="43"/>
    </row>
    <row r="50181" spans="2:2" ht="12.75" customHeight="1" x14ac:dyDescent="0.2">
      <c r="B50181" s="43"/>
    </row>
    <row r="50182" spans="2:2" ht="12.75" customHeight="1" x14ac:dyDescent="0.2">
      <c r="B50182" s="43"/>
    </row>
    <row r="50183" spans="2:2" ht="12.75" customHeight="1" x14ac:dyDescent="0.2">
      <c r="B50183" s="43"/>
    </row>
    <row r="50184" spans="2:2" ht="12.75" customHeight="1" x14ac:dyDescent="0.2">
      <c r="B50184" s="43"/>
    </row>
    <row r="50185" spans="2:2" ht="12.75" customHeight="1" x14ac:dyDescent="0.2">
      <c r="B50185" s="43"/>
    </row>
    <row r="50186" spans="2:2" ht="12.75" customHeight="1" x14ac:dyDescent="0.2">
      <c r="B50186" s="43"/>
    </row>
    <row r="50187" spans="2:2" ht="12.75" customHeight="1" x14ac:dyDescent="0.2">
      <c r="B50187" s="43"/>
    </row>
    <row r="50188" spans="2:2" ht="12.75" customHeight="1" x14ac:dyDescent="0.2">
      <c r="B50188" s="43"/>
    </row>
    <row r="50189" spans="2:2" ht="12.75" customHeight="1" x14ac:dyDescent="0.2">
      <c r="B50189" s="43"/>
    </row>
    <row r="50190" spans="2:2" ht="12.75" customHeight="1" x14ac:dyDescent="0.2">
      <c r="B50190" s="43"/>
    </row>
    <row r="50191" spans="2:2" ht="12.75" customHeight="1" x14ac:dyDescent="0.2">
      <c r="B50191" s="43"/>
    </row>
    <row r="50192" spans="2:2" ht="12.75" customHeight="1" x14ac:dyDescent="0.2">
      <c r="B50192" s="43"/>
    </row>
    <row r="50193" spans="2:2" ht="12.75" customHeight="1" x14ac:dyDescent="0.2">
      <c r="B50193" s="43"/>
    </row>
    <row r="50194" spans="2:2" ht="12.75" customHeight="1" x14ac:dyDescent="0.2">
      <c r="B50194" s="43"/>
    </row>
    <row r="50195" spans="2:2" ht="12.75" customHeight="1" x14ac:dyDescent="0.2">
      <c r="B50195" s="43"/>
    </row>
    <row r="50196" spans="2:2" ht="12.75" customHeight="1" x14ac:dyDescent="0.2">
      <c r="B50196" s="43"/>
    </row>
    <row r="50197" spans="2:2" ht="12.75" customHeight="1" x14ac:dyDescent="0.2">
      <c r="B50197" s="43"/>
    </row>
    <row r="50198" spans="2:2" ht="12.75" customHeight="1" x14ac:dyDescent="0.2">
      <c r="B50198" s="43"/>
    </row>
    <row r="50199" spans="2:2" ht="12.75" customHeight="1" x14ac:dyDescent="0.2">
      <c r="B50199" s="43"/>
    </row>
    <row r="50200" spans="2:2" ht="12.75" customHeight="1" x14ac:dyDescent="0.2">
      <c r="B50200" s="43"/>
    </row>
    <row r="50201" spans="2:2" ht="12.75" customHeight="1" x14ac:dyDescent="0.2">
      <c r="B50201" s="43"/>
    </row>
    <row r="50202" spans="2:2" ht="12.75" customHeight="1" x14ac:dyDescent="0.2">
      <c r="B50202" s="43"/>
    </row>
    <row r="50203" spans="2:2" ht="12.75" customHeight="1" x14ac:dyDescent="0.2">
      <c r="B50203" s="43"/>
    </row>
    <row r="50204" spans="2:2" ht="12.75" customHeight="1" x14ac:dyDescent="0.2">
      <c r="B50204" s="43"/>
    </row>
    <row r="50205" spans="2:2" ht="12.75" customHeight="1" x14ac:dyDescent="0.2">
      <c r="B50205" s="43"/>
    </row>
    <row r="50206" spans="2:2" ht="12.75" customHeight="1" x14ac:dyDescent="0.2">
      <c r="B50206" s="43"/>
    </row>
    <row r="50207" spans="2:2" ht="12.75" customHeight="1" x14ac:dyDescent="0.2">
      <c r="B50207" s="43"/>
    </row>
    <row r="50208" spans="2:2" ht="12.75" customHeight="1" x14ac:dyDescent="0.2">
      <c r="B50208" s="43"/>
    </row>
    <row r="50209" spans="2:2" ht="12.75" customHeight="1" x14ac:dyDescent="0.2">
      <c r="B50209" s="43"/>
    </row>
    <row r="50210" spans="2:2" ht="12.75" customHeight="1" x14ac:dyDescent="0.2">
      <c r="B50210" s="43"/>
    </row>
    <row r="50211" spans="2:2" ht="12.75" customHeight="1" x14ac:dyDescent="0.2">
      <c r="B50211" s="43"/>
    </row>
    <row r="50212" spans="2:2" ht="12.75" customHeight="1" x14ac:dyDescent="0.2">
      <c r="B50212" s="43"/>
    </row>
    <row r="50213" spans="2:2" ht="12.75" customHeight="1" x14ac:dyDescent="0.2">
      <c r="B50213" s="43"/>
    </row>
    <row r="50214" spans="2:2" ht="12.75" customHeight="1" x14ac:dyDescent="0.2">
      <c r="B50214" s="43"/>
    </row>
    <row r="50215" spans="2:2" ht="12.75" customHeight="1" x14ac:dyDescent="0.2">
      <c r="B50215" s="43"/>
    </row>
    <row r="50216" spans="2:2" ht="12.75" customHeight="1" x14ac:dyDescent="0.2">
      <c r="B50216" s="43"/>
    </row>
    <row r="50217" spans="2:2" ht="12.75" customHeight="1" x14ac:dyDescent="0.2">
      <c r="B50217" s="43"/>
    </row>
    <row r="50218" spans="2:2" ht="12.75" customHeight="1" x14ac:dyDescent="0.2">
      <c r="B50218" s="43"/>
    </row>
    <row r="50219" spans="2:2" ht="12.75" customHeight="1" x14ac:dyDescent="0.2">
      <c r="B50219" s="43"/>
    </row>
    <row r="50220" spans="2:2" ht="12.75" customHeight="1" x14ac:dyDescent="0.2">
      <c r="B50220" s="43"/>
    </row>
    <row r="50221" spans="2:2" ht="12.75" customHeight="1" x14ac:dyDescent="0.2">
      <c r="B50221" s="43"/>
    </row>
    <row r="50222" spans="2:2" ht="12.75" customHeight="1" x14ac:dyDescent="0.2">
      <c r="B50222" s="43"/>
    </row>
    <row r="50223" spans="2:2" ht="12.75" customHeight="1" x14ac:dyDescent="0.2">
      <c r="B50223" s="43"/>
    </row>
    <row r="50224" spans="2:2" ht="12.75" customHeight="1" x14ac:dyDescent="0.2">
      <c r="B50224" s="43"/>
    </row>
    <row r="50225" spans="2:2" ht="12.75" customHeight="1" x14ac:dyDescent="0.2">
      <c r="B50225" s="43"/>
    </row>
    <row r="50226" spans="2:2" ht="12.75" customHeight="1" x14ac:dyDescent="0.2">
      <c r="B50226" s="43"/>
    </row>
    <row r="50227" spans="2:2" ht="12.75" customHeight="1" x14ac:dyDescent="0.2">
      <c r="B50227" s="43"/>
    </row>
    <row r="50228" spans="2:2" ht="12.75" customHeight="1" x14ac:dyDescent="0.2">
      <c r="B50228" s="43"/>
    </row>
    <row r="50229" spans="2:2" ht="12.75" customHeight="1" x14ac:dyDescent="0.2">
      <c r="B50229" s="43"/>
    </row>
    <row r="50230" spans="2:2" ht="12.75" customHeight="1" x14ac:dyDescent="0.2">
      <c r="B50230" s="43"/>
    </row>
    <row r="50231" spans="2:2" ht="12.75" customHeight="1" x14ac:dyDescent="0.2">
      <c r="B50231" s="43"/>
    </row>
    <row r="50232" spans="2:2" ht="12.75" customHeight="1" x14ac:dyDescent="0.2">
      <c r="B50232" s="43"/>
    </row>
    <row r="50233" spans="2:2" ht="12.75" customHeight="1" x14ac:dyDescent="0.2">
      <c r="B50233" s="43"/>
    </row>
    <row r="50234" spans="2:2" ht="12.75" customHeight="1" x14ac:dyDescent="0.2">
      <c r="B50234" s="43"/>
    </row>
    <row r="50235" spans="2:2" ht="12.75" customHeight="1" x14ac:dyDescent="0.2">
      <c r="B50235" s="43"/>
    </row>
    <row r="50236" spans="2:2" ht="12.75" customHeight="1" x14ac:dyDescent="0.2">
      <c r="B50236" s="43"/>
    </row>
    <row r="50237" spans="2:2" ht="12.75" customHeight="1" x14ac:dyDescent="0.2">
      <c r="B50237" s="43"/>
    </row>
    <row r="50238" spans="2:2" ht="12.75" customHeight="1" x14ac:dyDescent="0.2">
      <c r="B50238" s="43"/>
    </row>
    <row r="50239" spans="2:2" ht="12.75" customHeight="1" x14ac:dyDescent="0.2">
      <c r="B50239" s="43"/>
    </row>
    <row r="50240" spans="2:2" ht="12.75" customHeight="1" x14ac:dyDescent="0.2">
      <c r="B50240" s="43"/>
    </row>
    <row r="50241" spans="2:2" ht="12.75" customHeight="1" x14ac:dyDescent="0.2">
      <c r="B50241" s="43"/>
    </row>
    <row r="50242" spans="2:2" ht="12.75" customHeight="1" x14ac:dyDescent="0.2">
      <c r="B50242" s="43"/>
    </row>
    <row r="50243" spans="2:2" ht="12.75" customHeight="1" x14ac:dyDescent="0.2">
      <c r="B50243" s="43"/>
    </row>
    <row r="50244" spans="2:2" ht="12.75" customHeight="1" x14ac:dyDescent="0.2">
      <c r="B50244" s="43"/>
    </row>
    <row r="50245" spans="2:2" ht="12.75" customHeight="1" x14ac:dyDescent="0.2">
      <c r="B50245" s="43"/>
    </row>
    <row r="50246" spans="2:2" ht="12.75" customHeight="1" x14ac:dyDescent="0.2">
      <c r="B50246" s="43"/>
    </row>
    <row r="50247" spans="2:2" ht="12.75" customHeight="1" x14ac:dyDescent="0.2">
      <c r="B50247" s="43"/>
    </row>
    <row r="50248" spans="2:2" ht="12.75" customHeight="1" x14ac:dyDescent="0.2">
      <c r="B50248" s="43"/>
    </row>
    <row r="50249" spans="2:2" ht="12.75" customHeight="1" x14ac:dyDescent="0.2">
      <c r="B50249" s="43"/>
    </row>
    <row r="50250" spans="2:2" ht="12.75" customHeight="1" x14ac:dyDescent="0.2">
      <c r="B50250" s="43"/>
    </row>
    <row r="50251" spans="2:2" ht="12.75" customHeight="1" x14ac:dyDescent="0.2">
      <c r="B50251" s="43"/>
    </row>
    <row r="50252" spans="2:2" ht="12.75" customHeight="1" x14ac:dyDescent="0.2">
      <c r="B50252" s="43"/>
    </row>
    <row r="50253" spans="2:2" ht="12.75" customHeight="1" x14ac:dyDescent="0.2">
      <c r="B50253" s="43"/>
    </row>
    <row r="50254" spans="2:2" ht="12.75" customHeight="1" x14ac:dyDescent="0.2">
      <c r="B50254" s="43"/>
    </row>
    <row r="50255" spans="2:2" ht="12.75" customHeight="1" x14ac:dyDescent="0.2">
      <c r="B50255" s="43"/>
    </row>
    <row r="50256" spans="2:2" ht="12.75" customHeight="1" x14ac:dyDescent="0.2">
      <c r="B50256" s="43"/>
    </row>
    <row r="50257" spans="2:2" ht="12.75" customHeight="1" x14ac:dyDescent="0.2">
      <c r="B50257" s="43"/>
    </row>
    <row r="50258" spans="2:2" ht="12.75" customHeight="1" x14ac:dyDescent="0.2">
      <c r="B50258" s="43"/>
    </row>
    <row r="50259" spans="2:2" ht="12.75" customHeight="1" x14ac:dyDescent="0.2">
      <c r="B50259" s="43"/>
    </row>
    <row r="50260" spans="2:2" ht="12.75" customHeight="1" x14ac:dyDescent="0.2">
      <c r="B50260" s="43"/>
    </row>
    <row r="50261" spans="2:2" ht="12.75" customHeight="1" x14ac:dyDescent="0.2">
      <c r="B50261" s="43"/>
    </row>
    <row r="50262" spans="2:2" ht="12.75" customHeight="1" x14ac:dyDescent="0.2">
      <c r="B50262" s="43"/>
    </row>
    <row r="50263" spans="2:2" ht="12.75" customHeight="1" x14ac:dyDescent="0.2">
      <c r="B50263" s="43"/>
    </row>
    <row r="50264" spans="2:2" ht="12.75" customHeight="1" x14ac:dyDescent="0.2">
      <c r="B50264" s="43"/>
    </row>
    <row r="50265" spans="2:2" ht="12.75" customHeight="1" x14ac:dyDescent="0.2">
      <c r="B50265" s="43"/>
    </row>
    <row r="50266" spans="2:2" ht="12.75" customHeight="1" x14ac:dyDescent="0.2">
      <c r="B50266" s="43"/>
    </row>
    <row r="50267" spans="2:2" ht="12.75" customHeight="1" x14ac:dyDescent="0.2">
      <c r="B50267" s="43"/>
    </row>
    <row r="50268" spans="2:2" ht="12.75" customHeight="1" x14ac:dyDescent="0.2">
      <c r="B50268" s="43"/>
    </row>
    <row r="50269" spans="2:2" ht="12.75" customHeight="1" x14ac:dyDescent="0.2">
      <c r="B50269" s="43"/>
    </row>
    <row r="50270" spans="2:2" ht="12.75" customHeight="1" x14ac:dyDescent="0.2">
      <c r="B50270" s="43"/>
    </row>
    <row r="50271" spans="2:2" ht="12.75" customHeight="1" x14ac:dyDescent="0.2">
      <c r="B50271" s="43"/>
    </row>
    <row r="50272" spans="2:2" ht="12.75" customHeight="1" x14ac:dyDescent="0.2">
      <c r="B50272" s="43"/>
    </row>
    <row r="50273" spans="2:2" ht="12.75" customHeight="1" x14ac:dyDescent="0.2">
      <c r="B50273" s="43"/>
    </row>
    <row r="50274" spans="2:2" ht="12.75" customHeight="1" x14ac:dyDescent="0.2">
      <c r="B50274" s="43"/>
    </row>
    <row r="50275" spans="2:2" ht="12.75" customHeight="1" x14ac:dyDescent="0.2">
      <c r="B50275" s="43"/>
    </row>
    <row r="50276" spans="2:2" ht="12.75" customHeight="1" x14ac:dyDescent="0.2">
      <c r="B50276" s="43"/>
    </row>
    <row r="50277" spans="2:2" ht="12.75" customHeight="1" x14ac:dyDescent="0.2">
      <c r="B50277" s="43"/>
    </row>
    <row r="50278" spans="2:2" ht="12.75" customHeight="1" x14ac:dyDescent="0.2">
      <c r="B50278" s="43"/>
    </row>
    <row r="50279" spans="2:2" ht="12.75" customHeight="1" x14ac:dyDescent="0.2">
      <c r="B50279" s="43"/>
    </row>
    <row r="50280" spans="2:2" ht="12.75" customHeight="1" x14ac:dyDescent="0.2">
      <c r="B50280" s="43"/>
    </row>
    <row r="50281" spans="2:2" ht="12.75" customHeight="1" x14ac:dyDescent="0.2">
      <c r="B50281" s="43"/>
    </row>
    <row r="50282" spans="2:2" ht="12.75" customHeight="1" x14ac:dyDescent="0.2">
      <c r="B50282" s="43"/>
    </row>
    <row r="50283" spans="2:2" ht="12.75" customHeight="1" x14ac:dyDescent="0.2">
      <c r="B50283" s="43"/>
    </row>
    <row r="50284" spans="2:2" ht="12.75" customHeight="1" x14ac:dyDescent="0.2">
      <c r="B50284" s="43"/>
    </row>
    <row r="50285" spans="2:2" ht="12.75" customHeight="1" x14ac:dyDescent="0.2">
      <c r="B50285" s="43"/>
    </row>
    <row r="50286" spans="2:2" ht="12.75" customHeight="1" x14ac:dyDescent="0.2">
      <c r="B50286" s="43"/>
    </row>
    <row r="50287" spans="2:2" ht="12.75" customHeight="1" x14ac:dyDescent="0.2">
      <c r="B50287" s="43"/>
    </row>
    <row r="50288" spans="2:2" ht="12.75" customHeight="1" x14ac:dyDescent="0.2">
      <c r="B50288" s="43"/>
    </row>
    <row r="50289" spans="2:2" ht="12.75" customHeight="1" x14ac:dyDescent="0.2">
      <c r="B50289" s="43"/>
    </row>
    <row r="50290" spans="2:2" ht="12.75" customHeight="1" x14ac:dyDescent="0.2">
      <c r="B50290" s="43"/>
    </row>
    <row r="50291" spans="2:2" ht="12.75" customHeight="1" x14ac:dyDescent="0.2">
      <c r="B50291" s="43"/>
    </row>
    <row r="50292" spans="2:2" ht="12.75" customHeight="1" x14ac:dyDescent="0.2">
      <c r="B50292" s="43"/>
    </row>
    <row r="50293" spans="2:2" ht="12.75" customHeight="1" x14ac:dyDescent="0.2">
      <c r="B50293" s="43"/>
    </row>
    <row r="50294" spans="2:2" ht="12.75" customHeight="1" x14ac:dyDescent="0.2">
      <c r="B50294" s="43"/>
    </row>
    <row r="50295" spans="2:2" ht="12.75" customHeight="1" x14ac:dyDescent="0.2">
      <c r="B50295" s="43"/>
    </row>
    <row r="50296" spans="2:2" ht="12.75" customHeight="1" x14ac:dyDescent="0.2">
      <c r="B50296" s="43"/>
    </row>
    <row r="50297" spans="2:2" ht="12.75" customHeight="1" x14ac:dyDescent="0.2">
      <c r="B50297" s="43"/>
    </row>
    <row r="50298" spans="2:2" ht="12.75" customHeight="1" x14ac:dyDescent="0.2">
      <c r="B50298" s="43"/>
    </row>
    <row r="50299" spans="2:2" ht="12.75" customHeight="1" x14ac:dyDescent="0.2">
      <c r="B50299" s="43"/>
    </row>
    <row r="50300" spans="2:2" ht="12.75" customHeight="1" x14ac:dyDescent="0.2">
      <c r="B50300" s="43"/>
    </row>
    <row r="50301" spans="2:2" ht="12.75" customHeight="1" x14ac:dyDescent="0.2">
      <c r="B50301" s="43"/>
    </row>
    <row r="50302" spans="2:2" ht="12.75" customHeight="1" x14ac:dyDescent="0.2">
      <c r="B50302" s="43"/>
    </row>
    <row r="50303" spans="2:2" ht="12.75" customHeight="1" x14ac:dyDescent="0.2">
      <c r="B50303" s="43"/>
    </row>
    <row r="50304" spans="2:2" ht="12.75" customHeight="1" x14ac:dyDescent="0.2">
      <c r="B50304" s="43"/>
    </row>
    <row r="50305" spans="2:2" ht="12.75" customHeight="1" x14ac:dyDescent="0.2">
      <c r="B50305" s="43"/>
    </row>
    <row r="50306" spans="2:2" ht="12.75" customHeight="1" x14ac:dyDescent="0.2">
      <c r="B50306" s="43"/>
    </row>
    <row r="50307" spans="2:2" ht="12.75" customHeight="1" x14ac:dyDescent="0.2">
      <c r="B50307" s="43"/>
    </row>
    <row r="50308" spans="2:2" ht="12.75" customHeight="1" x14ac:dyDescent="0.2">
      <c r="B50308" s="43"/>
    </row>
    <row r="50309" spans="2:2" ht="12.75" customHeight="1" x14ac:dyDescent="0.2">
      <c r="B50309" s="43"/>
    </row>
    <row r="50310" spans="2:2" ht="12.75" customHeight="1" x14ac:dyDescent="0.2">
      <c r="B50310" s="43"/>
    </row>
    <row r="50311" spans="2:2" ht="12.75" customHeight="1" x14ac:dyDescent="0.2">
      <c r="B50311" s="43"/>
    </row>
    <row r="50312" spans="2:2" ht="12.75" customHeight="1" x14ac:dyDescent="0.2">
      <c r="B50312" s="43"/>
    </row>
    <row r="50313" spans="2:2" ht="12.75" customHeight="1" x14ac:dyDescent="0.2">
      <c r="B50313" s="43"/>
    </row>
    <row r="50314" spans="2:2" ht="12.75" customHeight="1" x14ac:dyDescent="0.2">
      <c r="B50314" s="43"/>
    </row>
    <row r="50315" spans="2:2" ht="12.75" customHeight="1" x14ac:dyDescent="0.2">
      <c r="B50315" s="43"/>
    </row>
    <row r="50316" spans="2:2" ht="12.75" customHeight="1" x14ac:dyDescent="0.2">
      <c r="B50316" s="43"/>
    </row>
    <row r="50317" spans="2:2" ht="12.75" customHeight="1" x14ac:dyDescent="0.2">
      <c r="B50317" s="43"/>
    </row>
    <row r="50318" spans="2:2" ht="12.75" customHeight="1" x14ac:dyDescent="0.2">
      <c r="B50318" s="43"/>
    </row>
    <row r="50319" spans="2:2" ht="12.75" customHeight="1" x14ac:dyDescent="0.2">
      <c r="B50319" s="43"/>
    </row>
    <row r="50320" spans="2:2" ht="12.75" customHeight="1" x14ac:dyDescent="0.2">
      <c r="B50320" s="43"/>
    </row>
    <row r="50321" spans="2:2" ht="12.75" customHeight="1" x14ac:dyDescent="0.2">
      <c r="B50321" s="43"/>
    </row>
    <row r="50322" spans="2:2" ht="12.75" customHeight="1" x14ac:dyDescent="0.2">
      <c r="B50322" s="43"/>
    </row>
    <row r="50323" spans="2:2" ht="12.75" customHeight="1" x14ac:dyDescent="0.2">
      <c r="B50323" s="43"/>
    </row>
    <row r="50324" spans="2:2" ht="12.75" customHeight="1" x14ac:dyDescent="0.2">
      <c r="B50324" s="43"/>
    </row>
    <row r="50325" spans="2:2" ht="12.75" customHeight="1" x14ac:dyDescent="0.2">
      <c r="B50325" s="43"/>
    </row>
    <row r="50326" spans="2:2" ht="12.75" customHeight="1" x14ac:dyDescent="0.2">
      <c r="B50326" s="43"/>
    </row>
    <row r="50327" spans="2:2" ht="12.75" customHeight="1" x14ac:dyDescent="0.2">
      <c r="B50327" s="43"/>
    </row>
    <row r="50328" spans="2:2" ht="12.75" customHeight="1" x14ac:dyDescent="0.2">
      <c r="B50328" s="43"/>
    </row>
    <row r="50329" spans="2:2" ht="12.75" customHeight="1" x14ac:dyDescent="0.2">
      <c r="B50329" s="43"/>
    </row>
    <row r="50330" spans="2:2" ht="12.75" customHeight="1" x14ac:dyDescent="0.2">
      <c r="B50330" s="43"/>
    </row>
    <row r="50331" spans="2:2" ht="12.75" customHeight="1" x14ac:dyDescent="0.2">
      <c r="B50331" s="43"/>
    </row>
    <row r="50332" spans="2:2" ht="12.75" customHeight="1" x14ac:dyDescent="0.2">
      <c r="B50332" s="43"/>
    </row>
    <row r="50333" spans="2:2" ht="12.75" customHeight="1" x14ac:dyDescent="0.2">
      <c r="B50333" s="43"/>
    </row>
    <row r="50334" spans="2:2" ht="12.75" customHeight="1" x14ac:dyDescent="0.2">
      <c r="B50334" s="43"/>
    </row>
    <row r="50335" spans="2:2" ht="12.75" customHeight="1" x14ac:dyDescent="0.2">
      <c r="B50335" s="43"/>
    </row>
    <row r="50336" spans="2:2" ht="12.75" customHeight="1" x14ac:dyDescent="0.2">
      <c r="B50336" s="43"/>
    </row>
    <row r="50337" spans="2:2" ht="12.75" customHeight="1" x14ac:dyDescent="0.2">
      <c r="B50337" s="43"/>
    </row>
    <row r="50338" spans="2:2" ht="12.75" customHeight="1" x14ac:dyDescent="0.2">
      <c r="B50338" s="43"/>
    </row>
    <row r="50339" spans="2:2" ht="12.75" customHeight="1" x14ac:dyDescent="0.2">
      <c r="B50339" s="43"/>
    </row>
    <row r="50340" spans="2:2" ht="12.75" customHeight="1" x14ac:dyDescent="0.2">
      <c r="B50340" s="43"/>
    </row>
    <row r="50341" spans="2:2" ht="12.75" customHeight="1" x14ac:dyDescent="0.2">
      <c r="B50341" s="43"/>
    </row>
    <row r="50342" spans="2:2" ht="12.75" customHeight="1" x14ac:dyDescent="0.2">
      <c r="B50342" s="43"/>
    </row>
    <row r="50343" spans="2:2" ht="12.75" customHeight="1" x14ac:dyDescent="0.2">
      <c r="B50343" s="43"/>
    </row>
    <row r="50344" spans="2:2" ht="12.75" customHeight="1" x14ac:dyDescent="0.2">
      <c r="B50344" s="43"/>
    </row>
    <row r="50345" spans="2:2" ht="12.75" customHeight="1" x14ac:dyDescent="0.2">
      <c r="B50345" s="43"/>
    </row>
    <row r="50346" spans="2:2" ht="12.75" customHeight="1" x14ac:dyDescent="0.2">
      <c r="B50346" s="43"/>
    </row>
    <row r="50347" spans="2:2" ht="12.75" customHeight="1" x14ac:dyDescent="0.2">
      <c r="B50347" s="43"/>
    </row>
    <row r="50348" spans="2:2" ht="12.75" customHeight="1" x14ac:dyDescent="0.2">
      <c r="B50348" s="43"/>
    </row>
    <row r="50349" spans="2:2" ht="12.75" customHeight="1" x14ac:dyDescent="0.2">
      <c r="B50349" s="43"/>
    </row>
    <row r="50350" spans="2:2" ht="12.75" customHeight="1" x14ac:dyDescent="0.2">
      <c r="B50350" s="43"/>
    </row>
    <row r="50351" spans="2:2" ht="12.75" customHeight="1" x14ac:dyDescent="0.2">
      <c r="B50351" s="43"/>
    </row>
    <row r="50352" spans="2:2" ht="12.75" customHeight="1" x14ac:dyDescent="0.2">
      <c r="B50352" s="43"/>
    </row>
    <row r="50353" spans="2:2" ht="12.75" customHeight="1" x14ac:dyDescent="0.2">
      <c r="B50353" s="43"/>
    </row>
    <row r="50354" spans="2:2" ht="12.75" customHeight="1" x14ac:dyDescent="0.2">
      <c r="B50354" s="43"/>
    </row>
    <row r="50355" spans="2:2" ht="12.75" customHeight="1" x14ac:dyDescent="0.2">
      <c r="B50355" s="43"/>
    </row>
    <row r="50356" spans="2:2" ht="12.75" customHeight="1" x14ac:dyDescent="0.2">
      <c r="B50356" s="43"/>
    </row>
    <row r="50357" spans="2:2" ht="12.75" customHeight="1" x14ac:dyDescent="0.2">
      <c r="B50357" s="43"/>
    </row>
    <row r="50358" spans="2:2" ht="12.75" customHeight="1" x14ac:dyDescent="0.2">
      <c r="B50358" s="43"/>
    </row>
    <row r="50359" spans="2:2" ht="12.75" customHeight="1" x14ac:dyDescent="0.2">
      <c r="B50359" s="43"/>
    </row>
    <row r="50360" spans="2:2" ht="12.75" customHeight="1" x14ac:dyDescent="0.2">
      <c r="B50360" s="43"/>
    </row>
    <row r="50361" spans="2:2" ht="12.75" customHeight="1" x14ac:dyDescent="0.2">
      <c r="B50361" s="43"/>
    </row>
    <row r="50362" spans="2:2" ht="12.75" customHeight="1" x14ac:dyDescent="0.2">
      <c r="B50362" s="43"/>
    </row>
    <row r="50363" spans="2:2" ht="12.75" customHeight="1" x14ac:dyDescent="0.2">
      <c r="B50363" s="43"/>
    </row>
    <row r="50364" spans="2:2" ht="12.75" customHeight="1" x14ac:dyDescent="0.2">
      <c r="B50364" s="43"/>
    </row>
    <row r="50365" spans="2:2" ht="12.75" customHeight="1" x14ac:dyDescent="0.2">
      <c r="B50365" s="43"/>
    </row>
    <row r="50366" spans="2:2" ht="12.75" customHeight="1" x14ac:dyDescent="0.2">
      <c r="B50366" s="43"/>
    </row>
    <row r="50367" spans="2:2" ht="12.75" customHeight="1" x14ac:dyDescent="0.2">
      <c r="B50367" s="43"/>
    </row>
    <row r="50368" spans="2:2" ht="12.75" customHeight="1" x14ac:dyDescent="0.2">
      <c r="B50368" s="43"/>
    </row>
    <row r="50369" spans="2:2" ht="12.75" customHeight="1" x14ac:dyDescent="0.2">
      <c r="B50369" s="43"/>
    </row>
    <row r="50370" spans="2:2" ht="12.75" customHeight="1" x14ac:dyDescent="0.2">
      <c r="B50370" s="43"/>
    </row>
    <row r="50371" spans="2:2" ht="12.75" customHeight="1" x14ac:dyDescent="0.2">
      <c r="B50371" s="43"/>
    </row>
    <row r="50372" spans="2:2" ht="12.75" customHeight="1" x14ac:dyDescent="0.2">
      <c r="B50372" s="43"/>
    </row>
    <row r="50373" spans="2:2" ht="12.75" customHeight="1" x14ac:dyDescent="0.2">
      <c r="B50373" s="43"/>
    </row>
    <row r="50374" spans="2:2" ht="12.75" customHeight="1" x14ac:dyDescent="0.2">
      <c r="B50374" s="43"/>
    </row>
    <row r="50375" spans="2:2" ht="12.75" customHeight="1" x14ac:dyDescent="0.2">
      <c r="B50375" s="43"/>
    </row>
    <row r="50376" spans="2:2" ht="12.75" customHeight="1" x14ac:dyDescent="0.2">
      <c r="B50376" s="43"/>
    </row>
    <row r="50377" spans="2:2" ht="12.75" customHeight="1" x14ac:dyDescent="0.2">
      <c r="B50377" s="43"/>
    </row>
    <row r="50378" spans="2:2" ht="12.75" customHeight="1" x14ac:dyDescent="0.2">
      <c r="B50378" s="43"/>
    </row>
    <row r="50379" spans="2:2" ht="12.75" customHeight="1" x14ac:dyDescent="0.2">
      <c r="B50379" s="43"/>
    </row>
    <row r="50380" spans="2:2" ht="12.75" customHeight="1" x14ac:dyDescent="0.2">
      <c r="B50380" s="43"/>
    </row>
    <row r="50381" spans="2:2" ht="12.75" customHeight="1" x14ac:dyDescent="0.2">
      <c r="B50381" s="43"/>
    </row>
    <row r="50382" spans="2:2" ht="12.75" customHeight="1" x14ac:dyDescent="0.2">
      <c r="B50382" s="43"/>
    </row>
    <row r="50383" spans="2:2" ht="12.75" customHeight="1" x14ac:dyDescent="0.2">
      <c r="B50383" s="43"/>
    </row>
    <row r="50384" spans="2:2" ht="12.75" customHeight="1" x14ac:dyDescent="0.2">
      <c r="B50384" s="43"/>
    </row>
    <row r="50385" spans="2:2" ht="12.75" customHeight="1" x14ac:dyDescent="0.2">
      <c r="B50385" s="43"/>
    </row>
    <row r="50386" spans="2:2" ht="12.75" customHeight="1" x14ac:dyDescent="0.2">
      <c r="B50386" s="43"/>
    </row>
    <row r="50387" spans="2:2" ht="12.75" customHeight="1" x14ac:dyDescent="0.2">
      <c r="B50387" s="43"/>
    </row>
    <row r="50388" spans="2:2" ht="12.75" customHeight="1" x14ac:dyDescent="0.2">
      <c r="B50388" s="43"/>
    </row>
    <row r="50389" spans="2:2" ht="12.75" customHeight="1" x14ac:dyDescent="0.2">
      <c r="B50389" s="43"/>
    </row>
    <row r="50390" spans="2:2" ht="12.75" customHeight="1" x14ac:dyDescent="0.2">
      <c r="B50390" s="43"/>
    </row>
    <row r="50391" spans="2:2" ht="12.75" customHeight="1" x14ac:dyDescent="0.2">
      <c r="B50391" s="43"/>
    </row>
    <row r="50392" spans="2:2" ht="12.75" customHeight="1" x14ac:dyDescent="0.2">
      <c r="B50392" s="43"/>
    </row>
    <row r="50393" spans="2:2" ht="12.75" customHeight="1" x14ac:dyDescent="0.2">
      <c r="B50393" s="43"/>
    </row>
    <row r="50394" spans="2:2" ht="12.75" customHeight="1" x14ac:dyDescent="0.2">
      <c r="B50394" s="43"/>
    </row>
    <row r="50395" spans="2:2" ht="12.75" customHeight="1" x14ac:dyDescent="0.2">
      <c r="B50395" s="43"/>
    </row>
    <row r="50396" spans="2:2" ht="12.75" customHeight="1" x14ac:dyDescent="0.2">
      <c r="B50396" s="43"/>
    </row>
    <row r="50397" spans="2:2" ht="12.75" customHeight="1" x14ac:dyDescent="0.2">
      <c r="B50397" s="43"/>
    </row>
    <row r="50398" spans="2:2" ht="12.75" customHeight="1" x14ac:dyDescent="0.2">
      <c r="B50398" s="43"/>
    </row>
    <row r="50399" spans="2:2" ht="12.75" customHeight="1" x14ac:dyDescent="0.2">
      <c r="B50399" s="43"/>
    </row>
    <row r="50400" spans="2:2" ht="12.75" customHeight="1" x14ac:dyDescent="0.2">
      <c r="B50400" s="43"/>
    </row>
    <row r="50401" spans="2:2" ht="12.75" customHeight="1" x14ac:dyDescent="0.2">
      <c r="B50401" s="43"/>
    </row>
    <row r="50402" spans="2:2" ht="12.75" customHeight="1" x14ac:dyDescent="0.2">
      <c r="B50402" s="43"/>
    </row>
    <row r="50403" spans="2:2" ht="12.75" customHeight="1" x14ac:dyDescent="0.2">
      <c r="B50403" s="43"/>
    </row>
    <row r="50404" spans="2:2" ht="12.75" customHeight="1" x14ac:dyDescent="0.2">
      <c r="B50404" s="43"/>
    </row>
    <row r="50405" spans="2:2" ht="12.75" customHeight="1" x14ac:dyDescent="0.2">
      <c r="B50405" s="43"/>
    </row>
    <row r="50406" spans="2:2" ht="12.75" customHeight="1" x14ac:dyDescent="0.2">
      <c r="B50406" s="43"/>
    </row>
    <row r="50407" spans="2:2" ht="12.75" customHeight="1" x14ac:dyDescent="0.2">
      <c r="B50407" s="43"/>
    </row>
    <row r="50408" spans="2:2" ht="12.75" customHeight="1" x14ac:dyDescent="0.2">
      <c r="B50408" s="43"/>
    </row>
    <row r="50409" spans="2:2" ht="12.75" customHeight="1" x14ac:dyDescent="0.2">
      <c r="B50409" s="43"/>
    </row>
    <row r="50410" spans="2:2" ht="12.75" customHeight="1" x14ac:dyDescent="0.2">
      <c r="B50410" s="43"/>
    </row>
    <row r="50411" spans="2:2" ht="12.75" customHeight="1" x14ac:dyDescent="0.2">
      <c r="B50411" s="43"/>
    </row>
    <row r="50412" spans="2:2" ht="12.75" customHeight="1" x14ac:dyDescent="0.2">
      <c r="B50412" s="43"/>
    </row>
    <row r="50413" spans="2:2" ht="12.75" customHeight="1" x14ac:dyDescent="0.2">
      <c r="B50413" s="43"/>
    </row>
    <row r="50414" spans="2:2" ht="12.75" customHeight="1" x14ac:dyDescent="0.2">
      <c r="B50414" s="43"/>
    </row>
    <row r="50415" spans="2:2" ht="12.75" customHeight="1" x14ac:dyDescent="0.2">
      <c r="B50415" s="43"/>
    </row>
    <row r="50416" spans="2:2" ht="12.75" customHeight="1" x14ac:dyDescent="0.2">
      <c r="B50416" s="43"/>
    </row>
    <row r="50417" spans="2:2" ht="12.75" customHeight="1" x14ac:dyDescent="0.2">
      <c r="B50417" s="43"/>
    </row>
    <row r="50418" spans="2:2" ht="12.75" customHeight="1" x14ac:dyDescent="0.2">
      <c r="B50418" s="43"/>
    </row>
    <row r="50419" spans="2:2" ht="12.75" customHeight="1" x14ac:dyDescent="0.2">
      <c r="B50419" s="43"/>
    </row>
    <row r="50420" spans="2:2" ht="12.75" customHeight="1" x14ac:dyDescent="0.2">
      <c r="B50420" s="43"/>
    </row>
    <row r="50421" spans="2:2" ht="12.75" customHeight="1" x14ac:dyDescent="0.2">
      <c r="B50421" s="43"/>
    </row>
    <row r="50422" spans="2:2" ht="12.75" customHeight="1" x14ac:dyDescent="0.2">
      <c r="B50422" s="43"/>
    </row>
    <row r="50423" spans="2:2" ht="12.75" customHeight="1" x14ac:dyDescent="0.2">
      <c r="B50423" s="43"/>
    </row>
    <row r="50424" spans="2:2" ht="12.75" customHeight="1" x14ac:dyDescent="0.2">
      <c r="B50424" s="43"/>
    </row>
    <row r="50425" spans="2:2" ht="12.75" customHeight="1" x14ac:dyDescent="0.2">
      <c r="B50425" s="43"/>
    </row>
    <row r="50426" spans="2:2" ht="12.75" customHeight="1" x14ac:dyDescent="0.2">
      <c r="B50426" s="43"/>
    </row>
    <row r="50427" spans="2:2" ht="12.75" customHeight="1" x14ac:dyDescent="0.2">
      <c r="B50427" s="43"/>
    </row>
    <row r="50428" spans="2:2" ht="12.75" customHeight="1" x14ac:dyDescent="0.2">
      <c r="B50428" s="43"/>
    </row>
    <row r="50429" spans="2:2" ht="12.75" customHeight="1" x14ac:dyDescent="0.2">
      <c r="B50429" s="43"/>
    </row>
    <row r="50430" spans="2:2" ht="12.75" customHeight="1" x14ac:dyDescent="0.2">
      <c r="B50430" s="43"/>
    </row>
    <row r="50431" spans="2:2" ht="12.75" customHeight="1" x14ac:dyDescent="0.2">
      <c r="B50431" s="43"/>
    </row>
    <row r="50432" spans="2:2" ht="12.75" customHeight="1" x14ac:dyDescent="0.2">
      <c r="B50432" s="43"/>
    </row>
    <row r="50433" spans="2:2" ht="12.75" customHeight="1" x14ac:dyDescent="0.2">
      <c r="B50433" s="43"/>
    </row>
    <row r="50434" spans="2:2" ht="12.75" customHeight="1" x14ac:dyDescent="0.2">
      <c r="B50434" s="43"/>
    </row>
    <row r="50435" spans="2:2" ht="12.75" customHeight="1" x14ac:dyDescent="0.2">
      <c r="B50435" s="43"/>
    </row>
    <row r="50436" spans="2:2" ht="12.75" customHeight="1" x14ac:dyDescent="0.2">
      <c r="B50436" s="43"/>
    </row>
    <row r="50437" spans="2:2" ht="12.75" customHeight="1" x14ac:dyDescent="0.2">
      <c r="B50437" s="43"/>
    </row>
    <row r="50438" spans="2:2" ht="12.75" customHeight="1" x14ac:dyDescent="0.2">
      <c r="B50438" s="43"/>
    </row>
    <row r="50439" spans="2:2" ht="12.75" customHeight="1" x14ac:dyDescent="0.2">
      <c r="B50439" s="43"/>
    </row>
    <row r="50440" spans="2:2" ht="12.75" customHeight="1" x14ac:dyDescent="0.2">
      <c r="B50440" s="43"/>
    </row>
    <row r="50441" spans="2:2" ht="12.75" customHeight="1" x14ac:dyDescent="0.2">
      <c r="B50441" s="43"/>
    </row>
    <row r="50442" spans="2:2" ht="12.75" customHeight="1" x14ac:dyDescent="0.2">
      <c r="B50442" s="43"/>
    </row>
    <row r="50443" spans="2:2" ht="12.75" customHeight="1" x14ac:dyDescent="0.2">
      <c r="B50443" s="43"/>
    </row>
    <row r="50444" spans="2:2" ht="12.75" customHeight="1" x14ac:dyDescent="0.2">
      <c r="B50444" s="43"/>
    </row>
    <row r="50445" spans="2:2" ht="12.75" customHeight="1" x14ac:dyDescent="0.2">
      <c r="B50445" s="43"/>
    </row>
    <row r="50446" spans="2:2" ht="12.75" customHeight="1" x14ac:dyDescent="0.2">
      <c r="B50446" s="43"/>
    </row>
    <row r="50447" spans="2:2" ht="12.75" customHeight="1" x14ac:dyDescent="0.2">
      <c r="B50447" s="43"/>
    </row>
    <row r="50448" spans="2:2" ht="12.75" customHeight="1" x14ac:dyDescent="0.2">
      <c r="B50448" s="43"/>
    </row>
    <row r="50449" spans="2:2" ht="12.75" customHeight="1" x14ac:dyDescent="0.2">
      <c r="B50449" s="43"/>
    </row>
    <row r="50450" spans="2:2" ht="12.75" customHeight="1" x14ac:dyDescent="0.2">
      <c r="B50450" s="43"/>
    </row>
    <row r="50451" spans="2:2" ht="12.75" customHeight="1" x14ac:dyDescent="0.2">
      <c r="B50451" s="43"/>
    </row>
    <row r="50452" spans="2:2" ht="12.75" customHeight="1" x14ac:dyDescent="0.2">
      <c r="B50452" s="43"/>
    </row>
    <row r="50453" spans="2:2" ht="12.75" customHeight="1" x14ac:dyDescent="0.2">
      <c r="B50453" s="43"/>
    </row>
    <row r="50454" spans="2:2" ht="12.75" customHeight="1" x14ac:dyDescent="0.2">
      <c r="B50454" s="43"/>
    </row>
    <row r="50455" spans="2:2" ht="12.75" customHeight="1" x14ac:dyDescent="0.2">
      <c r="B50455" s="43"/>
    </row>
    <row r="50456" spans="2:2" ht="12.75" customHeight="1" x14ac:dyDescent="0.2">
      <c r="B50456" s="43"/>
    </row>
    <row r="50457" spans="2:2" ht="12.75" customHeight="1" x14ac:dyDescent="0.2">
      <c r="B50457" s="43"/>
    </row>
    <row r="50458" spans="2:2" ht="12.75" customHeight="1" x14ac:dyDescent="0.2">
      <c r="B50458" s="43"/>
    </row>
    <row r="50459" spans="2:2" ht="12.75" customHeight="1" x14ac:dyDescent="0.2">
      <c r="B50459" s="43"/>
    </row>
    <row r="50460" spans="2:2" ht="12.75" customHeight="1" x14ac:dyDescent="0.2">
      <c r="B50460" s="43"/>
    </row>
    <row r="50461" spans="2:2" ht="12.75" customHeight="1" x14ac:dyDescent="0.2">
      <c r="B50461" s="43"/>
    </row>
    <row r="50462" spans="2:2" ht="12.75" customHeight="1" x14ac:dyDescent="0.2">
      <c r="B50462" s="43"/>
    </row>
    <row r="50463" spans="2:2" ht="12.75" customHeight="1" x14ac:dyDescent="0.2">
      <c r="B50463" s="43"/>
    </row>
    <row r="50464" spans="2:2" ht="12.75" customHeight="1" x14ac:dyDescent="0.2">
      <c r="B50464" s="43"/>
    </row>
    <row r="50465" spans="2:2" ht="12.75" customHeight="1" x14ac:dyDescent="0.2">
      <c r="B50465" s="43"/>
    </row>
    <row r="50466" spans="2:2" ht="12.75" customHeight="1" x14ac:dyDescent="0.2">
      <c r="B50466" s="43"/>
    </row>
    <row r="50467" spans="2:2" ht="12.75" customHeight="1" x14ac:dyDescent="0.2">
      <c r="B50467" s="43"/>
    </row>
    <row r="50468" spans="2:2" ht="12.75" customHeight="1" x14ac:dyDescent="0.2">
      <c r="B50468" s="43"/>
    </row>
    <row r="50469" spans="2:2" ht="12.75" customHeight="1" x14ac:dyDescent="0.2">
      <c r="B50469" s="43"/>
    </row>
    <row r="50470" spans="2:2" ht="12.75" customHeight="1" x14ac:dyDescent="0.2">
      <c r="B50470" s="43"/>
    </row>
    <row r="50471" spans="2:2" ht="12.75" customHeight="1" x14ac:dyDescent="0.2">
      <c r="B50471" s="43"/>
    </row>
    <row r="50472" spans="2:2" ht="12.75" customHeight="1" x14ac:dyDescent="0.2">
      <c r="B50472" s="43"/>
    </row>
    <row r="50473" spans="2:2" ht="12.75" customHeight="1" x14ac:dyDescent="0.2">
      <c r="B50473" s="43"/>
    </row>
    <row r="50474" spans="2:2" ht="12.75" customHeight="1" x14ac:dyDescent="0.2">
      <c r="B50474" s="43"/>
    </row>
    <row r="50475" spans="2:2" ht="12.75" customHeight="1" x14ac:dyDescent="0.2">
      <c r="B50475" s="43"/>
    </row>
    <row r="50476" spans="2:2" ht="12.75" customHeight="1" x14ac:dyDescent="0.2">
      <c r="B50476" s="43"/>
    </row>
    <row r="50477" spans="2:2" ht="12.75" customHeight="1" x14ac:dyDescent="0.2">
      <c r="B50477" s="43"/>
    </row>
    <row r="50478" spans="2:2" ht="12.75" customHeight="1" x14ac:dyDescent="0.2">
      <c r="B50478" s="43"/>
    </row>
    <row r="50479" spans="2:2" ht="12.75" customHeight="1" x14ac:dyDescent="0.2">
      <c r="B50479" s="43"/>
    </row>
    <row r="50480" spans="2:2" ht="12.75" customHeight="1" x14ac:dyDescent="0.2">
      <c r="B50480" s="43"/>
    </row>
    <row r="50481" spans="2:2" ht="12.75" customHeight="1" x14ac:dyDescent="0.2">
      <c r="B50481" s="43"/>
    </row>
    <row r="50482" spans="2:2" ht="12.75" customHeight="1" x14ac:dyDescent="0.2">
      <c r="B50482" s="43"/>
    </row>
    <row r="50483" spans="2:2" ht="12.75" customHeight="1" x14ac:dyDescent="0.2">
      <c r="B50483" s="43"/>
    </row>
    <row r="50484" spans="2:2" ht="12.75" customHeight="1" x14ac:dyDescent="0.2">
      <c r="B50484" s="43"/>
    </row>
    <row r="50485" spans="2:2" ht="12.75" customHeight="1" x14ac:dyDescent="0.2">
      <c r="B50485" s="43"/>
    </row>
    <row r="50486" spans="2:2" ht="12.75" customHeight="1" x14ac:dyDescent="0.2">
      <c r="B50486" s="43"/>
    </row>
    <row r="50487" spans="2:2" ht="12.75" customHeight="1" x14ac:dyDescent="0.2">
      <c r="B50487" s="43"/>
    </row>
    <row r="50488" spans="2:2" ht="12.75" customHeight="1" x14ac:dyDescent="0.2">
      <c r="B50488" s="43"/>
    </row>
    <row r="50489" spans="2:2" ht="12.75" customHeight="1" x14ac:dyDescent="0.2">
      <c r="B50489" s="43"/>
    </row>
    <row r="50490" spans="2:2" ht="12.75" customHeight="1" x14ac:dyDescent="0.2">
      <c r="B50490" s="43"/>
    </row>
    <row r="50491" spans="2:2" ht="12.75" customHeight="1" x14ac:dyDescent="0.2">
      <c r="B50491" s="43"/>
    </row>
    <row r="50492" spans="2:2" ht="12.75" customHeight="1" x14ac:dyDescent="0.2">
      <c r="B50492" s="43"/>
    </row>
    <row r="50493" spans="2:2" ht="12.75" customHeight="1" x14ac:dyDescent="0.2">
      <c r="B50493" s="43"/>
    </row>
    <row r="50494" spans="2:2" ht="12.75" customHeight="1" x14ac:dyDescent="0.2">
      <c r="B50494" s="43"/>
    </row>
    <row r="50495" spans="2:2" ht="12.75" customHeight="1" x14ac:dyDescent="0.2">
      <c r="B50495" s="43"/>
    </row>
    <row r="50496" spans="2:2" ht="12.75" customHeight="1" x14ac:dyDescent="0.2">
      <c r="B50496" s="43"/>
    </row>
    <row r="50497" spans="2:2" ht="12.75" customHeight="1" x14ac:dyDescent="0.2">
      <c r="B50497" s="43"/>
    </row>
    <row r="50498" spans="2:2" ht="12.75" customHeight="1" x14ac:dyDescent="0.2">
      <c r="B50498" s="43"/>
    </row>
    <row r="50499" spans="2:2" ht="12.75" customHeight="1" x14ac:dyDescent="0.2">
      <c r="B50499" s="43"/>
    </row>
    <row r="50500" spans="2:2" ht="12.75" customHeight="1" x14ac:dyDescent="0.2">
      <c r="B50500" s="43"/>
    </row>
    <row r="50501" spans="2:2" ht="12.75" customHeight="1" x14ac:dyDescent="0.2">
      <c r="B50501" s="43"/>
    </row>
    <row r="50502" spans="2:2" ht="12.75" customHeight="1" x14ac:dyDescent="0.2">
      <c r="B50502" s="43"/>
    </row>
    <row r="50503" spans="2:2" ht="12.75" customHeight="1" x14ac:dyDescent="0.2">
      <c r="B50503" s="43"/>
    </row>
    <row r="50504" spans="2:2" ht="12.75" customHeight="1" x14ac:dyDescent="0.2">
      <c r="B50504" s="43"/>
    </row>
    <row r="50505" spans="2:2" ht="12.75" customHeight="1" x14ac:dyDescent="0.2">
      <c r="B50505" s="43"/>
    </row>
    <row r="50506" spans="2:2" ht="12.75" customHeight="1" x14ac:dyDescent="0.2">
      <c r="B50506" s="43"/>
    </row>
    <row r="50507" spans="2:2" ht="12.75" customHeight="1" x14ac:dyDescent="0.2">
      <c r="B50507" s="43"/>
    </row>
    <row r="50508" spans="2:2" ht="12.75" customHeight="1" x14ac:dyDescent="0.2">
      <c r="B50508" s="43"/>
    </row>
    <row r="50509" spans="2:2" ht="12.75" customHeight="1" x14ac:dyDescent="0.2">
      <c r="B50509" s="43"/>
    </row>
    <row r="50510" spans="2:2" ht="12.75" customHeight="1" x14ac:dyDescent="0.2">
      <c r="B50510" s="43"/>
    </row>
    <row r="50511" spans="2:2" ht="12.75" customHeight="1" x14ac:dyDescent="0.2">
      <c r="B50511" s="43"/>
    </row>
    <row r="50512" spans="2:2" ht="12.75" customHeight="1" x14ac:dyDescent="0.2">
      <c r="B50512" s="43"/>
    </row>
    <row r="50513" spans="2:2" ht="12.75" customHeight="1" x14ac:dyDescent="0.2">
      <c r="B50513" s="43"/>
    </row>
    <row r="50514" spans="2:2" ht="12.75" customHeight="1" x14ac:dyDescent="0.2">
      <c r="B50514" s="43"/>
    </row>
    <row r="50515" spans="2:2" ht="12.75" customHeight="1" x14ac:dyDescent="0.2">
      <c r="B50515" s="43"/>
    </row>
    <row r="50516" spans="2:2" ht="12.75" customHeight="1" x14ac:dyDescent="0.2">
      <c r="B50516" s="43"/>
    </row>
    <row r="50517" spans="2:2" ht="12.75" customHeight="1" x14ac:dyDescent="0.2">
      <c r="B50517" s="43"/>
    </row>
    <row r="50518" spans="2:2" ht="12.75" customHeight="1" x14ac:dyDescent="0.2">
      <c r="B50518" s="43"/>
    </row>
    <row r="50519" spans="2:2" ht="12.75" customHeight="1" x14ac:dyDescent="0.2">
      <c r="B50519" s="43"/>
    </row>
    <row r="50520" spans="2:2" ht="12.75" customHeight="1" x14ac:dyDescent="0.2">
      <c r="B50520" s="43"/>
    </row>
    <row r="50521" spans="2:2" ht="12.75" customHeight="1" x14ac:dyDescent="0.2">
      <c r="B50521" s="43"/>
    </row>
    <row r="50522" spans="2:2" ht="12.75" customHeight="1" x14ac:dyDescent="0.2">
      <c r="B50522" s="43"/>
    </row>
    <row r="50523" spans="2:2" ht="12.75" customHeight="1" x14ac:dyDescent="0.2">
      <c r="B50523" s="43"/>
    </row>
    <row r="50524" spans="2:2" ht="12.75" customHeight="1" x14ac:dyDescent="0.2">
      <c r="B50524" s="43"/>
    </row>
    <row r="50525" spans="2:2" ht="12.75" customHeight="1" x14ac:dyDescent="0.2">
      <c r="B50525" s="43"/>
    </row>
    <row r="50526" spans="2:2" ht="12.75" customHeight="1" x14ac:dyDescent="0.2">
      <c r="B50526" s="43"/>
    </row>
    <row r="50527" spans="2:2" ht="12.75" customHeight="1" x14ac:dyDescent="0.2">
      <c r="B50527" s="43"/>
    </row>
    <row r="50528" spans="2:2" ht="12.75" customHeight="1" x14ac:dyDescent="0.2">
      <c r="B50528" s="43"/>
    </row>
    <row r="50529" spans="2:2" ht="12.75" customHeight="1" x14ac:dyDescent="0.2">
      <c r="B50529" s="43"/>
    </row>
    <row r="50530" spans="2:2" ht="12.75" customHeight="1" x14ac:dyDescent="0.2">
      <c r="B50530" s="43"/>
    </row>
    <row r="50531" spans="2:2" ht="12.75" customHeight="1" x14ac:dyDescent="0.2">
      <c r="B50531" s="43"/>
    </row>
    <row r="50532" spans="2:2" ht="12.75" customHeight="1" x14ac:dyDescent="0.2">
      <c r="B50532" s="43"/>
    </row>
    <row r="50533" spans="2:2" ht="12.75" customHeight="1" x14ac:dyDescent="0.2">
      <c r="B50533" s="43"/>
    </row>
    <row r="50534" spans="2:2" ht="12.75" customHeight="1" x14ac:dyDescent="0.2">
      <c r="B50534" s="43"/>
    </row>
    <row r="50535" spans="2:2" ht="12.75" customHeight="1" x14ac:dyDescent="0.2">
      <c r="B50535" s="43"/>
    </row>
    <row r="50536" spans="2:2" ht="12.75" customHeight="1" x14ac:dyDescent="0.2">
      <c r="B50536" s="43"/>
    </row>
    <row r="50537" spans="2:2" ht="12.75" customHeight="1" x14ac:dyDescent="0.2">
      <c r="B50537" s="43"/>
    </row>
    <row r="50538" spans="2:2" ht="12.75" customHeight="1" x14ac:dyDescent="0.2">
      <c r="B50538" s="43"/>
    </row>
    <row r="50539" spans="2:2" ht="12.75" customHeight="1" x14ac:dyDescent="0.2">
      <c r="B50539" s="43"/>
    </row>
    <row r="50540" spans="2:2" ht="12.75" customHeight="1" x14ac:dyDescent="0.2">
      <c r="B50540" s="43"/>
    </row>
    <row r="50541" spans="2:2" ht="12.75" customHeight="1" x14ac:dyDescent="0.2">
      <c r="B50541" s="43"/>
    </row>
    <row r="50542" spans="2:2" ht="12.75" customHeight="1" x14ac:dyDescent="0.2">
      <c r="B50542" s="43"/>
    </row>
    <row r="50543" spans="2:2" ht="12.75" customHeight="1" x14ac:dyDescent="0.2">
      <c r="B50543" s="43"/>
    </row>
    <row r="50544" spans="2:2" ht="12.75" customHeight="1" x14ac:dyDescent="0.2">
      <c r="B50544" s="43"/>
    </row>
    <row r="50545" spans="2:2" ht="12.75" customHeight="1" x14ac:dyDescent="0.2">
      <c r="B50545" s="43"/>
    </row>
    <row r="50546" spans="2:2" ht="12.75" customHeight="1" x14ac:dyDescent="0.2">
      <c r="B50546" s="43"/>
    </row>
    <row r="50547" spans="2:2" ht="12.75" customHeight="1" x14ac:dyDescent="0.2">
      <c r="B50547" s="43"/>
    </row>
    <row r="50548" spans="2:2" ht="12.75" customHeight="1" x14ac:dyDescent="0.2">
      <c r="B50548" s="43"/>
    </row>
    <row r="50549" spans="2:2" ht="12.75" customHeight="1" x14ac:dyDescent="0.2">
      <c r="B50549" s="43"/>
    </row>
    <row r="50550" spans="2:2" ht="12.75" customHeight="1" x14ac:dyDescent="0.2">
      <c r="B50550" s="43"/>
    </row>
    <row r="50551" spans="2:2" ht="12.75" customHeight="1" x14ac:dyDescent="0.2">
      <c r="B50551" s="43"/>
    </row>
    <row r="50552" spans="2:2" ht="12.75" customHeight="1" x14ac:dyDescent="0.2">
      <c r="B50552" s="43"/>
    </row>
    <row r="50553" spans="2:2" ht="12.75" customHeight="1" x14ac:dyDescent="0.2">
      <c r="B50553" s="43"/>
    </row>
    <row r="50554" spans="2:2" ht="12.75" customHeight="1" x14ac:dyDescent="0.2">
      <c r="B50554" s="43"/>
    </row>
    <row r="50555" spans="2:2" ht="12.75" customHeight="1" x14ac:dyDescent="0.2">
      <c r="B50555" s="43"/>
    </row>
    <row r="50556" spans="2:2" ht="12.75" customHeight="1" x14ac:dyDescent="0.2">
      <c r="B50556" s="43"/>
    </row>
    <row r="50557" spans="2:2" ht="12.75" customHeight="1" x14ac:dyDescent="0.2">
      <c r="B50557" s="43"/>
    </row>
    <row r="50558" spans="2:2" ht="12.75" customHeight="1" x14ac:dyDescent="0.2">
      <c r="B50558" s="43"/>
    </row>
    <row r="50559" spans="2:2" ht="12.75" customHeight="1" x14ac:dyDescent="0.2">
      <c r="B50559" s="43"/>
    </row>
    <row r="50560" spans="2:2" ht="12.75" customHeight="1" x14ac:dyDescent="0.2">
      <c r="B50560" s="43"/>
    </row>
    <row r="50561" spans="2:2" ht="12.75" customHeight="1" x14ac:dyDescent="0.2">
      <c r="B50561" s="43"/>
    </row>
    <row r="50562" spans="2:2" ht="12.75" customHeight="1" x14ac:dyDescent="0.2">
      <c r="B50562" s="43"/>
    </row>
    <row r="50563" spans="2:2" ht="12.75" customHeight="1" x14ac:dyDescent="0.2">
      <c r="B50563" s="43"/>
    </row>
    <row r="50564" spans="2:2" ht="12.75" customHeight="1" x14ac:dyDescent="0.2">
      <c r="B50564" s="43"/>
    </row>
    <row r="50565" spans="2:2" ht="12.75" customHeight="1" x14ac:dyDescent="0.2">
      <c r="B50565" s="43"/>
    </row>
    <row r="50566" spans="2:2" ht="12.75" customHeight="1" x14ac:dyDescent="0.2">
      <c r="B50566" s="43"/>
    </row>
    <row r="50567" spans="2:2" ht="12.75" customHeight="1" x14ac:dyDescent="0.2">
      <c r="B50567" s="43"/>
    </row>
    <row r="50568" spans="2:2" ht="12.75" customHeight="1" x14ac:dyDescent="0.2">
      <c r="B50568" s="43"/>
    </row>
    <row r="50569" spans="2:2" ht="12.75" customHeight="1" x14ac:dyDescent="0.2">
      <c r="B50569" s="43"/>
    </row>
    <row r="50570" spans="2:2" ht="12.75" customHeight="1" x14ac:dyDescent="0.2">
      <c r="B50570" s="43"/>
    </row>
    <row r="50571" spans="2:2" ht="12.75" customHeight="1" x14ac:dyDescent="0.2">
      <c r="B50571" s="43"/>
    </row>
    <row r="50572" spans="2:2" ht="12.75" customHeight="1" x14ac:dyDescent="0.2">
      <c r="B50572" s="43"/>
    </row>
    <row r="50573" spans="2:2" ht="12.75" customHeight="1" x14ac:dyDescent="0.2">
      <c r="B50573" s="43"/>
    </row>
    <row r="50574" spans="2:2" ht="12.75" customHeight="1" x14ac:dyDescent="0.2">
      <c r="B50574" s="43"/>
    </row>
    <row r="50575" spans="2:2" ht="12.75" customHeight="1" x14ac:dyDescent="0.2">
      <c r="B50575" s="43"/>
    </row>
    <row r="50576" spans="2:2" ht="12.75" customHeight="1" x14ac:dyDescent="0.2">
      <c r="B50576" s="43"/>
    </row>
    <row r="50577" spans="2:2" ht="12.75" customHeight="1" x14ac:dyDescent="0.2">
      <c r="B50577" s="43"/>
    </row>
    <row r="50578" spans="2:2" ht="12.75" customHeight="1" x14ac:dyDescent="0.2">
      <c r="B50578" s="43"/>
    </row>
    <row r="50579" spans="2:2" ht="12.75" customHeight="1" x14ac:dyDescent="0.2">
      <c r="B50579" s="43"/>
    </row>
    <row r="50580" spans="2:2" ht="12.75" customHeight="1" x14ac:dyDescent="0.2">
      <c r="B50580" s="43"/>
    </row>
    <row r="50581" spans="2:2" ht="12.75" customHeight="1" x14ac:dyDescent="0.2">
      <c r="B50581" s="43"/>
    </row>
    <row r="50582" spans="2:2" ht="12.75" customHeight="1" x14ac:dyDescent="0.2">
      <c r="B50582" s="43"/>
    </row>
    <row r="50583" spans="2:2" ht="12.75" customHeight="1" x14ac:dyDescent="0.2">
      <c r="B50583" s="43"/>
    </row>
    <row r="50584" spans="2:2" ht="12.75" customHeight="1" x14ac:dyDescent="0.2">
      <c r="B50584" s="43"/>
    </row>
    <row r="50585" spans="2:2" ht="12.75" customHeight="1" x14ac:dyDescent="0.2">
      <c r="B50585" s="43"/>
    </row>
    <row r="50586" spans="2:2" ht="12.75" customHeight="1" x14ac:dyDescent="0.2">
      <c r="B50586" s="43"/>
    </row>
    <row r="50587" spans="2:2" ht="12.75" customHeight="1" x14ac:dyDescent="0.2">
      <c r="B50587" s="43"/>
    </row>
    <row r="50588" spans="2:2" ht="12.75" customHeight="1" x14ac:dyDescent="0.2">
      <c r="B50588" s="43"/>
    </row>
    <row r="50589" spans="2:2" ht="12.75" customHeight="1" x14ac:dyDescent="0.2">
      <c r="B50589" s="43"/>
    </row>
    <row r="50590" spans="2:2" ht="12.75" customHeight="1" x14ac:dyDescent="0.2">
      <c r="B50590" s="43"/>
    </row>
    <row r="50591" spans="2:2" ht="12.75" customHeight="1" x14ac:dyDescent="0.2">
      <c r="B50591" s="43"/>
    </row>
    <row r="50592" spans="2:2" ht="12.75" customHeight="1" x14ac:dyDescent="0.2">
      <c r="B50592" s="43"/>
    </row>
    <row r="50593" spans="2:2" ht="12.75" customHeight="1" x14ac:dyDescent="0.2">
      <c r="B50593" s="43"/>
    </row>
    <row r="50594" spans="2:2" ht="12.75" customHeight="1" x14ac:dyDescent="0.2">
      <c r="B50594" s="43"/>
    </row>
    <row r="50595" spans="2:2" ht="12.75" customHeight="1" x14ac:dyDescent="0.2">
      <c r="B50595" s="43"/>
    </row>
    <row r="50596" spans="2:2" ht="12.75" customHeight="1" x14ac:dyDescent="0.2">
      <c r="B50596" s="43"/>
    </row>
    <row r="50597" spans="2:2" ht="12.75" customHeight="1" x14ac:dyDescent="0.2">
      <c r="B50597" s="43"/>
    </row>
    <row r="50598" spans="2:2" ht="12.75" customHeight="1" x14ac:dyDescent="0.2">
      <c r="B50598" s="43"/>
    </row>
    <row r="50599" spans="2:2" ht="12.75" customHeight="1" x14ac:dyDescent="0.2">
      <c r="B50599" s="43"/>
    </row>
    <row r="50600" spans="2:2" ht="12.75" customHeight="1" x14ac:dyDescent="0.2">
      <c r="B50600" s="43"/>
    </row>
    <row r="50601" spans="2:2" ht="12.75" customHeight="1" x14ac:dyDescent="0.2">
      <c r="B50601" s="43"/>
    </row>
    <row r="50602" spans="2:2" ht="12.75" customHeight="1" x14ac:dyDescent="0.2">
      <c r="B50602" s="43"/>
    </row>
    <row r="50603" spans="2:2" ht="12.75" customHeight="1" x14ac:dyDescent="0.2">
      <c r="B50603" s="43"/>
    </row>
    <row r="50604" spans="2:2" ht="12.75" customHeight="1" x14ac:dyDescent="0.2">
      <c r="B50604" s="43"/>
    </row>
    <row r="50605" spans="2:2" ht="12.75" customHeight="1" x14ac:dyDescent="0.2">
      <c r="B50605" s="43"/>
    </row>
    <row r="50606" spans="2:2" ht="12.75" customHeight="1" x14ac:dyDescent="0.2">
      <c r="B50606" s="43"/>
    </row>
    <row r="50607" spans="2:2" ht="12.75" customHeight="1" x14ac:dyDescent="0.2">
      <c r="B50607" s="43"/>
    </row>
    <row r="50608" spans="2:2" ht="12.75" customHeight="1" x14ac:dyDescent="0.2">
      <c r="B50608" s="43"/>
    </row>
    <row r="50609" spans="2:2" ht="12.75" customHeight="1" x14ac:dyDescent="0.2">
      <c r="B50609" s="43"/>
    </row>
    <row r="50610" spans="2:2" ht="12.75" customHeight="1" x14ac:dyDescent="0.2">
      <c r="B50610" s="43"/>
    </row>
    <row r="50611" spans="2:2" ht="12.75" customHeight="1" x14ac:dyDescent="0.2">
      <c r="B50611" s="43"/>
    </row>
    <row r="50612" spans="2:2" ht="12.75" customHeight="1" x14ac:dyDescent="0.2">
      <c r="B50612" s="43"/>
    </row>
    <row r="50613" spans="2:2" ht="12.75" customHeight="1" x14ac:dyDescent="0.2">
      <c r="B50613" s="43"/>
    </row>
    <row r="50614" spans="2:2" ht="12.75" customHeight="1" x14ac:dyDescent="0.2">
      <c r="B50614" s="43"/>
    </row>
    <row r="50615" spans="2:2" ht="12.75" customHeight="1" x14ac:dyDescent="0.2">
      <c r="B50615" s="43"/>
    </row>
    <row r="50616" spans="2:2" ht="12.75" customHeight="1" x14ac:dyDescent="0.2">
      <c r="B50616" s="43"/>
    </row>
    <row r="50617" spans="2:2" ht="12.75" customHeight="1" x14ac:dyDescent="0.2">
      <c r="B50617" s="43"/>
    </row>
    <row r="50618" spans="2:2" ht="12.75" customHeight="1" x14ac:dyDescent="0.2">
      <c r="B50618" s="43"/>
    </row>
    <row r="50619" spans="2:2" ht="12.75" customHeight="1" x14ac:dyDescent="0.2">
      <c r="B50619" s="43"/>
    </row>
    <row r="50620" spans="2:2" ht="12.75" customHeight="1" x14ac:dyDescent="0.2">
      <c r="B50620" s="43"/>
    </row>
    <row r="50621" spans="2:2" ht="12.75" customHeight="1" x14ac:dyDescent="0.2">
      <c r="B50621" s="43"/>
    </row>
    <row r="50622" spans="2:2" ht="12.75" customHeight="1" x14ac:dyDescent="0.2">
      <c r="B50622" s="43"/>
    </row>
    <row r="50623" spans="2:2" ht="12.75" customHeight="1" x14ac:dyDescent="0.2">
      <c r="B50623" s="43"/>
    </row>
    <row r="50624" spans="2:2" ht="12.75" customHeight="1" x14ac:dyDescent="0.2">
      <c r="B50624" s="43"/>
    </row>
    <row r="50625" spans="2:2" ht="12.75" customHeight="1" x14ac:dyDescent="0.2">
      <c r="B50625" s="43"/>
    </row>
    <row r="50626" spans="2:2" ht="12.75" customHeight="1" x14ac:dyDescent="0.2">
      <c r="B50626" s="43"/>
    </row>
    <row r="50627" spans="2:2" ht="12.75" customHeight="1" x14ac:dyDescent="0.2">
      <c r="B50627" s="43"/>
    </row>
    <row r="50628" spans="2:2" ht="12.75" customHeight="1" x14ac:dyDescent="0.2">
      <c r="B50628" s="43"/>
    </row>
    <row r="50629" spans="2:2" ht="12.75" customHeight="1" x14ac:dyDescent="0.2">
      <c r="B50629" s="43"/>
    </row>
    <row r="50630" spans="2:2" ht="12.75" customHeight="1" x14ac:dyDescent="0.2">
      <c r="B50630" s="43"/>
    </row>
    <row r="50631" spans="2:2" ht="12.75" customHeight="1" x14ac:dyDescent="0.2">
      <c r="B50631" s="43"/>
    </row>
    <row r="50632" spans="2:2" ht="12.75" customHeight="1" x14ac:dyDescent="0.2">
      <c r="B50632" s="43"/>
    </row>
    <row r="50633" spans="2:2" ht="12.75" customHeight="1" x14ac:dyDescent="0.2">
      <c r="B50633" s="43"/>
    </row>
    <row r="50634" spans="2:2" ht="12.75" customHeight="1" x14ac:dyDescent="0.2">
      <c r="B50634" s="43"/>
    </row>
    <row r="50635" spans="2:2" ht="12.75" customHeight="1" x14ac:dyDescent="0.2">
      <c r="B50635" s="43"/>
    </row>
    <row r="50636" spans="2:2" ht="12.75" customHeight="1" x14ac:dyDescent="0.2">
      <c r="B50636" s="43"/>
    </row>
    <row r="50637" spans="2:2" ht="12.75" customHeight="1" x14ac:dyDescent="0.2">
      <c r="B50637" s="43"/>
    </row>
    <row r="50638" spans="2:2" ht="12.75" customHeight="1" x14ac:dyDescent="0.2">
      <c r="B50638" s="43"/>
    </row>
    <row r="50639" spans="2:2" ht="12.75" customHeight="1" x14ac:dyDescent="0.2">
      <c r="B50639" s="43"/>
    </row>
    <row r="50640" spans="2:2" ht="12.75" customHeight="1" x14ac:dyDescent="0.2">
      <c r="B50640" s="43"/>
    </row>
    <row r="50641" spans="2:2" ht="12.75" customHeight="1" x14ac:dyDescent="0.2">
      <c r="B50641" s="43"/>
    </row>
    <row r="50642" spans="2:2" ht="12.75" customHeight="1" x14ac:dyDescent="0.2">
      <c r="B50642" s="43"/>
    </row>
    <row r="50643" spans="2:2" ht="12.75" customHeight="1" x14ac:dyDescent="0.2">
      <c r="B50643" s="43"/>
    </row>
    <row r="50644" spans="2:2" ht="12.75" customHeight="1" x14ac:dyDescent="0.2">
      <c r="B50644" s="43"/>
    </row>
    <row r="50645" spans="2:2" ht="12.75" customHeight="1" x14ac:dyDescent="0.2">
      <c r="B50645" s="43"/>
    </row>
    <row r="50646" spans="2:2" ht="12.75" customHeight="1" x14ac:dyDescent="0.2">
      <c r="B50646" s="43"/>
    </row>
    <row r="50647" spans="2:2" ht="12.75" customHeight="1" x14ac:dyDescent="0.2">
      <c r="B50647" s="43"/>
    </row>
    <row r="50648" spans="2:2" ht="12.75" customHeight="1" x14ac:dyDescent="0.2">
      <c r="B50648" s="43"/>
    </row>
    <row r="50649" spans="2:2" ht="12.75" customHeight="1" x14ac:dyDescent="0.2">
      <c r="B50649" s="43"/>
    </row>
    <row r="50650" spans="2:2" ht="12.75" customHeight="1" x14ac:dyDescent="0.2">
      <c r="B50650" s="43"/>
    </row>
    <row r="50651" spans="2:2" ht="12.75" customHeight="1" x14ac:dyDescent="0.2">
      <c r="B50651" s="43"/>
    </row>
    <row r="50652" spans="2:2" ht="12.75" customHeight="1" x14ac:dyDescent="0.2">
      <c r="B50652" s="43"/>
    </row>
    <row r="50653" spans="2:2" ht="12.75" customHeight="1" x14ac:dyDescent="0.2">
      <c r="B50653" s="43"/>
    </row>
    <row r="50654" spans="2:2" ht="12.75" customHeight="1" x14ac:dyDescent="0.2">
      <c r="B50654" s="43"/>
    </row>
    <row r="50655" spans="2:2" ht="12.75" customHeight="1" x14ac:dyDescent="0.2">
      <c r="B50655" s="43"/>
    </row>
    <row r="50656" spans="2:2" ht="12.75" customHeight="1" x14ac:dyDescent="0.2">
      <c r="B50656" s="43"/>
    </row>
    <row r="50657" spans="2:2" ht="12.75" customHeight="1" x14ac:dyDescent="0.2">
      <c r="B50657" s="43"/>
    </row>
    <row r="50658" spans="2:2" ht="12.75" customHeight="1" x14ac:dyDescent="0.2">
      <c r="B50658" s="43"/>
    </row>
    <row r="50659" spans="2:2" ht="12.75" customHeight="1" x14ac:dyDescent="0.2">
      <c r="B50659" s="43"/>
    </row>
    <row r="50660" spans="2:2" ht="12.75" customHeight="1" x14ac:dyDescent="0.2">
      <c r="B50660" s="43"/>
    </row>
    <row r="50661" spans="2:2" ht="12.75" customHeight="1" x14ac:dyDescent="0.2">
      <c r="B50661" s="43"/>
    </row>
    <row r="50662" spans="2:2" ht="12.75" customHeight="1" x14ac:dyDescent="0.2">
      <c r="B50662" s="43"/>
    </row>
    <row r="50663" spans="2:2" ht="12.75" customHeight="1" x14ac:dyDescent="0.2">
      <c r="B50663" s="43"/>
    </row>
    <row r="50664" spans="2:2" ht="12.75" customHeight="1" x14ac:dyDescent="0.2">
      <c r="B50664" s="43"/>
    </row>
    <row r="50665" spans="2:2" ht="12.75" customHeight="1" x14ac:dyDescent="0.2">
      <c r="B50665" s="43"/>
    </row>
    <row r="50666" spans="2:2" ht="12.75" customHeight="1" x14ac:dyDescent="0.2">
      <c r="B50666" s="43"/>
    </row>
    <row r="50667" spans="2:2" ht="12.75" customHeight="1" x14ac:dyDescent="0.2">
      <c r="B50667" s="43"/>
    </row>
    <row r="50668" spans="2:2" ht="12.75" customHeight="1" x14ac:dyDescent="0.2">
      <c r="B50668" s="43"/>
    </row>
    <row r="50669" spans="2:2" ht="12.75" customHeight="1" x14ac:dyDescent="0.2">
      <c r="B50669" s="43"/>
    </row>
    <row r="50670" spans="2:2" ht="12.75" customHeight="1" x14ac:dyDescent="0.2">
      <c r="B50670" s="43"/>
    </row>
    <row r="50671" spans="2:2" ht="12.75" customHeight="1" x14ac:dyDescent="0.2">
      <c r="B50671" s="43"/>
    </row>
    <row r="50672" spans="2:2" ht="12.75" customHeight="1" x14ac:dyDescent="0.2">
      <c r="B50672" s="43"/>
    </row>
    <row r="50673" spans="2:2" ht="12.75" customHeight="1" x14ac:dyDescent="0.2">
      <c r="B50673" s="43"/>
    </row>
    <row r="50674" spans="2:2" ht="12.75" customHeight="1" x14ac:dyDescent="0.2">
      <c r="B50674" s="43"/>
    </row>
    <row r="50675" spans="2:2" ht="12.75" customHeight="1" x14ac:dyDescent="0.2">
      <c r="B50675" s="43"/>
    </row>
    <row r="50676" spans="2:2" ht="12.75" customHeight="1" x14ac:dyDescent="0.2">
      <c r="B50676" s="43"/>
    </row>
    <row r="50677" spans="2:2" ht="12.75" customHeight="1" x14ac:dyDescent="0.2">
      <c r="B50677" s="43"/>
    </row>
    <row r="50678" spans="2:2" ht="12.75" customHeight="1" x14ac:dyDescent="0.2">
      <c r="B50678" s="43"/>
    </row>
    <row r="50679" spans="2:2" ht="12.75" customHeight="1" x14ac:dyDescent="0.2">
      <c r="B50679" s="43"/>
    </row>
    <row r="50680" spans="2:2" ht="12.75" customHeight="1" x14ac:dyDescent="0.2">
      <c r="B50680" s="43"/>
    </row>
    <row r="50681" spans="2:2" ht="12.75" customHeight="1" x14ac:dyDescent="0.2">
      <c r="B50681" s="43"/>
    </row>
    <row r="50682" spans="2:2" ht="12.75" customHeight="1" x14ac:dyDescent="0.2">
      <c r="B50682" s="43"/>
    </row>
    <row r="50683" spans="2:2" ht="12.75" customHeight="1" x14ac:dyDescent="0.2">
      <c r="B50683" s="43"/>
    </row>
    <row r="50684" spans="2:2" ht="12.75" customHeight="1" x14ac:dyDescent="0.2">
      <c r="B50684" s="43"/>
    </row>
    <row r="50685" spans="2:2" ht="12.75" customHeight="1" x14ac:dyDescent="0.2">
      <c r="B50685" s="43"/>
    </row>
    <row r="50686" spans="2:2" ht="12.75" customHeight="1" x14ac:dyDescent="0.2">
      <c r="B50686" s="43"/>
    </row>
    <row r="50687" spans="2:2" ht="12.75" customHeight="1" x14ac:dyDescent="0.2">
      <c r="B50687" s="43"/>
    </row>
    <row r="50688" spans="2:2" ht="12.75" customHeight="1" x14ac:dyDescent="0.2">
      <c r="B50688" s="43"/>
    </row>
    <row r="50689" spans="2:2" ht="12.75" customHeight="1" x14ac:dyDescent="0.2">
      <c r="B50689" s="43"/>
    </row>
    <row r="50690" spans="2:2" ht="12.75" customHeight="1" x14ac:dyDescent="0.2">
      <c r="B50690" s="43"/>
    </row>
    <row r="50691" spans="2:2" ht="12.75" customHeight="1" x14ac:dyDescent="0.2">
      <c r="B50691" s="43"/>
    </row>
    <row r="50692" spans="2:2" ht="12.75" customHeight="1" x14ac:dyDescent="0.2">
      <c r="B50692" s="43"/>
    </row>
    <row r="50693" spans="2:2" ht="12.75" customHeight="1" x14ac:dyDescent="0.2">
      <c r="B50693" s="43"/>
    </row>
    <row r="50694" spans="2:2" ht="12.75" customHeight="1" x14ac:dyDescent="0.2">
      <c r="B50694" s="43"/>
    </row>
    <row r="50695" spans="2:2" ht="12.75" customHeight="1" x14ac:dyDescent="0.2">
      <c r="B50695" s="43"/>
    </row>
    <row r="50696" spans="2:2" ht="12.75" customHeight="1" x14ac:dyDescent="0.2">
      <c r="B50696" s="43"/>
    </row>
    <row r="50697" spans="2:2" ht="12.75" customHeight="1" x14ac:dyDescent="0.2">
      <c r="B50697" s="43"/>
    </row>
    <row r="50698" spans="2:2" ht="12.75" customHeight="1" x14ac:dyDescent="0.2">
      <c r="B50698" s="43"/>
    </row>
    <row r="50699" spans="2:2" ht="12.75" customHeight="1" x14ac:dyDescent="0.2">
      <c r="B50699" s="43"/>
    </row>
    <row r="50700" spans="2:2" ht="12.75" customHeight="1" x14ac:dyDescent="0.2">
      <c r="B50700" s="43"/>
    </row>
    <row r="50701" spans="2:2" ht="12.75" customHeight="1" x14ac:dyDescent="0.2">
      <c r="B50701" s="43"/>
    </row>
    <row r="50702" spans="2:2" ht="12.75" customHeight="1" x14ac:dyDescent="0.2">
      <c r="B50702" s="43"/>
    </row>
    <row r="50703" spans="2:2" ht="12.75" customHeight="1" x14ac:dyDescent="0.2">
      <c r="B50703" s="43"/>
    </row>
    <row r="50704" spans="2:2" ht="12.75" customHeight="1" x14ac:dyDescent="0.2">
      <c r="B50704" s="43"/>
    </row>
    <row r="50705" spans="2:2" ht="12.75" customHeight="1" x14ac:dyDescent="0.2">
      <c r="B50705" s="43"/>
    </row>
    <row r="50706" spans="2:2" ht="12.75" customHeight="1" x14ac:dyDescent="0.2">
      <c r="B50706" s="43"/>
    </row>
    <row r="50707" spans="2:2" ht="12.75" customHeight="1" x14ac:dyDescent="0.2">
      <c r="B50707" s="43"/>
    </row>
    <row r="50708" spans="2:2" ht="12.75" customHeight="1" x14ac:dyDescent="0.2">
      <c r="B50708" s="43"/>
    </row>
    <row r="50709" spans="2:2" ht="12.75" customHeight="1" x14ac:dyDescent="0.2">
      <c r="B50709" s="43"/>
    </row>
    <row r="50710" spans="2:2" ht="12.75" customHeight="1" x14ac:dyDescent="0.2">
      <c r="B50710" s="43"/>
    </row>
    <row r="50711" spans="2:2" ht="12.75" customHeight="1" x14ac:dyDescent="0.2">
      <c r="B50711" s="43"/>
    </row>
    <row r="50712" spans="2:2" ht="12.75" customHeight="1" x14ac:dyDescent="0.2">
      <c r="B50712" s="43"/>
    </row>
    <row r="50713" spans="2:2" ht="12.75" customHeight="1" x14ac:dyDescent="0.2">
      <c r="B50713" s="43"/>
    </row>
    <row r="50714" spans="2:2" ht="12.75" customHeight="1" x14ac:dyDescent="0.2">
      <c r="B50714" s="43"/>
    </row>
    <row r="50715" spans="2:2" ht="12.75" customHeight="1" x14ac:dyDescent="0.2">
      <c r="B50715" s="43"/>
    </row>
    <row r="50716" spans="2:2" ht="12.75" customHeight="1" x14ac:dyDescent="0.2">
      <c r="B50716" s="43"/>
    </row>
    <row r="50717" spans="2:2" ht="12.75" customHeight="1" x14ac:dyDescent="0.2">
      <c r="B50717" s="43"/>
    </row>
    <row r="50718" spans="2:2" ht="12.75" customHeight="1" x14ac:dyDescent="0.2">
      <c r="B50718" s="43"/>
    </row>
    <row r="50719" spans="2:2" ht="12.75" customHeight="1" x14ac:dyDescent="0.2">
      <c r="B50719" s="43"/>
    </row>
    <row r="50720" spans="2:2" ht="12.75" customHeight="1" x14ac:dyDescent="0.2">
      <c r="B50720" s="43"/>
    </row>
    <row r="50721" spans="2:2" ht="12.75" customHeight="1" x14ac:dyDescent="0.2">
      <c r="B50721" s="43"/>
    </row>
    <row r="50722" spans="2:2" ht="12.75" customHeight="1" x14ac:dyDescent="0.2">
      <c r="B50722" s="43"/>
    </row>
    <row r="50723" spans="2:2" ht="12.75" customHeight="1" x14ac:dyDescent="0.2">
      <c r="B50723" s="43"/>
    </row>
    <row r="50724" spans="2:2" ht="12.75" customHeight="1" x14ac:dyDescent="0.2">
      <c r="B50724" s="43"/>
    </row>
    <row r="50725" spans="2:2" ht="12.75" customHeight="1" x14ac:dyDescent="0.2">
      <c r="B50725" s="43"/>
    </row>
    <row r="50726" spans="2:2" ht="12.75" customHeight="1" x14ac:dyDescent="0.2">
      <c r="B50726" s="43"/>
    </row>
    <row r="50727" spans="2:2" ht="12.75" customHeight="1" x14ac:dyDescent="0.2">
      <c r="B50727" s="43"/>
    </row>
    <row r="50728" spans="2:2" ht="12.75" customHeight="1" x14ac:dyDescent="0.2">
      <c r="B50728" s="43"/>
    </row>
    <row r="50729" spans="2:2" ht="12.75" customHeight="1" x14ac:dyDescent="0.2">
      <c r="B50729" s="43"/>
    </row>
    <row r="50730" spans="2:2" ht="12.75" customHeight="1" x14ac:dyDescent="0.2">
      <c r="B50730" s="43"/>
    </row>
    <row r="50731" spans="2:2" ht="12.75" customHeight="1" x14ac:dyDescent="0.2">
      <c r="B50731" s="43"/>
    </row>
    <row r="50732" spans="2:2" ht="12.75" customHeight="1" x14ac:dyDescent="0.2">
      <c r="B50732" s="43"/>
    </row>
    <row r="50733" spans="2:2" ht="12.75" customHeight="1" x14ac:dyDescent="0.2">
      <c r="B50733" s="43"/>
    </row>
    <row r="50734" spans="2:2" ht="12.75" customHeight="1" x14ac:dyDescent="0.2">
      <c r="B50734" s="43"/>
    </row>
    <row r="50735" spans="2:2" ht="12.75" customHeight="1" x14ac:dyDescent="0.2">
      <c r="B50735" s="43"/>
    </row>
    <row r="50736" spans="2:2" ht="12.75" customHeight="1" x14ac:dyDescent="0.2">
      <c r="B50736" s="43"/>
    </row>
    <row r="50737" spans="2:2" ht="12.75" customHeight="1" x14ac:dyDescent="0.2">
      <c r="B50737" s="43"/>
    </row>
    <row r="50738" spans="2:2" ht="12.75" customHeight="1" x14ac:dyDescent="0.2">
      <c r="B50738" s="43"/>
    </row>
    <row r="50739" spans="2:2" ht="12.75" customHeight="1" x14ac:dyDescent="0.2">
      <c r="B50739" s="43"/>
    </row>
    <row r="50740" spans="2:2" ht="12.75" customHeight="1" x14ac:dyDescent="0.2">
      <c r="B50740" s="43"/>
    </row>
    <row r="50741" spans="2:2" ht="12.75" customHeight="1" x14ac:dyDescent="0.2">
      <c r="B50741" s="43"/>
    </row>
    <row r="50742" spans="2:2" ht="12.75" customHeight="1" x14ac:dyDescent="0.2">
      <c r="B50742" s="43"/>
    </row>
    <row r="50743" spans="2:2" ht="12.75" customHeight="1" x14ac:dyDescent="0.2">
      <c r="B50743" s="43"/>
    </row>
    <row r="50744" spans="2:2" ht="12.75" customHeight="1" x14ac:dyDescent="0.2">
      <c r="B50744" s="43"/>
    </row>
    <row r="50745" spans="2:2" ht="12.75" customHeight="1" x14ac:dyDescent="0.2">
      <c r="B50745" s="43"/>
    </row>
    <row r="50746" spans="2:2" ht="12.75" customHeight="1" x14ac:dyDescent="0.2">
      <c r="B50746" s="43"/>
    </row>
    <row r="50747" spans="2:2" ht="12.75" customHeight="1" x14ac:dyDescent="0.2">
      <c r="B50747" s="43"/>
    </row>
    <row r="50748" spans="2:2" ht="12.75" customHeight="1" x14ac:dyDescent="0.2">
      <c r="B50748" s="43"/>
    </row>
    <row r="50749" spans="2:2" ht="12.75" customHeight="1" x14ac:dyDescent="0.2">
      <c r="B50749" s="43"/>
    </row>
    <row r="50750" spans="2:2" ht="12.75" customHeight="1" x14ac:dyDescent="0.2">
      <c r="B50750" s="43"/>
    </row>
    <row r="50751" spans="2:2" ht="12.75" customHeight="1" x14ac:dyDescent="0.2">
      <c r="B50751" s="43"/>
    </row>
    <row r="50752" spans="2:2" ht="12.75" customHeight="1" x14ac:dyDescent="0.2">
      <c r="B50752" s="43"/>
    </row>
    <row r="50753" spans="2:2" ht="12.75" customHeight="1" x14ac:dyDescent="0.2">
      <c r="B50753" s="43"/>
    </row>
    <row r="50754" spans="2:2" ht="12.75" customHeight="1" x14ac:dyDescent="0.2">
      <c r="B50754" s="43"/>
    </row>
    <row r="50755" spans="2:2" ht="12.75" customHeight="1" x14ac:dyDescent="0.2">
      <c r="B50755" s="43"/>
    </row>
    <row r="50756" spans="2:2" ht="12.75" customHeight="1" x14ac:dyDescent="0.2">
      <c r="B50756" s="43"/>
    </row>
    <row r="50757" spans="2:2" ht="12.75" customHeight="1" x14ac:dyDescent="0.2">
      <c r="B50757" s="43"/>
    </row>
    <row r="50758" spans="2:2" ht="12.75" customHeight="1" x14ac:dyDescent="0.2">
      <c r="B50758" s="43"/>
    </row>
    <row r="50759" spans="2:2" ht="12.75" customHeight="1" x14ac:dyDescent="0.2">
      <c r="B50759" s="43"/>
    </row>
    <row r="50760" spans="2:2" ht="12.75" customHeight="1" x14ac:dyDescent="0.2">
      <c r="B50760" s="43"/>
    </row>
    <row r="50761" spans="2:2" ht="12.75" customHeight="1" x14ac:dyDescent="0.2">
      <c r="B50761" s="43"/>
    </row>
    <row r="50762" spans="2:2" ht="12.75" customHeight="1" x14ac:dyDescent="0.2">
      <c r="B50762" s="43"/>
    </row>
    <row r="50763" spans="2:2" ht="12.75" customHeight="1" x14ac:dyDescent="0.2">
      <c r="B50763" s="43"/>
    </row>
    <row r="50764" spans="2:2" ht="12.75" customHeight="1" x14ac:dyDescent="0.2">
      <c r="B50764" s="43"/>
    </row>
    <row r="50765" spans="2:2" ht="12.75" customHeight="1" x14ac:dyDescent="0.2">
      <c r="B50765" s="43"/>
    </row>
    <row r="50766" spans="2:2" ht="12.75" customHeight="1" x14ac:dyDescent="0.2">
      <c r="B50766" s="43"/>
    </row>
    <row r="50767" spans="2:2" ht="12.75" customHeight="1" x14ac:dyDescent="0.2">
      <c r="B50767" s="43"/>
    </row>
    <row r="50768" spans="2:2" ht="12.75" customHeight="1" x14ac:dyDescent="0.2">
      <c r="B50768" s="43"/>
    </row>
    <row r="50769" spans="2:2" ht="12.75" customHeight="1" x14ac:dyDescent="0.2">
      <c r="B50769" s="43"/>
    </row>
    <row r="50770" spans="2:2" ht="12.75" customHeight="1" x14ac:dyDescent="0.2">
      <c r="B50770" s="43"/>
    </row>
    <row r="50771" spans="2:2" ht="12.75" customHeight="1" x14ac:dyDescent="0.2">
      <c r="B50771" s="43"/>
    </row>
    <row r="50772" spans="2:2" ht="12.75" customHeight="1" x14ac:dyDescent="0.2">
      <c r="B50772" s="43"/>
    </row>
    <row r="50773" spans="2:2" ht="12.75" customHeight="1" x14ac:dyDescent="0.2">
      <c r="B50773" s="43"/>
    </row>
    <row r="50774" spans="2:2" ht="12.75" customHeight="1" x14ac:dyDescent="0.2">
      <c r="B50774" s="43"/>
    </row>
    <row r="50775" spans="2:2" ht="12.75" customHeight="1" x14ac:dyDescent="0.2">
      <c r="B50775" s="43"/>
    </row>
    <row r="50776" spans="2:2" ht="12.75" customHeight="1" x14ac:dyDescent="0.2">
      <c r="B50776" s="43"/>
    </row>
    <row r="50777" spans="2:2" ht="12.75" customHeight="1" x14ac:dyDescent="0.2">
      <c r="B50777" s="43"/>
    </row>
    <row r="50778" spans="2:2" ht="12.75" customHeight="1" x14ac:dyDescent="0.2">
      <c r="B50778" s="43"/>
    </row>
    <row r="50779" spans="2:2" ht="12.75" customHeight="1" x14ac:dyDescent="0.2">
      <c r="B50779" s="43"/>
    </row>
    <row r="50780" spans="2:2" ht="12.75" customHeight="1" x14ac:dyDescent="0.2">
      <c r="B50780" s="43"/>
    </row>
    <row r="50781" spans="2:2" ht="12.75" customHeight="1" x14ac:dyDescent="0.2">
      <c r="B50781" s="43"/>
    </row>
    <row r="50782" spans="2:2" ht="12.75" customHeight="1" x14ac:dyDescent="0.2">
      <c r="B50782" s="43"/>
    </row>
    <row r="50783" spans="2:2" ht="12.75" customHeight="1" x14ac:dyDescent="0.2">
      <c r="B50783" s="43"/>
    </row>
    <row r="50784" spans="2:2" ht="12.75" customHeight="1" x14ac:dyDescent="0.2">
      <c r="B50784" s="43"/>
    </row>
    <row r="50785" spans="2:2" ht="12.75" customHeight="1" x14ac:dyDescent="0.2">
      <c r="B50785" s="43"/>
    </row>
    <row r="50786" spans="2:2" ht="12.75" customHeight="1" x14ac:dyDescent="0.2">
      <c r="B50786" s="43"/>
    </row>
    <row r="50787" spans="2:2" ht="12.75" customHeight="1" x14ac:dyDescent="0.2">
      <c r="B50787" s="43"/>
    </row>
    <row r="50788" spans="2:2" ht="12.75" customHeight="1" x14ac:dyDescent="0.2">
      <c r="B50788" s="43"/>
    </row>
    <row r="50789" spans="2:2" ht="12.75" customHeight="1" x14ac:dyDescent="0.2">
      <c r="B50789" s="43"/>
    </row>
    <row r="50790" spans="2:2" ht="12.75" customHeight="1" x14ac:dyDescent="0.2">
      <c r="B50790" s="43"/>
    </row>
    <row r="50791" spans="2:2" ht="12.75" customHeight="1" x14ac:dyDescent="0.2">
      <c r="B50791" s="43"/>
    </row>
    <row r="50792" spans="2:2" ht="12.75" customHeight="1" x14ac:dyDescent="0.2">
      <c r="B50792" s="43"/>
    </row>
    <row r="50793" spans="2:2" ht="12.75" customHeight="1" x14ac:dyDescent="0.2">
      <c r="B50793" s="43"/>
    </row>
    <row r="50794" spans="2:2" ht="12.75" customHeight="1" x14ac:dyDescent="0.2">
      <c r="B50794" s="43"/>
    </row>
    <row r="50795" spans="2:2" ht="12.75" customHeight="1" x14ac:dyDescent="0.2">
      <c r="B50795" s="43"/>
    </row>
    <row r="50796" spans="2:2" ht="12.75" customHeight="1" x14ac:dyDescent="0.2">
      <c r="B50796" s="43"/>
    </row>
    <row r="50797" spans="2:2" ht="12.75" customHeight="1" x14ac:dyDescent="0.2">
      <c r="B50797" s="43"/>
    </row>
    <row r="50798" spans="2:2" ht="12.75" customHeight="1" x14ac:dyDescent="0.2">
      <c r="B50798" s="43"/>
    </row>
    <row r="50799" spans="2:2" ht="12.75" customHeight="1" x14ac:dyDescent="0.2">
      <c r="B50799" s="43"/>
    </row>
    <row r="50800" spans="2:2" ht="12.75" customHeight="1" x14ac:dyDescent="0.2">
      <c r="B50800" s="43"/>
    </row>
    <row r="50801" spans="2:2" ht="12.75" customHeight="1" x14ac:dyDescent="0.2">
      <c r="B50801" s="43"/>
    </row>
    <row r="50802" spans="2:2" ht="12.75" customHeight="1" x14ac:dyDescent="0.2">
      <c r="B50802" s="43"/>
    </row>
    <row r="50803" spans="2:2" ht="12.75" customHeight="1" x14ac:dyDescent="0.2">
      <c r="B50803" s="43"/>
    </row>
    <row r="50804" spans="2:2" ht="12.75" customHeight="1" x14ac:dyDescent="0.2">
      <c r="B50804" s="43"/>
    </row>
    <row r="50805" spans="2:2" ht="12.75" customHeight="1" x14ac:dyDescent="0.2">
      <c r="B50805" s="43"/>
    </row>
    <row r="50806" spans="2:2" ht="12.75" customHeight="1" x14ac:dyDescent="0.2">
      <c r="B50806" s="43"/>
    </row>
    <row r="50807" spans="2:2" ht="12.75" customHeight="1" x14ac:dyDescent="0.2">
      <c r="B50807" s="43"/>
    </row>
    <row r="50808" spans="2:2" ht="12.75" customHeight="1" x14ac:dyDescent="0.2">
      <c r="B50808" s="43"/>
    </row>
    <row r="50809" spans="2:2" ht="12.75" customHeight="1" x14ac:dyDescent="0.2">
      <c r="B50809" s="43"/>
    </row>
    <row r="50810" spans="2:2" ht="12.75" customHeight="1" x14ac:dyDescent="0.2">
      <c r="B50810" s="43"/>
    </row>
    <row r="50811" spans="2:2" ht="12.75" customHeight="1" x14ac:dyDescent="0.2">
      <c r="B50811" s="43"/>
    </row>
    <row r="50812" spans="2:2" ht="12.75" customHeight="1" x14ac:dyDescent="0.2">
      <c r="B50812" s="43"/>
    </row>
    <row r="50813" spans="2:2" ht="12.75" customHeight="1" x14ac:dyDescent="0.2">
      <c r="B50813" s="43"/>
    </row>
    <row r="50814" spans="2:2" ht="12.75" customHeight="1" x14ac:dyDescent="0.2">
      <c r="B50814" s="43"/>
    </row>
    <row r="50815" spans="2:2" ht="12.75" customHeight="1" x14ac:dyDescent="0.2">
      <c r="B50815" s="43"/>
    </row>
    <row r="50816" spans="2:2" ht="12.75" customHeight="1" x14ac:dyDescent="0.2">
      <c r="B50816" s="43"/>
    </row>
    <row r="50817" spans="2:2" ht="12.75" customHeight="1" x14ac:dyDescent="0.2">
      <c r="B50817" s="43"/>
    </row>
    <row r="50818" spans="2:2" ht="12.75" customHeight="1" x14ac:dyDescent="0.2">
      <c r="B50818" s="43"/>
    </row>
    <row r="50819" spans="2:2" ht="12.75" customHeight="1" x14ac:dyDescent="0.2">
      <c r="B50819" s="43"/>
    </row>
    <row r="50820" spans="2:2" ht="12.75" customHeight="1" x14ac:dyDescent="0.2">
      <c r="B50820" s="43"/>
    </row>
    <row r="50821" spans="2:2" ht="12.75" customHeight="1" x14ac:dyDescent="0.2">
      <c r="B50821" s="43"/>
    </row>
    <row r="50822" spans="2:2" ht="12.75" customHeight="1" x14ac:dyDescent="0.2">
      <c r="B50822" s="43"/>
    </row>
    <row r="50823" spans="2:2" ht="12.75" customHeight="1" x14ac:dyDescent="0.2">
      <c r="B50823" s="43"/>
    </row>
    <row r="50824" spans="2:2" ht="12.75" customHeight="1" x14ac:dyDescent="0.2">
      <c r="B50824" s="43"/>
    </row>
    <row r="50825" spans="2:2" ht="12.75" customHeight="1" x14ac:dyDescent="0.2">
      <c r="B50825" s="43"/>
    </row>
    <row r="50826" spans="2:2" ht="12.75" customHeight="1" x14ac:dyDescent="0.2">
      <c r="B50826" s="43"/>
    </row>
    <row r="50827" spans="2:2" ht="12.75" customHeight="1" x14ac:dyDescent="0.2">
      <c r="B50827" s="43"/>
    </row>
    <row r="50828" spans="2:2" ht="12.75" customHeight="1" x14ac:dyDescent="0.2">
      <c r="B50828" s="43"/>
    </row>
    <row r="50829" spans="2:2" ht="12.75" customHeight="1" x14ac:dyDescent="0.2">
      <c r="B50829" s="43"/>
    </row>
    <row r="50830" spans="2:2" ht="12.75" customHeight="1" x14ac:dyDescent="0.2">
      <c r="B50830" s="43"/>
    </row>
    <row r="50831" spans="2:2" ht="12.75" customHeight="1" x14ac:dyDescent="0.2">
      <c r="B50831" s="43"/>
    </row>
    <row r="50832" spans="2:2" ht="12.75" customHeight="1" x14ac:dyDescent="0.2">
      <c r="B50832" s="43"/>
    </row>
    <row r="50833" spans="2:2" ht="12.75" customHeight="1" x14ac:dyDescent="0.2">
      <c r="B50833" s="43"/>
    </row>
    <row r="50834" spans="2:2" ht="12.75" customHeight="1" x14ac:dyDescent="0.2">
      <c r="B50834" s="43"/>
    </row>
    <row r="50835" spans="2:2" ht="12.75" customHeight="1" x14ac:dyDescent="0.2">
      <c r="B50835" s="43"/>
    </row>
    <row r="50836" spans="2:2" ht="12.75" customHeight="1" x14ac:dyDescent="0.2">
      <c r="B50836" s="43"/>
    </row>
    <row r="50837" spans="2:2" ht="12.75" customHeight="1" x14ac:dyDescent="0.2">
      <c r="B50837" s="43"/>
    </row>
    <row r="50838" spans="2:2" ht="12.75" customHeight="1" x14ac:dyDescent="0.2">
      <c r="B50838" s="43"/>
    </row>
    <row r="50839" spans="2:2" ht="12.75" customHeight="1" x14ac:dyDescent="0.2">
      <c r="B50839" s="43"/>
    </row>
    <row r="50840" spans="2:2" ht="12.75" customHeight="1" x14ac:dyDescent="0.2">
      <c r="B50840" s="43"/>
    </row>
    <row r="50841" spans="2:2" ht="12.75" customHeight="1" x14ac:dyDescent="0.2">
      <c r="B50841" s="43"/>
    </row>
    <row r="50842" spans="2:2" ht="12.75" customHeight="1" x14ac:dyDescent="0.2">
      <c r="B50842" s="43"/>
    </row>
    <row r="50843" spans="2:2" ht="12.75" customHeight="1" x14ac:dyDescent="0.2">
      <c r="B50843" s="43"/>
    </row>
    <row r="50844" spans="2:2" ht="12.75" customHeight="1" x14ac:dyDescent="0.2">
      <c r="B50844" s="43"/>
    </row>
    <row r="50845" spans="2:2" ht="12.75" customHeight="1" x14ac:dyDescent="0.2">
      <c r="B50845" s="43"/>
    </row>
    <row r="50846" spans="2:2" ht="12.75" customHeight="1" x14ac:dyDescent="0.2">
      <c r="B50846" s="43"/>
    </row>
    <row r="50847" spans="2:2" ht="12.75" customHeight="1" x14ac:dyDescent="0.2">
      <c r="B50847" s="43"/>
    </row>
    <row r="50848" spans="2:2" ht="12.75" customHeight="1" x14ac:dyDescent="0.2">
      <c r="B50848" s="43"/>
    </row>
    <row r="50849" spans="2:2" ht="12.75" customHeight="1" x14ac:dyDescent="0.2">
      <c r="B50849" s="43"/>
    </row>
    <row r="50850" spans="2:2" ht="12.75" customHeight="1" x14ac:dyDescent="0.2">
      <c r="B50850" s="43"/>
    </row>
    <row r="50851" spans="2:2" ht="12.75" customHeight="1" x14ac:dyDescent="0.2">
      <c r="B50851" s="43"/>
    </row>
    <row r="50852" spans="2:2" ht="12.75" customHeight="1" x14ac:dyDescent="0.2">
      <c r="B50852" s="43"/>
    </row>
    <row r="50853" spans="2:2" ht="12.75" customHeight="1" x14ac:dyDescent="0.2">
      <c r="B50853" s="43"/>
    </row>
    <row r="50854" spans="2:2" ht="12.75" customHeight="1" x14ac:dyDescent="0.2">
      <c r="B50854" s="43"/>
    </row>
    <row r="50855" spans="2:2" ht="12.75" customHeight="1" x14ac:dyDescent="0.2">
      <c r="B50855" s="43"/>
    </row>
    <row r="50856" spans="2:2" ht="12.75" customHeight="1" x14ac:dyDescent="0.2">
      <c r="B50856" s="43"/>
    </row>
    <row r="50857" spans="2:2" ht="12.75" customHeight="1" x14ac:dyDescent="0.2">
      <c r="B50857" s="43"/>
    </row>
    <row r="50858" spans="2:2" ht="12.75" customHeight="1" x14ac:dyDescent="0.2">
      <c r="B50858" s="43"/>
    </row>
    <row r="50859" spans="2:2" ht="12.75" customHeight="1" x14ac:dyDescent="0.2">
      <c r="B50859" s="43"/>
    </row>
    <row r="50860" spans="2:2" ht="12.75" customHeight="1" x14ac:dyDescent="0.2">
      <c r="B50860" s="43"/>
    </row>
    <row r="50861" spans="2:2" ht="12.75" customHeight="1" x14ac:dyDescent="0.2">
      <c r="B50861" s="43"/>
    </row>
    <row r="50862" spans="2:2" ht="12.75" customHeight="1" x14ac:dyDescent="0.2">
      <c r="B50862" s="43"/>
    </row>
    <row r="50863" spans="2:2" ht="12.75" customHeight="1" x14ac:dyDescent="0.2">
      <c r="B50863" s="43"/>
    </row>
    <row r="50864" spans="2:2" ht="12.75" customHeight="1" x14ac:dyDescent="0.2">
      <c r="B50864" s="43"/>
    </row>
    <row r="50865" spans="2:2" ht="12.75" customHeight="1" x14ac:dyDescent="0.2">
      <c r="B50865" s="43"/>
    </row>
    <row r="50866" spans="2:2" ht="12.75" customHeight="1" x14ac:dyDescent="0.2">
      <c r="B50866" s="43"/>
    </row>
    <row r="50867" spans="2:2" ht="12.75" customHeight="1" x14ac:dyDescent="0.2">
      <c r="B50867" s="43"/>
    </row>
    <row r="50868" spans="2:2" ht="12.75" customHeight="1" x14ac:dyDescent="0.2">
      <c r="B50868" s="43"/>
    </row>
    <row r="50869" spans="2:2" ht="12.75" customHeight="1" x14ac:dyDescent="0.2">
      <c r="B50869" s="43"/>
    </row>
    <row r="50870" spans="2:2" ht="12.75" customHeight="1" x14ac:dyDescent="0.2">
      <c r="B50870" s="43"/>
    </row>
    <row r="50871" spans="2:2" ht="12.75" customHeight="1" x14ac:dyDescent="0.2">
      <c r="B50871" s="43"/>
    </row>
    <row r="50872" spans="2:2" ht="12.75" customHeight="1" x14ac:dyDescent="0.2">
      <c r="B50872" s="43"/>
    </row>
    <row r="50873" spans="2:2" ht="12.75" customHeight="1" x14ac:dyDescent="0.2">
      <c r="B50873" s="43"/>
    </row>
    <row r="50874" spans="2:2" ht="12.75" customHeight="1" x14ac:dyDescent="0.2">
      <c r="B50874" s="43"/>
    </row>
    <row r="50875" spans="2:2" ht="12.75" customHeight="1" x14ac:dyDescent="0.2">
      <c r="B50875" s="43"/>
    </row>
    <row r="50876" spans="2:2" ht="12.75" customHeight="1" x14ac:dyDescent="0.2">
      <c r="B50876" s="43"/>
    </row>
    <row r="50877" spans="2:2" ht="12.75" customHeight="1" x14ac:dyDescent="0.2">
      <c r="B50877" s="43"/>
    </row>
    <row r="50878" spans="2:2" ht="12.75" customHeight="1" x14ac:dyDescent="0.2">
      <c r="B50878" s="43"/>
    </row>
    <row r="50879" spans="2:2" ht="12.75" customHeight="1" x14ac:dyDescent="0.2">
      <c r="B50879" s="43"/>
    </row>
    <row r="50880" spans="2:2" ht="12.75" customHeight="1" x14ac:dyDescent="0.2">
      <c r="B50880" s="43"/>
    </row>
    <row r="50881" spans="2:2" ht="12.75" customHeight="1" x14ac:dyDescent="0.2">
      <c r="B50881" s="43"/>
    </row>
    <row r="50882" spans="2:2" ht="12.75" customHeight="1" x14ac:dyDescent="0.2">
      <c r="B50882" s="43"/>
    </row>
    <row r="50883" spans="2:2" ht="12.75" customHeight="1" x14ac:dyDescent="0.2">
      <c r="B50883" s="43"/>
    </row>
    <row r="50884" spans="2:2" ht="12.75" customHeight="1" x14ac:dyDescent="0.2">
      <c r="B50884" s="43"/>
    </row>
    <row r="50885" spans="2:2" ht="12.75" customHeight="1" x14ac:dyDescent="0.2">
      <c r="B50885" s="43"/>
    </row>
    <row r="50886" spans="2:2" ht="12.75" customHeight="1" x14ac:dyDescent="0.2">
      <c r="B50886" s="43"/>
    </row>
    <row r="50887" spans="2:2" ht="12.75" customHeight="1" x14ac:dyDescent="0.2">
      <c r="B50887" s="43"/>
    </row>
    <row r="50888" spans="2:2" ht="12.75" customHeight="1" x14ac:dyDescent="0.2">
      <c r="B50888" s="43"/>
    </row>
    <row r="50889" spans="2:2" ht="12.75" customHeight="1" x14ac:dyDescent="0.2">
      <c r="B50889" s="43"/>
    </row>
    <row r="50890" spans="2:2" ht="12.75" customHeight="1" x14ac:dyDescent="0.2">
      <c r="B50890" s="43"/>
    </row>
    <row r="50891" spans="2:2" ht="12.75" customHeight="1" x14ac:dyDescent="0.2">
      <c r="B50891" s="43"/>
    </row>
    <row r="50892" spans="2:2" ht="12.75" customHeight="1" x14ac:dyDescent="0.2">
      <c r="B50892" s="43"/>
    </row>
    <row r="50893" spans="2:2" ht="12.75" customHeight="1" x14ac:dyDescent="0.2">
      <c r="B50893" s="43"/>
    </row>
    <row r="50894" spans="2:2" ht="12.75" customHeight="1" x14ac:dyDescent="0.2">
      <c r="B50894" s="43"/>
    </row>
    <row r="50895" spans="2:2" ht="12.75" customHeight="1" x14ac:dyDescent="0.2">
      <c r="B50895" s="43"/>
    </row>
    <row r="50896" spans="2:2" ht="12.75" customHeight="1" x14ac:dyDescent="0.2">
      <c r="B50896" s="43"/>
    </row>
    <row r="50897" spans="2:2" ht="12.75" customHeight="1" x14ac:dyDescent="0.2">
      <c r="B50897" s="43"/>
    </row>
    <row r="50898" spans="2:2" ht="12.75" customHeight="1" x14ac:dyDescent="0.2">
      <c r="B50898" s="43"/>
    </row>
    <row r="50899" spans="2:2" ht="12.75" customHeight="1" x14ac:dyDescent="0.2">
      <c r="B50899" s="43"/>
    </row>
    <row r="50900" spans="2:2" ht="12.75" customHeight="1" x14ac:dyDescent="0.2">
      <c r="B50900" s="43"/>
    </row>
    <row r="50901" spans="2:2" ht="12.75" customHeight="1" x14ac:dyDescent="0.2">
      <c r="B50901" s="43"/>
    </row>
    <row r="50902" spans="2:2" ht="12.75" customHeight="1" x14ac:dyDescent="0.2">
      <c r="B50902" s="43"/>
    </row>
    <row r="50903" spans="2:2" ht="12.75" customHeight="1" x14ac:dyDescent="0.2">
      <c r="B50903" s="43"/>
    </row>
    <row r="50904" spans="2:2" ht="12.75" customHeight="1" x14ac:dyDescent="0.2">
      <c r="B50904" s="43"/>
    </row>
    <row r="50905" spans="2:2" ht="12.75" customHeight="1" x14ac:dyDescent="0.2">
      <c r="B50905" s="43"/>
    </row>
    <row r="50906" spans="2:2" ht="12.75" customHeight="1" x14ac:dyDescent="0.2">
      <c r="B50906" s="43"/>
    </row>
    <row r="50907" spans="2:2" ht="12.75" customHeight="1" x14ac:dyDescent="0.2">
      <c r="B50907" s="43"/>
    </row>
    <row r="50908" spans="2:2" ht="12.75" customHeight="1" x14ac:dyDescent="0.2">
      <c r="B50908" s="43"/>
    </row>
    <row r="50909" spans="2:2" ht="12.75" customHeight="1" x14ac:dyDescent="0.2">
      <c r="B50909" s="43"/>
    </row>
    <row r="50910" spans="2:2" ht="12.75" customHeight="1" x14ac:dyDescent="0.2">
      <c r="B50910" s="43"/>
    </row>
    <row r="50911" spans="2:2" ht="12.75" customHeight="1" x14ac:dyDescent="0.2">
      <c r="B50911" s="43"/>
    </row>
    <row r="50912" spans="2:2" ht="12.75" customHeight="1" x14ac:dyDescent="0.2">
      <c r="B50912" s="43"/>
    </row>
    <row r="50913" spans="2:2" ht="12.75" customHeight="1" x14ac:dyDescent="0.2">
      <c r="B50913" s="43"/>
    </row>
    <row r="50914" spans="2:2" ht="12.75" customHeight="1" x14ac:dyDescent="0.2">
      <c r="B50914" s="43"/>
    </row>
    <row r="50915" spans="2:2" ht="12.75" customHeight="1" x14ac:dyDescent="0.2">
      <c r="B50915" s="43"/>
    </row>
    <row r="50916" spans="2:2" ht="12.75" customHeight="1" x14ac:dyDescent="0.2">
      <c r="B50916" s="43"/>
    </row>
    <row r="50917" spans="2:2" ht="12.75" customHeight="1" x14ac:dyDescent="0.2">
      <c r="B50917" s="43"/>
    </row>
    <row r="50918" spans="2:2" ht="12.75" customHeight="1" x14ac:dyDescent="0.2">
      <c r="B50918" s="43"/>
    </row>
    <row r="50919" spans="2:2" ht="12.75" customHeight="1" x14ac:dyDescent="0.2">
      <c r="B50919" s="43"/>
    </row>
    <row r="50920" spans="2:2" ht="12.75" customHeight="1" x14ac:dyDescent="0.2">
      <c r="B50920" s="43"/>
    </row>
    <row r="50921" spans="2:2" ht="12.75" customHeight="1" x14ac:dyDescent="0.2">
      <c r="B50921" s="43"/>
    </row>
    <row r="50922" spans="2:2" ht="12.75" customHeight="1" x14ac:dyDescent="0.2">
      <c r="B50922" s="43"/>
    </row>
    <row r="50923" spans="2:2" ht="12.75" customHeight="1" x14ac:dyDescent="0.2">
      <c r="B50923" s="43"/>
    </row>
    <row r="50924" spans="2:2" ht="12.75" customHeight="1" x14ac:dyDescent="0.2">
      <c r="B50924" s="43"/>
    </row>
    <row r="50925" spans="2:2" ht="12.75" customHeight="1" x14ac:dyDescent="0.2">
      <c r="B50925" s="43"/>
    </row>
    <row r="50926" spans="2:2" ht="12.75" customHeight="1" x14ac:dyDescent="0.2">
      <c r="B50926" s="43"/>
    </row>
    <row r="50927" spans="2:2" ht="12.75" customHeight="1" x14ac:dyDescent="0.2">
      <c r="B50927" s="43"/>
    </row>
    <row r="50928" spans="2:2" ht="12.75" customHeight="1" x14ac:dyDescent="0.2">
      <c r="B50928" s="43"/>
    </row>
    <row r="50929" spans="2:2" ht="12.75" customHeight="1" x14ac:dyDescent="0.2">
      <c r="B50929" s="43"/>
    </row>
    <row r="50930" spans="2:2" ht="12.75" customHeight="1" x14ac:dyDescent="0.2">
      <c r="B50930" s="43"/>
    </row>
    <row r="50931" spans="2:2" ht="12.75" customHeight="1" x14ac:dyDescent="0.2">
      <c r="B50931" s="43"/>
    </row>
    <row r="50932" spans="2:2" ht="12.75" customHeight="1" x14ac:dyDescent="0.2">
      <c r="B50932" s="43"/>
    </row>
    <row r="50933" spans="2:2" ht="12.75" customHeight="1" x14ac:dyDescent="0.2">
      <c r="B50933" s="43"/>
    </row>
    <row r="50934" spans="2:2" ht="12.75" customHeight="1" x14ac:dyDescent="0.2">
      <c r="B50934" s="43"/>
    </row>
    <row r="50935" spans="2:2" ht="12.75" customHeight="1" x14ac:dyDescent="0.2">
      <c r="B50935" s="43"/>
    </row>
    <row r="50936" spans="2:2" ht="12.75" customHeight="1" x14ac:dyDescent="0.2">
      <c r="B50936" s="43"/>
    </row>
    <row r="50937" spans="2:2" ht="12.75" customHeight="1" x14ac:dyDescent="0.2">
      <c r="B50937" s="43"/>
    </row>
    <row r="50938" spans="2:2" ht="12.75" customHeight="1" x14ac:dyDescent="0.2">
      <c r="B50938" s="43"/>
    </row>
    <row r="50939" spans="2:2" ht="12.75" customHeight="1" x14ac:dyDescent="0.2">
      <c r="B50939" s="43"/>
    </row>
    <row r="50940" spans="2:2" ht="12.75" customHeight="1" x14ac:dyDescent="0.2">
      <c r="B50940" s="43"/>
    </row>
    <row r="50941" spans="2:2" ht="12.75" customHeight="1" x14ac:dyDescent="0.2">
      <c r="B50941" s="43"/>
    </row>
    <row r="50942" spans="2:2" ht="12.75" customHeight="1" x14ac:dyDescent="0.2">
      <c r="B50942" s="43"/>
    </row>
    <row r="50943" spans="2:2" ht="12.75" customHeight="1" x14ac:dyDescent="0.2">
      <c r="B50943" s="43"/>
    </row>
    <row r="50944" spans="2:2" ht="12.75" customHeight="1" x14ac:dyDescent="0.2">
      <c r="B50944" s="43"/>
    </row>
    <row r="50945" spans="2:2" ht="12.75" customHeight="1" x14ac:dyDescent="0.2">
      <c r="B50945" s="43"/>
    </row>
    <row r="50946" spans="2:2" ht="12.75" customHeight="1" x14ac:dyDescent="0.2">
      <c r="B50946" s="43"/>
    </row>
    <row r="50947" spans="2:2" ht="12.75" customHeight="1" x14ac:dyDescent="0.2">
      <c r="B50947" s="43"/>
    </row>
    <row r="50948" spans="2:2" ht="12.75" customHeight="1" x14ac:dyDescent="0.2">
      <c r="B50948" s="43"/>
    </row>
    <row r="50949" spans="2:2" ht="12.75" customHeight="1" x14ac:dyDescent="0.2">
      <c r="B50949" s="43"/>
    </row>
    <row r="50950" spans="2:2" ht="12.75" customHeight="1" x14ac:dyDescent="0.2">
      <c r="B50950" s="43"/>
    </row>
    <row r="50951" spans="2:2" ht="12.75" customHeight="1" x14ac:dyDescent="0.2">
      <c r="B50951" s="43"/>
    </row>
    <row r="50952" spans="2:2" ht="12.75" customHeight="1" x14ac:dyDescent="0.2">
      <c r="B50952" s="43"/>
    </row>
    <row r="50953" spans="2:2" ht="12.75" customHeight="1" x14ac:dyDescent="0.2">
      <c r="B50953" s="43"/>
    </row>
    <row r="50954" spans="2:2" ht="12.75" customHeight="1" x14ac:dyDescent="0.2">
      <c r="B50954" s="43"/>
    </row>
    <row r="50955" spans="2:2" ht="12.75" customHeight="1" x14ac:dyDescent="0.2">
      <c r="B50955" s="43"/>
    </row>
    <row r="50956" spans="2:2" ht="12.75" customHeight="1" x14ac:dyDescent="0.2">
      <c r="B50956" s="43"/>
    </row>
    <row r="50957" spans="2:2" ht="12.75" customHeight="1" x14ac:dyDescent="0.2">
      <c r="B50957" s="43"/>
    </row>
    <row r="50958" spans="2:2" ht="12.75" customHeight="1" x14ac:dyDescent="0.2">
      <c r="B50958" s="43"/>
    </row>
    <row r="50959" spans="2:2" ht="12.75" customHeight="1" x14ac:dyDescent="0.2">
      <c r="B50959" s="43"/>
    </row>
    <row r="50960" spans="2:2" ht="12.75" customHeight="1" x14ac:dyDescent="0.2">
      <c r="B50960" s="43"/>
    </row>
    <row r="50961" spans="2:2" ht="12.75" customHeight="1" x14ac:dyDescent="0.2">
      <c r="B50961" s="43"/>
    </row>
    <row r="50962" spans="2:2" ht="12.75" customHeight="1" x14ac:dyDescent="0.2">
      <c r="B50962" s="43"/>
    </row>
    <row r="50963" spans="2:2" ht="12.75" customHeight="1" x14ac:dyDescent="0.2">
      <c r="B50963" s="43"/>
    </row>
    <row r="50964" spans="2:2" ht="12.75" customHeight="1" x14ac:dyDescent="0.2">
      <c r="B50964" s="43"/>
    </row>
    <row r="50965" spans="2:2" ht="12.75" customHeight="1" x14ac:dyDescent="0.2">
      <c r="B50965" s="43"/>
    </row>
    <row r="50966" spans="2:2" ht="12.75" customHeight="1" x14ac:dyDescent="0.2">
      <c r="B50966" s="43"/>
    </row>
    <row r="50967" spans="2:2" ht="12.75" customHeight="1" x14ac:dyDescent="0.2">
      <c r="B50967" s="43"/>
    </row>
    <row r="50968" spans="2:2" ht="12.75" customHeight="1" x14ac:dyDescent="0.2">
      <c r="B50968" s="43"/>
    </row>
    <row r="50969" spans="2:2" ht="12.75" customHeight="1" x14ac:dyDescent="0.2">
      <c r="B50969" s="43"/>
    </row>
    <row r="50970" spans="2:2" ht="12.75" customHeight="1" x14ac:dyDescent="0.2">
      <c r="B50970" s="43"/>
    </row>
    <row r="50971" spans="2:2" ht="12.75" customHeight="1" x14ac:dyDescent="0.2">
      <c r="B50971" s="43"/>
    </row>
    <row r="50972" spans="2:2" ht="12.75" customHeight="1" x14ac:dyDescent="0.2">
      <c r="B50972" s="43"/>
    </row>
    <row r="50973" spans="2:2" ht="12.75" customHeight="1" x14ac:dyDescent="0.2">
      <c r="B50973" s="43"/>
    </row>
    <row r="50974" spans="2:2" ht="12.75" customHeight="1" x14ac:dyDescent="0.2">
      <c r="B50974" s="43"/>
    </row>
    <row r="50975" spans="2:2" ht="12.75" customHeight="1" x14ac:dyDescent="0.2">
      <c r="B50975" s="43"/>
    </row>
    <row r="50976" spans="2:2" ht="12.75" customHeight="1" x14ac:dyDescent="0.2">
      <c r="B50976" s="43"/>
    </row>
    <row r="50977" spans="2:2" ht="12.75" customHeight="1" x14ac:dyDescent="0.2">
      <c r="B50977" s="43"/>
    </row>
    <row r="50978" spans="2:2" ht="12.75" customHeight="1" x14ac:dyDescent="0.2">
      <c r="B50978" s="43"/>
    </row>
    <row r="50979" spans="2:2" ht="12.75" customHeight="1" x14ac:dyDescent="0.2">
      <c r="B50979" s="43"/>
    </row>
    <row r="50980" spans="2:2" ht="12.75" customHeight="1" x14ac:dyDescent="0.2">
      <c r="B50980" s="43"/>
    </row>
    <row r="50981" spans="2:2" ht="12.75" customHeight="1" x14ac:dyDescent="0.2">
      <c r="B50981" s="43"/>
    </row>
    <row r="50982" spans="2:2" ht="12.75" customHeight="1" x14ac:dyDescent="0.2">
      <c r="B50982" s="43"/>
    </row>
    <row r="50983" spans="2:2" ht="12.75" customHeight="1" x14ac:dyDescent="0.2">
      <c r="B50983" s="43"/>
    </row>
    <row r="50984" spans="2:2" ht="12.75" customHeight="1" x14ac:dyDescent="0.2">
      <c r="B50984" s="43"/>
    </row>
    <row r="50985" spans="2:2" ht="12.75" customHeight="1" x14ac:dyDescent="0.2">
      <c r="B50985" s="43"/>
    </row>
    <row r="50986" spans="2:2" ht="12.75" customHeight="1" x14ac:dyDescent="0.2">
      <c r="B50986" s="43"/>
    </row>
    <row r="50987" spans="2:2" ht="12.75" customHeight="1" x14ac:dyDescent="0.2">
      <c r="B50987" s="43"/>
    </row>
    <row r="50988" spans="2:2" ht="12.75" customHeight="1" x14ac:dyDescent="0.2">
      <c r="B50988" s="43"/>
    </row>
    <row r="50989" spans="2:2" ht="12.75" customHeight="1" x14ac:dyDescent="0.2">
      <c r="B50989" s="43"/>
    </row>
    <row r="50990" spans="2:2" ht="12.75" customHeight="1" x14ac:dyDescent="0.2">
      <c r="B50990" s="43"/>
    </row>
    <row r="50991" spans="2:2" ht="12.75" customHeight="1" x14ac:dyDescent="0.2">
      <c r="B50991" s="43"/>
    </row>
    <row r="50992" spans="2:2" ht="12.75" customHeight="1" x14ac:dyDescent="0.2">
      <c r="B50992" s="43"/>
    </row>
    <row r="50993" spans="2:2" ht="12.75" customHeight="1" x14ac:dyDescent="0.2">
      <c r="B50993" s="43"/>
    </row>
    <row r="50994" spans="2:2" ht="12.75" customHeight="1" x14ac:dyDescent="0.2">
      <c r="B50994" s="43"/>
    </row>
    <row r="50995" spans="2:2" ht="12.75" customHeight="1" x14ac:dyDescent="0.2">
      <c r="B50995" s="43"/>
    </row>
    <row r="50996" spans="2:2" ht="12.75" customHeight="1" x14ac:dyDescent="0.2">
      <c r="B50996" s="43"/>
    </row>
    <row r="50997" spans="2:2" ht="12.75" customHeight="1" x14ac:dyDescent="0.2">
      <c r="B50997" s="43"/>
    </row>
    <row r="50998" spans="2:2" ht="12.75" customHeight="1" x14ac:dyDescent="0.2">
      <c r="B50998" s="43"/>
    </row>
    <row r="50999" spans="2:2" ht="12.75" customHeight="1" x14ac:dyDescent="0.2">
      <c r="B50999" s="43"/>
    </row>
    <row r="51000" spans="2:2" ht="12.75" customHeight="1" x14ac:dyDescent="0.2">
      <c r="B51000" s="43"/>
    </row>
    <row r="51001" spans="2:2" ht="12.75" customHeight="1" x14ac:dyDescent="0.2">
      <c r="B51001" s="43"/>
    </row>
    <row r="51002" spans="2:2" ht="12.75" customHeight="1" x14ac:dyDescent="0.2">
      <c r="B51002" s="43"/>
    </row>
    <row r="51003" spans="2:2" ht="12.75" customHeight="1" x14ac:dyDescent="0.2">
      <c r="B51003" s="43"/>
    </row>
    <row r="51004" spans="2:2" ht="12.75" customHeight="1" x14ac:dyDescent="0.2">
      <c r="B51004" s="43"/>
    </row>
    <row r="51005" spans="2:2" ht="12.75" customHeight="1" x14ac:dyDescent="0.2">
      <c r="B51005" s="43"/>
    </row>
    <row r="51006" spans="2:2" ht="12.75" customHeight="1" x14ac:dyDescent="0.2">
      <c r="B51006" s="43"/>
    </row>
    <row r="51007" spans="2:2" ht="12.75" customHeight="1" x14ac:dyDescent="0.2">
      <c r="B51007" s="43"/>
    </row>
    <row r="51008" spans="2:2" ht="12.75" customHeight="1" x14ac:dyDescent="0.2">
      <c r="B51008" s="43"/>
    </row>
    <row r="51009" spans="2:2" ht="12.75" customHeight="1" x14ac:dyDescent="0.2">
      <c r="B51009" s="43"/>
    </row>
    <row r="51010" spans="2:2" ht="12.75" customHeight="1" x14ac:dyDescent="0.2">
      <c r="B51010" s="43"/>
    </row>
    <row r="51011" spans="2:2" ht="12.75" customHeight="1" x14ac:dyDescent="0.2">
      <c r="B51011" s="43"/>
    </row>
    <row r="51012" spans="2:2" ht="12.75" customHeight="1" x14ac:dyDescent="0.2">
      <c r="B51012" s="43"/>
    </row>
    <row r="51013" spans="2:2" ht="12.75" customHeight="1" x14ac:dyDescent="0.2">
      <c r="B51013" s="43"/>
    </row>
    <row r="51014" spans="2:2" ht="12.75" customHeight="1" x14ac:dyDescent="0.2">
      <c r="B51014" s="43"/>
    </row>
    <row r="51015" spans="2:2" ht="12.75" customHeight="1" x14ac:dyDescent="0.2">
      <c r="B51015" s="43"/>
    </row>
    <row r="51016" spans="2:2" ht="12.75" customHeight="1" x14ac:dyDescent="0.2">
      <c r="B51016" s="43"/>
    </row>
    <row r="51017" spans="2:2" ht="12.75" customHeight="1" x14ac:dyDescent="0.2">
      <c r="B51017" s="43"/>
    </row>
    <row r="51018" spans="2:2" ht="12.75" customHeight="1" x14ac:dyDescent="0.2">
      <c r="B51018" s="43"/>
    </row>
    <row r="51019" spans="2:2" ht="12.75" customHeight="1" x14ac:dyDescent="0.2">
      <c r="B51019" s="43"/>
    </row>
    <row r="51020" spans="2:2" ht="12.75" customHeight="1" x14ac:dyDescent="0.2">
      <c r="B51020" s="43"/>
    </row>
    <row r="51021" spans="2:2" ht="12.75" customHeight="1" x14ac:dyDescent="0.2">
      <c r="B51021" s="43"/>
    </row>
    <row r="51022" spans="2:2" ht="12.75" customHeight="1" x14ac:dyDescent="0.2">
      <c r="B51022" s="43"/>
    </row>
    <row r="51023" spans="2:2" ht="12.75" customHeight="1" x14ac:dyDescent="0.2">
      <c r="B51023" s="43"/>
    </row>
    <row r="51024" spans="2:2" ht="12.75" customHeight="1" x14ac:dyDescent="0.2">
      <c r="B51024" s="43"/>
    </row>
    <row r="51025" spans="2:2" ht="12.75" customHeight="1" x14ac:dyDescent="0.2">
      <c r="B51025" s="43"/>
    </row>
    <row r="51026" spans="2:2" ht="12.75" customHeight="1" x14ac:dyDescent="0.2">
      <c r="B51026" s="43"/>
    </row>
    <row r="51027" spans="2:2" ht="12.75" customHeight="1" x14ac:dyDescent="0.2">
      <c r="B51027" s="43"/>
    </row>
    <row r="51028" spans="2:2" ht="12.75" customHeight="1" x14ac:dyDescent="0.2">
      <c r="B51028" s="43"/>
    </row>
    <row r="51029" spans="2:2" ht="12.75" customHeight="1" x14ac:dyDescent="0.2">
      <c r="B51029" s="43"/>
    </row>
    <row r="51030" spans="2:2" ht="12.75" customHeight="1" x14ac:dyDescent="0.2">
      <c r="B51030" s="43"/>
    </row>
    <row r="51031" spans="2:2" ht="12.75" customHeight="1" x14ac:dyDescent="0.2">
      <c r="B51031" s="43"/>
    </row>
    <row r="51032" spans="2:2" ht="12.75" customHeight="1" x14ac:dyDescent="0.2">
      <c r="B51032" s="43"/>
    </row>
    <row r="51033" spans="2:2" ht="12.75" customHeight="1" x14ac:dyDescent="0.2">
      <c r="B51033" s="43"/>
    </row>
    <row r="51034" spans="2:2" ht="12.75" customHeight="1" x14ac:dyDescent="0.2">
      <c r="B51034" s="43"/>
    </row>
    <row r="51035" spans="2:2" ht="12.75" customHeight="1" x14ac:dyDescent="0.2">
      <c r="B51035" s="43"/>
    </row>
    <row r="51036" spans="2:2" ht="12.75" customHeight="1" x14ac:dyDescent="0.2">
      <c r="B51036" s="43"/>
    </row>
    <row r="51037" spans="2:2" ht="12.75" customHeight="1" x14ac:dyDescent="0.2">
      <c r="B51037" s="43"/>
    </row>
    <row r="51038" spans="2:2" ht="12.75" customHeight="1" x14ac:dyDescent="0.2">
      <c r="B51038" s="43"/>
    </row>
    <row r="51039" spans="2:2" ht="12.75" customHeight="1" x14ac:dyDescent="0.2">
      <c r="B51039" s="43"/>
    </row>
    <row r="51040" spans="2:2" ht="12.75" customHeight="1" x14ac:dyDescent="0.2">
      <c r="B51040" s="43"/>
    </row>
    <row r="51041" spans="2:2" ht="12.75" customHeight="1" x14ac:dyDescent="0.2">
      <c r="B51041" s="43"/>
    </row>
    <row r="51042" spans="2:2" ht="12.75" customHeight="1" x14ac:dyDescent="0.2">
      <c r="B51042" s="43"/>
    </row>
    <row r="51043" spans="2:2" ht="12.75" customHeight="1" x14ac:dyDescent="0.2">
      <c r="B51043" s="43"/>
    </row>
    <row r="51044" spans="2:2" ht="12.75" customHeight="1" x14ac:dyDescent="0.2">
      <c r="B51044" s="43"/>
    </row>
    <row r="51045" spans="2:2" ht="12.75" customHeight="1" x14ac:dyDescent="0.2">
      <c r="B51045" s="43"/>
    </row>
    <row r="51046" spans="2:2" ht="12.75" customHeight="1" x14ac:dyDescent="0.2">
      <c r="B51046" s="43"/>
    </row>
    <row r="51047" spans="2:2" ht="12.75" customHeight="1" x14ac:dyDescent="0.2">
      <c r="B51047" s="43"/>
    </row>
    <row r="51048" spans="2:2" ht="12.75" customHeight="1" x14ac:dyDescent="0.2">
      <c r="B51048" s="43"/>
    </row>
    <row r="51049" spans="2:2" ht="12.75" customHeight="1" x14ac:dyDescent="0.2">
      <c r="B51049" s="43"/>
    </row>
    <row r="51050" spans="2:2" ht="12.75" customHeight="1" x14ac:dyDescent="0.2">
      <c r="B51050" s="43"/>
    </row>
    <row r="51051" spans="2:2" ht="12.75" customHeight="1" x14ac:dyDescent="0.2">
      <c r="B51051" s="43"/>
    </row>
    <row r="51052" spans="2:2" ht="12.75" customHeight="1" x14ac:dyDescent="0.2">
      <c r="B51052" s="43"/>
    </row>
    <row r="51053" spans="2:2" ht="12.75" customHeight="1" x14ac:dyDescent="0.2">
      <c r="B51053" s="43"/>
    </row>
    <row r="51054" spans="2:2" ht="12.75" customHeight="1" x14ac:dyDescent="0.2">
      <c r="B51054" s="43"/>
    </row>
    <row r="51055" spans="2:2" ht="12.75" customHeight="1" x14ac:dyDescent="0.2">
      <c r="B51055" s="43"/>
    </row>
    <row r="51056" spans="2:2" ht="12.75" customHeight="1" x14ac:dyDescent="0.2">
      <c r="B51056" s="43"/>
    </row>
    <row r="51057" spans="2:2" ht="12.75" customHeight="1" x14ac:dyDescent="0.2">
      <c r="B51057" s="43"/>
    </row>
    <row r="51058" spans="2:2" ht="12.75" customHeight="1" x14ac:dyDescent="0.2">
      <c r="B51058" s="43"/>
    </row>
    <row r="51059" spans="2:2" ht="12.75" customHeight="1" x14ac:dyDescent="0.2">
      <c r="B51059" s="43"/>
    </row>
    <row r="51060" spans="2:2" ht="12.75" customHeight="1" x14ac:dyDescent="0.2">
      <c r="B51060" s="43"/>
    </row>
    <row r="51061" spans="2:2" ht="12.75" customHeight="1" x14ac:dyDescent="0.2">
      <c r="B51061" s="43"/>
    </row>
    <row r="51062" spans="2:2" ht="12.75" customHeight="1" x14ac:dyDescent="0.2">
      <c r="B51062" s="43"/>
    </row>
    <row r="51063" spans="2:2" ht="12.75" customHeight="1" x14ac:dyDescent="0.2">
      <c r="B51063" s="43"/>
    </row>
    <row r="51064" spans="2:2" ht="12.75" customHeight="1" x14ac:dyDescent="0.2">
      <c r="B51064" s="43"/>
    </row>
    <row r="51065" spans="2:2" ht="12.75" customHeight="1" x14ac:dyDescent="0.2">
      <c r="B51065" s="43"/>
    </row>
    <row r="51066" spans="2:2" ht="12.75" customHeight="1" x14ac:dyDescent="0.2">
      <c r="B51066" s="43"/>
    </row>
    <row r="51067" spans="2:2" ht="12.75" customHeight="1" x14ac:dyDescent="0.2">
      <c r="B51067" s="43"/>
    </row>
    <row r="51068" spans="2:2" ht="12.75" customHeight="1" x14ac:dyDescent="0.2">
      <c r="B51068" s="43"/>
    </row>
    <row r="51069" spans="2:2" ht="12.75" customHeight="1" x14ac:dyDescent="0.2">
      <c r="B51069" s="43"/>
    </row>
    <row r="51070" spans="2:2" ht="12.75" customHeight="1" x14ac:dyDescent="0.2">
      <c r="B51070" s="43"/>
    </row>
    <row r="51071" spans="2:2" ht="12.75" customHeight="1" x14ac:dyDescent="0.2">
      <c r="B51071" s="43"/>
    </row>
    <row r="51072" spans="2:2" ht="12.75" customHeight="1" x14ac:dyDescent="0.2">
      <c r="B51072" s="43"/>
    </row>
    <row r="51073" spans="2:2" ht="12.75" customHeight="1" x14ac:dyDescent="0.2">
      <c r="B51073" s="43"/>
    </row>
    <row r="51074" spans="2:2" ht="12.75" customHeight="1" x14ac:dyDescent="0.2">
      <c r="B51074" s="43"/>
    </row>
    <row r="51075" spans="2:2" ht="12.75" customHeight="1" x14ac:dyDescent="0.2">
      <c r="B51075" s="43"/>
    </row>
    <row r="51076" spans="2:2" ht="12.75" customHeight="1" x14ac:dyDescent="0.2">
      <c r="B51076" s="43"/>
    </row>
    <row r="51077" spans="2:2" ht="12.75" customHeight="1" x14ac:dyDescent="0.2">
      <c r="B51077" s="43"/>
    </row>
    <row r="51078" spans="2:2" ht="12.75" customHeight="1" x14ac:dyDescent="0.2">
      <c r="B51078" s="43"/>
    </row>
    <row r="51079" spans="2:2" ht="12.75" customHeight="1" x14ac:dyDescent="0.2">
      <c r="B51079" s="43"/>
    </row>
    <row r="51080" spans="2:2" ht="12.75" customHeight="1" x14ac:dyDescent="0.2">
      <c r="B51080" s="43"/>
    </row>
    <row r="51081" spans="2:2" ht="12.75" customHeight="1" x14ac:dyDescent="0.2">
      <c r="B51081" s="43"/>
    </row>
    <row r="51082" spans="2:2" ht="12.75" customHeight="1" x14ac:dyDescent="0.2">
      <c r="B51082" s="43"/>
    </row>
    <row r="51083" spans="2:2" ht="12.75" customHeight="1" x14ac:dyDescent="0.2">
      <c r="B51083" s="43"/>
    </row>
    <row r="51084" spans="2:2" ht="12.75" customHeight="1" x14ac:dyDescent="0.2">
      <c r="B51084" s="43"/>
    </row>
    <row r="51085" spans="2:2" ht="12.75" customHeight="1" x14ac:dyDescent="0.2">
      <c r="B51085" s="43"/>
    </row>
    <row r="51086" spans="2:2" ht="12.75" customHeight="1" x14ac:dyDescent="0.2">
      <c r="B51086" s="43"/>
    </row>
    <row r="51087" spans="2:2" ht="12.75" customHeight="1" x14ac:dyDescent="0.2">
      <c r="B51087" s="43"/>
    </row>
    <row r="51088" spans="2:2" ht="12.75" customHeight="1" x14ac:dyDescent="0.2">
      <c r="B51088" s="43"/>
    </row>
    <row r="51089" spans="2:2" ht="12.75" customHeight="1" x14ac:dyDescent="0.2">
      <c r="B51089" s="43"/>
    </row>
    <row r="51090" spans="2:2" ht="12.75" customHeight="1" x14ac:dyDescent="0.2">
      <c r="B51090" s="43"/>
    </row>
    <row r="51091" spans="2:2" ht="12.75" customHeight="1" x14ac:dyDescent="0.2">
      <c r="B51091" s="43"/>
    </row>
    <row r="51092" spans="2:2" ht="12.75" customHeight="1" x14ac:dyDescent="0.2">
      <c r="B51092" s="43"/>
    </row>
    <row r="51093" spans="2:2" ht="12.75" customHeight="1" x14ac:dyDescent="0.2">
      <c r="B51093" s="43"/>
    </row>
    <row r="51094" spans="2:2" ht="12.75" customHeight="1" x14ac:dyDescent="0.2">
      <c r="B51094" s="43"/>
    </row>
    <row r="51095" spans="2:2" ht="12.75" customHeight="1" x14ac:dyDescent="0.2">
      <c r="B51095" s="43"/>
    </row>
    <row r="51096" spans="2:2" ht="12.75" customHeight="1" x14ac:dyDescent="0.2">
      <c r="B51096" s="43"/>
    </row>
    <row r="51097" spans="2:2" ht="12.75" customHeight="1" x14ac:dyDescent="0.2">
      <c r="B51097" s="43"/>
    </row>
    <row r="51098" spans="2:2" ht="12.75" customHeight="1" x14ac:dyDescent="0.2">
      <c r="B51098" s="43"/>
    </row>
    <row r="51099" spans="2:2" ht="12.75" customHeight="1" x14ac:dyDescent="0.2">
      <c r="B51099" s="43"/>
    </row>
    <row r="51100" spans="2:2" ht="12.75" customHeight="1" x14ac:dyDescent="0.2">
      <c r="B51100" s="43"/>
    </row>
    <row r="51101" spans="2:2" ht="12.75" customHeight="1" x14ac:dyDescent="0.2">
      <c r="B51101" s="43"/>
    </row>
    <row r="51102" spans="2:2" ht="12.75" customHeight="1" x14ac:dyDescent="0.2">
      <c r="B51102" s="43"/>
    </row>
    <row r="51103" spans="2:2" ht="12.75" customHeight="1" x14ac:dyDescent="0.2">
      <c r="B51103" s="43"/>
    </row>
    <row r="51104" spans="2:2" ht="12.75" customHeight="1" x14ac:dyDescent="0.2">
      <c r="B51104" s="43"/>
    </row>
    <row r="51105" spans="2:2" ht="12.75" customHeight="1" x14ac:dyDescent="0.2">
      <c r="B51105" s="43"/>
    </row>
    <row r="51106" spans="2:2" ht="12.75" customHeight="1" x14ac:dyDescent="0.2">
      <c r="B51106" s="43"/>
    </row>
    <row r="51107" spans="2:2" ht="12.75" customHeight="1" x14ac:dyDescent="0.2">
      <c r="B51107" s="43"/>
    </row>
    <row r="51108" spans="2:2" ht="12.75" customHeight="1" x14ac:dyDescent="0.2">
      <c r="B51108" s="43"/>
    </row>
    <row r="51109" spans="2:2" ht="12.75" customHeight="1" x14ac:dyDescent="0.2">
      <c r="B51109" s="43"/>
    </row>
    <row r="51110" spans="2:2" ht="12.75" customHeight="1" x14ac:dyDescent="0.2">
      <c r="B51110" s="43"/>
    </row>
    <row r="51111" spans="2:2" ht="12.75" customHeight="1" x14ac:dyDescent="0.2">
      <c r="B51111" s="43"/>
    </row>
    <row r="51112" spans="2:2" ht="12.75" customHeight="1" x14ac:dyDescent="0.2">
      <c r="B51112" s="43"/>
    </row>
    <row r="51113" spans="2:2" ht="12.75" customHeight="1" x14ac:dyDescent="0.2">
      <c r="B51113" s="43"/>
    </row>
    <row r="51114" spans="2:2" ht="12.75" customHeight="1" x14ac:dyDescent="0.2">
      <c r="B51114" s="43"/>
    </row>
    <row r="51115" spans="2:2" ht="12.75" customHeight="1" x14ac:dyDescent="0.2">
      <c r="B51115" s="43"/>
    </row>
    <row r="51116" spans="2:2" ht="12.75" customHeight="1" x14ac:dyDescent="0.2">
      <c r="B51116" s="43"/>
    </row>
    <row r="51117" spans="2:2" ht="12.75" customHeight="1" x14ac:dyDescent="0.2">
      <c r="B51117" s="43"/>
    </row>
    <row r="51118" spans="2:2" ht="12.75" customHeight="1" x14ac:dyDescent="0.2">
      <c r="B51118" s="43"/>
    </row>
    <row r="51119" spans="2:2" ht="12.75" customHeight="1" x14ac:dyDescent="0.2">
      <c r="B51119" s="43"/>
    </row>
    <row r="51120" spans="2:2" ht="12.75" customHeight="1" x14ac:dyDescent="0.2">
      <c r="B51120" s="43"/>
    </row>
    <row r="51121" spans="2:2" ht="12.75" customHeight="1" x14ac:dyDescent="0.2">
      <c r="B51121" s="43"/>
    </row>
    <row r="51122" spans="2:2" ht="12.75" customHeight="1" x14ac:dyDescent="0.2">
      <c r="B51122" s="43"/>
    </row>
    <row r="51123" spans="2:2" ht="12.75" customHeight="1" x14ac:dyDescent="0.2">
      <c r="B51123" s="43"/>
    </row>
    <row r="51124" spans="2:2" ht="12.75" customHeight="1" x14ac:dyDescent="0.2">
      <c r="B51124" s="43"/>
    </row>
    <row r="51125" spans="2:2" ht="12.75" customHeight="1" x14ac:dyDescent="0.2">
      <c r="B51125" s="43"/>
    </row>
    <row r="51126" spans="2:2" ht="12.75" customHeight="1" x14ac:dyDescent="0.2">
      <c r="B51126" s="43"/>
    </row>
    <row r="51127" spans="2:2" ht="12.75" customHeight="1" x14ac:dyDescent="0.2">
      <c r="B51127" s="43"/>
    </row>
    <row r="51128" spans="2:2" ht="12.75" customHeight="1" x14ac:dyDescent="0.2">
      <c r="B51128" s="43"/>
    </row>
    <row r="51129" spans="2:2" ht="12.75" customHeight="1" x14ac:dyDescent="0.2">
      <c r="B51129" s="43"/>
    </row>
    <row r="51130" spans="2:2" ht="12.75" customHeight="1" x14ac:dyDescent="0.2">
      <c r="B51130" s="43"/>
    </row>
    <row r="51131" spans="2:2" ht="12.75" customHeight="1" x14ac:dyDescent="0.2">
      <c r="B51131" s="43"/>
    </row>
    <row r="51132" spans="2:2" ht="12.75" customHeight="1" x14ac:dyDescent="0.2">
      <c r="B51132" s="43"/>
    </row>
    <row r="51133" spans="2:2" ht="12.75" customHeight="1" x14ac:dyDescent="0.2">
      <c r="B51133" s="43"/>
    </row>
    <row r="51134" spans="2:2" ht="12.75" customHeight="1" x14ac:dyDescent="0.2">
      <c r="B51134" s="43"/>
    </row>
    <row r="51135" spans="2:2" ht="12.75" customHeight="1" x14ac:dyDescent="0.2">
      <c r="B51135" s="43"/>
    </row>
    <row r="51136" spans="2:2" ht="12.75" customHeight="1" x14ac:dyDescent="0.2">
      <c r="B51136" s="43"/>
    </row>
    <row r="51137" spans="2:2" ht="12.75" customHeight="1" x14ac:dyDescent="0.2">
      <c r="B51137" s="43"/>
    </row>
    <row r="51138" spans="2:2" ht="12.75" customHeight="1" x14ac:dyDescent="0.2">
      <c r="B51138" s="43"/>
    </row>
    <row r="51139" spans="2:2" ht="12.75" customHeight="1" x14ac:dyDescent="0.2">
      <c r="B51139" s="43"/>
    </row>
    <row r="51140" spans="2:2" ht="12.75" customHeight="1" x14ac:dyDescent="0.2">
      <c r="B51140" s="43"/>
    </row>
    <row r="51141" spans="2:2" ht="12.75" customHeight="1" x14ac:dyDescent="0.2">
      <c r="B51141" s="43"/>
    </row>
    <row r="51142" spans="2:2" ht="12.75" customHeight="1" x14ac:dyDescent="0.2">
      <c r="B51142" s="43"/>
    </row>
    <row r="51143" spans="2:2" ht="12.75" customHeight="1" x14ac:dyDescent="0.2">
      <c r="B51143" s="43"/>
    </row>
    <row r="51144" spans="2:2" ht="12.75" customHeight="1" x14ac:dyDescent="0.2">
      <c r="B51144" s="43"/>
    </row>
    <row r="51145" spans="2:2" ht="12.75" customHeight="1" x14ac:dyDescent="0.2">
      <c r="B51145" s="43"/>
    </row>
    <row r="51146" spans="2:2" ht="12.75" customHeight="1" x14ac:dyDescent="0.2">
      <c r="B51146" s="43"/>
    </row>
    <row r="51147" spans="2:2" ht="12.75" customHeight="1" x14ac:dyDescent="0.2">
      <c r="B51147" s="43"/>
    </row>
    <row r="51148" spans="2:2" ht="12.75" customHeight="1" x14ac:dyDescent="0.2">
      <c r="B51148" s="43"/>
    </row>
    <row r="51149" spans="2:2" ht="12.75" customHeight="1" x14ac:dyDescent="0.2">
      <c r="B51149" s="43"/>
    </row>
    <row r="51150" spans="2:2" ht="12.75" customHeight="1" x14ac:dyDescent="0.2">
      <c r="B51150" s="43"/>
    </row>
    <row r="51151" spans="2:2" ht="12.75" customHeight="1" x14ac:dyDescent="0.2">
      <c r="B51151" s="43"/>
    </row>
    <row r="51152" spans="2:2" ht="12.75" customHeight="1" x14ac:dyDescent="0.2">
      <c r="B51152" s="43"/>
    </row>
    <row r="51153" spans="2:2" ht="12.75" customHeight="1" x14ac:dyDescent="0.2">
      <c r="B51153" s="43"/>
    </row>
    <row r="51154" spans="2:2" ht="12.75" customHeight="1" x14ac:dyDescent="0.2">
      <c r="B51154" s="43"/>
    </row>
    <row r="51155" spans="2:2" ht="12.75" customHeight="1" x14ac:dyDescent="0.2">
      <c r="B51155" s="43"/>
    </row>
    <row r="51156" spans="2:2" ht="12.75" customHeight="1" x14ac:dyDescent="0.2">
      <c r="B51156" s="43"/>
    </row>
    <row r="51157" spans="2:2" ht="12.75" customHeight="1" x14ac:dyDescent="0.2">
      <c r="B51157" s="43"/>
    </row>
    <row r="51158" spans="2:2" ht="12.75" customHeight="1" x14ac:dyDescent="0.2">
      <c r="B51158" s="43"/>
    </row>
    <row r="51159" spans="2:2" ht="12.75" customHeight="1" x14ac:dyDescent="0.2">
      <c r="B51159" s="43"/>
    </row>
    <row r="51160" spans="2:2" ht="12.75" customHeight="1" x14ac:dyDescent="0.2">
      <c r="B51160" s="43"/>
    </row>
    <row r="51161" spans="2:2" ht="12.75" customHeight="1" x14ac:dyDescent="0.2">
      <c r="B51161" s="43"/>
    </row>
    <row r="51162" spans="2:2" ht="12.75" customHeight="1" x14ac:dyDescent="0.2">
      <c r="B51162" s="43"/>
    </row>
    <row r="51163" spans="2:2" ht="12.75" customHeight="1" x14ac:dyDescent="0.2">
      <c r="B51163" s="43"/>
    </row>
    <row r="51164" spans="2:2" ht="12.75" customHeight="1" x14ac:dyDescent="0.2">
      <c r="B51164" s="43"/>
    </row>
    <row r="51165" spans="2:2" ht="12.75" customHeight="1" x14ac:dyDescent="0.2">
      <c r="B51165" s="43"/>
    </row>
    <row r="51166" spans="2:2" ht="12.75" customHeight="1" x14ac:dyDescent="0.2">
      <c r="B51166" s="43"/>
    </row>
    <row r="51167" spans="2:2" ht="12.75" customHeight="1" x14ac:dyDescent="0.2">
      <c r="B51167" s="43"/>
    </row>
    <row r="51168" spans="2:2" ht="12.75" customHeight="1" x14ac:dyDescent="0.2">
      <c r="B51168" s="43"/>
    </row>
    <row r="51169" spans="2:2" ht="12.75" customHeight="1" x14ac:dyDescent="0.2">
      <c r="B51169" s="43"/>
    </row>
    <row r="51170" spans="2:2" ht="12.75" customHeight="1" x14ac:dyDescent="0.2">
      <c r="B51170" s="43"/>
    </row>
    <row r="51171" spans="2:2" ht="12.75" customHeight="1" x14ac:dyDescent="0.2">
      <c r="B51171" s="43"/>
    </row>
    <row r="51172" spans="2:2" ht="12.75" customHeight="1" x14ac:dyDescent="0.2">
      <c r="B51172" s="43"/>
    </row>
    <row r="51173" spans="2:2" ht="12.75" customHeight="1" x14ac:dyDescent="0.2">
      <c r="B51173" s="43"/>
    </row>
    <row r="51174" spans="2:2" ht="12.75" customHeight="1" x14ac:dyDescent="0.2">
      <c r="B51174" s="43"/>
    </row>
    <row r="51175" spans="2:2" ht="12.75" customHeight="1" x14ac:dyDescent="0.2">
      <c r="B51175" s="43"/>
    </row>
    <row r="51176" spans="2:2" ht="12.75" customHeight="1" x14ac:dyDescent="0.2">
      <c r="B51176" s="43"/>
    </row>
    <row r="51177" spans="2:2" ht="12.75" customHeight="1" x14ac:dyDescent="0.2">
      <c r="B51177" s="43"/>
    </row>
    <row r="51178" spans="2:2" ht="12.75" customHeight="1" x14ac:dyDescent="0.2">
      <c r="B51178" s="43"/>
    </row>
    <row r="51179" spans="2:2" ht="12.75" customHeight="1" x14ac:dyDescent="0.2">
      <c r="B51179" s="43"/>
    </row>
    <row r="51180" spans="2:2" ht="12.75" customHeight="1" x14ac:dyDescent="0.2">
      <c r="B51180" s="43"/>
    </row>
    <row r="51181" spans="2:2" ht="12.75" customHeight="1" x14ac:dyDescent="0.2">
      <c r="B51181" s="43"/>
    </row>
    <row r="51182" spans="2:2" ht="12.75" customHeight="1" x14ac:dyDescent="0.2">
      <c r="B51182" s="43"/>
    </row>
    <row r="51183" spans="2:2" ht="12.75" customHeight="1" x14ac:dyDescent="0.2">
      <c r="B51183" s="43"/>
    </row>
    <row r="51184" spans="2:2" ht="12.75" customHeight="1" x14ac:dyDescent="0.2">
      <c r="B51184" s="43"/>
    </row>
    <row r="51185" spans="2:2" ht="12.75" customHeight="1" x14ac:dyDescent="0.2">
      <c r="B51185" s="43"/>
    </row>
    <row r="51186" spans="2:2" ht="12.75" customHeight="1" x14ac:dyDescent="0.2">
      <c r="B51186" s="43"/>
    </row>
    <row r="51187" spans="2:2" ht="12.75" customHeight="1" x14ac:dyDescent="0.2">
      <c r="B51187" s="43"/>
    </row>
    <row r="51188" spans="2:2" ht="12.75" customHeight="1" x14ac:dyDescent="0.2">
      <c r="B51188" s="43"/>
    </row>
    <row r="51189" spans="2:2" ht="12.75" customHeight="1" x14ac:dyDescent="0.2">
      <c r="B51189" s="43"/>
    </row>
    <row r="51190" spans="2:2" ht="12.75" customHeight="1" x14ac:dyDescent="0.2">
      <c r="B51190" s="43"/>
    </row>
    <row r="51191" spans="2:2" ht="12.75" customHeight="1" x14ac:dyDescent="0.2">
      <c r="B51191" s="43"/>
    </row>
    <row r="51192" spans="2:2" ht="12.75" customHeight="1" x14ac:dyDescent="0.2">
      <c r="B51192" s="43"/>
    </row>
    <row r="51193" spans="2:2" ht="12.75" customHeight="1" x14ac:dyDescent="0.2">
      <c r="B51193" s="43"/>
    </row>
    <row r="51194" spans="2:2" ht="12.75" customHeight="1" x14ac:dyDescent="0.2">
      <c r="B51194" s="43"/>
    </row>
    <row r="51195" spans="2:2" ht="12.75" customHeight="1" x14ac:dyDescent="0.2">
      <c r="B51195" s="43"/>
    </row>
    <row r="51196" spans="2:2" ht="12.75" customHeight="1" x14ac:dyDescent="0.2">
      <c r="B51196" s="43"/>
    </row>
    <row r="51197" spans="2:2" ht="12.75" customHeight="1" x14ac:dyDescent="0.2">
      <c r="B51197" s="43"/>
    </row>
    <row r="51198" spans="2:2" ht="12.75" customHeight="1" x14ac:dyDescent="0.2">
      <c r="B51198" s="43"/>
    </row>
    <row r="51199" spans="2:2" ht="12.75" customHeight="1" x14ac:dyDescent="0.2">
      <c r="B51199" s="43"/>
    </row>
    <row r="51200" spans="2:2" ht="12.75" customHeight="1" x14ac:dyDescent="0.2">
      <c r="B51200" s="43"/>
    </row>
    <row r="51201" spans="2:2" ht="12.75" customHeight="1" x14ac:dyDescent="0.2">
      <c r="B51201" s="43"/>
    </row>
    <row r="51202" spans="2:2" ht="12.75" customHeight="1" x14ac:dyDescent="0.2">
      <c r="B51202" s="43"/>
    </row>
    <row r="51203" spans="2:2" ht="12.75" customHeight="1" x14ac:dyDescent="0.2">
      <c r="B51203" s="43"/>
    </row>
    <row r="51204" spans="2:2" ht="12.75" customHeight="1" x14ac:dyDescent="0.2">
      <c r="B51204" s="43"/>
    </row>
    <row r="51205" spans="2:2" ht="12.75" customHeight="1" x14ac:dyDescent="0.2">
      <c r="B51205" s="43"/>
    </row>
    <row r="51206" spans="2:2" ht="12.75" customHeight="1" x14ac:dyDescent="0.2">
      <c r="B51206" s="43"/>
    </row>
    <row r="51207" spans="2:2" ht="12.75" customHeight="1" x14ac:dyDescent="0.2">
      <c r="B51207" s="43"/>
    </row>
    <row r="51208" spans="2:2" ht="12.75" customHeight="1" x14ac:dyDescent="0.2">
      <c r="B51208" s="43"/>
    </row>
    <row r="51209" spans="2:2" ht="12.75" customHeight="1" x14ac:dyDescent="0.2">
      <c r="B51209" s="43"/>
    </row>
    <row r="51210" spans="2:2" ht="12.75" customHeight="1" x14ac:dyDescent="0.2">
      <c r="B51210" s="43"/>
    </row>
    <row r="51211" spans="2:2" ht="12.75" customHeight="1" x14ac:dyDescent="0.2">
      <c r="B51211" s="43"/>
    </row>
    <row r="51212" spans="2:2" ht="12.75" customHeight="1" x14ac:dyDescent="0.2">
      <c r="B51212" s="43"/>
    </row>
    <row r="51213" spans="2:2" ht="12.75" customHeight="1" x14ac:dyDescent="0.2">
      <c r="B51213" s="43"/>
    </row>
    <row r="51214" spans="2:2" ht="12.75" customHeight="1" x14ac:dyDescent="0.2">
      <c r="B51214" s="43"/>
    </row>
    <row r="51215" spans="2:2" ht="12.75" customHeight="1" x14ac:dyDescent="0.2">
      <c r="B51215" s="43"/>
    </row>
    <row r="51216" spans="2:2" ht="12.75" customHeight="1" x14ac:dyDescent="0.2">
      <c r="B51216" s="43"/>
    </row>
    <row r="51217" spans="2:2" ht="12.75" customHeight="1" x14ac:dyDescent="0.2">
      <c r="B51217" s="43"/>
    </row>
    <row r="51218" spans="2:2" ht="12.75" customHeight="1" x14ac:dyDescent="0.2">
      <c r="B51218" s="43"/>
    </row>
    <row r="51219" spans="2:2" ht="12.75" customHeight="1" x14ac:dyDescent="0.2">
      <c r="B51219" s="43"/>
    </row>
    <row r="51220" spans="2:2" ht="12.75" customHeight="1" x14ac:dyDescent="0.2">
      <c r="B51220" s="43"/>
    </row>
    <row r="51221" spans="2:2" ht="12.75" customHeight="1" x14ac:dyDescent="0.2">
      <c r="B51221" s="43"/>
    </row>
    <row r="51222" spans="2:2" ht="12.75" customHeight="1" x14ac:dyDescent="0.2">
      <c r="B51222" s="43"/>
    </row>
    <row r="51223" spans="2:2" ht="12.75" customHeight="1" x14ac:dyDescent="0.2">
      <c r="B51223" s="43"/>
    </row>
    <row r="51224" spans="2:2" ht="12.75" customHeight="1" x14ac:dyDescent="0.2">
      <c r="B51224" s="43"/>
    </row>
    <row r="51225" spans="2:2" ht="12.75" customHeight="1" x14ac:dyDescent="0.2">
      <c r="B51225" s="43"/>
    </row>
    <row r="51226" spans="2:2" ht="12.75" customHeight="1" x14ac:dyDescent="0.2">
      <c r="B51226" s="43"/>
    </row>
    <row r="51227" spans="2:2" ht="12.75" customHeight="1" x14ac:dyDescent="0.2">
      <c r="B51227" s="43"/>
    </row>
    <row r="51228" spans="2:2" ht="12.75" customHeight="1" x14ac:dyDescent="0.2">
      <c r="B51228" s="43"/>
    </row>
    <row r="51229" spans="2:2" ht="12.75" customHeight="1" x14ac:dyDescent="0.2">
      <c r="B51229" s="43"/>
    </row>
    <row r="51230" spans="2:2" ht="12.75" customHeight="1" x14ac:dyDescent="0.2">
      <c r="B51230" s="43"/>
    </row>
    <row r="51231" spans="2:2" ht="12.75" customHeight="1" x14ac:dyDescent="0.2">
      <c r="B51231" s="43"/>
    </row>
    <row r="51232" spans="2:2" ht="12.75" customHeight="1" x14ac:dyDescent="0.2">
      <c r="B51232" s="43"/>
    </row>
    <row r="51233" spans="2:2" ht="12.75" customHeight="1" x14ac:dyDescent="0.2">
      <c r="B51233" s="43"/>
    </row>
    <row r="51234" spans="2:2" ht="12.75" customHeight="1" x14ac:dyDescent="0.2">
      <c r="B51234" s="43"/>
    </row>
    <row r="51235" spans="2:2" ht="12.75" customHeight="1" x14ac:dyDescent="0.2">
      <c r="B51235" s="43"/>
    </row>
    <row r="51236" spans="2:2" ht="12.75" customHeight="1" x14ac:dyDescent="0.2">
      <c r="B51236" s="43"/>
    </row>
    <row r="51237" spans="2:2" ht="12.75" customHeight="1" x14ac:dyDescent="0.2">
      <c r="B51237" s="43"/>
    </row>
    <row r="51238" spans="2:2" ht="12.75" customHeight="1" x14ac:dyDescent="0.2">
      <c r="B51238" s="43"/>
    </row>
    <row r="51239" spans="2:2" ht="12.75" customHeight="1" x14ac:dyDescent="0.2">
      <c r="B51239" s="43"/>
    </row>
    <row r="51240" spans="2:2" ht="12.75" customHeight="1" x14ac:dyDescent="0.2">
      <c r="B51240" s="43"/>
    </row>
    <row r="51241" spans="2:2" ht="12.75" customHeight="1" x14ac:dyDescent="0.2">
      <c r="B51241" s="43"/>
    </row>
    <row r="51242" spans="2:2" ht="12.75" customHeight="1" x14ac:dyDescent="0.2">
      <c r="B51242" s="43"/>
    </row>
    <row r="51243" spans="2:2" ht="12.75" customHeight="1" x14ac:dyDescent="0.2">
      <c r="B51243" s="43"/>
    </row>
    <row r="51244" spans="2:2" ht="12.75" customHeight="1" x14ac:dyDescent="0.2">
      <c r="B51244" s="43"/>
    </row>
    <row r="51245" spans="2:2" ht="12.75" customHeight="1" x14ac:dyDescent="0.2">
      <c r="B51245" s="43"/>
    </row>
    <row r="51246" spans="2:2" ht="12.75" customHeight="1" x14ac:dyDescent="0.2">
      <c r="B51246" s="43"/>
    </row>
    <row r="51247" spans="2:2" ht="12.75" customHeight="1" x14ac:dyDescent="0.2">
      <c r="B51247" s="43"/>
    </row>
    <row r="51248" spans="2:2" ht="12.75" customHeight="1" x14ac:dyDescent="0.2">
      <c r="B51248" s="43"/>
    </row>
    <row r="51249" spans="2:2" ht="12.75" customHeight="1" x14ac:dyDescent="0.2">
      <c r="B51249" s="43"/>
    </row>
    <row r="51250" spans="2:2" ht="12.75" customHeight="1" x14ac:dyDescent="0.2">
      <c r="B51250" s="43"/>
    </row>
    <row r="51251" spans="2:2" ht="12.75" customHeight="1" x14ac:dyDescent="0.2">
      <c r="B51251" s="43"/>
    </row>
    <row r="51252" spans="2:2" ht="12.75" customHeight="1" x14ac:dyDescent="0.2">
      <c r="B51252" s="43"/>
    </row>
    <row r="51253" spans="2:2" ht="12.75" customHeight="1" x14ac:dyDescent="0.2">
      <c r="B51253" s="43"/>
    </row>
    <row r="51254" spans="2:2" ht="12.75" customHeight="1" x14ac:dyDescent="0.2">
      <c r="B51254" s="43"/>
    </row>
    <row r="51255" spans="2:2" ht="12.75" customHeight="1" x14ac:dyDescent="0.2">
      <c r="B51255" s="43"/>
    </row>
    <row r="51256" spans="2:2" ht="12.75" customHeight="1" x14ac:dyDescent="0.2">
      <c r="B51256" s="43"/>
    </row>
    <row r="51257" spans="2:2" ht="12.75" customHeight="1" x14ac:dyDescent="0.2">
      <c r="B51257" s="43"/>
    </row>
    <row r="51258" spans="2:2" ht="12.75" customHeight="1" x14ac:dyDescent="0.2">
      <c r="B51258" s="43"/>
    </row>
    <row r="51259" spans="2:2" ht="12.75" customHeight="1" x14ac:dyDescent="0.2">
      <c r="B51259" s="43"/>
    </row>
    <row r="51260" spans="2:2" ht="12.75" customHeight="1" x14ac:dyDescent="0.2">
      <c r="B51260" s="43"/>
    </row>
    <row r="51261" spans="2:2" ht="12.75" customHeight="1" x14ac:dyDescent="0.2">
      <c r="B51261" s="43"/>
    </row>
    <row r="51262" spans="2:2" ht="12.75" customHeight="1" x14ac:dyDescent="0.2">
      <c r="B51262" s="43"/>
    </row>
    <row r="51263" spans="2:2" ht="12.75" customHeight="1" x14ac:dyDescent="0.2">
      <c r="B51263" s="43"/>
    </row>
    <row r="51264" spans="2:2" ht="12.75" customHeight="1" x14ac:dyDescent="0.2">
      <c r="B51264" s="43"/>
    </row>
    <row r="51265" spans="2:2" ht="12.75" customHeight="1" x14ac:dyDescent="0.2">
      <c r="B51265" s="43"/>
    </row>
    <row r="51266" spans="2:2" ht="12.75" customHeight="1" x14ac:dyDescent="0.2">
      <c r="B51266" s="43"/>
    </row>
    <row r="51267" spans="2:2" ht="12.75" customHeight="1" x14ac:dyDescent="0.2">
      <c r="B51267" s="43"/>
    </row>
    <row r="51268" spans="2:2" ht="12.75" customHeight="1" x14ac:dyDescent="0.2">
      <c r="B51268" s="43"/>
    </row>
    <row r="51269" spans="2:2" ht="12.75" customHeight="1" x14ac:dyDescent="0.2">
      <c r="B51269" s="43"/>
    </row>
    <row r="51270" spans="2:2" ht="12.75" customHeight="1" x14ac:dyDescent="0.2">
      <c r="B51270" s="43"/>
    </row>
    <row r="51271" spans="2:2" ht="12.75" customHeight="1" x14ac:dyDescent="0.2">
      <c r="B51271" s="43"/>
    </row>
    <row r="51272" spans="2:2" ht="12.75" customHeight="1" x14ac:dyDescent="0.2">
      <c r="B51272" s="43"/>
    </row>
    <row r="51273" spans="2:2" ht="12.75" customHeight="1" x14ac:dyDescent="0.2">
      <c r="B51273" s="43"/>
    </row>
    <row r="51274" spans="2:2" ht="12.75" customHeight="1" x14ac:dyDescent="0.2">
      <c r="B51274" s="43"/>
    </row>
    <row r="51275" spans="2:2" ht="12.75" customHeight="1" x14ac:dyDescent="0.2">
      <c r="B51275" s="43"/>
    </row>
    <row r="51276" spans="2:2" ht="12.75" customHeight="1" x14ac:dyDescent="0.2">
      <c r="B51276" s="43"/>
    </row>
    <row r="51277" spans="2:2" ht="12.75" customHeight="1" x14ac:dyDescent="0.2">
      <c r="B51277" s="43"/>
    </row>
    <row r="51278" spans="2:2" ht="12.75" customHeight="1" x14ac:dyDescent="0.2">
      <c r="B51278" s="43"/>
    </row>
    <row r="51279" spans="2:2" ht="12.75" customHeight="1" x14ac:dyDescent="0.2">
      <c r="B51279" s="43"/>
    </row>
    <row r="51280" spans="2:2" ht="12.75" customHeight="1" x14ac:dyDescent="0.2">
      <c r="B51280" s="43"/>
    </row>
    <row r="51281" spans="2:2" ht="12.75" customHeight="1" x14ac:dyDescent="0.2">
      <c r="B51281" s="43"/>
    </row>
    <row r="51282" spans="2:2" ht="12.75" customHeight="1" x14ac:dyDescent="0.2">
      <c r="B51282" s="43"/>
    </row>
    <row r="51283" spans="2:2" ht="12.75" customHeight="1" x14ac:dyDescent="0.2">
      <c r="B51283" s="43"/>
    </row>
    <row r="51284" spans="2:2" ht="12.75" customHeight="1" x14ac:dyDescent="0.2">
      <c r="B51284" s="43"/>
    </row>
    <row r="51285" spans="2:2" ht="12.75" customHeight="1" x14ac:dyDescent="0.2">
      <c r="B51285" s="43"/>
    </row>
    <row r="51286" spans="2:2" ht="12.75" customHeight="1" x14ac:dyDescent="0.2">
      <c r="B51286" s="43"/>
    </row>
    <row r="51287" spans="2:2" ht="12.75" customHeight="1" x14ac:dyDescent="0.2">
      <c r="B51287" s="43"/>
    </row>
    <row r="51288" spans="2:2" ht="12.75" customHeight="1" x14ac:dyDescent="0.2">
      <c r="B51288" s="43"/>
    </row>
    <row r="51289" spans="2:2" ht="12.75" customHeight="1" x14ac:dyDescent="0.2">
      <c r="B51289" s="43"/>
    </row>
    <row r="51290" spans="2:2" ht="12.75" customHeight="1" x14ac:dyDescent="0.2">
      <c r="B51290" s="43"/>
    </row>
    <row r="51291" spans="2:2" ht="12.75" customHeight="1" x14ac:dyDescent="0.2">
      <c r="B51291" s="43"/>
    </row>
    <row r="51292" spans="2:2" ht="12.75" customHeight="1" x14ac:dyDescent="0.2">
      <c r="B51292" s="43"/>
    </row>
    <row r="51293" spans="2:2" ht="12.75" customHeight="1" x14ac:dyDescent="0.2">
      <c r="B51293" s="43"/>
    </row>
    <row r="51294" spans="2:2" ht="12.75" customHeight="1" x14ac:dyDescent="0.2">
      <c r="B51294" s="43"/>
    </row>
    <row r="51295" spans="2:2" ht="12.75" customHeight="1" x14ac:dyDescent="0.2">
      <c r="B51295" s="43"/>
    </row>
    <row r="51296" spans="2:2" ht="12.75" customHeight="1" x14ac:dyDescent="0.2">
      <c r="B51296" s="43"/>
    </row>
    <row r="51297" spans="2:2" ht="12.75" customHeight="1" x14ac:dyDescent="0.2">
      <c r="B51297" s="43"/>
    </row>
    <row r="51298" spans="2:2" ht="12.75" customHeight="1" x14ac:dyDescent="0.2">
      <c r="B51298" s="43"/>
    </row>
    <row r="51299" spans="2:2" ht="12.75" customHeight="1" x14ac:dyDescent="0.2">
      <c r="B51299" s="43"/>
    </row>
    <row r="51300" spans="2:2" ht="12.75" customHeight="1" x14ac:dyDescent="0.2">
      <c r="B51300" s="43"/>
    </row>
    <row r="51301" spans="2:2" ht="12.75" customHeight="1" x14ac:dyDescent="0.2">
      <c r="B51301" s="43"/>
    </row>
    <row r="51302" spans="2:2" ht="12.75" customHeight="1" x14ac:dyDescent="0.2">
      <c r="B51302" s="43"/>
    </row>
    <row r="51303" spans="2:2" ht="12.75" customHeight="1" x14ac:dyDescent="0.2">
      <c r="B51303" s="43"/>
    </row>
    <row r="51304" spans="2:2" ht="12.75" customHeight="1" x14ac:dyDescent="0.2">
      <c r="B51304" s="43"/>
    </row>
    <row r="51305" spans="2:2" ht="12.75" customHeight="1" x14ac:dyDescent="0.2">
      <c r="B51305" s="43"/>
    </row>
    <row r="51306" spans="2:2" ht="12.75" customHeight="1" x14ac:dyDescent="0.2">
      <c r="B51306" s="43"/>
    </row>
    <row r="51307" spans="2:2" ht="12.75" customHeight="1" x14ac:dyDescent="0.2">
      <c r="B51307" s="43"/>
    </row>
    <row r="51308" spans="2:2" ht="12.75" customHeight="1" x14ac:dyDescent="0.2">
      <c r="B51308" s="43"/>
    </row>
    <row r="51309" spans="2:2" ht="12.75" customHeight="1" x14ac:dyDescent="0.2">
      <c r="B51309" s="43"/>
    </row>
    <row r="51310" spans="2:2" ht="12.75" customHeight="1" x14ac:dyDescent="0.2">
      <c r="B51310" s="43"/>
    </row>
    <row r="51311" spans="2:2" ht="12.75" customHeight="1" x14ac:dyDescent="0.2">
      <c r="B51311" s="43"/>
    </row>
    <row r="51312" spans="2:2" ht="12.75" customHeight="1" x14ac:dyDescent="0.2">
      <c r="B51312" s="43"/>
    </row>
    <row r="51313" spans="2:2" ht="12.75" customHeight="1" x14ac:dyDescent="0.2">
      <c r="B51313" s="43"/>
    </row>
    <row r="51314" spans="2:2" ht="12.75" customHeight="1" x14ac:dyDescent="0.2">
      <c r="B51314" s="43"/>
    </row>
    <row r="51315" spans="2:2" ht="12.75" customHeight="1" x14ac:dyDescent="0.2">
      <c r="B51315" s="43"/>
    </row>
    <row r="51316" spans="2:2" ht="12.75" customHeight="1" x14ac:dyDescent="0.2">
      <c r="B51316" s="43"/>
    </row>
    <row r="51317" spans="2:2" ht="12.75" customHeight="1" x14ac:dyDescent="0.2">
      <c r="B51317" s="43"/>
    </row>
    <row r="51318" spans="2:2" ht="12.75" customHeight="1" x14ac:dyDescent="0.2">
      <c r="B51318" s="43"/>
    </row>
    <row r="51319" spans="2:2" ht="12.75" customHeight="1" x14ac:dyDescent="0.2">
      <c r="B51319" s="43"/>
    </row>
    <row r="51320" spans="2:2" ht="12.75" customHeight="1" x14ac:dyDescent="0.2">
      <c r="B51320" s="43"/>
    </row>
    <row r="51321" spans="2:2" ht="12.75" customHeight="1" x14ac:dyDescent="0.2">
      <c r="B51321" s="43"/>
    </row>
    <row r="51322" spans="2:2" ht="12.75" customHeight="1" x14ac:dyDescent="0.2">
      <c r="B51322" s="43"/>
    </row>
    <row r="51323" spans="2:2" ht="12.75" customHeight="1" x14ac:dyDescent="0.2">
      <c r="B51323" s="43"/>
    </row>
    <row r="51324" spans="2:2" ht="12.75" customHeight="1" x14ac:dyDescent="0.2">
      <c r="B51324" s="43"/>
    </row>
    <row r="51325" spans="2:2" ht="12.75" customHeight="1" x14ac:dyDescent="0.2">
      <c r="B51325" s="43"/>
    </row>
    <row r="51326" spans="2:2" ht="12.75" customHeight="1" x14ac:dyDescent="0.2">
      <c r="B51326" s="43"/>
    </row>
    <row r="51327" spans="2:2" ht="12.75" customHeight="1" x14ac:dyDescent="0.2">
      <c r="B51327" s="43"/>
    </row>
    <row r="51328" spans="2:2" ht="12.75" customHeight="1" x14ac:dyDescent="0.2">
      <c r="B51328" s="43"/>
    </row>
    <row r="51329" spans="2:2" ht="12.75" customHeight="1" x14ac:dyDescent="0.2">
      <c r="B51329" s="43"/>
    </row>
    <row r="51330" spans="2:2" ht="12.75" customHeight="1" x14ac:dyDescent="0.2">
      <c r="B51330" s="43"/>
    </row>
    <row r="51331" spans="2:2" ht="12.75" customHeight="1" x14ac:dyDescent="0.2">
      <c r="B51331" s="43"/>
    </row>
    <row r="51332" spans="2:2" ht="12.75" customHeight="1" x14ac:dyDescent="0.2">
      <c r="B51332" s="43"/>
    </row>
    <row r="51333" spans="2:2" ht="12.75" customHeight="1" x14ac:dyDescent="0.2">
      <c r="B51333" s="43"/>
    </row>
    <row r="51334" spans="2:2" ht="12.75" customHeight="1" x14ac:dyDescent="0.2">
      <c r="B51334" s="43"/>
    </row>
    <row r="51335" spans="2:2" ht="12.75" customHeight="1" x14ac:dyDescent="0.2">
      <c r="B51335" s="43"/>
    </row>
    <row r="51336" spans="2:2" ht="12.75" customHeight="1" x14ac:dyDescent="0.2">
      <c r="B51336" s="43"/>
    </row>
    <row r="51337" spans="2:2" ht="12.75" customHeight="1" x14ac:dyDescent="0.2">
      <c r="B51337" s="43"/>
    </row>
    <row r="51338" spans="2:2" ht="12.75" customHeight="1" x14ac:dyDescent="0.2">
      <c r="B51338" s="43"/>
    </row>
    <row r="51339" spans="2:2" ht="12.75" customHeight="1" x14ac:dyDescent="0.2">
      <c r="B51339" s="43"/>
    </row>
    <row r="51340" spans="2:2" ht="12.75" customHeight="1" x14ac:dyDescent="0.2">
      <c r="B51340" s="43"/>
    </row>
    <row r="51341" spans="2:2" ht="12.75" customHeight="1" x14ac:dyDescent="0.2">
      <c r="B51341" s="43"/>
    </row>
    <row r="51342" spans="2:2" ht="12.75" customHeight="1" x14ac:dyDescent="0.2">
      <c r="B51342" s="43"/>
    </row>
    <row r="51343" spans="2:2" ht="12.75" customHeight="1" x14ac:dyDescent="0.2">
      <c r="B51343" s="43"/>
    </row>
    <row r="51344" spans="2:2" ht="12.75" customHeight="1" x14ac:dyDescent="0.2">
      <c r="B51344" s="43"/>
    </row>
    <row r="51345" spans="2:2" ht="12.75" customHeight="1" x14ac:dyDescent="0.2">
      <c r="B51345" s="43"/>
    </row>
    <row r="51346" spans="2:2" ht="12.75" customHeight="1" x14ac:dyDescent="0.2">
      <c r="B51346" s="43"/>
    </row>
    <row r="51347" spans="2:2" ht="12.75" customHeight="1" x14ac:dyDescent="0.2">
      <c r="B51347" s="43"/>
    </row>
    <row r="51348" spans="2:2" ht="12.75" customHeight="1" x14ac:dyDescent="0.2">
      <c r="B51348" s="43"/>
    </row>
    <row r="51349" spans="2:2" ht="12.75" customHeight="1" x14ac:dyDescent="0.2">
      <c r="B51349" s="43"/>
    </row>
    <row r="51350" spans="2:2" ht="12.75" customHeight="1" x14ac:dyDescent="0.2">
      <c r="B51350" s="43"/>
    </row>
    <row r="51351" spans="2:2" ht="12.75" customHeight="1" x14ac:dyDescent="0.2">
      <c r="B51351" s="43"/>
    </row>
    <row r="51352" spans="2:2" ht="12.75" customHeight="1" x14ac:dyDescent="0.2">
      <c r="B51352" s="43"/>
    </row>
    <row r="51353" spans="2:2" ht="12.75" customHeight="1" x14ac:dyDescent="0.2">
      <c r="B51353" s="43"/>
    </row>
    <row r="51354" spans="2:2" ht="12.75" customHeight="1" x14ac:dyDescent="0.2">
      <c r="B51354" s="43"/>
    </row>
    <row r="51355" spans="2:2" ht="12.75" customHeight="1" x14ac:dyDescent="0.2">
      <c r="B51355" s="43"/>
    </row>
    <row r="51356" spans="2:2" ht="12.75" customHeight="1" x14ac:dyDescent="0.2">
      <c r="B51356" s="43"/>
    </row>
    <row r="51357" spans="2:2" ht="12.75" customHeight="1" x14ac:dyDescent="0.2">
      <c r="B51357" s="43"/>
    </row>
    <row r="51358" spans="2:2" ht="12.75" customHeight="1" x14ac:dyDescent="0.2">
      <c r="B51358" s="43"/>
    </row>
    <row r="51359" spans="2:2" ht="12.75" customHeight="1" x14ac:dyDescent="0.2">
      <c r="B51359" s="43"/>
    </row>
    <row r="51360" spans="2:2" ht="12.75" customHeight="1" x14ac:dyDescent="0.2">
      <c r="B51360" s="43"/>
    </row>
    <row r="51361" spans="2:2" ht="12.75" customHeight="1" x14ac:dyDescent="0.2">
      <c r="B51361" s="43"/>
    </row>
    <row r="51362" spans="2:2" ht="12.75" customHeight="1" x14ac:dyDescent="0.2">
      <c r="B51362" s="43"/>
    </row>
    <row r="51363" spans="2:2" ht="12.75" customHeight="1" x14ac:dyDescent="0.2">
      <c r="B51363" s="43"/>
    </row>
    <row r="51364" spans="2:2" ht="12.75" customHeight="1" x14ac:dyDescent="0.2">
      <c r="B51364" s="43"/>
    </row>
    <row r="51365" spans="2:2" ht="12.75" customHeight="1" x14ac:dyDescent="0.2">
      <c r="B51365" s="43"/>
    </row>
    <row r="51366" spans="2:2" ht="12.75" customHeight="1" x14ac:dyDescent="0.2">
      <c r="B51366" s="43"/>
    </row>
    <row r="51367" spans="2:2" ht="12.75" customHeight="1" x14ac:dyDescent="0.2">
      <c r="B51367" s="43"/>
    </row>
    <row r="51368" spans="2:2" ht="12.75" customHeight="1" x14ac:dyDescent="0.2">
      <c r="B51368" s="43"/>
    </row>
    <row r="51369" spans="2:2" ht="12.75" customHeight="1" x14ac:dyDescent="0.2">
      <c r="B51369" s="43"/>
    </row>
    <row r="51370" spans="2:2" ht="12.75" customHeight="1" x14ac:dyDescent="0.2">
      <c r="B51370" s="43"/>
    </row>
    <row r="51371" spans="2:2" ht="12.75" customHeight="1" x14ac:dyDescent="0.2">
      <c r="B51371" s="43"/>
    </row>
    <row r="51372" spans="2:2" ht="12.75" customHeight="1" x14ac:dyDescent="0.2">
      <c r="B51372" s="43"/>
    </row>
    <row r="51373" spans="2:2" ht="12.75" customHeight="1" x14ac:dyDescent="0.2">
      <c r="B51373" s="43"/>
    </row>
    <row r="51374" spans="2:2" ht="12.75" customHeight="1" x14ac:dyDescent="0.2">
      <c r="B51374" s="43"/>
    </row>
    <row r="51375" spans="2:2" ht="12.75" customHeight="1" x14ac:dyDescent="0.2">
      <c r="B51375" s="43"/>
    </row>
    <row r="51376" spans="2:2" ht="12.75" customHeight="1" x14ac:dyDescent="0.2">
      <c r="B51376" s="43"/>
    </row>
    <row r="51377" spans="2:2" ht="12.75" customHeight="1" x14ac:dyDescent="0.2">
      <c r="B51377" s="43"/>
    </row>
    <row r="51378" spans="2:2" ht="12.75" customHeight="1" x14ac:dyDescent="0.2">
      <c r="B51378" s="43"/>
    </row>
    <row r="51379" spans="2:2" ht="12.75" customHeight="1" x14ac:dyDescent="0.2">
      <c r="B51379" s="43"/>
    </row>
    <row r="51380" spans="2:2" ht="12.75" customHeight="1" x14ac:dyDescent="0.2">
      <c r="B51380" s="43"/>
    </row>
    <row r="51381" spans="2:2" ht="12.75" customHeight="1" x14ac:dyDescent="0.2">
      <c r="B51381" s="43"/>
    </row>
    <row r="51382" spans="2:2" ht="12.75" customHeight="1" x14ac:dyDescent="0.2">
      <c r="B51382" s="43"/>
    </row>
    <row r="51383" spans="2:2" ht="12.75" customHeight="1" x14ac:dyDescent="0.2">
      <c r="B51383" s="43"/>
    </row>
    <row r="51384" spans="2:2" ht="12.75" customHeight="1" x14ac:dyDescent="0.2">
      <c r="B51384" s="43"/>
    </row>
    <row r="51385" spans="2:2" ht="12.75" customHeight="1" x14ac:dyDescent="0.2">
      <c r="B51385" s="43"/>
    </row>
    <row r="51386" spans="2:2" ht="12.75" customHeight="1" x14ac:dyDescent="0.2">
      <c r="B51386" s="43"/>
    </row>
    <row r="51387" spans="2:2" ht="12.75" customHeight="1" x14ac:dyDescent="0.2">
      <c r="B51387" s="43"/>
    </row>
    <row r="51388" spans="2:2" ht="12.75" customHeight="1" x14ac:dyDescent="0.2">
      <c r="B51388" s="43"/>
    </row>
    <row r="51389" spans="2:2" ht="12.75" customHeight="1" x14ac:dyDescent="0.2">
      <c r="B51389" s="43"/>
    </row>
    <row r="51390" spans="2:2" ht="12.75" customHeight="1" x14ac:dyDescent="0.2">
      <c r="B51390" s="43"/>
    </row>
    <row r="51391" spans="2:2" ht="12.75" customHeight="1" x14ac:dyDescent="0.2">
      <c r="B51391" s="43"/>
    </row>
    <row r="51392" spans="2:2" ht="12.75" customHeight="1" x14ac:dyDescent="0.2">
      <c r="B51392" s="43"/>
    </row>
    <row r="51393" spans="2:2" ht="12.75" customHeight="1" x14ac:dyDescent="0.2">
      <c r="B51393" s="43"/>
    </row>
    <row r="51394" spans="2:2" ht="12.75" customHeight="1" x14ac:dyDescent="0.2">
      <c r="B51394" s="43"/>
    </row>
    <row r="51395" spans="2:2" ht="12.75" customHeight="1" x14ac:dyDescent="0.2">
      <c r="B51395" s="43"/>
    </row>
    <row r="51396" spans="2:2" ht="12.75" customHeight="1" x14ac:dyDescent="0.2">
      <c r="B51396" s="43"/>
    </row>
    <row r="51397" spans="2:2" ht="12.75" customHeight="1" x14ac:dyDescent="0.2">
      <c r="B51397" s="43"/>
    </row>
    <row r="51398" spans="2:2" ht="12.75" customHeight="1" x14ac:dyDescent="0.2">
      <c r="B51398" s="43"/>
    </row>
    <row r="51399" spans="2:2" ht="12.75" customHeight="1" x14ac:dyDescent="0.2">
      <c r="B51399" s="43"/>
    </row>
    <row r="51400" spans="2:2" ht="12.75" customHeight="1" x14ac:dyDescent="0.2">
      <c r="B51400" s="43"/>
    </row>
    <row r="51401" spans="2:2" ht="12.75" customHeight="1" x14ac:dyDescent="0.2">
      <c r="B51401" s="43"/>
    </row>
    <row r="51402" spans="2:2" ht="12.75" customHeight="1" x14ac:dyDescent="0.2">
      <c r="B51402" s="43"/>
    </row>
    <row r="51403" spans="2:2" ht="12.75" customHeight="1" x14ac:dyDescent="0.2">
      <c r="B51403" s="43"/>
    </row>
    <row r="51404" spans="2:2" ht="12.75" customHeight="1" x14ac:dyDescent="0.2">
      <c r="B51404" s="43"/>
    </row>
    <row r="51405" spans="2:2" ht="12.75" customHeight="1" x14ac:dyDescent="0.2">
      <c r="B51405" s="43"/>
    </row>
    <row r="51406" spans="2:2" ht="12.75" customHeight="1" x14ac:dyDescent="0.2">
      <c r="B51406" s="43"/>
    </row>
    <row r="51407" spans="2:2" ht="12.75" customHeight="1" x14ac:dyDescent="0.2">
      <c r="B51407" s="43"/>
    </row>
    <row r="51408" spans="2:2" ht="12.75" customHeight="1" x14ac:dyDescent="0.2">
      <c r="B51408" s="43"/>
    </row>
    <row r="51409" spans="2:2" ht="12.75" customHeight="1" x14ac:dyDescent="0.2">
      <c r="B51409" s="43"/>
    </row>
    <row r="51410" spans="2:2" ht="12.75" customHeight="1" x14ac:dyDescent="0.2">
      <c r="B51410" s="43"/>
    </row>
    <row r="51411" spans="2:2" ht="12.75" customHeight="1" x14ac:dyDescent="0.2">
      <c r="B51411" s="43"/>
    </row>
    <row r="51412" spans="2:2" ht="12.75" customHeight="1" x14ac:dyDescent="0.2">
      <c r="B51412" s="43"/>
    </row>
    <row r="51413" spans="2:2" ht="12.75" customHeight="1" x14ac:dyDescent="0.2">
      <c r="B51413" s="43"/>
    </row>
    <row r="51414" spans="2:2" ht="12.75" customHeight="1" x14ac:dyDescent="0.2">
      <c r="B51414" s="43"/>
    </row>
    <row r="51415" spans="2:2" ht="12.75" customHeight="1" x14ac:dyDescent="0.2">
      <c r="B51415" s="43"/>
    </row>
    <row r="51416" spans="2:2" ht="12.75" customHeight="1" x14ac:dyDescent="0.2">
      <c r="B51416" s="43"/>
    </row>
    <row r="51417" spans="2:2" ht="12.75" customHeight="1" x14ac:dyDescent="0.2">
      <c r="B51417" s="43"/>
    </row>
    <row r="51418" spans="2:2" ht="12.75" customHeight="1" x14ac:dyDescent="0.2">
      <c r="B51418" s="43"/>
    </row>
    <row r="51419" spans="2:2" ht="12.75" customHeight="1" x14ac:dyDescent="0.2">
      <c r="B51419" s="43"/>
    </row>
    <row r="51420" spans="2:2" ht="12.75" customHeight="1" x14ac:dyDescent="0.2">
      <c r="B51420" s="43"/>
    </row>
    <row r="51421" spans="2:2" ht="12.75" customHeight="1" x14ac:dyDescent="0.2">
      <c r="B51421" s="43"/>
    </row>
    <row r="51422" spans="2:2" ht="12.75" customHeight="1" x14ac:dyDescent="0.2">
      <c r="B51422" s="43"/>
    </row>
    <row r="51423" spans="2:2" ht="12.75" customHeight="1" x14ac:dyDescent="0.2">
      <c r="B51423" s="43"/>
    </row>
    <row r="51424" spans="2:2" ht="12.75" customHeight="1" x14ac:dyDescent="0.2">
      <c r="B51424" s="43"/>
    </row>
    <row r="51425" spans="2:2" ht="12.75" customHeight="1" x14ac:dyDescent="0.2">
      <c r="B51425" s="43"/>
    </row>
    <row r="51426" spans="2:2" ht="12.75" customHeight="1" x14ac:dyDescent="0.2">
      <c r="B51426" s="43"/>
    </row>
    <row r="51427" spans="2:2" ht="12.75" customHeight="1" x14ac:dyDescent="0.2">
      <c r="B51427" s="43"/>
    </row>
    <row r="51428" spans="2:2" ht="12.75" customHeight="1" x14ac:dyDescent="0.2">
      <c r="B51428" s="43"/>
    </row>
    <row r="51429" spans="2:2" ht="12.75" customHeight="1" x14ac:dyDescent="0.2">
      <c r="B51429" s="43"/>
    </row>
    <row r="51430" spans="2:2" ht="12.75" customHeight="1" x14ac:dyDescent="0.2">
      <c r="B51430" s="43"/>
    </row>
    <row r="51431" spans="2:2" ht="12.75" customHeight="1" x14ac:dyDescent="0.2">
      <c r="B51431" s="43"/>
    </row>
    <row r="51432" spans="2:2" ht="12.75" customHeight="1" x14ac:dyDescent="0.2">
      <c r="B51432" s="43"/>
    </row>
    <row r="51433" spans="2:2" ht="12.75" customHeight="1" x14ac:dyDescent="0.2">
      <c r="B51433" s="43"/>
    </row>
    <row r="51434" spans="2:2" ht="12.75" customHeight="1" x14ac:dyDescent="0.2">
      <c r="B51434" s="43"/>
    </row>
    <row r="51435" spans="2:2" ht="12.75" customHeight="1" x14ac:dyDescent="0.2">
      <c r="B51435" s="43"/>
    </row>
    <row r="51436" spans="2:2" ht="12.75" customHeight="1" x14ac:dyDescent="0.2">
      <c r="B51436" s="43"/>
    </row>
    <row r="51437" spans="2:2" ht="12.75" customHeight="1" x14ac:dyDescent="0.2">
      <c r="B51437" s="43"/>
    </row>
    <row r="51438" spans="2:2" ht="12.75" customHeight="1" x14ac:dyDescent="0.2">
      <c r="B51438" s="43"/>
    </row>
    <row r="51439" spans="2:2" ht="12.75" customHeight="1" x14ac:dyDescent="0.2">
      <c r="B51439" s="43"/>
    </row>
    <row r="51440" spans="2:2" ht="12.75" customHeight="1" x14ac:dyDescent="0.2">
      <c r="B51440" s="43"/>
    </row>
    <row r="51441" spans="2:2" ht="12.75" customHeight="1" x14ac:dyDescent="0.2">
      <c r="B51441" s="43"/>
    </row>
    <row r="51442" spans="2:2" ht="12.75" customHeight="1" x14ac:dyDescent="0.2">
      <c r="B51442" s="43"/>
    </row>
    <row r="51443" spans="2:2" ht="12.75" customHeight="1" x14ac:dyDescent="0.2">
      <c r="B51443" s="43"/>
    </row>
    <row r="51444" spans="2:2" ht="12.75" customHeight="1" x14ac:dyDescent="0.2">
      <c r="B51444" s="43"/>
    </row>
    <row r="51445" spans="2:2" ht="12.75" customHeight="1" x14ac:dyDescent="0.2">
      <c r="B51445" s="43"/>
    </row>
    <row r="51446" spans="2:2" ht="12.75" customHeight="1" x14ac:dyDescent="0.2">
      <c r="B51446" s="43"/>
    </row>
    <row r="51447" spans="2:2" ht="12.75" customHeight="1" x14ac:dyDescent="0.2">
      <c r="B51447" s="43"/>
    </row>
    <row r="51448" spans="2:2" ht="12.75" customHeight="1" x14ac:dyDescent="0.2">
      <c r="B51448" s="43"/>
    </row>
    <row r="51449" spans="2:2" ht="12.75" customHeight="1" x14ac:dyDescent="0.2">
      <c r="B51449" s="43"/>
    </row>
    <row r="51450" spans="2:2" ht="12.75" customHeight="1" x14ac:dyDescent="0.2">
      <c r="B51450" s="43"/>
    </row>
    <row r="51451" spans="2:2" ht="12.75" customHeight="1" x14ac:dyDescent="0.2">
      <c r="B51451" s="43"/>
    </row>
    <row r="51452" spans="2:2" ht="12.75" customHeight="1" x14ac:dyDescent="0.2">
      <c r="B51452" s="43"/>
    </row>
    <row r="51453" spans="2:2" ht="12.75" customHeight="1" x14ac:dyDescent="0.2">
      <c r="B51453" s="43"/>
    </row>
    <row r="51454" spans="2:2" ht="12.75" customHeight="1" x14ac:dyDescent="0.2">
      <c r="B51454" s="43"/>
    </row>
    <row r="51455" spans="2:2" ht="12.75" customHeight="1" x14ac:dyDescent="0.2">
      <c r="B51455" s="43"/>
    </row>
    <row r="51456" spans="2:2" ht="12.75" customHeight="1" x14ac:dyDescent="0.2">
      <c r="B51456" s="43"/>
    </row>
    <row r="51457" spans="2:2" ht="12.75" customHeight="1" x14ac:dyDescent="0.2">
      <c r="B51457" s="43"/>
    </row>
    <row r="51458" spans="2:2" ht="12.75" customHeight="1" x14ac:dyDescent="0.2">
      <c r="B51458" s="43"/>
    </row>
    <row r="51459" spans="2:2" ht="12.75" customHeight="1" x14ac:dyDescent="0.2">
      <c r="B51459" s="43"/>
    </row>
    <row r="51460" spans="2:2" ht="12.75" customHeight="1" x14ac:dyDescent="0.2">
      <c r="B51460" s="43"/>
    </row>
    <row r="51461" spans="2:2" ht="12.75" customHeight="1" x14ac:dyDescent="0.2">
      <c r="B51461" s="43"/>
    </row>
    <row r="51462" spans="2:2" ht="12.75" customHeight="1" x14ac:dyDescent="0.2">
      <c r="B51462" s="43"/>
    </row>
    <row r="51463" spans="2:2" ht="12.75" customHeight="1" x14ac:dyDescent="0.2">
      <c r="B51463" s="43"/>
    </row>
    <row r="51464" spans="2:2" ht="12.75" customHeight="1" x14ac:dyDescent="0.2">
      <c r="B51464" s="43"/>
    </row>
    <row r="51465" spans="2:2" ht="12.75" customHeight="1" x14ac:dyDescent="0.2">
      <c r="B51465" s="43"/>
    </row>
    <row r="51466" spans="2:2" ht="12.75" customHeight="1" x14ac:dyDescent="0.2">
      <c r="B51466" s="43"/>
    </row>
    <row r="51467" spans="2:2" ht="12.75" customHeight="1" x14ac:dyDescent="0.2">
      <c r="B51467" s="43"/>
    </row>
    <row r="51468" spans="2:2" ht="12.75" customHeight="1" x14ac:dyDescent="0.2">
      <c r="B51468" s="43"/>
    </row>
    <row r="51469" spans="2:2" ht="12.75" customHeight="1" x14ac:dyDescent="0.2">
      <c r="B51469" s="43"/>
    </row>
    <row r="51470" spans="2:2" ht="12.75" customHeight="1" x14ac:dyDescent="0.2">
      <c r="B51470" s="43"/>
    </row>
    <row r="51471" spans="2:2" ht="12.75" customHeight="1" x14ac:dyDescent="0.2">
      <c r="B51471" s="43"/>
    </row>
    <row r="51472" spans="2:2" ht="12.75" customHeight="1" x14ac:dyDescent="0.2">
      <c r="B51472" s="43"/>
    </row>
    <row r="51473" spans="2:2" ht="12.75" customHeight="1" x14ac:dyDescent="0.2">
      <c r="B51473" s="43"/>
    </row>
    <row r="51474" spans="2:2" ht="12.75" customHeight="1" x14ac:dyDescent="0.2">
      <c r="B51474" s="43"/>
    </row>
    <row r="51475" spans="2:2" ht="12.75" customHeight="1" x14ac:dyDescent="0.2">
      <c r="B51475" s="43"/>
    </row>
    <row r="51476" spans="2:2" ht="12.75" customHeight="1" x14ac:dyDescent="0.2">
      <c r="B51476" s="43"/>
    </row>
    <row r="51477" spans="2:2" ht="12.75" customHeight="1" x14ac:dyDescent="0.2">
      <c r="B51477" s="43"/>
    </row>
    <row r="51478" spans="2:2" ht="12.75" customHeight="1" x14ac:dyDescent="0.2">
      <c r="B51478" s="43"/>
    </row>
    <row r="51479" spans="2:2" ht="12.75" customHeight="1" x14ac:dyDescent="0.2">
      <c r="B51479" s="43"/>
    </row>
    <row r="51480" spans="2:2" ht="12.75" customHeight="1" x14ac:dyDescent="0.2">
      <c r="B51480" s="43"/>
    </row>
    <row r="51481" spans="2:2" ht="12.75" customHeight="1" x14ac:dyDescent="0.2">
      <c r="B51481" s="43"/>
    </row>
    <row r="51482" spans="2:2" ht="12.75" customHeight="1" x14ac:dyDescent="0.2">
      <c r="B51482" s="43"/>
    </row>
    <row r="51483" spans="2:2" ht="12.75" customHeight="1" x14ac:dyDescent="0.2">
      <c r="B51483" s="43"/>
    </row>
    <row r="51484" spans="2:2" ht="12.75" customHeight="1" x14ac:dyDescent="0.2">
      <c r="B51484" s="43"/>
    </row>
    <row r="51485" spans="2:2" ht="12.75" customHeight="1" x14ac:dyDescent="0.2">
      <c r="B51485" s="43"/>
    </row>
    <row r="51486" spans="2:2" ht="12.75" customHeight="1" x14ac:dyDescent="0.2">
      <c r="B51486" s="43"/>
    </row>
    <row r="51487" spans="2:2" ht="12.75" customHeight="1" x14ac:dyDescent="0.2">
      <c r="B51487" s="43"/>
    </row>
    <row r="51488" spans="2:2" ht="12.75" customHeight="1" x14ac:dyDescent="0.2">
      <c r="B51488" s="43"/>
    </row>
    <row r="51489" spans="2:2" ht="12.75" customHeight="1" x14ac:dyDescent="0.2">
      <c r="B51489" s="43"/>
    </row>
    <row r="51490" spans="2:2" ht="12.75" customHeight="1" x14ac:dyDescent="0.2">
      <c r="B51490" s="43"/>
    </row>
    <row r="51491" spans="2:2" ht="12.75" customHeight="1" x14ac:dyDescent="0.2">
      <c r="B51491" s="43"/>
    </row>
    <row r="51492" spans="2:2" ht="12.75" customHeight="1" x14ac:dyDescent="0.2">
      <c r="B51492" s="43"/>
    </row>
    <row r="51493" spans="2:2" ht="12.75" customHeight="1" x14ac:dyDescent="0.2">
      <c r="B51493" s="43"/>
    </row>
    <row r="51494" spans="2:2" ht="12.75" customHeight="1" x14ac:dyDescent="0.2">
      <c r="B51494" s="43"/>
    </row>
    <row r="51495" spans="2:2" ht="12.75" customHeight="1" x14ac:dyDescent="0.2">
      <c r="B51495" s="43"/>
    </row>
    <row r="51496" spans="2:2" ht="12.75" customHeight="1" x14ac:dyDescent="0.2">
      <c r="B51496" s="43"/>
    </row>
    <row r="51497" spans="2:2" ht="12.75" customHeight="1" x14ac:dyDescent="0.2">
      <c r="B51497" s="43"/>
    </row>
    <row r="51498" spans="2:2" ht="12.75" customHeight="1" x14ac:dyDescent="0.2">
      <c r="B51498" s="43"/>
    </row>
    <row r="51499" spans="2:2" ht="12.75" customHeight="1" x14ac:dyDescent="0.2">
      <c r="B51499" s="43"/>
    </row>
    <row r="51500" spans="2:2" ht="12.75" customHeight="1" x14ac:dyDescent="0.2">
      <c r="B51500" s="43"/>
    </row>
    <row r="51501" spans="2:2" ht="12.75" customHeight="1" x14ac:dyDescent="0.2">
      <c r="B51501" s="43"/>
    </row>
    <row r="51502" spans="2:2" ht="12.75" customHeight="1" x14ac:dyDescent="0.2">
      <c r="B51502" s="43"/>
    </row>
    <row r="51503" spans="2:2" ht="12.75" customHeight="1" x14ac:dyDescent="0.2">
      <c r="B51503" s="43"/>
    </row>
    <row r="51504" spans="2:2" ht="12.75" customHeight="1" x14ac:dyDescent="0.2">
      <c r="B51504" s="43"/>
    </row>
    <row r="51505" spans="2:2" ht="12.75" customHeight="1" x14ac:dyDescent="0.2">
      <c r="B51505" s="43"/>
    </row>
    <row r="51506" spans="2:2" ht="12.75" customHeight="1" x14ac:dyDescent="0.2">
      <c r="B51506" s="43"/>
    </row>
    <row r="51507" spans="2:2" ht="12.75" customHeight="1" x14ac:dyDescent="0.2">
      <c r="B51507" s="43"/>
    </row>
    <row r="51508" spans="2:2" ht="12.75" customHeight="1" x14ac:dyDescent="0.2">
      <c r="B51508" s="43"/>
    </row>
    <row r="51509" spans="2:2" ht="12.75" customHeight="1" x14ac:dyDescent="0.2">
      <c r="B51509" s="43"/>
    </row>
    <row r="51510" spans="2:2" ht="12.75" customHeight="1" x14ac:dyDescent="0.2">
      <c r="B51510" s="43"/>
    </row>
    <row r="51511" spans="2:2" ht="12.75" customHeight="1" x14ac:dyDescent="0.2">
      <c r="B51511" s="43"/>
    </row>
    <row r="51512" spans="2:2" ht="12.75" customHeight="1" x14ac:dyDescent="0.2">
      <c r="B51512" s="43"/>
    </row>
    <row r="51513" spans="2:2" ht="12.75" customHeight="1" x14ac:dyDescent="0.2">
      <c r="B51513" s="43"/>
    </row>
    <row r="51514" spans="2:2" ht="12.75" customHeight="1" x14ac:dyDescent="0.2">
      <c r="B51514" s="43"/>
    </row>
    <row r="51515" spans="2:2" ht="12.75" customHeight="1" x14ac:dyDescent="0.2">
      <c r="B51515" s="43"/>
    </row>
    <row r="51516" spans="2:2" ht="12.75" customHeight="1" x14ac:dyDescent="0.2">
      <c r="B51516" s="43"/>
    </row>
    <row r="51517" spans="2:2" ht="12.75" customHeight="1" x14ac:dyDescent="0.2">
      <c r="B51517" s="43"/>
    </row>
    <row r="51518" spans="2:2" ht="12.75" customHeight="1" x14ac:dyDescent="0.2">
      <c r="B51518" s="43"/>
    </row>
    <row r="51519" spans="2:2" ht="12.75" customHeight="1" x14ac:dyDescent="0.2">
      <c r="B51519" s="43"/>
    </row>
    <row r="51520" spans="2:2" ht="12.75" customHeight="1" x14ac:dyDescent="0.2">
      <c r="B51520" s="43"/>
    </row>
    <row r="51521" spans="2:2" ht="12.75" customHeight="1" x14ac:dyDescent="0.2">
      <c r="B51521" s="43"/>
    </row>
    <row r="51522" spans="2:2" ht="12.75" customHeight="1" x14ac:dyDescent="0.2">
      <c r="B51522" s="43"/>
    </row>
    <row r="51523" spans="2:2" ht="12.75" customHeight="1" x14ac:dyDescent="0.2">
      <c r="B51523" s="43"/>
    </row>
    <row r="51524" spans="2:2" ht="12.75" customHeight="1" x14ac:dyDescent="0.2">
      <c r="B51524" s="43"/>
    </row>
    <row r="51525" spans="2:2" ht="12.75" customHeight="1" x14ac:dyDescent="0.2">
      <c r="B51525" s="43"/>
    </row>
    <row r="51526" spans="2:2" ht="12.75" customHeight="1" x14ac:dyDescent="0.2">
      <c r="B51526" s="43"/>
    </row>
    <row r="51527" spans="2:2" ht="12.75" customHeight="1" x14ac:dyDescent="0.2">
      <c r="B51527" s="43"/>
    </row>
    <row r="51528" spans="2:2" ht="12.75" customHeight="1" x14ac:dyDescent="0.2">
      <c r="B51528" s="43"/>
    </row>
    <row r="51529" spans="2:2" ht="12.75" customHeight="1" x14ac:dyDescent="0.2">
      <c r="B51529" s="43"/>
    </row>
    <row r="51530" spans="2:2" ht="12.75" customHeight="1" x14ac:dyDescent="0.2">
      <c r="B51530" s="43"/>
    </row>
    <row r="51531" spans="2:2" ht="12.75" customHeight="1" x14ac:dyDescent="0.2">
      <c r="B51531" s="43"/>
    </row>
    <row r="51532" spans="2:2" ht="12.75" customHeight="1" x14ac:dyDescent="0.2">
      <c r="B51532" s="43"/>
    </row>
    <row r="51533" spans="2:2" ht="12.75" customHeight="1" x14ac:dyDescent="0.2">
      <c r="B51533" s="43"/>
    </row>
    <row r="51534" spans="2:2" ht="12.75" customHeight="1" x14ac:dyDescent="0.2">
      <c r="B51534" s="43"/>
    </row>
    <row r="51535" spans="2:2" ht="12.75" customHeight="1" x14ac:dyDescent="0.2">
      <c r="B51535" s="43"/>
    </row>
    <row r="51536" spans="2:2" ht="12.75" customHeight="1" x14ac:dyDescent="0.2">
      <c r="B51536" s="43"/>
    </row>
    <row r="51537" spans="2:2" ht="12.75" customHeight="1" x14ac:dyDescent="0.2">
      <c r="B51537" s="43"/>
    </row>
    <row r="51538" spans="2:2" ht="12.75" customHeight="1" x14ac:dyDescent="0.2">
      <c r="B51538" s="43"/>
    </row>
    <row r="51539" spans="2:2" ht="12.75" customHeight="1" x14ac:dyDescent="0.2">
      <c r="B51539" s="43"/>
    </row>
    <row r="51540" spans="2:2" ht="12.75" customHeight="1" x14ac:dyDescent="0.2">
      <c r="B51540" s="43"/>
    </row>
    <row r="51541" spans="2:2" ht="12.75" customHeight="1" x14ac:dyDescent="0.2">
      <c r="B51541" s="43"/>
    </row>
    <row r="51542" spans="2:2" ht="12.75" customHeight="1" x14ac:dyDescent="0.2">
      <c r="B51542" s="43"/>
    </row>
    <row r="51543" spans="2:2" ht="12.75" customHeight="1" x14ac:dyDescent="0.2">
      <c r="B51543" s="43"/>
    </row>
    <row r="51544" spans="2:2" ht="12.75" customHeight="1" x14ac:dyDescent="0.2">
      <c r="B51544" s="43"/>
    </row>
    <row r="51545" spans="2:2" ht="12.75" customHeight="1" x14ac:dyDescent="0.2">
      <c r="B51545" s="43"/>
    </row>
    <row r="51546" spans="2:2" ht="12.75" customHeight="1" x14ac:dyDescent="0.2">
      <c r="B51546" s="43"/>
    </row>
    <row r="51547" spans="2:2" ht="12.75" customHeight="1" x14ac:dyDescent="0.2">
      <c r="B51547" s="43"/>
    </row>
    <row r="51548" spans="2:2" ht="12.75" customHeight="1" x14ac:dyDescent="0.2">
      <c r="B51548" s="43"/>
    </row>
    <row r="51549" spans="2:2" ht="12.75" customHeight="1" x14ac:dyDescent="0.2">
      <c r="B51549" s="43"/>
    </row>
    <row r="51550" spans="2:2" ht="12.75" customHeight="1" x14ac:dyDescent="0.2">
      <c r="B51550" s="43"/>
    </row>
    <row r="51551" spans="2:2" ht="12.75" customHeight="1" x14ac:dyDescent="0.2">
      <c r="B51551" s="43"/>
    </row>
    <row r="51552" spans="2:2" ht="12.75" customHeight="1" x14ac:dyDescent="0.2">
      <c r="B51552" s="43"/>
    </row>
    <row r="51553" spans="2:2" ht="12.75" customHeight="1" x14ac:dyDescent="0.2">
      <c r="B51553" s="43"/>
    </row>
    <row r="51554" spans="2:2" ht="12.75" customHeight="1" x14ac:dyDescent="0.2">
      <c r="B51554" s="43"/>
    </row>
    <row r="51555" spans="2:2" ht="12.75" customHeight="1" x14ac:dyDescent="0.2">
      <c r="B51555" s="43"/>
    </row>
    <row r="51556" spans="2:2" ht="12.75" customHeight="1" x14ac:dyDescent="0.2">
      <c r="B51556" s="43"/>
    </row>
    <row r="51557" spans="2:2" ht="12.75" customHeight="1" x14ac:dyDescent="0.2">
      <c r="B51557" s="43"/>
    </row>
    <row r="51558" spans="2:2" ht="12.75" customHeight="1" x14ac:dyDescent="0.2">
      <c r="B51558" s="43"/>
    </row>
    <row r="51559" spans="2:2" ht="12.75" customHeight="1" x14ac:dyDescent="0.2">
      <c r="B51559" s="43"/>
    </row>
    <row r="51560" spans="2:2" ht="12.75" customHeight="1" x14ac:dyDescent="0.2">
      <c r="B51560" s="43"/>
    </row>
    <row r="51561" spans="2:2" ht="12.75" customHeight="1" x14ac:dyDescent="0.2">
      <c r="B51561" s="43"/>
    </row>
    <row r="51562" spans="2:2" ht="12.75" customHeight="1" x14ac:dyDescent="0.2">
      <c r="B51562" s="43"/>
    </row>
    <row r="51563" spans="2:2" ht="12.75" customHeight="1" x14ac:dyDescent="0.2">
      <c r="B51563" s="43"/>
    </row>
    <row r="51564" spans="2:2" ht="12.75" customHeight="1" x14ac:dyDescent="0.2">
      <c r="B51564" s="43"/>
    </row>
    <row r="51565" spans="2:2" ht="12.75" customHeight="1" x14ac:dyDescent="0.2">
      <c r="B51565" s="43"/>
    </row>
    <row r="51566" spans="2:2" ht="12.75" customHeight="1" x14ac:dyDescent="0.2">
      <c r="B51566" s="43"/>
    </row>
    <row r="51567" spans="2:2" ht="12.75" customHeight="1" x14ac:dyDescent="0.2">
      <c r="B51567" s="43"/>
    </row>
    <row r="51568" spans="2:2" ht="12.75" customHeight="1" x14ac:dyDescent="0.2">
      <c r="B51568" s="43"/>
    </row>
    <row r="51569" spans="2:2" ht="12.75" customHeight="1" x14ac:dyDescent="0.2">
      <c r="B51569" s="43"/>
    </row>
    <row r="51570" spans="2:2" ht="12.75" customHeight="1" x14ac:dyDescent="0.2">
      <c r="B51570" s="43"/>
    </row>
    <row r="51571" spans="2:2" ht="12.75" customHeight="1" x14ac:dyDescent="0.2">
      <c r="B51571" s="43"/>
    </row>
    <row r="51572" spans="2:2" ht="12.75" customHeight="1" x14ac:dyDescent="0.2">
      <c r="B51572" s="43"/>
    </row>
    <row r="51573" spans="2:2" ht="12.75" customHeight="1" x14ac:dyDescent="0.2">
      <c r="B51573" s="43"/>
    </row>
    <row r="51574" spans="2:2" ht="12.75" customHeight="1" x14ac:dyDescent="0.2">
      <c r="B51574" s="43"/>
    </row>
    <row r="51575" spans="2:2" ht="12.75" customHeight="1" x14ac:dyDescent="0.2">
      <c r="B51575" s="43"/>
    </row>
    <row r="51576" spans="2:2" ht="12.75" customHeight="1" x14ac:dyDescent="0.2">
      <c r="B51576" s="43"/>
    </row>
    <row r="51577" spans="2:2" ht="12.75" customHeight="1" x14ac:dyDescent="0.2">
      <c r="B51577" s="43"/>
    </row>
    <row r="51578" spans="2:2" ht="12.75" customHeight="1" x14ac:dyDescent="0.2">
      <c r="B51578" s="43"/>
    </row>
    <row r="51579" spans="2:2" ht="12.75" customHeight="1" x14ac:dyDescent="0.2">
      <c r="B51579" s="43"/>
    </row>
    <row r="51580" spans="2:2" ht="12.75" customHeight="1" x14ac:dyDescent="0.2">
      <c r="B51580" s="43"/>
    </row>
    <row r="51581" spans="2:2" ht="12.75" customHeight="1" x14ac:dyDescent="0.2">
      <c r="B51581" s="43"/>
    </row>
    <row r="51582" spans="2:2" ht="12.75" customHeight="1" x14ac:dyDescent="0.2">
      <c r="B51582" s="43"/>
    </row>
    <row r="51583" spans="2:2" ht="12.75" customHeight="1" x14ac:dyDescent="0.2">
      <c r="B51583" s="43"/>
    </row>
    <row r="51584" spans="2:2" ht="12.75" customHeight="1" x14ac:dyDescent="0.2">
      <c r="B51584" s="43"/>
    </row>
    <row r="51585" spans="2:2" ht="12.75" customHeight="1" x14ac:dyDescent="0.2">
      <c r="B51585" s="43"/>
    </row>
    <row r="51586" spans="2:2" ht="12.75" customHeight="1" x14ac:dyDescent="0.2">
      <c r="B51586" s="43"/>
    </row>
    <row r="51587" spans="2:2" ht="12.75" customHeight="1" x14ac:dyDescent="0.2">
      <c r="B51587" s="43"/>
    </row>
    <row r="51588" spans="2:2" ht="12.75" customHeight="1" x14ac:dyDescent="0.2">
      <c r="B51588" s="43"/>
    </row>
    <row r="51589" spans="2:2" ht="12.75" customHeight="1" x14ac:dyDescent="0.2">
      <c r="B51589" s="43"/>
    </row>
    <row r="51590" spans="2:2" ht="12.75" customHeight="1" x14ac:dyDescent="0.2">
      <c r="B51590" s="43"/>
    </row>
    <row r="51591" spans="2:2" ht="12.75" customHeight="1" x14ac:dyDescent="0.2">
      <c r="B51591" s="43"/>
    </row>
    <row r="51592" spans="2:2" ht="12.75" customHeight="1" x14ac:dyDescent="0.2">
      <c r="B51592" s="43"/>
    </row>
    <row r="51593" spans="2:2" ht="12.75" customHeight="1" x14ac:dyDescent="0.2">
      <c r="B51593" s="43"/>
    </row>
    <row r="51594" spans="2:2" ht="12.75" customHeight="1" x14ac:dyDescent="0.2">
      <c r="B51594" s="43"/>
    </row>
    <row r="51595" spans="2:2" ht="12.75" customHeight="1" x14ac:dyDescent="0.2">
      <c r="B51595" s="43"/>
    </row>
    <row r="51596" spans="2:2" ht="12.75" customHeight="1" x14ac:dyDescent="0.2">
      <c r="B51596" s="43"/>
    </row>
    <row r="51597" spans="2:2" ht="12.75" customHeight="1" x14ac:dyDescent="0.2">
      <c r="B51597" s="43"/>
    </row>
    <row r="51598" spans="2:2" ht="12.75" customHeight="1" x14ac:dyDescent="0.2">
      <c r="B51598" s="43"/>
    </row>
    <row r="51599" spans="2:2" ht="12.75" customHeight="1" x14ac:dyDescent="0.2">
      <c r="B51599" s="43"/>
    </row>
    <row r="51600" spans="2:2" ht="12.75" customHeight="1" x14ac:dyDescent="0.2">
      <c r="B51600" s="43"/>
    </row>
    <row r="51601" spans="2:2" ht="12.75" customHeight="1" x14ac:dyDescent="0.2">
      <c r="B51601" s="43"/>
    </row>
    <row r="51602" spans="2:2" ht="12.75" customHeight="1" x14ac:dyDescent="0.2">
      <c r="B51602" s="43"/>
    </row>
    <row r="51603" spans="2:2" ht="12.75" customHeight="1" x14ac:dyDescent="0.2">
      <c r="B51603" s="43"/>
    </row>
    <row r="51604" spans="2:2" ht="12.75" customHeight="1" x14ac:dyDescent="0.2">
      <c r="B51604" s="43"/>
    </row>
    <row r="51605" spans="2:2" ht="12.75" customHeight="1" x14ac:dyDescent="0.2">
      <c r="B51605" s="43"/>
    </row>
    <row r="51606" spans="2:2" ht="12.75" customHeight="1" x14ac:dyDescent="0.2">
      <c r="B51606" s="43"/>
    </row>
    <row r="51607" spans="2:2" ht="12.75" customHeight="1" x14ac:dyDescent="0.2">
      <c r="B51607" s="43"/>
    </row>
    <row r="51608" spans="2:2" ht="12.75" customHeight="1" x14ac:dyDescent="0.2">
      <c r="B51608" s="43"/>
    </row>
    <row r="51609" spans="2:2" ht="12.75" customHeight="1" x14ac:dyDescent="0.2">
      <c r="B51609" s="43"/>
    </row>
    <row r="51610" spans="2:2" ht="12.75" customHeight="1" x14ac:dyDescent="0.2">
      <c r="B51610" s="43"/>
    </row>
    <row r="51611" spans="2:2" ht="12.75" customHeight="1" x14ac:dyDescent="0.2">
      <c r="B51611" s="43"/>
    </row>
    <row r="51612" spans="2:2" ht="12.75" customHeight="1" x14ac:dyDescent="0.2">
      <c r="B51612" s="43"/>
    </row>
    <row r="51613" spans="2:2" ht="12.75" customHeight="1" x14ac:dyDescent="0.2">
      <c r="B51613" s="43"/>
    </row>
    <row r="51614" spans="2:2" ht="12.75" customHeight="1" x14ac:dyDescent="0.2">
      <c r="B51614" s="43"/>
    </row>
    <row r="51615" spans="2:2" ht="12.75" customHeight="1" x14ac:dyDescent="0.2">
      <c r="B51615" s="43"/>
    </row>
    <row r="51616" spans="2:2" ht="12.75" customHeight="1" x14ac:dyDescent="0.2">
      <c r="B51616" s="43"/>
    </row>
    <row r="51617" spans="2:2" ht="12.75" customHeight="1" x14ac:dyDescent="0.2">
      <c r="B51617" s="43"/>
    </row>
    <row r="51618" spans="2:2" ht="12.75" customHeight="1" x14ac:dyDescent="0.2">
      <c r="B51618" s="43"/>
    </row>
    <row r="51619" spans="2:2" ht="12.75" customHeight="1" x14ac:dyDescent="0.2">
      <c r="B51619" s="43"/>
    </row>
    <row r="51620" spans="2:2" ht="12.75" customHeight="1" x14ac:dyDescent="0.2">
      <c r="B51620" s="43"/>
    </row>
    <row r="51621" spans="2:2" ht="12.75" customHeight="1" x14ac:dyDescent="0.2">
      <c r="B51621" s="43"/>
    </row>
    <row r="51622" spans="2:2" ht="12.75" customHeight="1" x14ac:dyDescent="0.2">
      <c r="B51622" s="43"/>
    </row>
    <row r="51623" spans="2:2" ht="12.75" customHeight="1" x14ac:dyDescent="0.2">
      <c r="B51623" s="43"/>
    </row>
    <row r="51624" spans="2:2" ht="12.75" customHeight="1" x14ac:dyDescent="0.2">
      <c r="B51624" s="43"/>
    </row>
    <row r="51625" spans="2:2" ht="12.75" customHeight="1" x14ac:dyDescent="0.2">
      <c r="B51625" s="43"/>
    </row>
    <row r="51626" spans="2:2" ht="12.75" customHeight="1" x14ac:dyDescent="0.2">
      <c r="B51626" s="43"/>
    </row>
    <row r="51627" spans="2:2" ht="12.75" customHeight="1" x14ac:dyDescent="0.2">
      <c r="B51627" s="43"/>
    </row>
    <row r="51628" spans="2:2" ht="12.75" customHeight="1" x14ac:dyDescent="0.2">
      <c r="B51628" s="43"/>
    </row>
    <row r="51629" spans="2:2" ht="12.75" customHeight="1" x14ac:dyDescent="0.2">
      <c r="B51629" s="43"/>
    </row>
    <row r="51630" spans="2:2" ht="12.75" customHeight="1" x14ac:dyDescent="0.2">
      <c r="B51630" s="43"/>
    </row>
    <row r="51631" spans="2:2" ht="12.75" customHeight="1" x14ac:dyDescent="0.2">
      <c r="B51631" s="43"/>
    </row>
    <row r="51632" spans="2:2" ht="12.75" customHeight="1" x14ac:dyDescent="0.2">
      <c r="B51632" s="43"/>
    </row>
    <row r="51633" spans="2:2" ht="12.75" customHeight="1" x14ac:dyDescent="0.2">
      <c r="B51633" s="43"/>
    </row>
    <row r="51634" spans="2:2" ht="12.75" customHeight="1" x14ac:dyDescent="0.2">
      <c r="B51634" s="43"/>
    </row>
    <row r="51635" spans="2:2" ht="12.75" customHeight="1" x14ac:dyDescent="0.2">
      <c r="B51635" s="43"/>
    </row>
    <row r="51636" spans="2:2" ht="12.75" customHeight="1" x14ac:dyDescent="0.2">
      <c r="B51636" s="43"/>
    </row>
    <row r="51637" spans="2:2" ht="12.75" customHeight="1" x14ac:dyDescent="0.2">
      <c r="B51637" s="43"/>
    </row>
    <row r="51638" spans="2:2" ht="12.75" customHeight="1" x14ac:dyDescent="0.2">
      <c r="B51638" s="43"/>
    </row>
    <row r="51639" spans="2:2" ht="12.75" customHeight="1" x14ac:dyDescent="0.2">
      <c r="B51639" s="43"/>
    </row>
    <row r="51640" spans="2:2" ht="12.75" customHeight="1" x14ac:dyDescent="0.2">
      <c r="B51640" s="43"/>
    </row>
    <row r="51641" spans="2:2" ht="12.75" customHeight="1" x14ac:dyDescent="0.2">
      <c r="B51641" s="43"/>
    </row>
    <row r="51642" spans="2:2" ht="12.75" customHeight="1" x14ac:dyDescent="0.2">
      <c r="B51642" s="43"/>
    </row>
    <row r="51643" spans="2:2" ht="12.75" customHeight="1" x14ac:dyDescent="0.2">
      <c r="B51643" s="43"/>
    </row>
    <row r="51644" spans="2:2" ht="12.75" customHeight="1" x14ac:dyDescent="0.2">
      <c r="B51644" s="43"/>
    </row>
    <row r="51645" spans="2:2" ht="12.75" customHeight="1" x14ac:dyDescent="0.2">
      <c r="B51645" s="43"/>
    </row>
    <row r="51646" spans="2:2" ht="12.75" customHeight="1" x14ac:dyDescent="0.2">
      <c r="B51646" s="43"/>
    </row>
    <row r="51647" spans="2:2" ht="12.75" customHeight="1" x14ac:dyDescent="0.2">
      <c r="B51647" s="43"/>
    </row>
    <row r="51648" spans="2:2" ht="12.75" customHeight="1" x14ac:dyDescent="0.2">
      <c r="B51648" s="43"/>
    </row>
    <row r="51649" spans="2:2" ht="12.75" customHeight="1" x14ac:dyDescent="0.2">
      <c r="B51649" s="43"/>
    </row>
    <row r="51650" spans="2:2" ht="12.75" customHeight="1" x14ac:dyDescent="0.2">
      <c r="B51650" s="43"/>
    </row>
    <row r="51651" spans="2:2" ht="12.75" customHeight="1" x14ac:dyDescent="0.2">
      <c r="B51651" s="43"/>
    </row>
    <row r="51652" spans="2:2" ht="12.75" customHeight="1" x14ac:dyDescent="0.2">
      <c r="B51652" s="43"/>
    </row>
    <row r="51653" spans="2:2" ht="12.75" customHeight="1" x14ac:dyDescent="0.2">
      <c r="B51653" s="43"/>
    </row>
    <row r="51654" spans="2:2" ht="12.75" customHeight="1" x14ac:dyDescent="0.2">
      <c r="B51654" s="43"/>
    </row>
    <row r="51655" spans="2:2" ht="12.75" customHeight="1" x14ac:dyDescent="0.2">
      <c r="B51655" s="43"/>
    </row>
    <row r="51656" spans="2:2" ht="12.75" customHeight="1" x14ac:dyDescent="0.2">
      <c r="B51656" s="43"/>
    </row>
    <row r="51657" spans="2:2" ht="12.75" customHeight="1" x14ac:dyDescent="0.2">
      <c r="B51657" s="43"/>
    </row>
    <row r="51658" spans="2:2" ht="12.75" customHeight="1" x14ac:dyDescent="0.2">
      <c r="B51658" s="43"/>
    </row>
    <row r="51659" spans="2:2" ht="12.75" customHeight="1" x14ac:dyDescent="0.2">
      <c r="B51659" s="43"/>
    </row>
    <row r="51660" spans="2:2" ht="12.75" customHeight="1" x14ac:dyDescent="0.2">
      <c r="B51660" s="43"/>
    </row>
    <row r="51661" spans="2:2" ht="12.75" customHeight="1" x14ac:dyDescent="0.2">
      <c r="B51661" s="43"/>
    </row>
    <row r="51662" spans="2:2" ht="12.75" customHeight="1" x14ac:dyDescent="0.2">
      <c r="B51662" s="43"/>
    </row>
    <row r="51663" spans="2:2" ht="12.75" customHeight="1" x14ac:dyDescent="0.2">
      <c r="B51663" s="43"/>
    </row>
    <row r="51664" spans="2:2" ht="12.75" customHeight="1" x14ac:dyDescent="0.2">
      <c r="B51664" s="43"/>
    </row>
    <row r="51665" spans="2:2" ht="12.75" customHeight="1" x14ac:dyDescent="0.2">
      <c r="B51665" s="43"/>
    </row>
    <row r="51666" spans="2:2" ht="12.75" customHeight="1" x14ac:dyDescent="0.2">
      <c r="B51666" s="43"/>
    </row>
    <row r="51667" spans="2:2" ht="12.75" customHeight="1" x14ac:dyDescent="0.2">
      <c r="B51667" s="43"/>
    </row>
    <row r="51668" spans="2:2" ht="12.75" customHeight="1" x14ac:dyDescent="0.2">
      <c r="B51668" s="43"/>
    </row>
    <row r="51669" spans="2:2" ht="12.75" customHeight="1" x14ac:dyDescent="0.2">
      <c r="B51669" s="43"/>
    </row>
    <row r="51670" spans="2:2" ht="12.75" customHeight="1" x14ac:dyDescent="0.2">
      <c r="B51670" s="43"/>
    </row>
    <row r="51671" spans="2:2" ht="12.75" customHeight="1" x14ac:dyDescent="0.2">
      <c r="B51671" s="43"/>
    </row>
    <row r="51672" spans="2:2" ht="12.75" customHeight="1" x14ac:dyDescent="0.2">
      <c r="B51672" s="43"/>
    </row>
    <row r="51673" spans="2:2" ht="12.75" customHeight="1" x14ac:dyDescent="0.2">
      <c r="B51673" s="43"/>
    </row>
    <row r="51674" spans="2:2" ht="12.75" customHeight="1" x14ac:dyDescent="0.2">
      <c r="B51674" s="43"/>
    </row>
    <row r="51675" spans="2:2" ht="12.75" customHeight="1" x14ac:dyDescent="0.2">
      <c r="B51675" s="43"/>
    </row>
    <row r="51676" spans="2:2" ht="12.75" customHeight="1" x14ac:dyDescent="0.2">
      <c r="B51676" s="43"/>
    </row>
    <row r="51677" spans="2:2" ht="12.75" customHeight="1" x14ac:dyDescent="0.2">
      <c r="B51677" s="43"/>
    </row>
    <row r="51678" spans="2:2" ht="12.75" customHeight="1" x14ac:dyDescent="0.2">
      <c r="B51678" s="43"/>
    </row>
    <row r="51679" spans="2:2" ht="12.75" customHeight="1" x14ac:dyDescent="0.2">
      <c r="B51679" s="43"/>
    </row>
    <row r="51680" spans="2:2" ht="12.75" customHeight="1" x14ac:dyDescent="0.2">
      <c r="B51680" s="43"/>
    </row>
    <row r="51681" spans="2:2" ht="12.75" customHeight="1" x14ac:dyDescent="0.2">
      <c r="B51681" s="43"/>
    </row>
    <row r="51682" spans="2:2" ht="12.75" customHeight="1" x14ac:dyDescent="0.2">
      <c r="B51682" s="43"/>
    </row>
    <row r="51683" spans="2:2" ht="12.75" customHeight="1" x14ac:dyDescent="0.2">
      <c r="B51683" s="43"/>
    </row>
    <row r="51684" spans="2:2" ht="12.75" customHeight="1" x14ac:dyDescent="0.2">
      <c r="B51684" s="43"/>
    </row>
    <row r="51685" spans="2:2" ht="12.75" customHeight="1" x14ac:dyDescent="0.2">
      <c r="B51685" s="43"/>
    </row>
    <row r="51686" spans="2:2" ht="12.75" customHeight="1" x14ac:dyDescent="0.2">
      <c r="B51686" s="43"/>
    </row>
    <row r="51687" spans="2:2" ht="12.75" customHeight="1" x14ac:dyDescent="0.2">
      <c r="B51687" s="43"/>
    </row>
    <row r="51688" spans="2:2" ht="12.75" customHeight="1" x14ac:dyDescent="0.2">
      <c r="B51688" s="43"/>
    </row>
    <row r="51689" spans="2:2" ht="12.75" customHeight="1" x14ac:dyDescent="0.2">
      <c r="B51689" s="43"/>
    </row>
    <row r="51690" spans="2:2" ht="12.75" customHeight="1" x14ac:dyDescent="0.2">
      <c r="B51690" s="43"/>
    </row>
    <row r="51691" spans="2:2" ht="12.75" customHeight="1" x14ac:dyDescent="0.2">
      <c r="B51691" s="43"/>
    </row>
    <row r="51692" spans="2:2" ht="12.75" customHeight="1" x14ac:dyDescent="0.2">
      <c r="B51692" s="43"/>
    </row>
    <row r="51693" spans="2:2" ht="12.75" customHeight="1" x14ac:dyDescent="0.2">
      <c r="B51693" s="43"/>
    </row>
    <row r="51694" spans="2:2" ht="12.75" customHeight="1" x14ac:dyDescent="0.2">
      <c r="B51694" s="43"/>
    </row>
    <row r="51695" spans="2:2" ht="12.75" customHeight="1" x14ac:dyDescent="0.2">
      <c r="B51695" s="43"/>
    </row>
    <row r="51696" spans="2:2" ht="12.75" customHeight="1" x14ac:dyDescent="0.2">
      <c r="B51696" s="43"/>
    </row>
    <row r="51697" spans="2:2" ht="12.75" customHeight="1" x14ac:dyDescent="0.2">
      <c r="B51697" s="43"/>
    </row>
    <row r="51698" spans="2:2" ht="12.75" customHeight="1" x14ac:dyDescent="0.2">
      <c r="B51698" s="43"/>
    </row>
    <row r="51699" spans="2:2" ht="12.75" customHeight="1" x14ac:dyDescent="0.2">
      <c r="B51699" s="43"/>
    </row>
    <row r="51700" spans="2:2" ht="12.75" customHeight="1" x14ac:dyDescent="0.2">
      <c r="B51700" s="43"/>
    </row>
    <row r="51701" spans="2:2" ht="12.75" customHeight="1" x14ac:dyDescent="0.2">
      <c r="B51701" s="43"/>
    </row>
    <row r="51702" spans="2:2" ht="12.75" customHeight="1" x14ac:dyDescent="0.2">
      <c r="B51702" s="43"/>
    </row>
    <row r="51703" spans="2:2" ht="12.75" customHeight="1" x14ac:dyDescent="0.2">
      <c r="B51703" s="43"/>
    </row>
    <row r="51704" spans="2:2" ht="12.75" customHeight="1" x14ac:dyDescent="0.2">
      <c r="B51704" s="43"/>
    </row>
    <row r="51705" spans="2:2" ht="12.75" customHeight="1" x14ac:dyDescent="0.2">
      <c r="B51705" s="43"/>
    </row>
    <row r="51706" spans="2:2" ht="12.75" customHeight="1" x14ac:dyDescent="0.2">
      <c r="B51706" s="43"/>
    </row>
    <row r="51707" spans="2:2" ht="12.75" customHeight="1" x14ac:dyDescent="0.2">
      <c r="B51707" s="43"/>
    </row>
    <row r="51708" spans="2:2" ht="12.75" customHeight="1" x14ac:dyDescent="0.2">
      <c r="B51708" s="43"/>
    </row>
    <row r="51709" spans="2:2" ht="12.75" customHeight="1" x14ac:dyDescent="0.2">
      <c r="B51709" s="43"/>
    </row>
    <row r="51710" spans="2:2" ht="12.75" customHeight="1" x14ac:dyDescent="0.2">
      <c r="B51710" s="43"/>
    </row>
    <row r="51711" spans="2:2" ht="12.75" customHeight="1" x14ac:dyDescent="0.2">
      <c r="B51711" s="43"/>
    </row>
    <row r="51712" spans="2:2" ht="12.75" customHeight="1" x14ac:dyDescent="0.2">
      <c r="B51712" s="43"/>
    </row>
    <row r="51713" spans="2:2" ht="12.75" customHeight="1" x14ac:dyDescent="0.2">
      <c r="B51713" s="43"/>
    </row>
    <row r="51714" spans="2:2" ht="12.75" customHeight="1" x14ac:dyDescent="0.2">
      <c r="B51714" s="43"/>
    </row>
    <row r="51715" spans="2:2" ht="12.75" customHeight="1" x14ac:dyDescent="0.2">
      <c r="B51715" s="43"/>
    </row>
    <row r="51716" spans="2:2" ht="12.75" customHeight="1" x14ac:dyDescent="0.2">
      <c r="B51716" s="43"/>
    </row>
    <row r="51717" spans="2:2" ht="12.75" customHeight="1" x14ac:dyDescent="0.2">
      <c r="B51717" s="43"/>
    </row>
    <row r="51718" spans="2:2" ht="12.75" customHeight="1" x14ac:dyDescent="0.2">
      <c r="B51718" s="43"/>
    </row>
    <row r="51719" spans="2:2" ht="12.75" customHeight="1" x14ac:dyDescent="0.2">
      <c r="B51719" s="43"/>
    </row>
    <row r="51720" spans="2:2" ht="12.75" customHeight="1" x14ac:dyDescent="0.2">
      <c r="B51720" s="43"/>
    </row>
    <row r="51721" spans="2:2" ht="12.75" customHeight="1" x14ac:dyDescent="0.2">
      <c r="B51721" s="43"/>
    </row>
    <row r="51722" spans="2:2" ht="12.75" customHeight="1" x14ac:dyDescent="0.2">
      <c r="B51722" s="43"/>
    </row>
    <row r="51723" spans="2:2" ht="12.75" customHeight="1" x14ac:dyDescent="0.2">
      <c r="B51723" s="43"/>
    </row>
    <row r="51724" spans="2:2" ht="12.75" customHeight="1" x14ac:dyDescent="0.2">
      <c r="B51724" s="43"/>
    </row>
    <row r="51725" spans="2:2" ht="12.75" customHeight="1" x14ac:dyDescent="0.2">
      <c r="B51725" s="43"/>
    </row>
    <row r="51726" spans="2:2" ht="12.75" customHeight="1" x14ac:dyDescent="0.2">
      <c r="B51726" s="43"/>
    </row>
    <row r="51727" spans="2:2" ht="12.75" customHeight="1" x14ac:dyDescent="0.2">
      <c r="B51727" s="43"/>
    </row>
    <row r="51728" spans="2:2" ht="12.75" customHeight="1" x14ac:dyDescent="0.2">
      <c r="B51728" s="43"/>
    </row>
    <row r="51729" spans="2:2" ht="12.75" customHeight="1" x14ac:dyDescent="0.2">
      <c r="B51729" s="43"/>
    </row>
    <row r="51730" spans="2:2" ht="12.75" customHeight="1" x14ac:dyDescent="0.2">
      <c r="B51730" s="43"/>
    </row>
    <row r="51731" spans="2:2" ht="12.75" customHeight="1" x14ac:dyDescent="0.2">
      <c r="B51731" s="43"/>
    </row>
    <row r="51732" spans="2:2" ht="12.75" customHeight="1" x14ac:dyDescent="0.2">
      <c r="B51732" s="43"/>
    </row>
    <row r="51733" spans="2:2" ht="12.75" customHeight="1" x14ac:dyDescent="0.2">
      <c r="B51733" s="43"/>
    </row>
    <row r="51734" spans="2:2" ht="12.75" customHeight="1" x14ac:dyDescent="0.2">
      <c r="B51734" s="43"/>
    </row>
    <row r="51735" spans="2:2" ht="12.75" customHeight="1" x14ac:dyDescent="0.2">
      <c r="B51735" s="43"/>
    </row>
    <row r="51736" spans="2:2" ht="12.75" customHeight="1" x14ac:dyDescent="0.2">
      <c r="B51736" s="43"/>
    </row>
    <row r="51737" spans="2:2" ht="12.75" customHeight="1" x14ac:dyDescent="0.2">
      <c r="B51737" s="43"/>
    </row>
    <row r="51738" spans="2:2" ht="12.75" customHeight="1" x14ac:dyDescent="0.2">
      <c r="B51738" s="43"/>
    </row>
    <row r="51739" spans="2:2" ht="12.75" customHeight="1" x14ac:dyDescent="0.2">
      <c r="B51739" s="43"/>
    </row>
    <row r="51740" spans="2:2" ht="12.75" customHeight="1" x14ac:dyDescent="0.2">
      <c r="B51740" s="43"/>
    </row>
    <row r="51741" spans="2:2" ht="12.75" customHeight="1" x14ac:dyDescent="0.2">
      <c r="B51741" s="43"/>
    </row>
    <row r="51742" spans="2:2" ht="12.75" customHeight="1" x14ac:dyDescent="0.2">
      <c r="B51742" s="43"/>
    </row>
    <row r="51743" spans="2:2" ht="12.75" customHeight="1" x14ac:dyDescent="0.2">
      <c r="B51743" s="43"/>
    </row>
    <row r="51744" spans="2:2" ht="12.75" customHeight="1" x14ac:dyDescent="0.2">
      <c r="B51744" s="43"/>
    </row>
    <row r="51745" spans="2:2" ht="12.75" customHeight="1" x14ac:dyDescent="0.2">
      <c r="B51745" s="43"/>
    </row>
    <row r="51746" spans="2:2" ht="12.75" customHeight="1" x14ac:dyDescent="0.2">
      <c r="B51746" s="43"/>
    </row>
    <row r="51747" spans="2:2" ht="12.75" customHeight="1" x14ac:dyDescent="0.2">
      <c r="B51747" s="43"/>
    </row>
    <row r="51748" spans="2:2" ht="12.75" customHeight="1" x14ac:dyDescent="0.2">
      <c r="B51748" s="43"/>
    </row>
    <row r="51749" spans="2:2" ht="12.75" customHeight="1" x14ac:dyDescent="0.2">
      <c r="B51749" s="43"/>
    </row>
    <row r="51750" spans="2:2" ht="12.75" customHeight="1" x14ac:dyDescent="0.2">
      <c r="B51750" s="43"/>
    </row>
    <row r="51751" spans="2:2" ht="12.75" customHeight="1" x14ac:dyDescent="0.2">
      <c r="B51751" s="43"/>
    </row>
    <row r="51752" spans="2:2" ht="12.75" customHeight="1" x14ac:dyDescent="0.2">
      <c r="B51752" s="43"/>
    </row>
    <row r="51753" spans="2:2" ht="12.75" customHeight="1" x14ac:dyDescent="0.2">
      <c r="B51753" s="43"/>
    </row>
    <row r="51754" spans="2:2" ht="12.75" customHeight="1" x14ac:dyDescent="0.2">
      <c r="B51754" s="43"/>
    </row>
    <row r="51755" spans="2:2" ht="12.75" customHeight="1" x14ac:dyDescent="0.2">
      <c r="B51755" s="43"/>
    </row>
    <row r="51756" spans="2:2" ht="12.75" customHeight="1" x14ac:dyDescent="0.2">
      <c r="B51756" s="43"/>
    </row>
    <row r="51757" spans="2:2" ht="12.75" customHeight="1" x14ac:dyDescent="0.2">
      <c r="B51757" s="43"/>
    </row>
    <row r="51758" spans="2:2" ht="12.75" customHeight="1" x14ac:dyDescent="0.2">
      <c r="B51758" s="43"/>
    </row>
    <row r="51759" spans="2:2" ht="12.75" customHeight="1" x14ac:dyDescent="0.2">
      <c r="B51759" s="43"/>
    </row>
    <row r="51760" spans="2:2" ht="12.75" customHeight="1" x14ac:dyDescent="0.2">
      <c r="B51760" s="43"/>
    </row>
    <row r="51761" spans="2:2" ht="12.75" customHeight="1" x14ac:dyDescent="0.2">
      <c r="B51761" s="43"/>
    </row>
    <row r="51762" spans="2:2" ht="12.75" customHeight="1" x14ac:dyDescent="0.2">
      <c r="B51762" s="43"/>
    </row>
    <row r="51763" spans="2:2" ht="12.75" customHeight="1" x14ac:dyDescent="0.2">
      <c r="B51763" s="43"/>
    </row>
    <row r="51764" spans="2:2" ht="12.75" customHeight="1" x14ac:dyDescent="0.2">
      <c r="B51764" s="43"/>
    </row>
    <row r="51765" spans="2:2" ht="12.75" customHeight="1" x14ac:dyDescent="0.2">
      <c r="B51765" s="43"/>
    </row>
    <row r="51766" spans="2:2" ht="12.75" customHeight="1" x14ac:dyDescent="0.2">
      <c r="B51766" s="43"/>
    </row>
    <row r="51767" spans="2:2" ht="12.75" customHeight="1" x14ac:dyDescent="0.2">
      <c r="B51767" s="43"/>
    </row>
    <row r="51768" spans="2:2" ht="12.75" customHeight="1" x14ac:dyDescent="0.2">
      <c r="B51768" s="43"/>
    </row>
    <row r="51769" spans="2:2" ht="12.75" customHeight="1" x14ac:dyDescent="0.2">
      <c r="B51769" s="43"/>
    </row>
    <row r="51770" spans="2:2" ht="12.75" customHeight="1" x14ac:dyDescent="0.2">
      <c r="B51770" s="43"/>
    </row>
    <row r="51771" spans="2:2" ht="12.75" customHeight="1" x14ac:dyDescent="0.2">
      <c r="B51771" s="43"/>
    </row>
    <row r="51772" spans="2:2" ht="12.75" customHeight="1" x14ac:dyDescent="0.2">
      <c r="B51772" s="43"/>
    </row>
    <row r="51773" spans="2:2" ht="12.75" customHeight="1" x14ac:dyDescent="0.2">
      <c r="B51773" s="43"/>
    </row>
    <row r="51774" spans="2:2" ht="12.75" customHeight="1" x14ac:dyDescent="0.2">
      <c r="B51774" s="43"/>
    </row>
    <row r="51775" spans="2:2" ht="12.75" customHeight="1" x14ac:dyDescent="0.2">
      <c r="B51775" s="43"/>
    </row>
    <row r="51776" spans="2:2" ht="12.75" customHeight="1" x14ac:dyDescent="0.2">
      <c r="B51776" s="43"/>
    </row>
    <row r="51777" spans="2:2" ht="12.75" customHeight="1" x14ac:dyDescent="0.2">
      <c r="B51777" s="43"/>
    </row>
    <row r="51778" spans="2:2" ht="12.75" customHeight="1" x14ac:dyDescent="0.2">
      <c r="B51778" s="43"/>
    </row>
    <row r="51779" spans="2:2" ht="12.75" customHeight="1" x14ac:dyDescent="0.2">
      <c r="B51779" s="43"/>
    </row>
    <row r="51780" spans="2:2" ht="12.75" customHeight="1" x14ac:dyDescent="0.2">
      <c r="B51780" s="43"/>
    </row>
    <row r="51781" spans="2:2" ht="12.75" customHeight="1" x14ac:dyDescent="0.2">
      <c r="B51781" s="43"/>
    </row>
    <row r="51782" spans="2:2" ht="12.75" customHeight="1" x14ac:dyDescent="0.2">
      <c r="B51782" s="43"/>
    </row>
    <row r="51783" spans="2:2" ht="12.75" customHeight="1" x14ac:dyDescent="0.2">
      <c r="B51783" s="43"/>
    </row>
    <row r="51784" spans="2:2" ht="12.75" customHeight="1" x14ac:dyDescent="0.2">
      <c r="B51784" s="43"/>
    </row>
    <row r="51785" spans="2:2" ht="12.75" customHeight="1" x14ac:dyDescent="0.2">
      <c r="B51785" s="43"/>
    </row>
    <row r="51786" spans="2:2" ht="12.75" customHeight="1" x14ac:dyDescent="0.2">
      <c r="B51786" s="43"/>
    </row>
    <row r="51787" spans="2:2" ht="12.75" customHeight="1" x14ac:dyDescent="0.2">
      <c r="B51787" s="43"/>
    </row>
    <row r="51788" spans="2:2" ht="12.75" customHeight="1" x14ac:dyDescent="0.2">
      <c r="B51788" s="43"/>
    </row>
    <row r="51789" spans="2:2" ht="12.75" customHeight="1" x14ac:dyDescent="0.2">
      <c r="B51789" s="43"/>
    </row>
    <row r="51790" spans="2:2" ht="12.75" customHeight="1" x14ac:dyDescent="0.2">
      <c r="B51790" s="43"/>
    </row>
    <row r="51791" spans="2:2" ht="12.75" customHeight="1" x14ac:dyDescent="0.2">
      <c r="B51791" s="43"/>
    </row>
    <row r="51792" spans="2:2" ht="12.75" customHeight="1" x14ac:dyDescent="0.2">
      <c r="B51792" s="43"/>
    </row>
    <row r="51793" spans="2:2" ht="12.75" customHeight="1" x14ac:dyDescent="0.2">
      <c r="B51793" s="43"/>
    </row>
    <row r="51794" spans="2:2" ht="12.75" customHeight="1" x14ac:dyDescent="0.2">
      <c r="B51794" s="43"/>
    </row>
    <row r="51795" spans="2:2" ht="12.75" customHeight="1" x14ac:dyDescent="0.2">
      <c r="B51795" s="43"/>
    </row>
    <row r="51796" spans="2:2" ht="12.75" customHeight="1" x14ac:dyDescent="0.2">
      <c r="B51796" s="43"/>
    </row>
    <row r="51797" spans="2:2" ht="12.75" customHeight="1" x14ac:dyDescent="0.2">
      <c r="B51797" s="43"/>
    </row>
    <row r="51798" spans="2:2" ht="12.75" customHeight="1" x14ac:dyDescent="0.2">
      <c r="B51798" s="43"/>
    </row>
    <row r="51799" spans="2:2" ht="12.75" customHeight="1" x14ac:dyDescent="0.2">
      <c r="B51799" s="43"/>
    </row>
    <row r="51800" spans="2:2" ht="12.75" customHeight="1" x14ac:dyDescent="0.2">
      <c r="B51800" s="43"/>
    </row>
    <row r="51801" spans="2:2" ht="12.75" customHeight="1" x14ac:dyDescent="0.2">
      <c r="B51801" s="43"/>
    </row>
    <row r="51802" spans="2:2" ht="12.75" customHeight="1" x14ac:dyDescent="0.2">
      <c r="B51802" s="43"/>
    </row>
    <row r="51803" spans="2:2" ht="12.75" customHeight="1" x14ac:dyDescent="0.2">
      <c r="B51803" s="43"/>
    </row>
    <row r="51804" spans="2:2" ht="12.75" customHeight="1" x14ac:dyDescent="0.2">
      <c r="B51804" s="43"/>
    </row>
    <row r="51805" spans="2:2" ht="12.75" customHeight="1" x14ac:dyDescent="0.2">
      <c r="B51805" s="43"/>
    </row>
    <row r="51806" spans="2:2" ht="12.75" customHeight="1" x14ac:dyDescent="0.2">
      <c r="B51806" s="43"/>
    </row>
    <row r="51807" spans="2:2" ht="12.75" customHeight="1" x14ac:dyDescent="0.2">
      <c r="B51807" s="43"/>
    </row>
    <row r="51808" spans="2:2" ht="12.75" customHeight="1" x14ac:dyDescent="0.2">
      <c r="B51808" s="43"/>
    </row>
    <row r="51809" spans="2:2" ht="12.75" customHeight="1" x14ac:dyDescent="0.2">
      <c r="B51809" s="43"/>
    </row>
    <row r="51810" spans="2:2" ht="12.75" customHeight="1" x14ac:dyDescent="0.2">
      <c r="B51810" s="43"/>
    </row>
    <row r="51811" spans="2:2" ht="12.75" customHeight="1" x14ac:dyDescent="0.2">
      <c r="B51811" s="43"/>
    </row>
    <row r="51812" spans="2:2" ht="12.75" customHeight="1" x14ac:dyDescent="0.2">
      <c r="B51812" s="43"/>
    </row>
    <row r="51813" spans="2:2" ht="12.75" customHeight="1" x14ac:dyDescent="0.2">
      <c r="B51813" s="43"/>
    </row>
    <row r="51814" spans="2:2" ht="12.75" customHeight="1" x14ac:dyDescent="0.2">
      <c r="B51814" s="43"/>
    </row>
    <row r="51815" spans="2:2" ht="12.75" customHeight="1" x14ac:dyDescent="0.2">
      <c r="B51815" s="43"/>
    </row>
    <row r="51816" spans="2:2" ht="12.75" customHeight="1" x14ac:dyDescent="0.2">
      <c r="B51816" s="43"/>
    </row>
    <row r="51817" spans="2:2" ht="12.75" customHeight="1" x14ac:dyDescent="0.2">
      <c r="B51817" s="43"/>
    </row>
    <row r="51818" spans="2:2" ht="12.75" customHeight="1" x14ac:dyDescent="0.2">
      <c r="B51818" s="43"/>
    </row>
    <row r="51819" spans="2:2" ht="12.75" customHeight="1" x14ac:dyDescent="0.2">
      <c r="B51819" s="43"/>
    </row>
    <row r="51820" spans="2:2" ht="12.75" customHeight="1" x14ac:dyDescent="0.2">
      <c r="B51820" s="43"/>
    </row>
    <row r="51821" spans="2:2" ht="12.75" customHeight="1" x14ac:dyDescent="0.2">
      <c r="B51821" s="43"/>
    </row>
    <row r="51822" spans="2:2" ht="12.75" customHeight="1" x14ac:dyDescent="0.2">
      <c r="B51822" s="43"/>
    </row>
    <row r="51823" spans="2:2" ht="12.75" customHeight="1" x14ac:dyDescent="0.2">
      <c r="B51823" s="43"/>
    </row>
    <row r="51824" spans="2:2" ht="12.75" customHeight="1" x14ac:dyDescent="0.2">
      <c r="B51824" s="43"/>
    </row>
    <row r="51825" spans="2:2" ht="12.75" customHeight="1" x14ac:dyDescent="0.2">
      <c r="B51825" s="43"/>
    </row>
    <row r="51826" spans="2:2" ht="12.75" customHeight="1" x14ac:dyDescent="0.2">
      <c r="B51826" s="43"/>
    </row>
    <row r="51827" spans="2:2" ht="12.75" customHeight="1" x14ac:dyDescent="0.2">
      <c r="B51827" s="43"/>
    </row>
    <row r="51828" spans="2:2" ht="12.75" customHeight="1" x14ac:dyDescent="0.2">
      <c r="B51828" s="43"/>
    </row>
    <row r="51829" spans="2:2" ht="12.75" customHeight="1" x14ac:dyDescent="0.2">
      <c r="B51829" s="43"/>
    </row>
    <row r="51830" spans="2:2" ht="12.75" customHeight="1" x14ac:dyDescent="0.2">
      <c r="B51830" s="43"/>
    </row>
    <row r="51831" spans="2:2" ht="12.75" customHeight="1" x14ac:dyDescent="0.2">
      <c r="B51831" s="43"/>
    </row>
    <row r="51832" spans="2:2" ht="12.75" customHeight="1" x14ac:dyDescent="0.2">
      <c r="B51832" s="43"/>
    </row>
    <row r="51833" spans="2:2" ht="12.75" customHeight="1" x14ac:dyDescent="0.2">
      <c r="B51833" s="43"/>
    </row>
    <row r="51834" spans="2:2" ht="12.75" customHeight="1" x14ac:dyDescent="0.2">
      <c r="B51834" s="43"/>
    </row>
    <row r="51835" spans="2:2" ht="12.75" customHeight="1" x14ac:dyDescent="0.2">
      <c r="B51835" s="43"/>
    </row>
    <row r="51836" spans="2:2" ht="12.75" customHeight="1" x14ac:dyDescent="0.2">
      <c r="B51836" s="43"/>
    </row>
    <row r="51837" spans="2:2" ht="12.75" customHeight="1" x14ac:dyDescent="0.2">
      <c r="B51837" s="43"/>
    </row>
    <row r="51838" spans="2:2" ht="12.75" customHeight="1" x14ac:dyDescent="0.2">
      <c r="B51838" s="43"/>
    </row>
    <row r="51839" spans="2:2" ht="12.75" customHeight="1" x14ac:dyDescent="0.2">
      <c r="B51839" s="43"/>
    </row>
    <row r="51840" spans="2:2" ht="12.75" customHeight="1" x14ac:dyDescent="0.2">
      <c r="B51840" s="43"/>
    </row>
    <row r="51841" spans="2:2" ht="12.75" customHeight="1" x14ac:dyDescent="0.2">
      <c r="B51841" s="43"/>
    </row>
    <row r="51842" spans="2:2" ht="12.75" customHeight="1" x14ac:dyDescent="0.2">
      <c r="B51842" s="43"/>
    </row>
    <row r="51843" spans="2:2" ht="12.75" customHeight="1" x14ac:dyDescent="0.2">
      <c r="B51843" s="43"/>
    </row>
    <row r="51844" spans="2:2" ht="12.75" customHeight="1" x14ac:dyDescent="0.2">
      <c r="B51844" s="43"/>
    </row>
    <row r="51845" spans="2:2" ht="12.75" customHeight="1" x14ac:dyDescent="0.2">
      <c r="B51845" s="43"/>
    </row>
    <row r="51846" spans="2:2" ht="12.75" customHeight="1" x14ac:dyDescent="0.2">
      <c r="B51846" s="43"/>
    </row>
    <row r="51847" spans="2:2" ht="12.75" customHeight="1" x14ac:dyDescent="0.2">
      <c r="B51847" s="43"/>
    </row>
    <row r="51848" spans="2:2" ht="12.75" customHeight="1" x14ac:dyDescent="0.2">
      <c r="B51848" s="43"/>
    </row>
    <row r="51849" spans="2:2" ht="12.75" customHeight="1" x14ac:dyDescent="0.2">
      <c r="B51849" s="43"/>
    </row>
    <row r="51850" spans="2:2" ht="12.75" customHeight="1" x14ac:dyDescent="0.2">
      <c r="B51850" s="43"/>
    </row>
    <row r="51851" spans="2:2" ht="12.75" customHeight="1" x14ac:dyDescent="0.2">
      <c r="B51851" s="43"/>
    </row>
    <row r="51852" spans="2:2" ht="12.75" customHeight="1" x14ac:dyDescent="0.2">
      <c r="B51852" s="43"/>
    </row>
    <row r="51853" spans="2:2" ht="12.75" customHeight="1" x14ac:dyDescent="0.2">
      <c r="B51853" s="43"/>
    </row>
    <row r="51854" spans="2:2" ht="12.75" customHeight="1" x14ac:dyDescent="0.2">
      <c r="B51854" s="43"/>
    </row>
    <row r="51855" spans="2:2" ht="12.75" customHeight="1" x14ac:dyDescent="0.2">
      <c r="B51855" s="43"/>
    </row>
    <row r="51856" spans="2:2" ht="12.75" customHeight="1" x14ac:dyDescent="0.2">
      <c r="B51856" s="43"/>
    </row>
    <row r="51857" spans="2:2" ht="12.75" customHeight="1" x14ac:dyDescent="0.2">
      <c r="B51857" s="43"/>
    </row>
    <row r="51858" spans="2:2" ht="12.75" customHeight="1" x14ac:dyDescent="0.2">
      <c r="B51858" s="43"/>
    </row>
    <row r="51859" spans="2:2" ht="12.75" customHeight="1" x14ac:dyDescent="0.2">
      <c r="B51859" s="43"/>
    </row>
    <row r="51860" spans="2:2" ht="12.75" customHeight="1" x14ac:dyDescent="0.2">
      <c r="B51860" s="43"/>
    </row>
    <row r="51861" spans="2:2" ht="12.75" customHeight="1" x14ac:dyDescent="0.2">
      <c r="B51861" s="43"/>
    </row>
    <row r="51862" spans="2:2" ht="12.75" customHeight="1" x14ac:dyDescent="0.2">
      <c r="B51862" s="43"/>
    </row>
    <row r="51863" spans="2:2" ht="12.75" customHeight="1" x14ac:dyDescent="0.2">
      <c r="B51863" s="43"/>
    </row>
    <row r="51864" spans="2:2" ht="12.75" customHeight="1" x14ac:dyDescent="0.2">
      <c r="B51864" s="43"/>
    </row>
    <row r="51865" spans="2:2" ht="12.75" customHeight="1" x14ac:dyDescent="0.2">
      <c r="B51865" s="43"/>
    </row>
    <row r="51866" spans="2:2" ht="12.75" customHeight="1" x14ac:dyDescent="0.2">
      <c r="B51866" s="43"/>
    </row>
    <row r="51867" spans="2:2" ht="12.75" customHeight="1" x14ac:dyDescent="0.2">
      <c r="B51867" s="43"/>
    </row>
    <row r="51868" spans="2:2" ht="12.75" customHeight="1" x14ac:dyDescent="0.2">
      <c r="B51868" s="43"/>
    </row>
    <row r="51869" spans="2:2" ht="12.75" customHeight="1" x14ac:dyDescent="0.2">
      <c r="B51869" s="43"/>
    </row>
    <row r="51870" spans="2:2" ht="12.75" customHeight="1" x14ac:dyDescent="0.2">
      <c r="B51870" s="43"/>
    </row>
    <row r="51871" spans="2:2" ht="12.75" customHeight="1" x14ac:dyDescent="0.2">
      <c r="B51871" s="43"/>
    </row>
    <row r="51872" spans="2:2" ht="12.75" customHeight="1" x14ac:dyDescent="0.2">
      <c r="B51872" s="43"/>
    </row>
    <row r="51873" spans="2:2" ht="12.75" customHeight="1" x14ac:dyDescent="0.2">
      <c r="B51873" s="43"/>
    </row>
    <row r="51874" spans="2:2" ht="12.75" customHeight="1" x14ac:dyDescent="0.2">
      <c r="B51874" s="43"/>
    </row>
    <row r="51875" spans="2:2" ht="12.75" customHeight="1" x14ac:dyDescent="0.2">
      <c r="B51875" s="43"/>
    </row>
    <row r="51876" spans="2:2" ht="12.75" customHeight="1" x14ac:dyDescent="0.2">
      <c r="B51876" s="43"/>
    </row>
    <row r="51877" spans="2:2" ht="12.75" customHeight="1" x14ac:dyDescent="0.2">
      <c r="B51877" s="43"/>
    </row>
    <row r="51878" spans="2:2" ht="12.75" customHeight="1" x14ac:dyDescent="0.2">
      <c r="B51878" s="43"/>
    </row>
    <row r="51879" spans="2:2" ht="12.75" customHeight="1" x14ac:dyDescent="0.2">
      <c r="B51879" s="43"/>
    </row>
    <row r="51880" spans="2:2" ht="12.75" customHeight="1" x14ac:dyDescent="0.2">
      <c r="B51880" s="43"/>
    </row>
    <row r="51881" spans="2:2" ht="12.75" customHeight="1" x14ac:dyDescent="0.2">
      <c r="B51881" s="43"/>
    </row>
    <row r="51882" spans="2:2" ht="12.75" customHeight="1" x14ac:dyDescent="0.2">
      <c r="B51882" s="43"/>
    </row>
    <row r="51883" spans="2:2" ht="12.75" customHeight="1" x14ac:dyDescent="0.2">
      <c r="B51883" s="43"/>
    </row>
    <row r="51884" spans="2:2" ht="12.75" customHeight="1" x14ac:dyDescent="0.2">
      <c r="B51884" s="43"/>
    </row>
    <row r="51885" spans="2:2" ht="12.75" customHeight="1" x14ac:dyDescent="0.2">
      <c r="B51885" s="43"/>
    </row>
    <row r="51886" spans="2:2" ht="12.75" customHeight="1" x14ac:dyDescent="0.2">
      <c r="B51886" s="43"/>
    </row>
    <row r="51887" spans="2:2" ht="12.75" customHeight="1" x14ac:dyDescent="0.2">
      <c r="B51887" s="43"/>
    </row>
    <row r="51888" spans="2:2" ht="12.75" customHeight="1" x14ac:dyDescent="0.2">
      <c r="B51888" s="43"/>
    </row>
    <row r="51889" spans="2:2" ht="12.75" customHeight="1" x14ac:dyDescent="0.2">
      <c r="B51889" s="43"/>
    </row>
    <row r="51890" spans="2:2" ht="12.75" customHeight="1" x14ac:dyDescent="0.2">
      <c r="B51890" s="43"/>
    </row>
    <row r="51891" spans="2:2" ht="12.75" customHeight="1" x14ac:dyDescent="0.2">
      <c r="B51891" s="43"/>
    </row>
    <row r="51892" spans="2:2" ht="12.75" customHeight="1" x14ac:dyDescent="0.2">
      <c r="B51892" s="43"/>
    </row>
    <row r="51893" spans="2:2" ht="12.75" customHeight="1" x14ac:dyDescent="0.2">
      <c r="B51893" s="43"/>
    </row>
    <row r="51894" spans="2:2" ht="12.75" customHeight="1" x14ac:dyDescent="0.2">
      <c r="B51894" s="43"/>
    </row>
    <row r="51895" spans="2:2" ht="12.75" customHeight="1" x14ac:dyDescent="0.2">
      <c r="B51895" s="43"/>
    </row>
    <row r="51896" spans="2:2" ht="12.75" customHeight="1" x14ac:dyDescent="0.2">
      <c r="B51896" s="43"/>
    </row>
    <row r="51897" spans="2:2" ht="12.75" customHeight="1" x14ac:dyDescent="0.2">
      <c r="B51897" s="43"/>
    </row>
    <row r="51898" spans="2:2" ht="12.75" customHeight="1" x14ac:dyDescent="0.2">
      <c r="B51898" s="43"/>
    </row>
    <row r="51899" spans="2:2" ht="12.75" customHeight="1" x14ac:dyDescent="0.2">
      <c r="B51899" s="43"/>
    </row>
    <row r="51900" spans="2:2" ht="12.75" customHeight="1" x14ac:dyDescent="0.2">
      <c r="B51900" s="43"/>
    </row>
    <row r="51901" spans="2:2" ht="12.75" customHeight="1" x14ac:dyDescent="0.2">
      <c r="B51901" s="43"/>
    </row>
    <row r="51902" spans="2:2" ht="12.75" customHeight="1" x14ac:dyDescent="0.2">
      <c r="B51902" s="43"/>
    </row>
    <row r="51903" spans="2:2" ht="12.75" customHeight="1" x14ac:dyDescent="0.2">
      <c r="B51903" s="43"/>
    </row>
    <row r="51904" spans="2:2" ht="12.75" customHeight="1" x14ac:dyDescent="0.2">
      <c r="B51904" s="43"/>
    </row>
    <row r="51905" spans="2:2" ht="12.75" customHeight="1" x14ac:dyDescent="0.2">
      <c r="B51905" s="43"/>
    </row>
    <row r="51906" spans="2:2" ht="12.75" customHeight="1" x14ac:dyDescent="0.2">
      <c r="B51906" s="43"/>
    </row>
    <row r="51907" spans="2:2" ht="12.75" customHeight="1" x14ac:dyDescent="0.2">
      <c r="B51907" s="43"/>
    </row>
    <row r="51908" spans="2:2" ht="12.75" customHeight="1" x14ac:dyDescent="0.2">
      <c r="B51908" s="43"/>
    </row>
    <row r="51909" spans="2:2" ht="12.75" customHeight="1" x14ac:dyDescent="0.2">
      <c r="B51909" s="43"/>
    </row>
    <row r="51910" spans="2:2" ht="12.75" customHeight="1" x14ac:dyDescent="0.2">
      <c r="B51910" s="43"/>
    </row>
    <row r="51911" spans="2:2" ht="12.75" customHeight="1" x14ac:dyDescent="0.2">
      <c r="B51911" s="43"/>
    </row>
    <row r="51912" spans="2:2" ht="12.75" customHeight="1" x14ac:dyDescent="0.2">
      <c r="B51912" s="43"/>
    </row>
    <row r="51913" spans="2:2" ht="12.75" customHeight="1" x14ac:dyDescent="0.2">
      <c r="B51913" s="43"/>
    </row>
    <row r="51914" spans="2:2" ht="12.75" customHeight="1" x14ac:dyDescent="0.2">
      <c r="B51914" s="43"/>
    </row>
    <row r="51915" spans="2:2" ht="12.75" customHeight="1" x14ac:dyDescent="0.2">
      <c r="B51915" s="43"/>
    </row>
    <row r="51916" spans="2:2" ht="12.75" customHeight="1" x14ac:dyDescent="0.2">
      <c r="B51916" s="43"/>
    </row>
    <row r="51917" spans="2:2" ht="12.75" customHeight="1" x14ac:dyDescent="0.2">
      <c r="B51917" s="43"/>
    </row>
    <row r="51918" spans="2:2" ht="12.75" customHeight="1" x14ac:dyDescent="0.2">
      <c r="B51918" s="43"/>
    </row>
    <row r="51919" spans="2:2" ht="12.75" customHeight="1" x14ac:dyDescent="0.2">
      <c r="B51919" s="43"/>
    </row>
    <row r="51920" spans="2:2" ht="12.75" customHeight="1" x14ac:dyDescent="0.2">
      <c r="B51920" s="43"/>
    </row>
    <row r="51921" spans="2:2" ht="12.75" customHeight="1" x14ac:dyDescent="0.2">
      <c r="B51921" s="43"/>
    </row>
    <row r="51922" spans="2:2" ht="12.75" customHeight="1" x14ac:dyDescent="0.2">
      <c r="B51922" s="43"/>
    </row>
    <row r="51923" spans="2:2" ht="12.75" customHeight="1" x14ac:dyDescent="0.2">
      <c r="B51923" s="43"/>
    </row>
    <row r="51924" spans="2:2" ht="12.75" customHeight="1" x14ac:dyDescent="0.2">
      <c r="B51924" s="43"/>
    </row>
    <row r="51925" spans="2:2" ht="12.75" customHeight="1" x14ac:dyDescent="0.2">
      <c r="B51925" s="43"/>
    </row>
    <row r="51926" spans="2:2" ht="12.75" customHeight="1" x14ac:dyDescent="0.2">
      <c r="B51926" s="43"/>
    </row>
    <row r="51927" spans="2:2" ht="12.75" customHeight="1" x14ac:dyDescent="0.2">
      <c r="B51927" s="43"/>
    </row>
    <row r="51928" spans="2:2" ht="12.75" customHeight="1" x14ac:dyDescent="0.2">
      <c r="B51928" s="43"/>
    </row>
    <row r="51929" spans="2:2" ht="12.75" customHeight="1" x14ac:dyDescent="0.2">
      <c r="B51929" s="43"/>
    </row>
    <row r="51930" spans="2:2" ht="12.75" customHeight="1" x14ac:dyDescent="0.2">
      <c r="B51930" s="43"/>
    </row>
    <row r="51931" spans="2:2" ht="12.75" customHeight="1" x14ac:dyDescent="0.2">
      <c r="B51931" s="43"/>
    </row>
    <row r="51932" spans="2:2" ht="12.75" customHeight="1" x14ac:dyDescent="0.2">
      <c r="B51932" s="43"/>
    </row>
    <row r="51933" spans="2:2" ht="12.75" customHeight="1" x14ac:dyDescent="0.2">
      <c r="B51933" s="43"/>
    </row>
    <row r="51934" spans="2:2" ht="12.75" customHeight="1" x14ac:dyDescent="0.2">
      <c r="B51934" s="43"/>
    </row>
    <row r="51935" spans="2:2" ht="12.75" customHeight="1" x14ac:dyDescent="0.2">
      <c r="B51935" s="43"/>
    </row>
    <row r="51936" spans="2:2" ht="12.75" customHeight="1" x14ac:dyDescent="0.2">
      <c r="B51936" s="43"/>
    </row>
    <row r="51937" spans="2:2" ht="12.75" customHeight="1" x14ac:dyDescent="0.2">
      <c r="B51937" s="43"/>
    </row>
    <row r="51938" spans="2:2" ht="12.75" customHeight="1" x14ac:dyDescent="0.2">
      <c r="B51938" s="43"/>
    </row>
    <row r="51939" spans="2:2" ht="12.75" customHeight="1" x14ac:dyDescent="0.2">
      <c r="B51939" s="43"/>
    </row>
    <row r="51940" spans="2:2" ht="12.75" customHeight="1" x14ac:dyDescent="0.2">
      <c r="B51940" s="43"/>
    </row>
    <row r="51941" spans="2:2" ht="12.75" customHeight="1" x14ac:dyDescent="0.2">
      <c r="B51941" s="43"/>
    </row>
    <row r="51942" spans="2:2" ht="12.75" customHeight="1" x14ac:dyDescent="0.2">
      <c r="B51942" s="43"/>
    </row>
    <row r="51943" spans="2:2" ht="12.75" customHeight="1" x14ac:dyDescent="0.2">
      <c r="B51943" s="43"/>
    </row>
    <row r="51944" spans="2:2" ht="12.75" customHeight="1" x14ac:dyDescent="0.2">
      <c r="B51944" s="43"/>
    </row>
    <row r="51945" spans="2:2" ht="12.75" customHeight="1" x14ac:dyDescent="0.2">
      <c r="B51945" s="43"/>
    </row>
    <row r="51946" spans="2:2" ht="12.75" customHeight="1" x14ac:dyDescent="0.2">
      <c r="B51946" s="43"/>
    </row>
    <row r="51947" spans="2:2" ht="12.75" customHeight="1" x14ac:dyDescent="0.2">
      <c r="B51947" s="43"/>
    </row>
    <row r="51948" spans="2:2" ht="12.75" customHeight="1" x14ac:dyDescent="0.2">
      <c r="B51948" s="43"/>
    </row>
    <row r="51949" spans="2:2" ht="12.75" customHeight="1" x14ac:dyDescent="0.2">
      <c r="B51949" s="43"/>
    </row>
    <row r="51950" spans="2:2" ht="12.75" customHeight="1" x14ac:dyDescent="0.2">
      <c r="B51950" s="43"/>
    </row>
    <row r="51951" spans="2:2" ht="12.75" customHeight="1" x14ac:dyDescent="0.2">
      <c r="B51951" s="43"/>
    </row>
    <row r="51952" spans="2:2" ht="12.75" customHeight="1" x14ac:dyDescent="0.2">
      <c r="B51952" s="43"/>
    </row>
    <row r="51953" spans="2:2" ht="12.75" customHeight="1" x14ac:dyDescent="0.2">
      <c r="B51953" s="43"/>
    </row>
    <row r="51954" spans="2:2" ht="12.75" customHeight="1" x14ac:dyDescent="0.2">
      <c r="B51954" s="43"/>
    </row>
    <row r="51955" spans="2:2" ht="12.75" customHeight="1" x14ac:dyDescent="0.2">
      <c r="B51955" s="43"/>
    </row>
    <row r="51956" spans="2:2" ht="12.75" customHeight="1" x14ac:dyDescent="0.2">
      <c r="B51956" s="43"/>
    </row>
    <row r="51957" spans="2:2" ht="12.75" customHeight="1" x14ac:dyDescent="0.2">
      <c r="B51957" s="43"/>
    </row>
    <row r="51958" spans="2:2" ht="12.75" customHeight="1" x14ac:dyDescent="0.2">
      <c r="B51958" s="43"/>
    </row>
    <row r="51959" spans="2:2" ht="12.75" customHeight="1" x14ac:dyDescent="0.2">
      <c r="B51959" s="43"/>
    </row>
    <row r="51960" spans="2:2" ht="12.75" customHeight="1" x14ac:dyDescent="0.2">
      <c r="B51960" s="43"/>
    </row>
    <row r="51961" spans="2:2" ht="12.75" customHeight="1" x14ac:dyDescent="0.2">
      <c r="B51961" s="43"/>
    </row>
    <row r="51962" spans="2:2" ht="12.75" customHeight="1" x14ac:dyDescent="0.2">
      <c r="B51962" s="43"/>
    </row>
    <row r="51963" spans="2:2" ht="12.75" customHeight="1" x14ac:dyDescent="0.2">
      <c r="B51963" s="43"/>
    </row>
    <row r="51964" spans="2:2" ht="12.75" customHeight="1" x14ac:dyDescent="0.2">
      <c r="B51964" s="43"/>
    </row>
    <row r="51965" spans="2:2" ht="12.75" customHeight="1" x14ac:dyDescent="0.2">
      <c r="B51965" s="43"/>
    </row>
    <row r="51966" spans="2:2" ht="12.75" customHeight="1" x14ac:dyDescent="0.2">
      <c r="B51966" s="43"/>
    </row>
    <row r="51967" spans="2:2" ht="12.75" customHeight="1" x14ac:dyDescent="0.2">
      <c r="B51967" s="43"/>
    </row>
    <row r="51968" spans="2:2" ht="12.75" customHeight="1" x14ac:dyDescent="0.2">
      <c r="B51968" s="43"/>
    </row>
    <row r="51969" spans="2:2" ht="12.75" customHeight="1" x14ac:dyDescent="0.2">
      <c r="B51969" s="43"/>
    </row>
    <row r="51970" spans="2:2" ht="12.75" customHeight="1" x14ac:dyDescent="0.2">
      <c r="B51970" s="43"/>
    </row>
    <row r="51971" spans="2:2" ht="12.75" customHeight="1" x14ac:dyDescent="0.2">
      <c r="B51971" s="43"/>
    </row>
    <row r="51972" spans="2:2" ht="12.75" customHeight="1" x14ac:dyDescent="0.2">
      <c r="B51972" s="43"/>
    </row>
    <row r="51973" spans="2:2" ht="12.75" customHeight="1" x14ac:dyDescent="0.2">
      <c r="B51973" s="43"/>
    </row>
    <row r="51974" spans="2:2" ht="12.75" customHeight="1" x14ac:dyDescent="0.2">
      <c r="B51974" s="43"/>
    </row>
    <row r="51975" spans="2:2" ht="12.75" customHeight="1" x14ac:dyDescent="0.2">
      <c r="B51975" s="43"/>
    </row>
    <row r="51976" spans="2:2" ht="12.75" customHeight="1" x14ac:dyDescent="0.2">
      <c r="B51976" s="43"/>
    </row>
    <row r="51977" spans="2:2" ht="12.75" customHeight="1" x14ac:dyDescent="0.2">
      <c r="B51977" s="43"/>
    </row>
    <row r="51978" spans="2:2" ht="12.75" customHeight="1" x14ac:dyDescent="0.2">
      <c r="B51978" s="43"/>
    </row>
    <row r="51979" spans="2:2" ht="12.75" customHeight="1" x14ac:dyDescent="0.2">
      <c r="B51979" s="43"/>
    </row>
    <row r="51980" spans="2:2" ht="12.75" customHeight="1" x14ac:dyDescent="0.2">
      <c r="B51980" s="43"/>
    </row>
    <row r="51981" spans="2:2" ht="12.75" customHeight="1" x14ac:dyDescent="0.2">
      <c r="B51981" s="43"/>
    </row>
    <row r="51982" spans="2:2" ht="12.75" customHeight="1" x14ac:dyDescent="0.2">
      <c r="B51982" s="43"/>
    </row>
    <row r="51983" spans="2:2" ht="12.75" customHeight="1" x14ac:dyDescent="0.2">
      <c r="B51983" s="43"/>
    </row>
    <row r="51984" spans="2:2" ht="12.75" customHeight="1" x14ac:dyDescent="0.2">
      <c r="B51984" s="43"/>
    </row>
    <row r="51985" spans="2:2" ht="12.75" customHeight="1" x14ac:dyDescent="0.2">
      <c r="B51985" s="43"/>
    </row>
    <row r="51986" spans="2:2" ht="12.75" customHeight="1" x14ac:dyDescent="0.2">
      <c r="B51986" s="43"/>
    </row>
    <row r="51987" spans="2:2" ht="12.75" customHeight="1" x14ac:dyDescent="0.2">
      <c r="B51987" s="43"/>
    </row>
    <row r="51988" spans="2:2" ht="12.75" customHeight="1" x14ac:dyDescent="0.2">
      <c r="B51988" s="43"/>
    </row>
    <row r="51989" spans="2:2" ht="12.75" customHeight="1" x14ac:dyDescent="0.2">
      <c r="B51989" s="43"/>
    </row>
    <row r="51990" spans="2:2" ht="12.75" customHeight="1" x14ac:dyDescent="0.2">
      <c r="B51990" s="43"/>
    </row>
    <row r="51991" spans="2:2" ht="12.75" customHeight="1" x14ac:dyDescent="0.2">
      <c r="B51991" s="43"/>
    </row>
    <row r="51992" spans="2:2" ht="12.75" customHeight="1" x14ac:dyDescent="0.2">
      <c r="B51992" s="43"/>
    </row>
    <row r="51993" spans="2:2" ht="12.75" customHeight="1" x14ac:dyDescent="0.2">
      <c r="B51993" s="43"/>
    </row>
    <row r="51994" spans="2:2" ht="12.75" customHeight="1" x14ac:dyDescent="0.2">
      <c r="B51994" s="43"/>
    </row>
    <row r="51995" spans="2:2" ht="12.75" customHeight="1" x14ac:dyDescent="0.2">
      <c r="B51995" s="43"/>
    </row>
    <row r="51996" spans="2:2" ht="12.75" customHeight="1" x14ac:dyDescent="0.2">
      <c r="B51996" s="43"/>
    </row>
    <row r="51997" spans="2:2" ht="12.75" customHeight="1" x14ac:dyDescent="0.2">
      <c r="B51997" s="43"/>
    </row>
    <row r="51998" spans="2:2" ht="12.75" customHeight="1" x14ac:dyDescent="0.2">
      <c r="B51998" s="43"/>
    </row>
    <row r="51999" spans="2:2" ht="12.75" customHeight="1" x14ac:dyDescent="0.2">
      <c r="B51999" s="43"/>
    </row>
    <row r="52000" spans="2:2" ht="12.75" customHeight="1" x14ac:dyDescent="0.2">
      <c r="B52000" s="43"/>
    </row>
    <row r="52001" spans="2:2" ht="12.75" customHeight="1" x14ac:dyDescent="0.2">
      <c r="B52001" s="43"/>
    </row>
    <row r="52002" spans="2:2" ht="12.75" customHeight="1" x14ac:dyDescent="0.2">
      <c r="B52002" s="43"/>
    </row>
    <row r="52003" spans="2:2" ht="12.75" customHeight="1" x14ac:dyDescent="0.2">
      <c r="B52003" s="43"/>
    </row>
    <row r="52004" spans="2:2" ht="12.75" customHeight="1" x14ac:dyDescent="0.2">
      <c r="B52004" s="43"/>
    </row>
    <row r="52005" spans="2:2" ht="12.75" customHeight="1" x14ac:dyDescent="0.2">
      <c r="B52005" s="43"/>
    </row>
    <row r="52006" spans="2:2" ht="12.75" customHeight="1" x14ac:dyDescent="0.2">
      <c r="B52006" s="43"/>
    </row>
    <row r="52007" spans="2:2" ht="12.75" customHeight="1" x14ac:dyDescent="0.2">
      <c r="B52007" s="43"/>
    </row>
    <row r="52008" spans="2:2" ht="12.75" customHeight="1" x14ac:dyDescent="0.2">
      <c r="B52008" s="43"/>
    </row>
    <row r="52009" spans="2:2" ht="12.75" customHeight="1" x14ac:dyDescent="0.2">
      <c r="B52009" s="43"/>
    </row>
    <row r="52010" spans="2:2" ht="12.75" customHeight="1" x14ac:dyDescent="0.2">
      <c r="B52010" s="43"/>
    </row>
    <row r="52011" spans="2:2" ht="12.75" customHeight="1" x14ac:dyDescent="0.2">
      <c r="B52011" s="43"/>
    </row>
    <row r="52012" spans="2:2" ht="12.75" customHeight="1" x14ac:dyDescent="0.2">
      <c r="B52012" s="43"/>
    </row>
    <row r="52013" spans="2:2" ht="12.75" customHeight="1" x14ac:dyDescent="0.2">
      <c r="B52013" s="43"/>
    </row>
    <row r="52014" spans="2:2" ht="12.75" customHeight="1" x14ac:dyDescent="0.2">
      <c r="B52014" s="43"/>
    </row>
    <row r="52015" spans="2:2" ht="12.75" customHeight="1" x14ac:dyDescent="0.2">
      <c r="B52015" s="43"/>
    </row>
    <row r="52016" spans="2:2" ht="12.75" customHeight="1" x14ac:dyDescent="0.2">
      <c r="B52016" s="43"/>
    </row>
    <row r="52017" spans="2:2" ht="12.75" customHeight="1" x14ac:dyDescent="0.2">
      <c r="B52017" s="43"/>
    </row>
    <row r="52018" spans="2:2" ht="12.75" customHeight="1" x14ac:dyDescent="0.2">
      <c r="B52018" s="43"/>
    </row>
    <row r="52019" spans="2:2" ht="12.75" customHeight="1" x14ac:dyDescent="0.2">
      <c r="B52019" s="43"/>
    </row>
    <row r="52020" spans="2:2" ht="12.75" customHeight="1" x14ac:dyDescent="0.2">
      <c r="B52020" s="43"/>
    </row>
    <row r="52021" spans="2:2" ht="12.75" customHeight="1" x14ac:dyDescent="0.2">
      <c r="B52021" s="43"/>
    </row>
    <row r="52022" spans="2:2" ht="12.75" customHeight="1" x14ac:dyDescent="0.2">
      <c r="B52022" s="43"/>
    </row>
    <row r="52023" spans="2:2" ht="12.75" customHeight="1" x14ac:dyDescent="0.2">
      <c r="B52023" s="43"/>
    </row>
    <row r="52024" spans="2:2" ht="12.75" customHeight="1" x14ac:dyDescent="0.2">
      <c r="B52024" s="43"/>
    </row>
    <row r="52025" spans="2:2" ht="12.75" customHeight="1" x14ac:dyDescent="0.2">
      <c r="B52025" s="43"/>
    </row>
    <row r="52026" spans="2:2" ht="12.75" customHeight="1" x14ac:dyDescent="0.2">
      <c r="B52026" s="43"/>
    </row>
    <row r="52027" spans="2:2" ht="12.75" customHeight="1" x14ac:dyDescent="0.2">
      <c r="B52027" s="43"/>
    </row>
    <row r="52028" spans="2:2" ht="12.75" customHeight="1" x14ac:dyDescent="0.2">
      <c r="B52028" s="43"/>
    </row>
    <row r="52029" spans="2:2" ht="12.75" customHeight="1" x14ac:dyDescent="0.2">
      <c r="B52029" s="43"/>
    </row>
    <row r="52030" spans="2:2" ht="12.75" customHeight="1" x14ac:dyDescent="0.2">
      <c r="B52030" s="43"/>
    </row>
    <row r="52031" spans="2:2" ht="12.75" customHeight="1" x14ac:dyDescent="0.2">
      <c r="B52031" s="43"/>
    </row>
    <row r="52032" spans="2:2" ht="12.75" customHeight="1" x14ac:dyDescent="0.2">
      <c r="B52032" s="43"/>
    </row>
    <row r="52033" spans="2:2" ht="12.75" customHeight="1" x14ac:dyDescent="0.2">
      <c r="B52033" s="43"/>
    </row>
    <row r="52034" spans="2:2" ht="12.75" customHeight="1" x14ac:dyDescent="0.2">
      <c r="B52034" s="43"/>
    </row>
    <row r="52035" spans="2:2" ht="12.75" customHeight="1" x14ac:dyDescent="0.2">
      <c r="B52035" s="43"/>
    </row>
    <row r="52036" spans="2:2" ht="12.75" customHeight="1" x14ac:dyDescent="0.2">
      <c r="B52036" s="43"/>
    </row>
    <row r="52037" spans="2:2" ht="12.75" customHeight="1" x14ac:dyDescent="0.2">
      <c r="B52037" s="43"/>
    </row>
    <row r="52038" spans="2:2" ht="12.75" customHeight="1" x14ac:dyDescent="0.2">
      <c r="B52038" s="43"/>
    </row>
    <row r="52039" spans="2:2" ht="12.75" customHeight="1" x14ac:dyDescent="0.2">
      <c r="B52039" s="43"/>
    </row>
    <row r="52040" spans="2:2" ht="12.75" customHeight="1" x14ac:dyDescent="0.2">
      <c r="B52040" s="43"/>
    </row>
    <row r="52041" spans="2:2" ht="12.75" customHeight="1" x14ac:dyDescent="0.2">
      <c r="B52041" s="43"/>
    </row>
    <row r="52042" spans="2:2" ht="12.75" customHeight="1" x14ac:dyDescent="0.2">
      <c r="B52042" s="43"/>
    </row>
    <row r="52043" spans="2:2" ht="12.75" customHeight="1" x14ac:dyDescent="0.2">
      <c r="B52043" s="43"/>
    </row>
    <row r="52044" spans="2:2" ht="12.75" customHeight="1" x14ac:dyDescent="0.2">
      <c r="B52044" s="43"/>
    </row>
    <row r="52045" spans="2:2" ht="12.75" customHeight="1" x14ac:dyDescent="0.2">
      <c r="B52045" s="43"/>
    </row>
    <row r="52046" spans="2:2" ht="12.75" customHeight="1" x14ac:dyDescent="0.2">
      <c r="B52046" s="43"/>
    </row>
    <row r="52047" spans="2:2" ht="12.75" customHeight="1" x14ac:dyDescent="0.2">
      <c r="B52047" s="43"/>
    </row>
    <row r="52048" spans="2:2" ht="12.75" customHeight="1" x14ac:dyDescent="0.2">
      <c r="B52048" s="43"/>
    </row>
    <row r="52049" spans="2:2" ht="12.75" customHeight="1" x14ac:dyDescent="0.2">
      <c r="B52049" s="43"/>
    </row>
    <row r="52050" spans="2:2" ht="12.75" customHeight="1" x14ac:dyDescent="0.2">
      <c r="B52050" s="43"/>
    </row>
    <row r="52051" spans="2:2" ht="12.75" customHeight="1" x14ac:dyDescent="0.2">
      <c r="B52051" s="43"/>
    </row>
    <row r="52052" spans="2:2" ht="12.75" customHeight="1" x14ac:dyDescent="0.2">
      <c r="B52052" s="43"/>
    </row>
    <row r="52053" spans="2:2" ht="12.75" customHeight="1" x14ac:dyDescent="0.2">
      <c r="B52053" s="43"/>
    </row>
    <row r="52054" spans="2:2" ht="12.75" customHeight="1" x14ac:dyDescent="0.2">
      <c r="B52054" s="43"/>
    </row>
    <row r="52055" spans="2:2" ht="12.75" customHeight="1" x14ac:dyDescent="0.2">
      <c r="B52055" s="43"/>
    </row>
    <row r="52056" spans="2:2" ht="12.75" customHeight="1" x14ac:dyDescent="0.2">
      <c r="B52056" s="43"/>
    </row>
    <row r="52057" spans="2:2" ht="12.75" customHeight="1" x14ac:dyDescent="0.2">
      <c r="B52057" s="43"/>
    </row>
    <row r="52058" spans="2:2" ht="12.75" customHeight="1" x14ac:dyDescent="0.2">
      <c r="B52058" s="43"/>
    </row>
    <row r="52059" spans="2:2" ht="12.75" customHeight="1" x14ac:dyDescent="0.2">
      <c r="B52059" s="43"/>
    </row>
    <row r="52060" spans="2:2" ht="12.75" customHeight="1" x14ac:dyDescent="0.2">
      <c r="B52060" s="43"/>
    </row>
    <row r="52061" spans="2:2" ht="12.75" customHeight="1" x14ac:dyDescent="0.2">
      <c r="B52061" s="43"/>
    </row>
    <row r="52062" spans="2:2" ht="12.75" customHeight="1" x14ac:dyDescent="0.2">
      <c r="B52062" s="43"/>
    </row>
    <row r="52063" spans="2:2" ht="12.75" customHeight="1" x14ac:dyDescent="0.2">
      <c r="B52063" s="43"/>
    </row>
    <row r="52064" spans="2:2" ht="12.75" customHeight="1" x14ac:dyDescent="0.2">
      <c r="B52064" s="43"/>
    </row>
    <row r="52065" spans="2:2" ht="12.75" customHeight="1" x14ac:dyDescent="0.2">
      <c r="B52065" s="43"/>
    </row>
    <row r="52066" spans="2:2" ht="12.75" customHeight="1" x14ac:dyDescent="0.2">
      <c r="B52066" s="43"/>
    </row>
    <row r="52067" spans="2:2" ht="12.75" customHeight="1" x14ac:dyDescent="0.2">
      <c r="B52067" s="43"/>
    </row>
    <row r="52068" spans="2:2" ht="12.75" customHeight="1" x14ac:dyDescent="0.2">
      <c r="B52068" s="43"/>
    </row>
    <row r="52069" spans="2:2" ht="12.75" customHeight="1" x14ac:dyDescent="0.2">
      <c r="B52069" s="43"/>
    </row>
    <row r="52070" spans="2:2" ht="12.75" customHeight="1" x14ac:dyDescent="0.2">
      <c r="B52070" s="43"/>
    </row>
    <row r="52071" spans="2:2" ht="12.75" customHeight="1" x14ac:dyDescent="0.2">
      <c r="B52071" s="43"/>
    </row>
    <row r="52072" spans="2:2" ht="12.75" customHeight="1" x14ac:dyDescent="0.2">
      <c r="B52072" s="43"/>
    </row>
    <row r="52073" spans="2:2" ht="12.75" customHeight="1" x14ac:dyDescent="0.2">
      <c r="B52073" s="43"/>
    </row>
    <row r="52074" spans="2:2" ht="12.75" customHeight="1" x14ac:dyDescent="0.2">
      <c r="B52074" s="43"/>
    </row>
    <row r="52075" spans="2:2" ht="12.75" customHeight="1" x14ac:dyDescent="0.2">
      <c r="B52075" s="43"/>
    </row>
    <row r="52076" spans="2:2" ht="12.75" customHeight="1" x14ac:dyDescent="0.2">
      <c r="B52076" s="43"/>
    </row>
    <row r="52077" spans="2:2" ht="12.75" customHeight="1" x14ac:dyDescent="0.2">
      <c r="B52077" s="43"/>
    </row>
    <row r="52078" spans="2:2" ht="12.75" customHeight="1" x14ac:dyDescent="0.2">
      <c r="B52078" s="43"/>
    </row>
    <row r="52079" spans="2:2" ht="12.75" customHeight="1" x14ac:dyDescent="0.2">
      <c r="B52079" s="43"/>
    </row>
    <row r="52080" spans="2:2" ht="12.75" customHeight="1" x14ac:dyDescent="0.2">
      <c r="B52080" s="43"/>
    </row>
    <row r="52081" spans="2:2" ht="12.75" customHeight="1" x14ac:dyDescent="0.2">
      <c r="B52081" s="43"/>
    </row>
    <row r="52082" spans="2:2" ht="12.75" customHeight="1" x14ac:dyDescent="0.2">
      <c r="B52082" s="43"/>
    </row>
    <row r="52083" spans="2:2" ht="12.75" customHeight="1" x14ac:dyDescent="0.2">
      <c r="B52083" s="43"/>
    </row>
    <row r="52084" spans="2:2" ht="12.75" customHeight="1" x14ac:dyDescent="0.2">
      <c r="B52084" s="43"/>
    </row>
    <row r="52085" spans="2:2" ht="12.75" customHeight="1" x14ac:dyDescent="0.2">
      <c r="B52085" s="43"/>
    </row>
    <row r="52086" spans="2:2" ht="12.75" customHeight="1" x14ac:dyDescent="0.2">
      <c r="B52086" s="43"/>
    </row>
    <row r="52087" spans="2:2" ht="12.75" customHeight="1" x14ac:dyDescent="0.2">
      <c r="B52087" s="43"/>
    </row>
    <row r="52088" spans="2:2" ht="12.75" customHeight="1" x14ac:dyDescent="0.2">
      <c r="B52088" s="43"/>
    </row>
    <row r="52089" spans="2:2" ht="12.75" customHeight="1" x14ac:dyDescent="0.2">
      <c r="B52089" s="43"/>
    </row>
    <row r="52090" spans="2:2" ht="12.75" customHeight="1" x14ac:dyDescent="0.2">
      <c r="B52090" s="43"/>
    </row>
    <row r="52091" spans="2:2" ht="12.75" customHeight="1" x14ac:dyDescent="0.2">
      <c r="B52091" s="43"/>
    </row>
    <row r="52092" spans="2:2" ht="12.75" customHeight="1" x14ac:dyDescent="0.2">
      <c r="B52092" s="43"/>
    </row>
    <row r="52093" spans="2:2" ht="12.75" customHeight="1" x14ac:dyDescent="0.2">
      <c r="B52093" s="43"/>
    </row>
    <row r="52094" spans="2:2" ht="12.75" customHeight="1" x14ac:dyDescent="0.2">
      <c r="B52094" s="43"/>
    </row>
    <row r="52095" spans="2:2" ht="12.75" customHeight="1" x14ac:dyDescent="0.2">
      <c r="B52095" s="43"/>
    </row>
    <row r="52096" spans="2:2" ht="12.75" customHeight="1" x14ac:dyDescent="0.2">
      <c r="B52096" s="43"/>
    </row>
    <row r="52097" spans="2:2" ht="12.75" customHeight="1" x14ac:dyDescent="0.2">
      <c r="B52097" s="43"/>
    </row>
    <row r="52098" spans="2:2" ht="12.75" customHeight="1" x14ac:dyDescent="0.2">
      <c r="B52098" s="43"/>
    </row>
    <row r="52099" spans="2:2" ht="12.75" customHeight="1" x14ac:dyDescent="0.2">
      <c r="B52099" s="43"/>
    </row>
    <row r="52100" spans="2:2" ht="12.75" customHeight="1" x14ac:dyDescent="0.2">
      <c r="B52100" s="43"/>
    </row>
    <row r="52101" spans="2:2" ht="12.75" customHeight="1" x14ac:dyDescent="0.2">
      <c r="B52101" s="43"/>
    </row>
    <row r="52102" spans="2:2" ht="12.75" customHeight="1" x14ac:dyDescent="0.2">
      <c r="B52102" s="43"/>
    </row>
    <row r="52103" spans="2:2" ht="12.75" customHeight="1" x14ac:dyDescent="0.2">
      <c r="B52103" s="43"/>
    </row>
    <row r="52104" spans="2:2" ht="12.75" customHeight="1" x14ac:dyDescent="0.2">
      <c r="B52104" s="43"/>
    </row>
    <row r="52105" spans="2:2" ht="12.75" customHeight="1" x14ac:dyDescent="0.2">
      <c r="B52105" s="43"/>
    </row>
    <row r="52106" spans="2:2" ht="12.75" customHeight="1" x14ac:dyDescent="0.2">
      <c r="B52106" s="43"/>
    </row>
    <row r="52107" spans="2:2" ht="12.75" customHeight="1" x14ac:dyDescent="0.2">
      <c r="B52107" s="43"/>
    </row>
    <row r="52108" spans="2:2" ht="12.75" customHeight="1" x14ac:dyDescent="0.2">
      <c r="B52108" s="43"/>
    </row>
    <row r="52109" spans="2:2" ht="12.75" customHeight="1" x14ac:dyDescent="0.2">
      <c r="B52109" s="43"/>
    </row>
    <row r="52110" spans="2:2" ht="12.75" customHeight="1" x14ac:dyDescent="0.2">
      <c r="B52110" s="43"/>
    </row>
    <row r="52111" spans="2:2" ht="12.75" customHeight="1" x14ac:dyDescent="0.2">
      <c r="B52111" s="43"/>
    </row>
    <row r="52112" spans="2:2" ht="12.75" customHeight="1" x14ac:dyDescent="0.2">
      <c r="B52112" s="43"/>
    </row>
    <row r="52113" spans="2:2" ht="12.75" customHeight="1" x14ac:dyDescent="0.2">
      <c r="B52113" s="43"/>
    </row>
    <row r="52114" spans="2:2" ht="12.75" customHeight="1" x14ac:dyDescent="0.2">
      <c r="B52114" s="43"/>
    </row>
    <row r="52115" spans="2:2" ht="12.75" customHeight="1" x14ac:dyDescent="0.2">
      <c r="B52115" s="43"/>
    </row>
    <row r="52116" spans="2:2" ht="12.75" customHeight="1" x14ac:dyDescent="0.2">
      <c r="B52116" s="43"/>
    </row>
    <row r="52117" spans="2:2" ht="12.75" customHeight="1" x14ac:dyDescent="0.2">
      <c r="B52117" s="43"/>
    </row>
    <row r="52118" spans="2:2" ht="12.75" customHeight="1" x14ac:dyDescent="0.2">
      <c r="B52118" s="43"/>
    </row>
    <row r="52119" spans="2:2" ht="12.75" customHeight="1" x14ac:dyDescent="0.2">
      <c r="B52119" s="43"/>
    </row>
    <row r="52120" spans="2:2" ht="12.75" customHeight="1" x14ac:dyDescent="0.2">
      <c r="B52120" s="43"/>
    </row>
    <row r="52121" spans="2:2" ht="12.75" customHeight="1" x14ac:dyDescent="0.2">
      <c r="B52121" s="43"/>
    </row>
    <row r="52122" spans="2:2" ht="12.75" customHeight="1" x14ac:dyDescent="0.2">
      <c r="B52122" s="43"/>
    </row>
    <row r="52123" spans="2:2" ht="12.75" customHeight="1" x14ac:dyDescent="0.2">
      <c r="B52123" s="43"/>
    </row>
    <row r="52124" spans="2:2" ht="12.75" customHeight="1" x14ac:dyDescent="0.2">
      <c r="B52124" s="43"/>
    </row>
    <row r="52125" spans="2:2" ht="12.75" customHeight="1" x14ac:dyDescent="0.2">
      <c r="B52125" s="43"/>
    </row>
    <row r="52126" spans="2:2" ht="12.75" customHeight="1" x14ac:dyDescent="0.2">
      <c r="B52126" s="43"/>
    </row>
    <row r="52127" spans="2:2" ht="12.75" customHeight="1" x14ac:dyDescent="0.2">
      <c r="B52127" s="43"/>
    </row>
    <row r="52128" spans="2:2" ht="12.75" customHeight="1" x14ac:dyDescent="0.2">
      <c r="B52128" s="43"/>
    </row>
    <row r="52129" spans="2:2" ht="12.75" customHeight="1" x14ac:dyDescent="0.2">
      <c r="B52129" s="43"/>
    </row>
    <row r="52130" spans="2:2" ht="12.75" customHeight="1" x14ac:dyDescent="0.2">
      <c r="B52130" s="43"/>
    </row>
    <row r="52131" spans="2:2" ht="12.75" customHeight="1" x14ac:dyDescent="0.2">
      <c r="B52131" s="43"/>
    </row>
    <row r="52132" spans="2:2" ht="12.75" customHeight="1" x14ac:dyDescent="0.2">
      <c r="B52132" s="43"/>
    </row>
    <row r="52133" spans="2:2" ht="12.75" customHeight="1" x14ac:dyDescent="0.2">
      <c r="B52133" s="43"/>
    </row>
    <row r="52134" spans="2:2" ht="12.75" customHeight="1" x14ac:dyDescent="0.2">
      <c r="B52134" s="43"/>
    </row>
    <row r="52135" spans="2:2" ht="12.75" customHeight="1" x14ac:dyDescent="0.2">
      <c r="B52135" s="43"/>
    </row>
    <row r="52136" spans="2:2" ht="12.75" customHeight="1" x14ac:dyDescent="0.2">
      <c r="B52136" s="43"/>
    </row>
    <row r="52137" spans="2:2" ht="12.75" customHeight="1" x14ac:dyDescent="0.2">
      <c r="B52137" s="43"/>
    </row>
    <row r="52138" spans="2:2" ht="12.75" customHeight="1" x14ac:dyDescent="0.2">
      <c r="B52138" s="43"/>
    </row>
    <row r="52139" spans="2:2" ht="12.75" customHeight="1" x14ac:dyDescent="0.2">
      <c r="B52139" s="43"/>
    </row>
    <row r="52140" spans="2:2" ht="12.75" customHeight="1" x14ac:dyDescent="0.2">
      <c r="B52140" s="43"/>
    </row>
    <row r="52141" spans="2:2" ht="12.75" customHeight="1" x14ac:dyDescent="0.2">
      <c r="B52141" s="43"/>
    </row>
    <row r="52142" spans="2:2" ht="12.75" customHeight="1" x14ac:dyDescent="0.2">
      <c r="B52142" s="43"/>
    </row>
    <row r="52143" spans="2:2" ht="12.75" customHeight="1" x14ac:dyDescent="0.2">
      <c r="B52143" s="43"/>
    </row>
    <row r="52144" spans="2:2" ht="12.75" customHeight="1" x14ac:dyDescent="0.2">
      <c r="B52144" s="43"/>
    </row>
    <row r="52145" spans="2:2" ht="12.75" customHeight="1" x14ac:dyDescent="0.2">
      <c r="B52145" s="43"/>
    </row>
    <row r="52146" spans="2:2" ht="12.75" customHeight="1" x14ac:dyDescent="0.2">
      <c r="B52146" s="43"/>
    </row>
    <row r="52147" spans="2:2" ht="12.75" customHeight="1" x14ac:dyDescent="0.2">
      <c r="B52147" s="43"/>
    </row>
    <row r="52148" spans="2:2" ht="12.75" customHeight="1" x14ac:dyDescent="0.2">
      <c r="B52148" s="43"/>
    </row>
    <row r="52149" spans="2:2" ht="12.75" customHeight="1" x14ac:dyDescent="0.2">
      <c r="B52149" s="43"/>
    </row>
    <row r="52150" spans="2:2" ht="12.75" customHeight="1" x14ac:dyDescent="0.2">
      <c r="B52150" s="43"/>
    </row>
    <row r="52151" spans="2:2" ht="12.75" customHeight="1" x14ac:dyDescent="0.2">
      <c r="B52151" s="43"/>
    </row>
    <row r="52152" spans="2:2" ht="12.75" customHeight="1" x14ac:dyDescent="0.2">
      <c r="B52152" s="43"/>
    </row>
    <row r="52153" spans="2:2" ht="12.75" customHeight="1" x14ac:dyDescent="0.2">
      <c r="B52153" s="43"/>
    </row>
    <row r="52154" spans="2:2" ht="12.75" customHeight="1" x14ac:dyDescent="0.2">
      <c r="B52154" s="43"/>
    </row>
    <row r="52155" spans="2:2" ht="12.75" customHeight="1" x14ac:dyDescent="0.2">
      <c r="B52155" s="43"/>
    </row>
    <row r="52156" spans="2:2" ht="12.75" customHeight="1" x14ac:dyDescent="0.2">
      <c r="B52156" s="43"/>
    </row>
    <row r="52157" spans="2:2" ht="12.75" customHeight="1" x14ac:dyDescent="0.2">
      <c r="B52157" s="43"/>
    </row>
    <row r="52158" spans="2:2" ht="12.75" customHeight="1" x14ac:dyDescent="0.2">
      <c r="B52158" s="43"/>
    </row>
    <row r="52159" spans="2:2" ht="12.75" customHeight="1" x14ac:dyDescent="0.2">
      <c r="B52159" s="43"/>
    </row>
    <row r="52160" spans="2:2" ht="12.75" customHeight="1" x14ac:dyDescent="0.2">
      <c r="B52160" s="43"/>
    </row>
    <row r="52161" spans="2:2" ht="12.75" customHeight="1" x14ac:dyDescent="0.2">
      <c r="B52161" s="43"/>
    </row>
    <row r="52162" spans="2:2" ht="12.75" customHeight="1" x14ac:dyDescent="0.2">
      <c r="B52162" s="43"/>
    </row>
    <row r="52163" spans="2:2" ht="12.75" customHeight="1" x14ac:dyDescent="0.2">
      <c r="B52163" s="43"/>
    </row>
    <row r="52164" spans="2:2" ht="12.75" customHeight="1" x14ac:dyDescent="0.2">
      <c r="B52164" s="43"/>
    </row>
    <row r="52165" spans="2:2" ht="12.75" customHeight="1" x14ac:dyDescent="0.2">
      <c r="B52165" s="43"/>
    </row>
    <row r="52166" spans="2:2" ht="12.75" customHeight="1" x14ac:dyDescent="0.2">
      <c r="B52166" s="43"/>
    </row>
    <row r="52167" spans="2:2" ht="12.75" customHeight="1" x14ac:dyDescent="0.2">
      <c r="B52167" s="43"/>
    </row>
    <row r="52168" spans="2:2" ht="12.75" customHeight="1" x14ac:dyDescent="0.2">
      <c r="B52168" s="43"/>
    </row>
    <row r="52169" spans="2:2" ht="12.75" customHeight="1" x14ac:dyDescent="0.2">
      <c r="B52169" s="43"/>
    </row>
    <row r="52170" spans="2:2" ht="12.75" customHeight="1" x14ac:dyDescent="0.2">
      <c r="B52170" s="43"/>
    </row>
    <row r="52171" spans="2:2" ht="12.75" customHeight="1" x14ac:dyDescent="0.2">
      <c r="B52171" s="43"/>
    </row>
    <row r="52172" spans="2:2" ht="12.75" customHeight="1" x14ac:dyDescent="0.2">
      <c r="B52172" s="43"/>
    </row>
    <row r="52173" spans="2:2" ht="12.75" customHeight="1" x14ac:dyDescent="0.2">
      <c r="B52173" s="43"/>
    </row>
    <row r="52174" spans="2:2" ht="12.75" customHeight="1" x14ac:dyDescent="0.2">
      <c r="B52174" s="43"/>
    </row>
    <row r="52175" spans="2:2" ht="12.75" customHeight="1" x14ac:dyDescent="0.2">
      <c r="B52175" s="43"/>
    </row>
    <row r="52176" spans="2:2" ht="12.75" customHeight="1" x14ac:dyDescent="0.2">
      <c r="B52176" s="43"/>
    </row>
    <row r="52177" spans="2:2" ht="12.75" customHeight="1" x14ac:dyDescent="0.2">
      <c r="B52177" s="43"/>
    </row>
    <row r="52178" spans="2:2" ht="12.75" customHeight="1" x14ac:dyDescent="0.2">
      <c r="B52178" s="43"/>
    </row>
    <row r="52179" spans="2:2" ht="12.75" customHeight="1" x14ac:dyDescent="0.2">
      <c r="B52179" s="43"/>
    </row>
    <row r="52180" spans="2:2" ht="12.75" customHeight="1" x14ac:dyDescent="0.2">
      <c r="B52180" s="43"/>
    </row>
    <row r="52181" spans="2:2" ht="12.75" customHeight="1" x14ac:dyDescent="0.2">
      <c r="B52181" s="43"/>
    </row>
    <row r="52182" spans="2:2" ht="12.75" customHeight="1" x14ac:dyDescent="0.2">
      <c r="B52182" s="43"/>
    </row>
    <row r="52183" spans="2:2" ht="12.75" customHeight="1" x14ac:dyDescent="0.2">
      <c r="B52183" s="43"/>
    </row>
    <row r="52184" spans="2:2" ht="12.75" customHeight="1" x14ac:dyDescent="0.2">
      <c r="B52184" s="43"/>
    </row>
    <row r="52185" spans="2:2" ht="12.75" customHeight="1" x14ac:dyDescent="0.2">
      <c r="B52185" s="43"/>
    </row>
    <row r="52186" spans="2:2" ht="12.75" customHeight="1" x14ac:dyDescent="0.2">
      <c r="B52186" s="43"/>
    </row>
    <row r="52187" spans="2:2" ht="12.75" customHeight="1" x14ac:dyDescent="0.2">
      <c r="B52187" s="43"/>
    </row>
    <row r="52188" spans="2:2" ht="12.75" customHeight="1" x14ac:dyDescent="0.2">
      <c r="B52188" s="43"/>
    </row>
    <row r="52189" spans="2:2" ht="12.75" customHeight="1" x14ac:dyDescent="0.2">
      <c r="B52189" s="43"/>
    </row>
    <row r="52190" spans="2:2" ht="12.75" customHeight="1" x14ac:dyDescent="0.2">
      <c r="B52190" s="43"/>
    </row>
    <row r="52191" spans="2:2" ht="12.75" customHeight="1" x14ac:dyDescent="0.2">
      <c r="B52191" s="43"/>
    </row>
    <row r="52192" spans="2:2" ht="12.75" customHeight="1" x14ac:dyDescent="0.2">
      <c r="B52192" s="43"/>
    </row>
    <row r="52193" spans="2:2" ht="12.75" customHeight="1" x14ac:dyDescent="0.2">
      <c r="B52193" s="43"/>
    </row>
    <row r="52194" spans="2:2" ht="12.75" customHeight="1" x14ac:dyDescent="0.2">
      <c r="B52194" s="43"/>
    </row>
    <row r="52195" spans="2:2" ht="12.75" customHeight="1" x14ac:dyDescent="0.2">
      <c r="B52195" s="43"/>
    </row>
    <row r="52196" spans="2:2" ht="12.75" customHeight="1" x14ac:dyDescent="0.2">
      <c r="B52196" s="43"/>
    </row>
    <row r="52197" spans="2:2" ht="12.75" customHeight="1" x14ac:dyDescent="0.2">
      <c r="B52197" s="43"/>
    </row>
    <row r="52198" spans="2:2" ht="12.75" customHeight="1" x14ac:dyDescent="0.2">
      <c r="B52198" s="43"/>
    </row>
    <row r="52199" spans="2:2" ht="12.75" customHeight="1" x14ac:dyDescent="0.2">
      <c r="B52199" s="43"/>
    </row>
    <row r="52200" spans="2:2" ht="12.75" customHeight="1" x14ac:dyDescent="0.2">
      <c r="B52200" s="43"/>
    </row>
    <row r="52201" spans="2:2" ht="12.75" customHeight="1" x14ac:dyDescent="0.2">
      <c r="B52201" s="43"/>
    </row>
    <row r="52202" spans="2:2" ht="12.75" customHeight="1" x14ac:dyDescent="0.2">
      <c r="B52202" s="43"/>
    </row>
    <row r="52203" spans="2:2" ht="12.75" customHeight="1" x14ac:dyDescent="0.2">
      <c r="B52203" s="43"/>
    </row>
    <row r="52204" spans="2:2" ht="12.75" customHeight="1" x14ac:dyDescent="0.2">
      <c r="B52204" s="43"/>
    </row>
    <row r="52205" spans="2:2" ht="12.75" customHeight="1" x14ac:dyDescent="0.2">
      <c r="B52205" s="43"/>
    </row>
    <row r="52206" spans="2:2" ht="12.75" customHeight="1" x14ac:dyDescent="0.2">
      <c r="B52206" s="43"/>
    </row>
    <row r="52207" spans="2:2" ht="12.75" customHeight="1" x14ac:dyDescent="0.2">
      <c r="B52207" s="43"/>
    </row>
    <row r="52208" spans="2:2" ht="12.75" customHeight="1" x14ac:dyDescent="0.2">
      <c r="B52208" s="43"/>
    </row>
    <row r="52209" spans="2:2" ht="12.75" customHeight="1" x14ac:dyDescent="0.2">
      <c r="B52209" s="43"/>
    </row>
    <row r="52210" spans="2:2" ht="12.75" customHeight="1" x14ac:dyDescent="0.2">
      <c r="B52210" s="43"/>
    </row>
    <row r="52211" spans="2:2" ht="12.75" customHeight="1" x14ac:dyDescent="0.2">
      <c r="B52211" s="43"/>
    </row>
    <row r="52212" spans="2:2" ht="12.75" customHeight="1" x14ac:dyDescent="0.2">
      <c r="B52212" s="43"/>
    </row>
    <row r="52213" spans="2:2" ht="12.75" customHeight="1" x14ac:dyDescent="0.2">
      <c r="B52213" s="43"/>
    </row>
    <row r="52214" spans="2:2" ht="12.75" customHeight="1" x14ac:dyDescent="0.2">
      <c r="B52214" s="43"/>
    </row>
    <row r="52215" spans="2:2" ht="12.75" customHeight="1" x14ac:dyDescent="0.2">
      <c r="B52215" s="43"/>
    </row>
    <row r="52216" spans="2:2" ht="12.75" customHeight="1" x14ac:dyDescent="0.2">
      <c r="B52216" s="43"/>
    </row>
    <row r="52217" spans="2:2" ht="12.75" customHeight="1" x14ac:dyDescent="0.2">
      <c r="B52217" s="43"/>
    </row>
    <row r="52218" spans="2:2" ht="12.75" customHeight="1" x14ac:dyDescent="0.2">
      <c r="B52218" s="43"/>
    </row>
    <row r="52219" spans="2:2" ht="12.75" customHeight="1" x14ac:dyDescent="0.2">
      <c r="B52219" s="43"/>
    </row>
    <row r="52220" spans="2:2" ht="12.75" customHeight="1" x14ac:dyDescent="0.2">
      <c r="B52220" s="43"/>
    </row>
    <row r="52221" spans="2:2" ht="12.75" customHeight="1" x14ac:dyDescent="0.2">
      <c r="B52221" s="43"/>
    </row>
    <row r="52222" spans="2:2" ht="12.75" customHeight="1" x14ac:dyDescent="0.2">
      <c r="B52222" s="43"/>
    </row>
    <row r="52223" spans="2:2" ht="12.75" customHeight="1" x14ac:dyDescent="0.2">
      <c r="B52223" s="43"/>
    </row>
    <row r="52224" spans="2:2" ht="12.75" customHeight="1" x14ac:dyDescent="0.2">
      <c r="B52224" s="43"/>
    </row>
    <row r="52225" spans="2:2" ht="12.75" customHeight="1" x14ac:dyDescent="0.2">
      <c r="B52225" s="43"/>
    </row>
    <row r="52226" spans="2:2" ht="12.75" customHeight="1" x14ac:dyDescent="0.2">
      <c r="B52226" s="43"/>
    </row>
    <row r="52227" spans="2:2" ht="12.75" customHeight="1" x14ac:dyDescent="0.2">
      <c r="B52227" s="43"/>
    </row>
    <row r="52228" spans="2:2" ht="12.75" customHeight="1" x14ac:dyDescent="0.2">
      <c r="B52228" s="43"/>
    </row>
    <row r="52229" spans="2:2" ht="12.75" customHeight="1" x14ac:dyDescent="0.2">
      <c r="B52229" s="43"/>
    </row>
    <row r="52230" spans="2:2" ht="12.75" customHeight="1" x14ac:dyDescent="0.2">
      <c r="B52230" s="43"/>
    </row>
    <row r="52231" spans="2:2" ht="12.75" customHeight="1" x14ac:dyDescent="0.2">
      <c r="B52231" s="43"/>
    </row>
    <row r="52232" spans="2:2" ht="12.75" customHeight="1" x14ac:dyDescent="0.2">
      <c r="B52232" s="43"/>
    </row>
    <row r="52233" spans="2:2" ht="12.75" customHeight="1" x14ac:dyDescent="0.2">
      <c r="B52233" s="43"/>
    </row>
    <row r="52234" spans="2:2" ht="12.75" customHeight="1" x14ac:dyDescent="0.2">
      <c r="B52234" s="43"/>
    </row>
    <row r="52235" spans="2:2" ht="12.75" customHeight="1" x14ac:dyDescent="0.2">
      <c r="B52235" s="43"/>
    </row>
    <row r="52236" spans="2:2" ht="12.75" customHeight="1" x14ac:dyDescent="0.2">
      <c r="B52236" s="43"/>
    </row>
    <row r="52237" spans="2:2" ht="12.75" customHeight="1" x14ac:dyDescent="0.2">
      <c r="B52237" s="43"/>
    </row>
    <row r="52238" spans="2:2" ht="12.75" customHeight="1" x14ac:dyDescent="0.2">
      <c r="B52238" s="43"/>
    </row>
    <row r="52239" spans="2:2" ht="12.75" customHeight="1" x14ac:dyDescent="0.2">
      <c r="B52239" s="43"/>
    </row>
    <row r="52240" spans="2:2" ht="12.75" customHeight="1" x14ac:dyDescent="0.2">
      <c r="B52240" s="43"/>
    </row>
    <row r="52241" spans="2:2" ht="12.75" customHeight="1" x14ac:dyDescent="0.2">
      <c r="B52241" s="43"/>
    </row>
    <row r="52242" spans="2:2" ht="12.75" customHeight="1" x14ac:dyDescent="0.2">
      <c r="B52242" s="43"/>
    </row>
    <row r="52243" spans="2:2" ht="12.75" customHeight="1" x14ac:dyDescent="0.2">
      <c r="B52243" s="43"/>
    </row>
    <row r="52244" spans="2:2" ht="12.75" customHeight="1" x14ac:dyDescent="0.2">
      <c r="B52244" s="43"/>
    </row>
    <row r="52245" spans="2:2" ht="12.75" customHeight="1" x14ac:dyDescent="0.2">
      <c r="B52245" s="43"/>
    </row>
    <row r="52246" spans="2:2" ht="12.75" customHeight="1" x14ac:dyDescent="0.2">
      <c r="B52246" s="43"/>
    </row>
    <row r="52247" spans="2:2" ht="12.75" customHeight="1" x14ac:dyDescent="0.2">
      <c r="B52247" s="43"/>
    </row>
    <row r="52248" spans="2:2" ht="12.75" customHeight="1" x14ac:dyDescent="0.2">
      <c r="B52248" s="43"/>
    </row>
    <row r="52249" spans="2:2" ht="12.75" customHeight="1" x14ac:dyDescent="0.2">
      <c r="B52249" s="43"/>
    </row>
    <row r="52250" spans="2:2" ht="12.75" customHeight="1" x14ac:dyDescent="0.2">
      <c r="B52250" s="43"/>
    </row>
    <row r="52251" spans="2:2" ht="12.75" customHeight="1" x14ac:dyDescent="0.2">
      <c r="B52251" s="43"/>
    </row>
    <row r="52252" spans="2:2" ht="12.75" customHeight="1" x14ac:dyDescent="0.2">
      <c r="B52252" s="43"/>
    </row>
    <row r="52253" spans="2:2" ht="12.75" customHeight="1" x14ac:dyDescent="0.2">
      <c r="B52253" s="43"/>
    </row>
    <row r="52254" spans="2:2" ht="12.75" customHeight="1" x14ac:dyDescent="0.2">
      <c r="B52254" s="43"/>
    </row>
    <row r="52255" spans="2:2" ht="12.75" customHeight="1" x14ac:dyDescent="0.2">
      <c r="B52255" s="43"/>
    </row>
    <row r="52256" spans="2:2" ht="12.75" customHeight="1" x14ac:dyDescent="0.2">
      <c r="B52256" s="43"/>
    </row>
    <row r="52257" spans="2:2" ht="12.75" customHeight="1" x14ac:dyDescent="0.2">
      <c r="B52257" s="43"/>
    </row>
    <row r="52258" spans="2:2" ht="12.75" customHeight="1" x14ac:dyDescent="0.2">
      <c r="B52258" s="43"/>
    </row>
    <row r="52259" spans="2:2" ht="12.75" customHeight="1" x14ac:dyDescent="0.2">
      <c r="B52259" s="43"/>
    </row>
    <row r="52260" spans="2:2" ht="12.75" customHeight="1" x14ac:dyDescent="0.2">
      <c r="B52260" s="43"/>
    </row>
    <row r="52261" spans="2:2" ht="12.75" customHeight="1" x14ac:dyDescent="0.2">
      <c r="B52261" s="43"/>
    </row>
    <row r="52262" spans="2:2" ht="12.75" customHeight="1" x14ac:dyDescent="0.2">
      <c r="B52262" s="43"/>
    </row>
    <row r="52263" spans="2:2" ht="12.75" customHeight="1" x14ac:dyDescent="0.2">
      <c r="B52263" s="43"/>
    </row>
    <row r="52264" spans="2:2" ht="12.75" customHeight="1" x14ac:dyDescent="0.2">
      <c r="B52264" s="43"/>
    </row>
    <row r="52265" spans="2:2" ht="12.75" customHeight="1" x14ac:dyDescent="0.2">
      <c r="B52265" s="43"/>
    </row>
    <row r="52266" spans="2:2" ht="12.75" customHeight="1" x14ac:dyDescent="0.2">
      <c r="B52266" s="43"/>
    </row>
    <row r="52267" spans="2:2" ht="12.75" customHeight="1" x14ac:dyDescent="0.2">
      <c r="B52267" s="43"/>
    </row>
    <row r="52268" spans="2:2" ht="12.75" customHeight="1" x14ac:dyDescent="0.2">
      <c r="B52268" s="43"/>
    </row>
    <row r="52269" spans="2:2" ht="12.75" customHeight="1" x14ac:dyDescent="0.2">
      <c r="B52269" s="43"/>
    </row>
    <row r="52270" spans="2:2" ht="12.75" customHeight="1" x14ac:dyDescent="0.2">
      <c r="B52270" s="43"/>
    </row>
    <row r="52271" spans="2:2" ht="12.75" customHeight="1" x14ac:dyDescent="0.2">
      <c r="B52271" s="43"/>
    </row>
    <row r="52272" spans="2:2" ht="12.75" customHeight="1" x14ac:dyDescent="0.2">
      <c r="B52272" s="43"/>
    </row>
    <row r="52273" spans="2:2" ht="12.75" customHeight="1" x14ac:dyDescent="0.2">
      <c r="B52273" s="43"/>
    </row>
    <row r="52274" spans="2:2" ht="12.75" customHeight="1" x14ac:dyDescent="0.2">
      <c r="B52274" s="43"/>
    </row>
    <row r="52275" spans="2:2" ht="12.75" customHeight="1" x14ac:dyDescent="0.2">
      <c r="B52275" s="43"/>
    </row>
    <row r="52276" spans="2:2" ht="12.75" customHeight="1" x14ac:dyDescent="0.2">
      <c r="B52276" s="43"/>
    </row>
    <row r="52277" spans="2:2" ht="12.75" customHeight="1" x14ac:dyDescent="0.2">
      <c r="B52277" s="43"/>
    </row>
    <row r="52278" spans="2:2" ht="12.75" customHeight="1" x14ac:dyDescent="0.2">
      <c r="B52278" s="43"/>
    </row>
    <row r="52279" spans="2:2" ht="12.75" customHeight="1" x14ac:dyDescent="0.2">
      <c r="B52279" s="43"/>
    </row>
    <row r="52280" spans="2:2" ht="12.75" customHeight="1" x14ac:dyDescent="0.2">
      <c r="B52280" s="43"/>
    </row>
    <row r="52281" spans="2:2" ht="12.75" customHeight="1" x14ac:dyDescent="0.2">
      <c r="B52281" s="43"/>
    </row>
    <row r="52282" spans="2:2" ht="12.75" customHeight="1" x14ac:dyDescent="0.2">
      <c r="B52282" s="43"/>
    </row>
    <row r="52283" spans="2:2" ht="12.75" customHeight="1" x14ac:dyDescent="0.2">
      <c r="B52283" s="43"/>
    </row>
    <row r="52284" spans="2:2" ht="12.75" customHeight="1" x14ac:dyDescent="0.2">
      <c r="B52284" s="43"/>
    </row>
    <row r="52285" spans="2:2" ht="12.75" customHeight="1" x14ac:dyDescent="0.2">
      <c r="B52285" s="43"/>
    </row>
    <row r="52286" spans="2:2" ht="12.75" customHeight="1" x14ac:dyDescent="0.2">
      <c r="B52286" s="43"/>
    </row>
    <row r="52287" spans="2:2" ht="12.75" customHeight="1" x14ac:dyDescent="0.2">
      <c r="B52287" s="43"/>
    </row>
    <row r="52288" spans="2:2" ht="12.75" customHeight="1" x14ac:dyDescent="0.2">
      <c r="B52288" s="43"/>
    </row>
    <row r="52289" spans="2:2" ht="12.75" customHeight="1" x14ac:dyDescent="0.2">
      <c r="B52289" s="43"/>
    </row>
    <row r="52290" spans="2:2" ht="12.75" customHeight="1" x14ac:dyDescent="0.2">
      <c r="B52290" s="43"/>
    </row>
    <row r="52291" spans="2:2" ht="12.75" customHeight="1" x14ac:dyDescent="0.2">
      <c r="B52291" s="43"/>
    </row>
    <row r="52292" spans="2:2" ht="12.75" customHeight="1" x14ac:dyDescent="0.2">
      <c r="B52292" s="43"/>
    </row>
    <row r="52293" spans="2:2" ht="12.75" customHeight="1" x14ac:dyDescent="0.2">
      <c r="B52293" s="43"/>
    </row>
    <row r="52294" spans="2:2" ht="12.75" customHeight="1" x14ac:dyDescent="0.2">
      <c r="B52294" s="43"/>
    </row>
    <row r="52295" spans="2:2" ht="12.75" customHeight="1" x14ac:dyDescent="0.2">
      <c r="B52295" s="43"/>
    </row>
    <row r="52296" spans="2:2" ht="12.75" customHeight="1" x14ac:dyDescent="0.2">
      <c r="B52296" s="43"/>
    </row>
    <row r="52297" spans="2:2" ht="12.75" customHeight="1" x14ac:dyDescent="0.2">
      <c r="B52297" s="43"/>
    </row>
    <row r="52298" spans="2:2" ht="12.75" customHeight="1" x14ac:dyDescent="0.2">
      <c r="B52298" s="43"/>
    </row>
    <row r="52299" spans="2:2" ht="12.75" customHeight="1" x14ac:dyDescent="0.2">
      <c r="B52299" s="43"/>
    </row>
    <row r="52300" spans="2:2" ht="12.75" customHeight="1" x14ac:dyDescent="0.2">
      <c r="B52300" s="43"/>
    </row>
    <row r="52301" spans="2:2" ht="12.75" customHeight="1" x14ac:dyDescent="0.2">
      <c r="B52301" s="43"/>
    </row>
    <row r="52302" spans="2:2" ht="12.75" customHeight="1" x14ac:dyDescent="0.2">
      <c r="B52302" s="43"/>
    </row>
    <row r="52303" spans="2:2" ht="12.75" customHeight="1" x14ac:dyDescent="0.2">
      <c r="B52303" s="43"/>
    </row>
    <row r="52304" spans="2:2" ht="12.75" customHeight="1" x14ac:dyDescent="0.2">
      <c r="B52304" s="43"/>
    </row>
    <row r="52305" spans="2:2" ht="12.75" customHeight="1" x14ac:dyDescent="0.2">
      <c r="B52305" s="43"/>
    </row>
    <row r="52306" spans="2:2" ht="12.75" customHeight="1" x14ac:dyDescent="0.2">
      <c r="B52306" s="43"/>
    </row>
    <row r="52307" spans="2:2" ht="12.75" customHeight="1" x14ac:dyDescent="0.2">
      <c r="B52307" s="43"/>
    </row>
    <row r="52308" spans="2:2" ht="12.75" customHeight="1" x14ac:dyDescent="0.2">
      <c r="B52308" s="43"/>
    </row>
    <row r="52309" spans="2:2" ht="12.75" customHeight="1" x14ac:dyDescent="0.2">
      <c r="B52309" s="43"/>
    </row>
    <row r="52310" spans="2:2" ht="12.75" customHeight="1" x14ac:dyDescent="0.2">
      <c r="B52310" s="43"/>
    </row>
    <row r="52311" spans="2:2" ht="12.75" customHeight="1" x14ac:dyDescent="0.2">
      <c r="B52311" s="43"/>
    </row>
    <row r="52312" spans="2:2" ht="12.75" customHeight="1" x14ac:dyDescent="0.2">
      <c r="B52312" s="43"/>
    </row>
    <row r="52313" spans="2:2" ht="12.75" customHeight="1" x14ac:dyDescent="0.2">
      <c r="B52313" s="43"/>
    </row>
    <row r="52314" spans="2:2" ht="12.75" customHeight="1" x14ac:dyDescent="0.2">
      <c r="B52314" s="43"/>
    </row>
    <row r="52315" spans="2:2" ht="12.75" customHeight="1" x14ac:dyDescent="0.2">
      <c r="B52315" s="43"/>
    </row>
    <row r="52316" spans="2:2" ht="12.75" customHeight="1" x14ac:dyDescent="0.2">
      <c r="B52316" s="43"/>
    </row>
    <row r="52317" spans="2:2" ht="12.75" customHeight="1" x14ac:dyDescent="0.2">
      <c r="B52317" s="43"/>
    </row>
    <row r="52318" spans="2:2" ht="12.75" customHeight="1" x14ac:dyDescent="0.2">
      <c r="B52318" s="43"/>
    </row>
    <row r="52319" spans="2:2" ht="12.75" customHeight="1" x14ac:dyDescent="0.2">
      <c r="B52319" s="43"/>
    </row>
    <row r="52320" spans="2:2" ht="12.75" customHeight="1" x14ac:dyDescent="0.2">
      <c r="B52320" s="43"/>
    </row>
    <row r="52321" spans="2:2" ht="12.75" customHeight="1" x14ac:dyDescent="0.2">
      <c r="B52321" s="43"/>
    </row>
    <row r="52322" spans="2:2" ht="12.75" customHeight="1" x14ac:dyDescent="0.2">
      <c r="B52322" s="43"/>
    </row>
    <row r="52323" spans="2:2" ht="12.75" customHeight="1" x14ac:dyDescent="0.2">
      <c r="B52323" s="43"/>
    </row>
    <row r="52324" spans="2:2" ht="12.75" customHeight="1" x14ac:dyDescent="0.2">
      <c r="B52324" s="43"/>
    </row>
    <row r="52325" spans="2:2" ht="12.75" customHeight="1" x14ac:dyDescent="0.2">
      <c r="B52325" s="43"/>
    </row>
    <row r="52326" spans="2:2" ht="12.75" customHeight="1" x14ac:dyDescent="0.2">
      <c r="B52326" s="43"/>
    </row>
    <row r="52327" spans="2:2" ht="12.75" customHeight="1" x14ac:dyDescent="0.2">
      <c r="B52327" s="43"/>
    </row>
    <row r="52328" spans="2:2" ht="12.75" customHeight="1" x14ac:dyDescent="0.2">
      <c r="B52328" s="43"/>
    </row>
    <row r="52329" spans="2:2" ht="12.75" customHeight="1" x14ac:dyDescent="0.2">
      <c r="B52329" s="43"/>
    </row>
    <row r="52330" spans="2:2" ht="12.75" customHeight="1" x14ac:dyDescent="0.2">
      <c r="B52330" s="43"/>
    </row>
    <row r="52331" spans="2:2" ht="12.75" customHeight="1" x14ac:dyDescent="0.2">
      <c r="B52331" s="43"/>
    </row>
    <row r="52332" spans="2:2" ht="12.75" customHeight="1" x14ac:dyDescent="0.2">
      <c r="B52332" s="43"/>
    </row>
    <row r="52333" spans="2:2" ht="12.75" customHeight="1" x14ac:dyDescent="0.2">
      <c r="B52333" s="43"/>
    </row>
    <row r="52334" spans="2:2" ht="12.75" customHeight="1" x14ac:dyDescent="0.2">
      <c r="B52334" s="43"/>
    </row>
    <row r="52335" spans="2:2" ht="12.75" customHeight="1" x14ac:dyDescent="0.2">
      <c r="B52335" s="43"/>
    </row>
    <row r="52336" spans="2:2" ht="12.75" customHeight="1" x14ac:dyDescent="0.2">
      <c r="B52336" s="43"/>
    </row>
    <row r="52337" spans="2:2" ht="12.75" customHeight="1" x14ac:dyDescent="0.2">
      <c r="B52337" s="43"/>
    </row>
    <row r="52338" spans="2:2" ht="12.75" customHeight="1" x14ac:dyDescent="0.2">
      <c r="B52338" s="43"/>
    </row>
    <row r="52339" spans="2:2" ht="12.75" customHeight="1" x14ac:dyDescent="0.2">
      <c r="B52339" s="43"/>
    </row>
    <row r="52340" spans="2:2" ht="12.75" customHeight="1" x14ac:dyDescent="0.2">
      <c r="B52340" s="43"/>
    </row>
    <row r="52341" spans="2:2" ht="12.75" customHeight="1" x14ac:dyDescent="0.2">
      <c r="B52341" s="43"/>
    </row>
    <row r="52342" spans="2:2" ht="12.75" customHeight="1" x14ac:dyDescent="0.2">
      <c r="B52342" s="43"/>
    </row>
    <row r="52343" spans="2:2" ht="12.75" customHeight="1" x14ac:dyDescent="0.2">
      <c r="B52343" s="43"/>
    </row>
    <row r="52344" spans="2:2" ht="12.75" customHeight="1" x14ac:dyDescent="0.2">
      <c r="B52344" s="43"/>
    </row>
    <row r="52345" spans="2:2" ht="12.75" customHeight="1" x14ac:dyDescent="0.2">
      <c r="B52345" s="43"/>
    </row>
    <row r="52346" spans="2:2" ht="12.75" customHeight="1" x14ac:dyDescent="0.2">
      <c r="B52346" s="43"/>
    </row>
    <row r="52347" spans="2:2" ht="12.75" customHeight="1" x14ac:dyDescent="0.2">
      <c r="B52347" s="43"/>
    </row>
    <row r="52348" spans="2:2" ht="12.75" customHeight="1" x14ac:dyDescent="0.2">
      <c r="B52348" s="43"/>
    </row>
    <row r="52349" spans="2:2" ht="12.75" customHeight="1" x14ac:dyDescent="0.2">
      <c r="B52349" s="43"/>
    </row>
    <row r="52350" spans="2:2" ht="12.75" customHeight="1" x14ac:dyDescent="0.2">
      <c r="B52350" s="43"/>
    </row>
    <row r="52351" spans="2:2" ht="12.75" customHeight="1" x14ac:dyDescent="0.2">
      <c r="B52351" s="43"/>
    </row>
    <row r="52352" spans="2:2" ht="12.75" customHeight="1" x14ac:dyDescent="0.2">
      <c r="B52352" s="43"/>
    </row>
    <row r="52353" spans="2:2" ht="12.75" customHeight="1" x14ac:dyDescent="0.2">
      <c r="B52353" s="43"/>
    </row>
    <row r="52354" spans="2:2" ht="12.75" customHeight="1" x14ac:dyDescent="0.2">
      <c r="B52354" s="43"/>
    </row>
    <row r="52355" spans="2:2" ht="12.75" customHeight="1" x14ac:dyDescent="0.2">
      <c r="B52355" s="43"/>
    </row>
    <row r="52356" spans="2:2" ht="12.75" customHeight="1" x14ac:dyDescent="0.2">
      <c r="B52356" s="43"/>
    </row>
    <row r="52357" spans="2:2" ht="12.75" customHeight="1" x14ac:dyDescent="0.2">
      <c r="B52357" s="43"/>
    </row>
    <row r="52358" spans="2:2" ht="12.75" customHeight="1" x14ac:dyDescent="0.2">
      <c r="B52358" s="43"/>
    </row>
    <row r="52359" spans="2:2" ht="12.75" customHeight="1" x14ac:dyDescent="0.2">
      <c r="B52359" s="43"/>
    </row>
    <row r="52360" spans="2:2" ht="12.75" customHeight="1" x14ac:dyDescent="0.2">
      <c r="B52360" s="43"/>
    </row>
    <row r="52361" spans="2:2" ht="12.75" customHeight="1" x14ac:dyDescent="0.2">
      <c r="B52361" s="43"/>
    </row>
    <row r="52362" spans="2:2" ht="12.75" customHeight="1" x14ac:dyDescent="0.2">
      <c r="B52362" s="43"/>
    </row>
    <row r="52363" spans="2:2" ht="12.75" customHeight="1" x14ac:dyDescent="0.2">
      <c r="B52363" s="43"/>
    </row>
    <row r="52364" spans="2:2" ht="12.75" customHeight="1" x14ac:dyDescent="0.2">
      <c r="B52364" s="43"/>
    </row>
    <row r="52365" spans="2:2" ht="12.75" customHeight="1" x14ac:dyDescent="0.2">
      <c r="B52365" s="43"/>
    </row>
    <row r="52366" spans="2:2" ht="12.75" customHeight="1" x14ac:dyDescent="0.2">
      <c r="B52366" s="43"/>
    </row>
    <row r="52367" spans="2:2" ht="12.75" customHeight="1" x14ac:dyDescent="0.2">
      <c r="B52367" s="43"/>
    </row>
    <row r="52368" spans="2:2" ht="12.75" customHeight="1" x14ac:dyDescent="0.2">
      <c r="B52368" s="43"/>
    </row>
    <row r="52369" spans="2:2" ht="12.75" customHeight="1" x14ac:dyDescent="0.2">
      <c r="B52369" s="43"/>
    </row>
    <row r="52370" spans="2:2" ht="12.75" customHeight="1" x14ac:dyDescent="0.2">
      <c r="B52370" s="43"/>
    </row>
    <row r="52371" spans="2:2" ht="12.75" customHeight="1" x14ac:dyDescent="0.2">
      <c r="B52371" s="43"/>
    </row>
    <row r="52372" spans="2:2" ht="12.75" customHeight="1" x14ac:dyDescent="0.2">
      <c r="B52372" s="43"/>
    </row>
    <row r="52373" spans="2:2" ht="12.75" customHeight="1" x14ac:dyDescent="0.2">
      <c r="B52373" s="43"/>
    </row>
    <row r="52374" spans="2:2" ht="12.75" customHeight="1" x14ac:dyDescent="0.2">
      <c r="B52374" s="43"/>
    </row>
    <row r="52375" spans="2:2" ht="12.75" customHeight="1" x14ac:dyDescent="0.2">
      <c r="B52375" s="43"/>
    </row>
    <row r="52376" spans="2:2" ht="12.75" customHeight="1" x14ac:dyDescent="0.2">
      <c r="B52376" s="43"/>
    </row>
    <row r="52377" spans="2:2" ht="12.75" customHeight="1" x14ac:dyDescent="0.2">
      <c r="B52377" s="43"/>
    </row>
    <row r="52378" spans="2:2" ht="12.75" customHeight="1" x14ac:dyDescent="0.2">
      <c r="B52378" s="43"/>
    </row>
    <row r="52379" spans="2:2" ht="12.75" customHeight="1" x14ac:dyDescent="0.2">
      <c r="B52379" s="43"/>
    </row>
    <row r="52380" spans="2:2" ht="12.75" customHeight="1" x14ac:dyDescent="0.2">
      <c r="B52380" s="43"/>
    </row>
    <row r="52381" spans="2:2" ht="12.75" customHeight="1" x14ac:dyDescent="0.2">
      <c r="B52381" s="43"/>
    </row>
    <row r="52382" spans="2:2" ht="12.75" customHeight="1" x14ac:dyDescent="0.2">
      <c r="B52382" s="43"/>
    </row>
    <row r="52383" spans="2:2" ht="12.75" customHeight="1" x14ac:dyDescent="0.2">
      <c r="B52383" s="43"/>
    </row>
    <row r="52384" spans="2:2" ht="12.75" customHeight="1" x14ac:dyDescent="0.2">
      <c r="B52384" s="43"/>
    </row>
    <row r="52385" spans="2:2" ht="12.75" customHeight="1" x14ac:dyDescent="0.2">
      <c r="B52385" s="43"/>
    </row>
    <row r="52386" spans="2:2" ht="12.75" customHeight="1" x14ac:dyDescent="0.2">
      <c r="B52386" s="43"/>
    </row>
    <row r="52387" spans="2:2" ht="12.75" customHeight="1" x14ac:dyDescent="0.2">
      <c r="B52387" s="43"/>
    </row>
    <row r="52388" spans="2:2" ht="12.75" customHeight="1" x14ac:dyDescent="0.2">
      <c r="B52388" s="43"/>
    </row>
    <row r="52389" spans="2:2" ht="12.75" customHeight="1" x14ac:dyDescent="0.2">
      <c r="B52389" s="43"/>
    </row>
    <row r="52390" spans="2:2" ht="12.75" customHeight="1" x14ac:dyDescent="0.2">
      <c r="B52390" s="43"/>
    </row>
    <row r="52391" spans="2:2" ht="12.75" customHeight="1" x14ac:dyDescent="0.2">
      <c r="B52391" s="43"/>
    </row>
    <row r="52392" spans="2:2" ht="12.75" customHeight="1" x14ac:dyDescent="0.2">
      <c r="B52392" s="43"/>
    </row>
    <row r="52393" spans="2:2" ht="12.75" customHeight="1" x14ac:dyDescent="0.2">
      <c r="B52393" s="43"/>
    </row>
    <row r="52394" spans="2:2" ht="12.75" customHeight="1" x14ac:dyDescent="0.2">
      <c r="B52394" s="43"/>
    </row>
    <row r="52395" spans="2:2" ht="12.75" customHeight="1" x14ac:dyDescent="0.2">
      <c r="B52395" s="43"/>
    </row>
    <row r="52396" spans="2:2" ht="12.75" customHeight="1" x14ac:dyDescent="0.2">
      <c r="B52396" s="43"/>
    </row>
    <row r="52397" spans="2:2" ht="12.75" customHeight="1" x14ac:dyDescent="0.2">
      <c r="B52397" s="43"/>
    </row>
    <row r="52398" spans="2:2" ht="12.75" customHeight="1" x14ac:dyDescent="0.2">
      <c r="B52398" s="43"/>
    </row>
    <row r="52399" spans="2:2" ht="12.75" customHeight="1" x14ac:dyDescent="0.2">
      <c r="B52399" s="43"/>
    </row>
    <row r="52400" spans="2:2" ht="12.75" customHeight="1" x14ac:dyDescent="0.2">
      <c r="B52400" s="43"/>
    </row>
    <row r="52401" spans="2:2" ht="12.75" customHeight="1" x14ac:dyDescent="0.2">
      <c r="B52401" s="43"/>
    </row>
    <row r="52402" spans="2:2" ht="12.75" customHeight="1" x14ac:dyDescent="0.2">
      <c r="B52402" s="43"/>
    </row>
    <row r="52403" spans="2:2" ht="12.75" customHeight="1" x14ac:dyDescent="0.2">
      <c r="B52403" s="43"/>
    </row>
    <row r="52404" spans="2:2" ht="12.75" customHeight="1" x14ac:dyDescent="0.2">
      <c r="B52404" s="43"/>
    </row>
    <row r="52405" spans="2:2" ht="12.75" customHeight="1" x14ac:dyDescent="0.2">
      <c r="B52405" s="43"/>
    </row>
    <row r="52406" spans="2:2" ht="12.75" customHeight="1" x14ac:dyDescent="0.2">
      <c r="B52406" s="43"/>
    </row>
    <row r="52407" spans="2:2" ht="12.75" customHeight="1" x14ac:dyDescent="0.2">
      <c r="B52407" s="43"/>
    </row>
    <row r="52408" spans="2:2" ht="12.75" customHeight="1" x14ac:dyDescent="0.2">
      <c r="B52408" s="43"/>
    </row>
    <row r="52409" spans="2:2" ht="12.75" customHeight="1" x14ac:dyDescent="0.2">
      <c r="B52409" s="43"/>
    </row>
    <row r="52410" spans="2:2" ht="12.75" customHeight="1" x14ac:dyDescent="0.2">
      <c r="B52410" s="43"/>
    </row>
    <row r="52411" spans="2:2" ht="12.75" customHeight="1" x14ac:dyDescent="0.2">
      <c r="B52411" s="43"/>
    </row>
    <row r="52412" spans="2:2" ht="12.75" customHeight="1" x14ac:dyDescent="0.2">
      <c r="B52412" s="43"/>
    </row>
    <row r="52413" spans="2:2" ht="12.75" customHeight="1" x14ac:dyDescent="0.2">
      <c r="B52413" s="43"/>
    </row>
    <row r="52414" spans="2:2" ht="12.75" customHeight="1" x14ac:dyDescent="0.2">
      <c r="B52414" s="43"/>
    </row>
    <row r="52415" spans="2:2" ht="12.75" customHeight="1" x14ac:dyDescent="0.2">
      <c r="B52415" s="43"/>
    </row>
    <row r="52416" spans="2:2" ht="12.75" customHeight="1" x14ac:dyDescent="0.2">
      <c r="B52416" s="43"/>
    </row>
    <row r="52417" spans="2:2" ht="12.75" customHeight="1" x14ac:dyDescent="0.2">
      <c r="B52417" s="43"/>
    </row>
    <row r="52418" spans="2:2" ht="12.75" customHeight="1" x14ac:dyDescent="0.2">
      <c r="B52418" s="43"/>
    </row>
    <row r="52419" spans="2:2" ht="12.75" customHeight="1" x14ac:dyDescent="0.2">
      <c r="B52419" s="43"/>
    </row>
    <row r="52420" spans="2:2" ht="12.75" customHeight="1" x14ac:dyDescent="0.2">
      <c r="B52420" s="43"/>
    </row>
    <row r="52421" spans="2:2" ht="12.75" customHeight="1" x14ac:dyDescent="0.2">
      <c r="B52421" s="43"/>
    </row>
    <row r="52422" spans="2:2" ht="12.75" customHeight="1" x14ac:dyDescent="0.2">
      <c r="B52422" s="43"/>
    </row>
    <row r="52423" spans="2:2" ht="12.75" customHeight="1" x14ac:dyDescent="0.2">
      <c r="B52423" s="43"/>
    </row>
    <row r="52424" spans="2:2" ht="12.75" customHeight="1" x14ac:dyDescent="0.2">
      <c r="B52424" s="43"/>
    </row>
    <row r="52425" spans="2:2" ht="12.75" customHeight="1" x14ac:dyDescent="0.2">
      <c r="B52425" s="43"/>
    </row>
    <row r="52426" spans="2:2" ht="12.75" customHeight="1" x14ac:dyDescent="0.2">
      <c r="B52426" s="43"/>
    </row>
    <row r="52427" spans="2:2" ht="12.75" customHeight="1" x14ac:dyDescent="0.2">
      <c r="B52427" s="43"/>
    </row>
    <row r="52428" spans="2:2" ht="12.75" customHeight="1" x14ac:dyDescent="0.2">
      <c r="B52428" s="43"/>
    </row>
    <row r="52429" spans="2:2" ht="12.75" customHeight="1" x14ac:dyDescent="0.2">
      <c r="B52429" s="43"/>
    </row>
    <row r="52430" spans="2:2" ht="12.75" customHeight="1" x14ac:dyDescent="0.2">
      <c r="B52430" s="43"/>
    </row>
    <row r="52431" spans="2:2" ht="12.75" customHeight="1" x14ac:dyDescent="0.2">
      <c r="B52431" s="43"/>
    </row>
    <row r="52432" spans="2:2" ht="12.75" customHeight="1" x14ac:dyDescent="0.2">
      <c r="B52432" s="43"/>
    </row>
    <row r="52433" spans="2:2" ht="12.75" customHeight="1" x14ac:dyDescent="0.2">
      <c r="B52433" s="43"/>
    </row>
    <row r="52434" spans="2:2" ht="12.75" customHeight="1" x14ac:dyDescent="0.2">
      <c r="B52434" s="43"/>
    </row>
    <row r="52435" spans="2:2" ht="12.75" customHeight="1" x14ac:dyDescent="0.2">
      <c r="B52435" s="43"/>
    </row>
    <row r="52436" spans="2:2" ht="12.75" customHeight="1" x14ac:dyDescent="0.2">
      <c r="B52436" s="43"/>
    </row>
    <row r="52437" spans="2:2" ht="12.75" customHeight="1" x14ac:dyDescent="0.2">
      <c r="B52437" s="43"/>
    </row>
    <row r="52438" spans="2:2" ht="12.75" customHeight="1" x14ac:dyDescent="0.2">
      <c r="B52438" s="43"/>
    </row>
    <row r="52439" spans="2:2" ht="12.75" customHeight="1" x14ac:dyDescent="0.2">
      <c r="B52439" s="43"/>
    </row>
    <row r="52440" spans="2:2" ht="12.75" customHeight="1" x14ac:dyDescent="0.2">
      <c r="B52440" s="43"/>
    </row>
    <row r="52441" spans="2:2" ht="12.75" customHeight="1" x14ac:dyDescent="0.2">
      <c r="B52441" s="43"/>
    </row>
    <row r="52442" spans="2:2" ht="12.75" customHeight="1" x14ac:dyDescent="0.2">
      <c r="B52442" s="43"/>
    </row>
    <row r="52443" spans="2:2" ht="12.75" customHeight="1" x14ac:dyDescent="0.2">
      <c r="B52443" s="43"/>
    </row>
    <row r="52444" spans="2:2" ht="12.75" customHeight="1" x14ac:dyDescent="0.2">
      <c r="B52444" s="43"/>
    </row>
    <row r="52445" spans="2:2" ht="12.75" customHeight="1" x14ac:dyDescent="0.2">
      <c r="B52445" s="43"/>
    </row>
    <row r="52446" spans="2:2" ht="12.75" customHeight="1" x14ac:dyDescent="0.2">
      <c r="B52446" s="43"/>
    </row>
    <row r="52447" spans="2:2" ht="12.75" customHeight="1" x14ac:dyDescent="0.2">
      <c r="B52447" s="43"/>
    </row>
    <row r="52448" spans="2:2" ht="12.75" customHeight="1" x14ac:dyDescent="0.2">
      <c r="B52448" s="43"/>
    </row>
    <row r="52449" spans="2:2" ht="12.75" customHeight="1" x14ac:dyDescent="0.2">
      <c r="B52449" s="43"/>
    </row>
    <row r="52450" spans="2:2" ht="12.75" customHeight="1" x14ac:dyDescent="0.2">
      <c r="B52450" s="43"/>
    </row>
    <row r="52451" spans="2:2" ht="12.75" customHeight="1" x14ac:dyDescent="0.2">
      <c r="B52451" s="43"/>
    </row>
    <row r="52452" spans="2:2" ht="12.75" customHeight="1" x14ac:dyDescent="0.2">
      <c r="B52452" s="43"/>
    </row>
    <row r="52453" spans="2:2" ht="12.75" customHeight="1" x14ac:dyDescent="0.2">
      <c r="B52453" s="43"/>
    </row>
    <row r="52454" spans="2:2" ht="12.75" customHeight="1" x14ac:dyDescent="0.2">
      <c r="B52454" s="43"/>
    </row>
    <row r="52455" spans="2:2" ht="12.75" customHeight="1" x14ac:dyDescent="0.2">
      <c r="B52455" s="43"/>
    </row>
    <row r="52456" spans="2:2" ht="12.75" customHeight="1" x14ac:dyDescent="0.2">
      <c r="B52456" s="43"/>
    </row>
    <row r="52457" spans="2:2" ht="12.75" customHeight="1" x14ac:dyDescent="0.2">
      <c r="B52457" s="43"/>
    </row>
    <row r="52458" spans="2:2" ht="12.75" customHeight="1" x14ac:dyDescent="0.2">
      <c r="B52458" s="43"/>
    </row>
    <row r="52459" spans="2:2" ht="12.75" customHeight="1" x14ac:dyDescent="0.2">
      <c r="B52459" s="43"/>
    </row>
    <row r="52460" spans="2:2" ht="12.75" customHeight="1" x14ac:dyDescent="0.2">
      <c r="B52460" s="43"/>
    </row>
    <row r="52461" spans="2:2" ht="12.75" customHeight="1" x14ac:dyDescent="0.2">
      <c r="B52461" s="43"/>
    </row>
    <row r="52462" spans="2:2" ht="12.75" customHeight="1" x14ac:dyDescent="0.2">
      <c r="B52462" s="43"/>
    </row>
    <row r="52463" spans="2:2" ht="12.75" customHeight="1" x14ac:dyDescent="0.2">
      <c r="B52463" s="43"/>
    </row>
    <row r="52464" spans="2:2" ht="12.75" customHeight="1" x14ac:dyDescent="0.2">
      <c r="B52464" s="43"/>
    </row>
    <row r="52465" spans="2:2" ht="12.75" customHeight="1" x14ac:dyDescent="0.2">
      <c r="B52465" s="43"/>
    </row>
    <row r="52466" spans="2:2" ht="12.75" customHeight="1" x14ac:dyDescent="0.2">
      <c r="B52466" s="43"/>
    </row>
    <row r="52467" spans="2:2" ht="12.75" customHeight="1" x14ac:dyDescent="0.2">
      <c r="B52467" s="43"/>
    </row>
    <row r="52468" spans="2:2" ht="12.75" customHeight="1" x14ac:dyDescent="0.2">
      <c r="B52468" s="43"/>
    </row>
    <row r="52469" spans="2:2" ht="12.75" customHeight="1" x14ac:dyDescent="0.2">
      <c r="B52469" s="43"/>
    </row>
    <row r="52470" spans="2:2" ht="12.75" customHeight="1" x14ac:dyDescent="0.2">
      <c r="B52470" s="43"/>
    </row>
    <row r="52471" spans="2:2" ht="12.75" customHeight="1" x14ac:dyDescent="0.2">
      <c r="B52471" s="43"/>
    </row>
    <row r="52472" spans="2:2" ht="12.75" customHeight="1" x14ac:dyDescent="0.2">
      <c r="B52472" s="43"/>
    </row>
    <row r="52473" spans="2:2" ht="12.75" customHeight="1" x14ac:dyDescent="0.2">
      <c r="B52473" s="43"/>
    </row>
    <row r="52474" spans="2:2" ht="12.75" customHeight="1" x14ac:dyDescent="0.2">
      <c r="B52474" s="43"/>
    </row>
    <row r="52475" spans="2:2" ht="12.75" customHeight="1" x14ac:dyDescent="0.2">
      <c r="B52475" s="43"/>
    </row>
    <row r="52476" spans="2:2" ht="12.75" customHeight="1" x14ac:dyDescent="0.2">
      <c r="B52476" s="43"/>
    </row>
    <row r="52477" spans="2:2" ht="12.75" customHeight="1" x14ac:dyDescent="0.2">
      <c r="B52477" s="43"/>
    </row>
    <row r="52478" spans="2:2" ht="12.75" customHeight="1" x14ac:dyDescent="0.2">
      <c r="B52478" s="43"/>
    </row>
    <row r="52479" spans="2:2" ht="12.75" customHeight="1" x14ac:dyDescent="0.2">
      <c r="B52479" s="43"/>
    </row>
    <row r="52480" spans="2:2" ht="12.75" customHeight="1" x14ac:dyDescent="0.2">
      <c r="B52480" s="43"/>
    </row>
    <row r="52481" spans="2:2" ht="12.75" customHeight="1" x14ac:dyDescent="0.2">
      <c r="B52481" s="43"/>
    </row>
    <row r="52482" spans="2:2" ht="12.75" customHeight="1" x14ac:dyDescent="0.2">
      <c r="B52482" s="43"/>
    </row>
    <row r="52483" spans="2:2" ht="12.75" customHeight="1" x14ac:dyDescent="0.2">
      <c r="B52483" s="43"/>
    </row>
    <row r="52484" spans="2:2" ht="12.75" customHeight="1" x14ac:dyDescent="0.2">
      <c r="B52484" s="43"/>
    </row>
    <row r="52485" spans="2:2" ht="12.75" customHeight="1" x14ac:dyDescent="0.2">
      <c r="B52485" s="43"/>
    </row>
    <row r="52486" spans="2:2" ht="12.75" customHeight="1" x14ac:dyDescent="0.2">
      <c r="B52486" s="43"/>
    </row>
    <row r="52487" spans="2:2" ht="12.75" customHeight="1" x14ac:dyDescent="0.2">
      <c r="B52487" s="43"/>
    </row>
    <row r="52488" spans="2:2" ht="12.75" customHeight="1" x14ac:dyDescent="0.2">
      <c r="B52488" s="43"/>
    </row>
    <row r="52489" spans="2:2" ht="12.75" customHeight="1" x14ac:dyDescent="0.2">
      <c r="B52489" s="43"/>
    </row>
    <row r="52490" spans="2:2" ht="12.75" customHeight="1" x14ac:dyDescent="0.2">
      <c r="B52490" s="43"/>
    </row>
    <row r="52491" spans="2:2" ht="12.75" customHeight="1" x14ac:dyDescent="0.2">
      <c r="B52491" s="43"/>
    </row>
    <row r="52492" spans="2:2" ht="12.75" customHeight="1" x14ac:dyDescent="0.2">
      <c r="B52492" s="43"/>
    </row>
    <row r="52493" spans="2:2" ht="12.75" customHeight="1" x14ac:dyDescent="0.2">
      <c r="B52493" s="43"/>
    </row>
    <row r="52494" spans="2:2" ht="12.75" customHeight="1" x14ac:dyDescent="0.2">
      <c r="B52494" s="43"/>
    </row>
    <row r="52495" spans="2:2" ht="12.75" customHeight="1" x14ac:dyDescent="0.2">
      <c r="B52495" s="43"/>
    </row>
    <row r="52496" spans="2:2" ht="12.75" customHeight="1" x14ac:dyDescent="0.2">
      <c r="B52496" s="43"/>
    </row>
    <row r="52497" spans="2:2" ht="12.75" customHeight="1" x14ac:dyDescent="0.2">
      <c r="B52497" s="43"/>
    </row>
    <row r="52498" spans="2:2" ht="12.75" customHeight="1" x14ac:dyDescent="0.2">
      <c r="B52498" s="43"/>
    </row>
    <row r="52499" spans="2:2" ht="12.75" customHeight="1" x14ac:dyDescent="0.2">
      <c r="B52499" s="43"/>
    </row>
    <row r="52500" spans="2:2" ht="12.75" customHeight="1" x14ac:dyDescent="0.2">
      <c r="B52500" s="43"/>
    </row>
    <row r="52501" spans="2:2" ht="12.75" customHeight="1" x14ac:dyDescent="0.2">
      <c r="B52501" s="43"/>
    </row>
    <row r="52502" spans="2:2" ht="12.75" customHeight="1" x14ac:dyDescent="0.2">
      <c r="B52502" s="43"/>
    </row>
    <row r="52503" spans="2:2" ht="12.75" customHeight="1" x14ac:dyDescent="0.2">
      <c r="B52503" s="43"/>
    </row>
    <row r="52504" spans="2:2" ht="12.75" customHeight="1" x14ac:dyDescent="0.2">
      <c r="B52504" s="43"/>
    </row>
    <row r="52505" spans="2:2" ht="12.75" customHeight="1" x14ac:dyDescent="0.2">
      <c r="B52505" s="43"/>
    </row>
    <row r="52506" spans="2:2" ht="12.75" customHeight="1" x14ac:dyDescent="0.2">
      <c r="B52506" s="43"/>
    </row>
    <row r="52507" spans="2:2" ht="12.75" customHeight="1" x14ac:dyDescent="0.2">
      <c r="B52507" s="43"/>
    </row>
    <row r="52508" spans="2:2" ht="12.75" customHeight="1" x14ac:dyDescent="0.2">
      <c r="B52508" s="43"/>
    </row>
    <row r="52509" spans="2:2" ht="12.75" customHeight="1" x14ac:dyDescent="0.2">
      <c r="B52509" s="43"/>
    </row>
    <row r="52510" spans="2:2" ht="12.75" customHeight="1" x14ac:dyDescent="0.2">
      <c r="B52510" s="43"/>
    </row>
    <row r="52511" spans="2:2" ht="12.75" customHeight="1" x14ac:dyDescent="0.2">
      <c r="B52511" s="43"/>
    </row>
    <row r="52512" spans="2:2" ht="12.75" customHeight="1" x14ac:dyDescent="0.2">
      <c r="B52512" s="43"/>
    </row>
    <row r="52513" spans="2:2" ht="12.75" customHeight="1" x14ac:dyDescent="0.2">
      <c r="B52513" s="43"/>
    </row>
    <row r="52514" spans="2:2" ht="12.75" customHeight="1" x14ac:dyDescent="0.2">
      <c r="B52514" s="43"/>
    </row>
    <row r="52515" spans="2:2" ht="12.75" customHeight="1" x14ac:dyDescent="0.2">
      <c r="B52515" s="43"/>
    </row>
    <row r="52516" spans="2:2" ht="12.75" customHeight="1" x14ac:dyDescent="0.2">
      <c r="B52516" s="43"/>
    </row>
    <row r="52517" spans="2:2" ht="12.75" customHeight="1" x14ac:dyDescent="0.2">
      <c r="B52517" s="43"/>
    </row>
    <row r="52518" spans="2:2" ht="12.75" customHeight="1" x14ac:dyDescent="0.2">
      <c r="B52518" s="43"/>
    </row>
    <row r="52519" spans="2:2" ht="12.75" customHeight="1" x14ac:dyDescent="0.2">
      <c r="B52519" s="43"/>
    </row>
    <row r="52520" spans="2:2" ht="12.75" customHeight="1" x14ac:dyDescent="0.2">
      <c r="B52520" s="43"/>
    </row>
    <row r="52521" spans="2:2" ht="12.75" customHeight="1" x14ac:dyDescent="0.2">
      <c r="B52521" s="43"/>
    </row>
    <row r="52522" spans="2:2" ht="12.75" customHeight="1" x14ac:dyDescent="0.2">
      <c r="B52522" s="43"/>
    </row>
    <row r="52523" spans="2:2" ht="12.75" customHeight="1" x14ac:dyDescent="0.2">
      <c r="B52523" s="43"/>
    </row>
    <row r="52524" spans="2:2" ht="12.75" customHeight="1" x14ac:dyDescent="0.2">
      <c r="B52524" s="43"/>
    </row>
    <row r="52525" spans="2:2" ht="12.75" customHeight="1" x14ac:dyDescent="0.2">
      <c r="B52525" s="43"/>
    </row>
    <row r="52526" spans="2:2" ht="12.75" customHeight="1" x14ac:dyDescent="0.2">
      <c r="B52526" s="43"/>
    </row>
    <row r="52527" spans="2:2" ht="12.75" customHeight="1" x14ac:dyDescent="0.2">
      <c r="B52527" s="43"/>
    </row>
    <row r="52528" spans="2:2" ht="12.75" customHeight="1" x14ac:dyDescent="0.2">
      <c r="B52528" s="43"/>
    </row>
    <row r="52529" spans="2:2" ht="12.75" customHeight="1" x14ac:dyDescent="0.2">
      <c r="B52529" s="43"/>
    </row>
    <row r="52530" spans="2:2" ht="12.75" customHeight="1" x14ac:dyDescent="0.2">
      <c r="B52530" s="43"/>
    </row>
    <row r="52531" spans="2:2" ht="12.75" customHeight="1" x14ac:dyDescent="0.2">
      <c r="B52531" s="43"/>
    </row>
    <row r="52532" spans="2:2" ht="12.75" customHeight="1" x14ac:dyDescent="0.2">
      <c r="B52532" s="43"/>
    </row>
    <row r="52533" spans="2:2" ht="12.75" customHeight="1" x14ac:dyDescent="0.2">
      <c r="B52533" s="43"/>
    </row>
    <row r="52534" spans="2:2" ht="12.75" customHeight="1" x14ac:dyDescent="0.2">
      <c r="B52534" s="43"/>
    </row>
    <row r="52535" spans="2:2" ht="12.75" customHeight="1" x14ac:dyDescent="0.2">
      <c r="B52535" s="43"/>
    </row>
    <row r="52536" spans="2:2" ht="12.75" customHeight="1" x14ac:dyDescent="0.2">
      <c r="B52536" s="43"/>
    </row>
    <row r="52537" spans="2:2" ht="12.75" customHeight="1" x14ac:dyDescent="0.2">
      <c r="B52537" s="43"/>
    </row>
    <row r="52538" spans="2:2" ht="12.75" customHeight="1" x14ac:dyDescent="0.2">
      <c r="B52538" s="43"/>
    </row>
    <row r="52539" spans="2:2" ht="12.75" customHeight="1" x14ac:dyDescent="0.2">
      <c r="B52539" s="43"/>
    </row>
    <row r="52540" spans="2:2" ht="12.75" customHeight="1" x14ac:dyDescent="0.2">
      <c r="B52540" s="43"/>
    </row>
    <row r="52541" spans="2:2" ht="12.75" customHeight="1" x14ac:dyDescent="0.2">
      <c r="B52541" s="43"/>
    </row>
    <row r="52542" spans="2:2" ht="12.75" customHeight="1" x14ac:dyDescent="0.2">
      <c r="B52542" s="43"/>
    </row>
    <row r="52543" spans="2:2" ht="12.75" customHeight="1" x14ac:dyDescent="0.2">
      <c r="B52543" s="43"/>
    </row>
    <row r="52544" spans="2:2" ht="12.75" customHeight="1" x14ac:dyDescent="0.2">
      <c r="B52544" s="43"/>
    </row>
    <row r="52545" spans="2:2" ht="12.75" customHeight="1" x14ac:dyDescent="0.2">
      <c r="B52545" s="43"/>
    </row>
    <row r="52546" spans="2:2" ht="12.75" customHeight="1" x14ac:dyDescent="0.2">
      <c r="B52546" s="43"/>
    </row>
    <row r="52547" spans="2:2" ht="12.75" customHeight="1" x14ac:dyDescent="0.2">
      <c r="B52547" s="43"/>
    </row>
    <row r="52548" spans="2:2" ht="12.75" customHeight="1" x14ac:dyDescent="0.2">
      <c r="B52548" s="43"/>
    </row>
    <row r="52549" spans="2:2" ht="12.75" customHeight="1" x14ac:dyDescent="0.2">
      <c r="B52549" s="43"/>
    </row>
    <row r="52550" spans="2:2" ht="12.75" customHeight="1" x14ac:dyDescent="0.2">
      <c r="B52550" s="43"/>
    </row>
    <row r="52551" spans="2:2" ht="12.75" customHeight="1" x14ac:dyDescent="0.2">
      <c r="B52551" s="43"/>
    </row>
    <row r="52552" spans="2:2" ht="12.75" customHeight="1" x14ac:dyDescent="0.2">
      <c r="B52552" s="43"/>
    </row>
    <row r="52553" spans="2:2" ht="12.75" customHeight="1" x14ac:dyDescent="0.2">
      <c r="B52553" s="43"/>
    </row>
    <row r="52554" spans="2:2" ht="12.75" customHeight="1" x14ac:dyDescent="0.2">
      <c r="B52554" s="43"/>
    </row>
    <row r="52555" spans="2:2" ht="12.75" customHeight="1" x14ac:dyDescent="0.2">
      <c r="B52555" s="43"/>
    </row>
    <row r="52556" spans="2:2" ht="12.75" customHeight="1" x14ac:dyDescent="0.2">
      <c r="B52556" s="43"/>
    </row>
    <row r="52557" spans="2:2" ht="12.75" customHeight="1" x14ac:dyDescent="0.2">
      <c r="B52557" s="43"/>
    </row>
    <row r="52558" spans="2:2" ht="12.75" customHeight="1" x14ac:dyDescent="0.2">
      <c r="B52558" s="43"/>
    </row>
    <row r="52559" spans="2:2" ht="12.75" customHeight="1" x14ac:dyDescent="0.2">
      <c r="B52559" s="43"/>
    </row>
    <row r="52560" spans="2:2" ht="12.75" customHeight="1" x14ac:dyDescent="0.2">
      <c r="B52560" s="43"/>
    </row>
    <row r="52561" spans="2:2" ht="12.75" customHeight="1" x14ac:dyDescent="0.2">
      <c r="B52561" s="43"/>
    </row>
    <row r="52562" spans="2:2" ht="12.75" customHeight="1" x14ac:dyDescent="0.2">
      <c r="B52562" s="43"/>
    </row>
    <row r="52563" spans="2:2" ht="12.75" customHeight="1" x14ac:dyDescent="0.2">
      <c r="B52563" s="43"/>
    </row>
    <row r="52564" spans="2:2" ht="12.75" customHeight="1" x14ac:dyDescent="0.2">
      <c r="B52564" s="43"/>
    </row>
    <row r="52565" spans="2:2" ht="12.75" customHeight="1" x14ac:dyDescent="0.2">
      <c r="B52565" s="43"/>
    </row>
    <row r="52566" spans="2:2" ht="12.75" customHeight="1" x14ac:dyDescent="0.2">
      <c r="B52566" s="43"/>
    </row>
    <row r="52567" spans="2:2" ht="12.75" customHeight="1" x14ac:dyDescent="0.2">
      <c r="B52567" s="43"/>
    </row>
    <row r="52568" spans="2:2" ht="12.75" customHeight="1" x14ac:dyDescent="0.2">
      <c r="B52568" s="43"/>
    </row>
    <row r="52569" spans="2:2" ht="12.75" customHeight="1" x14ac:dyDescent="0.2">
      <c r="B52569" s="43"/>
    </row>
    <row r="52570" spans="2:2" ht="12.75" customHeight="1" x14ac:dyDescent="0.2">
      <c r="B52570" s="43"/>
    </row>
    <row r="52571" spans="2:2" ht="12.75" customHeight="1" x14ac:dyDescent="0.2">
      <c r="B52571" s="43"/>
    </row>
    <row r="52572" spans="2:2" ht="12.75" customHeight="1" x14ac:dyDescent="0.2">
      <c r="B52572" s="43"/>
    </row>
    <row r="52573" spans="2:2" ht="12.75" customHeight="1" x14ac:dyDescent="0.2">
      <c r="B52573" s="43"/>
    </row>
    <row r="52574" spans="2:2" ht="12.75" customHeight="1" x14ac:dyDescent="0.2">
      <c r="B52574" s="43"/>
    </row>
    <row r="52575" spans="2:2" ht="12.75" customHeight="1" x14ac:dyDescent="0.2">
      <c r="B52575" s="43"/>
    </row>
    <row r="52576" spans="2:2" ht="12.75" customHeight="1" x14ac:dyDescent="0.2">
      <c r="B52576" s="43"/>
    </row>
    <row r="52577" spans="2:2" ht="12.75" customHeight="1" x14ac:dyDescent="0.2">
      <c r="B52577" s="43"/>
    </row>
    <row r="52578" spans="2:2" ht="12.75" customHeight="1" x14ac:dyDescent="0.2">
      <c r="B52578" s="43"/>
    </row>
    <row r="52579" spans="2:2" ht="12.75" customHeight="1" x14ac:dyDescent="0.2">
      <c r="B52579" s="43"/>
    </row>
    <row r="52580" spans="2:2" ht="12.75" customHeight="1" x14ac:dyDescent="0.2">
      <c r="B52580" s="43"/>
    </row>
    <row r="52581" spans="2:2" ht="12.75" customHeight="1" x14ac:dyDescent="0.2">
      <c r="B52581" s="43"/>
    </row>
    <row r="52582" spans="2:2" ht="12.75" customHeight="1" x14ac:dyDescent="0.2">
      <c r="B52582" s="43"/>
    </row>
    <row r="52583" spans="2:2" ht="12.75" customHeight="1" x14ac:dyDescent="0.2">
      <c r="B52583" s="43"/>
    </row>
    <row r="52584" spans="2:2" ht="12.75" customHeight="1" x14ac:dyDescent="0.2">
      <c r="B52584" s="43"/>
    </row>
    <row r="52585" spans="2:2" ht="12.75" customHeight="1" x14ac:dyDescent="0.2">
      <c r="B52585" s="43"/>
    </row>
    <row r="52586" spans="2:2" ht="12.75" customHeight="1" x14ac:dyDescent="0.2">
      <c r="B52586" s="43"/>
    </row>
    <row r="52587" spans="2:2" ht="12.75" customHeight="1" x14ac:dyDescent="0.2">
      <c r="B52587" s="43"/>
    </row>
    <row r="52588" spans="2:2" ht="12.75" customHeight="1" x14ac:dyDescent="0.2">
      <c r="B52588" s="43"/>
    </row>
    <row r="52589" spans="2:2" ht="12.75" customHeight="1" x14ac:dyDescent="0.2">
      <c r="B52589" s="43"/>
    </row>
    <row r="52590" spans="2:2" ht="12.75" customHeight="1" x14ac:dyDescent="0.2">
      <c r="B52590" s="43"/>
    </row>
    <row r="52591" spans="2:2" ht="12.75" customHeight="1" x14ac:dyDescent="0.2">
      <c r="B52591" s="43"/>
    </row>
    <row r="52592" spans="2:2" ht="12.75" customHeight="1" x14ac:dyDescent="0.2">
      <c r="B52592" s="43"/>
    </row>
    <row r="52593" spans="2:2" ht="12.75" customHeight="1" x14ac:dyDescent="0.2">
      <c r="B52593" s="43"/>
    </row>
    <row r="52594" spans="2:2" ht="12.75" customHeight="1" x14ac:dyDescent="0.2">
      <c r="B52594" s="43"/>
    </row>
    <row r="52595" spans="2:2" ht="12.75" customHeight="1" x14ac:dyDescent="0.2">
      <c r="B52595" s="43"/>
    </row>
    <row r="52596" spans="2:2" ht="12.75" customHeight="1" x14ac:dyDescent="0.2">
      <c r="B52596" s="43"/>
    </row>
    <row r="52597" spans="2:2" ht="12.75" customHeight="1" x14ac:dyDescent="0.2">
      <c r="B52597" s="43"/>
    </row>
    <row r="52598" spans="2:2" ht="12.75" customHeight="1" x14ac:dyDescent="0.2">
      <c r="B52598" s="43"/>
    </row>
    <row r="52599" spans="2:2" ht="12.75" customHeight="1" x14ac:dyDescent="0.2">
      <c r="B52599" s="43"/>
    </row>
    <row r="52600" spans="2:2" ht="12.75" customHeight="1" x14ac:dyDescent="0.2">
      <c r="B52600" s="43"/>
    </row>
    <row r="52601" spans="2:2" ht="12.75" customHeight="1" x14ac:dyDescent="0.2">
      <c r="B52601" s="43"/>
    </row>
    <row r="52602" spans="2:2" ht="12.75" customHeight="1" x14ac:dyDescent="0.2">
      <c r="B52602" s="43"/>
    </row>
    <row r="52603" spans="2:2" ht="12.75" customHeight="1" x14ac:dyDescent="0.2">
      <c r="B52603" s="43"/>
    </row>
    <row r="52604" spans="2:2" ht="12.75" customHeight="1" x14ac:dyDescent="0.2">
      <c r="B52604" s="43"/>
    </row>
    <row r="52605" spans="2:2" ht="12.75" customHeight="1" x14ac:dyDescent="0.2">
      <c r="B52605" s="43"/>
    </row>
    <row r="52606" spans="2:2" ht="12.75" customHeight="1" x14ac:dyDescent="0.2">
      <c r="B52606" s="43"/>
    </row>
    <row r="52607" spans="2:2" ht="12.75" customHeight="1" x14ac:dyDescent="0.2">
      <c r="B52607" s="43"/>
    </row>
    <row r="52608" spans="2:2" ht="12.75" customHeight="1" x14ac:dyDescent="0.2">
      <c r="B52608" s="43"/>
    </row>
    <row r="52609" spans="2:2" ht="12.75" customHeight="1" x14ac:dyDescent="0.2">
      <c r="B52609" s="43"/>
    </row>
    <row r="52610" spans="2:2" ht="12.75" customHeight="1" x14ac:dyDescent="0.2">
      <c r="B52610" s="43"/>
    </row>
    <row r="52611" spans="2:2" ht="12.75" customHeight="1" x14ac:dyDescent="0.2">
      <c r="B52611" s="43"/>
    </row>
    <row r="52612" spans="2:2" ht="12.75" customHeight="1" x14ac:dyDescent="0.2">
      <c r="B52612" s="43"/>
    </row>
    <row r="52613" spans="2:2" ht="12.75" customHeight="1" x14ac:dyDescent="0.2">
      <c r="B52613" s="43"/>
    </row>
    <row r="52614" spans="2:2" ht="12.75" customHeight="1" x14ac:dyDescent="0.2">
      <c r="B52614" s="43"/>
    </row>
    <row r="52615" spans="2:2" ht="12.75" customHeight="1" x14ac:dyDescent="0.2">
      <c r="B52615" s="43"/>
    </row>
    <row r="52616" spans="2:2" ht="12.75" customHeight="1" x14ac:dyDescent="0.2">
      <c r="B52616" s="43"/>
    </row>
    <row r="52617" spans="2:2" ht="12.75" customHeight="1" x14ac:dyDescent="0.2">
      <c r="B52617" s="43"/>
    </row>
    <row r="52618" spans="2:2" ht="12.75" customHeight="1" x14ac:dyDescent="0.2">
      <c r="B52618" s="43"/>
    </row>
    <row r="52619" spans="2:2" ht="12.75" customHeight="1" x14ac:dyDescent="0.2">
      <c r="B52619" s="43"/>
    </row>
    <row r="52620" spans="2:2" ht="12.75" customHeight="1" x14ac:dyDescent="0.2">
      <c r="B52620" s="43"/>
    </row>
    <row r="52621" spans="2:2" ht="12.75" customHeight="1" x14ac:dyDescent="0.2">
      <c r="B52621" s="43"/>
    </row>
    <row r="52622" spans="2:2" ht="12.75" customHeight="1" x14ac:dyDescent="0.2">
      <c r="B52622" s="43"/>
    </row>
    <row r="52623" spans="2:2" ht="12.75" customHeight="1" x14ac:dyDescent="0.2">
      <c r="B52623" s="43"/>
    </row>
    <row r="52624" spans="2:2" ht="12.75" customHeight="1" x14ac:dyDescent="0.2">
      <c r="B52624" s="43"/>
    </row>
    <row r="52625" spans="2:2" ht="12.75" customHeight="1" x14ac:dyDescent="0.2">
      <c r="B52625" s="43"/>
    </row>
    <row r="52626" spans="2:2" ht="12.75" customHeight="1" x14ac:dyDescent="0.2">
      <c r="B52626" s="43"/>
    </row>
    <row r="52627" spans="2:2" ht="12.75" customHeight="1" x14ac:dyDescent="0.2">
      <c r="B52627" s="43"/>
    </row>
    <row r="52628" spans="2:2" ht="12.75" customHeight="1" x14ac:dyDescent="0.2">
      <c r="B52628" s="43"/>
    </row>
    <row r="52629" spans="2:2" ht="12.75" customHeight="1" x14ac:dyDescent="0.2">
      <c r="B52629" s="43"/>
    </row>
    <row r="52630" spans="2:2" ht="12.75" customHeight="1" x14ac:dyDescent="0.2">
      <c r="B52630" s="43"/>
    </row>
    <row r="52631" spans="2:2" ht="12.75" customHeight="1" x14ac:dyDescent="0.2">
      <c r="B52631" s="43"/>
    </row>
    <row r="52632" spans="2:2" ht="12.75" customHeight="1" x14ac:dyDescent="0.2">
      <c r="B52632" s="43"/>
    </row>
    <row r="52633" spans="2:2" ht="12.75" customHeight="1" x14ac:dyDescent="0.2">
      <c r="B52633" s="43"/>
    </row>
    <row r="52634" spans="2:2" ht="12.75" customHeight="1" x14ac:dyDescent="0.2">
      <c r="B52634" s="43"/>
    </row>
    <row r="52635" spans="2:2" ht="12.75" customHeight="1" x14ac:dyDescent="0.2">
      <c r="B52635" s="43"/>
    </row>
    <row r="52636" spans="2:2" ht="12.75" customHeight="1" x14ac:dyDescent="0.2">
      <c r="B52636" s="43"/>
    </row>
    <row r="52637" spans="2:2" ht="12.75" customHeight="1" x14ac:dyDescent="0.2">
      <c r="B52637" s="43"/>
    </row>
    <row r="52638" spans="2:2" ht="12.75" customHeight="1" x14ac:dyDescent="0.2">
      <c r="B52638" s="43"/>
    </row>
    <row r="52639" spans="2:2" ht="12.75" customHeight="1" x14ac:dyDescent="0.2">
      <c r="B52639" s="43"/>
    </row>
    <row r="52640" spans="2:2" ht="12.75" customHeight="1" x14ac:dyDescent="0.2">
      <c r="B52640" s="43"/>
    </row>
    <row r="52641" spans="2:2" ht="12.75" customHeight="1" x14ac:dyDescent="0.2">
      <c r="B52641" s="43"/>
    </row>
    <row r="52642" spans="2:2" ht="12.75" customHeight="1" x14ac:dyDescent="0.2">
      <c r="B52642" s="43"/>
    </row>
    <row r="52643" spans="2:2" ht="12.75" customHeight="1" x14ac:dyDescent="0.2">
      <c r="B52643" s="43"/>
    </row>
    <row r="52644" spans="2:2" ht="12.75" customHeight="1" x14ac:dyDescent="0.2">
      <c r="B52644" s="43"/>
    </row>
    <row r="52645" spans="2:2" ht="12.75" customHeight="1" x14ac:dyDescent="0.2">
      <c r="B52645" s="43"/>
    </row>
    <row r="52646" spans="2:2" ht="12.75" customHeight="1" x14ac:dyDescent="0.2">
      <c r="B52646" s="43"/>
    </row>
    <row r="52647" spans="2:2" ht="12.75" customHeight="1" x14ac:dyDescent="0.2">
      <c r="B52647" s="43"/>
    </row>
    <row r="52648" spans="2:2" ht="12.75" customHeight="1" x14ac:dyDescent="0.2">
      <c r="B52648" s="43"/>
    </row>
    <row r="52649" spans="2:2" ht="12.75" customHeight="1" x14ac:dyDescent="0.2">
      <c r="B52649" s="43"/>
    </row>
    <row r="52650" spans="2:2" ht="12.75" customHeight="1" x14ac:dyDescent="0.2">
      <c r="B52650" s="43"/>
    </row>
    <row r="52651" spans="2:2" ht="12.75" customHeight="1" x14ac:dyDescent="0.2">
      <c r="B52651" s="43"/>
    </row>
    <row r="52652" spans="2:2" ht="12.75" customHeight="1" x14ac:dyDescent="0.2">
      <c r="B52652" s="43"/>
    </row>
    <row r="52653" spans="2:2" ht="12.75" customHeight="1" x14ac:dyDescent="0.2">
      <c r="B52653" s="43"/>
    </row>
    <row r="52654" spans="2:2" ht="12.75" customHeight="1" x14ac:dyDescent="0.2">
      <c r="B52654" s="43"/>
    </row>
    <row r="52655" spans="2:2" ht="12.75" customHeight="1" x14ac:dyDescent="0.2">
      <c r="B52655" s="43"/>
    </row>
    <row r="52656" spans="2:2" ht="12.75" customHeight="1" x14ac:dyDescent="0.2">
      <c r="B52656" s="43"/>
    </row>
    <row r="52657" spans="2:2" ht="12.75" customHeight="1" x14ac:dyDescent="0.2">
      <c r="B52657" s="43"/>
    </row>
    <row r="52658" spans="2:2" ht="12.75" customHeight="1" x14ac:dyDescent="0.2">
      <c r="B52658" s="43"/>
    </row>
    <row r="52659" spans="2:2" ht="12.75" customHeight="1" x14ac:dyDescent="0.2">
      <c r="B52659" s="43"/>
    </row>
    <row r="52660" spans="2:2" ht="12.75" customHeight="1" x14ac:dyDescent="0.2">
      <c r="B52660" s="43"/>
    </row>
    <row r="52661" spans="2:2" ht="12.75" customHeight="1" x14ac:dyDescent="0.2">
      <c r="B52661" s="43"/>
    </row>
    <row r="52662" spans="2:2" ht="12.75" customHeight="1" x14ac:dyDescent="0.2">
      <c r="B52662" s="43"/>
    </row>
    <row r="52663" spans="2:2" ht="12.75" customHeight="1" x14ac:dyDescent="0.2">
      <c r="B52663" s="43"/>
    </row>
    <row r="52664" spans="2:2" ht="12.75" customHeight="1" x14ac:dyDescent="0.2">
      <c r="B52664" s="43"/>
    </row>
    <row r="52665" spans="2:2" ht="12.75" customHeight="1" x14ac:dyDescent="0.2">
      <c r="B52665" s="43"/>
    </row>
    <row r="52666" spans="2:2" ht="12.75" customHeight="1" x14ac:dyDescent="0.2">
      <c r="B52666" s="43"/>
    </row>
    <row r="52667" spans="2:2" ht="12.75" customHeight="1" x14ac:dyDescent="0.2">
      <c r="B52667" s="43"/>
    </row>
    <row r="52668" spans="2:2" ht="12.75" customHeight="1" x14ac:dyDescent="0.2">
      <c r="B52668" s="43"/>
    </row>
    <row r="52669" spans="2:2" ht="12.75" customHeight="1" x14ac:dyDescent="0.2">
      <c r="B52669" s="43"/>
    </row>
    <row r="52670" spans="2:2" ht="12.75" customHeight="1" x14ac:dyDescent="0.2">
      <c r="B52670" s="43"/>
    </row>
    <row r="52671" spans="2:2" ht="12.75" customHeight="1" x14ac:dyDescent="0.2">
      <c r="B52671" s="43"/>
    </row>
    <row r="52672" spans="2:2" ht="12.75" customHeight="1" x14ac:dyDescent="0.2">
      <c r="B52672" s="43"/>
    </row>
    <row r="52673" spans="2:2" ht="12.75" customHeight="1" x14ac:dyDescent="0.2">
      <c r="B52673" s="43"/>
    </row>
    <row r="52674" spans="2:2" ht="12.75" customHeight="1" x14ac:dyDescent="0.2">
      <c r="B52674" s="43"/>
    </row>
    <row r="52675" spans="2:2" ht="12.75" customHeight="1" x14ac:dyDescent="0.2">
      <c r="B52675" s="43"/>
    </row>
    <row r="52676" spans="2:2" ht="12.75" customHeight="1" x14ac:dyDescent="0.2">
      <c r="B52676" s="43"/>
    </row>
    <row r="52677" spans="2:2" ht="12.75" customHeight="1" x14ac:dyDescent="0.2">
      <c r="B52677" s="43"/>
    </row>
    <row r="52678" spans="2:2" ht="12.75" customHeight="1" x14ac:dyDescent="0.2">
      <c r="B52678" s="43"/>
    </row>
    <row r="52679" spans="2:2" ht="12.75" customHeight="1" x14ac:dyDescent="0.2">
      <c r="B52679" s="43"/>
    </row>
    <row r="52680" spans="2:2" ht="12.75" customHeight="1" x14ac:dyDescent="0.2">
      <c r="B52680" s="43"/>
    </row>
    <row r="52681" spans="2:2" ht="12.75" customHeight="1" x14ac:dyDescent="0.2">
      <c r="B52681" s="43"/>
    </row>
    <row r="52682" spans="2:2" ht="12.75" customHeight="1" x14ac:dyDescent="0.2">
      <c r="B52682" s="43"/>
    </row>
    <row r="52683" spans="2:2" ht="12.75" customHeight="1" x14ac:dyDescent="0.2">
      <c r="B52683" s="43"/>
    </row>
    <row r="52684" spans="2:2" ht="12.75" customHeight="1" x14ac:dyDescent="0.2">
      <c r="B52684" s="43"/>
    </row>
    <row r="52685" spans="2:2" ht="12.75" customHeight="1" x14ac:dyDescent="0.2">
      <c r="B52685" s="43"/>
    </row>
    <row r="52686" spans="2:2" ht="12.75" customHeight="1" x14ac:dyDescent="0.2">
      <c r="B52686" s="43"/>
    </row>
    <row r="52687" spans="2:2" ht="12.75" customHeight="1" x14ac:dyDescent="0.2">
      <c r="B52687" s="43"/>
    </row>
    <row r="52688" spans="2:2" ht="12.75" customHeight="1" x14ac:dyDescent="0.2">
      <c r="B52688" s="43"/>
    </row>
    <row r="52689" spans="2:2" ht="12.75" customHeight="1" x14ac:dyDescent="0.2">
      <c r="B52689" s="43"/>
    </row>
    <row r="52690" spans="2:2" ht="12.75" customHeight="1" x14ac:dyDescent="0.2">
      <c r="B52690" s="43"/>
    </row>
    <row r="52691" spans="2:2" ht="12.75" customHeight="1" x14ac:dyDescent="0.2">
      <c r="B52691" s="43"/>
    </row>
    <row r="52692" spans="2:2" ht="12.75" customHeight="1" x14ac:dyDescent="0.2">
      <c r="B52692" s="43"/>
    </row>
    <row r="52693" spans="2:2" ht="12.75" customHeight="1" x14ac:dyDescent="0.2">
      <c r="B52693" s="43"/>
    </row>
    <row r="52694" spans="2:2" ht="12.75" customHeight="1" x14ac:dyDescent="0.2">
      <c r="B52694" s="43"/>
    </row>
    <row r="52695" spans="2:2" ht="12.75" customHeight="1" x14ac:dyDescent="0.2">
      <c r="B52695" s="43"/>
    </row>
    <row r="52696" spans="2:2" ht="12.75" customHeight="1" x14ac:dyDescent="0.2">
      <c r="B52696" s="43"/>
    </row>
    <row r="52697" spans="2:2" ht="12.75" customHeight="1" x14ac:dyDescent="0.2">
      <c r="B52697" s="43"/>
    </row>
    <row r="52698" spans="2:2" ht="12.75" customHeight="1" x14ac:dyDescent="0.2">
      <c r="B52698" s="43"/>
    </row>
    <row r="52699" spans="2:2" ht="12.75" customHeight="1" x14ac:dyDescent="0.2">
      <c r="B52699" s="43"/>
    </row>
    <row r="52700" spans="2:2" ht="12.75" customHeight="1" x14ac:dyDescent="0.2">
      <c r="B52700" s="43"/>
    </row>
    <row r="52701" spans="2:2" ht="12.75" customHeight="1" x14ac:dyDescent="0.2">
      <c r="B52701" s="43"/>
    </row>
    <row r="52702" spans="2:2" ht="12.75" customHeight="1" x14ac:dyDescent="0.2">
      <c r="B52702" s="43"/>
    </row>
    <row r="52703" spans="2:2" ht="12.75" customHeight="1" x14ac:dyDescent="0.2">
      <c r="B52703" s="43"/>
    </row>
    <row r="52704" spans="2:2" ht="12.75" customHeight="1" x14ac:dyDescent="0.2">
      <c r="B52704" s="43"/>
    </row>
    <row r="52705" spans="2:2" ht="12.75" customHeight="1" x14ac:dyDescent="0.2">
      <c r="B52705" s="43"/>
    </row>
    <row r="52706" spans="2:2" ht="12.75" customHeight="1" x14ac:dyDescent="0.2">
      <c r="B52706" s="43"/>
    </row>
    <row r="52707" spans="2:2" ht="12.75" customHeight="1" x14ac:dyDescent="0.2">
      <c r="B52707" s="43"/>
    </row>
    <row r="52708" spans="2:2" ht="12.75" customHeight="1" x14ac:dyDescent="0.2">
      <c r="B52708" s="43"/>
    </row>
    <row r="52709" spans="2:2" ht="12.75" customHeight="1" x14ac:dyDescent="0.2">
      <c r="B52709" s="43"/>
    </row>
    <row r="52710" spans="2:2" ht="12.75" customHeight="1" x14ac:dyDescent="0.2">
      <c r="B52710" s="43"/>
    </row>
    <row r="52711" spans="2:2" ht="12.75" customHeight="1" x14ac:dyDescent="0.2">
      <c r="B52711" s="43"/>
    </row>
    <row r="52712" spans="2:2" ht="12.75" customHeight="1" x14ac:dyDescent="0.2">
      <c r="B52712" s="43"/>
    </row>
    <row r="52713" spans="2:2" ht="12.75" customHeight="1" x14ac:dyDescent="0.2">
      <c r="B52713" s="43"/>
    </row>
    <row r="52714" spans="2:2" ht="12.75" customHeight="1" x14ac:dyDescent="0.2">
      <c r="B52714" s="43"/>
    </row>
    <row r="52715" spans="2:2" ht="12.75" customHeight="1" x14ac:dyDescent="0.2">
      <c r="B52715" s="43"/>
    </row>
    <row r="52716" spans="2:2" ht="12.75" customHeight="1" x14ac:dyDescent="0.2">
      <c r="B52716" s="43"/>
    </row>
    <row r="52717" spans="2:2" ht="12.75" customHeight="1" x14ac:dyDescent="0.2">
      <c r="B52717" s="43"/>
    </row>
    <row r="52718" spans="2:2" ht="12.75" customHeight="1" x14ac:dyDescent="0.2">
      <c r="B52718" s="43"/>
    </row>
    <row r="52719" spans="2:2" ht="12.75" customHeight="1" x14ac:dyDescent="0.2">
      <c r="B52719" s="43"/>
    </row>
    <row r="52720" spans="2:2" ht="12.75" customHeight="1" x14ac:dyDescent="0.2">
      <c r="B52720" s="43"/>
    </row>
    <row r="52721" spans="2:2" ht="12.75" customHeight="1" x14ac:dyDescent="0.2">
      <c r="B52721" s="43"/>
    </row>
    <row r="52722" spans="2:2" ht="12.75" customHeight="1" x14ac:dyDescent="0.2">
      <c r="B52722" s="43"/>
    </row>
    <row r="52723" spans="2:2" ht="12.75" customHeight="1" x14ac:dyDescent="0.2">
      <c r="B52723" s="43"/>
    </row>
    <row r="52724" spans="2:2" ht="12.75" customHeight="1" x14ac:dyDescent="0.2">
      <c r="B52724" s="43"/>
    </row>
    <row r="52725" spans="2:2" ht="12.75" customHeight="1" x14ac:dyDescent="0.2">
      <c r="B52725" s="43"/>
    </row>
    <row r="52726" spans="2:2" ht="12.75" customHeight="1" x14ac:dyDescent="0.2">
      <c r="B52726" s="43"/>
    </row>
    <row r="52727" spans="2:2" ht="12.75" customHeight="1" x14ac:dyDescent="0.2">
      <c r="B52727" s="43"/>
    </row>
    <row r="52728" spans="2:2" ht="12.75" customHeight="1" x14ac:dyDescent="0.2">
      <c r="B52728" s="43"/>
    </row>
    <row r="52729" spans="2:2" ht="12.75" customHeight="1" x14ac:dyDescent="0.2">
      <c r="B52729" s="43"/>
    </row>
    <row r="52730" spans="2:2" ht="12.75" customHeight="1" x14ac:dyDescent="0.2">
      <c r="B52730" s="43"/>
    </row>
    <row r="52731" spans="2:2" ht="12.75" customHeight="1" x14ac:dyDescent="0.2">
      <c r="B52731" s="43"/>
    </row>
    <row r="52732" spans="2:2" ht="12.75" customHeight="1" x14ac:dyDescent="0.2">
      <c r="B52732" s="43"/>
    </row>
    <row r="52733" spans="2:2" ht="12.75" customHeight="1" x14ac:dyDescent="0.2">
      <c r="B52733" s="43"/>
    </row>
    <row r="52734" spans="2:2" ht="12.75" customHeight="1" x14ac:dyDescent="0.2">
      <c r="B52734" s="43"/>
    </row>
    <row r="52735" spans="2:2" ht="12.75" customHeight="1" x14ac:dyDescent="0.2">
      <c r="B52735" s="43"/>
    </row>
    <row r="52736" spans="2:2" ht="12.75" customHeight="1" x14ac:dyDescent="0.2">
      <c r="B52736" s="43"/>
    </row>
    <row r="52737" spans="2:2" ht="12.75" customHeight="1" x14ac:dyDescent="0.2">
      <c r="B52737" s="43"/>
    </row>
    <row r="52738" spans="2:2" ht="12.75" customHeight="1" x14ac:dyDescent="0.2">
      <c r="B52738" s="43"/>
    </row>
    <row r="52739" spans="2:2" ht="12.75" customHeight="1" x14ac:dyDescent="0.2">
      <c r="B52739" s="43"/>
    </row>
    <row r="52740" spans="2:2" ht="12.75" customHeight="1" x14ac:dyDescent="0.2">
      <c r="B52740" s="43"/>
    </row>
    <row r="52741" spans="2:2" ht="12.75" customHeight="1" x14ac:dyDescent="0.2">
      <c r="B52741" s="43"/>
    </row>
    <row r="52742" spans="2:2" ht="12.75" customHeight="1" x14ac:dyDescent="0.2">
      <c r="B52742" s="43"/>
    </row>
    <row r="52743" spans="2:2" ht="12.75" customHeight="1" x14ac:dyDescent="0.2">
      <c r="B52743" s="43"/>
    </row>
    <row r="52744" spans="2:2" ht="12.75" customHeight="1" x14ac:dyDescent="0.2">
      <c r="B52744" s="43"/>
    </row>
    <row r="52745" spans="2:2" ht="12.75" customHeight="1" x14ac:dyDescent="0.2">
      <c r="B52745" s="43"/>
    </row>
    <row r="52746" spans="2:2" ht="12.75" customHeight="1" x14ac:dyDescent="0.2">
      <c r="B52746" s="43"/>
    </row>
    <row r="52747" spans="2:2" ht="12.75" customHeight="1" x14ac:dyDescent="0.2">
      <c r="B52747" s="43"/>
    </row>
    <row r="52748" spans="2:2" ht="12.75" customHeight="1" x14ac:dyDescent="0.2">
      <c r="B52748" s="43"/>
    </row>
    <row r="52749" spans="2:2" ht="12.75" customHeight="1" x14ac:dyDescent="0.2">
      <c r="B52749" s="43"/>
    </row>
    <row r="52750" spans="2:2" ht="12.75" customHeight="1" x14ac:dyDescent="0.2">
      <c r="B52750" s="43"/>
    </row>
    <row r="52751" spans="2:2" ht="12.75" customHeight="1" x14ac:dyDescent="0.2">
      <c r="B52751" s="43"/>
    </row>
    <row r="52752" spans="2:2" ht="12.75" customHeight="1" x14ac:dyDescent="0.2">
      <c r="B52752" s="43"/>
    </row>
    <row r="52753" spans="2:2" ht="12.75" customHeight="1" x14ac:dyDescent="0.2">
      <c r="B52753" s="43"/>
    </row>
    <row r="52754" spans="2:2" ht="12.75" customHeight="1" x14ac:dyDescent="0.2">
      <c r="B52754" s="43"/>
    </row>
    <row r="52755" spans="2:2" ht="12.75" customHeight="1" x14ac:dyDescent="0.2">
      <c r="B52755" s="43"/>
    </row>
    <row r="52756" spans="2:2" ht="12.75" customHeight="1" x14ac:dyDescent="0.2">
      <c r="B52756" s="43"/>
    </row>
    <row r="52757" spans="2:2" ht="12.75" customHeight="1" x14ac:dyDescent="0.2">
      <c r="B52757" s="43"/>
    </row>
    <row r="52758" spans="2:2" ht="12.75" customHeight="1" x14ac:dyDescent="0.2">
      <c r="B52758" s="43"/>
    </row>
    <row r="52759" spans="2:2" ht="12.75" customHeight="1" x14ac:dyDescent="0.2">
      <c r="B52759" s="43"/>
    </row>
    <row r="52760" spans="2:2" ht="12.75" customHeight="1" x14ac:dyDescent="0.2">
      <c r="B52760" s="43"/>
    </row>
    <row r="52761" spans="2:2" ht="12.75" customHeight="1" x14ac:dyDescent="0.2">
      <c r="B52761" s="43"/>
    </row>
    <row r="52762" spans="2:2" ht="12.75" customHeight="1" x14ac:dyDescent="0.2">
      <c r="B52762" s="43"/>
    </row>
    <row r="52763" spans="2:2" ht="12.75" customHeight="1" x14ac:dyDescent="0.2">
      <c r="B52763" s="43"/>
    </row>
    <row r="52764" spans="2:2" ht="12.75" customHeight="1" x14ac:dyDescent="0.2">
      <c r="B52764" s="43"/>
    </row>
    <row r="52765" spans="2:2" ht="12.75" customHeight="1" x14ac:dyDescent="0.2">
      <c r="B52765" s="43"/>
    </row>
    <row r="52766" spans="2:2" ht="12.75" customHeight="1" x14ac:dyDescent="0.2">
      <c r="B52766" s="43"/>
    </row>
    <row r="52767" spans="2:2" ht="12.75" customHeight="1" x14ac:dyDescent="0.2">
      <c r="B52767" s="43"/>
    </row>
    <row r="52768" spans="2:2" ht="12.75" customHeight="1" x14ac:dyDescent="0.2">
      <c r="B52768" s="43"/>
    </row>
    <row r="52769" spans="2:2" ht="12.75" customHeight="1" x14ac:dyDescent="0.2">
      <c r="B52769" s="43"/>
    </row>
    <row r="52770" spans="2:2" ht="12.75" customHeight="1" x14ac:dyDescent="0.2">
      <c r="B52770" s="43"/>
    </row>
    <row r="52771" spans="2:2" ht="12.75" customHeight="1" x14ac:dyDescent="0.2">
      <c r="B52771" s="43"/>
    </row>
    <row r="52772" spans="2:2" ht="12.75" customHeight="1" x14ac:dyDescent="0.2">
      <c r="B52772" s="43"/>
    </row>
    <row r="52773" spans="2:2" ht="12.75" customHeight="1" x14ac:dyDescent="0.2">
      <c r="B52773" s="43"/>
    </row>
    <row r="52774" spans="2:2" ht="12.75" customHeight="1" x14ac:dyDescent="0.2">
      <c r="B52774" s="43"/>
    </row>
    <row r="52775" spans="2:2" ht="12.75" customHeight="1" x14ac:dyDescent="0.2">
      <c r="B52775" s="43"/>
    </row>
    <row r="52776" spans="2:2" ht="12.75" customHeight="1" x14ac:dyDescent="0.2">
      <c r="B52776" s="43"/>
    </row>
    <row r="52777" spans="2:2" ht="12.75" customHeight="1" x14ac:dyDescent="0.2">
      <c r="B52777" s="43"/>
    </row>
    <row r="52778" spans="2:2" ht="12.75" customHeight="1" x14ac:dyDescent="0.2">
      <c r="B52778" s="43"/>
    </row>
    <row r="52779" spans="2:2" ht="12.75" customHeight="1" x14ac:dyDescent="0.2">
      <c r="B52779" s="43"/>
    </row>
    <row r="52780" spans="2:2" ht="12.75" customHeight="1" x14ac:dyDescent="0.2">
      <c r="B52780" s="43"/>
    </row>
    <row r="52781" spans="2:2" ht="12.75" customHeight="1" x14ac:dyDescent="0.2">
      <c r="B52781" s="43"/>
    </row>
    <row r="52782" spans="2:2" ht="12.75" customHeight="1" x14ac:dyDescent="0.2">
      <c r="B52782" s="43"/>
    </row>
    <row r="52783" spans="2:2" ht="12.75" customHeight="1" x14ac:dyDescent="0.2">
      <c r="B52783" s="43"/>
    </row>
    <row r="52784" spans="2:2" ht="12.75" customHeight="1" x14ac:dyDescent="0.2">
      <c r="B52784" s="43"/>
    </row>
    <row r="52785" spans="2:2" ht="12.75" customHeight="1" x14ac:dyDescent="0.2">
      <c r="B52785" s="43"/>
    </row>
    <row r="52786" spans="2:2" ht="12.75" customHeight="1" x14ac:dyDescent="0.2">
      <c r="B52786" s="43"/>
    </row>
    <row r="52787" spans="2:2" ht="12.75" customHeight="1" x14ac:dyDescent="0.2">
      <c r="B52787" s="43"/>
    </row>
    <row r="52788" spans="2:2" ht="12.75" customHeight="1" x14ac:dyDescent="0.2">
      <c r="B52788" s="43"/>
    </row>
    <row r="52789" spans="2:2" ht="12.75" customHeight="1" x14ac:dyDescent="0.2">
      <c r="B52789" s="43"/>
    </row>
    <row r="52790" spans="2:2" ht="12.75" customHeight="1" x14ac:dyDescent="0.2">
      <c r="B52790" s="43"/>
    </row>
    <row r="52791" spans="2:2" ht="12.75" customHeight="1" x14ac:dyDescent="0.2">
      <c r="B52791" s="43"/>
    </row>
    <row r="52792" spans="2:2" ht="12.75" customHeight="1" x14ac:dyDescent="0.2">
      <c r="B52792" s="43"/>
    </row>
    <row r="52793" spans="2:2" ht="12.75" customHeight="1" x14ac:dyDescent="0.2">
      <c r="B52793" s="43"/>
    </row>
    <row r="52794" spans="2:2" ht="12.75" customHeight="1" x14ac:dyDescent="0.2">
      <c r="B52794" s="43"/>
    </row>
    <row r="52795" spans="2:2" ht="12.75" customHeight="1" x14ac:dyDescent="0.2">
      <c r="B52795" s="43"/>
    </row>
    <row r="52796" spans="2:2" ht="12.75" customHeight="1" x14ac:dyDescent="0.2">
      <c r="B52796" s="43"/>
    </row>
    <row r="52797" spans="2:2" ht="12.75" customHeight="1" x14ac:dyDescent="0.2">
      <c r="B52797" s="43"/>
    </row>
    <row r="52798" spans="2:2" ht="12.75" customHeight="1" x14ac:dyDescent="0.2">
      <c r="B52798" s="43"/>
    </row>
    <row r="52799" spans="2:2" ht="12.75" customHeight="1" x14ac:dyDescent="0.2">
      <c r="B52799" s="43"/>
    </row>
    <row r="52800" spans="2:2" ht="12.75" customHeight="1" x14ac:dyDescent="0.2">
      <c r="B52800" s="43"/>
    </row>
    <row r="52801" spans="2:2" ht="12.75" customHeight="1" x14ac:dyDescent="0.2">
      <c r="B52801" s="43"/>
    </row>
    <row r="52802" spans="2:2" ht="12.75" customHeight="1" x14ac:dyDescent="0.2">
      <c r="B52802" s="43"/>
    </row>
    <row r="52803" spans="2:2" ht="12.75" customHeight="1" x14ac:dyDescent="0.2">
      <c r="B52803" s="43"/>
    </row>
    <row r="52804" spans="2:2" ht="12.75" customHeight="1" x14ac:dyDescent="0.2">
      <c r="B52804" s="43"/>
    </row>
    <row r="52805" spans="2:2" ht="12.75" customHeight="1" x14ac:dyDescent="0.2">
      <c r="B52805" s="43"/>
    </row>
    <row r="52806" spans="2:2" ht="12.75" customHeight="1" x14ac:dyDescent="0.2">
      <c r="B52806" s="43"/>
    </row>
    <row r="52807" spans="2:2" ht="12.75" customHeight="1" x14ac:dyDescent="0.2">
      <c r="B52807" s="43"/>
    </row>
    <row r="52808" spans="2:2" ht="12.75" customHeight="1" x14ac:dyDescent="0.2">
      <c r="B52808" s="43"/>
    </row>
    <row r="52809" spans="2:2" ht="12.75" customHeight="1" x14ac:dyDescent="0.2">
      <c r="B52809" s="43"/>
    </row>
    <row r="52810" spans="2:2" ht="12.75" customHeight="1" x14ac:dyDescent="0.2">
      <c r="B52810" s="43"/>
    </row>
    <row r="52811" spans="2:2" ht="12.75" customHeight="1" x14ac:dyDescent="0.2">
      <c r="B52811" s="43"/>
    </row>
    <row r="52812" spans="2:2" ht="12.75" customHeight="1" x14ac:dyDescent="0.2">
      <c r="B52812" s="43"/>
    </row>
    <row r="52813" spans="2:2" ht="12.75" customHeight="1" x14ac:dyDescent="0.2">
      <c r="B52813" s="43"/>
    </row>
    <row r="52814" spans="2:2" ht="12.75" customHeight="1" x14ac:dyDescent="0.2">
      <c r="B52814" s="43"/>
    </row>
    <row r="52815" spans="2:2" ht="12.75" customHeight="1" x14ac:dyDescent="0.2">
      <c r="B52815" s="43"/>
    </row>
    <row r="52816" spans="2:2" ht="12.75" customHeight="1" x14ac:dyDescent="0.2">
      <c r="B52816" s="43"/>
    </row>
    <row r="52817" spans="2:2" ht="12.75" customHeight="1" x14ac:dyDescent="0.2">
      <c r="B52817" s="43"/>
    </row>
    <row r="52818" spans="2:2" ht="12.75" customHeight="1" x14ac:dyDescent="0.2">
      <c r="B52818" s="43"/>
    </row>
    <row r="52819" spans="2:2" ht="12.75" customHeight="1" x14ac:dyDescent="0.2">
      <c r="B52819" s="43"/>
    </row>
    <row r="52820" spans="2:2" ht="12.75" customHeight="1" x14ac:dyDescent="0.2">
      <c r="B52820" s="43"/>
    </row>
    <row r="52821" spans="2:2" ht="12.75" customHeight="1" x14ac:dyDescent="0.2">
      <c r="B52821" s="43"/>
    </row>
    <row r="52822" spans="2:2" ht="12.75" customHeight="1" x14ac:dyDescent="0.2">
      <c r="B52822" s="43"/>
    </row>
    <row r="52823" spans="2:2" ht="12.75" customHeight="1" x14ac:dyDescent="0.2">
      <c r="B52823" s="43"/>
    </row>
    <row r="52824" spans="2:2" ht="12.75" customHeight="1" x14ac:dyDescent="0.2">
      <c r="B52824" s="43"/>
    </row>
    <row r="52825" spans="2:2" ht="12.75" customHeight="1" x14ac:dyDescent="0.2">
      <c r="B52825" s="43"/>
    </row>
    <row r="52826" spans="2:2" ht="12.75" customHeight="1" x14ac:dyDescent="0.2">
      <c r="B52826" s="43"/>
    </row>
    <row r="52827" spans="2:2" ht="12.75" customHeight="1" x14ac:dyDescent="0.2">
      <c r="B52827" s="43"/>
    </row>
    <row r="52828" spans="2:2" ht="12.75" customHeight="1" x14ac:dyDescent="0.2">
      <c r="B52828" s="43"/>
    </row>
    <row r="52829" spans="2:2" ht="12.75" customHeight="1" x14ac:dyDescent="0.2">
      <c r="B52829" s="43"/>
    </row>
    <row r="52830" spans="2:2" ht="12.75" customHeight="1" x14ac:dyDescent="0.2">
      <c r="B52830" s="43"/>
    </row>
    <row r="52831" spans="2:2" ht="12.75" customHeight="1" x14ac:dyDescent="0.2">
      <c r="B52831" s="43"/>
    </row>
    <row r="52832" spans="2:2" ht="12.75" customHeight="1" x14ac:dyDescent="0.2">
      <c r="B52832" s="43"/>
    </row>
    <row r="52833" spans="2:2" ht="12.75" customHeight="1" x14ac:dyDescent="0.2">
      <c r="B52833" s="43"/>
    </row>
    <row r="52834" spans="2:2" ht="12.75" customHeight="1" x14ac:dyDescent="0.2">
      <c r="B52834" s="43"/>
    </row>
    <row r="52835" spans="2:2" ht="12.75" customHeight="1" x14ac:dyDescent="0.2">
      <c r="B52835" s="43"/>
    </row>
    <row r="52836" spans="2:2" ht="12.75" customHeight="1" x14ac:dyDescent="0.2">
      <c r="B52836" s="43"/>
    </row>
    <row r="52837" spans="2:2" ht="12.75" customHeight="1" x14ac:dyDescent="0.2">
      <c r="B52837" s="43"/>
    </row>
    <row r="52838" spans="2:2" ht="12.75" customHeight="1" x14ac:dyDescent="0.2">
      <c r="B52838" s="43"/>
    </row>
    <row r="52839" spans="2:2" ht="12.75" customHeight="1" x14ac:dyDescent="0.2">
      <c r="B52839" s="43"/>
    </row>
    <row r="52840" spans="2:2" ht="12.75" customHeight="1" x14ac:dyDescent="0.2">
      <c r="B52840" s="43"/>
    </row>
    <row r="52841" spans="2:2" ht="12.75" customHeight="1" x14ac:dyDescent="0.2">
      <c r="B52841" s="43"/>
    </row>
    <row r="52842" spans="2:2" ht="12.75" customHeight="1" x14ac:dyDescent="0.2">
      <c r="B52842" s="43"/>
    </row>
    <row r="52843" spans="2:2" ht="12.75" customHeight="1" x14ac:dyDescent="0.2">
      <c r="B52843" s="43"/>
    </row>
    <row r="52844" spans="2:2" ht="12.75" customHeight="1" x14ac:dyDescent="0.2">
      <c r="B52844" s="43"/>
    </row>
    <row r="52845" spans="2:2" ht="12.75" customHeight="1" x14ac:dyDescent="0.2">
      <c r="B52845" s="43"/>
    </row>
    <row r="52846" spans="2:2" ht="12.75" customHeight="1" x14ac:dyDescent="0.2">
      <c r="B52846" s="43"/>
    </row>
    <row r="52847" spans="2:2" ht="12.75" customHeight="1" x14ac:dyDescent="0.2">
      <c r="B52847" s="43"/>
    </row>
    <row r="52848" spans="2:2" ht="12.75" customHeight="1" x14ac:dyDescent="0.2">
      <c r="B52848" s="43"/>
    </row>
    <row r="52849" spans="2:2" ht="12.75" customHeight="1" x14ac:dyDescent="0.2">
      <c r="B52849" s="43"/>
    </row>
    <row r="52850" spans="2:2" ht="12.75" customHeight="1" x14ac:dyDescent="0.2">
      <c r="B52850" s="43"/>
    </row>
    <row r="52851" spans="2:2" ht="12.75" customHeight="1" x14ac:dyDescent="0.2">
      <c r="B52851" s="43"/>
    </row>
    <row r="52852" spans="2:2" ht="12.75" customHeight="1" x14ac:dyDescent="0.2">
      <c r="B52852" s="43"/>
    </row>
    <row r="52853" spans="2:2" ht="12.75" customHeight="1" x14ac:dyDescent="0.2">
      <c r="B52853" s="43"/>
    </row>
    <row r="52854" spans="2:2" ht="12.75" customHeight="1" x14ac:dyDescent="0.2">
      <c r="B52854" s="43"/>
    </row>
    <row r="52855" spans="2:2" ht="12.75" customHeight="1" x14ac:dyDescent="0.2">
      <c r="B52855" s="43"/>
    </row>
    <row r="52856" spans="2:2" ht="12.75" customHeight="1" x14ac:dyDescent="0.2">
      <c r="B52856" s="43"/>
    </row>
    <row r="52857" spans="2:2" ht="12.75" customHeight="1" x14ac:dyDescent="0.2">
      <c r="B52857" s="43"/>
    </row>
    <row r="52858" spans="2:2" ht="12.75" customHeight="1" x14ac:dyDescent="0.2">
      <c r="B52858" s="43"/>
    </row>
    <row r="52859" spans="2:2" ht="12.75" customHeight="1" x14ac:dyDescent="0.2">
      <c r="B52859" s="43"/>
    </row>
    <row r="52860" spans="2:2" ht="12.75" customHeight="1" x14ac:dyDescent="0.2">
      <c r="B52860" s="43"/>
    </row>
    <row r="52861" spans="2:2" ht="12.75" customHeight="1" x14ac:dyDescent="0.2">
      <c r="B52861" s="43"/>
    </row>
    <row r="52862" spans="2:2" ht="12.75" customHeight="1" x14ac:dyDescent="0.2">
      <c r="B52862" s="43"/>
    </row>
    <row r="52863" spans="2:2" ht="12.75" customHeight="1" x14ac:dyDescent="0.2">
      <c r="B52863" s="43"/>
    </row>
    <row r="52864" spans="2:2" ht="12.75" customHeight="1" x14ac:dyDescent="0.2">
      <c r="B52864" s="43"/>
    </row>
    <row r="52865" spans="2:2" ht="12.75" customHeight="1" x14ac:dyDescent="0.2">
      <c r="B52865" s="43"/>
    </row>
    <row r="52866" spans="2:2" ht="12.75" customHeight="1" x14ac:dyDescent="0.2">
      <c r="B52866" s="43"/>
    </row>
    <row r="52867" spans="2:2" ht="12.75" customHeight="1" x14ac:dyDescent="0.2">
      <c r="B52867" s="43"/>
    </row>
    <row r="52868" spans="2:2" ht="12.75" customHeight="1" x14ac:dyDescent="0.2">
      <c r="B52868" s="43"/>
    </row>
    <row r="52869" spans="2:2" ht="12.75" customHeight="1" x14ac:dyDescent="0.2">
      <c r="B52869" s="43"/>
    </row>
    <row r="52870" spans="2:2" ht="12.75" customHeight="1" x14ac:dyDescent="0.2">
      <c r="B52870" s="43"/>
    </row>
    <row r="52871" spans="2:2" ht="12.75" customHeight="1" x14ac:dyDescent="0.2">
      <c r="B52871" s="43"/>
    </row>
    <row r="52872" spans="2:2" ht="12.75" customHeight="1" x14ac:dyDescent="0.2">
      <c r="B52872" s="43"/>
    </row>
    <row r="52873" spans="2:2" ht="12.75" customHeight="1" x14ac:dyDescent="0.2">
      <c r="B52873" s="43"/>
    </row>
    <row r="52874" spans="2:2" ht="12.75" customHeight="1" x14ac:dyDescent="0.2">
      <c r="B52874" s="43"/>
    </row>
    <row r="52875" spans="2:2" ht="12.75" customHeight="1" x14ac:dyDescent="0.2">
      <c r="B52875" s="43"/>
    </row>
    <row r="52876" spans="2:2" ht="12.75" customHeight="1" x14ac:dyDescent="0.2">
      <c r="B52876" s="43"/>
    </row>
    <row r="52877" spans="2:2" ht="12.75" customHeight="1" x14ac:dyDescent="0.2">
      <c r="B52877" s="43"/>
    </row>
    <row r="52878" spans="2:2" ht="12.75" customHeight="1" x14ac:dyDescent="0.2">
      <c r="B52878" s="43"/>
    </row>
    <row r="52879" spans="2:2" ht="12.75" customHeight="1" x14ac:dyDescent="0.2">
      <c r="B52879" s="43"/>
    </row>
    <row r="52880" spans="2:2" ht="12.75" customHeight="1" x14ac:dyDescent="0.2">
      <c r="B52880" s="43"/>
    </row>
    <row r="52881" spans="2:2" ht="12.75" customHeight="1" x14ac:dyDescent="0.2">
      <c r="B52881" s="43"/>
    </row>
    <row r="52882" spans="2:2" ht="12.75" customHeight="1" x14ac:dyDescent="0.2">
      <c r="B52882" s="43"/>
    </row>
    <row r="52883" spans="2:2" ht="12.75" customHeight="1" x14ac:dyDescent="0.2">
      <c r="B52883" s="43"/>
    </row>
    <row r="52884" spans="2:2" ht="12.75" customHeight="1" x14ac:dyDescent="0.2">
      <c r="B52884" s="43"/>
    </row>
    <row r="52885" spans="2:2" ht="12.75" customHeight="1" x14ac:dyDescent="0.2">
      <c r="B52885" s="43"/>
    </row>
    <row r="52886" spans="2:2" ht="12.75" customHeight="1" x14ac:dyDescent="0.2">
      <c r="B52886" s="43"/>
    </row>
    <row r="52887" spans="2:2" ht="12.75" customHeight="1" x14ac:dyDescent="0.2">
      <c r="B52887" s="43"/>
    </row>
    <row r="52888" spans="2:2" ht="12.75" customHeight="1" x14ac:dyDescent="0.2">
      <c r="B52888" s="43"/>
    </row>
    <row r="52889" spans="2:2" ht="12.75" customHeight="1" x14ac:dyDescent="0.2">
      <c r="B52889" s="43"/>
    </row>
    <row r="52890" spans="2:2" ht="12.75" customHeight="1" x14ac:dyDescent="0.2">
      <c r="B52890" s="43"/>
    </row>
    <row r="52891" spans="2:2" ht="12.75" customHeight="1" x14ac:dyDescent="0.2">
      <c r="B52891" s="43"/>
    </row>
    <row r="52892" spans="2:2" ht="12.75" customHeight="1" x14ac:dyDescent="0.2">
      <c r="B52892" s="43"/>
    </row>
    <row r="52893" spans="2:2" ht="12.75" customHeight="1" x14ac:dyDescent="0.2">
      <c r="B52893" s="43"/>
    </row>
    <row r="52894" spans="2:2" ht="12.75" customHeight="1" x14ac:dyDescent="0.2">
      <c r="B52894" s="43"/>
    </row>
    <row r="52895" spans="2:2" ht="12.75" customHeight="1" x14ac:dyDescent="0.2">
      <c r="B52895" s="43"/>
    </row>
    <row r="52896" spans="2:2" ht="12.75" customHeight="1" x14ac:dyDescent="0.2">
      <c r="B52896" s="43"/>
    </row>
    <row r="52897" spans="2:2" ht="12.75" customHeight="1" x14ac:dyDescent="0.2">
      <c r="B52897" s="43"/>
    </row>
    <row r="52898" spans="2:2" ht="12.75" customHeight="1" x14ac:dyDescent="0.2">
      <c r="B52898" s="43"/>
    </row>
    <row r="52899" spans="2:2" ht="12.75" customHeight="1" x14ac:dyDescent="0.2">
      <c r="B52899" s="43"/>
    </row>
    <row r="52900" spans="2:2" ht="12.75" customHeight="1" x14ac:dyDescent="0.2">
      <c r="B52900" s="43"/>
    </row>
    <row r="52901" spans="2:2" ht="12.75" customHeight="1" x14ac:dyDescent="0.2">
      <c r="B52901" s="43"/>
    </row>
    <row r="52902" spans="2:2" ht="12.75" customHeight="1" x14ac:dyDescent="0.2">
      <c r="B52902" s="43"/>
    </row>
    <row r="52903" spans="2:2" ht="12.75" customHeight="1" x14ac:dyDescent="0.2">
      <c r="B52903" s="43"/>
    </row>
    <row r="52904" spans="2:2" ht="12.75" customHeight="1" x14ac:dyDescent="0.2">
      <c r="B52904" s="43"/>
    </row>
    <row r="52905" spans="2:2" ht="12.75" customHeight="1" x14ac:dyDescent="0.2">
      <c r="B52905" s="43"/>
    </row>
    <row r="52906" spans="2:2" ht="12.75" customHeight="1" x14ac:dyDescent="0.2">
      <c r="B52906" s="43"/>
    </row>
    <row r="52907" spans="2:2" ht="12.75" customHeight="1" x14ac:dyDescent="0.2">
      <c r="B52907" s="43"/>
    </row>
    <row r="52908" spans="2:2" ht="12.75" customHeight="1" x14ac:dyDescent="0.2">
      <c r="B52908" s="43"/>
    </row>
    <row r="52909" spans="2:2" ht="12.75" customHeight="1" x14ac:dyDescent="0.2">
      <c r="B52909" s="43"/>
    </row>
    <row r="52910" spans="2:2" ht="12.75" customHeight="1" x14ac:dyDescent="0.2">
      <c r="B52910" s="43"/>
    </row>
    <row r="52911" spans="2:2" ht="12.75" customHeight="1" x14ac:dyDescent="0.2">
      <c r="B52911" s="43"/>
    </row>
    <row r="52912" spans="2:2" ht="12.75" customHeight="1" x14ac:dyDescent="0.2">
      <c r="B52912" s="43"/>
    </row>
    <row r="52913" spans="2:2" ht="12.75" customHeight="1" x14ac:dyDescent="0.2">
      <c r="B52913" s="43"/>
    </row>
    <row r="52914" spans="2:2" ht="12.75" customHeight="1" x14ac:dyDescent="0.2">
      <c r="B52914" s="43"/>
    </row>
    <row r="52915" spans="2:2" ht="12.75" customHeight="1" x14ac:dyDescent="0.2">
      <c r="B52915" s="43"/>
    </row>
    <row r="52916" spans="2:2" ht="12.75" customHeight="1" x14ac:dyDescent="0.2">
      <c r="B52916" s="43"/>
    </row>
    <row r="52917" spans="2:2" ht="12.75" customHeight="1" x14ac:dyDescent="0.2">
      <c r="B52917" s="43"/>
    </row>
    <row r="52918" spans="2:2" ht="12.75" customHeight="1" x14ac:dyDescent="0.2">
      <c r="B52918" s="43"/>
    </row>
    <row r="52919" spans="2:2" ht="12.75" customHeight="1" x14ac:dyDescent="0.2">
      <c r="B52919" s="43"/>
    </row>
    <row r="52920" spans="2:2" ht="12.75" customHeight="1" x14ac:dyDescent="0.2">
      <c r="B52920" s="43"/>
    </row>
    <row r="52921" spans="2:2" ht="12.75" customHeight="1" x14ac:dyDescent="0.2">
      <c r="B52921" s="43"/>
    </row>
    <row r="52922" spans="2:2" ht="12.75" customHeight="1" x14ac:dyDescent="0.2">
      <c r="B52922" s="43"/>
    </row>
    <row r="52923" spans="2:2" ht="12.75" customHeight="1" x14ac:dyDescent="0.2">
      <c r="B52923" s="43"/>
    </row>
    <row r="52924" spans="2:2" ht="12.75" customHeight="1" x14ac:dyDescent="0.2">
      <c r="B52924" s="43"/>
    </row>
    <row r="52925" spans="2:2" ht="12.75" customHeight="1" x14ac:dyDescent="0.2">
      <c r="B52925" s="43"/>
    </row>
    <row r="52926" spans="2:2" ht="12.75" customHeight="1" x14ac:dyDescent="0.2">
      <c r="B52926" s="43"/>
    </row>
    <row r="52927" spans="2:2" ht="12.75" customHeight="1" x14ac:dyDescent="0.2">
      <c r="B52927" s="43"/>
    </row>
    <row r="52928" spans="2:2" ht="12.75" customHeight="1" x14ac:dyDescent="0.2">
      <c r="B52928" s="43"/>
    </row>
    <row r="52929" spans="2:2" ht="12.75" customHeight="1" x14ac:dyDescent="0.2">
      <c r="B52929" s="43"/>
    </row>
    <row r="52930" spans="2:2" ht="12.75" customHeight="1" x14ac:dyDescent="0.2">
      <c r="B52930" s="43"/>
    </row>
    <row r="52931" spans="2:2" ht="12.75" customHeight="1" x14ac:dyDescent="0.2">
      <c r="B52931" s="43"/>
    </row>
    <row r="52932" spans="2:2" ht="12.75" customHeight="1" x14ac:dyDescent="0.2">
      <c r="B52932" s="43"/>
    </row>
    <row r="52933" spans="2:2" ht="12.75" customHeight="1" x14ac:dyDescent="0.2">
      <c r="B52933" s="43"/>
    </row>
    <row r="52934" spans="2:2" ht="12.75" customHeight="1" x14ac:dyDescent="0.2">
      <c r="B52934" s="43"/>
    </row>
    <row r="52935" spans="2:2" ht="12.75" customHeight="1" x14ac:dyDescent="0.2">
      <c r="B52935" s="43"/>
    </row>
    <row r="52936" spans="2:2" ht="12.75" customHeight="1" x14ac:dyDescent="0.2">
      <c r="B52936" s="43"/>
    </row>
    <row r="52937" spans="2:2" ht="12.75" customHeight="1" x14ac:dyDescent="0.2">
      <c r="B52937" s="43"/>
    </row>
    <row r="52938" spans="2:2" ht="12.75" customHeight="1" x14ac:dyDescent="0.2">
      <c r="B52938" s="43"/>
    </row>
    <row r="52939" spans="2:2" ht="12.75" customHeight="1" x14ac:dyDescent="0.2">
      <c r="B52939" s="43"/>
    </row>
    <row r="52940" spans="2:2" ht="12.75" customHeight="1" x14ac:dyDescent="0.2">
      <c r="B52940" s="43"/>
    </row>
    <row r="52941" spans="2:2" ht="12.75" customHeight="1" x14ac:dyDescent="0.2">
      <c r="B52941" s="43"/>
    </row>
    <row r="52942" spans="2:2" ht="12.75" customHeight="1" x14ac:dyDescent="0.2">
      <c r="B52942" s="43"/>
    </row>
    <row r="52943" spans="2:2" ht="12.75" customHeight="1" x14ac:dyDescent="0.2">
      <c r="B52943" s="43"/>
    </row>
    <row r="52944" spans="2:2" ht="12.75" customHeight="1" x14ac:dyDescent="0.2">
      <c r="B52944" s="43"/>
    </row>
    <row r="52945" spans="2:2" ht="12.75" customHeight="1" x14ac:dyDescent="0.2">
      <c r="B52945" s="43"/>
    </row>
    <row r="52946" spans="2:2" ht="12.75" customHeight="1" x14ac:dyDescent="0.2">
      <c r="B52946" s="43"/>
    </row>
    <row r="52947" spans="2:2" ht="12.75" customHeight="1" x14ac:dyDescent="0.2">
      <c r="B52947" s="43"/>
    </row>
    <row r="52948" spans="2:2" ht="12.75" customHeight="1" x14ac:dyDescent="0.2">
      <c r="B52948" s="43"/>
    </row>
    <row r="52949" spans="2:2" ht="12.75" customHeight="1" x14ac:dyDescent="0.2">
      <c r="B52949" s="43"/>
    </row>
    <row r="52950" spans="2:2" ht="12.75" customHeight="1" x14ac:dyDescent="0.2">
      <c r="B52950" s="43"/>
    </row>
    <row r="52951" spans="2:2" ht="12.75" customHeight="1" x14ac:dyDescent="0.2">
      <c r="B52951" s="43"/>
    </row>
    <row r="52952" spans="2:2" ht="12.75" customHeight="1" x14ac:dyDescent="0.2">
      <c r="B52952" s="43"/>
    </row>
    <row r="52953" spans="2:2" ht="12.75" customHeight="1" x14ac:dyDescent="0.2">
      <c r="B52953" s="43"/>
    </row>
    <row r="52954" spans="2:2" ht="12.75" customHeight="1" x14ac:dyDescent="0.2">
      <c r="B52954" s="43"/>
    </row>
    <row r="52955" spans="2:2" ht="12.75" customHeight="1" x14ac:dyDescent="0.2">
      <c r="B52955" s="43"/>
    </row>
    <row r="52956" spans="2:2" ht="12.75" customHeight="1" x14ac:dyDescent="0.2">
      <c r="B52956" s="43"/>
    </row>
    <row r="52957" spans="2:2" ht="12.75" customHeight="1" x14ac:dyDescent="0.2">
      <c r="B52957" s="43"/>
    </row>
    <row r="52958" spans="2:2" ht="12.75" customHeight="1" x14ac:dyDescent="0.2">
      <c r="B52958" s="43"/>
    </row>
    <row r="52959" spans="2:2" ht="12.75" customHeight="1" x14ac:dyDescent="0.2">
      <c r="B52959" s="43"/>
    </row>
    <row r="52960" spans="2:2" ht="12.75" customHeight="1" x14ac:dyDescent="0.2">
      <c r="B52960" s="43"/>
    </row>
    <row r="52961" spans="2:2" ht="12.75" customHeight="1" x14ac:dyDescent="0.2">
      <c r="B52961" s="43"/>
    </row>
    <row r="52962" spans="2:2" ht="12.75" customHeight="1" x14ac:dyDescent="0.2">
      <c r="B52962" s="43"/>
    </row>
    <row r="52963" spans="2:2" ht="12.75" customHeight="1" x14ac:dyDescent="0.2">
      <c r="B52963" s="43"/>
    </row>
    <row r="52964" spans="2:2" ht="12.75" customHeight="1" x14ac:dyDescent="0.2">
      <c r="B52964" s="43"/>
    </row>
    <row r="52965" spans="2:2" ht="12.75" customHeight="1" x14ac:dyDescent="0.2">
      <c r="B52965" s="43"/>
    </row>
    <row r="52966" spans="2:2" ht="12.75" customHeight="1" x14ac:dyDescent="0.2">
      <c r="B52966" s="43"/>
    </row>
    <row r="52967" spans="2:2" ht="12.75" customHeight="1" x14ac:dyDescent="0.2">
      <c r="B52967" s="43"/>
    </row>
    <row r="52968" spans="2:2" ht="12.75" customHeight="1" x14ac:dyDescent="0.2">
      <c r="B52968" s="43"/>
    </row>
    <row r="52969" spans="2:2" ht="12.75" customHeight="1" x14ac:dyDescent="0.2">
      <c r="B52969" s="43"/>
    </row>
    <row r="52970" spans="2:2" ht="12.75" customHeight="1" x14ac:dyDescent="0.2">
      <c r="B52970" s="43"/>
    </row>
    <row r="52971" spans="2:2" ht="12.75" customHeight="1" x14ac:dyDescent="0.2">
      <c r="B52971" s="43"/>
    </row>
    <row r="52972" spans="2:2" ht="12.75" customHeight="1" x14ac:dyDescent="0.2">
      <c r="B52972" s="43"/>
    </row>
    <row r="52973" spans="2:2" ht="12.75" customHeight="1" x14ac:dyDescent="0.2">
      <c r="B52973" s="43"/>
    </row>
    <row r="52974" spans="2:2" ht="12.75" customHeight="1" x14ac:dyDescent="0.2">
      <c r="B52974" s="43"/>
    </row>
    <row r="52975" spans="2:2" ht="12.75" customHeight="1" x14ac:dyDescent="0.2">
      <c r="B52975" s="43"/>
    </row>
    <row r="52976" spans="2:2" ht="12.75" customHeight="1" x14ac:dyDescent="0.2">
      <c r="B52976" s="43"/>
    </row>
    <row r="52977" spans="2:2" ht="12.75" customHeight="1" x14ac:dyDescent="0.2">
      <c r="B52977" s="43"/>
    </row>
    <row r="52978" spans="2:2" ht="12.75" customHeight="1" x14ac:dyDescent="0.2">
      <c r="B52978" s="43"/>
    </row>
    <row r="52979" spans="2:2" ht="12.75" customHeight="1" x14ac:dyDescent="0.2">
      <c r="B52979" s="43"/>
    </row>
    <row r="52980" spans="2:2" ht="12.75" customHeight="1" x14ac:dyDescent="0.2">
      <c r="B52980" s="43"/>
    </row>
    <row r="52981" spans="2:2" ht="12.75" customHeight="1" x14ac:dyDescent="0.2">
      <c r="B52981" s="43"/>
    </row>
    <row r="52982" spans="2:2" ht="12.75" customHeight="1" x14ac:dyDescent="0.2">
      <c r="B52982" s="43"/>
    </row>
    <row r="52983" spans="2:2" ht="12.75" customHeight="1" x14ac:dyDescent="0.2">
      <c r="B52983" s="43"/>
    </row>
    <row r="52984" spans="2:2" ht="12.75" customHeight="1" x14ac:dyDescent="0.2">
      <c r="B52984" s="43"/>
    </row>
    <row r="52985" spans="2:2" ht="12.75" customHeight="1" x14ac:dyDescent="0.2">
      <c r="B52985" s="43"/>
    </row>
    <row r="52986" spans="2:2" ht="12.75" customHeight="1" x14ac:dyDescent="0.2">
      <c r="B52986" s="43"/>
    </row>
    <row r="52987" spans="2:2" ht="12.75" customHeight="1" x14ac:dyDescent="0.2">
      <c r="B52987" s="43"/>
    </row>
    <row r="52988" spans="2:2" ht="12.75" customHeight="1" x14ac:dyDescent="0.2">
      <c r="B52988" s="43"/>
    </row>
    <row r="52989" spans="2:2" ht="12.75" customHeight="1" x14ac:dyDescent="0.2">
      <c r="B52989" s="43"/>
    </row>
    <row r="52990" spans="2:2" ht="12.75" customHeight="1" x14ac:dyDescent="0.2">
      <c r="B52990" s="43"/>
    </row>
    <row r="52991" spans="2:2" ht="12.75" customHeight="1" x14ac:dyDescent="0.2">
      <c r="B52991" s="43"/>
    </row>
    <row r="52992" spans="2:2" ht="12.75" customHeight="1" x14ac:dyDescent="0.2">
      <c r="B52992" s="43"/>
    </row>
    <row r="52993" spans="2:2" ht="12.75" customHeight="1" x14ac:dyDescent="0.2">
      <c r="B52993" s="43"/>
    </row>
    <row r="52994" spans="2:2" ht="12.75" customHeight="1" x14ac:dyDescent="0.2">
      <c r="B52994" s="43"/>
    </row>
    <row r="52995" spans="2:2" ht="12.75" customHeight="1" x14ac:dyDescent="0.2">
      <c r="B52995" s="43"/>
    </row>
    <row r="52996" spans="2:2" ht="12.75" customHeight="1" x14ac:dyDescent="0.2">
      <c r="B52996" s="43"/>
    </row>
    <row r="52997" spans="2:2" ht="12.75" customHeight="1" x14ac:dyDescent="0.2">
      <c r="B52997" s="43"/>
    </row>
    <row r="52998" spans="2:2" ht="12.75" customHeight="1" x14ac:dyDescent="0.2">
      <c r="B52998" s="43"/>
    </row>
    <row r="52999" spans="2:2" ht="12.75" customHeight="1" x14ac:dyDescent="0.2">
      <c r="B52999" s="43"/>
    </row>
    <row r="53000" spans="2:2" ht="12.75" customHeight="1" x14ac:dyDescent="0.2">
      <c r="B53000" s="43"/>
    </row>
    <row r="53001" spans="2:2" ht="12.75" customHeight="1" x14ac:dyDescent="0.2">
      <c r="B53001" s="43"/>
    </row>
    <row r="53002" spans="2:2" ht="12.75" customHeight="1" x14ac:dyDescent="0.2">
      <c r="B53002" s="43"/>
    </row>
    <row r="53003" spans="2:2" ht="12.75" customHeight="1" x14ac:dyDescent="0.2">
      <c r="B53003" s="43"/>
    </row>
    <row r="53004" spans="2:2" ht="12.75" customHeight="1" x14ac:dyDescent="0.2">
      <c r="B53004" s="43"/>
    </row>
    <row r="53005" spans="2:2" ht="12.75" customHeight="1" x14ac:dyDescent="0.2">
      <c r="B53005" s="43"/>
    </row>
    <row r="53006" spans="2:2" ht="12.75" customHeight="1" x14ac:dyDescent="0.2">
      <c r="B53006" s="43"/>
    </row>
    <row r="53007" spans="2:2" ht="12.75" customHeight="1" x14ac:dyDescent="0.2">
      <c r="B53007" s="43"/>
    </row>
    <row r="53008" spans="2:2" ht="12.75" customHeight="1" x14ac:dyDescent="0.2">
      <c r="B53008" s="43"/>
    </row>
    <row r="53009" spans="2:2" ht="12.75" customHeight="1" x14ac:dyDescent="0.2">
      <c r="B53009" s="43"/>
    </row>
    <row r="53010" spans="2:2" ht="12.75" customHeight="1" x14ac:dyDescent="0.2">
      <c r="B53010" s="43"/>
    </row>
    <row r="53011" spans="2:2" ht="12.75" customHeight="1" x14ac:dyDescent="0.2">
      <c r="B53011" s="43"/>
    </row>
    <row r="53012" spans="2:2" ht="12.75" customHeight="1" x14ac:dyDescent="0.2">
      <c r="B53012" s="43"/>
    </row>
    <row r="53013" spans="2:2" ht="12.75" customHeight="1" x14ac:dyDescent="0.2">
      <c r="B53013" s="43"/>
    </row>
    <row r="53014" spans="2:2" ht="12.75" customHeight="1" x14ac:dyDescent="0.2">
      <c r="B53014" s="43"/>
    </row>
    <row r="53015" spans="2:2" ht="12.75" customHeight="1" x14ac:dyDescent="0.2">
      <c r="B53015" s="43"/>
    </row>
    <row r="53016" spans="2:2" ht="12.75" customHeight="1" x14ac:dyDescent="0.2">
      <c r="B53016" s="43"/>
    </row>
    <row r="53017" spans="2:2" ht="12.75" customHeight="1" x14ac:dyDescent="0.2">
      <c r="B53017" s="43"/>
    </row>
    <row r="53018" spans="2:2" ht="12.75" customHeight="1" x14ac:dyDescent="0.2">
      <c r="B53018" s="43"/>
    </row>
    <row r="53019" spans="2:2" ht="12.75" customHeight="1" x14ac:dyDescent="0.2">
      <c r="B53019" s="43"/>
    </row>
    <row r="53020" spans="2:2" ht="12.75" customHeight="1" x14ac:dyDescent="0.2">
      <c r="B53020" s="43"/>
    </row>
    <row r="53021" spans="2:2" ht="12.75" customHeight="1" x14ac:dyDescent="0.2">
      <c r="B53021" s="43"/>
    </row>
    <row r="53022" spans="2:2" ht="12.75" customHeight="1" x14ac:dyDescent="0.2">
      <c r="B53022" s="43"/>
    </row>
    <row r="53023" spans="2:2" ht="12.75" customHeight="1" x14ac:dyDescent="0.2">
      <c r="B53023" s="43"/>
    </row>
    <row r="53024" spans="2:2" ht="12.75" customHeight="1" x14ac:dyDescent="0.2">
      <c r="B53024" s="43"/>
    </row>
    <row r="53025" spans="2:2" ht="12.75" customHeight="1" x14ac:dyDescent="0.2">
      <c r="B53025" s="43"/>
    </row>
    <row r="53026" spans="2:2" ht="12.75" customHeight="1" x14ac:dyDescent="0.2">
      <c r="B53026" s="43"/>
    </row>
    <row r="53027" spans="2:2" ht="12.75" customHeight="1" x14ac:dyDescent="0.2">
      <c r="B53027" s="43"/>
    </row>
    <row r="53028" spans="2:2" ht="12.75" customHeight="1" x14ac:dyDescent="0.2">
      <c r="B53028" s="43"/>
    </row>
    <row r="53029" spans="2:2" ht="12.75" customHeight="1" x14ac:dyDescent="0.2">
      <c r="B53029" s="43"/>
    </row>
    <row r="53030" spans="2:2" ht="12.75" customHeight="1" x14ac:dyDescent="0.2">
      <c r="B53030" s="43"/>
    </row>
    <row r="53031" spans="2:2" ht="12.75" customHeight="1" x14ac:dyDescent="0.2">
      <c r="B53031" s="43"/>
    </row>
    <row r="53032" spans="2:2" ht="12.75" customHeight="1" x14ac:dyDescent="0.2">
      <c r="B53032" s="43"/>
    </row>
    <row r="53033" spans="2:2" ht="12.75" customHeight="1" x14ac:dyDescent="0.2">
      <c r="B53033" s="43"/>
    </row>
    <row r="53034" spans="2:2" ht="12.75" customHeight="1" x14ac:dyDescent="0.2">
      <c r="B53034" s="43"/>
    </row>
    <row r="53035" spans="2:2" ht="12.75" customHeight="1" x14ac:dyDescent="0.2">
      <c r="B53035" s="43"/>
    </row>
    <row r="53036" spans="2:2" ht="12.75" customHeight="1" x14ac:dyDescent="0.2">
      <c r="B53036" s="43"/>
    </row>
    <row r="53037" spans="2:2" ht="12.75" customHeight="1" x14ac:dyDescent="0.2">
      <c r="B53037" s="43"/>
    </row>
    <row r="53038" spans="2:2" ht="12.75" customHeight="1" x14ac:dyDescent="0.2">
      <c r="B53038" s="43"/>
    </row>
    <row r="53039" spans="2:2" ht="12.75" customHeight="1" x14ac:dyDescent="0.2">
      <c r="B53039" s="43"/>
    </row>
    <row r="53040" spans="2:2" ht="12.75" customHeight="1" x14ac:dyDescent="0.2">
      <c r="B53040" s="43"/>
    </row>
    <row r="53041" spans="2:2" ht="12.75" customHeight="1" x14ac:dyDescent="0.2">
      <c r="B53041" s="43"/>
    </row>
    <row r="53042" spans="2:2" ht="12.75" customHeight="1" x14ac:dyDescent="0.2">
      <c r="B53042" s="43"/>
    </row>
    <row r="53043" spans="2:2" ht="12.75" customHeight="1" x14ac:dyDescent="0.2">
      <c r="B53043" s="43"/>
    </row>
    <row r="53044" spans="2:2" ht="12.75" customHeight="1" x14ac:dyDescent="0.2">
      <c r="B53044" s="43"/>
    </row>
    <row r="53045" spans="2:2" ht="12.75" customHeight="1" x14ac:dyDescent="0.2">
      <c r="B53045" s="43"/>
    </row>
    <row r="53046" spans="2:2" ht="12.75" customHeight="1" x14ac:dyDescent="0.2">
      <c r="B53046" s="43"/>
    </row>
    <row r="53047" spans="2:2" ht="12.75" customHeight="1" x14ac:dyDescent="0.2">
      <c r="B53047" s="43"/>
    </row>
    <row r="53048" spans="2:2" ht="12.75" customHeight="1" x14ac:dyDescent="0.2">
      <c r="B53048" s="43"/>
    </row>
    <row r="53049" spans="2:2" ht="12.75" customHeight="1" x14ac:dyDescent="0.2">
      <c r="B53049" s="43"/>
    </row>
    <row r="53050" spans="2:2" ht="12.75" customHeight="1" x14ac:dyDescent="0.2">
      <c r="B53050" s="43"/>
    </row>
    <row r="53051" spans="2:2" ht="12.75" customHeight="1" x14ac:dyDescent="0.2">
      <c r="B53051" s="43"/>
    </row>
    <row r="53052" spans="2:2" ht="12.75" customHeight="1" x14ac:dyDescent="0.2">
      <c r="B53052" s="43"/>
    </row>
    <row r="53053" spans="2:2" ht="12.75" customHeight="1" x14ac:dyDescent="0.2">
      <c r="B53053" s="43"/>
    </row>
    <row r="53054" spans="2:2" ht="12.75" customHeight="1" x14ac:dyDescent="0.2">
      <c r="B53054" s="43"/>
    </row>
    <row r="53055" spans="2:2" ht="12.75" customHeight="1" x14ac:dyDescent="0.2">
      <c r="B53055" s="43"/>
    </row>
    <row r="53056" spans="2:2" ht="12.75" customHeight="1" x14ac:dyDescent="0.2">
      <c r="B53056" s="43"/>
    </row>
    <row r="53057" spans="2:2" ht="12.75" customHeight="1" x14ac:dyDescent="0.2">
      <c r="B53057" s="43"/>
    </row>
    <row r="53058" spans="2:2" ht="12.75" customHeight="1" x14ac:dyDescent="0.2">
      <c r="B53058" s="43"/>
    </row>
    <row r="53059" spans="2:2" ht="12.75" customHeight="1" x14ac:dyDescent="0.2">
      <c r="B53059" s="43"/>
    </row>
    <row r="53060" spans="2:2" ht="12.75" customHeight="1" x14ac:dyDescent="0.2">
      <c r="B53060" s="43"/>
    </row>
    <row r="53061" spans="2:2" ht="12.75" customHeight="1" x14ac:dyDescent="0.2">
      <c r="B53061" s="43"/>
    </row>
    <row r="53062" spans="2:2" ht="12.75" customHeight="1" x14ac:dyDescent="0.2">
      <c r="B53062" s="43"/>
    </row>
    <row r="53063" spans="2:2" ht="12.75" customHeight="1" x14ac:dyDescent="0.2">
      <c r="B53063" s="43"/>
    </row>
    <row r="53064" spans="2:2" ht="12.75" customHeight="1" x14ac:dyDescent="0.2">
      <c r="B53064" s="43"/>
    </row>
    <row r="53065" spans="2:2" ht="12.75" customHeight="1" x14ac:dyDescent="0.2">
      <c r="B53065" s="43"/>
    </row>
    <row r="53066" spans="2:2" ht="12.75" customHeight="1" x14ac:dyDescent="0.2">
      <c r="B53066" s="43"/>
    </row>
    <row r="53067" spans="2:2" ht="12.75" customHeight="1" x14ac:dyDescent="0.2">
      <c r="B53067" s="43"/>
    </row>
    <row r="53068" spans="2:2" ht="12.75" customHeight="1" x14ac:dyDescent="0.2">
      <c r="B53068" s="43"/>
    </row>
    <row r="53069" spans="2:2" ht="12.75" customHeight="1" x14ac:dyDescent="0.2">
      <c r="B53069" s="43"/>
    </row>
    <row r="53070" spans="2:2" ht="12.75" customHeight="1" x14ac:dyDescent="0.2">
      <c r="B53070" s="43"/>
    </row>
    <row r="53071" spans="2:2" ht="12.75" customHeight="1" x14ac:dyDescent="0.2">
      <c r="B53071" s="43"/>
    </row>
    <row r="53072" spans="2:2" ht="12.75" customHeight="1" x14ac:dyDescent="0.2">
      <c r="B53072" s="43"/>
    </row>
    <row r="53073" spans="2:2" ht="12.75" customHeight="1" x14ac:dyDescent="0.2">
      <c r="B53073" s="43"/>
    </row>
    <row r="53074" spans="2:2" ht="12.75" customHeight="1" x14ac:dyDescent="0.2">
      <c r="B53074" s="43"/>
    </row>
    <row r="53075" spans="2:2" ht="12.75" customHeight="1" x14ac:dyDescent="0.2">
      <c r="B53075" s="43"/>
    </row>
    <row r="53076" spans="2:2" ht="12.75" customHeight="1" x14ac:dyDescent="0.2">
      <c r="B53076" s="43"/>
    </row>
    <row r="53077" spans="2:2" ht="12.75" customHeight="1" x14ac:dyDescent="0.2">
      <c r="B53077" s="43"/>
    </row>
    <row r="53078" spans="2:2" ht="12.75" customHeight="1" x14ac:dyDescent="0.2">
      <c r="B53078" s="43"/>
    </row>
    <row r="53079" spans="2:2" ht="12.75" customHeight="1" x14ac:dyDescent="0.2">
      <c r="B53079" s="43"/>
    </row>
    <row r="53080" spans="2:2" ht="12.75" customHeight="1" x14ac:dyDescent="0.2">
      <c r="B53080" s="43"/>
    </row>
    <row r="53081" spans="2:2" ht="12.75" customHeight="1" x14ac:dyDescent="0.2">
      <c r="B53081" s="43"/>
    </row>
    <row r="53082" spans="2:2" ht="12.75" customHeight="1" x14ac:dyDescent="0.2">
      <c r="B53082" s="43"/>
    </row>
    <row r="53083" spans="2:2" ht="12.75" customHeight="1" x14ac:dyDescent="0.2">
      <c r="B53083" s="43"/>
    </row>
    <row r="53084" spans="2:2" ht="12.75" customHeight="1" x14ac:dyDescent="0.2">
      <c r="B53084" s="43"/>
    </row>
    <row r="53085" spans="2:2" ht="12.75" customHeight="1" x14ac:dyDescent="0.2">
      <c r="B53085" s="43"/>
    </row>
    <row r="53086" spans="2:2" ht="12.75" customHeight="1" x14ac:dyDescent="0.2">
      <c r="B53086" s="43"/>
    </row>
    <row r="53087" spans="2:2" ht="12.75" customHeight="1" x14ac:dyDescent="0.2">
      <c r="B53087" s="43"/>
    </row>
    <row r="53088" spans="2:2" ht="12.75" customHeight="1" x14ac:dyDescent="0.2">
      <c r="B53088" s="43"/>
    </row>
    <row r="53089" spans="2:2" ht="12.75" customHeight="1" x14ac:dyDescent="0.2">
      <c r="B53089" s="43"/>
    </row>
    <row r="53090" spans="2:2" ht="12.75" customHeight="1" x14ac:dyDescent="0.2">
      <c r="B53090" s="43"/>
    </row>
    <row r="53091" spans="2:2" ht="12.75" customHeight="1" x14ac:dyDescent="0.2">
      <c r="B53091" s="43"/>
    </row>
    <row r="53092" spans="2:2" ht="12.75" customHeight="1" x14ac:dyDescent="0.2">
      <c r="B53092" s="43"/>
    </row>
    <row r="53093" spans="2:2" ht="12.75" customHeight="1" x14ac:dyDescent="0.2">
      <c r="B53093" s="43"/>
    </row>
    <row r="53094" spans="2:2" ht="12.75" customHeight="1" x14ac:dyDescent="0.2">
      <c r="B53094" s="43"/>
    </row>
    <row r="53095" spans="2:2" ht="12.75" customHeight="1" x14ac:dyDescent="0.2">
      <c r="B53095" s="43"/>
    </row>
    <row r="53096" spans="2:2" ht="12.75" customHeight="1" x14ac:dyDescent="0.2">
      <c r="B53096" s="43"/>
    </row>
    <row r="53097" spans="2:2" ht="12.75" customHeight="1" x14ac:dyDescent="0.2">
      <c r="B53097" s="43"/>
    </row>
    <row r="53098" spans="2:2" ht="12.75" customHeight="1" x14ac:dyDescent="0.2">
      <c r="B53098" s="43"/>
    </row>
    <row r="53099" spans="2:2" ht="12.75" customHeight="1" x14ac:dyDescent="0.2">
      <c r="B53099" s="43"/>
    </row>
    <row r="53100" spans="2:2" ht="12.75" customHeight="1" x14ac:dyDescent="0.2">
      <c r="B53100" s="43"/>
    </row>
    <row r="53101" spans="2:2" ht="12.75" customHeight="1" x14ac:dyDescent="0.2">
      <c r="B53101" s="43"/>
    </row>
    <row r="53102" spans="2:2" ht="12.75" customHeight="1" x14ac:dyDescent="0.2">
      <c r="B53102" s="43"/>
    </row>
    <row r="53103" spans="2:2" ht="12.75" customHeight="1" x14ac:dyDescent="0.2">
      <c r="B53103" s="43"/>
    </row>
    <row r="53104" spans="2:2" ht="12.75" customHeight="1" x14ac:dyDescent="0.2">
      <c r="B53104" s="43"/>
    </row>
    <row r="53105" spans="2:2" ht="12.75" customHeight="1" x14ac:dyDescent="0.2">
      <c r="B53105" s="43"/>
    </row>
    <row r="53106" spans="2:2" ht="12.75" customHeight="1" x14ac:dyDescent="0.2">
      <c r="B53106" s="43"/>
    </row>
    <row r="53107" spans="2:2" ht="12.75" customHeight="1" x14ac:dyDescent="0.2">
      <c r="B53107" s="43"/>
    </row>
    <row r="53108" spans="2:2" ht="12.75" customHeight="1" x14ac:dyDescent="0.2">
      <c r="B53108" s="43"/>
    </row>
    <row r="53109" spans="2:2" ht="12.75" customHeight="1" x14ac:dyDescent="0.2">
      <c r="B53109" s="43"/>
    </row>
    <row r="53110" spans="2:2" ht="12.75" customHeight="1" x14ac:dyDescent="0.2">
      <c r="B53110" s="43"/>
    </row>
    <row r="53111" spans="2:2" ht="12.75" customHeight="1" x14ac:dyDescent="0.2">
      <c r="B53111" s="43"/>
    </row>
    <row r="53112" spans="2:2" ht="12.75" customHeight="1" x14ac:dyDescent="0.2">
      <c r="B53112" s="43"/>
    </row>
    <row r="53113" spans="2:2" ht="12.75" customHeight="1" x14ac:dyDescent="0.2">
      <c r="B53113" s="43"/>
    </row>
    <row r="53114" spans="2:2" ht="12.75" customHeight="1" x14ac:dyDescent="0.2">
      <c r="B53114" s="43"/>
    </row>
    <row r="53115" spans="2:2" ht="12.75" customHeight="1" x14ac:dyDescent="0.2">
      <c r="B53115" s="43"/>
    </row>
    <row r="53116" spans="2:2" ht="12.75" customHeight="1" x14ac:dyDescent="0.2">
      <c r="B53116" s="43"/>
    </row>
    <row r="53117" spans="2:2" ht="12.75" customHeight="1" x14ac:dyDescent="0.2">
      <c r="B53117" s="43"/>
    </row>
    <row r="53118" spans="2:2" ht="12.75" customHeight="1" x14ac:dyDescent="0.2">
      <c r="B53118" s="43"/>
    </row>
    <row r="53119" spans="2:2" ht="12.75" customHeight="1" x14ac:dyDescent="0.2">
      <c r="B53119" s="43"/>
    </row>
    <row r="53120" spans="2:2" ht="12.75" customHeight="1" x14ac:dyDescent="0.2">
      <c r="B53120" s="43"/>
    </row>
    <row r="53121" spans="2:2" ht="12.75" customHeight="1" x14ac:dyDescent="0.2">
      <c r="B53121" s="43"/>
    </row>
    <row r="53122" spans="2:2" ht="12.75" customHeight="1" x14ac:dyDescent="0.2">
      <c r="B53122" s="43"/>
    </row>
    <row r="53123" spans="2:2" ht="12.75" customHeight="1" x14ac:dyDescent="0.2">
      <c r="B53123" s="43"/>
    </row>
    <row r="53124" spans="2:2" ht="12.75" customHeight="1" x14ac:dyDescent="0.2">
      <c r="B53124" s="43"/>
    </row>
    <row r="53125" spans="2:2" ht="12.75" customHeight="1" x14ac:dyDescent="0.2">
      <c r="B53125" s="43"/>
    </row>
    <row r="53126" spans="2:2" ht="12.75" customHeight="1" x14ac:dyDescent="0.2">
      <c r="B53126" s="43"/>
    </row>
    <row r="53127" spans="2:2" ht="12.75" customHeight="1" x14ac:dyDescent="0.2">
      <c r="B53127" s="43"/>
    </row>
    <row r="53128" spans="2:2" ht="12.75" customHeight="1" x14ac:dyDescent="0.2">
      <c r="B53128" s="43"/>
    </row>
    <row r="53129" spans="2:2" ht="12.75" customHeight="1" x14ac:dyDescent="0.2">
      <c r="B53129" s="43"/>
    </row>
    <row r="53130" spans="2:2" ht="12.75" customHeight="1" x14ac:dyDescent="0.2">
      <c r="B53130" s="43"/>
    </row>
    <row r="53131" spans="2:2" ht="12.75" customHeight="1" x14ac:dyDescent="0.2">
      <c r="B53131" s="43"/>
    </row>
    <row r="53132" spans="2:2" ht="12.75" customHeight="1" x14ac:dyDescent="0.2">
      <c r="B53132" s="43"/>
    </row>
    <row r="53133" spans="2:2" ht="12.75" customHeight="1" x14ac:dyDescent="0.2">
      <c r="B53133" s="43"/>
    </row>
    <row r="53134" spans="2:2" ht="12.75" customHeight="1" x14ac:dyDescent="0.2">
      <c r="B53134" s="43"/>
    </row>
    <row r="53135" spans="2:2" ht="12.75" customHeight="1" x14ac:dyDescent="0.2">
      <c r="B53135" s="43"/>
    </row>
    <row r="53136" spans="2:2" ht="12.75" customHeight="1" x14ac:dyDescent="0.2">
      <c r="B53136" s="43"/>
    </row>
    <row r="53137" spans="2:2" ht="12.75" customHeight="1" x14ac:dyDescent="0.2">
      <c r="B53137" s="43"/>
    </row>
    <row r="53138" spans="2:2" ht="12.75" customHeight="1" x14ac:dyDescent="0.2">
      <c r="B53138" s="43"/>
    </row>
    <row r="53139" spans="2:2" ht="12.75" customHeight="1" x14ac:dyDescent="0.2">
      <c r="B53139" s="43"/>
    </row>
    <row r="53140" spans="2:2" ht="12.75" customHeight="1" x14ac:dyDescent="0.2">
      <c r="B53140" s="43"/>
    </row>
    <row r="53141" spans="2:2" ht="12.75" customHeight="1" x14ac:dyDescent="0.2">
      <c r="B53141" s="43"/>
    </row>
    <row r="53142" spans="2:2" ht="12.75" customHeight="1" x14ac:dyDescent="0.2">
      <c r="B53142" s="43"/>
    </row>
    <row r="53143" spans="2:2" ht="12.75" customHeight="1" x14ac:dyDescent="0.2">
      <c r="B53143" s="43"/>
    </row>
    <row r="53144" spans="2:2" ht="12.75" customHeight="1" x14ac:dyDescent="0.2">
      <c r="B53144" s="43"/>
    </row>
    <row r="53145" spans="2:2" ht="12.75" customHeight="1" x14ac:dyDescent="0.2">
      <c r="B53145" s="43"/>
    </row>
    <row r="53146" spans="2:2" ht="12.75" customHeight="1" x14ac:dyDescent="0.2">
      <c r="B53146" s="43"/>
    </row>
    <row r="53147" spans="2:2" ht="12.75" customHeight="1" x14ac:dyDescent="0.2">
      <c r="B53147" s="43"/>
    </row>
    <row r="53148" spans="2:2" ht="12.75" customHeight="1" x14ac:dyDescent="0.2">
      <c r="B53148" s="43"/>
    </row>
    <row r="53149" spans="2:2" ht="12.75" customHeight="1" x14ac:dyDescent="0.2">
      <c r="B53149" s="43"/>
    </row>
    <row r="53150" spans="2:2" ht="12.75" customHeight="1" x14ac:dyDescent="0.2">
      <c r="B53150" s="43"/>
    </row>
    <row r="53151" spans="2:2" ht="12.75" customHeight="1" x14ac:dyDescent="0.2">
      <c r="B53151" s="43"/>
    </row>
    <row r="53152" spans="2:2" ht="12.75" customHeight="1" x14ac:dyDescent="0.2">
      <c r="B53152" s="43"/>
    </row>
    <row r="53153" spans="2:2" ht="12.75" customHeight="1" x14ac:dyDescent="0.2">
      <c r="B53153" s="43"/>
    </row>
    <row r="53154" spans="2:2" ht="12.75" customHeight="1" x14ac:dyDescent="0.2">
      <c r="B53154" s="43"/>
    </row>
    <row r="53155" spans="2:2" ht="12.75" customHeight="1" x14ac:dyDescent="0.2">
      <c r="B53155" s="43"/>
    </row>
    <row r="53156" spans="2:2" ht="12.75" customHeight="1" x14ac:dyDescent="0.2">
      <c r="B53156" s="43"/>
    </row>
    <row r="53157" spans="2:2" ht="12.75" customHeight="1" x14ac:dyDescent="0.2">
      <c r="B53157" s="43"/>
    </row>
    <row r="53158" spans="2:2" ht="12.75" customHeight="1" x14ac:dyDescent="0.2">
      <c r="B53158" s="43"/>
    </row>
    <row r="53159" spans="2:2" ht="12.75" customHeight="1" x14ac:dyDescent="0.2">
      <c r="B53159" s="43"/>
    </row>
    <row r="53160" spans="2:2" ht="12.75" customHeight="1" x14ac:dyDescent="0.2">
      <c r="B53160" s="43"/>
    </row>
    <row r="53161" spans="2:2" ht="12.75" customHeight="1" x14ac:dyDescent="0.2">
      <c r="B53161" s="43"/>
    </row>
    <row r="53162" spans="2:2" ht="12.75" customHeight="1" x14ac:dyDescent="0.2">
      <c r="B53162" s="43"/>
    </row>
    <row r="53163" spans="2:2" ht="12.75" customHeight="1" x14ac:dyDescent="0.2">
      <c r="B53163" s="43"/>
    </row>
    <row r="53164" spans="2:2" ht="12.75" customHeight="1" x14ac:dyDescent="0.2">
      <c r="B53164" s="43"/>
    </row>
    <row r="53165" spans="2:2" ht="12.75" customHeight="1" x14ac:dyDescent="0.2">
      <c r="B53165" s="43"/>
    </row>
    <row r="53166" spans="2:2" ht="12.75" customHeight="1" x14ac:dyDescent="0.2">
      <c r="B53166" s="43"/>
    </row>
    <row r="53167" spans="2:2" ht="12.75" customHeight="1" x14ac:dyDescent="0.2">
      <c r="B53167" s="43"/>
    </row>
    <row r="53168" spans="2:2" ht="12.75" customHeight="1" x14ac:dyDescent="0.2">
      <c r="B53168" s="43"/>
    </row>
    <row r="53169" spans="2:2" ht="12.75" customHeight="1" x14ac:dyDescent="0.2">
      <c r="B53169" s="43"/>
    </row>
    <row r="53170" spans="2:2" ht="12.75" customHeight="1" x14ac:dyDescent="0.2">
      <c r="B53170" s="43"/>
    </row>
    <row r="53171" spans="2:2" ht="12.75" customHeight="1" x14ac:dyDescent="0.2">
      <c r="B53171" s="43"/>
    </row>
    <row r="53172" spans="2:2" ht="12.75" customHeight="1" x14ac:dyDescent="0.2">
      <c r="B53172" s="43"/>
    </row>
    <row r="53173" spans="2:2" ht="12.75" customHeight="1" x14ac:dyDescent="0.2">
      <c r="B53173" s="43"/>
    </row>
    <row r="53174" spans="2:2" ht="12.75" customHeight="1" x14ac:dyDescent="0.2">
      <c r="B53174" s="43"/>
    </row>
    <row r="53175" spans="2:2" ht="12.75" customHeight="1" x14ac:dyDescent="0.2">
      <c r="B53175" s="43"/>
    </row>
    <row r="53176" spans="2:2" ht="12.75" customHeight="1" x14ac:dyDescent="0.2">
      <c r="B53176" s="43"/>
    </row>
    <row r="53177" spans="2:2" ht="12.75" customHeight="1" x14ac:dyDescent="0.2">
      <c r="B53177" s="43"/>
    </row>
    <row r="53178" spans="2:2" ht="12.75" customHeight="1" x14ac:dyDescent="0.2">
      <c r="B53178" s="43"/>
    </row>
    <row r="53179" spans="2:2" ht="12.75" customHeight="1" x14ac:dyDescent="0.2">
      <c r="B53179" s="43"/>
    </row>
    <row r="53180" spans="2:2" ht="12.75" customHeight="1" x14ac:dyDescent="0.2">
      <c r="B53180" s="43"/>
    </row>
    <row r="53181" spans="2:2" ht="12.75" customHeight="1" x14ac:dyDescent="0.2">
      <c r="B53181" s="43"/>
    </row>
    <row r="53182" spans="2:2" ht="12.75" customHeight="1" x14ac:dyDescent="0.2">
      <c r="B53182" s="43"/>
    </row>
    <row r="53183" spans="2:2" ht="12.75" customHeight="1" x14ac:dyDescent="0.2">
      <c r="B53183" s="43"/>
    </row>
    <row r="53184" spans="2:2" ht="12.75" customHeight="1" x14ac:dyDescent="0.2">
      <c r="B53184" s="43"/>
    </row>
    <row r="53185" spans="2:2" ht="12.75" customHeight="1" x14ac:dyDescent="0.2">
      <c r="B53185" s="43"/>
    </row>
    <row r="53186" spans="2:2" ht="12.75" customHeight="1" x14ac:dyDescent="0.2">
      <c r="B53186" s="43"/>
    </row>
    <row r="53187" spans="2:2" ht="12.75" customHeight="1" x14ac:dyDescent="0.2">
      <c r="B53187" s="43"/>
    </row>
    <row r="53188" spans="2:2" ht="12.75" customHeight="1" x14ac:dyDescent="0.2">
      <c r="B53188" s="43"/>
    </row>
    <row r="53189" spans="2:2" ht="12.75" customHeight="1" x14ac:dyDescent="0.2">
      <c r="B53189" s="43"/>
    </row>
    <row r="53190" spans="2:2" ht="12.75" customHeight="1" x14ac:dyDescent="0.2">
      <c r="B53190" s="43"/>
    </row>
    <row r="53191" spans="2:2" ht="12.75" customHeight="1" x14ac:dyDescent="0.2">
      <c r="B53191" s="43"/>
    </row>
    <row r="53192" spans="2:2" ht="12.75" customHeight="1" x14ac:dyDescent="0.2">
      <c r="B53192" s="43"/>
    </row>
    <row r="53193" spans="2:2" ht="12.75" customHeight="1" x14ac:dyDescent="0.2">
      <c r="B53193" s="43"/>
    </row>
    <row r="53194" spans="2:2" ht="12.75" customHeight="1" x14ac:dyDescent="0.2">
      <c r="B53194" s="43"/>
    </row>
    <row r="53195" spans="2:2" ht="12.75" customHeight="1" x14ac:dyDescent="0.2">
      <c r="B53195" s="43"/>
    </row>
    <row r="53196" spans="2:2" ht="12.75" customHeight="1" x14ac:dyDescent="0.2">
      <c r="B53196" s="43"/>
    </row>
    <row r="53197" spans="2:2" ht="12.75" customHeight="1" x14ac:dyDescent="0.2">
      <c r="B53197" s="43"/>
    </row>
    <row r="53198" spans="2:2" ht="12.75" customHeight="1" x14ac:dyDescent="0.2">
      <c r="B53198" s="43"/>
    </row>
    <row r="53199" spans="2:2" ht="12.75" customHeight="1" x14ac:dyDescent="0.2">
      <c r="B53199" s="43"/>
    </row>
    <row r="53200" spans="2:2" ht="12.75" customHeight="1" x14ac:dyDescent="0.2">
      <c r="B53200" s="43"/>
    </row>
    <row r="53201" spans="2:2" ht="12.75" customHeight="1" x14ac:dyDescent="0.2">
      <c r="B53201" s="43"/>
    </row>
    <row r="53202" spans="2:2" ht="12.75" customHeight="1" x14ac:dyDescent="0.2">
      <c r="B53202" s="43"/>
    </row>
    <row r="53203" spans="2:2" ht="12.75" customHeight="1" x14ac:dyDescent="0.2">
      <c r="B53203" s="43"/>
    </row>
    <row r="53204" spans="2:2" ht="12.75" customHeight="1" x14ac:dyDescent="0.2">
      <c r="B53204" s="43"/>
    </row>
    <row r="53205" spans="2:2" ht="12.75" customHeight="1" x14ac:dyDescent="0.2">
      <c r="B53205" s="43"/>
    </row>
    <row r="53206" spans="2:2" ht="12.75" customHeight="1" x14ac:dyDescent="0.2">
      <c r="B53206" s="43"/>
    </row>
    <row r="53207" spans="2:2" ht="12.75" customHeight="1" x14ac:dyDescent="0.2">
      <c r="B53207" s="43"/>
    </row>
    <row r="53208" spans="2:2" ht="12.75" customHeight="1" x14ac:dyDescent="0.2">
      <c r="B53208" s="43"/>
    </row>
    <row r="53209" spans="2:2" ht="12.75" customHeight="1" x14ac:dyDescent="0.2">
      <c r="B53209" s="43"/>
    </row>
    <row r="53210" spans="2:2" ht="12.75" customHeight="1" x14ac:dyDescent="0.2">
      <c r="B53210" s="43"/>
    </row>
    <row r="53211" spans="2:2" ht="12.75" customHeight="1" x14ac:dyDescent="0.2">
      <c r="B53211" s="43"/>
    </row>
    <row r="53212" spans="2:2" ht="12.75" customHeight="1" x14ac:dyDescent="0.2">
      <c r="B53212" s="43"/>
    </row>
    <row r="53213" spans="2:2" ht="12.75" customHeight="1" x14ac:dyDescent="0.2">
      <c r="B53213" s="43"/>
    </row>
    <row r="53214" spans="2:2" ht="12.75" customHeight="1" x14ac:dyDescent="0.2">
      <c r="B53214" s="43"/>
    </row>
    <row r="53215" spans="2:2" ht="12.75" customHeight="1" x14ac:dyDescent="0.2">
      <c r="B53215" s="43"/>
    </row>
    <row r="53216" spans="2:2" ht="12.75" customHeight="1" x14ac:dyDescent="0.2">
      <c r="B53216" s="43"/>
    </row>
    <row r="53217" spans="2:2" ht="12.75" customHeight="1" x14ac:dyDescent="0.2">
      <c r="B53217" s="43"/>
    </row>
    <row r="53218" spans="2:2" ht="12.75" customHeight="1" x14ac:dyDescent="0.2">
      <c r="B53218" s="43"/>
    </row>
    <row r="53219" spans="2:2" ht="12.75" customHeight="1" x14ac:dyDescent="0.2">
      <c r="B53219" s="43"/>
    </row>
    <row r="53220" spans="2:2" ht="12.75" customHeight="1" x14ac:dyDescent="0.2">
      <c r="B53220" s="43"/>
    </row>
    <row r="53221" spans="2:2" ht="12.75" customHeight="1" x14ac:dyDescent="0.2">
      <c r="B53221" s="43"/>
    </row>
    <row r="53222" spans="2:2" ht="12.75" customHeight="1" x14ac:dyDescent="0.2">
      <c r="B53222" s="43"/>
    </row>
    <row r="53223" spans="2:2" ht="12.75" customHeight="1" x14ac:dyDescent="0.2">
      <c r="B53223" s="43"/>
    </row>
    <row r="53224" spans="2:2" ht="12.75" customHeight="1" x14ac:dyDescent="0.2">
      <c r="B53224" s="43"/>
    </row>
    <row r="53225" spans="2:2" ht="12.75" customHeight="1" x14ac:dyDescent="0.2">
      <c r="B53225" s="43"/>
    </row>
    <row r="53226" spans="2:2" ht="12.75" customHeight="1" x14ac:dyDescent="0.2">
      <c r="B53226" s="43"/>
    </row>
    <row r="53227" spans="2:2" ht="12.75" customHeight="1" x14ac:dyDescent="0.2">
      <c r="B53227" s="43"/>
    </row>
    <row r="53228" spans="2:2" ht="12.75" customHeight="1" x14ac:dyDescent="0.2">
      <c r="B53228" s="43"/>
    </row>
    <row r="53229" spans="2:2" ht="12.75" customHeight="1" x14ac:dyDescent="0.2">
      <c r="B53229" s="43"/>
    </row>
    <row r="53230" spans="2:2" ht="12.75" customHeight="1" x14ac:dyDescent="0.2">
      <c r="B53230" s="43"/>
    </row>
    <row r="53231" spans="2:2" ht="12.75" customHeight="1" x14ac:dyDescent="0.2">
      <c r="B53231" s="43"/>
    </row>
    <row r="53232" spans="2:2" ht="12.75" customHeight="1" x14ac:dyDescent="0.2">
      <c r="B53232" s="43"/>
    </row>
    <row r="53233" spans="2:2" ht="12.75" customHeight="1" x14ac:dyDescent="0.2">
      <c r="B53233" s="43"/>
    </row>
    <row r="53234" spans="2:2" ht="12.75" customHeight="1" x14ac:dyDescent="0.2">
      <c r="B53234" s="43"/>
    </row>
    <row r="53235" spans="2:2" ht="12.75" customHeight="1" x14ac:dyDescent="0.2">
      <c r="B53235" s="43"/>
    </row>
    <row r="53236" spans="2:2" ht="12.75" customHeight="1" x14ac:dyDescent="0.2">
      <c r="B53236" s="43"/>
    </row>
    <row r="53237" spans="2:2" ht="12.75" customHeight="1" x14ac:dyDescent="0.2">
      <c r="B53237" s="43"/>
    </row>
    <row r="53238" spans="2:2" ht="12.75" customHeight="1" x14ac:dyDescent="0.2">
      <c r="B53238" s="43"/>
    </row>
    <row r="53239" spans="2:2" ht="12.75" customHeight="1" x14ac:dyDescent="0.2">
      <c r="B53239" s="43"/>
    </row>
    <row r="53240" spans="2:2" ht="12.75" customHeight="1" x14ac:dyDescent="0.2">
      <c r="B53240" s="43"/>
    </row>
    <row r="53241" spans="2:2" ht="12.75" customHeight="1" x14ac:dyDescent="0.2">
      <c r="B53241" s="43"/>
    </row>
    <row r="53242" spans="2:2" ht="12.75" customHeight="1" x14ac:dyDescent="0.2">
      <c r="B53242" s="43"/>
    </row>
    <row r="53243" spans="2:2" ht="12.75" customHeight="1" x14ac:dyDescent="0.2">
      <c r="B53243" s="43"/>
    </row>
    <row r="53244" spans="2:2" ht="12.75" customHeight="1" x14ac:dyDescent="0.2">
      <c r="B53244" s="43"/>
    </row>
    <row r="53245" spans="2:2" ht="12.75" customHeight="1" x14ac:dyDescent="0.2">
      <c r="B53245" s="43"/>
    </row>
    <row r="53246" spans="2:2" ht="12.75" customHeight="1" x14ac:dyDescent="0.2">
      <c r="B53246" s="43"/>
    </row>
    <row r="53247" spans="2:2" ht="12.75" customHeight="1" x14ac:dyDescent="0.2">
      <c r="B53247" s="43"/>
    </row>
    <row r="53248" spans="2:2" ht="12.75" customHeight="1" x14ac:dyDescent="0.2">
      <c r="B53248" s="43"/>
    </row>
    <row r="53249" spans="2:2" ht="12.75" customHeight="1" x14ac:dyDescent="0.2">
      <c r="B53249" s="43"/>
    </row>
    <row r="53250" spans="2:2" ht="12.75" customHeight="1" x14ac:dyDescent="0.2">
      <c r="B53250" s="43"/>
    </row>
    <row r="53251" spans="2:2" ht="12.75" customHeight="1" x14ac:dyDescent="0.2">
      <c r="B53251" s="43"/>
    </row>
    <row r="53252" spans="2:2" ht="12.75" customHeight="1" x14ac:dyDescent="0.2">
      <c r="B53252" s="43"/>
    </row>
    <row r="53253" spans="2:2" ht="12.75" customHeight="1" x14ac:dyDescent="0.2">
      <c r="B53253" s="43"/>
    </row>
    <row r="53254" spans="2:2" ht="12.75" customHeight="1" x14ac:dyDescent="0.2">
      <c r="B53254" s="43"/>
    </row>
    <row r="53255" spans="2:2" ht="12.75" customHeight="1" x14ac:dyDescent="0.2">
      <c r="B53255" s="43"/>
    </row>
    <row r="53256" spans="2:2" ht="12.75" customHeight="1" x14ac:dyDescent="0.2">
      <c r="B53256" s="43"/>
    </row>
    <row r="53257" spans="2:2" ht="12.75" customHeight="1" x14ac:dyDescent="0.2">
      <c r="B53257" s="43"/>
    </row>
    <row r="53258" spans="2:2" ht="12.75" customHeight="1" x14ac:dyDescent="0.2">
      <c r="B53258" s="43"/>
    </row>
    <row r="53259" spans="2:2" ht="12.75" customHeight="1" x14ac:dyDescent="0.2">
      <c r="B53259" s="43"/>
    </row>
    <row r="53260" spans="2:2" ht="12.75" customHeight="1" x14ac:dyDescent="0.2">
      <c r="B53260" s="43"/>
    </row>
    <row r="53261" spans="2:2" ht="12.75" customHeight="1" x14ac:dyDescent="0.2">
      <c r="B53261" s="43"/>
    </row>
    <row r="53262" spans="2:2" ht="12.75" customHeight="1" x14ac:dyDescent="0.2">
      <c r="B53262" s="43"/>
    </row>
    <row r="53263" spans="2:2" ht="12.75" customHeight="1" x14ac:dyDescent="0.2">
      <c r="B53263" s="43"/>
    </row>
    <row r="53264" spans="2:2" ht="12.75" customHeight="1" x14ac:dyDescent="0.2">
      <c r="B53264" s="43"/>
    </row>
    <row r="53265" spans="2:2" ht="12.75" customHeight="1" x14ac:dyDescent="0.2">
      <c r="B53265" s="43"/>
    </row>
    <row r="53266" spans="2:2" ht="12.75" customHeight="1" x14ac:dyDescent="0.2">
      <c r="B53266" s="43"/>
    </row>
    <row r="53267" spans="2:2" ht="12.75" customHeight="1" x14ac:dyDescent="0.2">
      <c r="B53267" s="43"/>
    </row>
    <row r="53268" spans="2:2" ht="12.75" customHeight="1" x14ac:dyDescent="0.2">
      <c r="B53268" s="43"/>
    </row>
    <row r="53269" spans="2:2" ht="12.75" customHeight="1" x14ac:dyDescent="0.2">
      <c r="B53269" s="43"/>
    </row>
    <row r="53270" spans="2:2" ht="12.75" customHeight="1" x14ac:dyDescent="0.2">
      <c r="B53270" s="43"/>
    </row>
    <row r="53271" spans="2:2" ht="12.75" customHeight="1" x14ac:dyDescent="0.2">
      <c r="B53271" s="43"/>
    </row>
    <row r="53272" spans="2:2" ht="12.75" customHeight="1" x14ac:dyDescent="0.2">
      <c r="B53272" s="43"/>
    </row>
    <row r="53273" spans="2:2" ht="12.75" customHeight="1" x14ac:dyDescent="0.2">
      <c r="B53273" s="43"/>
    </row>
    <row r="53274" spans="2:2" ht="12.75" customHeight="1" x14ac:dyDescent="0.2">
      <c r="B53274" s="43"/>
    </row>
    <row r="53275" spans="2:2" ht="12.75" customHeight="1" x14ac:dyDescent="0.2">
      <c r="B53275" s="43"/>
    </row>
    <row r="53276" spans="2:2" ht="12.75" customHeight="1" x14ac:dyDescent="0.2">
      <c r="B53276" s="43"/>
    </row>
    <row r="53277" spans="2:2" ht="12.75" customHeight="1" x14ac:dyDescent="0.2">
      <c r="B53277" s="43"/>
    </row>
    <row r="53278" spans="2:2" ht="12.75" customHeight="1" x14ac:dyDescent="0.2">
      <c r="B53278" s="43"/>
    </row>
    <row r="53279" spans="2:2" ht="12.75" customHeight="1" x14ac:dyDescent="0.2">
      <c r="B53279" s="43"/>
    </row>
    <row r="53280" spans="2:2" ht="12.75" customHeight="1" x14ac:dyDescent="0.2">
      <c r="B53280" s="43"/>
    </row>
    <row r="53281" spans="2:2" ht="12.75" customHeight="1" x14ac:dyDescent="0.2">
      <c r="B53281" s="43"/>
    </row>
    <row r="53282" spans="2:2" ht="12.75" customHeight="1" x14ac:dyDescent="0.2">
      <c r="B53282" s="43"/>
    </row>
    <row r="53283" spans="2:2" ht="12.75" customHeight="1" x14ac:dyDescent="0.2">
      <c r="B53283" s="43"/>
    </row>
    <row r="53284" spans="2:2" ht="12.75" customHeight="1" x14ac:dyDescent="0.2">
      <c r="B53284" s="43"/>
    </row>
    <row r="53285" spans="2:2" ht="12.75" customHeight="1" x14ac:dyDescent="0.2">
      <c r="B53285" s="43"/>
    </row>
    <row r="53286" spans="2:2" ht="12.75" customHeight="1" x14ac:dyDescent="0.2">
      <c r="B53286" s="43"/>
    </row>
    <row r="53287" spans="2:2" ht="12.75" customHeight="1" x14ac:dyDescent="0.2">
      <c r="B53287" s="43"/>
    </row>
    <row r="53288" spans="2:2" ht="12.75" customHeight="1" x14ac:dyDescent="0.2">
      <c r="B53288" s="43"/>
    </row>
    <row r="53289" spans="2:2" ht="12.75" customHeight="1" x14ac:dyDescent="0.2">
      <c r="B53289" s="43"/>
    </row>
    <row r="53290" spans="2:2" ht="12.75" customHeight="1" x14ac:dyDescent="0.2">
      <c r="B53290" s="43"/>
    </row>
    <row r="53291" spans="2:2" ht="12.75" customHeight="1" x14ac:dyDescent="0.2">
      <c r="B53291" s="43"/>
    </row>
    <row r="53292" spans="2:2" ht="12.75" customHeight="1" x14ac:dyDescent="0.2">
      <c r="B53292" s="43"/>
    </row>
    <row r="53293" spans="2:2" ht="12.75" customHeight="1" x14ac:dyDescent="0.2">
      <c r="B53293" s="43"/>
    </row>
    <row r="53294" spans="2:2" ht="12.75" customHeight="1" x14ac:dyDescent="0.2">
      <c r="B53294" s="43"/>
    </row>
    <row r="53295" spans="2:2" ht="12.75" customHeight="1" x14ac:dyDescent="0.2">
      <c r="B53295" s="43"/>
    </row>
    <row r="53296" spans="2:2" ht="12.75" customHeight="1" x14ac:dyDescent="0.2">
      <c r="B53296" s="43"/>
    </row>
    <row r="53297" spans="2:2" ht="12.75" customHeight="1" x14ac:dyDescent="0.2">
      <c r="B53297" s="43"/>
    </row>
    <row r="53298" spans="2:2" ht="12.75" customHeight="1" x14ac:dyDescent="0.2">
      <c r="B53298" s="43"/>
    </row>
    <row r="53299" spans="2:2" ht="12.75" customHeight="1" x14ac:dyDescent="0.2">
      <c r="B53299" s="43"/>
    </row>
    <row r="53300" spans="2:2" ht="12.75" customHeight="1" x14ac:dyDescent="0.2">
      <c r="B53300" s="43"/>
    </row>
    <row r="53301" spans="2:2" ht="12.75" customHeight="1" x14ac:dyDescent="0.2">
      <c r="B53301" s="43"/>
    </row>
    <row r="53302" spans="2:2" ht="12.75" customHeight="1" x14ac:dyDescent="0.2">
      <c r="B53302" s="43"/>
    </row>
    <row r="53303" spans="2:2" ht="12.75" customHeight="1" x14ac:dyDescent="0.2">
      <c r="B53303" s="43"/>
    </row>
    <row r="53304" spans="2:2" ht="12.75" customHeight="1" x14ac:dyDescent="0.2">
      <c r="B53304" s="43"/>
    </row>
    <row r="53305" spans="2:2" ht="12.75" customHeight="1" x14ac:dyDescent="0.2">
      <c r="B53305" s="43"/>
    </row>
    <row r="53306" spans="2:2" ht="12.75" customHeight="1" x14ac:dyDescent="0.2">
      <c r="B53306" s="43"/>
    </row>
    <row r="53307" spans="2:2" ht="12.75" customHeight="1" x14ac:dyDescent="0.2">
      <c r="B53307" s="43"/>
    </row>
    <row r="53308" spans="2:2" ht="12.75" customHeight="1" x14ac:dyDescent="0.2">
      <c r="B53308" s="43"/>
    </row>
    <row r="53309" spans="2:2" ht="12.75" customHeight="1" x14ac:dyDescent="0.2">
      <c r="B53309" s="43"/>
    </row>
    <row r="53310" spans="2:2" ht="12.75" customHeight="1" x14ac:dyDescent="0.2">
      <c r="B53310" s="43"/>
    </row>
    <row r="53311" spans="2:2" ht="12.75" customHeight="1" x14ac:dyDescent="0.2">
      <c r="B53311" s="43"/>
    </row>
    <row r="53312" spans="2:2" ht="12.75" customHeight="1" x14ac:dyDescent="0.2">
      <c r="B53312" s="43"/>
    </row>
    <row r="53313" spans="2:2" ht="12.75" customHeight="1" x14ac:dyDescent="0.2">
      <c r="B53313" s="43"/>
    </row>
    <row r="53314" spans="2:2" ht="12.75" customHeight="1" x14ac:dyDescent="0.2">
      <c r="B53314" s="43"/>
    </row>
    <row r="53315" spans="2:2" ht="12.75" customHeight="1" x14ac:dyDescent="0.2">
      <c r="B53315" s="43"/>
    </row>
    <row r="53316" spans="2:2" ht="12.75" customHeight="1" x14ac:dyDescent="0.2">
      <c r="B53316" s="43"/>
    </row>
    <row r="53317" spans="2:2" ht="12.75" customHeight="1" x14ac:dyDescent="0.2">
      <c r="B53317" s="43"/>
    </row>
    <row r="53318" spans="2:2" ht="12.75" customHeight="1" x14ac:dyDescent="0.2">
      <c r="B53318" s="43"/>
    </row>
    <row r="53319" spans="2:2" ht="12.75" customHeight="1" x14ac:dyDescent="0.2">
      <c r="B53319" s="43"/>
    </row>
    <row r="53320" spans="2:2" ht="12.75" customHeight="1" x14ac:dyDescent="0.2">
      <c r="B53320" s="43"/>
    </row>
    <row r="53321" spans="2:2" ht="12.75" customHeight="1" x14ac:dyDescent="0.2">
      <c r="B53321" s="43"/>
    </row>
    <row r="53322" spans="2:2" ht="12.75" customHeight="1" x14ac:dyDescent="0.2">
      <c r="B53322" s="43"/>
    </row>
    <row r="53323" spans="2:2" ht="12.75" customHeight="1" x14ac:dyDescent="0.2">
      <c r="B53323" s="43"/>
    </row>
    <row r="53324" spans="2:2" ht="12.75" customHeight="1" x14ac:dyDescent="0.2">
      <c r="B53324" s="43"/>
    </row>
    <row r="53325" spans="2:2" ht="12.75" customHeight="1" x14ac:dyDescent="0.2">
      <c r="B53325" s="43"/>
    </row>
    <row r="53326" spans="2:2" ht="12.75" customHeight="1" x14ac:dyDescent="0.2">
      <c r="B53326" s="43"/>
    </row>
    <row r="53327" spans="2:2" ht="12.75" customHeight="1" x14ac:dyDescent="0.2">
      <c r="B53327" s="43"/>
    </row>
    <row r="53328" spans="2:2" ht="12.75" customHeight="1" x14ac:dyDescent="0.2">
      <c r="B53328" s="43"/>
    </row>
    <row r="53329" spans="2:2" ht="12.75" customHeight="1" x14ac:dyDescent="0.2">
      <c r="B53329" s="43"/>
    </row>
    <row r="53330" spans="2:2" ht="12.75" customHeight="1" x14ac:dyDescent="0.2">
      <c r="B53330" s="43"/>
    </row>
    <row r="53331" spans="2:2" ht="12.75" customHeight="1" x14ac:dyDescent="0.2">
      <c r="B53331" s="43"/>
    </row>
    <row r="53332" spans="2:2" ht="12.75" customHeight="1" x14ac:dyDescent="0.2">
      <c r="B53332" s="43"/>
    </row>
    <row r="53333" spans="2:2" ht="12.75" customHeight="1" x14ac:dyDescent="0.2">
      <c r="B53333" s="43"/>
    </row>
    <row r="53334" spans="2:2" ht="12.75" customHeight="1" x14ac:dyDescent="0.2">
      <c r="B53334" s="43"/>
    </row>
    <row r="53335" spans="2:2" ht="12.75" customHeight="1" x14ac:dyDescent="0.2">
      <c r="B53335" s="43"/>
    </row>
    <row r="53336" spans="2:2" ht="12.75" customHeight="1" x14ac:dyDescent="0.2">
      <c r="B53336" s="43"/>
    </row>
    <row r="53337" spans="2:2" ht="12.75" customHeight="1" x14ac:dyDescent="0.2">
      <c r="B53337" s="43"/>
    </row>
    <row r="53338" spans="2:2" ht="12.75" customHeight="1" x14ac:dyDescent="0.2">
      <c r="B53338" s="43"/>
    </row>
    <row r="53339" spans="2:2" ht="12.75" customHeight="1" x14ac:dyDescent="0.2">
      <c r="B53339" s="43"/>
    </row>
    <row r="53340" spans="2:2" ht="12.75" customHeight="1" x14ac:dyDescent="0.2">
      <c r="B53340" s="43"/>
    </row>
    <row r="53341" spans="2:2" ht="12.75" customHeight="1" x14ac:dyDescent="0.2">
      <c r="B53341" s="43"/>
    </row>
    <row r="53342" spans="2:2" ht="12.75" customHeight="1" x14ac:dyDescent="0.2">
      <c r="B53342" s="43"/>
    </row>
    <row r="53343" spans="2:2" ht="12.75" customHeight="1" x14ac:dyDescent="0.2">
      <c r="B53343" s="43"/>
    </row>
    <row r="53344" spans="2:2" ht="12.75" customHeight="1" x14ac:dyDescent="0.2">
      <c r="B53344" s="43"/>
    </row>
    <row r="53345" spans="2:2" ht="12.75" customHeight="1" x14ac:dyDescent="0.2">
      <c r="B53345" s="43"/>
    </row>
    <row r="53346" spans="2:2" ht="12.75" customHeight="1" x14ac:dyDescent="0.2">
      <c r="B53346" s="43"/>
    </row>
    <row r="53347" spans="2:2" ht="12.75" customHeight="1" x14ac:dyDescent="0.2">
      <c r="B53347" s="43"/>
    </row>
    <row r="53348" spans="2:2" ht="12.75" customHeight="1" x14ac:dyDescent="0.2">
      <c r="B53348" s="43"/>
    </row>
    <row r="53349" spans="2:2" ht="12.75" customHeight="1" x14ac:dyDescent="0.2">
      <c r="B53349" s="43"/>
    </row>
    <row r="53350" spans="2:2" ht="12.75" customHeight="1" x14ac:dyDescent="0.2">
      <c r="B53350" s="43"/>
    </row>
    <row r="53351" spans="2:2" ht="12.75" customHeight="1" x14ac:dyDescent="0.2">
      <c r="B53351" s="43"/>
    </row>
    <row r="53352" spans="2:2" ht="12.75" customHeight="1" x14ac:dyDescent="0.2">
      <c r="B53352" s="43"/>
    </row>
    <row r="53353" spans="2:2" ht="12.75" customHeight="1" x14ac:dyDescent="0.2">
      <c r="B53353" s="43"/>
    </row>
    <row r="53354" spans="2:2" ht="12.75" customHeight="1" x14ac:dyDescent="0.2">
      <c r="B53354" s="43"/>
    </row>
    <row r="53355" spans="2:2" ht="12.75" customHeight="1" x14ac:dyDescent="0.2">
      <c r="B53355" s="43"/>
    </row>
    <row r="53356" spans="2:2" ht="12.75" customHeight="1" x14ac:dyDescent="0.2">
      <c r="B53356" s="43"/>
    </row>
    <row r="53357" spans="2:2" ht="12.75" customHeight="1" x14ac:dyDescent="0.2">
      <c r="B53357" s="43"/>
    </row>
    <row r="53358" spans="2:2" ht="12.75" customHeight="1" x14ac:dyDescent="0.2">
      <c r="B53358" s="43"/>
    </row>
    <row r="53359" spans="2:2" ht="12.75" customHeight="1" x14ac:dyDescent="0.2">
      <c r="B53359" s="43"/>
    </row>
    <row r="53360" spans="2:2" ht="12.75" customHeight="1" x14ac:dyDescent="0.2">
      <c r="B53360" s="43"/>
    </row>
    <row r="53361" spans="2:2" ht="12.75" customHeight="1" x14ac:dyDescent="0.2">
      <c r="B53361" s="43"/>
    </row>
    <row r="53362" spans="2:2" ht="12.75" customHeight="1" x14ac:dyDescent="0.2">
      <c r="B53362" s="43"/>
    </row>
    <row r="53363" spans="2:2" ht="12.75" customHeight="1" x14ac:dyDescent="0.2">
      <c r="B53363" s="43"/>
    </row>
    <row r="53364" spans="2:2" ht="12.75" customHeight="1" x14ac:dyDescent="0.2">
      <c r="B53364" s="43"/>
    </row>
    <row r="53365" spans="2:2" ht="12.75" customHeight="1" x14ac:dyDescent="0.2">
      <c r="B53365" s="43"/>
    </row>
    <row r="53366" spans="2:2" ht="12.75" customHeight="1" x14ac:dyDescent="0.2">
      <c r="B53366" s="43"/>
    </row>
    <row r="53367" spans="2:2" ht="12.75" customHeight="1" x14ac:dyDescent="0.2">
      <c r="B53367" s="43"/>
    </row>
    <row r="53368" spans="2:2" ht="12.75" customHeight="1" x14ac:dyDescent="0.2">
      <c r="B53368" s="43"/>
    </row>
    <row r="53369" spans="2:2" ht="12.75" customHeight="1" x14ac:dyDescent="0.2">
      <c r="B53369" s="43"/>
    </row>
    <row r="53370" spans="2:2" ht="12.75" customHeight="1" x14ac:dyDescent="0.2">
      <c r="B53370" s="43"/>
    </row>
    <row r="53371" spans="2:2" ht="12.75" customHeight="1" x14ac:dyDescent="0.2">
      <c r="B53371" s="43"/>
    </row>
    <row r="53372" spans="2:2" ht="12.75" customHeight="1" x14ac:dyDescent="0.2">
      <c r="B53372" s="43"/>
    </row>
    <row r="53373" spans="2:2" ht="12.75" customHeight="1" x14ac:dyDescent="0.2">
      <c r="B53373" s="43"/>
    </row>
    <row r="53374" spans="2:2" ht="12.75" customHeight="1" x14ac:dyDescent="0.2">
      <c r="B53374" s="43"/>
    </row>
    <row r="53375" spans="2:2" ht="12.75" customHeight="1" x14ac:dyDescent="0.2">
      <c r="B53375" s="43"/>
    </row>
    <row r="53376" spans="2:2" ht="12.75" customHeight="1" x14ac:dyDescent="0.2">
      <c r="B53376" s="43"/>
    </row>
    <row r="53377" spans="2:2" ht="12.75" customHeight="1" x14ac:dyDescent="0.2">
      <c r="B53377" s="43"/>
    </row>
    <row r="53378" spans="2:2" ht="12.75" customHeight="1" x14ac:dyDescent="0.2">
      <c r="B53378" s="43"/>
    </row>
    <row r="53379" spans="2:2" ht="12.75" customHeight="1" x14ac:dyDescent="0.2">
      <c r="B53379" s="43"/>
    </row>
    <row r="53380" spans="2:2" ht="12.75" customHeight="1" x14ac:dyDescent="0.2">
      <c r="B53380" s="43"/>
    </row>
    <row r="53381" spans="2:2" ht="12.75" customHeight="1" x14ac:dyDescent="0.2">
      <c r="B53381" s="43"/>
    </row>
    <row r="53382" spans="2:2" ht="12.75" customHeight="1" x14ac:dyDescent="0.2">
      <c r="B53382" s="43"/>
    </row>
    <row r="53383" spans="2:2" ht="12.75" customHeight="1" x14ac:dyDescent="0.2">
      <c r="B53383" s="43"/>
    </row>
    <row r="53384" spans="2:2" ht="12.75" customHeight="1" x14ac:dyDescent="0.2">
      <c r="B53384" s="43"/>
    </row>
    <row r="53385" spans="2:2" ht="12.75" customHeight="1" x14ac:dyDescent="0.2">
      <c r="B53385" s="43"/>
    </row>
    <row r="53386" spans="2:2" ht="12.75" customHeight="1" x14ac:dyDescent="0.2">
      <c r="B53386" s="43"/>
    </row>
    <row r="53387" spans="2:2" ht="12.75" customHeight="1" x14ac:dyDescent="0.2">
      <c r="B53387" s="43"/>
    </row>
    <row r="53388" spans="2:2" ht="12.75" customHeight="1" x14ac:dyDescent="0.2">
      <c r="B53388" s="43"/>
    </row>
    <row r="53389" spans="2:2" ht="12.75" customHeight="1" x14ac:dyDescent="0.2">
      <c r="B53389" s="43"/>
    </row>
    <row r="53390" spans="2:2" ht="12.75" customHeight="1" x14ac:dyDescent="0.2">
      <c r="B53390" s="43"/>
    </row>
    <row r="53391" spans="2:2" ht="12.75" customHeight="1" x14ac:dyDescent="0.2">
      <c r="B53391" s="43"/>
    </row>
    <row r="53392" spans="2:2" ht="12.75" customHeight="1" x14ac:dyDescent="0.2">
      <c r="B53392" s="43"/>
    </row>
    <row r="53393" spans="2:2" ht="12.75" customHeight="1" x14ac:dyDescent="0.2">
      <c r="B53393" s="43"/>
    </row>
    <row r="53394" spans="2:2" ht="12.75" customHeight="1" x14ac:dyDescent="0.2">
      <c r="B53394" s="43"/>
    </row>
    <row r="53395" spans="2:2" ht="12.75" customHeight="1" x14ac:dyDescent="0.2">
      <c r="B53395" s="43"/>
    </row>
    <row r="53396" spans="2:2" ht="12.75" customHeight="1" x14ac:dyDescent="0.2">
      <c r="B53396" s="43"/>
    </row>
    <row r="53397" spans="2:2" ht="12.75" customHeight="1" x14ac:dyDescent="0.2">
      <c r="B53397" s="43"/>
    </row>
    <row r="53398" spans="2:2" ht="12.75" customHeight="1" x14ac:dyDescent="0.2">
      <c r="B53398" s="43"/>
    </row>
    <row r="53399" spans="2:2" ht="12.75" customHeight="1" x14ac:dyDescent="0.2">
      <c r="B53399" s="43"/>
    </row>
    <row r="53400" spans="2:2" ht="12.75" customHeight="1" x14ac:dyDescent="0.2">
      <c r="B53400" s="43"/>
    </row>
    <row r="53401" spans="2:2" ht="12.75" customHeight="1" x14ac:dyDescent="0.2">
      <c r="B53401" s="43"/>
    </row>
    <row r="53402" spans="2:2" ht="12.75" customHeight="1" x14ac:dyDescent="0.2">
      <c r="B53402" s="43"/>
    </row>
    <row r="53403" spans="2:2" ht="12.75" customHeight="1" x14ac:dyDescent="0.2">
      <c r="B53403" s="43"/>
    </row>
    <row r="53404" spans="2:2" ht="12.75" customHeight="1" x14ac:dyDescent="0.2">
      <c r="B53404" s="43"/>
    </row>
    <row r="53405" spans="2:2" ht="12.75" customHeight="1" x14ac:dyDescent="0.2">
      <c r="B53405" s="43"/>
    </row>
    <row r="53406" spans="2:2" ht="12.75" customHeight="1" x14ac:dyDescent="0.2">
      <c r="B53406" s="43"/>
    </row>
    <row r="53407" spans="2:2" ht="12.75" customHeight="1" x14ac:dyDescent="0.2">
      <c r="B53407" s="43"/>
    </row>
    <row r="53408" spans="2:2" ht="12.75" customHeight="1" x14ac:dyDescent="0.2">
      <c r="B53408" s="43"/>
    </row>
    <row r="53409" spans="2:2" ht="12.75" customHeight="1" x14ac:dyDescent="0.2">
      <c r="B53409" s="43"/>
    </row>
    <row r="53410" spans="2:2" ht="12.75" customHeight="1" x14ac:dyDescent="0.2">
      <c r="B53410" s="43"/>
    </row>
    <row r="53411" spans="2:2" ht="12.75" customHeight="1" x14ac:dyDescent="0.2">
      <c r="B53411" s="43"/>
    </row>
    <row r="53412" spans="2:2" ht="12.75" customHeight="1" x14ac:dyDescent="0.2">
      <c r="B53412" s="43"/>
    </row>
    <row r="53413" spans="2:2" ht="12.75" customHeight="1" x14ac:dyDescent="0.2">
      <c r="B53413" s="43"/>
    </row>
    <row r="53414" spans="2:2" ht="12.75" customHeight="1" x14ac:dyDescent="0.2">
      <c r="B53414" s="43"/>
    </row>
    <row r="53415" spans="2:2" ht="12.75" customHeight="1" x14ac:dyDescent="0.2">
      <c r="B53415" s="43"/>
    </row>
    <row r="53416" spans="2:2" ht="12.75" customHeight="1" x14ac:dyDescent="0.2">
      <c r="B53416" s="43"/>
    </row>
    <row r="53417" spans="2:2" ht="12.75" customHeight="1" x14ac:dyDescent="0.2">
      <c r="B53417" s="43"/>
    </row>
    <row r="53418" spans="2:2" ht="12.75" customHeight="1" x14ac:dyDescent="0.2">
      <c r="B53418" s="43"/>
    </row>
    <row r="53419" spans="2:2" ht="12.75" customHeight="1" x14ac:dyDescent="0.2">
      <c r="B53419" s="43"/>
    </row>
    <row r="53420" spans="2:2" ht="12.75" customHeight="1" x14ac:dyDescent="0.2">
      <c r="B53420" s="43"/>
    </row>
    <row r="53421" spans="2:2" ht="12.75" customHeight="1" x14ac:dyDescent="0.2">
      <c r="B53421" s="43"/>
    </row>
    <row r="53422" spans="2:2" ht="12.75" customHeight="1" x14ac:dyDescent="0.2">
      <c r="B53422" s="43"/>
    </row>
    <row r="53423" spans="2:2" ht="12.75" customHeight="1" x14ac:dyDescent="0.2">
      <c r="B53423" s="43"/>
    </row>
    <row r="53424" spans="2:2" ht="12.75" customHeight="1" x14ac:dyDescent="0.2">
      <c r="B53424" s="43"/>
    </row>
    <row r="53425" spans="2:2" ht="12.75" customHeight="1" x14ac:dyDescent="0.2">
      <c r="B53425" s="43"/>
    </row>
    <row r="53426" spans="2:2" ht="12.75" customHeight="1" x14ac:dyDescent="0.2">
      <c r="B53426" s="43"/>
    </row>
    <row r="53427" spans="2:2" ht="12.75" customHeight="1" x14ac:dyDescent="0.2">
      <c r="B53427" s="43"/>
    </row>
    <row r="53428" spans="2:2" ht="12.75" customHeight="1" x14ac:dyDescent="0.2">
      <c r="B53428" s="43"/>
    </row>
    <row r="53429" spans="2:2" ht="12.75" customHeight="1" x14ac:dyDescent="0.2">
      <c r="B53429" s="43"/>
    </row>
    <row r="53430" spans="2:2" ht="12.75" customHeight="1" x14ac:dyDescent="0.2">
      <c r="B53430" s="43"/>
    </row>
    <row r="53431" spans="2:2" ht="12.75" customHeight="1" x14ac:dyDescent="0.2">
      <c r="B53431" s="43"/>
    </row>
    <row r="53432" spans="2:2" ht="12.75" customHeight="1" x14ac:dyDescent="0.2">
      <c r="B53432" s="43"/>
    </row>
    <row r="53433" spans="2:2" ht="12.75" customHeight="1" x14ac:dyDescent="0.2">
      <c r="B53433" s="43"/>
    </row>
    <row r="53434" spans="2:2" ht="12.75" customHeight="1" x14ac:dyDescent="0.2">
      <c r="B53434" s="43"/>
    </row>
    <row r="53435" spans="2:2" ht="12.75" customHeight="1" x14ac:dyDescent="0.2">
      <c r="B53435" s="43"/>
    </row>
    <row r="53436" spans="2:2" ht="12.75" customHeight="1" x14ac:dyDescent="0.2">
      <c r="B53436" s="43"/>
    </row>
    <row r="53437" spans="2:2" ht="12.75" customHeight="1" x14ac:dyDescent="0.2">
      <c r="B53437" s="43"/>
    </row>
    <row r="53438" spans="2:2" ht="12.75" customHeight="1" x14ac:dyDescent="0.2">
      <c r="B53438" s="43"/>
    </row>
    <row r="53439" spans="2:2" ht="12.75" customHeight="1" x14ac:dyDescent="0.2">
      <c r="B53439" s="43"/>
    </row>
    <row r="53440" spans="2:2" ht="12.75" customHeight="1" x14ac:dyDescent="0.2">
      <c r="B53440" s="43"/>
    </row>
    <row r="53441" spans="2:2" ht="12.75" customHeight="1" x14ac:dyDescent="0.2">
      <c r="B53441" s="43"/>
    </row>
    <row r="53442" spans="2:2" ht="12.75" customHeight="1" x14ac:dyDescent="0.2">
      <c r="B53442" s="43"/>
    </row>
    <row r="53443" spans="2:2" ht="12.75" customHeight="1" x14ac:dyDescent="0.2">
      <c r="B53443" s="43"/>
    </row>
    <row r="53444" spans="2:2" ht="12.75" customHeight="1" x14ac:dyDescent="0.2">
      <c r="B53444" s="43"/>
    </row>
    <row r="53445" spans="2:2" ht="12.75" customHeight="1" x14ac:dyDescent="0.2">
      <c r="B53445" s="43"/>
    </row>
    <row r="53446" spans="2:2" ht="12.75" customHeight="1" x14ac:dyDescent="0.2">
      <c r="B53446" s="43"/>
    </row>
    <row r="53447" spans="2:2" ht="12.75" customHeight="1" x14ac:dyDescent="0.2">
      <c r="B53447" s="43"/>
    </row>
    <row r="53448" spans="2:2" ht="12.75" customHeight="1" x14ac:dyDescent="0.2">
      <c r="B53448" s="43"/>
    </row>
    <row r="53449" spans="2:2" ht="12.75" customHeight="1" x14ac:dyDescent="0.2">
      <c r="B53449" s="43"/>
    </row>
    <row r="53450" spans="2:2" ht="12.75" customHeight="1" x14ac:dyDescent="0.2">
      <c r="B53450" s="43"/>
    </row>
    <row r="53451" spans="2:2" ht="12.75" customHeight="1" x14ac:dyDescent="0.2">
      <c r="B53451" s="43"/>
    </row>
    <row r="53452" spans="2:2" ht="12.75" customHeight="1" x14ac:dyDescent="0.2">
      <c r="B53452" s="43"/>
    </row>
    <row r="53453" spans="2:2" ht="12.75" customHeight="1" x14ac:dyDescent="0.2">
      <c r="B53453" s="43"/>
    </row>
    <row r="53454" spans="2:2" ht="12.75" customHeight="1" x14ac:dyDescent="0.2">
      <c r="B53454" s="43"/>
    </row>
    <row r="53455" spans="2:2" ht="12.75" customHeight="1" x14ac:dyDescent="0.2">
      <c r="B53455" s="43"/>
    </row>
    <row r="53456" spans="2:2" ht="12.75" customHeight="1" x14ac:dyDescent="0.2">
      <c r="B53456" s="43"/>
    </row>
    <row r="53457" spans="2:2" ht="12.75" customHeight="1" x14ac:dyDescent="0.2">
      <c r="B53457" s="43"/>
    </row>
    <row r="53458" spans="2:2" ht="12.75" customHeight="1" x14ac:dyDescent="0.2">
      <c r="B53458" s="43"/>
    </row>
    <row r="53459" spans="2:2" ht="12.75" customHeight="1" x14ac:dyDescent="0.2">
      <c r="B53459" s="43"/>
    </row>
    <row r="53460" spans="2:2" ht="12.75" customHeight="1" x14ac:dyDescent="0.2">
      <c r="B53460" s="43"/>
    </row>
    <row r="53461" spans="2:2" ht="12.75" customHeight="1" x14ac:dyDescent="0.2">
      <c r="B53461" s="43"/>
    </row>
    <row r="53462" spans="2:2" ht="12.75" customHeight="1" x14ac:dyDescent="0.2">
      <c r="B53462" s="43"/>
    </row>
    <row r="53463" spans="2:2" ht="12.75" customHeight="1" x14ac:dyDescent="0.2">
      <c r="B53463" s="43"/>
    </row>
    <row r="53464" spans="2:2" ht="12.75" customHeight="1" x14ac:dyDescent="0.2">
      <c r="B53464" s="43"/>
    </row>
    <row r="53465" spans="2:2" ht="12.75" customHeight="1" x14ac:dyDescent="0.2">
      <c r="B53465" s="43"/>
    </row>
    <row r="53466" spans="2:2" ht="12.75" customHeight="1" x14ac:dyDescent="0.2">
      <c r="B53466" s="43"/>
    </row>
    <row r="53467" spans="2:2" ht="12.75" customHeight="1" x14ac:dyDescent="0.2">
      <c r="B53467" s="43"/>
    </row>
    <row r="53468" spans="2:2" ht="12.75" customHeight="1" x14ac:dyDescent="0.2">
      <c r="B53468" s="43"/>
    </row>
    <row r="53469" spans="2:2" ht="12.75" customHeight="1" x14ac:dyDescent="0.2">
      <c r="B53469" s="43"/>
    </row>
    <row r="53470" spans="2:2" ht="12.75" customHeight="1" x14ac:dyDescent="0.2">
      <c r="B53470" s="43"/>
    </row>
    <row r="53471" spans="2:2" ht="12.75" customHeight="1" x14ac:dyDescent="0.2">
      <c r="B53471" s="43"/>
    </row>
    <row r="53472" spans="2:2" ht="12.75" customHeight="1" x14ac:dyDescent="0.2">
      <c r="B53472" s="43"/>
    </row>
    <row r="53473" spans="2:2" ht="12.75" customHeight="1" x14ac:dyDescent="0.2">
      <c r="B53473" s="43"/>
    </row>
    <row r="53474" spans="2:2" ht="12.75" customHeight="1" x14ac:dyDescent="0.2">
      <c r="B53474" s="43"/>
    </row>
    <row r="53475" spans="2:2" ht="12.75" customHeight="1" x14ac:dyDescent="0.2">
      <c r="B53475" s="43"/>
    </row>
    <row r="53476" spans="2:2" ht="12.75" customHeight="1" x14ac:dyDescent="0.2">
      <c r="B53476" s="43"/>
    </row>
    <row r="53477" spans="2:2" ht="12.75" customHeight="1" x14ac:dyDescent="0.2">
      <c r="B53477" s="43"/>
    </row>
    <row r="53478" spans="2:2" ht="12.75" customHeight="1" x14ac:dyDescent="0.2">
      <c r="B53478" s="43"/>
    </row>
    <row r="53479" spans="2:2" ht="12.75" customHeight="1" x14ac:dyDescent="0.2">
      <c r="B53479" s="43"/>
    </row>
    <row r="53480" spans="2:2" ht="12.75" customHeight="1" x14ac:dyDescent="0.2">
      <c r="B53480" s="43"/>
    </row>
    <row r="53481" spans="2:2" ht="12.75" customHeight="1" x14ac:dyDescent="0.2">
      <c r="B53481" s="43"/>
    </row>
    <row r="53482" spans="2:2" ht="12.75" customHeight="1" x14ac:dyDescent="0.2">
      <c r="B53482" s="43"/>
    </row>
    <row r="53483" spans="2:2" ht="12.75" customHeight="1" x14ac:dyDescent="0.2">
      <c r="B53483" s="43"/>
    </row>
    <row r="53484" spans="2:2" ht="12.75" customHeight="1" x14ac:dyDescent="0.2">
      <c r="B53484" s="43"/>
    </row>
    <row r="53485" spans="2:2" ht="12.75" customHeight="1" x14ac:dyDescent="0.2">
      <c r="B53485" s="43"/>
    </row>
    <row r="53486" spans="2:2" ht="12.75" customHeight="1" x14ac:dyDescent="0.2">
      <c r="B53486" s="43"/>
    </row>
    <row r="53487" spans="2:2" ht="12.75" customHeight="1" x14ac:dyDescent="0.2">
      <c r="B53487" s="43"/>
    </row>
    <row r="53488" spans="2:2" ht="12.75" customHeight="1" x14ac:dyDescent="0.2">
      <c r="B53488" s="43"/>
    </row>
    <row r="53489" spans="2:2" ht="12.75" customHeight="1" x14ac:dyDescent="0.2">
      <c r="B53489" s="43"/>
    </row>
    <row r="53490" spans="2:2" ht="12.75" customHeight="1" x14ac:dyDescent="0.2">
      <c r="B53490" s="43"/>
    </row>
    <row r="53491" spans="2:2" ht="12.75" customHeight="1" x14ac:dyDescent="0.2">
      <c r="B53491" s="43"/>
    </row>
    <row r="53492" spans="2:2" ht="12.75" customHeight="1" x14ac:dyDescent="0.2">
      <c r="B53492" s="43"/>
    </row>
    <row r="53493" spans="2:2" ht="12.75" customHeight="1" x14ac:dyDescent="0.2">
      <c r="B53493" s="43"/>
    </row>
    <row r="53494" spans="2:2" ht="12.75" customHeight="1" x14ac:dyDescent="0.2">
      <c r="B53494" s="43"/>
    </row>
    <row r="53495" spans="2:2" ht="12.75" customHeight="1" x14ac:dyDescent="0.2">
      <c r="B53495" s="43"/>
    </row>
    <row r="53496" spans="2:2" ht="12.75" customHeight="1" x14ac:dyDescent="0.2">
      <c r="B53496" s="43"/>
    </row>
    <row r="53497" spans="2:2" ht="12.75" customHeight="1" x14ac:dyDescent="0.2">
      <c r="B53497" s="43"/>
    </row>
    <row r="53498" spans="2:2" ht="12.75" customHeight="1" x14ac:dyDescent="0.2">
      <c r="B53498" s="43"/>
    </row>
    <row r="53499" spans="2:2" ht="12.75" customHeight="1" x14ac:dyDescent="0.2">
      <c r="B53499" s="43"/>
    </row>
    <row r="53500" spans="2:2" ht="12.75" customHeight="1" x14ac:dyDescent="0.2">
      <c r="B53500" s="43"/>
    </row>
    <row r="53501" spans="2:2" ht="12.75" customHeight="1" x14ac:dyDescent="0.2">
      <c r="B53501" s="43"/>
    </row>
    <row r="53502" spans="2:2" ht="12.75" customHeight="1" x14ac:dyDescent="0.2">
      <c r="B53502" s="43"/>
    </row>
    <row r="53503" spans="2:2" ht="12.75" customHeight="1" x14ac:dyDescent="0.2">
      <c r="B53503" s="43"/>
    </row>
    <row r="53504" spans="2:2" ht="12.75" customHeight="1" x14ac:dyDescent="0.2">
      <c r="B53504" s="43"/>
    </row>
    <row r="53505" spans="2:2" ht="12.75" customHeight="1" x14ac:dyDescent="0.2">
      <c r="B53505" s="43"/>
    </row>
    <row r="53506" spans="2:2" ht="12.75" customHeight="1" x14ac:dyDescent="0.2">
      <c r="B53506" s="43"/>
    </row>
    <row r="53507" spans="2:2" ht="12.75" customHeight="1" x14ac:dyDescent="0.2">
      <c r="B53507" s="43"/>
    </row>
    <row r="53508" spans="2:2" ht="12.75" customHeight="1" x14ac:dyDescent="0.2">
      <c r="B53508" s="43"/>
    </row>
    <row r="53509" spans="2:2" ht="12.75" customHeight="1" x14ac:dyDescent="0.2">
      <c r="B53509" s="43"/>
    </row>
    <row r="53510" spans="2:2" ht="12.75" customHeight="1" x14ac:dyDescent="0.2">
      <c r="B53510" s="43"/>
    </row>
    <row r="53511" spans="2:2" ht="12.75" customHeight="1" x14ac:dyDescent="0.2">
      <c r="B53511" s="43"/>
    </row>
    <row r="53512" spans="2:2" ht="12.75" customHeight="1" x14ac:dyDescent="0.2">
      <c r="B53512" s="43"/>
    </row>
    <row r="53513" spans="2:2" ht="12.75" customHeight="1" x14ac:dyDescent="0.2">
      <c r="B53513" s="43"/>
    </row>
    <row r="53514" spans="2:2" ht="12.75" customHeight="1" x14ac:dyDescent="0.2">
      <c r="B53514" s="43"/>
    </row>
    <row r="53515" spans="2:2" ht="12.75" customHeight="1" x14ac:dyDescent="0.2">
      <c r="B53515" s="43"/>
    </row>
    <row r="53516" spans="2:2" ht="12.75" customHeight="1" x14ac:dyDescent="0.2">
      <c r="B53516" s="43"/>
    </row>
    <row r="53517" spans="2:2" ht="12.75" customHeight="1" x14ac:dyDescent="0.2">
      <c r="B53517" s="43"/>
    </row>
    <row r="53518" spans="2:2" ht="12.75" customHeight="1" x14ac:dyDescent="0.2">
      <c r="B53518" s="43"/>
    </row>
    <row r="53519" spans="2:2" ht="12.75" customHeight="1" x14ac:dyDescent="0.2">
      <c r="B53519" s="43"/>
    </row>
    <row r="53520" spans="2:2" ht="12.75" customHeight="1" x14ac:dyDescent="0.2">
      <c r="B53520" s="43"/>
    </row>
    <row r="53521" spans="2:2" ht="12.75" customHeight="1" x14ac:dyDescent="0.2">
      <c r="B53521" s="43"/>
    </row>
    <row r="53522" spans="2:2" ht="12.75" customHeight="1" x14ac:dyDescent="0.2">
      <c r="B53522" s="43"/>
    </row>
    <row r="53523" spans="2:2" ht="12.75" customHeight="1" x14ac:dyDescent="0.2">
      <c r="B53523" s="43"/>
    </row>
    <row r="53524" spans="2:2" ht="12.75" customHeight="1" x14ac:dyDescent="0.2">
      <c r="B53524" s="43"/>
    </row>
    <row r="53525" spans="2:2" ht="12.75" customHeight="1" x14ac:dyDescent="0.2">
      <c r="B53525" s="43"/>
    </row>
    <row r="53526" spans="2:2" ht="12.75" customHeight="1" x14ac:dyDescent="0.2">
      <c r="B53526" s="43"/>
    </row>
    <row r="53527" spans="2:2" ht="12.75" customHeight="1" x14ac:dyDescent="0.2">
      <c r="B53527" s="43"/>
    </row>
    <row r="53528" spans="2:2" ht="12.75" customHeight="1" x14ac:dyDescent="0.2">
      <c r="B53528" s="43"/>
    </row>
    <row r="53529" spans="2:2" ht="12.75" customHeight="1" x14ac:dyDescent="0.2">
      <c r="B53529" s="43"/>
    </row>
    <row r="53530" spans="2:2" ht="12.75" customHeight="1" x14ac:dyDescent="0.2">
      <c r="B53530" s="43"/>
    </row>
    <row r="53531" spans="2:2" ht="12.75" customHeight="1" x14ac:dyDescent="0.2">
      <c r="B53531" s="43"/>
    </row>
    <row r="53532" spans="2:2" ht="12.75" customHeight="1" x14ac:dyDescent="0.2">
      <c r="B53532" s="43"/>
    </row>
    <row r="53533" spans="2:2" ht="12.75" customHeight="1" x14ac:dyDescent="0.2">
      <c r="B53533" s="43"/>
    </row>
    <row r="53534" spans="2:2" ht="12.75" customHeight="1" x14ac:dyDescent="0.2">
      <c r="B53534" s="43"/>
    </row>
    <row r="53535" spans="2:2" ht="12.75" customHeight="1" x14ac:dyDescent="0.2">
      <c r="B53535" s="43"/>
    </row>
    <row r="53536" spans="2:2" ht="12.75" customHeight="1" x14ac:dyDescent="0.2">
      <c r="B53536" s="43"/>
    </row>
    <row r="53537" spans="2:2" ht="12.75" customHeight="1" x14ac:dyDescent="0.2">
      <c r="B53537" s="43"/>
    </row>
    <row r="53538" spans="2:2" ht="12.75" customHeight="1" x14ac:dyDescent="0.2">
      <c r="B53538" s="43"/>
    </row>
    <row r="53539" spans="2:2" ht="12.75" customHeight="1" x14ac:dyDescent="0.2">
      <c r="B53539" s="43"/>
    </row>
    <row r="53540" spans="2:2" ht="12.75" customHeight="1" x14ac:dyDescent="0.2">
      <c r="B53540" s="43"/>
    </row>
    <row r="53541" spans="2:2" ht="12.75" customHeight="1" x14ac:dyDescent="0.2">
      <c r="B53541" s="43"/>
    </row>
    <row r="53542" spans="2:2" ht="12.75" customHeight="1" x14ac:dyDescent="0.2">
      <c r="B53542" s="43"/>
    </row>
    <row r="53543" spans="2:2" ht="12.75" customHeight="1" x14ac:dyDescent="0.2">
      <c r="B53543" s="43"/>
    </row>
    <row r="53544" spans="2:2" ht="12.75" customHeight="1" x14ac:dyDescent="0.2">
      <c r="B53544" s="43"/>
    </row>
    <row r="53545" spans="2:2" ht="12.75" customHeight="1" x14ac:dyDescent="0.2">
      <c r="B53545" s="43"/>
    </row>
    <row r="53546" spans="2:2" ht="12.75" customHeight="1" x14ac:dyDescent="0.2">
      <c r="B53546" s="43"/>
    </row>
    <row r="53547" spans="2:2" ht="12.75" customHeight="1" x14ac:dyDescent="0.2">
      <c r="B53547" s="43"/>
    </row>
    <row r="53548" spans="2:2" ht="12.75" customHeight="1" x14ac:dyDescent="0.2">
      <c r="B53548" s="43"/>
    </row>
    <row r="53549" spans="2:2" ht="12.75" customHeight="1" x14ac:dyDescent="0.2">
      <c r="B53549" s="43"/>
    </row>
    <row r="53550" spans="2:2" ht="12.75" customHeight="1" x14ac:dyDescent="0.2">
      <c r="B53550" s="43"/>
    </row>
    <row r="53551" spans="2:2" ht="12.75" customHeight="1" x14ac:dyDescent="0.2">
      <c r="B53551" s="43"/>
    </row>
    <row r="53552" spans="2:2" ht="12.75" customHeight="1" x14ac:dyDescent="0.2">
      <c r="B53552" s="43"/>
    </row>
    <row r="53553" spans="2:2" ht="12.75" customHeight="1" x14ac:dyDescent="0.2">
      <c r="B53553" s="43"/>
    </row>
    <row r="53554" spans="2:2" ht="12.75" customHeight="1" x14ac:dyDescent="0.2">
      <c r="B53554" s="43"/>
    </row>
    <row r="53555" spans="2:2" ht="12.75" customHeight="1" x14ac:dyDescent="0.2">
      <c r="B53555" s="43"/>
    </row>
    <row r="53556" spans="2:2" ht="12.75" customHeight="1" x14ac:dyDescent="0.2">
      <c r="B53556" s="43"/>
    </row>
    <row r="53557" spans="2:2" ht="12.75" customHeight="1" x14ac:dyDescent="0.2">
      <c r="B53557" s="43"/>
    </row>
    <row r="53558" spans="2:2" ht="12.75" customHeight="1" x14ac:dyDescent="0.2">
      <c r="B53558" s="43"/>
    </row>
    <row r="53559" spans="2:2" ht="12.75" customHeight="1" x14ac:dyDescent="0.2">
      <c r="B53559" s="43"/>
    </row>
    <row r="53560" spans="2:2" ht="12.75" customHeight="1" x14ac:dyDescent="0.2">
      <c r="B53560" s="43"/>
    </row>
    <row r="53561" spans="2:2" ht="12.75" customHeight="1" x14ac:dyDescent="0.2">
      <c r="B53561" s="43"/>
    </row>
    <row r="53562" spans="2:2" ht="12.75" customHeight="1" x14ac:dyDescent="0.2">
      <c r="B53562" s="43"/>
    </row>
    <row r="53563" spans="2:2" ht="12.75" customHeight="1" x14ac:dyDescent="0.2">
      <c r="B53563" s="43"/>
    </row>
    <row r="53564" spans="2:2" ht="12.75" customHeight="1" x14ac:dyDescent="0.2">
      <c r="B53564" s="43"/>
    </row>
    <row r="53565" spans="2:2" ht="12.75" customHeight="1" x14ac:dyDescent="0.2">
      <c r="B53565" s="43"/>
    </row>
    <row r="53566" spans="2:2" ht="12.75" customHeight="1" x14ac:dyDescent="0.2">
      <c r="B53566" s="43"/>
    </row>
    <row r="53567" spans="2:2" ht="12.75" customHeight="1" x14ac:dyDescent="0.2">
      <c r="B53567" s="43"/>
    </row>
    <row r="53568" spans="2:2" ht="12.75" customHeight="1" x14ac:dyDescent="0.2">
      <c r="B53568" s="43"/>
    </row>
    <row r="53569" spans="2:2" ht="12.75" customHeight="1" x14ac:dyDescent="0.2">
      <c r="B53569" s="43"/>
    </row>
    <row r="53570" spans="2:2" ht="12.75" customHeight="1" x14ac:dyDescent="0.2">
      <c r="B53570" s="43"/>
    </row>
    <row r="53571" spans="2:2" ht="12.75" customHeight="1" x14ac:dyDescent="0.2">
      <c r="B53571" s="43"/>
    </row>
    <row r="53572" spans="2:2" ht="12.75" customHeight="1" x14ac:dyDescent="0.2">
      <c r="B53572" s="43"/>
    </row>
    <row r="53573" spans="2:2" ht="12.75" customHeight="1" x14ac:dyDescent="0.2">
      <c r="B53573" s="43"/>
    </row>
    <row r="53574" spans="2:2" ht="12.75" customHeight="1" x14ac:dyDescent="0.2">
      <c r="B53574" s="43"/>
    </row>
    <row r="53575" spans="2:2" ht="12.75" customHeight="1" x14ac:dyDescent="0.2">
      <c r="B53575" s="43"/>
    </row>
    <row r="53576" spans="2:2" ht="12.75" customHeight="1" x14ac:dyDescent="0.2">
      <c r="B53576" s="43"/>
    </row>
    <row r="53577" spans="2:2" ht="12.75" customHeight="1" x14ac:dyDescent="0.2">
      <c r="B53577" s="43"/>
    </row>
    <row r="53578" spans="2:2" ht="12.75" customHeight="1" x14ac:dyDescent="0.2">
      <c r="B53578" s="43"/>
    </row>
    <row r="53579" spans="2:2" ht="12.75" customHeight="1" x14ac:dyDescent="0.2">
      <c r="B53579" s="43"/>
    </row>
    <row r="53580" spans="2:2" ht="12.75" customHeight="1" x14ac:dyDescent="0.2">
      <c r="B53580" s="43"/>
    </row>
    <row r="53581" spans="2:2" ht="12.75" customHeight="1" x14ac:dyDescent="0.2">
      <c r="B53581" s="43"/>
    </row>
    <row r="53582" spans="2:2" ht="12.75" customHeight="1" x14ac:dyDescent="0.2">
      <c r="B53582" s="43"/>
    </row>
    <row r="53583" spans="2:2" ht="12.75" customHeight="1" x14ac:dyDescent="0.2">
      <c r="B53583" s="43"/>
    </row>
    <row r="53584" spans="2:2" ht="12.75" customHeight="1" x14ac:dyDescent="0.2">
      <c r="B53584" s="43"/>
    </row>
    <row r="53585" spans="2:2" ht="12.75" customHeight="1" x14ac:dyDescent="0.2">
      <c r="B53585" s="43"/>
    </row>
    <row r="53586" spans="2:2" ht="12.75" customHeight="1" x14ac:dyDescent="0.2">
      <c r="B53586" s="43"/>
    </row>
    <row r="53587" spans="2:2" ht="12.75" customHeight="1" x14ac:dyDescent="0.2">
      <c r="B53587" s="43"/>
    </row>
    <row r="53588" spans="2:2" ht="12.75" customHeight="1" x14ac:dyDescent="0.2">
      <c r="B53588" s="43"/>
    </row>
    <row r="53589" spans="2:2" ht="12.75" customHeight="1" x14ac:dyDescent="0.2">
      <c r="B53589" s="43"/>
    </row>
    <row r="53590" spans="2:2" ht="12.75" customHeight="1" x14ac:dyDescent="0.2">
      <c r="B53590" s="43"/>
    </row>
    <row r="53591" spans="2:2" ht="12.75" customHeight="1" x14ac:dyDescent="0.2">
      <c r="B53591" s="43"/>
    </row>
    <row r="53592" spans="2:2" ht="12.75" customHeight="1" x14ac:dyDescent="0.2">
      <c r="B53592" s="43"/>
    </row>
    <row r="53593" spans="2:2" ht="12.75" customHeight="1" x14ac:dyDescent="0.2">
      <c r="B53593" s="43"/>
    </row>
    <row r="53594" spans="2:2" ht="12.75" customHeight="1" x14ac:dyDescent="0.2">
      <c r="B53594" s="43"/>
    </row>
    <row r="53595" spans="2:2" ht="12.75" customHeight="1" x14ac:dyDescent="0.2">
      <c r="B53595" s="43"/>
    </row>
    <row r="53596" spans="2:2" ht="12.75" customHeight="1" x14ac:dyDescent="0.2">
      <c r="B53596" s="43"/>
    </row>
    <row r="53597" spans="2:2" ht="12.75" customHeight="1" x14ac:dyDescent="0.2">
      <c r="B53597" s="43"/>
    </row>
    <row r="53598" spans="2:2" ht="12.75" customHeight="1" x14ac:dyDescent="0.2">
      <c r="B53598" s="43"/>
    </row>
    <row r="53599" spans="2:2" ht="12.75" customHeight="1" x14ac:dyDescent="0.2">
      <c r="B53599" s="43"/>
    </row>
    <row r="53600" spans="2:2" ht="12.75" customHeight="1" x14ac:dyDescent="0.2">
      <c r="B53600" s="43"/>
    </row>
    <row r="53601" spans="2:2" ht="12.75" customHeight="1" x14ac:dyDescent="0.2">
      <c r="B53601" s="43"/>
    </row>
    <row r="53602" spans="2:2" ht="12.75" customHeight="1" x14ac:dyDescent="0.2">
      <c r="B53602" s="43"/>
    </row>
    <row r="53603" spans="2:2" ht="12.75" customHeight="1" x14ac:dyDescent="0.2">
      <c r="B53603" s="43"/>
    </row>
    <row r="53604" spans="2:2" ht="12.75" customHeight="1" x14ac:dyDescent="0.2">
      <c r="B53604" s="43"/>
    </row>
    <row r="53605" spans="2:2" ht="12.75" customHeight="1" x14ac:dyDescent="0.2">
      <c r="B53605" s="43"/>
    </row>
    <row r="53606" spans="2:2" ht="12.75" customHeight="1" x14ac:dyDescent="0.2">
      <c r="B53606" s="43"/>
    </row>
    <row r="53607" spans="2:2" ht="12.75" customHeight="1" x14ac:dyDescent="0.2">
      <c r="B53607" s="43"/>
    </row>
    <row r="53608" spans="2:2" ht="12.75" customHeight="1" x14ac:dyDescent="0.2">
      <c r="B53608" s="43"/>
    </row>
    <row r="53609" spans="2:2" ht="12.75" customHeight="1" x14ac:dyDescent="0.2">
      <c r="B53609" s="43"/>
    </row>
    <row r="53610" spans="2:2" ht="12.75" customHeight="1" x14ac:dyDescent="0.2">
      <c r="B53610" s="43"/>
    </row>
    <row r="53611" spans="2:2" ht="12.75" customHeight="1" x14ac:dyDescent="0.2">
      <c r="B53611" s="43"/>
    </row>
    <row r="53612" spans="2:2" ht="12.75" customHeight="1" x14ac:dyDescent="0.2">
      <c r="B53612" s="43"/>
    </row>
    <row r="53613" spans="2:2" ht="12.75" customHeight="1" x14ac:dyDescent="0.2">
      <c r="B53613" s="43"/>
    </row>
    <row r="53614" spans="2:2" ht="12.75" customHeight="1" x14ac:dyDescent="0.2">
      <c r="B53614" s="43"/>
    </row>
    <row r="53615" spans="2:2" ht="12.75" customHeight="1" x14ac:dyDescent="0.2">
      <c r="B53615" s="43"/>
    </row>
    <row r="53616" spans="2:2" ht="12.75" customHeight="1" x14ac:dyDescent="0.2">
      <c r="B53616" s="43"/>
    </row>
    <row r="53617" spans="2:2" ht="12.75" customHeight="1" x14ac:dyDescent="0.2">
      <c r="B53617" s="43"/>
    </row>
    <row r="53618" spans="2:2" ht="12.75" customHeight="1" x14ac:dyDescent="0.2">
      <c r="B53618" s="43"/>
    </row>
    <row r="53619" spans="2:2" ht="12.75" customHeight="1" x14ac:dyDescent="0.2">
      <c r="B53619" s="43"/>
    </row>
    <row r="53620" spans="2:2" ht="12.75" customHeight="1" x14ac:dyDescent="0.2">
      <c r="B53620" s="43"/>
    </row>
    <row r="53621" spans="2:2" ht="12.75" customHeight="1" x14ac:dyDescent="0.2">
      <c r="B53621" s="43"/>
    </row>
    <row r="53622" spans="2:2" ht="12.75" customHeight="1" x14ac:dyDescent="0.2">
      <c r="B53622" s="43"/>
    </row>
    <row r="53623" spans="2:2" ht="12.75" customHeight="1" x14ac:dyDescent="0.2">
      <c r="B53623" s="43"/>
    </row>
    <row r="53624" spans="2:2" ht="12.75" customHeight="1" x14ac:dyDescent="0.2">
      <c r="B53624" s="43"/>
    </row>
    <row r="53625" spans="2:2" ht="12.75" customHeight="1" x14ac:dyDescent="0.2">
      <c r="B53625" s="43"/>
    </row>
    <row r="53626" spans="2:2" ht="12.75" customHeight="1" x14ac:dyDescent="0.2">
      <c r="B53626" s="43"/>
    </row>
    <row r="53627" spans="2:2" ht="12.75" customHeight="1" x14ac:dyDescent="0.2">
      <c r="B53627" s="43"/>
    </row>
    <row r="53628" spans="2:2" ht="12.75" customHeight="1" x14ac:dyDescent="0.2">
      <c r="B53628" s="43"/>
    </row>
    <row r="53629" spans="2:2" ht="12.75" customHeight="1" x14ac:dyDescent="0.2">
      <c r="B53629" s="43"/>
    </row>
    <row r="53630" spans="2:2" ht="12.75" customHeight="1" x14ac:dyDescent="0.2">
      <c r="B53630" s="43"/>
    </row>
    <row r="53631" spans="2:2" ht="12.75" customHeight="1" x14ac:dyDescent="0.2">
      <c r="B53631" s="43"/>
    </row>
    <row r="53632" spans="2:2" ht="12.75" customHeight="1" x14ac:dyDescent="0.2">
      <c r="B53632" s="43"/>
    </row>
    <row r="53633" spans="2:2" ht="12.75" customHeight="1" x14ac:dyDescent="0.2">
      <c r="B53633" s="43"/>
    </row>
    <row r="53634" spans="2:2" ht="12.75" customHeight="1" x14ac:dyDescent="0.2">
      <c r="B53634" s="43"/>
    </row>
    <row r="53635" spans="2:2" ht="12.75" customHeight="1" x14ac:dyDescent="0.2">
      <c r="B53635" s="43"/>
    </row>
    <row r="53636" spans="2:2" ht="12.75" customHeight="1" x14ac:dyDescent="0.2">
      <c r="B53636" s="43"/>
    </row>
    <row r="53637" spans="2:2" ht="12.75" customHeight="1" x14ac:dyDescent="0.2">
      <c r="B53637" s="43"/>
    </row>
    <row r="53638" spans="2:2" ht="12.75" customHeight="1" x14ac:dyDescent="0.2">
      <c r="B53638" s="43"/>
    </row>
    <row r="53639" spans="2:2" ht="12.75" customHeight="1" x14ac:dyDescent="0.2">
      <c r="B53639" s="43"/>
    </row>
    <row r="53640" spans="2:2" ht="12.75" customHeight="1" x14ac:dyDescent="0.2">
      <c r="B53640" s="43"/>
    </row>
    <row r="53641" spans="2:2" ht="12.75" customHeight="1" x14ac:dyDescent="0.2">
      <c r="B53641" s="43"/>
    </row>
    <row r="53642" spans="2:2" ht="12.75" customHeight="1" x14ac:dyDescent="0.2">
      <c r="B53642" s="43"/>
    </row>
    <row r="53643" spans="2:2" ht="12.75" customHeight="1" x14ac:dyDescent="0.2">
      <c r="B53643" s="43"/>
    </row>
    <row r="53644" spans="2:2" ht="12.75" customHeight="1" x14ac:dyDescent="0.2">
      <c r="B53644" s="43"/>
    </row>
    <row r="53645" spans="2:2" ht="12.75" customHeight="1" x14ac:dyDescent="0.2">
      <c r="B53645" s="43"/>
    </row>
    <row r="53646" spans="2:2" ht="12.75" customHeight="1" x14ac:dyDescent="0.2">
      <c r="B53646" s="43"/>
    </row>
    <row r="53647" spans="2:2" ht="12.75" customHeight="1" x14ac:dyDescent="0.2">
      <c r="B53647" s="43"/>
    </row>
    <row r="53648" spans="2:2" ht="12.75" customHeight="1" x14ac:dyDescent="0.2">
      <c r="B53648" s="43"/>
    </row>
    <row r="53649" spans="2:2" ht="12.75" customHeight="1" x14ac:dyDescent="0.2">
      <c r="B53649" s="43"/>
    </row>
    <row r="53650" spans="2:2" ht="12.75" customHeight="1" x14ac:dyDescent="0.2">
      <c r="B53650" s="43"/>
    </row>
    <row r="53651" spans="2:2" ht="12.75" customHeight="1" x14ac:dyDescent="0.2">
      <c r="B53651" s="43"/>
    </row>
    <row r="53652" spans="2:2" ht="12.75" customHeight="1" x14ac:dyDescent="0.2">
      <c r="B53652" s="43"/>
    </row>
    <row r="53653" spans="2:2" ht="12.75" customHeight="1" x14ac:dyDescent="0.2">
      <c r="B53653" s="43"/>
    </row>
    <row r="53654" spans="2:2" ht="12.75" customHeight="1" x14ac:dyDescent="0.2">
      <c r="B53654" s="43"/>
    </row>
    <row r="53655" spans="2:2" ht="12.75" customHeight="1" x14ac:dyDescent="0.2">
      <c r="B53655" s="43"/>
    </row>
    <row r="53656" spans="2:2" ht="12.75" customHeight="1" x14ac:dyDescent="0.2">
      <c r="B53656" s="43"/>
    </row>
    <row r="53657" spans="2:2" ht="12.75" customHeight="1" x14ac:dyDescent="0.2">
      <c r="B53657" s="43"/>
    </row>
    <row r="53658" spans="2:2" ht="12.75" customHeight="1" x14ac:dyDescent="0.2">
      <c r="B53658" s="43"/>
    </row>
    <row r="53659" spans="2:2" ht="12.75" customHeight="1" x14ac:dyDescent="0.2">
      <c r="B53659" s="43"/>
    </row>
    <row r="53660" spans="2:2" ht="12.75" customHeight="1" x14ac:dyDescent="0.2">
      <c r="B53660" s="43"/>
    </row>
    <row r="53661" spans="2:2" ht="12.75" customHeight="1" x14ac:dyDescent="0.2">
      <c r="B53661" s="43"/>
    </row>
    <row r="53662" spans="2:2" ht="12.75" customHeight="1" x14ac:dyDescent="0.2">
      <c r="B53662" s="43"/>
    </row>
    <row r="53663" spans="2:2" ht="12.75" customHeight="1" x14ac:dyDescent="0.2">
      <c r="B53663" s="43"/>
    </row>
    <row r="53664" spans="2:2" ht="12.75" customHeight="1" x14ac:dyDescent="0.2">
      <c r="B53664" s="43"/>
    </row>
    <row r="53665" spans="2:2" ht="12.75" customHeight="1" x14ac:dyDescent="0.2">
      <c r="B53665" s="43"/>
    </row>
    <row r="53666" spans="2:2" ht="12.75" customHeight="1" x14ac:dyDescent="0.2">
      <c r="B53666" s="43"/>
    </row>
    <row r="53667" spans="2:2" ht="12.75" customHeight="1" x14ac:dyDescent="0.2">
      <c r="B53667" s="43"/>
    </row>
    <row r="53668" spans="2:2" ht="12.75" customHeight="1" x14ac:dyDescent="0.2">
      <c r="B53668" s="43"/>
    </row>
    <row r="53669" spans="2:2" ht="12.75" customHeight="1" x14ac:dyDescent="0.2">
      <c r="B53669" s="43"/>
    </row>
    <row r="53670" spans="2:2" ht="12.75" customHeight="1" x14ac:dyDescent="0.2">
      <c r="B53670" s="43"/>
    </row>
    <row r="53671" spans="2:2" ht="12.75" customHeight="1" x14ac:dyDescent="0.2">
      <c r="B53671" s="43"/>
    </row>
    <row r="53672" spans="2:2" ht="12.75" customHeight="1" x14ac:dyDescent="0.2">
      <c r="B53672" s="43"/>
    </row>
    <row r="53673" spans="2:2" ht="12.75" customHeight="1" x14ac:dyDescent="0.2">
      <c r="B53673" s="43"/>
    </row>
    <row r="53674" spans="2:2" ht="12.75" customHeight="1" x14ac:dyDescent="0.2">
      <c r="B53674" s="43"/>
    </row>
    <row r="53675" spans="2:2" ht="12.75" customHeight="1" x14ac:dyDescent="0.2">
      <c r="B53675" s="43"/>
    </row>
    <row r="53676" spans="2:2" ht="12.75" customHeight="1" x14ac:dyDescent="0.2">
      <c r="B53676" s="43"/>
    </row>
    <row r="53677" spans="2:2" ht="12.75" customHeight="1" x14ac:dyDescent="0.2">
      <c r="B53677" s="43"/>
    </row>
    <row r="53678" spans="2:2" ht="12.75" customHeight="1" x14ac:dyDescent="0.2">
      <c r="B53678" s="43"/>
    </row>
    <row r="53679" spans="2:2" ht="12.75" customHeight="1" x14ac:dyDescent="0.2">
      <c r="B53679" s="43"/>
    </row>
    <row r="53680" spans="2:2" ht="12.75" customHeight="1" x14ac:dyDescent="0.2">
      <c r="B53680" s="43"/>
    </row>
    <row r="53681" spans="2:2" ht="12.75" customHeight="1" x14ac:dyDescent="0.2">
      <c r="B53681" s="43"/>
    </row>
    <row r="53682" spans="2:2" ht="12.75" customHeight="1" x14ac:dyDescent="0.2">
      <c r="B53682" s="43"/>
    </row>
    <row r="53683" spans="2:2" ht="12.75" customHeight="1" x14ac:dyDescent="0.2">
      <c r="B53683" s="43"/>
    </row>
    <row r="53684" spans="2:2" ht="12.75" customHeight="1" x14ac:dyDescent="0.2">
      <c r="B53684" s="43"/>
    </row>
    <row r="53685" spans="2:2" ht="12.75" customHeight="1" x14ac:dyDescent="0.2">
      <c r="B53685" s="43"/>
    </row>
    <row r="53686" spans="2:2" ht="12.75" customHeight="1" x14ac:dyDescent="0.2">
      <c r="B53686" s="43"/>
    </row>
    <row r="53687" spans="2:2" ht="12.75" customHeight="1" x14ac:dyDescent="0.2">
      <c r="B53687" s="43"/>
    </row>
    <row r="53688" spans="2:2" ht="12.75" customHeight="1" x14ac:dyDescent="0.2">
      <c r="B53688" s="43"/>
    </row>
    <row r="53689" spans="2:2" ht="12.75" customHeight="1" x14ac:dyDescent="0.2">
      <c r="B53689" s="43"/>
    </row>
    <row r="53690" spans="2:2" ht="12.75" customHeight="1" x14ac:dyDescent="0.2">
      <c r="B53690" s="43"/>
    </row>
    <row r="53691" spans="2:2" ht="12.75" customHeight="1" x14ac:dyDescent="0.2">
      <c r="B53691" s="43"/>
    </row>
    <row r="53692" spans="2:2" ht="12.75" customHeight="1" x14ac:dyDescent="0.2">
      <c r="B53692" s="43"/>
    </row>
    <row r="53693" spans="2:2" ht="12.75" customHeight="1" x14ac:dyDescent="0.2">
      <c r="B53693" s="43"/>
    </row>
    <row r="53694" spans="2:2" ht="12.75" customHeight="1" x14ac:dyDescent="0.2">
      <c r="B53694" s="43"/>
    </row>
    <row r="53695" spans="2:2" ht="12.75" customHeight="1" x14ac:dyDescent="0.2">
      <c r="B53695" s="43"/>
    </row>
    <row r="53696" spans="2:2" ht="12.75" customHeight="1" x14ac:dyDescent="0.2">
      <c r="B53696" s="43"/>
    </row>
    <row r="53697" spans="2:2" ht="12.75" customHeight="1" x14ac:dyDescent="0.2">
      <c r="B53697" s="43"/>
    </row>
    <row r="53698" spans="2:2" ht="12.75" customHeight="1" x14ac:dyDescent="0.2">
      <c r="B53698" s="43"/>
    </row>
    <row r="53699" spans="2:2" ht="12.75" customHeight="1" x14ac:dyDescent="0.2">
      <c r="B53699" s="43"/>
    </row>
    <row r="53700" spans="2:2" ht="12.75" customHeight="1" x14ac:dyDescent="0.2">
      <c r="B53700" s="43"/>
    </row>
    <row r="53701" spans="2:2" ht="12.75" customHeight="1" x14ac:dyDescent="0.2">
      <c r="B53701" s="43"/>
    </row>
    <row r="53702" spans="2:2" ht="12.75" customHeight="1" x14ac:dyDescent="0.2">
      <c r="B53702" s="43"/>
    </row>
    <row r="53703" spans="2:2" ht="12.75" customHeight="1" x14ac:dyDescent="0.2">
      <c r="B53703" s="43"/>
    </row>
    <row r="53704" spans="2:2" ht="12.75" customHeight="1" x14ac:dyDescent="0.2">
      <c r="B53704" s="43"/>
    </row>
    <row r="53705" spans="2:2" ht="12.75" customHeight="1" x14ac:dyDescent="0.2">
      <c r="B53705" s="43"/>
    </row>
    <row r="53706" spans="2:2" ht="12.75" customHeight="1" x14ac:dyDescent="0.2">
      <c r="B53706" s="43"/>
    </row>
    <row r="53707" spans="2:2" ht="12.75" customHeight="1" x14ac:dyDescent="0.2">
      <c r="B53707" s="43"/>
    </row>
    <row r="53708" spans="2:2" ht="12.75" customHeight="1" x14ac:dyDescent="0.2">
      <c r="B53708" s="43"/>
    </row>
    <row r="53709" spans="2:2" ht="12.75" customHeight="1" x14ac:dyDescent="0.2">
      <c r="B53709" s="43"/>
    </row>
    <row r="53710" spans="2:2" ht="12.75" customHeight="1" x14ac:dyDescent="0.2">
      <c r="B53710" s="43"/>
    </row>
    <row r="53711" spans="2:2" ht="12.75" customHeight="1" x14ac:dyDescent="0.2">
      <c r="B53711" s="43"/>
    </row>
    <row r="53712" spans="2:2" ht="12.75" customHeight="1" x14ac:dyDescent="0.2"/>
  </sheetData>
  <sheetProtection formatCells="0" formatColumns="0" formatRows="0" insertColumns="0" insertRows="0" insertHyperlinks="0" deleteColumns="0" deleteRows="0" sort="0" autoFilter="0" pivotTables="0"/>
  <autoFilter ref="A6:K4674"/>
  <sortState ref="A7:AC10600">
    <sortCondition ref="D7"/>
    <sortCondition ref="E7"/>
  </sortState>
  <dataConsolidate/>
  <phoneticPr fontId="2" type="noConversion"/>
  <dataValidations count="1">
    <dataValidation operator="greaterThanOrEqual" allowBlank="1" showInputMessage="1" showErrorMessage="1" sqref="G5"/>
  </dataValidations>
  <pageMargins left="0.75" right="0.75" top="1" bottom="1" header="0.5" footer="0.5"/>
  <pageSetup paperSize="9" scale="56" orientation="portrait" r:id="rId1"/>
  <headerFooter alignWithMargins="0"/>
  <drawing r:id="rId2"/>
  <legacyDrawing r:id="rId3"/>
  <controls>
    <mc:AlternateContent xmlns:mc="http://schemas.openxmlformats.org/markup-compatibility/2006">
      <mc:Choice Requires="x14">
        <control shapeId="2403461" r:id="rId4" name="OptionButton9">
          <controlPr defaultSize="0" autoLine="0" r:id="rId5">
            <anchor moveWithCells="1">
              <from>
                <xdr:col>0</xdr:col>
                <xdr:colOff>3352800</xdr:colOff>
                <xdr:row>4</xdr:row>
                <xdr:rowOff>85725</xdr:rowOff>
              </from>
              <to>
                <xdr:col>0</xdr:col>
                <xdr:colOff>4981575</xdr:colOff>
                <xdr:row>4</xdr:row>
                <xdr:rowOff>314325</xdr:rowOff>
              </to>
            </anchor>
          </controlPr>
        </control>
      </mc:Choice>
      <mc:Fallback>
        <control shapeId="2403461" r:id="rId4" name="OptionButton9"/>
      </mc:Fallback>
    </mc:AlternateContent>
    <mc:AlternateContent xmlns:mc="http://schemas.openxmlformats.org/markup-compatibility/2006">
      <mc:Choice Requires="x14">
        <control shapeId="2403454" r:id="rId6" name="OptionButton8">
          <controlPr defaultSize="0" autoLine="0" r:id="rId7">
            <anchor moveWithCells="1">
              <from>
                <xdr:col>0</xdr:col>
                <xdr:colOff>57150</xdr:colOff>
                <xdr:row>4</xdr:row>
                <xdr:rowOff>85725</xdr:rowOff>
              </from>
              <to>
                <xdr:col>0</xdr:col>
                <xdr:colOff>981075</xdr:colOff>
                <xdr:row>4</xdr:row>
                <xdr:rowOff>581025</xdr:rowOff>
              </to>
            </anchor>
          </controlPr>
        </control>
      </mc:Choice>
      <mc:Fallback>
        <control shapeId="2403454" r:id="rId6" name="OptionButton8"/>
      </mc:Fallback>
    </mc:AlternateContent>
    <mc:AlternateContent xmlns:mc="http://schemas.openxmlformats.org/markup-compatibility/2006">
      <mc:Choice Requires="x14">
        <control shapeId="6061" r:id="rId8" name="CommandButton4">
          <controlPr defaultSize="0" autoLine="0" r:id="rId9">
            <anchor moveWithCells="1">
              <from>
                <xdr:col>2</xdr:col>
                <xdr:colOff>28575</xdr:colOff>
                <xdr:row>4</xdr:row>
                <xdr:rowOff>85725</xdr:rowOff>
              </from>
              <to>
                <xdr:col>2</xdr:col>
                <xdr:colOff>1038225</xdr:colOff>
                <xdr:row>4</xdr:row>
                <xdr:rowOff>581025</xdr:rowOff>
              </to>
            </anchor>
          </controlPr>
        </control>
      </mc:Choice>
      <mc:Fallback>
        <control shapeId="6061" r:id="rId8" name="CommandButton4"/>
      </mc:Fallback>
    </mc:AlternateContent>
    <mc:AlternateContent xmlns:mc="http://schemas.openxmlformats.org/markup-compatibility/2006">
      <mc:Choice Requires="x14">
        <control shapeId="5188" r:id="rId10" name="OptionButton7">
          <controlPr defaultSize="0" autoLine="0" r:id="rId11">
            <anchor moveWithCells="1">
              <from>
                <xdr:col>0</xdr:col>
                <xdr:colOff>3352800</xdr:colOff>
                <xdr:row>4</xdr:row>
                <xdr:rowOff>876300</xdr:rowOff>
              </from>
              <to>
                <xdr:col>0</xdr:col>
                <xdr:colOff>4981575</xdr:colOff>
                <xdr:row>4</xdr:row>
                <xdr:rowOff>1104900</xdr:rowOff>
              </to>
            </anchor>
          </controlPr>
        </control>
      </mc:Choice>
      <mc:Fallback>
        <control shapeId="5188" r:id="rId10" name="OptionButton7"/>
      </mc:Fallback>
    </mc:AlternateContent>
    <mc:AlternateContent xmlns:mc="http://schemas.openxmlformats.org/markup-compatibility/2006">
      <mc:Choice Requires="x14">
        <control shapeId="5187" r:id="rId12" name="OptionButton6">
          <controlPr defaultSize="0" autoLine="0" r:id="rId13">
            <anchor moveWithCells="1">
              <from>
                <xdr:col>0</xdr:col>
                <xdr:colOff>3352800</xdr:colOff>
                <xdr:row>4</xdr:row>
                <xdr:rowOff>609600</xdr:rowOff>
              </from>
              <to>
                <xdr:col>0</xdr:col>
                <xdr:colOff>4981575</xdr:colOff>
                <xdr:row>4</xdr:row>
                <xdr:rowOff>838200</xdr:rowOff>
              </to>
            </anchor>
          </controlPr>
        </control>
      </mc:Choice>
      <mc:Fallback>
        <control shapeId="5187" r:id="rId12" name="OptionButton6"/>
      </mc:Fallback>
    </mc:AlternateContent>
    <mc:AlternateContent xmlns:mc="http://schemas.openxmlformats.org/markup-compatibility/2006">
      <mc:Choice Requires="x14">
        <control shapeId="5186" r:id="rId14" name="OptionButton5">
          <controlPr defaultSize="0" autoLine="0" r:id="rId15">
            <anchor moveWithCells="1">
              <from>
                <xdr:col>0</xdr:col>
                <xdr:colOff>3352800</xdr:colOff>
                <xdr:row>4</xdr:row>
                <xdr:rowOff>342900</xdr:rowOff>
              </from>
              <to>
                <xdr:col>0</xdr:col>
                <xdr:colOff>4981575</xdr:colOff>
                <xdr:row>4</xdr:row>
                <xdr:rowOff>571500</xdr:rowOff>
              </to>
            </anchor>
          </controlPr>
        </control>
      </mc:Choice>
      <mc:Fallback>
        <control shapeId="5186" r:id="rId14" name="OptionButton5"/>
      </mc:Fallback>
    </mc:AlternateContent>
    <mc:AlternateContent xmlns:mc="http://schemas.openxmlformats.org/markup-compatibility/2006">
      <mc:Choice Requires="x14">
        <control shapeId="5185" r:id="rId16" name="OptionButton4">
          <controlPr defaultSize="0" autoLine="0" r:id="rId17">
            <anchor moveWithCells="1">
              <from>
                <xdr:col>0</xdr:col>
                <xdr:colOff>57150</xdr:colOff>
                <xdr:row>4</xdr:row>
                <xdr:rowOff>1143000</xdr:rowOff>
              </from>
              <to>
                <xdr:col>0</xdr:col>
                <xdr:colOff>981075</xdr:colOff>
                <xdr:row>4</xdr:row>
                <xdr:rowOff>1647825</xdr:rowOff>
              </to>
            </anchor>
          </controlPr>
        </control>
      </mc:Choice>
      <mc:Fallback>
        <control shapeId="5185" r:id="rId16" name="OptionButton4"/>
      </mc:Fallback>
    </mc:AlternateContent>
    <mc:AlternateContent xmlns:mc="http://schemas.openxmlformats.org/markup-compatibility/2006">
      <mc:Choice Requires="x14">
        <control shapeId="5184" r:id="rId18" name="OptionButton3">
          <controlPr defaultSize="0" autoLine="0" r:id="rId19">
            <anchor moveWithCells="1">
              <from>
                <xdr:col>0</xdr:col>
                <xdr:colOff>57150</xdr:colOff>
                <xdr:row>4</xdr:row>
                <xdr:rowOff>609600</xdr:rowOff>
              </from>
              <to>
                <xdr:col>0</xdr:col>
                <xdr:colOff>981075</xdr:colOff>
                <xdr:row>4</xdr:row>
                <xdr:rowOff>1104900</xdr:rowOff>
              </to>
            </anchor>
          </controlPr>
        </control>
      </mc:Choice>
      <mc:Fallback>
        <control shapeId="5184" r:id="rId18" name="OptionButton3"/>
      </mc:Fallback>
    </mc:AlternateContent>
    <mc:AlternateContent xmlns:mc="http://schemas.openxmlformats.org/markup-compatibility/2006">
      <mc:Choice Requires="x14">
        <control shapeId="5182" r:id="rId20" name="CheckBox2">
          <controlPr defaultSize="0" autoLine="0" r:id="rId21">
            <anchor moveWithCells="1">
              <from>
                <xdr:col>6</xdr:col>
                <xdr:colOff>123825</xdr:colOff>
                <xdr:row>1</xdr:row>
                <xdr:rowOff>38100</xdr:rowOff>
              </from>
              <to>
                <xdr:col>6</xdr:col>
                <xdr:colOff>1133475</xdr:colOff>
                <xdr:row>1</xdr:row>
                <xdr:rowOff>476250</xdr:rowOff>
              </to>
            </anchor>
          </controlPr>
        </control>
      </mc:Choice>
      <mc:Fallback>
        <control shapeId="5182" r:id="rId20" name="CheckBox2"/>
      </mc:Fallback>
    </mc:AlternateContent>
    <mc:AlternateContent xmlns:mc="http://schemas.openxmlformats.org/markup-compatibility/2006">
      <mc:Choice Requires="x14">
        <control shapeId="5174" r:id="rId22" name="CheckBox7">
          <controlPr defaultSize="0" autoLine="0" r:id="rId23">
            <anchor moveWithCells="1">
              <from>
                <xdr:col>0</xdr:col>
                <xdr:colOff>2181225</xdr:colOff>
                <xdr:row>4</xdr:row>
                <xdr:rowOff>1143000</xdr:rowOff>
              </from>
              <to>
                <xdr:col>0</xdr:col>
                <xdr:colOff>3267075</xdr:colOff>
                <xdr:row>4</xdr:row>
                <xdr:rowOff>1647825</xdr:rowOff>
              </to>
            </anchor>
          </controlPr>
        </control>
      </mc:Choice>
      <mc:Fallback>
        <control shapeId="5174" r:id="rId22" name="CheckBox7"/>
      </mc:Fallback>
    </mc:AlternateContent>
    <mc:AlternateContent xmlns:mc="http://schemas.openxmlformats.org/markup-compatibility/2006">
      <mc:Choice Requires="x14">
        <control shapeId="5173" r:id="rId24" name="CheckBox6">
          <controlPr defaultSize="0" autoLine="0" r:id="rId25">
            <anchor moveWithCells="1">
              <from>
                <xdr:col>0</xdr:col>
                <xdr:colOff>2181225</xdr:colOff>
                <xdr:row>4</xdr:row>
                <xdr:rowOff>609600</xdr:rowOff>
              </from>
              <to>
                <xdr:col>0</xdr:col>
                <xdr:colOff>3267075</xdr:colOff>
                <xdr:row>4</xdr:row>
                <xdr:rowOff>1104900</xdr:rowOff>
              </to>
            </anchor>
          </controlPr>
        </control>
      </mc:Choice>
      <mc:Fallback>
        <control shapeId="5173" r:id="rId24" name="CheckBox6"/>
      </mc:Fallback>
    </mc:AlternateContent>
    <mc:AlternateContent xmlns:mc="http://schemas.openxmlformats.org/markup-compatibility/2006">
      <mc:Choice Requires="x14">
        <control shapeId="5170" r:id="rId26" name="CheckBox5">
          <controlPr defaultSize="0" autoLine="0" r:id="rId27">
            <anchor moveWithCells="1">
              <from>
                <xdr:col>0</xdr:col>
                <xdr:colOff>2181225</xdr:colOff>
                <xdr:row>4</xdr:row>
                <xdr:rowOff>85725</xdr:rowOff>
              </from>
              <to>
                <xdr:col>0</xdr:col>
                <xdr:colOff>3267075</xdr:colOff>
                <xdr:row>4</xdr:row>
                <xdr:rowOff>581025</xdr:rowOff>
              </to>
            </anchor>
          </controlPr>
        </control>
      </mc:Choice>
      <mc:Fallback>
        <control shapeId="5170" r:id="rId26" name="CheckBox5"/>
      </mc:Fallback>
    </mc:AlternateContent>
    <mc:AlternateContent xmlns:mc="http://schemas.openxmlformats.org/markup-compatibility/2006">
      <mc:Choice Requires="x14">
        <control shapeId="5169" r:id="rId28" name="CheckBox4">
          <controlPr defaultSize="0" autoLine="0" r:id="rId29">
            <anchor moveWithCells="1">
              <from>
                <xdr:col>0</xdr:col>
                <xdr:colOff>1009650</xdr:colOff>
                <xdr:row>4</xdr:row>
                <xdr:rowOff>609600</xdr:rowOff>
              </from>
              <to>
                <xdr:col>0</xdr:col>
                <xdr:colOff>2152650</xdr:colOff>
                <xdr:row>4</xdr:row>
                <xdr:rowOff>1104900</xdr:rowOff>
              </to>
            </anchor>
          </controlPr>
        </control>
      </mc:Choice>
      <mc:Fallback>
        <control shapeId="5169" r:id="rId28" name="CheckBox4"/>
      </mc:Fallback>
    </mc:AlternateContent>
    <mc:AlternateContent xmlns:mc="http://schemas.openxmlformats.org/markup-compatibility/2006">
      <mc:Choice Requires="x14">
        <control shapeId="5168" r:id="rId30" name="CheckBox3">
          <controlPr defaultSize="0" autoLine="0" r:id="rId31">
            <anchor moveWithCells="1">
              <from>
                <xdr:col>0</xdr:col>
                <xdr:colOff>1009650</xdr:colOff>
                <xdr:row>4</xdr:row>
                <xdr:rowOff>85725</xdr:rowOff>
              </from>
              <to>
                <xdr:col>0</xdr:col>
                <xdr:colOff>2152650</xdr:colOff>
                <xdr:row>4</xdr:row>
                <xdr:rowOff>581025</xdr:rowOff>
              </to>
            </anchor>
          </controlPr>
        </control>
      </mc:Choice>
      <mc:Fallback>
        <control shapeId="5168" r:id="rId30" name="CheckBox3"/>
      </mc:Fallback>
    </mc:AlternateContent>
    <mc:AlternateContent xmlns:mc="http://schemas.openxmlformats.org/markup-compatibility/2006">
      <mc:Choice Requires="x14">
        <control shapeId="5144" r:id="rId32" name="CommandButton3">
          <controlPr defaultSize="0" autoLine="0" r:id="rId33">
            <anchor moveWithCells="1">
              <from>
                <xdr:col>6</xdr:col>
                <xdr:colOff>123825</xdr:colOff>
                <xdr:row>4</xdr:row>
                <xdr:rowOff>85725</xdr:rowOff>
              </from>
              <to>
                <xdr:col>6</xdr:col>
                <xdr:colOff>1143000</xdr:colOff>
                <xdr:row>4</xdr:row>
                <xdr:rowOff>581025</xdr:rowOff>
              </to>
            </anchor>
          </controlPr>
        </control>
      </mc:Choice>
      <mc:Fallback>
        <control shapeId="5144" r:id="rId32" name="CommandButton3"/>
      </mc:Fallback>
    </mc:AlternateContent>
    <mc:AlternateContent xmlns:mc="http://schemas.openxmlformats.org/markup-compatibility/2006">
      <mc:Choice Requires="x14">
        <control shapeId="5143" r:id="rId34" name="CommandButton2">
          <controlPr defaultSize="0" autoLine="0" r:id="rId35">
            <anchor moveWithCells="1">
              <from>
                <xdr:col>5</xdr:col>
                <xdr:colOff>123825</xdr:colOff>
                <xdr:row>4</xdr:row>
                <xdr:rowOff>85725</xdr:rowOff>
              </from>
              <to>
                <xdr:col>5</xdr:col>
                <xdr:colOff>1143000</xdr:colOff>
                <xdr:row>4</xdr:row>
                <xdr:rowOff>581025</xdr:rowOff>
              </to>
            </anchor>
          </controlPr>
        </control>
      </mc:Choice>
      <mc:Fallback>
        <control shapeId="5143" r:id="rId34" name="CommandButton2"/>
      </mc:Fallback>
    </mc:AlternateContent>
    <mc:AlternateContent xmlns:mc="http://schemas.openxmlformats.org/markup-compatibility/2006">
      <mc:Choice Requires="x14">
        <control shapeId="5142" r:id="rId36" name="OptionButton2">
          <controlPr defaultSize="0" autoLine="0" r:id="rId37">
            <anchor moveWithCells="1">
              <from>
                <xdr:col>3</xdr:col>
                <xdr:colOff>95250</xdr:colOff>
                <xdr:row>4</xdr:row>
                <xdr:rowOff>85725</xdr:rowOff>
              </from>
              <to>
                <xdr:col>4</xdr:col>
                <xdr:colOff>762000</xdr:colOff>
                <xdr:row>4</xdr:row>
                <xdr:rowOff>581025</xdr:rowOff>
              </to>
            </anchor>
          </controlPr>
        </control>
      </mc:Choice>
      <mc:Fallback>
        <control shapeId="5142" r:id="rId36" name="OptionButton2"/>
      </mc:Fallback>
    </mc:AlternateContent>
    <mc:AlternateContent xmlns:mc="http://schemas.openxmlformats.org/markup-compatibility/2006">
      <mc:Choice Requires="x14">
        <control shapeId="5141" r:id="rId38" name="OptionButton1">
          <controlPr defaultSize="0" autoLine="0" r:id="rId39">
            <anchor moveWithCells="1">
              <from>
                <xdr:col>3</xdr:col>
                <xdr:colOff>95250</xdr:colOff>
                <xdr:row>4</xdr:row>
                <xdr:rowOff>619125</xdr:rowOff>
              </from>
              <to>
                <xdr:col>4</xdr:col>
                <xdr:colOff>771525</xdr:colOff>
                <xdr:row>4</xdr:row>
                <xdr:rowOff>1123950</xdr:rowOff>
              </to>
            </anchor>
          </controlPr>
        </control>
      </mc:Choice>
      <mc:Fallback>
        <control shapeId="5141" r:id="rId38" name="OptionButton1"/>
      </mc:Fallback>
    </mc:AlternateContent>
    <mc:AlternateContent xmlns:mc="http://schemas.openxmlformats.org/markup-compatibility/2006">
      <mc:Choice Requires="x14">
        <control shapeId="5139" r:id="rId40" name="CheckBox1">
          <controlPr defaultSize="0" autoLine="0" r:id="rId41">
            <anchor moveWithCells="1">
              <from>
                <xdr:col>5</xdr:col>
                <xdr:colOff>123825</xdr:colOff>
                <xdr:row>1</xdr:row>
                <xdr:rowOff>38100</xdr:rowOff>
              </from>
              <to>
                <xdr:col>5</xdr:col>
                <xdr:colOff>1133475</xdr:colOff>
                <xdr:row>1</xdr:row>
                <xdr:rowOff>476250</xdr:rowOff>
              </to>
            </anchor>
          </controlPr>
        </control>
      </mc:Choice>
      <mc:Fallback>
        <control shapeId="5139" r:id="rId40" name="CheckBox1"/>
      </mc:Fallback>
    </mc:AlternateContent>
    <mc:AlternateContent xmlns:mc="http://schemas.openxmlformats.org/markup-compatibility/2006">
      <mc:Choice Requires="x14">
        <control shapeId="5137" r:id="rId42" name="CommandButton1">
          <controlPr defaultSize="0" autoFill="0" autoLine="0" r:id="rId43">
            <anchor moveWithCells="1">
              <from>
                <xdr:col>2</xdr:col>
                <xdr:colOff>28575</xdr:colOff>
                <xdr:row>1</xdr:row>
                <xdr:rowOff>38100</xdr:rowOff>
              </from>
              <to>
                <xdr:col>4</xdr:col>
                <xdr:colOff>819150</xdr:colOff>
                <xdr:row>1</xdr:row>
                <xdr:rowOff>485775</xdr:rowOff>
              </to>
            </anchor>
          </controlPr>
        </control>
      </mc:Choice>
      <mc:Fallback>
        <control shapeId="5137" r:id="rId42" name="CommandButton1"/>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FFC000"/>
  </sheetPr>
  <dimension ref="A2:CG87"/>
  <sheetViews>
    <sheetView workbookViewId="0">
      <pane xSplit="1" ySplit="8" topLeftCell="B51" activePane="bottomRight" state="frozenSplit"/>
      <selection pane="topRight" activeCell="B1" sqref="B1"/>
      <selection pane="bottomLeft" activeCell="A4" sqref="A4"/>
      <selection pane="bottomRight" activeCell="A4" sqref="A4"/>
    </sheetView>
  </sheetViews>
  <sheetFormatPr defaultColWidth="12" defaultRowHeight="12.75" x14ac:dyDescent="0.2"/>
  <cols>
    <col min="1" max="1" width="12.7109375" bestFit="1" customWidth="1"/>
    <col min="2" max="2" width="12.85546875" bestFit="1" customWidth="1"/>
    <col min="3" max="3" width="15.5703125" bestFit="1" customWidth="1"/>
    <col min="4" max="4" width="11" bestFit="1" customWidth="1"/>
    <col min="5" max="6" width="15.85546875" bestFit="1" customWidth="1"/>
    <col min="7" max="7" width="12.42578125" bestFit="1" customWidth="1"/>
    <col min="8" max="8" width="18.5703125" bestFit="1" customWidth="1"/>
    <col min="9" max="9" width="19.42578125" bestFit="1" customWidth="1"/>
    <col min="10" max="10" width="18" bestFit="1" customWidth="1"/>
    <col min="11" max="11" width="22.140625" bestFit="1" customWidth="1"/>
    <col min="12" max="12" width="13.5703125" customWidth="1"/>
    <col min="13" max="13" width="13.5703125" bestFit="1" customWidth="1"/>
    <col min="14" max="14" width="16.28515625" bestFit="1" customWidth="1"/>
    <col min="15" max="15" width="13.5703125" bestFit="1" customWidth="1"/>
    <col min="16" max="16" width="16.28515625" bestFit="1" customWidth="1"/>
    <col min="17" max="17" width="20" bestFit="1" customWidth="1"/>
    <col min="18" max="18" width="22.7109375" bestFit="1" customWidth="1"/>
    <col min="19" max="19" width="12" bestFit="1" customWidth="1"/>
    <col min="20" max="21" width="26.42578125" bestFit="1" customWidth="1"/>
    <col min="22" max="22" width="17.7109375" bestFit="1" customWidth="1"/>
    <col min="23" max="23" width="29.140625" bestFit="1" customWidth="1"/>
    <col min="24" max="24" width="8.5703125" bestFit="1" customWidth="1"/>
    <col min="25" max="25" width="9.42578125" bestFit="1" customWidth="1"/>
    <col min="26" max="26" width="13.5703125" bestFit="1" customWidth="1"/>
    <col min="27" max="27" width="16.28515625" bestFit="1" customWidth="1"/>
    <col min="28" max="28" width="10.5703125" bestFit="1" customWidth="1"/>
    <col min="29" max="29" width="13.28515625" bestFit="1" customWidth="1"/>
    <col min="30" max="30" width="21.28515625" bestFit="1" customWidth="1"/>
    <col min="31" max="31" width="24" bestFit="1" customWidth="1"/>
    <col min="32" max="32" width="11.140625" bestFit="1" customWidth="1"/>
    <col min="33" max="33" width="8.5703125" bestFit="1" customWidth="1"/>
    <col min="34" max="35" width="11.140625" bestFit="1" customWidth="1"/>
    <col min="36" max="36" width="12.140625" bestFit="1" customWidth="1"/>
    <col min="37" max="37" width="15.7109375" bestFit="1" customWidth="1"/>
    <col min="38" max="38" width="15.85546875" bestFit="1" customWidth="1"/>
    <col min="39" max="39" width="8.28515625" bestFit="1" customWidth="1"/>
    <col min="40" max="40" width="9.42578125" bestFit="1" customWidth="1"/>
    <col min="41" max="41" width="13.5703125" bestFit="1" customWidth="1"/>
    <col min="42" max="42" width="16.28515625" bestFit="1" customWidth="1"/>
    <col min="43" max="43" width="10.5703125" bestFit="1" customWidth="1"/>
    <col min="44" max="44" width="13.28515625" bestFit="1" customWidth="1"/>
    <col min="45" max="46" width="8.28515625" bestFit="1" customWidth="1"/>
    <col min="47" max="47" width="11.140625" bestFit="1" customWidth="1"/>
    <col min="48" max="48" width="8.28515625" bestFit="1" customWidth="1"/>
    <col min="49" max="50" width="8.7109375" bestFit="1" customWidth="1"/>
    <col min="51" max="51" width="8.5703125" bestFit="1" customWidth="1"/>
    <col min="52" max="53" width="11.140625" bestFit="1" customWidth="1"/>
    <col min="54" max="54" width="18.42578125" bestFit="1" customWidth="1"/>
    <col min="55" max="55" width="15.85546875" customWidth="1"/>
    <col min="56" max="56" width="12.42578125" bestFit="1" customWidth="1"/>
    <col min="57" max="57" width="18.5703125" bestFit="1" customWidth="1"/>
    <col min="58" max="58" width="19.42578125" customWidth="1"/>
    <col min="59" max="59" width="18" bestFit="1" customWidth="1"/>
    <col min="60" max="60" width="8.5703125" customWidth="1"/>
    <col min="61" max="61" width="11.140625" bestFit="1" customWidth="1"/>
    <col min="62" max="62" width="22.140625" bestFit="1" customWidth="1"/>
    <col min="63" max="63" width="13.5703125" customWidth="1"/>
    <col min="64" max="64" width="16.28515625" bestFit="1" customWidth="1"/>
    <col min="65" max="65" width="13.5703125" customWidth="1"/>
    <col min="66" max="66" width="16.28515625" bestFit="1" customWidth="1"/>
    <col min="67" max="67" width="20" customWidth="1"/>
    <col min="68" max="68" width="22.7109375" bestFit="1" customWidth="1"/>
    <col min="69" max="69" width="12" bestFit="1" customWidth="1"/>
    <col min="70" max="70" width="26.42578125" customWidth="1"/>
    <col min="71" max="71" width="17.7109375" bestFit="1" customWidth="1"/>
    <col min="72" max="72" width="29.140625" bestFit="1" customWidth="1"/>
    <col min="73" max="73" width="8.5703125" bestFit="1" customWidth="1"/>
    <col min="74" max="74" width="9.42578125" bestFit="1" customWidth="1"/>
    <col min="75" max="75" width="13.5703125" bestFit="1" customWidth="1"/>
    <col min="76" max="76" width="16.28515625" bestFit="1" customWidth="1"/>
    <col min="77" max="77" width="10.5703125" bestFit="1" customWidth="1"/>
    <col min="78" max="78" width="13.28515625" bestFit="1" customWidth="1"/>
    <col min="79" max="79" width="11.140625" bestFit="1" customWidth="1"/>
    <col min="80" max="80" width="14.5703125" bestFit="1" customWidth="1"/>
    <col min="81" max="81" width="8.5703125" bestFit="1" customWidth="1"/>
    <col min="82" max="84" width="11.140625" bestFit="1" customWidth="1"/>
    <col min="85" max="85" width="10.5703125" bestFit="1" customWidth="1"/>
    <col min="86" max="86" width="16.85546875" customWidth="1"/>
    <col min="87" max="87" width="10.5703125" bestFit="1" customWidth="1"/>
    <col min="88" max="88" width="14.28515625" bestFit="1" customWidth="1"/>
    <col min="89" max="89" width="12.140625" bestFit="1" customWidth="1"/>
    <col min="90" max="90" width="14.28515625" bestFit="1" customWidth="1"/>
    <col min="91" max="92" width="18.140625" bestFit="1" customWidth="1"/>
    <col min="93" max="93" width="15.5703125" bestFit="1" customWidth="1"/>
    <col min="94" max="94" width="8.42578125" customWidth="1"/>
    <col min="95" max="95" width="12" bestFit="1" customWidth="1"/>
    <col min="96" max="96" width="12" customWidth="1"/>
    <col min="97" max="97" width="12" bestFit="1" customWidth="1"/>
    <col min="98" max="98" width="16.85546875" bestFit="1" customWidth="1"/>
    <col min="99" max="100" width="12" bestFit="1" customWidth="1"/>
    <col min="101" max="101" width="37" bestFit="1" customWidth="1"/>
    <col min="102" max="102" width="33.28515625" bestFit="1" customWidth="1"/>
    <col min="103" max="104" width="12" bestFit="1" customWidth="1"/>
    <col min="105" max="105" width="37" bestFit="1" customWidth="1"/>
    <col min="106" max="106" width="38.7109375" bestFit="1" customWidth="1"/>
    <col min="107" max="108" width="12" bestFit="1" customWidth="1"/>
    <col min="109" max="109" width="42.5703125" bestFit="1" customWidth="1"/>
    <col min="110" max="110" width="20.42578125" bestFit="1" customWidth="1"/>
    <col min="111" max="112" width="12" bestFit="1" customWidth="1"/>
    <col min="113" max="113" width="24.140625" bestFit="1" customWidth="1"/>
    <col min="114" max="114" width="38.42578125" bestFit="1" customWidth="1"/>
    <col min="115" max="116" width="12" bestFit="1" customWidth="1"/>
    <col min="117" max="117" width="42.28515625" bestFit="1" customWidth="1"/>
    <col min="118" max="118" width="36" bestFit="1" customWidth="1"/>
    <col min="119" max="120" width="12" bestFit="1" customWidth="1"/>
    <col min="121" max="121" width="39.7109375" bestFit="1" customWidth="1"/>
    <col min="122" max="122" width="45.42578125" bestFit="1" customWidth="1"/>
    <col min="123" max="124" width="12" bestFit="1" customWidth="1"/>
    <col min="125" max="125" width="49.140625" bestFit="1" customWidth="1"/>
    <col min="126" max="126" width="28.42578125" bestFit="1" customWidth="1"/>
    <col min="127" max="128" width="12" bestFit="1" customWidth="1"/>
    <col min="129" max="129" width="32.140625" bestFit="1" customWidth="1"/>
    <col min="130" max="130" width="34.7109375" bestFit="1" customWidth="1"/>
    <col min="131" max="132" width="12" bestFit="1" customWidth="1"/>
    <col min="133" max="133" width="38.5703125" bestFit="1" customWidth="1"/>
    <col min="134" max="134" width="42.140625" bestFit="1" customWidth="1"/>
    <col min="135" max="136" width="12" bestFit="1" customWidth="1"/>
    <col min="137" max="137" width="45.85546875" bestFit="1" customWidth="1"/>
    <col min="138" max="138" width="42.140625" bestFit="1" customWidth="1"/>
    <col min="139" max="140" width="12" bestFit="1" customWidth="1"/>
    <col min="141" max="141" width="45.85546875" bestFit="1" customWidth="1"/>
    <col min="142" max="142" width="41.140625" bestFit="1" customWidth="1"/>
    <col min="143" max="144" width="12" bestFit="1" customWidth="1"/>
    <col min="145" max="145" width="44.85546875" bestFit="1" customWidth="1"/>
    <col min="146" max="146" width="36.5703125" bestFit="1" customWidth="1"/>
    <col min="147" max="148" width="12" bestFit="1" customWidth="1"/>
    <col min="149" max="149" width="40.28515625" bestFit="1" customWidth="1"/>
    <col min="150" max="150" width="32" bestFit="1" customWidth="1"/>
    <col min="151" max="152" width="12" bestFit="1" customWidth="1"/>
    <col min="153" max="153" width="35.7109375" bestFit="1" customWidth="1"/>
    <col min="154" max="154" width="22.85546875" bestFit="1" customWidth="1"/>
    <col min="155" max="156" width="12" bestFit="1" customWidth="1"/>
    <col min="157" max="157" width="26.7109375" bestFit="1" customWidth="1"/>
    <col min="158" max="158" width="38.140625" bestFit="1" customWidth="1"/>
    <col min="159" max="160" width="12" bestFit="1" customWidth="1"/>
    <col min="161" max="161" width="41.85546875" bestFit="1" customWidth="1"/>
    <col min="162" max="162" width="37.5703125" bestFit="1" customWidth="1"/>
    <col min="163" max="164" width="12" bestFit="1" customWidth="1"/>
    <col min="165" max="165" width="41.28515625" bestFit="1" customWidth="1"/>
    <col min="166" max="166" width="39.42578125" bestFit="1" customWidth="1"/>
    <col min="167" max="167" width="12" customWidth="1"/>
    <col min="168" max="168" width="12" bestFit="1" customWidth="1"/>
    <col min="169" max="169" width="43.28515625" bestFit="1" customWidth="1"/>
    <col min="170" max="170" width="37.7109375" bestFit="1" customWidth="1"/>
    <col min="171" max="172" width="12" bestFit="1" customWidth="1"/>
    <col min="173" max="173" width="41.42578125" bestFit="1" customWidth="1"/>
    <col min="174" max="174" width="33.42578125" bestFit="1" customWidth="1"/>
    <col min="175" max="176" width="12" bestFit="1" customWidth="1"/>
    <col min="177" max="177" width="37.140625" bestFit="1" customWidth="1"/>
    <col min="178" max="178" width="22.85546875" bestFit="1" customWidth="1"/>
    <col min="179" max="180" width="12" bestFit="1" customWidth="1"/>
    <col min="181" max="181" width="26.7109375" bestFit="1" customWidth="1"/>
    <col min="182" max="182" width="28" bestFit="1" customWidth="1"/>
    <col min="183" max="184" width="12" bestFit="1" customWidth="1"/>
    <col min="185" max="185" width="31.7109375" bestFit="1" customWidth="1"/>
    <col min="186" max="186" width="28.42578125" bestFit="1" customWidth="1"/>
    <col min="187" max="188" width="12" bestFit="1" customWidth="1"/>
    <col min="189" max="189" width="32.140625" bestFit="1" customWidth="1"/>
    <col min="190" max="190" width="21.42578125" bestFit="1" customWidth="1"/>
    <col min="191" max="192" width="12" bestFit="1" customWidth="1"/>
    <col min="193" max="193" width="25.140625" bestFit="1" customWidth="1"/>
    <col min="194" max="194" width="24" bestFit="1" customWidth="1"/>
    <col min="195" max="196" width="12" bestFit="1" customWidth="1"/>
    <col min="197" max="197" width="27.7109375" bestFit="1" customWidth="1"/>
    <col min="198" max="198" width="24.85546875" bestFit="1" customWidth="1"/>
    <col min="199" max="200" width="12" bestFit="1" customWidth="1"/>
    <col min="201" max="201" width="28.5703125" bestFit="1" customWidth="1"/>
    <col min="202" max="202" width="49.5703125" bestFit="1" customWidth="1"/>
    <col min="203" max="204" width="12" bestFit="1" customWidth="1"/>
    <col min="205" max="205" width="53.28515625" bestFit="1" customWidth="1"/>
    <col min="206" max="206" width="34" bestFit="1" customWidth="1"/>
    <col min="207" max="208" width="12" bestFit="1" customWidth="1"/>
    <col min="209" max="209" width="37.7109375" bestFit="1" customWidth="1"/>
    <col min="210" max="210" width="50.85546875" bestFit="1" customWidth="1"/>
    <col min="211" max="212" width="12" bestFit="1" customWidth="1"/>
    <col min="213" max="213" width="54.7109375" bestFit="1" customWidth="1"/>
    <col min="214" max="214" width="21.85546875" bestFit="1" customWidth="1"/>
    <col min="215" max="216" width="12" bestFit="1" customWidth="1"/>
    <col min="217" max="217" width="25.7109375" bestFit="1" customWidth="1"/>
    <col min="218" max="218" width="25.85546875" bestFit="1" customWidth="1"/>
    <col min="219" max="220" width="12" bestFit="1" customWidth="1"/>
    <col min="221" max="221" width="29.7109375" bestFit="1" customWidth="1"/>
    <col min="222" max="222" width="22.140625" bestFit="1" customWidth="1"/>
    <col min="223" max="223" width="12" bestFit="1" customWidth="1"/>
    <col min="224" max="224" width="12" customWidth="1"/>
    <col min="225" max="225" width="26" bestFit="1" customWidth="1"/>
    <col min="226" max="226" width="33.42578125" bestFit="1" customWidth="1"/>
    <col min="227" max="228" width="12" bestFit="1" customWidth="1"/>
    <col min="229" max="229" width="37.140625" bestFit="1" customWidth="1"/>
    <col min="230" max="230" width="27.7109375" bestFit="1" customWidth="1"/>
    <col min="231" max="232" width="12" bestFit="1" customWidth="1"/>
    <col min="233" max="233" width="31.42578125" bestFit="1" customWidth="1"/>
    <col min="234" max="234" width="36.42578125" bestFit="1" customWidth="1"/>
    <col min="235" max="236" width="12" bestFit="1" customWidth="1"/>
    <col min="237" max="237" width="40.140625" bestFit="1" customWidth="1"/>
    <col min="238" max="238" width="43" bestFit="1" customWidth="1"/>
    <col min="239" max="240" width="12" bestFit="1" customWidth="1"/>
    <col min="241" max="241" width="46.85546875" bestFit="1" customWidth="1"/>
    <col min="242" max="242" width="45.140625" bestFit="1" customWidth="1"/>
    <col min="243" max="244" width="12" bestFit="1" customWidth="1"/>
    <col min="245" max="245" width="48.85546875" bestFit="1" customWidth="1"/>
    <col min="246" max="246" width="39" bestFit="1" customWidth="1"/>
    <col min="247" max="248" width="12" bestFit="1" customWidth="1"/>
    <col min="249" max="249" width="42.85546875" bestFit="1" customWidth="1"/>
    <col min="250" max="250" width="41" bestFit="1" customWidth="1"/>
    <col min="251" max="252" width="12" bestFit="1" customWidth="1"/>
    <col min="253" max="253" width="44.7109375" bestFit="1" customWidth="1"/>
    <col min="254" max="254" width="41.28515625" bestFit="1" customWidth="1"/>
  </cols>
  <sheetData>
    <row r="2" spans="1:85" x14ac:dyDescent="0.2">
      <c r="A2" s="31" t="s">
        <v>275</v>
      </c>
      <c r="B2" s="32" t="s">
        <v>1813</v>
      </c>
    </row>
    <row r="4" spans="1:85" x14ac:dyDescent="0.2">
      <c r="A4" s="1" t="s">
        <v>625</v>
      </c>
      <c r="B4" s="1" t="s">
        <v>391</v>
      </c>
      <c r="C4" s="22" t="s">
        <v>395</v>
      </c>
      <c r="D4" s="22" t="s">
        <v>396</v>
      </c>
      <c r="E4" s="22" t="s">
        <v>397</v>
      </c>
      <c r="F4" s="11"/>
      <c r="G4" s="11"/>
      <c r="H4" s="11"/>
      <c r="I4" s="11"/>
      <c r="J4" s="11"/>
      <c r="K4" s="11"/>
      <c r="L4" s="11"/>
      <c r="M4" s="11"/>
      <c r="N4" s="11"/>
      <c r="O4" s="11"/>
      <c r="P4" s="11"/>
      <c r="Q4" s="11"/>
      <c r="R4" s="11"/>
      <c r="S4" s="11"/>
      <c r="T4" s="11"/>
      <c r="U4" s="11"/>
      <c r="V4" s="11"/>
      <c r="W4" s="11"/>
      <c r="X4" s="11"/>
      <c r="Y4" s="11"/>
      <c r="Z4" s="11"/>
      <c r="AA4" s="11"/>
      <c r="AB4" s="11"/>
      <c r="AC4" s="11"/>
      <c r="AD4" s="11"/>
      <c r="AE4" s="11"/>
      <c r="AF4" s="11"/>
      <c r="AG4" s="11"/>
      <c r="AH4" s="11"/>
      <c r="AI4" s="11"/>
      <c r="AJ4" s="11"/>
      <c r="AK4" s="11"/>
      <c r="AL4" s="11"/>
      <c r="AM4" s="11"/>
      <c r="AN4" s="11"/>
      <c r="AO4" s="11"/>
      <c r="AP4" s="11"/>
      <c r="AQ4" s="11"/>
      <c r="AR4" s="11"/>
      <c r="AS4" s="11"/>
      <c r="AT4" s="11"/>
      <c r="AU4" s="11"/>
      <c r="AV4" s="11"/>
      <c r="AW4" s="11"/>
      <c r="AX4" s="11"/>
      <c r="AY4" s="11"/>
      <c r="AZ4" s="11"/>
      <c r="BA4" s="11"/>
      <c r="BB4" s="11"/>
      <c r="BC4" s="11"/>
      <c r="BD4" s="11"/>
      <c r="BE4" s="11"/>
      <c r="BF4" s="11"/>
      <c r="BG4" s="11"/>
      <c r="BH4" s="11"/>
      <c r="BI4" s="11"/>
      <c r="BJ4" s="11"/>
      <c r="BK4" s="11"/>
      <c r="BL4" s="11"/>
      <c r="BM4" s="11"/>
      <c r="BN4" s="11"/>
      <c r="BO4" s="11"/>
      <c r="BP4" s="11"/>
      <c r="BQ4" s="11"/>
      <c r="BR4" s="11"/>
      <c r="BS4" s="11"/>
      <c r="BT4" s="11"/>
      <c r="BU4" s="11"/>
      <c r="BV4" s="11"/>
      <c r="BW4" s="11"/>
      <c r="BX4" s="11"/>
      <c r="BY4" s="11"/>
      <c r="BZ4" s="11"/>
      <c r="CA4" s="11"/>
      <c r="CB4" s="11"/>
      <c r="CC4" s="11"/>
      <c r="CD4" s="11"/>
      <c r="CE4" s="11"/>
      <c r="CF4" s="11"/>
      <c r="CG4" s="24"/>
    </row>
    <row r="5" spans="1:85" x14ac:dyDescent="0.2">
      <c r="A5" s="2"/>
      <c r="B5" s="3" t="s">
        <v>979</v>
      </c>
      <c r="C5" s="11"/>
      <c r="D5" s="11"/>
      <c r="E5" s="11"/>
      <c r="F5" s="11"/>
      <c r="G5" s="11"/>
      <c r="H5" s="11"/>
      <c r="I5" s="11"/>
      <c r="J5" s="11"/>
      <c r="K5" s="11"/>
      <c r="L5" s="11"/>
      <c r="M5" s="11"/>
      <c r="N5" s="11"/>
      <c r="O5" s="11"/>
      <c r="P5" s="11"/>
      <c r="Q5" s="11"/>
      <c r="R5" s="11"/>
      <c r="S5" s="11"/>
      <c r="T5" s="11"/>
      <c r="U5" s="11"/>
      <c r="V5" s="11"/>
      <c r="W5" s="11"/>
      <c r="X5" s="11"/>
      <c r="Y5" s="11"/>
      <c r="Z5" s="11"/>
      <c r="AA5" s="11"/>
      <c r="AB5" s="11"/>
      <c r="AC5" s="11"/>
      <c r="AD5" s="11"/>
      <c r="AE5" s="11"/>
      <c r="AF5" s="11"/>
      <c r="AG5" s="11"/>
      <c r="AH5" s="11"/>
      <c r="AI5" s="11"/>
      <c r="AJ5" s="3" t="s">
        <v>1786</v>
      </c>
      <c r="AK5" s="3" t="s">
        <v>975</v>
      </c>
      <c r="AL5" s="11"/>
      <c r="AM5" s="11"/>
      <c r="AN5" s="11"/>
      <c r="AO5" s="11"/>
      <c r="AP5" s="11"/>
      <c r="AQ5" s="11"/>
      <c r="AR5" s="11"/>
      <c r="AS5" s="11"/>
      <c r="AT5" s="11"/>
      <c r="AU5" s="11"/>
      <c r="AV5" s="11"/>
      <c r="AW5" s="11"/>
      <c r="AX5" s="11"/>
      <c r="AY5" s="11"/>
      <c r="AZ5" s="11"/>
      <c r="BA5" s="11"/>
      <c r="BB5" s="3" t="s">
        <v>1787</v>
      </c>
      <c r="BC5" s="3" t="s">
        <v>996</v>
      </c>
      <c r="BD5" s="11"/>
      <c r="BE5" s="11"/>
      <c r="BF5" s="11"/>
      <c r="BG5" s="11"/>
      <c r="BH5" s="11"/>
      <c r="BI5" s="11"/>
      <c r="BJ5" s="11"/>
      <c r="BK5" s="11"/>
      <c r="BL5" s="11"/>
      <c r="BM5" s="11"/>
      <c r="BN5" s="11"/>
      <c r="BO5" s="11"/>
      <c r="BP5" s="11"/>
      <c r="BQ5" s="11"/>
      <c r="BR5" s="11"/>
      <c r="BS5" s="11"/>
      <c r="BT5" s="11"/>
      <c r="BU5" s="11"/>
      <c r="BV5" s="11"/>
      <c r="BW5" s="11"/>
      <c r="BX5" s="11"/>
      <c r="BY5" s="11"/>
      <c r="BZ5" s="11"/>
      <c r="CA5" s="11"/>
      <c r="CB5" s="3" t="s">
        <v>1788</v>
      </c>
      <c r="CC5" s="3" t="s">
        <v>1789</v>
      </c>
      <c r="CD5" s="11"/>
      <c r="CE5" s="11"/>
      <c r="CF5" s="3" t="s">
        <v>1790</v>
      </c>
      <c r="CG5" s="12" t="s">
        <v>1791</v>
      </c>
    </row>
    <row r="6" spans="1:85" x14ac:dyDescent="0.2">
      <c r="A6" s="2"/>
      <c r="B6" s="3" t="s">
        <v>821</v>
      </c>
      <c r="C6" s="11"/>
      <c r="D6" s="3" t="s">
        <v>1792</v>
      </c>
      <c r="E6" s="3" t="s">
        <v>863</v>
      </c>
      <c r="F6" s="11"/>
      <c r="G6" s="11"/>
      <c r="H6" s="3" t="s">
        <v>1793</v>
      </c>
      <c r="I6" s="3" t="s">
        <v>860</v>
      </c>
      <c r="J6" s="11"/>
      <c r="K6" s="3" t="s">
        <v>1794</v>
      </c>
      <c r="L6" s="3" t="s">
        <v>4</v>
      </c>
      <c r="M6" s="11"/>
      <c r="N6" s="11"/>
      <c r="O6" s="11"/>
      <c r="P6" s="11"/>
      <c r="Q6" s="11"/>
      <c r="R6" s="11"/>
      <c r="S6" s="3" t="s">
        <v>1795</v>
      </c>
      <c r="T6" s="3" t="s">
        <v>121</v>
      </c>
      <c r="U6" s="11"/>
      <c r="V6" s="11"/>
      <c r="W6" s="3" t="s">
        <v>1796</v>
      </c>
      <c r="X6" s="3" t="s">
        <v>234</v>
      </c>
      <c r="Y6" s="11"/>
      <c r="Z6" s="11"/>
      <c r="AA6" s="11"/>
      <c r="AB6" s="11"/>
      <c r="AC6" s="11"/>
      <c r="AD6" s="11"/>
      <c r="AE6" s="11"/>
      <c r="AF6" s="3" t="s">
        <v>1797</v>
      </c>
      <c r="AG6" s="3" t="s">
        <v>1789</v>
      </c>
      <c r="AH6" s="11"/>
      <c r="AI6" s="3" t="s">
        <v>1790</v>
      </c>
      <c r="AJ6" s="2"/>
      <c r="AK6" s="3" t="s">
        <v>234</v>
      </c>
      <c r="AL6" s="11"/>
      <c r="AM6" s="11"/>
      <c r="AN6" s="11"/>
      <c r="AO6" s="11"/>
      <c r="AP6" s="11"/>
      <c r="AQ6" s="11"/>
      <c r="AR6" s="11"/>
      <c r="AS6" s="11"/>
      <c r="AT6" s="11"/>
      <c r="AU6" s="3" t="s">
        <v>1797</v>
      </c>
      <c r="AV6" s="3" t="s">
        <v>404</v>
      </c>
      <c r="AW6" s="11"/>
      <c r="AX6" s="3" t="s">
        <v>1798</v>
      </c>
      <c r="AY6" s="3" t="s">
        <v>1789</v>
      </c>
      <c r="AZ6" s="11"/>
      <c r="BA6" s="3" t="s">
        <v>1790</v>
      </c>
      <c r="BB6" s="2"/>
      <c r="BC6" s="3" t="s">
        <v>863</v>
      </c>
      <c r="BD6" s="11"/>
      <c r="BE6" s="3" t="s">
        <v>1793</v>
      </c>
      <c r="BF6" s="3" t="s">
        <v>860</v>
      </c>
      <c r="BG6" s="11"/>
      <c r="BH6" s="11"/>
      <c r="BI6" s="11"/>
      <c r="BJ6" s="3" t="s">
        <v>1794</v>
      </c>
      <c r="BK6" s="3" t="s">
        <v>4</v>
      </c>
      <c r="BL6" s="11"/>
      <c r="BM6" s="11"/>
      <c r="BN6" s="11"/>
      <c r="BO6" s="11"/>
      <c r="BP6" s="11"/>
      <c r="BQ6" s="3" t="s">
        <v>1795</v>
      </c>
      <c r="BR6" s="3" t="s">
        <v>121</v>
      </c>
      <c r="BS6" s="11"/>
      <c r="BT6" s="3" t="s">
        <v>1796</v>
      </c>
      <c r="BU6" s="3" t="s">
        <v>234</v>
      </c>
      <c r="BV6" s="11"/>
      <c r="BW6" s="11"/>
      <c r="BX6" s="11"/>
      <c r="BY6" s="11"/>
      <c r="BZ6" s="11"/>
      <c r="CA6" s="3" t="s">
        <v>1797</v>
      </c>
      <c r="CB6" s="2"/>
      <c r="CC6" s="3" t="s">
        <v>1789</v>
      </c>
      <c r="CD6" s="11"/>
      <c r="CE6" s="3" t="s">
        <v>1790</v>
      </c>
      <c r="CF6" s="2"/>
      <c r="CG6" s="25"/>
    </row>
    <row r="7" spans="1:85" x14ac:dyDescent="0.2">
      <c r="A7" s="2"/>
      <c r="B7" s="3" t="s">
        <v>876</v>
      </c>
      <c r="C7" s="3" t="s">
        <v>1799</v>
      </c>
      <c r="D7" s="2"/>
      <c r="E7" s="3" t="s">
        <v>319</v>
      </c>
      <c r="F7" s="11"/>
      <c r="G7" s="3" t="s">
        <v>1800</v>
      </c>
      <c r="H7" s="2"/>
      <c r="I7" s="3" t="s">
        <v>30</v>
      </c>
      <c r="J7" s="3" t="s">
        <v>1801</v>
      </c>
      <c r="K7" s="2"/>
      <c r="L7" s="3" t="s">
        <v>5</v>
      </c>
      <c r="M7" s="11"/>
      <c r="N7" s="3" t="s">
        <v>1802</v>
      </c>
      <c r="O7" s="3" t="s">
        <v>14</v>
      </c>
      <c r="P7" s="3" t="s">
        <v>1803</v>
      </c>
      <c r="Q7" s="3" t="s">
        <v>18</v>
      </c>
      <c r="R7" s="3" t="s">
        <v>1804</v>
      </c>
      <c r="S7" s="2"/>
      <c r="T7" s="3" t="s">
        <v>122</v>
      </c>
      <c r="U7" s="11"/>
      <c r="V7" s="3" t="s">
        <v>1805</v>
      </c>
      <c r="W7" s="2"/>
      <c r="X7" s="3" t="s">
        <v>263</v>
      </c>
      <c r="Y7" s="3" t="s">
        <v>1806</v>
      </c>
      <c r="Z7" s="3" t="s">
        <v>235</v>
      </c>
      <c r="AA7" s="3" t="s">
        <v>1807</v>
      </c>
      <c r="AB7" s="3" t="s">
        <v>702</v>
      </c>
      <c r="AC7" s="3" t="s">
        <v>1808</v>
      </c>
      <c r="AD7" s="3" t="s">
        <v>494</v>
      </c>
      <c r="AE7" s="3" t="s">
        <v>1809</v>
      </c>
      <c r="AF7" s="2"/>
      <c r="AG7" s="3" t="s">
        <v>1789</v>
      </c>
      <c r="AH7" s="3" t="s">
        <v>1790</v>
      </c>
      <c r="AI7" s="2"/>
      <c r="AJ7" s="2"/>
      <c r="AK7" s="3" t="s">
        <v>677</v>
      </c>
      <c r="AL7" s="3" t="s">
        <v>1810</v>
      </c>
      <c r="AM7" s="3" t="s">
        <v>263</v>
      </c>
      <c r="AN7" s="3" t="s">
        <v>1806</v>
      </c>
      <c r="AO7" s="3" t="s">
        <v>235</v>
      </c>
      <c r="AP7" s="3" t="s">
        <v>1807</v>
      </c>
      <c r="AQ7" s="3" t="s">
        <v>702</v>
      </c>
      <c r="AR7" s="3" t="s">
        <v>1808</v>
      </c>
      <c r="AS7" s="3" t="s">
        <v>656</v>
      </c>
      <c r="AT7" s="3" t="s">
        <v>1811</v>
      </c>
      <c r="AU7" s="2"/>
      <c r="AV7" s="3" t="s">
        <v>404</v>
      </c>
      <c r="AW7" s="3" t="s">
        <v>1798</v>
      </c>
      <c r="AX7" s="2"/>
      <c r="AY7" s="3" t="s">
        <v>1789</v>
      </c>
      <c r="AZ7" s="3" t="s">
        <v>1790</v>
      </c>
      <c r="BA7" s="2"/>
      <c r="BB7" s="2"/>
      <c r="BC7" s="3" t="s">
        <v>319</v>
      </c>
      <c r="BD7" s="3" t="s">
        <v>1800</v>
      </c>
      <c r="BE7" s="2"/>
      <c r="BF7" s="3" t="s">
        <v>30</v>
      </c>
      <c r="BG7" s="3" t="s">
        <v>1801</v>
      </c>
      <c r="BH7" s="3" t="s">
        <v>40</v>
      </c>
      <c r="BI7" s="3" t="s">
        <v>1812</v>
      </c>
      <c r="BJ7" s="2"/>
      <c r="BK7" s="3" t="s">
        <v>5</v>
      </c>
      <c r="BL7" s="3" t="s">
        <v>1802</v>
      </c>
      <c r="BM7" s="3" t="s">
        <v>14</v>
      </c>
      <c r="BN7" s="3" t="s">
        <v>1803</v>
      </c>
      <c r="BO7" s="3" t="s">
        <v>18</v>
      </c>
      <c r="BP7" s="3" t="s">
        <v>1804</v>
      </c>
      <c r="BQ7" s="2"/>
      <c r="BR7" s="3" t="s">
        <v>122</v>
      </c>
      <c r="BS7" s="3" t="s">
        <v>1805</v>
      </c>
      <c r="BT7" s="2"/>
      <c r="BU7" s="3" t="s">
        <v>263</v>
      </c>
      <c r="BV7" s="3" t="s">
        <v>1806</v>
      </c>
      <c r="BW7" s="3" t="s">
        <v>235</v>
      </c>
      <c r="BX7" s="3" t="s">
        <v>1807</v>
      </c>
      <c r="BY7" s="3" t="s">
        <v>702</v>
      </c>
      <c r="BZ7" s="3" t="s">
        <v>1808</v>
      </c>
      <c r="CA7" s="2"/>
      <c r="CB7" s="2"/>
      <c r="CC7" s="3" t="s">
        <v>1789</v>
      </c>
      <c r="CD7" s="3" t="s">
        <v>1790</v>
      </c>
      <c r="CE7" s="2"/>
      <c r="CF7" s="2"/>
      <c r="CG7" s="25"/>
    </row>
    <row r="8" spans="1:85" x14ac:dyDescent="0.2">
      <c r="A8" s="1" t="s">
        <v>392</v>
      </c>
      <c r="B8" s="3" t="s">
        <v>405</v>
      </c>
      <c r="C8" s="2"/>
      <c r="D8" s="2"/>
      <c r="E8" s="3" t="s">
        <v>809</v>
      </c>
      <c r="F8" s="319" t="s">
        <v>405</v>
      </c>
      <c r="G8" s="2"/>
      <c r="H8" s="2"/>
      <c r="I8" s="3" t="s">
        <v>809</v>
      </c>
      <c r="J8" s="2"/>
      <c r="K8" s="2"/>
      <c r="L8" s="3" t="s">
        <v>809</v>
      </c>
      <c r="M8" s="319" t="s">
        <v>412</v>
      </c>
      <c r="N8" s="2"/>
      <c r="O8" s="3" t="s">
        <v>809</v>
      </c>
      <c r="P8" s="2"/>
      <c r="Q8" s="3" t="s">
        <v>809</v>
      </c>
      <c r="R8" s="2"/>
      <c r="S8" s="2"/>
      <c r="T8" s="3" t="s">
        <v>809</v>
      </c>
      <c r="U8" s="319" t="s">
        <v>405</v>
      </c>
      <c r="V8" s="2"/>
      <c r="W8" s="2"/>
      <c r="X8" s="3" t="s">
        <v>809</v>
      </c>
      <c r="Y8" s="2"/>
      <c r="Z8" s="3" t="s">
        <v>809</v>
      </c>
      <c r="AA8" s="2"/>
      <c r="AB8" s="3" t="s">
        <v>809</v>
      </c>
      <c r="AC8" s="2"/>
      <c r="AD8" s="3" t="s">
        <v>809</v>
      </c>
      <c r="AE8" s="2"/>
      <c r="AF8" s="2"/>
      <c r="AG8" s="3" t="s">
        <v>1789</v>
      </c>
      <c r="AH8" s="2"/>
      <c r="AI8" s="2"/>
      <c r="AJ8" s="2"/>
      <c r="AK8" s="3" t="s">
        <v>809</v>
      </c>
      <c r="AL8" s="2"/>
      <c r="AM8" s="3" t="s">
        <v>809</v>
      </c>
      <c r="AN8" s="2"/>
      <c r="AO8" s="3" t="s">
        <v>809</v>
      </c>
      <c r="AP8" s="2"/>
      <c r="AQ8" s="3" t="s">
        <v>809</v>
      </c>
      <c r="AR8" s="2"/>
      <c r="AS8" s="3" t="s">
        <v>809</v>
      </c>
      <c r="AT8" s="2"/>
      <c r="AU8" s="2"/>
      <c r="AV8" s="3" t="s">
        <v>809</v>
      </c>
      <c r="AW8" s="2"/>
      <c r="AX8" s="2"/>
      <c r="AY8" s="3" t="s">
        <v>1789</v>
      </c>
      <c r="AZ8" s="2"/>
      <c r="BA8" s="2"/>
      <c r="BB8" s="2"/>
      <c r="BC8" s="3" t="s">
        <v>809</v>
      </c>
      <c r="BD8" s="2"/>
      <c r="BE8" s="2"/>
      <c r="BF8" s="3" t="s">
        <v>809</v>
      </c>
      <c r="BG8" s="2"/>
      <c r="BH8" s="3" t="s">
        <v>809</v>
      </c>
      <c r="BI8" s="2"/>
      <c r="BJ8" s="2"/>
      <c r="BK8" s="3" t="s">
        <v>809</v>
      </c>
      <c r="BL8" s="2"/>
      <c r="BM8" s="3" t="s">
        <v>809</v>
      </c>
      <c r="BN8" s="2"/>
      <c r="BO8" s="3" t="s">
        <v>809</v>
      </c>
      <c r="BP8" s="2"/>
      <c r="BQ8" s="2"/>
      <c r="BR8" s="3" t="s">
        <v>809</v>
      </c>
      <c r="BS8" s="2"/>
      <c r="BT8" s="2"/>
      <c r="BU8" s="3" t="s">
        <v>809</v>
      </c>
      <c r="BV8" s="2"/>
      <c r="BW8" s="3" t="s">
        <v>809</v>
      </c>
      <c r="BX8" s="2"/>
      <c r="BY8" s="3" t="s">
        <v>809</v>
      </c>
      <c r="BZ8" s="2"/>
      <c r="CA8" s="2"/>
      <c r="CB8" s="2"/>
      <c r="CC8" s="3" t="s">
        <v>1789</v>
      </c>
      <c r="CD8" s="2"/>
      <c r="CE8" s="2"/>
      <c r="CF8" s="2"/>
      <c r="CG8" s="25"/>
    </row>
    <row r="9" spans="1:85" x14ac:dyDescent="0.2">
      <c r="A9" s="3">
        <v>1160</v>
      </c>
      <c r="B9" s="26">
        <v>1</v>
      </c>
      <c r="C9" s="26">
        <v>1</v>
      </c>
      <c r="D9" s="26">
        <v>1</v>
      </c>
      <c r="E9" s="26"/>
      <c r="F9" s="320"/>
      <c r="G9" s="26"/>
      <c r="H9" s="26"/>
      <c r="I9" s="26"/>
      <c r="J9" s="26"/>
      <c r="K9" s="26"/>
      <c r="L9" s="26"/>
      <c r="M9" s="320"/>
      <c r="N9" s="26"/>
      <c r="O9" s="26"/>
      <c r="P9" s="26"/>
      <c r="Q9" s="26"/>
      <c r="R9" s="26"/>
      <c r="S9" s="26"/>
      <c r="T9" s="26"/>
      <c r="U9" s="320"/>
      <c r="V9" s="26"/>
      <c r="W9" s="26"/>
      <c r="X9" s="26"/>
      <c r="Y9" s="26"/>
      <c r="Z9" s="26"/>
      <c r="AA9" s="26"/>
      <c r="AB9" s="26"/>
      <c r="AC9" s="26"/>
      <c r="AD9" s="26"/>
      <c r="AE9" s="26"/>
      <c r="AF9" s="26"/>
      <c r="AG9" s="26"/>
      <c r="AH9" s="26"/>
      <c r="AI9" s="26"/>
      <c r="AJ9" s="26">
        <v>1</v>
      </c>
      <c r="AK9" s="26"/>
      <c r="AL9" s="26"/>
      <c r="AM9" s="26"/>
      <c r="AN9" s="26"/>
      <c r="AO9" s="26"/>
      <c r="AP9" s="26"/>
      <c r="AQ9" s="26"/>
      <c r="AR9" s="26"/>
      <c r="AS9" s="26"/>
      <c r="AT9" s="26"/>
      <c r="AU9" s="26"/>
      <c r="AV9" s="26"/>
      <c r="AW9" s="26"/>
      <c r="AX9" s="26"/>
      <c r="AY9" s="26"/>
      <c r="AZ9" s="26"/>
      <c r="BA9" s="26"/>
      <c r="BB9" s="26"/>
      <c r="BC9" s="26"/>
      <c r="BD9" s="26"/>
      <c r="BE9" s="26"/>
      <c r="BF9" s="26"/>
      <c r="BG9" s="26"/>
      <c r="BH9" s="26"/>
      <c r="BI9" s="26"/>
      <c r="BJ9" s="26"/>
      <c r="BK9" s="26"/>
      <c r="BL9" s="26"/>
      <c r="BM9" s="26"/>
      <c r="BN9" s="26"/>
      <c r="BO9" s="26"/>
      <c r="BP9" s="26"/>
      <c r="BQ9" s="26"/>
      <c r="BR9" s="26"/>
      <c r="BS9" s="26"/>
      <c r="BT9" s="26"/>
      <c r="BU9" s="26"/>
      <c r="BV9" s="26"/>
      <c r="BW9" s="26"/>
      <c r="BX9" s="26"/>
      <c r="BY9" s="26"/>
      <c r="BZ9" s="26"/>
      <c r="CA9" s="26"/>
      <c r="CB9" s="26"/>
      <c r="CC9" s="26"/>
      <c r="CD9" s="26"/>
      <c r="CE9" s="26"/>
      <c r="CF9" s="26"/>
      <c r="CG9" s="13">
        <v>1</v>
      </c>
    </row>
    <row r="10" spans="1:85" x14ac:dyDescent="0.2">
      <c r="A10" s="321">
        <v>1255</v>
      </c>
      <c r="B10" s="322"/>
      <c r="C10" s="322"/>
      <c r="D10" s="322"/>
      <c r="E10" s="322"/>
      <c r="F10" s="323">
        <v>1</v>
      </c>
      <c r="G10" s="322">
        <v>1</v>
      </c>
      <c r="H10" s="322">
        <v>1</v>
      </c>
      <c r="I10" s="322"/>
      <c r="J10" s="322"/>
      <c r="K10" s="322"/>
      <c r="L10" s="322"/>
      <c r="M10" s="323"/>
      <c r="N10" s="322"/>
      <c r="O10" s="322"/>
      <c r="P10" s="322"/>
      <c r="Q10" s="322"/>
      <c r="R10" s="322"/>
      <c r="S10" s="322"/>
      <c r="T10" s="322"/>
      <c r="U10" s="323"/>
      <c r="V10" s="322"/>
      <c r="W10" s="322"/>
      <c r="X10" s="322"/>
      <c r="Y10" s="322"/>
      <c r="Z10" s="322"/>
      <c r="AA10" s="322"/>
      <c r="AB10" s="322"/>
      <c r="AC10" s="322"/>
      <c r="AD10" s="322"/>
      <c r="AE10" s="322"/>
      <c r="AF10" s="322"/>
      <c r="AG10" s="322"/>
      <c r="AH10" s="322"/>
      <c r="AI10" s="322"/>
      <c r="AJ10" s="322">
        <v>1</v>
      </c>
      <c r="AK10" s="322"/>
      <c r="AL10" s="322"/>
      <c r="AM10" s="322"/>
      <c r="AN10" s="322"/>
      <c r="AO10" s="322"/>
      <c r="AP10" s="322"/>
      <c r="AQ10" s="322"/>
      <c r="AR10" s="322"/>
      <c r="AS10" s="322"/>
      <c r="AT10" s="322"/>
      <c r="AU10" s="322"/>
      <c r="AV10" s="322"/>
      <c r="AW10" s="322"/>
      <c r="AX10" s="322"/>
      <c r="AY10" s="322"/>
      <c r="AZ10" s="322"/>
      <c r="BA10" s="322"/>
      <c r="BB10" s="322"/>
      <c r="BC10" s="322"/>
      <c r="BD10" s="322"/>
      <c r="BE10" s="322"/>
      <c r="BF10" s="322"/>
      <c r="BG10" s="322"/>
      <c r="BH10" s="322"/>
      <c r="BI10" s="322"/>
      <c r="BJ10" s="322"/>
      <c r="BK10" s="322"/>
      <c r="BL10" s="322"/>
      <c r="BM10" s="322"/>
      <c r="BN10" s="322"/>
      <c r="BO10" s="322"/>
      <c r="BP10" s="322"/>
      <c r="BQ10" s="322"/>
      <c r="BR10" s="322"/>
      <c r="BS10" s="322"/>
      <c r="BT10" s="322"/>
      <c r="BU10" s="322"/>
      <c r="BV10" s="322"/>
      <c r="BW10" s="322"/>
      <c r="BX10" s="322"/>
      <c r="BY10" s="322"/>
      <c r="BZ10" s="322"/>
      <c r="CA10" s="322"/>
      <c r="CB10" s="322"/>
      <c r="CC10" s="322"/>
      <c r="CD10" s="322"/>
      <c r="CE10" s="322"/>
      <c r="CF10" s="322"/>
      <c r="CG10" s="324">
        <v>1</v>
      </c>
    </row>
    <row r="11" spans="1:85" x14ac:dyDescent="0.2">
      <c r="A11" s="321">
        <v>1294</v>
      </c>
      <c r="B11" s="322"/>
      <c r="C11" s="322"/>
      <c r="D11" s="322"/>
      <c r="E11" s="322"/>
      <c r="F11" s="323"/>
      <c r="G11" s="322"/>
      <c r="H11" s="322"/>
      <c r="I11" s="322"/>
      <c r="J11" s="322"/>
      <c r="K11" s="322"/>
      <c r="L11" s="322"/>
      <c r="M11" s="323"/>
      <c r="N11" s="322"/>
      <c r="O11" s="322"/>
      <c r="P11" s="322"/>
      <c r="Q11" s="322"/>
      <c r="R11" s="322"/>
      <c r="S11" s="322"/>
      <c r="T11" s="322"/>
      <c r="U11" s="323">
        <v>4</v>
      </c>
      <c r="V11" s="322">
        <v>4</v>
      </c>
      <c r="W11" s="322">
        <v>4</v>
      </c>
      <c r="X11" s="322"/>
      <c r="Y11" s="322"/>
      <c r="Z11" s="322"/>
      <c r="AA11" s="322"/>
      <c r="AB11" s="322"/>
      <c r="AC11" s="322"/>
      <c r="AD11" s="322"/>
      <c r="AE11" s="322"/>
      <c r="AF11" s="322"/>
      <c r="AG11" s="322"/>
      <c r="AH11" s="322"/>
      <c r="AI11" s="322"/>
      <c r="AJ11" s="322">
        <v>4</v>
      </c>
      <c r="AK11" s="322"/>
      <c r="AL11" s="322"/>
      <c r="AM11" s="322"/>
      <c r="AN11" s="322"/>
      <c r="AO11" s="322"/>
      <c r="AP11" s="322"/>
      <c r="AQ11" s="322"/>
      <c r="AR11" s="322"/>
      <c r="AS11" s="322"/>
      <c r="AT11" s="322"/>
      <c r="AU11" s="322"/>
      <c r="AV11" s="322"/>
      <c r="AW11" s="322"/>
      <c r="AX11" s="322"/>
      <c r="AY11" s="322"/>
      <c r="AZ11" s="322"/>
      <c r="BA11" s="322"/>
      <c r="BB11" s="322"/>
      <c r="BC11" s="322"/>
      <c r="BD11" s="322"/>
      <c r="BE11" s="322"/>
      <c r="BF11" s="322"/>
      <c r="BG11" s="322"/>
      <c r="BH11" s="322"/>
      <c r="BI11" s="322"/>
      <c r="BJ11" s="322"/>
      <c r="BK11" s="322"/>
      <c r="BL11" s="322"/>
      <c r="BM11" s="322"/>
      <c r="BN11" s="322"/>
      <c r="BO11" s="322"/>
      <c r="BP11" s="322"/>
      <c r="BQ11" s="322"/>
      <c r="BR11" s="322"/>
      <c r="BS11" s="322"/>
      <c r="BT11" s="322"/>
      <c r="BU11" s="322"/>
      <c r="BV11" s="322"/>
      <c r="BW11" s="322"/>
      <c r="BX11" s="322"/>
      <c r="BY11" s="322"/>
      <c r="BZ11" s="322"/>
      <c r="CA11" s="322"/>
      <c r="CB11" s="322"/>
      <c r="CC11" s="322"/>
      <c r="CD11" s="322"/>
      <c r="CE11" s="322"/>
      <c r="CF11" s="322"/>
      <c r="CG11" s="324">
        <v>4</v>
      </c>
    </row>
    <row r="12" spans="1:85" x14ac:dyDescent="0.2">
      <c r="A12" s="321">
        <v>2000</v>
      </c>
      <c r="B12" s="322"/>
      <c r="C12" s="322"/>
      <c r="D12" s="322"/>
      <c r="E12" s="322"/>
      <c r="F12" s="323"/>
      <c r="G12" s="322"/>
      <c r="H12" s="322"/>
      <c r="I12" s="322"/>
      <c r="J12" s="322"/>
      <c r="K12" s="322"/>
      <c r="L12" s="322"/>
      <c r="M12" s="323"/>
      <c r="N12" s="322"/>
      <c r="O12" s="322">
        <v>2</v>
      </c>
      <c r="P12" s="322">
        <v>2</v>
      </c>
      <c r="Q12" s="322"/>
      <c r="R12" s="322"/>
      <c r="S12" s="322">
        <v>2</v>
      </c>
      <c r="T12" s="322"/>
      <c r="U12" s="323"/>
      <c r="V12" s="322"/>
      <c r="W12" s="322"/>
      <c r="X12" s="322"/>
      <c r="Y12" s="322"/>
      <c r="Z12" s="322"/>
      <c r="AA12" s="322"/>
      <c r="AB12" s="322"/>
      <c r="AC12" s="322"/>
      <c r="AD12" s="322"/>
      <c r="AE12" s="322"/>
      <c r="AF12" s="322"/>
      <c r="AG12" s="322"/>
      <c r="AH12" s="322"/>
      <c r="AI12" s="322"/>
      <c r="AJ12" s="322">
        <v>2</v>
      </c>
      <c r="AK12" s="322"/>
      <c r="AL12" s="322"/>
      <c r="AM12" s="322"/>
      <c r="AN12" s="322"/>
      <c r="AO12" s="322"/>
      <c r="AP12" s="322"/>
      <c r="AQ12" s="322"/>
      <c r="AR12" s="322"/>
      <c r="AS12" s="322"/>
      <c r="AT12" s="322"/>
      <c r="AU12" s="322"/>
      <c r="AV12" s="322"/>
      <c r="AW12" s="322"/>
      <c r="AX12" s="322"/>
      <c r="AY12" s="322"/>
      <c r="AZ12" s="322"/>
      <c r="BA12" s="322"/>
      <c r="BB12" s="322"/>
      <c r="BC12" s="322"/>
      <c r="BD12" s="322"/>
      <c r="BE12" s="322"/>
      <c r="BF12" s="322"/>
      <c r="BG12" s="322"/>
      <c r="BH12" s="322"/>
      <c r="BI12" s="322"/>
      <c r="BJ12" s="322"/>
      <c r="BK12" s="322"/>
      <c r="BL12" s="322"/>
      <c r="BM12" s="322"/>
      <c r="BN12" s="322"/>
      <c r="BO12" s="322"/>
      <c r="BP12" s="322"/>
      <c r="BQ12" s="322"/>
      <c r="BR12" s="322"/>
      <c r="BS12" s="322"/>
      <c r="BT12" s="322"/>
      <c r="BU12" s="322"/>
      <c r="BV12" s="322"/>
      <c r="BW12" s="322"/>
      <c r="BX12" s="322"/>
      <c r="BY12" s="322"/>
      <c r="BZ12" s="322"/>
      <c r="CA12" s="322"/>
      <c r="CB12" s="322"/>
      <c r="CC12" s="322"/>
      <c r="CD12" s="322"/>
      <c r="CE12" s="322"/>
      <c r="CF12" s="322"/>
      <c r="CG12" s="324">
        <v>2</v>
      </c>
    </row>
    <row r="13" spans="1:85" x14ac:dyDescent="0.2">
      <c r="A13" s="321">
        <v>2005</v>
      </c>
      <c r="B13" s="322"/>
      <c r="C13" s="322"/>
      <c r="D13" s="322"/>
      <c r="E13" s="322"/>
      <c r="F13" s="323"/>
      <c r="G13" s="322"/>
      <c r="H13" s="322"/>
      <c r="I13" s="322"/>
      <c r="J13" s="322"/>
      <c r="K13" s="322"/>
      <c r="L13" s="322"/>
      <c r="M13" s="323"/>
      <c r="N13" s="322"/>
      <c r="O13" s="322"/>
      <c r="P13" s="322"/>
      <c r="Q13" s="322">
        <v>2</v>
      </c>
      <c r="R13" s="322">
        <v>2</v>
      </c>
      <c r="S13" s="322">
        <v>2</v>
      </c>
      <c r="T13" s="322"/>
      <c r="U13" s="323"/>
      <c r="V13" s="322"/>
      <c r="W13" s="322"/>
      <c r="X13" s="322"/>
      <c r="Y13" s="322"/>
      <c r="Z13" s="322"/>
      <c r="AA13" s="322"/>
      <c r="AB13" s="322"/>
      <c r="AC13" s="322"/>
      <c r="AD13" s="322"/>
      <c r="AE13" s="322"/>
      <c r="AF13" s="322"/>
      <c r="AG13" s="322"/>
      <c r="AH13" s="322"/>
      <c r="AI13" s="322"/>
      <c r="AJ13" s="322">
        <v>2</v>
      </c>
      <c r="AK13" s="322"/>
      <c r="AL13" s="322"/>
      <c r="AM13" s="322"/>
      <c r="AN13" s="322"/>
      <c r="AO13" s="322"/>
      <c r="AP13" s="322"/>
      <c r="AQ13" s="322"/>
      <c r="AR13" s="322"/>
      <c r="AS13" s="322"/>
      <c r="AT13" s="322"/>
      <c r="AU13" s="322"/>
      <c r="AV13" s="322"/>
      <c r="AW13" s="322"/>
      <c r="AX13" s="322"/>
      <c r="AY13" s="322"/>
      <c r="AZ13" s="322"/>
      <c r="BA13" s="322"/>
      <c r="BB13" s="322"/>
      <c r="BC13" s="322"/>
      <c r="BD13" s="322"/>
      <c r="BE13" s="322"/>
      <c r="BF13" s="322"/>
      <c r="BG13" s="322"/>
      <c r="BH13" s="322"/>
      <c r="BI13" s="322"/>
      <c r="BJ13" s="322"/>
      <c r="BK13" s="322"/>
      <c r="BL13" s="322"/>
      <c r="BM13" s="322"/>
      <c r="BN13" s="322"/>
      <c r="BO13" s="322"/>
      <c r="BP13" s="322"/>
      <c r="BQ13" s="322"/>
      <c r="BR13" s="322"/>
      <c r="BS13" s="322"/>
      <c r="BT13" s="322"/>
      <c r="BU13" s="322"/>
      <c r="BV13" s="322"/>
      <c r="BW13" s="322"/>
      <c r="BX13" s="322"/>
      <c r="BY13" s="322"/>
      <c r="BZ13" s="322"/>
      <c r="CA13" s="322"/>
      <c r="CB13" s="322"/>
      <c r="CC13" s="322"/>
      <c r="CD13" s="322"/>
      <c r="CE13" s="322"/>
      <c r="CF13" s="322"/>
      <c r="CG13" s="324">
        <v>2</v>
      </c>
    </row>
    <row r="14" spans="1:85" x14ac:dyDescent="0.2">
      <c r="A14" s="321">
        <v>2010</v>
      </c>
      <c r="B14" s="322"/>
      <c r="C14" s="322"/>
      <c r="D14" s="322"/>
      <c r="E14" s="322">
        <v>2</v>
      </c>
      <c r="F14" s="323"/>
      <c r="G14" s="322">
        <v>2</v>
      </c>
      <c r="H14" s="322">
        <v>2</v>
      </c>
      <c r="I14" s="322"/>
      <c r="J14" s="322"/>
      <c r="K14" s="322"/>
      <c r="L14" s="322"/>
      <c r="M14" s="323"/>
      <c r="N14" s="322"/>
      <c r="O14" s="322"/>
      <c r="P14" s="322"/>
      <c r="Q14" s="322"/>
      <c r="R14" s="322"/>
      <c r="S14" s="322"/>
      <c r="T14" s="322"/>
      <c r="U14" s="323"/>
      <c r="V14" s="322"/>
      <c r="W14" s="322"/>
      <c r="X14" s="322"/>
      <c r="Y14" s="322"/>
      <c r="Z14" s="322"/>
      <c r="AA14" s="322"/>
      <c r="AB14" s="322"/>
      <c r="AC14" s="322"/>
      <c r="AD14" s="322"/>
      <c r="AE14" s="322"/>
      <c r="AF14" s="322"/>
      <c r="AG14" s="322"/>
      <c r="AH14" s="322"/>
      <c r="AI14" s="322"/>
      <c r="AJ14" s="322">
        <v>2</v>
      </c>
      <c r="AK14" s="322"/>
      <c r="AL14" s="322"/>
      <c r="AM14" s="322"/>
      <c r="AN14" s="322"/>
      <c r="AO14" s="322"/>
      <c r="AP14" s="322"/>
      <c r="AQ14" s="322"/>
      <c r="AR14" s="322"/>
      <c r="AS14" s="322"/>
      <c r="AT14" s="322"/>
      <c r="AU14" s="322"/>
      <c r="AV14" s="322"/>
      <c r="AW14" s="322"/>
      <c r="AX14" s="322"/>
      <c r="AY14" s="322"/>
      <c r="AZ14" s="322"/>
      <c r="BA14" s="322"/>
      <c r="BB14" s="322"/>
      <c r="BC14" s="322"/>
      <c r="BD14" s="322"/>
      <c r="BE14" s="322"/>
      <c r="BF14" s="322"/>
      <c r="BG14" s="322"/>
      <c r="BH14" s="322"/>
      <c r="BI14" s="322"/>
      <c r="BJ14" s="322"/>
      <c r="BK14" s="322"/>
      <c r="BL14" s="322"/>
      <c r="BM14" s="322"/>
      <c r="BN14" s="322"/>
      <c r="BO14" s="322"/>
      <c r="BP14" s="322"/>
      <c r="BQ14" s="322"/>
      <c r="BR14" s="322"/>
      <c r="BS14" s="322"/>
      <c r="BT14" s="322"/>
      <c r="BU14" s="322"/>
      <c r="BV14" s="322"/>
      <c r="BW14" s="322"/>
      <c r="BX14" s="322"/>
      <c r="BY14" s="322"/>
      <c r="BZ14" s="322"/>
      <c r="CA14" s="322"/>
      <c r="CB14" s="322"/>
      <c r="CC14" s="322"/>
      <c r="CD14" s="322"/>
      <c r="CE14" s="322"/>
      <c r="CF14" s="322"/>
      <c r="CG14" s="324">
        <v>2</v>
      </c>
    </row>
    <row r="15" spans="1:85" x14ac:dyDescent="0.2">
      <c r="A15" s="321">
        <v>2015</v>
      </c>
      <c r="B15" s="322"/>
      <c r="C15" s="322"/>
      <c r="D15" s="322"/>
      <c r="E15" s="322"/>
      <c r="F15" s="323"/>
      <c r="G15" s="322"/>
      <c r="H15" s="322"/>
      <c r="I15" s="322"/>
      <c r="J15" s="322"/>
      <c r="K15" s="322"/>
      <c r="L15" s="322">
        <v>1</v>
      </c>
      <c r="M15" s="323"/>
      <c r="N15" s="322">
        <v>1</v>
      </c>
      <c r="O15" s="322"/>
      <c r="P15" s="322"/>
      <c r="Q15" s="322"/>
      <c r="R15" s="322"/>
      <c r="S15" s="322">
        <v>1</v>
      </c>
      <c r="T15" s="322"/>
      <c r="U15" s="323"/>
      <c r="V15" s="322"/>
      <c r="W15" s="322"/>
      <c r="X15" s="322"/>
      <c r="Y15" s="322"/>
      <c r="Z15" s="322"/>
      <c r="AA15" s="322"/>
      <c r="AB15" s="322"/>
      <c r="AC15" s="322"/>
      <c r="AD15" s="322"/>
      <c r="AE15" s="322"/>
      <c r="AF15" s="322"/>
      <c r="AG15" s="322"/>
      <c r="AH15" s="322"/>
      <c r="AI15" s="322"/>
      <c r="AJ15" s="322">
        <v>1</v>
      </c>
      <c r="AK15" s="322"/>
      <c r="AL15" s="322"/>
      <c r="AM15" s="322"/>
      <c r="AN15" s="322"/>
      <c r="AO15" s="322"/>
      <c r="AP15" s="322"/>
      <c r="AQ15" s="322"/>
      <c r="AR15" s="322"/>
      <c r="AS15" s="322"/>
      <c r="AT15" s="322"/>
      <c r="AU15" s="322"/>
      <c r="AV15" s="322"/>
      <c r="AW15" s="322"/>
      <c r="AX15" s="322"/>
      <c r="AY15" s="322"/>
      <c r="AZ15" s="322"/>
      <c r="BA15" s="322"/>
      <c r="BB15" s="322"/>
      <c r="BC15" s="322"/>
      <c r="BD15" s="322"/>
      <c r="BE15" s="322"/>
      <c r="BF15" s="322"/>
      <c r="BG15" s="322"/>
      <c r="BH15" s="322"/>
      <c r="BI15" s="322"/>
      <c r="BJ15" s="322"/>
      <c r="BK15" s="322"/>
      <c r="BL15" s="322"/>
      <c r="BM15" s="322"/>
      <c r="BN15" s="322"/>
      <c r="BO15" s="322"/>
      <c r="BP15" s="322"/>
      <c r="BQ15" s="322"/>
      <c r="BR15" s="322"/>
      <c r="BS15" s="322"/>
      <c r="BT15" s="322"/>
      <c r="BU15" s="322"/>
      <c r="BV15" s="322"/>
      <c r="BW15" s="322"/>
      <c r="BX15" s="322"/>
      <c r="BY15" s="322"/>
      <c r="BZ15" s="322"/>
      <c r="CA15" s="322"/>
      <c r="CB15" s="322"/>
      <c r="CC15" s="322"/>
      <c r="CD15" s="322"/>
      <c r="CE15" s="322"/>
      <c r="CF15" s="322"/>
      <c r="CG15" s="324">
        <v>1</v>
      </c>
    </row>
    <row r="16" spans="1:85" x14ac:dyDescent="0.2">
      <c r="A16" s="321">
        <v>2025</v>
      </c>
      <c r="B16" s="322"/>
      <c r="C16" s="322"/>
      <c r="D16" s="322"/>
      <c r="E16" s="322"/>
      <c r="F16" s="323"/>
      <c r="G16" s="322"/>
      <c r="H16" s="322"/>
      <c r="I16" s="322">
        <v>6</v>
      </c>
      <c r="J16" s="322">
        <v>6</v>
      </c>
      <c r="K16" s="322">
        <v>6</v>
      </c>
      <c r="L16" s="322"/>
      <c r="M16" s="323"/>
      <c r="N16" s="322"/>
      <c r="O16" s="322"/>
      <c r="P16" s="322"/>
      <c r="Q16" s="322"/>
      <c r="R16" s="322"/>
      <c r="S16" s="322"/>
      <c r="T16" s="322"/>
      <c r="U16" s="323"/>
      <c r="V16" s="322"/>
      <c r="W16" s="322"/>
      <c r="X16" s="322"/>
      <c r="Y16" s="322"/>
      <c r="Z16" s="322"/>
      <c r="AA16" s="322"/>
      <c r="AB16" s="322"/>
      <c r="AC16" s="322"/>
      <c r="AD16" s="322"/>
      <c r="AE16" s="322"/>
      <c r="AF16" s="322"/>
      <c r="AG16" s="322"/>
      <c r="AH16" s="322"/>
      <c r="AI16" s="322"/>
      <c r="AJ16" s="322">
        <v>6</v>
      </c>
      <c r="AK16" s="322"/>
      <c r="AL16" s="322"/>
      <c r="AM16" s="322"/>
      <c r="AN16" s="322"/>
      <c r="AO16" s="322"/>
      <c r="AP16" s="322"/>
      <c r="AQ16" s="322"/>
      <c r="AR16" s="322"/>
      <c r="AS16" s="322"/>
      <c r="AT16" s="322"/>
      <c r="AU16" s="322"/>
      <c r="AV16" s="322"/>
      <c r="AW16" s="322"/>
      <c r="AX16" s="322"/>
      <c r="AY16" s="322"/>
      <c r="AZ16" s="322"/>
      <c r="BA16" s="322"/>
      <c r="BB16" s="322"/>
      <c r="BC16" s="322"/>
      <c r="BD16" s="322"/>
      <c r="BE16" s="322"/>
      <c r="BF16" s="322"/>
      <c r="BG16" s="322"/>
      <c r="BH16" s="322"/>
      <c r="BI16" s="322"/>
      <c r="BJ16" s="322"/>
      <c r="BK16" s="322"/>
      <c r="BL16" s="322"/>
      <c r="BM16" s="322"/>
      <c r="BN16" s="322"/>
      <c r="BO16" s="322"/>
      <c r="BP16" s="322"/>
      <c r="BQ16" s="322"/>
      <c r="BR16" s="322"/>
      <c r="BS16" s="322"/>
      <c r="BT16" s="322"/>
      <c r="BU16" s="322"/>
      <c r="BV16" s="322"/>
      <c r="BW16" s="322"/>
      <c r="BX16" s="322"/>
      <c r="BY16" s="322"/>
      <c r="BZ16" s="322"/>
      <c r="CA16" s="322"/>
      <c r="CB16" s="322"/>
      <c r="CC16" s="322"/>
      <c r="CD16" s="322"/>
      <c r="CE16" s="322"/>
      <c r="CF16" s="322"/>
      <c r="CG16" s="324">
        <v>6</v>
      </c>
    </row>
    <row r="17" spans="1:85" x14ac:dyDescent="0.2">
      <c r="A17" s="321">
        <v>2030</v>
      </c>
      <c r="B17" s="322"/>
      <c r="C17" s="322"/>
      <c r="D17" s="322"/>
      <c r="E17" s="322"/>
      <c r="F17" s="323"/>
      <c r="G17" s="322"/>
      <c r="H17" s="322"/>
      <c r="I17" s="322">
        <v>1</v>
      </c>
      <c r="J17" s="322">
        <v>1</v>
      </c>
      <c r="K17" s="322">
        <v>1</v>
      </c>
      <c r="L17" s="322"/>
      <c r="M17" s="323"/>
      <c r="N17" s="322"/>
      <c r="O17" s="322"/>
      <c r="P17" s="322"/>
      <c r="Q17" s="322"/>
      <c r="R17" s="322"/>
      <c r="S17" s="322"/>
      <c r="T17" s="322"/>
      <c r="U17" s="323"/>
      <c r="V17" s="322"/>
      <c r="W17" s="322"/>
      <c r="X17" s="322"/>
      <c r="Y17" s="322"/>
      <c r="Z17" s="322"/>
      <c r="AA17" s="322"/>
      <c r="AB17" s="322"/>
      <c r="AC17" s="322"/>
      <c r="AD17" s="322"/>
      <c r="AE17" s="322"/>
      <c r="AF17" s="322"/>
      <c r="AG17" s="322"/>
      <c r="AH17" s="322"/>
      <c r="AI17" s="322"/>
      <c r="AJ17" s="322">
        <v>1</v>
      </c>
      <c r="AK17" s="322"/>
      <c r="AL17" s="322"/>
      <c r="AM17" s="322"/>
      <c r="AN17" s="322"/>
      <c r="AO17" s="322"/>
      <c r="AP17" s="322"/>
      <c r="AQ17" s="322"/>
      <c r="AR17" s="322"/>
      <c r="AS17" s="322"/>
      <c r="AT17" s="322"/>
      <c r="AU17" s="322"/>
      <c r="AV17" s="322"/>
      <c r="AW17" s="322"/>
      <c r="AX17" s="322"/>
      <c r="AY17" s="322"/>
      <c r="AZ17" s="322"/>
      <c r="BA17" s="322"/>
      <c r="BB17" s="322"/>
      <c r="BC17" s="322"/>
      <c r="BD17" s="322"/>
      <c r="BE17" s="322"/>
      <c r="BF17" s="322"/>
      <c r="BG17" s="322"/>
      <c r="BH17" s="322"/>
      <c r="BI17" s="322"/>
      <c r="BJ17" s="322"/>
      <c r="BK17" s="322"/>
      <c r="BL17" s="322"/>
      <c r="BM17" s="322"/>
      <c r="BN17" s="322"/>
      <c r="BO17" s="322"/>
      <c r="BP17" s="322"/>
      <c r="BQ17" s="322"/>
      <c r="BR17" s="322"/>
      <c r="BS17" s="322"/>
      <c r="BT17" s="322"/>
      <c r="BU17" s="322"/>
      <c r="BV17" s="322"/>
      <c r="BW17" s="322"/>
      <c r="BX17" s="322"/>
      <c r="BY17" s="322"/>
      <c r="BZ17" s="322"/>
      <c r="CA17" s="322"/>
      <c r="CB17" s="322"/>
      <c r="CC17" s="322"/>
      <c r="CD17" s="322"/>
      <c r="CE17" s="322"/>
      <c r="CF17" s="322"/>
      <c r="CG17" s="324">
        <v>1</v>
      </c>
    </row>
    <row r="18" spans="1:85" x14ac:dyDescent="0.2">
      <c r="A18" s="321">
        <v>2055</v>
      </c>
      <c r="B18" s="322"/>
      <c r="C18" s="322"/>
      <c r="D18" s="322"/>
      <c r="E18" s="322"/>
      <c r="F18" s="323"/>
      <c r="G18" s="322"/>
      <c r="H18" s="322"/>
      <c r="I18" s="322"/>
      <c r="J18" s="322"/>
      <c r="K18" s="322"/>
      <c r="L18" s="322"/>
      <c r="M18" s="323"/>
      <c r="N18" s="322"/>
      <c r="O18" s="322"/>
      <c r="P18" s="322"/>
      <c r="Q18" s="322"/>
      <c r="R18" s="322"/>
      <c r="S18" s="322"/>
      <c r="T18" s="322">
        <v>3</v>
      </c>
      <c r="U18" s="323"/>
      <c r="V18" s="322">
        <v>3</v>
      </c>
      <c r="W18" s="322">
        <v>3</v>
      </c>
      <c r="X18" s="322"/>
      <c r="Y18" s="322"/>
      <c r="Z18" s="322"/>
      <c r="AA18" s="322"/>
      <c r="AB18" s="322"/>
      <c r="AC18" s="322"/>
      <c r="AD18" s="322"/>
      <c r="AE18" s="322"/>
      <c r="AF18" s="322"/>
      <c r="AG18" s="322"/>
      <c r="AH18" s="322"/>
      <c r="AI18" s="322"/>
      <c r="AJ18" s="322">
        <v>3</v>
      </c>
      <c r="AK18" s="322"/>
      <c r="AL18" s="322"/>
      <c r="AM18" s="322"/>
      <c r="AN18" s="322"/>
      <c r="AO18" s="322"/>
      <c r="AP18" s="322"/>
      <c r="AQ18" s="322"/>
      <c r="AR18" s="322"/>
      <c r="AS18" s="322"/>
      <c r="AT18" s="322"/>
      <c r="AU18" s="322"/>
      <c r="AV18" s="322"/>
      <c r="AW18" s="322"/>
      <c r="AX18" s="322"/>
      <c r="AY18" s="322"/>
      <c r="AZ18" s="322"/>
      <c r="BA18" s="322"/>
      <c r="BB18" s="322"/>
      <c r="BC18" s="322"/>
      <c r="BD18" s="322"/>
      <c r="BE18" s="322"/>
      <c r="BF18" s="322"/>
      <c r="BG18" s="322"/>
      <c r="BH18" s="322"/>
      <c r="BI18" s="322"/>
      <c r="BJ18" s="322"/>
      <c r="BK18" s="322"/>
      <c r="BL18" s="322"/>
      <c r="BM18" s="322"/>
      <c r="BN18" s="322"/>
      <c r="BO18" s="322"/>
      <c r="BP18" s="322"/>
      <c r="BQ18" s="322"/>
      <c r="BR18" s="322"/>
      <c r="BS18" s="322"/>
      <c r="BT18" s="322"/>
      <c r="BU18" s="322"/>
      <c r="BV18" s="322"/>
      <c r="BW18" s="322"/>
      <c r="BX18" s="322"/>
      <c r="BY18" s="322"/>
      <c r="BZ18" s="322"/>
      <c r="CA18" s="322"/>
      <c r="CB18" s="322"/>
      <c r="CC18" s="322"/>
      <c r="CD18" s="322"/>
      <c r="CE18" s="322"/>
      <c r="CF18" s="322"/>
      <c r="CG18" s="324">
        <v>3</v>
      </c>
    </row>
    <row r="19" spans="1:85" x14ac:dyDescent="0.2">
      <c r="A19" s="321">
        <v>2076</v>
      </c>
      <c r="B19" s="322"/>
      <c r="C19" s="322"/>
      <c r="D19" s="322"/>
      <c r="E19" s="322"/>
      <c r="F19" s="323"/>
      <c r="G19" s="322"/>
      <c r="H19" s="322"/>
      <c r="I19" s="322"/>
      <c r="J19" s="322"/>
      <c r="K19" s="322"/>
      <c r="L19" s="322"/>
      <c r="M19" s="323">
        <v>6</v>
      </c>
      <c r="N19" s="322">
        <v>6</v>
      </c>
      <c r="O19" s="322"/>
      <c r="P19" s="322"/>
      <c r="Q19" s="322"/>
      <c r="R19" s="322"/>
      <c r="S19" s="322">
        <v>6</v>
      </c>
      <c r="T19" s="322"/>
      <c r="U19" s="323"/>
      <c r="V19" s="322"/>
      <c r="W19" s="322"/>
      <c r="X19" s="322"/>
      <c r="Y19" s="322"/>
      <c r="Z19" s="322"/>
      <c r="AA19" s="322"/>
      <c r="AB19" s="322"/>
      <c r="AC19" s="322"/>
      <c r="AD19" s="322"/>
      <c r="AE19" s="322"/>
      <c r="AF19" s="322"/>
      <c r="AG19" s="322"/>
      <c r="AH19" s="322"/>
      <c r="AI19" s="322"/>
      <c r="AJ19" s="322">
        <v>6</v>
      </c>
      <c r="AK19" s="322"/>
      <c r="AL19" s="322"/>
      <c r="AM19" s="322"/>
      <c r="AN19" s="322"/>
      <c r="AO19" s="322"/>
      <c r="AP19" s="322"/>
      <c r="AQ19" s="322"/>
      <c r="AR19" s="322"/>
      <c r="AS19" s="322"/>
      <c r="AT19" s="322"/>
      <c r="AU19" s="322"/>
      <c r="AV19" s="322"/>
      <c r="AW19" s="322"/>
      <c r="AX19" s="322"/>
      <c r="AY19" s="322"/>
      <c r="AZ19" s="322"/>
      <c r="BA19" s="322"/>
      <c r="BB19" s="322"/>
      <c r="BC19" s="322"/>
      <c r="BD19" s="322"/>
      <c r="BE19" s="322"/>
      <c r="BF19" s="322"/>
      <c r="BG19" s="322"/>
      <c r="BH19" s="322"/>
      <c r="BI19" s="322"/>
      <c r="BJ19" s="322"/>
      <c r="BK19" s="322"/>
      <c r="BL19" s="322"/>
      <c r="BM19" s="322"/>
      <c r="BN19" s="322"/>
      <c r="BO19" s="322"/>
      <c r="BP19" s="322"/>
      <c r="BQ19" s="322"/>
      <c r="BR19" s="322"/>
      <c r="BS19" s="322"/>
      <c r="BT19" s="322"/>
      <c r="BU19" s="322"/>
      <c r="BV19" s="322"/>
      <c r="BW19" s="322"/>
      <c r="BX19" s="322"/>
      <c r="BY19" s="322"/>
      <c r="BZ19" s="322"/>
      <c r="CA19" s="322"/>
      <c r="CB19" s="322"/>
      <c r="CC19" s="322"/>
      <c r="CD19" s="322"/>
      <c r="CE19" s="322"/>
      <c r="CF19" s="322"/>
      <c r="CG19" s="324">
        <v>6</v>
      </c>
    </row>
    <row r="20" spans="1:85" x14ac:dyDescent="0.2">
      <c r="A20" s="321">
        <v>2083</v>
      </c>
      <c r="B20" s="322"/>
      <c r="C20" s="322"/>
      <c r="D20" s="322"/>
      <c r="E20" s="322"/>
      <c r="F20" s="323"/>
      <c r="G20" s="322"/>
      <c r="H20" s="322"/>
      <c r="I20" s="322"/>
      <c r="J20" s="322"/>
      <c r="K20" s="322"/>
      <c r="L20" s="322"/>
      <c r="M20" s="323"/>
      <c r="N20" s="322"/>
      <c r="O20" s="322"/>
      <c r="P20" s="322"/>
      <c r="Q20" s="322"/>
      <c r="R20" s="322"/>
      <c r="S20" s="322"/>
      <c r="T20" s="322">
        <v>28</v>
      </c>
      <c r="U20" s="323"/>
      <c r="V20" s="322">
        <v>28</v>
      </c>
      <c r="W20" s="322">
        <v>28</v>
      </c>
      <c r="X20" s="322"/>
      <c r="Y20" s="322"/>
      <c r="Z20" s="322"/>
      <c r="AA20" s="322"/>
      <c r="AB20" s="322"/>
      <c r="AC20" s="322"/>
      <c r="AD20" s="322"/>
      <c r="AE20" s="322"/>
      <c r="AF20" s="322"/>
      <c r="AG20" s="322"/>
      <c r="AH20" s="322"/>
      <c r="AI20" s="322"/>
      <c r="AJ20" s="322">
        <v>28</v>
      </c>
      <c r="AK20" s="322"/>
      <c r="AL20" s="322"/>
      <c r="AM20" s="322"/>
      <c r="AN20" s="322"/>
      <c r="AO20" s="322"/>
      <c r="AP20" s="322"/>
      <c r="AQ20" s="322"/>
      <c r="AR20" s="322"/>
      <c r="AS20" s="322"/>
      <c r="AT20" s="322"/>
      <c r="AU20" s="322"/>
      <c r="AV20" s="322"/>
      <c r="AW20" s="322"/>
      <c r="AX20" s="322"/>
      <c r="AY20" s="322"/>
      <c r="AZ20" s="322"/>
      <c r="BA20" s="322"/>
      <c r="BB20" s="322"/>
      <c r="BC20" s="322"/>
      <c r="BD20" s="322"/>
      <c r="BE20" s="322"/>
      <c r="BF20" s="322"/>
      <c r="BG20" s="322"/>
      <c r="BH20" s="322"/>
      <c r="BI20" s="322"/>
      <c r="BJ20" s="322"/>
      <c r="BK20" s="322"/>
      <c r="BL20" s="322"/>
      <c r="BM20" s="322"/>
      <c r="BN20" s="322"/>
      <c r="BO20" s="322"/>
      <c r="BP20" s="322"/>
      <c r="BQ20" s="322"/>
      <c r="BR20" s="322"/>
      <c r="BS20" s="322"/>
      <c r="BT20" s="322"/>
      <c r="BU20" s="322"/>
      <c r="BV20" s="322"/>
      <c r="BW20" s="322"/>
      <c r="BX20" s="322"/>
      <c r="BY20" s="322"/>
      <c r="BZ20" s="322"/>
      <c r="CA20" s="322"/>
      <c r="CB20" s="322"/>
      <c r="CC20" s="322"/>
      <c r="CD20" s="322"/>
      <c r="CE20" s="322"/>
      <c r="CF20" s="322"/>
      <c r="CG20" s="324">
        <v>28</v>
      </c>
    </row>
    <row r="21" spans="1:85" x14ac:dyDescent="0.2">
      <c r="A21" s="321">
        <v>2086</v>
      </c>
      <c r="B21" s="322"/>
      <c r="C21" s="322"/>
      <c r="D21" s="322"/>
      <c r="E21" s="322"/>
      <c r="F21" s="323"/>
      <c r="G21" s="322"/>
      <c r="H21" s="322"/>
      <c r="I21" s="322"/>
      <c r="J21" s="322"/>
      <c r="K21" s="322"/>
      <c r="L21" s="322"/>
      <c r="M21" s="323"/>
      <c r="N21" s="322"/>
      <c r="O21" s="322"/>
      <c r="P21" s="322"/>
      <c r="Q21" s="322"/>
      <c r="R21" s="322"/>
      <c r="S21" s="322"/>
      <c r="T21" s="322"/>
      <c r="U21" s="323"/>
      <c r="V21" s="322"/>
      <c r="W21" s="322"/>
      <c r="X21" s="322"/>
      <c r="Y21" s="322"/>
      <c r="Z21" s="322">
        <v>1</v>
      </c>
      <c r="AA21" s="322">
        <v>1</v>
      </c>
      <c r="AB21" s="322"/>
      <c r="AC21" s="322"/>
      <c r="AD21" s="322"/>
      <c r="AE21" s="322"/>
      <c r="AF21" s="322">
        <v>1</v>
      </c>
      <c r="AG21" s="322"/>
      <c r="AH21" s="322"/>
      <c r="AI21" s="322"/>
      <c r="AJ21" s="322">
        <v>1</v>
      </c>
      <c r="AK21" s="322"/>
      <c r="AL21" s="322"/>
      <c r="AM21" s="322"/>
      <c r="AN21" s="322"/>
      <c r="AO21" s="322"/>
      <c r="AP21" s="322"/>
      <c r="AQ21" s="322"/>
      <c r="AR21" s="322"/>
      <c r="AS21" s="322"/>
      <c r="AT21" s="322"/>
      <c r="AU21" s="322"/>
      <c r="AV21" s="322"/>
      <c r="AW21" s="322"/>
      <c r="AX21" s="322"/>
      <c r="AY21" s="322"/>
      <c r="AZ21" s="322"/>
      <c r="BA21" s="322"/>
      <c r="BB21" s="322"/>
      <c r="BC21" s="322"/>
      <c r="BD21" s="322"/>
      <c r="BE21" s="322"/>
      <c r="BF21" s="322"/>
      <c r="BG21" s="322"/>
      <c r="BH21" s="322"/>
      <c r="BI21" s="322"/>
      <c r="BJ21" s="322"/>
      <c r="BK21" s="322"/>
      <c r="BL21" s="322"/>
      <c r="BM21" s="322"/>
      <c r="BN21" s="322"/>
      <c r="BO21" s="322"/>
      <c r="BP21" s="322"/>
      <c r="BQ21" s="322"/>
      <c r="BR21" s="322"/>
      <c r="BS21" s="322"/>
      <c r="BT21" s="322"/>
      <c r="BU21" s="322"/>
      <c r="BV21" s="322"/>
      <c r="BW21" s="322"/>
      <c r="BX21" s="322"/>
      <c r="BY21" s="322"/>
      <c r="BZ21" s="322"/>
      <c r="CA21" s="322"/>
      <c r="CB21" s="322"/>
      <c r="CC21" s="322"/>
      <c r="CD21" s="322"/>
      <c r="CE21" s="322"/>
      <c r="CF21" s="322"/>
      <c r="CG21" s="324">
        <v>1</v>
      </c>
    </row>
    <row r="22" spans="1:85" x14ac:dyDescent="0.2">
      <c r="A22" s="321">
        <v>3001</v>
      </c>
      <c r="B22" s="322"/>
      <c r="C22" s="322"/>
      <c r="D22" s="322"/>
      <c r="E22" s="322"/>
      <c r="F22" s="323"/>
      <c r="G22" s="322"/>
      <c r="H22" s="322"/>
      <c r="I22" s="322"/>
      <c r="J22" s="322"/>
      <c r="K22" s="322"/>
      <c r="L22" s="322"/>
      <c r="M22" s="323"/>
      <c r="N22" s="322"/>
      <c r="O22" s="322"/>
      <c r="P22" s="322"/>
      <c r="Q22" s="322"/>
      <c r="R22" s="322"/>
      <c r="S22" s="322"/>
      <c r="T22" s="322"/>
      <c r="U22" s="323"/>
      <c r="V22" s="322"/>
      <c r="W22" s="322"/>
      <c r="X22" s="322"/>
      <c r="Y22" s="322"/>
      <c r="Z22" s="322"/>
      <c r="AA22" s="322"/>
      <c r="AB22" s="322"/>
      <c r="AC22" s="322"/>
      <c r="AD22" s="322"/>
      <c r="AE22" s="322"/>
      <c r="AF22" s="322"/>
      <c r="AG22" s="322"/>
      <c r="AH22" s="322"/>
      <c r="AI22" s="322"/>
      <c r="AJ22" s="322"/>
      <c r="AK22" s="322"/>
      <c r="AL22" s="322"/>
      <c r="AM22" s="322"/>
      <c r="AN22" s="322"/>
      <c r="AO22" s="322"/>
      <c r="AP22" s="322"/>
      <c r="AQ22" s="322"/>
      <c r="AR22" s="322"/>
      <c r="AS22" s="322"/>
      <c r="AT22" s="322"/>
      <c r="AU22" s="322"/>
      <c r="AV22" s="322"/>
      <c r="AW22" s="322"/>
      <c r="AX22" s="322"/>
      <c r="AY22" s="322"/>
      <c r="AZ22" s="322"/>
      <c r="BA22" s="322"/>
      <c r="BB22" s="322"/>
      <c r="BC22" s="322"/>
      <c r="BD22" s="322"/>
      <c r="BE22" s="322"/>
      <c r="BF22" s="322"/>
      <c r="BG22" s="322"/>
      <c r="BH22" s="322"/>
      <c r="BI22" s="322"/>
      <c r="BJ22" s="322"/>
      <c r="BK22" s="322"/>
      <c r="BL22" s="322"/>
      <c r="BM22" s="322"/>
      <c r="BN22" s="322"/>
      <c r="BO22" s="322"/>
      <c r="BP22" s="322"/>
      <c r="BQ22" s="322"/>
      <c r="BR22" s="322">
        <v>117</v>
      </c>
      <c r="BS22" s="322">
        <v>117</v>
      </c>
      <c r="BT22" s="322">
        <v>117</v>
      </c>
      <c r="BU22" s="322"/>
      <c r="BV22" s="322"/>
      <c r="BW22" s="322"/>
      <c r="BX22" s="322"/>
      <c r="BY22" s="322"/>
      <c r="BZ22" s="322"/>
      <c r="CA22" s="322"/>
      <c r="CB22" s="322">
        <v>117</v>
      </c>
      <c r="CC22" s="322"/>
      <c r="CD22" s="322"/>
      <c r="CE22" s="322"/>
      <c r="CF22" s="322"/>
      <c r="CG22" s="324">
        <v>117</v>
      </c>
    </row>
    <row r="23" spans="1:85" x14ac:dyDescent="0.2">
      <c r="A23" s="321">
        <v>3002</v>
      </c>
      <c r="B23" s="322"/>
      <c r="C23" s="322"/>
      <c r="D23" s="322"/>
      <c r="E23" s="322"/>
      <c r="F23" s="323"/>
      <c r="G23" s="322"/>
      <c r="H23" s="322"/>
      <c r="I23" s="322"/>
      <c r="J23" s="322"/>
      <c r="K23" s="322"/>
      <c r="L23" s="322"/>
      <c r="M23" s="323"/>
      <c r="N23" s="322"/>
      <c r="O23" s="322"/>
      <c r="P23" s="322"/>
      <c r="Q23" s="322"/>
      <c r="R23" s="322"/>
      <c r="S23" s="322"/>
      <c r="T23" s="322"/>
      <c r="U23" s="323"/>
      <c r="V23" s="322"/>
      <c r="W23" s="322"/>
      <c r="X23" s="322"/>
      <c r="Y23" s="322"/>
      <c r="Z23" s="322"/>
      <c r="AA23" s="322"/>
      <c r="AB23" s="322"/>
      <c r="AC23" s="322"/>
      <c r="AD23" s="322"/>
      <c r="AE23" s="322"/>
      <c r="AF23" s="322"/>
      <c r="AG23" s="322"/>
      <c r="AH23" s="322"/>
      <c r="AI23" s="322"/>
      <c r="AJ23" s="322"/>
      <c r="AK23" s="322"/>
      <c r="AL23" s="322"/>
      <c r="AM23" s="322"/>
      <c r="AN23" s="322"/>
      <c r="AO23" s="322"/>
      <c r="AP23" s="322"/>
      <c r="AQ23" s="322"/>
      <c r="AR23" s="322"/>
      <c r="AS23" s="322"/>
      <c r="AT23" s="322"/>
      <c r="AU23" s="322"/>
      <c r="AV23" s="322"/>
      <c r="AW23" s="322"/>
      <c r="AX23" s="322"/>
      <c r="AY23" s="322"/>
      <c r="AZ23" s="322"/>
      <c r="BA23" s="322"/>
      <c r="BB23" s="322"/>
      <c r="BC23" s="322"/>
      <c r="BD23" s="322"/>
      <c r="BE23" s="322"/>
      <c r="BF23" s="322"/>
      <c r="BG23" s="322"/>
      <c r="BH23" s="322"/>
      <c r="BI23" s="322"/>
      <c r="BJ23" s="322"/>
      <c r="BK23" s="322"/>
      <c r="BL23" s="322"/>
      <c r="BM23" s="322"/>
      <c r="BN23" s="322"/>
      <c r="BO23" s="322"/>
      <c r="BP23" s="322"/>
      <c r="BQ23" s="322"/>
      <c r="BR23" s="322"/>
      <c r="BS23" s="322"/>
      <c r="BT23" s="322"/>
      <c r="BU23" s="322"/>
      <c r="BV23" s="322"/>
      <c r="BW23" s="322"/>
      <c r="BX23" s="322"/>
      <c r="BY23" s="322">
        <v>9</v>
      </c>
      <c r="BZ23" s="322">
        <v>9</v>
      </c>
      <c r="CA23" s="322">
        <v>9</v>
      </c>
      <c r="CB23" s="322">
        <v>9</v>
      </c>
      <c r="CC23" s="322"/>
      <c r="CD23" s="322"/>
      <c r="CE23" s="322"/>
      <c r="CF23" s="322"/>
      <c r="CG23" s="324">
        <v>9</v>
      </c>
    </row>
    <row r="24" spans="1:85" x14ac:dyDescent="0.2">
      <c r="A24" s="321">
        <v>3004</v>
      </c>
      <c r="B24" s="322"/>
      <c r="C24" s="322"/>
      <c r="D24" s="322"/>
      <c r="E24" s="322"/>
      <c r="F24" s="323"/>
      <c r="G24" s="322"/>
      <c r="H24" s="322"/>
      <c r="I24" s="322"/>
      <c r="J24" s="322"/>
      <c r="K24" s="322"/>
      <c r="L24" s="322"/>
      <c r="M24" s="323"/>
      <c r="N24" s="322"/>
      <c r="O24" s="322"/>
      <c r="P24" s="322"/>
      <c r="Q24" s="322"/>
      <c r="R24" s="322"/>
      <c r="S24" s="322"/>
      <c r="T24" s="322"/>
      <c r="U24" s="323"/>
      <c r="V24" s="322"/>
      <c r="W24" s="322"/>
      <c r="X24" s="322"/>
      <c r="Y24" s="322"/>
      <c r="Z24" s="322"/>
      <c r="AA24" s="322"/>
      <c r="AB24" s="322">
        <v>58</v>
      </c>
      <c r="AC24" s="322">
        <v>58</v>
      </c>
      <c r="AD24" s="322"/>
      <c r="AE24" s="322"/>
      <c r="AF24" s="322">
        <v>58</v>
      </c>
      <c r="AG24" s="322"/>
      <c r="AH24" s="322"/>
      <c r="AI24" s="322"/>
      <c r="AJ24" s="322">
        <v>58</v>
      </c>
      <c r="AK24" s="322"/>
      <c r="AL24" s="322"/>
      <c r="AM24" s="322"/>
      <c r="AN24" s="322"/>
      <c r="AO24" s="322"/>
      <c r="AP24" s="322"/>
      <c r="AQ24" s="322"/>
      <c r="AR24" s="322"/>
      <c r="AS24" s="322"/>
      <c r="AT24" s="322"/>
      <c r="AU24" s="322"/>
      <c r="AV24" s="322"/>
      <c r="AW24" s="322"/>
      <c r="AX24" s="322"/>
      <c r="AY24" s="322"/>
      <c r="AZ24" s="322"/>
      <c r="BA24" s="322"/>
      <c r="BB24" s="322"/>
      <c r="BC24" s="322"/>
      <c r="BD24" s="322"/>
      <c r="BE24" s="322"/>
      <c r="BF24" s="322"/>
      <c r="BG24" s="322"/>
      <c r="BH24" s="322"/>
      <c r="BI24" s="322"/>
      <c r="BJ24" s="322"/>
      <c r="BK24" s="322"/>
      <c r="BL24" s="322"/>
      <c r="BM24" s="322"/>
      <c r="BN24" s="322"/>
      <c r="BO24" s="322"/>
      <c r="BP24" s="322"/>
      <c r="BQ24" s="322"/>
      <c r="BR24" s="322"/>
      <c r="BS24" s="322"/>
      <c r="BT24" s="322"/>
      <c r="BU24" s="322"/>
      <c r="BV24" s="322"/>
      <c r="BW24" s="322"/>
      <c r="BX24" s="322"/>
      <c r="BY24" s="322"/>
      <c r="BZ24" s="322"/>
      <c r="CA24" s="322"/>
      <c r="CB24" s="322"/>
      <c r="CC24" s="322"/>
      <c r="CD24" s="322"/>
      <c r="CE24" s="322"/>
      <c r="CF24" s="322"/>
      <c r="CG24" s="324">
        <v>58</v>
      </c>
    </row>
    <row r="25" spans="1:85" x14ac:dyDescent="0.2">
      <c r="A25" s="321">
        <v>3007</v>
      </c>
      <c r="B25" s="322"/>
      <c r="C25" s="322"/>
      <c r="D25" s="322"/>
      <c r="E25" s="322"/>
      <c r="F25" s="323"/>
      <c r="G25" s="322"/>
      <c r="H25" s="322"/>
      <c r="I25" s="322"/>
      <c r="J25" s="322"/>
      <c r="K25" s="322"/>
      <c r="L25" s="322"/>
      <c r="M25" s="323"/>
      <c r="N25" s="322"/>
      <c r="O25" s="322"/>
      <c r="P25" s="322"/>
      <c r="Q25" s="322"/>
      <c r="R25" s="322"/>
      <c r="S25" s="322"/>
      <c r="T25" s="322"/>
      <c r="U25" s="323"/>
      <c r="V25" s="322"/>
      <c r="W25" s="322"/>
      <c r="X25" s="322"/>
      <c r="Y25" s="322"/>
      <c r="Z25" s="322"/>
      <c r="AA25" s="322"/>
      <c r="AB25" s="322">
        <v>2</v>
      </c>
      <c r="AC25" s="322">
        <v>2</v>
      </c>
      <c r="AD25" s="322"/>
      <c r="AE25" s="322"/>
      <c r="AF25" s="322">
        <v>2</v>
      </c>
      <c r="AG25" s="322"/>
      <c r="AH25" s="322"/>
      <c r="AI25" s="322"/>
      <c r="AJ25" s="322">
        <v>2</v>
      </c>
      <c r="AK25" s="322"/>
      <c r="AL25" s="322"/>
      <c r="AM25" s="322"/>
      <c r="AN25" s="322"/>
      <c r="AO25" s="322"/>
      <c r="AP25" s="322"/>
      <c r="AQ25" s="322"/>
      <c r="AR25" s="322"/>
      <c r="AS25" s="322"/>
      <c r="AT25" s="322"/>
      <c r="AU25" s="322"/>
      <c r="AV25" s="322"/>
      <c r="AW25" s="322"/>
      <c r="AX25" s="322"/>
      <c r="AY25" s="322"/>
      <c r="AZ25" s="322"/>
      <c r="BA25" s="322"/>
      <c r="BB25" s="322"/>
      <c r="BC25" s="322"/>
      <c r="BD25" s="322"/>
      <c r="BE25" s="322"/>
      <c r="BF25" s="322"/>
      <c r="BG25" s="322"/>
      <c r="BH25" s="322"/>
      <c r="BI25" s="322"/>
      <c r="BJ25" s="322"/>
      <c r="BK25" s="322"/>
      <c r="BL25" s="322"/>
      <c r="BM25" s="322"/>
      <c r="BN25" s="322"/>
      <c r="BO25" s="322"/>
      <c r="BP25" s="322"/>
      <c r="BQ25" s="322"/>
      <c r="BR25" s="322"/>
      <c r="BS25" s="322"/>
      <c r="BT25" s="322"/>
      <c r="BU25" s="322"/>
      <c r="BV25" s="322"/>
      <c r="BW25" s="322"/>
      <c r="BX25" s="322"/>
      <c r="BY25" s="322"/>
      <c r="BZ25" s="322"/>
      <c r="CA25" s="322"/>
      <c r="CB25" s="322"/>
      <c r="CC25" s="322"/>
      <c r="CD25" s="322"/>
      <c r="CE25" s="322"/>
      <c r="CF25" s="322"/>
      <c r="CG25" s="324">
        <v>2</v>
      </c>
    </row>
    <row r="26" spans="1:85" x14ac:dyDescent="0.2">
      <c r="A26" s="321">
        <v>3010</v>
      </c>
      <c r="B26" s="322"/>
      <c r="C26" s="322"/>
      <c r="D26" s="322"/>
      <c r="E26" s="322"/>
      <c r="F26" s="323"/>
      <c r="G26" s="322"/>
      <c r="H26" s="322"/>
      <c r="I26" s="322"/>
      <c r="J26" s="322"/>
      <c r="K26" s="322"/>
      <c r="L26" s="322"/>
      <c r="M26" s="323"/>
      <c r="N26" s="322"/>
      <c r="O26" s="322"/>
      <c r="P26" s="322"/>
      <c r="Q26" s="322"/>
      <c r="R26" s="322"/>
      <c r="S26" s="322"/>
      <c r="T26" s="322"/>
      <c r="U26" s="323"/>
      <c r="V26" s="322"/>
      <c r="W26" s="322"/>
      <c r="X26" s="322"/>
      <c r="Y26" s="322"/>
      <c r="Z26" s="322"/>
      <c r="AA26" s="322"/>
      <c r="AB26" s="322">
        <v>11</v>
      </c>
      <c r="AC26" s="322">
        <v>11</v>
      </c>
      <c r="AD26" s="322"/>
      <c r="AE26" s="322"/>
      <c r="AF26" s="322">
        <v>11</v>
      </c>
      <c r="AG26" s="322"/>
      <c r="AH26" s="322"/>
      <c r="AI26" s="322"/>
      <c r="AJ26" s="322">
        <v>11</v>
      </c>
      <c r="AK26" s="322"/>
      <c r="AL26" s="322"/>
      <c r="AM26" s="322"/>
      <c r="AN26" s="322"/>
      <c r="AO26" s="322"/>
      <c r="AP26" s="322"/>
      <c r="AQ26" s="322"/>
      <c r="AR26" s="322"/>
      <c r="AS26" s="322"/>
      <c r="AT26" s="322"/>
      <c r="AU26" s="322"/>
      <c r="AV26" s="322"/>
      <c r="AW26" s="322"/>
      <c r="AX26" s="322"/>
      <c r="AY26" s="322"/>
      <c r="AZ26" s="322"/>
      <c r="BA26" s="322"/>
      <c r="BB26" s="322"/>
      <c r="BC26" s="322"/>
      <c r="BD26" s="322"/>
      <c r="BE26" s="322"/>
      <c r="BF26" s="322"/>
      <c r="BG26" s="322"/>
      <c r="BH26" s="322"/>
      <c r="BI26" s="322"/>
      <c r="BJ26" s="322"/>
      <c r="BK26" s="322"/>
      <c r="BL26" s="322"/>
      <c r="BM26" s="322"/>
      <c r="BN26" s="322"/>
      <c r="BO26" s="322"/>
      <c r="BP26" s="322"/>
      <c r="BQ26" s="322"/>
      <c r="BR26" s="322"/>
      <c r="BS26" s="322"/>
      <c r="BT26" s="322"/>
      <c r="BU26" s="322"/>
      <c r="BV26" s="322"/>
      <c r="BW26" s="322"/>
      <c r="BX26" s="322"/>
      <c r="BY26" s="322"/>
      <c r="BZ26" s="322"/>
      <c r="CA26" s="322"/>
      <c r="CB26" s="322"/>
      <c r="CC26" s="322"/>
      <c r="CD26" s="322"/>
      <c r="CE26" s="322"/>
      <c r="CF26" s="322"/>
      <c r="CG26" s="324">
        <v>11</v>
      </c>
    </row>
    <row r="27" spans="1:85" x14ac:dyDescent="0.2">
      <c r="A27" s="321">
        <v>3013</v>
      </c>
      <c r="B27" s="322"/>
      <c r="C27" s="322"/>
      <c r="D27" s="322"/>
      <c r="E27" s="322"/>
      <c r="F27" s="323"/>
      <c r="G27" s="322"/>
      <c r="H27" s="322"/>
      <c r="I27" s="322"/>
      <c r="J27" s="322"/>
      <c r="K27" s="322"/>
      <c r="L27" s="322"/>
      <c r="M27" s="323"/>
      <c r="N27" s="322"/>
      <c r="O27" s="322"/>
      <c r="P27" s="322"/>
      <c r="Q27" s="322"/>
      <c r="R27" s="322"/>
      <c r="S27" s="322"/>
      <c r="T27" s="322"/>
      <c r="U27" s="323"/>
      <c r="V27" s="322"/>
      <c r="W27" s="322"/>
      <c r="X27" s="322"/>
      <c r="Y27" s="322"/>
      <c r="Z27" s="322"/>
      <c r="AA27" s="322"/>
      <c r="AB27" s="322">
        <v>3</v>
      </c>
      <c r="AC27" s="322">
        <v>3</v>
      </c>
      <c r="AD27" s="322"/>
      <c r="AE27" s="322"/>
      <c r="AF27" s="322">
        <v>3</v>
      </c>
      <c r="AG27" s="322"/>
      <c r="AH27" s="322"/>
      <c r="AI27" s="322"/>
      <c r="AJ27" s="322">
        <v>3</v>
      </c>
      <c r="AK27" s="322"/>
      <c r="AL27" s="322"/>
      <c r="AM27" s="322"/>
      <c r="AN27" s="322"/>
      <c r="AO27" s="322"/>
      <c r="AP27" s="322"/>
      <c r="AQ27" s="322"/>
      <c r="AR27" s="322"/>
      <c r="AS27" s="322"/>
      <c r="AT27" s="322"/>
      <c r="AU27" s="322"/>
      <c r="AV27" s="322"/>
      <c r="AW27" s="322"/>
      <c r="AX27" s="322"/>
      <c r="AY27" s="322"/>
      <c r="AZ27" s="322"/>
      <c r="BA27" s="322"/>
      <c r="BB27" s="322"/>
      <c r="BC27" s="322"/>
      <c r="BD27" s="322"/>
      <c r="BE27" s="322"/>
      <c r="BF27" s="322"/>
      <c r="BG27" s="322"/>
      <c r="BH27" s="322"/>
      <c r="BI27" s="322"/>
      <c r="BJ27" s="322"/>
      <c r="BK27" s="322"/>
      <c r="BL27" s="322"/>
      <c r="BM27" s="322"/>
      <c r="BN27" s="322"/>
      <c r="BO27" s="322"/>
      <c r="BP27" s="322"/>
      <c r="BQ27" s="322"/>
      <c r="BR27" s="322"/>
      <c r="BS27" s="322"/>
      <c r="BT27" s="322"/>
      <c r="BU27" s="322"/>
      <c r="BV27" s="322"/>
      <c r="BW27" s="322"/>
      <c r="BX27" s="322"/>
      <c r="BY27" s="322"/>
      <c r="BZ27" s="322"/>
      <c r="CA27" s="322"/>
      <c r="CB27" s="322"/>
      <c r="CC27" s="322"/>
      <c r="CD27" s="322"/>
      <c r="CE27" s="322"/>
      <c r="CF27" s="322"/>
      <c r="CG27" s="324">
        <v>3</v>
      </c>
    </row>
    <row r="28" spans="1:85" x14ac:dyDescent="0.2">
      <c r="A28" s="321">
        <v>3016</v>
      </c>
      <c r="B28" s="322"/>
      <c r="C28" s="322"/>
      <c r="D28" s="322"/>
      <c r="E28" s="322"/>
      <c r="F28" s="323"/>
      <c r="G28" s="322"/>
      <c r="H28" s="322"/>
      <c r="I28" s="322"/>
      <c r="J28" s="322"/>
      <c r="K28" s="322"/>
      <c r="L28" s="322"/>
      <c r="M28" s="323"/>
      <c r="N28" s="322"/>
      <c r="O28" s="322"/>
      <c r="P28" s="322"/>
      <c r="Q28" s="322"/>
      <c r="R28" s="322"/>
      <c r="S28" s="322"/>
      <c r="T28" s="322"/>
      <c r="U28" s="323"/>
      <c r="V28" s="322"/>
      <c r="W28" s="322"/>
      <c r="X28" s="322"/>
      <c r="Y28" s="322"/>
      <c r="Z28" s="322"/>
      <c r="AA28" s="322"/>
      <c r="AB28" s="322">
        <v>1</v>
      </c>
      <c r="AC28" s="322">
        <v>1</v>
      </c>
      <c r="AD28" s="322"/>
      <c r="AE28" s="322"/>
      <c r="AF28" s="322">
        <v>1</v>
      </c>
      <c r="AG28" s="322"/>
      <c r="AH28" s="322"/>
      <c r="AI28" s="322"/>
      <c r="AJ28" s="322">
        <v>1</v>
      </c>
      <c r="AK28" s="322"/>
      <c r="AL28" s="322"/>
      <c r="AM28" s="322"/>
      <c r="AN28" s="322"/>
      <c r="AO28" s="322"/>
      <c r="AP28" s="322"/>
      <c r="AQ28" s="322"/>
      <c r="AR28" s="322"/>
      <c r="AS28" s="322"/>
      <c r="AT28" s="322"/>
      <c r="AU28" s="322"/>
      <c r="AV28" s="322"/>
      <c r="AW28" s="322"/>
      <c r="AX28" s="322"/>
      <c r="AY28" s="322"/>
      <c r="AZ28" s="322"/>
      <c r="BA28" s="322"/>
      <c r="BB28" s="322"/>
      <c r="BC28" s="322"/>
      <c r="BD28" s="322"/>
      <c r="BE28" s="322"/>
      <c r="BF28" s="322"/>
      <c r="BG28" s="322"/>
      <c r="BH28" s="322"/>
      <c r="BI28" s="322"/>
      <c r="BJ28" s="322"/>
      <c r="BK28" s="322"/>
      <c r="BL28" s="322"/>
      <c r="BM28" s="322"/>
      <c r="BN28" s="322"/>
      <c r="BO28" s="322"/>
      <c r="BP28" s="322"/>
      <c r="BQ28" s="322"/>
      <c r="BR28" s="322"/>
      <c r="BS28" s="322"/>
      <c r="BT28" s="322"/>
      <c r="BU28" s="322"/>
      <c r="BV28" s="322"/>
      <c r="BW28" s="322"/>
      <c r="BX28" s="322"/>
      <c r="BY28" s="322"/>
      <c r="BZ28" s="322"/>
      <c r="CA28" s="322"/>
      <c r="CB28" s="322"/>
      <c r="CC28" s="322"/>
      <c r="CD28" s="322"/>
      <c r="CE28" s="322"/>
      <c r="CF28" s="322"/>
      <c r="CG28" s="324">
        <v>1</v>
      </c>
    </row>
    <row r="29" spans="1:85" x14ac:dyDescent="0.2">
      <c r="A29" s="321">
        <v>3023</v>
      </c>
      <c r="B29" s="322"/>
      <c r="C29" s="322"/>
      <c r="D29" s="322"/>
      <c r="E29" s="322"/>
      <c r="F29" s="323"/>
      <c r="G29" s="322"/>
      <c r="H29" s="322"/>
      <c r="I29" s="322"/>
      <c r="J29" s="322"/>
      <c r="K29" s="322"/>
      <c r="L29" s="322"/>
      <c r="M29" s="323"/>
      <c r="N29" s="322"/>
      <c r="O29" s="322"/>
      <c r="P29" s="322"/>
      <c r="Q29" s="322"/>
      <c r="R29" s="322"/>
      <c r="S29" s="322"/>
      <c r="T29" s="322"/>
      <c r="U29" s="323"/>
      <c r="V29" s="322"/>
      <c r="W29" s="322"/>
      <c r="X29" s="322"/>
      <c r="Y29" s="322"/>
      <c r="Z29" s="322"/>
      <c r="AA29" s="322"/>
      <c r="AB29" s="322"/>
      <c r="AC29" s="322"/>
      <c r="AD29" s="322"/>
      <c r="AE29" s="322"/>
      <c r="AF29" s="322"/>
      <c r="AG29" s="322"/>
      <c r="AH29" s="322"/>
      <c r="AI29" s="322"/>
      <c r="AJ29" s="322"/>
      <c r="AK29" s="322"/>
      <c r="AL29" s="322"/>
      <c r="AM29" s="322"/>
      <c r="AN29" s="322"/>
      <c r="AO29" s="322"/>
      <c r="AP29" s="322"/>
      <c r="AQ29" s="322"/>
      <c r="AR29" s="322"/>
      <c r="AS29" s="322"/>
      <c r="AT29" s="322"/>
      <c r="AU29" s="322"/>
      <c r="AV29" s="322"/>
      <c r="AW29" s="322"/>
      <c r="AX29" s="322"/>
      <c r="AY29" s="322"/>
      <c r="AZ29" s="322"/>
      <c r="BA29" s="322"/>
      <c r="BB29" s="322"/>
      <c r="BC29" s="322">
        <v>5</v>
      </c>
      <c r="BD29" s="322">
        <v>5</v>
      </c>
      <c r="BE29" s="322">
        <v>5</v>
      </c>
      <c r="BF29" s="322"/>
      <c r="BG29" s="322"/>
      <c r="BH29" s="322"/>
      <c r="BI29" s="322"/>
      <c r="BJ29" s="322"/>
      <c r="BK29" s="322"/>
      <c r="BL29" s="322"/>
      <c r="BM29" s="322"/>
      <c r="BN29" s="322"/>
      <c r="BO29" s="322"/>
      <c r="BP29" s="322"/>
      <c r="BQ29" s="322"/>
      <c r="BR29" s="322"/>
      <c r="BS29" s="322"/>
      <c r="BT29" s="322"/>
      <c r="BU29" s="322"/>
      <c r="BV29" s="322"/>
      <c r="BW29" s="322"/>
      <c r="BX29" s="322"/>
      <c r="BY29" s="322"/>
      <c r="BZ29" s="322"/>
      <c r="CA29" s="322"/>
      <c r="CB29" s="322">
        <v>5</v>
      </c>
      <c r="CC29" s="322"/>
      <c r="CD29" s="322"/>
      <c r="CE29" s="322"/>
      <c r="CF29" s="322"/>
      <c r="CG29" s="324">
        <v>5</v>
      </c>
    </row>
    <row r="30" spans="1:85" x14ac:dyDescent="0.2">
      <c r="A30" s="321">
        <v>3024</v>
      </c>
      <c r="B30" s="322"/>
      <c r="C30" s="322"/>
      <c r="D30" s="322"/>
      <c r="E30" s="322"/>
      <c r="F30" s="323"/>
      <c r="G30" s="322"/>
      <c r="H30" s="322"/>
      <c r="I30" s="322"/>
      <c r="J30" s="322"/>
      <c r="K30" s="322"/>
      <c r="L30" s="322"/>
      <c r="M30" s="323"/>
      <c r="N30" s="322"/>
      <c r="O30" s="322"/>
      <c r="P30" s="322"/>
      <c r="Q30" s="322"/>
      <c r="R30" s="322"/>
      <c r="S30" s="322"/>
      <c r="T30" s="322"/>
      <c r="U30" s="323"/>
      <c r="V30" s="322"/>
      <c r="W30" s="322"/>
      <c r="X30" s="322"/>
      <c r="Y30" s="322"/>
      <c r="Z30" s="322"/>
      <c r="AA30" s="322"/>
      <c r="AB30" s="322"/>
      <c r="AC30" s="322"/>
      <c r="AD30" s="322"/>
      <c r="AE30" s="322"/>
      <c r="AF30" s="322"/>
      <c r="AG30" s="322"/>
      <c r="AH30" s="322"/>
      <c r="AI30" s="322"/>
      <c r="AJ30" s="322"/>
      <c r="AK30" s="322"/>
      <c r="AL30" s="322"/>
      <c r="AM30" s="322"/>
      <c r="AN30" s="322"/>
      <c r="AO30" s="322"/>
      <c r="AP30" s="322"/>
      <c r="AQ30" s="322"/>
      <c r="AR30" s="322"/>
      <c r="AS30" s="322"/>
      <c r="AT30" s="322"/>
      <c r="AU30" s="322"/>
      <c r="AV30" s="322"/>
      <c r="AW30" s="322"/>
      <c r="AX30" s="322"/>
      <c r="AY30" s="322"/>
      <c r="AZ30" s="322"/>
      <c r="BA30" s="322"/>
      <c r="BB30" s="322"/>
      <c r="BC30" s="322"/>
      <c r="BD30" s="322"/>
      <c r="BE30" s="322"/>
      <c r="BF30" s="322"/>
      <c r="BG30" s="322"/>
      <c r="BH30" s="322"/>
      <c r="BI30" s="322"/>
      <c r="BJ30" s="322"/>
      <c r="BK30" s="322"/>
      <c r="BL30" s="322"/>
      <c r="BM30" s="322"/>
      <c r="BN30" s="322"/>
      <c r="BO30" s="322"/>
      <c r="BP30" s="322"/>
      <c r="BQ30" s="322"/>
      <c r="BR30" s="322"/>
      <c r="BS30" s="322"/>
      <c r="BT30" s="322"/>
      <c r="BU30" s="322"/>
      <c r="BV30" s="322"/>
      <c r="BW30" s="322"/>
      <c r="BX30" s="322"/>
      <c r="BY30" s="322">
        <v>35</v>
      </c>
      <c r="BZ30" s="322">
        <v>35</v>
      </c>
      <c r="CA30" s="322">
        <v>35</v>
      </c>
      <c r="CB30" s="322">
        <v>35</v>
      </c>
      <c r="CC30" s="322"/>
      <c r="CD30" s="322"/>
      <c r="CE30" s="322"/>
      <c r="CF30" s="322"/>
      <c r="CG30" s="324">
        <v>35</v>
      </c>
    </row>
    <row r="31" spans="1:85" x14ac:dyDescent="0.2">
      <c r="A31" s="321">
        <v>3037</v>
      </c>
      <c r="B31" s="322"/>
      <c r="C31" s="322"/>
      <c r="D31" s="322"/>
      <c r="E31" s="322"/>
      <c r="F31" s="323"/>
      <c r="G31" s="322"/>
      <c r="H31" s="322"/>
      <c r="I31" s="322"/>
      <c r="J31" s="322"/>
      <c r="K31" s="322"/>
      <c r="L31" s="322"/>
      <c r="M31" s="323"/>
      <c r="N31" s="322"/>
      <c r="O31" s="322"/>
      <c r="P31" s="322"/>
      <c r="Q31" s="322"/>
      <c r="R31" s="322"/>
      <c r="S31" s="322"/>
      <c r="T31" s="322"/>
      <c r="U31" s="323"/>
      <c r="V31" s="322"/>
      <c r="W31" s="322"/>
      <c r="X31" s="322"/>
      <c r="Y31" s="322"/>
      <c r="Z31" s="322"/>
      <c r="AA31" s="322"/>
      <c r="AB31" s="322"/>
      <c r="AC31" s="322"/>
      <c r="AD31" s="322"/>
      <c r="AE31" s="322"/>
      <c r="AF31" s="322"/>
      <c r="AG31" s="322"/>
      <c r="AH31" s="322"/>
      <c r="AI31" s="322"/>
      <c r="AJ31" s="322"/>
      <c r="AK31" s="322"/>
      <c r="AL31" s="322"/>
      <c r="AM31" s="322"/>
      <c r="AN31" s="322"/>
      <c r="AO31" s="322"/>
      <c r="AP31" s="322"/>
      <c r="AQ31" s="322"/>
      <c r="AR31" s="322"/>
      <c r="AS31" s="322"/>
      <c r="AT31" s="322"/>
      <c r="AU31" s="322"/>
      <c r="AV31" s="322"/>
      <c r="AW31" s="322"/>
      <c r="AX31" s="322"/>
      <c r="AY31" s="322"/>
      <c r="AZ31" s="322"/>
      <c r="BA31" s="322"/>
      <c r="BB31" s="322"/>
      <c r="BC31" s="322"/>
      <c r="BD31" s="322"/>
      <c r="BE31" s="322"/>
      <c r="BF31" s="322"/>
      <c r="BG31" s="322"/>
      <c r="BH31" s="322"/>
      <c r="BI31" s="322"/>
      <c r="BJ31" s="322"/>
      <c r="BK31" s="322"/>
      <c r="BL31" s="322"/>
      <c r="BM31" s="322"/>
      <c r="BN31" s="322"/>
      <c r="BO31" s="322"/>
      <c r="BP31" s="322"/>
      <c r="BQ31" s="322"/>
      <c r="BR31" s="322"/>
      <c r="BS31" s="322"/>
      <c r="BT31" s="322"/>
      <c r="BU31" s="322">
        <v>1113</v>
      </c>
      <c r="BV31" s="322">
        <v>1113</v>
      </c>
      <c r="BW31" s="322"/>
      <c r="BX31" s="322"/>
      <c r="BY31" s="322"/>
      <c r="BZ31" s="322"/>
      <c r="CA31" s="322">
        <v>1113</v>
      </c>
      <c r="CB31" s="322">
        <v>1113</v>
      </c>
      <c r="CC31" s="322"/>
      <c r="CD31" s="322"/>
      <c r="CE31" s="322"/>
      <c r="CF31" s="322"/>
      <c r="CG31" s="324">
        <v>1113</v>
      </c>
    </row>
    <row r="32" spans="1:85" x14ac:dyDescent="0.2">
      <c r="A32" s="321">
        <v>3042</v>
      </c>
      <c r="B32" s="322"/>
      <c r="C32" s="322"/>
      <c r="D32" s="322"/>
      <c r="E32" s="322"/>
      <c r="F32" s="323"/>
      <c r="G32" s="322"/>
      <c r="H32" s="322"/>
      <c r="I32" s="322"/>
      <c r="J32" s="322"/>
      <c r="K32" s="322"/>
      <c r="L32" s="322"/>
      <c r="M32" s="323"/>
      <c r="N32" s="322"/>
      <c r="O32" s="322"/>
      <c r="P32" s="322"/>
      <c r="Q32" s="322"/>
      <c r="R32" s="322"/>
      <c r="S32" s="322"/>
      <c r="T32" s="322"/>
      <c r="U32" s="323"/>
      <c r="V32" s="322"/>
      <c r="W32" s="322"/>
      <c r="X32" s="322">
        <v>23</v>
      </c>
      <c r="Y32" s="322">
        <v>23</v>
      </c>
      <c r="Z32" s="322"/>
      <c r="AA32" s="322"/>
      <c r="AB32" s="322"/>
      <c r="AC32" s="322"/>
      <c r="AD32" s="322"/>
      <c r="AE32" s="322"/>
      <c r="AF32" s="322">
        <v>23</v>
      </c>
      <c r="AG32" s="322"/>
      <c r="AH32" s="322"/>
      <c r="AI32" s="322"/>
      <c r="AJ32" s="322">
        <v>23</v>
      </c>
      <c r="AK32" s="322"/>
      <c r="AL32" s="322"/>
      <c r="AM32" s="322"/>
      <c r="AN32" s="322"/>
      <c r="AO32" s="322"/>
      <c r="AP32" s="322"/>
      <c r="AQ32" s="322"/>
      <c r="AR32" s="322"/>
      <c r="AS32" s="322"/>
      <c r="AT32" s="322"/>
      <c r="AU32" s="322"/>
      <c r="AV32" s="322"/>
      <c r="AW32" s="322"/>
      <c r="AX32" s="322"/>
      <c r="AY32" s="322"/>
      <c r="AZ32" s="322"/>
      <c r="BA32" s="322"/>
      <c r="BB32" s="322"/>
      <c r="BC32" s="322"/>
      <c r="BD32" s="322"/>
      <c r="BE32" s="322"/>
      <c r="BF32" s="322"/>
      <c r="BG32" s="322"/>
      <c r="BH32" s="322"/>
      <c r="BI32" s="322"/>
      <c r="BJ32" s="322"/>
      <c r="BK32" s="322"/>
      <c r="BL32" s="322"/>
      <c r="BM32" s="322"/>
      <c r="BN32" s="322"/>
      <c r="BO32" s="322"/>
      <c r="BP32" s="322"/>
      <c r="BQ32" s="322"/>
      <c r="BR32" s="322"/>
      <c r="BS32" s="322"/>
      <c r="BT32" s="322"/>
      <c r="BU32" s="322"/>
      <c r="BV32" s="322"/>
      <c r="BW32" s="322"/>
      <c r="BX32" s="322"/>
      <c r="BY32" s="322"/>
      <c r="BZ32" s="322"/>
      <c r="CA32" s="322"/>
      <c r="CB32" s="322"/>
      <c r="CC32" s="322"/>
      <c r="CD32" s="322"/>
      <c r="CE32" s="322"/>
      <c r="CF32" s="322"/>
      <c r="CG32" s="324">
        <v>23</v>
      </c>
    </row>
    <row r="33" spans="1:85" x14ac:dyDescent="0.2">
      <c r="A33" s="321">
        <v>3046</v>
      </c>
      <c r="B33" s="322"/>
      <c r="C33" s="322"/>
      <c r="D33" s="322"/>
      <c r="E33" s="322"/>
      <c r="F33" s="323"/>
      <c r="G33" s="322"/>
      <c r="H33" s="322"/>
      <c r="I33" s="322"/>
      <c r="J33" s="322"/>
      <c r="K33" s="322"/>
      <c r="L33" s="322"/>
      <c r="M33" s="323"/>
      <c r="N33" s="322"/>
      <c r="O33" s="322"/>
      <c r="P33" s="322"/>
      <c r="Q33" s="322"/>
      <c r="R33" s="322"/>
      <c r="S33" s="322"/>
      <c r="T33" s="322"/>
      <c r="U33" s="323"/>
      <c r="V33" s="322"/>
      <c r="W33" s="322"/>
      <c r="X33" s="322"/>
      <c r="Y33" s="322"/>
      <c r="Z33" s="322"/>
      <c r="AA33" s="322"/>
      <c r="AB33" s="322"/>
      <c r="AC33" s="322"/>
      <c r="AD33" s="322"/>
      <c r="AE33" s="322"/>
      <c r="AF33" s="322"/>
      <c r="AG33" s="322"/>
      <c r="AH33" s="322"/>
      <c r="AI33" s="322"/>
      <c r="AJ33" s="322"/>
      <c r="AK33" s="322"/>
      <c r="AL33" s="322"/>
      <c r="AM33" s="322"/>
      <c r="AN33" s="322"/>
      <c r="AO33" s="322"/>
      <c r="AP33" s="322"/>
      <c r="AQ33" s="322"/>
      <c r="AR33" s="322"/>
      <c r="AS33" s="322"/>
      <c r="AT33" s="322"/>
      <c r="AU33" s="322"/>
      <c r="AV33" s="322">
        <v>1787</v>
      </c>
      <c r="AW33" s="322">
        <v>1787</v>
      </c>
      <c r="AX33" s="322">
        <v>1787</v>
      </c>
      <c r="AY33" s="322"/>
      <c r="AZ33" s="322"/>
      <c r="BA33" s="322"/>
      <c r="BB33" s="322">
        <v>1787</v>
      </c>
      <c r="BC33" s="322"/>
      <c r="BD33" s="322"/>
      <c r="BE33" s="322"/>
      <c r="BF33" s="322"/>
      <c r="BG33" s="322"/>
      <c r="BH33" s="322"/>
      <c r="BI33" s="322"/>
      <c r="BJ33" s="322"/>
      <c r="BK33" s="322"/>
      <c r="BL33" s="322"/>
      <c r="BM33" s="322"/>
      <c r="BN33" s="322"/>
      <c r="BO33" s="322"/>
      <c r="BP33" s="322"/>
      <c r="BQ33" s="322"/>
      <c r="BR33" s="322"/>
      <c r="BS33" s="322"/>
      <c r="BT33" s="322"/>
      <c r="BU33" s="322"/>
      <c r="BV33" s="322"/>
      <c r="BW33" s="322"/>
      <c r="BX33" s="322"/>
      <c r="BY33" s="322"/>
      <c r="BZ33" s="322"/>
      <c r="CA33" s="322"/>
      <c r="CB33" s="322"/>
      <c r="CC33" s="322"/>
      <c r="CD33" s="322"/>
      <c r="CE33" s="322"/>
      <c r="CF33" s="322"/>
      <c r="CG33" s="324">
        <v>1787</v>
      </c>
    </row>
    <row r="34" spans="1:85" x14ac:dyDescent="0.2">
      <c r="A34" s="321">
        <v>3047</v>
      </c>
      <c r="B34" s="322"/>
      <c r="C34" s="322"/>
      <c r="D34" s="322"/>
      <c r="E34" s="322"/>
      <c r="F34" s="323"/>
      <c r="G34" s="322"/>
      <c r="H34" s="322"/>
      <c r="I34" s="322"/>
      <c r="J34" s="322"/>
      <c r="K34" s="322"/>
      <c r="L34" s="322"/>
      <c r="M34" s="323"/>
      <c r="N34" s="322"/>
      <c r="O34" s="322"/>
      <c r="P34" s="322"/>
      <c r="Q34" s="322"/>
      <c r="R34" s="322"/>
      <c r="S34" s="322"/>
      <c r="T34" s="322"/>
      <c r="U34" s="323"/>
      <c r="V34" s="322"/>
      <c r="W34" s="322"/>
      <c r="X34" s="322"/>
      <c r="Y34" s="322"/>
      <c r="Z34" s="322"/>
      <c r="AA34" s="322"/>
      <c r="AB34" s="322"/>
      <c r="AC34" s="322"/>
      <c r="AD34" s="322"/>
      <c r="AE34" s="322"/>
      <c r="AF34" s="322"/>
      <c r="AG34" s="322"/>
      <c r="AH34" s="322"/>
      <c r="AI34" s="322"/>
      <c r="AJ34" s="322"/>
      <c r="AK34" s="322"/>
      <c r="AL34" s="322"/>
      <c r="AM34" s="322"/>
      <c r="AN34" s="322"/>
      <c r="AO34" s="322"/>
      <c r="AP34" s="322"/>
      <c r="AQ34" s="322"/>
      <c r="AR34" s="322"/>
      <c r="AS34" s="322"/>
      <c r="AT34" s="322"/>
      <c r="AU34" s="322"/>
      <c r="AV34" s="322"/>
      <c r="AW34" s="322"/>
      <c r="AX34" s="322"/>
      <c r="AY34" s="322"/>
      <c r="AZ34" s="322"/>
      <c r="BA34" s="322"/>
      <c r="BB34" s="322"/>
      <c r="BC34" s="322"/>
      <c r="BD34" s="322"/>
      <c r="BE34" s="322"/>
      <c r="BF34" s="322"/>
      <c r="BG34" s="322"/>
      <c r="BH34" s="322"/>
      <c r="BI34" s="322"/>
      <c r="BJ34" s="322"/>
      <c r="BK34" s="322"/>
      <c r="BL34" s="322"/>
      <c r="BM34" s="322"/>
      <c r="BN34" s="322"/>
      <c r="BO34" s="322"/>
      <c r="BP34" s="322"/>
      <c r="BQ34" s="322"/>
      <c r="BR34" s="322"/>
      <c r="BS34" s="322"/>
      <c r="BT34" s="322"/>
      <c r="BU34" s="322"/>
      <c r="BV34" s="322"/>
      <c r="BW34" s="322">
        <v>58</v>
      </c>
      <c r="BX34" s="322">
        <v>58</v>
      </c>
      <c r="BY34" s="322"/>
      <c r="BZ34" s="322"/>
      <c r="CA34" s="322">
        <v>58</v>
      </c>
      <c r="CB34" s="322">
        <v>58</v>
      </c>
      <c r="CC34" s="322"/>
      <c r="CD34" s="322"/>
      <c r="CE34" s="322"/>
      <c r="CF34" s="322"/>
      <c r="CG34" s="324">
        <v>58</v>
      </c>
    </row>
    <row r="35" spans="1:85" x14ac:dyDescent="0.2">
      <c r="A35" s="321">
        <v>3051</v>
      </c>
      <c r="B35" s="322"/>
      <c r="C35" s="322"/>
      <c r="D35" s="322"/>
      <c r="E35" s="322"/>
      <c r="F35" s="323"/>
      <c r="G35" s="322"/>
      <c r="H35" s="322"/>
      <c r="I35" s="322"/>
      <c r="J35" s="322"/>
      <c r="K35" s="322"/>
      <c r="L35" s="322"/>
      <c r="M35" s="323"/>
      <c r="N35" s="322"/>
      <c r="O35" s="322"/>
      <c r="P35" s="322"/>
      <c r="Q35" s="322"/>
      <c r="R35" s="322"/>
      <c r="S35" s="322"/>
      <c r="T35" s="322"/>
      <c r="U35" s="323"/>
      <c r="V35" s="322"/>
      <c r="W35" s="322"/>
      <c r="X35" s="322"/>
      <c r="Y35" s="322"/>
      <c r="Z35" s="322"/>
      <c r="AA35" s="322"/>
      <c r="AB35" s="322"/>
      <c r="AC35" s="322"/>
      <c r="AD35" s="322"/>
      <c r="AE35" s="322"/>
      <c r="AF35" s="322"/>
      <c r="AG35" s="322"/>
      <c r="AH35" s="322"/>
      <c r="AI35" s="322"/>
      <c r="AJ35" s="322"/>
      <c r="AK35" s="322"/>
      <c r="AL35" s="322"/>
      <c r="AM35" s="322"/>
      <c r="AN35" s="322"/>
      <c r="AO35" s="322">
        <v>62</v>
      </c>
      <c r="AP35" s="322">
        <v>62</v>
      </c>
      <c r="AQ35" s="322"/>
      <c r="AR35" s="322"/>
      <c r="AS35" s="322"/>
      <c r="AT35" s="322"/>
      <c r="AU35" s="322">
        <v>62</v>
      </c>
      <c r="AV35" s="322"/>
      <c r="AW35" s="322"/>
      <c r="AX35" s="322"/>
      <c r="AY35" s="322"/>
      <c r="AZ35" s="322"/>
      <c r="BA35" s="322"/>
      <c r="BB35" s="322">
        <v>62</v>
      </c>
      <c r="BC35" s="322"/>
      <c r="BD35" s="322"/>
      <c r="BE35" s="322"/>
      <c r="BF35" s="322"/>
      <c r="BG35" s="322"/>
      <c r="BH35" s="322"/>
      <c r="BI35" s="322"/>
      <c r="BJ35" s="322"/>
      <c r="BK35" s="322"/>
      <c r="BL35" s="322"/>
      <c r="BM35" s="322"/>
      <c r="BN35" s="322"/>
      <c r="BO35" s="322"/>
      <c r="BP35" s="322"/>
      <c r="BQ35" s="322"/>
      <c r="BR35" s="322"/>
      <c r="BS35" s="322"/>
      <c r="BT35" s="322"/>
      <c r="BU35" s="322"/>
      <c r="BV35" s="322"/>
      <c r="BW35" s="322"/>
      <c r="BX35" s="322"/>
      <c r="BY35" s="322"/>
      <c r="BZ35" s="322"/>
      <c r="CA35" s="322"/>
      <c r="CB35" s="322"/>
      <c r="CC35" s="322"/>
      <c r="CD35" s="322"/>
      <c r="CE35" s="322"/>
      <c r="CF35" s="322"/>
      <c r="CG35" s="324">
        <v>62</v>
      </c>
    </row>
    <row r="36" spans="1:85" x14ac:dyDescent="0.2">
      <c r="A36" s="321">
        <v>3052</v>
      </c>
      <c r="B36" s="322"/>
      <c r="C36" s="322"/>
      <c r="D36" s="322"/>
      <c r="E36" s="322"/>
      <c r="F36" s="323"/>
      <c r="G36" s="322"/>
      <c r="H36" s="322"/>
      <c r="I36" s="322"/>
      <c r="J36" s="322"/>
      <c r="K36" s="322"/>
      <c r="L36" s="322"/>
      <c r="M36" s="323"/>
      <c r="N36" s="322"/>
      <c r="O36" s="322"/>
      <c r="P36" s="322"/>
      <c r="Q36" s="322"/>
      <c r="R36" s="322"/>
      <c r="S36" s="322"/>
      <c r="T36" s="322"/>
      <c r="U36" s="323"/>
      <c r="V36" s="322"/>
      <c r="W36" s="322"/>
      <c r="X36" s="322"/>
      <c r="Y36" s="322"/>
      <c r="Z36" s="322"/>
      <c r="AA36" s="322"/>
      <c r="AB36" s="322"/>
      <c r="AC36" s="322"/>
      <c r="AD36" s="322"/>
      <c r="AE36" s="322"/>
      <c r="AF36" s="322"/>
      <c r="AG36" s="322"/>
      <c r="AH36" s="322"/>
      <c r="AI36" s="322"/>
      <c r="AJ36" s="322"/>
      <c r="AK36" s="322"/>
      <c r="AL36" s="322"/>
      <c r="AM36" s="322"/>
      <c r="AN36" s="322"/>
      <c r="AO36" s="322">
        <v>37</v>
      </c>
      <c r="AP36" s="322">
        <v>37</v>
      </c>
      <c r="AQ36" s="322"/>
      <c r="AR36" s="322"/>
      <c r="AS36" s="322"/>
      <c r="AT36" s="322"/>
      <c r="AU36" s="322">
        <v>37</v>
      </c>
      <c r="AV36" s="322"/>
      <c r="AW36" s="322"/>
      <c r="AX36" s="322"/>
      <c r="AY36" s="322"/>
      <c r="AZ36" s="322"/>
      <c r="BA36" s="322"/>
      <c r="BB36" s="322">
        <v>37</v>
      </c>
      <c r="BC36" s="322"/>
      <c r="BD36" s="322"/>
      <c r="BE36" s="322"/>
      <c r="BF36" s="322"/>
      <c r="BG36" s="322"/>
      <c r="BH36" s="322"/>
      <c r="BI36" s="322"/>
      <c r="BJ36" s="322"/>
      <c r="BK36" s="322"/>
      <c r="BL36" s="322"/>
      <c r="BM36" s="322"/>
      <c r="BN36" s="322"/>
      <c r="BO36" s="322"/>
      <c r="BP36" s="322"/>
      <c r="BQ36" s="322"/>
      <c r="BR36" s="322"/>
      <c r="BS36" s="322"/>
      <c r="BT36" s="322"/>
      <c r="BU36" s="322"/>
      <c r="BV36" s="322"/>
      <c r="BW36" s="322"/>
      <c r="BX36" s="322"/>
      <c r="BY36" s="322"/>
      <c r="BZ36" s="322"/>
      <c r="CA36" s="322"/>
      <c r="CB36" s="322"/>
      <c r="CC36" s="322"/>
      <c r="CD36" s="322"/>
      <c r="CE36" s="322"/>
      <c r="CF36" s="322"/>
      <c r="CG36" s="324">
        <v>37</v>
      </c>
    </row>
    <row r="37" spans="1:85" x14ac:dyDescent="0.2">
      <c r="A37" s="321">
        <v>3056</v>
      </c>
      <c r="B37" s="322"/>
      <c r="C37" s="322"/>
      <c r="D37" s="322"/>
      <c r="E37" s="322"/>
      <c r="F37" s="323"/>
      <c r="G37" s="322"/>
      <c r="H37" s="322"/>
      <c r="I37" s="322"/>
      <c r="J37" s="322"/>
      <c r="K37" s="322"/>
      <c r="L37" s="322"/>
      <c r="M37" s="323"/>
      <c r="N37" s="322"/>
      <c r="O37" s="322"/>
      <c r="P37" s="322"/>
      <c r="Q37" s="322"/>
      <c r="R37" s="322"/>
      <c r="S37" s="322"/>
      <c r="T37" s="322"/>
      <c r="U37" s="323"/>
      <c r="V37" s="322"/>
      <c r="W37" s="322"/>
      <c r="X37" s="322"/>
      <c r="Y37" s="322"/>
      <c r="Z37" s="322"/>
      <c r="AA37" s="322"/>
      <c r="AB37" s="322"/>
      <c r="AC37" s="322"/>
      <c r="AD37" s="322"/>
      <c r="AE37" s="322"/>
      <c r="AF37" s="322"/>
      <c r="AG37" s="322"/>
      <c r="AH37" s="322"/>
      <c r="AI37" s="322"/>
      <c r="AJ37" s="322"/>
      <c r="AK37" s="322"/>
      <c r="AL37" s="322"/>
      <c r="AM37" s="322"/>
      <c r="AN37" s="322"/>
      <c r="AO37" s="322"/>
      <c r="AP37" s="322"/>
      <c r="AQ37" s="322"/>
      <c r="AR37" s="322"/>
      <c r="AS37" s="322"/>
      <c r="AT37" s="322"/>
      <c r="AU37" s="322"/>
      <c r="AV37" s="322"/>
      <c r="AW37" s="322"/>
      <c r="AX37" s="322"/>
      <c r="AY37" s="322"/>
      <c r="AZ37" s="322"/>
      <c r="BA37" s="322"/>
      <c r="BB37" s="322"/>
      <c r="BC37" s="322"/>
      <c r="BD37" s="322"/>
      <c r="BE37" s="322"/>
      <c r="BF37" s="322"/>
      <c r="BG37" s="322"/>
      <c r="BH37" s="322"/>
      <c r="BI37" s="322"/>
      <c r="BJ37" s="322"/>
      <c r="BK37" s="322"/>
      <c r="BL37" s="322"/>
      <c r="BM37" s="322"/>
      <c r="BN37" s="322"/>
      <c r="BO37" s="322"/>
      <c r="BP37" s="322"/>
      <c r="BQ37" s="322"/>
      <c r="BR37" s="322"/>
      <c r="BS37" s="322"/>
      <c r="BT37" s="322"/>
      <c r="BU37" s="322"/>
      <c r="BV37" s="322"/>
      <c r="BW37" s="322"/>
      <c r="BX37" s="322"/>
      <c r="BY37" s="322">
        <v>5</v>
      </c>
      <c r="BZ37" s="322">
        <v>5</v>
      </c>
      <c r="CA37" s="322">
        <v>5</v>
      </c>
      <c r="CB37" s="322">
        <v>5</v>
      </c>
      <c r="CC37" s="322"/>
      <c r="CD37" s="322"/>
      <c r="CE37" s="322"/>
      <c r="CF37" s="322"/>
      <c r="CG37" s="324">
        <v>5</v>
      </c>
    </row>
    <row r="38" spans="1:85" x14ac:dyDescent="0.2">
      <c r="A38" s="321">
        <v>3057</v>
      </c>
      <c r="B38" s="322"/>
      <c r="C38" s="322"/>
      <c r="D38" s="322"/>
      <c r="E38" s="322"/>
      <c r="F38" s="323"/>
      <c r="G38" s="322"/>
      <c r="H38" s="322"/>
      <c r="I38" s="322"/>
      <c r="J38" s="322"/>
      <c r="K38" s="322"/>
      <c r="L38" s="322"/>
      <c r="M38" s="323"/>
      <c r="N38" s="322"/>
      <c r="O38" s="322"/>
      <c r="P38" s="322"/>
      <c r="Q38" s="322"/>
      <c r="R38" s="322"/>
      <c r="S38" s="322"/>
      <c r="T38" s="322"/>
      <c r="U38" s="323"/>
      <c r="V38" s="322"/>
      <c r="W38" s="322"/>
      <c r="X38" s="322"/>
      <c r="Y38" s="322"/>
      <c r="Z38" s="322"/>
      <c r="AA38" s="322"/>
      <c r="AB38" s="322"/>
      <c r="AC38" s="322"/>
      <c r="AD38" s="322"/>
      <c r="AE38" s="322"/>
      <c r="AF38" s="322"/>
      <c r="AG38" s="322"/>
      <c r="AH38" s="322"/>
      <c r="AI38" s="322"/>
      <c r="AJ38" s="322"/>
      <c r="AK38" s="322">
        <v>5</v>
      </c>
      <c r="AL38" s="322">
        <v>5</v>
      </c>
      <c r="AM38" s="322"/>
      <c r="AN38" s="322"/>
      <c r="AO38" s="322"/>
      <c r="AP38" s="322"/>
      <c r="AQ38" s="322"/>
      <c r="AR38" s="322"/>
      <c r="AS38" s="322"/>
      <c r="AT38" s="322"/>
      <c r="AU38" s="322">
        <v>5</v>
      </c>
      <c r="AV38" s="322"/>
      <c r="AW38" s="322"/>
      <c r="AX38" s="322"/>
      <c r="AY38" s="322"/>
      <c r="AZ38" s="322"/>
      <c r="BA38" s="322"/>
      <c r="BB38" s="322">
        <v>5</v>
      </c>
      <c r="BC38" s="322"/>
      <c r="BD38" s="322"/>
      <c r="BE38" s="322"/>
      <c r="BF38" s="322"/>
      <c r="BG38" s="322"/>
      <c r="BH38" s="322"/>
      <c r="BI38" s="322"/>
      <c r="BJ38" s="322"/>
      <c r="BK38" s="322"/>
      <c r="BL38" s="322"/>
      <c r="BM38" s="322"/>
      <c r="BN38" s="322"/>
      <c r="BO38" s="322"/>
      <c r="BP38" s="322"/>
      <c r="BQ38" s="322"/>
      <c r="BR38" s="322"/>
      <c r="BS38" s="322"/>
      <c r="BT38" s="322"/>
      <c r="BU38" s="322"/>
      <c r="BV38" s="322"/>
      <c r="BW38" s="322"/>
      <c r="BX38" s="322"/>
      <c r="BY38" s="322"/>
      <c r="BZ38" s="322"/>
      <c r="CA38" s="322"/>
      <c r="CB38" s="322"/>
      <c r="CC38" s="322"/>
      <c r="CD38" s="322"/>
      <c r="CE38" s="322"/>
      <c r="CF38" s="322"/>
      <c r="CG38" s="324">
        <v>5</v>
      </c>
    </row>
    <row r="39" spans="1:85" x14ac:dyDescent="0.2">
      <c r="A39" s="321">
        <v>3058</v>
      </c>
      <c r="B39" s="322"/>
      <c r="C39" s="322"/>
      <c r="D39" s="322"/>
      <c r="E39" s="322"/>
      <c r="F39" s="323"/>
      <c r="G39" s="322"/>
      <c r="H39" s="322"/>
      <c r="I39" s="322"/>
      <c r="J39" s="322"/>
      <c r="K39" s="322"/>
      <c r="L39" s="322"/>
      <c r="M39" s="323"/>
      <c r="N39" s="322"/>
      <c r="O39" s="322"/>
      <c r="P39" s="322"/>
      <c r="Q39" s="322"/>
      <c r="R39" s="322"/>
      <c r="S39" s="322"/>
      <c r="T39" s="322"/>
      <c r="U39" s="323"/>
      <c r="V39" s="322"/>
      <c r="W39" s="322"/>
      <c r="X39" s="322"/>
      <c r="Y39" s="322"/>
      <c r="Z39" s="322"/>
      <c r="AA39" s="322"/>
      <c r="AB39" s="322"/>
      <c r="AC39" s="322"/>
      <c r="AD39" s="322"/>
      <c r="AE39" s="322"/>
      <c r="AF39" s="322"/>
      <c r="AG39" s="322"/>
      <c r="AH39" s="322"/>
      <c r="AI39" s="322"/>
      <c r="AJ39" s="322"/>
      <c r="AK39" s="322">
        <v>5</v>
      </c>
      <c r="AL39" s="322">
        <v>5</v>
      </c>
      <c r="AM39" s="322"/>
      <c r="AN39" s="322"/>
      <c r="AO39" s="322"/>
      <c r="AP39" s="322"/>
      <c r="AQ39" s="322"/>
      <c r="AR39" s="322"/>
      <c r="AS39" s="322"/>
      <c r="AT39" s="322"/>
      <c r="AU39" s="322">
        <v>5</v>
      </c>
      <c r="AV39" s="322"/>
      <c r="AW39" s="322"/>
      <c r="AX39" s="322"/>
      <c r="AY39" s="322"/>
      <c r="AZ39" s="322"/>
      <c r="BA39" s="322"/>
      <c r="BB39" s="322">
        <v>5</v>
      </c>
      <c r="BC39" s="322"/>
      <c r="BD39" s="322"/>
      <c r="BE39" s="322"/>
      <c r="BF39" s="322"/>
      <c r="BG39" s="322"/>
      <c r="BH39" s="322"/>
      <c r="BI39" s="322"/>
      <c r="BJ39" s="322"/>
      <c r="BK39" s="322"/>
      <c r="BL39" s="322"/>
      <c r="BM39" s="322"/>
      <c r="BN39" s="322"/>
      <c r="BO39" s="322"/>
      <c r="BP39" s="322"/>
      <c r="BQ39" s="322"/>
      <c r="BR39" s="322"/>
      <c r="BS39" s="322"/>
      <c r="BT39" s="322"/>
      <c r="BU39" s="322"/>
      <c r="BV39" s="322"/>
      <c r="BW39" s="322"/>
      <c r="BX39" s="322"/>
      <c r="BY39" s="322"/>
      <c r="BZ39" s="322"/>
      <c r="CA39" s="322"/>
      <c r="CB39" s="322"/>
      <c r="CC39" s="322"/>
      <c r="CD39" s="322"/>
      <c r="CE39" s="322"/>
      <c r="CF39" s="322"/>
      <c r="CG39" s="324">
        <v>5</v>
      </c>
    </row>
    <row r="40" spans="1:85" x14ac:dyDescent="0.2">
      <c r="A40" s="321">
        <v>3059</v>
      </c>
      <c r="B40" s="322"/>
      <c r="C40" s="322"/>
      <c r="D40" s="322"/>
      <c r="E40" s="322"/>
      <c r="F40" s="323"/>
      <c r="G40" s="322"/>
      <c r="H40" s="322"/>
      <c r="I40" s="322"/>
      <c r="J40" s="322"/>
      <c r="K40" s="322"/>
      <c r="L40" s="322"/>
      <c r="M40" s="323"/>
      <c r="N40" s="322"/>
      <c r="O40" s="322"/>
      <c r="P40" s="322"/>
      <c r="Q40" s="322"/>
      <c r="R40" s="322"/>
      <c r="S40" s="322"/>
      <c r="T40" s="322"/>
      <c r="U40" s="323"/>
      <c r="V40" s="322"/>
      <c r="W40" s="322"/>
      <c r="X40" s="322"/>
      <c r="Y40" s="322"/>
      <c r="Z40" s="322"/>
      <c r="AA40" s="322"/>
      <c r="AB40" s="322"/>
      <c r="AC40" s="322"/>
      <c r="AD40" s="322"/>
      <c r="AE40" s="322"/>
      <c r="AF40" s="322"/>
      <c r="AG40" s="322"/>
      <c r="AH40" s="322"/>
      <c r="AI40" s="322"/>
      <c r="AJ40" s="322"/>
      <c r="AK40" s="322">
        <v>1</v>
      </c>
      <c r="AL40" s="322">
        <v>1</v>
      </c>
      <c r="AM40" s="322"/>
      <c r="AN40" s="322"/>
      <c r="AO40" s="322"/>
      <c r="AP40" s="322"/>
      <c r="AQ40" s="322"/>
      <c r="AR40" s="322"/>
      <c r="AS40" s="322"/>
      <c r="AT40" s="322"/>
      <c r="AU40" s="322">
        <v>1</v>
      </c>
      <c r="AV40" s="322"/>
      <c r="AW40" s="322"/>
      <c r="AX40" s="322"/>
      <c r="AY40" s="322"/>
      <c r="AZ40" s="322"/>
      <c r="BA40" s="322"/>
      <c r="BB40" s="322">
        <v>1</v>
      </c>
      <c r="BC40" s="322"/>
      <c r="BD40" s="322"/>
      <c r="BE40" s="322"/>
      <c r="BF40" s="322"/>
      <c r="BG40" s="322"/>
      <c r="BH40" s="322"/>
      <c r="BI40" s="322"/>
      <c r="BJ40" s="322"/>
      <c r="BK40" s="322"/>
      <c r="BL40" s="322"/>
      <c r="BM40" s="322"/>
      <c r="BN40" s="322"/>
      <c r="BO40" s="322"/>
      <c r="BP40" s="322"/>
      <c r="BQ40" s="322"/>
      <c r="BR40" s="322"/>
      <c r="BS40" s="322"/>
      <c r="BT40" s="322"/>
      <c r="BU40" s="322"/>
      <c r="BV40" s="322"/>
      <c r="BW40" s="322"/>
      <c r="BX40" s="322"/>
      <c r="BY40" s="322"/>
      <c r="BZ40" s="322"/>
      <c r="CA40" s="322"/>
      <c r="CB40" s="322"/>
      <c r="CC40" s="322"/>
      <c r="CD40" s="322"/>
      <c r="CE40" s="322"/>
      <c r="CF40" s="322"/>
      <c r="CG40" s="324">
        <v>1</v>
      </c>
    </row>
    <row r="41" spans="1:85" x14ac:dyDescent="0.2">
      <c r="A41" s="321">
        <v>3060</v>
      </c>
      <c r="B41" s="322"/>
      <c r="C41" s="322"/>
      <c r="D41" s="322"/>
      <c r="E41" s="322"/>
      <c r="F41" s="323"/>
      <c r="G41" s="322"/>
      <c r="H41" s="322"/>
      <c r="I41" s="322"/>
      <c r="J41" s="322"/>
      <c r="K41" s="322"/>
      <c r="L41" s="322"/>
      <c r="M41" s="323"/>
      <c r="N41" s="322"/>
      <c r="O41" s="322"/>
      <c r="P41" s="322"/>
      <c r="Q41" s="322"/>
      <c r="R41" s="322"/>
      <c r="S41" s="322"/>
      <c r="T41" s="322"/>
      <c r="U41" s="323"/>
      <c r="V41" s="322"/>
      <c r="W41" s="322"/>
      <c r="X41" s="322"/>
      <c r="Y41" s="322"/>
      <c r="Z41" s="322"/>
      <c r="AA41" s="322"/>
      <c r="AB41" s="322"/>
      <c r="AC41" s="322"/>
      <c r="AD41" s="322"/>
      <c r="AE41" s="322"/>
      <c r="AF41" s="322"/>
      <c r="AG41" s="322"/>
      <c r="AH41" s="322"/>
      <c r="AI41" s="322"/>
      <c r="AJ41" s="322"/>
      <c r="AK41" s="322">
        <v>4</v>
      </c>
      <c r="AL41" s="322">
        <v>4</v>
      </c>
      <c r="AM41" s="322"/>
      <c r="AN41" s="322"/>
      <c r="AO41" s="322"/>
      <c r="AP41" s="322"/>
      <c r="AQ41" s="322"/>
      <c r="AR41" s="322"/>
      <c r="AS41" s="322"/>
      <c r="AT41" s="322"/>
      <c r="AU41" s="322">
        <v>4</v>
      </c>
      <c r="AV41" s="322"/>
      <c r="AW41" s="322"/>
      <c r="AX41" s="322"/>
      <c r="AY41" s="322"/>
      <c r="AZ41" s="322"/>
      <c r="BA41" s="322"/>
      <c r="BB41" s="322">
        <v>4</v>
      </c>
      <c r="BC41" s="322"/>
      <c r="BD41" s="322"/>
      <c r="BE41" s="322"/>
      <c r="BF41" s="322"/>
      <c r="BG41" s="322"/>
      <c r="BH41" s="322"/>
      <c r="BI41" s="322"/>
      <c r="BJ41" s="322"/>
      <c r="BK41" s="322"/>
      <c r="BL41" s="322"/>
      <c r="BM41" s="322"/>
      <c r="BN41" s="322"/>
      <c r="BO41" s="322"/>
      <c r="BP41" s="322"/>
      <c r="BQ41" s="322"/>
      <c r="BR41" s="322"/>
      <c r="BS41" s="322"/>
      <c r="BT41" s="322"/>
      <c r="BU41" s="322"/>
      <c r="BV41" s="322"/>
      <c r="BW41" s="322"/>
      <c r="BX41" s="322"/>
      <c r="BY41" s="322"/>
      <c r="BZ41" s="322"/>
      <c r="CA41" s="322"/>
      <c r="CB41" s="322"/>
      <c r="CC41" s="322"/>
      <c r="CD41" s="322"/>
      <c r="CE41" s="322"/>
      <c r="CF41" s="322"/>
      <c r="CG41" s="324">
        <v>4</v>
      </c>
    </row>
    <row r="42" spans="1:85" x14ac:dyDescent="0.2">
      <c r="A42" s="321">
        <v>3061</v>
      </c>
      <c r="B42" s="322"/>
      <c r="C42" s="322"/>
      <c r="D42" s="322"/>
      <c r="E42" s="322"/>
      <c r="F42" s="323"/>
      <c r="G42" s="322"/>
      <c r="H42" s="322"/>
      <c r="I42" s="322"/>
      <c r="J42" s="322"/>
      <c r="K42" s="322"/>
      <c r="L42" s="322"/>
      <c r="M42" s="323"/>
      <c r="N42" s="322"/>
      <c r="O42" s="322"/>
      <c r="P42" s="322"/>
      <c r="Q42" s="322"/>
      <c r="R42" s="322"/>
      <c r="S42" s="322"/>
      <c r="T42" s="322"/>
      <c r="U42" s="323"/>
      <c r="V42" s="322"/>
      <c r="W42" s="322"/>
      <c r="X42" s="322"/>
      <c r="Y42" s="322"/>
      <c r="Z42" s="322"/>
      <c r="AA42" s="322"/>
      <c r="AB42" s="322"/>
      <c r="AC42" s="322"/>
      <c r="AD42" s="322"/>
      <c r="AE42" s="322"/>
      <c r="AF42" s="322"/>
      <c r="AG42" s="322"/>
      <c r="AH42" s="322"/>
      <c r="AI42" s="322"/>
      <c r="AJ42" s="322"/>
      <c r="AK42" s="322">
        <v>117</v>
      </c>
      <c r="AL42" s="322">
        <v>117</v>
      </c>
      <c r="AM42" s="322"/>
      <c r="AN42" s="322"/>
      <c r="AO42" s="322"/>
      <c r="AP42" s="322"/>
      <c r="AQ42" s="322"/>
      <c r="AR42" s="322"/>
      <c r="AS42" s="322"/>
      <c r="AT42" s="322"/>
      <c r="AU42" s="322">
        <v>117</v>
      </c>
      <c r="AV42" s="322"/>
      <c r="AW42" s="322"/>
      <c r="AX42" s="322"/>
      <c r="AY42" s="322"/>
      <c r="AZ42" s="322"/>
      <c r="BA42" s="322"/>
      <c r="BB42" s="322">
        <v>117</v>
      </c>
      <c r="BC42" s="322"/>
      <c r="BD42" s="322"/>
      <c r="BE42" s="322"/>
      <c r="BF42" s="322"/>
      <c r="BG42" s="322"/>
      <c r="BH42" s="322"/>
      <c r="BI42" s="322"/>
      <c r="BJ42" s="322"/>
      <c r="BK42" s="322"/>
      <c r="BL42" s="322"/>
      <c r="BM42" s="322"/>
      <c r="BN42" s="322"/>
      <c r="BO42" s="322"/>
      <c r="BP42" s="322"/>
      <c r="BQ42" s="322"/>
      <c r="BR42" s="322"/>
      <c r="BS42" s="322"/>
      <c r="BT42" s="322"/>
      <c r="BU42" s="322"/>
      <c r="BV42" s="322"/>
      <c r="BW42" s="322"/>
      <c r="BX42" s="322"/>
      <c r="BY42" s="322"/>
      <c r="BZ42" s="322"/>
      <c r="CA42" s="322"/>
      <c r="CB42" s="322"/>
      <c r="CC42" s="322"/>
      <c r="CD42" s="322"/>
      <c r="CE42" s="322"/>
      <c r="CF42" s="322"/>
      <c r="CG42" s="324">
        <v>117</v>
      </c>
    </row>
    <row r="43" spans="1:85" x14ac:dyDescent="0.2">
      <c r="A43" s="321">
        <v>3067</v>
      </c>
      <c r="B43" s="322"/>
      <c r="C43" s="322"/>
      <c r="D43" s="322"/>
      <c r="E43" s="322"/>
      <c r="F43" s="323"/>
      <c r="G43" s="322"/>
      <c r="H43" s="322"/>
      <c r="I43" s="322"/>
      <c r="J43" s="322"/>
      <c r="K43" s="322"/>
      <c r="L43" s="322"/>
      <c r="M43" s="323"/>
      <c r="N43" s="322"/>
      <c r="O43" s="322"/>
      <c r="P43" s="322"/>
      <c r="Q43" s="322"/>
      <c r="R43" s="322"/>
      <c r="S43" s="322"/>
      <c r="T43" s="322"/>
      <c r="U43" s="323"/>
      <c r="V43" s="322"/>
      <c r="W43" s="322"/>
      <c r="X43" s="322"/>
      <c r="Y43" s="322"/>
      <c r="Z43" s="322"/>
      <c r="AA43" s="322"/>
      <c r="AB43" s="322"/>
      <c r="AC43" s="322"/>
      <c r="AD43" s="322"/>
      <c r="AE43" s="322"/>
      <c r="AF43" s="322"/>
      <c r="AG43" s="322"/>
      <c r="AH43" s="322"/>
      <c r="AI43" s="322"/>
      <c r="AJ43" s="322"/>
      <c r="AK43" s="322"/>
      <c r="AL43" s="322"/>
      <c r="AM43" s="322"/>
      <c r="AN43" s="322"/>
      <c r="AO43" s="322"/>
      <c r="AP43" s="322"/>
      <c r="AQ43" s="322">
        <v>2</v>
      </c>
      <c r="AR43" s="322">
        <v>2</v>
      </c>
      <c r="AS43" s="322"/>
      <c r="AT43" s="322"/>
      <c r="AU43" s="322">
        <v>2</v>
      </c>
      <c r="AV43" s="322"/>
      <c r="AW43" s="322"/>
      <c r="AX43" s="322"/>
      <c r="AY43" s="322"/>
      <c r="AZ43" s="322"/>
      <c r="BA43" s="322"/>
      <c r="BB43" s="322">
        <v>2</v>
      </c>
      <c r="BC43" s="322"/>
      <c r="BD43" s="322"/>
      <c r="BE43" s="322"/>
      <c r="BF43" s="322"/>
      <c r="BG43" s="322"/>
      <c r="BH43" s="322"/>
      <c r="BI43" s="322"/>
      <c r="BJ43" s="322"/>
      <c r="BK43" s="322"/>
      <c r="BL43" s="322"/>
      <c r="BM43" s="322"/>
      <c r="BN43" s="322"/>
      <c r="BO43" s="322"/>
      <c r="BP43" s="322"/>
      <c r="BQ43" s="322"/>
      <c r="BR43" s="322"/>
      <c r="BS43" s="322"/>
      <c r="BT43" s="322"/>
      <c r="BU43" s="322"/>
      <c r="BV43" s="322"/>
      <c r="BW43" s="322"/>
      <c r="BX43" s="322"/>
      <c r="BY43" s="322"/>
      <c r="BZ43" s="322"/>
      <c r="CA43" s="322"/>
      <c r="CB43" s="322"/>
      <c r="CC43" s="322"/>
      <c r="CD43" s="322"/>
      <c r="CE43" s="322"/>
      <c r="CF43" s="322"/>
      <c r="CG43" s="324">
        <v>2</v>
      </c>
    </row>
    <row r="44" spans="1:85" x14ac:dyDescent="0.2">
      <c r="A44" s="321">
        <v>3068</v>
      </c>
      <c r="B44" s="322"/>
      <c r="C44" s="322"/>
      <c r="D44" s="322"/>
      <c r="E44" s="322"/>
      <c r="F44" s="323"/>
      <c r="G44" s="322"/>
      <c r="H44" s="322"/>
      <c r="I44" s="322"/>
      <c r="J44" s="322"/>
      <c r="K44" s="322"/>
      <c r="L44" s="322"/>
      <c r="M44" s="323"/>
      <c r="N44" s="322"/>
      <c r="O44" s="322"/>
      <c r="P44" s="322"/>
      <c r="Q44" s="322"/>
      <c r="R44" s="322"/>
      <c r="S44" s="322"/>
      <c r="T44" s="322"/>
      <c r="U44" s="323"/>
      <c r="V44" s="322"/>
      <c r="W44" s="322"/>
      <c r="X44" s="322"/>
      <c r="Y44" s="322"/>
      <c r="Z44" s="322"/>
      <c r="AA44" s="322"/>
      <c r="AB44" s="322"/>
      <c r="AC44" s="322"/>
      <c r="AD44" s="322"/>
      <c r="AE44" s="322"/>
      <c r="AF44" s="322"/>
      <c r="AG44" s="322"/>
      <c r="AH44" s="322"/>
      <c r="AI44" s="322"/>
      <c r="AJ44" s="322"/>
      <c r="AK44" s="322"/>
      <c r="AL44" s="322"/>
      <c r="AM44" s="322"/>
      <c r="AN44" s="322"/>
      <c r="AO44" s="322"/>
      <c r="AP44" s="322"/>
      <c r="AQ44" s="322">
        <v>1</v>
      </c>
      <c r="AR44" s="322">
        <v>1</v>
      </c>
      <c r="AS44" s="322"/>
      <c r="AT44" s="322"/>
      <c r="AU44" s="322">
        <v>1</v>
      </c>
      <c r="AV44" s="322"/>
      <c r="AW44" s="322"/>
      <c r="AX44" s="322"/>
      <c r="AY44" s="322"/>
      <c r="AZ44" s="322"/>
      <c r="BA44" s="322"/>
      <c r="BB44" s="322">
        <v>1</v>
      </c>
      <c r="BC44" s="322"/>
      <c r="BD44" s="322"/>
      <c r="BE44" s="322"/>
      <c r="BF44" s="322"/>
      <c r="BG44" s="322"/>
      <c r="BH44" s="322"/>
      <c r="BI44" s="322"/>
      <c r="BJ44" s="322"/>
      <c r="BK44" s="322"/>
      <c r="BL44" s="322"/>
      <c r="BM44" s="322"/>
      <c r="BN44" s="322"/>
      <c r="BO44" s="322"/>
      <c r="BP44" s="322"/>
      <c r="BQ44" s="322"/>
      <c r="BR44" s="322"/>
      <c r="BS44" s="322"/>
      <c r="BT44" s="322"/>
      <c r="BU44" s="322"/>
      <c r="BV44" s="322"/>
      <c r="BW44" s="322"/>
      <c r="BX44" s="322"/>
      <c r="BY44" s="322"/>
      <c r="BZ44" s="322"/>
      <c r="CA44" s="322"/>
      <c r="CB44" s="322"/>
      <c r="CC44" s="322"/>
      <c r="CD44" s="322"/>
      <c r="CE44" s="322"/>
      <c r="CF44" s="322"/>
      <c r="CG44" s="324">
        <v>1</v>
      </c>
    </row>
    <row r="45" spans="1:85" x14ac:dyDescent="0.2">
      <c r="A45" s="321">
        <v>3071</v>
      </c>
      <c r="B45" s="322"/>
      <c r="C45" s="322"/>
      <c r="D45" s="322"/>
      <c r="E45" s="322"/>
      <c r="F45" s="323"/>
      <c r="G45" s="322"/>
      <c r="H45" s="322"/>
      <c r="I45" s="322"/>
      <c r="J45" s="322"/>
      <c r="K45" s="322"/>
      <c r="L45" s="322"/>
      <c r="M45" s="323"/>
      <c r="N45" s="322"/>
      <c r="O45" s="322"/>
      <c r="P45" s="322"/>
      <c r="Q45" s="322"/>
      <c r="R45" s="322"/>
      <c r="S45" s="322"/>
      <c r="T45" s="322"/>
      <c r="U45" s="323"/>
      <c r="V45" s="322"/>
      <c r="W45" s="322"/>
      <c r="X45" s="322"/>
      <c r="Y45" s="322"/>
      <c r="Z45" s="322"/>
      <c r="AA45" s="322"/>
      <c r="AB45" s="322"/>
      <c r="AC45" s="322"/>
      <c r="AD45" s="322"/>
      <c r="AE45" s="322"/>
      <c r="AF45" s="322"/>
      <c r="AG45" s="322"/>
      <c r="AH45" s="322"/>
      <c r="AI45" s="322"/>
      <c r="AJ45" s="322"/>
      <c r="AK45" s="322"/>
      <c r="AL45" s="322"/>
      <c r="AM45" s="322"/>
      <c r="AN45" s="322"/>
      <c r="AO45" s="322"/>
      <c r="AP45" s="322"/>
      <c r="AQ45" s="322">
        <v>1</v>
      </c>
      <c r="AR45" s="322">
        <v>1</v>
      </c>
      <c r="AS45" s="322"/>
      <c r="AT45" s="322"/>
      <c r="AU45" s="322">
        <v>1</v>
      </c>
      <c r="AV45" s="322"/>
      <c r="AW45" s="322"/>
      <c r="AX45" s="322"/>
      <c r="AY45" s="322"/>
      <c r="AZ45" s="322"/>
      <c r="BA45" s="322"/>
      <c r="BB45" s="322">
        <v>1</v>
      </c>
      <c r="BC45" s="322"/>
      <c r="BD45" s="322"/>
      <c r="BE45" s="322"/>
      <c r="BF45" s="322"/>
      <c r="BG45" s="322"/>
      <c r="BH45" s="322"/>
      <c r="BI45" s="322"/>
      <c r="BJ45" s="322"/>
      <c r="BK45" s="322"/>
      <c r="BL45" s="322"/>
      <c r="BM45" s="322"/>
      <c r="BN45" s="322"/>
      <c r="BO45" s="322"/>
      <c r="BP45" s="322"/>
      <c r="BQ45" s="322"/>
      <c r="BR45" s="322"/>
      <c r="BS45" s="322"/>
      <c r="BT45" s="322"/>
      <c r="BU45" s="322"/>
      <c r="BV45" s="322"/>
      <c r="BW45" s="322"/>
      <c r="BX45" s="322"/>
      <c r="BY45" s="322"/>
      <c r="BZ45" s="322"/>
      <c r="CA45" s="322"/>
      <c r="CB45" s="322"/>
      <c r="CC45" s="322"/>
      <c r="CD45" s="322"/>
      <c r="CE45" s="322"/>
      <c r="CF45" s="322"/>
      <c r="CG45" s="324">
        <v>1</v>
      </c>
    </row>
    <row r="46" spans="1:85" x14ac:dyDescent="0.2">
      <c r="A46" s="321">
        <v>3072</v>
      </c>
      <c r="B46" s="322"/>
      <c r="C46" s="322"/>
      <c r="D46" s="322"/>
      <c r="E46" s="322"/>
      <c r="F46" s="323"/>
      <c r="G46" s="322"/>
      <c r="H46" s="322"/>
      <c r="I46" s="322"/>
      <c r="J46" s="322"/>
      <c r="K46" s="322"/>
      <c r="L46" s="322"/>
      <c r="M46" s="323"/>
      <c r="N46" s="322"/>
      <c r="O46" s="322"/>
      <c r="P46" s="322"/>
      <c r="Q46" s="322"/>
      <c r="R46" s="322"/>
      <c r="S46" s="322"/>
      <c r="T46" s="322"/>
      <c r="U46" s="323"/>
      <c r="V46" s="322"/>
      <c r="W46" s="322"/>
      <c r="X46" s="322"/>
      <c r="Y46" s="322"/>
      <c r="Z46" s="322"/>
      <c r="AA46" s="322"/>
      <c r="AB46" s="322"/>
      <c r="AC46" s="322"/>
      <c r="AD46" s="322"/>
      <c r="AE46" s="322"/>
      <c r="AF46" s="322"/>
      <c r="AG46" s="322"/>
      <c r="AH46" s="322"/>
      <c r="AI46" s="322"/>
      <c r="AJ46" s="322"/>
      <c r="AK46" s="322"/>
      <c r="AL46" s="322"/>
      <c r="AM46" s="322"/>
      <c r="AN46" s="322"/>
      <c r="AO46" s="322"/>
      <c r="AP46" s="322"/>
      <c r="AQ46" s="322">
        <v>1</v>
      </c>
      <c r="AR46" s="322">
        <v>1</v>
      </c>
      <c r="AS46" s="322"/>
      <c r="AT46" s="322"/>
      <c r="AU46" s="322">
        <v>1</v>
      </c>
      <c r="AV46" s="322"/>
      <c r="AW46" s="322"/>
      <c r="AX46" s="322"/>
      <c r="AY46" s="322"/>
      <c r="AZ46" s="322"/>
      <c r="BA46" s="322"/>
      <c r="BB46" s="322">
        <v>1</v>
      </c>
      <c r="BC46" s="322"/>
      <c r="BD46" s="322"/>
      <c r="BE46" s="322"/>
      <c r="BF46" s="322"/>
      <c r="BG46" s="322"/>
      <c r="BH46" s="322"/>
      <c r="BI46" s="322"/>
      <c r="BJ46" s="322"/>
      <c r="BK46" s="322"/>
      <c r="BL46" s="322"/>
      <c r="BM46" s="322"/>
      <c r="BN46" s="322"/>
      <c r="BO46" s="322"/>
      <c r="BP46" s="322"/>
      <c r="BQ46" s="322"/>
      <c r="BR46" s="322"/>
      <c r="BS46" s="322"/>
      <c r="BT46" s="322"/>
      <c r="BU46" s="322"/>
      <c r="BV46" s="322"/>
      <c r="BW46" s="322"/>
      <c r="BX46" s="322"/>
      <c r="BY46" s="322"/>
      <c r="BZ46" s="322"/>
      <c r="CA46" s="322"/>
      <c r="CB46" s="322"/>
      <c r="CC46" s="322"/>
      <c r="CD46" s="322"/>
      <c r="CE46" s="322"/>
      <c r="CF46" s="322"/>
      <c r="CG46" s="324">
        <v>1</v>
      </c>
    </row>
    <row r="47" spans="1:85" x14ac:dyDescent="0.2">
      <c r="A47" s="321">
        <v>3073</v>
      </c>
      <c r="B47" s="322"/>
      <c r="C47" s="322"/>
      <c r="D47" s="322"/>
      <c r="E47" s="322"/>
      <c r="F47" s="323"/>
      <c r="G47" s="322"/>
      <c r="H47" s="322"/>
      <c r="I47" s="322"/>
      <c r="J47" s="322"/>
      <c r="K47" s="322"/>
      <c r="L47" s="322"/>
      <c r="M47" s="323"/>
      <c r="N47" s="322"/>
      <c r="O47" s="322"/>
      <c r="P47" s="322"/>
      <c r="Q47" s="322"/>
      <c r="R47" s="322"/>
      <c r="S47" s="322"/>
      <c r="T47" s="322"/>
      <c r="U47" s="323"/>
      <c r="V47" s="322"/>
      <c r="W47" s="322"/>
      <c r="X47" s="322"/>
      <c r="Y47" s="322"/>
      <c r="Z47" s="322"/>
      <c r="AA47" s="322"/>
      <c r="AB47" s="322"/>
      <c r="AC47" s="322"/>
      <c r="AD47" s="322"/>
      <c r="AE47" s="322"/>
      <c r="AF47" s="322"/>
      <c r="AG47" s="322"/>
      <c r="AH47" s="322"/>
      <c r="AI47" s="322"/>
      <c r="AJ47" s="322"/>
      <c r="AK47" s="322">
        <v>2</v>
      </c>
      <c r="AL47" s="322">
        <v>2</v>
      </c>
      <c r="AM47" s="322"/>
      <c r="AN47" s="322"/>
      <c r="AO47" s="322"/>
      <c r="AP47" s="322"/>
      <c r="AQ47" s="322"/>
      <c r="AR47" s="322"/>
      <c r="AS47" s="322"/>
      <c r="AT47" s="322"/>
      <c r="AU47" s="322">
        <v>2</v>
      </c>
      <c r="AV47" s="322"/>
      <c r="AW47" s="322"/>
      <c r="AX47" s="322"/>
      <c r="AY47" s="322"/>
      <c r="AZ47" s="322"/>
      <c r="BA47" s="322"/>
      <c r="BB47" s="322">
        <v>2</v>
      </c>
      <c r="BC47" s="322"/>
      <c r="BD47" s="322"/>
      <c r="BE47" s="322"/>
      <c r="BF47" s="322"/>
      <c r="BG47" s="322"/>
      <c r="BH47" s="322"/>
      <c r="BI47" s="322"/>
      <c r="BJ47" s="322"/>
      <c r="BK47" s="322"/>
      <c r="BL47" s="322"/>
      <c r="BM47" s="322"/>
      <c r="BN47" s="322"/>
      <c r="BO47" s="322"/>
      <c r="BP47" s="322"/>
      <c r="BQ47" s="322"/>
      <c r="BR47" s="322"/>
      <c r="BS47" s="322"/>
      <c r="BT47" s="322"/>
      <c r="BU47" s="322"/>
      <c r="BV47" s="322"/>
      <c r="BW47" s="322"/>
      <c r="BX47" s="322"/>
      <c r="BY47" s="322"/>
      <c r="BZ47" s="322"/>
      <c r="CA47" s="322"/>
      <c r="CB47" s="322"/>
      <c r="CC47" s="322"/>
      <c r="CD47" s="322"/>
      <c r="CE47" s="322"/>
      <c r="CF47" s="322"/>
      <c r="CG47" s="324">
        <v>2</v>
      </c>
    </row>
    <row r="48" spans="1:85" x14ac:dyDescent="0.2">
      <c r="A48" s="321">
        <v>3075</v>
      </c>
      <c r="B48" s="322"/>
      <c r="C48" s="322"/>
      <c r="D48" s="322"/>
      <c r="E48" s="322"/>
      <c r="F48" s="323"/>
      <c r="G48" s="322"/>
      <c r="H48" s="322"/>
      <c r="I48" s="322"/>
      <c r="J48" s="322"/>
      <c r="K48" s="322"/>
      <c r="L48" s="322"/>
      <c r="M48" s="323"/>
      <c r="N48" s="322"/>
      <c r="O48" s="322"/>
      <c r="P48" s="322"/>
      <c r="Q48" s="322"/>
      <c r="R48" s="322"/>
      <c r="S48" s="322"/>
      <c r="T48" s="322"/>
      <c r="U48" s="323"/>
      <c r="V48" s="322"/>
      <c r="W48" s="322"/>
      <c r="X48" s="322"/>
      <c r="Y48" s="322"/>
      <c r="Z48" s="322"/>
      <c r="AA48" s="322"/>
      <c r="AB48" s="322"/>
      <c r="AC48" s="322"/>
      <c r="AD48" s="322"/>
      <c r="AE48" s="322"/>
      <c r="AF48" s="322"/>
      <c r="AG48" s="322"/>
      <c r="AH48" s="322"/>
      <c r="AI48" s="322"/>
      <c r="AJ48" s="322"/>
      <c r="AK48" s="322"/>
      <c r="AL48" s="322"/>
      <c r="AM48" s="322">
        <v>7</v>
      </c>
      <c r="AN48" s="322">
        <v>7</v>
      </c>
      <c r="AO48" s="322"/>
      <c r="AP48" s="322"/>
      <c r="AQ48" s="322"/>
      <c r="AR48" s="322"/>
      <c r="AS48" s="322"/>
      <c r="AT48" s="322"/>
      <c r="AU48" s="322">
        <v>7</v>
      </c>
      <c r="AV48" s="322"/>
      <c r="AW48" s="322"/>
      <c r="AX48" s="322"/>
      <c r="AY48" s="322"/>
      <c r="AZ48" s="322"/>
      <c r="BA48" s="322"/>
      <c r="BB48" s="322">
        <v>7</v>
      </c>
      <c r="BC48" s="322"/>
      <c r="BD48" s="322"/>
      <c r="BE48" s="322"/>
      <c r="BF48" s="322"/>
      <c r="BG48" s="322"/>
      <c r="BH48" s="322"/>
      <c r="BI48" s="322"/>
      <c r="BJ48" s="322"/>
      <c r="BK48" s="322"/>
      <c r="BL48" s="322"/>
      <c r="BM48" s="322"/>
      <c r="BN48" s="322"/>
      <c r="BO48" s="322"/>
      <c r="BP48" s="322"/>
      <c r="BQ48" s="322"/>
      <c r="BR48" s="322"/>
      <c r="BS48" s="322"/>
      <c r="BT48" s="322"/>
      <c r="BU48" s="322"/>
      <c r="BV48" s="322"/>
      <c r="BW48" s="322"/>
      <c r="BX48" s="322"/>
      <c r="BY48" s="322"/>
      <c r="BZ48" s="322"/>
      <c r="CA48" s="322"/>
      <c r="CB48" s="322"/>
      <c r="CC48" s="322"/>
      <c r="CD48" s="322"/>
      <c r="CE48" s="322"/>
      <c r="CF48" s="322"/>
      <c r="CG48" s="324">
        <v>7</v>
      </c>
    </row>
    <row r="49" spans="1:85" x14ac:dyDescent="0.2">
      <c r="A49" s="321">
        <v>3076</v>
      </c>
      <c r="B49" s="322"/>
      <c r="C49" s="322"/>
      <c r="D49" s="322"/>
      <c r="E49" s="322"/>
      <c r="F49" s="323"/>
      <c r="G49" s="322"/>
      <c r="H49" s="322"/>
      <c r="I49" s="322"/>
      <c r="J49" s="322"/>
      <c r="K49" s="322"/>
      <c r="L49" s="322"/>
      <c r="M49" s="323"/>
      <c r="N49" s="322"/>
      <c r="O49" s="322"/>
      <c r="P49" s="322"/>
      <c r="Q49" s="322"/>
      <c r="R49" s="322"/>
      <c r="S49" s="322"/>
      <c r="T49" s="322"/>
      <c r="U49" s="323"/>
      <c r="V49" s="322"/>
      <c r="W49" s="322"/>
      <c r="X49" s="322"/>
      <c r="Y49" s="322"/>
      <c r="Z49" s="322"/>
      <c r="AA49" s="322"/>
      <c r="AB49" s="322"/>
      <c r="AC49" s="322"/>
      <c r="AD49" s="322"/>
      <c r="AE49" s="322"/>
      <c r="AF49" s="322"/>
      <c r="AG49" s="322"/>
      <c r="AH49" s="322"/>
      <c r="AI49" s="322"/>
      <c r="AJ49" s="322"/>
      <c r="AK49" s="322"/>
      <c r="AL49" s="322"/>
      <c r="AM49" s="322"/>
      <c r="AN49" s="322"/>
      <c r="AO49" s="322"/>
      <c r="AP49" s="322"/>
      <c r="AQ49" s="322"/>
      <c r="AR49" s="322"/>
      <c r="AS49" s="322">
        <v>6</v>
      </c>
      <c r="AT49" s="322">
        <v>6</v>
      </c>
      <c r="AU49" s="322">
        <v>6</v>
      </c>
      <c r="AV49" s="322"/>
      <c r="AW49" s="322"/>
      <c r="AX49" s="322"/>
      <c r="AY49" s="322"/>
      <c r="AZ49" s="322"/>
      <c r="BA49" s="322"/>
      <c r="BB49" s="322">
        <v>6</v>
      </c>
      <c r="BC49" s="322"/>
      <c r="BD49" s="322"/>
      <c r="BE49" s="322"/>
      <c r="BF49" s="322"/>
      <c r="BG49" s="322"/>
      <c r="BH49" s="322"/>
      <c r="BI49" s="322"/>
      <c r="BJ49" s="322"/>
      <c r="BK49" s="322"/>
      <c r="BL49" s="322"/>
      <c r="BM49" s="322"/>
      <c r="BN49" s="322"/>
      <c r="BO49" s="322"/>
      <c r="BP49" s="322"/>
      <c r="BQ49" s="322"/>
      <c r="BR49" s="322"/>
      <c r="BS49" s="322"/>
      <c r="BT49" s="322"/>
      <c r="BU49" s="322"/>
      <c r="BV49" s="322"/>
      <c r="BW49" s="322"/>
      <c r="BX49" s="322"/>
      <c r="BY49" s="322"/>
      <c r="BZ49" s="322"/>
      <c r="CA49" s="322"/>
      <c r="CB49" s="322"/>
      <c r="CC49" s="322"/>
      <c r="CD49" s="322"/>
      <c r="CE49" s="322"/>
      <c r="CF49" s="322"/>
      <c r="CG49" s="324">
        <v>6</v>
      </c>
    </row>
    <row r="50" spans="1:85" x14ac:dyDescent="0.2">
      <c r="A50" s="321">
        <v>3078</v>
      </c>
      <c r="B50" s="322"/>
      <c r="C50" s="322"/>
      <c r="D50" s="322"/>
      <c r="E50" s="322"/>
      <c r="F50" s="323"/>
      <c r="G50" s="322"/>
      <c r="H50" s="322"/>
      <c r="I50" s="322"/>
      <c r="J50" s="322"/>
      <c r="K50" s="322"/>
      <c r="L50" s="322"/>
      <c r="M50" s="323"/>
      <c r="N50" s="322"/>
      <c r="O50" s="322"/>
      <c r="P50" s="322"/>
      <c r="Q50" s="322"/>
      <c r="R50" s="322"/>
      <c r="S50" s="322"/>
      <c r="T50" s="322"/>
      <c r="U50" s="323"/>
      <c r="V50" s="322"/>
      <c r="W50" s="322"/>
      <c r="X50" s="322"/>
      <c r="Y50" s="322"/>
      <c r="Z50" s="322"/>
      <c r="AA50" s="322"/>
      <c r="AB50" s="322"/>
      <c r="AC50" s="322"/>
      <c r="AD50" s="322"/>
      <c r="AE50" s="322"/>
      <c r="AF50" s="322"/>
      <c r="AG50" s="322"/>
      <c r="AH50" s="322"/>
      <c r="AI50" s="322"/>
      <c r="AJ50" s="322"/>
      <c r="AK50" s="322"/>
      <c r="AL50" s="322"/>
      <c r="AM50" s="322"/>
      <c r="AN50" s="322"/>
      <c r="AO50" s="322"/>
      <c r="AP50" s="322"/>
      <c r="AQ50" s="322"/>
      <c r="AR50" s="322"/>
      <c r="AS50" s="322">
        <v>17</v>
      </c>
      <c r="AT50" s="322">
        <v>17</v>
      </c>
      <c r="AU50" s="322">
        <v>17</v>
      </c>
      <c r="AV50" s="322"/>
      <c r="AW50" s="322"/>
      <c r="AX50" s="322"/>
      <c r="AY50" s="322"/>
      <c r="AZ50" s="322"/>
      <c r="BA50" s="322"/>
      <c r="BB50" s="322">
        <v>17</v>
      </c>
      <c r="BC50" s="322"/>
      <c r="BD50" s="322"/>
      <c r="BE50" s="322"/>
      <c r="BF50" s="322"/>
      <c r="BG50" s="322"/>
      <c r="BH50" s="322"/>
      <c r="BI50" s="322"/>
      <c r="BJ50" s="322"/>
      <c r="BK50" s="322"/>
      <c r="BL50" s="322"/>
      <c r="BM50" s="322"/>
      <c r="BN50" s="322"/>
      <c r="BO50" s="322"/>
      <c r="BP50" s="322"/>
      <c r="BQ50" s="322"/>
      <c r="BR50" s="322"/>
      <c r="BS50" s="322"/>
      <c r="BT50" s="322"/>
      <c r="BU50" s="322"/>
      <c r="BV50" s="322"/>
      <c r="BW50" s="322"/>
      <c r="BX50" s="322"/>
      <c r="BY50" s="322"/>
      <c r="BZ50" s="322"/>
      <c r="CA50" s="322"/>
      <c r="CB50" s="322"/>
      <c r="CC50" s="322"/>
      <c r="CD50" s="322"/>
      <c r="CE50" s="322"/>
      <c r="CF50" s="322"/>
      <c r="CG50" s="324">
        <v>17</v>
      </c>
    </row>
    <row r="51" spans="1:85" x14ac:dyDescent="0.2">
      <c r="A51" s="321">
        <v>3079</v>
      </c>
      <c r="B51" s="322"/>
      <c r="C51" s="322"/>
      <c r="D51" s="322"/>
      <c r="E51" s="322"/>
      <c r="F51" s="323"/>
      <c r="G51" s="322"/>
      <c r="H51" s="322"/>
      <c r="I51" s="322"/>
      <c r="J51" s="322"/>
      <c r="K51" s="322"/>
      <c r="L51" s="322"/>
      <c r="M51" s="323"/>
      <c r="N51" s="322"/>
      <c r="O51" s="322"/>
      <c r="P51" s="322"/>
      <c r="Q51" s="322"/>
      <c r="R51" s="322"/>
      <c r="S51" s="322"/>
      <c r="T51" s="322"/>
      <c r="U51" s="323"/>
      <c r="V51" s="322"/>
      <c r="W51" s="322"/>
      <c r="X51" s="322"/>
      <c r="Y51" s="322"/>
      <c r="Z51" s="322"/>
      <c r="AA51" s="322"/>
      <c r="AB51" s="322"/>
      <c r="AC51" s="322"/>
      <c r="AD51" s="322"/>
      <c r="AE51" s="322"/>
      <c r="AF51" s="322"/>
      <c r="AG51" s="322"/>
      <c r="AH51" s="322"/>
      <c r="AI51" s="322"/>
      <c r="AJ51" s="322"/>
      <c r="AK51" s="322"/>
      <c r="AL51" s="322"/>
      <c r="AM51" s="322"/>
      <c r="AN51" s="322"/>
      <c r="AO51" s="322"/>
      <c r="AP51" s="322"/>
      <c r="AQ51" s="322"/>
      <c r="AR51" s="322"/>
      <c r="AS51" s="322">
        <v>16</v>
      </c>
      <c r="AT51" s="322">
        <v>16</v>
      </c>
      <c r="AU51" s="322">
        <v>16</v>
      </c>
      <c r="AV51" s="322"/>
      <c r="AW51" s="322"/>
      <c r="AX51" s="322"/>
      <c r="AY51" s="322"/>
      <c r="AZ51" s="322"/>
      <c r="BA51" s="322"/>
      <c r="BB51" s="322">
        <v>16</v>
      </c>
      <c r="BC51" s="322"/>
      <c r="BD51" s="322"/>
      <c r="BE51" s="322"/>
      <c r="BF51" s="322"/>
      <c r="BG51" s="322"/>
      <c r="BH51" s="322"/>
      <c r="BI51" s="322"/>
      <c r="BJ51" s="322"/>
      <c r="BK51" s="322"/>
      <c r="BL51" s="322"/>
      <c r="BM51" s="322"/>
      <c r="BN51" s="322"/>
      <c r="BO51" s="322"/>
      <c r="BP51" s="322"/>
      <c r="BQ51" s="322"/>
      <c r="BR51" s="322"/>
      <c r="BS51" s="322"/>
      <c r="BT51" s="322"/>
      <c r="BU51" s="322"/>
      <c r="BV51" s="322"/>
      <c r="BW51" s="322"/>
      <c r="BX51" s="322"/>
      <c r="BY51" s="322"/>
      <c r="BZ51" s="322"/>
      <c r="CA51" s="322"/>
      <c r="CB51" s="322"/>
      <c r="CC51" s="322"/>
      <c r="CD51" s="322"/>
      <c r="CE51" s="322"/>
      <c r="CF51" s="322"/>
      <c r="CG51" s="324">
        <v>16</v>
      </c>
    </row>
    <row r="52" spans="1:85" x14ac:dyDescent="0.2">
      <c r="A52" s="321">
        <v>3080</v>
      </c>
      <c r="B52" s="322"/>
      <c r="C52" s="322"/>
      <c r="D52" s="322"/>
      <c r="E52" s="322"/>
      <c r="F52" s="323"/>
      <c r="G52" s="322"/>
      <c r="H52" s="322"/>
      <c r="I52" s="322"/>
      <c r="J52" s="322"/>
      <c r="K52" s="322"/>
      <c r="L52" s="322"/>
      <c r="M52" s="323"/>
      <c r="N52" s="322"/>
      <c r="O52" s="322"/>
      <c r="P52" s="322"/>
      <c r="Q52" s="322"/>
      <c r="R52" s="322"/>
      <c r="S52" s="322"/>
      <c r="T52" s="322"/>
      <c r="U52" s="323"/>
      <c r="V52" s="322"/>
      <c r="W52" s="322"/>
      <c r="X52" s="322"/>
      <c r="Y52" s="322"/>
      <c r="Z52" s="322"/>
      <c r="AA52" s="322"/>
      <c r="AB52" s="322"/>
      <c r="AC52" s="322"/>
      <c r="AD52" s="322"/>
      <c r="AE52" s="322"/>
      <c r="AF52" s="322"/>
      <c r="AG52" s="322"/>
      <c r="AH52" s="322"/>
      <c r="AI52" s="322"/>
      <c r="AJ52" s="322"/>
      <c r="AK52" s="322"/>
      <c r="AL52" s="322"/>
      <c r="AM52" s="322"/>
      <c r="AN52" s="322"/>
      <c r="AO52" s="322"/>
      <c r="AP52" s="322"/>
      <c r="AQ52" s="322"/>
      <c r="AR52" s="322"/>
      <c r="AS52" s="322">
        <v>20</v>
      </c>
      <c r="AT52" s="322">
        <v>20</v>
      </c>
      <c r="AU52" s="322">
        <v>20</v>
      </c>
      <c r="AV52" s="322"/>
      <c r="AW52" s="322"/>
      <c r="AX52" s="322"/>
      <c r="AY52" s="322"/>
      <c r="AZ52" s="322"/>
      <c r="BA52" s="322"/>
      <c r="BB52" s="322">
        <v>20</v>
      </c>
      <c r="BC52" s="322"/>
      <c r="BD52" s="322"/>
      <c r="BE52" s="322"/>
      <c r="BF52" s="322"/>
      <c r="BG52" s="322"/>
      <c r="BH52" s="322"/>
      <c r="BI52" s="322"/>
      <c r="BJ52" s="322"/>
      <c r="BK52" s="322"/>
      <c r="BL52" s="322"/>
      <c r="BM52" s="322"/>
      <c r="BN52" s="322"/>
      <c r="BO52" s="322"/>
      <c r="BP52" s="322"/>
      <c r="BQ52" s="322"/>
      <c r="BR52" s="322"/>
      <c r="BS52" s="322"/>
      <c r="BT52" s="322"/>
      <c r="BU52" s="322"/>
      <c r="BV52" s="322"/>
      <c r="BW52" s="322"/>
      <c r="BX52" s="322"/>
      <c r="BY52" s="322"/>
      <c r="BZ52" s="322"/>
      <c r="CA52" s="322"/>
      <c r="CB52" s="322"/>
      <c r="CC52" s="322"/>
      <c r="CD52" s="322"/>
      <c r="CE52" s="322"/>
      <c r="CF52" s="322"/>
      <c r="CG52" s="324">
        <v>20</v>
      </c>
    </row>
    <row r="53" spans="1:85" x14ac:dyDescent="0.2">
      <c r="A53" s="321">
        <v>3081</v>
      </c>
      <c r="B53" s="322"/>
      <c r="C53" s="322"/>
      <c r="D53" s="322"/>
      <c r="E53" s="322"/>
      <c r="F53" s="323"/>
      <c r="G53" s="322"/>
      <c r="H53" s="322"/>
      <c r="I53" s="322"/>
      <c r="J53" s="322"/>
      <c r="K53" s="322"/>
      <c r="L53" s="322"/>
      <c r="M53" s="323"/>
      <c r="N53" s="322"/>
      <c r="O53" s="322"/>
      <c r="P53" s="322"/>
      <c r="Q53" s="322"/>
      <c r="R53" s="322"/>
      <c r="S53" s="322"/>
      <c r="T53" s="322"/>
      <c r="U53" s="323"/>
      <c r="V53" s="322"/>
      <c r="W53" s="322"/>
      <c r="X53" s="322"/>
      <c r="Y53" s="322"/>
      <c r="Z53" s="322"/>
      <c r="AA53" s="322"/>
      <c r="AB53" s="322"/>
      <c r="AC53" s="322"/>
      <c r="AD53" s="322"/>
      <c r="AE53" s="322"/>
      <c r="AF53" s="322"/>
      <c r="AG53" s="322"/>
      <c r="AH53" s="322"/>
      <c r="AI53" s="322"/>
      <c r="AJ53" s="322"/>
      <c r="AK53" s="322"/>
      <c r="AL53" s="322"/>
      <c r="AM53" s="322"/>
      <c r="AN53" s="322"/>
      <c r="AO53" s="322"/>
      <c r="AP53" s="322"/>
      <c r="AQ53" s="322"/>
      <c r="AR53" s="322"/>
      <c r="AS53" s="322">
        <v>5</v>
      </c>
      <c r="AT53" s="322">
        <v>5</v>
      </c>
      <c r="AU53" s="322">
        <v>5</v>
      </c>
      <c r="AV53" s="322"/>
      <c r="AW53" s="322"/>
      <c r="AX53" s="322"/>
      <c r="AY53" s="322"/>
      <c r="AZ53" s="322"/>
      <c r="BA53" s="322"/>
      <c r="BB53" s="322">
        <v>5</v>
      </c>
      <c r="BC53" s="322"/>
      <c r="BD53" s="322"/>
      <c r="BE53" s="322"/>
      <c r="BF53" s="322"/>
      <c r="BG53" s="322"/>
      <c r="BH53" s="322"/>
      <c r="BI53" s="322"/>
      <c r="BJ53" s="322"/>
      <c r="BK53" s="322"/>
      <c r="BL53" s="322"/>
      <c r="BM53" s="322"/>
      <c r="BN53" s="322"/>
      <c r="BO53" s="322"/>
      <c r="BP53" s="322"/>
      <c r="BQ53" s="322"/>
      <c r="BR53" s="322"/>
      <c r="BS53" s="322"/>
      <c r="BT53" s="322"/>
      <c r="BU53" s="322"/>
      <c r="BV53" s="322"/>
      <c r="BW53" s="322"/>
      <c r="BX53" s="322"/>
      <c r="BY53" s="322"/>
      <c r="BZ53" s="322"/>
      <c r="CA53" s="322"/>
      <c r="CB53" s="322"/>
      <c r="CC53" s="322"/>
      <c r="CD53" s="322"/>
      <c r="CE53" s="322"/>
      <c r="CF53" s="322"/>
      <c r="CG53" s="324">
        <v>5</v>
      </c>
    </row>
    <row r="54" spans="1:85" x14ac:dyDescent="0.2">
      <c r="A54" s="321">
        <v>3084</v>
      </c>
      <c r="B54" s="322"/>
      <c r="C54" s="322"/>
      <c r="D54" s="322"/>
      <c r="E54" s="322"/>
      <c r="F54" s="323"/>
      <c r="G54" s="322"/>
      <c r="H54" s="322"/>
      <c r="I54" s="322"/>
      <c r="J54" s="322"/>
      <c r="K54" s="322"/>
      <c r="L54" s="322"/>
      <c r="M54" s="323"/>
      <c r="N54" s="322"/>
      <c r="O54" s="322"/>
      <c r="P54" s="322"/>
      <c r="Q54" s="322"/>
      <c r="R54" s="322"/>
      <c r="S54" s="322"/>
      <c r="T54" s="322"/>
      <c r="U54" s="323"/>
      <c r="V54" s="322"/>
      <c r="W54" s="322"/>
      <c r="X54" s="322"/>
      <c r="Y54" s="322"/>
      <c r="Z54" s="322"/>
      <c r="AA54" s="322"/>
      <c r="AB54" s="322">
        <v>5</v>
      </c>
      <c r="AC54" s="322">
        <v>5</v>
      </c>
      <c r="AD54" s="322"/>
      <c r="AE54" s="322"/>
      <c r="AF54" s="322">
        <v>5</v>
      </c>
      <c r="AG54" s="322"/>
      <c r="AH54" s="322"/>
      <c r="AI54" s="322"/>
      <c r="AJ54" s="322">
        <v>5</v>
      </c>
      <c r="AK54" s="322"/>
      <c r="AL54" s="322"/>
      <c r="AM54" s="322"/>
      <c r="AN54" s="322"/>
      <c r="AO54" s="322"/>
      <c r="AP54" s="322"/>
      <c r="AQ54" s="322"/>
      <c r="AR54" s="322"/>
      <c r="AS54" s="322"/>
      <c r="AT54" s="322"/>
      <c r="AU54" s="322"/>
      <c r="AV54" s="322"/>
      <c r="AW54" s="322"/>
      <c r="AX54" s="322"/>
      <c r="AY54" s="322"/>
      <c r="AZ54" s="322"/>
      <c r="BA54" s="322"/>
      <c r="BB54" s="322"/>
      <c r="BC54" s="322"/>
      <c r="BD54" s="322"/>
      <c r="BE54" s="322"/>
      <c r="BF54" s="322"/>
      <c r="BG54" s="322"/>
      <c r="BH54" s="322"/>
      <c r="BI54" s="322"/>
      <c r="BJ54" s="322"/>
      <c r="BK54" s="322"/>
      <c r="BL54" s="322"/>
      <c r="BM54" s="322"/>
      <c r="BN54" s="322"/>
      <c r="BO54" s="322"/>
      <c r="BP54" s="322"/>
      <c r="BQ54" s="322"/>
      <c r="BR54" s="322"/>
      <c r="BS54" s="322"/>
      <c r="BT54" s="322"/>
      <c r="BU54" s="322"/>
      <c r="BV54" s="322"/>
      <c r="BW54" s="322"/>
      <c r="BX54" s="322"/>
      <c r="BY54" s="322"/>
      <c r="BZ54" s="322"/>
      <c r="CA54" s="322"/>
      <c r="CB54" s="322"/>
      <c r="CC54" s="322"/>
      <c r="CD54" s="322"/>
      <c r="CE54" s="322"/>
      <c r="CF54" s="322"/>
      <c r="CG54" s="324">
        <v>5</v>
      </c>
    </row>
    <row r="55" spans="1:85" x14ac:dyDescent="0.2">
      <c r="A55" s="321">
        <v>3088</v>
      </c>
      <c r="B55" s="322"/>
      <c r="C55" s="322"/>
      <c r="D55" s="322"/>
      <c r="E55" s="322"/>
      <c r="F55" s="323"/>
      <c r="G55" s="322"/>
      <c r="H55" s="322"/>
      <c r="I55" s="322"/>
      <c r="J55" s="322"/>
      <c r="K55" s="322"/>
      <c r="L55" s="322"/>
      <c r="M55" s="323"/>
      <c r="N55" s="322"/>
      <c r="O55" s="322"/>
      <c r="P55" s="322"/>
      <c r="Q55" s="322"/>
      <c r="R55" s="322"/>
      <c r="S55" s="322"/>
      <c r="T55" s="322"/>
      <c r="U55" s="323"/>
      <c r="V55" s="322"/>
      <c r="W55" s="322"/>
      <c r="X55" s="322"/>
      <c r="Y55" s="322"/>
      <c r="Z55" s="322"/>
      <c r="AA55" s="322"/>
      <c r="AB55" s="322">
        <v>13</v>
      </c>
      <c r="AC55" s="322">
        <v>13</v>
      </c>
      <c r="AD55" s="322"/>
      <c r="AE55" s="322"/>
      <c r="AF55" s="322">
        <v>13</v>
      </c>
      <c r="AG55" s="322"/>
      <c r="AH55" s="322"/>
      <c r="AI55" s="322"/>
      <c r="AJ55" s="322">
        <v>13</v>
      </c>
      <c r="AK55" s="322"/>
      <c r="AL55" s="322"/>
      <c r="AM55" s="322"/>
      <c r="AN55" s="322"/>
      <c r="AO55" s="322"/>
      <c r="AP55" s="322"/>
      <c r="AQ55" s="322"/>
      <c r="AR55" s="322"/>
      <c r="AS55" s="322"/>
      <c r="AT55" s="322"/>
      <c r="AU55" s="322"/>
      <c r="AV55" s="322"/>
      <c r="AW55" s="322"/>
      <c r="AX55" s="322"/>
      <c r="AY55" s="322"/>
      <c r="AZ55" s="322"/>
      <c r="BA55" s="322"/>
      <c r="BB55" s="322"/>
      <c r="BC55" s="322"/>
      <c r="BD55" s="322"/>
      <c r="BE55" s="322"/>
      <c r="BF55" s="322"/>
      <c r="BG55" s="322"/>
      <c r="BH55" s="322"/>
      <c r="BI55" s="322"/>
      <c r="BJ55" s="322"/>
      <c r="BK55" s="322"/>
      <c r="BL55" s="322"/>
      <c r="BM55" s="322"/>
      <c r="BN55" s="322"/>
      <c r="BO55" s="322"/>
      <c r="BP55" s="322"/>
      <c r="BQ55" s="322"/>
      <c r="BR55" s="322"/>
      <c r="BS55" s="322"/>
      <c r="BT55" s="322"/>
      <c r="BU55" s="322"/>
      <c r="BV55" s="322"/>
      <c r="BW55" s="322"/>
      <c r="BX55" s="322"/>
      <c r="BY55" s="322"/>
      <c r="BZ55" s="322"/>
      <c r="CA55" s="322"/>
      <c r="CB55" s="322"/>
      <c r="CC55" s="322"/>
      <c r="CD55" s="322"/>
      <c r="CE55" s="322"/>
      <c r="CF55" s="322"/>
      <c r="CG55" s="324">
        <v>13</v>
      </c>
    </row>
    <row r="56" spans="1:85" x14ac:dyDescent="0.2">
      <c r="A56" s="321">
        <v>3089</v>
      </c>
      <c r="B56" s="322"/>
      <c r="C56" s="322"/>
      <c r="D56" s="322"/>
      <c r="E56" s="322"/>
      <c r="F56" s="323"/>
      <c r="G56" s="322"/>
      <c r="H56" s="322"/>
      <c r="I56" s="322"/>
      <c r="J56" s="322"/>
      <c r="K56" s="322"/>
      <c r="L56" s="322"/>
      <c r="M56" s="323"/>
      <c r="N56" s="322"/>
      <c r="O56" s="322"/>
      <c r="P56" s="322"/>
      <c r="Q56" s="322"/>
      <c r="R56" s="322"/>
      <c r="S56" s="322"/>
      <c r="T56" s="322"/>
      <c r="U56" s="323"/>
      <c r="V56" s="322"/>
      <c r="W56" s="322"/>
      <c r="X56" s="322"/>
      <c r="Y56" s="322"/>
      <c r="Z56" s="322"/>
      <c r="AA56" s="322"/>
      <c r="AB56" s="322"/>
      <c r="AC56" s="322"/>
      <c r="AD56" s="322"/>
      <c r="AE56" s="322"/>
      <c r="AF56" s="322"/>
      <c r="AG56" s="322"/>
      <c r="AH56" s="322"/>
      <c r="AI56" s="322"/>
      <c r="AJ56" s="322"/>
      <c r="AK56" s="322"/>
      <c r="AL56" s="322"/>
      <c r="AM56" s="322"/>
      <c r="AN56" s="322"/>
      <c r="AO56" s="322"/>
      <c r="AP56" s="322"/>
      <c r="AQ56" s="322"/>
      <c r="AR56" s="322"/>
      <c r="AS56" s="322"/>
      <c r="AT56" s="322"/>
      <c r="AU56" s="322"/>
      <c r="AV56" s="322"/>
      <c r="AW56" s="322"/>
      <c r="AX56" s="322"/>
      <c r="AY56" s="322"/>
      <c r="AZ56" s="322"/>
      <c r="BA56" s="322"/>
      <c r="BB56" s="322"/>
      <c r="BC56" s="322"/>
      <c r="BD56" s="322"/>
      <c r="BE56" s="322"/>
      <c r="BF56" s="322"/>
      <c r="BG56" s="322"/>
      <c r="BH56" s="322"/>
      <c r="BI56" s="322"/>
      <c r="BJ56" s="322"/>
      <c r="BK56" s="322"/>
      <c r="BL56" s="322"/>
      <c r="BM56" s="322"/>
      <c r="BN56" s="322"/>
      <c r="BO56" s="322"/>
      <c r="BP56" s="322"/>
      <c r="BQ56" s="322"/>
      <c r="BR56" s="322"/>
      <c r="BS56" s="322"/>
      <c r="BT56" s="322"/>
      <c r="BU56" s="322"/>
      <c r="BV56" s="322"/>
      <c r="BW56" s="322">
        <v>39</v>
      </c>
      <c r="BX56" s="322">
        <v>39</v>
      </c>
      <c r="BY56" s="322"/>
      <c r="BZ56" s="322"/>
      <c r="CA56" s="322">
        <v>39</v>
      </c>
      <c r="CB56" s="322">
        <v>39</v>
      </c>
      <c r="CC56" s="322"/>
      <c r="CD56" s="322"/>
      <c r="CE56" s="322"/>
      <c r="CF56" s="322"/>
      <c r="CG56" s="324">
        <v>39</v>
      </c>
    </row>
    <row r="57" spans="1:85" x14ac:dyDescent="0.2">
      <c r="A57" s="321">
        <v>3090</v>
      </c>
      <c r="B57" s="322"/>
      <c r="C57" s="322"/>
      <c r="D57" s="322"/>
      <c r="E57" s="322"/>
      <c r="F57" s="323"/>
      <c r="G57" s="322"/>
      <c r="H57" s="322"/>
      <c r="I57" s="322"/>
      <c r="J57" s="322"/>
      <c r="K57" s="322"/>
      <c r="L57" s="322"/>
      <c r="M57" s="323"/>
      <c r="N57" s="322"/>
      <c r="O57" s="322"/>
      <c r="P57" s="322"/>
      <c r="Q57" s="322"/>
      <c r="R57" s="322"/>
      <c r="S57" s="322"/>
      <c r="T57" s="322"/>
      <c r="U57" s="323"/>
      <c r="V57" s="322"/>
      <c r="W57" s="322"/>
      <c r="X57" s="322"/>
      <c r="Y57" s="322"/>
      <c r="Z57" s="322"/>
      <c r="AA57" s="322"/>
      <c r="AB57" s="322">
        <v>1</v>
      </c>
      <c r="AC57" s="322">
        <v>1</v>
      </c>
      <c r="AD57" s="322"/>
      <c r="AE57" s="322"/>
      <c r="AF57" s="322">
        <v>1</v>
      </c>
      <c r="AG57" s="322"/>
      <c r="AH57" s="322"/>
      <c r="AI57" s="322"/>
      <c r="AJ57" s="322">
        <v>1</v>
      </c>
      <c r="AK57" s="322"/>
      <c r="AL57" s="322"/>
      <c r="AM57" s="322"/>
      <c r="AN57" s="322"/>
      <c r="AO57" s="322"/>
      <c r="AP57" s="322"/>
      <c r="AQ57" s="322"/>
      <c r="AR57" s="322"/>
      <c r="AS57" s="322"/>
      <c r="AT57" s="322"/>
      <c r="AU57" s="322"/>
      <c r="AV57" s="322"/>
      <c r="AW57" s="322"/>
      <c r="AX57" s="322"/>
      <c r="AY57" s="322"/>
      <c r="AZ57" s="322"/>
      <c r="BA57" s="322"/>
      <c r="BB57" s="322"/>
      <c r="BC57" s="322"/>
      <c r="BD57" s="322"/>
      <c r="BE57" s="322"/>
      <c r="BF57" s="322"/>
      <c r="BG57" s="322"/>
      <c r="BH57" s="322"/>
      <c r="BI57" s="322"/>
      <c r="BJ57" s="322"/>
      <c r="BK57" s="322"/>
      <c r="BL57" s="322"/>
      <c r="BM57" s="322"/>
      <c r="BN57" s="322"/>
      <c r="BO57" s="322"/>
      <c r="BP57" s="322"/>
      <c r="BQ57" s="322"/>
      <c r="BR57" s="322"/>
      <c r="BS57" s="322"/>
      <c r="BT57" s="322"/>
      <c r="BU57" s="322"/>
      <c r="BV57" s="322"/>
      <c r="BW57" s="322"/>
      <c r="BX57" s="322"/>
      <c r="BY57" s="322"/>
      <c r="BZ57" s="322"/>
      <c r="CA57" s="322"/>
      <c r="CB57" s="322"/>
      <c r="CC57" s="322"/>
      <c r="CD57" s="322"/>
      <c r="CE57" s="322"/>
      <c r="CF57" s="322"/>
      <c r="CG57" s="324">
        <v>1</v>
      </c>
    </row>
    <row r="58" spans="1:85" x14ac:dyDescent="0.2">
      <c r="A58" s="321">
        <v>3096</v>
      </c>
      <c r="B58" s="322"/>
      <c r="C58" s="322"/>
      <c r="D58" s="322"/>
      <c r="E58" s="322"/>
      <c r="F58" s="323"/>
      <c r="G58" s="322"/>
      <c r="H58" s="322"/>
      <c r="I58" s="322"/>
      <c r="J58" s="322"/>
      <c r="K58" s="322"/>
      <c r="L58" s="322"/>
      <c r="M58" s="323"/>
      <c r="N58" s="322"/>
      <c r="O58" s="322"/>
      <c r="P58" s="322"/>
      <c r="Q58" s="322"/>
      <c r="R58" s="322"/>
      <c r="S58" s="322"/>
      <c r="T58" s="322"/>
      <c r="U58" s="323"/>
      <c r="V58" s="322"/>
      <c r="W58" s="322"/>
      <c r="X58" s="322"/>
      <c r="Y58" s="322"/>
      <c r="Z58" s="322"/>
      <c r="AA58" s="322"/>
      <c r="AB58" s="322"/>
      <c r="AC58" s="322"/>
      <c r="AD58" s="322"/>
      <c r="AE58" s="322"/>
      <c r="AF58" s="322"/>
      <c r="AG58" s="322"/>
      <c r="AH58" s="322"/>
      <c r="AI58" s="322"/>
      <c r="AJ58" s="322"/>
      <c r="AK58" s="322"/>
      <c r="AL58" s="322"/>
      <c r="AM58" s="322"/>
      <c r="AN58" s="322"/>
      <c r="AO58" s="322"/>
      <c r="AP58" s="322"/>
      <c r="AQ58" s="322"/>
      <c r="AR58" s="322"/>
      <c r="AS58" s="322"/>
      <c r="AT58" s="322"/>
      <c r="AU58" s="322"/>
      <c r="AV58" s="322"/>
      <c r="AW58" s="322"/>
      <c r="AX58" s="322"/>
      <c r="AY58" s="322"/>
      <c r="AZ58" s="322"/>
      <c r="BA58" s="322"/>
      <c r="BB58" s="322"/>
      <c r="BC58" s="322"/>
      <c r="BD58" s="322"/>
      <c r="BE58" s="322"/>
      <c r="BF58" s="322"/>
      <c r="BG58" s="322"/>
      <c r="BH58" s="322"/>
      <c r="BI58" s="322"/>
      <c r="BJ58" s="322"/>
      <c r="BK58" s="322"/>
      <c r="BL58" s="322"/>
      <c r="BM58" s="322"/>
      <c r="BN58" s="322"/>
      <c r="BO58" s="322"/>
      <c r="BP58" s="322"/>
      <c r="BQ58" s="322"/>
      <c r="BR58" s="322"/>
      <c r="BS58" s="322"/>
      <c r="BT58" s="322"/>
      <c r="BU58" s="322"/>
      <c r="BV58" s="322"/>
      <c r="BW58" s="322"/>
      <c r="BX58" s="322"/>
      <c r="BY58" s="322">
        <v>2</v>
      </c>
      <c r="BZ58" s="322">
        <v>2</v>
      </c>
      <c r="CA58" s="322">
        <v>2</v>
      </c>
      <c r="CB58" s="322">
        <v>2</v>
      </c>
      <c r="CC58" s="322"/>
      <c r="CD58" s="322"/>
      <c r="CE58" s="322"/>
      <c r="CF58" s="322"/>
      <c r="CG58" s="324">
        <v>2</v>
      </c>
    </row>
    <row r="59" spans="1:85" x14ac:dyDescent="0.2">
      <c r="A59" s="321">
        <v>3100</v>
      </c>
      <c r="B59" s="322"/>
      <c r="C59" s="322"/>
      <c r="D59" s="322"/>
      <c r="E59" s="322"/>
      <c r="F59" s="323"/>
      <c r="G59" s="322"/>
      <c r="H59" s="322"/>
      <c r="I59" s="322"/>
      <c r="J59" s="322"/>
      <c r="K59" s="322"/>
      <c r="L59" s="322"/>
      <c r="M59" s="323"/>
      <c r="N59" s="322"/>
      <c r="O59" s="322"/>
      <c r="P59" s="322"/>
      <c r="Q59" s="322"/>
      <c r="R59" s="322"/>
      <c r="S59" s="322"/>
      <c r="T59" s="322"/>
      <c r="U59" s="323"/>
      <c r="V59" s="322"/>
      <c r="W59" s="322"/>
      <c r="X59" s="322"/>
      <c r="Y59" s="322"/>
      <c r="Z59" s="322"/>
      <c r="AA59" s="322"/>
      <c r="AB59" s="322"/>
      <c r="AC59" s="322"/>
      <c r="AD59" s="322"/>
      <c r="AE59" s="322"/>
      <c r="AF59" s="322"/>
      <c r="AG59" s="322"/>
      <c r="AH59" s="322"/>
      <c r="AI59" s="322"/>
      <c r="AJ59" s="322"/>
      <c r="AK59" s="322">
        <v>1</v>
      </c>
      <c r="AL59" s="322">
        <v>1</v>
      </c>
      <c r="AM59" s="322"/>
      <c r="AN59" s="322"/>
      <c r="AO59" s="322"/>
      <c r="AP59" s="322"/>
      <c r="AQ59" s="322"/>
      <c r="AR59" s="322"/>
      <c r="AS59" s="322"/>
      <c r="AT59" s="322"/>
      <c r="AU59" s="322">
        <v>1</v>
      </c>
      <c r="AV59" s="322"/>
      <c r="AW59" s="322"/>
      <c r="AX59" s="322"/>
      <c r="AY59" s="322"/>
      <c r="AZ59" s="322"/>
      <c r="BA59" s="322"/>
      <c r="BB59" s="322">
        <v>1</v>
      </c>
      <c r="BC59" s="322"/>
      <c r="BD59" s="322"/>
      <c r="BE59" s="322"/>
      <c r="BF59" s="322"/>
      <c r="BG59" s="322"/>
      <c r="BH59" s="322"/>
      <c r="BI59" s="322"/>
      <c r="BJ59" s="322"/>
      <c r="BK59" s="322"/>
      <c r="BL59" s="322"/>
      <c r="BM59" s="322"/>
      <c r="BN59" s="322"/>
      <c r="BO59" s="322"/>
      <c r="BP59" s="322"/>
      <c r="BQ59" s="322"/>
      <c r="BR59" s="322"/>
      <c r="BS59" s="322"/>
      <c r="BT59" s="322"/>
      <c r="BU59" s="322"/>
      <c r="BV59" s="322"/>
      <c r="BW59" s="322"/>
      <c r="BX59" s="322"/>
      <c r="BY59" s="322"/>
      <c r="BZ59" s="322"/>
      <c r="CA59" s="322"/>
      <c r="CB59" s="322"/>
      <c r="CC59" s="322"/>
      <c r="CD59" s="322"/>
      <c r="CE59" s="322"/>
      <c r="CF59" s="322"/>
      <c r="CG59" s="324">
        <v>1</v>
      </c>
    </row>
    <row r="60" spans="1:85" x14ac:dyDescent="0.2">
      <c r="A60" s="321">
        <v>3106</v>
      </c>
      <c r="B60" s="322"/>
      <c r="C60" s="322"/>
      <c r="D60" s="322"/>
      <c r="E60" s="322"/>
      <c r="F60" s="323"/>
      <c r="G60" s="322"/>
      <c r="H60" s="322"/>
      <c r="I60" s="322"/>
      <c r="J60" s="322"/>
      <c r="K60" s="322"/>
      <c r="L60" s="322"/>
      <c r="M60" s="323"/>
      <c r="N60" s="322"/>
      <c r="O60" s="322"/>
      <c r="P60" s="322"/>
      <c r="Q60" s="322"/>
      <c r="R60" s="322"/>
      <c r="S60" s="322"/>
      <c r="T60" s="322"/>
      <c r="U60" s="323"/>
      <c r="V60" s="322"/>
      <c r="W60" s="322"/>
      <c r="X60" s="322"/>
      <c r="Y60" s="322"/>
      <c r="Z60" s="322"/>
      <c r="AA60" s="322"/>
      <c r="AB60" s="322"/>
      <c r="AC60" s="322"/>
      <c r="AD60" s="322"/>
      <c r="AE60" s="322"/>
      <c r="AF60" s="322"/>
      <c r="AG60" s="322"/>
      <c r="AH60" s="322"/>
      <c r="AI60" s="322"/>
      <c r="AJ60" s="322"/>
      <c r="AK60" s="322">
        <v>26</v>
      </c>
      <c r="AL60" s="322">
        <v>26</v>
      </c>
      <c r="AM60" s="322"/>
      <c r="AN60" s="322"/>
      <c r="AO60" s="322"/>
      <c r="AP60" s="322"/>
      <c r="AQ60" s="322"/>
      <c r="AR60" s="322"/>
      <c r="AS60" s="322"/>
      <c r="AT60" s="322"/>
      <c r="AU60" s="322">
        <v>26</v>
      </c>
      <c r="AV60" s="322"/>
      <c r="AW60" s="322"/>
      <c r="AX60" s="322"/>
      <c r="AY60" s="322"/>
      <c r="AZ60" s="322"/>
      <c r="BA60" s="322"/>
      <c r="BB60" s="322">
        <v>26</v>
      </c>
      <c r="BC60" s="322"/>
      <c r="BD60" s="322"/>
      <c r="BE60" s="322"/>
      <c r="BF60" s="322"/>
      <c r="BG60" s="322"/>
      <c r="BH60" s="322"/>
      <c r="BI60" s="322"/>
      <c r="BJ60" s="322"/>
      <c r="BK60" s="322"/>
      <c r="BL60" s="322"/>
      <c r="BM60" s="322"/>
      <c r="BN60" s="322"/>
      <c r="BO60" s="322"/>
      <c r="BP60" s="322"/>
      <c r="BQ60" s="322"/>
      <c r="BR60" s="322"/>
      <c r="BS60" s="322"/>
      <c r="BT60" s="322"/>
      <c r="BU60" s="322"/>
      <c r="BV60" s="322"/>
      <c r="BW60" s="322"/>
      <c r="BX60" s="322"/>
      <c r="BY60" s="322"/>
      <c r="BZ60" s="322"/>
      <c r="CA60" s="322"/>
      <c r="CB60" s="322"/>
      <c r="CC60" s="322"/>
      <c r="CD60" s="322"/>
      <c r="CE60" s="322"/>
      <c r="CF60" s="322"/>
      <c r="CG60" s="324">
        <v>26</v>
      </c>
    </row>
    <row r="61" spans="1:85" x14ac:dyDescent="0.2">
      <c r="A61" s="321">
        <v>3107</v>
      </c>
      <c r="B61" s="322"/>
      <c r="C61" s="322"/>
      <c r="D61" s="322"/>
      <c r="E61" s="322"/>
      <c r="F61" s="323"/>
      <c r="G61" s="322"/>
      <c r="H61" s="322"/>
      <c r="I61" s="322"/>
      <c r="J61" s="322"/>
      <c r="K61" s="322"/>
      <c r="L61" s="322"/>
      <c r="M61" s="323"/>
      <c r="N61" s="322"/>
      <c r="O61" s="322"/>
      <c r="P61" s="322"/>
      <c r="Q61" s="322"/>
      <c r="R61" s="322"/>
      <c r="S61" s="322"/>
      <c r="T61" s="322"/>
      <c r="U61" s="323"/>
      <c r="V61" s="322"/>
      <c r="W61" s="322"/>
      <c r="X61" s="322"/>
      <c r="Y61" s="322"/>
      <c r="Z61" s="322"/>
      <c r="AA61" s="322"/>
      <c r="AB61" s="322"/>
      <c r="AC61" s="322"/>
      <c r="AD61" s="322"/>
      <c r="AE61" s="322"/>
      <c r="AF61" s="322"/>
      <c r="AG61" s="322"/>
      <c r="AH61" s="322"/>
      <c r="AI61" s="322"/>
      <c r="AJ61" s="322"/>
      <c r="AK61" s="322">
        <v>2</v>
      </c>
      <c r="AL61" s="322">
        <v>2</v>
      </c>
      <c r="AM61" s="322"/>
      <c r="AN61" s="322"/>
      <c r="AO61" s="322"/>
      <c r="AP61" s="322"/>
      <c r="AQ61" s="322"/>
      <c r="AR61" s="322"/>
      <c r="AS61" s="322"/>
      <c r="AT61" s="322"/>
      <c r="AU61" s="322">
        <v>2</v>
      </c>
      <c r="AV61" s="322"/>
      <c r="AW61" s="322"/>
      <c r="AX61" s="322"/>
      <c r="AY61" s="322"/>
      <c r="AZ61" s="322"/>
      <c r="BA61" s="322"/>
      <c r="BB61" s="322">
        <v>2</v>
      </c>
      <c r="BC61" s="322"/>
      <c r="BD61" s="322"/>
      <c r="BE61" s="322"/>
      <c r="BF61" s="322"/>
      <c r="BG61" s="322"/>
      <c r="BH61" s="322"/>
      <c r="BI61" s="322"/>
      <c r="BJ61" s="322"/>
      <c r="BK61" s="322"/>
      <c r="BL61" s="322"/>
      <c r="BM61" s="322"/>
      <c r="BN61" s="322"/>
      <c r="BO61" s="322"/>
      <c r="BP61" s="322"/>
      <c r="BQ61" s="322"/>
      <c r="BR61" s="322"/>
      <c r="BS61" s="322"/>
      <c r="BT61" s="322"/>
      <c r="BU61" s="322"/>
      <c r="BV61" s="322"/>
      <c r="BW61" s="322"/>
      <c r="BX61" s="322"/>
      <c r="BY61" s="322"/>
      <c r="BZ61" s="322"/>
      <c r="CA61" s="322"/>
      <c r="CB61" s="322"/>
      <c r="CC61" s="322"/>
      <c r="CD61" s="322"/>
      <c r="CE61" s="322"/>
      <c r="CF61" s="322"/>
      <c r="CG61" s="324">
        <v>2</v>
      </c>
    </row>
    <row r="62" spans="1:85" x14ac:dyDescent="0.2">
      <c r="A62" s="321">
        <v>3108</v>
      </c>
      <c r="B62" s="322"/>
      <c r="C62" s="322"/>
      <c r="D62" s="322"/>
      <c r="E62" s="322"/>
      <c r="F62" s="323"/>
      <c r="G62" s="322"/>
      <c r="H62" s="322"/>
      <c r="I62" s="322"/>
      <c r="J62" s="322"/>
      <c r="K62" s="322"/>
      <c r="L62" s="322"/>
      <c r="M62" s="323"/>
      <c r="N62" s="322"/>
      <c r="O62" s="322"/>
      <c r="P62" s="322"/>
      <c r="Q62" s="322"/>
      <c r="R62" s="322"/>
      <c r="S62" s="322"/>
      <c r="T62" s="322"/>
      <c r="U62" s="323"/>
      <c r="V62" s="322"/>
      <c r="W62" s="322"/>
      <c r="X62" s="322"/>
      <c r="Y62" s="322"/>
      <c r="Z62" s="322"/>
      <c r="AA62" s="322"/>
      <c r="AB62" s="322"/>
      <c r="AC62" s="322"/>
      <c r="AD62" s="322"/>
      <c r="AE62" s="322"/>
      <c r="AF62" s="322"/>
      <c r="AG62" s="322"/>
      <c r="AH62" s="322"/>
      <c r="AI62" s="322"/>
      <c r="AJ62" s="322"/>
      <c r="AK62" s="322">
        <v>18</v>
      </c>
      <c r="AL62" s="322">
        <v>18</v>
      </c>
      <c r="AM62" s="322"/>
      <c r="AN62" s="322"/>
      <c r="AO62" s="322"/>
      <c r="AP62" s="322"/>
      <c r="AQ62" s="322"/>
      <c r="AR62" s="322"/>
      <c r="AS62" s="322"/>
      <c r="AT62" s="322"/>
      <c r="AU62" s="322">
        <v>18</v>
      </c>
      <c r="AV62" s="322"/>
      <c r="AW62" s="322"/>
      <c r="AX62" s="322"/>
      <c r="AY62" s="322"/>
      <c r="AZ62" s="322"/>
      <c r="BA62" s="322"/>
      <c r="BB62" s="322">
        <v>18</v>
      </c>
      <c r="BC62" s="322"/>
      <c r="BD62" s="322"/>
      <c r="BE62" s="322"/>
      <c r="BF62" s="322"/>
      <c r="BG62" s="322"/>
      <c r="BH62" s="322"/>
      <c r="BI62" s="322"/>
      <c r="BJ62" s="322"/>
      <c r="BK62" s="322"/>
      <c r="BL62" s="322"/>
      <c r="BM62" s="322"/>
      <c r="BN62" s="322"/>
      <c r="BO62" s="322"/>
      <c r="BP62" s="322"/>
      <c r="BQ62" s="322"/>
      <c r="BR62" s="322"/>
      <c r="BS62" s="322"/>
      <c r="BT62" s="322"/>
      <c r="BU62" s="322"/>
      <c r="BV62" s="322"/>
      <c r="BW62" s="322"/>
      <c r="BX62" s="322"/>
      <c r="BY62" s="322"/>
      <c r="BZ62" s="322"/>
      <c r="CA62" s="322"/>
      <c r="CB62" s="322"/>
      <c r="CC62" s="322"/>
      <c r="CD62" s="322"/>
      <c r="CE62" s="322"/>
      <c r="CF62" s="322"/>
      <c r="CG62" s="324">
        <v>18</v>
      </c>
    </row>
    <row r="63" spans="1:85" x14ac:dyDescent="0.2">
      <c r="A63" s="321">
        <v>3110</v>
      </c>
      <c r="B63" s="322"/>
      <c r="C63" s="322"/>
      <c r="D63" s="322"/>
      <c r="E63" s="322"/>
      <c r="F63" s="323"/>
      <c r="G63" s="322"/>
      <c r="H63" s="322"/>
      <c r="I63" s="322"/>
      <c r="J63" s="322"/>
      <c r="K63" s="322"/>
      <c r="L63" s="322"/>
      <c r="M63" s="323"/>
      <c r="N63" s="322"/>
      <c r="O63" s="322"/>
      <c r="P63" s="322"/>
      <c r="Q63" s="322"/>
      <c r="R63" s="322"/>
      <c r="S63" s="322"/>
      <c r="T63" s="322"/>
      <c r="U63" s="323"/>
      <c r="V63" s="322"/>
      <c r="W63" s="322"/>
      <c r="X63" s="322"/>
      <c r="Y63" s="322"/>
      <c r="Z63" s="322"/>
      <c r="AA63" s="322"/>
      <c r="AB63" s="322"/>
      <c r="AC63" s="322"/>
      <c r="AD63" s="322"/>
      <c r="AE63" s="322"/>
      <c r="AF63" s="322"/>
      <c r="AG63" s="322"/>
      <c r="AH63" s="322"/>
      <c r="AI63" s="322"/>
      <c r="AJ63" s="322"/>
      <c r="AK63" s="322">
        <v>11</v>
      </c>
      <c r="AL63" s="322">
        <v>11</v>
      </c>
      <c r="AM63" s="322"/>
      <c r="AN63" s="322"/>
      <c r="AO63" s="322"/>
      <c r="AP63" s="322"/>
      <c r="AQ63" s="322"/>
      <c r="AR63" s="322"/>
      <c r="AS63" s="322"/>
      <c r="AT63" s="322"/>
      <c r="AU63" s="322">
        <v>11</v>
      </c>
      <c r="AV63" s="322"/>
      <c r="AW63" s="322"/>
      <c r="AX63" s="322"/>
      <c r="AY63" s="322"/>
      <c r="AZ63" s="322"/>
      <c r="BA63" s="322"/>
      <c r="BB63" s="322">
        <v>11</v>
      </c>
      <c r="BC63" s="322"/>
      <c r="BD63" s="322"/>
      <c r="BE63" s="322"/>
      <c r="BF63" s="322"/>
      <c r="BG63" s="322"/>
      <c r="BH63" s="322"/>
      <c r="BI63" s="322"/>
      <c r="BJ63" s="322"/>
      <c r="BK63" s="322"/>
      <c r="BL63" s="322"/>
      <c r="BM63" s="322"/>
      <c r="BN63" s="322"/>
      <c r="BO63" s="322"/>
      <c r="BP63" s="322"/>
      <c r="BQ63" s="322"/>
      <c r="BR63" s="322"/>
      <c r="BS63" s="322"/>
      <c r="BT63" s="322"/>
      <c r="BU63" s="322"/>
      <c r="BV63" s="322"/>
      <c r="BW63" s="322"/>
      <c r="BX63" s="322"/>
      <c r="BY63" s="322"/>
      <c r="BZ63" s="322"/>
      <c r="CA63" s="322"/>
      <c r="CB63" s="322"/>
      <c r="CC63" s="322"/>
      <c r="CD63" s="322"/>
      <c r="CE63" s="322"/>
      <c r="CF63" s="322"/>
      <c r="CG63" s="324">
        <v>11</v>
      </c>
    </row>
    <row r="64" spans="1:85" x14ac:dyDescent="0.2">
      <c r="A64" s="321">
        <v>3111</v>
      </c>
      <c r="B64" s="322"/>
      <c r="C64" s="322"/>
      <c r="D64" s="322"/>
      <c r="E64" s="322"/>
      <c r="F64" s="323"/>
      <c r="G64" s="322"/>
      <c r="H64" s="322"/>
      <c r="I64" s="322"/>
      <c r="J64" s="322"/>
      <c r="K64" s="322"/>
      <c r="L64" s="322"/>
      <c r="M64" s="323"/>
      <c r="N64" s="322"/>
      <c r="O64" s="322"/>
      <c r="P64" s="322"/>
      <c r="Q64" s="322"/>
      <c r="R64" s="322"/>
      <c r="S64" s="322"/>
      <c r="T64" s="322"/>
      <c r="U64" s="323"/>
      <c r="V64" s="322"/>
      <c r="W64" s="322"/>
      <c r="X64" s="322"/>
      <c r="Y64" s="322"/>
      <c r="Z64" s="322"/>
      <c r="AA64" s="322"/>
      <c r="AB64" s="322"/>
      <c r="AC64" s="322"/>
      <c r="AD64" s="322"/>
      <c r="AE64" s="322"/>
      <c r="AF64" s="322"/>
      <c r="AG64" s="322"/>
      <c r="AH64" s="322"/>
      <c r="AI64" s="322"/>
      <c r="AJ64" s="322"/>
      <c r="AK64" s="322">
        <v>10</v>
      </c>
      <c r="AL64" s="322">
        <v>10</v>
      </c>
      <c r="AM64" s="322"/>
      <c r="AN64" s="322"/>
      <c r="AO64" s="322"/>
      <c r="AP64" s="322"/>
      <c r="AQ64" s="322"/>
      <c r="AR64" s="322"/>
      <c r="AS64" s="322"/>
      <c r="AT64" s="322"/>
      <c r="AU64" s="322">
        <v>10</v>
      </c>
      <c r="AV64" s="322"/>
      <c r="AW64" s="322"/>
      <c r="AX64" s="322"/>
      <c r="AY64" s="322"/>
      <c r="AZ64" s="322"/>
      <c r="BA64" s="322"/>
      <c r="BB64" s="322">
        <v>10</v>
      </c>
      <c r="BC64" s="322"/>
      <c r="BD64" s="322"/>
      <c r="BE64" s="322"/>
      <c r="BF64" s="322"/>
      <c r="BG64" s="322"/>
      <c r="BH64" s="322"/>
      <c r="BI64" s="322"/>
      <c r="BJ64" s="322"/>
      <c r="BK64" s="322"/>
      <c r="BL64" s="322"/>
      <c r="BM64" s="322"/>
      <c r="BN64" s="322"/>
      <c r="BO64" s="322"/>
      <c r="BP64" s="322"/>
      <c r="BQ64" s="322"/>
      <c r="BR64" s="322"/>
      <c r="BS64" s="322"/>
      <c r="BT64" s="322"/>
      <c r="BU64" s="322"/>
      <c r="BV64" s="322"/>
      <c r="BW64" s="322"/>
      <c r="BX64" s="322"/>
      <c r="BY64" s="322"/>
      <c r="BZ64" s="322"/>
      <c r="CA64" s="322"/>
      <c r="CB64" s="322"/>
      <c r="CC64" s="322"/>
      <c r="CD64" s="322"/>
      <c r="CE64" s="322"/>
      <c r="CF64" s="322"/>
      <c r="CG64" s="324">
        <v>10</v>
      </c>
    </row>
    <row r="65" spans="1:85" x14ac:dyDescent="0.2">
      <c r="A65" s="321">
        <v>3112</v>
      </c>
      <c r="B65" s="322"/>
      <c r="C65" s="322"/>
      <c r="D65" s="322"/>
      <c r="E65" s="322"/>
      <c r="F65" s="323"/>
      <c r="G65" s="322"/>
      <c r="H65" s="322"/>
      <c r="I65" s="322"/>
      <c r="J65" s="322"/>
      <c r="K65" s="322"/>
      <c r="L65" s="322"/>
      <c r="M65" s="323"/>
      <c r="N65" s="322"/>
      <c r="O65" s="322"/>
      <c r="P65" s="322"/>
      <c r="Q65" s="322"/>
      <c r="R65" s="322"/>
      <c r="S65" s="322"/>
      <c r="T65" s="322"/>
      <c r="U65" s="323"/>
      <c r="V65" s="322"/>
      <c r="W65" s="322"/>
      <c r="X65" s="322"/>
      <c r="Y65" s="322"/>
      <c r="Z65" s="322"/>
      <c r="AA65" s="322"/>
      <c r="AB65" s="322"/>
      <c r="AC65" s="322"/>
      <c r="AD65" s="322"/>
      <c r="AE65" s="322"/>
      <c r="AF65" s="322"/>
      <c r="AG65" s="322"/>
      <c r="AH65" s="322"/>
      <c r="AI65" s="322"/>
      <c r="AJ65" s="322"/>
      <c r="AK65" s="322">
        <v>6</v>
      </c>
      <c r="AL65" s="322">
        <v>6</v>
      </c>
      <c r="AM65" s="322"/>
      <c r="AN65" s="322"/>
      <c r="AO65" s="322"/>
      <c r="AP65" s="322"/>
      <c r="AQ65" s="322"/>
      <c r="AR65" s="322"/>
      <c r="AS65" s="322"/>
      <c r="AT65" s="322"/>
      <c r="AU65" s="322">
        <v>6</v>
      </c>
      <c r="AV65" s="322"/>
      <c r="AW65" s="322"/>
      <c r="AX65" s="322"/>
      <c r="AY65" s="322"/>
      <c r="AZ65" s="322"/>
      <c r="BA65" s="322"/>
      <c r="BB65" s="322">
        <v>6</v>
      </c>
      <c r="BC65" s="322"/>
      <c r="BD65" s="322"/>
      <c r="BE65" s="322"/>
      <c r="BF65" s="322"/>
      <c r="BG65" s="322"/>
      <c r="BH65" s="322"/>
      <c r="BI65" s="322"/>
      <c r="BJ65" s="322"/>
      <c r="BK65" s="322"/>
      <c r="BL65" s="322"/>
      <c r="BM65" s="322"/>
      <c r="BN65" s="322"/>
      <c r="BO65" s="322"/>
      <c r="BP65" s="322"/>
      <c r="BQ65" s="322"/>
      <c r="BR65" s="322"/>
      <c r="BS65" s="322"/>
      <c r="BT65" s="322"/>
      <c r="BU65" s="322"/>
      <c r="BV65" s="322"/>
      <c r="BW65" s="322"/>
      <c r="BX65" s="322"/>
      <c r="BY65" s="322"/>
      <c r="BZ65" s="322"/>
      <c r="CA65" s="322"/>
      <c r="CB65" s="322"/>
      <c r="CC65" s="322"/>
      <c r="CD65" s="322"/>
      <c r="CE65" s="322"/>
      <c r="CF65" s="322"/>
      <c r="CG65" s="324">
        <v>6</v>
      </c>
    </row>
    <row r="66" spans="1:85" x14ac:dyDescent="0.2">
      <c r="A66" s="321">
        <v>3120</v>
      </c>
      <c r="B66" s="322"/>
      <c r="C66" s="322"/>
      <c r="D66" s="322"/>
      <c r="E66" s="322"/>
      <c r="F66" s="323"/>
      <c r="G66" s="322"/>
      <c r="H66" s="322"/>
      <c r="I66" s="322"/>
      <c r="J66" s="322"/>
      <c r="K66" s="322"/>
      <c r="L66" s="322"/>
      <c r="M66" s="323"/>
      <c r="N66" s="322"/>
      <c r="O66" s="322"/>
      <c r="P66" s="322"/>
      <c r="Q66" s="322"/>
      <c r="R66" s="322"/>
      <c r="S66" s="322"/>
      <c r="T66" s="322"/>
      <c r="U66" s="323"/>
      <c r="V66" s="322"/>
      <c r="W66" s="322"/>
      <c r="X66" s="322"/>
      <c r="Y66" s="322"/>
      <c r="Z66" s="322"/>
      <c r="AA66" s="322"/>
      <c r="AB66" s="322"/>
      <c r="AC66" s="322"/>
      <c r="AD66" s="322"/>
      <c r="AE66" s="322"/>
      <c r="AF66" s="322"/>
      <c r="AG66" s="322"/>
      <c r="AH66" s="322"/>
      <c r="AI66" s="322"/>
      <c r="AJ66" s="322"/>
      <c r="AK66" s="322">
        <v>6</v>
      </c>
      <c r="AL66" s="322">
        <v>6</v>
      </c>
      <c r="AM66" s="322"/>
      <c r="AN66" s="322"/>
      <c r="AO66" s="322"/>
      <c r="AP66" s="322"/>
      <c r="AQ66" s="322"/>
      <c r="AR66" s="322"/>
      <c r="AS66" s="322"/>
      <c r="AT66" s="322"/>
      <c r="AU66" s="322">
        <v>6</v>
      </c>
      <c r="AV66" s="322"/>
      <c r="AW66" s="322"/>
      <c r="AX66" s="322"/>
      <c r="AY66" s="322"/>
      <c r="AZ66" s="322"/>
      <c r="BA66" s="322"/>
      <c r="BB66" s="322">
        <v>6</v>
      </c>
      <c r="BC66" s="322"/>
      <c r="BD66" s="322"/>
      <c r="BE66" s="322"/>
      <c r="BF66" s="322"/>
      <c r="BG66" s="322"/>
      <c r="BH66" s="322"/>
      <c r="BI66" s="322"/>
      <c r="BJ66" s="322"/>
      <c r="BK66" s="322"/>
      <c r="BL66" s="322"/>
      <c r="BM66" s="322"/>
      <c r="BN66" s="322"/>
      <c r="BO66" s="322"/>
      <c r="BP66" s="322"/>
      <c r="BQ66" s="322"/>
      <c r="BR66" s="322"/>
      <c r="BS66" s="322"/>
      <c r="BT66" s="322"/>
      <c r="BU66" s="322"/>
      <c r="BV66" s="322"/>
      <c r="BW66" s="322"/>
      <c r="BX66" s="322"/>
      <c r="BY66" s="322"/>
      <c r="BZ66" s="322"/>
      <c r="CA66" s="322"/>
      <c r="CB66" s="322"/>
      <c r="CC66" s="322"/>
      <c r="CD66" s="322"/>
      <c r="CE66" s="322"/>
      <c r="CF66" s="322"/>
      <c r="CG66" s="324">
        <v>6</v>
      </c>
    </row>
    <row r="67" spans="1:85" x14ac:dyDescent="0.2">
      <c r="A67" s="321">
        <v>3121</v>
      </c>
      <c r="B67" s="322"/>
      <c r="C67" s="322"/>
      <c r="D67" s="322"/>
      <c r="E67" s="322"/>
      <c r="F67" s="323"/>
      <c r="G67" s="322"/>
      <c r="H67" s="322"/>
      <c r="I67" s="322"/>
      <c r="J67" s="322"/>
      <c r="K67" s="322"/>
      <c r="L67" s="322"/>
      <c r="M67" s="323"/>
      <c r="N67" s="322"/>
      <c r="O67" s="322"/>
      <c r="P67" s="322"/>
      <c r="Q67" s="322"/>
      <c r="R67" s="322"/>
      <c r="S67" s="322"/>
      <c r="T67" s="322"/>
      <c r="U67" s="323"/>
      <c r="V67" s="322"/>
      <c r="W67" s="322"/>
      <c r="X67" s="322"/>
      <c r="Y67" s="322"/>
      <c r="Z67" s="322"/>
      <c r="AA67" s="322"/>
      <c r="AB67" s="322"/>
      <c r="AC67" s="322"/>
      <c r="AD67" s="322"/>
      <c r="AE67" s="322"/>
      <c r="AF67" s="322"/>
      <c r="AG67" s="322"/>
      <c r="AH67" s="322"/>
      <c r="AI67" s="322"/>
      <c r="AJ67" s="322"/>
      <c r="AK67" s="322"/>
      <c r="AL67" s="322"/>
      <c r="AM67" s="322"/>
      <c r="AN67" s="322"/>
      <c r="AO67" s="322"/>
      <c r="AP67" s="322"/>
      <c r="AQ67" s="322"/>
      <c r="AR67" s="322"/>
      <c r="AS67" s="322"/>
      <c r="AT67" s="322"/>
      <c r="AU67" s="322"/>
      <c r="AV67" s="322"/>
      <c r="AW67" s="322"/>
      <c r="AX67" s="322"/>
      <c r="AY67" s="322">
        <v>8</v>
      </c>
      <c r="AZ67" s="322">
        <v>8</v>
      </c>
      <c r="BA67" s="322">
        <v>8</v>
      </c>
      <c r="BB67" s="322">
        <v>8</v>
      </c>
      <c r="BC67" s="322"/>
      <c r="BD67" s="322"/>
      <c r="BE67" s="322"/>
      <c r="BF67" s="322"/>
      <c r="BG67" s="322"/>
      <c r="BH67" s="322"/>
      <c r="BI67" s="322"/>
      <c r="BJ67" s="322"/>
      <c r="BK67" s="322"/>
      <c r="BL67" s="322"/>
      <c r="BM67" s="322"/>
      <c r="BN67" s="322"/>
      <c r="BO67" s="322"/>
      <c r="BP67" s="322"/>
      <c r="BQ67" s="322"/>
      <c r="BR67" s="322"/>
      <c r="BS67" s="322"/>
      <c r="BT67" s="322"/>
      <c r="BU67" s="322"/>
      <c r="BV67" s="322"/>
      <c r="BW67" s="322"/>
      <c r="BX67" s="322"/>
      <c r="BY67" s="322"/>
      <c r="BZ67" s="322"/>
      <c r="CA67" s="322"/>
      <c r="CB67" s="322"/>
      <c r="CC67" s="322"/>
      <c r="CD67" s="322"/>
      <c r="CE67" s="322"/>
      <c r="CF67" s="322"/>
      <c r="CG67" s="324">
        <v>8</v>
      </c>
    </row>
    <row r="68" spans="1:85" x14ac:dyDescent="0.2">
      <c r="A68" s="321">
        <v>3145</v>
      </c>
      <c r="B68" s="322"/>
      <c r="C68" s="322"/>
      <c r="D68" s="322"/>
      <c r="E68" s="322"/>
      <c r="F68" s="323"/>
      <c r="G68" s="322"/>
      <c r="H68" s="322"/>
      <c r="I68" s="322"/>
      <c r="J68" s="322"/>
      <c r="K68" s="322"/>
      <c r="L68" s="322"/>
      <c r="M68" s="323"/>
      <c r="N68" s="322"/>
      <c r="O68" s="322"/>
      <c r="P68" s="322"/>
      <c r="Q68" s="322"/>
      <c r="R68" s="322"/>
      <c r="S68" s="322"/>
      <c r="T68" s="322"/>
      <c r="U68" s="323"/>
      <c r="V68" s="322"/>
      <c r="W68" s="322"/>
      <c r="X68" s="322"/>
      <c r="Y68" s="322"/>
      <c r="Z68" s="322"/>
      <c r="AA68" s="322"/>
      <c r="AB68" s="322"/>
      <c r="AC68" s="322"/>
      <c r="AD68" s="322"/>
      <c r="AE68" s="322"/>
      <c r="AF68" s="322"/>
      <c r="AG68" s="322"/>
      <c r="AH68" s="322"/>
      <c r="AI68" s="322"/>
      <c r="AJ68" s="322"/>
      <c r="AK68" s="322"/>
      <c r="AL68" s="322"/>
      <c r="AM68" s="322"/>
      <c r="AN68" s="322"/>
      <c r="AO68" s="322"/>
      <c r="AP68" s="322"/>
      <c r="AQ68" s="322"/>
      <c r="AR68" s="322"/>
      <c r="AS68" s="322">
        <v>1</v>
      </c>
      <c r="AT68" s="322">
        <v>1</v>
      </c>
      <c r="AU68" s="322">
        <v>1</v>
      </c>
      <c r="AV68" s="322"/>
      <c r="AW68" s="322"/>
      <c r="AX68" s="322"/>
      <c r="AY68" s="322"/>
      <c r="AZ68" s="322"/>
      <c r="BA68" s="322"/>
      <c r="BB68" s="322">
        <v>1</v>
      </c>
      <c r="BC68" s="322"/>
      <c r="BD68" s="322"/>
      <c r="BE68" s="322"/>
      <c r="BF68" s="322"/>
      <c r="BG68" s="322"/>
      <c r="BH68" s="322"/>
      <c r="BI68" s="322"/>
      <c r="BJ68" s="322"/>
      <c r="BK68" s="322"/>
      <c r="BL68" s="322"/>
      <c r="BM68" s="322"/>
      <c r="BN68" s="322"/>
      <c r="BO68" s="322"/>
      <c r="BP68" s="322"/>
      <c r="BQ68" s="322"/>
      <c r="BR68" s="322"/>
      <c r="BS68" s="322"/>
      <c r="BT68" s="322"/>
      <c r="BU68" s="322"/>
      <c r="BV68" s="322"/>
      <c r="BW68" s="322"/>
      <c r="BX68" s="322"/>
      <c r="BY68" s="322"/>
      <c r="BZ68" s="322"/>
      <c r="CA68" s="322"/>
      <c r="CB68" s="322"/>
      <c r="CC68" s="322"/>
      <c r="CD68" s="322"/>
      <c r="CE68" s="322"/>
      <c r="CF68" s="322"/>
      <c r="CG68" s="324">
        <v>1</v>
      </c>
    </row>
    <row r="69" spans="1:85" x14ac:dyDescent="0.2">
      <c r="A69" s="321">
        <v>3146</v>
      </c>
      <c r="B69" s="322"/>
      <c r="C69" s="322"/>
      <c r="D69" s="322"/>
      <c r="E69" s="322"/>
      <c r="F69" s="323"/>
      <c r="G69" s="322"/>
      <c r="H69" s="322"/>
      <c r="I69" s="322"/>
      <c r="J69" s="322"/>
      <c r="K69" s="322"/>
      <c r="L69" s="322"/>
      <c r="M69" s="323"/>
      <c r="N69" s="322"/>
      <c r="O69" s="322"/>
      <c r="P69" s="322"/>
      <c r="Q69" s="322"/>
      <c r="R69" s="322"/>
      <c r="S69" s="322"/>
      <c r="T69" s="322"/>
      <c r="U69" s="323"/>
      <c r="V69" s="322"/>
      <c r="W69" s="322"/>
      <c r="X69" s="322"/>
      <c r="Y69" s="322"/>
      <c r="Z69" s="322"/>
      <c r="AA69" s="322"/>
      <c r="AB69" s="322"/>
      <c r="AC69" s="322"/>
      <c r="AD69" s="322"/>
      <c r="AE69" s="322"/>
      <c r="AF69" s="322"/>
      <c r="AG69" s="322"/>
      <c r="AH69" s="322"/>
      <c r="AI69" s="322"/>
      <c r="AJ69" s="322"/>
      <c r="AK69" s="322"/>
      <c r="AL69" s="322"/>
      <c r="AM69" s="322"/>
      <c r="AN69" s="322"/>
      <c r="AO69" s="322"/>
      <c r="AP69" s="322"/>
      <c r="AQ69" s="322"/>
      <c r="AR69" s="322"/>
      <c r="AS69" s="322">
        <v>1</v>
      </c>
      <c r="AT69" s="322">
        <v>1</v>
      </c>
      <c r="AU69" s="322">
        <v>1</v>
      </c>
      <c r="AV69" s="322"/>
      <c r="AW69" s="322"/>
      <c r="AX69" s="322"/>
      <c r="AY69" s="322"/>
      <c r="AZ69" s="322"/>
      <c r="BA69" s="322"/>
      <c r="BB69" s="322">
        <v>1</v>
      </c>
      <c r="BC69" s="322"/>
      <c r="BD69" s="322"/>
      <c r="BE69" s="322"/>
      <c r="BF69" s="322"/>
      <c r="BG69" s="322"/>
      <c r="BH69" s="322"/>
      <c r="BI69" s="322"/>
      <c r="BJ69" s="322"/>
      <c r="BK69" s="322"/>
      <c r="BL69" s="322"/>
      <c r="BM69" s="322"/>
      <c r="BN69" s="322"/>
      <c r="BO69" s="322"/>
      <c r="BP69" s="322"/>
      <c r="BQ69" s="322"/>
      <c r="BR69" s="322"/>
      <c r="BS69" s="322"/>
      <c r="BT69" s="322"/>
      <c r="BU69" s="322"/>
      <c r="BV69" s="322"/>
      <c r="BW69" s="322"/>
      <c r="BX69" s="322"/>
      <c r="BY69" s="322"/>
      <c r="BZ69" s="322"/>
      <c r="CA69" s="322"/>
      <c r="CB69" s="322"/>
      <c r="CC69" s="322"/>
      <c r="CD69" s="322"/>
      <c r="CE69" s="322"/>
      <c r="CF69" s="322"/>
      <c r="CG69" s="324">
        <v>1</v>
      </c>
    </row>
    <row r="70" spans="1:85" x14ac:dyDescent="0.2">
      <c r="A70" s="321">
        <v>3147</v>
      </c>
      <c r="B70" s="322"/>
      <c r="C70" s="322"/>
      <c r="D70" s="322"/>
      <c r="E70" s="322"/>
      <c r="F70" s="323"/>
      <c r="G70" s="322"/>
      <c r="H70" s="322"/>
      <c r="I70" s="322"/>
      <c r="J70" s="322"/>
      <c r="K70" s="322"/>
      <c r="L70" s="322"/>
      <c r="M70" s="323"/>
      <c r="N70" s="322"/>
      <c r="O70" s="322"/>
      <c r="P70" s="322"/>
      <c r="Q70" s="322"/>
      <c r="R70" s="322"/>
      <c r="S70" s="322"/>
      <c r="T70" s="322"/>
      <c r="U70" s="323"/>
      <c r="V70" s="322"/>
      <c r="W70" s="322"/>
      <c r="X70" s="322"/>
      <c r="Y70" s="322"/>
      <c r="Z70" s="322"/>
      <c r="AA70" s="322"/>
      <c r="AB70" s="322"/>
      <c r="AC70" s="322"/>
      <c r="AD70" s="322"/>
      <c r="AE70" s="322"/>
      <c r="AF70" s="322"/>
      <c r="AG70" s="322"/>
      <c r="AH70" s="322"/>
      <c r="AI70" s="322"/>
      <c r="AJ70" s="322"/>
      <c r="AK70" s="322"/>
      <c r="AL70" s="322"/>
      <c r="AM70" s="322"/>
      <c r="AN70" s="322"/>
      <c r="AO70" s="322"/>
      <c r="AP70" s="322"/>
      <c r="AQ70" s="322"/>
      <c r="AR70" s="322"/>
      <c r="AS70" s="322">
        <v>1</v>
      </c>
      <c r="AT70" s="322">
        <v>1</v>
      </c>
      <c r="AU70" s="322">
        <v>1</v>
      </c>
      <c r="AV70" s="322"/>
      <c r="AW70" s="322"/>
      <c r="AX70" s="322"/>
      <c r="AY70" s="322"/>
      <c r="AZ70" s="322"/>
      <c r="BA70" s="322"/>
      <c r="BB70" s="322">
        <v>1</v>
      </c>
      <c r="BC70" s="322"/>
      <c r="BD70" s="322"/>
      <c r="BE70" s="322"/>
      <c r="BF70" s="322"/>
      <c r="BG70" s="322"/>
      <c r="BH70" s="322"/>
      <c r="BI70" s="322"/>
      <c r="BJ70" s="322"/>
      <c r="BK70" s="322"/>
      <c r="BL70" s="322"/>
      <c r="BM70" s="322"/>
      <c r="BN70" s="322"/>
      <c r="BO70" s="322"/>
      <c r="BP70" s="322"/>
      <c r="BQ70" s="322"/>
      <c r="BR70" s="322"/>
      <c r="BS70" s="322"/>
      <c r="BT70" s="322"/>
      <c r="BU70" s="322"/>
      <c r="BV70" s="322"/>
      <c r="BW70" s="322"/>
      <c r="BX70" s="322"/>
      <c r="BY70" s="322"/>
      <c r="BZ70" s="322"/>
      <c r="CA70" s="322"/>
      <c r="CB70" s="322"/>
      <c r="CC70" s="322"/>
      <c r="CD70" s="322"/>
      <c r="CE70" s="322"/>
      <c r="CF70" s="322"/>
      <c r="CG70" s="324">
        <v>1</v>
      </c>
    </row>
    <row r="71" spans="1:85" x14ac:dyDescent="0.2">
      <c r="A71" s="321">
        <v>3187</v>
      </c>
      <c r="B71" s="322"/>
      <c r="C71" s="322"/>
      <c r="D71" s="322"/>
      <c r="E71" s="322"/>
      <c r="F71" s="323"/>
      <c r="G71" s="322"/>
      <c r="H71" s="322"/>
      <c r="I71" s="322"/>
      <c r="J71" s="322"/>
      <c r="K71" s="322"/>
      <c r="L71" s="322"/>
      <c r="M71" s="323"/>
      <c r="N71" s="322"/>
      <c r="O71" s="322"/>
      <c r="P71" s="322"/>
      <c r="Q71" s="322"/>
      <c r="R71" s="322"/>
      <c r="S71" s="322"/>
      <c r="T71" s="322"/>
      <c r="U71" s="323"/>
      <c r="V71" s="322"/>
      <c r="W71" s="322"/>
      <c r="X71" s="322"/>
      <c r="Y71" s="322"/>
      <c r="Z71" s="322"/>
      <c r="AA71" s="322"/>
      <c r="AB71" s="322"/>
      <c r="AC71" s="322"/>
      <c r="AD71" s="322"/>
      <c r="AE71" s="322"/>
      <c r="AF71" s="322"/>
      <c r="AG71" s="322"/>
      <c r="AH71" s="322"/>
      <c r="AI71" s="322"/>
      <c r="AJ71" s="322"/>
      <c r="AK71" s="322"/>
      <c r="AL71" s="322"/>
      <c r="AM71" s="322"/>
      <c r="AN71" s="322"/>
      <c r="AO71" s="322"/>
      <c r="AP71" s="322"/>
      <c r="AQ71" s="322"/>
      <c r="AR71" s="322"/>
      <c r="AS71" s="322"/>
      <c r="AT71" s="322"/>
      <c r="AU71" s="322"/>
      <c r="AV71" s="322"/>
      <c r="AW71" s="322"/>
      <c r="AX71" s="322"/>
      <c r="AY71" s="322"/>
      <c r="AZ71" s="322"/>
      <c r="BA71" s="322"/>
      <c r="BB71" s="322"/>
      <c r="BC71" s="322"/>
      <c r="BD71" s="322"/>
      <c r="BE71" s="322"/>
      <c r="BF71" s="322"/>
      <c r="BG71" s="322"/>
      <c r="BH71" s="322"/>
      <c r="BI71" s="322"/>
      <c r="BJ71" s="322"/>
      <c r="BK71" s="322"/>
      <c r="BL71" s="322"/>
      <c r="BM71" s="322"/>
      <c r="BN71" s="322"/>
      <c r="BO71" s="322"/>
      <c r="BP71" s="322"/>
      <c r="BQ71" s="322"/>
      <c r="BR71" s="322"/>
      <c r="BS71" s="322"/>
      <c r="BT71" s="322"/>
      <c r="BU71" s="322"/>
      <c r="BV71" s="322"/>
      <c r="BW71" s="322"/>
      <c r="BX71" s="322"/>
      <c r="BY71" s="322">
        <v>4</v>
      </c>
      <c r="BZ71" s="322">
        <v>4</v>
      </c>
      <c r="CA71" s="322">
        <v>4</v>
      </c>
      <c r="CB71" s="322">
        <v>4</v>
      </c>
      <c r="CC71" s="322"/>
      <c r="CD71" s="322"/>
      <c r="CE71" s="322"/>
      <c r="CF71" s="322"/>
      <c r="CG71" s="324">
        <v>4</v>
      </c>
    </row>
    <row r="72" spans="1:85" x14ac:dyDescent="0.2">
      <c r="A72" s="321">
        <v>3216</v>
      </c>
      <c r="B72" s="322"/>
      <c r="C72" s="322"/>
      <c r="D72" s="322"/>
      <c r="E72" s="322"/>
      <c r="F72" s="323"/>
      <c r="G72" s="322"/>
      <c r="H72" s="322"/>
      <c r="I72" s="322"/>
      <c r="J72" s="322"/>
      <c r="K72" s="322"/>
      <c r="L72" s="322"/>
      <c r="M72" s="323"/>
      <c r="N72" s="322"/>
      <c r="O72" s="322"/>
      <c r="P72" s="322"/>
      <c r="Q72" s="322"/>
      <c r="R72" s="322"/>
      <c r="S72" s="322"/>
      <c r="T72" s="322"/>
      <c r="U72" s="323"/>
      <c r="V72" s="322"/>
      <c r="W72" s="322"/>
      <c r="X72" s="322"/>
      <c r="Y72" s="322"/>
      <c r="Z72" s="322"/>
      <c r="AA72" s="322"/>
      <c r="AB72" s="322"/>
      <c r="AC72" s="322"/>
      <c r="AD72" s="322"/>
      <c r="AE72" s="322"/>
      <c r="AF72" s="322"/>
      <c r="AG72" s="322"/>
      <c r="AH72" s="322"/>
      <c r="AI72" s="322"/>
      <c r="AJ72" s="322"/>
      <c r="AK72" s="322"/>
      <c r="AL72" s="322"/>
      <c r="AM72" s="322"/>
      <c r="AN72" s="322"/>
      <c r="AO72" s="322">
        <v>13</v>
      </c>
      <c r="AP72" s="322">
        <v>13</v>
      </c>
      <c r="AQ72" s="322"/>
      <c r="AR72" s="322"/>
      <c r="AS72" s="322"/>
      <c r="AT72" s="322"/>
      <c r="AU72" s="322">
        <v>13</v>
      </c>
      <c r="AV72" s="322"/>
      <c r="AW72" s="322"/>
      <c r="AX72" s="322"/>
      <c r="AY72" s="322"/>
      <c r="AZ72" s="322"/>
      <c r="BA72" s="322"/>
      <c r="BB72" s="322">
        <v>13</v>
      </c>
      <c r="BC72" s="322"/>
      <c r="BD72" s="322"/>
      <c r="BE72" s="322"/>
      <c r="BF72" s="322"/>
      <c r="BG72" s="322"/>
      <c r="BH72" s="322"/>
      <c r="BI72" s="322"/>
      <c r="BJ72" s="322"/>
      <c r="BK72" s="322"/>
      <c r="BL72" s="322"/>
      <c r="BM72" s="322"/>
      <c r="BN72" s="322"/>
      <c r="BO72" s="322"/>
      <c r="BP72" s="322"/>
      <c r="BQ72" s="322"/>
      <c r="BR72" s="322"/>
      <c r="BS72" s="322"/>
      <c r="BT72" s="322"/>
      <c r="BU72" s="322"/>
      <c r="BV72" s="322"/>
      <c r="BW72" s="322"/>
      <c r="BX72" s="322"/>
      <c r="BY72" s="322"/>
      <c r="BZ72" s="322"/>
      <c r="CA72" s="322"/>
      <c r="CB72" s="322"/>
      <c r="CC72" s="322"/>
      <c r="CD72" s="322"/>
      <c r="CE72" s="322"/>
      <c r="CF72" s="322"/>
      <c r="CG72" s="324">
        <v>13</v>
      </c>
    </row>
    <row r="73" spans="1:85" x14ac:dyDescent="0.2">
      <c r="A73" s="321">
        <v>3217</v>
      </c>
      <c r="B73" s="322"/>
      <c r="C73" s="322"/>
      <c r="D73" s="322"/>
      <c r="E73" s="322"/>
      <c r="F73" s="323"/>
      <c r="G73" s="322"/>
      <c r="H73" s="322"/>
      <c r="I73" s="322"/>
      <c r="J73" s="322"/>
      <c r="K73" s="322"/>
      <c r="L73" s="322"/>
      <c r="M73" s="323"/>
      <c r="N73" s="322"/>
      <c r="O73" s="322"/>
      <c r="P73" s="322"/>
      <c r="Q73" s="322"/>
      <c r="R73" s="322"/>
      <c r="S73" s="322"/>
      <c r="T73" s="322"/>
      <c r="U73" s="323"/>
      <c r="V73" s="322"/>
      <c r="W73" s="322"/>
      <c r="X73" s="322"/>
      <c r="Y73" s="322"/>
      <c r="Z73" s="322"/>
      <c r="AA73" s="322"/>
      <c r="AB73" s="322"/>
      <c r="AC73" s="322"/>
      <c r="AD73" s="322"/>
      <c r="AE73" s="322"/>
      <c r="AF73" s="322"/>
      <c r="AG73" s="322"/>
      <c r="AH73" s="322"/>
      <c r="AI73" s="322"/>
      <c r="AJ73" s="322"/>
      <c r="AK73" s="322"/>
      <c r="AL73" s="322"/>
      <c r="AM73" s="322"/>
      <c r="AN73" s="322"/>
      <c r="AO73" s="322">
        <v>596</v>
      </c>
      <c r="AP73" s="322">
        <v>596</v>
      </c>
      <c r="AQ73" s="322"/>
      <c r="AR73" s="322"/>
      <c r="AS73" s="322"/>
      <c r="AT73" s="322"/>
      <c r="AU73" s="322">
        <v>596</v>
      </c>
      <c r="AV73" s="322"/>
      <c r="AW73" s="322"/>
      <c r="AX73" s="322"/>
      <c r="AY73" s="322"/>
      <c r="AZ73" s="322"/>
      <c r="BA73" s="322"/>
      <c r="BB73" s="322">
        <v>596</v>
      </c>
      <c r="BC73" s="322"/>
      <c r="BD73" s="322"/>
      <c r="BE73" s="322"/>
      <c r="BF73" s="322"/>
      <c r="BG73" s="322"/>
      <c r="BH73" s="322"/>
      <c r="BI73" s="322"/>
      <c r="BJ73" s="322"/>
      <c r="BK73" s="322"/>
      <c r="BL73" s="322"/>
      <c r="BM73" s="322"/>
      <c r="BN73" s="322"/>
      <c r="BO73" s="322"/>
      <c r="BP73" s="322"/>
      <c r="BQ73" s="322"/>
      <c r="BR73" s="322"/>
      <c r="BS73" s="322"/>
      <c r="BT73" s="322"/>
      <c r="BU73" s="322"/>
      <c r="BV73" s="322"/>
      <c r="BW73" s="322"/>
      <c r="BX73" s="322"/>
      <c r="BY73" s="322"/>
      <c r="BZ73" s="322"/>
      <c r="CA73" s="322"/>
      <c r="CB73" s="322"/>
      <c r="CC73" s="322"/>
      <c r="CD73" s="322"/>
      <c r="CE73" s="322"/>
      <c r="CF73" s="322"/>
      <c r="CG73" s="324">
        <v>596</v>
      </c>
    </row>
    <row r="74" spans="1:85" x14ac:dyDescent="0.2">
      <c r="A74" s="321">
        <v>3218</v>
      </c>
      <c r="B74" s="322"/>
      <c r="C74" s="322"/>
      <c r="D74" s="322"/>
      <c r="E74" s="322"/>
      <c r="F74" s="323"/>
      <c r="G74" s="322"/>
      <c r="H74" s="322"/>
      <c r="I74" s="322"/>
      <c r="J74" s="322"/>
      <c r="K74" s="322"/>
      <c r="L74" s="322"/>
      <c r="M74" s="323"/>
      <c r="N74" s="322"/>
      <c r="O74" s="322"/>
      <c r="P74" s="322"/>
      <c r="Q74" s="322"/>
      <c r="R74" s="322"/>
      <c r="S74" s="322"/>
      <c r="T74" s="322"/>
      <c r="U74" s="323"/>
      <c r="V74" s="322"/>
      <c r="W74" s="322"/>
      <c r="X74" s="322"/>
      <c r="Y74" s="322"/>
      <c r="Z74" s="322"/>
      <c r="AA74" s="322"/>
      <c r="AB74" s="322"/>
      <c r="AC74" s="322"/>
      <c r="AD74" s="322"/>
      <c r="AE74" s="322"/>
      <c r="AF74" s="322"/>
      <c r="AG74" s="322">
        <v>253</v>
      </c>
      <c r="AH74" s="322">
        <v>253</v>
      </c>
      <c r="AI74" s="322">
        <v>253</v>
      </c>
      <c r="AJ74" s="322">
        <v>253</v>
      </c>
      <c r="AK74" s="322"/>
      <c r="AL74" s="322"/>
      <c r="AM74" s="322"/>
      <c r="AN74" s="322"/>
      <c r="AO74" s="322"/>
      <c r="AP74" s="322"/>
      <c r="AQ74" s="322"/>
      <c r="AR74" s="322"/>
      <c r="AS74" s="322"/>
      <c r="AT74" s="322"/>
      <c r="AU74" s="322"/>
      <c r="AV74" s="322"/>
      <c r="AW74" s="322"/>
      <c r="AX74" s="322"/>
      <c r="AY74" s="322"/>
      <c r="AZ74" s="322"/>
      <c r="BA74" s="322"/>
      <c r="BB74" s="322"/>
      <c r="BC74" s="322"/>
      <c r="BD74" s="322"/>
      <c r="BE74" s="322"/>
      <c r="BF74" s="322"/>
      <c r="BG74" s="322"/>
      <c r="BH74" s="322"/>
      <c r="BI74" s="322"/>
      <c r="BJ74" s="322"/>
      <c r="BK74" s="322"/>
      <c r="BL74" s="322"/>
      <c r="BM74" s="322"/>
      <c r="BN74" s="322"/>
      <c r="BO74" s="322"/>
      <c r="BP74" s="322"/>
      <c r="BQ74" s="322"/>
      <c r="BR74" s="322"/>
      <c r="BS74" s="322"/>
      <c r="BT74" s="322"/>
      <c r="BU74" s="322"/>
      <c r="BV74" s="322"/>
      <c r="BW74" s="322"/>
      <c r="BX74" s="322"/>
      <c r="BY74" s="322"/>
      <c r="BZ74" s="322"/>
      <c r="CA74" s="322"/>
      <c r="CB74" s="322"/>
      <c r="CC74" s="322"/>
      <c r="CD74" s="322"/>
      <c r="CE74" s="322"/>
      <c r="CF74" s="322"/>
      <c r="CG74" s="324">
        <v>253</v>
      </c>
    </row>
    <row r="75" spans="1:85" x14ac:dyDescent="0.2">
      <c r="A75" s="321">
        <v>4006</v>
      </c>
      <c r="B75" s="322"/>
      <c r="C75" s="322"/>
      <c r="D75" s="322"/>
      <c r="E75" s="322"/>
      <c r="F75" s="323"/>
      <c r="G75" s="322"/>
      <c r="H75" s="322"/>
      <c r="I75" s="322"/>
      <c r="J75" s="322"/>
      <c r="K75" s="322"/>
      <c r="L75" s="322"/>
      <c r="M75" s="323"/>
      <c r="N75" s="322"/>
      <c r="O75" s="322"/>
      <c r="P75" s="322"/>
      <c r="Q75" s="322"/>
      <c r="R75" s="322"/>
      <c r="S75" s="322"/>
      <c r="T75" s="322"/>
      <c r="U75" s="323"/>
      <c r="V75" s="322"/>
      <c r="W75" s="322"/>
      <c r="X75" s="322"/>
      <c r="Y75" s="322"/>
      <c r="Z75" s="322"/>
      <c r="AA75" s="322"/>
      <c r="AB75" s="322"/>
      <c r="AC75" s="322"/>
      <c r="AD75" s="322"/>
      <c r="AE75" s="322"/>
      <c r="AF75" s="322"/>
      <c r="AG75" s="322"/>
      <c r="AH75" s="322"/>
      <c r="AI75" s="322"/>
      <c r="AJ75" s="322"/>
      <c r="AK75" s="322"/>
      <c r="AL75" s="322"/>
      <c r="AM75" s="322"/>
      <c r="AN75" s="322"/>
      <c r="AO75" s="322"/>
      <c r="AP75" s="322"/>
      <c r="AQ75" s="322"/>
      <c r="AR75" s="322"/>
      <c r="AS75" s="322"/>
      <c r="AT75" s="322"/>
      <c r="AU75" s="322"/>
      <c r="AV75" s="322"/>
      <c r="AW75" s="322"/>
      <c r="AX75" s="322"/>
      <c r="AY75" s="322"/>
      <c r="AZ75" s="322"/>
      <c r="BA75" s="322"/>
      <c r="BB75" s="322"/>
      <c r="BC75" s="322">
        <v>1</v>
      </c>
      <c r="BD75" s="322">
        <v>1</v>
      </c>
      <c r="BE75" s="322">
        <v>1</v>
      </c>
      <c r="BF75" s="322"/>
      <c r="BG75" s="322"/>
      <c r="BH75" s="322"/>
      <c r="BI75" s="322"/>
      <c r="BJ75" s="322"/>
      <c r="BK75" s="322"/>
      <c r="BL75" s="322"/>
      <c r="BM75" s="322"/>
      <c r="BN75" s="322"/>
      <c r="BO75" s="322"/>
      <c r="BP75" s="322"/>
      <c r="BQ75" s="322"/>
      <c r="BR75" s="322"/>
      <c r="BS75" s="322"/>
      <c r="BT75" s="322"/>
      <c r="BU75" s="322"/>
      <c r="BV75" s="322"/>
      <c r="BW75" s="322"/>
      <c r="BX75" s="322"/>
      <c r="BY75" s="322"/>
      <c r="BZ75" s="322"/>
      <c r="CA75" s="322"/>
      <c r="CB75" s="322">
        <v>1</v>
      </c>
      <c r="CC75" s="322"/>
      <c r="CD75" s="322"/>
      <c r="CE75" s="322"/>
      <c r="CF75" s="322"/>
      <c r="CG75" s="324">
        <v>1</v>
      </c>
    </row>
    <row r="76" spans="1:85" x14ac:dyDescent="0.2">
      <c r="A76" s="321">
        <v>4025</v>
      </c>
      <c r="B76" s="322"/>
      <c r="C76" s="322"/>
      <c r="D76" s="322"/>
      <c r="E76" s="322"/>
      <c r="F76" s="323"/>
      <c r="G76" s="322"/>
      <c r="H76" s="322"/>
      <c r="I76" s="322"/>
      <c r="J76" s="322"/>
      <c r="K76" s="322"/>
      <c r="L76" s="322"/>
      <c r="M76" s="323"/>
      <c r="N76" s="322"/>
      <c r="O76" s="322"/>
      <c r="P76" s="322"/>
      <c r="Q76" s="322"/>
      <c r="R76" s="322"/>
      <c r="S76" s="322"/>
      <c r="T76" s="322"/>
      <c r="U76" s="323"/>
      <c r="V76" s="322"/>
      <c r="W76" s="322"/>
      <c r="X76" s="322"/>
      <c r="Y76" s="322"/>
      <c r="Z76" s="322"/>
      <c r="AA76" s="322"/>
      <c r="AB76" s="322"/>
      <c r="AC76" s="322"/>
      <c r="AD76" s="322"/>
      <c r="AE76" s="322"/>
      <c r="AF76" s="322"/>
      <c r="AG76" s="322"/>
      <c r="AH76" s="322"/>
      <c r="AI76" s="322"/>
      <c r="AJ76" s="322"/>
      <c r="AK76" s="322"/>
      <c r="AL76" s="322"/>
      <c r="AM76" s="322"/>
      <c r="AN76" s="322"/>
      <c r="AO76" s="322"/>
      <c r="AP76" s="322"/>
      <c r="AQ76" s="322"/>
      <c r="AR76" s="322"/>
      <c r="AS76" s="322"/>
      <c r="AT76" s="322"/>
      <c r="AU76" s="322"/>
      <c r="AV76" s="322"/>
      <c r="AW76" s="322"/>
      <c r="AX76" s="322"/>
      <c r="AY76" s="322"/>
      <c r="AZ76" s="322"/>
      <c r="BA76" s="322"/>
      <c r="BB76" s="322"/>
      <c r="BC76" s="322"/>
      <c r="BD76" s="322"/>
      <c r="BE76" s="322"/>
      <c r="BF76" s="322"/>
      <c r="BG76" s="322"/>
      <c r="BH76" s="322"/>
      <c r="BI76" s="322"/>
      <c r="BJ76" s="322"/>
      <c r="BK76" s="322">
        <v>3</v>
      </c>
      <c r="BL76" s="322">
        <v>3</v>
      </c>
      <c r="BM76" s="322"/>
      <c r="BN76" s="322"/>
      <c r="BO76" s="322"/>
      <c r="BP76" s="322"/>
      <c r="BQ76" s="322">
        <v>3</v>
      </c>
      <c r="BR76" s="322"/>
      <c r="BS76" s="322"/>
      <c r="BT76" s="322"/>
      <c r="BU76" s="322"/>
      <c r="BV76" s="322"/>
      <c r="BW76" s="322"/>
      <c r="BX76" s="322"/>
      <c r="BY76" s="322"/>
      <c r="BZ76" s="322"/>
      <c r="CA76" s="322"/>
      <c r="CB76" s="322">
        <v>3</v>
      </c>
      <c r="CC76" s="322"/>
      <c r="CD76" s="322"/>
      <c r="CE76" s="322"/>
      <c r="CF76" s="322"/>
      <c r="CG76" s="324">
        <v>3</v>
      </c>
    </row>
    <row r="77" spans="1:85" x14ac:dyDescent="0.2">
      <c r="A77" s="321">
        <v>4030</v>
      </c>
      <c r="B77" s="322"/>
      <c r="C77" s="322"/>
      <c r="D77" s="322"/>
      <c r="E77" s="322"/>
      <c r="F77" s="323"/>
      <c r="G77" s="322"/>
      <c r="H77" s="322"/>
      <c r="I77" s="322"/>
      <c r="J77" s="322"/>
      <c r="K77" s="322"/>
      <c r="L77" s="322"/>
      <c r="M77" s="323"/>
      <c r="N77" s="322"/>
      <c r="O77" s="322"/>
      <c r="P77" s="322"/>
      <c r="Q77" s="322"/>
      <c r="R77" s="322"/>
      <c r="S77" s="322"/>
      <c r="T77" s="322"/>
      <c r="U77" s="323"/>
      <c r="V77" s="322"/>
      <c r="W77" s="322"/>
      <c r="X77" s="322"/>
      <c r="Y77" s="322"/>
      <c r="Z77" s="322"/>
      <c r="AA77" s="322"/>
      <c r="AB77" s="322"/>
      <c r="AC77" s="322"/>
      <c r="AD77" s="322"/>
      <c r="AE77" s="322"/>
      <c r="AF77" s="322"/>
      <c r="AG77" s="322"/>
      <c r="AH77" s="322"/>
      <c r="AI77" s="322"/>
      <c r="AJ77" s="322"/>
      <c r="AK77" s="322"/>
      <c r="AL77" s="322"/>
      <c r="AM77" s="322"/>
      <c r="AN77" s="322"/>
      <c r="AO77" s="322"/>
      <c r="AP77" s="322"/>
      <c r="AQ77" s="322"/>
      <c r="AR77" s="322"/>
      <c r="AS77" s="322"/>
      <c r="AT77" s="322"/>
      <c r="AU77" s="322"/>
      <c r="AV77" s="322"/>
      <c r="AW77" s="322"/>
      <c r="AX77" s="322"/>
      <c r="AY77" s="322"/>
      <c r="AZ77" s="322"/>
      <c r="BA77" s="322"/>
      <c r="BB77" s="322"/>
      <c r="BC77" s="322"/>
      <c r="BD77" s="322"/>
      <c r="BE77" s="322"/>
      <c r="BF77" s="322"/>
      <c r="BG77" s="322"/>
      <c r="BH77" s="322"/>
      <c r="BI77" s="322"/>
      <c r="BJ77" s="322"/>
      <c r="BK77" s="322"/>
      <c r="BL77" s="322"/>
      <c r="BM77" s="322">
        <v>8</v>
      </c>
      <c r="BN77" s="322">
        <v>8</v>
      </c>
      <c r="BO77" s="322"/>
      <c r="BP77" s="322"/>
      <c r="BQ77" s="322">
        <v>8</v>
      </c>
      <c r="BR77" s="322"/>
      <c r="BS77" s="322"/>
      <c r="BT77" s="322"/>
      <c r="BU77" s="322"/>
      <c r="BV77" s="322"/>
      <c r="BW77" s="322"/>
      <c r="BX77" s="322"/>
      <c r="BY77" s="322"/>
      <c r="BZ77" s="322"/>
      <c r="CA77" s="322"/>
      <c r="CB77" s="322">
        <v>8</v>
      </c>
      <c r="CC77" s="322"/>
      <c r="CD77" s="322"/>
      <c r="CE77" s="322"/>
      <c r="CF77" s="322"/>
      <c r="CG77" s="324">
        <v>8</v>
      </c>
    </row>
    <row r="78" spans="1:85" x14ac:dyDescent="0.2">
      <c r="A78" s="321">
        <v>4035</v>
      </c>
      <c r="B78" s="322"/>
      <c r="C78" s="322"/>
      <c r="D78" s="322"/>
      <c r="E78" s="322"/>
      <c r="F78" s="323"/>
      <c r="G78" s="322"/>
      <c r="H78" s="322"/>
      <c r="I78" s="322"/>
      <c r="J78" s="322"/>
      <c r="K78" s="322"/>
      <c r="L78" s="322"/>
      <c r="M78" s="323"/>
      <c r="N78" s="322"/>
      <c r="O78" s="322"/>
      <c r="P78" s="322"/>
      <c r="Q78" s="322"/>
      <c r="R78" s="322"/>
      <c r="S78" s="322"/>
      <c r="T78" s="322"/>
      <c r="U78" s="323"/>
      <c r="V78" s="322"/>
      <c r="W78" s="322"/>
      <c r="X78" s="322"/>
      <c r="Y78" s="322"/>
      <c r="Z78" s="322"/>
      <c r="AA78" s="322"/>
      <c r="AB78" s="322"/>
      <c r="AC78" s="322"/>
      <c r="AD78" s="322"/>
      <c r="AE78" s="322"/>
      <c r="AF78" s="322"/>
      <c r="AG78" s="322"/>
      <c r="AH78" s="322"/>
      <c r="AI78" s="322"/>
      <c r="AJ78" s="322"/>
      <c r="AK78" s="322"/>
      <c r="AL78" s="322"/>
      <c r="AM78" s="322"/>
      <c r="AN78" s="322"/>
      <c r="AO78" s="322"/>
      <c r="AP78" s="322"/>
      <c r="AQ78" s="322"/>
      <c r="AR78" s="322"/>
      <c r="AS78" s="322"/>
      <c r="AT78" s="322"/>
      <c r="AU78" s="322"/>
      <c r="AV78" s="322"/>
      <c r="AW78" s="322"/>
      <c r="AX78" s="322"/>
      <c r="AY78" s="322"/>
      <c r="AZ78" s="322"/>
      <c r="BA78" s="322"/>
      <c r="BB78" s="322"/>
      <c r="BC78" s="322"/>
      <c r="BD78" s="322"/>
      <c r="BE78" s="322"/>
      <c r="BF78" s="322"/>
      <c r="BG78" s="322"/>
      <c r="BH78" s="322">
        <v>7</v>
      </c>
      <c r="BI78" s="322">
        <v>7</v>
      </c>
      <c r="BJ78" s="322">
        <v>7</v>
      </c>
      <c r="BK78" s="322"/>
      <c r="BL78" s="322"/>
      <c r="BM78" s="322"/>
      <c r="BN78" s="322"/>
      <c r="BO78" s="322"/>
      <c r="BP78" s="322"/>
      <c r="BQ78" s="322"/>
      <c r="BR78" s="322"/>
      <c r="BS78" s="322"/>
      <c r="BT78" s="322"/>
      <c r="BU78" s="322"/>
      <c r="BV78" s="322"/>
      <c r="BW78" s="322"/>
      <c r="BX78" s="322"/>
      <c r="BY78" s="322"/>
      <c r="BZ78" s="322"/>
      <c r="CA78" s="322"/>
      <c r="CB78" s="322">
        <v>7</v>
      </c>
      <c r="CC78" s="322"/>
      <c r="CD78" s="322"/>
      <c r="CE78" s="322"/>
      <c r="CF78" s="322"/>
      <c r="CG78" s="324">
        <v>7</v>
      </c>
    </row>
    <row r="79" spans="1:85" x14ac:dyDescent="0.2">
      <c r="A79" s="321">
        <v>4040</v>
      </c>
      <c r="B79" s="322"/>
      <c r="C79" s="322"/>
      <c r="D79" s="322"/>
      <c r="E79" s="322"/>
      <c r="F79" s="323"/>
      <c r="G79" s="322"/>
      <c r="H79" s="322"/>
      <c r="I79" s="322"/>
      <c r="J79" s="322"/>
      <c r="K79" s="322"/>
      <c r="L79" s="322"/>
      <c r="M79" s="323"/>
      <c r="N79" s="322"/>
      <c r="O79" s="322"/>
      <c r="P79" s="322"/>
      <c r="Q79" s="322"/>
      <c r="R79" s="322"/>
      <c r="S79" s="322"/>
      <c r="T79" s="322"/>
      <c r="U79" s="323"/>
      <c r="V79" s="322"/>
      <c r="W79" s="322"/>
      <c r="X79" s="322"/>
      <c r="Y79" s="322"/>
      <c r="Z79" s="322"/>
      <c r="AA79" s="322"/>
      <c r="AB79" s="322"/>
      <c r="AC79" s="322"/>
      <c r="AD79" s="322"/>
      <c r="AE79" s="322"/>
      <c r="AF79" s="322"/>
      <c r="AG79" s="322"/>
      <c r="AH79" s="322"/>
      <c r="AI79" s="322"/>
      <c r="AJ79" s="322"/>
      <c r="AK79" s="322"/>
      <c r="AL79" s="322"/>
      <c r="AM79" s="322"/>
      <c r="AN79" s="322"/>
      <c r="AO79" s="322"/>
      <c r="AP79" s="322"/>
      <c r="AQ79" s="322"/>
      <c r="AR79" s="322"/>
      <c r="AS79" s="322"/>
      <c r="AT79" s="322"/>
      <c r="AU79" s="322"/>
      <c r="AV79" s="322"/>
      <c r="AW79" s="322"/>
      <c r="AX79" s="322"/>
      <c r="AY79" s="322"/>
      <c r="AZ79" s="322"/>
      <c r="BA79" s="322"/>
      <c r="BB79" s="322"/>
      <c r="BC79" s="322"/>
      <c r="BD79" s="322"/>
      <c r="BE79" s="322"/>
      <c r="BF79" s="322">
        <v>4</v>
      </c>
      <c r="BG79" s="322">
        <v>4</v>
      </c>
      <c r="BH79" s="322"/>
      <c r="BI79" s="322"/>
      <c r="BJ79" s="322">
        <v>4</v>
      </c>
      <c r="BK79" s="322"/>
      <c r="BL79" s="322"/>
      <c r="BM79" s="322"/>
      <c r="BN79" s="322"/>
      <c r="BO79" s="322"/>
      <c r="BP79" s="322"/>
      <c r="BQ79" s="322"/>
      <c r="BR79" s="322"/>
      <c r="BS79" s="322"/>
      <c r="BT79" s="322"/>
      <c r="BU79" s="322"/>
      <c r="BV79" s="322"/>
      <c r="BW79" s="322"/>
      <c r="BX79" s="322"/>
      <c r="BY79" s="322"/>
      <c r="BZ79" s="322"/>
      <c r="CA79" s="322"/>
      <c r="CB79" s="322">
        <v>4</v>
      </c>
      <c r="CC79" s="322"/>
      <c r="CD79" s="322"/>
      <c r="CE79" s="322"/>
      <c r="CF79" s="322"/>
      <c r="CG79" s="324">
        <v>4</v>
      </c>
    </row>
    <row r="80" spans="1:85" x14ac:dyDescent="0.2">
      <c r="A80" s="321">
        <v>4050</v>
      </c>
      <c r="B80" s="322"/>
      <c r="C80" s="322"/>
      <c r="D80" s="322"/>
      <c r="E80" s="322"/>
      <c r="F80" s="323"/>
      <c r="G80" s="322"/>
      <c r="H80" s="322"/>
      <c r="I80" s="322"/>
      <c r="J80" s="322"/>
      <c r="K80" s="322"/>
      <c r="L80" s="322"/>
      <c r="M80" s="323"/>
      <c r="N80" s="322"/>
      <c r="O80" s="322"/>
      <c r="P80" s="322"/>
      <c r="Q80" s="322"/>
      <c r="R80" s="322"/>
      <c r="S80" s="322"/>
      <c r="T80" s="322"/>
      <c r="U80" s="323"/>
      <c r="V80" s="322"/>
      <c r="W80" s="322"/>
      <c r="X80" s="322"/>
      <c r="Y80" s="322"/>
      <c r="Z80" s="322"/>
      <c r="AA80" s="322"/>
      <c r="AB80" s="322"/>
      <c r="AC80" s="322"/>
      <c r="AD80" s="322"/>
      <c r="AE80" s="322"/>
      <c r="AF80" s="322"/>
      <c r="AG80" s="322"/>
      <c r="AH80" s="322"/>
      <c r="AI80" s="322"/>
      <c r="AJ80" s="322"/>
      <c r="AK80" s="322"/>
      <c r="AL80" s="322"/>
      <c r="AM80" s="322"/>
      <c r="AN80" s="322"/>
      <c r="AO80" s="322"/>
      <c r="AP80" s="322"/>
      <c r="AQ80" s="322"/>
      <c r="AR80" s="322"/>
      <c r="AS80" s="322"/>
      <c r="AT80" s="322"/>
      <c r="AU80" s="322"/>
      <c r="AV80" s="322"/>
      <c r="AW80" s="322"/>
      <c r="AX80" s="322"/>
      <c r="AY80" s="322"/>
      <c r="AZ80" s="322"/>
      <c r="BA80" s="322"/>
      <c r="BB80" s="322"/>
      <c r="BC80" s="322"/>
      <c r="BD80" s="322"/>
      <c r="BE80" s="322"/>
      <c r="BF80" s="322"/>
      <c r="BG80" s="322"/>
      <c r="BH80" s="322"/>
      <c r="BI80" s="322"/>
      <c r="BJ80" s="322"/>
      <c r="BK80" s="322"/>
      <c r="BL80" s="322"/>
      <c r="BM80" s="322"/>
      <c r="BN80" s="322"/>
      <c r="BO80" s="322">
        <v>23</v>
      </c>
      <c r="BP80" s="322">
        <v>23</v>
      </c>
      <c r="BQ80" s="322">
        <v>23</v>
      </c>
      <c r="BR80" s="322"/>
      <c r="BS80" s="322"/>
      <c r="BT80" s="322"/>
      <c r="BU80" s="322"/>
      <c r="BV80" s="322"/>
      <c r="BW80" s="322"/>
      <c r="BX80" s="322"/>
      <c r="BY80" s="322"/>
      <c r="BZ80" s="322"/>
      <c r="CA80" s="322"/>
      <c r="CB80" s="322">
        <v>23</v>
      </c>
      <c r="CC80" s="322"/>
      <c r="CD80" s="322"/>
      <c r="CE80" s="322"/>
      <c r="CF80" s="322"/>
      <c r="CG80" s="324">
        <v>23</v>
      </c>
    </row>
    <row r="81" spans="1:85" x14ac:dyDescent="0.2">
      <c r="A81" s="321">
        <v>4056</v>
      </c>
      <c r="B81" s="322"/>
      <c r="C81" s="322"/>
      <c r="D81" s="322"/>
      <c r="E81" s="322"/>
      <c r="F81" s="323"/>
      <c r="G81" s="322"/>
      <c r="H81" s="322"/>
      <c r="I81" s="322"/>
      <c r="J81" s="322"/>
      <c r="K81" s="322"/>
      <c r="L81" s="322"/>
      <c r="M81" s="323"/>
      <c r="N81" s="322"/>
      <c r="O81" s="322"/>
      <c r="P81" s="322"/>
      <c r="Q81" s="322">
        <v>3</v>
      </c>
      <c r="R81" s="322">
        <v>3</v>
      </c>
      <c r="S81" s="322">
        <v>3</v>
      </c>
      <c r="T81" s="322"/>
      <c r="U81" s="323"/>
      <c r="V81" s="322"/>
      <c r="W81" s="322"/>
      <c r="X81" s="322"/>
      <c r="Y81" s="322"/>
      <c r="Z81" s="322"/>
      <c r="AA81" s="322"/>
      <c r="AB81" s="322"/>
      <c r="AC81" s="322"/>
      <c r="AD81" s="322"/>
      <c r="AE81" s="322"/>
      <c r="AF81" s="322"/>
      <c r="AG81" s="322"/>
      <c r="AH81" s="322"/>
      <c r="AI81" s="322"/>
      <c r="AJ81" s="322">
        <v>3</v>
      </c>
      <c r="AK81" s="322"/>
      <c r="AL81" s="322"/>
      <c r="AM81" s="322"/>
      <c r="AN81" s="322"/>
      <c r="AO81" s="322"/>
      <c r="AP81" s="322"/>
      <c r="AQ81" s="322"/>
      <c r="AR81" s="322"/>
      <c r="AS81" s="322"/>
      <c r="AT81" s="322"/>
      <c r="AU81" s="322"/>
      <c r="AV81" s="322"/>
      <c r="AW81" s="322"/>
      <c r="AX81" s="322"/>
      <c r="AY81" s="322"/>
      <c r="AZ81" s="322"/>
      <c r="BA81" s="322"/>
      <c r="BB81" s="322"/>
      <c r="BC81" s="322"/>
      <c r="BD81" s="322"/>
      <c r="BE81" s="322"/>
      <c r="BF81" s="322"/>
      <c r="BG81" s="322"/>
      <c r="BH81" s="322"/>
      <c r="BI81" s="322"/>
      <c r="BJ81" s="322"/>
      <c r="BK81" s="322"/>
      <c r="BL81" s="322"/>
      <c r="BM81" s="322"/>
      <c r="BN81" s="322"/>
      <c r="BO81" s="322"/>
      <c r="BP81" s="322"/>
      <c r="BQ81" s="322"/>
      <c r="BR81" s="322"/>
      <c r="BS81" s="322"/>
      <c r="BT81" s="322"/>
      <c r="BU81" s="322"/>
      <c r="BV81" s="322"/>
      <c r="BW81" s="322"/>
      <c r="BX81" s="322"/>
      <c r="BY81" s="322"/>
      <c r="BZ81" s="322"/>
      <c r="CA81" s="322"/>
      <c r="CB81" s="322"/>
      <c r="CC81" s="322"/>
      <c r="CD81" s="322"/>
      <c r="CE81" s="322"/>
      <c r="CF81" s="322"/>
      <c r="CG81" s="324">
        <v>3</v>
      </c>
    </row>
    <row r="82" spans="1:85" x14ac:dyDescent="0.2">
      <c r="A82" s="321">
        <v>4059</v>
      </c>
      <c r="B82" s="322"/>
      <c r="C82" s="322"/>
      <c r="D82" s="322"/>
      <c r="E82" s="322"/>
      <c r="F82" s="323"/>
      <c r="G82" s="322"/>
      <c r="H82" s="322"/>
      <c r="I82" s="322"/>
      <c r="J82" s="322"/>
      <c r="K82" s="322"/>
      <c r="L82" s="322"/>
      <c r="M82" s="323"/>
      <c r="N82" s="322"/>
      <c r="O82" s="322"/>
      <c r="P82" s="322"/>
      <c r="Q82" s="322"/>
      <c r="R82" s="322"/>
      <c r="S82" s="322"/>
      <c r="T82" s="322"/>
      <c r="U82" s="323"/>
      <c r="V82" s="322"/>
      <c r="W82" s="322"/>
      <c r="X82" s="322"/>
      <c r="Y82" s="322"/>
      <c r="Z82" s="322"/>
      <c r="AA82" s="322"/>
      <c r="AB82" s="322"/>
      <c r="AC82" s="322"/>
      <c r="AD82" s="322">
        <v>3</v>
      </c>
      <c r="AE82" s="322">
        <v>3</v>
      </c>
      <c r="AF82" s="322">
        <v>3</v>
      </c>
      <c r="AG82" s="322"/>
      <c r="AH82" s="322"/>
      <c r="AI82" s="322"/>
      <c r="AJ82" s="322">
        <v>3</v>
      </c>
      <c r="AK82" s="322"/>
      <c r="AL82" s="322"/>
      <c r="AM82" s="322"/>
      <c r="AN82" s="322"/>
      <c r="AO82" s="322"/>
      <c r="AP82" s="322"/>
      <c r="AQ82" s="322"/>
      <c r="AR82" s="322"/>
      <c r="AS82" s="322"/>
      <c r="AT82" s="322"/>
      <c r="AU82" s="322"/>
      <c r="AV82" s="322"/>
      <c r="AW82" s="322"/>
      <c r="AX82" s="322"/>
      <c r="AY82" s="322"/>
      <c r="AZ82" s="322"/>
      <c r="BA82" s="322"/>
      <c r="BB82" s="322"/>
      <c r="BC82" s="322"/>
      <c r="BD82" s="322"/>
      <c r="BE82" s="322"/>
      <c r="BF82" s="322"/>
      <c r="BG82" s="322"/>
      <c r="BH82" s="322"/>
      <c r="BI82" s="322"/>
      <c r="BJ82" s="322"/>
      <c r="BK82" s="322"/>
      <c r="BL82" s="322"/>
      <c r="BM82" s="322"/>
      <c r="BN82" s="322"/>
      <c r="BO82" s="322"/>
      <c r="BP82" s="322"/>
      <c r="BQ82" s="322"/>
      <c r="BR82" s="322"/>
      <c r="BS82" s="322"/>
      <c r="BT82" s="322"/>
      <c r="BU82" s="322"/>
      <c r="BV82" s="322"/>
      <c r="BW82" s="322"/>
      <c r="BX82" s="322"/>
      <c r="BY82" s="322"/>
      <c r="BZ82" s="322"/>
      <c r="CA82" s="322"/>
      <c r="CB82" s="322"/>
      <c r="CC82" s="322"/>
      <c r="CD82" s="322"/>
      <c r="CE82" s="322"/>
      <c r="CF82" s="322"/>
      <c r="CG82" s="324">
        <v>3</v>
      </c>
    </row>
    <row r="83" spans="1:85" x14ac:dyDescent="0.2">
      <c r="A83" s="321">
        <v>4065</v>
      </c>
      <c r="B83" s="322"/>
      <c r="C83" s="322"/>
      <c r="D83" s="322"/>
      <c r="E83" s="322"/>
      <c r="F83" s="323"/>
      <c r="G83" s="322"/>
      <c r="H83" s="322"/>
      <c r="I83" s="322"/>
      <c r="J83" s="322"/>
      <c r="K83" s="322"/>
      <c r="L83" s="322"/>
      <c r="M83" s="323"/>
      <c r="N83" s="322"/>
      <c r="O83" s="322"/>
      <c r="P83" s="322"/>
      <c r="Q83" s="322"/>
      <c r="R83" s="322"/>
      <c r="S83" s="322"/>
      <c r="T83" s="322"/>
      <c r="U83" s="323"/>
      <c r="V83" s="322"/>
      <c r="W83" s="322"/>
      <c r="X83" s="322"/>
      <c r="Y83" s="322"/>
      <c r="Z83" s="322"/>
      <c r="AA83" s="322"/>
      <c r="AB83" s="322"/>
      <c r="AC83" s="322"/>
      <c r="AD83" s="322"/>
      <c r="AE83" s="322"/>
      <c r="AF83" s="322"/>
      <c r="AG83" s="322"/>
      <c r="AH83" s="322"/>
      <c r="AI83" s="322"/>
      <c r="AJ83" s="322"/>
      <c r="AK83" s="322"/>
      <c r="AL83" s="322"/>
      <c r="AM83" s="322"/>
      <c r="AN83" s="322"/>
      <c r="AO83" s="322"/>
      <c r="AP83" s="322"/>
      <c r="AQ83" s="322"/>
      <c r="AR83" s="322"/>
      <c r="AS83" s="322"/>
      <c r="AT83" s="322"/>
      <c r="AU83" s="322"/>
      <c r="AV83" s="322"/>
      <c r="AW83" s="322"/>
      <c r="AX83" s="322"/>
      <c r="AY83" s="322">
        <v>1</v>
      </c>
      <c r="AZ83" s="322">
        <v>1</v>
      </c>
      <c r="BA83" s="322">
        <v>1</v>
      </c>
      <c r="BB83" s="322">
        <v>1</v>
      </c>
      <c r="BC83" s="322"/>
      <c r="BD83" s="322"/>
      <c r="BE83" s="322"/>
      <c r="BF83" s="322"/>
      <c r="BG83" s="322"/>
      <c r="BH83" s="322"/>
      <c r="BI83" s="322"/>
      <c r="BJ83" s="322"/>
      <c r="BK83" s="322"/>
      <c r="BL83" s="322"/>
      <c r="BM83" s="322"/>
      <c r="BN83" s="322"/>
      <c r="BO83" s="322"/>
      <c r="BP83" s="322"/>
      <c r="BQ83" s="322"/>
      <c r="BR83" s="322"/>
      <c r="BS83" s="322"/>
      <c r="BT83" s="322"/>
      <c r="BU83" s="322"/>
      <c r="BV83" s="322"/>
      <c r="BW83" s="322"/>
      <c r="BX83" s="322"/>
      <c r="BY83" s="322"/>
      <c r="BZ83" s="322"/>
      <c r="CA83" s="322"/>
      <c r="CB83" s="322"/>
      <c r="CC83" s="322"/>
      <c r="CD83" s="322"/>
      <c r="CE83" s="322"/>
      <c r="CF83" s="322"/>
      <c r="CG83" s="324">
        <v>1</v>
      </c>
    </row>
    <row r="84" spans="1:85" x14ac:dyDescent="0.2">
      <c r="A84" s="321">
        <v>4068</v>
      </c>
      <c r="B84" s="322"/>
      <c r="C84" s="322"/>
      <c r="D84" s="322"/>
      <c r="E84" s="322"/>
      <c r="F84" s="323"/>
      <c r="G84" s="322"/>
      <c r="H84" s="322"/>
      <c r="I84" s="322"/>
      <c r="J84" s="322"/>
      <c r="K84" s="322"/>
      <c r="L84" s="322"/>
      <c r="M84" s="323"/>
      <c r="N84" s="322"/>
      <c r="O84" s="322"/>
      <c r="P84" s="322"/>
      <c r="Q84" s="322"/>
      <c r="R84" s="322"/>
      <c r="S84" s="322"/>
      <c r="T84" s="322"/>
      <c r="U84" s="323"/>
      <c r="V84" s="322"/>
      <c r="W84" s="322"/>
      <c r="X84" s="322"/>
      <c r="Y84" s="322"/>
      <c r="Z84" s="322"/>
      <c r="AA84" s="322"/>
      <c r="AB84" s="322"/>
      <c r="AC84" s="322"/>
      <c r="AD84" s="322"/>
      <c r="AE84" s="322"/>
      <c r="AF84" s="322"/>
      <c r="AG84" s="322">
        <v>2</v>
      </c>
      <c r="AH84" s="322">
        <v>2</v>
      </c>
      <c r="AI84" s="322">
        <v>2</v>
      </c>
      <c r="AJ84" s="322">
        <v>2</v>
      </c>
      <c r="AK84" s="322"/>
      <c r="AL84" s="322"/>
      <c r="AM84" s="322"/>
      <c r="AN84" s="322"/>
      <c r="AO84" s="322"/>
      <c r="AP84" s="322"/>
      <c r="AQ84" s="322"/>
      <c r="AR84" s="322"/>
      <c r="AS84" s="322"/>
      <c r="AT84" s="322"/>
      <c r="AU84" s="322"/>
      <c r="AV84" s="322"/>
      <c r="AW84" s="322"/>
      <c r="AX84" s="322"/>
      <c r="AY84" s="322"/>
      <c r="AZ84" s="322"/>
      <c r="BA84" s="322"/>
      <c r="BB84" s="322"/>
      <c r="BC84" s="322"/>
      <c r="BD84" s="322"/>
      <c r="BE84" s="322"/>
      <c r="BF84" s="322"/>
      <c r="BG84" s="322"/>
      <c r="BH84" s="322"/>
      <c r="BI84" s="322"/>
      <c r="BJ84" s="322"/>
      <c r="BK84" s="322"/>
      <c r="BL84" s="322"/>
      <c r="BM84" s="322"/>
      <c r="BN84" s="322"/>
      <c r="BO84" s="322"/>
      <c r="BP84" s="322"/>
      <c r="BQ84" s="322"/>
      <c r="BR84" s="322"/>
      <c r="BS84" s="322"/>
      <c r="BT84" s="322"/>
      <c r="BU84" s="322"/>
      <c r="BV84" s="322"/>
      <c r="BW84" s="322"/>
      <c r="BX84" s="322"/>
      <c r="BY84" s="322"/>
      <c r="BZ84" s="322"/>
      <c r="CA84" s="322"/>
      <c r="CB84" s="322"/>
      <c r="CC84" s="322"/>
      <c r="CD84" s="322"/>
      <c r="CE84" s="322"/>
      <c r="CF84" s="322"/>
      <c r="CG84" s="324">
        <v>2</v>
      </c>
    </row>
    <row r="85" spans="1:85" x14ac:dyDescent="0.2">
      <c r="A85" s="321">
        <v>4070</v>
      </c>
      <c r="B85" s="322"/>
      <c r="C85" s="322"/>
      <c r="D85" s="322"/>
      <c r="E85" s="322"/>
      <c r="F85" s="323"/>
      <c r="G85" s="322"/>
      <c r="H85" s="322"/>
      <c r="I85" s="322"/>
      <c r="J85" s="322"/>
      <c r="K85" s="322"/>
      <c r="L85" s="322"/>
      <c r="M85" s="323"/>
      <c r="N85" s="322"/>
      <c r="O85" s="322"/>
      <c r="P85" s="322"/>
      <c r="Q85" s="322"/>
      <c r="R85" s="322"/>
      <c r="S85" s="322"/>
      <c r="T85" s="322"/>
      <c r="U85" s="323"/>
      <c r="V85" s="322"/>
      <c r="W85" s="322"/>
      <c r="X85" s="322"/>
      <c r="Y85" s="322"/>
      <c r="Z85" s="322"/>
      <c r="AA85" s="322"/>
      <c r="AB85" s="322"/>
      <c r="AC85" s="322"/>
      <c r="AD85" s="322"/>
      <c r="AE85" s="322"/>
      <c r="AF85" s="322"/>
      <c r="AG85" s="322"/>
      <c r="AH85" s="322"/>
      <c r="AI85" s="322"/>
      <c r="AJ85" s="322"/>
      <c r="AK85" s="322"/>
      <c r="AL85" s="322"/>
      <c r="AM85" s="322"/>
      <c r="AN85" s="322"/>
      <c r="AO85" s="322"/>
      <c r="AP85" s="322"/>
      <c r="AQ85" s="322"/>
      <c r="AR85" s="322"/>
      <c r="AS85" s="322"/>
      <c r="AT85" s="322"/>
      <c r="AU85" s="322"/>
      <c r="AV85" s="322"/>
      <c r="AW85" s="322"/>
      <c r="AX85" s="322"/>
      <c r="AY85" s="322">
        <v>2</v>
      </c>
      <c r="AZ85" s="322">
        <v>2</v>
      </c>
      <c r="BA85" s="322">
        <v>2</v>
      </c>
      <c r="BB85" s="322">
        <v>2</v>
      </c>
      <c r="BC85" s="322"/>
      <c r="BD85" s="322"/>
      <c r="BE85" s="322"/>
      <c r="BF85" s="322"/>
      <c r="BG85" s="322"/>
      <c r="BH85" s="322"/>
      <c r="BI85" s="322"/>
      <c r="BJ85" s="322"/>
      <c r="BK85" s="322"/>
      <c r="BL85" s="322"/>
      <c r="BM85" s="322"/>
      <c r="BN85" s="322"/>
      <c r="BO85" s="322"/>
      <c r="BP85" s="322"/>
      <c r="BQ85" s="322"/>
      <c r="BR85" s="322"/>
      <c r="BS85" s="322"/>
      <c r="BT85" s="322"/>
      <c r="BU85" s="322"/>
      <c r="BV85" s="322"/>
      <c r="BW85" s="322"/>
      <c r="BX85" s="322"/>
      <c r="BY85" s="322"/>
      <c r="BZ85" s="322"/>
      <c r="CA85" s="322"/>
      <c r="CB85" s="322"/>
      <c r="CC85" s="322"/>
      <c r="CD85" s="322"/>
      <c r="CE85" s="322"/>
      <c r="CF85" s="322"/>
      <c r="CG85" s="324">
        <v>2</v>
      </c>
    </row>
    <row r="86" spans="1:85" x14ac:dyDescent="0.2">
      <c r="A86" s="321" t="s">
        <v>1789</v>
      </c>
      <c r="B86" s="322"/>
      <c r="C86" s="322"/>
      <c r="D86" s="322"/>
      <c r="E86" s="322"/>
      <c r="F86" s="323"/>
      <c r="G86" s="322"/>
      <c r="H86" s="322"/>
      <c r="I86" s="322"/>
      <c r="J86" s="322"/>
      <c r="K86" s="322"/>
      <c r="L86" s="322"/>
      <c r="M86" s="323"/>
      <c r="N86" s="322"/>
      <c r="O86" s="322"/>
      <c r="P86" s="322"/>
      <c r="Q86" s="322"/>
      <c r="R86" s="322"/>
      <c r="S86" s="322"/>
      <c r="T86" s="322"/>
      <c r="U86" s="323"/>
      <c r="V86" s="322"/>
      <c r="W86" s="322"/>
      <c r="X86" s="322"/>
      <c r="Y86" s="322"/>
      <c r="Z86" s="322"/>
      <c r="AA86" s="322"/>
      <c r="AB86" s="322"/>
      <c r="AC86" s="322"/>
      <c r="AD86" s="322"/>
      <c r="AE86" s="322"/>
      <c r="AF86" s="322"/>
      <c r="AG86" s="322"/>
      <c r="AH86" s="322"/>
      <c r="AI86" s="322"/>
      <c r="AJ86" s="322"/>
      <c r="AK86" s="322"/>
      <c r="AL86" s="322"/>
      <c r="AM86" s="322"/>
      <c r="AN86" s="322"/>
      <c r="AO86" s="322"/>
      <c r="AP86" s="322"/>
      <c r="AQ86" s="322"/>
      <c r="AR86" s="322"/>
      <c r="AS86" s="322"/>
      <c r="AT86" s="322"/>
      <c r="AU86" s="322"/>
      <c r="AV86" s="322"/>
      <c r="AW86" s="322"/>
      <c r="AX86" s="322"/>
      <c r="AY86" s="322"/>
      <c r="AZ86" s="322"/>
      <c r="BA86" s="322"/>
      <c r="BB86" s="322"/>
      <c r="BC86" s="322"/>
      <c r="BD86" s="322"/>
      <c r="BE86" s="322"/>
      <c r="BF86" s="322"/>
      <c r="BG86" s="322"/>
      <c r="BH86" s="322"/>
      <c r="BI86" s="322"/>
      <c r="BJ86" s="322"/>
      <c r="BK86" s="322"/>
      <c r="BL86" s="322"/>
      <c r="BM86" s="322"/>
      <c r="BN86" s="322"/>
      <c r="BO86" s="322"/>
      <c r="BP86" s="322"/>
      <c r="BQ86" s="322"/>
      <c r="BR86" s="322"/>
      <c r="BS86" s="322"/>
      <c r="BT86" s="322"/>
      <c r="BU86" s="322"/>
      <c r="BV86" s="322"/>
      <c r="BW86" s="322"/>
      <c r="BX86" s="322"/>
      <c r="BY86" s="322"/>
      <c r="BZ86" s="322"/>
      <c r="CA86" s="322"/>
      <c r="CB86" s="322"/>
      <c r="CC86" s="322"/>
      <c r="CD86" s="322"/>
      <c r="CE86" s="322"/>
      <c r="CF86" s="322"/>
      <c r="CG86" s="324"/>
    </row>
    <row r="87" spans="1:85" x14ac:dyDescent="0.2">
      <c r="A87" s="4" t="s">
        <v>1791</v>
      </c>
      <c r="B87" s="5">
        <v>1</v>
      </c>
      <c r="C87" s="5">
        <v>1</v>
      </c>
      <c r="D87" s="5">
        <v>1</v>
      </c>
      <c r="E87" s="5">
        <v>2</v>
      </c>
      <c r="F87" s="325">
        <v>1</v>
      </c>
      <c r="G87" s="5">
        <v>3</v>
      </c>
      <c r="H87" s="5">
        <v>3</v>
      </c>
      <c r="I87" s="5">
        <v>7</v>
      </c>
      <c r="J87" s="5">
        <v>7</v>
      </c>
      <c r="K87" s="5">
        <v>7</v>
      </c>
      <c r="L87" s="5">
        <v>1</v>
      </c>
      <c r="M87" s="325">
        <v>6</v>
      </c>
      <c r="N87" s="5">
        <v>7</v>
      </c>
      <c r="O87" s="5">
        <v>2</v>
      </c>
      <c r="P87" s="5">
        <v>2</v>
      </c>
      <c r="Q87" s="5">
        <v>5</v>
      </c>
      <c r="R87" s="5">
        <v>5</v>
      </c>
      <c r="S87" s="5">
        <v>14</v>
      </c>
      <c r="T87" s="5">
        <v>31</v>
      </c>
      <c r="U87" s="325">
        <v>4</v>
      </c>
      <c r="V87" s="5">
        <v>35</v>
      </c>
      <c r="W87" s="5">
        <v>35</v>
      </c>
      <c r="X87" s="5">
        <v>23</v>
      </c>
      <c r="Y87" s="5">
        <v>23</v>
      </c>
      <c r="Z87" s="5">
        <v>1</v>
      </c>
      <c r="AA87" s="5">
        <v>1</v>
      </c>
      <c r="AB87" s="5">
        <v>94</v>
      </c>
      <c r="AC87" s="5">
        <v>94</v>
      </c>
      <c r="AD87" s="5">
        <v>3</v>
      </c>
      <c r="AE87" s="5">
        <v>3</v>
      </c>
      <c r="AF87" s="5">
        <v>121</v>
      </c>
      <c r="AG87" s="5">
        <v>255</v>
      </c>
      <c r="AH87" s="5">
        <v>255</v>
      </c>
      <c r="AI87" s="5">
        <v>255</v>
      </c>
      <c r="AJ87" s="5">
        <v>436</v>
      </c>
      <c r="AK87" s="5">
        <v>214</v>
      </c>
      <c r="AL87" s="5">
        <v>214</v>
      </c>
      <c r="AM87" s="5">
        <v>7</v>
      </c>
      <c r="AN87" s="5">
        <v>7</v>
      </c>
      <c r="AO87" s="5">
        <v>708</v>
      </c>
      <c r="AP87" s="5">
        <v>708</v>
      </c>
      <c r="AQ87" s="5">
        <v>5</v>
      </c>
      <c r="AR87" s="5">
        <v>5</v>
      </c>
      <c r="AS87" s="5">
        <v>67</v>
      </c>
      <c r="AT87" s="5">
        <v>67</v>
      </c>
      <c r="AU87" s="5">
        <v>1001</v>
      </c>
      <c r="AV87" s="5">
        <v>1787</v>
      </c>
      <c r="AW87" s="5">
        <v>1787</v>
      </c>
      <c r="AX87" s="5">
        <v>1787</v>
      </c>
      <c r="AY87" s="5">
        <v>11</v>
      </c>
      <c r="AZ87" s="5">
        <v>11</v>
      </c>
      <c r="BA87" s="5">
        <v>11</v>
      </c>
      <c r="BB87" s="5">
        <v>2799</v>
      </c>
      <c r="BC87" s="5">
        <v>6</v>
      </c>
      <c r="BD87" s="5">
        <v>6</v>
      </c>
      <c r="BE87" s="5">
        <v>6</v>
      </c>
      <c r="BF87" s="5">
        <v>4</v>
      </c>
      <c r="BG87" s="5">
        <v>4</v>
      </c>
      <c r="BH87" s="5">
        <v>7</v>
      </c>
      <c r="BI87" s="5">
        <v>7</v>
      </c>
      <c r="BJ87" s="5">
        <v>11</v>
      </c>
      <c r="BK87" s="5">
        <v>3</v>
      </c>
      <c r="BL87" s="5">
        <v>3</v>
      </c>
      <c r="BM87" s="5">
        <v>8</v>
      </c>
      <c r="BN87" s="5">
        <v>8</v>
      </c>
      <c r="BO87" s="5">
        <v>23</v>
      </c>
      <c r="BP87" s="5">
        <v>23</v>
      </c>
      <c r="BQ87" s="5">
        <v>34</v>
      </c>
      <c r="BR87" s="5">
        <v>117</v>
      </c>
      <c r="BS87" s="5">
        <v>117</v>
      </c>
      <c r="BT87" s="5">
        <v>117</v>
      </c>
      <c r="BU87" s="5">
        <v>1113</v>
      </c>
      <c r="BV87" s="5">
        <v>1113</v>
      </c>
      <c r="BW87" s="5">
        <v>97</v>
      </c>
      <c r="BX87" s="5">
        <v>97</v>
      </c>
      <c r="BY87" s="5">
        <v>55</v>
      </c>
      <c r="BZ87" s="5">
        <v>55</v>
      </c>
      <c r="CA87" s="5">
        <v>1265</v>
      </c>
      <c r="CB87" s="5">
        <v>1433</v>
      </c>
      <c r="CC87" s="5"/>
      <c r="CD87" s="5"/>
      <c r="CE87" s="5"/>
      <c r="CF87" s="5"/>
      <c r="CG87" s="14">
        <v>4668</v>
      </c>
    </row>
  </sheetData>
  <phoneticPr fontId="2" type="noConversion"/>
  <pageMargins left="0.75" right="0.75" top="1" bottom="1" header="0.5" footer="0.5"/>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enableFormatConditionsCalculation="0">
    <tabColor rgb="FF92D050"/>
  </sheetPr>
  <dimension ref="A2:LF38"/>
  <sheetViews>
    <sheetView workbookViewId="0">
      <pane xSplit="1" ySplit="9" topLeftCell="B10" activePane="bottomRight" state="frozenSplit"/>
      <selection pane="topRight"/>
      <selection pane="bottomLeft"/>
      <selection pane="bottomRight" activeCell="A4" sqref="A4"/>
    </sheetView>
  </sheetViews>
  <sheetFormatPr defaultColWidth="15.85546875" defaultRowHeight="12.75" x14ac:dyDescent="0.2"/>
  <cols>
    <col min="1" max="1" width="12.7109375" bestFit="1" customWidth="1"/>
    <col min="2" max="2" width="12.85546875" bestFit="1" customWidth="1"/>
    <col min="3" max="3" width="15.5703125" bestFit="1" customWidth="1"/>
    <col min="4" max="4" width="12.85546875" customWidth="1"/>
    <col min="5" max="5" width="11" bestFit="1" customWidth="1"/>
    <col min="6" max="6" width="15.85546875" bestFit="1" customWidth="1"/>
    <col min="7" max="7" width="12.42578125" bestFit="1" customWidth="1"/>
    <col min="8" max="8" width="18.5703125" bestFit="1" customWidth="1"/>
    <col min="9" max="9" width="9.5703125" bestFit="1" customWidth="1"/>
    <col min="10" max="10" width="26.42578125" bestFit="1" customWidth="1"/>
    <col min="11" max="11" width="17.7109375" bestFit="1" customWidth="1"/>
    <col min="12" max="12" width="29.140625" bestFit="1" customWidth="1"/>
    <col min="13" max="13" width="9.5703125" bestFit="1" customWidth="1"/>
    <col min="14" max="14" width="13.5703125" bestFit="1" customWidth="1"/>
    <col min="15" max="15" width="16.28515625" bestFit="1" customWidth="1"/>
    <col min="16" max="16" width="12" bestFit="1" customWidth="1"/>
    <col min="17" max="17" width="9.5703125" bestFit="1" customWidth="1"/>
    <col min="18" max="18" width="20" bestFit="1" customWidth="1"/>
    <col min="19" max="19" width="22.7109375" bestFit="1" customWidth="1"/>
    <col min="20" max="20" width="12" bestFit="1" customWidth="1"/>
    <col min="21" max="21" width="9.5703125" bestFit="1" customWidth="1"/>
    <col min="22" max="22" width="15.85546875" customWidth="1"/>
    <col min="23" max="23" width="12.42578125" bestFit="1" customWidth="1"/>
    <col min="24" max="24" width="18.5703125" bestFit="1" customWidth="1"/>
    <col min="25" max="25" width="9.5703125" bestFit="1" customWidth="1"/>
    <col min="26" max="26" width="13.5703125" bestFit="1" customWidth="1"/>
    <col min="27" max="27" width="16.28515625" bestFit="1" customWidth="1"/>
    <col min="28" max="28" width="12" bestFit="1" customWidth="1"/>
    <col min="29" max="29" width="9.5703125" bestFit="1" customWidth="1"/>
    <col min="30" max="30" width="19.42578125" bestFit="1" customWidth="1"/>
    <col min="31" max="31" width="18" bestFit="1" customWidth="1"/>
    <col min="32" max="32" width="22.140625" bestFit="1" customWidth="1"/>
    <col min="33" max="33" width="9.5703125" bestFit="1" customWidth="1"/>
    <col min="34" max="34" width="19.42578125" bestFit="1" customWidth="1"/>
    <col min="35" max="35" width="18" bestFit="1" customWidth="1"/>
    <col min="36" max="36" width="22.140625" bestFit="1" customWidth="1"/>
    <col min="37" max="37" width="9.5703125" bestFit="1" customWidth="1"/>
    <col min="38" max="38" width="26.42578125" customWidth="1"/>
    <col min="39" max="39" width="17.7109375" bestFit="1" customWidth="1"/>
    <col min="40" max="40" width="29.140625" bestFit="1" customWidth="1"/>
    <col min="41" max="41" width="9.5703125" bestFit="1" customWidth="1"/>
    <col min="42" max="42" width="13.5703125" bestFit="1" customWidth="1"/>
    <col min="43" max="43" width="16.28515625" bestFit="1" customWidth="1"/>
    <col min="44" max="44" width="12" bestFit="1" customWidth="1"/>
    <col min="45" max="45" width="9.5703125" bestFit="1" customWidth="1"/>
    <col min="46" max="46" width="26.42578125" customWidth="1"/>
    <col min="47" max="47" width="17.7109375" bestFit="1" customWidth="1"/>
    <col min="48" max="48" width="29.140625" bestFit="1" customWidth="1"/>
    <col min="49" max="49" width="9.5703125" bestFit="1" customWidth="1"/>
    <col min="50" max="50" width="13.5703125" bestFit="1" customWidth="1"/>
    <col min="51" max="51" width="16.28515625" bestFit="1" customWidth="1"/>
    <col min="52" max="52" width="11.140625" bestFit="1" customWidth="1"/>
    <col min="53" max="53" width="9.5703125" bestFit="1" customWidth="1"/>
    <col min="54" max="54" width="10.5703125" bestFit="1" customWidth="1"/>
    <col min="55" max="55" width="13.28515625" bestFit="1" customWidth="1"/>
    <col min="56" max="56" width="11.140625" bestFit="1" customWidth="1"/>
    <col min="57" max="57" width="9.5703125" bestFit="1" customWidth="1"/>
    <col min="58" max="58" width="10.5703125" bestFit="1" customWidth="1"/>
    <col min="59" max="59" width="13.28515625" bestFit="1" customWidth="1"/>
    <col min="60" max="60" width="11.140625" bestFit="1" customWidth="1"/>
    <col min="61" max="61" width="9.5703125" bestFit="1" customWidth="1"/>
    <col min="62" max="62" width="10.5703125" bestFit="1" customWidth="1"/>
    <col min="63" max="63" width="13.28515625" bestFit="1" customWidth="1"/>
    <col min="64" max="64" width="11.140625" bestFit="1" customWidth="1"/>
    <col min="65" max="65" width="9.5703125" bestFit="1" customWidth="1"/>
    <col min="66" max="66" width="10.5703125" bestFit="1" customWidth="1"/>
    <col min="67" max="67" width="13.28515625" bestFit="1" customWidth="1"/>
    <col min="68" max="68" width="11.140625" bestFit="1" customWidth="1"/>
    <col min="69" max="69" width="9.5703125" bestFit="1" customWidth="1"/>
    <col min="70" max="70" width="10.5703125" bestFit="1" customWidth="1"/>
    <col min="71" max="71" width="13.28515625" bestFit="1" customWidth="1"/>
    <col min="72" max="72" width="11.140625" bestFit="1" customWidth="1"/>
    <col min="73" max="73" width="9.5703125" bestFit="1" customWidth="1"/>
    <col min="74" max="74" width="8.5703125" bestFit="1" customWidth="1"/>
    <col min="75" max="75" width="9.42578125" bestFit="1" customWidth="1"/>
    <col min="76" max="76" width="11.140625" bestFit="1" customWidth="1"/>
    <col min="77" max="77" width="9.5703125" bestFit="1" customWidth="1"/>
    <col min="78" max="78" width="10.5703125" bestFit="1" customWidth="1"/>
    <col min="79" max="79" width="13.28515625" bestFit="1" customWidth="1"/>
    <col min="80" max="80" width="11.140625" bestFit="1" customWidth="1"/>
    <col min="81" max="81" width="9.5703125" bestFit="1" customWidth="1"/>
    <col min="82" max="82" width="10.5703125" customWidth="1"/>
    <col min="83" max="83" width="13.28515625" bestFit="1" customWidth="1"/>
    <col min="84" max="84" width="11.140625" bestFit="1" customWidth="1"/>
    <col min="85" max="85" width="9.5703125" bestFit="1" customWidth="1"/>
    <col min="86" max="86" width="10.5703125" customWidth="1"/>
    <col min="87" max="87" width="13.28515625" bestFit="1" customWidth="1"/>
    <col min="88" max="88" width="11.140625" bestFit="1" customWidth="1"/>
    <col min="89" max="89" width="9.5703125" bestFit="1" customWidth="1"/>
    <col min="90" max="90" width="8.5703125" bestFit="1" customWidth="1"/>
    <col min="91" max="92" width="11.140625" bestFit="1" customWidth="1"/>
    <col min="93" max="93" width="9.5703125" bestFit="1" customWidth="1"/>
    <col min="94" max="94" width="20" bestFit="1" customWidth="1"/>
    <col min="95" max="95" width="22.7109375" bestFit="1" customWidth="1"/>
    <col min="96" max="96" width="12" bestFit="1" customWidth="1"/>
    <col min="97" max="97" width="9.5703125" bestFit="1" customWidth="1"/>
    <col min="98" max="98" width="21.28515625" bestFit="1" customWidth="1"/>
    <col min="99" max="99" width="24" bestFit="1" customWidth="1"/>
    <col min="100" max="100" width="11.140625" bestFit="1" customWidth="1"/>
    <col min="101" max="101" width="9.5703125" bestFit="1" customWidth="1"/>
    <col min="102" max="102" width="8.5703125" bestFit="1" customWidth="1"/>
    <col min="103" max="104" width="11.140625" bestFit="1" customWidth="1"/>
    <col min="105" max="105" width="9.5703125" bestFit="1" customWidth="1"/>
    <col min="106" max="106" width="12.140625" bestFit="1" customWidth="1"/>
    <col min="107" max="107" width="15.7109375" bestFit="1" customWidth="1"/>
    <col min="108" max="109" width="8.7109375" bestFit="1" customWidth="1"/>
    <col min="110" max="110" width="9.5703125" bestFit="1" customWidth="1"/>
    <col min="111" max="111" width="13.5703125" bestFit="1" customWidth="1"/>
    <col min="112" max="112" width="16.28515625" bestFit="1" customWidth="1"/>
    <col min="113" max="113" width="11.140625" bestFit="1" customWidth="1"/>
    <col min="114" max="114" width="9.5703125" bestFit="1" customWidth="1"/>
    <col min="115" max="115" width="13.5703125" bestFit="1" customWidth="1"/>
    <col min="116" max="116" width="16.28515625" bestFit="1" customWidth="1"/>
    <col min="117" max="117" width="11.140625" bestFit="1" customWidth="1"/>
    <col min="118" max="118" width="9.5703125" bestFit="1" customWidth="1"/>
    <col min="119" max="119" width="13.140625" bestFit="1" customWidth="1"/>
    <col min="120" max="120" width="15.85546875" bestFit="1" customWidth="1"/>
    <col min="121" max="121" width="11.140625" bestFit="1" customWidth="1"/>
    <col min="122" max="122" width="9.5703125" bestFit="1" customWidth="1"/>
    <col min="123" max="123" width="13.140625" bestFit="1" customWidth="1"/>
    <col min="124" max="124" width="15.85546875" bestFit="1" customWidth="1"/>
    <col min="125" max="125" width="11.140625" bestFit="1" customWidth="1"/>
    <col min="126" max="126" width="9.5703125" bestFit="1" customWidth="1"/>
    <col min="127" max="127" width="13.140625" customWidth="1"/>
    <col min="128" max="128" width="15.85546875" bestFit="1" customWidth="1"/>
    <col min="129" max="129" width="11.140625" bestFit="1" customWidth="1"/>
    <col min="130" max="130" width="9.5703125" bestFit="1" customWidth="1"/>
    <col min="131" max="131" width="13.140625" customWidth="1"/>
    <col min="132" max="132" width="15.85546875" bestFit="1" customWidth="1"/>
    <col min="133" max="133" width="11.140625" bestFit="1" customWidth="1"/>
    <col min="134" max="134" width="9.5703125" bestFit="1" customWidth="1"/>
    <col min="135" max="135" width="13.140625" customWidth="1"/>
    <col min="136" max="136" width="15.85546875" bestFit="1" customWidth="1"/>
    <col min="137" max="137" width="11.140625" bestFit="1" customWidth="1"/>
    <col min="138" max="138" width="9.5703125" bestFit="1" customWidth="1"/>
    <col min="139" max="139" width="10.5703125" bestFit="1" customWidth="1"/>
    <col min="140" max="140" width="13.28515625" bestFit="1" customWidth="1"/>
    <col min="141" max="141" width="11.140625" bestFit="1" customWidth="1"/>
    <col min="142" max="142" width="9.5703125" bestFit="1" customWidth="1"/>
    <col min="143" max="143" width="10.5703125" customWidth="1"/>
    <col min="144" max="144" width="13.28515625" bestFit="1" customWidth="1"/>
    <col min="145" max="145" width="11.140625" bestFit="1" customWidth="1"/>
    <col min="146" max="146" width="9.5703125" bestFit="1" customWidth="1"/>
    <col min="147" max="147" width="10.5703125" customWidth="1"/>
    <col min="148" max="148" width="13.28515625" bestFit="1" customWidth="1"/>
    <col min="149" max="149" width="11.140625" bestFit="1" customWidth="1"/>
    <col min="150" max="150" width="9.5703125" bestFit="1" customWidth="1"/>
    <col min="151" max="151" width="10.5703125" customWidth="1"/>
    <col min="152" max="152" width="13.28515625" bestFit="1" customWidth="1"/>
    <col min="153" max="153" width="11.140625" bestFit="1" customWidth="1"/>
    <col min="154" max="154" width="9.5703125" bestFit="1" customWidth="1"/>
    <col min="155" max="155" width="13.140625" bestFit="1" customWidth="1"/>
    <col min="156" max="156" width="15.85546875" bestFit="1" customWidth="1"/>
    <col min="157" max="157" width="11.140625" bestFit="1" customWidth="1"/>
    <col min="158" max="158" width="9.5703125" bestFit="1" customWidth="1"/>
    <col min="159" max="159" width="8.5703125" bestFit="1" customWidth="1"/>
    <col min="160" max="160" width="9.42578125" bestFit="1" customWidth="1"/>
    <col min="161" max="161" width="11.140625" bestFit="1" customWidth="1"/>
    <col min="162" max="162" width="9.5703125" bestFit="1" customWidth="1"/>
    <col min="163" max="163" width="8.5703125" bestFit="1" customWidth="1"/>
    <col min="164" max="164" width="8.28515625" bestFit="1" customWidth="1"/>
    <col min="165" max="165" width="11.140625" bestFit="1" customWidth="1"/>
    <col min="166" max="166" width="9.5703125" bestFit="1" customWidth="1"/>
    <col min="167" max="167" width="8.5703125" bestFit="1" customWidth="1"/>
    <col min="168" max="168" width="8.28515625" bestFit="1" customWidth="1"/>
    <col min="169" max="169" width="11.140625" bestFit="1" customWidth="1"/>
    <col min="170" max="170" width="9.5703125" bestFit="1" customWidth="1"/>
    <col min="171" max="171" width="8.5703125" customWidth="1"/>
    <col min="172" max="172" width="8.28515625" bestFit="1" customWidth="1"/>
    <col min="173" max="173" width="11.140625" bestFit="1" customWidth="1"/>
    <col min="174" max="174" width="9.5703125" bestFit="1" customWidth="1"/>
    <col min="175" max="175" width="8.5703125" customWidth="1"/>
    <col min="176" max="176" width="8.28515625" bestFit="1" customWidth="1"/>
    <col min="177" max="177" width="11.140625" bestFit="1" customWidth="1"/>
    <col min="178" max="178" width="9.5703125" bestFit="1" customWidth="1"/>
    <col min="179" max="179" width="8.5703125" customWidth="1"/>
    <col min="180" max="180" width="8.28515625" bestFit="1" customWidth="1"/>
    <col min="181" max="181" width="11.140625" bestFit="1" customWidth="1"/>
    <col min="182" max="182" width="9.5703125" bestFit="1" customWidth="1"/>
    <col min="183" max="183" width="13.140625" customWidth="1"/>
    <col min="184" max="184" width="15.85546875" bestFit="1" customWidth="1"/>
    <col min="185" max="185" width="11.140625" bestFit="1" customWidth="1"/>
    <col min="186" max="186" width="9.5703125" bestFit="1" customWidth="1"/>
    <col min="187" max="187" width="13.140625" customWidth="1"/>
    <col min="188" max="188" width="15.85546875" bestFit="1" customWidth="1"/>
    <col min="189" max="189" width="11.140625" bestFit="1" customWidth="1"/>
    <col min="190" max="190" width="9.5703125" bestFit="1" customWidth="1"/>
    <col min="191" max="191" width="13.140625" customWidth="1"/>
    <col min="192" max="192" width="15.85546875" bestFit="1" customWidth="1"/>
    <col min="193" max="193" width="11.140625" bestFit="1" customWidth="1"/>
    <col min="194" max="194" width="9.5703125" bestFit="1" customWidth="1"/>
    <col min="195" max="195" width="13.140625" customWidth="1"/>
    <col min="196" max="196" width="15.85546875" bestFit="1" customWidth="1"/>
    <col min="197" max="197" width="11.140625" bestFit="1" customWidth="1"/>
    <col min="198" max="198" width="9.5703125" bestFit="1" customWidth="1"/>
    <col min="199" max="199" width="13.140625" customWidth="1"/>
    <col min="200" max="200" width="15.85546875" bestFit="1" customWidth="1"/>
    <col min="201" max="201" width="11.140625" bestFit="1" customWidth="1"/>
    <col min="202" max="202" width="9.5703125" bestFit="1" customWidth="1"/>
    <col min="203" max="203" width="13.140625" customWidth="1"/>
    <col min="204" max="204" width="15.85546875" bestFit="1" customWidth="1"/>
    <col min="205" max="205" width="11.140625" bestFit="1" customWidth="1"/>
    <col min="206" max="206" width="9.5703125" bestFit="1" customWidth="1"/>
    <col min="207" max="207" width="13.140625" customWidth="1"/>
    <col min="208" max="208" width="15.85546875" bestFit="1" customWidth="1"/>
    <col min="209" max="209" width="11.140625" bestFit="1" customWidth="1"/>
    <col min="210" max="210" width="9.5703125" bestFit="1" customWidth="1"/>
    <col min="211" max="211" width="13.140625" customWidth="1"/>
    <col min="212" max="212" width="15.85546875" bestFit="1" customWidth="1"/>
    <col min="213" max="213" width="11.140625" bestFit="1" customWidth="1"/>
    <col min="214" max="214" width="9.5703125" bestFit="1" customWidth="1"/>
    <col min="215" max="215" width="8.5703125" bestFit="1" customWidth="1"/>
    <col min="216" max="217" width="11.140625" bestFit="1" customWidth="1"/>
    <col min="218" max="218" width="9.5703125" bestFit="1" customWidth="1"/>
    <col min="219" max="219" width="8.5703125" bestFit="1" customWidth="1"/>
    <col min="220" max="220" width="8.28515625" bestFit="1" customWidth="1"/>
    <col min="221" max="221" width="11.140625" bestFit="1" customWidth="1"/>
    <col min="222" max="222" width="9.5703125" bestFit="1" customWidth="1"/>
    <col min="223" max="223" width="8.5703125" bestFit="1" customWidth="1"/>
    <col min="224" max="224" width="8.28515625" bestFit="1" customWidth="1"/>
    <col min="225" max="225" width="11.140625" bestFit="1" customWidth="1"/>
    <col min="226" max="226" width="9.5703125" bestFit="1" customWidth="1"/>
    <col min="227" max="227" width="8.5703125" bestFit="1" customWidth="1"/>
    <col min="228" max="228" width="8.28515625" bestFit="1" customWidth="1"/>
    <col min="229" max="229" width="11.140625" bestFit="1" customWidth="1"/>
    <col min="230" max="230" width="9.5703125" bestFit="1" customWidth="1"/>
    <col min="231" max="231" width="13.5703125" bestFit="1" customWidth="1"/>
    <col min="232" max="232" width="16.28515625" bestFit="1" customWidth="1"/>
    <col min="233" max="233" width="11.140625" bestFit="1" customWidth="1"/>
    <col min="234" max="234" width="9.5703125" bestFit="1" customWidth="1"/>
    <col min="235" max="235" width="13.5703125" bestFit="1" customWidth="1"/>
    <col min="236" max="236" width="16.28515625" bestFit="1" customWidth="1"/>
    <col min="237" max="237" width="11.140625" bestFit="1" customWidth="1"/>
    <col min="238" max="238" width="9.5703125" bestFit="1" customWidth="1"/>
    <col min="239" max="239" width="8.5703125" bestFit="1" customWidth="1"/>
    <col min="240" max="241" width="11.140625" bestFit="1" customWidth="1"/>
    <col min="242" max="242" width="9.5703125" bestFit="1" customWidth="1"/>
    <col min="243" max="243" width="8.5703125" bestFit="1" customWidth="1"/>
    <col min="244" max="245" width="11.140625" bestFit="1" customWidth="1"/>
    <col min="246" max="246" width="9.5703125" bestFit="1" customWidth="1"/>
    <col min="247" max="247" width="18.42578125" bestFit="1" customWidth="1"/>
    <col min="248" max="248" width="26.42578125" bestFit="1" customWidth="1"/>
    <col min="249" max="249" width="17.7109375" bestFit="1" customWidth="1"/>
    <col min="250" max="250" width="29.140625" bestFit="1" customWidth="1"/>
    <col min="251" max="251" width="9.5703125" bestFit="1" customWidth="1"/>
    <col min="252" max="252" width="10.5703125" bestFit="1" customWidth="1"/>
    <col min="253" max="253" width="13.28515625" bestFit="1" customWidth="1"/>
    <col min="254" max="254" width="11.140625" bestFit="1" customWidth="1"/>
    <col min="255" max="255" width="9.5703125" bestFit="1" customWidth="1"/>
    <col min="256" max="256" width="15.85546875" bestFit="1" customWidth="1"/>
    <col min="257" max="257" width="12.42578125" bestFit="1" customWidth="1"/>
    <col min="258" max="258" width="18.5703125" bestFit="1" customWidth="1"/>
    <col min="259" max="259" width="9.5703125" bestFit="1" customWidth="1"/>
    <col min="260" max="260" width="10.5703125" customWidth="1"/>
    <col min="261" max="261" width="13.28515625" bestFit="1" customWidth="1"/>
    <col min="262" max="262" width="11.140625" bestFit="1" customWidth="1"/>
    <col min="263" max="263" width="9.5703125" bestFit="1" customWidth="1"/>
    <col min="264" max="264" width="8.5703125" bestFit="1" customWidth="1"/>
    <col min="265" max="265" width="9.42578125" bestFit="1" customWidth="1"/>
    <col min="266" max="266" width="11.140625" bestFit="1" customWidth="1"/>
    <col min="267" max="267" width="9.5703125" bestFit="1" customWidth="1"/>
    <col min="268" max="268" width="13.5703125" customWidth="1"/>
    <col min="269" max="269" width="16.28515625" bestFit="1" customWidth="1"/>
    <col min="270" max="270" width="11.140625" bestFit="1" customWidth="1"/>
    <col min="271" max="271" width="9.5703125" bestFit="1" customWidth="1"/>
    <col min="272" max="272" width="10.5703125" customWidth="1"/>
    <col min="273" max="273" width="13.28515625" bestFit="1" customWidth="1"/>
    <col min="274" max="274" width="11.140625" bestFit="1" customWidth="1"/>
    <col min="275" max="275" width="9.5703125" bestFit="1" customWidth="1"/>
    <col min="276" max="276" width="13.5703125" customWidth="1"/>
    <col min="277" max="277" width="16.28515625" bestFit="1" customWidth="1"/>
    <col min="278" max="278" width="11.140625" bestFit="1" customWidth="1"/>
    <col min="279" max="279" width="9.5703125" bestFit="1" customWidth="1"/>
    <col min="280" max="280" width="10.5703125" bestFit="1" customWidth="1"/>
    <col min="281" max="281" width="13.28515625" bestFit="1" customWidth="1"/>
    <col min="282" max="282" width="11.140625" bestFit="1" customWidth="1"/>
    <col min="283" max="283" width="9.5703125" bestFit="1" customWidth="1"/>
    <col min="284" max="284" width="10.5703125" bestFit="1" customWidth="1"/>
    <col min="285" max="285" width="13.28515625" bestFit="1" customWidth="1"/>
    <col min="286" max="286" width="11.140625" bestFit="1" customWidth="1"/>
    <col min="287" max="287" width="9.5703125" bestFit="1" customWidth="1"/>
    <col min="288" max="288" width="15.85546875" bestFit="1" customWidth="1"/>
    <col min="289" max="289" width="12.42578125" bestFit="1" customWidth="1"/>
    <col min="290" max="290" width="18.5703125" bestFit="1" customWidth="1"/>
    <col min="291" max="291" width="9.5703125" bestFit="1" customWidth="1"/>
    <col min="292" max="292" width="13.5703125" bestFit="1" customWidth="1"/>
    <col min="293" max="293" width="16.28515625" bestFit="1" customWidth="1"/>
    <col min="294" max="294" width="12" bestFit="1" customWidth="1"/>
    <col min="295" max="295" width="9.5703125" bestFit="1" customWidth="1"/>
    <col min="296" max="296" width="13.5703125" bestFit="1" customWidth="1"/>
    <col min="297" max="297" width="16.28515625" bestFit="1" customWidth="1"/>
    <col min="298" max="298" width="12" bestFit="1" customWidth="1"/>
    <col min="299" max="299" width="9.5703125" bestFit="1" customWidth="1"/>
    <col min="300" max="300" width="19.42578125" bestFit="1" customWidth="1"/>
    <col min="301" max="301" width="11.140625" bestFit="1" customWidth="1"/>
    <col min="302" max="302" width="22.140625" bestFit="1" customWidth="1"/>
    <col min="303" max="303" width="9.5703125" bestFit="1" customWidth="1"/>
    <col min="304" max="304" width="19.42578125" bestFit="1" customWidth="1"/>
    <col min="305" max="305" width="18" bestFit="1" customWidth="1"/>
    <col min="306" max="306" width="22.140625" bestFit="1" customWidth="1"/>
    <col min="307" max="307" width="9.5703125" bestFit="1" customWidth="1"/>
    <col min="308" max="308" width="20" bestFit="1" customWidth="1"/>
    <col min="309" max="309" width="22.7109375" bestFit="1" customWidth="1"/>
    <col min="310" max="310" width="12" bestFit="1" customWidth="1"/>
    <col min="311" max="311" width="9.5703125" bestFit="1" customWidth="1"/>
    <col min="312" max="312" width="14.5703125" bestFit="1" customWidth="1"/>
    <col min="313" max="313" width="8.5703125" bestFit="1" customWidth="1"/>
    <col min="314" max="317" width="11.140625" bestFit="1" customWidth="1"/>
    <col min="318" max="318" width="10.5703125" bestFit="1" customWidth="1"/>
    <col min="319" max="319" width="10.5703125" customWidth="1"/>
    <col min="320" max="320" width="8.5703125" bestFit="1" customWidth="1"/>
    <col min="321" max="321" width="10.42578125" bestFit="1" customWidth="1"/>
    <col min="322" max="322" width="12.140625" bestFit="1" customWidth="1"/>
    <col min="323" max="323" width="10.5703125" customWidth="1"/>
    <col min="324" max="324" width="13.5703125" bestFit="1" customWidth="1"/>
    <col min="325" max="325" width="17.42578125" bestFit="1" customWidth="1"/>
    <col min="326" max="326" width="12.140625" bestFit="1" customWidth="1"/>
    <col min="327" max="328" width="10.5703125" bestFit="1" customWidth="1"/>
    <col min="329" max="329" width="14.28515625" bestFit="1" customWidth="1"/>
    <col min="330" max="330" width="12.140625" bestFit="1" customWidth="1"/>
    <col min="331" max="331" width="10.5703125" customWidth="1"/>
    <col min="332" max="332" width="13.5703125" customWidth="1"/>
    <col min="333" max="333" width="17.42578125" bestFit="1" customWidth="1"/>
    <col min="334" max="334" width="12.140625" customWidth="1"/>
    <col min="335" max="335" width="10.5703125" customWidth="1"/>
    <col min="336" max="336" width="13.140625" customWidth="1"/>
    <col min="337" max="337" width="16.85546875" bestFit="1" customWidth="1"/>
    <col min="338" max="338" width="12.140625" customWidth="1"/>
    <col min="339" max="339" width="10.5703125" customWidth="1"/>
    <col min="341" max="341" width="13.5703125" customWidth="1"/>
    <col min="342" max="342" width="19.5703125" bestFit="1" customWidth="1"/>
    <col min="343" max="343" width="10.5703125" customWidth="1"/>
    <col min="344" max="344" width="13.5703125" customWidth="1"/>
    <col min="345" max="345" width="17.42578125" bestFit="1" customWidth="1"/>
    <col min="346" max="346" width="13.140625" customWidth="1"/>
    <col min="347" max="347" width="10.5703125" customWidth="1"/>
    <col min="348" max="348" width="13.5703125" customWidth="1"/>
    <col min="349" max="349" width="17.42578125" bestFit="1" customWidth="1"/>
    <col min="350" max="350" width="13.140625" customWidth="1"/>
    <col min="351" max="351" width="10.5703125" customWidth="1"/>
    <col min="352" max="352" width="19.42578125" bestFit="1" customWidth="1"/>
    <col min="353" max="353" width="12.140625" customWidth="1"/>
    <col min="354" max="354" width="23.140625" bestFit="1" customWidth="1"/>
    <col min="355" max="355" width="10.5703125" customWidth="1"/>
    <col min="356" max="356" width="19.42578125" bestFit="1" customWidth="1"/>
    <col min="357" max="357" width="19" bestFit="1" customWidth="1"/>
    <col min="358" max="358" width="23.140625" bestFit="1" customWidth="1"/>
    <col min="359" max="359" width="10.5703125" customWidth="1"/>
    <col min="360" max="360" width="15.5703125" customWidth="1"/>
    <col min="361" max="361" width="8.42578125" customWidth="1"/>
    <col min="362" max="365" width="12" customWidth="1"/>
    <col min="366" max="366" width="16.85546875" bestFit="1" customWidth="1"/>
  </cols>
  <sheetData>
    <row r="2" spans="1:318" x14ac:dyDescent="0.2">
      <c r="A2" s="31" t="s">
        <v>275</v>
      </c>
      <c r="B2" s="32" t="s">
        <v>1813</v>
      </c>
    </row>
    <row r="4" spans="1:318" x14ac:dyDescent="0.2">
      <c r="A4" s="1" t="s">
        <v>625</v>
      </c>
      <c r="B4" s="1" t="s">
        <v>391</v>
      </c>
      <c r="C4" s="22" t="s">
        <v>392</v>
      </c>
      <c r="D4" s="22" t="s">
        <v>395</v>
      </c>
      <c r="E4" s="22" t="s">
        <v>396</v>
      </c>
      <c r="F4" s="22" t="s">
        <v>397</v>
      </c>
      <c r="G4" s="11"/>
      <c r="H4" s="11"/>
      <c r="I4" s="11"/>
      <c r="J4" s="11"/>
      <c r="K4" s="11"/>
      <c r="L4" s="11"/>
      <c r="M4" s="11"/>
      <c r="N4" s="11"/>
      <c r="O4" s="11"/>
      <c r="P4" s="11"/>
      <c r="Q4" s="11"/>
      <c r="R4" s="11"/>
      <c r="S4" s="11"/>
      <c r="T4" s="11"/>
      <c r="U4" s="11"/>
      <c r="V4" s="11"/>
      <c r="W4" s="11"/>
      <c r="X4" s="11"/>
      <c r="Y4" s="11"/>
      <c r="Z4" s="11"/>
      <c r="AA4" s="11"/>
      <c r="AB4" s="11"/>
      <c r="AC4" s="11"/>
      <c r="AD4" s="11"/>
      <c r="AE4" s="11"/>
      <c r="AF4" s="11"/>
      <c r="AG4" s="11"/>
      <c r="AH4" s="11"/>
      <c r="AI4" s="11"/>
      <c r="AJ4" s="11"/>
      <c r="AK4" s="11"/>
      <c r="AL4" s="11"/>
      <c r="AM4" s="11"/>
      <c r="AN4" s="11"/>
      <c r="AO4" s="11"/>
      <c r="AP4" s="11"/>
      <c r="AQ4" s="11"/>
      <c r="AR4" s="11"/>
      <c r="AS4" s="11"/>
      <c r="AT4" s="11"/>
      <c r="AU4" s="11"/>
      <c r="AV4" s="11"/>
      <c r="AW4" s="11"/>
      <c r="AX4" s="11"/>
      <c r="AY4" s="11"/>
      <c r="AZ4" s="11"/>
      <c r="BA4" s="11"/>
      <c r="BB4" s="11"/>
      <c r="BC4" s="11"/>
      <c r="BD4" s="11"/>
      <c r="BE4" s="11"/>
      <c r="BF4" s="11"/>
      <c r="BG4" s="11"/>
      <c r="BH4" s="11"/>
      <c r="BI4" s="11"/>
      <c r="BJ4" s="11"/>
      <c r="BK4" s="11"/>
      <c r="BL4" s="11"/>
      <c r="BM4" s="11"/>
      <c r="BN4" s="11"/>
      <c r="BO4" s="11"/>
      <c r="BP4" s="11"/>
      <c r="BQ4" s="11"/>
      <c r="BR4" s="11"/>
      <c r="BS4" s="11"/>
      <c r="BT4" s="11"/>
      <c r="BU4" s="11"/>
      <c r="BV4" s="11"/>
      <c r="BW4" s="11"/>
      <c r="BX4" s="11"/>
      <c r="BY4" s="11"/>
      <c r="BZ4" s="11"/>
      <c r="CA4" s="11"/>
      <c r="CB4" s="11"/>
      <c r="CC4" s="11"/>
      <c r="CD4" s="11"/>
      <c r="CE4" s="11"/>
      <c r="CF4" s="11"/>
      <c r="CG4" s="11"/>
      <c r="CH4" s="11"/>
      <c r="CI4" s="11"/>
      <c r="CJ4" s="11"/>
      <c r="CK4" s="11"/>
      <c r="CL4" s="11"/>
      <c r="CM4" s="11"/>
      <c r="CN4" s="11"/>
      <c r="CO4" s="11"/>
      <c r="CP4" s="11"/>
      <c r="CQ4" s="11"/>
      <c r="CR4" s="11"/>
      <c r="CS4" s="11"/>
      <c r="CT4" s="11"/>
      <c r="CU4" s="11"/>
      <c r="CV4" s="11"/>
      <c r="CW4" s="11"/>
      <c r="CX4" s="11"/>
      <c r="CY4" s="11"/>
      <c r="CZ4" s="11"/>
      <c r="DA4" s="11"/>
      <c r="DB4" s="11"/>
      <c r="DC4" s="11"/>
      <c r="DD4" s="11"/>
      <c r="DE4" s="11"/>
      <c r="DF4" s="11"/>
      <c r="DG4" s="11"/>
      <c r="DH4" s="11"/>
      <c r="DI4" s="11"/>
      <c r="DJ4" s="11"/>
      <c r="DK4" s="11"/>
      <c r="DL4" s="11"/>
      <c r="DM4" s="11"/>
      <c r="DN4" s="11"/>
      <c r="DO4" s="11"/>
      <c r="DP4" s="11"/>
      <c r="DQ4" s="11"/>
      <c r="DR4" s="11"/>
      <c r="DS4" s="11"/>
      <c r="DT4" s="11"/>
      <c r="DU4" s="11"/>
      <c r="DV4" s="11"/>
      <c r="DW4" s="11"/>
      <c r="DX4" s="11"/>
      <c r="DY4" s="11"/>
      <c r="DZ4" s="11"/>
      <c r="EA4" s="11"/>
      <c r="EB4" s="11"/>
      <c r="EC4" s="11"/>
      <c r="ED4" s="11"/>
      <c r="EE4" s="11"/>
      <c r="EF4" s="11"/>
      <c r="EG4" s="11"/>
      <c r="EH4" s="11"/>
      <c r="EI4" s="11"/>
      <c r="EJ4" s="11"/>
      <c r="EK4" s="11"/>
      <c r="EL4" s="11"/>
      <c r="EM4" s="11"/>
      <c r="EN4" s="11"/>
      <c r="EO4" s="11"/>
      <c r="EP4" s="11"/>
      <c r="EQ4" s="11"/>
      <c r="ER4" s="11"/>
      <c r="ES4" s="11"/>
      <c r="ET4" s="11"/>
      <c r="EU4" s="11"/>
      <c r="EV4" s="11"/>
      <c r="EW4" s="11"/>
      <c r="EX4" s="11"/>
      <c r="EY4" s="11"/>
      <c r="EZ4" s="11"/>
      <c r="FA4" s="11"/>
      <c r="FB4" s="11"/>
      <c r="FC4" s="11"/>
      <c r="FD4" s="11"/>
      <c r="FE4" s="11"/>
      <c r="FF4" s="11"/>
      <c r="FG4" s="11"/>
      <c r="FH4" s="11"/>
      <c r="FI4" s="11"/>
      <c r="FJ4" s="11"/>
      <c r="FK4" s="11"/>
      <c r="FL4" s="11"/>
      <c r="FM4" s="11"/>
      <c r="FN4" s="11"/>
      <c r="FO4" s="11"/>
      <c r="FP4" s="11"/>
      <c r="FQ4" s="11"/>
      <c r="FR4" s="11"/>
      <c r="FS4" s="11"/>
      <c r="FT4" s="11"/>
      <c r="FU4" s="11"/>
      <c r="FV4" s="11"/>
      <c r="FW4" s="11"/>
      <c r="FX4" s="11"/>
      <c r="FY4" s="11"/>
      <c r="FZ4" s="11"/>
      <c r="GA4" s="11"/>
      <c r="GB4" s="11"/>
      <c r="GC4" s="11"/>
      <c r="GD4" s="11"/>
      <c r="GE4" s="11"/>
      <c r="GF4" s="11"/>
      <c r="GG4" s="11"/>
      <c r="GH4" s="11"/>
      <c r="GI4" s="11"/>
      <c r="GJ4" s="11"/>
      <c r="GK4" s="11"/>
      <c r="GL4" s="11"/>
      <c r="GM4" s="11"/>
      <c r="GN4" s="11"/>
      <c r="GO4" s="11"/>
      <c r="GP4" s="11"/>
      <c r="GQ4" s="11"/>
      <c r="GR4" s="11"/>
      <c r="GS4" s="11"/>
      <c r="GT4" s="11"/>
      <c r="GU4" s="11"/>
      <c r="GV4" s="11"/>
      <c r="GW4" s="11"/>
      <c r="GX4" s="11"/>
      <c r="GY4" s="11"/>
      <c r="GZ4" s="11"/>
      <c r="HA4" s="11"/>
      <c r="HB4" s="11"/>
      <c r="HC4" s="11"/>
      <c r="HD4" s="11"/>
      <c r="HE4" s="11"/>
      <c r="HF4" s="11"/>
      <c r="HG4" s="11"/>
      <c r="HH4" s="11"/>
      <c r="HI4" s="11"/>
      <c r="HJ4" s="11"/>
      <c r="HK4" s="11"/>
      <c r="HL4" s="11"/>
      <c r="HM4" s="11"/>
      <c r="HN4" s="11"/>
      <c r="HO4" s="11"/>
      <c r="HP4" s="11"/>
      <c r="HQ4" s="11"/>
      <c r="HR4" s="11"/>
      <c r="HS4" s="11"/>
      <c r="HT4" s="11"/>
      <c r="HU4" s="11"/>
      <c r="HV4" s="11"/>
      <c r="HW4" s="11"/>
      <c r="HX4" s="11"/>
      <c r="HY4" s="11"/>
      <c r="HZ4" s="11"/>
      <c r="IA4" s="11"/>
      <c r="IB4" s="11"/>
      <c r="IC4" s="11"/>
      <c r="ID4" s="11"/>
      <c r="IE4" s="11"/>
      <c r="IF4" s="11"/>
      <c r="IG4" s="11"/>
      <c r="IH4" s="11"/>
      <c r="II4" s="11"/>
      <c r="IJ4" s="11"/>
      <c r="IK4" s="11"/>
      <c r="IL4" s="11"/>
      <c r="IM4" s="11"/>
      <c r="IN4" s="11"/>
      <c r="IO4" s="11"/>
      <c r="IP4" s="11"/>
      <c r="IQ4" s="11"/>
      <c r="IR4" s="11"/>
      <c r="IS4" s="11"/>
      <c r="IT4" s="11"/>
      <c r="IU4" s="11"/>
      <c r="IV4" s="11"/>
      <c r="IW4" s="11"/>
      <c r="IX4" s="11"/>
      <c r="IY4" s="11"/>
      <c r="IZ4" s="11"/>
      <c r="JA4" s="11"/>
      <c r="JB4" s="11"/>
      <c r="JC4" s="11"/>
      <c r="JD4" s="11"/>
      <c r="JE4" s="11"/>
      <c r="JF4" s="11"/>
      <c r="JG4" s="11"/>
      <c r="JH4" s="11"/>
      <c r="JI4" s="11"/>
      <c r="JJ4" s="11"/>
      <c r="JK4" s="11"/>
      <c r="JL4" s="11"/>
      <c r="JM4" s="11"/>
      <c r="JN4" s="11"/>
      <c r="JO4" s="11"/>
      <c r="JP4" s="11"/>
      <c r="JQ4" s="11"/>
      <c r="JR4" s="11"/>
      <c r="JS4" s="11"/>
      <c r="JT4" s="11"/>
      <c r="JU4" s="11"/>
      <c r="JV4" s="11"/>
      <c r="JW4" s="11"/>
      <c r="JX4" s="11"/>
      <c r="JY4" s="11"/>
      <c r="JZ4" s="11"/>
      <c r="KA4" s="11"/>
      <c r="KB4" s="11"/>
      <c r="KC4" s="11"/>
      <c r="KD4" s="11"/>
      <c r="KE4" s="11"/>
      <c r="KF4" s="11"/>
      <c r="KG4" s="11"/>
      <c r="KH4" s="11"/>
      <c r="KI4" s="11"/>
      <c r="KJ4" s="11"/>
      <c r="KK4" s="11"/>
      <c r="KL4" s="11"/>
      <c r="KM4" s="11"/>
      <c r="KN4" s="11"/>
      <c r="KO4" s="11"/>
      <c r="KP4" s="11"/>
      <c r="KQ4" s="11"/>
      <c r="KR4" s="11"/>
      <c r="KS4" s="11"/>
      <c r="KT4" s="11"/>
      <c r="KU4" s="11"/>
      <c r="KV4" s="11"/>
      <c r="KW4" s="11"/>
      <c r="KX4" s="11"/>
      <c r="KY4" s="11"/>
      <c r="KZ4" s="11"/>
      <c r="LA4" s="11"/>
      <c r="LB4" s="11"/>
      <c r="LC4" s="11"/>
      <c r="LD4" s="11"/>
      <c r="LE4" s="11"/>
      <c r="LF4" s="24"/>
    </row>
    <row r="5" spans="1:318" x14ac:dyDescent="0.2">
      <c r="A5" s="2"/>
      <c r="B5" s="3" t="s">
        <v>979</v>
      </c>
      <c r="C5" s="11"/>
      <c r="D5" s="11"/>
      <c r="E5" s="11"/>
      <c r="F5" s="11"/>
      <c r="G5" s="11"/>
      <c r="H5" s="11"/>
      <c r="I5" s="11"/>
      <c r="J5" s="11"/>
      <c r="K5" s="11"/>
      <c r="L5" s="11"/>
      <c r="M5" s="11"/>
      <c r="N5" s="11"/>
      <c r="O5" s="11"/>
      <c r="P5" s="11"/>
      <c r="Q5" s="11"/>
      <c r="R5" s="11"/>
      <c r="S5" s="11"/>
      <c r="T5" s="11"/>
      <c r="U5" s="11"/>
      <c r="V5" s="11"/>
      <c r="W5" s="11"/>
      <c r="X5" s="11"/>
      <c r="Y5" s="11"/>
      <c r="Z5" s="11"/>
      <c r="AA5" s="11"/>
      <c r="AB5" s="11"/>
      <c r="AC5" s="11"/>
      <c r="AD5" s="11"/>
      <c r="AE5" s="11"/>
      <c r="AF5" s="11"/>
      <c r="AG5" s="11"/>
      <c r="AH5" s="11"/>
      <c r="AI5" s="11"/>
      <c r="AJ5" s="11"/>
      <c r="AK5" s="11"/>
      <c r="AL5" s="11"/>
      <c r="AM5" s="11"/>
      <c r="AN5" s="11"/>
      <c r="AO5" s="11"/>
      <c r="AP5" s="11"/>
      <c r="AQ5" s="11"/>
      <c r="AR5" s="11"/>
      <c r="AS5" s="11"/>
      <c r="AT5" s="11"/>
      <c r="AU5" s="11"/>
      <c r="AV5" s="11"/>
      <c r="AW5" s="11"/>
      <c r="AX5" s="11"/>
      <c r="AY5" s="11"/>
      <c r="AZ5" s="11"/>
      <c r="BA5" s="11"/>
      <c r="BB5" s="11"/>
      <c r="BC5" s="11"/>
      <c r="BD5" s="11"/>
      <c r="BE5" s="11"/>
      <c r="BF5" s="11"/>
      <c r="BG5" s="11"/>
      <c r="BH5" s="11"/>
      <c r="BI5" s="11"/>
      <c r="BJ5" s="11"/>
      <c r="BK5" s="11"/>
      <c r="BL5" s="11"/>
      <c r="BM5" s="11"/>
      <c r="BN5" s="11"/>
      <c r="BO5" s="11"/>
      <c r="BP5" s="11"/>
      <c r="BQ5" s="11"/>
      <c r="BR5" s="11"/>
      <c r="BS5" s="11"/>
      <c r="BT5" s="11"/>
      <c r="BU5" s="11"/>
      <c r="BV5" s="11"/>
      <c r="BW5" s="11"/>
      <c r="BX5" s="11"/>
      <c r="BY5" s="11"/>
      <c r="BZ5" s="11"/>
      <c r="CA5" s="11"/>
      <c r="CB5" s="11"/>
      <c r="CC5" s="11"/>
      <c r="CD5" s="11"/>
      <c r="CE5" s="11"/>
      <c r="CF5" s="11"/>
      <c r="CG5" s="11"/>
      <c r="CH5" s="11"/>
      <c r="CI5" s="11"/>
      <c r="CJ5" s="11"/>
      <c r="CK5" s="11"/>
      <c r="CL5" s="11"/>
      <c r="CM5" s="11"/>
      <c r="CN5" s="11"/>
      <c r="CO5" s="11"/>
      <c r="CP5" s="11"/>
      <c r="CQ5" s="11"/>
      <c r="CR5" s="11"/>
      <c r="CS5" s="11"/>
      <c r="CT5" s="11"/>
      <c r="CU5" s="11"/>
      <c r="CV5" s="11"/>
      <c r="CW5" s="11"/>
      <c r="CX5" s="11"/>
      <c r="CY5" s="11"/>
      <c r="CZ5" s="11"/>
      <c r="DA5" s="11"/>
      <c r="DB5" s="3" t="s">
        <v>1786</v>
      </c>
      <c r="DC5" s="3" t="s">
        <v>975</v>
      </c>
      <c r="DD5" s="11"/>
      <c r="DE5" s="11"/>
      <c r="DF5" s="11"/>
      <c r="DG5" s="11"/>
      <c r="DH5" s="11"/>
      <c r="DI5" s="11"/>
      <c r="DJ5" s="11"/>
      <c r="DK5" s="11"/>
      <c r="DL5" s="11"/>
      <c r="DM5" s="11"/>
      <c r="DN5" s="11"/>
      <c r="DO5" s="11"/>
      <c r="DP5" s="11"/>
      <c r="DQ5" s="11"/>
      <c r="DR5" s="11"/>
      <c r="DS5" s="11"/>
      <c r="DT5" s="11"/>
      <c r="DU5" s="11"/>
      <c r="DV5" s="11"/>
      <c r="DW5" s="11"/>
      <c r="DX5" s="11"/>
      <c r="DY5" s="11"/>
      <c r="DZ5" s="11"/>
      <c r="EA5" s="11"/>
      <c r="EB5" s="11"/>
      <c r="EC5" s="11"/>
      <c r="ED5" s="11"/>
      <c r="EE5" s="11"/>
      <c r="EF5" s="11"/>
      <c r="EG5" s="11"/>
      <c r="EH5" s="11"/>
      <c r="EI5" s="11"/>
      <c r="EJ5" s="11"/>
      <c r="EK5" s="11"/>
      <c r="EL5" s="11"/>
      <c r="EM5" s="11"/>
      <c r="EN5" s="11"/>
      <c r="EO5" s="11"/>
      <c r="EP5" s="11"/>
      <c r="EQ5" s="11"/>
      <c r="ER5" s="11"/>
      <c r="ES5" s="11"/>
      <c r="ET5" s="11"/>
      <c r="EU5" s="11"/>
      <c r="EV5" s="11"/>
      <c r="EW5" s="11"/>
      <c r="EX5" s="11"/>
      <c r="EY5" s="11"/>
      <c r="EZ5" s="11"/>
      <c r="FA5" s="11"/>
      <c r="FB5" s="11"/>
      <c r="FC5" s="11"/>
      <c r="FD5" s="11"/>
      <c r="FE5" s="11"/>
      <c r="FF5" s="11"/>
      <c r="FG5" s="11"/>
      <c r="FH5" s="11"/>
      <c r="FI5" s="11"/>
      <c r="FJ5" s="11"/>
      <c r="FK5" s="11"/>
      <c r="FL5" s="11"/>
      <c r="FM5" s="11"/>
      <c r="FN5" s="11"/>
      <c r="FO5" s="11"/>
      <c r="FP5" s="11"/>
      <c r="FQ5" s="11"/>
      <c r="FR5" s="11"/>
      <c r="FS5" s="11"/>
      <c r="FT5" s="11"/>
      <c r="FU5" s="11"/>
      <c r="FV5" s="11"/>
      <c r="FW5" s="11"/>
      <c r="FX5" s="11"/>
      <c r="FY5" s="11"/>
      <c r="FZ5" s="11"/>
      <c r="GA5" s="11"/>
      <c r="GB5" s="11"/>
      <c r="GC5" s="11"/>
      <c r="GD5" s="11"/>
      <c r="GE5" s="11"/>
      <c r="GF5" s="11"/>
      <c r="GG5" s="11"/>
      <c r="GH5" s="11"/>
      <c r="GI5" s="11"/>
      <c r="GJ5" s="11"/>
      <c r="GK5" s="11"/>
      <c r="GL5" s="11"/>
      <c r="GM5" s="11"/>
      <c r="GN5" s="11"/>
      <c r="GO5" s="11"/>
      <c r="GP5" s="11"/>
      <c r="GQ5" s="11"/>
      <c r="GR5" s="11"/>
      <c r="GS5" s="11"/>
      <c r="GT5" s="11"/>
      <c r="GU5" s="11"/>
      <c r="GV5" s="11"/>
      <c r="GW5" s="11"/>
      <c r="GX5" s="11"/>
      <c r="GY5" s="11"/>
      <c r="GZ5" s="11"/>
      <c r="HA5" s="11"/>
      <c r="HB5" s="11"/>
      <c r="HC5" s="11"/>
      <c r="HD5" s="11"/>
      <c r="HE5" s="11"/>
      <c r="HF5" s="11"/>
      <c r="HG5" s="11"/>
      <c r="HH5" s="11"/>
      <c r="HI5" s="11"/>
      <c r="HJ5" s="11"/>
      <c r="HK5" s="11"/>
      <c r="HL5" s="11"/>
      <c r="HM5" s="11"/>
      <c r="HN5" s="11"/>
      <c r="HO5" s="11"/>
      <c r="HP5" s="11"/>
      <c r="HQ5" s="11"/>
      <c r="HR5" s="11"/>
      <c r="HS5" s="11"/>
      <c r="HT5" s="11"/>
      <c r="HU5" s="11"/>
      <c r="HV5" s="11"/>
      <c r="HW5" s="11"/>
      <c r="HX5" s="11"/>
      <c r="HY5" s="11"/>
      <c r="HZ5" s="11"/>
      <c r="IA5" s="11"/>
      <c r="IB5" s="11"/>
      <c r="IC5" s="11"/>
      <c r="ID5" s="11"/>
      <c r="IE5" s="11"/>
      <c r="IF5" s="11"/>
      <c r="IG5" s="11"/>
      <c r="IH5" s="11"/>
      <c r="II5" s="11"/>
      <c r="IJ5" s="11"/>
      <c r="IK5" s="11"/>
      <c r="IL5" s="11"/>
      <c r="IM5" s="3" t="s">
        <v>1787</v>
      </c>
      <c r="IN5" s="3" t="s">
        <v>996</v>
      </c>
      <c r="IO5" s="11"/>
      <c r="IP5" s="11"/>
      <c r="IQ5" s="11"/>
      <c r="IR5" s="11"/>
      <c r="IS5" s="11"/>
      <c r="IT5" s="11"/>
      <c r="IU5" s="11"/>
      <c r="IV5" s="11"/>
      <c r="IW5" s="11"/>
      <c r="IX5" s="11"/>
      <c r="IY5" s="11"/>
      <c r="IZ5" s="11"/>
      <c r="JA5" s="11"/>
      <c r="JB5" s="11"/>
      <c r="JC5" s="11"/>
      <c r="JD5" s="11"/>
      <c r="JE5" s="11"/>
      <c r="JF5" s="11"/>
      <c r="JG5" s="11"/>
      <c r="JH5" s="11"/>
      <c r="JI5" s="11"/>
      <c r="JJ5" s="11"/>
      <c r="JK5" s="11"/>
      <c r="JL5" s="11"/>
      <c r="JM5" s="11"/>
      <c r="JN5" s="11"/>
      <c r="JO5" s="11"/>
      <c r="JP5" s="11"/>
      <c r="JQ5" s="11"/>
      <c r="JR5" s="11"/>
      <c r="JS5" s="11"/>
      <c r="JT5" s="11"/>
      <c r="JU5" s="11"/>
      <c r="JV5" s="11"/>
      <c r="JW5" s="11"/>
      <c r="JX5" s="11"/>
      <c r="JY5" s="11"/>
      <c r="JZ5" s="11"/>
      <c r="KA5" s="11"/>
      <c r="KB5" s="11"/>
      <c r="KC5" s="11"/>
      <c r="KD5" s="11"/>
      <c r="KE5" s="11"/>
      <c r="KF5" s="11"/>
      <c r="KG5" s="11"/>
      <c r="KH5" s="11"/>
      <c r="KI5" s="11"/>
      <c r="KJ5" s="11"/>
      <c r="KK5" s="11"/>
      <c r="KL5" s="11"/>
      <c r="KM5" s="11"/>
      <c r="KN5" s="11"/>
      <c r="KO5" s="11"/>
      <c r="KP5" s="11"/>
      <c r="KQ5" s="11"/>
      <c r="KR5" s="11"/>
      <c r="KS5" s="11"/>
      <c r="KT5" s="11"/>
      <c r="KU5" s="11"/>
      <c r="KV5" s="11"/>
      <c r="KW5" s="11"/>
      <c r="KX5" s="11"/>
      <c r="KY5" s="11"/>
      <c r="KZ5" s="3" t="s">
        <v>1788</v>
      </c>
      <c r="LA5" s="3" t="s">
        <v>1789</v>
      </c>
      <c r="LB5" s="11"/>
      <c r="LC5" s="11"/>
      <c r="LD5" s="11"/>
      <c r="LE5" s="3" t="s">
        <v>1790</v>
      </c>
      <c r="LF5" s="12" t="s">
        <v>1791</v>
      </c>
    </row>
    <row r="6" spans="1:318" x14ac:dyDescent="0.2">
      <c r="A6" s="2"/>
      <c r="B6" s="3">
        <v>1160</v>
      </c>
      <c r="C6" s="11"/>
      <c r="D6" s="11"/>
      <c r="E6" s="3" t="s">
        <v>1814</v>
      </c>
      <c r="F6" s="3">
        <v>1255</v>
      </c>
      <c r="G6" s="11"/>
      <c r="H6" s="11"/>
      <c r="I6" s="3" t="s">
        <v>1815</v>
      </c>
      <c r="J6" s="3">
        <v>1294</v>
      </c>
      <c r="K6" s="11"/>
      <c r="L6" s="11"/>
      <c r="M6" s="3" t="s">
        <v>1816</v>
      </c>
      <c r="N6" s="3">
        <v>2000</v>
      </c>
      <c r="O6" s="11"/>
      <c r="P6" s="11"/>
      <c r="Q6" s="3" t="s">
        <v>1817</v>
      </c>
      <c r="R6" s="3">
        <v>2005</v>
      </c>
      <c r="S6" s="11"/>
      <c r="T6" s="11"/>
      <c r="U6" s="3" t="s">
        <v>1818</v>
      </c>
      <c r="V6" s="3">
        <v>2010</v>
      </c>
      <c r="W6" s="11"/>
      <c r="X6" s="11"/>
      <c r="Y6" s="3" t="s">
        <v>1819</v>
      </c>
      <c r="Z6" s="3">
        <v>2015</v>
      </c>
      <c r="AA6" s="11"/>
      <c r="AB6" s="11"/>
      <c r="AC6" s="3" t="s">
        <v>1820</v>
      </c>
      <c r="AD6" s="3">
        <v>2025</v>
      </c>
      <c r="AE6" s="11"/>
      <c r="AF6" s="11"/>
      <c r="AG6" s="3" t="s">
        <v>1821</v>
      </c>
      <c r="AH6" s="3">
        <v>2030</v>
      </c>
      <c r="AI6" s="11"/>
      <c r="AJ6" s="11"/>
      <c r="AK6" s="3" t="s">
        <v>1822</v>
      </c>
      <c r="AL6" s="3">
        <v>2055</v>
      </c>
      <c r="AM6" s="11"/>
      <c r="AN6" s="11"/>
      <c r="AO6" s="3" t="s">
        <v>1823</v>
      </c>
      <c r="AP6" s="3">
        <v>2076</v>
      </c>
      <c r="AQ6" s="11"/>
      <c r="AR6" s="11"/>
      <c r="AS6" s="3" t="s">
        <v>1824</v>
      </c>
      <c r="AT6" s="3">
        <v>2083</v>
      </c>
      <c r="AU6" s="11"/>
      <c r="AV6" s="11"/>
      <c r="AW6" s="3" t="s">
        <v>1825</v>
      </c>
      <c r="AX6" s="3">
        <v>2086</v>
      </c>
      <c r="AY6" s="11"/>
      <c r="AZ6" s="11"/>
      <c r="BA6" s="3" t="s">
        <v>1826</v>
      </c>
      <c r="BB6" s="3">
        <v>3004</v>
      </c>
      <c r="BC6" s="11"/>
      <c r="BD6" s="11"/>
      <c r="BE6" s="3" t="s">
        <v>1827</v>
      </c>
      <c r="BF6" s="3">
        <v>3007</v>
      </c>
      <c r="BG6" s="11"/>
      <c r="BH6" s="11"/>
      <c r="BI6" s="3" t="s">
        <v>1828</v>
      </c>
      <c r="BJ6" s="3">
        <v>3010</v>
      </c>
      <c r="BK6" s="11"/>
      <c r="BL6" s="11"/>
      <c r="BM6" s="3" t="s">
        <v>1829</v>
      </c>
      <c r="BN6" s="3">
        <v>3013</v>
      </c>
      <c r="BO6" s="11"/>
      <c r="BP6" s="11"/>
      <c r="BQ6" s="3" t="s">
        <v>1830</v>
      </c>
      <c r="BR6" s="3">
        <v>3016</v>
      </c>
      <c r="BS6" s="11"/>
      <c r="BT6" s="11"/>
      <c r="BU6" s="3" t="s">
        <v>1831</v>
      </c>
      <c r="BV6" s="3">
        <v>3042</v>
      </c>
      <c r="BW6" s="11"/>
      <c r="BX6" s="11"/>
      <c r="BY6" s="3" t="s">
        <v>1832</v>
      </c>
      <c r="BZ6" s="3">
        <v>3084</v>
      </c>
      <c r="CA6" s="11"/>
      <c r="CB6" s="11"/>
      <c r="CC6" s="3" t="s">
        <v>1833</v>
      </c>
      <c r="CD6" s="3">
        <v>3088</v>
      </c>
      <c r="CE6" s="11"/>
      <c r="CF6" s="11"/>
      <c r="CG6" s="3" t="s">
        <v>1834</v>
      </c>
      <c r="CH6" s="3">
        <v>3090</v>
      </c>
      <c r="CI6" s="11"/>
      <c r="CJ6" s="11"/>
      <c r="CK6" s="3" t="s">
        <v>1835</v>
      </c>
      <c r="CL6" s="3">
        <v>3218</v>
      </c>
      <c r="CM6" s="11"/>
      <c r="CN6" s="11"/>
      <c r="CO6" s="3" t="s">
        <v>1836</v>
      </c>
      <c r="CP6" s="3">
        <v>4056</v>
      </c>
      <c r="CQ6" s="11"/>
      <c r="CR6" s="11"/>
      <c r="CS6" s="3" t="s">
        <v>1837</v>
      </c>
      <c r="CT6" s="3">
        <v>4059</v>
      </c>
      <c r="CU6" s="11"/>
      <c r="CV6" s="11"/>
      <c r="CW6" s="3" t="s">
        <v>1838</v>
      </c>
      <c r="CX6" s="3">
        <v>4068</v>
      </c>
      <c r="CY6" s="11"/>
      <c r="CZ6" s="11"/>
      <c r="DA6" s="3" t="s">
        <v>1839</v>
      </c>
      <c r="DB6" s="2"/>
      <c r="DC6" s="3">
        <v>3046</v>
      </c>
      <c r="DD6" s="11"/>
      <c r="DE6" s="11"/>
      <c r="DF6" s="3" t="s">
        <v>1840</v>
      </c>
      <c r="DG6" s="3">
        <v>3051</v>
      </c>
      <c r="DH6" s="11"/>
      <c r="DI6" s="11"/>
      <c r="DJ6" s="3" t="s">
        <v>1841</v>
      </c>
      <c r="DK6" s="3">
        <v>3052</v>
      </c>
      <c r="DL6" s="11"/>
      <c r="DM6" s="11"/>
      <c r="DN6" s="3" t="s">
        <v>1842</v>
      </c>
      <c r="DO6" s="3">
        <v>3057</v>
      </c>
      <c r="DP6" s="11"/>
      <c r="DQ6" s="11"/>
      <c r="DR6" s="3" t="s">
        <v>1843</v>
      </c>
      <c r="DS6" s="3">
        <v>3058</v>
      </c>
      <c r="DT6" s="11"/>
      <c r="DU6" s="11"/>
      <c r="DV6" s="3" t="s">
        <v>1844</v>
      </c>
      <c r="DW6" s="3">
        <v>3059</v>
      </c>
      <c r="DX6" s="11"/>
      <c r="DY6" s="11"/>
      <c r="DZ6" s="3" t="s">
        <v>1845</v>
      </c>
      <c r="EA6" s="3">
        <v>3060</v>
      </c>
      <c r="EB6" s="11"/>
      <c r="EC6" s="11"/>
      <c r="ED6" s="3" t="s">
        <v>1846</v>
      </c>
      <c r="EE6" s="3">
        <v>3061</v>
      </c>
      <c r="EF6" s="11"/>
      <c r="EG6" s="11"/>
      <c r="EH6" s="3" t="s">
        <v>1847</v>
      </c>
      <c r="EI6" s="3">
        <v>3067</v>
      </c>
      <c r="EJ6" s="11"/>
      <c r="EK6" s="11"/>
      <c r="EL6" s="3" t="s">
        <v>1848</v>
      </c>
      <c r="EM6" s="3">
        <v>3068</v>
      </c>
      <c r="EN6" s="11"/>
      <c r="EO6" s="11"/>
      <c r="EP6" s="3" t="s">
        <v>1849</v>
      </c>
      <c r="EQ6" s="3">
        <v>3071</v>
      </c>
      <c r="ER6" s="11"/>
      <c r="ES6" s="11"/>
      <c r="ET6" s="3" t="s">
        <v>1850</v>
      </c>
      <c r="EU6" s="3">
        <v>3072</v>
      </c>
      <c r="EV6" s="11"/>
      <c r="EW6" s="11"/>
      <c r="EX6" s="3" t="s">
        <v>1851</v>
      </c>
      <c r="EY6" s="3">
        <v>3073</v>
      </c>
      <c r="EZ6" s="11"/>
      <c r="FA6" s="11"/>
      <c r="FB6" s="3" t="s">
        <v>1852</v>
      </c>
      <c r="FC6" s="3">
        <v>3075</v>
      </c>
      <c r="FD6" s="11"/>
      <c r="FE6" s="11"/>
      <c r="FF6" s="3" t="s">
        <v>1853</v>
      </c>
      <c r="FG6" s="3">
        <v>3076</v>
      </c>
      <c r="FH6" s="11"/>
      <c r="FI6" s="11"/>
      <c r="FJ6" s="3" t="s">
        <v>1854</v>
      </c>
      <c r="FK6" s="3">
        <v>3078</v>
      </c>
      <c r="FL6" s="11"/>
      <c r="FM6" s="11"/>
      <c r="FN6" s="3" t="s">
        <v>1855</v>
      </c>
      <c r="FO6" s="3">
        <v>3079</v>
      </c>
      <c r="FP6" s="11"/>
      <c r="FQ6" s="11"/>
      <c r="FR6" s="3" t="s">
        <v>1856</v>
      </c>
      <c r="FS6" s="3">
        <v>3080</v>
      </c>
      <c r="FT6" s="11"/>
      <c r="FU6" s="11"/>
      <c r="FV6" s="3" t="s">
        <v>1857</v>
      </c>
      <c r="FW6" s="3">
        <v>3081</v>
      </c>
      <c r="FX6" s="11"/>
      <c r="FY6" s="11"/>
      <c r="FZ6" s="3" t="s">
        <v>1858</v>
      </c>
      <c r="GA6" s="3">
        <v>3100</v>
      </c>
      <c r="GB6" s="11"/>
      <c r="GC6" s="11"/>
      <c r="GD6" s="3" t="s">
        <v>1859</v>
      </c>
      <c r="GE6" s="3">
        <v>3106</v>
      </c>
      <c r="GF6" s="11"/>
      <c r="GG6" s="11"/>
      <c r="GH6" s="3" t="s">
        <v>1860</v>
      </c>
      <c r="GI6" s="3">
        <v>3107</v>
      </c>
      <c r="GJ6" s="11"/>
      <c r="GK6" s="11"/>
      <c r="GL6" s="3" t="s">
        <v>1861</v>
      </c>
      <c r="GM6" s="3">
        <v>3108</v>
      </c>
      <c r="GN6" s="11"/>
      <c r="GO6" s="11"/>
      <c r="GP6" s="3" t="s">
        <v>1862</v>
      </c>
      <c r="GQ6" s="3">
        <v>3110</v>
      </c>
      <c r="GR6" s="11"/>
      <c r="GS6" s="11"/>
      <c r="GT6" s="3" t="s">
        <v>1863</v>
      </c>
      <c r="GU6" s="3">
        <v>3111</v>
      </c>
      <c r="GV6" s="11"/>
      <c r="GW6" s="11"/>
      <c r="GX6" s="3" t="s">
        <v>1864</v>
      </c>
      <c r="GY6" s="3">
        <v>3112</v>
      </c>
      <c r="GZ6" s="11"/>
      <c r="HA6" s="11"/>
      <c r="HB6" s="3" t="s">
        <v>1865</v>
      </c>
      <c r="HC6" s="3">
        <v>3120</v>
      </c>
      <c r="HD6" s="11"/>
      <c r="HE6" s="11"/>
      <c r="HF6" s="3" t="s">
        <v>1866</v>
      </c>
      <c r="HG6" s="3">
        <v>3121</v>
      </c>
      <c r="HH6" s="11"/>
      <c r="HI6" s="11"/>
      <c r="HJ6" s="3" t="s">
        <v>1867</v>
      </c>
      <c r="HK6" s="3">
        <v>3145</v>
      </c>
      <c r="HL6" s="11"/>
      <c r="HM6" s="11"/>
      <c r="HN6" s="3" t="s">
        <v>1868</v>
      </c>
      <c r="HO6" s="3">
        <v>3146</v>
      </c>
      <c r="HP6" s="11"/>
      <c r="HQ6" s="11"/>
      <c r="HR6" s="3" t="s">
        <v>1869</v>
      </c>
      <c r="HS6" s="3">
        <v>3147</v>
      </c>
      <c r="HT6" s="11"/>
      <c r="HU6" s="11"/>
      <c r="HV6" s="3" t="s">
        <v>1870</v>
      </c>
      <c r="HW6" s="3">
        <v>3216</v>
      </c>
      <c r="HX6" s="11"/>
      <c r="HY6" s="11"/>
      <c r="HZ6" s="3" t="s">
        <v>1871</v>
      </c>
      <c r="IA6" s="3">
        <v>3217</v>
      </c>
      <c r="IB6" s="11"/>
      <c r="IC6" s="11"/>
      <c r="ID6" s="3" t="s">
        <v>1872</v>
      </c>
      <c r="IE6" s="3">
        <v>4065</v>
      </c>
      <c r="IF6" s="11"/>
      <c r="IG6" s="11"/>
      <c r="IH6" s="3" t="s">
        <v>1873</v>
      </c>
      <c r="II6" s="3">
        <v>4070</v>
      </c>
      <c r="IJ6" s="11"/>
      <c r="IK6" s="11"/>
      <c r="IL6" s="3" t="s">
        <v>1874</v>
      </c>
      <c r="IM6" s="2"/>
      <c r="IN6" s="3">
        <v>3001</v>
      </c>
      <c r="IO6" s="11"/>
      <c r="IP6" s="11"/>
      <c r="IQ6" s="3" t="s">
        <v>1875</v>
      </c>
      <c r="IR6" s="3">
        <v>3002</v>
      </c>
      <c r="IS6" s="11"/>
      <c r="IT6" s="11"/>
      <c r="IU6" s="3" t="s">
        <v>1876</v>
      </c>
      <c r="IV6" s="3">
        <v>3023</v>
      </c>
      <c r="IW6" s="11"/>
      <c r="IX6" s="11"/>
      <c r="IY6" s="3" t="s">
        <v>1877</v>
      </c>
      <c r="IZ6" s="3">
        <v>3024</v>
      </c>
      <c r="JA6" s="11"/>
      <c r="JB6" s="11"/>
      <c r="JC6" s="3" t="s">
        <v>1878</v>
      </c>
      <c r="JD6" s="3">
        <v>3037</v>
      </c>
      <c r="JE6" s="11"/>
      <c r="JF6" s="11"/>
      <c r="JG6" s="3" t="s">
        <v>1879</v>
      </c>
      <c r="JH6" s="3">
        <v>3047</v>
      </c>
      <c r="JI6" s="11"/>
      <c r="JJ6" s="11"/>
      <c r="JK6" s="3" t="s">
        <v>1880</v>
      </c>
      <c r="JL6" s="3">
        <v>3056</v>
      </c>
      <c r="JM6" s="11"/>
      <c r="JN6" s="11"/>
      <c r="JO6" s="3" t="s">
        <v>1881</v>
      </c>
      <c r="JP6" s="3">
        <v>3089</v>
      </c>
      <c r="JQ6" s="11"/>
      <c r="JR6" s="11"/>
      <c r="JS6" s="3" t="s">
        <v>1882</v>
      </c>
      <c r="JT6" s="3">
        <v>3096</v>
      </c>
      <c r="JU6" s="11"/>
      <c r="JV6" s="11"/>
      <c r="JW6" s="3" t="s">
        <v>1883</v>
      </c>
      <c r="JX6" s="3">
        <v>3187</v>
      </c>
      <c r="JY6" s="11"/>
      <c r="JZ6" s="11"/>
      <c r="KA6" s="3" t="s">
        <v>1884</v>
      </c>
      <c r="KB6" s="3">
        <v>4006</v>
      </c>
      <c r="KC6" s="11"/>
      <c r="KD6" s="11"/>
      <c r="KE6" s="3" t="s">
        <v>1885</v>
      </c>
      <c r="KF6" s="3">
        <v>4025</v>
      </c>
      <c r="KG6" s="11"/>
      <c r="KH6" s="11"/>
      <c r="KI6" s="3" t="s">
        <v>1886</v>
      </c>
      <c r="KJ6" s="3">
        <v>4030</v>
      </c>
      <c r="KK6" s="11"/>
      <c r="KL6" s="11"/>
      <c r="KM6" s="3" t="s">
        <v>1887</v>
      </c>
      <c r="KN6" s="3">
        <v>4035</v>
      </c>
      <c r="KO6" s="11"/>
      <c r="KP6" s="11"/>
      <c r="KQ6" s="3" t="s">
        <v>1888</v>
      </c>
      <c r="KR6" s="3">
        <v>4040</v>
      </c>
      <c r="KS6" s="11"/>
      <c r="KT6" s="11"/>
      <c r="KU6" s="3" t="s">
        <v>1889</v>
      </c>
      <c r="KV6" s="3">
        <v>4050</v>
      </c>
      <c r="KW6" s="11"/>
      <c r="KX6" s="11"/>
      <c r="KY6" s="3" t="s">
        <v>1890</v>
      </c>
      <c r="KZ6" s="2"/>
      <c r="LA6" s="3" t="s">
        <v>1789</v>
      </c>
      <c r="LB6" s="11"/>
      <c r="LC6" s="11"/>
      <c r="LD6" s="3" t="s">
        <v>1790</v>
      </c>
      <c r="LE6" s="2"/>
      <c r="LF6" s="25"/>
    </row>
    <row r="7" spans="1:318" x14ac:dyDescent="0.2">
      <c r="A7" s="2"/>
      <c r="B7" s="3" t="s">
        <v>821</v>
      </c>
      <c r="C7" s="11"/>
      <c r="D7" s="3" t="s">
        <v>1792</v>
      </c>
      <c r="E7" s="2"/>
      <c r="F7" s="3" t="s">
        <v>863</v>
      </c>
      <c r="G7" s="11"/>
      <c r="H7" s="3" t="s">
        <v>1793</v>
      </c>
      <c r="I7" s="2"/>
      <c r="J7" s="3" t="s">
        <v>121</v>
      </c>
      <c r="K7" s="11"/>
      <c r="L7" s="3" t="s">
        <v>1796</v>
      </c>
      <c r="M7" s="2"/>
      <c r="N7" s="3" t="s">
        <v>4</v>
      </c>
      <c r="O7" s="11"/>
      <c r="P7" s="3" t="s">
        <v>1795</v>
      </c>
      <c r="Q7" s="2"/>
      <c r="R7" s="3" t="s">
        <v>4</v>
      </c>
      <c r="S7" s="11"/>
      <c r="T7" s="3" t="s">
        <v>1795</v>
      </c>
      <c r="U7" s="2"/>
      <c r="V7" s="3" t="s">
        <v>863</v>
      </c>
      <c r="W7" s="11"/>
      <c r="X7" s="3" t="s">
        <v>1793</v>
      </c>
      <c r="Y7" s="2"/>
      <c r="Z7" s="3" t="s">
        <v>4</v>
      </c>
      <c r="AA7" s="11"/>
      <c r="AB7" s="3" t="s">
        <v>1795</v>
      </c>
      <c r="AC7" s="2"/>
      <c r="AD7" s="3" t="s">
        <v>860</v>
      </c>
      <c r="AE7" s="11"/>
      <c r="AF7" s="3" t="s">
        <v>1794</v>
      </c>
      <c r="AG7" s="2"/>
      <c r="AH7" s="3" t="s">
        <v>860</v>
      </c>
      <c r="AI7" s="11"/>
      <c r="AJ7" s="3" t="s">
        <v>1794</v>
      </c>
      <c r="AK7" s="2"/>
      <c r="AL7" s="3" t="s">
        <v>121</v>
      </c>
      <c r="AM7" s="11"/>
      <c r="AN7" s="3" t="s">
        <v>1796</v>
      </c>
      <c r="AO7" s="2"/>
      <c r="AP7" s="3" t="s">
        <v>4</v>
      </c>
      <c r="AQ7" s="11"/>
      <c r="AR7" s="3" t="s">
        <v>1795</v>
      </c>
      <c r="AS7" s="2"/>
      <c r="AT7" s="3" t="s">
        <v>121</v>
      </c>
      <c r="AU7" s="11"/>
      <c r="AV7" s="3" t="s">
        <v>1796</v>
      </c>
      <c r="AW7" s="2"/>
      <c r="AX7" s="3" t="s">
        <v>234</v>
      </c>
      <c r="AY7" s="11"/>
      <c r="AZ7" s="3" t="s">
        <v>1797</v>
      </c>
      <c r="BA7" s="2"/>
      <c r="BB7" s="3" t="s">
        <v>234</v>
      </c>
      <c r="BC7" s="11"/>
      <c r="BD7" s="3" t="s">
        <v>1797</v>
      </c>
      <c r="BE7" s="2"/>
      <c r="BF7" s="3" t="s">
        <v>234</v>
      </c>
      <c r="BG7" s="11"/>
      <c r="BH7" s="3" t="s">
        <v>1797</v>
      </c>
      <c r="BI7" s="2"/>
      <c r="BJ7" s="3" t="s">
        <v>234</v>
      </c>
      <c r="BK7" s="11"/>
      <c r="BL7" s="3" t="s">
        <v>1797</v>
      </c>
      <c r="BM7" s="2"/>
      <c r="BN7" s="3" t="s">
        <v>234</v>
      </c>
      <c r="BO7" s="11"/>
      <c r="BP7" s="3" t="s">
        <v>1797</v>
      </c>
      <c r="BQ7" s="2"/>
      <c r="BR7" s="3" t="s">
        <v>234</v>
      </c>
      <c r="BS7" s="11"/>
      <c r="BT7" s="3" t="s">
        <v>1797</v>
      </c>
      <c r="BU7" s="2"/>
      <c r="BV7" s="3" t="s">
        <v>234</v>
      </c>
      <c r="BW7" s="11"/>
      <c r="BX7" s="3" t="s">
        <v>1797</v>
      </c>
      <c r="BY7" s="2"/>
      <c r="BZ7" s="3" t="s">
        <v>234</v>
      </c>
      <c r="CA7" s="11"/>
      <c r="CB7" s="3" t="s">
        <v>1797</v>
      </c>
      <c r="CC7" s="2"/>
      <c r="CD7" s="3" t="s">
        <v>234</v>
      </c>
      <c r="CE7" s="11"/>
      <c r="CF7" s="3" t="s">
        <v>1797</v>
      </c>
      <c r="CG7" s="2"/>
      <c r="CH7" s="3" t="s">
        <v>234</v>
      </c>
      <c r="CI7" s="11"/>
      <c r="CJ7" s="3" t="s">
        <v>1797</v>
      </c>
      <c r="CK7" s="2"/>
      <c r="CL7" s="3" t="s">
        <v>1789</v>
      </c>
      <c r="CM7" s="11"/>
      <c r="CN7" s="3" t="s">
        <v>1790</v>
      </c>
      <c r="CO7" s="2"/>
      <c r="CP7" s="3" t="s">
        <v>4</v>
      </c>
      <c r="CQ7" s="11"/>
      <c r="CR7" s="3" t="s">
        <v>1795</v>
      </c>
      <c r="CS7" s="2"/>
      <c r="CT7" s="3" t="s">
        <v>234</v>
      </c>
      <c r="CU7" s="11"/>
      <c r="CV7" s="3" t="s">
        <v>1797</v>
      </c>
      <c r="CW7" s="2"/>
      <c r="CX7" s="3" t="s">
        <v>1789</v>
      </c>
      <c r="CY7" s="11"/>
      <c r="CZ7" s="3" t="s">
        <v>1790</v>
      </c>
      <c r="DA7" s="2"/>
      <c r="DB7" s="2"/>
      <c r="DC7" s="3" t="s">
        <v>404</v>
      </c>
      <c r="DD7" s="11"/>
      <c r="DE7" s="3" t="s">
        <v>1798</v>
      </c>
      <c r="DF7" s="2"/>
      <c r="DG7" s="3" t="s">
        <v>234</v>
      </c>
      <c r="DH7" s="11"/>
      <c r="DI7" s="3" t="s">
        <v>1797</v>
      </c>
      <c r="DJ7" s="2"/>
      <c r="DK7" s="3" t="s">
        <v>234</v>
      </c>
      <c r="DL7" s="11"/>
      <c r="DM7" s="3" t="s">
        <v>1797</v>
      </c>
      <c r="DN7" s="2"/>
      <c r="DO7" s="3" t="s">
        <v>234</v>
      </c>
      <c r="DP7" s="11"/>
      <c r="DQ7" s="3" t="s">
        <v>1797</v>
      </c>
      <c r="DR7" s="2"/>
      <c r="DS7" s="3" t="s">
        <v>234</v>
      </c>
      <c r="DT7" s="11"/>
      <c r="DU7" s="3" t="s">
        <v>1797</v>
      </c>
      <c r="DV7" s="2"/>
      <c r="DW7" s="3" t="s">
        <v>234</v>
      </c>
      <c r="DX7" s="11"/>
      <c r="DY7" s="3" t="s">
        <v>1797</v>
      </c>
      <c r="DZ7" s="2"/>
      <c r="EA7" s="3" t="s">
        <v>234</v>
      </c>
      <c r="EB7" s="11"/>
      <c r="EC7" s="3" t="s">
        <v>1797</v>
      </c>
      <c r="ED7" s="2"/>
      <c r="EE7" s="3" t="s">
        <v>234</v>
      </c>
      <c r="EF7" s="11"/>
      <c r="EG7" s="3" t="s">
        <v>1797</v>
      </c>
      <c r="EH7" s="2"/>
      <c r="EI7" s="3" t="s">
        <v>234</v>
      </c>
      <c r="EJ7" s="11"/>
      <c r="EK7" s="3" t="s">
        <v>1797</v>
      </c>
      <c r="EL7" s="2"/>
      <c r="EM7" s="3" t="s">
        <v>234</v>
      </c>
      <c r="EN7" s="11"/>
      <c r="EO7" s="3" t="s">
        <v>1797</v>
      </c>
      <c r="EP7" s="2"/>
      <c r="EQ7" s="3" t="s">
        <v>234</v>
      </c>
      <c r="ER7" s="11"/>
      <c r="ES7" s="3" t="s">
        <v>1797</v>
      </c>
      <c r="ET7" s="2"/>
      <c r="EU7" s="3" t="s">
        <v>234</v>
      </c>
      <c r="EV7" s="11"/>
      <c r="EW7" s="3" t="s">
        <v>1797</v>
      </c>
      <c r="EX7" s="2"/>
      <c r="EY7" s="3" t="s">
        <v>234</v>
      </c>
      <c r="EZ7" s="11"/>
      <c r="FA7" s="3" t="s">
        <v>1797</v>
      </c>
      <c r="FB7" s="2"/>
      <c r="FC7" s="3" t="s">
        <v>234</v>
      </c>
      <c r="FD7" s="11"/>
      <c r="FE7" s="3" t="s">
        <v>1797</v>
      </c>
      <c r="FF7" s="2"/>
      <c r="FG7" s="3" t="s">
        <v>234</v>
      </c>
      <c r="FH7" s="11"/>
      <c r="FI7" s="3" t="s">
        <v>1797</v>
      </c>
      <c r="FJ7" s="2"/>
      <c r="FK7" s="3" t="s">
        <v>234</v>
      </c>
      <c r="FL7" s="11"/>
      <c r="FM7" s="3" t="s">
        <v>1797</v>
      </c>
      <c r="FN7" s="2"/>
      <c r="FO7" s="3" t="s">
        <v>234</v>
      </c>
      <c r="FP7" s="11"/>
      <c r="FQ7" s="3" t="s">
        <v>1797</v>
      </c>
      <c r="FR7" s="2"/>
      <c r="FS7" s="3" t="s">
        <v>234</v>
      </c>
      <c r="FT7" s="11"/>
      <c r="FU7" s="3" t="s">
        <v>1797</v>
      </c>
      <c r="FV7" s="2"/>
      <c r="FW7" s="3" t="s">
        <v>234</v>
      </c>
      <c r="FX7" s="11"/>
      <c r="FY7" s="3" t="s">
        <v>1797</v>
      </c>
      <c r="FZ7" s="2"/>
      <c r="GA7" s="3" t="s">
        <v>234</v>
      </c>
      <c r="GB7" s="11"/>
      <c r="GC7" s="3" t="s">
        <v>1797</v>
      </c>
      <c r="GD7" s="2"/>
      <c r="GE7" s="3" t="s">
        <v>234</v>
      </c>
      <c r="GF7" s="11"/>
      <c r="GG7" s="3" t="s">
        <v>1797</v>
      </c>
      <c r="GH7" s="2"/>
      <c r="GI7" s="3" t="s">
        <v>234</v>
      </c>
      <c r="GJ7" s="11"/>
      <c r="GK7" s="3" t="s">
        <v>1797</v>
      </c>
      <c r="GL7" s="2"/>
      <c r="GM7" s="3" t="s">
        <v>234</v>
      </c>
      <c r="GN7" s="11"/>
      <c r="GO7" s="3" t="s">
        <v>1797</v>
      </c>
      <c r="GP7" s="2"/>
      <c r="GQ7" s="3" t="s">
        <v>234</v>
      </c>
      <c r="GR7" s="11"/>
      <c r="GS7" s="3" t="s">
        <v>1797</v>
      </c>
      <c r="GT7" s="2"/>
      <c r="GU7" s="3" t="s">
        <v>234</v>
      </c>
      <c r="GV7" s="11"/>
      <c r="GW7" s="3" t="s">
        <v>1797</v>
      </c>
      <c r="GX7" s="2"/>
      <c r="GY7" s="3" t="s">
        <v>234</v>
      </c>
      <c r="GZ7" s="11"/>
      <c r="HA7" s="3" t="s">
        <v>1797</v>
      </c>
      <c r="HB7" s="2"/>
      <c r="HC7" s="3" t="s">
        <v>234</v>
      </c>
      <c r="HD7" s="11"/>
      <c r="HE7" s="3" t="s">
        <v>1797</v>
      </c>
      <c r="HF7" s="2"/>
      <c r="HG7" s="3" t="s">
        <v>1789</v>
      </c>
      <c r="HH7" s="11"/>
      <c r="HI7" s="3" t="s">
        <v>1790</v>
      </c>
      <c r="HJ7" s="2"/>
      <c r="HK7" s="3" t="s">
        <v>234</v>
      </c>
      <c r="HL7" s="11"/>
      <c r="HM7" s="3" t="s">
        <v>1797</v>
      </c>
      <c r="HN7" s="2"/>
      <c r="HO7" s="3" t="s">
        <v>234</v>
      </c>
      <c r="HP7" s="11"/>
      <c r="HQ7" s="3" t="s">
        <v>1797</v>
      </c>
      <c r="HR7" s="2"/>
      <c r="HS7" s="3" t="s">
        <v>234</v>
      </c>
      <c r="HT7" s="11"/>
      <c r="HU7" s="3" t="s">
        <v>1797</v>
      </c>
      <c r="HV7" s="2"/>
      <c r="HW7" s="3" t="s">
        <v>234</v>
      </c>
      <c r="HX7" s="11"/>
      <c r="HY7" s="3" t="s">
        <v>1797</v>
      </c>
      <c r="HZ7" s="2"/>
      <c r="IA7" s="3" t="s">
        <v>234</v>
      </c>
      <c r="IB7" s="11"/>
      <c r="IC7" s="3" t="s">
        <v>1797</v>
      </c>
      <c r="ID7" s="2"/>
      <c r="IE7" s="3" t="s">
        <v>1789</v>
      </c>
      <c r="IF7" s="11"/>
      <c r="IG7" s="3" t="s">
        <v>1790</v>
      </c>
      <c r="IH7" s="2"/>
      <c r="II7" s="3" t="s">
        <v>1789</v>
      </c>
      <c r="IJ7" s="11"/>
      <c r="IK7" s="3" t="s">
        <v>1790</v>
      </c>
      <c r="IL7" s="2"/>
      <c r="IM7" s="2"/>
      <c r="IN7" s="3" t="s">
        <v>121</v>
      </c>
      <c r="IO7" s="11"/>
      <c r="IP7" s="3" t="s">
        <v>1796</v>
      </c>
      <c r="IQ7" s="2"/>
      <c r="IR7" s="3" t="s">
        <v>234</v>
      </c>
      <c r="IS7" s="11"/>
      <c r="IT7" s="3" t="s">
        <v>1797</v>
      </c>
      <c r="IU7" s="2"/>
      <c r="IV7" s="3" t="s">
        <v>863</v>
      </c>
      <c r="IW7" s="11"/>
      <c r="IX7" s="3" t="s">
        <v>1793</v>
      </c>
      <c r="IY7" s="2"/>
      <c r="IZ7" s="3" t="s">
        <v>234</v>
      </c>
      <c r="JA7" s="11"/>
      <c r="JB7" s="3" t="s">
        <v>1797</v>
      </c>
      <c r="JC7" s="2"/>
      <c r="JD7" s="3" t="s">
        <v>234</v>
      </c>
      <c r="JE7" s="11"/>
      <c r="JF7" s="3" t="s">
        <v>1797</v>
      </c>
      <c r="JG7" s="2"/>
      <c r="JH7" s="3" t="s">
        <v>234</v>
      </c>
      <c r="JI7" s="11"/>
      <c r="JJ7" s="3" t="s">
        <v>1797</v>
      </c>
      <c r="JK7" s="2"/>
      <c r="JL7" s="3" t="s">
        <v>234</v>
      </c>
      <c r="JM7" s="11"/>
      <c r="JN7" s="3" t="s">
        <v>1797</v>
      </c>
      <c r="JO7" s="2"/>
      <c r="JP7" s="3" t="s">
        <v>234</v>
      </c>
      <c r="JQ7" s="11"/>
      <c r="JR7" s="3" t="s">
        <v>1797</v>
      </c>
      <c r="JS7" s="2"/>
      <c r="JT7" s="3" t="s">
        <v>234</v>
      </c>
      <c r="JU7" s="11"/>
      <c r="JV7" s="3" t="s">
        <v>1797</v>
      </c>
      <c r="JW7" s="2"/>
      <c r="JX7" s="3" t="s">
        <v>234</v>
      </c>
      <c r="JY7" s="11"/>
      <c r="JZ7" s="3" t="s">
        <v>1797</v>
      </c>
      <c r="KA7" s="2"/>
      <c r="KB7" s="3" t="s">
        <v>863</v>
      </c>
      <c r="KC7" s="11"/>
      <c r="KD7" s="3" t="s">
        <v>1793</v>
      </c>
      <c r="KE7" s="2"/>
      <c r="KF7" s="3" t="s">
        <v>4</v>
      </c>
      <c r="KG7" s="11"/>
      <c r="KH7" s="3" t="s">
        <v>1795</v>
      </c>
      <c r="KI7" s="2"/>
      <c r="KJ7" s="3" t="s">
        <v>4</v>
      </c>
      <c r="KK7" s="11"/>
      <c r="KL7" s="3" t="s">
        <v>1795</v>
      </c>
      <c r="KM7" s="2"/>
      <c r="KN7" s="3" t="s">
        <v>860</v>
      </c>
      <c r="KO7" s="11"/>
      <c r="KP7" s="3" t="s">
        <v>1794</v>
      </c>
      <c r="KQ7" s="2"/>
      <c r="KR7" s="3" t="s">
        <v>860</v>
      </c>
      <c r="KS7" s="11"/>
      <c r="KT7" s="3" t="s">
        <v>1794</v>
      </c>
      <c r="KU7" s="2"/>
      <c r="KV7" s="3" t="s">
        <v>4</v>
      </c>
      <c r="KW7" s="11"/>
      <c r="KX7" s="3" t="s">
        <v>1795</v>
      </c>
      <c r="KY7" s="2"/>
      <c r="KZ7" s="2"/>
      <c r="LA7" s="3" t="s">
        <v>1789</v>
      </c>
      <c r="LB7" s="11"/>
      <c r="LC7" s="3" t="s">
        <v>1790</v>
      </c>
      <c r="LD7" s="2"/>
      <c r="LE7" s="2"/>
      <c r="LF7" s="25"/>
    </row>
    <row r="8" spans="1:318" x14ac:dyDescent="0.2">
      <c r="A8" s="2"/>
      <c r="B8" s="3" t="s">
        <v>876</v>
      </c>
      <c r="C8" s="3" t="s">
        <v>1799</v>
      </c>
      <c r="D8" s="2"/>
      <c r="E8" s="2"/>
      <c r="F8" s="3" t="s">
        <v>319</v>
      </c>
      <c r="G8" s="3" t="s">
        <v>1800</v>
      </c>
      <c r="H8" s="2"/>
      <c r="I8" s="2"/>
      <c r="J8" s="3" t="s">
        <v>122</v>
      </c>
      <c r="K8" s="3" t="s">
        <v>1805</v>
      </c>
      <c r="L8" s="2"/>
      <c r="M8" s="2"/>
      <c r="N8" s="3" t="s">
        <v>14</v>
      </c>
      <c r="O8" s="3" t="s">
        <v>1803</v>
      </c>
      <c r="P8" s="2"/>
      <c r="Q8" s="2"/>
      <c r="R8" s="3" t="s">
        <v>18</v>
      </c>
      <c r="S8" s="3" t="s">
        <v>1804</v>
      </c>
      <c r="T8" s="2"/>
      <c r="U8" s="2"/>
      <c r="V8" s="3" t="s">
        <v>319</v>
      </c>
      <c r="W8" s="3" t="s">
        <v>1800</v>
      </c>
      <c r="X8" s="2"/>
      <c r="Y8" s="2"/>
      <c r="Z8" s="3" t="s">
        <v>5</v>
      </c>
      <c r="AA8" s="3" t="s">
        <v>1802</v>
      </c>
      <c r="AB8" s="2"/>
      <c r="AC8" s="2"/>
      <c r="AD8" s="3" t="s">
        <v>30</v>
      </c>
      <c r="AE8" s="3" t="s">
        <v>1801</v>
      </c>
      <c r="AF8" s="2"/>
      <c r="AG8" s="2"/>
      <c r="AH8" s="3" t="s">
        <v>30</v>
      </c>
      <c r="AI8" s="3" t="s">
        <v>1801</v>
      </c>
      <c r="AJ8" s="2"/>
      <c r="AK8" s="2"/>
      <c r="AL8" s="3" t="s">
        <v>122</v>
      </c>
      <c r="AM8" s="3" t="s">
        <v>1805</v>
      </c>
      <c r="AN8" s="2"/>
      <c r="AO8" s="2"/>
      <c r="AP8" s="3" t="s">
        <v>5</v>
      </c>
      <c r="AQ8" s="3" t="s">
        <v>1802</v>
      </c>
      <c r="AR8" s="2"/>
      <c r="AS8" s="2"/>
      <c r="AT8" s="3" t="s">
        <v>122</v>
      </c>
      <c r="AU8" s="3" t="s">
        <v>1805</v>
      </c>
      <c r="AV8" s="2"/>
      <c r="AW8" s="2"/>
      <c r="AX8" s="3" t="s">
        <v>235</v>
      </c>
      <c r="AY8" s="3" t="s">
        <v>1807</v>
      </c>
      <c r="AZ8" s="2"/>
      <c r="BA8" s="2"/>
      <c r="BB8" s="3" t="s">
        <v>702</v>
      </c>
      <c r="BC8" s="3" t="s">
        <v>1808</v>
      </c>
      <c r="BD8" s="2"/>
      <c r="BE8" s="2"/>
      <c r="BF8" s="3" t="s">
        <v>702</v>
      </c>
      <c r="BG8" s="3" t="s">
        <v>1808</v>
      </c>
      <c r="BH8" s="2"/>
      <c r="BI8" s="2"/>
      <c r="BJ8" s="3" t="s">
        <v>702</v>
      </c>
      <c r="BK8" s="3" t="s">
        <v>1808</v>
      </c>
      <c r="BL8" s="2"/>
      <c r="BM8" s="2"/>
      <c r="BN8" s="3" t="s">
        <v>702</v>
      </c>
      <c r="BO8" s="3" t="s">
        <v>1808</v>
      </c>
      <c r="BP8" s="2"/>
      <c r="BQ8" s="2"/>
      <c r="BR8" s="3" t="s">
        <v>702</v>
      </c>
      <c r="BS8" s="3" t="s">
        <v>1808</v>
      </c>
      <c r="BT8" s="2"/>
      <c r="BU8" s="2"/>
      <c r="BV8" s="3" t="s">
        <v>263</v>
      </c>
      <c r="BW8" s="3" t="s">
        <v>1806</v>
      </c>
      <c r="BX8" s="2"/>
      <c r="BY8" s="2"/>
      <c r="BZ8" s="3" t="s">
        <v>702</v>
      </c>
      <c r="CA8" s="3" t="s">
        <v>1808</v>
      </c>
      <c r="CB8" s="2"/>
      <c r="CC8" s="2"/>
      <c r="CD8" s="3" t="s">
        <v>702</v>
      </c>
      <c r="CE8" s="3" t="s">
        <v>1808</v>
      </c>
      <c r="CF8" s="2"/>
      <c r="CG8" s="2"/>
      <c r="CH8" s="3" t="s">
        <v>702</v>
      </c>
      <c r="CI8" s="3" t="s">
        <v>1808</v>
      </c>
      <c r="CJ8" s="2"/>
      <c r="CK8" s="2"/>
      <c r="CL8" s="3" t="s">
        <v>1789</v>
      </c>
      <c r="CM8" s="3" t="s">
        <v>1790</v>
      </c>
      <c r="CN8" s="2"/>
      <c r="CO8" s="2"/>
      <c r="CP8" s="3" t="s">
        <v>18</v>
      </c>
      <c r="CQ8" s="3" t="s">
        <v>1804</v>
      </c>
      <c r="CR8" s="2"/>
      <c r="CS8" s="2"/>
      <c r="CT8" s="3" t="s">
        <v>494</v>
      </c>
      <c r="CU8" s="3" t="s">
        <v>1809</v>
      </c>
      <c r="CV8" s="2"/>
      <c r="CW8" s="2"/>
      <c r="CX8" s="3" t="s">
        <v>1789</v>
      </c>
      <c r="CY8" s="3" t="s">
        <v>1790</v>
      </c>
      <c r="CZ8" s="2"/>
      <c r="DA8" s="2"/>
      <c r="DB8" s="2"/>
      <c r="DC8" s="3" t="s">
        <v>404</v>
      </c>
      <c r="DD8" s="3" t="s">
        <v>1798</v>
      </c>
      <c r="DE8" s="2"/>
      <c r="DF8" s="2"/>
      <c r="DG8" s="3" t="s">
        <v>235</v>
      </c>
      <c r="DH8" s="3" t="s">
        <v>1807</v>
      </c>
      <c r="DI8" s="2"/>
      <c r="DJ8" s="2"/>
      <c r="DK8" s="3" t="s">
        <v>235</v>
      </c>
      <c r="DL8" s="3" t="s">
        <v>1807</v>
      </c>
      <c r="DM8" s="2"/>
      <c r="DN8" s="2"/>
      <c r="DO8" s="3" t="s">
        <v>677</v>
      </c>
      <c r="DP8" s="3" t="s">
        <v>1810</v>
      </c>
      <c r="DQ8" s="2"/>
      <c r="DR8" s="2"/>
      <c r="DS8" s="3" t="s">
        <v>677</v>
      </c>
      <c r="DT8" s="3" t="s">
        <v>1810</v>
      </c>
      <c r="DU8" s="2"/>
      <c r="DV8" s="2"/>
      <c r="DW8" s="3" t="s">
        <v>677</v>
      </c>
      <c r="DX8" s="3" t="s">
        <v>1810</v>
      </c>
      <c r="DY8" s="2"/>
      <c r="DZ8" s="2"/>
      <c r="EA8" s="3" t="s">
        <v>677</v>
      </c>
      <c r="EB8" s="3" t="s">
        <v>1810</v>
      </c>
      <c r="EC8" s="2"/>
      <c r="ED8" s="2"/>
      <c r="EE8" s="3" t="s">
        <v>677</v>
      </c>
      <c r="EF8" s="3" t="s">
        <v>1810</v>
      </c>
      <c r="EG8" s="2"/>
      <c r="EH8" s="2"/>
      <c r="EI8" s="3" t="s">
        <v>702</v>
      </c>
      <c r="EJ8" s="3" t="s">
        <v>1808</v>
      </c>
      <c r="EK8" s="2"/>
      <c r="EL8" s="2"/>
      <c r="EM8" s="3" t="s">
        <v>702</v>
      </c>
      <c r="EN8" s="3" t="s">
        <v>1808</v>
      </c>
      <c r="EO8" s="2"/>
      <c r="EP8" s="2"/>
      <c r="EQ8" s="3" t="s">
        <v>702</v>
      </c>
      <c r="ER8" s="3" t="s">
        <v>1808</v>
      </c>
      <c r="ES8" s="2"/>
      <c r="ET8" s="2"/>
      <c r="EU8" s="3" t="s">
        <v>702</v>
      </c>
      <c r="EV8" s="3" t="s">
        <v>1808</v>
      </c>
      <c r="EW8" s="2"/>
      <c r="EX8" s="2"/>
      <c r="EY8" s="3" t="s">
        <v>677</v>
      </c>
      <c r="EZ8" s="3" t="s">
        <v>1810</v>
      </c>
      <c r="FA8" s="2"/>
      <c r="FB8" s="2"/>
      <c r="FC8" s="3" t="s">
        <v>263</v>
      </c>
      <c r="FD8" s="3" t="s">
        <v>1806</v>
      </c>
      <c r="FE8" s="2"/>
      <c r="FF8" s="2"/>
      <c r="FG8" s="3" t="s">
        <v>656</v>
      </c>
      <c r="FH8" s="3" t="s">
        <v>1811</v>
      </c>
      <c r="FI8" s="2"/>
      <c r="FJ8" s="2"/>
      <c r="FK8" s="3" t="s">
        <v>656</v>
      </c>
      <c r="FL8" s="3" t="s">
        <v>1811</v>
      </c>
      <c r="FM8" s="2"/>
      <c r="FN8" s="2"/>
      <c r="FO8" s="3" t="s">
        <v>656</v>
      </c>
      <c r="FP8" s="3" t="s">
        <v>1811</v>
      </c>
      <c r="FQ8" s="2"/>
      <c r="FR8" s="2"/>
      <c r="FS8" s="3" t="s">
        <v>656</v>
      </c>
      <c r="FT8" s="3" t="s">
        <v>1811</v>
      </c>
      <c r="FU8" s="2"/>
      <c r="FV8" s="2"/>
      <c r="FW8" s="3" t="s">
        <v>656</v>
      </c>
      <c r="FX8" s="3" t="s">
        <v>1811</v>
      </c>
      <c r="FY8" s="2"/>
      <c r="FZ8" s="2"/>
      <c r="GA8" s="3" t="s">
        <v>677</v>
      </c>
      <c r="GB8" s="3" t="s">
        <v>1810</v>
      </c>
      <c r="GC8" s="2"/>
      <c r="GD8" s="2"/>
      <c r="GE8" s="3" t="s">
        <v>677</v>
      </c>
      <c r="GF8" s="3" t="s">
        <v>1810</v>
      </c>
      <c r="GG8" s="2"/>
      <c r="GH8" s="2"/>
      <c r="GI8" s="3" t="s">
        <v>677</v>
      </c>
      <c r="GJ8" s="3" t="s">
        <v>1810</v>
      </c>
      <c r="GK8" s="2"/>
      <c r="GL8" s="2"/>
      <c r="GM8" s="3" t="s">
        <v>677</v>
      </c>
      <c r="GN8" s="3" t="s">
        <v>1810</v>
      </c>
      <c r="GO8" s="2"/>
      <c r="GP8" s="2"/>
      <c r="GQ8" s="3" t="s">
        <v>677</v>
      </c>
      <c r="GR8" s="3" t="s">
        <v>1810</v>
      </c>
      <c r="GS8" s="2"/>
      <c r="GT8" s="2"/>
      <c r="GU8" s="3" t="s">
        <v>677</v>
      </c>
      <c r="GV8" s="3" t="s">
        <v>1810</v>
      </c>
      <c r="GW8" s="2"/>
      <c r="GX8" s="2"/>
      <c r="GY8" s="3" t="s">
        <v>677</v>
      </c>
      <c r="GZ8" s="3" t="s">
        <v>1810</v>
      </c>
      <c r="HA8" s="2"/>
      <c r="HB8" s="2"/>
      <c r="HC8" s="3" t="s">
        <v>677</v>
      </c>
      <c r="HD8" s="3" t="s">
        <v>1810</v>
      </c>
      <c r="HE8" s="2"/>
      <c r="HF8" s="2"/>
      <c r="HG8" s="3" t="s">
        <v>1789</v>
      </c>
      <c r="HH8" s="3" t="s">
        <v>1790</v>
      </c>
      <c r="HI8" s="2"/>
      <c r="HJ8" s="2"/>
      <c r="HK8" s="3" t="s">
        <v>656</v>
      </c>
      <c r="HL8" s="3" t="s">
        <v>1811</v>
      </c>
      <c r="HM8" s="2"/>
      <c r="HN8" s="2"/>
      <c r="HO8" s="3" t="s">
        <v>656</v>
      </c>
      <c r="HP8" s="3" t="s">
        <v>1811</v>
      </c>
      <c r="HQ8" s="2"/>
      <c r="HR8" s="2"/>
      <c r="HS8" s="3" t="s">
        <v>656</v>
      </c>
      <c r="HT8" s="3" t="s">
        <v>1811</v>
      </c>
      <c r="HU8" s="2"/>
      <c r="HV8" s="2"/>
      <c r="HW8" s="3" t="s">
        <v>235</v>
      </c>
      <c r="HX8" s="3" t="s">
        <v>1807</v>
      </c>
      <c r="HY8" s="2"/>
      <c r="HZ8" s="2"/>
      <c r="IA8" s="3" t="s">
        <v>235</v>
      </c>
      <c r="IB8" s="3" t="s">
        <v>1807</v>
      </c>
      <c r="IC8" s="2"/>
      <c r="ID8" s="2"/>
      <c r="IE8" s="3" t="s">
        <v>1789</v>
      </c>
      <c r="IF8" s="3" t="s">
        <v>1790</v>
      </c>
      <c r="IG8" s="2"/>
      <c r="IH8" s="2"/>
      <c r="II8" s="3" t="s">
        <v>1789</v>
      </c>
      <c r="IJ8" s="3" t="s">
        <v>1790</v>
      </c>
      <c r="IK8" s="2"/>
      <c r="IL8" s="2"/>
      <c r="IM8" s="2"/>
      <c r="IN8" s="3" t="s">
        <v>122</v>
      </c>
      <c r="IO8" s="3" t="s">
        <v>1805</v>
      </c>
      <c r="IP8" s="2"/>
      <c r="IQ8" s="2"/>
      <c r="IR8" s="3" t="s">
        <v>702</v>
      </c>
      <c r="IS8" s="3" t="s">
        <v>1808</v>
      </c>
      <c r="IT8" s="2"/>
      <c r="IU8" s="2"/>
      <c r="IV8" s="3" t="s">
        <v>319</v>
      </c>
      <c r="IW8" s="3" t="s">
        <v>1800</v>
      </c>
      <c r="IX8" s="2"/>
      <c r="IY8" s="2"/>
      <c r="IZ8" s="3" t="s">
        <v>702</v>
      </c>
      <c r="JA8" s="3" t="s">
        <v>1808</v>
      </c>
      <c r="JB8" s="2"/>
      <c r="JC8" s="2"/>
      <c r="JD8" s="3" t="s">
        <v>263</v>
      </c>
      <c r="JE8" s="3" t="s">
        <v>1806</v>
      </c>
      <c r="JF8" s="2"/>
      <c r="JG8" s="2"/>
      <c r="JH8" s="3" t="s">
        <v>235</v>
      </c>
      <c r="JI8" s="3" t="s">
        <v>1807</v>
      </c>
      <c r="JJ8" s="2"/>
      <c r="JK8" s="2"/>
      <c r="JL8" s="3" t="s">
        <v>702</v>
      </c>
      <c r="JM8" s="3" t="s">
        <v>1808</v>
      </c>
      <c r="JN8" s="2"/>
      <c r="JO8" s="2"/>
      <c r="JP8" s="3" t="s">
        <v>235</v>
      </c>
      <c r="JQ8" s="3" t="s">
        <v>1807</v>
      </c>
      <c r="JR8" s="2"/>
      <c r="JS8" s="2"/>
      <c r="JT8" s="3" t="s">
        <v>702</v>
      </c>
      <c r="JU8" s="3" t="s">
        <v>1808</v>
      </c>
      <c r="JV8" s="2"/>
      <c r="JW8" s="2"/>
      <c r="JX8" s="3" t="s">
        <v>702</v>
      </c>
      <c r="JY8" s="3" t="s">
        <v>1808</v>
      </c>
      <c r="JZ8" s="2"/>
      <c r="KA8" s="2"/>
      <c r="KB8" s="3" t="s">
        <v>319</v>
      </c>
      <c r="KC8" s="3" t="s">
        <v>1800</v>
      </c>
      <c r="KD8" s="2"/>
      <c r="KE8" s="2"/>
      <c r="KF8" s="3" t="s">
        <v>5</v>
      </c>
      <c r="KG8" s="3" t="s">
        <v>1802</v>
      </c>
      <c r="KH8" s="2"/>
      <c r="KI8" s="2"/>
      <c r="KJ8" s="3" t="s">
        <v>14</v>
      </c>
      <c r="KK8" s="3" t="s">
        <v>1803</v>
      </c>
      <c r="KL8" s="2"/>
      <c r="KM8" s="2"/>
      <c r="KN8" s="3" t="s">
        <v>40</v>
      </c>
      <c r="KO8" s="3" t="s">
        <v>1812</v>
      </c>
      <c r="KP8" s="2"/>
      <c r="KQ8" s="2"/>
      <c r="KR8" s="3" t="s">
        <v>30</v>
      </c>
      <c r="KS8" s="3" t="s">
        <v>1801</v>
      </c>
      <c r="KT8" s="2"/>
      <c r="KU8" s="2"/>
      <c r="KV8" s="3" t="s">
        <v>18</v>
      </c>
      <c r="KW8" s="3" t="s">
        <v>1804</v>
      </c>
      <c r="KX8" s="2"/>
      <c r="KY8" s="2"/>
      <c r="KZ8" s="2"/>
      <c r="LA8" s="3" t="s">
        <v>1789</v>
      </c>
      <c r="LB8" s="3" t="s">
        <v>1790</v>
      </c>
      <c r="LC8" s="2"/>
      <c r="LD8" s="2"/>
      <c r="LE8" s="2"/>
      <c r="LF8" s="25"/>
    </row>
    <row r="9" spans="1:318" x14ac:dyDescent="0.2">
      <c r="A9" s="1" t="s">
        <v>393</v>
      </c>
      <c r="B9" s="3" t="s">
        <v>405</v>
      </c>
      <c r="C9" s="2"/>
      <c r="D9" s="2"/>
      <c r="E9" s="2"/>
      <c r="F9" s="3" t="s">
        <v>405</v>
      </c>
      <c r="G9" s="2"/>
      <c r="H9" s="2"/>
      <c r="I9" s="2"/>
      <c r="J9" s="3" t="s">
        <v>405</v>
      </c>
      <c r="K9" s="2"/>
      <c r="L9" s="2"/>
      <c r="M9" s="2"/>
      <c r="N9" s="3" t="s">
        <v>809</v>
      </c>
      <c r="O9" s="2"/>
      <c r="P9" s="2"/>
      <c r="Q9" s="2"/>
      <c r="R9" s="3" t="s">
        <v>809</v>
      </c>
      <c r="S9" s="2"/>
      <c r="T9" s="2"/>
      <c r="U9" s="2"/>
      <c r="V9" s="3" t="s">
        <v>809</v>
      </c>
      <c r="W9" s="2"/>
      <c r="X9" s="2"/>
      <c r="Y9" s="2"/>
      <c r="Z9" s="3" t="s">
        <v>809</v>
      </c>
      <c r="AA9" s="2"/>
      <c r="AB9" s="2"/>
      <c r="AC9" s="2"/>
      <c r="AD9" s="3" t="s">
        <v>809</v>
      </c>
      <c r="AE9" s="2"/>
      <c r="AF9" s="2"/>
      <c r="AG9" s="2"/>
      <c r="AH9" s="3" t="s">
        <v>809</v>
      </c>
      <c r="AI9" s="2"/>
      <c r="AJ9" s="2"/>
      <c r="AK9" s="2"/>
      <c r="AL9" s="3" t="s">
        <v>809</v>
      </c>
      <c r="AM9" s="2"/>
      <c r="AN9" s="2"/>
      <c r="AO9" s="2"/>
      <c r="AP9" s="3" t="s">
        <v>412</v>
      </c>
      <c r="AQ9" s="2"/>
      <c r="AR9" s="2"/>
      <c r="AS9" s="2"/>
      <c r="AT9" s="3" t="s">
        <v>809</v>
      </c>
      <c r="AU9" s="2"/>
      <c r="AV9" s="2"/>
      <c r="AW9" s="2"/>
      <c r="AX9" s="3" t="s">
        <v>809</v>
      </c>
      <c r="AY9" s="2"/>
      <c r="AZ9" s="2"/>
      <c r="BA9" s="2"/>
      <c r="BB9" s="3" t="s">
        <v>809</v>
      </c>
      <c r="BC9" s="2"/>
      <c r="BD9" s="2"/>
      <c r="BE9" s="2"/>
      <c r="BF9" s="3" t="s">
        <v>809</v>
      </c>
      <c r="BG9" s="2"/>
      <c r="BH9" s="2"/>
      <c r="BI9" s="2"/>
      <c r="BJ9" s="3" t="s">
        <v>809</v>
      </c>
      <c r="BK9" s="2"/>
      <c r="BL9" s="2"/>
      <c r="BM9" s="2"/>
      <c r="BN9" s="3" t="s">
        <v>809</v>
      </c>
      <c r="BO9" s="2"/>
      <c r="BP9" s="2"/>
      <c r="BQ9" s="2"/>
      <c r="BR9" s="3" t="s">
        <v>809</v>
      </c>
      <c r="BS9" s="2"/>
      <c r="BT9" s="2"/>
      <c r="BU9" s="2"/>
      <c r="BV9" s="3" t="s">
        <v>809</v>
      </c>
      <c r="BW9" s="2"/>
      <c r="BX9" s="2"/>
      <c r="BY9" s="2"/>
      <c r="BZ9" s="3" t="s">
        <v>809</v>
      </c>
      <c r="CA9" s="2"/>
      <c r="CB9" s="2"/>
      <c r="CC9" s="2"/>
      <c r="CD9" s="3" t="s">
        <v>809</v>
      </c>
      <c r="CE9" s="2"/>
      <c r="CF9" s="2"/>
      <c r="CG9" s="2"/>
      <c r="CH9" s="3" t="s">
        <v>809</v>
      </c>
      <c r="CI9" s="2"/>
      <c r="CJ9" s="2"/>
      <c r="CK9" s="2"/>
      <c r="CL9" s="3" t="s">
        <v>1789</v>
      </c>
      <c r="CM9" s="2"/>
      <c r="CN9" s="2"/>
      <c r="CO9" s="2"/>
      <c r="CP9" s="3" t="s">
        <v>809</v>
      </c>
      <c r="CQ9" s="2"/>
      <c r="CR9" s="2"/>
      <c r="CS9" s="2"/>
      <c r="CT9" s="3" t="s">
        <v>809</v>
      </c>
      <c r="CU9" s="2"/>
      <c r="CV9" s="2"/>
      <c r="CW9" s="2"/>
      <c r="CX9" s="3" t="s">
        <v>1789</v>
      </c>
      <c r="CY9" s="2"/>
      <c r="CZ9" s="2"/>
      <c r="DA9" s="2"/>
      <c r="DB9" s="2"/>
      <c r="DC9" s="3" t="s">
        <v>809</v>
      </c>
      <c r="DD9" s="2"/>
      <c r="DE9" s="2"/>
      <c r="DF9" s="2"/>
      <c r="DG9" s="3" t="s">
        <v>809</v>
      </c>
      <c r="DH9" s="2"/>
      <c r="DI9" s="2"/>
      <c r="DJ9" s="2"/>
      <c r="DK9" s="3" t="s">
        <v>809</v>
      </c>
      <c r="DL9" s="2"/>
      <c r="DM9" s="2"/>
      <c r="DN9" s="2"/>
      <c r="DO9" s="3" t="s">
        <v>809</v>
      </c>
      <c r="DP9" s="2"/>
      <c r="DQ9" s="2"/>
      <c r="DR9" s="2"/>
      <c r="DS9" s="3" t="s">
        <v>809</v>
      </c>
      <c r="DT9" s="2"/>
      <c r="DU9" s="2"/>
      <c r="DV9" s="2"/>
      <c r="DW9" s="3" t="s">
        <v>809</v>
      </c>
      <c r="DX9" s="2"/>
      <c r="DY9" s="2"/>
      <c r="DZ9" s="2"/>
      <c r="EA9" s="3" t="s">
        <v>809</v>
      </c>
      <c r="EB9" s="2"/>
      <c r="EC9" s="2"/>
      <c r="ED9" s="2"/>
      <c r="EE9" s="3" t="s">
        <v>809</v>
      </c>
      <c r="EF9" s="2"/>
      <c r="EG9" s="2"/>
      <c r="EH9" s="2"/>
      <c r="EI9" s="3" t="s">
        <v>809</v>
      </c>
      <c r="EJ9" s="2"/>
      <c r="EK9" s="2"/>
      <c r="EL9" s="2"/>
      <c r="EM9" s="3" t="s">
        <v>809</v>
      </c>
      <c r="EN9" s="2"/>
      <c r="EO9" s="2"/>
      <c r="EP9" s="2"/>
      <c r="EQ9" s="3" t="s">
        <v>809</v>
      </c>
      <c r="ER9" s="2"/>
      <c r="ES9" s="2"/>
      <c r="ET9" s="2"/>
      <c r="EU9" s="3" t="s">
        <v>809</v>
      </c>
      <c r="EV9" s="2"/>
      <c r="EW9" s="2"/>
      <c r="EX9" s="2"/>
      <c r="EY9" s="3" t="s">
        <v>809</v>
      </c>
      <c r="EZ9" s="2"/>
      <c r="FA9" s="2"/>
      <c r="FB9" s="2"/>
      <c r="FC9" s="3" t="s">
        <v>809</v>
      </c>
      <c r="FD9" s="2"/>
      <c r="FE9" s="2"/>
      <c r="FF9" s="2"/>
      <c r="FG9" s="3" t="s">
        <v>809</v>
      </c>
      <c r="FH9" s="2"/>
      <c r="FI9" s="2"/>
      <c r="FJ9" s="2"/>
      <c r="FK9" s="3" t="s">
        <v>809</v>
      </c>
      <c r="FL9" s="2"/>
      <c r="FM9" s="2"/>
      <c r="FN9" s="2"/>
      <c r="FO9" s="3" t="s">
        <v>809</v>
      </c>
      <c r="FP9" s="2"/>
      <c r="FQ9" s="2"/>
      <c r="FR9" s="2"/>
      <c r="FS9" s="3" t="s">
        <v>809</v>
      </c>
      <c r="FT9" s="2"/>
      <c r="FU9" s="2"/>
      <c r="FV9" s="2"/>
      <c r="FW9" s="3" t="s">
        <v>809</v>
      </c>
      <c r="FX9" s="2"/>
      <c r="FY9" s="2"/>
      <c r="FZ9" s="2"/>
      <c r="GA9" s="3" t="s">
        <v>809</v>
      </c>
      <c r="GB9" s="2"/>
      <c r="GC9" s="2"/>
      <c r="GD9" s="2"/>
      <c r="GE9" s="3" t="s">
        <v>809</v>
      </c>
      <c r="GF9" s="2"/>
      <c r="GG9" s="2"/>
      <c r="GH9" s="2"/>
      <c r="GI9" s="3" t="s">
        <v>809</v>
      </c>
      <c r="GJ9" s="2"/>
      <c r="GK9" s="2"/>
      <c r="GL9" s="2"/>
      <c r="GM9" s="3" t="s">
        <v>809</v>
      </c>
      <c r="GN9" s="2"/>
      <c r="GO9" s="2"/>
      <c r="GP9" s="2"/>
      <c r="GQ9" s="3" t="s">
        <v>809</v>
      </c>
      <c r="GR9" s="2"/>
      <c r="GS9" s="2"/>
      <c r="GT9" s="2"/>
      <c r="GU9" s="3" t="s">
        <v>809</v>
      </c>
      <c r="GV9" s="2"/>
      <c r="GW9" s="2"/>
      <c r="GX9" s="2"/>
      <c r="GY9" s="3" t="s">
        <v>809</v>
      </c>
      <c r="GZ9" s="2"/>
      <c r="HA9" s="2"/>
      <c r="HB9" s="2"/>
      <c r="HC9" s="3" t="s">
        <v>809</v>
      </c>
      <c r="HD9" s="2"/>
      <c r="HE9" s="2"/>
      <c r="HF9" s="2"/>
      <c r="HG9" s="3" t="s">
        <v>1789</v>
      </c>
      <c r="HH9" s="2"/>
      <c r="HI9" s="2"/>
      <c r="HJ9" s="2"/>
      <c r="HK9" s="3" t="s">
        <v>809</v>
      </c>
      <c r="HL9" s="2"/>
      <c r="HM9" s="2"/>
      <c r="HN9" s="2"/>
      <c r="HO9" s="3" t="s">
        <v>809</v>
      </c>
      <c r="HP9" s="2"/>
      <c r="HQ9" s="2"/>
      <c r="HR9" s="2"/>
      <c r="HS9" s="3" t="s">
        <v>809</v>
      </c>
      <c r="HT9" s="2"/>
      <c r="HU9" s="2"/>
      <c r="HV9" s="2"/>
      <c r="HW9" s="3" t="s">
        <v>809</v>
      </c>
      <c r="HX9" s="2"/>
      <c r="HY9" s="2"/>
      <c r="HZ9" s="2"/>
      <c r="IA9" s="3" t="s">
        <v>809</v>
      </c>
      <c r="IB9" s="2"/>
      <c r="IC9" s="2"/>
      <c r="ID9" s="2"/>
      <c r="IE9" s="3" t="s">
        <v>1789</v>
      </c>
      <c r="IF9" s="2"/>
      <c r="IG9" s="2"/>
      <c r="IH9" s="2"/>
      <c r="II9" s="3" t="s">
        <v>1789</v>
      </c>
      <c r="IJ9" s="2"/>
      <c r="IK9" s="2"/>
      <c r="IL9" s="2"/>
      <c r="IM9" s="2"/>
      <c r="IN9" s="3" t="s">
        <v>809</v>
      </c>
      <c r="IO9" s="2"/>
      <c r="IP9" s="2"/>
      <c r="IQ9" s="2"/>
      <c r="IR9" s="3" t="s">
        <v>809</v>
      </c>
      <c r="IS9" s="2"/>
      <c r="IT9" s="2"/>
      <c r="IU9" s="2"/>
      <c r="IV9" s="3" t="s">
        <v>809</v>
      </c>
      <c r="IW9" s="2"/>
      <c r="IX9" s="2"/>
      <c r="IY9" s="2"/>
      <c r="IZ9" s="3" t="s">
        <v>809</v>
      </c>
      <c r="JA9" s="2"/>
      <c r="JB9" s="2"/>
      <c r="JC9" s="2"/>
      <c r="JD9" s="3" t="s">
        <v>809</v>
      </c>
      <c r="JE9" s="2"/>
      <c r="JF9" s="2"/>
      <c r="JG9" s="2"/>
      <c r="JH9" s="3" t="s">
        <v>809</v>
      </c>
      <c r="JI9" s="2"/>
      <c r="JJ9" s="2"/>
      <c r="JK9" s="2"/>
      <c r="JL9" s="3" t="s">
        <v>809</v>
      </c>
      <c r="JM9" s="2"/>
      <c r="JN9" s="2"/>
      <c r="JO9" s="2"/>
      <c r="JP9" s="3" t="s">
        <v>809</v>
      </c>
      <c r="JQ9" s="2"/>
      <c r="JR9" s="2"/>
      <c r="JS9" s="2"/>
      <c r="JT9" s="3" t="s">
        <v>809</v>
      </c>
      <c r="JU9" s="2"/>
      <c r="JV9" s="2"/>
      <c r="JW9" s="2"/>
      <c r="JX9" s="3" t="s">
        <v>809</v>
      </c>
      <c r="JY9" s="2"/>
      <c r="JZ9" s="2"/>
      <c r="KA9" s="2"/>
      <c r="KB9" s="3" t="s">
        <v>809</v>
      </c>
      <c r="KC9" s="2"/>
      <c r="KD9" s="2"/>
      <c r="KE9" s="2"/>
      <c r="KF9" s="3" t="s">
        <v>809</v>
      </c>
      <c r="KG9" s="2"/>
      <c r="KH9" s="2"/>
      <c r="KI9" s="2"/>
      <c r="KJ9" s="3" t="s">
        <v>809</v>
      </c>
      <c r="KK9" s="2"/>
      <c r="KL9" s="2"/>
      <c r="KM9" s="2"/>
      <c r="KN9" s="3" t="s">
        <v>809</v>
      </c>
      <c r="KO9" s="2"/>
      <c r="KP9" s="2"/>
      <c r="KQ9" s="2"/>
      <c r="KR9" s="3" t="s">
        <v>809</v>
      </c>
      <c r="KS9" s="2"/>
      <c r="KT9" s="2"/>
      <c r="KU9" s="2"/>
      <c r="KV9" s="3" t="s">
        <v>809</v>
      </c>
      <c r="KW9" s="2"/>
      <c r="KX9" s="2"/>
      <c r="KY9" s="2"/>
      <c r="KZ9" s="2"/>
      <c r="LA9" s="3" t="s">
        <v>1789</v>
      </c>
      <c r="LB9" s="2"/>
      <c r="LC9" s="2"/>
      <c r="LD9" s="2"/>
      <c r="LE9" s="2"/>
      <c r="LF9" s="25"/>
    </row>
    <row r="10" spans="1:318" x14ac:dyDescent="0.2">
      <c r="A10" s="326">
        <v>42646</v>
      </c>
      <c r="B10" s="26"/>
      <c r="C10" s="26"/>
      <c r="D10" s="26"/>
      <c r="E10" s="26"/>
      <c r="F10" s="26"/>
      <c r="G10" s="26"/>
      <c r="H10" s="26"/>
      <c r="I10" s="26"/>
      <c r="J10" s="26"/>
      <c r="K10" s="26"/>
      <c r="L10" s="26"/>
      <c r="M10" s="26"/>
      <c r="N10" s="26"/>
      <c r="O10" s="26"/>
      <c r="P10" s="26"/>
      <c r="Q10" s="26"/>
      <c r="R10" s="26"/>
      <c r="S10" s="26"/>
      <c r="T10" s="26"/>
      <c r="U10" s="26"/>
      <c r="V10" s="26"/>
      <c r="W10" s="26"/>
      <c r="X10" s="26"/>
      <c r="Y10" s="26"/>
      <c r="Z10" s="26"/>
      <c r="AA10" s="26"/>
      <c r="AB10" s="26"/>
      <c r="AC10" s="26"/>
      <c r="AD10" s="26"/>
      <c r="AE10" s="26"/>
      <c r="AF10" s="26"/>
      <c r="AG10" s="26"/>
      <c r="AH10" s="26"/>
      <c r="AI10" s="26"/>
      <c r="AJ10" s="26"/>
      <c r="AK10" s="26"/>
      <c r="AL10" s="26"/>
      <c r="AM10" s="26"/>
      <c r="AN10" s="26"/>
      <c r="AO10" s="26"/>
      <c r="AP10" s="26"/>
      <c r="AQ10" s="26"/>
      <c r="AR10" s="26"/>
      <c r="AS10" s="26"/>
      <c r="AT10" s="26"/>
      <c r="AU10" s="26"/>
      <c r="AV10" s="26"/>
      <c r="AW10" s="26"/>
      <c r="AX10" s="26"/>
      <c r="AY10" s="26"/>
      <c r="AZ10" s="26"/>
      <c r="BA10" s="26"/>
      <c r="BB10" s="26"/>
      <c r="BC10" s="26"/>
      <c r="BD10" s="26"/>
      <c r="BE10" s="26"/>
      <c r="BF10" s="26"/>
      <c r="BG10" s="26"/>
      <c r="BH10" s="26"/>
      <c r="BI10" s="26"/>
      <c r="BJ10" s="26"/>
      <c r="BK10" s="26"/>
      <c r="BL10" s="26"/>
      <c r="BM10" s="26"/>
      <c r="BN10" s="26"/>
      <c r="BO10" s="26"/>
      <c r="BP10" s="26"/>
      <c r="BQ10" s="26"/>
      <c r="BR10" s="26"/>
      <c r="BS10" s="26"/>
      <c r="BT10" s="26"/>
      <c r="BU10" s="26"/>
      <c r="BV10" s="26"/>
      <c r="BW10" s="26"/>
      <c r="BX10" s="26"/>
      <c r="BY10" s="26"/>
      <c r="BZ10" s="26"/>
      <c r="CA10" s="26"/>
      <c r="CB10" s="26"/>
      <c r="CC10" s="26"/>
      <c r="CD10" s="26"/>
      <c r="CE10" s="26"/>
      <c r="CF10" s="26"/>
      <c r="CG10" s="26"/>
      <c r="CH10" s="26"/>
      <c r="CI10" s="26"/>
      <c r="CJ10" s="26"/>
      <c r="CK10" s="26"/>
      <c r="CL10" s="26"/>
      <c r="CM10" s="26"/>
      <c r="CN10" s="26"/>
      <c r="CO10" s="26"/>
      <c r="CP10" s="26"/>
      <c r="CQ10" s="26"/>
      <c r="CR10" s="26"/>
      <c r="CS10" s="26"/>
      <c r="CT10" s="26"/>
      <c r="CU10" s="26"/>
      <c r="CV10" s="26"/>
      <c r="CW10" s="26"/>
      <c r="CX10" s="26"/>
      <c r="CY10" s="26"/>
      <c r="CZ10" s="26"/>
      <c r="DA10" s="26"/>
      <c r="DB10" s="26"/>
      <c r="DC10" s="26">
        <v>31</v>
      </c>
      <c r="DD10" s="26">
        <v>31</v>
      </c>
      <c r="DE10" s="26">
        <v>31</v>
      </c>
      <c r="DF10" s="26">
        <v>31</v>
      </c>
      <c r="DG10" s="26"/>
      <c r="DH10" s="26"/>
      <c r="DI10" s="26"/>
      <c r="DJ10" s="26"/>
      <c r="DK10" s="26"/>
      <c r="DL10" s="26"/>
      <c r="DM10" s="26"/>
      <c r="DN10" s="26"/>
      <c r="DO10" s="26"/>
      <c r="DP10" s="26"/>
      <c r="DQ10" s="26"/>
      <c r="DR10" s="26"/>
      <c r="DS10" s="26"/>
      <c r="DT10" s="26"/>
      <c r="DU10" s="26"/>
      <c r="DV10" s="26"/>
      <c r="DW10" s="26"/>
      <c r="DX10" s="26"/>
      <c r="DY10" s="26"/>
      <c r="DZ10" s="26"/>
      <c r="EA10" s="26"/>
      <c r="EB10" s="26"/>
      <c r="EC10" s="26"/>
      <c r="ED10" s="26"/>
      <c r="EE10" s="26"/>
      <c r="EF10" s="26"/>
      <c r="EG10" s="26"/>
      <c r="EH10" s="26"/>
      <c r="EI10" s="26"/>
      <c r="EJ10" s="26"/>
      <c r="EK10" s="26"/>
      <c r="EL10" s="26"/>
      <c r="EM10" s="26"/>
      <c r="EN10" s="26"/>
      <c r="EO10" s="26"/>
      <c r="EP10" s="26"/>
      <c r="EQ10" s="26"/>
      <c r="ER10" s="26"/>
      <c r="ES10" s="26"/>
      <c r="ET10" s="26"/>
      <c r="EU10" s="26"/>
      <c r="EV10" s="26"/>
      <c r="EW10" s="26"/>
      <c r="EX10" s="26"/>
      <c r="EY10" s="26"/>
      <c r="EZ10" s="26"/>
      <c r="FA10" s="26"/>
      <c r="FB10" s="26"/>
      <c r="FC10" s="26"/>
      <c r="FD10" s="26"/>
      <c r="FE10" s="26"/>
      <c r="FF10" s="26"/>
      <c r="FG10" s="26"/>
      <c r="FH10" s="26"/>
      <c r="FI10" s="26"/>
      <c r="FJ10" s="26"/>
      <c r="FK10" s="26"/>
      <c r="FL10" s="26"/>
      <c r="FM10" s="26"/>
      <c r="FN10" s="26"/>
      <c r="FO10" s="26"/>
      <c r="FP10" s="26"/>
      <c r="FQ10" s="26"/>
      <c r="FR10" s="26"/>
      <c r="FS10" s="26"/>
      <c r="FT10" s="26"/>
      <c r="FU10" s="26"/>
      <c r="FV10" s="26"/>
      <c r="FW10" s="26"/>
      <c r="FX10" s="26"/>
      <c r="FY10" s="26"/>
      <c r="FZ10" s="26"/>
      <c r="GA10" s="26"/>
      <c r="GB10" s="26"/>
      <c r="GC10" s="26"/>
      <c r="GD10" s="26"/>
      <c r="GE10" s="26"/>
      <c r="GF10" s="26"/>
      <c r="GG10" s="26"/>
      <c r="GH10" s="26"/>
      <c r="GI10" s="26"/>
      <c r="GJ10" s="26"/>
      <c r="GK10" s="26"/>
      <c r="GL10" s="26"/>
      <c r="GM10" s="26"/>
      <c r="GN10" s="26"/>
      <c r="GO10" s="26"/>
      <c r="GP10" s="26"/>
      <c r="GQ10" s="26"/>
      <c r="GR10" s="26"/>
      <c r="GS10" s="26"/>
      <c r="GT10" s="26"/>
      <c r="GU10" s="26"/>
      <c r="GV10" s="26"/>
      <c r="GW10" s="26"/>
      <c r="GX10" s="26"/>
      <c r="GY10" s="26"/>
      <c r="GZ10" s="26"/>
      <c r="HA10" s="26"/>
      <c r="HB10" s="26"/>
      <c r="HC10" s="26"/>
      <c r="HD10" s="26"/>
      <c r="HE10" s="26"/>
      <c r="HF10" s="26"/>
      <c r="HG10" s="26"/>
      <c r="HH10" s="26"/>
      <c r="HI10" s="26"/>
      <c r="HJ10" s="26"/>
      <c r="HK10" s="26"/>
      <c r="HL10" s="26"/>
      <c r="HM10" s="26"/>
      <c r="HN10" s="26"/>
      <c r="HO10" s="26"/>
      <c r="HP10" s="26"/>
      <c r="HQ10" s="26"/>
      <c r="HR10" s="26"/>
      <c r="HS10" s="26"/>
      <c r="HT10" s="26"/>
      <c r="HU10" s="26"/>
      <c r="HV10" s="26"/>
      <c r="HW10" s="26"/>
      <c r="HX10" s="26"/>
      <c r="HY10" s="26"/>
      <c r="HZ10" s="26"/>
      <c r="IA10" s="26">
        <v>15</v>
      </c>
      <c r="IB10" s="26">
        <v>15</v>
      </c>
      <c r="IC10" s="26">
        <v>15</v>
      </c>
      <c r="ID10" s="26">
        <v>15</v>
      </c>
      <c r="IE10" s="26"/>
      <c r="IF10" s="26"/>
      <c r="IG10" s="26"/>
      <c r="IH10" s="26"/>
      <c r="II10" s="26"/>
      <c r="IJ10" s="26"/>
      <c r="IK10" s="26"/>
      <c r="IL10" s="26"/>
      <c r="IM10" s="26">
        <v>46</v>
      </c>
      <c r="IN10" s="26"/>
      <c r="IO10" s="26"/>
      <c r="IP10" s="26"/>
      <c r="IQ10" s="26"/>
      <c r="IR10" s="26"/>
      <c r="IS10" s="26"/>
      <c r="IT10" s="26"/>
      <c r="IU10" s="26"/>
      <c r="IV10" s="26"/>
      <c r="IW10" s="26"/>
      <c r="IX10" s="26"/>
      <c r="IY10" s="26"/>
      <c r="IZ10" s="26"/>
      <c r="JA10" s="26"/>
      <c r="JB10" s="26"/>
      <c r="JC10" s="26"/>
      <c r="JD10" s="26"/>
      <c r="JE10" s="26"/>
      <c r="JF10" s="26"/>
      <c r="JG10" s="26"/>
      <c r="JH10" s="26"/>
      <c r="JI10" s="26"/>
      <c r="JJ10" s="26"/>
      <c r="JK10" s="26"/>
      <c r="JL10" s="26"/>
      <c r="JM10" s="26"/>
      <c r="JN10" s="26"/>
      <c r="JO10" s="26"/>
      <c r="JP10" s="26"/>
      <c r="JQ10" s="26"/>
      <c r="JR10" s="26"/>
      <c r="JS10" s="26"/>
      <c r="JT10" s="26"/>
      <c r="JU10" s="26"/>
      <c r="JV10" s="26"/>
      <c r="JW10" s="26"/>
      <c r="JX10" s="26"/>
      <c r="JY10" s="26"/>
      <c r="JZ10" s="26"/>
      <c r="KA10" s="26"/>
      <c r="KB10" s="26"/>
      <c r="KC10" s="26"/>
      <c r="KD10" s="26"/>
      <c r="KE10" s="26"/>
      <c r="KF10" s="26"/>
      <c r="KG10" s="26"/>
      <c r="KH10" s="26"/>
      <c r="KI10" s="26"/>
      <c r="KJ10" s="26">
        <v>1</v>
      </c>
      <c r="KK10" s="26">
        <v>1</v>
      </c>
      <c r="KL10" s="26">
        <v>1</v>
      </c>
      <c r="KM10" s="26">
        <v>1</v>
      </c>
      <c r="KN10" s="26"/>
      <c r="KO10" s="26"/>
      <c r="KP10" s="26"/>
      <c r="KQ10" s="26"/>
      <c r="KR10" s="26"/>
      <c r="KS10" s="26"/>
      <c r="KT10" s="26"/>
      <c r="KU10" s="26"/>
      <c r="KV10" s="26"/>
      <c r="KW10" s="26"/>
      <c r="KX10" s="26"/>
      <c r="KY10" s="26"/>
      <c r="KZ10" s="26">
        <v>1</v>
      </c>
      <c r="LA10" s="26"/>
      <c r="LB10" s="26"/>
      <c r="LC10" s="26"/>
      <c r="LD10" s="26"/>
      <c r="LE10" s="26"/>
      <c r="LF10" s="13">
        <v>47</v>
      </c>
    </row>
    <row r="11" spans="1:318" x14ac:dyDescent="0.2">
      <c r="A11" s="327">
        <v>42647</v>
      </c>
      <c r="B11" s="322"/>
      <c r="C11" s="322"/>
      <c r="D11" s="322"/>
      <c r="E11" s="322"/>
      <c r="F11" s="322"/>
      <c r="G11" s="322"/>
      <c r="H11" s="322"/>
      <c r="I11" s="322"/>
      <c r="J11" s="322"/>
      <c r="K11" s="322"/>
      <c r="L11" s="322"/>
      <c r="M11" s="322"/>
      <c r="N11" s="322"/>
      <c r="O11" s="322"/>
      <c r="P11" s="322"/>
      <c r="Q11" s="322"/>
      <c r="R11" s="322"/>
      <c r="S11" s="322"/>
      <c r="T11" s="322"/>
      <c r="U11" s="322"/>
      <c r="V11" s="322"/>
      <c r="W11" s="322"/>
      <c r="X11" s="322"/>
      <c r="Y11" s="322"/>
      <c r="Z11" s="322"/>
      <c r="AA11" s="322"/>
      <c r="AB11" s="322"/>
      <c r="AC11" s="322"/>
      <c r="AD11" s="322"/>
      <c r="AE11" s="322"/>
      <c r="AF11" s="322"/>
      <c r="AG11" s="322"/>
      <c r="AH11" s="322"/>
      <c r="AI11" s="322"/>
      <c r="AJ11" s="322"/>
      <c r="AK11" s="322"/>
      <c r="AL11" s="322"/>
      <c r="AM11" s="322"/>
      <c r="AN11" s="322"/>
      <c r="AO11" s="322"/>
      <c r="AP11" s="322"/>
      <c r="AQ11" s="322"/>
      <c r="AR11" s="322"/>
      <c r="AS11" s="322"/>
      <c r="AT11" s="322"/>
      <c r="AU11" s="322"/>
      <c r="AV11" s="322"/>
      <c r="AW11" s="322"/>
      <c r="AX11" s="322"/>
      <c r="AY11" s="322"/>
      <c r="AZ11" s="322"/>
      <c r="BA11" s="322"/>
      <c r="BB11" s="322"/>
      <c r="BC11" s="322"/>
      <c r="BD11" s="322"/>
      <c r="BE11" s="322"/>
      <c r="BF11" s="322"/>
      <c r="BG11" s="322"/>
      <c r="BH11" s="322"/>
      <c r="BI11" s="322"/>
      <c r="BJ11" s="322"/>
      <c r="BK11" s="322"/>
      <c r="BL11" s="322"/>
      <c r="BM11" s="322"/>
      <c r="BN11" s="322"/>
      <c r="BO11" s="322"/>
      <c r="BP11" s="322"/>
      <c r="BQ11" s="322"/>
      <c r="BR11" s="322"/>
      <c r="BS11" s="322"/>
      <c r="BT11" s="322"/>
      <c r="BU11" s="322"/>
      <c r="BV11" s="322">
        <v>3</v>
      </c>
      <c r="BW11" s="322">
        <v>3</v>
      </c>
      <c r="BX11" s="322">
        <v>3</v>
      </c>
      <c r="BY11" s="322">
        <v>3</v>
      </c>
      <c r="BZ11" s="322"/>
      <c r="CA11" s="322"/>
      <c r="CB11" s="322"/>
      <c r="CC11" s="322"/>
      <c r="CD11" s="322"/>
      <c r="CE11" s="322"/>
      <c r="CF11" s="322"/>
      <c r="CG11" s="322"/>
      <c r="CH11" s="322"/>
      <c r="CI11" s="322"/>
      <c r="CJ11" s="322"/>
      <c r="CK11" s="322"/>
      <c r="CL11" s="322">
        <v>3</v>
      </c>
      <c r="CM11" s="322">
        <v>3</v>
      </c>
      <c r="CN11" s="322">
        <v>3</v>
      </c>
      <c r="CO11" s="322">
        <v>3</v>
      </c>
      <c r="CP11" s="322"/>
      <c r="CQ11" s="322"/>
      <c r="CR11" s="322"/>
      <c r="CS11" s="322"/>
      <c r="CT11" s="322">
        <v>1</v>
      </c>
      <c r="CU11" s="322">
        <v>1</v>
      </c>
      <c r="CV11" s="322">
        <v>1</v>
      </c>
      <c r="CW11" s="322">
        <v>1</v>
      </c>
      <c r="CX11" s="322"/>
      <c r="CY11" s="322"/>
      <c r="CZ11" s="322"/>
      <c r="DA11" s="322"/>
      <c r="DB11" s="322">
        <v>7</v>
      </c>
      <c r="DC11" s="322">
        <v>79</v>
      </c>
      <c r="DD11" s="322">
        <v>79</v>
      </c>
      <c r="DE11" s="322">
        <v>79</v>
      </c>
      <c r="DF11" s="322">
        <v>79</v>
      </c>
      <c r="DG11" s="322">
        <v>4</v>
      </c>
      <c r="DH11" s="322">
        <v>4</v>
      </c>
      <c r="DI11" s="322">
        <v>4</v>
      </c>
      <c r="DJ11" s="322">
        <v>4</v>
      </c>
      <c r="DK11" s="322">
        <v>2</v>
      </c>
      <c r="DL11" s="322">
        <v>2</v>
      </c>
      <c r="DM11" s="322">
        <v>2</v>
      </c>
      <c r="DN11" s="322">
        <v>2</v>
      </c>
      <c r="DO11" s="322"/>
      <c r="DP11" s="322"/>
      <c r="DQ11" s="322"/>
      <c r="DR11" s="322"/>
      <c r="DS11" s="322"/>
      <c r="DT11" s="322"/>
      <c r="DU11" s="322"/>
      <c r="DV11" s="322"/>
      <c r="DW11" s="322"/>
      <c r="DX11" s="322"/>
      <c r="DY11" s="322"/>
      <c r="DZ11" s="322"/>
      <c r="EA11" s="322"/>
      <c r="EB11" s="322"/>
      <c r="EC11" s="322"/>
      <c r="ED11" s="322"/>
      <c r="EE11" s="322">
        <v>1</v>
      </c>
      <c r="EF11" s="322">
        <v>1</v>
      </c>
      <c r="EG11" s="322">
        <v>1</v>
      </c>
      <c r="EH11" s="322">
        <v>1</v>
      </c>
      <c r="EI11" s="322"/>
      <c r="EJ11" s="322"/>
      <c r="EK11" s="322"/>
      <c r="EL11" s="322"/>
      <c r="EM11" s="322"/>
      <c r="EN11" s="322"/>
      <c r="EO11" s="322"/>
      <c r="EP11" s="322"/>
      <c r="EQ11" s="322"/>
      <c r="ER11" s="322"/>
      <c r="ES11" s="322"/>
      <c r="ET11" s="322"/>
      <c r="EU11" s="322"/>
      <c r="EV11" s="322"/>
      <c r="EW11" s="322"/>
      <c r="EX11" s="322"/>
      <c r="EY11" s="322"/>
      <c r="EZ11" s="322"/>
      <c r="FA11" s="322"/>
      <c r="FB11" s="322"/>
      <c r="FC11" s="322">
        <v>1</v>
      </c>
      <c r="FD11" s="322">
        <v>1</v>
      </c>
      <c r="FE11" s="322">
        <v>1</v>
      </c>
      <c r="FF11" s="322">
        <v>1</v>
      </c>
      <c r="FG11" s="322"/>
      <c r="FH11" s="322"/>
      <c r="FI11" s="322"/>
      <c r="FJ11" s="322"/>
      <c r="FK11" s="322"/>
      <c r="FL11" s="322"/>
      <c r="FM11" s="322"/>
      <c r="FN11" s="322"/>
      <c r="FO11" s="322"/>
      <c r="FP11" s="322"/>
      <c r="FQ11" s="322"/>
      <c r="FR11" s="322"/>
      <c r="FS11" s="322"/>
      <c r="FT11" s="322"/>
      <c r="FU11" s="322"/>
      <c r="FV11" s="322"/>
      <c r="FW11" s="322"/>
      <c r="FX11" s="322"/>
      <c r="FY11" s="322"/>
      <c r="FZ11" s="322"/>
      <c r="GA11" s="322"/>
      <c r="GB11" s="322"/>
      <c r="GC11" s="322"/>
      <c r="GD11" s="322"/>
      <c r="GE11" s="322">
        <v>1</v>
      </c>
      <c r="GF11" s="322">
        <v>1</v>
      </c>
      <c r="GG11" s="322">
        <v>1</v>
      </c>
      <c r="GH11" s="322">
        <v>1</v>
      </c>
      <c r="GI11" s="322"/>
      <c r="GJ11" s="322"/>
      <c r="GK11" s="322"/>
      <c r="GL11" s="322"/>
      <c r="GM11" s="322">
        <v>1</v>
      </c>
      <c r="GN11" s="322">
        <v>1</v>
      </c>
      <c r="GO11" s="322">
        <v>1</v>
      </c>
      <c r="GP11" s="322">
        <v>1</v>
      </c>
      <c r="GQ11" s="322"/>
      <c r="GR11" s="322"/>
      <c r="GS11" s="322"/>
      <c r="GT11" s="322"/>
      <c r="GU11" s="322"/>
      <c r="GV11" s="322"/>
      <c r="GW11" s="322"/>
      <c r="GX11" s="322"/>
      <c r="GY11" s="322"/>
      <c r="GZ11" s="322"/>
      <c r="HA11" s="322"/>
      <c r="HB11" s="322"/>
      <c r="HC11" s="322">
        <v>3</v>
      </c>
      <c r="HD11" s="322">
        <v>3</v>
      </c>
      <c r="HE11" s="322">
        <v>3</v>
      </c>
      <c r="HF11" s="322">
        <v>3</v>
      </c>
      <c r="HG11" s="322"/>
      <c r="HH11" s="322"/>
      <c r="HI11" s="322"/>
      <c r="HJ11" s="322"/>
      <c r="HK11" s="322"/>
      <c r="HL11" s="322"/>
      <c r="HM11" s="322"/>
      <c r="HN11" s="322"/>
      <c r="HO11" s="322"/>
      <c r="HP11" s="322"/>
      <c r="HQ11" s="322"/>
      <c r="HR11" s="322"/>
      <c r="HS11" s="322"/>
      <c r="HT11" s="322"/>
      <c r="HU11" s="322"/>
      <c r="HV11" s="322"/>
      <c r="HW11" s="322">
        <v>1</v>
      </c>
      <c r="HX11" s="322">
        <v>1</v>
      </c>
      <c r="HY11" s="322">
        <v>1</v>
      </c>
      <c r="HZ11" s="322">
        <v>1</v>
      </c>
      <c r="IA11" s="322">
        <v>26</v>
      </c>
      <c r="IB11" s="322">
        <v>26</v>
      </c>
      <c r="IC11" s="322">
        <v>26</v>
      </c>
      <c r="ID11" s="322">
        <v>26</v>
      </c>
      <c r="IE11" s="322"/>
      <c r="IF11" s="322"/>
      <c r="IG11" s="322"/>
      <c r="IH11" s="322"/>
      <c r="II11" s="322"/>
      <c r="IJ11" s="322"/>
      <c r="IK11" s="322"/>
      <c r="IL11" s="322"/>
      <c r="IM11" s="322">
        <v>119</v>
      </c>
      <c r="IN11" s="322">
        <v>3</v>
      </c>
      <c r="IO11" s="322">
        <v>3</v>
      </c>
      <c r="IP11" s="322">
        <v>3</v>
      </c>
      <c r="IQ11" s="322">
        <v>3</v>
      </c>
      <c r="IR11" s="322">
        <v>1</v>
      </c>
      <c r="IS11" s="322">
        <v>1</v>
      </c>
      <c r="IT11" s="322">
        <v>1</v>
      </c>
      <c r="IU11" s="322">
        <v>1</v>
      </c>
      <c r="IV11" s="322"/>
      <c r="IW11" s="322"/>
      <c r="IX11" s="322"/>
      <c r="IY11" s="322"/>
      <c r="IZ11" s="322"/>
      <c r="JA11" s="322"/>
      <c r="JB11" s="322"/>
      <c r="JC11" s="322"/>
      <c r="JD11" s="322"/>
      <c r="JE11" s="322"/>
      <c r="JF11" s="322"/>
      <c r="JG11" s="322"/>
      <c r="JH11" s="322">
        <v>4</v>
      </c>
      <c r="JI11" s="322">
        <v>4</v>
      </c>
      <c r="JJ11" s="322">
        <v>4</v>
      </c>
      <c r="JK11" s="322">
        <v>4</v>
      </c>
      <c r="JL11" s="322"/>
      <c r="JM11" s="322"/>
      <c r="JN11" s="322"/>
      <c r="JO11" s="322"/>
      <c r="JP11" s="322"/>
      <c r="JQ11" s="322"/>
      <c r="JR11" s="322"/>
      <c r="JS11" s="322"/>
      <c r="JT11" s="322"/>
      <c r="JU11" s="322"/>
      <c r="JV11" s="322"/>
      <c r="JW11" s="322"/>
      <c r="JX11" s="322">
        <v>2</v>
      </c>
      <c r="JY11" s="322">
        <v>2</v>
      </c>
      <c r="JZ11" s="322">
        <v>2</v>
      </c>
      <c r="KA11" s="322">
        <v>2</v>
      </c>
      <c r="KB11" s="322"/>
      <c r="KC11" s="322"/>
      <c r="KD11" s="322"/>
      <c r="KE11" s="322"/>
      <c r="KF11" s="322">
        <v>1</v>
      </c>
      <c r="KG11" s="322">
        <v>1</v>
      </c>
      <c r="KH11" s="322">
        <v>1</v>
      </c>
      <c r="KI11" s="322">
        <v>1</v>
      </c>
      <c r="KJ11" s="322"/>
      <c r="KK11" s="322"/>
      <c r="KL11" s="322"/>
      <c r="KM11" s="322"/>
      <c r="KN11" s="322">
        <v>2</v>
      </c>
      <c r="KO11" s="322">
        <v>2</v>
      </c>
      <c r="KP11" s="322">
        <v>2</v>
      </c>
      <c r="KQ11" s="322">
        <v>2</v>
      </c>
      <c r="KR11" s="322"/>
      <c r="KS11" s="322"/>
      <c r="KT11" s="322"/>
      <c r="KU11" s="322"/>
      <c r="KV11" s="322"/>
      <c r="KW11" s="322"/>
      <c r="KX11" s="322"/>
      <c r="KY11" s="322"/>
      <c r="KZ11" s="322">
        <v>13</v>
      </c>
      <c r="LA11" s="322"/>
      <c r="LB11" s="322"/>
      <c r="LC11" s="322"/>
      <c r="LD11" s="322"/>
      <c r="LE11" s="322"/>
      <c r="LF11" s="324">
        <v>139</v>
      </c>
    </row>
    <row r="12" spans="1:318" x14ac:dyDescent="0.2">
      <c r="A12" s="327">
        <v>42648</v>
      </c>
      <c r="B12" s="322"/>
      <c r="C12" s="322"/>
      <c r="D12" s="322"/>
      <c r="E12" s="322"/>
      <c r="F12" s="322"/>
      <c r="G12" s="322"/>
      <c r="H12" s="322"/>
      <c r="I12" s="322"/>
      <c r="J12" s="322"/>
      <c r="K12" s="322"/>
      <c r="L12" s="322"/>
      <c r="M12" s="322"/>
      <c r="N12" s="322"/>
      <c r="O12" s="322"/>
      <c r="P12" s="322"/>
      <c r="Q12" s="322"/>
      <c r="R12" s="322"/>
      <c r="S12" s="322"/>
      <c r="T12" s="322"/>
      <c r="U12" s="322"/>
      <c r="V12" s="322"/>
      <c r="W12" s="322"/>
      <c r="X12" s="322"/>
      <c r="Y12" s="322"/>
      <c r="Z12" s="322"/>
      <c r="AA12" s="322"/>
      <c r="AB12" s="322"/>
      <c r="AC12" s="322"/>
      <c r="AD12" s="322"/>
      <c r="AE12" s="322"/>
      <c r="AF12" s="322"/>
      <c r="AG12" s="322"/>
      <c r="AH12" s="322"/>
      <c r="AI12" s="322"/>
      <c r="AJ12" s="322"/>
      <c r="AK12" s="322"/>
      <c r="AL12" s="322"/>
      <c r="AM12" s="322"/>
      <c r="AN12" s="322"/>
      <c r="AO12" s="322"/>
      <c r="AP12" s="322"/>
      <c r="AQ12" s="322"/>
      <c r="AR12" s="322"/>
      <c r="AS12" s="322"/>
      <c r="AT12" s="322"/>
      <c r="AU12" s="322"/>
      <c r="AV12" s="322"/>
      <c r="AW12" s="322"/>
      <c r="AX12" s="322"/>
      <c r="AY12" s="322"/>
      <c r="AZ12" s="322"/>
      <c r="BA12" s="322"/>
      <c r="BB12" s="322">
        <v>3</v>
      </c>
      <c r="BC12" s="322">
        <v>3</v>
      </c>
      <c r="BD12" s="322">
        <v>3</v>
      </c>
      <c r="BE12" s="322">
        <v>3</v>
      </c>
      <c r="BF12" s="322"/>
      <c r="BG12" s="322"/>
      <c r="BH12" s="322"/>
      <c r="BI12" s="322"/>
      <c r="BJ12" s="322">
        <v>2</v>
      </c>
      <c r="BK12" s="322">
        <v>2</v>
      </c>
      <c r="BL12" s="322">
        <v>2</v>
      </c>
      <c r="BM12" s="322">
        <v>2</v>
      </c>
      <c r="BN12" s="322"/>
      <c r="BO12" s="322"/>
      <c r="BP12" s="322"/>
      <c r="BQ12" s="322"/>
      <c r="BR12" s="322"/>
      <c r="BS12" s="322"/>
      <c r="BT12" s="322"/>
      <c r="BU12" s="322"/>
      <c r="BV12" s="322">
        <v>1</v>
      </c>
      <c r="BW12" s="322">
        <v>1</v>
      </c>
      <c r="BX12" s="322">
        <v>1</v>
      </c>
      <c r="BY12" s="322">
        <v>1</v>
      </c>
      <c r="BZ12" s="322"/>
      <c r="CA12" s="322"/>
      <c r="CB12" s="322"/>
      <c r="CC12" s="322"/>
      <c r="CD12" s="322">
        <v>1</v>
      </c>
      <c r="CE12" s="322">
        <v>1</v>
      </c>
      <c r="CF12" s="322">
        <v>1</v>
      </c>
      <c r="CG12" s="322">
        <v>1</v>
      </c>
      <c r="CH12" s="322"/>
      <c r="CI12" s="322"/>
      <c r="CJ12" s="322"/>
      <c r="CK12" s="322"/>
      <c r="CL12" s="322">
        <v>41</v>
      </c>
      <c r="CM12" s="322">
        <v>41</v>
      </c>
      <c r="CN12" s="322">
        <v>41</v>
      </c>
      <c r="CO12" s="322">
        <v>41</v>
      </c>
      <c r="CP12" s="322"/>
      <c r="CQ12" s="322"/>
      <c r="CR12" s="322"/>
      <c r="CS12" s="322"/>
      <c r="CT12" s="322"/>
      <c r="CU12" s="322"/>
      <c r="CV12" s="322"/>
      <c r="CW12" s="322"/>
      <c r="CX12" s="322">
        <v>2</v>
      </c>
      <c r="CY12" s="322">
        <v>2</v>
      </c>
      <c r="CZ12" s="322">
        <v>2</v>
      </c>
      <c r="DA12" s="322">
        <v>2</v>
      </c>
      <c r="DB12" s="322">
        <v>50</v>
      </c>
      <c r="DC12" s="322">
        <v>80</v>
      </c>
      <c r="DD12" s="322">
        <v>80</v>
      </c>
      <c r="DE12" s="322">
        <v>80</v>
      </c>
      <c r="DF12" s="322">
        <v>80</v>
      </c>
      <c r="DG12" s="322"/>
      <c r="DH12" s="322"/>
      <c r="DI12" s="322"/>
      <c r="DJ12" s="322"/>
      <c r="DK12" s="322"/>
      <c r="DL12" s="322"/>
      <c r="DM12" s="322"/>
      <c r="DN12" s="322"/>
      <c r="DO12" s="322"/>
      <c r="DP12" s="322"/>
      <c r="DQ12" s="322"/>
      <c r="DR12" s="322"/>
      <c r="DS12" s="322"/>
      <c r="DT12" s="322"/>
      <c r="DU12" s="322"/>
      <c r="DV12" s="322"/>
      <c r="DW12" s="322"/>
      <c r="DX12" s="322"/>
      <c r="DY12" s="322"/>
      <c r="DZ12" s="322"/>
      <c r="EA12" s="322"/>
      <c r="EB12" s="322"/>
      <c r="EC12" s="322"/>
      <c r="ED12" s="322"/>
      <c r="EE12" s="322">
        <v>74</v>
      </c>
      <c r="EF12" s="322">
        <v>74</v>
      </c>
      <c r="EG12" s="322">
        <v>74</v>
      </c>
      <c r="EH12" s="322">
        <v>74</v>
      </c>
      <c r="EI12" s="322"/>
      <c r="EJ12" s="322"/>
      <c r="EK12" s="322"/>
      <c r="EL12" s="322"/>
      <c r="EM12" s="322"/>
      <c r="EN12" s="322"/>
      <c r="EO12" s="322"/>
      <c r="EP12" s="322"/>
      <c r="EQ12" s="322"/>
      <c r="ER12" s="322"/>
      <c r="ES12" s="322"/>
      <c r="ET12" s="322"/>
      <c r="EU12" s="322"/>
      <c r="EV12" s="322"/>
      <c r="EW12" s="322"/>
      <c r="EX12" s="322"/>
      <c r="EY12" s="322"/>
      <c r="EZ12" s="322"/>
      <c r="FA12" s="322"/>
      <c r="FB12" s="322"/>
      <c r="FC12" s="322"/>
      <c r="FD12" s="322"/>
      <c r="FE12" s="322"/>
      <c r="FF12" s="322"/>
      <c r="FG12" s="322"/>
      <c r="FH12" s="322"/>
      <c r="FI12" s="322"/>
      <c r="FJ12" s="322"/>
      <c r="FK12" s="322"/>
      <c r="FL12" s="322"/>
      <c r="FM12" s="322"/>
      <c r="FN12" s="322"/>
      <c r="FO12" s="322"/>
      <c r="FP12" s="322"/>
      <c r="FQ12" s="322"/>
      <c r="FR12" s="322"/>
      <c r="FS12" s="322"/>
      <c r="FT12" s="322"/>
      <c r="FU12" s="322"/>
      <c r="FV12" s="322"/>
      <c r="FW12" s="322"/>
      <c r="FX12" s="322"/>
      <c r="FY12" s="322"/>
      <c r="FZ12" s="322"/>
      <c r="GA12" s="322"/>
      <c r="GB12" s="322"/>
      <c r="GC12" s="322"/>
      <c r="GD12" s="322"/>
      <c r="GE12" s="322">
        <v>2</v>
      </c>
      <c r="GF12" s="322">
        <v>2</v>
      </c>
      <c r="GG12" s="322">
        <v>2</v>
      </c>
      <c r="GH12" s="322">
        <v>2</v>
      </c>
      <c r="GI12" s="322"/>
      <c r="GJ12" s="322"/>
      <c r="GK12" s="322"/>
      <c r="GL12" s="322"/>
      <c r="GM12" s="322">
        <v>2</v>
      </c>
      <c r="GN12" s="322">
        <v>2</v>
      </c>
      <c r="GO12" s="322">
        <v>2</v>
      </c>
      <c r="GP12" s="322">
        <v>2</v>
      </c>
      <c r="GQ12" s="322">
        <v>8</v>
      </c>
      <c r="GR12" s="322">
        <v>8</v>
      </c>
      <c r="GS12" s="322">
        <v>8</v>
      </c>
      <c r="GT12" s="322">
        <v>8</v>
      </c>
      <c r="GU12" s="322">
        <v>8</v>
      </c>
      <c r="GV12" s="322">
        <v>8</v>
      </c>
      <c r="GW12" s="322">
        <v>8</v>
      </c>
      <c r="GX12" s="322">
        <v>8</v>
      </c>
      <c r="GY12" s="322">
        <v>3</v>
      </c>
      <c r="GZ12" s="322">
        <v>3</v>
      </c>
      <c r="HA12" s="322">
        <v>3</v>
      </c>
      <c r="HB12" s="322">
        <v>3</v>
      </c>
      <c r="HC12" s="322"/>
      <c r="HD12" s="322"/>
      <c r="HE12" s="322"/>
      <c r="HF12" s="322"/>
      <c r="HG12" s="322"/>
      <c r="HH12" s="322"/>
      <c r="HI12" s="322"/>
      <c r="HJ12" s="322"/>
      <c r="HK12" s="322"/>
      <c r="HL12" s="322"/>
      <c r="HM12" s="322"/>
      <c r="HN12" s="322"/>
      <c r="HO12" s="322"/>
      <c r="HP12" s="322"/>
      <c r="HQ12" s="322"/>
      <c r="HR12" s="322"/>
      <c r="HS12" s="322"/>
      <c r="HT12" s="322"/>
      <c r="HU12" s="322"/>
      <c r="HV12" s="322"/>
      <c r="HW12" s="322"/>
      <c r="HX12" s="322"/>
      <c r="HY12" s="322"/>
      <c r="HZ12" s="322"/>
      <c r="IA12" s="322">
        <v>28</v>
      </c>
      <c r="IB12" s="322">
        <v>28</v>
      </c>
      <c r="IC12" s="322">
        <v>28</v>
      </c>
      <c r="ID12" s="322">
        <v>28</v>
      </c>
      <c r="IE12" s="322"/>
      <c r="IF12" s="322"/>
      <c r="IG12" s="322"/>
      <c r="IH12" s="322"/>
      <c r="II12" s="322"/>
      <c r="IJ12" s="322"/>
      <c r="IK12" s="322"/>
      <c r="IL12" s="322"/>
      <c r="IM12" s="322">
        <v>205</v>
      </c>
      <c r="IN12" s="322">
        <v>4</v>
      </c>
      <c r="IO12" s="322">
        <v>4</v>
      </c>
      <c r="IP12" s="322">
        <v>4</v>
      </c>
      <c r="IQ12" s="322">
        <v>4</v>
      </c>
      <c r="IR12" s="322"/>
      <c r="IS12" s="322"/>
      <c r="IT12" s="322"/>
      <c r="IU12" s="322"/>
      <c r="IV12" s="322"/>
      <c r="IW12" s="322"/>
      <c r="IX12" s="322"/>
      <c r="IY12" s="322"/>
      <c r="IZ12" s="322">
        <v>3</v>
      </c>
      <c r="JA12" s="322">
        <v>3</v>
      </c>
      <c r="JB12" s="322">
        <v>3</v>
      </c>
      <c r="JC12" s="322">
        <v>3</v>
      </c>
      <c r="JD12" s="322"/>
      <c r="JE12" s="322"/>
      <c r="JF12" s="322"/>
      <c r="JG12" s="322"/>
      <c r="JH12" s="322">
        <v>4</v>
      </c>
      <c r="JI12" s="322">
        <v>4</v>
      </c>
      <c r="JJ12" s="322">
        <v>4</v>
      </c>
      <c r="JK12" s="322">
        <v>4</v>
      </c>
      <c r="JL12" s="322"/>
      <c r="JM12" s="322"/>
      <c r="JN12" s="322"/>
      <c r="JO12" s="322"/>
      <c r="JP12" s="322">
        <v>6</v>
      </c>
      <c r="JQ12" s="322">
        <v>6</v>
      </c>
      <c r="JR12" s="322">
        <v>6</v>
      </c>
      <c r="JS12" s="322">
        <v>6</v>
      </c>
      <c r="JT12" s="322"/>
      <c r="JU12" s="322"/>
      <c r="JV12" s="322"/>
      <c r="JW12" s="322"/>
      <c r="JX12" s="322"/>
      <c r="JY12" s="322"/>
      <c r="JZ12" s="322"/>
      <c r="KA12" s="322"/>
      <c r="KB12" s="322"/>
      <c r="KC12" s="322"/>
      <c r="KD12" s="322"/>
      <c r="KE12" s="322"/>
      <c r="KF12" s="322"/>
      <c r="KG12" s="322"/>
      <c r="KH12" s="322"/>
      <c r="KI12" s="322"/>
      <c r="KJ12" s="322"/>
      <c r="KK12" s="322"/>
      <c r="KL12" s="322"/>
      <c r="KM12" s="322"/>
      <c r="KN12" s="322"/>
      <c r="KO12" s="322"/>
      <c r="KP12" s="322"/>
      <c r="KQ12" s="322"/>
      <c r="KR12" s="322"/>
      <c r="KS12" s="322"/>
      <c r="KT12" s="322"/>
      <c r="KU12" s="322"/>
      <c r="KV12" s="322"/>
      <c r="KW12" s="322"/>
      <c r="KX12" s="322"/>
      <c r="KY12" s="322"/>
      <c r="KZ12" s="322">
        <v>17</v>
      </c>
      <c r="LA12" s="322"/>
      <c r="LB12" s="322"/>
      <c r="LC12" s="322"/>
      <c r="LD12" s="322"/>
      <c r="LE12" s="322"/>
      <c r="LF12" s="324">
        <v>272</v>
      </c>
    </row>
    <row r="13" spans="1:318" x14ac:dyDescent="0.2">
      <c r="A13" s="327">
        <v>42649</v>
      </c>
      <c r="B13" s="322"/>
      <c r="C13" s="322"/>
      <c r="D13" s="322"/>
      <c r="E13" s="322"/>
      <c r="F13" s="322"/>
      <c r="G13" s="322"/>
      <c r="H13" s="322"/>
      <c r="I13" s="322"/>
      <c r="J13" s="322"/>
      <c r="K13" s="322"/>
      <c r="L13" s="322"/>
      <c r="M13" s="322"/>
      <c r="N13" s="322"/>
      <c r="O13" s="322"/>
      <c r="P13" s="322"/>
      <c r="Q13" s="322"/>
      <c r="R13" s="322"/>
      <c r="S13" s="322"/>
      <c r="T13" s="322"/>
      <c r="U13" s="322"/>
      <c r="V13" s="322"/>
      <c r="W13" s="322"/>
      <c r="X13" s="322"/>
      <c r="Y13" s="322"/>
      <c r="Z13" s="322"/>
      <c r="AA13" s="322"/>
      <c r="AB13" s="322"/>
      <c r="AC13" s="322"/>
      <c r="AD13" s="322">
        <v>1</v>
      </c>
      <c r="AE13" s="322">
        <v>1</v>
      </c>
      <c r="AF13" s="322">
        <v>1</v>
      </c>
      <c r="AG13" s="322">
        <v>1</v>
      </c>
      <c r="AH13" s="322"/>
      <c r="AI13" s="322"/>
      <c r="AJ13" s="322"/>
      <c r="AK13" s="322"/>
      <c r="AL13" s="322">
        <v>2</v>
      </c>
      <c r="AM13" s="322">
        <v>2</v>
      </c>
      <c r="AN13" s="322">
        <v>2</v>
      </c>
      <c r="AO13" s="322">
        <v>2</v>
      </c>
      <c r="AP13" s="322"/>
      <c r="AQ13" s="322"/>
      <c r="AR13" s="322"/>
      <c r="AS13" s="322"/>
      <c r="AT13" s="322"/>
      <c r="AU13" s="322"/>
      <c r="AV13" s="322"/>
      <c r="AW13" s="322"/>
      <c r="AX13" s="322"/>
      <c r="AY13" s="322"/>
      <c r="AZ13" s="322"/>
      <c r="BA13" s="322"/>
      <c r="BB13" s="322">
        <v>16</v>
      </c>
      <c r="BC13" s="322">
        <v>16</v>
      </c>
      <c r="BD13" s="322">
        <v>16</v>
      </c>
      <c r="BE13" s="322">
        <v>16</v>
      </c>
      <c r="BF13" s="322"/>
      <c r="BG13" s="322"/>
      <c r="BH13" s="322"/>
      <c r="BI13" s="322"/>
      <c r="BJ13" s="322"/>
      <c r="BK13" s="322"/>
      <c r="BL13" s="322"/>
      <c r="BM13" s="322"/>
      <c r="BN13" s="322"/>
      <c r="BO13" s="322"/>
      <c r="BP13" s="322"/>
      <c r="BQ13" s="322"/>
      <c r="BR13" s="322"/>
      <c r="BS13" s="322"/>
      <c r="BT13" s="322"/>
      <c r="BU13" s="322"/>
      <c r="BV13" s="322"/>
      <c r="BW13" s="322"/>
      <c r="BX13" s="322"/>
      <c r="BY13" s="322"/>
      <c r="BZ13" s="322"/>
      <c r="CA13" s="322"/>
      <c r="CB13" s="322"/>
      <c r="CC13" s="322"/>
      <c r="CD13" s="322"/>
      <c r="CE13" s="322"/>
      <c r="CF13" s="322"/>
      <c r="CG13" s="322"/>
      <c r="CH13" s="322"/>
      <c r="CI13" s="322"/>
      <c r="CJ13" s="322"/>
      <c r="CK13" s="322"/>
      <c r="CL13" s="322">
        <v>35</v>
      </c>
      <c r="CM13" s="322">
        <v>35</v>
      </c>
      <c r="CN13" s="322">
        <v>35</v>
      </c>
      <c r="CO13" s="322">
        <v>35</v>
      </c>
      <c r="CP13" s="322"/>
      <c r="CQ13" s="322"/>
      <c r="CR13" s="322"/>
      <c r="CS13" s="322"/>
      <c r="CT13" s="322"/>
      <c r="CU13" s="322"/>
      <c r="CV13" s="322"/>
      <c r="CW13" s="322"/>
      <c r="CX13" s="322"/>
      <c r="CY13" s="322"/>
      <c r="CZ13" s="322"/>
      <c r="DA13" s="322"/>
      <c r="DB13" s="322">
        <v>54</v>
      </c>
      <c r="DC13" s="322">
        <v>87</v>
      </c>
      <c r="DD13" s="322">
        <v>87</v>
      </c>
      <c r="DE13" s="322">
        <v>87</v>
      </c>
      <c r="DF13" s="322">
        <v>87</v>
      </c>
      <c r="DG13" s="322">
        <v>8</v>
      </c>
      <c r="DH13" s="322">
        <v>8</v>
      </c>
      <c r="DI13" s="322">
        <v>8</v>
      </c>
      <c r="DJ13" s="322">
        <v>8</v>
      </c>
      <c r="DK13" s="322">
        <v>4</v>
      </c>
      <c r="DL13" s="322">
        <v>4</v>
      </c>
      <c r="DM13" s="322">
        <v>4</v>
      </c>
      <c r="DN13" s="322">
        <v>4</v>
      </c>
      <c r="DO13" s="322"/>
      <c r="DP13" s="322"/>
      <c r="DQ13" s="322"/>
      <c r="DR13" s="322"/>
      <c r="DS13" s="322"/>
      <c r="DT13" s="322"/>
      <c r="DU13" s="322"/>
      <c r="DV13" s="322"/>
      <c r="DW13" s="322"/>
      <c r="DX13" s="322"/>
      <c r="DY13" s="322"/>
      <c r="DZ13" s="322"/>
      <c r="EA13" s="322"/>
      <c r="EB13" s="322"/>
      <c r="EC13" s="322"/>
      <c r="ED13" s="322"/>
      <c r="EE13" s="322"/>
      <c r="EF13" s="322"/>
      <c r="EG13" s="322"/>
      <c r="EH13" s="322"/>
      <c r="EI13" s="322"/>
      <c r="EJ13" s="322"/>
      <c r="EK13" s="322"/>
      <c r="EL13" s="322"/>
      <c r="EM13" s="322"/>
      <c r="EN13" s="322"/>
      <c r="EO13" s="322"/>
      <c r="EP13" s="322"/>
      <c r="EQ13" s="322"/>
      <c r="ER13" s="322"/>
      <c r="ES13" s="322"/>
      <c r="ET13" s="322"/>
      <c r="EU13" s="322"/>
      <c r="EV13" s="322"/>
      <c r="EW13" s="322"/>
      <c r="EX13" s="322"/>
      <c r="EY13" s="322"/>
      <c r="EZ13" s="322"/>
      <c r="FA13" s="322"/>
      <c r="FB13" s="322"/>
      <c r="FC13" s="322"/>
      <c r="FD13" s="322"/>
      <c r="FE13" s="322"/>
      <c r="FF13" s="322"/>
      <c r="FG13" s="322"/>
      <c r="FH13" s="322"/>
      <c r="FI13" s="322"/>
      <c r="FJ13" s="322"/>
      <c r="FK13" s="322"/>
      <c r="FL13" s="322"/>
      <c r="FM13" s="322"/>
      <c r="FN13" s="322"/>
      <c r="FO13" s="322"/>
      <c r="FP13" s="322"/>
      <c r="FQ13" s="322"/>
      <c r="FR13" s="322"/>
      <c r="FS13" s="322"/>
      <c r="FT13" s="322"/>
      <c r="FU13" s="322"/>
      <c r="FV13" s="322"/>
      <c r="FW13" s="322"/>
      <c r="FX13" s="322"/>
      <c r="FY13" s="322"/>
      <c r="FZ13" s="322"/>
      <c r="GA13" s="322"/>
      <c r="GB13" s="322"/>
      <c r="GC13" s="322"/>
      <c r="GD13" s="322"/>
      <c r="GE13" s="322"/>
      <c r="GF13" s="322"/>
      <c r="GG13" s="322"/>
      <c r="GH13" s="322"/>
      <c r="GI13" s="322"/>
      <c r="GJ13" s="322"/>
      <c r="GK13" s="322"/>
      <c r="GL13" s="322"/>
      <c r="GM13" s="322"/>
      <c r="GN13" s="322"/>
      <c r="GO13" s="322"/>
      <c r="GP13" s="322"/>
      <c r="GQ13" s="322"/>
      <c r="GR13" s="322"/>
      <c r="GS13" s="322"/>
      <c r="GT13" s="322"/>
      <c r="GU13" s="322"/>
      <c r="GV13" s="322"/>
      <c r="GW13" s="322"/>
      <c r="GX13" s="322"/>
      <c r="GY13" s="322"/>
      <c r="GZ13" s="322"/>
      <c r="HA13" s="322"/>
      <c r="HB13" s="322"/>
      <c r="HC13" s="322"/>
      <c r="HD13" s="322"/>
      <c r="HE13" s="322"/>
      <c r="HF13" s="322"/>
      <c r="HG13" s="322"/>
      <c r="HH13" s="322"/>
      <c r="HI13" s="322"/>
      <c r="HJ13" s="322"/>
      <c r="HK13" s="322"/>
      <c r="HL13" s="322"/>
      <c r="HM13" s="322"/>
      <c r="HN13" s="322"/>
      <c r="HO13" s="322"/>
      <c r="HP13" s="322"/>
      <c r="HQ13" s="322"/>
      <c r="HR13" s="322"/>
      <c r="HS13" s="322"/>
      <c r="HT13" s="322"/>
      <c r="HU13" s="322"/>
      <c r="HV13" s="322"/>
      <c r="HW13" s="322">
        <v>1</v>
      </c>
      <c r="HX13" s="322">
        <v>1</v>
      </c>
      <c r="HY13" s="322">
        <v>1</v>
      </c>
      <c r="HZ13" s="322">
        <v>1</v>
      </c>
      <c r="IA13" s="322">
        <v>26</v>
      </c>
      <c r="IB13" s="322">
        <v>26</v>
      </c>
      <c r="IC13" s="322">
        <v>26</v>
      </c>
      <c r="ID13" s="322">
        <v>26</v>
      </c>
      <c r="IE13" s="322"/>
      <c r="IF13" s="322"/>
      <c r="IG13" s="322"/>
      <c r="IH13" s="322"/>
      <c r="II13" s="322"/>
      <c r="IJ13" s="322"/>
      <c r="IK13" s="322"/>
      <c r="IL13" s="322"/>
      <c r="IM13" s="322">
        <v>126</v>
      </c>
      <c r="IN13" s="322">
        <v>3</v>
      </c>
      <c r="IO13" s="322">
        <v>3</v>
      </c>
      <c r="IP13" s="322">
        <v>3</v>
      </c>
      <c r="IQ13" s="322">
        <v>3</v>
      </c>
      <c r="IR13" s="322"/>
      <c r="IS13" s="322"/>
      <c r="IT13" s="322"/>
      <c r="IU13" s="322"/>
      <c r="IV13" s="322"/>
      <c r="IW13" s="322"/>
      <c r="IX13" s="322"/>
      <c r="IY13" s="322"/>
      <c r="IZ13" s="322">
        <v>3</v>
      </c>
      <c r="JA13" s="322">
        <v>3</v>
      </c>
      <c r="JB13" s="322">
        <v>3</v>
      </c>
      <c r="JC13" s="322">
        <v>3</v>
      </c>
      <c r="JD13" s="322"/>
      <c r="JE13" s="322"/>
      <c r="JF13" s="322"/>
      <c r="JG13" s="322"/>
      <c r="JH13" s="322">
        <v>2</v>
      </c>
      <c r="JI13" s="322">
        <v>2</v>
      </c>
      <c r="JJ13" s="322">
        <v>2</v>
      </c>
      <c r="JK13" s="322">
        <v>2</v>
      </c>
      <c r="JL13" s="322"/>
      <c r="JM13" s="322"/>
      <c r="JN13" s="322"/>
      <c r="JO13" s="322"/>
      <c r="JP13" s="322"/>
      <c r="JQ13" s="322"/>
      <c r="JR13" s="322"/>
      <c r="JS13" s="322"/>
      <c r="JT13" s="322"/>
      <c r="JU13" s="322"/>
      <c r="JV13" s="322"/>
      <c r="JW13" s="322"/>
      <c r="JX13" s="322"/>
      <c r="JY13" s="322"/>
      <c r="JZ13" s="322"/>
      <c r="KA13" s="322"/>
      <c r="KB13" s="322"/>
      <c r="KC13" s="322"/>
      <c r="KD13" s="322"/>
      <c r="KE13" s="322"/>
      <c r="KF13" s="322"/>
      <c r="KG13" s="322"/>
      <c r="KH13" s="322"/>
      <c r="KI13" s="322"/>
      <c r="KJ13" s="322">
        <v>1</v>
      </c>
      <c r="KK13" s="322">
        <v>1</v>
      </c>
      <c r="KL13" s="322">
        <v>1</v>
      </c>
      <c r="KM13" s="322">
        <v>1</v>
      </c>
      <c r="KN13" s="322"/>
      <c r="KO13" s="322"/>
      <c r="KP13" s="322"/>
      <c r="KQ13" s="322"/>
      <c r="KR13" s="322"/>
      <c r="KS13" s="322"/>
      <c r="KT13" s="322"/>
      <c r="KU13" s="322"/>
      <c r="KV13" s="322"/>
      <c r="KW13" s="322"/>
      <c r="KX13" s="322"/>
      <c r="KY13" s="322"/>
      <c r="KZ13" s="322">
        <v>9</v>
      </c>
      <c r="LA13" s="322"/>
      <c r="LB13" s="322"/>
      <c r="LC13" s="322"/>
      <c r="LD13" s="322"/>
      <c r="LE13" s="322"/>
      <c r="LF13" s="324">
        <v>189</v>
      </c>
    </row>
    <row r="14" spans="1:318" x14ac:dyDescent="0.2">
      <c r="A14" s="327">
        <v>42650</v>
      </c>
      <c r="B14" s="322"/>
      <c r="C14" s="322"/>
      <c r="D14" s="322"/>
      <c r="E14" s="322"/>
      <c r="F14" s="322"/>
      <c r="G14" s="322"/>
      <c r="H14" s="322"/>
      <c r="I14" s="322"/>
      <c r="J14" s="322"/>
      <c r="K14" s="322"/>
      <c r="L14" s="322"/>
      <c r="M14" s="322"/>
      <c r="N14" s="322"/>
      <c r="O14" s="322"/>
      <c r="P14" s="322"/>
      <c r="Q14" s="322"/>
      <c r="R14" s="322"/>
      <c r="S14" s="322"/>
      <c r="T14" s="322"/>
      <c r="U14" s="322"/>
      <c r="V14" s="322"/>
      <c r="W14" s="322"/>
      <c r="X14" s="322"/>
      <c r="Y14" s="322"/>
      <c r="Z14" s="322"/>
      <c r="AA14" s="322"/>
      <c r="AB14" s="322"/>
      <c r="AC14" s="322"/>
      <c r="AD14" s="322"/>
      <c r="AE14" s="322"/>
      <c r="AF14" s="322"/>
      <c r="AG14" s="322"/>
      <c r="AH14" s="322"/>
      <c r="AI14" s="322"/>
      <c r="AJ14" s="322"/>
      <c r="AK14" s="322"/>
      <c r="AL14" s="322">
        <v>1</v>
      </c>
      <c r="AM14" s="322">
        <v>1</v>
      </c>
      <c r="AN14" s="322">
        <v>1</v>
      </c>
      <c r="AO14" s="322">
        <v>1</v>
      </c>
      <c r="AP14" s="322"/>
      <c r="AQ14" s="322"/>
      <c r="AR14" s="322"/>
      <c r="AS14" s="322"/>
      <c r="AT14" s="322">
        <v>4</v>
      </c>
      <c r="AU14" s="322">
        <v>4</v>
      </c>
      <c r="AV14" s="322">
        <v>4</v>
      </c>
      <c r="AW14" s="322">
        <v>4</v>
      </c>
      <c r="AX14" s="322"/>
      <c r="AY14" s="322"/>
      <c r="AZ14" s="322"/>
      <c r="BA14" s="322"/>
      <c r="BB14" s="322">
        <v>4</v>
      </c>
      <c r="BC14" s="322">
        <v>4</v>
      </c>
      <c r="BD14" s="322">
        <v>4</v>
      </c>
      <c r="BE14" s="322">
        <v>4</v>
      </c>
      <c r="BF14" s="322"/>
      <c r="BG14" s="322"/>
      <c r="BH14" s="322"/>
      <c r="BI14" s="322"/>
      <c r="BJ14" s="322"/>
      <c r="BK14" s="322"/>
      <c r="BL14" s="322"/>
      <c r="BM14" s="322"/>
      <c r="BN14" s="322"/>
      <c r="BO14" s="322"/>
      <c r="BP14" s="322"/>
      <c r="BQ14" s="322"/>
      <c r="BR14" s="322">
        <v>1</v>
      </c>
      <c r="BS14" s="322">
        <v>1</v>
      </c>
      <c r="BT14" s="322">
        <v>1</v>
      </c>
      <c r="BU14" s="322">
        <v>1</v>
      </c>
      <c r="BV14" s="322"/>
      <c r="BW14" s="322"/>
      <c r="BX14" s="322"/>
      <c r="BY14" s="322"/>
      <c r="BZ14" s="322"/>
      <c r="CA14" s="322"/>
      <c r="CB14" s="322"/>
      <c r="CC14" s="322"/>
      <c r="CD14" s="322">
        <v>4</v>
      </c>
      <c r="CE14" s="322">
        <v>4</v>
      </c>
      <c r="CF14" s="322">
        <v>4</v>
      </c>
      <c r="CG14" s="322">
        <v>4</v>
      </c>
      <c r="CH14" s="322"/>
      <c r="CI14" s="322"/>
      <c r="CJ14" s="322"/>
      <c r="CK14" s="322"/>
      <c r="CL14" s="322">
        <v>18</v>
      </c>
      <c r="CM14" s="322">
        <v>18</v>
      </c>
      <c r="CN14" s="322">
        <v>18</v>
      </c>
      <c r="CO14" s="322">
        <v>18</v>
      </c>
      <c r="CP14" s="322"/>
      <c r="CQ14" s="322"/>
      <c r="CR14" s="322"/>
      <c r="CS14" s="322"/>
      <c r="CT14" s="322">
        <v>1</v>
      </c>
      <c r="CU14" s="322">
        <v>1</v>
      </c>
      <c r="CV14" s="322">
        <v>1</v>
      </c>
      <c r="CW14" s="322">
        <v>1</v>
      </c>
      <c r="CX14" s="322"/>
      <c r="CY14" s="322"/>
      <c r="CZ14" s="322"/>
      <c r="DA14" s="322"/>
      <c r="DB14" s="322">
        <v>33</v>
      </c>
      <c r="DC14" s="322">
        <v>91</v>
      </c>
      <c r="DD14" s="322">
        <v>91</v>
      </c>
      <c r="DE14" s="322">
        <v>91</v>
      </c>
      <c r="DF14" s="322">
        <v>91</v>
      </c>
      <c r="DG14" s="322">
        <v>6</v>
      </c>
      <c r="DH14" s="322">
        <v>6</v>
      </c>
      <c r="DI14" s="322">
        <v>6</v>
      </c>
      <c r="DJ14" s="322">
        <v>6</v>
      </c>
      <c r="DK14" s="322">
        <v>4</v>
      </c>
      <c r="DL14" s="322">
        <v>4</v>
      </c>
      <c r="DM14" s="322">
        <v>4</v>
      </c>
      <c r="DN14" s="322">
        <v>4</v>
      </c>
      <c r="DO14" s="322"/>
      <c r="DP14" s="322"/>
      <c r="DQ14" s="322"/>
      <c r="DR14" s="322"/>
      <c r="DS14" s="322"/>
      <c r="DT14" s="322"/>
      <c r="DU14" s="322"/>
      <c r="DV14" s="322"/>
      <c r="DW14" s="322"/>
      <c r="DX14" s="322"/>
      <c r="DY14" s="322"/>
      <c r="DZ14" s="322"/>
      <c r="EA14" s="322"/>
      <c r="EB14" s="322"/>
      <c r="EC14" s="322"/>
      <c r="ED14" s="322"/>
      <c r="EE14" s="322"/>
      <c r="EF14" s="322"/>
      <c r="EG14" s="322"/>
      <c r="EH14" s="322"/>
      <c r="EI14" s="322"/>
      <c r="EJ14" s="322"/>
      <c r="EK14" s="322"/>
      <c r="EL14" s="322"/>
      <c r="EM14" s="322"/>
      <c r="EN14" s="322"/>
      <c r="EO14" s="322"/>
      <c r="EP14" s="322"/>
      <c r="EQ14" s="322"/>
      <c r="ER14" s="322"/>
      <c r="ES14" s="322"/>
      <c r="ET14" s="322"/>
      <c r="EU14" s="322"/>
      <c r="EV14" s="322"/>
      <c r="EW14" s="322"/>
      <c r="EX14" s="322"/>
      <c r="EY14" s="322"/>
      <c r="EZ14" s="322"/>
      <c r="FA14" s="322"/>
      <c r="FB14" s="322"/>
      <c r="FC14" s="322"/>
      <c r="FD14" s="322"/>
      <c r="FE14" s="322"/>
      <c r="FF14" s="322"/>
      <c r="FG14" s="322">
        <v>6</v>
      </c>
      <c r="FH14" s="322">
        <v>6</v>
      </c>
      <c r="FI14" s="322">
        <v>6</v>
      </c>
      <c r="FJ14" s="322">
        <v>6</v>
      </c>
      <c r="FK14" s="322">
        <v>1</v>
      </c>
      <c r="FL14" s="322">
        <v>1</v>
      </c>
      <c r="FM14" s="322">
        <v>1</v>
      </c>
      <c r="FN14" s="322">
        <v>1</v>
      </c>
      <c r="FO14" s="322"/>
      <c r="FP14" s="322"/>
      <c r="FQ14" s="322"/>
      <c r="FR14" s="322"/>
      <c r="FS14" s="322">
        <v>1</v>
      </c>
      <c r="FT14" s="322">
        <v>1</v>
      </c>
      <c r="FU14" s="322">
        <v>1</v>
      </c>
      <c r="FV14" s="322">
        <v>1</v>
      </c>
      <c r="FW14" s="322">
        <v>1</v>
      </c>
      <c r="FX14" s="322">
        <v>1</v>
      </c>
      <c r="FY14" s="322">
        <v>1</v>
      </c>
      <c r="FZ14" s="322">
        <v>1</v>
      </c>
      <c r="GA14" s="322"/>
      <c r="GB14" s="322"/>
      <c r="GC14" s="322"/>
      <c r="GD14" s="322"/>
      <c r="GE14" s="322">
        <v>1</v>
      </c>
      <c r="GF14" s="322">
        <v>1</v>
      </c>
      <c r="GG14" s="322">
        <v>1</v>
      </c>
      <c r="GH14" s="322">
        <v>1</v>
      </c>
      <c r="GI14" s="322"/>
      <c r="GJ14" s="322"/>
      <c r="GK14" s="322"/>
      <c r="GL14" s="322"/>
      <c r="GM14" s="322">
        <v>1</v>
      </c>
      <c r="GN14" s="322">
        <v>1</v>
      </c>
      <c r="GO14" s="322">
        <v>1</v>
      </c>
      <c r="GP14" s="322">
        <v>1</v>
      </c>
      <c r="GQ14" s="322"/>
      <c r="GR14" s="322"/>
      <c r="GS14" s="322"/>
      <c r="GT14" s="322"/>
      <c r="GU14" s="322"/>
      <c r="GV14" s="322"/>
      <c r="GW14" s="322"/>
      <c r="GX14" s="322"/>
      <c r="GY14" s="322"/>
      <c r="GZ14" s="322"/>
      <c r="HA14" s="322"/>
      <c r="HB14" s="322"/>
      <c r="HC14" s="322"/>
      <c r="HD14" s="322"/>
      <c r="HE14" s="322"/>
      <c r="HF14" s="322"/>
      <c r="HG14" s="322"/>
      <c r="HH14" s="322"/>
      <c r="HI14" s="322"/>
      <c r="HJ14" s="322"/>
      <c r="HK14" s="322"/>
      <c r="HL14" s="322"/>
      <c r="HM14" s="322"/>
      <c r="HN14" s="322"/>
      <c r="HO14" s="322"/>
      <c r="HP14" s="322"/>
      <c r="HQ14" s="322"/>
      <c r="HR14" s="322"/>
      <c r="HS14" s="322"/>
      <c r="HT14" s="322"/>
      <c r="HU14" s="322"/>
      <c r="HV14" s="322"/>
      <c r="HW14" s="322">
        <v>2</v>
      </c>
      <c r="HX14" s="322">
        <v>2</v>
      </c>
      <c r="HY14" s="322">
        <v>2</v>
      </c>
      <c r="HZ14" s="322">
        <v>2</v>
      </c>
      <c r="IA14" s="322">
        <v>26</v>
      </c>
      <c r="IB14" s="322">
        <v>26</v>
      </c>
      <c r="IC14" s="322">
        <v>26</v>
      </c>
      <c r="ID14" s="322">
        <v>26</v>
      </c>
      <c r="IE14" s="322"/>
      <c r="IF14" s="322"/>
      <c r="IG14" s="322"/>
      <c r="IH14" s="322"/>
      <c r="II14" s="322"/>
      <c r="IJ14" s="322"/>
      <c r="IK14" s="322"/>
      <c r="IL14" s="322"/>
      <c r="IM14" s="322">
        <v>140</v>
      </c>
      <c r="IN14" s="322">
        <v>14</v>
      </c>
      <c r="IO14" s="322">
        <v>14</v>
      </c>
      <c r="IP14" s="322">
        <v>14</v>
      </c>
      <c r="IQ14" s="322">
        <v>14</v>
      </c>
      <c r="IR14" s="322"/>
      <c r="IS14" s="322"/>
      <c r="IT14" s="322"/>
      <c r="IU14" s="322"/>
      <c r="IV14" s="322">
        <v>1</v>
      </c>
      <c r="IW14" s="322">
        <v>1</v>
      </c>
      <c r="IX14" s="322">
        <v>1</v>
      </c>
      <c r="IY14" s="322">
        <v>1</v>
      </c>
      <c r="IZ14" s="322">
        <v>9</v>
      </c>
      <c r="JA14" s="322">
        <v>9</v>
      </c>
      <c r="JB14" s="322">
        <v>9</v>
      </c>
      <c r="JC14" s="322">
        <v>9</v>
      </c>
      <c r="JD14" s="322"/>
      <c r="JE14" s="322"/>
      <c r="JF14" s="322"/>
      <c r="JG14" s="322"/>
      <c r="JH14" s="322">
        <v>4</v>
      </c>
      <c r="JI14" s="322">
        <v>4</v>
      </c>
      <c r="JJ14" s="322">
        <v>4</v>
      </c>
      <c r="JK14" s="322">
        <v>4</v>
      </c>
      <c r="JL14" s="322"/>
      <c r="JM14" s="322"/>
      <c r="JN14" s="322"/>
      <c r="JO14" s="322"/>
      <c r="JP14" s="322"/>
      <c r="JQ14" s="322"/>
      <c r="JR14" s="322"/>
      <c r="JS14" s="322"/>
      <c r="JT14" s="322"/>
      <c r="JU14" s="322"/>
      <c r="JV14" s="322"/>
      <c r="JW14" s="322"/>
      <c r="JX14" s="322">
        <v>1</v>
      </c>
      <c r="JY14" s="322">
        <v>1</v>
      </c>
      <c r="JZ14" s="322">
        <v>1</v>
      </c>
      <c r="KA14" s="322">
        <v>1</v>
      </c>
      <c r="KB14" s="322"/>
      <c r="KC14" s="322"/>
      <c r="KD14" s="322"/>
      <c r="KE14" s="322"/>
      <c r="KF14" s="322"/>
      <c r="KG14" s="322"/>
      <c r="KH14" s="322"/>
      <c r="KI14" s="322"/>
      <c r="KJ14" s="322"/>
      <c r="KK14" s="322"/>
      <c r="KL14" s="322"/>
      <c r="KM14" s="322"/>
      <c r="KN14" s="322">
        <v>1</v>
      </c>
      <c r="KO14" s="322">
        <v>1</v>
      </c>
      <c r="KP14" s="322">
        <v>1</v>
      </c>
      <c r="KQ14" s="322">
        <v>1</v>
      </c>
      <c r="KR14" s="322"/>
      <c r="KS14" s="322"/>
      <c r="KT14" s="322"/>
      <c r="KU14" s="322"/>
      <c r="KV14" s="322"/>
      <c r="KW14" s="322"/>
      <c r="KX14" s="322"/>
      <c r="KY14" s="322"/>
      <c r="KZ14" s="322">
        <v>30</v>
      </c>
      <c r="LA14" s="322"/>
      <c r="LB14" s="322"/>
      <c r="LC14" s="322"/>
      <c r="LD14" s="322"/>
      <c r="LE14" s="322"/>
      <c r="LF14" s="324">
        <v>203</v>
      </c>
    </row>
    <row r="15" spans="1:318" x14ac:dyDescent="0.2">
      <c r="A15" s="327">
        <v>42651</v>
      </c>
      <c r="B15" s="322"/>
      <c r="C15" s="322"/>
      <c r="D15" s="322"/>
      <c r="E15" s="322"/>
      <c r="F15" s="322"/>
      <c r="G15" s="322"/>
      <c r="H15" s="322"/>
      <c r="I15" s="322"/>
      <c r="J15" s="322"/>
      <c r="K15" s="322"/>
      <c r="L15" s="322"/>
      <c r="M15" s="322"/>
      <c r="N15" s="322"/>
      <c r="O15" s="322"/>
      <c r="P15" s="322"/>
      <c r="Q15" s="322"/>
      <c r="R15" s="322">
        <v>1</v>
      </c>
      <c r="S15" s="322">
        <v>1</v>
      </c>
      <c r="T15" s="322">
        <v>1</v>
      </c>
      <c r="U15" s="322">
        <v>1</v>
      </c>
      <c r="V15" s="322"/>
      <c r="W15" s="322"/>
      <c r="X15" s="322"/>
      <c r="Y15" s="322"/>
      <c r="Z15" s="322"/>
      <c r="AA15" s="322"/>
      <c r="AB15" s="322"/>
      <c r="AC15" s="322"/>
      <c r="AD15" s="322"/>
      <c r="AE15" s="322"/>
      <c r="AF15" s="322"/>
      <c r="AG15" s="322"/>
      <c r="AH15" s="322"/>
      <c r="AI15" s="322"/>
      <c r="AJ15" s="322"/>
      <c r="AK15" s="322"/>
      <c r="AL15" s="322"/>
      <c r="AM15" s="322"/>
      <c r="AN15" s="322"/>
      <c r="AO15" s="322"/>
      <c r="AP15" s="322"/>
      <c r="AQ15" s="322"/>
      <c r="AR15" s="322"/>
      <c r="AS15" s="322"/>
      <c r="AT15" s="322"/>
      <c r="AU15" s="322"/>
      <c r="AV15" s="322"/>
      <c r="AW15" s="322"/>
      <c r="AX15" s="322"/>
      <c r="AY15" s="322"/>
      <c r="AZ15" s="322"/>
      <c r="BA15" s="322"/>
      <c r="BB15" s="322"/>
      <c r="BC15" s="322"/>
      <c r="BD15" s="322"/>
      <c r="BE15" s="322"/>
      <c r="BF15" s="322"/>
      <c r="BG15" s="322"/>
      <c r="BH15" s="322"/>
      <c r="BI15" s="322"/>
      <c r="BJ15" s="322"/>
      <c r="BK15" s="322"/>
      <c r="BL15" s="322"/>
      <c r="BM15" s="322"/>
      <c r="BN15" s="322"/>
      <c r="BO15" s="322"/>
      <c r="BP15" s="322"/>
      <c r="BQ15" s="322"/>
      <c r="BR15" s="322"/>
      <c r="BS15" s="322"/>
      <c r="BT15" s="322"/>
      <c r="BU15" s="322"/>
      <c r="BV15" s="322"/>
      <c r="BW15" s="322"/>
      <c r="BX15" s="322"/>
      <c r="BY15" s="322"/>
      <c r="BZ15" s="322">
        <v>4</v>
      </c>
      <c r="CA15" s="322">
        <v>4</v>
      </c>
      <c r="CB15" s="322">
        <v>4</v>
      </c>
      <c r="CC15" s="322">
        <v>4</v>
      </c>
      <c r="CD15" s="322"/>
      <c r="CE15" s="322"/>
      <c r="CF15" s="322"/>
      <c r="CG15" s="322"/>
      <c r="CH15" s="322"/>
      <c r="CI15" s="322"/>
      <c r="CJ15" s="322"/>
      <c r="CK15" s="322"/>
      <c r="CL15" s="322"/>
      <c r="CM15" s="322"/>
      <c r="CN15" s="322"/>
      <c r="CO15" s="322"/>
      <c r="CP15" s="322"/>
      <c r="CQ15" s="322"/>
      <c r="CR15" s="322"/>
      <c r="CS15" s="322"/>
      <c r="CT15" s="322"/>
      <c r="CU15" s="322"/>
      <c r="CV15" s="322"/>
      <c r="CW15" s="322"/>
      <c r="CX15" s="322"/>
      <c r="CY15" s="322"/>
      <c r="CZ15" s="322"/>
      <c r="DA15" s="322"/>
      <c r="DB15" s="322">
        <v>5</v>
      </c>
      <c r="DC15" s="322">
        <v>47</v>
      </c>
      <c r="DD15" s="322">
        <v>47</v>
      </c>
      <c r="DE15" s="322">
        <v>47</v>
      </c>
      <c r="DF15" s="322">
        <v>47</v>
      </c>
      <c r="DG15" s="322"/>
      <c r="DH15" s="322"/>
      <c r="DI15" s="322"/>
      <c r="DJ15" s="322"/>
      <c r="DK15" s="322"/>
      <c r="DL15" s="322"/>
      <c r="DM15" s="322"/>
      <c r="DN15" s="322"/>
      <c r="DO15" s="322"/>
      <c r="DP15" s="322"/>
      <c r="DQ15" s="322"/>
      <c r="DR15" s="322"/>
      <c r="DS15" s="322"/>
      <c r="DT15" s="322"/>
      <c r="DU15" s="322"/>
      <c r="DV15" s="322"/>
      <c r="DW15" s="322"/>
      <c r="DX15" s="322"/>
      <c r="DY15" s="322"/>
      <c r="DZ15" s="322"/>
      <c r="EA15" s="322"/>
      <c r="EB15" s="322"/>
      <c r="EC15" s="322"/>
      <c r="ED15" s="322"/>
      <c r="EE15" s="322"/>
      <c r="EF15" s="322"/>
      <c r="EG15" s="322"/>
      <c r="EH15" s="322"/>
      <c r="EI15" s="322"/>
      <c r="EJ15" s="322"/>
      <c r="EK15" s="322"/>
      <c r="EL15" s="322"/>
      <c r="EM15" s="322"/>
      <c r="EN15" s="322"/>
      <c r="EO15" s="322"/>
      <c r="EP15" s="322"/>
      <c r="EQ15" s="322"/>
      <c r="ER15" s="322"/>
      <c r="ES15" s="322"/>
      <c r="ET15" s="322"/>
      <c r="EU15" s="322"/>
      <c r="EV15" s="322"/>
      <c r="EW15" s="322"/>
      <c r="EX15" s="322"/>
      <c r="EY15" s="322"/>
      <c r="EZ15" s="322"/>
      <c r="FA15" s="322"/>
      <c r="FB15" s="322"/>
      <c r="FC15" s="322"/>
      <c r="FD15" s="322"/>
      <c r="FE15" s="322"/>
      <c r="FF15" s="322"/>
      <c r="FG15" s="322"/>
      <c r="FH15" s="322"/>
      <c r="FI15" s="322"/>
      <c r="FJ15" s="322"/>
      <c r="FK15" s="322"/>
      <c r="FL15" s="322"/>
      <c r="FM15" s="322"/>
      <c r="FN15" s="322"/>
      <c r="FO15" s="322"/>
      <c r="FP15" s="322"/>
      <c r="FQ15" s="322"/>
      <c r="FR15" s="322"/>
      <c r="FS15" s="322"/>
      <c r="FT15" s="322"/>
      <c r="FU15" s="322"/>
      <c r="FV15" s="322"/>
      <c r="FW15" s="322"/>
      <c r="FX15" s="322"/>
      <c r="FY15" s="322"/>
      <c r="FZ15" s="322"/>
      <c r="GA15" s="322"/>
      <c r="GB15" s="322"/>
      <c r="GC15" s="322"/>
      <c r="GD15" s="322"/>
      <c r="GE15" s="322"/>
      <c r="GF15" s="322"/>
      <c r="GG15" s="322"/>
      <c r="GH15" s="322"/>
      <c r="GI15" s="322"/>
      <c r="GJ15" s="322"/>
      <c r="GK15" s="322"/>
      <c r="GL15" s="322"/>
      <c r="GM15" s="322"/>
      <c r="GN15" s="322"/>
      <c r="GO15" s="322"/>
      <c r="GP15" s="322"/>
      <c r="GQ15" s="322"/>
      <c r="GR15" s="322"/>
      <c r="GS15" s="322"/>
      <c r="GT15" s="322"/>
      <c r="GU15" s="322"/>
      <c r="GV15" s="322"/>
      <c r="GW15" s="322"/>
      <c r="GX15" s="322"/>
      <c r="GY15" s="322"/>
      <c r="GZ15" s="322"/>
      <c r="HA15" s="322"/>
      <c r="HB15" s="322"/>
      <c r="HC15" s="322"/>
      <c r="HD15" s="322"/>
      <c r="HE15" s="322"/>
      <c r="HF15" s="322"/>
      <c r="HG15" s="322"/>
      <c r="HH15" s="322"/>
      <c r="HI15" s="322"/>
      <c r="HJ15" s="322"/>
      <c r="HK15" s="322"/>
      <c r="HL15" s="322"/>
      <c r="HM15" s="322"/>
      <c r="HN15" s="322"/>
      <c r="HO15" s="322"/>
      <c r="HP15" s="322"/>
      <c r="HQ15" s="322"/>
      <c r="HR15" s="322"/>
      <c r="HS15" s="322"/>
      <c r="HT15" s="322"/>
      <c r="HU15" s="322"/>
      <c r="HV15" s="322"/>
      <c r="HW15" s="322"/>
      <c r="HX15" s="322"/>
      <c r="HY15" s="322"/>
      <c r="HZ15" s="322"/>
      <c r="IA15" s="322">
        <v>23</v>
      </c>
      <c r="IB15" s="322">
        <v>23</v>
      </c>
      <c r="IC15" s="322">
        <v>23</v>
      </c>
      <c r="ID15" s="322">
        <v>23</v>
      </c>
      <c r="IE15" s="322"/>
      <c r="IF15" s="322"/>
      <c r="IG15" s="322"/>
      <c r="IH15" s="322"/>
      <c r="II15" s="322"/>
      <c r="IJ15" s="322"/>
      <c r="IK15" s="322"/>
      <c r="IL15" s="322"/>
      <c r="IM15" s="322">
        <v>70</v>
      </c>
      <c r="IN15" s="322"/>
      <c r="IO15" s="322"/>
      <c r="IP15" s="322"/>
      <c r="IQ15" s="322"/>
      <c r="IR15" s="322">
        <v>1</v>
      </c>
      <c r="IS15" s="322">
        <v>1</v>
      </c>
      <c r="IT15" s="322">
        <v>1</v>
      </c>
      <c r="IU15" s="322">
        <v>1</v>
      </c>
      <c r="IV15" s="322"/>
      <c r="IW15" s="322"/>
      <c r="IX15" s="322"/>
      <c r="IY15" s="322"/>
      <c r="IZ15" s="322"/>
      <c r="JA15" s="322"/>
      <c r="JB15" s="322"/>
      <c r="JC15" s="322"/>
      <c r="JD15" s="322"/>
      <c r="JE15" s="322"/>
      <c r="JF15" s="322"/>
      <c r="JG15" s="322"/>
      <c r="JH15" s="322">
        <v>4</v>
      </c>
      <c r="JI15" s="322">
        <v>4</v>
      </c>
      <c r="JJ15" s="322">
        <v>4</v>
      </c>
      <c r="JK15" s="322">
        <v>4</v>
      </c>
      <c r="JL15" s="322"/>
      <c r="JM15" s="322"/>
      <c r="JN15" s="322"/>
      <c r="JO15" s="322"/>
      <c r="JP15" s="322">
        <v>4</v>
      </c>
      <c r="JQ15" s="322">
        <v>4</v>
      </c>
      <c r="JR15" s="322">
        <v>4</v>
      </c>
      <c r="JS15" s="322">
        <v>4</v>
      </c>
      <c r="JT15" s="322"/>
      <c r="JU15" s="322"/>
      <c r="JV15" s="322"/>
      <c r="JW15" s="322"/>
      <c r="JX15" s="322"/>
      <c r="JY15" s="322"/>
      <c r="JZ15" s="322"/>
      <c r="KA15" s="322"/>
      <c r="KB15" s="322"/>
      <c r="KC15" s="322"/>
      <c r="KD15" s="322"/>
      <c r="KE15" s="322"/>
      <c r="KF15" s="322"/>
      <c r="KG15" s="322"/>
      <c r="KH15" s="322"/>
      <c r="KI15" s="322"/>
      <c r="KJ15" s="322"/>
      <c r="KK15" s="322"/>
      <c r="KL15" s="322"/>
      <c r="KM15" s="322"/>
      <c r="KN15" s="322"/>
      <c r="KO15" s="322"/>
      <c r="KP15" s="322"/>
      <c r="KQ15" s="322"/>
      <c r="KR15" s="322"/>
      <c r="KS15" s="322"/>
      <c r="KT15" s="322"/>
      <c r="KU15" s="322"/>
      <c r="KV15" s="322">
        <v>9</v>
      </c>
      <c r="KW15" s="322">
        <v>9</v>
      </c>
      <c r="KX15" s="322">
        <v>9</v>
      </c>
      <c r="KY15" s="322">
        <v>9</v>
      </c>
      <c r="KZ15" s="322">
        <v>18</v>
      </c>
      <c r="LA15" s="322"/>
      <c r="LB15" s="322"/>
      <c r="LC15" s="322"/>
      <c r="LD15" s="322"/>
      <c r="LE15" s="322"/>
      <c r="LF15" s="324">
        <v>93</v>
      </c>
    </row>
    <row r="16" spans="1:318" x14ac:dyDescent="0.2">
      <c r="A16" s="327">
        <v>42653</v>
      </c>
      <c r="B16" s="322"/>
      <c r="C16" s="322"/>
      <c r="D16" s="322"/>
      <c r="E16" s="322"/>
      <c r="F16" s="322"/>
      <c r="G16" s="322"/>
      <c r="H16" s="322"/>
      <c r="I16" s="322"/>
      <c r="J16" s="322"/>
      <c r="K16" s="322"/>
      <c r="L16" s="322"/>
      <c r="M16" s="322"/>
      <c r="N16" s="322"/>
      <c r="O16" s="322"/>
      <c r="P16" s="322"/>
      <c r="Q16" s="322"/>
      <c r="R16" s="322"/>
      <c r="S16" s="322"/>
      <c r="T16" s="322"/>
      <c r="U16" s="322"/>
      <c r="V16" s="322"/>
      <c r="W16" s="322"/>
      <c r="X16" s="322"/>
      <c r="Y16" s="322"/>
      <c r="Z16" s="322"/>
      <c r="AA16" s="322"/>
      <c r="AB16" s="322"/>
      <c r="AC16" s="322"/>
      <c r="AD16" s="322"/>
      <c r="AE16" s="322"/>
      <c r="AF16" s="322"/>
      <c r="AG16" s="322"/>
      <c r="AH16" s="322"/>
      <c r="AI16" s="322"/>
      <c r="AJ16" s="322"/>
      <c r="AK16" s="322"/>
      <c r="AL16" s="322"/>
      <c r="AM16" s="322"/>
      <c r="AN16" s="322"/>
      <c r="AO16" s="322"/>
      <c r="AP16" s="322"/>
      <c r="AQ16" s="322"/>
      <c r="AR16" s="322"/>
      <c r="AS16" s="322"/>
      <c r="AT16" s="322"/>
      <c r="AU16" s="322"/>
      <c r="AV16" s="322"/>
      <c r="AW16" s="322"/>
      <c r="AX16" s="322"/>
      <c r="AY16" s="322"/>
      <c r="AZ16" s="322"/>
      <c r="BA16" s="322"/>
      <c r="BB16" s="322"/>
      <c r="BC16" s="322"/>
      <c r="BD16" s="322"/>
      <c r="BE16" s="322"/>
      <c r="BF16" s="322"/>
      <c r="BG16" s="322"/>
      <c r="BH16" s="322"/>
      <c r="BI16" s="322"/>
      <c r="BJ16" s="322"/>
      <c r="BK16" s="322"/>
      <c r="BL16" s="322"/>
      <c r="BM16" s="322"/>
      <c r="BN16" s="322"/>
      <c r="BO16" s="322"/>
      <c r="BP16" s="322"/>
      <c r="BQ16" s="322"/>
      <c r="BR16" s="322"/>
      <c r="BS16" s="322"/>
      <c r="BT16" s="322"/>
      <c r="BU16" s="322"/>
      <c r="BV16" s="322"/>
      <c r="BW16" s="322"/>
      <c r="BX16" s="322"/>
      <c r="BY16" s="322"/>
      <c r="BZ16" s="322">
        <v>1</v>
      </c>
      <c r="CA16" s="322">
        <v>1</v>
      </c>
      <c r="CB16" s="322">
        <v>1</v>
      </c>
      <c r="CC16" s="322">
        <v>1</v>
      </c>
      <c r="CD16" s="322"/>
      <c r="CE16" s="322"/>
      <c r="CF16" s="322"/>
      <c r="CG16" s="322"/>
      <c r="CH16" s="322"/>
      <c r="CI16" s="322"/>
      <c r="CJ16" s="322"/>
      <c r="CK16" s="322"/>
      <c r="CL16" s="322"/>
      <c r="CM16" s="322"/>
      <c r="CN16" s="322"/>
      <c r="CO16" s="322"/>
      <c r="CP16" s="322"/>
      <c r="CQ16" s="322"/>
      <c r="CR16" s="322"/>
      <c r="CS16" s="322"/>
      <c r="CT16" s="322"/>
      <c r="CU16" s="322"/>
      <c r="CV16" s="322"/>
      <c r="CW16" s="322"/>
      <c r="CX16" s="322"/>
      <c r="CY16" s="322"/>
      <c r="CZ16" s="322"/>
      <c r="DA16" s="322"/>
      <c r="DB16" s="322">
        <v>1</v>
      </c>
      <c r="DC16" s="322"/>
      <c r="DD16" s="322"/>
      <c r="DE16" s="322"/>
      <c r="DF16" s="322"/>
      <c r="DG16" s="322"/>
      <c r="DH16" s="322"/>
      <c r="DI16" s="322"/>
      <c r="DJ16" s="322"/>
      <c r="DK16" s="322"/>
      <c r="DL16" s="322"/>
      <c r="DM16" s="322"/>
      <c r="DN16" s="322"/>
      <c r="DO16" s="322"/>
      <c r="DP16" s="322"/>
      <c r="DQ16" s="322"/>
      <c r="DR16" s="322"/>
      <c r="DS16" s="322"/>
      <c r="DT16" s="322"/>
      <c r="DU16" s="322"/>
      <c r="DV16" s="322"/>
      <c r="DW16" s="322"/>
      <c r="DX16" s="322"/>
      <c r="DY16" s="322"/>
      <c r="DZ16" s="322"/>
      <c r="EA16" s="322"/>
      <c r="EB16" s="322"/>
      <c r="EC16" s="322"/>
      <c r="ED16" s="322"/>
      <c r="EE16" s="322"/>
      <c r="EF16" s="322"/>
      <c r="EG16" s="322"/>
      <c r="EH16" s="322"/>
      <c r="EI16" s="322"/>
      <c r="EJ16" s="322"/>
      <c r="EK16" s="322"/>
      <c r="EL16" s="322"/>
      <c r="EM16" s="322"/>
      <c r="EN16" s="322"/>
      <c r="EO16" s="322"/>
      <c r="EP16" s="322"/>
      <c r="EQ16" s="322"/>
      <c r="ER16" s="322"/>
      <c r="ES16" s="322"/>
      <c r="ET16" s="322"/>
      <c r="EU16" s="322"/>
      <c r="EV16" s="322"/>
      <c r="EW16" s="322"/>
      <c r="EX16" s="322"/>
      <c r="EY16" s="322"/>
      <c r="EZ16" s="322"/>
      <c r="FA16" s="322"/>
      <c r="FB16" s="322"/>
      <c r="FC16" s="322"/>
      <c r="FD16" s="322"/>
      <c r="FE16" s="322"/>
      <c r="FF16" s="322"/>
      <c r="FG16" s="322"/>
      <c r="FH16" s="322"/>
      <c r="FI16" s="322"/>
      <c r="FJ16" s="322"/>
      <c r="FK16" s="322"/>
      <c r="FL16" s="322"/>
      <c r="FM16" s="322"/>
      <c r="FN16" s="322"/>
      <c r="FO16" s="322"/>
      <c r="FP16" s="322"/>
      <c r="FQ16" s="322"/>
      <c r="FR16" s="322"/>
      <c r="FS16" s="322"/>
      <c r="FT16" s="322"/>
      <c r="FU16" s="322"/>
      <c r="FV16" s="322"/>
      <c r="FW16" s="322"/>
      <c r="FX16" s="322"/>
      <c r="FY16" s="322"/>
      <c r="FZ16" s="322"/>
      <c r="GA16" s="322"/>
      <c r="GB16" s="322"/>
      <c r="GC16" s="322"/>
      <c r="GD16" s="322"/>
      <c r="GE16" s="322"/>
      <c r="GF16" s="322"/>
      <c r="GG16" s="322"/>
      <c r="GH16" s="322"/>
      <c r="GI16" s="322"/>
      <c r="GJ16" s="322"/>
      <c r="GK16" s="322"/>
      <c r="GL16" s="322"/>
      <c r="GM16" s="322"/>
      <c r="GN16" s="322"/>
      <c r="GO16" s="322"/>
      <c r="GP16" s="322"/>
      <c r="GQ16" s="322"/>
      <c r="GR16" s="322"/>
      <c r="GS16" s="322"/>
      <c r="GT16" s="322"/>
      <c r="GU16" s="322"/>
      <c r="GV16" s="322"/>
      <c r="GW16" s="322"/>
      <c r="GX16" s="322"/>
      <c r="GY16" s="322"/>
      <c r="GZ16" s="322"/>
      <c r="HA16" s="322"/>
      <c r="HB16" s="322"/>
      <c r="HC16" s="322"/>
      <c r="HD16" s="322"/>
      <c r="HE16" s="322"/>
      <c r="HF16" s="322"/>
      <c r="HG16" s="322"/>
      <c r="HH16" s="322"/>
      <c r="HI16" s="322"/>
      <c r="HJ16" s="322"/>
      <c r="HK16" s="322"/>
      <c r="HL16" s="322"/>
      <c r="HM16" s="322"/>
      <c r="HN16" s="322"/>
      <c r="HO16" s="322"/>
      <c r="HP16" s="322"/>
      <c r="HQ16" s="322"/>
      <c r="HR16" s="322"/>
      <c r="HS16" s="322"/>
      <c r="HT16" s="322"/>
      <c r="HU16" s="322"/>
      <c r="HV16" s="322"/>
      <c r="HW16" s="322"/>
      <c r="HX16" s="322"/>
      <c r="HY16" s="322"/>
      <c r="HZ16" s="322"/>
      <c r="IA16" s="322"/>
      <c r="IB16" s="322"/>
      <c r="IC16" s="322"/>
      <c r="ID16" s="322"/>
      <c r="IE16" s="322"/>
      <c r="IF16" s="322"/>
      <c r="IG16" s="322"/>
      <c r="IH16" s="322"/>
      <c r="II16" s="322"/>
      <c r="IJ16" s="322"/>
      <c r="IK16" s="322"/>
      <c r="IL16" s="322"/>
      <c r="IM16" s="322"/>
      <c r="IN16" s="322"/>
      <c r="IO16" s="322"/>
      <c r="IP16" s="322"/>
      <c r="IQ16" s="322"/>
      <c r="IR16" s="322">
        <v>1</v>
      </c>
      <c r="IS16" s="322">
        <v>1</v>
      </c>
      <c r="IT16" s="322">
        <v>1</v>
      </c>
      <c r="IU16" s="322">
        <v>1</v>
      </c>
      <c r="IV16" s="322"/>
      <c r="IW16" s="322"/>
      <c r="IX16" s="322"/>
      <c r="IY16" s="322"/>
      <c r="IZ16" s="322"/>
      <c r="JA16" s="322"/>
      <c r="JB16" s="322"/>
      <c r="JC16" s="322"/>
      <c r="JD16" s="322"/>
      <c r="JE16" s="322"/>
      <c r="JF16" s="322"/>
      <c r="JG16" s="322"/>
      <c r="JH16" s="322"/>
      <c r="JI16" s="322"/>
      <c r="JJ16" s="322"/>
      <c r="JK16" s="322"/>
      <c r="JL16" s="322"/>
      <c r="JM16" s="322"/>
      <c r="JN16" s="322"/>
      <c r="JO16" s="322"/>
      <c r="JP16" s="322"/>
      <c r="JQ16" s="322"/>
      <c r="JR16" s="322"/>
      <c r="JS16" s="322"/>
      <c r="JT16" s="322"/>
      <c r="JU16" s="322"/>
      <c r="JV16" s="322"/>
      <c r="JW16" s="322"/>
      <c r="JX16" s="322"/>
      <c r="JY16" s="322"/>
      <c r="JZ16" s="322"/>
      <c r="KA16" s="322"/>
      <c r="KB16" s="322"/>
      <c r="KC16" s="322"/>
      <c r="KD16" s="322"/>
      <c r="KE16" s="322"/>
      <c r="KF16" s="322"/>
      <c r="KG16" s="322"/>
      <c r="KH16" s="322"/>
      <c r="KI16" s="322"/>
      <c r="KJ16" s="322"/>
      <c r="KK16" s="322"/>
      <c r="KL16" s="322"/>
      <c r="KM16" s="322"/>
      <c r="KN16" s="322"/>
      <c r="KO16" s="322"/>
      <c r="KP16" s="322"/>
      <c r="KQ16" s="322"/>
      <c r="KR16" s="322"/>
      <c r="KS16" s="322"/>
      <c r="KT16" s="322"/>
      <c r="KU16" s="322"/>
      <c r="KV16" s="322"/>
      <c r="KW16" s="322"/>
      <c r="KX16" s="322"/>
      <c r="KY16" s="322"/>
      <c r="KZ16" s="322">
        <v>1</v>
      </c>
      <c r="LA16" s="322"/>
      <c r="LB16" s="322"/>
      <c r="LC16" s="322"/>
      <c r="LD16" s="322"/>
      <c r="LE16" s="322"/>
      <c r="LF16" s="324">
        <v>2</v>
      </c>
    </row>
    <row r="17" spans="1:318" x14ac:dyDescent="0.2">
      <c r="A17" s="327">
        <v>42654</v>
      </c>
      <c r="B17" s="322"/>
      <c r="C17" s="322"/>
      <c r="D17" s="322"/>
      <c r="E17" s="322"/>
      <c r="F17" s="322"/>
      <c r="G17" s="322"/>
      <c r="H17" s="322"/>
      <c r="I17" s="322"/>
      <c r="J17" s="322">
        <v>3</v>
      </c>
      <c r="K17" s="322">
        <v>3</v>
      </c>
      <c r="L17" s="322">
        <v>3</v>
      </c>
      <c r="M17" s="322">
        <v>3</v>
      </c>
      <c r="N17" s="322"/>
      <c r="O17" s="322"/>
      <c r="P17" s="322"/>
      <c r="Q17" s="322"/>
      <c r="R17" s="322"/>
      <c r="S17" s="322"/>
      <c r="T17" s="322"/>
      <c r="U17" s="322"/>
      <c r="V17" s="322"/>
      <c r="W17" s="322"/>
      <c r="X17" s="322"/>
      <c r="Y17" s="322"/>
      <c r="Z17" s="322"/>
      <c r="AA17" s="322"/>
      <c r="AB17" s="322"/>
      <c r="AC17" s="322"/>
      <c r="AD17" s="322"/>
      <c r="AE17" s="322"/>
      <c r="AF17" s="322"/>
      <c r="AG17" s="322"/>
      <c r="AH17" s="322"/>
      <c r="AI17" s="322"/>
      <c r="AJ17" s="322"/>
      <c r="AK17" s="322"/>
      <c r="AL17" s="322"/>
      <c r="AM17" s="322"/>
      <c r="AN17" s="322"/>
      <c r="AO17" s="322"/>
      <c r="AP17" s="322">
        <v>3</v>
      </c>
      <c r="AQ17" s="322">
        <v>3</v>
      </c>
      <c r="AR17" s="322">
        <v>3</v>
      </c>
      <c r="AS17" s="322">
        <v>3</v>
      </c>
      <c r="AT17" s="322">
        <v>3</v>
      </c>
      <c r="AU17" s="322">
        <v>3</v>
      </c>
      <c r="AV17" s="322">
        <v>3</v>
      </c>
      <c r="AW17" s="322">
        <v>3</v>
      </c>
      <c r="AX17" s="322"/>
      <c r="AY17" s="322"/>
      <c r="AZ17" s="322"/>
      <c r="BA17" s="322"/>
      <c r="BB17" s="322">
        <v>6</v>
      </c>
      <c r="BC17" s="322">
        <v>6</v>
      </c>
      <c r="BD17" s="322">
        <v>6</v>
      </c>
      <c r="BE17" s="322">
        <v>6</v>
      </c>
      <c r="BF17" s="322"/>
      <c r="BG17" s="322"/>
      <c r="BH17" s="322"/>
      <c r="BI17" s="322"/>
      <c r="BJ17" s="322">
        <v>2</v>
      </c>
      <c r="BK17" s="322">
        <v>2</v>
      </c>
      <c r="BL17" s="322">
        <v>2</v>
      </c>
      <c r="BM17" s="322">
        <v>2</v>
      </c>
      <c r="BN17" s="322"/>
      <c r="BO17" s="322"/>
      <c r="BP17" s="322"/>
      <c r="BQ17" s="322"/>
      <c r="BR17" s="322"/>
      <c r="BS17" s="322"/>
      <c r="BT17" s="322"/>
      <c r="BU17" s="322"/>
      <c r="BV17" s="322">
        <v>1</v>
      </c>
      <c r="BW17" s="322">
        <v>1</v>
      </c>
      <c r="BX17" s="322">
        <v>1</v>
      </c>
      <c r="BY17" s="322">
        <v>1</v>
      </c>
      <c r="BZ17" s="322"/>
      <c r="CA17" s="322"/>
      <c r="CB17" s="322"/>
      <c r="CC17" s="322"/>
      <c r="CD17" s="322"/>
      <c r="CE17" s="322"/>
      <c r="CF17" s="322"/>
      <c r="CG17" s="322"/>
      <c r="CH17" s="322"/>
      <c r="CI17" s="322"/>
      <c r="CJ17" s="322"/>
      <c r="CK17" s="322"/>
      <c r="CL17" s="322">
        <v>13</v>
      </c>
      <c r="CM17" s="322">
        <v>13</v>
      </c>
      <c r="CN17" s="322">
        <v>13</v>
      </c>
      <c r="CO17" s="322">
        <v>13</v>
      </c>
      <c r="CP17" s="322">
        <v>1</v>
      </c>
      <c r="CQ17" s="322">
        <v>1</v>
      </c>
      <c r="CR17" s="322">
        <v>1</v>
      </c>
      <c r="CS17" s="322">
        <v>1</v>
      </c>
      <c r="CT17" s="322"/>
      <c r="CU17" s="322"/>
      <c r="CV17" s="322"/>
      <c r="CW17" s="322"/>
      <c r="CX17" s="322"/>
      <c r="CY17" s="322"/>
      <c r="CZ17" s="322"/>
      <c r="DA17" s="322"/>
      <c r="DB17" s="322">
        <v>32</v>
      </c>
      <c r="DC17" s="322">
        <v>57</v>
      </c>
      <c r="DD17" s="322">
        <v>57</v>
      </c>
      <c r="DE17" s="322">
        <v>57</v>
      </c>
      <c r="DF17" s="322">
        <v>57</v>
      </c>
      <c r="DG17" s="322">
        <v>4</v>
      </c>
      <c r="DH17" s="322">
        <v>4</v>
      </c>
      <c r="DI17" s="322">
        <v>4</v>
      </c>
      <c r="DJ17" s="322">
        <v>4</v>
      </c>
      <c r="DK17" s="322">
        <v>2</v>
      </c>
      <c r="DL17" s="322">
        <v>2</v>
      </c>
      <c r="DM17" s="322">
        <v>2</v>
      </c>
      <c r="DN17" s="322">
        <v>2</v>
      </c>
      <c r="DO17" s="322"/>
      <c r="DP17" s="322"/>
      <c r="DQ17" s="322"/>
      <c r="DR17" s="322"/>
      <c r="DS17" s="322"/>
      <c r="DT17" s="322"/>
      <c r="DU17" s="322"/>
      <c r="DV17" s="322"/>
      <c r="DW17" s="322"/>
      <c r="DX17" s="322"/>
      <c r="DY17" s="322"/>
      <c r="DZ17" s="322"/>
      <c r="EA17" s="322"/>
      <c r="EB17" s="322"/>
      <c r="EC17" s="322"/>
      <c r="ED17" s="322"/>
      <c r="EE17" s="322">
        <v>5</v>
      </c>
      <c r="EF17" s="322">
        <v>5</v>
      </c>
      <c r="EG17" s="322">
        <v>5</v>
      </c>
      <c r="EH17" s="322">
        <v>5</v>
      </c>
      <c r="EI17" s="322"/>
      <c r="EJ17" s="322"/>
      <c r="EK17" s="322"/>
      <c r="EL17" s="322"/>
      <c r="EM17" s="322"/>
      <c r="EN17" s="322"/>
      <c r="EO17" s="322"/>
      <c r="EP17" s="322"/>
      <c r="EQ17" s="322"/>
      <c r="ER17" s="322"/>
      <c r="ES17" s="322"/>
      <c r="ET17" s="322"/>
      <c r="EU17" s="322"/>
      <c r="EV17" s="322"/>
      <c r="EW17" s="322"/>
      <c r="EX17" s="322"/>
      <c r="EY17" s="322"/>
      <c r="EZ17" s="322"/>
      <c r="FA17" s="322"/>
      <c r="FB17" s="322"/>
      <c r="FC17" s="322"/>
      <c r="FD17" s="322"/>
      <c r="FE17" s="322"/>
      <c r="FF17" s="322"/>
      <c r="FG17" s="322"/>
      <c r="FH17" s="322"/>
      <c r="FI17" s="322"/>
      <c r="FJ17" s="322"/>
      <c r="FK17" s="322"/>
      <c r="FL17" s="322"/>
      <c r="FM17" s="322"/>
      <c r="FN17" s="322"/>
      <c r="FO17" s="322"/>
      <c r="FP17" s="322"/>
      <c r="FQ17" s="322"/>
      <c r="FR17" s="322"/>
      <c r="FS17" s="322"/>
      <c r="FT17" s="322"/>
      <c r="FU17" s="322"/>
      <c r="FV17" s="322"/>
      <c r="FW17" s="322"/>
      <c r="FX17" s="322"/>
      <c r="FY17" s="322"/>
      <c r="FZ17" s="322"/>
      <c r="GA17" s="322"/>
      <c r="GB17" s="322"/>
      <c r="GC17" s="322"/>
      <c r="GD17" s="322"/>
      <c r="GE17" s="322"/>
      <c r="GF17" s="322"/>
      <c r="GG17" s="322"/>
      <c r="GH17" s="322"/>
      <c r="GI17" s="322"/>
      <c r="GJ17" s="322"/>
      <c r="GK17" s="322"/>
      <c r="GL17" s="322"/>
      <c r="GM17" s="322"/>
      <c r="GN17" s="322"/>
      <c r="GO17" s="322"/>
      <c r="GP17" s="322"/>
      <c r="GQ17" s="322"/>
      <c r="GR17" s="322"/>
      <c r="GS17" s="322"/>
      <c r="GT17" s="322"/>
      <c r="GU17" s="322">
        <v>2</v>
      </c>
      <c r="GV17" s="322">
        <v>2</v>
      </c>
      <c r="GW17" s="322">
        <v>2</v>
      </c>
      <c r="GX17" s="322">
        <v>2</v>
      </c>
      <c r="GY17" s="322"/>
      <c r="GZ17" s="322"/>
      <c r="HA17" s="322"/>
      <c r="HB17" s="322"/>
      <c r="HC17" s="322"/>
      <c r="HD17" s="322"/>
      <c r="HE17" s="322"/>
      <c r="HF17" s="322"/>
      <c r="HG17" s="322"/>
      <c r="HH17" s="322"/>
      <c r="HI17" s="322"/>
      <c r="HJ17" s="322"/>
      <c r="HK17" s="322"/>
      <c r="HL17" s="322"/>
      <c r="HM17" s="322"/>
      <c r="HN17" s="322"/>
      <c r="HO17" s="322"/>
      <c r="HP17" s="322"/>
      <c r="HQ17" s="322"/>
      <c r="HR17" s="322"/>
      <c r="HS17" s="322"/>
      <c r="HT17" s="322"/>
      <c r="HU17" s="322"/>
      <c r="HV17" s="322"/>
      <c r="HW17" s="322">
        <v>2</v>
      </c>
      <c r="HX17" s="322">
        <v>2</v>
      </c>
      <c r="HY17" s="322">
        <v>2</v>
      </c>
      <c r="HZ17" s="322">
        <v>2</v>
      </c>
      <c r="IA17" s="322">
        <v>18</v>
      </c>
      <c r="IB17" s="322">
        <v>18</v>
      </c>
      <c r="IC17" s="322">
        <v>18</v>
      </c>
      <c r="ID17" s="322">
        <v>18</v>
      </c>
      <c r="IE17" s="322"/>
      <c r="IF17" s="322"/>
      <c r="IG17" s="322"/>
      <c r="IH17" s="322"/>
      <c r="II17" s="322"/>
      <c r="IJ17" s="322"/>
      <c r="IK17" s="322"/>
      <c r="IL17" s="322"/>
      <c r="IM17" s="322">
        <v>90</v>
      </c>
      <c r="IN17" s="322">
        <v>2</v>
      </c>
      <c r="IO17" s="322">
        <v>2</v>
      </c>
      <c r="IP17" s="322">
        <v>2</v>
      </c>
      <c r="IQ17" s="322">
        <v>2</v>
      </c>
      <c r="IR17" s="322"/>
      <c r="IS17" s="322"/>
      <c r="IT17" s="322"/>
      <c r="IU17" s="322"/>
      <c r="IV17" s="322"/>
      <c r="IW17" s="322"/>
      <c r="IX17" s="322"/>
      <c r="IY17" s="322"/>
      <c r="IZ17" s="322">
        <v>1</v>
      </c>
      <c r="JA17" s="322">
        <v>1</v>
      </c>
      <c r="JB17" s="322">
        <v>1</v>
      </c>
      <c r="JC17" s="322">
        <v>1</v>
      </c>
      <c r="JD17" s="322"/>
      <c r="JE17" s="322"/>
      <c r="JF17" s="322"/>
      <c r="JG17" s="322"/>
      <c r="JH17" s="322"/>
      <c r="JI17" s="322"/>
      <c r="JJ17" s="322"/>
      <c r="JK17" s="322"/>
      <c r="JL17" s="322"/>
      <c r="JM17" s="322"/>
      <c r="JN17" s="322"/>
      <c r="JO17" s="322"/>
      <c r="JP17" s="322"/>
      <c r="JQ17" s="322"/>
      <c r="JR17" s="322"/>
      <c r="JS17" s="322"/>
      <c r="JT17" s="322"/>
      <c r="JU17" s="322"/>
      <c r="JV17" s="322"/>
      <c r="JW17" s="322"/>
      <c r="JX17" s="322"/>
      <c r="JY17" s="322"/>
      <c r="JZ17" s="322"/>
      <c r="KA17" s="322"/>
      <c r="KB17" s="322"/>
      <c r="KC17" s="322"/>
      <c r="KD17" s="322"/>
      <c r="KE17" s="322"/>
      <c r="KF17" s="322"/>
      <c r="KG17" s="322"/>
      <c r="KH17" s="322"/>
      <c r="KI17" s="322"/>
      <c r="KJ17" s="322">
        <v>1</v>
      </c>
      <c r="KK17" s="322">
        <v>1</v>
      </c>
      <c r="KL17" s="322">
        <v>1</v>
      </c>
      <c r="KM17" s="322">
        <v>1</v>
      </c>
      <c r="KN17" s="322"/>
      <c r="KO17" s="322"/>
      <c r="KP17" s="322"/>
      <c r="KQ17" s="322"/>
      <c r="KR17" s="322"/>
      <c r="KS17" s="322"/>
      <c r="KT17" s="322"/>
      <c r="KU17" s="322"/>
      <c r="KV17" s="322"/>
      <c r="KW17" s="322"/>
      <c r="KX17" s="322"/>
      <c r="KY17" s="322"/>
      <c r="KZ17" s="322">
        <v>4</v>
      </c>
      <c r="LA17" s="322"/>
      <c r="LB17" s="322"/>
      <c r="LC17" s="322"/>
      <c r="LD17" s="322"/>
      <c r="LE17" s="322"/>
      <c r="LF17" s="324">
        <v>126</v>
      </c>
    </row>
    <row r="18" spans="1:318" x14ac:dyDescent="0.2">
      <c r="A18" s="327">
        <v>42655</v>
      </c>
      <c r="B18" s="322"/>
      <c r="C18" s="322"/>
      <c r="D18" s="322"/>
      <c r="E18" s="322"/>
      <c r="F18" s="322"/>
      <c r="G18" s="322"/>
      <c r="H18" s="322"/>
      <c r="I18" s="322"/>
      <c r="J18" s="322"/>
      <c r="K18" s="322"/>
      <c r="L18" s="322"/>
      <c r="M18" s="322"/>
      <c r="N18" s="322"/>
      <c r="O18" s="322"/>
      <c r="P18" s="322"/>
      <c r="Q18" s="322"/>
      <c r="R18" s="322"/>
      <c r="S18" s="322"/>
      <c r="T18" s="322"/>
      <c r="U18" s="322"/>
      <c r="V18" s="322"/>
      <c r="W18" s="322"/>
      <c r="X18" s="322"/>
      <c r="Y18" s="322"/>
      <c r="Z18" s="322"/>
      <c r="AA18" s="322"/>
      <c r="AB18" s="322"/>
      <c r="AC18" s="322"/>
      <c r="AD18" s="322"/>
      <c r="AE18" s="322"/>
      <c r="AF18" s="322"/>
      <c r="AG18" s="322"/>
      <c r="AH18" s="322"/>
      <c r="AI18" s="322"/>
      <c r="AJ18" s="322"/>
      <c r="AK18" s="322"/>
      <c r="AL18" s="322"/>
      <c r="AM18" s="322"/>
      <c r="AN18" s="322"/>
      <c r="AO18" s="322"/>
      <c r="AP18" s="322"/>
      <c r="AQ18" s="322"/>
      <c r="AR18" s="322"/>
      <c r="AS18" s="322"/>
      <c r="AT18" s="322"/>
      <c r="AU18" s="322"/>
      <c r="AV18" s="322"/>
      <c r="AW18" s="322"/>
      <c r="AX18" s="322"/>
      <c r="AY18" s="322"/>
      <c r="AZ18" s="322"/>
      <c r="BA18" s="322"/>
      <c r="BB18" s="322">
        <v>1</v>
      </c>
      <c r="BC18" s="322">
        <v>1</v>
      </c>
      <c r="BD18" s="322">
        <v>1</v>
      </c>
      <c r="BE18" s="322">
        <v>1</v>
      </c>
      <c r="BF18" s="322"/>
      <c r="BG18" s="322"/>
      <c r="BH18" s="322"/>
      <c r="BI18" s="322"/>
      <c r="BJ18" s="322"/>
      <c r="BK18" s="322"/>
      <c r="BL18" s="322"/>
      <c r="BM18" s="322"/>
      <c r="BN18" s="322"/>
      <c r="BO18" s="322"/>
      <c r="BP18" s="322"/>
      <c r="BQ18" s="322"/>
      <c r="BR18" s="322"/>
      <c r="BS18" s="322"/>
      <c r="BT18" s="322"/>
      <c r="BU18" s="322"/>
      <c r="BV18" s="322"/>
      <c r="BW18" s="322"/>
      <c r="BX18" s="322"/>
      <c r="BY18" s="322"/>
      <c r="BZ18" s="322"/>
      <c r="CA18" s="322"/>
      <c r="CB18" s="322"/>
      <c r="CC18" s="322"/>
      <c r="CD18" s="322">
        <v>1</v>
      </c>
      <c r="CE18" s="322">
        <v>1</v>
      </c>
      <c r="CF18" s="322">
        <v>1</v>
      </c>
      <c r="CG18" s="322">
        <v>1</v>
      </c>
      <c r="CH18" s="322"/>
      <c r="CI18" s="322"/>
      <c r="CJ18" s="322"/>
      <c r="CK18" s="322"/>
      <c r="CL18" s="322">
        <v>27</v>
      </c>
      <c r="CM18" s="322">
        <v>27</v>
      </c>
      <c r="CN18" s="322">
        <v>27</v>
      </c>
      <c r="CO18" s="322">
        <v>27</v>
      </c>
      <c r="CP18" s="322"/>
      <c r="CQ18" s="322"/>
      <c r="CR18" s="322"/>
      <c r="CS18" s="322"/>
      <c r="CT18" s="322"/>
      <c r="CU18" s="322"/>
      <c r="CV18" s="322"/>
      <c r="CW18" s="322"/>
      <c r="CX18" s="322"/>
      <c r="CY18" s="322"/>
      <c r="CZ18" s="322"/>
      <c r="DA18" s="322"/>
      <c r="DB18" s="322">
        <v>29</v>
      </c>
      <c r="DC18" s="322">
        <v>69</v>
      </c>
      <c r="DD18" s="322">
        <v>69</v>
      </c>
      <c r="DE18" s="322">
        <v>69</v>
      </c>
      <c r="DF18" s="322">
        <v>69</v>
      </c>
      <c r="DG18" s="322">
        <v>8</v>
      </c>
      <c r="DH18" s="322">
        <v>8</v>
      </c>
      <c r="DI18" s="322">
        <v>8</v>
      </c>
      <c r="DJ18" s="322">
        <v>8</v>
      </c>
      <c r="DK18" s="322">
        <v>4</v>
      </c>
      <c r="DL18" s="322">
        <v>4</v>
      </c>
      <c r="DM18" s="322">
        <v>4</v>
      </c>
      <c r="DN18" s="322">
        <v>4</v>
      </c>
      <c r="DO18" s="322"/>
      <c r="DP18" s="322"/>
      <c r="DQ18" s="322"/>
      <c r="DR18" s="322"/>
      <c r="DS18" s="322"/>
      <c r="DT18" s="322"/>
      <c r="DU18" s="322"/>
      <c r="DV18" s="322"/>
      <c r="DW18" s="322"/>
      <c r="DX18" s="322"/>
      <c r="DY18" s="322"/>
      <c r="DZ18" s="322"/>
      <c r="EA18" s="322"/>
      <c r="EB18" s="322"/>
      <c r="EC18" s="322"/>
      <c r="ED18" s="322"/>
      <c r="EE18" s="322"/>
      <c r="EF18" s="322"/>
      <c r="EG18" s="322"/>
      <c r="EH18" s="322"/>
      <c r="EI18" s="322"/>
      <c r="EJ18" s="322"/>
      <c r="EK18" s="322"/>
      <c r="EL18" s="322"/>
      <c r="EM18" s="322"/>
      <c r="EN18" s="322"/>
      <c r="EO18" s="322"/>
      <c r="EP18" s="322"/>
      <c r="EQ18" s="322"/>
      <c r="ER18" s="322"/>
      <c r="ES18" s="322"/>
      <c r="ET18" s="322"/>
      <c r="EU18" s="322"/>
      <c r="EV18" s="322"/>
      <c r="EW18" s="322"/>
      <c r="EX18" s="322"/>
      <c r="EY18" s="322"/>
      <c r="EZ18" s="322"/>
      <c r="FA18" s="322"/>
      <c r="FB18" s="322"/>
      <c r="FC18" s="322"/>
      <c r="FD18" s="322"/>
      <c r="FE18" s="322"/>
      <c r="FF18" s="322"/>
      <c r="FG18" s="322"/>
      <c r="FH18" s="322"/>
      <c r="FI18" s="322"/>
      <c r="FJ18" s="322"/>
      <c r="FK18" s="322"/>
      <c r="FL18" s="322"/>
      <c r="FM18" s="322"/>
      <c r="FN18" s="322"/>
      <c r="FO18" s="322"/>
      <c r="FP18" s="322"/>
      <c r="FQ18" s="322"/>
      <c r="FR18" s="322"/>
      <c r="FS18" s="322"/>
      <c r="FT18" s="322"/>
      <c r="FU18" s="322"/>
      <c r="FV18" s="322"/>
      <c r="FW18" s="322"/>
      <c r="FX18" s="322"/>
      <c r="FY18" s="322"/>
      <c r="FZ18" s="322"/>
      <c r="GA18" s="322"/>
      <c r="GB18" s="322"/>
      <c r="GC18" s="322"/>
      <c r="GD18" s="322"/>
      <c r="GE18" s="322"/>
      <c r="GF18" s="322"/>
      <c r="GG18" s="322"/>
      <c r="GH18" s="322"/>
      <c r="GI18" s="322"/>
      <c r="GJ18" s="322"/>
      <c r="GK18" s="322"/>
      <c r="GL18" s="322"/>
      <c r="GM18" s="322"/>
      <c r="GN18" s="322"/>
      <c r="GO18" s="322"/>
      <c r="GP18" s="322"/>
      <c r="GQ18" s="322"/>
      <c r="GR18" s="322"/>
      <c r="GS18" s="322"/>
      <c r="GT18" s="322"/>
      <c r="GU18" s="322"/>
      <c r="GV18" s="322"/>
      <c r="GW18" s="322"/>
      <c r="GX18" s="322"/>
      <c r="GY18" s="322"/>
      <c r="GZ18" s="322"/>
      <c r="HA18" s="322"/>
      <c r="HB18" s="322"/>
      <c r="HC18" s="322"/>
      <c r="HD18" s="322"/>
      <c r="HE18" s="322"/>
      <c r="HF18" s="322"/>
      <c r="HG18" s="322"/>
      <c r="HH18" s="322"/>
      <c r="HI18" s="322"/>
      <c r="HJ18" s="322"/>
      <c r="HK18" s="322"/>
      <c r="HL18" s="322"/>
      <c r="HM18" s="322"/>
      <c r="HN18" s="322"/>
      <c r="HO18" s="322"/>
      <c r="HP18" s="322"/>
      <c r="HQ18" s="322"/>
      <c r="HR18" s="322"/>
      <c r="HS18" s="322"/>
      <c r="HT18" s="322"/>
      <c r="HU18" s="322"/>
      <c r="HV18" s="322"/>
      <c r="HW18" s="322">
        <v>1</v>
      </c>
      <c r="HX18" s="322">
        <v>1</v>
      </c>
      <c r="HY18" s="322">
        <v>1</v>
      </c>
      <c r="HZ18" s="322">
        <v>1</v>
      </c>
      <c r="IA18" s="322">
        <v>23</v>
      </c>
      <c r="IB18" s="322">
        <v>23</v>
      </c>
      <c r="IC18" s="322">
        <v>23</v>
      </c>
      <c r="ID18" s="322">
        <v>23</v>
      </c>
      <c r="IE18" s="322"/>
      <c r="IF18" s="322"/>
      <c r="IG18" s="322"/>
      <c r="IH18" s="322"/>
      <c r="II18" s="322"/>
      <c r="IJ18" s="322"/>
      <c r="IK18" s="322"/>
      <c r="IL18" s="322"/>
      <c r="IM18" s="322">
        <v>105</v>
      </c>
      <c r="IN18" s="322">
        <v>1</v>
      </c>
      <c r="IO18" s="322">
        <v>1</v>
      </c>
      <c r="IP18" s="322">
        <v>1</v>
      </c>
      <c r="IQ18" s="322">
        <v>1</v>
      </c>
      <c r="IR18" s="322">
        <v>2</v>
      </c>
      <c r="IS18" s="322">
        <v>2</v>
      </c>
      <c r="IT18" s="322">
        <v>2</v>
      </c>
      <c r="IU18" s="322">
        <v>2</v>
      </c>
      <c r="IV18" s="322"/>
      <c r="IW18" s="322"/>
      <c r="IX18" s="322"/>
      <c r="IY18" s="322"/>
      <c r="IZ18" s="322"/>
      <c r="JA18" s="322"/>
      <c r="JB18" s="322"/>
      <c r="JC18" s="322"/>
      <c r="JD18" s="322"/>
      <c r="JE18" s="322"/>
      <c r="JF18" s="322"/>
      <c r="JG18" s="322"/>
      <c r="JH18" s="322">
        <v>8</v>
      </c>
      <c r="JI18" s="322">
        <v>8</v>
      </c>
      <c r="JJ18" s="322">
        <v>8</v>
      </c>
      <c r="JK18" s="322">
        <v>8</v>
      </c>
      <c r="JL18" s="322"/>
      <c r="JM18" s="322"/>
      <c r="JN18" s="322"/>
      <c r="JO18" s="322"/>
      <c r="JP18" s="322">
        <v>4</v>
      </c>
      <c r="JQ18" s="322">
        <v>4</v>
      </c>
      <c r="JR18" s="322">
        <v>4</v>
      </c>
      <c r="JS18" s="322">
        <v>4</v>
      </c>
      <c r="JT18" s="322"/>
      <c r="JU18" s="322"/>
      <c r="JV18" s="322"/>
      <c r="JW18" s="322"/>
      <c r="JX18" s="322"/>
      <c r="JY18" s="322"/>
      <c r="JZ18" s="322"/>
      <c r="KA18" s="322"/>
      <c r="KB18" s="322"/>
      <c r="KC18" s="322"/>
      <c r="KD18" s="322"/>
      <c r="KE18" s="322"/>
      <c r="KF18" s="322"/>
      <c r="KG18" s="322"/>
      <c r="KH18" s="322"/>
      <c r="KI18" s="322"/>
      <c r="KJ18" s="322">
        <v>1</v>
      </c>
      <c r="KK18" s="322">
        <v>1</v>
      </c>
      <c r="KL18" s="322">
        <v>1</v>
      </c>
      <c r="KM18" s="322">
        <v>1</v>
      </c>
      <c r="KN18" s="322"/>
      <c r="KO18" s="322"/>
      <c r="KP18" s="322"/>
      <c r="KQ18" s="322"/>
      <c r="KR18" s="322"/>
      <c r="KS18" s="322"/>
      <c r="KT18" s="322"/>
      <c r="KU18" s="322"/>
      <c r="KV18" s="322"/>
      <c r="KW18" s="322"/>
      <c r="KX18" s="322"/>
      <c r="KY18" s="322"/>
      <c r="KZ18" s="322">
        <v>16</v>
      </c>
      <c r="LA18" s="322"/>
      <c r="LB18" s="322"/>
      <c r="LC18" s="322"/>
      <c r="LD18" s="322"/>
      <c r="LE18" s="322"/>
      <c r="LF18" s="324">
        <v>150</v>
      </c>
    </row>
    <row r="19" spans="1:318" x14ac:dyDescent="0.2">
      <c r="A19" s="327">
        <v>42656</v>
      </c>
      <c r="B19" s="322"/>
      <c r="C19" s="322"/>
      <c r="D19" s="322"/>
      <c r="E19" s="322"/>
      <c r="F19" s="322"/>
      <c r="G19" s="322"/>
      <c r="H19" s="322"/>
      <c r="I19" s="322"/>
      <c r="J19" s="322"/>
      <c r="K19" s="322"/>
      <c r="L19" s="322"/>
      <c r="M19" s="322"/>
      <c r="N19" s="322"/>
      <c r="O19" s="322"/>
      <c r="P19" s="322"/>
      <c r="Q19" s="322"/>
      <c r="R19" s="322"/>
      <c r="S19" s="322"/>
      <c r="T19" s="322"/>
      <c r="U19" s="322"/>
      <c r="V19" s="322"/>
      <c r="W19" s="322"/>
      <c r="X19" s="322"/>
      <c r="Y19" s="322"/>
      <c r="Z19" s="322"/>
      <c r="AA19" s="322"/>
      <c r="AB19" s="322"/>
      <c r="AC19" s="322"/>
      <c r="AD19" s="322"/>
      <c r="AE19" s="322"/>
      <c r="AF19" s="322"/>
      <c r="AG19" s="322"/>
      <c r="AH19" s="322"/>
      <c r="AI19" s="322"/>
      <c r="AJ19" s="322"/>
      <c r="AK19" s="322"/>
      <c r="AL19" s="322"/>
      <c r="AM19" s="322"/>
      <c r="AN19" s="322"/>
      <c r="AO19" s="322"/>
      <c r="AP19" s="322"/>
      <c r="AQ19" s="322"/>
      <c r="AR19" s="322"/>
      <c r="AS19" s="322"/>
      <c r="AT19" s="322"/>
      <c r="AU19" s="322"/>
      <c r="AV19" s="322"/>
      <c r="AW19" s="322"/>
      <c r="AX19" s="322"/>
      <c r="AY19" s="322"/>
      <c r="AZ19" s="322"/>
      <c r="BA19" s="322"/>
      <c r="BB19" s="322"/>
      <c r="BC19" s="322"/>
      <c r="BD19" s="322"/>
      <c r="BE19" s="322"/>
      <c r="BF19" s="322"/>
      <c r="BG19" s="322"/>
      <c r="BH19" s="322"/>
      <c r="BI19" s="322"/>
      <c r="BJ19" s="322"/>
      <c r="BK19" s="322"/>
      <c r="BL19" s="322"/>
      <c r="BM19" s="322"/>
      <c r="BN19" s="322"/>
      <c r="BO19" s="322"/>
      <c r="BP19" s="322"/>
      <c r="BQ19" s="322"/>
      <c r="BR19" s="322"/>
      <c r="BS19" s="322"/>
      <c r="BT19" s="322"/>
      <c r="BU19" s="322"/>
      <c r="BV19" s="322"/>
      <c r="BW19" s="322"/>
      <c r="BX19" s="322"/>
      <c r="BY19" s="322"/>
      <c r="BZ19" s="322"/>
      <c r="CA19" s="322"/>
      <c r="CB19" s="322"/>
      <c r="CC19" s="322"/>
      <c r="CD19" s="322"/>
      <c r="CE19" s="322"/>
      <c r="CF19" s="322"/>
      <c r="CG19" s="322"/>
      <c r="CH19" s="322"/>
      <c r="CI19" s="322"/>
      <c r="CJ19" s="322"/>
      <c r="CK19" s="322"/>
      <c r="CL19" s="322">
        <v>6</v>
      </c>
      <c r="CM19" s="322">
        <v>6</v>
      </c>
      <c r="CN19" s="322">
        <v>6</v>
      </c>
      <c r="CO19" s="322">
        <v>6</v>
      </c>
      <c r="CP19" s="322"/>
      <c r="CQ19" s="322"/>
      <c r="CR19" s="322"/>
      <c r="CS19" s="322"/>
      <c r="CT19" s="322"/>
      <c r="CU19" s="322"/>
      <c r="CV19" s="322"/>
      <c r="CW19" s="322"/>
      <c r="CX19" s="322"/>
      <c r="CY19" s="322"/>
      <c r="CZ19" s="322"/>
      <c r="DA19" s="322"/>
      <c r="DB19" s="322">
        <v>6</v>
      </c>
      <c r="DC19" s="322">
        <v>72</v>
      </c>
      <c r="DD19" s="322">
        <v>72</v>
      </c>
      <c r="DE19" s="322">
        <v>72</v>
      </c>
      <c r="DF19" s="322">
        <v>72</v>
      </c>
      <c r="DG19" s="322"/>
      <c r="DH19" s="322"/>
      <c r="DI19" s="322"/>
      <c r="DJ19" s="322"/>
      <c r="DK19" s="322">
        <v>2</v>
      </c>
      <c r="DL19" s="322">
        <v>2</v>
      </c>
      <c r="DM19" s="322">
        <v>2</v>
      </c>
      <c r="DN19" s="322">
        <v>2</v>
      </c>
      <c r="DO19" s="322"/>
      <c r="DP19" s="322"/>
      <c r="DQ19" s="322"/>
      <c r="DR19" s="322"/>
      <c r="DS19" s="322"/>
      <c r="DT19" s="322"/>
      <c r="DU19" s="322"/>
      <c r="DV19" s="322"/>
      <c r="DW19" s="322"/>
      <c r="DX19" s="322"/>
      <c r="DY19" s="322"/>
      <c r="DZ19" s="322"/>
      <c r="EA19" s="322"/>
      <c r="EB19" s="322"/>
      <c r="EC19" s="322"/>
      <c r="ED19" s="322"/>
      <c r="EE19" s="322"/>
      <c r="EF19" s="322"/>
      <c r="EG19" s="322"/>
      <c r="EH19" s="322"/>
      <c r="EI19" s="322"/>
      <c r="EJ19" s="322"/>
      <c r="EK19" s="322"/>
      <c r="EL19" s="322"/>
      <c r="EM19" s="322"/>
      <c r="EN19" s="322"/>
      <c r="EO19" s="322"/>
      <c r="EP19" s="322"/>
      <c r="EQ19" s="322"/>
      <c r="ER19" s="322"/>
      <c r="ES19" s="322"/>
      <c r="ET19" s="322"/>
      <c r="EU19" s="322"/>
      <c r="EV19" s="322"/>
      <c r="EW19" s="322"/>
      <c r="EX19" s="322"/>
      <c r="EY19" s="322"/>
      <c r="EZ19" s="322"/>
      <c r="FA19" s="322"/>
      <c r="FB19" s="322"/>
      <c r="FC19" s="322"/>
      <c r="FD19" s="322"/>
      <c r="FE19" s="322"/>
      <c r="FF19" s="322"/>
      <c r="FG19" s="322"/>
      <c r="FH19" s="322"/>
      <c r="FI19" s="322"/>
      <c r="FJ19" s="322"/>
      <c r="FK19" s="322"/>
      <c r="FL19" s="322"/>
      <c r="FM19" s="322"/>
      <c r="FN19" s="322"/>
      <c r="FO19" s="322"/>
      <c r="FP19" s="322"/>
      <c r="FQ19" s="322"/>
      <c r="FR19" s="322"/>
      <c r="FS19" s="322"/>
      <c r="FT19" s="322"/>
      <c r="FU19" s="322"/>
      <c r="FV19" s="322"/>
      <c r="FW19" s="322"/>
      <c r="FX19" s="322"/>
      <c r="FY19" s="322"/>
      <c r="FZ19" s="322"/>
      <c r="GA19" s="322"/>
      <c r="GB19" s="322"/>
      <c r="GC19" s="322"/>
      <c r="GD19" s="322"/>
      <c r="GE19" s="322"/>
      <c r="GF19" s="322"/>
      <c r="GG19" s="322"/>
      <c r="GH19" s="322"/>
      <c r="GI19" s="322"/>
      <c r="GJ19" s="322"/>
      <c r="GK19" s="322"/>
      <c r="GL19" s="322"/>
      <c r="GM19" s="322"/>
      <c r="GN19" s="322"/>
      <c r="GO19" s="322"/>
      <c r="GP19" s="322"/>
      <c r="GQ19" s="322"/>
      <c r="GR19" s="322"/>
      <c r="GS19" s="322"/>
      <c r="GT19" s="322"/>
      <c r="GU19" s="322"/>
      <c r="GV19" s="322"/>
      <c r="GW19" s="322"/>
      <c r="GX19" s="322"/>
      <c r="GY19" s="322"/>
      <c r="GZ19" s="322"/>
      <c r="HA19" s="322"/>
      <c r="HB19" s="322"/>
      <c r="HC19" s="322"/>
      <c r="HD19" s="322"/>
      <c r="HE19" s="322"/>
      <c r="HF19" s="322"/>
      <c r="HG19" s="322"/>
      <c r="HH19" s="322"/>
      <c r="HI19" s="322"/>
      <c r="HJ19" s="322"/>
      <c r="HK19" s="322"/>
      <c r="HL19" s="322"/>
      <c r="HM19" s="322"/>
      <c r="HN19" s="322"/>
      <c r="HO19" s="322"/>
      <c r="HP19" s="322"/>
      <c r="HQ19" s="322"/>
      <c r="HR19" s="322"/>
      <c r="HS19" s="322"/>
      <c r="HT19" s="322"/>
      <c r="HU19" s="322"/>
      <c r="HV19" s="322"/>
      <c r="HW19" s="322">
        <v>1</v>
      </c>
      <c r="HX19" s="322">
        <v>1</v>
      </c>
      <c r="HY19" s="322">
        <v>1</v>
      </c>
      <c r="HZ19" s="322">
        <v>1</v>
      </c>
      <c r="IA19" s="322">
        <v>22</v>
      </c>
      <c r="IB19" s="322">
        <v>22</v>
      </c>
      <c r="IC19" s="322">
        <v>22</v>
      </c>
      <c r="ID19" s="322">
        <v>22</v>
      </c>
      <c r="IE19" s="322"/>
      <c r="IF19" s="322"/>
      <c r="IG19" s="322"/>
      <c r="IH19" s="322"/>
      <c r="II19" s="322"/>
      <c r="IJ19" s="322"/>
      <c r="IK19" s="322"/>
      <c r="IL19" s="322"/>
      <c r="IM19" s="322">
        <v>97</v>
      </c>
      <c r="IN19" s="322"/>
      <c r="IO19" s="322"/>
      <c r="IP19" s="322"/>
      <c r="IQ19" s="322"/>
      <c r="IR19" s="322"/>
      <c r="IS19" s="322"/>
      <c r="IT19" s="322"/>
      <c r="IU19" s="322"/>
      <c r="IV19" s="322"/>
      <c r="IW19" s="322"/>
      <c r="IX19" s="322"/>
      <c r="IY19" s="322"/>
      <c r="IZ19" s="322">
        <v>3</v>
      </c>
      <c r="JA19" s="322">
        <v>3</v>
      </c>
      <c r="JB19" s="322">
        <v>3</v>
      </c>
      <c r="JC19" s="322">
        <v>3</v>
      </c>
      <c r="JD19" s="322"/>
      <c r="JE19" s="322"/>
      <c r="JF19" s="322"/>
      <c r="JG19" s="322"/>
      <c r="JH19" s="322"/>
      <c r="JI19" s="322"/>
      <c r="JJ19" s="322"/>
      <c r="JK19" s="322"/>
      <c r="JL19" s="322"/>
      <c r="JM19" s="322"/>
      <c r="JN19" s="322"/>
      <c r="JO19" s="322"/>
      <c r="JP19" s="322"/>
      <c r="JQ19" s="322"/>
      <c r="JR19" s="322"/>
      <c r="JS19" s="322"/>
      <c r="JT19" s="322"/>
      <c r="JU19" s="322"/>
      <c r="JV19" s="322"/>
      <c r="JW19" s="322"/>
      <c r="JX19" s="322">
        <v>1</v>
      </c>
      <c r="JY19" s="322">
        <v>1</v>
      </c>
      <c r="JZ19" s="322">
        <v>1</v>
      </c>
      <c r="KA19" s="322">
        <v>1</v>
      </c>
      <c r="KB19" s="322"/>
      <c r="KC19" s="322"/>
      <c r="KD19" s="322"/>
      <c r="KE19" s="322"/>
      <c r="KF19" s="322"/>
      <c r="KG19" s="322"/>
      <c r="KH19" s="322"/>
      <c r="KI19" s="322"/>
      <c r="KJ19" s="322"/>
      <c r="KK19" s="322"/>
      <c r="KL19" s="322"/>
      <c r="KM19" s="322"/>
      <c r="KN19" s="322"/>
      <c r="KO19" s="322"/>
      <c r="KP19" s="322"/>
      <c r="KQ19" s="322"/>
      <c r="KR19" s="322"/>
      <c r="KS19" s="322"/>
      <c r="KT19" s="322"/>
      <c r="KU19" s="322"/>
      <c r="KV19" s="322"/>
      <c r="KW19" s="322"/>
      <c r="KX19" s="322"/>
      <c r="KY19" s="322"/>
      <c r="KZ19" s="322">
        <v>4</v>
      </c>
      <c r="LA19" s="322"/>
      <c r="LB19" s="322"/>
      <c r="LC19" s="322"/>
      <c r="LD19" s="322"/>
      <c r="LE19" s="322"/>
      <c r="LF19" s="324">
        <v>107</v>
      </c>
    </row>
    <row r="20" spans="1:318" x14ac:dyDescent="0.2">
      <c r="A20" s="327">
        <v>42657</v>
      </c>
      <c r="B20" s="322"/>
      <c r="C20" s="322"/>
      <c r="D20" s="322"/>
      <c r="E20" s="322"/>
      <c r="F20" s="322"/>
      <c r="G20" s="322"/>
      <c r="H20" s="322"/>
      <c r="I20" s="322"/>
      <c r="J20" s="322"/>
      <c r="K20" s="322"/>
      <c r="L20" s="322"/>
      <c r="M20" s="322"/>
      <c r="N20" s="322"/>
      <c r="O20" s="322"/>
      <c r="P20" s="322"/>
      <c r="Q20" s="322"/>
      <c r="R20" s="322"/>
      <c r="S20" s="322"/>
      <c r="T20" s="322"/>
      <c r="U20" s="322"/>
      <c r="V20" s="322"/>
      <c r="W20" s="322"/>
      <c r="X20" s="322"/>
      <c r="Y20" s="322"/>
      <c r="Z20" s="322"/>
      <c r="AA20" s="322"/>
      <c r="AB20" s="322"/>
      <c r="AC20" s="322"/>
      <c r="AD20" s="322"/>
      <c r="AE20" s="322"/>
      <c r="AF20" s="322"/>
      <c r="AG20" s="322"/>
      <c r="AH20" s="322"/>
      <c r="AI20" s="322"/>
      <c r="AJ20" s="322"/>
      <c r="AK20" s="322"/>
      <c r="AL20" s="322"/>
      <c r="AM20" s="322"/>
      <c r="AN20" s="322"/>
      <c r="AO20" s="322"/>
      <c r="AP20" s="322"/>
      <c r="AQ20" s="322"/>
      <c r="AR20" s="322"/>
      <c r="AS20" s="322"/>
      <c r="AT20" s="322"/>
      <c r="AU20" s="322"/>
      <c r="AV20" s="322"/>
      <c r="AW20" s="322"/>
      <c r="AX20" s="322"/>
      <c r="AY20" s="322"/>
      <c r="AZ20" s="322"/>
      <c r="BA20" s="322"/>
      <c r="BB20" s="322"/>
      <c r="BC20" s="322"/>
      <c r="BD20" s="322"/>
      <c r="BE20" s="322"/>
      <c r="BF20" s="322"/>
      <c r="BG20" s="322"/>
      <c r="BH20" s="322"/>
      <c r="BI20" s="322"/>
      <c r="BJ20" s="322"/>
      <c r="BK20" s="322"/>
      <c r="BL20" s="322"/>
      <c r="BM20" s="322"/>
      <c r="BN20" s="322"/>
      <c r="BO20" s="322"/>
      <c r="BP20" s="322"/>
      <c r="BQ20" s="322"/>
      <c r="BR20" s="322"/>
      <c r="BS20" s="322"/>
      <c r="BT20" s="322"/>
      <c r="BU20" s="322"/>
      <c r="BV20" s="322"/>
      <c r="BW20" s="322"/>
      <c r="BX20" s="322"/>
      <c r="BY20" s="322"/>
      <c r="BZ20" s="322"/>
      <c r="CA20" s="322"/>
      <c r="CB20" s="322"/>
      <c r="CC20" s="322"/>
      <c r="CD20" s="322"/>
      <c r="CE20" s="322"/>
      <c r="CF20" s="322"/>
      <c r="CG20" s="322"/>
      <c r="CH20" s="322"/>
      <c r="CI20" s="322"/>
      <c r="CJ20" s="322"/>
      <c r="CK20" s="322"/>
      <c r="CL20" s="322"/>
      <c r="CM20" s="322"/>
      <c r="CN20" s="322"/>
      <c r="CO20" s="322"/>
      <c r="CP20" s="322"/>
      <c r="CQ20" s="322"/>
      <c r="CR20" s="322"/>
      <c r="CS20" s="322"/>
      <c r="CT20" s="322"/>
      <c r="CU20" s="322"/>
      <c r="CV20" s="322"/>
      <c r="CW20" s="322"/>
      <c r="CX20" s="322"/>
      <c r="CY20" s="322"/>
      <c r="CZ20" s="322"/>
      <c r="DA20" s="322"/>
      <c r="DB20" s="322"/>
      <c r="DC20" s="322">
        <v>48</v>
      </c>
      <c r="DD20" s="322">
        <v>48</v>
      </c>
      <c r="DE20" s="322">
        <v>48</v>
      </c>
      <c r="DF20" s="322">
        <v>48</v>
      </c>
      <c r="DG20" s="322"/>
      <c r="DH20" s="322"/>
      <c r="DI20" s="322"/>
      <c r="DJ20" s="322"/>
      <c r="DK20" s="322"/>
      <c r="DL20" s="322"/>
      <c r="DM20" s="322"/>
      <c r="DN20" s="322"/>
      <c r="DO20" s="322"/>
      <c r="DP20" s="322"/>
      <c r="DQ20" s="322"/>
      <c r="DR20" s="322"/>
      <c r="DS20" s="322"/>
      <c r="DT20" s="322"/>
      <c r="DU20" s="322"/>
      <c r="DV20" s="322"/>
      <c r="DW20" s="322"/>
      <c r="DX20" s="322"/>
      <c r="DY20" s="322"/>
      <c r="DZ20" s="322"/>
      <c r="EA20" s="322"/>
      <c r="EB20" s="322"/>
      <c r="EC20" s="322"/>
      <c r="ED20" s="322"/>
      <c r="EE20" s="322"/>
      <c r="EF20" s="322"/>
      <c r="EG20" s="322"/>
      <c r="EH20" s="322"/>
      <c r="EI20" s="322"/>
      <c r="EJ20" s="322"/>
      <c r="EK20" s="322"/>
      <c r="EL20" s="322"/>
      <c r="EM20" s="322"/>
      <c r="EN20" s="322"/>
      <c r="EO20" s="322"/>
      <c r="EP20" s="322"/>
      <c r="EQ20" s="322"/>
      <c r="ER20" s="322"/>
      <c r="ES20" s="322"/>
      <c r="ET20" s="322"/>
      <c r="EU20" s="322"/>
      <c r="EV20" s="322"/>
      <c r="EW20" s="322"/>
      <c r="EX20" s="322"/>
      <c r="EY20" s="322"/>
      <c r="EZ20" s="322"/>
      <c r="FA20" s="322"/>
      <c r="FB20" s="322"/>
      <c r="FC20" s="322"/>
      <c r="FD20" s="322"/>
      <c r="FE20" s="322"/>
      <c r="FF20" s="322"/>
      <c r="FG20" s="322"/>
      <c r="FH20" s="322"/>
      <c r="FI20" s="322"/>
      <c r="FJ20" s="322"/>
      <c r="FK20" s="322"/>
      <c r="FL20" s="322"/>
      <c r="FM20" s="322"/>
      <c r="FN20" s="322"/>
      <c r="FO20" s="322"/>
      <c r="FP20" s="322"/>
      <c r="FQ20" s="322"/>
      <c r="FR20" s="322"/>
      <c r="FS20" s="322"/>
      <c r="FT20" s="322"/>
      <c r="FU20" s="322"/>
      <c r="FV20" s="322"/>
      <c r="FW20" s="322"/>
      <c r="FX20" s="322"/>
      <c r="FY20" s="322"/>
      <c r="FZ20" s="322"/>
      <c r="GA20" s="322"/>
      <c r="GB20" s="322"/>
      <c r="GC20" s="322"/>
      <c r="GD20" s="322"/>
      <c r="GE20" s="322"/>
      <c r="GF20" s="322"/>
      <c r="GG20" s="322"/>
      <c r="GH20" s="322"/>
      <c r="GI20" s="322"/>
      <c r="GJ20" s="322"/>
      <c r="GK20" s="322"/>
      <c r="GL20" s="322"/>
      <c r="GM20" s="322"/>
      <c r="GN20" s="322"/>
      <c r="GO20" s="322"/>
      <c r="GP20" s="322"/>
      <c r="GQ20" s="322"/>
      <c r="GR20" s="322"/>
      <c r="GS20" s="322"/>
      <c r="GT20" s="322"/>
      <c r="GU20" s="322"/>
      <c r="GV20" s="322"/>
      <c r="GW20" s="322"/>
      <c r="GX20" s="322"/>
      <c r="GY20" s="322"/>
      <c r="GZ20" s="322"/>
      <c r="HA20" s="322"/>
      <c r="HB20" s="322"/>
      <c r="HC20" s="322"/>
      <c r="HD20" s="322"/>
      <c r="HE20" s="322"/>
      <c r="HF20" s="322"/>
      <c r="HG20" s="322"/>
      <c r="HH20" s="322"/>
      <c r="HI20" s="322"/>
      <c r="HJ20" s="322"/>
      <c r="HK20" s="322"/>
      <c r="HL20" s="322"/>
      <c r="HM20" s="322"/>
      <c r="HN20" s="322"/>
      <c r="HO20" s="322"/>
      <c r="HP20" s="322"/>
      <c r="HQ20" s="322"/>
      <c r="HR20" s="322"/>
      <c r="HS20" s="322"/>
      <c r="HT20" s="322"/>
      <c r="HU20" s="322"/>
      <c r="HV20" s="322"/>
      <c r="HW20" s="322"/>
      <c r="HX20" s="322"/>
      <c r="HY20" s="322"/>
      <c r="HZ20" s="322"/>
      <c r="IA20" s="322">
        <v>24</v>
      </c>
      <c r="IB20" s="322">
        <v>24</v>
      </c>
      <c r="IC20" s="322">
        <v>24</v>
      </c>
      <c r="ID20" s="322">
        <v>24</v>
      </c>
      <c r="IE20" s="322"/>
      <c r="IF20" s="322"/>
      <c r="IG20" s="322"/>
      <c r="IH20" s="322"/>
      <c r="II20" s="322"/>
      <c r="IJ20" s="322"/>
      <c r="IK20" s="322"/>
      <c r="IL20" s="322"/>
      <c r="IM20" s="322">
        <v>72</v>
      </c>
      <c r="IN20" s="322"/>
      <c r="IO20" s="322"/>
      <c r="IP20" s="322"/>
      <c r="IQ20" s="322"/>
      <c r="IR20" s="322"/>
      <c r="IS20" s="322"/>
      <c r="IT20" s="322"/>
      <c r="IU20" s="322"/>
      <c r="IV20" s="322"/>
      <c r="IW20" s="322"/>
      <c r="IX20" s="322"/>
      <c r="IY20" s="322"/>
      <c r="IZ20" s="322"/>
      <c r="JA20" s="322"/>
      <c r="JB20" s="322"/>
      <c r="JC20" s="322"/>
      <c r="JD20" s="322"/>
      <c r="JE20" s="322"/>
      <c r="JF20" s="322"/>
      <c r="JG20" s="322"/>
      <c r="JH20" s="322">
        <v>4</v>
      </c>
      <c r="JI20" s="322">
        <v>4</v>
      </c>
      <c r="JJ20" s="322">
        <v>4</v>
      </c>
      <c r="JK20" s="322">
        <v>4</v>
      </c>
      <c r="JL20" s="322"/>
      <c r="JM20" s="322"/>
      <c r="JN20" s="322"/>
      <c r="JO20" s="322"/>
      <c r="JP20" s="322">
        <v>4</v>
      </c>
      <c r="JQ20" s="322">
        <v>4</v>
      </c>
      <c r="JR20" s="322">
        <v>4</v>
      </c>
      <c r="JS20" s="322">
        <v>4</v>
      </c>
      <c r="JT20" s="322"/>
      <c r="JU20" s="322"/>
      <c r="JV20" s="322"/>
      <c r="JW20" s="322"/>
      <c r="JX20" s="322"/>
      <c r="JY20" s="322"/>
      <c r="JZ20" s="322"/>
      <c r="KA20" s="322"/>
      <c r="KB20" s="322"/>
      <c r="KC20" s="322"/>
      <c r="KD20" s="322"/>
      <c r="KE20" s="322"/>
      <c r="KF20" s="322">
        <v>1</v>
      </c>
      <c r="KG20" s="322">
        <v>1</v>
      </c>
      <c r="KH20" s="322">
        <v>1</v>
      </c>
      <c r="KI20" s="322">
        <v>1</v>
      </c>
      <c r="KJ20" s="322"/>
      <c r="KK20" s="322"/>
      <c r="KL20" s="322"/>
      <c r="KM20" s="322"/>
      <c r="KN20" s="322"/>
      <c r="KO20" s="322"/>
      <c r="KP20" s="322"/>
      <c r="KQ20" s="322"/>
      <c r="KR20" s="322"/>
      <c r="KS20" s="322"/>
      <c r="KT20" s="322"/>
      <c r="KU20" s="322"/>
      <c r="KV20" s="322"/>
      <c r="KW20" s="322"/>
      <c r="KX20" s="322"/>
      <c r="KY20" s="322"/>
      <c r="KZ20" s="322">
        <v>9</v>
      </c>
      <c r="LA20" s="322"/>
      <c r="LB20" s="322"/>
      <c r="LC20" s="322"/>
      <c r="LD20" s="322"/>
      <c r="LE20" s="322"/>
      <c r="LF20" s="324">
        <v>81</v>
      </c>
    </row>
    <row r="21" spans="1:318" x14ac:dyDescent="0.2">
      <c r="A21" s="327">
        <v>42658</v>
      </c>
      <c r="B21" s="322"/>
      <c r="C21" s="322"/>
      <c r="D21" s="322"/>
      <c r="E21" s="322"/>
      <c r="F21" s="322"/>
      <c r="G21" s="322"/>
      <c r="H21" s="322"/>
      <c r="I21" s="322"/>
      <c r="J21" s="322"/>
      <c r="K21" s="322"/>
      <c r="L21" s="322"/>
      <c r="M21" s="322"/>
      <c r="N21" s="322"/>
      <c r="O21" s="322"/>
      <c r="P21" s="322"/>
      <c r="Q21" s="322"/>
      <c r="R21" s="322"/>
      <c r="S21" s="322"/>
      <c r="T21" s="322"/>
      <c r="U21" s="322"/>
      <c r="V21" s="322"/>
      <c r="W21" s="322"/>
      <c r="X21" s="322"/>
      <c r="Y21" s="322"/>
      <c r="Z21" s="322"/>
      <c r="AA21" s="322"/>
      <c r="AB21" s="322"/>
      <c r="AC21" s="322"/>
      <c r="AD21" s="322"/>
      <c r="AE21" s="322"/>
      <c r="AF21" s="322"/>
      <c r="AG21" s="322"/>
      <c r="AH21" s="322"/>
      <c r="AI21" s="322"/>
      <c r="AJ21" s="322"/>
      <c r="AK21" s="322"/>
      <c r="AL21" s="322"/>
      <c r="AM21" s="322"/>
      <c r="AN21" s="322"/>
      <c r="AO21" s="322"/>
      <c r="AP21" s="322"/>
      <c r="AQ21" s="322"/>
      <c r="AR21" s="322"/>
      <c r="AS21" s="322"/>
      <c r="AT21" s="322"/>
      <c r="AU21" s="322"/>
      <c r="AV21" s="322"/>
      <c r="AW21" s="322"/>
      <c r="AX21" s="322"/>
      <c r="AY21" s="322"/>
      <c r="AZ21" s="322"/>
      <c r="BA21" s="322"/>
      <c r="BB21" s="322"/>
      <c r="BC21" s="322"/>
      <c r="BD21" s="322"/>
      <c r="BE21" s="322"/>
      <c r="BF21" s="322"/>
      <c r="BG21" s="322"/>
      <c r="BH21" s="322"/>
      <c r="BI21" s="322"/>
      <c r="BJ21" s="322"/>
      <c r="BK21" s="322"/>
      <c r="BL21" s="322"/>
      <c r="BM21" s="322"/>
      <c r="BN21" s="322"/>
      <c r="BO21" s="322"/>
      <c r="BP21" s="322"/>
      <c r="BQ21" s="322"/>
      <c r="BR21" s="322"/>
      <c r="BS21" s="322"/>
      <c r="BT21" s="322"/>
      <c r="BU21" s="322"/>
      <c r="BV21" s="322"/>
      <c r="BW21" s="322"/>
      <c r="BX21" s="322"/>
      <c r="BY21" s="322"/>
      <c r="BZ21" s="322"/>
      <c r="CA21" s="322"/>
      <c r="CB21" s="322"/>
      <c r="CC21" s="322"/>
      <c r="CD21" s="322"/>
      <c r="CE21" s="322"/>
      <c r="CF21" s="322"/>
      <c r="CG21" s="322"/>
      <c r="CH21" s="322"/>
      <c r="CI21" s="322"/>
      <c r="CJ21" s="322"/>
      <c r="CK21" s="322"/>
      <c r="CL21" s="322"/>
      <c r="CM21" s="322"/>
      <c r="CN21" s="322"/>
      <c r="CO21" s="322"/>
      <c r="CP21" s="322"/>
      <c r="CQ21" s="322"/>
      <c r="CR21" s="322"/>
      <c r="CS21" s="322"/>
      <c r="CT21" s="322"/>
      <c r="CU21" s="322"/>
      <c r="CV21" s="322"/>
      <c r="CW21" s="322"/>
      <c r="CX21" s="322"/>
      <c r="CY21" s="322"/>
      <c r="CZ21" s="322"/>
      <c r="DA21" s="322"/>
      <c r="DB21" s="322"/>
      <c r="DC21" s="322">
        <v>48</v>
      </c>
      <c r="DD21" s="322">
        <v>48</v>
      </c>
      <c r="DE21" s="322">
        <v>48</v>
      </c>
      <c r="DF21" s="322">
        <v>48</v>
      </c>
      <c r="DG21" s="322"/>
      <c r="DH21" s="322"/>
      <c r="DI21" s="322"/>
      <c r="DJ21" s="322"/>
      <c r="DK21" s="322"/>
      <c r="DL21" s="322"/>
      <c r="DM21" s="322"/>
      <c r="DN21" s="322"/>
      <c r="DO21" s="322"/>
      <c r="DP21" s="322"/>
      <c r="DQ21" s="322"/>
      <c r="DR21" s="322"/>
      <c r="DS21" s="322"/>
      <c r="DT21" s="322"/>
      <c r="DU21" s="322"/>
      <c r="DV21" s="322"/>
      <c r="DW21" s="322"/>
      <c r="DX21" s="322"/>
      <c r="DY21" s="322"/>
      <c r="DZ21" s="322"/>
      <c r="EA21" s="322"/>
      <c r="EB21" s="322"/>
      <c r="EC21" s="322"/>
      <c r="ED21" s="322"/>
      <c r="EE21" s="322"/>
      <c r="EF21" s="322"/>
      <c r="EG21" s="322"/>
      <c r="EH21" s="322"/>
      <c r="EI21" s="322"/>
      <c r="EJ21" s="322"/>
      <c r="EK21" s="322"/>
      <c r="EL21" s="322"/>
      <c r="EM21" s="322"/>
      <c r="EN21" s="322"/>
      <c r="EO21" s="322"/>
      <c r="EP21" s="322"/>
      <c r="EQ21" s="322"/>
      <c r="ER21" s="322"/>
      <c r="ES21" s="322"/>
      <c r="ET21" s="322"/>
      <c r="EU21" s="322"/>
      <c r="EV21" s="322"/>
      <c r="EW21" s="322"/>
      <c r="EX21" s="322"/>
      <c r="EY21" s="322"/>
      <c r="EZ21" s="322"/>
      <c r="FA21" s="322"/>
      <c r="FB21" s="322"/>
      <c r="FC21" s="322"/>
      <c r="FD21" s="322"/>
      <c r="FE21" s="322"/>
      <c r="FF21" s="322"/>
      <c r="FG21" s="322"/>
      <c r="FH21" s="322"/>
      <c r="FI21" s="322"/>
      <c r="FJ21" s="322"/>
      <c r="FK21" s="322"/>
      <c r="FL21" s="322"/>
      <c r="FM21" s="322"/>
      <c r="FN21" s="322"/>
      <c r="FO21" s="322"/>
      <c r="FP21" s="322"/>
      <c r="FQ21" s="322"/>
      <c r="FR21" s="322"/>
      <c r="FS21" s="322"/>
      <c r="FT21" s="322"/>
      <c r="FU21" s="322"/>
      <c r="FV21" s="322"/>
      <c r="FW21" s="322"/>
      <c r="FX21" s="322"/>
      <c r="FY21" s="322"/>
      <c r="FZ21" s="322"/>
      <c r="GA21" s="322"/>
      <c r="GB21" s="322"/>
      <c r="GC21" s="322"/>
      <c r="GD21" s="322"/>
      <c r="GE21" s="322"/>
      <c r="GF21" s="322"/>
      <c r="GG21" s="322"/>
      <c r="GH21" s="322"/>
      <c r="GI21" s="322"/>
      <c r="GJ21" s="322"/>
      <c r="GK21" s="322"/>
      <c r="GL21" s="322"/>
      <c r="GM21" s="322"/>
      <c r="GN21" s="322"/>
      <c r="GO21" s="322"/>
      <c r="GP21" s="322"/>
      <c r="GQ21" s="322"/>
      <c r="GR21" s="322"/>
      <c r="GS21" s="322"/>
      <c r="GT21" s="322"/>
      <c r="GU21" s="322"/>
      <c r="GV21" s="322"/>
      <c r="GW21" s="322"/>
      <c r="GX21" s="322"/>
      <c r="GY21" s="322"/>
      <c r="GZ21" s="322"/>
      <c r="HA21" s="322"/>
      <c r="HB21" s="322"/>
      <c r="HC21" s="322"/>
      <c r="HD21" s="322"/>
      <c r="HE21" s="322"/>
      <c r="HF21" s="322"/>
      <c r="HG21" s="322"/>
      <c r="HH21" s="322"/>
      <c r="HI21" s="322"/>
      <c r="HJ21" s="322"/>
      <c r="HK21" s="322"/>
      <c r="HL21" s="322"/>
      <c r="HM21" s="322"/>
      <c r="HN21" s="322"/>
      <c r="HO21" s="322"/>
      <c r="HP21" s="322"/>
      <c r="HQ21" s="322"/>
      <c r="HR21" s="322"/>
      <c r="HS21" s="322"/>
      <c r="HT21" s="322"/>
      <c r="HU21" s="322"/>
      <c r="HV21" s="322"/>
      <c r="HW21" s="322"/>
      <c r="HX21" s="322"/>
      <c r="HY21" s="322"/>
      <c r="HZ21" s="322"/>
      <c r="IA21" s="322">
        <v>24</v>
      </c>
      <c r="IB21" s="322">
        <v>24</v>
      </c>
      <c r="IC21" s="322">
        <v>24</v>
      </c>
      <c r="ID21" s="322">
        <v>24</v>
      </c>
      <c r="IE21" s="322"/>
      <c r="IF21" s="322"/>
      <c r="IG21" s="322"/>
      <c r="IH21" s="322"/>
      <c r="II21" s="322"/>
      <c r="IJ21" s="322"/>
      <c r="IK21" s="322"/>
      <c r="IL21" s="322"/>
      <c r="IM21" s="322">
        <v>72</v>
      </c>
      <c r="IN21" s="322"/>
      <c r="IO21" s="322"/>
      <c r="IP21" s="322"/>
      <c r="IQ21" s="322"/>
      <c r="IR21" s="322"/>
      <c r="IS21" s="322"/>
      <c r="IT21" s="322"/>
      <c r="IU21" s="322"/>
      <c r="IV21" s="322"/>
      <c r="IW21" s="322"/>
      <c r="IX21" s="322"/>
      <c r="IY21" s="322"/>
      <c r="IZ21" s="322"/>
      <c r="JA21" s="322"/>
      <c r="JB21" s="322"/>
      <c r="JC21" s="322"/>
      <c r="JD21" s="322"/>
      <c r="JE21" s="322"/>
      <c r="JF21" s="322"/>
      <c r="JG21" s="322"/>
      <c r="JH21" s="322"/>
      <c r="JI21" s="322"/>
      <c r="JJ21" s="322"/>
      <c r="JK21" s="322"/>
      <c r="JL21" s="322"/>
      <c r="JM21" s="322"/>
      <c r="JN21" s="322"/>
      <c r="JO21" s="322"/>
      <c r="JP21" s="322"/>
      <c r="JQ21" s="322"/>
      <c r="JR21" s="322"/>
      <c r="JS21" s="322"/>
      <c r="JT21" s="322"/>
      <c r="JU21" s="322"/>
      <c r="JV21" s="322"/>
      <c r="JW21" s="322"/>
      <c r="JX21" s="322"/>
      <c r="JY21" s="322"/>
      <c r="JZ21" s="322"/>
      <c r="KA21" s="322"/>
      <c r="KB21" s="322"/>
      <c r="KC21" s="322"/>
      <c r="KD21" s="322"/>
      <c r="KE21" s="322"/>
      <c r="KF21" s="322"/>
      <c r="KG21" s="322"/>
      <c r="KH21" s="322"/>
      <c r="KI21" s="322"/>
      <c r="KJ21" s="322"/>
      <c r="KK21" s="322"/>
      <c r="KL21" s="322"/>
      <c r="KM21" s="322"/>
      <c r="KN21" s="322"/>
      <c r="KO21" s="322"/>
      <c r="KP21" s="322"/>
      <c r="KQ21" s="322"/>
      <c r="KR21" s="322"/>
      <c r="KS21" s="322"/>
      <c r="KT21" s="322"/>
      <c r="KU21" s="322"/>
      <c r="KV21" s="322"/>
      <c r="KW21" s="322"/>
      <c r="KX21" s="322"/>
      <c r="KY21" s="322"/>
      <c r="KZ21" s="322"/>
      <c r="LA21" s="322"/>
      <c r="LB21" s="322"/>
      <c r="LC21" s="322"/>
      <c r="LD21" s="322"/>
      <c r="LE21" s="322"/>
      <c r="LF21" s="324">
        <v>72</v>
      </c>
    </row>
    <row r="22" spans="1:318" x14ac:dyDescent="0.2">
      <c r="A22" s="327">
        <v>42659</v>
      </c>
      <c r="B22" s="322"/>
      <c r="C22" s="322"/>
      <c r="D22" s="322"/>
      <c r="E22" s="322"/>
      <c r="F22" s="322"/>
      <c r="G22" s="322"/>
      <c r="H22" s="322"/>
      <c r="I22" s="322"/>
      <c r="J22" s="322"/>
      <c r="K22" s="322"/>
      <c r="L22" s="322"/>
      <c r="M22" s="322"/>
      <c r="N22" s="322"/>
      <c r="O22" s="322"/>
      <c r="P22" s="322"/>
      <c r="Q22" s="322"/>
      <c r="R22" s="322"/>
      <c r="S22" s="322"/>
      <c r="T22" s="322"/>
      <c r="U22" s="322"/>
      <c r="V22" s="322"/>
      <c r="W22" s="322"/>
      <c r="X22" s="322"/>
      <c r="Y22" s="322"/>
      <c r="Z22" s="322">
        <v>1</v>
      </c>
      <c r="AA22" s="322">
        <v>1</v>
      </c>
      <c r="AB22" s="322">
        <v>1</v>
      </c>
      <c r="AC22" s="322">
        <v>1</v>
      </c>
      <c r="AD22" s="322"/>
      <c r="AE22" s="322"/>
      <c r="AF22" s="322"/>
      <c r="AG22" s="322"/>
      <c r="AH22" s="322"/>
      <c r="AI22" s="322"/>
      <c r="AJ22" s="322"/>
      <c r="AK22" s="322"/>
      <c r="AL22" s="322"/>
      <c r="AM22" s="322"/>
      <c r="AN22" s="322"/>
      <c r="AO22" s="322"/>
      <c r="AP22" s="322"/>
      <c r="AQ22" s="322"/>
      <c r="AR22" s="322"/>
      <c r="AS22" s="322"/>
      <c r="AT22" s="322"/>
      <c r="AU22" s="322"/>
      <c r="AV22" s="322"/>
      <c r="AW22" s="322"/>
      <c r="AX22" s="322">
        <v>1</v>
      </c>
      <c r="AY22" s="322">
        <v>1</v>
      </c>
      <c r="AZ22" s="322">
        <v>1</v>
      </c>
      <c r="BA22" s="322">
        <v>1</v>
      </c>
      <c r="BB22" s="322"/>
      <c r="BC22" s="322"/>
      <c r="BD22" s="322"/>
      <c r="BE22" s="322"/>
      <c r="BF22" s="322"/>
      <c r="BG22" s="322"/>
      <c r="BH22" s="322"/>
      <c r="BI22" s="322"/>
      <c r="BJ22" s="322"/>
      <c r="BK22" s="322"/>
      <c r="BL22" s="322"/>
      <c r="BM22" s="322"/>
      <c r="BN22" s="322"/>
      <c r="BO22" s="322"/>
      <c r="BP22" s="322"/>
      <c r="BQ22" s="322"/>
      <c r="BR22" s="322"/>
      <c r="BS22" s="322"/>
      <c r="BT22" s="322"/>
      <c r="BU22" s="322"/>
      <c r="BV22" s="322"/>
      <c r="BW22" s="322"/>
      <c r="BX22" s="322"/>
      <c r="BY22" s="322"/>
      <c r="BZ22" s="322"/>
      <c r="CA22" s="322"/>
      <c r="CB22" s="322"/>
      <c r="CC22" s="322"/>
      <c r="CD22" s="322"/>
      <c r="CE22" s="322"/>
      <c r="CF22" s="322"/>
      <c r="CG22" s="322"/>
      <c r="CH22" s="322"/>
      <c r="CI22" s="322"/>
      <c r="CJ22" s="322"/>
      <c r="CK22" s="322"/>
      <c r="CL22" s="322"/>
      <c r="CM22" s="322"/>
      <c r="CN22" s="322"/>
      <c r="CO22" s="322"/>
      <c r="CP22" s="322"/>
      <c r="CQ22" s="322"/>
      <c r="CR22" s="322"/>
      <c r="CS22" s="322"/>
      <c r="CT22" s="322"/>
      <c r="CU22" s="322"/>
      <c r="CV22" s="322"/>
      <c r="CW22" s="322"/>
      <c r="CX22" s="322"/>
      <c r="CY22" s="322"/>
      <c r="CZ22" s="322"/>
      <c r="DA22" s="322"/>
      <c r="DB22" s="322">
        <v>2</v>
      </c>
      <c r="DC22" s="322">
        <v>12</v>
      </c>
      <c r="DD22" s="322">
        <v>12</v>
      </c>
      <c r="DE22" s="322">
        <v>12</v>
      </c>
      <c r="DF22" s="322">
        <v>12</v>
      </c>
      <c r="DG22" s="322"/>
      <c r="DH22" s="322"/>
      <c r="DI22" s="322"/>
      <c r="DJ22" s="322"/>
      <c r="DK22" s="322"/>
      <c r="DL22" s="322"/>
      <c r="DM22" s="322"/>
      <c r="DN22" s="322"/>
      <c r="DO22" s="322"/>
      <c r="DP22" s="322"/>
      <c r="DQ22" s="322"/>
      <c r="DR22" s="322"/>
      <c r="DS22" s="322"/>
      <c r="DT22" s="322"/>
      <c r="DU22" s="322"/>
      <c r="DV22" s="322"/>
      <c r="DW22" s="322"/>
      <c r="DX22" s="322"/>
      <c r="DY22" s="322"/>
      <c r="DZ22" s="322"/>
      <c r="EA22" s="322"/>
      <c r="EB22" s="322"/>
      <c r="EC22" s="322"/>
      <c r="ED22" s="322"/>
      <c r="EE22" s="322"/>
      <c r="EF22" s="322"/>
      <c r="EG22" s="322"/>
      <c r="EH22" s="322"/>
      <c r="EI22" s="322"/>
      <c r="EJ22" s="322"/>
      <c r="EK22" s="322"/>
      <c r="EL22" s="322"/>
      <c r="EM22" s="322"/>
      <c r="EN22" s="322"/>
      <c r="EO22" s="322"/>
      <c r="EP22" s="322"/>
      <c r="EQ22" s="322"/>
      <c r="ER22" s="322"/>
      <c r="ES22" s="322"/>
      <c r="ET22" s="322"/>
      <c r="EU22" s="322"/>
      <c r="EV22" s="322"/>
      <c r="EW22" s="322"/>
      <c r="EX22" s="322"/>
      <c r="EY22" s="322"/>
      <c r="EZ22" s="322"/>
      <c r="FA22" s="322"/>
      <c r="FB22" s="322"/>
      <c r="FC22" s="322"/>
      <c r="FD22" s="322"/>
      <c r="FE22" s="322"/>
      <c r="FF22" s="322"/>
      <c r="FG22" s="322"/>
      <c r="FH22" s="322"/>
      <c r="FI22" s="322"/>
      <c r="FJ22" s="322"/>
      <c r="FK22" s="322"/>
      <c r="FL22" s="322"/>
      <c r="FM22" s="322"/>
      <c r="FN22" s="322"/>
      <c r="FO22" s="322"/>
      <c r="FP22" s="322"/>
      <c r="FQ22" s="322"/>
      <c r="FR22" s="322"/>
      <c r="FS22" s="322"/>
      <c r="FT22" s="322"/>
      <c r="FU22" s="322"/>
      <c r="FV22" s="322"/>
      <c r="FW22" s="322"/>
      <c r="FX22" s="322"/>
      <c r="FY22" s="322"/>
      <c r="FZ22" s="322"/>
      <c r="GA22" s="322"/>
      <c r="GB22" s="322"/>
      <c r="GC22" s="322"/>
      <c r="GD22" s="322"/>
      <c r="GE22" s="322"/>
      <c r="GF22" s="322"/>
      <c r="GG22" s="322"/>
      <c r="GH22" s="322"/>
      <c r="GI22" s="322"/>
      <c r="GJ22" s="322"/>
      <c r="GK22" s="322"/>
      <c r="GL22" s="322"/>
      <c r="GM22" s="322"/>
      <c r="GN22" s="322"/>
      <c r="GO22" s="322"/>
      <c r="GP22" s="322"/>
      <c r="GQ22" s="322"/>
      <c r="GR22" s="322"/>
      <c r="GS22" s="322"/>
      <c r="GT22" s="322"/>
      <c r="GU22" s="322"/>
      <c r="GV22" s="322"/>
      <c r="GW22" s="322"/>
      <c r="GX22" s="322"/>
      <c r="GY22" s="322"/>
      <c r="GZ22" s="322"/>
      <c r="HA22" s="322"/>
      <c r="HB22" s="322"/>
      <c r="HC22" s="322"/>
      <c r="HD22" s="322"/>
      <c r="HE22" s="322"/>
      <c r="HF22" s="322"/>
      <c r="HG22" s="322"/>
      <c r="HH22" s="322"/>
      <c r="HI22" s="322"/>
      <c r="HJ22" s="322"/>
      <c r="HK22" s="322"/>
      <c r="HL22" s="322"/>
      <c r="HM22" s="322"/>
      <c r="HN22" s="322"/>
      <c r="HO22" s="322"/>
      <c r="HP22" s="322"/>
      <c r="HQ22" s="322"/>
      <c r="HR22" s="322"/>
      <c r="HS22" s="322"/>
      <c r="HT22" s="322"/>
      <c r="HU22" s="322"/>
      <c r="HV22" s="322"/>
      <c r="HW22" s="322"/>
      <c r="HX22" s="322"/>
      <c r="HY22" s="322"/>
      <c r="HZ22" s="322"/>
      <c r="IA22" s="322">
        <v>5</v>
      </c>
      <c r="IB22" s="322">
        <v>5</v>
      </c>
      <c r="IC22" s="322">
        <v>5</v>
      </c>
      <c r="ID22" s="322">
        <v>5</v>
      </c>
      <c r="IE22" s="322"/>
      <c r="IF22" s="322"/>
      <c r="IG22" s="322"/>
      <c r="IH22" s="322"/>
      <c r="II22" s="322"/>
      <c r="IJ22" s="322"/>
      <c r="IK22" s="322"/>
      <c r="IL22" s="322"/>
      <c r="IM22" s="322">
        <v>17</v>
      </c>
      <c r="IN22" s="322"/>
      <c r="IO22" s="322"/>
      <c r="IP22" s="322"/>
      <c r="IQ22" s="322"/>
      <c r="IR22" s="322"/>
      <c r="IS22" s="322"/>
      <c r="IT22" s="322"/>
      <c r="IU22" s="322"/>
      <c r="IV22" s="322"/>
      <c r="IW22" s="322"/>
      <c r="IX22" s="322"/>
      <c r="IY22" s="322"/>
      <c r="IZ22" s="322"/>
      <c r="JA22" s="322"/>
      <c r="JB22" s="322"/>
      <c r="JC22" s="322"/>
      <c r="JD22" s="322"/>
      <c r="JE22" s="322"/>
      <c r="JF22" s="322"/>
      <c r="JG22" s="322"/>
      <c r="JH22" s="322"/>
      <c r="JI22" s="322"/>
      <c r="JJ22" s="322"/>
      <c r="JK22" s="322"/>
      <c r="JL22" s="322"/>
      <c r="JM22" s="322"/>
      <c r="JN22" s="322"/>
      <c r="JO22" s="322"/>
      <c r="JP22" s="322"/>
      <c r="JQ22" s="322"/>
      <c r="JR22" s="322"/>
      <c r="JS22" s="322"/>
      <c r="JT22" s="322"/>
      <c r="JU22" s="322"/>
      <c r="JV22" s="322"/>
      <c r="JW22" s="322"/>
      <c r="JX22" s="322"/>
      <c r="JY22" s="322"/>
      <c r="JZ22" s="322"/>
      <c r="KA22" s="322"/>
      <c r="KB22" s="322"/>
      <c r="KC22" s="322"/>
      <c r="KD22" s="322"/>
      <c r="KE22" s="322"/>
      <c r="KF22" s="322"/>
      <c r="KG22" s="322"/>
      <c r="KH22" s="322"/>
      <c r="KI22" s="322"/>
      <c r="KJ22" s="322">
        <v>1</v>
      </c>
      <c r="KK22" s="322">
        <v>1</v>
      </c>
      <c r="KL22" s="322">
        <v>1</v>
      </c>
      <c r="KM22" s="322">
        <v>1</v>
      </c>
      <c r="KN22" s="322"/>
      <c r="KO22" s="322"/>
      <c r="KP22" s="322"/>
      <c r="KQ22" s="322"/>
      <c r="KR22" s="322"/>
      <c r="KS22" s="322"/>
      <c r="KT22" s="322"/>
      <c r="KU22" s="322"/>
      <c r="KV22" s="322"/>
      <c r="KW22" s="322"/>
      <c r="KX22" s="322"/>
      <c r="KY22" s="322"/>
      <c r="KZ22" s="322">
        <v>1</v>
      </c>
      <c r="LA22" s="322"/>
      <c r="LB22" s="322"/>
      <c r="LC22" s="322"/>
      <c r="LD22" s="322"/>
      <c r="LE22" s="322"/>
      <c r="LF22" s="324">
        <v>20</v>
      </c>
    </row>
    <row r="23" spans="1:318" x14ac:dyDescent="0.2">
      <c r="A23" s="327">
        <v>42660</v>
      </c>
      <c r="B23" s="322"/>
      <c r="C23" s="322"/>
      <c r="D23" s="322"/>
      <c r="E23" s="322"/>
      <c r="F23" s="322"/>
      <c r="G23" s="322"/>
      <c r="H23" s="322"/>
      <c r="I23" s="322"/>
      <c r="J23" s="322"/>
      <c r="K23" s="322"/>
      <c r="L23" s="322"/>
      <c r="M23" s="322"/>
      <c r="N23" s="322"/>
      <c r="O23" s="322"/>
      <c r="P23" s="322"/>
      <c r="Q23" s="322"/>
      <c r="R23" s="322"/>
      <c r="S23" s="322"/>
      <c r="T23" s="322"/>
      <c r="U23" s="322"/>
      <c r="V23" s="322">
        <v>1</v>
      </c>
      <c r="W23" s="322">
        <v>1</v>
      </c>
      <c r="X23" s="322">
        <v>1</v>
      </c>
      <c r="Y23" s="322">
        <v>1</v>
      </c>
      <c r="Z23" s="322"/>
      <c r="AA23" s="322"/>
      <c r="AB23" s="322"/>
      <c r="AC23" s="322"/>
      <c r="AD23" s="322"/>
      <c r="AE23" s="322"/>
      <c r="AF23" s="322"/>
      <c r="AG23" s="322"/>
      <c r="AH23" s="322"/>
      <c r="AI23" s="322"/>
      <c r="AJ23" s="322"/>
      <c r="AK23" s="322"/>
      <c r="AL23" s="322"/>
      <c r="AM23" s="322"/>
      <c r="AN23" s="322"/>
      <c r="AO23" s="322"/>
      <c r="AP23" s="322"/>
      <c r="AQ23" s="322"/>
      <c r="AR23" s="322"/>
      <c r="AS23" s="322"/>
      <c r="AT23" s="322"/>
      <c r="AU23" s="322"/>
      <c r="AV23" s="322"/>
      <c r="AW23" s="322"/>
      <c r="AX23" s="322"/>
      <c r="AY23" s="322"/>
      <c r="AZ23" s="322"/>
      <c r="BA23" s="322"/>
      <c r="BB23" s="322"/>
      <c r="BC23" s="322"/>
      <c r="BD23" s="322"/>
      <c r="BE23" s="322"/>
      <c r="BF23" s="322"/>
      <c r="BG23" s="322"/>
      <c r="BH23" s="322"/>
      <c r="BI23" s="322"/>
      <c r="BJ23" s="322"/>
      <c r="BK23" s="322"/>
      <c r="BL23" s="322"/>
      <c r="BM23" s="322"/>
      <c r="BN23" s="322"/>
      <c r="BO23" s="322"/>
      <c r="BP23" s="322"/>
      <c r="BQ23" s="322"/>
      <c r="BR23" s="322"/>
      <c r="BS23" s="322"/>
      <c r="BT23" s="322"/>
      <c r="BU23" s="322"/>
      <c r="BV23" s="322"/>
      <c r="BW23" s="322"/>
      <c r="BX23" s="322"/>
      <c r="BY23" s="322"/>
      <c r="BZ23" s="322"/>
      <c r="CA23" s="322"/>
      <c r="CB23" s="322"/>
      <c r="CC23" s="322"/>
      <c r="CD23" s="322"/>
      <c r="CE23" s="322"/>
      <c r="CF23" s="322"/>
      <c r="CG23" s="322"/>
      <c r="CH23" s="322"/>
      <c r="CI23" s="322"/>
      <c r="CJ23" s="322"/>
      <c r="CK23" s="322"/>
      <c r="CL23" s="322"/>
      <c r="CM23" s="322"/>
      <c r="CN23" s="322"/>
      <c r="CO23" s="322"/>
      <c r="CP23" s="322"/>
      <c r="CQ23" s="322"/>
      <c r="CR23" s="322"/>
      <c r="CS23" s="322"/>
      <c r="CT23" s="322"/>
      <c r="CU23" s="322"/>
      <c r="CV23" s="322"/>
      <c r="CW23" s="322"/>
      <c r="CX23" s="322"/>
      <c r="CY23" s="322"/>
      <c r="CZ23" s="322"/>
      <c r="DA23" s="322"/>
      <c r="DB23" s="322">
        <v>1</v>
      </c>
      <c r="DC23" s="322">
        <v>26</v>
      </c>
      <c r="DD23" s="322">
        <v>26</v>
      </c>
      <c r="DE23" s="322">
        <v>26</v>
      </c>
      <c r="DF23" s="322">
        <v>26</v>
      </c>
      <c r="DG23" s="322"/>
      <c r="DH23" s="322"/>
      <c r="DI23" s="322"/>
      <c r="DJ23" s="322"/>
      <c r="DK23" s="322"/>
      <c r="DL23" s="322"/>
      <c r="DM23" s="322"/>
      <c r="DN23" s="322"/>
      <c r="DO23" s="322"/>
      <c r="DP23" s="322"/>
      <c r="DQ23" s="322"/>
      <c r="DR23" s="322"/>
      <c r="DS23" s="322"/>
      <c r="DT23" s="322"/>
      <c r="DU23" s="322"/>
      <c r="DV23" s="322"/>
      <c r="DW23" s="322"/>
      <c r="DX23" s="322"/>
      <c r="DY23" s="322"/>
      <c r="DZ23" s="322"/>
      <c r="EA23" s="322"/>
      <c r="EB23" s="322"/>
      <c r="EC23" s="322"/>
      <c r="ED23" s="322"/>
      <c r="EE23" s="322"/>
      <c r="EF23" s="322"/>
      <c r="EG23" s="322"/>
      <c r="EH23" s="322"/>
      <c r="EI23" s="322"/>
      <c r="EJ23" s="322"/>
      <c r="EK23" s="322"/>
      <c r="EL23" s="322"/>
      <c r="EM23" s="322"/>
      <c r="EN23" s="322"/>
      <c r="EO23" s="322"/>
      <c r="EP23" s="322"/>
      <c r="EQ23" s="322"/>
      <c r="ER23" s="322"/>
      <c r="ES23" s="322"/>
      <c r="ET23" s="322"/>
      <c r="EU23" s="322"/>
      <c r="EV23" s="322"/>
      <c r="EW23" s="322"/>
      <c r="EX23" s="322"/>
      <c r="EY23" s="322"/>
      <c r="EZ23" s="322"/>
      <c r="FA23" s="322"/>
      <c r="FB23" s="322"/>
      <c r="FC23" s="322"/>
      <c r="FD23" s="322"/>
      <c r="FE23" s="322"/>
      <c r="FF23" s="322"/>
      <c r="FG23" s="322"/>
      <c r="FH23" s="322"/>
      <c r="FI23" s="322"/>
      <c r="FJ23" s="322"/>
      <c r="FK23" s="322"/>
      <c r="FL23" s="322"/>
      <c r="FM23" s="322"/>
      <c r="FN23" s="322"/>
      <c r="FO23" s="322"/>
      <c r="FP23" s="322"/>
      <c r="FQ23" s="322"/>
      <c r="FR23" s="322"/>
      <c r="FS23" s="322"/>
      <c r="FT23" s="322"/>
      <c r="FU23" s="322"/>
      <c r="FV23" s="322"/>
      <c r="FW23" s="322"/>
      <c r="FX23" s="322"/>
      <c r="FY23" s="322"/>
      <c r="FZ23" s="322"/>
      <c r="GA23" s="322"/>
      <c r="GB23" s="322"/>
      <c r="GC23" s="322"/>
      <c r="GD23" s="322"/>
      <c r="GE23" s="322"/>
      <c r="GF23" s="322"/>
      <c r="GG23" s="322"/>
      <c r="GH23" s="322"/>
      <c r="GI23" s="322"/>
      <c r="GJ23" s="322"/>
      <c r="GK23" s="322"/>
      <c r="GL23" s="322"/>
      <c r="GM23" s="322"/>
      <c r="GN23" s="322"/>
      <c r="GO23" s="322"/>
      <c r="GP23" s="322"/>
      <c r="GQ23" s="322"/>
      <c r="GR23" s="322"/>
      <c r="GS23" s="322"/>
      <c r="GT23" s="322"/>
      <c r="GU23" s="322"/>
      <c r="GV23" s="322"/>
      <c r="GW23" s="322"/>
      <c r="GX23" s="322"/>
      <c r="GY23" s="322"/>
      <c r="GZ23" s="322"/>
      <c r="HA23" s="322"/>
      <c r="HB23" s="322"/>
      <c r="HC23" s="322"/>
      <c r="HD23" s="322"/>
      <c r="HE23" s="322"/>
      <c r="HF23" s="322"/>
      <c r="HG23" s="322"/>
      <c r="HH23" s="322"/>
      <c r="HI23" s="322"/>
      <c r="HJ23" s="322"/>
      <c r="HK23" s="322"/>
      <c r="HL23" s="322"/>
      <c r="HM23" s="322"/>
      <c r="HN23" s="322"/>
      <c r="HO23" s="322"/>
      <c r="HP23" s="322"/>
      <c r="HQ23" s="322"/>
      <c r="HR23" s="322"/>
      <c r="HS23" s="322"/>
      <c r="HT23" s="322"/>
      <c r="HU23" s="322"/>
      <c r="HV23" s="322"/>
      <c r="HW23" s="322"/>
      <c r="HX23" s="322"/>
      <c r="HY23" s="322"/>
      <c r="HZ23" s="322"/>
      <c r="IA23" s="322">
        <v>10</v>
      </c>
      <c r="IB23" s="322">
        <v>10</v>
      </c>
      <c r="IC23" s="322">
        <v>10</v>
      </c>
      <c r="ID23" s="322">
        <v>10</v>
      </c>
      <c r="IE23" s="322"/>
      <c r="IF23" s="322"/>
      <c r="IG23" s="322"/>
      <c r="IH23" s="322"/>
      <c r="II23" s="322"/>
      <c r="IJ23" s="322"/>
      <c r="IK23" s="322"/>
      <c r="IL23" s="322"/>
      <c r="IM23" s="322">
        <v>36</v>
      </c>
      <c r="IN23" s="322"/>
      <c r="IO23" s="322"/>
      <c r="IP23" s="322"/>
      <c r="IQ23" s="322"/>
      <c r="IR23" s="322"/>
      <c r="IS23" s="322"/>
      <c r="IT23" s="322"/>
      <c r="IU23" s="322"/>
      <c r="IV23" s="322"/>
      <c r="IW23" s="322"/>
      <c r="IX23" s="322"/>
      <c r="IY23" s="322"/>
      <c r="IZ23" s="322"/>
      <c r="JA23" s="322"/>
      <c r="JB23" s="322"/>
      <c r="JC23" s="322"/>
      <c r="JD23" s="322"/>
      <c r="JE23" s="322"/>
      <c r="JF23" s="322"/>
      <c r="JG23" s="322"/>
      <c r="JH23" s="322"/>
      <c r="JI23" s="322"/>
      <c r="JJ23" s="322"/>
      <c r="JK23" s="322"/>
      <c r="JL23" s="322"/>
      <c r="JM23" s="322"/>
      <c r="JN23" s="322"/>
      <c r="JO23" s="322"/>
      <c r="JP23" s="322"/>
      <c r="JQ23" s="322"/>
      <c r="JR23" s="322"/>
      <c r="JS23" s="322"/>
      <c r="JT23" s="322"/>
      <c r="JU23" s="322"/>
      <c r="JV23" s="322"/>
      <c r="JW23" s="322"/>
      <c r="JX23" s="322"/>
      <c r="JY23" s="322"/>
      <c r="JZ23" s="322"/>
      <c r="KA23" s="322"/>
      <c r="KB23" s="322"/>
      <c r="KC23" s="322"/>
      <c r="KD23" s="322"/>
      <c r="KE23" s="322"/>
      <c r="KF23" s="322"/>
      <c r="KG23" s="322"/>
      <c r="KH23" s="322"/>
      <c r="KI23" s="322"/>
      <c r="KJ23" s="322"/>
      <c r="KK23" s="322"/>
      <c r="KL23" s="322"/>
      <c r="KM23" s="322"/>
      <c r="KN23" s="322"/>
      <c r="KO23" s="322"/>
      <c r="KP23" s="322"/>
      <c r="KQ23" s="322"/>
      <c r="KR23" s="322"/>
      <c r="KS23" s="322"/>
      <c r="KT23" s="322"/>
      <c r="KU23" s="322"/>
      <c r="KV23" s="322"/>
      <c r="KW23" s="322"/>
      <c r="KX23" s="322"/>
      <c r="KY23" s="322"/>
      <c r="KZ23" s="322"/>
      <c r="LA23" s="322"/>
      <c r="LB23" s="322"/>
      <c r="LC23" s="322"/>
      <c r="LD23" s="322"/>
      <c r="LE23" s="322"/>
      <c r="LF23" s="324">
        <v>37</v>
      </c>
    </row>
    <row r="24" spans="1:318" x14ac:dyDescent="0.2">
      <c r="A24" s="327">
        <v>42661</v>
      </c>
      <c r="B24" s="322">
        <v>1</v>
      </c>
      <c r="C24" s="322">
        <v>1</v>
      </c>
      <c r="D24" s="322">
        <v>1</v>
      </c>
      <c r="E24" s="322">
        <v>1</v>
      </c>
      <c r="F24" s="322"/>
      <c r="G24" s="322"/>
      <c r="H24" s="322"/>
      <c r="I24" s="322"/>
      <c r="J24" s="322"/>
      <c r="K24" s="322"/>
      <c r="L24" s="322"/>
      <c r="M24" s="322"/>
      <c r="N24" s="322"/>
      <c r="O24" s="322"/>
      <c r="P24" s="322"/>
      <c r="Q24" s="322"/>
      <c r="R24" s="322"/>
      <c r="S24" s="322"/>
      <c r="T24" s="322"/>
      <c r="U24" s="322"/>
      <c r="V24" s="322"/>
      <c r="W24" s="322"/>
      <c r="X24" s="322"/>
      <c r="Y24" s="322"/>
      <c r="Z24" s="322"/>
      <c r="AA24" s="322"/>
      <c r="AB24" s="322"/>
      <c r="AC24" s="322"/>
      <c r="AD24" s="322"/>
      <c r="AE24" s="322"/>
      <c r="AF24" s="322"/>
      <c r="AG24" s="322"/>
      <c r="AH24" s="322"/>
      <c r="AI24" s="322"/>
      <c r="AJ24" s="322"/>
      <c r="AK24" s="322"/>
      <c r="AL24" s="322"/>
      <c r="AM24" s="322"/>
      <c r="AN24" s="322"/>
      <c r="AO24" s="322"/>
      <c r="AP24" s="322"/>
      <c r="AQ24" s="322"/>
      <c r="AR24" s="322"/>
      <c r="AS24" s="322"/>
      <c r="AT24" s="322"/>
      <c r="AU24" s="322"/>
      <c r="AV24" s="322"/>
      <c r="AW24" s="322"/>
      <c r="AX24" s="322"/>
      <c r="AY24" s="322"/>
      <c r="AZ24" s="322"/>
      <c r="BA24" s="322"/>
      <c r="BB24" s="322"/>
      <c r="BC24" s="322"/>
      <c r="BD24" s="322"/>
      <c r="BE24" s="322"/>
      <c r="BF24" s="322"/>
      <c r="BG24" s="322"/>
      <c r="BH24" s="322"/>
      <c r="BI24" s="322"/>
      <c r="BJ24" s="322"/>
      <c r="BK24" s="322"/>
      <c r="BL24" s="322"/>
      <c r="BM24" s="322"/>
      <c r="BN24" s="322"/>
      <c r="BO24" s="322"/>
      <c r="BP24" s="322"/>
      <c r="BQ24" s="322"/>
      <c r="BR24" s="322"/>
      <c r="BS24" s="322"/>
      <c r="BT24" s="322"/>
      <c r="BU24" s="322"/>
      <c r="BV24" s="322"/>
      <c r="BW24" s="322"/>
      <c r="BX24" s="322"/>
      <c r="BY24" s="322"/>
      <c r="BZ24" s="322"/>
      <c r="CA24" s="322"/>
      <c r="CB24" s="322"/>
      <c r="CC24" s="322"/>
      <c r="CD24" s="322"/>
      <c r="CE24" s="322"/>
      <c r="CF24" s="322"/>
      <c r="CG24" s="322"/>
      <c r="CH24" s="322"/>
      <c r="CI24" s="322"/>
      <c r="CJ24" s="322"/>
      <c r="CK24" s="322"/>
      <c r="CL24" s="322">
        <v>2</v>
      </c>
      <c r="CM24" s="322">
        <v>2</v>
      </c>
      <c r="CN24" s="322">
        <v>2</v>
      </c>
      <c r="CO24" s="322">
        <v>2</v>
      </c>
      <c r="CP24" s="322"/>
      <c r="CQ24" s="322"/>
      <c r="CR24" s="322"/>
      <c r="CS24" s="322"/>
      <c r="CT24" s="322"/>
      <c r="CU24" s="322"/>
      <c r="CV24" s="322"/>
      <c r="CW24" s="322"/>
      <c r="CX24" s="322"/>
      <c r="CY24" s="322"/>
      <c r="CZ24" s="322"/>
      <c r="DA24" s="322"/>
      <c r="DB24" s="322">
        <v>3</v>
      </c>
      <c r="DC24" s="322">
        <v>60</v>
      </c>
      <c r="DD24" s="322">
        <v>60</v>
      </c>
      <c r="DE24" s="322">
        <v>60</v>
      </c>
      <c r="DF24" s="322">
        <v>60</v>
      </c>
      <c r="DG24" s="322"/>
      <c r="DH24" s="322"/>
      <c r="DI24" s="322"/>
      <c r="DJ24" s="322"/>
      <c r="DK24" s="322"/>
      <c r="DL24" s="322"/>
      <c r="DM24" s="322"/>
      <c r="DN24" s="322"/>
      <c r="DO24" s="322"/>
      <c r="DP24" s="322"/>
      <c r="DQ24" s="322"/>
      <c r="DR24" s="322"/>
      <c r="DS24" s="322"/>
      <c r="DT24" s="322"/>
      <c r="DU24" s="322"/>
      <c r="DV24" s="322"/>
      <c r="DW24" s="322"/>
      <c r="DX24" s="322"/>
      <c r="DY24" s="322"/>
      <c r="DZ24" s="322"/>
      <c r="EA24" s="322"/>
      <c r="EB24" s="322"/>
      <c r="EC24" s="322"/>
      <c r="ED24" s="322"/>
      <c r="EE24" s="322"/>
      <c r="EF24" s="322"/>
      <c r="EG24" s="322"/>
      <c r="EH24" s="322"/>
      <c r="EI24" s="322"/>
      <c r="EJ24" s="322"/>
      <c r="EK24" s="322"/>
      <c r="EL24" s="322"/>
      <c r="EM24" s="322"/>
      <c r="EN24" s="322"/>
      <c r="EO24" s="322"/>
      <c r="EP24" s="322"/>
      <c r="EQ24" s="322"/>
      <c r="ER24" s="322"/>
      <c r="ES24" s="322"/>
      <c r="ET24" s="322"/>
      <c r="EU24" s="322"/>
      <c r="EV24" s="322"/>
      <c r="EW24" s="322"/>
      <c r="EX24" s="322"/>
      <c r="EY24" s="322"/>
      <c r="EZ24" s="322"/>
      <c r="FA24" s="322"/>
      <c r="FB24" s="322"/>
      <c r="FC24" s="322"/>
      <c r="FD24" s="322"/>
      <c r="FE24" s="322"/>
      <c r="FF24" s="322"/>
      <c r="FG24" s="322"/>
      <c r="FH24" s="322"/>
      <c r="FI24" s="322"/>
      <c r="FJ24" s="322"/>
      <c r="FK24" s="322"/>
      <c r="FL24" s="322"/>
      <c r="FM24" s="322"/>
      <c r="FN24" s="322"/>
      <c r="FO24" s="322"/>
      <c r="FP24" s="322"/>
      <c r="FQ24" s="322"/>
      <c r="FR24" s="322"/>
      <c r="FS24" s="322"/>
      <c r="FT24" s="322"/>
      <c r="FU24" s="322"/>
      <c r="FV24" s="322"/>
      <c r="FW24" s="322"/>
      <c r="FX24" s="322"/>
      <c r="FY24" s="322"/>
      <c r="FZ24" s="322"/>
      <c r="GA24" s="322"/>
      <c r="GB24" s="322"/>
      <c r="GC24" s="322"/>
      <c r="GD24" s="322"/>
      <c r="GE24" s="322">
        <v>2</v>
      </c>
      <c r="GF24" s="322">
        <v>2</v>
      </c>
      <c r="GG24" s="322">
        <v>2</v>
      </c>
      <c r="GH24" s="322">
        <v>2</v>
      </c>
      <c r="GI24" s="322">
        <v>1</v>
      </c>
      <c r="GJ24" s="322">
        <v>1</v>
      </c>
      <c r="GK24" s="322">
        <v>1</v>
      </c>
      <c r="GL24" s="322">
        <v>1</v>
      </c>
      <c r="GM24" s="322">
        <v>2</v>
      </c>
      <c r="GN24" s="322">
        <v>2</v>
      </c>
      <c r="GO24" s="322">
        <v>2</v>
      </c>
      <c r="GP24" s="322">
        <v>2</v>
      </c>
      <c r="GQ24" s="322"/>
      <c r="GR24" s="322"/>
      <c r="GS24" s="322"/>
      <c r="GT24" s="322"/>
      <c r="GU24" s="322"/>
      <c r="GV24" s="322"/>
      <c r="GW24" s="322"/>
      <c r="GX24" s="322"/>
      <c r="GY24" s="322"/>
      <c r="GZ24" s="322"/>
      <c r="HA24" s="322"/>
      <c r="HB24" s="322"/>
      <c r="HC24" s="322"/>
      <c r="HD24" s="322"/>
      <c r="HE24" s="322"/>
      <c r="HF24" s="322"/>
      <c r="HG24" s="322"/>
      <c r="HH24" s="322"/>
      <c r="HI24" s="322"/>
      <c r="HJ24" s="322"/>
      <c r="HK24" s="322"/>
      <c r="HL24" s="322"/>
      <c r="HM24" s="322"/>
      <c r="HN24" s="322"/>
      <c r="HO24" s="322"/>
      <c r="HP24" s="322"/>
      <c r="HQ24" s="322"/>
      <c r="HR24" s="322"/>
      <c r="HS24" s="322"/>
      <c r="HT24" s="322"/>
      <c r="HU24" s="322"/>
      <c r="HV24" s="322"/>
      <c r="HW24" s="322"/>
      <c r="HX24" s="322"/>
      <c r="HY24" s="322"/>
      <c r="HZ24" s="322"/>
      <c r="IA24" s="322">
        <v>18</v>
      </c>
      <c r="IB24" s="322">
        <v>18</v>
      </c>
      <c r="IC24" s="322">
        <v>18</v>
      </c>
      <c r="ID24" s="322">
        <v>18</v>
      </c>
      <c r="IE24" s="322"/>
      <c r="IF24" s="322"/>
      <c r="IG24" s="322"/>
      <c r="IH24" s="322"/>
      <c r="II24" s="322"/>
      <c r="IJ24" s="322"/>
      <c r="IK24" s="322"/>
      <c r="IL24" s="322"/>
      <c r="IM24" s="322">
        <v>83</v>
      </c>
      <c r="IN24" s="322"/>
      <c r="IO24" s="322"/>
      <c r="IP24" s="322"/>
      <c r="IQ24" s="322"/>
      <c r="IR24" s="322"/>
      <c r="IS24" s="322"/>
      <c r="IT24" s="322"/>
      <c r="IU24" s="322"/>
      <c r="IV24" s="322"/>
      <c r="IW24" s="322"/>
      <c r="IX24" s="322"/>
      <c r="IY24" s="322"/>
      <c r="IZ24" s="322"/>
      <c r="JA24" s="322"/>
      <c r="JB24" s="322"/>
      <c r="JC24" s="322"/>
      <c r="JD24" s="322"/>
      <c r="JE24" s="322"/>
      <c r="JF24" s="322"/>
      <c r="JG24" s="322"/>
      <c r="JH24" s="322">
        <v>4</v>
      </c>
      <c r="JI24" s="322">
        <v>4</v>
      </c>
      <c r="JJ24" s="322">
        <v>4</v>
      </c>
      <c r="JK24" s="322">
        <v>4</v>
      </c>
      <c r="JL24" s="322"/>
      <c r="JM24" s="322"/>
      <c r="JN24" s="322"/>
      <c r="JO24" s="322"/>
      <c r="JP24" s="322"/>
      <c r="JQ24" s="322"/>
      <c r="JR24" s="322"/>
      <c r="JS24" s="322"/>
      <c r="JT24" s="322"/>
      <c r="JU24" s="322"/>
      <c r="JV24" s="322"/>
      <c r="JW24" s="322"/>
      <c r="JX24" s="322"/>
      <c r="JY24" s="322"/>
      <c r="JZ24" s="322"/>
      <c r="KA24" s="322"/>
      <c r="KB24" s="322"/>
      <c r="KC24" s="322"/>
      <c r="KD24" s="322"/>
      <c r="KE24" s="322"/>
      <c r="KF24" s="322"/>
      <c r="KG24" s="322"/>
      <c r="KH24" s="322"/>
      <c r="KI24" s="322"/>
      <c r="KJ24" s="322"/>
      <c r="KK24" s="322"/>
      <c r="KL24" s="322"/>
      <c r="KM24" s="322"/>
      <c r="KN24" s="322">
        <v>1</v>
      </c>
      <c r="KO24" s="322">
        <v>1</v>
      </c>
      <c r="KP24" s="322">
        <v>1</v>
      </c>
      <c r="KQ24" s="322">
        <v>1</v>
      </c>
      <c r="KR24" s="322"/>
      <c r="KS24" s="322"/>
      <c r="KT24" s="322"/>
      <c r="KU24" s="322"/>
      <c r="KV24" s="322"/>
      <c r="KW24" s="322"/>
      <c r="KX24" s="322"/>
      <c r="KY24" s="322"/>
      <c r="KZ24" s="322">
        <v>5</v>
      </c>
      <c r="LA24" s="322"/>
      <c r="LB24" s="322"/>
      <c r="LC24" s="322"/>
      <c r="LD24" s="322"/>
      <c r="LE24" s="322"/>
      <c r="LF24" s="324">
        <v>91</v>
      </c>
    </row>
    <row r="25" spans="1:318" x14ac:dyDescent="0.2">
      <c r="A25" s="327">
        <v>42662</v>
      </c>
      <c r="B25" s="322"/>
      <c r="C25" s="322"/>
      <c r="D25" s="322"/>
      <c r="E25" s="322"/>
      <c r="F25" s="322"/>
      <c r="G25" s="322"/>
      <c r="H25" s="322"/>
      <c r="I25" s="322"/>
      <c r="J25" s="322"/>
      <c r="K25" s="322"/>
      <c r="L25" s="322"/>
      <c r="M25" s="322"/>
      <c r="N25" s="322"/>
      <c r="O25" s="322"/>
      <c r="P25" s="322"/>
      <c r="Q25" s="322"/>
      <c r="R25" s="322"/>
      <c r="S25" s="322"/>
      <c r="T25" s="322"/>
      <c r="U25" s="322"/>
      <c r="V25" s="322">
        <v>1</v>
      </c>
      <c r="W25" s="322">
        <v>1</v>
      </c>
      <c r="X25" s="322">
        <v>1</v>
      </c>
      <c r="Y25" s="322">
        <v>1</v>
      </c>
      <c r="Z25" s="322"/>
      <c r="AA25" s="322"/>
      <c r="AB25" s="322"/>
      <c r="AC25" s="322"/>
      <c r="AD25" s="322"/>
      <c r="AE25" s="322"/>
      <c r="AF25" s="322"/>
      <c r="AG25" s="322"/>
      <c r="AH25" s="322">
        <v>1</v>
      </c>
      <c r="AI25" s="322">
        <v>1</v>
      </c>
      <c r="AJ25" s="322">
        <v>1</v>
      </c>
      <c r="AK25" s="322">
        <v>1</v>
      </c>
      <c r="AL25" s="322"/>
      <c r="AM25" s="322"/>
      <c r="AN25" s="322"/>
      <c r="AO25" s="322"/>
      <c r="AP25" s="322"/>
      <c r="AQ25" s="322"/>
      <c r="AR25" s="322"/>
      <c r="AS25" s="322"/>
      <c r="AT25" s="322">
        <v>2</v>
      </c>
      <c r="AU25" s="322">
        <v>2</v>
      </c>
      <c r="AV25" s="322">
        <v>2</v>
      </c>
      <c r="AW25" s="322">
        <v>2</v>
      </c>
      <c r="AX25" s="322"/>
      <c r="AY25" s="322"/>
      <c r="AZ25" s="322"/>
      <c r="BA25" s="322"/>
      <c r="BB25" s="322">
        <v>12</v>
      </c>
      <c r="BC25" s="322">
        <v>12</v>
      </c>
      <c r="BD25" s="322">
        <v>12</v>
      </c>
      <c r="BE25" s="322">
        <v>12</v>
      </c>
      <c r="BF25" s="322"/>
      <c r="BG25" s="322"/>
      <c r="BH25" s="322"/>
      <c r="BI25" s="322"/>
      <c r="BJ25" s="322"/>
      <c r="BK25" s="322"/>
      <c r="BL25" s="322"/>
      <c r="BM25" s="322"/>
      <c r="BN25" s="322">
        <v>1</v>
      </c>
      <c r="BO25" s="322">
        <v>1</v>
      </c>
      <c r="BP25" s="322">
        <v>1</v>
      </c>
      <c r="BQ25" s="322">
        <v>1</v>
      </c>
      <c r="BR25" s="322"/>
      <c r="BS25" s="322"/>
      <c r="BT25" s="322"/>
      <c r="BU25" s="322"/>
      <c r="BV25" s="322">
        <v>3</v>
      </c>
      <c r="BW25" s="322">
        <v>3</v>
      </c>
      <c r="BX25" s="322">
        <v>3</v>
      </c>
      <c r="BY25" s="322">
        <v>3</v>
      </c>
      <c r="BZ25" s="322"/>
      <c r="CA25" s="322"/>
      <c r="CB25" s="322"/>
      <c r="CC25" s="322"/>
      <c r="CD25" s="322"/>
      <c r="CE25" s="322"/>
      <c r="CF25" s="322"/>
      <c r="CG25" s="322"/>
      <c r="CH25" s="322"/>
      <c r="CI25" s="322"/>
      <c r="CJ25" s="322"/>
      <c r="CK25" s="322"/>
      <c r="CL25" s="322">
        <v>1</v>
      </c>
      <c r="CM25" s="322">
        <v>1</v>
      </c>
      <c r="CN25" s="322">
        <v>1</v>
      </c>
      <c r="CO25" s="322">
        <v>1</v>
      </c>
      <c r="CP25" s="322"/>
      <c r="CQ25" s="322"/>
      <c r="CR25" s="322"/>
      <c r="CS25" s="322"/>
      <c r="CT25" s="322"/>
      <c r="CU25" s="322"/>
      <c r="CV25" s="322"/>
      <c r="CW25" s="322"/>
      <c r="CX25" s="322"/>
      <c r="CY25" s="322"/>
      <c r="CZ25" s="322"/>
      <c r="DA25" s="322"/>
      <c r="DB25" s="322">
        <v>21</v>
      </c>
      <c r="DC25" s="322">
        <v>64</v>
      </c>
      <c r="DD25" s="322">
        <v>64</v>
      </c>
      <c r="DE25" s="322">
        <v>64</v>
      </c>
      <c r="DF25" s="322">
        <v>64</v>
      </c>
      <c r="DG25" s="322">
        <v>3</v>
      </c>
      <c r="DH25" s="322">
        <v>3</v>
      </c>
      <c r="DI25" s="322">
        <v>3</v>
      </c>
      <c r="DJ25" s="322">
        <v>3</v>
      </c>
      <c r="DK25" s="322">
        <v>1</v>
      </c>
      <c r="DL25" s="322">
        <v>1</v>
      </c>
      <c r="DM25" s="322">
        <v>1</v>
      </c>
      <c r="DN25" s="322">
        <v>1</v>
      </c>
      <c r="DO25" s="322"/>
      <c r="DP25" s="322"/>
      <c r="DQ25" s="322"/>
      <c r="DR25" s="322"/>
      <c r="DS25" s="322"/>
      <c r="DT25" s="322"/>
      <c r="DU25" s="322"/>
      <c r="DV25" s="322"/>
      <c r="DW25" s="322"/>
      <c r="DX25" s="322"/>
      <c r="DY25" s="322"/>
      <c r="DZ25" s="322"/>
      <c r="EA25" s="322"/>
      <c r="EB25" s="322"/>
      <c r="EC25" s="322"/>
      <c r="ED25" s="322"/>
      <c r="EE25" s="322"/>
      <c r="EF25" s="322"/>
      <c r="EG25" s="322"/>
      <c r="EH25" s="322"/>
      <c r="EI25" s="322"/>
      <c r="EJ25" s="322"/>
      <c r="EK25" s="322"/>
      <c r="EL25" s="322"/>
      <c r="EM25" s="322"/>
      <c r="EN25" s="322"/>
      <c r="EO25" s="322"/>
      <c r="EP25" s="322"/>
      <c r="EQ25" s="322"/>
      <c r="ER25" s="322"/>
      <c r="ES25" s="322"/>
      <c r="ET25" s="322"/>
      <c r="EU25" s="322"/>
      <c r="EV25" s="322"/>
      <c r="EW25" s="322"/>
      <c r="EX25" s="322"/>
      <c r="EY25" s="322"/>
      <c r="EZ25" s="322"/>
      <c r="FA25" s="322"/>
      <c r="FB25" s="322"/>
      <c r="FC25" s="322"/>
      <c r="FD25" s="322"/>
      <c r="FE25" s="322"/>
      <c r="FF25" s="322"/>
      <c r="FG25" s="322"/>
      <c r="FH25" s="322"/>
      <c r="FI25" s="322"/>
      <c r="FJ25" s="322"/>
      <c r="FK25" s="322"/>
      <c r="FL25" s="322"/>
      <c r="FM25" s="322"/>
      <c r="FN25" s="322"/>
      <c r="FO25" s="322"/>
      <c r="FP25" s="322"/>
      <c r="FQ25" s="322"/>
      <c r="FR25" s="322"/>
      <c r="FS25" s="322"/>
      <c r="FT25" s="322"/>
      <c r="FU25" s="322"/>
      <c r="FV25" s="322"/>
      <c r="FW25" s="322"/>
      <c r="FX25" s="322"/>
      <c r="FY25" s="322"/>
      <c r="FZ25" s="322"/>
      <c r="GA25" s="322"/>
      <c r="GB25" s="322"/>
      <c r="GC25" s="322"/>
      <c r="GD25" s="322"/>
      <c r="GE25" s="322">
        <v>1</v>
      </c>
      <c r="GF25" s="322">
        <v>1</v>
      </c>
      <c r="GG25" s="322">
        <v>1</v>
      </c>
      <c r="GH25" s="322">
        <v>1</v>
      </c>
      <c r="GI25" s="322"/>
      <c r="GJ25" s="322"/>
      <c r="GK25" s="322"/>
      <c r="GL25" s="322"/>
      <c r="GM25" s="322">
        <v>1</v>
      </c>
      <c r="GN25" s="322">
        <v>1</v>
      </c>
      <c r="GO25" s="322">
        <v>1</v>
      </c>
      <c r="GP25" s="322">
        <v>1</v>
      </c>
      <c r="GQ25" s="322"/>
      <c r="GR25" s="322"/>
      <c r="GS25" s="322"/>
      <c r="GT25" s="322"/>
      <c r="GU25" s="322"/>
      <c r="GV25" s="322"/>
      <c r="GW25" s="322"/>
      <c r="GX25" s="322"/>
      <c r="GY25" s="322">
        <v>1</v>
      </c>
      <c r="GZ25" s="322">
        <v>1</v>
      </c>
      <c r="HA25" s="322">
        <v>1</v>
      </c>
      <c r="HB25" s="322">
        <v>1</v>
      </c>
      <c r="HC25" s="322"/>
      <c r="HD25" s="322"/>
      <c r="HE25" s="322"/>
      <c r="HF25" s="322"/>
      <c r="HG25" s="322"/>
      <c r="HH25" s="322"/>
      <c r="HI25" s="322"/>
      <c r="HJ25" s="322"/>
      <c r="HK25" s="322"/>
      <c r="HL25" s="322"/>
      <c r="HM25" s="322"/>
      <c r="HN25" s="322"/>
      <c r="HO25" s="322"/>
      <c r="HP25" s="322"/>
      <c r="HQ25" s="322"/>
      <c r="HR25" s="322"/>
      <c r="HS25" s="322"/>
      <c r="HT25" s="322"/>
      <c r="HU25" s="322"/>
      <c r="HV25" s="322"/>
      <c r="HW25" s="322"/>
      <c r="HX25" s="322"/>
      <c r="HY25" s="322"/>
      <c r="HZ25" s="322"/>
      <c r="IA25" s="322">
        <v>21</v>
      </c>
      <c r="IB25" s="322">
        <v>21</v>
      </c>
      <c r="IC25" s="322">
        <v>21</v>
      </c>
      <c r="ID25" s="322">
        <v>21</v>
      </c>
      <c r="IE25" s="322"/>
      <c r="IF25" s="322"/>
      <c r="IG25" s="322"/>
      <c r="IH25" s="322"/>
      <c r="II25" s="322"/>
      <c r="IJ25" s="322"/>
      <c r="IK25" s="322"/>
      <c r="IL25" s="322"/>
      <c r="IM25" s="322">
        <v>92</v>
      </c>
      <c r="IN25" s="322">
        <v>32</v>
      </c>
      <c r="IO25" s="322">
        <v>32</v>
      </c>
      <c r="IP25" s="322">
        <v>32</v>
      </c>
      <c r="IQ25" s="322">
        <v>32</v>
      </c>
      <c r="IR25" s="322"/>
      <c r="IS25" s="322"/>
      <c r="IT25" s="322"/>
      <c r="IU25" s="322"/>
      <c r="IV25" s="322"/>
      <c r="IW25" s="322"/>
      <c r="IX25" s="322"/>
      <c r="IY25" s="322"/>
      <c r="IZ25" s="322">
        <v>1</v>
      </c>
      <c r="JA25" s="322">
        <v>1</v>
      </c>
      <c r="JB25" s="322">
        <v>1</v>
      </c>
      <c r="JC25" s="322">
        <v>1</v>
      </c>
      <c r="JD25" s="322"/>
      <c r="JE25" s="322"/>
      <c r="JF25" s="322"/>
      <c r="JG25" s="322"/>
      <c r="JH25" s="322"/>
      <c r="JI25" s="322"/>
      <c r="JJ25" s="322"/>
      <c r="JK25" s="322"/>
      <c r="JL25" s="322"/>
      <c r="JM25" s="322"/>
      <c r="JN25" s="322"/>
      <c r="JO25" s="322"/>
      <c r="JP25" s="322">
        <v>4</v>
      </c>
      <c r="JQ25" s="322">
        <v>4</v>
      </c>
      <c r="JR25" s="322">
        <v>4</v>
      </c>
      <c r="JS25" s="322">
        <v>4</v>
      </c>
      <c r="JT25" s="322"/>
      <c r="JU25" s="322"/>
      <c r="JV25" s="322"/>
      <c r="JW25" s="322"/>
      <c r="JX25" s="322"/>
      <c r="JY25" s="322"/>
      <c r="JZ25" s="322"/>
      <c r="KA25" s="322"/>
      <c r="KB25" s="322">
        <v>1</v>
      </c>
      <c r="KC25" s="322">
        <v>1</v>
      </c>
      <c r="KD25" s="322">
        <v>1</v>
      </c>
      <c r="KE25" s="322">
        <v>1</v>
      </c>
      <c r="KF25" s="322"/>
      <c r="KG25" s="322"/>
      <c r="KH25" s="322"/>
      <c r="KI25" s="322"/>
      <c r="KJ25" s="322"/>
      <c r="KK25" s="322"/>
      <c r="KL25" s="322"/>
      <c r="KM25" s="322"/>
      <c r="KN25" s="322"/>
      <c r="KO25" s="322"/>
      <c r="KP25" s="322"/>
      <c r="KQ25" s="322"/>
      <c r="KR25" s="322">
        <v>2</v>
      </c>
      <c r="KS25" s="322">
        <v>2</v>
      </c>
      <c r="KT25" s="322">
        <v>2</v>
      </c>
      <c r="KU25" s="322">
        <v>2</v>
      </c>
      <c r="KV25" s="322"/>
      <c r="KW25" s="322"/>
      <c r="KX25" s="322"/>
      <c r="KY25" s="322"/>
      <c r="KZ25" s="322">
        <v>40</v>
      </c>
      <c r="LA25" s="322"/>
      <c r="LB25" s="322"/>
      <c r="LC25" s="322"/>
      <c r="LD25" s="322"/>
      <c r="LE25" s="322"/>
      <c r="LF25" s="324">
        <v>153</v>
      </c>
    </row>
    <row r="26" spans="1:318" x14ac:dyDescent="0.2">
      <c r="A26" s="327">
        <v>42663</v>
      </c>
      <c r="B26" s="322"/>
      <c r="C26" s="322"/>
      <c r="D26" s="322"/>
      <c r="E26" s="322"/>
      <c r="F26" s="322"/>
      <c r="G26" s="322"/>
      <c r="H26" s="322"/>
      <c r="I26" s="322"/>
      <c r="J26" s="322"/>
      <c r="K26" s="322"/>
      <c r="L26" s="322"/>
      <c r="M26" s="322"/>
      <c r="N26" s="322"/>
      <c r="O26" s="322"/>
      <c r="P26" s="322"/>
      <c r="Q26" s="322"/>
      <c r="R26" s="322"/>
      <c r="S26" s="322"/>
      <c r="T26" s="322"/>
      <c r="U26" s="322"/>
      <c r="V26" s="322"/>
      <c r="W26" s="322"/>
      <c r="X26" s="322"/>
      <c r="Y26" s="322"/>
      <c r="Z26" s="322"/>
      <c r="AA26" s="322"/>
      <c r="AB26" s="322"/>
      <c r="AC26" s="322"/>
      <c r="AD26" s="322">
        <v>1</v>
      </c>
      <c r="AE26" s="322">
        <v>1</v>
      </c>
      <c r="AF26" s="322">
        <v>1</v>
      </c>
      <c r="AG26" s="322">
        <v>1</v>
      </c>
      <c r="AH26" s="322"/>
      <c r="AI26" s="322"/>
      <c r="AJ26" s="322"/>
      <c r="AK26" s="322"/>
      <c r="AL26" s="322"/>
      <c r="AM26" s="322"/>
      <c r="AN26" s="322"/>
      <c r="AO26" s="322"/>
      <c r="AP26" s="322"/>
      <c r="AQ26" s="322"/>
      <c r="AR26" s="322"/>
      <c r="AS26" s="322"/>
      <c r="AT26" s="322">
        <v>1</v>
      </c>
      <c r="AU26" s="322">
        <v>1</v>
      </c>
      <c r="AV26" s="322">
        <v>1</v>
      </c>
      <c r="AW26" s="322">
        <v>1</v>
      </c>
      <c r="AX26" s="322"/>
      <c r="AY26" s="322"/>
      <c r="AZ26" s="322"/>
      <c r="BA26" s="322"/>
      <c r="BB26" s="322">
        <v>3</v>
      </c>
      <c r="BC26" s="322">
        <v>3</v>
      </c>
      <c r="BD26" s="322">
        <v>3</v>
      </c>
      <c r="BE26" s="322">
        <v>3</v>
      </c>
      <c r="BF26" s="322"/>
      <c r="BG26" s="322"/>
      <c r="BH26" s="322"/>
      <c r="BI26" s="322"/>
      <c r="BJ26" s="322"/>
      <c r="BK26" s="322"/>
      <c r="BL26" s="322"/>
      <c r="BM26" s="322"/>
      <c r="BN26" s="322"/>
      <c r="BO26" s="322"/>
      <c r="BP26" s="322"/>
      <c r="BQ26" s="322"/>
      <c r="BR26" s="322"/>
      <c r="BS26" s="322"/>
      <c r="BT26" s="322"/>
      <c r="BU26" s="322"/>
      <c r="BV26" s="322">
        <v>5</v>
      </c>
      <c r="BW26" s="322">
        <v>5</v>
      </c>
      <c r="BX26" s="322">
        <v>5</v>
      </c>
      <c r="BY26" s="322">
        <v>5</v>
      </c>
      <c r="BZ26" s="322"/>
      <c r="CA26" s="322"/>
      <c r="CB26" s="322"/>
      <c r="CC26" s="322"/>
      <c r="CD26" s="322"/>
      <c r="CE26" s="322"/>
      <c r="CF26" s="322"/>
      <c r="CG26" s="322"/>
      <c r="CH26" s="322">
        <v>1</v>
      </c>
      <c r="CI26" s="322">
        <v>1</v>
      </c>
      <c r="CJ26" s="322">
        <v>1</v>
      </c>
      <c r="CK26" s="322">
        <v>1</v>
      </c>
      <c r="CL26" s="322">
        <v>8</v>
      </c>
      <c r="CM26" s="322">
        <v>8</v>
      </c>
      <c r="CN26" s="322">
        <v>8</v>
      </c>
      <c r="CO26" s="322">
        <v>8</v>
      </c>
      <c r="CP26" s="322"/>
      <c r="CQ26" s="322"/>
      <c r="CR26" s="322"/>
      <c r="CS26" s="322"/>
      <c r="CT26" s="322"/>
      <c r="CU26" s="322"/>
      <c r="CV26" s="322"/>
      <c r="CW26" s="322"/>
      <c r="CX26" s="322"/>
      <c r="CY26" s="322"/>
      <c r="CZ26" s="322"/>
      <c r="DA26" s="322"/>
      <c r="DB26" s="322">
        <v>19</v>
      </c>
      <c r="DC26" s="322">
        <v>85</v>
      </c>
      <c r="DD26" s="322">
        <v>85</v>
      </c>
      <c r="DE26" s="322">
        <v>85</v>
      </c>
      <c r="DF26" s="322">
        <v>85</v>
      </c>
      <c r="DG26" s="322">
        <v>5</v>
      </c>
      <c r="DH26" s="322">
        <v>5</v>
      </c>
      <c r="DI26" s="322">
        <v>5</v>
      </c>
      <c r="DJ26" s="322">
        <v>5</v>
      </c>
      <c r="DK26" s="322">
        <v>5</v>
      </c>
      <c r="DL26" s="322">
        <v>5</v>
      </c>
      <c r="DM26" s="322">
        <v>5</v>
      </c>
      <c r="DN26" s="322">
        <v>5</v>
      </c>
      <c r="DO26" s="322">
        <v>5</v>
      </c>
      <c r="DP26" s="322">
        <v>5</v>
      </c>
      <c r="DQ26" s="322">
        <v>5</v>
      </c>
      <c r="DR26" s="322">
        <v>5</v>
      </c>
      <c r="DS26" s="322">
        <v>1</v>
      </c>
      <c r="DT26" s="322">
        <v>1</v>
      </c>
      <c r="DU26" s="322">
        <v>1</v>
      </c>
      <c r="DV26" s="322">
        <v>1</v>
      </c>
      <c r="DW26" s="322">
        <v>1</v>
      </c>
      <c r="DX26" s="322">
        <v>1</v>
      </c>
      <c r="DY26" s="322">
        <v>1</v>
      </c>
      <c r="DZ26" s="322">
        <v>1</v>
      </c>
      <c r="EA26" s="322">
        <v>4</v>
      </c>
      <c r="EB26" s="322">
        <v>4</v>
      </c>
      <c r="EC26" s="322">
        <v>4</v>
      </c>
      <c r="ED26" s="322">
        <v>4</v>
      </c>
      <c r="EE26" s="322">
        <v>6</v>
      </c>
      <c r="EF26" s="322">
        <v>6</v>
      </c>
      <c r="EG26" s="322">
        <v>6</v>
      </c>
      <c r="EH26" s="322">
        <v>6</v>
      </c>
      <c r="EI26" s="322">
        <v>2</v>
      </c>
      <c r="EJ26" s="322">
        <v>2</v>
      </c>
      <c r="EK26" s="322">
        <v>2</v>
      </c>
      <c r="EL26" s="322">
        <v>2</v>
      </c>
      <c r="EM26" s="322"/>
      <c r="EN26" s="322"/>
      <c r="EO26" s="322"/>
      <c r="EP26" s="322"/>
      <c r="EQ26" s="322"/>
      <c r="ER26" s="322"/>
      <c r="ES26" s="322"/>
      <c r="ET26" s="322"/>
      <c r="EU26" s="322"/>
      <c r="EV26" s="322"/>
      <c r="EW26" s="322"/>
      <c r="EX26" s="322"/>
      <c r="EY26" s="322"/>
      <c r="EZ26" s="322"/>
      <c r="FA26" s="322"/>
      <c r="FB26" s="322"/>
      <c r="FC26" s="322"/>
      <c r="FD26" s="322"/>
      <c r="FE26" s="322"/>
      <c r="FF26" s="322"/>
      <c r="FG26" s="322"/>
      <c r="FH26" s="322"/>
      <c r="FI26" s="322"/>
      <c r="FJ26" s="322"/>
      <c r="FK26" s="322"/>
      <c r="FL26" s="322"/>
      <c r="FM26" s="322"/>
      <c r="FN26" s="322"/>
      <c r="FO26" s="322"/>
      <c r="FP26" s="322"/>
      <c r="FQ26" s="322"/>
      <c r="FR26" s="322"/>
      <c r="FS26" s="322"/>
      <c r="FT26" s="322"/>
      <c r="FU26" s="322"/>
      <c r="FV26" s="322"/>
      <c r="FW26" s="322"/>
      <c r="FX26" s="322"/>
      <c r="FY26" s="322"/>
      <c r="FZ26" s="322"/>
      <c r="GA26" s="322"/>
      <c r="GB26" s="322"/>
      <c r="GC26" s="322"/>
      <c r="GD26" s="322"/>
      <c r="GE26" s="322">
        <v>1</v>
      </c>
      <c r="GF26" s="322">
        <v>1</v>
      </c>
      <c r="GG26" s="322">
        <v>1</v>
      </c>
      <c r="GH26" s="322">
        <v>1</v>
      </c>
      <c r="GI26" s="322"/>
      <c r="GJ26" s="322"/>
      <c r="GK26" s="322"/>
      <c r="GL26" s="322"/>
      <c r="GM26" s="322">
        <v>1</v>
      </c>
      <c r="GN26" s="322">
        <v>1</v>
      </c>
      <c r="GO26" s="322">
        <v>1</v>
      </c>
      <c r="GP26" s="322">
        <v>1</v>
      </c>
      <c r="GQ26" s="322">
        <v>3</v>
      </c>
      <c r="GR26" s="322">
        <v>3</v>
      </c>
      <c r="GS26" s="322">
        <v>3</v>
      </c>
      <c r="GT26" s="322">
        <v>3</v>
      </c>
      <c r="GU26" s="322"/>
      <c r="GV26" s="322"/>
      <c r="GW26" s="322"/>
      <c r="GX26" s="322"/>
      <c r="GY26" s="322">
        <v>1</v>
      </c>
      <c r="GZ26" s="322">
        <v>1</v>
      </c>
      <c r="HA26" s="322">
        <v>1</v>
      </c>
      <c r="HB26" s="322">
        <v>1</v>
      </c>
      <c r="HC26" s="322"/>
      <c r="HD26" s="322"/>
      <c r="HE26" s="322"/>
      <c r="HF26" s="322"/>
      <c r="HG26" s="322"/>
      <c r="HH26" s="322"/>
      <c r="HI26" s="322"/>
      <c r="HJ26" s="322"/>
      <c r="HK26" s="322"/>
      <c r="HL26" s="322"/>
      <c r="HM26" s="322"/>
      <c r="HN26" s="322"/>
      <c r="HO26" s="322"/>
      <c r="HP26" s="322"/>
      <c r="HQ26" s="322"/>
      <c r="HR26" s="322"/>
      <c r="HS26" s="322"/>
      <c r="HT26" s="322"/>
      <c r="HU26" s="322"/>
      <c r="HV26" s="322"/>
      <c r="HW26" s="322">
        <v>1</v>
      </c>
      <c r="HX26" s="322">
        <v>1</v>
      </c>
      <c r="HY26" s="322">
        <v>1</v>
      </c>
      <c r="HZ26" s="322">
        <v>1</v>
      </c>
      <c r="IA26" s="322">
        <v>18</v>
      </c>
      <c r="IB26" s="322">
        <v>18</v>
      </c>
      <c r="IC26" s="322">
        <v>18</v>
      </c>
      <c r="ID26" s="322">
        <v>18</v>
      </c>
      <c r="IE26" s="322"/>
      <c r="IF26" s="322"/>
      <c r="IG26" s="322"/>
      <c r="IH26" s="322"/>
      <c r="II26" s="322">
        <v>1</v>
      </c>
      <c r="IJ26" s="322">
        <v>1</v>
      </c>
      <c r="IK26" s="322">
        <v>1</v>
      </c>
      <c r="IL26" s="322">
        <v>1</v>
      </c>
      <c r="IM26" s="322">
        <v>140</v>
      </c>
      <c r="IN26" s="322">
        <v>12</v>
      </c>
      <c r="IO26" s="322">
        <v>12</v>
      </c>
      <c r="IP26" s="322">
        <v>12</v>
      </c>
      <c r="IQ26" s="322">
        <v>12</v>
      </c>
      <c r="IR26" s="322">
        <v>2</v>
      </c>
      <c r="IS26" s="322">
        <v>2</v>
      </c>
      <c r="IT26" s="322">
        <v>2</v>
      </c>
      <c r="IU26" s="322">
        <v>2</v>
      </c>
      <c r="IV26" s="322">
        <v>1</v>
      </c>
      <c r="IW26" s="322">
        <v>1</v>
      </c>
      <c r="IX26" s="322">
        <v>1</v>
      </c>
      <c r="IY26" s="322">
        <v>1</v>
      </c>
      <c r="IZ26" s="322">
        <v>3</v>
      </c>
      <c r="JA26" s="322">
        <v>3</v>
      </c>
      <c r="JB26" s="322">
        <v>3</v>
      </c>
      <c r="JC26" s="322">
        <v>3</v>
      </c>
      <c r="JD26" s="322"/>
      <c r="JE26" s="322"/>
      <c r="JF26" s="322"/>
      <c r="JG26" s="322"/>
      <c r="JH26" s="322"/>
      <c r="JI26" s="322"/>
      <c r="JJ26" s="322"/>
      <c r="JK26" s="322"/>
      <c r="JL26" s="322">
        <v>5</v>
      </c>
      <c r="JM26" s="322">
        <v>5</v>
      </c>
      <c r="JN26" s="322">
        <v>5</v>
      </c>
      <c r="JO26" s="322">
        <v>5</v>
      </c>
      <c r="JP26" s="322"/>
      <c r="JQ26" s="322"/>
      <c r="JR26" s="322"/>
      <c r="JS26" s="322"/>
      <c r="JT26" s="322"/>
      <c r="JU26" s="322"/>
      <c r="JV26" s="322"/>
      <c r="JW26" s="322"/>
      <c r="JX26" s="322"/>
      <c r="JY26" s="322"/>
      <c r="JZ26" s="322"/>
      <c r="KA26" s="322"/>
      <c r="KB26" s="322"/>
      <c r="KC26" s="322"/>
      <c r="KD26" s="322"/>
      <c r="KE26" s="322"/>
      <c r="KF26" s="322"/>
      <c r="KG26" s="322"/>
      <c r="KH26" s="322"/>
      <c r="KI26" s="322"/>
      <c r="KJ26" s="322"/>
      <c r="KK26" s="322"/>
      <c r="KL26" s="322"/>
      <c r="KM26" s="322"/>
      <c r="KN26" s="322"/>
      <c r="KO26" s="322"/>
      <c r="KP26" s="322"/>
      <c r="KQ26" s="322"/>
      <c r="KR26" s="322">
        <v>1</v>
      </c>
      <c r="KS26" s="322">
        <v>1</v>
      </c>
      <c r="KT26" s="322">
        <v>1</v>
      </c>
      <c r="KU26" s="322">
        <v>1</v>
      </c>
      <c r="KV26" s="322"/>
      <c r="KW26" s="322"/>
      <c r="KX26" s="322"/>
      <c r="KY26" s="322"/>
      <c r="KZ26" s="322">
        <v>24</v>
      </c>
      <c r="LA26" s="322"/>
      <c r="LB26" s="322"/>
      <c r="LC26" s="322"/>
      <c r="LD26" s="322"/>
      <c r="LE26" s="322"/>
      <c r="LF26" s="324">
        <v>183</v>
      </c>
    </row>
    <row r="27" spans="1:318" x14ac:dyDescent="0.2">
      <c r="A27" s="327">
        <v>42664</v>
      </c>
      <c r="B27" s="322"/>
      <c r="C27" s="322"/>
      <c r="D27" s="322"/>
      <c r="E27" s="322"/>
      <c r="F27" s="322"/>
      <c r="G27" s="322"/>
      <c r="H27" s="322"/>
      <c r="I27" s="322"/>
      <c r="J27" s="322"/>
      <c r="K27" s="322"/>
      <c r="L27" s="322"/>
      <c r="M27" s="322"/>
      <c r="N27" s="322">
        <v>1</v>
      </c>
      <c r="O27" s="322">
        <v>1</v>
      </c>
      <c r="P27" s="322">
        <v>1</v>
      </c>
      <c r="Q27" s="322">
        <v>1</v>
      </c>
      <c r="R27" s="322"/>
      <c r="S27" s="322"/>
      <c r="T27" s="322"/>
      <c r="U27" s="322"/>
      <c r="V27" s="322"/>
      <c r="W27" s="322"/>
      <c r="X27" s="322"/>
      <c r="Y27" s="322"/>
      <c r="Z27" s="322"/>
      <c r="AA27" s="322"/>
      <c r="AB27" s="322"/>
      <c r="AC27" s="322"/>
      <c r="AD27" s="322"/>
      <c r="AE27" s="322"/>
      <c r="AF27" s="322"/>
      <c r="AG27" s="322"/>
      <c r="AH27" s="322"/>
      <c r="AI27" s="322"/>
      <c r="AJ27" s="322"/>
      <c r="AK27" s="322"/>
      <c r="AL27" s="322"/>
      <c r="AM27" s="322"/>
      <c r="AN27" s="322"/>
      <c r="AO27" s="322"/>
      <c r="AP27" s="322"/>
      <c r="AQ27" s="322"/>
      <c r="AR27" s="322"/>
      <c r="AS27" s="322"/>
      <c r="AT27" s="322"/>
      <c r="AU27" s="322"/>
      <c r="AV27" s="322"/>
      <c r="AW27" s="322"/>
      <c r="AX27" s="322"/>
      <c r="AY27" s="322"/>
      <c r="AZ27" s="322"/>
      <c r="BA27" s="322"/>
      <c r="BB27" s="322"/>
      <c r="BC27" s="322"/>
      <c r="BD27" s="322"/>
      <c r="BE27" s="322"/>
      <c r="BF27" s="322"/>
      <c r="BG27" s="322"/>
      <c r="BH27" s="322"/>
      <c r="BI27" s="322"/>
      <c r="BJ27" s="322"/>
      <c r="BK27" s="322"/>
      <c r="BL27" s="322"/>
      <c r="BM27" s="322"/>
      <c r="BN27" s="322"/>
      <c r="BO27" s="322"/>
      <c r="BP27" s="322"/>
      <c r="BQ27" s="322"/>
      <c r="BR27" s="322"/>
      <c r="BS27" s="322"/>
      <c r="BT27" s="322"/>
      <c r="BU27" s="322"/>
      <c r="BV27" s="322"/>
      <c r="BW27" s="322"/>
      <c r="BX27" s="322"/>
      <c r="BY27" s="322"/>
      <c r="BZ27" s="322"/>
      <c r="CA27" s="322"/>
      <c r="CB27" s="322"/>
      <c r="CC27" s="322"/>
      <c r="CD27" s="322"/>
      <c r="CE27" s="322"/>
      <c r="CF27" s="322"/>
      <c r="CG27" s="322"/>
      <c r="CH27" s="322"/>
      <c r="CI27" s="322"/>
      <c r="CJ27" s="322"/>
      <c r="CK27" s="322"/>
      <c r="CL27" s="322"/>
      <c r="CM27" s="322"/>
      <c r="CN27" s="322"/>
      <c r="CO27" s="322"/>
      <c r="CP27" s="322"/>
      <c r="CQ27" s="322"/>
      <c r="CR27" s="322"/>
      <c r="CS27" s="322"/>
      <c r="CT27" s="322"/>
      <c r="CU27" s="322"/>
      <c r="CV27" s="322"/>
      <c r="CW27" s="322"/>
      <c r="CX27" s="322"/>
      <c r="CY27" s="322"/>
      <c r="CZ27" s="322"/>
      <c r="DA27" s="322"/>
      <c r="DB27" s="322">
        <v>1</v>
      </c>
      <c r="DC27" s="322">
        <v>46</v>
      </c>
      <c r="DD27" s="322">
        <v>46</v>
      </c>
      <c r="DE27" s="322">
        <v>46</v>
      </c>
      <c r="DF27" s="322">
        <v>46</v>
      </c>
      <c r="DG27" s="322"/>
      <c r="DH27" s="322"/>
      <c r="DI27" s="322"/>
      <c r="DJ27" s="322"/>
      <c r="DK27" s="322"/>
      <c r="DL27" s="322"/>
      <c r="DM27" s="322"/>
      <c r="DN27" s="322"/>
      <c r="DO27" s="322"/>
      <c r="DP27" s="322"/>
      <c r="DQ27" s="322"/>
      <c r="DR27" s="322"/>
      <c r="DS27" s="322"/>
      <c r="DT27" s="322"/>
      <c r="DU27" s="322"/>
      <c r="DV27" s="322"/>
      <c r="DW27" s="322"/>
      <c r="DX27" s="322"/>
      <c r="DY27" s="322"/>
      <c r="DZ27" s="322"/>
      <c r="EA27" s="322"/>
      <c r="EB27" s="322"/>
      <c r="EC27" s="322"/>
      <c r="ED27" s="322"/>
      <c r="EE27" s="322"/>
      <c r="EF27" s="322"/>
      <c r="EG27" s="322"/>
      <c r="EH27" s="322"/>
      <c r="EI27" s="322"/>
      <c r="EJ27" s="322"/>
      <c r="EK27" s="322"/>
      <c r="EL27" s="322"/>
      <c r="EM27" s="322"/>
      <c r="EN27" s="322"/>
      <c r="EO27" s="322"/>
      <c r="EP27" s="322"/>
      <c r="EQ27" s="322"/>
      <c r="ER27" s="322"/>
      <c r="ES27" s="322"/>
      <c r="ET27" s="322"/>
      <c r="EU27" s="322"/>
      <c r="EV27" s="322"/>
      <c r="EW27" s="322"/>
      <c r="EX27" s="322"/>
      <c r="EY27" s="322">
        <v>2</v>
      </c>
      <c r="EZ27" s="322">
        <v>2</v>
      </c>
      <c r="FA27" s="322">
        <v>2</v>
      </c>
      <c r="FB27" s="322">
        <v>2</v>
      </c>
      <c r="FC27" s="322"/>
      <c r="FD27" s="322"/>
      <c r="FE27" s="322"/>
      <c r="FF27" s="322"/>
      <c r="FG27" s="322"/>
      <c r="FH27" s="322"/>
      <c r="FI27" s="322"/>
      <c r="FJ27" s="322"/>
      <c r="FK27" s="322"/>
      <c r="FL27" s="322"/>
      <c r="FM27" s="322"/>
      <c r="FN27" s="322"/>
      <c r="FO27" s="322"/>
      <c r="FP27" s="322"/>
      <c r="FQ27" s="322"/>
      <c r="FR27" s="322"/>
      <c r="FS27" s="322">
        <v>19</v>
      </c>
      <c r="FT27" s="322">
        <v>19</v>
      </c>
      <c r="FU27" s="322">
        <v>19</v>
      </c>
      <c r="FV27" s="322">
        <v>19</v>
      </c>
      <c r="FW27" s="322">
        <v>4</v>
      </c>
      <c r="FX27" s="322">
        <v>4</v>
      </c>
      <c r="FY27" s="322">
        <v>4</v>
      </c>
      <c r="FZ27" s="322">
        <v>4</v>
      </c>
      <c r="GA27" s="322"/>
      <c r="GB27" s="322"/>
      <c r="GC27" s="322"/>
      <c r="GD27" s="322"/>
      <c r="GE27" s="322">
        <v>1</v>
      </c>
      <c r="GF27" s="322">
        <v>1</v>
      </c>
      <c r="GG27" s="322">
        <v>1</v>
      </c>
      <c r="GH27" s="322">
        <v>1</v>
      </c>
      <c r="GI27" s="322"/>
      <c r="GJ27" s="322"/>
      <c r="GK27" s="322"/>
      <c r="GL27" s="322"/>
      <c r="GM27" s="322">
        <v>1</v>
      </c>
      <c r="GN27" s="322">
        <v>1</v>
      </c>
      <c r="GO27" s="322">
        <v>1</v>
      </c>
      <c r="GP27" s="322">
        <v>1</v>
      </c>
      <c r="GQ27" s="322"/>
      <c r="GR27" s="322"/>
      <c r="GS27" s="322"/>
      <c r="GT27" s="322"/>
      <c r="GU27" s="322"/>
      <c r="GV27" s="322"/>
      <c r="GW27" s="322"/>
      <c r="GX27" s="322"/>
      <c r="GY27" s="322"/>
      <c r="GZ27" s="322"/>
      <c r="HA27" s="322"/>
      <c r="HB27" s="322"/>
      <c r="HC27" s="322"/>
      <c r="HD27" s="322"/>
      <c r="HE27" s="322"/>
      <c r="HF27" s="322"/>
      <c r="HG27" s="322">
        <v>1</v>
      </c>
      <c r="HH27" s="322">
        <v>1</v>
      </c>
      <c r="HI27" s="322">
        <v>1</v>
      </c>
      <c r="HJ27" s="322">
        <v>1</v>
      </c>
      <c r="HK27" s="322"/>
      <c r="HL27" s="322"/>
      <c r="HM27" s="322"/>
      <c r="HN27" s="322"/>
      <c r="HO27" s="322"/>
      <c r="HP27" s="322"/>
      <c r="HQ27" s="322"/>
      <c r="HR27" s="322"/>
      <c r="HS27" s="322"/>
      <c r="HT27" s="322"/>
      <c r="HU27" s="322"/>
      <c r="HV27" s="322"/>
      <c r="HW27" s="322"/>
      <c r="HX27" s="322"/>
      <c r="HY27" s="322"/>
      <c r="HZ27" s="322"/>
      <c r="IA27" s="322">
        <v>23</v>
      </c>
      <c r="IB27" s="322">
        <v>23</v>
      </c>
      <c r="IC27" s="322">
        <v>23</v>
      </c>
      <c r="ID27" s="322">
        <v>23</v>
      </c>
      <c r="IE27" s="322"/>
      <c r="IF27" s="322"/>
      <c r="IG27" s="322"/>
      <c r="IH27" s="322"/>
      <c r="II27" s="322"/>
      <c r="IJ27" s="322"/>
      <c r="IK27" s="322"/>
      <c r="IL27" s="322"/>
      <c r="IM27" s="322">
        <v>97</v>
      </c>
      <c r="IN27" s="322"/>
      <c r="IO27" s="322"/>
      <c r="IP27" s="322"/>
      <c r="IQ27" s="322"/>
      <c r="IR27" s="322"/>
      <c r="IS27" s="322"/>
      <c r="IT27" s="322"/>
      <c r="IU27" s="322"/>
      <c r="IV27" s="322"/>
      <c r="IW27" s="322"/>
      <c r="IX27" s="322"/>
      <c r="IY27" s="322"/>
      <c r="IZ27" s="322"/>
      <c r="JA27" s="322"/>
      <c r="JB27" s="322"/>
      <c r="JC27" s="322"/>
      <c r="JD27" s="322"/>
      <c r="JE27" s="322"/>
      <c r="JF27" s="322"/>
      <c r="JG27" s="322"/>
      <c r="JH27" s="322">
        <v>4</v>
      </c>
      <c r="JI27" s="322">
        <v>4</v>
      </c>
      <c r="JJ27" s="322">
        <v>4</v>
      </c>
      <c r="JK27" s="322">
        <v>4</v>
      </c>
      <c r="JL27" s="322"/>
      <c r="JM27" s="322"/>
      <c r="JN27" s="322"/>
      <c r="JO27" s="322"/>
      <c r="JP27" s="322">
        <v>4</v>
      </c>
      <c r="JQ27" s="322">
        <v>4</v>
      </c>
      <c r="JR27" s="322">
        <v>4</v>
      </c>
      <c r="JS27" s="322">
        <v>4</v>
      </c>
      <c r="JT27" s="322"/>
      <c r="JU27" s="322"/>
      <c r="JV27" s="322"/>
      <c r="JW27" s="322"/>
      <c r="JX27" s="322"/>
      <c r="JY27" s="322"/>
      <c r="JZ27" s="322"/>
      <c r="KA27" s="322"/>
      <c r="KB27" s="322"/>
      <c r="KC27" s="322"/>
      <c r="KD27" s="322"/>
      <c r="KE27" s="322"/>
      <c r="KF27" s="322"/>
      <c r="KG27" s="322"/>
      <c r="KH27" s="322"/>
      <c r="KI27" s="322"/>
      <c r="KJ27" s="322">
        <v>1</v>
      </c>
      <c r="KK27" s="322">
        <v>1</v>
      </c>
      <c r="KL27" s="322">
        <v>1</v>
      </c>
      <c r="KM27" s="322">
        <v>1</v>
      </c>
      <c r="KN27" s="322"/>
      <c r="KO27" s="322"/>
      <c r="KP27" s="322"/>
      <c r="KQ27" s="322"/>
      <c r="KR27" s="322"/>
      <c r="KS27" s="322"/>
      <c r="KT27" s="322"/>
      <c r="KU27" s="322"/>
      <c r="KV27" s="322">
        <v>7</v>
      </c>
      <c r="KW27" s="322">
        <v>7</v>
      </c>
      <c r="KX27" s="322">
        <v>7</v>
      </c>
      <c r="KY27" s="322">
        <v>7</v>
      </c>
      <c r="KZ27" s="322">
        <v>16</v>
      </c>
      <c r="LA27" s="322"/>
      <c r="LB27" s="322"/>
      <c r="LC27" s="322"/>
      <c r="LD27" s="322"/>
      <c r="LE27" s="322"/>
      <c r="LF27" s="324">
        <v>114</v>
      </c>
    </row>
    <row r="28" spans="1:318" x14ac:dyDescent="0.2">
      <c r="A28" s="327">
        <v>42668</v>
      </c>
      <c r="B28" s="322"/>
      <c r="C28" s="322"/>
      <c r="D28" s="322"/>
      <c r="E28" s="322"/>
      <c r="F28" s="322"/>
      <c r="G28" s="322"/>
      <c r="H28" s="322"/>
      <c r="I28" s="322"/>
      <c r="J28" s="322"/>
      <c r="K28" s="322"/>
      <c r="L28" s="322"/>
      <c r="M28" s="322"/>
      <c r="N28" s="322"/>
      <c r="O28" s="322"/>
      <c r="P28" s="322"/>
      <c r="Q28" s="322"/>
      <c r="R28" s="322">
        <v>1</v>
      </c>
      <c r="S28" s="322">
        <v>1</v>
      </c>
      <c r="T28" s="322">
        <v>1</v>
      </c>
      <c r="U28" s="322">
        <v>1</v>
      </c>
      <c r="V28" s="322"/>
      <c r="W28" s="322"/>
      <c r="X28" s="322"/>
      <c r="Y28" s="322"/>
      <c r="Z28" s="322"/>
      <c r="AA28" s="322"/>
      <c r="AB28" s="322"/>
      <c r="AC28" s="322"/>
      <c r="AD28" s="322"/>
      <c r="AE28" s="322"/>
      <c r="AF28" s="322"/>
      <c r="AG28" s="322"/>
      <c r="AH28" s="322"/>
      <c r="AI28" s="322"/>
      <c r="AJ28" s="322"/>
      <c r="AK28" s="322"/>
      <c r="AL28" s="322"/>
      <c r="AM28" s="322"/>
      <c r="AN28" s="322"/>
      <c r="AO28" s="322"/>
      <c r="AP28" s="322"/>
      <c r="AQ28" s="322"/>
      <c r="AR28" s="322"/>
      <c r="AS28" s="322"/>
      <c r="AT28" s="322"/>
      <c r="AU28" s="322"/>
      <c r="AV28" s="322"/>
      <c r="AW28" s="322"/>
      <c r="AX28" s="322"/>
      <c r="AY28" s="322"/>
      <c r="AZ28" s="322"/>
      <c r="BA28" s="322"/>
      <c r="BB28" s="322"/>
      <c r="BC28" s="322"/>
      <c r="BD28" s="322"/>
      <c r="BE28" s="322"/>
      <c r="BF28" s="322"/>
      <c r="BG28" s="322"/>
      <c r="BH28" s="322"/>
      <c r="BI28" s="322"/>
      <c r="BJ28" s="322"/>
      <c r="BK28" s="322"/>
      <c r="BL28" s="322"/>
      <c r="BM28" s="322"/>
      <c r="BN28" s="322"/>
      <c r="BO28" s="322"/>
      <c r="BP28" s="322"/>
      <c r="BQ28" s="322"/>
      <c r="BR28" s="322"/>
      <c r="BS28" s="322"/>
      <c r="BT28" s="322"/>
      <c r="BU28" s="322"/>
      <c r="BV28" s="322"/>
      <c r="BW28" s="322"/>
      <c r="BX28" s="322"/>
      <c r="BY28" s="322"/>
      <c r="BZ28" s="322"/>
      <c r="CA28" s="322"/>
      <c r="CB28" s="322"/>
      <c r="CC28" s="322"/>
      <c r="CD28" s="322"/>
      <c r="CE28" s="322"/>
      <c r="CF28" s="322"/>
      <c r="CG28" s="322"/>
      <c r="CH28" s="322"/>
      <c r="CI28" s="322"/>
      <c r="CJ28" s="322"/>
      <c r="CK28" s="322"/>
      <c r="CL28" s="322">
        <v>1</v>
      </c>
      <c r="CM28" s="322">
        <v>1</v>
      </c>
      <c r="CN28" s="322">
        <v>1</v>
      </c>
      <c r="CO28" s="322">
        <v>1</v>
      </c>
      <c r="CP28" s="322"/>
      <c r="CQ28" s="322"/>
      <c r="CR28" s="322"/>
      <c r="CS28" s="322"/>
      <c r="CT28" s="322"/>
      <c r="CU28" s="322"/>
      <c r="CV28" s="322"/>
      <c r="CW28" s="322"/>
      <c r="CX28" s="322"/>
      <c r="CY28" s="322"/>
      <c r="CZ28" s="322"/>
      <c r="DA28" s="322"/>
      <c r="DB28" s="322">
        <v>2</v>
      </c>
      <c r="DC28" s="322">
        <v>10</v>
      </c>
      <c r="DD28" s="322">
        <v>10</v>
      </c>
      <c r="DE28" s="322">
        <v>10</v>
      </c>
      <c r="DF28" s="322">
        <v>10</v>
      </c>
      <c r="DG28" s="322"/>
      <c r="DH28" s="322"/>
      <c r="DI28" s="322"/>
      <c r="DJ28" s="322"/>
      <c r="DK28" s="322"/>
      <c r="DL28" s="322"/>
      <c r="DM28" s="322"/>
      <c r="DN28" s="322"/>
      <c r="DO28" s="322"/>
      <c r="DP28" s="322"/>
      <c r="DQ28" s="322"/>
      <c r="DR28" s="322"/>
      <c r="DS28" s="322"/>
      <c r="DT28" s="322"/>
      <c r="DU28" s="322"/>
      <c r="DV28" s="322"/>
      <c r="DW28" s="322"/>
      <c r="DX28" s="322"/>
      <c r="DY28" s="322"/>
      <c r="DZ28" s="322"/>
      <c r="EA28" s="322"/>
      <c r="EB28" s="322"/>
      <c r="EC28" s="322"/>
      <c r="ED28" s="322"/>
      <c r="EE28" s="322"/>
      <c r="EF28" s="322"/>
      <c r="EG28" s="322"/>
      <c r="EH28" s="322"/>
      <c r="EI28" s="322"/>
      <c r="EJ28" s="322"/>
      <c r="EK28" s="322"/>
      <c r="EL28" s="322"/>
      <c r="EM28" s="322"/>
      <c r="EN28" s="322"/>
      <c r="EO28" s="322"/>
      <c r="EP28" s="322"/>
      <c r="EQ28" s="322"/>
      <c r="ER28" s="322"/>
      <c r="ES28" s="322"/>
      <c r="ET28" s="322"/>
      <c r="EU28" s="322"/>
      <c r="EV28" s="322"/>
      <c r="EW28" s="322"/>
      <c r="EX28" s="322"/>
      <c r="EY28" s="322"/>
      <c r="EZ28" s="322"/>
      <c r="FA28" s="322"/>
      <c r="FB28" s="322"/>
      <c r="FC28" s="322"/>
      <c r="FD28" s="322"/>
      <c r="FE28" s="322"/>
      <c r="FF28" s="322"/>
      <c r="FG28" s="322"/>
      <c r="FH28" s="322"/>
      <c r="FI28" s="322"/>
      <c r="FJ28" s="322"/>
      <c r="FK28" s="322"/>
      <c r="FL28" s="322"/>
      <c r="FM28" s="322"/>
      <c r="FN28" s="322"/>
      <c r="FO28" s="322"/>
      <c r="FP28" s="322"/>
      <c r="FQ28" s="322"/>
      <c r="FR28" s="322"/>
      <c r="FS28" s="322"/>
      <c r="FT28" s="322"/>
      <c r="FU28" s="322"/>
      <c r="FV28" s="322"/>
      <c r="FW28" s="322"/>
      <c r="FX28" s="322"/>
      <c r="FY28" s="322"/>
      <c r="FZ28" s="322"/>
      <c r="GA28" s="322"/>
      <c r="GB28" s="322"/>
      <c r="GC28" s="322"/>
      <c r="GD28" s="322"/>
      <c r="GE28" s="322">
        <v>2</v>
      </c>
      <c r="GF28" s="322">
        <v>2</v>
      </c>
      <c r="GG28" s="322">
        <v>2</v>
      </c>
      <c r="GH28" s="322">
        <v>2</v>
      </c>
      <c r="GI28" s="322"/>
      <c r="GJ28" s="322"/>
      <c r="GK28" s="322"/>
      <c r="GL28" s="322"/>
      <c r="GM28" s="322">
        <v>1</v>
      </c>
      <c r="GN28" s="322">
        <v>1</v>
      </c>
      <c r="GO28" s="322">
        <v>1</v>
      </c>
      <c r="GP28" s="322">
        <v>1</v>
      </c>
      <c r="GQ28" s="322"/>
      <c r="GR28" s="322"/>
      <c r="GS28" s="322"/>
      <c r="GT28" s="322"/>
      <c r="GU28" s="322"/>
      <c r="GV28" s="322"/>
      <c r="GW28" s="322"/>
      <c r="GX28" s="322"/>
      <c r="GY28" s="322"/>
      <c r="GZ28" s="322"/>
      <c r="HA28" s="322"/>
      <c r="HB28" s="322"/>
      <c r="HC28" s="322"/>
      <c r="HD28" s="322"/>
      <c r="HE28" s="322"/>
      <c r="HF28" s="322"/>
      <c r="HG28" s="322">
        <v>1</v>
      </c>
      <c r="HH28" s="322">
        <v>1</v>
      </c>
      <c r="HI28" s="322">
        <v>1</v>
      </c>
      <c r="HJ28" s="322">
        <v>1</v>
      </c>
      <c r="HK28" s="322"/>
      <c r="HL28" s="322"/>
      <c r="HM28" s="322"/>
      <c r="HN28" s="322"/>
      <c r="HO28" s="322"/>
      <c r="HP28" s="322"/>
      <c r="HQ28" s="322"/>
      <c r="HR28" s="322"/>
      <c r="HS28" s="322"/>
      <c r="HT28" s="322"/>
      <c r="HU28" s="322"/>
      <c r="HV28" s="322"/>
      <c r="HW28" s="322"/>
      <c r="HX28" s="322"/>
      <c r="HY28" s="322"/>
      <c r="HZ28" s="322"/>
      <c r="IA28" s="322">
        <v>4</v>
      </c>
      <c r="IB28" s="322">
        <v>4</v>
      </c>
      <c r="IC28" s="322">
        <v>4</v>
      </c>
      <c r="ID28" s="322">
        <v>4</v>
      </c>
      <c r="IE28" s="322"/>
      <c r="IF28" s="322"/>
      <c r="IG28" s="322"/>
      <c r="IH28" s="322"/>
      <c r="II28" s="322"/>
      <c r="IJ28" s="322"/>
      <c r="IK28" s="322"/>
      <c r="IL28" s="322"/>
      <c r="IM28" s="322">
        <v>18</v>
      </c>
      <c r="IN28" s="322"/>
      <c r="IO28" s="322"/>
      <c r="IP28" s="322"/>
      <c r="IQ28" s="322"/>
      <c r="IR28" s="322"/>
      <c r="IS28" s="322"/>
      <c r="IT28" s="322"/>
      <c r="IU28" s="322"/>
      <c r="IV28" s="322"/>
      <c r="IW28" s="322"/>
      <c r="IX28" s="322"/>
      <c r="IY28" s="322"/>
      <c r="IZ28" s="322"/>
      <c r="JA28" s="322"/>
      <c r="JB28" s="322"/>
      <c r="JC28" s="322"/>
      <c r="JD28" s="322"/>
      <c r="JE28" s="322"/>
      <c r="JF28" s="322"/>
      <c r="JG28" s="322"/>
      <c r="JH28" s="322"/>
      <c r="JI28" s="322"/>
      <c r="JJ28" s="322"/>
      <c r="JK28" s="322"/>
      <c r="JL28" s="322"/>
      <c r="JM28" s="322"/>
      <c r="JN28" s="322"/>
      <c r="JO28" s="322"/>
      <c r="JP28" s="322"/>
      <c r="JQ28" s="322"/>
      <c r="JR28" s="322"/>
      <c r="JS28" s="322"/>
      <c r="JT28" s="322"/>
      <c r="JU28" s="322"/>
      <c r="JV28" s="322"/>
      <c r="JW28" s="322"/>
      <c r="JX28" s="322"/>
      <c r="JY28" s="322"/>
      <c r="JZ28" s="322"/>
      <c r="KA28" s="322"/>
      <c r="KB28" s="322"/>
      <c r="KC28" s="322"/>
      <c r="KD28" s="322"/>
      <c r="KE28" s="322"/>
      <c r="KF28" s="322"/>
      <c r="KG28" s="322"/>
      <c r="KH28" s="322"/>
      <c r="KI28" s="322"/>
      <c r="KJ28" s="322"/>
      <c r="KK28" s="322"/>
      <c r="KL28" s="322"/>
      <c r="KM28" s="322"/>
      <c r="KN28" s="322"/>
      <c r="KO28" s="322"/>
      <c r="KP28" s="322"/>
      <c r="KQ28" s="322"/>
      <c r="KR28" s="322"/>
      <c r="KS28" s="322"/>
      <c r="KT28" s="322"/>
      <c r="KU28" s="322"/>
      <c r="KV28" s="322">
        <v>3</v>
      </c>
      <c r="KW28" s="322">
        <v>3</v>
      </c>
      <c r="KX28" s="322">
        <v>3</v>
      </c>
      <c r="KY28" s="322">
        <v>3</v>
      </c>
      <c r="KZ28" s="322">
        <v>3</v>
      </c>
      <c r="LA28" s="322"/>
      <c r="LB28" s="322"/>
      <c r="LC28" s="322"/>
      <c r="LD28" s="322"/>
      <c r="LE28" s="322"/>
      <c r="LF28" s="324">
        <v>23</v>
      </c>
    </row>
    <row r="29" spans="1:318" x14ac:dyDescent="0.2">
      <c r="A29" s="327">
        <v>42669</v>
      </c>
      <c r="B29" s="322"/>
      <c r="C29" s="322"/>
      <c r="D29" s="322"/>
      <c r="E29" s="322"/>
      <c r="F29" s="322"/>
      <c r="G29" s="322"/>
      <c r="H29" s="322"/>
      <c r="I29" s="322"/>
      <c r="J29" s="322">
        <v>1</v>
      </c>
      <c r="K29" s="322">
        <v>1</v>
      </c>
      <c r="L29" s="322">
        <v>1</v>
      </c>
      <c r="M29" s="322">
        <v>1</v>
      </c>
      <c r="N29" s="322"/>
      <c r="O29" s="322"/>
      <c r="P29" s="322"/>
      <c r="Q29" s="322"/>
      <c r="R29" s="322"/>
      <c r="S29" s="322"/>
      <c r="T29" s="322"/>
      <c r="U29" s="322"/>
      <c r="V29" s="322"/>
      <c r="W29" s="322"/>
      <c r="X29" s="322"/>
      <c r="Y29" s="322"/>
      <c r="Z29" s="322"/>
      <c r="AA29" s="322"/>
      <c r="AB29" s="322"/>
      <c r="AC29" s="322"/>
      <c r="AD29" s="322"/>
      <c r="AE29" s="322"/>
      <c r="AF29" s="322"/>
      <c r="AG29" s="322"/>
      <c r="AH29" s="322"/>
      <c r="AI29" s="322"/>
      <c r="AJ29" s="322"/>
      <c r="AK29" s="322"/>
      <c r="AL29" s="322"/>
      <c r="AM29" s="322"/>
      <c r="AN29" s="322"/>
      <c r="AO29" s="322"/>
      <c r="AP29" s="322">
        <v>3</v>
      </c>
      <c r="AQ29" s="322">
        <v>3</v>
      </c>
      <c r="AR29" s="322">
        <v>3</v>
      </c>
      <c r="AS29" s="322">
        <v>3</v>
      </c>
      <c r="AT29" s="322">
        <v>9</v>
      </c>
      <c r="AU29" s="322">
        <v>9</v>
      </c>
      <c r="AV29" s="322">
        <v>9</v>
      </c>
      <c r="AW29" s="322">
        <v>9</v>
      </c>
      <c r="AX29" s="322"/>
      <c r="AY29" s="322"/>
      <c r="AZ29" s="322"/>
      <c r="BA29" s="322"/>
      <c r="BB29" s="322">
        <v>10</v>
      </c>
      <c r="BC29" s="322">
        <v>10</v>
      </c>
      <c r="BD29" s="322">
        <v>10</v>
      </c>
      <c r="BE29" s="322">
        <v>10</v>
      </c>
      <c r="BF29" s="322"/>
      <c r="BG29" s="322"/>
      <c r="BH29" s="322"/>
      <c r="BI29" s="322"/>
      <c r="BJ29" s="322"/>
      <c r="BK29" s="322"/>
      <c r="BL29" s="322"/>
      <c r="BM29" s="322"/>
      <c r="BN29" s="322"/>
      <c r="BO29" s="322"/>
      <c r="BP29" s="322"/>
      <c r="BQ29" s="322"/>
      <c r="BR29" s="322"/>
      <c r="BS29" s="322"/>
      <c r="BT29" s="322"/>
      <c r="BU29" s="322"/>
      <c r="BV29" s="322">
        <v>2</v>
      </c>
      <c r="BW29" s="322">
        <v>2</v>
      </c>
      <c r="BX29" s="322">
        <v>2</v>
      </c>
      <c r="BY29" s="322">
        <v>2</v>
      </c>
      <c r="BZ29" s="322"/>
      <c r="CA29" s="322"/>
      <c r="CB29" s="322"/>
      <c r="CC29" s="322"/>
      <c r="CD29" s="322"/>
      <c r="CE29" s="322"/>
      <c r="CF29" s="322"/>
      <c r="CG29" s="322"/>
      <c r="CH29" s="322"/>
      <c r="CI29" s="322"/>
      <c r="CJ29" s="322"/>
      <c r="CK29" s="322"/>
      <c r="CL29" s="322"/>
      <c r="CM29" s="322"/>
      <c r="CN29" s="322"/>
      <c r="CO29" s="322"/>
      <c r="CP29" s="322">
        <v>1</v>
      </c>
      <c r="CQ29" s="322">
        <v>1</v>
      </c>
      <c r="CR29" s="322">
        <v>1</v>
      </c>
      <c r="CS29" s="322">
        <v>1</v>
      </c>
      <c r="CT29" s="322"/>
      <c r="CU29" s="322"/>
      <c r="CV29" s="322"/>
      <c r="CW29" s="322"/>
      <c r="CX29" s="322"/>
      <c r="CY29" s="322"/>
      <c r="CZ29" s="322"/>
      <c r="DA29" s="322"/>
      <c r="DB29" s="322">
        <v>26</v>
      </c>
      <c r="DC29" s="322">
        <v>43</v>
      </c>
      <c r="DD29" s="322">
        <v>43</v>
      </c>
      <c r="DE29" s="322">
        <v>43</v>
      </c>
      <c r="DF29" s="322">
        <v>43</v>
      </c>
      <c r="DG29" s="322"/>
      <c r="DH29" s="322"/>
      <c r="DI29" s="322"/>
      <c r="DJ29" s="322"/>
      <c r="DK29" s="322"/>
      <c r="DL29" s="322"/>
      <c r="DM29" s="322"/>
      <c r="DN29" s="322"/>
      <c r="DO29" s="322"/>
      <c r="DP29" s="322"/>
      <c r="DQ29" s="322"/>
      <c r="DR29" s="322"/>
      <c r="DS29" s="322"/>
      <c r="DT29" s="322"/>
      <c r="DU29" s="322"/>
      <c r="DV29" s="322"/>
      <c r="DW29" s="322"/>
      <c r="DX29" s="322"/>
      <c r="DY29" s="322"/>
      <c r="DZ29" s="322"/>
      <c r="EA29" s="322"/>
      <c r="EB29" s="322"/>
      <c r="EC29" s="322"/>
      <c r="ED29" s="322"/>
      <c r="EE29" s="322">
        <v>4</v>
      </c>
      <c r="EF29" s="322">
        <v>4</v>
      </c>
      <c r="EG29" s="322">
        <v>4</v>
      </c>
      <c r="EH29" s="322">
        <v>4</v>
      </c>
      <c r="EI29" s="322"/>
      <c r="EJ29" s="322"/>
      <c r="EK29" s="322"/>
      <c r="EL29" s="322"/>
      <c r="EM29" s="322"/>
      <c r="EN29" s="322"/>
      <c r="EO29" s="322"/>
      <c r="EP29" s="322"/>
      <c r="EQ29" s="322"/>
      <c r="ER29" s="322"/>
      <c r="ES29" s="322"/>
      <c r="ET29" s="322"/>
      <c r="EU29" s="322"/>
      <c r="EV29" s="322"/>
      <c r="EW29" s="322"/>
      <c r="EX29" s="322"/>
      <c r="EY29" s="322"/>
      <c r="EZ29" s="322"/>
      <c r="FA29" s="322"/>
      <c r="FB29" s="322"/>
      <c r="FC29" s="322"/>
      <c r="FD29" s="322"/>
      <c r="FE29" s="322"/>
      <c r="FF29" s="322"/>
      <c r="FG29" s="322"/>
      <c r="FH29" s="322"/>
      <c r="FI29" s="322"/>
      <c r="FJ29" s="322"/>
      <c r="FK29" s="322"/>
      <c r="FL29" s="322"/>
      <c r="FM29" s="322"/>
      <c r="FN29" s="322"/>
      <c r="FO29" s="322"/>
      <c r="FP29" s="322"/>
      <c r="FQ29" s="322"/>
      <c r="FR29" s="322"/>
      <c r="FS29" s="322"/>
      <c r="FT29" s="322"/>
      <c r="FU29" s="322"/>
      <c r="FV29" s="322"/>
      <c r="FW29" s="322"/>
      <c r="FX29" s="322"/>
      <c r="FY29" s="322"/>
      <c r="FZ29" s="322"/>
      <c r="GA29" s="322"/>
      <c r="GB29" s="322"/>
      <c r="GC29" s="322"/>
      <c r="GD29" s="322"/>
      <c r="GE29" s="322">
        <v>2</v>
      </c>
      <c r="GF29" s="322">
        <v>2</v>
      </c>
      <c r="GG29" s="322">
        <v>2</v>
      </c>
      <c r="GH29" s="322">
        <v>2</v>
      </c>
      <c r="GI29" s="322"/>
      <c r="GJ29" s="322"/>
      <c r="GK29" s="322"/>
      <c r="GL29" s="322"/>
      <c r="GM29" s="322"/>
      <c r="GN29" s="322"/>
      <c r="GO29" s="322"/>
      <c r="GP29" s="322"/>
      <c r="GQ29" s="322"/>
      <c r="GR29" s="322"/>
      <c r="GS29" s="322"/>
      <c r="GT29" s="322"/>
      <c r="GU29" s="322"/>
      <c r="GV29" s="322"/>
      <c r="GW29" s="322"/>
      <c r="GX29" s="322"/>
      <c r="GY29" s="322">
        <v>1</v>
      </c>
      <c r="GZ29" s="322">
        <v>1</v>
      </c>
      <c r="HA29" s="322">
        <v>1</v>
      </c>
      <c r="HB29" s="322">
        <v>1</v>
      </c>
      <c r="HC29" s="322"/>
      <c r="HD29" s="322"/>
      <c r="HE29" s="322"/>
      <c r="HF29" s="322"/>
      <c r="HG29" s="322">
        <v>2</v>
      </c>
      <c r="HH29" s="322">
        <v>2</v>
      </c>
      <c r="HI29" s="322">
        <v>2</v>
      </c>
      <c r="HJ29" s="322">
        <v>2</v>
      </c>
      <c r="HK29" s="322"/>
      <c r="HL29" s="322"/>
      <c r="HM29" s="322"/>
      <c r="HN29" s="322"/>
      <c r="HO29" s="322"/>
      <c r="HP29" s="322"/>
      <c r="HQ29" s="322"/>
      <c r="HR29" s="322"/>
      <c r="HS29" s="322"/>
      <c r="HT29" s="322"/>
      <c r="HU29" s="322"/>
      <c r="HV29" s="322"/>
      <c r="HW29" s="322"/>
      <c r="HX29" s="322"/>
      <c r="HY29" s="322"/>
      <c r="HZ29" s="322"/>
      <c r="IA29" s="322">
        <v>14</v>
      </c>
      <c r="IB29" s="322">
        <v>14</v>
      </c>
      <c r="IC29" s="322">
        <v>14</v>
      </c>
      <c r="ID29" s="322">
        <v>14</v>
      </c>
      <c r="IE29" s="322"/>
      <c r="IF29" s="322"/>
      <c r="IG29" s="322"/>
      <c r="IH29" s="322"/>
      <c r="II29" s="322"/>
      <c r="IJ29" s="322"/>
      <c r="IK29" s="322"/>
      <c r="IL29" s="322"/>
      <c r="IM29" s="322">
        <v>66</v>
      </c>
      <c r="IN29" s="322">
        <v>19</v>
      </c>
      <c r="IO29" s="322">
        <v>19</v>
      </c>
      <c r="IP29" s="322">
        <v>19</v>
      </c>
      <c r="IQ29" s="322">
        <v>19</v>
      </c>
      <c r="IR29" s="322"/>
      <c r="IS29" s="322"/>
      <c r="IT29" s="322"/>
      <c r="IU29" s="322"/>
      <c r="IV29" s="322">
        <v>3</v>
      </c>
      <c r="IW29" s="322">
        <v>3</v>
      </c>
      <c r="IX29" s="322">
        <v>3</v>
      </c>
      <c r="IY29" s="322">
        <v>3</v>
      </c>
      <c r="IZ29" s="322">
        <v>10</v>
      </c>
      <c r="JA29" s="322">
        <v>10</v>
      </c>
      <c r="JB29" s="322">
        <v>10</v>
      </c>
      <c r="JC29" s="322">
        <v>10</v>
      </c>
      <c r="JD29" s="322"/>
      <c r="JE29" s="322"/>
      <c r="JF29" s="322"/>
      <c r="JG29" s="322"/>
      <c r="JH29" s="322">
        <v>4</v>
      </c>
      <c r="JI29" s="322">
        <v>4</v>
      </c>
      <c r="JJ29" s="322">
        <v>4</v>
      </c>
      <c r="JK29" s="322">
        <v>4</v>
      </c>
      <c r="JL29" s="322"/>
      <c r="JM29" s="322"/>
      <c r="JN29" s="322"/>
      <c r="JO29" s="322"/>
      <c r="JP29" s="322"/>
      <c r="JQ29" s="322"/>
      <c r="JR29" s="322"/>
      <c r="JS29" s="322"/>
      <c r="JT29" s="322">
        <v>2</v>
      </c>
      <c r="JU29" s="322">
        <v>2</v>
      </c>
      <c r="JV29" s="322">
        <v>2</v>
      </c>
      <c r="JW29" s="322">
        <v>2</v>
      </c>
      <c r="JX29" s="322"/>
      <c r="JY29" s="322"/>
      <c r="JZ29" s="322"/>
      <c r="KA29" s="322"/>
      <c r="KB29" s="322"/>
      <c r="KC29" s="322"/>
      <c r="KD29" s="322"/>
      <c r="KE29" s="322"/>
      <c r="KF29" s="322"/>
      <c r="KG29" s="322"/>
      <c r="KH29" s="322"/>
      <c r="KI29" s="322"/>
      <c r="KJ29" s="322"/>
      <c r="KK29" s="322"/>
      <c r="KL29" s="322"/>
      <c r="KM29" s="322"/>
      <c r="KN29" s="322"/>
      <c r="KO29" s="322"/>
      <c r="KP29" s="322"/>
      <c r="KQ29" s="322"/>
      <c r="KR29" s="322"/>
      <c r="KS29" s="322"/>
      <c r="KT29" s="322"/>
      <c r="KU29" s="322"/>
      <c r="KV29" s="322"/>
      <c r="KW29" s="322"/>
      <c r="KX29" s="322"/>
      <c r="KY29" s="322"/>
      <c r="KZ29" s="322">
        <v>38</v>
      </c>
      <c r="LA29" s="322"/>
      <c r="LB29" s="322"/>
      <c r="LC29" s="322"/>
      <c r="LD29" s="322"/>
      <c r="LE29" s="322"/>
      <c r="LF29" s="324">
        <v>130</v>
      </c>
    </row>
    <row r="30" spans="1:318" x14ac:dyDescent="0.2">
      <c r="A30" s="327">
        <v>42670</v>
      </c>
      <c r="B30" s="322"/>
      <c r="C30" s="322"/>
      <c r="D30" s="322"/>
      <c r="E30" s="322"/>
      <c r="F30" s="322"/>
      <c r="G30" s="322"/>
      <c r="H30" s="322"/>
      <c r="I30" s="322"/>
      <c r="J30" s="322"/>
      <c r="K30" s="322"/>
      <c r="L30" s="322"/>
      <c r="M30" s="322"/>
      <c r="N30" s="322"/>
      <c r="O30" s="322"/>
      <c r="P30" s="322"/>
      <c r="Q30" s="322"/>
      <c r="R30" s="322"/>
      <c r="S30" s="322"/>
      <c r="T30" s="322"/>
      <c r="U30" s="322"/>
      <c r="V30" s="322"/>
      <c r="W30" s="322"/>
      <c r="X30" s="322"/>
      <c r="Y30" s="322"/>
      <c r="Z30" s="322"/>
      <c r="AA30" s="322"/>
      <c r="AB30" s="322"/>
      <c r="AC30" s="322"/>
      <c r="AD30" s="322">
        <v>2</v>
      </c>
      <c r="AE30" s="322">
        <v>2</v>
      </c>
      <c r="AF30" s="322">
        <v>2</v>
      </c>
      <c r="AG30" s="322">
        <v>2</v>
      </c>
      <c r="AH30" s="322"/>
      <c r="AI30" s="322"/>
      <c r="AJ30" s="322"/>
      <c r="AK30" s="322"/>
      <c r="AL30" s="322"/>
      <c r="AM30" s="322"/>
      <c r="AN30" s="322"/>
      <c r="AO30" s="322"/>
      <c r="AP30" s="322"/>
      <c r="AQ30" s="322"/>
      <c r="AR30" s="322"/>
      <c r="AS30" s="322"/>
      <c r="AT30" s="322">
        <v>2</v>
      </c>
      <c r="AU30" s="322">
        <v>2</v>
      </c>
      <c r="AV30" s="322">
        <v>2</v>
      </c>
      <c r="AW30" s="322">
        <v>2</v>
      </c>
      <c r="AX30" s="322"/>
      <c r="AY30" s="322"/>
      <c r="AZ30" s="322"/>
      <c r="BA30" s="322"/>
      <c r="BB30" s="322">
        <v>1</v>
      </c>
      <c r="BC30" s="322">
        <v>1</v>
      </c>
      <c r="BD30" s="322">
        <v>1</v>
      </c>
      <c r="BE30" s="322">
        <v>1</v>
      </c>
      <c r="BF30" s="322"/>
      <c r="BG30" s="322"/>
      <c r="BH30" s="322"/>
      <c r="BI30" s="322"/>
      <c r="BJ30" s="322"/>
      <c r="BK30" s="322"/>
      <c r="BL30" s="322"/>
      <c r="BM30" s="322"/>
      <c r="BN30" s="322">
        <v>2</v>
      </c>
      <c r="BO30" s="322">
        <v>2</v>
      </c>
      <c r="BP30" s="322">
        <v>2</v>
      </c>
      <c r="BQ30" s="322">
        <v>2</v>
      </c>
      <c r="BR30" s="322"/>
      <c r="BS30" s="322"/>
      <c r="BT30" s="322"/>
      <c r="BU30" s="322"/>
      <c r="BV30" s="322"/>
      <c r="BW30" s="322"/>
      <c r="BX30" s="322"/>
      <c r="BY30" s="322"/>
      <c r="BZ30" s="322"/>
      <c r="CA30" s="322"/>
      <c r="CB30" s="322"/>
      <c r="CC30" s="322"/>
      <c r="CD30" s="322"/>
      <c r="CE30" s="322"/>
      <c r="CF30" s="322"/>
      <c r="CG30" s="322"/>
      <c r="CH30" s="322"/>
      <c r="CI30" s="322"/>
      <c r="CJ30" s="322"/>
      <c r="CK30" s="322"/>
      <c r="CL30" s="322">
        <v>25</v>
      </c>
      <c r="CM30" s="322">
        <v>25</v>
      </c>
      <c r="CN30" s="322">
        <v>25</v>
      </c>
      <c r="CO30" s="322">
        <v>25</v>
      </c>
      <c r="CP30" s="322"/>
      <c r="CQ30" s="322"/>
      <c r="CR30" s="322"/>
      <c r="CS30" s="322"/>
      <c r="CT30" s="322"/>
      <c r="CU30" s="322"/>
      <c r="CV30" s="322"/>
      <c r="CW30" s="322"/>
      <c r="CX30" s="322"/>
      <c r="CY30" s="322"/>
      <c r="CZ30" s="322"/>
      <c r="DA30" s="322"/>
      <c r="DB30" s="322">
        <v>32</v>
      </c>
      <c r="DC30" s="322">
        <v>103</v>
      </c>
      <c r="DD30" s="322">
        <v>103</v>
      </c>
      <c r="DE30" s="322">
        <v>103</v>
      </c>
      <c r="DF30" s="322">
        <v>103</v>
      </c>
      <c r="DG30" s="322">
        <v>8</v>
      </c>
      <c r="DH30" s="322">
        <v>8</v>
      </c>
      <c r="DI30" s="322">
        <v>8</v>
      </c>
      <c r="DJ30" s="322">
        <v>8</v>
      </c>
      <c r="DK30" s="322">
        <v>5</v>
      </c>
      <c r="DL30" s="322">
        <v>5</v>
      </c>
      <c r="DM30" s="322">
        <v>5</v>
      </c>
      <c r="DN30" s="322">
        <v>5</v>
      </c>
      <c r="DO30" s="322"/>
      <c r="DP30" s="322"/>
      <c r="DQ30" s="322"/>
      <c r="DR30" s="322"/>
      <c r="DS30" s="322"/>
      <c r="DT30" s="322"/>
      <c r="DU30" s="322"/>
      <c r="DV30" s="322"/>
      <c r="DW30" s="322"/>
      <c r="DX30" s="322"/>
      <c r="DY30" s="322"/>
      <c r="DZ30" s="322"/>
      <c r="EA30" s="322"/>
      <c r="EB30" s="322"/>
      <c r="EC30" s="322"/>
      <c r="ED30" s="322"/>
      <c r="EE30" s="322">
        <v>7</v>
      </c>
      <c r="EF30" s="322">
        <v>7</v>
      </c>
      <c r="EG30" s="322">
        <v>7</v>
      </c>
      <c r="EH30" s="322">
        <v>7</v>
      </c>
      <c r="EI30" s="322"/>
      <c r="EJ30" s="322"/>
      <c r="EK30" s="322"/>
      <c r="EL30" s="322"/>
      <c r="EM30" s="322"/>
      <c r="EN30" s="322"/>
      <c r="EO30" s="322"/>
      <c r="EP30" s="322"/>
      <c r="EQ30" s="322"/>
      <c r="ER30" s="322"/>
      <c r="ES30" s="322"/>
      <c r="ET30" s="322"/>
      <c r="EU30" s="322"/>
      <c r="EV30" s="322"/>
      <c r="EW30" s="322"/>
      <c r="EX30" s="322"/>
      <c r="EY30" s="322"/>
      <c r="EZ30" s="322"/>
      <c r="FA30" s="322"/>
      <c r="FB30" s="322"/>
      <c r="FC30" s="322"/>
      <c r="FD30" s="322"/>
      <c r="FE30" s="322"/>
      <c r="FF30" s="322"/>
      <c r="FG30" s="322"/>
      <c r="FH30" s="322"/>
      <c r="FI30" s="322"/>
      <c r="FJ30" s="322"/>
      <c r="FK30" s="322"/>
      <c r="FL30" s="322"/>
      <c r="FM30" s="322"/>
      <c r="FN30" s="322"/>
      <c r="FO30" s="322"/>
      <c r="FP30" s="322"/>
      <c r="FQ30" s="322"/>
      <c r="FR30" s="322"/>
      <c r="FS30" s="322"/>
      <c r="FT30" s="322"/>
      <c r="FU30" s="322"/>
      <c r="FV30" s="322"/>
      <c r="FW30" s="322"/>
      <c r="FX30" s="322"/>
      <c r="FY30" s="322"/>
      <c r="FZ30" s="322"/>
      <c r="GA30" s="322"/>
      <c r="GB30" s="322"/>
      <c r="GC30" s="322"/>
      <c r="GD30" s="322"/>
      <c r="GE30" s="322">
        <v>2</v>
      </c>
      <c r="GF30" s="322">
        <v>2</v>
      </c>
      <c r="GG30" s="322">
        <v>2</v>
      </c>
      <c r="GH30" s="322">
        <v>2</v>
      </c>
      <c r="GI30" s="322"/>
      <c r="GJ30" s="322"/>
      <c r="GK30" s="322"/>
      <c r="GL30" s="322"/>
      <c r="GM30" s="322"/>
      <c r="GN30" s="322"/>
      <c r="GO30" s="322"/>
      <c r="GP30" s="322"/>
      <c r="GQ30" s="322"/>
      <c r="GR30" s="322"/>
      <c r="GS30" s="322"/>
      <c r="GT30" s="322"/>
      <c r="GU30" s="322"/>
      <c r="GV30" s="322"/>
      <c r="GW30" s="322"/>
      <c r="GX30" s="322"/>
      <c r="GY30" s="322"/>
      <c r="GZ30" s="322"/>
      <c r="HA30" s="322"/>
      <c r="HB30" s="322"/>
      <c r="HC30" s="322"/>
      <c r="HD30" s="322"/>
      <c r="HE30" s="322"/>
      <c r="HF30" s="322"/>
      <c r="HG30" s="322">
        <v>2</v>
      </c>
      <c r="HH30" s="322">
        <v>2</v>
      </c>
      <c r="HI30" s="322">
        <v>2</v>
      </c>
      <c r="HJ30" s="322">
        <v>2</v>
      </c>
      <c r="HK30" s="322"/>
      <c r="HL30" s="322"/>
      <c r="HM30" s="322"/>
      <c r="HN30" s="322"/>
      <c r="HO30" s="322"/>
      <c r="HP30" s="322"/>
      <c r="HQ30" s="322"/>
      <c r="HR30" s="322"/>
      <c r="HS30" s="322"/>
      <c r="HT30" s="322"/>
      <c r="HU30" s="322"/>
      <c r="HV30" s="322"/>
      <c r="HW30" s="322">
        <v>1</v>
      </c>
      <c r="HX30" s="322">
        <v>1</v>
      </c>
      <c r="HY30" s="322">
        <v>1</v>
      </c>
      <c r="HZ30" s="322">
        <v>1</v>
      </c>
      <c r="IA30" s="322">
        <v>31</v>
      </c>
      <c r="IB30" s="322">
        <v>31</v>
      </c>
      <c r="IC30" s="322">
        <v>31</v>
      </c>
      <c r="ID30" s="322">
        <v>31</v>
      </c>
      <c r="IE30" s="322"/>
      <c r="IF30" s="322"/>
      <c r="IG30" s="322"/>
      <c r="IH30" s="322"/>
      <c r="II30" s="322">
        <v>1</v>
      </c>
      <c r="IJ30" s="322">
        <v>1</v>
      </c>
      <c r="IK30" s="322">
        <v>1</v>
      </c>
      <c r="IL30" s="322">
        <v>1</v>
      </c>
      <c r="IM30" s="322">
        <v>160</v>
      </c>
      <c r="IN30" s="322">
        <v>6</v>
      </c>
      <c r="IO30" s="322">
        <v>6</v>
      </c>
      <c r="IP30" s="322">
        <v>6</v>
      </c>
      <c r="IQ30" s="322">
        <v>6</v>
      </c>
      <c r="IR30" s="322"/>
      <c r="IS30" s="322"/>
      <c r="IT30" s="322"/>
      <c r="IU30" s="322"/>
      <c r="IV30" s="322"/>
      <c r="IW30" s="322"/>
      <c r="IX30" s="322"/>
      <c r="IY30" s="322"/>
      <c r="IZ30" s="322">
        <v>1</v>
      </c>
      <c r="JA30" s="322">
        <v>1</v>
      </c>
      <c r="JB30" s="322">
        <v>1</v>
      </c>
      <c r="JC30" s="322">
        <v>1</v>
      </c>
      <c r="JD30" s="322"/>
      <c r="JE30" s="322"/>
      <c r="JF30" s="322"/>
      <c r="JG30" s="322"/>
      <c r="JH30" s="322"/>
      <c r="JI30" s="322"/>
      <c r="JJ30" s="322"/>
      <c r="JK30" s="322"/>
      <c r="JL30" s="322"/>
      <c r="JM30" s="322"/>
      <c r="JN30" s="322"/>
      <c r="JO30" s="322"/>
      <c r="JP30" s="322">
        <v>1</v>
      </c>
      <c r="JQ30" s="322">
        <v>1</v>
      </c>
      <c r="JR30" s="322">
        <v>1</v>
      </c>
      <c r="JS30" s="322">
        <v>1</v>
      </c>
      <c r="JT30" s="322"/>
      <c r="JU30" s="322"/>
      <c r="JV30" s="322"/>
      <c r="JW30" s="322"/>
      <c r="JX30" s="322"/>
      <c r="JY30" s="322"/>
      <c r="JZ30" s="322"/>
      <c r="KA30" s="322"/>
      <c r="KB30" s="322"/>
      <c r="KC30" s="322"/>
      <c r="KD30" s="322"/>
      <c r="KE30" s="322"/>
      <c r="KF30" s="322"/>
      <c r="KG30" s="322"/>
      <c r="KH30" s="322"/>
      <c r="KI30" s="322"/>
      <c r="KJ30" s="322"/>
      <c r="KK30" s="322"/>
      <c r="KL30" s="322"/>
      <c r="KM30" s="322"/>
      <c r="KN30" s="322">
        <v>1</v>
      </c>
      <c r="KO30" s="322">
        <v>1</v>
      </c>
      <c r="KP30" s="322">
        <v>1</v>
      </c>
      <c r="KQ30" s="322">
        <v>1</v>
      </c>
      <c r="KR30" s="322"/>
      <c r="KS30" s="322"/>
      <c r="KT30" s="322"/>
      <c r="KU30" s="322"/>
      <c r="KV30" s="322"/>
      <c r="KW30" s="322"/>
      <c r="KX30" s="322"/>
      <c r="KY30" s="322"/>
      <c r="KZ30" s="322">
        <v>9</v>
      </c>
      <c r="LA30" s="322"/>
      <c r="LB30" s="322"/>
      <c r="LC30" s="322"/>
      <c r="LD30" s="322"/>
      <c r="LE30" s="322"/>
      <c r="LF30" s="324">
        <v>201</v>
      </c>
    </row>
    <row r="31" spans="1:318" x14ac:dyDescent="0.2">
      <c r="A31" s="327">
        <v>42671</v>
      </c>
      <c r="B31" s="322"/>
      <c r="C31" s="322"/>
      <c r="D31" s="322"/>
      <c r="E31" s="322"/>
      <c r="F31" s="322"/>
      <c r="G31" s="322"/>
      <c r="H31" s="322"/>
      <c r="I31" s="322"/>
      <c r="J31" s="322"/>
      <c r="K31" s="322"/>
      <c r="L31" s="322"/>
      <c r="M31" s="322"/>
      <c r="N31" s="322"/>
      <c r="O31" s="322"/>
      <c r="P31" s="322"/>
      <c r="Q31" s="322"/>
      <c r="R31" s="322"/>
      <c r="S31" s="322"/>
      <c r="T31" s="322"/>
      <c r="U31" s="322"/>
      <c r="V31" s="322"/>
      <c r="W31" s="322"/>
      <c r="X31" s="322"/>
      <c r="Y31" s="322"/>
      <c r="Z31" s="322"/>
      <c r="AA31" s="322"/>
      <c r="AB31" s="322"/>
      <c r="AC31" s="322"/>
      <c r="AD31" s="322"/>
      <c r="AE31" s="322"/>
      <c r="AF31" s="322"/>
      <c r="AG31" s="322"/>
      <c r="AH31" s="322"/>
      <c r="AI31" s="322"/>
      <c r="AJ31" s="322"/>
      <c r="AK31" s="322"/>
      <c r="AL31" s="322"/>
      <c r="AM31" s="322"/>
      <c r="AN31" s="322"/>
      <c r="AO31" s="322"/>
      <c r="AP31" s="322"/>
      <c r="AQ31" s="322"/>
      <c r="AR31" s="322"/>
      <c r="AS31" s="322"/>
      <c r="AT31" s="322">
        <v>4</v>
      </c>
      <c r="AU31" s="322">
        <v>4</v>
      </c>
      <c r="AV31" s="322">
        <v>4</v>
      </c>
      <c r="AW31" s="322">
        <v>4</v>
      </c>
      <c r="AX31" s="322"/>
      <c r="AY31" s="322"/>
      <c r="AZ31" s="322"/>
      <c r="BA31" s="322"/>
      <c r="BB31" s="322"/>
      <c r="BC31" s="322"/>
      <c r="BD31" s="322"/>
      <c r="BE31" s="322"/>
      <c r="BF31" s="322"/>
      <c r="BG31" s="322"/>
      <c r="BH31" s="322"/>
      <c r="BI31" s="322"/>
      <c r="BJ31" s="322"/>
      <c r="BK31" s="322"/>
      <c r="BL31" s="322"/>
      <c r="BM31" s="322"/>
      <c r="BN31" s="322"/>
      <c r="BO31" s="322"/>
      <c r="BP31" s="322"/>
      <c r="BQ31" s="322"/>
      <c r="BR31" s="322"/>
      <c r="BS31" s="322"/>
      <c r="BT31" s="322"/>
      <c r="BU31" s="322"/>
      <c r="BV31" s="322"/>
      <c r="BW31" s="322"/>
      <c r="BX31" s="322"/>
      <c r="BY31" s="322"/>
      <c r="BZ31" s="322"/>
      <c r="CA31" s="322"/>
      <c r="CB31" s="322"/>
      <c r="CC31" s="322"/>
      <c r="CD31" s="322">
        <v>4</v>
      </c>
      <c r="CE31" s="322">
        <v>4</v>
      </c>
      <c r="CF31" s="322">
        <v>4</v>
      </c>
      <c r="CG31" s="322">
        <v>4</v>
      </c>
      <c r="CH31" s="322"/>
      <c r="CI31" s="322"/>
      <c r="CJ31" s="322"/>
      <c r="CK31" s="322"/>
      <c r="CL31" s="322">
        <v>30</v>
      </c>
      <c r="CM31" s="322">
        <v>30</v>
      </c>
      <c r="CN31" s="322">
        <v>30</v>
      </c>
      <c r="CO31" s="322">
        <v>30</v>
      </c>
      <c r="CP31" s="322"/>
      <c r="CQ31" s="322"/>
      <c r="CR31" s="322"/>
      <c r="CS31" s="322"/>
      <c r="CT31" s="322"/>
      <c r="CU31" s="322"/>
      <c r="CV31" s="322"/>
      <c r="CW31" s="322"/>
      <c r="CX31" s="322"/>
      <c r="CY31" s="322"/>
      <c r="CZ31" s="322"/>
      <c r="DA31" s="322"/>
      <c r="DB31" s="322">
        <v>38</v>
      </c>
      <c r="DC31" s="322">
        <v>76</v>
      </c>
      <c r="DD31" s="322">
        <v>76</v>
      </c>
      <c r="DE31" s="322">
        <v>76</v>
      </c>
      <c r="DF31" s="322">
        <v>76</v>
      </c>
      <c r="DG31" s="322">
        <v>4</v>
      </c>
      <c r="DH31" s="322">
        <v>4</v>
      </c>
      <c r="DI31" s="322">
        <v>4</v>
      </c>
      <c r="DJ31" s="322">
        <v>4</v>
      </c>
      <c r="DK31" s="322">
        <v>2</v>
      </c>
      <c r="DL31" s="322">
        <v>2</v>
      </c>
      <c r="DM31" s="322">
        <v>2</v>
      </c>
      <c r="DN31" s="322">
        <v>2</v>
      </c>
      <c r="DO31" s="322"/>
      <c r="DP31" s="322"/>
      <c r="DQ31" s="322"/>
      <c r="DR31" s="322"/>
      <c r="DS31" s="322"/>
      <c r="DT31" s="322"/>
      <c r="DU31" s="322"/>
      <c r="DV31" s="322"/>
      <c r="DW31" s="322"/>
      <c r="DX31" s="322"/>
      <c r="DY31" s="322"/>
      <c r="DZ31" s="322"/>
      <c r="EA31" s="322"/>
      <c r="EB31" s="322"/>
      <c r="EC31" s="322"/>
      <c r="ED31" s="322"/>
      <c r="EE31" s="322">
        <v>15</v>
      </c>
      <c r="EF31" s="322">
        <v>15</v>
      </c>
      <c r="EG31" s="322">
        <v>15</v>
      </c>
      <c r="EH31" s="322">
        <v>15</v>
      </c>
      <c r="EI31" s="322"/>
      <c r="EJ31" s="322"/>
      <c r="EK31" s="322"/>
      <c r="EL31" s="322"/>
      <c r="EM31" s="322"/>
      <c r="EN31" s="322"/>
      <c r="EO31" s="322"/>
      <c r="EP31" s="322"/>
      <c r="EQ31" s="322"/>
      <c r="ER31" s="322"/>
      <c r="ES31" s="322"/>
      <c r="ET31" s="322"/>
      <c r="EU31" s="322"/>
      <c r="EV31" s="322"/>
      <c r="EW31" s="322"/>
      <c r="EX31" s="322"/>
      <c r="EY31" s="322"/>
      <c r="EZ31" s="322"/>
      <c r="FA31" s="322"/>
      <c r="FB31" s="322"/>
      <c r="FC31" s="322"/>
      <c r="FD31" s="322"/>
      <c r="FE31" s="322"/>
      <c r="FF31" s="322"/>
      <c r="FG31" s="322"/>
      <c r="FH31" s="322"/>
      <c r="FI31" s="322"/>
      <c r="FJ31" s="322"/>
      <c r="FK31" s="322"/>
      <c r="FL31" s="322"/>
      <c r="FM31" s="322"/>
      <c r="FN31" s="322"/>
      <c r="FO31" s="322"/>
      <c r="FP31" s="322"/>
      <c r="FQ31" s="322"/>
      <c r="FR31" s="322"/>
      <c r="FS31" s="322"/>
      <c r="FT31" s="322"/>
      <c r="FU31" s="322"/>
      <c r="FV31" s="322"/>
      <c r="FW31" s="322"/>
      <c r="FX31" s="322"/>
      <c r="FY31" s="322"/>
      <c r="FZ31" s="322"/>
      <c r="GA31" s="322"/>
      <c r="GB31" s="322"/>
      <c r="GC31" s="322"/>
      <c r="GD31" s="322"/>
      <c r="GE31" s="322">
        <v>1</v>
      </c>
      <c r="GF31" s="322">
        <v>1</v>
      </c>
      <c r="GG31" s="322">
        <v>1</v>
      </c>
      <c r="GH31" s="322">
        <v>1</v>
      </c>
      <c r="GI31" s="322"/>
      <c r="GJ31" s="322"/>
      <c r="GK31" s="322"/>
      <c r="GL31" s="322"/>
      <c r="GM31" s="322"/>
      <c r="GN31" s="322"/>
      <c r="GO31" s="322"/>
      <c r="GP31" s="322"/>
      <c r="GQ31" s="322"/>
      <c r="GR31" s="322"/>
      <c r="GS31" s="322"/>
      <c r="GT31" s="322"/>
      <c r="GU31" s="322"/>
      <c r="GV31" s="322"/>
      <c r="GW31" s="322"/>
      <c r="GX31" s="322"/>
      <c r="GY31" s="322"/>
      <c r="GZ31" s="322"/>
      <c r="HA31" s="322"/>
      <c r="HB31" s="322"/>
      <c r="HC31" s="322"/>
      <c r="HD31" s="322"/>
      <c r="HE31" s="322"/>
      <c r="HF31" s="322"/>
      <c r="HG31" s="322">
        <v>1</v>
      </c>
      <c r="HH31" s="322">
        <v>1</v>
      </c>
      <c r="HI31" s="322">
        <v>1</v>
      </c>
      <c r="HJ31" s="322">
        <v>1</v>
      </c>
      <c r="HK31" s="322">
        <v>1</v>
      </c>
      <c r="HL31" s="322">
        <v>1</v>
      </c>
      <c r="HM31" s="322">
        <v>1</v>
      </c>
      <c r="HN31" s="322">
        <v>1</v>
      </c>
      <c r="HO31" s="322"/>
      <c r="HP31" s="322"/>
      <c r="HQ31" s="322"/>
      <c r="HR31" s="322"/>
      <c r="HS31" s="322">
        <v>1</v>
      </c>
      <c r="HT31" s="322">
        <v>1</v>
      </c>
      <c r="HU31" s="322">
        <v>1</v>
      </c>
      <c r="HV31" s="322">
        <v>1</v>
      </c>
      <c r="HW31" s="322">
        <v>1</v>
      </c>
      <c r="HX31" s="322">
        <v>1</v>
      </c>
      <c r="HY31" s="322">
        <v>1</v>
      </c>
      <c r="HZ31" s="322">
        <v>1</v>
      </c>
      <c r="IA31" s="322">
        <v>28</v>
      </c>
      <c r="IB31" s="322">
        <v>28</v>
      </c>
      <c r="IC31" s="322">
        <v>28</v>
      </c>
      <c r="ID31" s="322">
        <v>28</v>
      </c>
      <c r="IE31" s="322"/>
      <c r="IF31" s="322"/>
      <c r="IG31" s="322"/>
      <c r="IH31" s="322"/>
      <c r="II31" s="322"/>
      <c r="IJ31" s="322"/>
      <c r="IK31" s="322"/>
      <c r="IL31" s="322"/>
      <c r="IM31" s="322">
        <v>130</v>
      </c>
      <c r="IN31" s="322">
        <v>3</v>
      </c>
      <c r="IO31" s="322">
        <v>3</v>
      </c>
      <c r="IP31" s="322">
        <v>3</v>
      </c>
      <c r="IQ31" s="322">
        <v>3</v>
      </c>
      <c r="IR31" s="322"/>
      <c r="IS31" s="322"/>
      <c r="IT31" s="322"/>
      <c r="IU31" s="322"/>
      <c r="IV31" s="322"/>
      <c r="IW31" s="322"/>
      <c r="IX31" s="322"/>
      <c r="IY31" s="322"/>
      <c r="IZ31" s="322">
        <v>1</v>
      </c>
      <c r="JA31" s="322">
        <v>1</v>
      </c>
      <c r="JB31" s="322">
        <v>1</v>
      </c>
      <c r="JC31" s="322">
        <v>1</v>
      </c>
      <c r="JD31" s="322"/>
      <c r="JE31" s="322"/>
      <c r="JF31" s="322"/>
      <c r="JG31" s="322"/>
      <c r="JH31" s="322">
        <v>4</v>
      </c>
      <c r="JI31" s="322">
        <v>4</v>
      </c>
      <c r="JJ31" s="322">
        <v>4</v>
      </c>
      <c r="JK31" s="322">
        <v>4</v>
      </c>
      <c r="JL31" s="322"/>
      <c r="JM31" s="322"/>
      <c r="JN31" s="322"/>
      <c r="JO31" s="322"/>
      <c r="JP31" s="322">
        <v>4</v>
      </c>
      <c r="JQ31" s="322">
        <v>4</v>
      </c>
      <c r="JR31" s="322">
        <v>4</v>
      </c>
      <c r="JS31" s="322">
        <v>4</v>
      </c>
      <c r="JT31" s="322"/>
      <c r="JU31" s="322"/>
      <c r="JV31" s="322"/>
      <c r="JW31" s="322"/>
      <c r="JX31" s="322"/>
      <c r="JY31" s="322"/>
      <c r="JZ31" s="322"/>
      <c r="KA31" s="322"/>
      <c r="KB31" s="322"/>
      <c r="KC31" s="322"/>
      <c r="KD31" s="322"/>
      <c r="KE31" s="322"/>
      <c r="KF31" s="322">
        <v>1</v>
      </c>
      <c r="KG31" s="322">
        <v>1</v>
      </c>
      <c r="KH31" s="322">
        <v>1</v>
      </c>
      <c r="KI31" s="322">
        <v>1</v>
      </c>
      <c r="KJ31" s="322">
        <v>1</v>
      </c>
      <c r="KK31" s="322">
        <v>1</v>
      </c>
      <c r="KL31" s="322">
        <v>1</v>
      </c>
      <c r="KM31" s="322">
        <v>1</v>
      </c>
      <c r="KN31" s="322"/>
      <c r="KO31" s="322"/>
      <c r="KP31" s="322"/>
      <c r="KQ31" s="322"/>
      <c r="KR31" s="322"/>
      <c r="KS31" s="322"/>
      <c r="KT31" s="322"/>
      <c r="KU31" s="322"/>
      <c r="KV31" s="322"/>
      <c r="KW31" s="322"/>
      <c r="KX31" s="322"/>
      <c r="KY31" s="322"/>
      <c r="KZ31" s="322">
        <v>14</v>
      </c>
      <c r="LA31" s="322"/>
      <c r="LB31" s="322"/>
      <c r="LC31" s="322"/>
      <c r="LD31" s="322"/>
      <c r="LE31" s="322"/>
      <c r="LF31" s="324">
        <v>182</v>
      </c>
    </row>
    <row r="32" spans="1:318" x14ac:dyDescent="0.2">
      <c r="A32" s="327">
        <v>42672</v>
      </c>
      <c r="B32" s="322"/>
      <c r="C32" s="322"/>
      <c r="D32" s="322"/>
      <c r="E32" s="322"/>
      <c r="F32" s="322"/>
      <c r="G32" s="322"/>
      <c r="H32" s="322"/>
      <c r="I32" s="322"/>
      <c r="J32" s="322"/>
      <c r="K32" s="322"/>
      <c r="L32" s="322"/>
      <c r="M32" s="322"/>
      <c r="N32" s="322"/>
      <c r="O32" s="322"/>
      <c r="P32" s="322"/>
      <c r="Q32" s="322"/>
      <c r="R32" s="322"/>
      <c r="S32" s="322"/>
      <c r="T32" s="322"/>
      <c r="U32" s="322"/>
      <c r="V32" s="322"/>
      <c r="W32" s="322"/>
      <c r="X32" s="322"/>
      <c r="Y32" s="322"/>
      <c r="Z32" s="322"/>
      <c r="AA32" s="322"/>
      <c r="AB32" s="322"/>
      <c r="AC32" s="322"/>
      <c r="AD32" s="322"/>
      <c r="AE32" s="322"/>
      <c r="AF32" s="322"/>
      <c r="AG32" s="322"/>
      <c r="AH32" s="322"/>
      <c r="AI32" s="322"/>
      <c r="AJ32" s="322"/>
      <c r="AK32" s="322"/>
      <c r="AL32" s="322"/>
      <c r="AM32" s="322"/>
      <c r="AN32" s="322"/>
      <c r="AO32" s="322"/>
      <c r="AP32" s="322"/>
      <c r="AQ32" s="322"/>
      <c r="AR32" s="322"/>
      <c r="AS32" s="322"/>
      <c r="AT32" s="322"/>
      <c r="AU32" s="322"/>
      <c r="AV32" s="322"/>
      <c r="AW32" s="322"/>
      <c r="AX32" s="322"/>
      <c r="AY32" s="322"/>
      <c r="AZ32" s="322"/>
      <c r="BA32" s="322"/>
      <c r="BB32" s="322"/>
      <c r="BC32" s="322"/>
      <c r="BD32" s="322"/>
      <c r="BE32" s="322"/>
      <c r="BF32" s="322"/>
      <c r="BG32" s="322"/>
      <c r="BH32" s="322"/>
      <c r="BI32" s="322"/>
      <c r="BJ32" s="322"/>
      <c r="BK32" s="322"/>
      <c r="BL32" s="322"/>
      <c r="BM32" s="322"/>
      <c r="BN32" s="322"/>
      <c r="BO32" s="322"/>
      <c r="BP32" s="322"/>
      <c r="BQ32" s="322"/>
      <c r="BR32" s="322"/>
      <c r="BS32" s="322"/>
      <c r="BT32" s="322"/>
      <c r="BU32" s="322"/>
      <c r="BV32" s="322"/>
      <c r="BW32" s="322"/>
      <c r="BX32" s="322"/>
      <c r="BY32" s="322"/>
      <c r="BZ32" s="322"/>
      <c r="CA32" s="322"/>
      <c r="CB32" s="322"/>
      <c r="CC32" s="322"/>
      <c r="CD32" s="322"/>
      <c r="CE32" s="322"/>
      <c r="CF32" s="322"/>
      <c r="CG32" s="322"/>
      <c r="CH32" s="322"/>
      <c r="CI32" s="322"/>
      <c r="CJ32" s="322"/>
      <c r="CK32" s="322"/>
      <c r="CL32" s="322"/>
      <c r="CM32" s="322"/>
      <c r="CN32" s="322"/>
      <c r="CO32" s="322"/>
      <c r="CP32" s="322"/>
      <c r="CQ32" s="322"/>
      <c r="CR32" s="322"/>
      <c r="CS32" s="322"/>
      <c r="CT32" s="322"/>
      <c r="CU32" s="322"/>
      <c r="CV32" s="322"/>
      <c r="CW32" s="322"/>
      <c r="CX32" s="322"/>
      <c r="CY32" s="322"/>
      <c r="CZ32" s="322"/>
      <c r="DA32" s="322"/>
      <c r="DB32" s="322"/>
      <c r="DC32" s="322">
        <v>48</v>
      </c>
      <c r="DD32" s="322">
        <v>48</v>
      </c>
      <c r="DE32" s="322">
        <v>48</v>
      </c>
      <c r="DF32" s="322">
        <v>48</v>
      </c>
      <c r="DG32" s="322"/>
      <c r="DH32" s="322"/>
      <c r="DI32" s="322"/>
      <c r="DJ32" s="322"/>
      <c r="DK32" s="322"/>
      <c r="DL32" s="322"/>
      <c r="DM32" s="322"/>
      <c r="DN32" s="322"/>
      <c r="DO32" s="322"/>
      <c r="DP32" s="322"/>
      <c r="DQ32" s="322"/>
      <c r="DR32" s="322"/>
      <c r="DS32" s="322"/>
      <c r="DT32" s="322"/>
      <c r="DU32" s="322"/>
      <c r="DV32" s="322"/>
      <c r="DW32" s="322"/>
      <c r="DX32" s="322"/>
      <c r="DY32" s="322"/>
      <c r="DZ32" s="322"/>
      <c r="EA32" s="322"/>
      <c r="EB32" s="322"/>
      <c r="EC32" s="322"/>
      <c r="ED32" s="322"/>
      <c r="EE32" s="322"/>
      <c r="EF32" s="322"/>
      <c r="EG32" s="322"/>
      <c r="EH32" s="322"/>
      <c r="EI32" s="322"/>
      <c r="EJ32" s="322"/>
      <c r="EK32" s="322"/>
      <c r="EL32" s="322"/>
      <c r="EM32" s="322"/>
      <c r="EN32" s="322"/>
      <c r="EO32" s="322"/>
      <c r="EP32" s="322"/>
      <c r="EQ32" s="322"/>
      <c r="ER32" s="322"/>
      <c r="ES32" s="322"/>
      <c r="ET32" s="322"/>
      <c r="EU32" s="322"/>
      <c r="EV32" s="322"/>
      <c r="EW32" s="322"/>
      <c r="EX32" s="322"/>
      <c r="EY32" s="322"/>
      <c r="EZ32" s="322"/>
      <c r="FA32" s="322"/>
      <c r="FB32" s="322"/>
      <c r="FC32" s="322"/>
      <c r="FD32" s="322"/>
      <c r="FE32" s="322"/>
      <c r="FF32" s="322"/>
      <c r="FG32" s="322"/>
      <c r="FH32" s="322"/>
      <c r="FI32" s="322"/>
      <c r="FJ32" s="322"/>
      <c r="FK32" s="322"/>
      <c r="FL32" s="322"/>
      <c r="FM32" s="322"/>
      <c r="FN32" s="322"/>
      <c r="FO32" s="322"/>
      <c r="FP32" s="322"/>
      <c r="FQ32" s="322"/>
      <c r="FR32" s="322"/>
      <c r="FS32" s="322"/>
      <c r="FT32" s="322"/>
      <c r="FU32" s="322"/>
      <c r="FV32" s="322"/>
      <c r="FW32" s="322"/>
      <c r="FX32" s="322"/>
      <c r="FY32" s="322"/>
      <c r="FZ32" s="322"/>
      <c r="GA32" s="322"/>
      <c r="GB32" s="322"/>
      <c r="GC32" s="322"/>
      <c r="GD32" s="322"/>
      <c r="GE32" s="322"/>
      <c r="GF32" s="322"/>
      <c r="GG32" s="322"/>
      <c r="GH32" s="322"/>
      <c r="GI32" s="322"/>
      <c r="GJ32" s="322"/>
      <c r="GK32" s="322"/>
      <c r="GL32" s="322"/>
      <c r="GM32" s="322"/>
      <c r="GN32" s="322"/>
      <c r="GO32" s="322"/>
      <c r="GP32" s="322"/>
      <c r="GQ32" s="322"/>
      <c r="GR32" s="322"/>
      <c r="GS32" s="322"/>
      <c r="GT32" s="322"/>
      <c r="GU32" s="322"/>
      <c r="GV32" s="322"/>
      <c r="GW32" s="322"/>
      <c r="GX32" s="322"/>
      <c r="GY32" s="322"/>
      <c r="GZ32" s="322"/>
      <c r="HA32" s="322"/>
      <c r="HB32" s="322"/>
      <c r="HC32" s="322"/>
      <c r="HD32" s="322"/>
      <c r="HE32" s="322"/>
      <c r="HF32" s="322"/>
      <c r="HG32" s="322"/>
      <c r="HH32" s="322"/>
      <c r="HI32" s="322"/>
      <c r="HJ32" s="322"/>
      <c r="HK32" s="322"/>
      <c r="HL32" s="322"/>
      <c r="HM32" s="322"/>
      <c r="HN32" s="322"/>
      <c r="HO32" s="322"/>
      <c r="HP32" s="322"/>
      <c r="HQ32" s="322"/>
      <c r="HR32" s="322"/>
      <c r="HS32" s="322"/>
      <c r="HT32" s="322"/>
      <c r="HU32" s="322"/>
      <c r="HV32" s="322"/>
      <c r="HW32" s="322"/>
      <c r="HX32" s="322"/>
      <c r="HY32" s="322"/>
      <c r="HZ32" s="322"/>
      <c r="IA32" s="322">
        <v>24</v>
      </c>
      <c r="IB32" s="322">
        <v>24</v>
      </c>
      <c r="IC32" s="322">
        <v>24</v>
      </c>
      <c r="ID32" s="322">
        <v>24</v>
      </c>
      <c r="IE32" s="322"/>
      <c r="IF32" s="322"/>
      <c r="IG32" s="322"/>
      <c r="IH32" s="322"/>
      <c r="II32" s="322"/>
      <c r="IJ32" s="322"/>
      <c r="IK32" s="322"/>
      <c r="IL32" s="322"/>
      <c r="IM32" s="322">
        <v>72</v>
      </c>
      <c r="IN32" s="322"/>
      <c r="IO32" s="322"/>
      <c r="IP32" s="322"/>
      <c r="IQ32" s="322"/>
      <c r="IR32" s="322"/>
      <c r="IS32" s="322"/>
      <c r="IT32" s="322"/>
      <c r="IU32" s="322"/>
      <c r="IV32" s="322"/>
      <c r="IW32" s="322"/>
      <c r="IX32" s="322"/>
      <c r="IY32" s="322"/>
      <c r="IZ32" s="322"/>
      <c r="JA32" s="322"/>
      <c r="JB32" s="322"/>
      <c r="JC32" s="322"/>
      <c r="JD32" s="322"/>
      <c r="JE32" s="322"/>
      <c r="JF32" s="322"/>
      <c r="JG32" s="322"/>
      <c r="JH32" s="322">
        <v>4</v>
      </c>
      <c r="JI32" s="322">
        <v>4</v>
      </c>
      <c r="JJ32" s="322">
        <v>4</v>
      </c>
      <c r="JK32" s="322">
        <v>4</v>
      </c>
      <c r="JL32" s="322"/>
      <c r="JM32" s="322"/>
      <c r="JN32" s="322"/>
      <c r="JO32" s="322"/>
      <c r="JP32" s="322">
        <v>4</v>
      </c>
      <c r="JQ32" s="322">
        <v>4</v>
      </c>
      <c r="JR32" s="322">
        <v>4</v>
      </c>
      <c r="JS32" s="322">
        <v>4</v>
      </c>
      <c r="JT32" s="322"/>
      <c r="JU32" s="322"/>
      <c r="JV32" s="322"/>
      <c r="JW32" s="322"/>
      <c r="JX32" s="322"/>
      <c r="JY32" s="322"/>
      <c r="JZ32" s="322"/>
      <c r="KA32" s="322"/>
      <c r="KB32" s="322"/>
      <c r="KC32" s="322"/>
      <c r="KD32" s="322"/>
      <c r="KE32" s="322"/>
      <c r="KF32" s="322"/>
      <c r="KG32" s="322"/>
      <c r="KH32" s="322"/>
      <c r="KI32" s="322"/>
      <c r="KJ32" s="322"/>
      <c r="KK32" s="322"/>
      <c r="KL32" s="322"/>
      <c r="KM32" s="322"/>
      <c r="KN32" s="322"/>
      <c r="KO32" s="322"/>
      <c r="KP32" s="322"/>
      <c r="KQ32" s="322"/>
      <c r="KR32" s="322"/>
      <c r="KS32" s="322"/>
      <c r="KT32" s="322"/>
      <c r="KU32" s="322"/>
      <c r="KV32" s="322"/>
      <c r="KW32" s="322"/>
      <c r="KX32" s="322"/>
      <c r="KY32" s="322"/>
      <c r="KZ32" s="322">
        <v>8</v>
      </c>
      <c r="LA32" s="322"/>
      <c r="LB32" s="322"/>
      <c r="LC32" s="322"/>
      <c r="LD32" s="322"/>
      <c r="LE32" s="322"/>
      <c r="LF32" s="324">
        <v>80</v>
      </c>
    </row>
    <row r="33" spans="1:318" x14ac:dyDescent="0.2">
      <c r="A33" s="327">
        <v>42673</v>
      </c>
      <c r="B33" s="322"/>
      <c r="C33" s="322"/>
      <c r="D33" s="322"/>
      <c r="E33" s="322"/>
      <c r="F33" s="322"/>
      <c r="G33" s="322"/>
      <c r="H33" s="322"/>
      <c r="I33" s="322"/>
      <c r="J33" s="322"/>
      <c r="K33" s="322"/>
      <c r="L33" s="322"/>
      <c r="M33" s="322"/>
      <c r="N33" s="322"/>
      <c r="O33" s="322"/>
      <c r="P33" s="322"/>
      <c r="Q33" s="322"/>
      <c r="R33" s="322"/>
      <c r="S33" s="322"/>
      <c r="T33" s="322"/>
      <c r="U33" s="322"/>
      <c r="V33" s="322"/>
      <c r="W33" s="322"/>
      <c r="X33" s="322"/>
      <c r="Y33" s="322"/>
      <c r="Z33" s="322"/>
      <c r="AA33" s="322"/>
      <c r="AB33" s="322"/>
      <c r="AC33" s="322"/>
      <c r="AD33" s="322"/>
      <c r="AE33" s="322"/>
      <c r="AF33" s="322"/>
      <c r="AG33" s="322"/>
      <c r="AH33" s="322"/>
      <c r="AI33" s="322"/>
      <c r="AJ33" s="322"/>
      <c r="AK33" s="322"/>
      <c r="AL33" s="322"/>
      <c r="AM33" s="322"/>
      <c r="AN33" s="322"/>
      <c r="AO33" s="322"/>
      <c r="AP33" s="322"/>
      <c r="AQ33" s="322"/>
      <c r="AR33" s="322"/>
      <c r="AS33" s="322"/>
      <c r="AT33" s="322"/>
      <c r="AU33" s="322"/>
      <c r="AV33" s="322"/>
      <c r="AW33" s="322"/>
      <c r="AX33" s="322"/>
      <c r="AY33" s="322"/>
      <c r="AZ33" s="322"/>
      <c r="BA33" s="322"/>
      <c r="BB33" s="322"/>
      <c r="BC33" s="322"/>
      <c r="BD33" s="322"/>
      <c r="BE33" s="322"/>
      <c r="BF33" s="322"/>
      <c r="BG33" s="322"/>
      <c r="BH33" s="322"/>
      <c r="BI33" s="322"/>
      <c r="BJ33" s="322"/>
      <c r="BK33" s="322"/>
      <c r="BL33" s="322"/>
      <c r="BM33" s="322"/>
      <c r="BN33" s="322"/>
      <c r="BO33" s="322"/>
      <c r="BP33" s="322"/>
      <c r="BQ33" s="322"/>
      <c r="BR33" s="322"/>
      <c r="BS33" s="322"/>
      <c r="BT33" s="322"/>
      <c r="BU33" s="322"/>
      <c r="BV33" s="322"/>
      <c r="BW33" s="322"/>
      <c r="BX33" s="322"/>
      <c r="BY33" s="322"/>
      <c r="BZ33" s="322"/>
      <c r="CA33" s="322"/>
      <c r="CB33" s="322"/>
      <c r="CC33" s="322"/>
      <c r="CD33" s="322"/>
      <c r="CE33" s="322"/>
      <c r="CF33" s="322"/>
      <c r="CG33" s="322"/>
      <c r="CH33" s="322"/>
      <c r="CI33" s="322"/>
      <c r="CJ33" s="322"/>
      <c r="CK33" s="322"/>
      <c r="CL33" s="322"/>
      <c r="CM33" s="322"/>
      <c r="CN33" s="322"/>
      <c r="CO33" s="322"/>
      <c r="CP33" s="322"/>
      <c r="CQ33" s="322"/>
      <c r="CR33" s="322"/>
      <c r="CS33" s="322"/>
      <c r="CT33" s="322"/>
      <c r="CU33" s="322"/>
      <c r="CV33" s="322"/>
      <c r="CW33" s="322"/>
      <c r="CX33" s="322"/>
      <c r="CY33" s="322"/>
      <c r="CZ33" s="322"/>
      <c r="DA33" s="322"/>
      <c r="DB33" s="322"/>
      <c r="DC33" s="322">
        <v>48</v>
      </c>
      <c r="DD33" s="322">
        <v>48</v>
      </c>
      <c r="DE33" s="322">
        <v>48</v>
      </c>
      <c r="DF33" s="322">
        <v>48</v>
      </c>
      <c r="DG33" s="322"/>
      <c r="DH33" s="322"/>
      <c r="DI33" s="322"/>
      <c r="DJ33" s="322"/>
      <c r="DK33" s="322"/>
      <c r="DL33" s="322"/>
      <c r="DM33" s="322"/>
      <c r="DN33" s="322"/>
      <c r="DO33" s="322"/>
      <c r="DP33" s="322"/>
      <c r="DQ33" s="322"/>
      <c r="DR33" s="322"/>
      <c r="DS33" s="322"/>
      <c r="DT33" s="322"/>
      <c r="DU33" s="322"/>
      <c r="DV33" s="322"/>
      <c r="DW33" s="322"/>
      <c r="DX33" s="322"/>
      <c r="DY33" s="322"/>
      <c r="DZ33" s="322"/>
      <c r="EA33" s="322"/>
      <c r="EB33" s="322"/>
      <c r="EC33" s="322"/>
      <c r="ED33" s="322"/>
      <c r="EE33" s="322"/>
      <c r="EF33" s="322"/>
      <c r="EG33" s="322"/>
      <c r="EH33" s="322"/>
      <c r="EI33" s="322"/>
      <c r="EJ33" s="322"/>
      <c r="EK33" s="322"/>
      <c r="EL33" s="322"/>
      <c r="EM33" s="322"/>
      <c r="EN33" s="322"/>
      <c r="EO33" s="322"/>
      <c r="EP33" s="322"/>
      <c r="EQ33" s="322"/>
      <c r="ER33" s="322"/>
      <c r="ES33" s="322"/>
      <c r="ET33" s="322"/>
      <c r="EU33" s="322"/>
      <c r="EV33" s="322"/>
      <c r="EW33" s="322"/>
      <c r="EX33" s="322"/>
      <c r="EY33" s="322"/>
      <c r="EZ33" s="322"/>
      <c r="FA33" s="322"/>
      <c r="FB33" s="322"/>
      <c r="FC33" s="322"/>
      <c r="FD33" s="322"/>
      <c r="FE33" s="322"/>
      <c r="FF33" s="322"/>
      <c r="FG33" s="322"/>
      <c r="FH33" s="322"/>
      <c r="FI33" s="322"/>
      <c r="FJ33" s="322"/>
      <c r="FK33" s="322"/>
      <c r="FL33" s="322"/>
      <c r="FM33" s="322"/>
      <c r="FN33" s="322"/>
      <c r="FO33" s="322"/>
      <c r="FP33" s="322"/>
      <c r="FQ33" s="322"/>
      <c r="FR33" s="322"/>
      <c r="FS33" s="322"/>
      <c r="FT33" s="322"/>
      <c r="FU33" s="322"/>
      <c r="FV33" s="322"/>
      <c r="FW33" s="322"/>
      <c r="FX33" s="322"/>
      <c r="FY33" s="322"/>
      <c r="FZ33" s="322"/>
      <c r="GA33" s="322"/>
      <c r="GB33" s="322"/>
      <c r="GC33" s="322"/>
      <c r="GD33" s="322"/>
      <c r="GE33" s="322"/>
      <c r="GF33" s="322"/>
      <c r="GG33" s="322"/>
      <c r="GH33" s="322"/>
      <c r="GI33" s="322"/>
      <c r="GJ33" s="322"/>
      <c r="GK33" s="322"/>
      <c r="GL33" s="322"/>
      <c r="GM33" s="322"/>
      <c r="GN33" s="322"/>
      <c r="GO33" s="322"/>
      <c r="GP33" s="322"/>
      <c r="GQ33" s="322"/>
      <c r="GR33" s="322"/>
      <c r="GS33" s="322"/>
      <c r="GT33" s="322"/>
      <c r="GU33" s="322"/>
      <c r="GV33" s="322"/>
      <c r="GW33" s="322"/>
      <c r="GX33" s="322"/>
      <c r="GY33" s="322"/>
      <c r="GZ33" s="322"/>
      <c r="HA33" s="322"/>
      <c r="HB33" s="322"/>
      <c r="HC33" s="322"/>
      <c r="HD33" s="322"/>
      <c r="HE33" s="322"/>
      <c r="HF33" s="322"/>
      <c r="HG33" s="322"/>
      <c r="HH33" s="322"/>
      <c r="HI33" s="322"/>
      <c r="HJ33" s="322"/>
      <c r="HK33" s="322"/>
      <c r="HL33" s="322"/>
      <c r="HM33" s="322"/>
      <c r="HN33" s="322"/>
      <c r="HO33" s="322"/>
      <c r="HP33" s="322"/>
      <c r="HQ33" s="322"/>
      <c r="HR33" s="322"/>
      <c r="HS33" s="322"/>
      <c r="HT33" s="322"/>
      <c r="HU33" s="322"/>
      <c r="HV33" s="322"/>
      <c r="HW33" s="322"/>
      <c r="HX33" s="322"/>
      <c r="HY33" s="322"/>
      <c r="HZ33" s="322"/>
      <c r="IA33" s="322">
        <v>24</v>
      </c>
      <c r="IB33" s="322">
        <v>24</v>
      </c>
      <c r="IC33" s="322">
        <v>24</v>
      </c>
      <c r="ID33" s="322">
        <v>24</v>
      </c>
      <c r="IE33" s="322"/>
      <c r="IF33" s="322"/>
      <c r="IG33" s="322"/>
      <c r="IH33" s="322"/>
      <c r="II33" s="322"/>
      <c r="IJ33" s="322"/>
      <c r="IK33" s="322"/>
      <c r="IL33" s="322"/>
      <c r="IM33" s="322">
        <v>72</v>
      </c>
      <c r="IN33" s="322"/>
      <c r="IO33" s="322"/>
      <c r="IP33" s="322"/>
      <c r="IQ33" s="322"/>
      <c r="IR33" s="322"/>
      <c r="IS33" s="322"/>
      <c r="IT33" s="322"/>
      <c r="IU33" s="322"/>
      <c r="IV33" s="322"/>
      <c r="IW33" s="322"/>
      <c r="IX33" s="322"/>
      <c r="IY33" s="322"/>
      <c r="IZ33" s="322"/>
      <c r="JA33" s="322"/>
      <c r="JB33" s="322"/>
      <c r="JC33" s="322"/>
      <c r="JD33" s="322"/>
      <c r="JE33" s="322"/>
      <c r="JF33" s="322"/>
      <c r="JG33" s="322"/>
      <c r="JH33" s="322"/>
      <c r="JI33" s="322"/>
      <c r="JJ33" s="322"/>
      <c r="JK33" s="322"/>
      <c r="JL33" s="322"/>
      <c r="JM33" s="322"/>
      <c r="JN33" s="322"/>
      <c r="JO33" s="322"/>
      <c r="JP33" s="322"/>
      <c r="JQ33" s="322"/>
      <c r="JR33" s="322"/>
      <c r="JS33" s="322"/>
      <c r="JT33" s="322"/>
      <c r="JU33" s="322"/>
      <c r="JV33" s="322"/>
      <c r="JW33" s="322"/>
      <c r="JX33" s="322"/>
      <c r="JY33" s="322"/>
      <c r="JZ33" s="322"/>
      <c r="KA33" s="322"/>
      <c r="KB33" s="322"/>
      <c r="KC33" s="322"/>
      <c r="KD33" s="322"/>
      <c r="KE33" s="322"/>
      <c r="KF33" s="322"/>
      <c r="KG33" s="322"/>
      <c r="KH33" s="322"/>
      <c r="KI33" s="322"/>
      <c r="KJ33" s="322"/>
      <c r="KK33" s="322"/>
      <c r="KL33" s="322"/>
      <c r="KM33" s="322"/>
      <c r="KN33" s="322"/>
      <c r="KO33" s="322"/>
      <c r="KP33" s="322"/>
      <c r="KQ33" s="322"/>
      <c r="KR33" s="322"/>
      <c r="KS33" s="322"/>
      <c r="KT33" s="322"/>
      <c r="KU33" s="322"/>
      <c r="KV33" s="322"/>
      <c r="KW33" s="322"/>
      <c r="KX33" s="322"/>
      <c r="KY33" s="322"/>
      <c r="KZ33" s="322"/>
      <c r="LA33" s="322"/>
      <c r="LB33" s="322"/>
      <c r="LC33" s="322"/>
      <c r="LD33" s="322"/>
      <c r="LE33" s="322"/>
      <c r="LF33" s="324">
        <v>72</v>
      </c>
    </row>
    <row r="34" spans="1:318" x14ac:dyDescent="0.2">
      <c r="A34" s="327">
        <v>42674</v>
      </c>
      <c r="B34" s="322"/>
      <c r="C34" s="322"/>
      <c r="D34" s="322"/>
      <c r="E34" s="322"/>
      <c r="F34" s="322"/>
      <c r="G34" s="322"/>
      <c r="H34" s="322"/>
      <c r="I34" s="322"/>
      <c r="J34" s="322"/>
      <c r="K34" s="322"/>
      <c r="L34" s="322"/>
      <c r="M34" s="322"/>
      <c r="N34" s="322"/>
      <c r="O34" s="322"/>
      <c r="P34" s="322"/>
      <c r="Q34" s="322"/>
      <c r="R34" s="322"/>
      <c r="S34" s="322"/>
      <c r="T34" s="322"/>
      <c r="U34" s="322"/>
      <c r="V34" s="322"/>
      <c r="W34" s="322"/>
      <c r="X34" s="322"/>
      <c r="Y34" s="322"/>
      <c r="Z34" s="322"/>
      <c r="AA34" s="322"/>
      <c r="AB34" s="322"/>
      <c r="AC34" s="322"/>
      <c r="AD34" s="322"/>
      <c r="AE34" s="322"/>
      <c r="AF34" s="322"/>
      <c r="AG34" s="322"/>
      <c r="AH34" s="322"/>
      <c r="AI34" s="322"/>
      <c r="AJ34" s="322"/>
      <c r="AK34" s="322"/>
      <c r="AL34" s="322"/>
      <c r="AM34" s="322"/>
      <c r="AN34" s="322"/>
      <c r="AO34" s="322"/>
      <c r="AP34" s="322"/>
      <c r="AQ34" s="322"/>
      <c r="AR34" s="322"/>
      <c r="AS34" s="322"/>
      <c r="AT34" s="322"/>
      <c r="AU34" s="322"/>
      <c r="AV34" s="322"/>
      <c r="AW34" s="322"/>
      <c r="AX34" s="322"/>
      <c r="AY34" s="322"/>
      <c r="AZ34" s="322"/>
      <c r="BA34" s="322"/>
      <c r="BB34" s="322"/>
      <c r="BC34" s="322"/>
      <c r="BD34" s="322"/>
      <c r="BE34" s="322"/>
      <c r="BF34" s="322"/>
      <c r="BG34" s="322"/>
      <c r="BH34" s="322"/>
      <c r="BI34" s="322"/>
      <c r="BJ34" s="322"/>
      <c r="BK34" s="322"/>
      <c r="BL34" s="322"/>
      <c r="BM34" s="322"/>
      <c r="BN34" s="322"/>
      <c r="BO34" s="322"/>
      <c r="BP34" s="322"/>
      <c r="BQ34" s="322"/>
      <c r="BR34" s="322"/>
      <c r="BS34" s="322"/>
      <c r="BT34" s="322"/>
      <c r="BU34" s="322"/>
      <c r="BV34" s="322"/>
      <c r="BW34" s="322"/>
      <c r="BX34" s="322"/>
      <c r="BY34" s="322"/>
      <c r="BZ34" s="322"/>
      <c r="CA34" s="322"/>
      <c r="CB34" s="322"/>
      <c r="CC34" s="322"/>
      <c r="CD34" s="322"/>
      <c r="CE34" s="322"/>
      <c r="CF34" s="322"/>
      <c r="CG34" s="322"/>
      <c r="CH34" s="322"/>
      <c r="CI34" s="322"/>
      <c r="CJ34" s="322"/>
      <c r="CK34" s="322"/>
      <c r="CL34" s="322"/>
      <c r="CM34" s="322"/>
      <c r="CN34" s="322"/>
      <c r="CO34" s="322"/>
      <c r="CP34" s="322"/>
      <c r="CQ34" s="322"/>
      <c r="CR34" s="322"/>
      <c r="CS34" s="322"/>
      <c r="CT34" s="322"/>
      <c r="CU34" s="322"/>
      <c r="CV34" s="322"/>
      <c r="CW34" s="322"/>
      <c r="CX34" s="322"/>
      <c r="CY34" s="322"/>
      <c r="CZ34" s="322"/>
      <c r="DA34" s="322"/>
      <c r="DB34" s="322"/>
      <c r="DC34" s="322">
        <v>46</v>
      </c>
      <c r="DD34" s="322">
        <v>46</v>
      </c>
      <c r="DE34" s="322">
        <v>46</v>
      </c>
      <c r="DF34" s="322">
        <v>46</v>
      </c>
      <c r="DG34" s="322"/>
      <c r="DH34" s="322"/>
      <c r="DI34" s="322"/>
      <c r="DJ34" s="322"/>
      <c r="DK34" s="322"/>
      <c r="DL34" s="322"/>
      <c r="DM34" s="322"/>
      <c r="DN34" s="322"/>
      <c r="DO34" s="322"/>
      <c r="DP34" s="322"/>
      <c r="DQ34" s="322"/>
      <c r="DR34" s="322"/>
      <c r="DS34" s="322"/>
      <c r="DT34" s="322"/>
      <c r="DU34" s="322"/>
      <c r="DV34" s="322"/>
      <c r="DW34" s="322"/>
      <c r="DX34" s="322"/>
      <c r="DY34" s="322"/>
      <c r="DZ34" s="322"/>
      <c r="EA34" s="322"/>
      <c r="EB34" s="322"/>
      <c r="EC34" s="322"/>
      <c r="ED34" s="322"/>
      <c r="EE34" s="322"/>
      <c r="EF34" s="322"/>
      <c r="EG34" s="322"/>
      <c r="EH34" s="322"/>
      <c r="EI34" s="322"/>
      <c r="EJ34" s="322"/>
      <c r="EK34" s="322"/>
      <c r="EL34" s="322"/>
      <c r="EM34" s="322"/>
      <c r="EN34" s="322"/>
      <c r="EO34" s="322"/>
      <c r="EP34" s="322"/>
      <c r="EQ34" s="322"/>
      <c r="ER34" s="322"/>
      <c r="ES34" s="322"/>
      <c r="ET34" s="322"/>
      <c r="EU34" s="322"/>
      <c r="EV34" s="322"/>
      <c r="EW34" s="322"/>
      <c r="EX34" s="322"/>
      <c r="EY34" s="322"/>
      <c r="EZ34" s="322"/>
      <c r="FA34" s="322"/>
      <c r="FB34" s="322"/>
      <c r="FC34" s="322"/>
      <c r="FD34" s="322"/>
      <c r="FE34" s="322"/>
      <c r="FF34" s="322"/>
      <c r="FG34" s="322"/>
      <c r="FH34" s="322"/>
      <c r="FI34" s="322"/>
      <c r="FJ34" s="322"/>
      <c r="FK34" s="322"/>
      <c r="FL34" s="322"/>
      <c r="FM34" s="322"/>
      <c r="FN34" s="322"/>
      <c r="FO34" s="322"/>
      <c r="FP34" s="322"/>
      <c r="FQ34" s="322"/>
      <c r="FR34" s="322"/>
      <c r="FS34" s="322"/>
      <c r="FT34" s="322"/>
      <c r="FU34" s="322"/>
      <c r="FV34" s="322"/>
      <c r="FW34" s="322"/>
      <c r="FX34" s="322"/>
      <c r="FY34" s="322"/>
      <c r="FZ34" s="322"/>
      <c r="GA34" s="322"/>
      <c r="GB34" s="322"/>
      <c r="GC34" s="322"/>
      <c r="GD34" s="322"/>
      <c r="GE34" s="322">
        <v>1</v>
      </c>
      <c r="GF34" s="322">
        <v>1</v>
      </c>
      <c r="GG34" s="322">
        <v>1</v>
      </c>
      <c r="GH34" s="322">
        <v>1</v>
      </c>
      <c r="GI34" s="322">
        <v>1</v>
      </c>
      <c r="GJ34" s="322">
        <v>1</v>
      </c>
      <c r="GK34" s="322">
        <v>1</v>
      </c>
      <c r="GL34" s="322">
        <v>1</v>
      </c>
      <c r="GM34" s="322"/>
      <c r="GN34" s="322"/>
      <c r="GO34" s="322"/>
      <c r="GP34" s="322"/>
      <c r="GQ34" s="322"/>
      <c r="GR34" s="322"/>
      <c r="GS34" s="322"/>
      <c r="GT34" s="322"/>
      <c r="GU34" s="322"/>
      <c r="GV34" s="322"/>
      <c r="GW34" s="322"/>
      <c r="GX34" s="322"/>
      <c r="GY34" s="322"/>
      <c r="GZ34" s="322"/>
      <c r="HA34" s="322"/>
      <c r="HB34" s="322"/>
      <c r="HC34" s="322"/>
      <c r="HD34" s="322"/>
      <c r="HE34" s="322"/>
      <c r="HF34" s="322"/>
      <c r="HG34" s="322">
        <v>1</v>
      </c>
      <c r="HH34" s="322">
        <v>1</v>
      </c>
      <c r="HI34" s="322">
        <v>1</v>
      </c>
      <c r="HJ34" s="322">
        <v>1</v>
      </c>
      <c r="HK34" s="322"/>
      <c r="HL34" s="322"/>
      <c r="HM34" s="322"/>
      <c r="HN34" s="322"/>
      <c r="HO34" s="322"/>
      <c r="HP34" s="322"/>
      <c r="HQ34" s="322"/>
      <c r="HR34" s="322"/>
      <c r="HS34" s="322"/>
      <c r="HT34" s="322"/>
      <c r="HU34" s="322"/>
      <c r="HV34" s="322"/>
      <c r="HW34" s="322"/>
      <c r="HX34" s="322"/>
      <c r="HY34" s="322"/>
      <c r="HZ34" s="322"/>
      <c r="IA34" s="322">
        <v>23</v>
      </c>
      <c r="IB34" s="322">
        <v>23</v>
      </c>
      <c r="IC34" s="322">
        <v>23</v>
      </c>
      <c r="ID34" s="322">
        <v>23</v>
      </c>
      <c r="IE34" s="322"/>
      <c r="IF34" s="322"/>
      <c r="IG34" s="322"/>
      <c r="IH34" s="322"/>
      <c r="II34" s="322"/>
      <c r="IJ34" s="322"/>
      <c r="IK34" s="322"/>
      <c r="IL34" s="322"/>
      <c r="IM34" s="322">
        <v>72</v>
      </c>
      <c r="IN34" s="322"/>
      <c r="IO34" s="322"/>
      <c r="IP34" s="322"/>
      <c r="IQ34" s="322"/>
      <c r="IR34" s="322"/>
      <c r="IS34" s="322"/>
      <c r="IT34" s="322"/>
      <c r="IU34" s="322"/>
      <c r="IV34" s="322"/>
      <c r="IW34" s="322"/>
      <c r="IX34" s="322"/>
      <c r="IY34" s="322"/>
      <c r="IZ34" s="322"/>
      <c r="JA34" s="322"/>
      <c r="JB34" s="322"/>
      <c r="JC34" s="322"/>
      <c r="JD34" s="322"/>
      <c r="JE34" s="322"/>
      <c r="JF34" s="322"/>
      <c r="JG34" s="322"/>
      <c r="JH34" s="322"/>
      <c r="JI34" s="322"/>
      <c r="JJ34" s="322"/>
      <c r="JK34" s="322"/>
      <c r="JL34" s="322"/>
      <c r="JM34" s="322"/>
      <c r="JN34" s="322"/>
      <c r="JO34" s="322"/>
      <c r="JP34" s="322"/>
      <c r="JQ34" s="322"/>
      <c r="JR34" s="322"/>
      <c r="JS34" s="322"/>
      <c r="JT34" s="322"/>
      <c r="JU34" s="322"/>
      <c r="JV34" s="322"/>
      <c r="JW34" s="322"/>
      <c r="JX34" s="322"/>
      <c r="JY34" s="322"/>
      <c r="JZ34" s="322"/>
      <c r="KA34" s="322"/>
      <c r="KB34" s="322"/>
      <c r="KC34" s="322"/>
      <c r="KD34" s="322"/>
      <c r="KE34" s="322"/>
      <c r="KF34" s="322"/>
      <c r="KG34" s="322"/>
      <c r="KH34" s="322"/>
      <c r="KI34" s="322"/>
      <c r="KJ34" s="322"/>
      <c r="KK34" s="322"/>
      <c r="KL34" s="322"/>
      <c r="KM34" s="322"/>
      <c r="KN34" s="322"/>
      <c r="KO34" s="322"/>
      <c r="KP34" s="322"/>
      <c r="KQ34" s="322"/>
      <c r="KR34" s="322"/>
      <c r="KS34" s="322"/>
      <c r="KT34" s="322"/>
      <c r="KU34" s="322"/>
      <c r="KV34" s="322"/>
      <c r="KW34" s="322"/>
      <c r="KX34" s="322"/>
      <c r="KY34" s="322"/>
      <c r="KZ34" s="322"/>
      <c r="LA34" s="322"/>
      <c r="LB34" s="322"/>
      <c r="LC34" s="322"/>
      <c r="LD34" s="322"/>
      <c r="LE34" s="322"/>
      <c r="LF34" s="324">
        <v>72</v>
      </c>
    </row>
    <row r="35" spans="1:318" x14ac:dyDescent="0.2">
      <c r="A35" s="327">
        <v>42675</v>
      </c>
      <c r="B35" s="322"/>
      <c r="C35" s="322"/>
      <c r="D35" s="322"/>
      <c r="E35" s="322"/>
      <c r="F35" s="322">
        <v>1</v>
      </c>
      <c r="G35" s="322">
        <v>1</v>
      </c>
      <c r="H35" s="322">
        <v>1</v>
      </c>
      <c r="I35" s="322">
        <v>1</v>
      </c>
      <c r="J35" s="322"/>
      <c r="K35" s="322"/>
      <c r="L35" s="322"/>
      <c r="M35" s="322"/>
      <c r="N35" s="322"/>
      <c r="O35" s="322"/>
      <c r="P35" s="322"/>
      <c r="Q35" s="322"/>
      <c r="R35" s="322"/>
      <c r="S35" s="322"/>
      <c r="T35" s="322"/>
      <c r="U35" s="322"/>
      <c r="V35" s="322"/>
      <c r="W35" s="322"/>
      <c r="X35" s="322"/>
      <c r="Y35" s="322"/>
      <c r="Z35" s="322"/>
      <c r="AA35" s="322"/>
      <c r="AB35" s="322"/>
      <c r="AC35" s="322"/>
      <c r="AD35" s="322"/>
      <c r="AE35" s="322"/>
      <c r="AF35" s="322"/>
      <c r="AG35" s="322"/>
      <c r="AH35" s="322"/>
      <c r="AI35" s="322"/>
      <c r="AJ35" s="322"/>
      <c r="AK35" s="322"/>
      <c r="AL35" s="322"/>
      <c r="AM35" s="322"/>
      <c r="AN35" s="322"/>
      <c r="AO35" s="322"/>
      <c r="AP35" s="322"/>
      <c r="AQ35" s="322"/>
      <c r="AR35" s="322"/>
      <c r="AS35" s="322"/>
      <c r="AT35" s="322"/>
      <c r="AU35" s="322"/>
      <c r="AV35" s="322"/>
      <c r="AW35" s="322"/>
      <c r="AX35" s="322"/>
      <c r="AY35" s="322"/>
      <c r="AZ35" s="322"/>
      <c r="BA35" s="322"/>
      <c r="BB35" s="322">
        <v>2</v>
      </c>
      <c r="BC35" s="322">
        <v>2</v>
      </c>
      <c r="BD35" s="322">
        <v>2</v>
      </c>
      <c r="BE35" s="322">
        <v>2</v>
      </c>
      <c r="BF35" s="322">
        <v>2</v>
      </c>
      <c r="BG35" s="322">
        <v>2</v>
      </c>
      <c r="BH35" s="322">
        <v>2</v>
      </c>
      <c r="BI35" s="322">
        <v>2</v>
      </c>
      <c r="BJ35" s="322">
        <v>7</v>
      </c>
      <c r="BK35" s="322">
        <v>7</v>
      </c>
      <c r="BL35" s="322">
        <v>7</v>
      </c>
      <c r="BM35" s="322">
        <v>7</v>
      </c>
      <c r="BN35" s="322"/>
      <c r="BO35" s="322"/>
      <c r="BP35" s="322"/>
      <c r="BQ35" s="322"/>
      <c r="BR35" s="322"/>
      <c r="BS35" s="322"/>
      <c r="BT35" s="322"/>
      <c r="BU35" s="322"/>
      <c r="BV35" s="322">
        <v>4</v>
      </c>
      <c r="BW35" s="322">
        <v>4</v>
      </c>
      <c r="BX35" s="322">
        <v>4</v>
      </c>
      <c r="BY35" s="322">
        <v>4</v>
      </c>
      <c r="BZ35" s="322"/>
      <c r="CA35" s="322"/>
      <c r="CB35" s="322"/>
      <c r="CC35" s="322"/>
      <c r="CD35" s="322">
        <v>2</v>
      </c>
      <c r="CE35" s="322">
        <v>2</v>
      </c>
      <c r="CF35" s="322">
        <v>2</v>
      </c>
      <c r="CG35" s="322">
        <v>2</v>
      </c>
      <c r="CH35" s="322"/>
      <c r="CI35" s="322"/>
      <c r="CJ35" s="322"/>
      <c r="CK35" s="322"/>
      <c r="CL35" s="322">
        <v>26</v>
      </c>
      <c r="CM35" s="322">
        <v>26</v>
      </c>
      <c r="CN35" s="322">
        <v>26</v>
      </c>
      <c r="CO35" s="322">
        <v>26</v>
      </c>
      <c r="CP35" s="322"/>
      <c r="CQ35" s="322"/>
      <c r="CR35" s="322"/>
      <c r="CS35" s="322"/>
      <c r="CT35" s="322"/>
      <c r="CU35" s="322"/>
      <c r="CV35" s="322"/>
      <c r="CW35" s="322"/>
      <c r="CX35" s="322"/>
      <c r="CY35" s="322"/>
      <c r="CZ35" s="322"/>
      <c r="DA35" s="322"/>
      <c r="DB35" s="322">
        <v>44</v>
      </c>
      <c r="DC35" s="322">
        <v>227</v>
      </c>
      <c r="DD35" s="322">
        <v>227</v>
      </c>
      <c r="DE35" s="322">
        <v>227</v>
      </c>
      <c r="DF35" s="322">
        <v>227</v>
      </c>
      <c r="DG35" s="322">
        <v>4</v>
      </c>
      <c r="DH35" s="322">
        <v>4</v>
      </c>
      <c r="DI35" s="322">
        <v>4</v>
      </c>
      <c r="DJ35" s="322">
        <v>4</v>
      </c>
      <c r="DK35" s="322">
        <v>2</v>
      </c>
      <c r="DL35" s="322">
        <v>2</v>
      </c>
      <c r="DM35" s="322">
        <v>2</v>
      </c>
      <c r="DN35" s="322">
        <v>2</v>
      </c>
      <c r="DO35" s="322"/>
      <c r="DP35" s="322"/>
      <c r="DQ35" s="322"/>
      <c r="DR35" s="322"/>
      <c r="DS35" s="322">
        <v>3</v>
      </c>
      <c r="DT35" s="322">
        <v>3</v>
      </c>
      <c r="DU35" s="322">
        <v>3</v>
      </c>
      <c r="DV35" s="322">
        <v>3</v>
      </c>
      <c r="DW35" s="322"/>
      <c r="DX35" s="322"/>
      <c r="DY35" s="322"/>
      <c r="DZ35" s="322"/>
      <c r="EA35" s="322"/>
      <c r="EB35" s="322"/>
      <c r="EC35" s="322"/>
      <c r="ED35" s="322"/>
      <c r="EE35" s="322"/>
      <c r="EF35" s="322"/>
      <c r="EG35" s="322"/>
      <c r="EH35" s="322"/>
      <c r="EI35" s="322"/>
      <c r="EJ35" s="322"/>
      <c r="EK35" s="322"/>
      <c r="EL35" s="322"/>
      <c r="EM35" s="322">
        <v>1</v>
      </c>
      <c r="EN35" s="322">
        <v>1</v>
      </c>
      <c r="EO35" s="322">
        <v>1</v>
      </c>
      <c r="EP35" s="322">
        <v>1</v>
      </c>
      <c r="EQ35" s="322">
        <v>1</v>
      </c>
      <c r="ER35" s="322">
        <v>1</v>
      </c>
      <c r="ES35" s="322">
        <v>1</v>
      </c>
      <c r="ET35" s="322">
        <v>1</v>
      </c>
      <c r="EU35" s="322">
        <v>1</v>
      </c>
      <c r="EV35" s="322">
        <v>1</v>
      </c>
      <c r="EW35" s="322">
        <v>1</v>
      </c>
      <c r="EX35" s="322">
        <v>1</v>
      </c>
      <c r="EY35" s="322"/>
      <c r="EZ35" s="322"/>
      <c r="FA35" s="322"/>
      <c r="FB35" s="322"/>
      <c r="FC35" s="322">
        <v>1</v>
      </c>
      <c r="FD35" s="322">
        <v>1</v>
      </c>
      <c r="FE35" s="322">
        <v>1</v>
      </c>
      <c r="FF35" s="322">
        <v>1</v>
      </c>
      <c r="FG35" s="322"/>
      <c r="FH35" s="322"/>
      <c r="FI35" s="322"/>
      <c r="FJ35" s="322"/>
      <c r="FK35" s="322">
        <v>16</v>
      </c>
      <c r="FL35" s="322">
        <v>16</v>
      </c>
      <c r="FM35" s="322">
        <v>16</v>
      </c>
      <c r="FN35" s="322">
        <v>16</v>
      </c>
      <c r="FO35" s="322">
        <v>16</v>
      </c>
      <c r="FP35" s="322">
        <v>16</v>
      </c>
      <c r="FQ35" s="322">
        <v>16</v>
      </c>
      <c r="FR35" s="322">
        <v>16</v>
      </c>
      <c r="FS35" s="322"/>
      <c r="FT35" s="322"/>
      <c r="FU35" s="322"/>
      <c r="FV35" s="322"/>
      <c r="FW35" s="322"/>
      <c r="FX35" s="322"/>
      <c r="FY35" s="322"/>
      <c r="FZ35" s="322"/>
      <c r="GA35" s="322"/>
      <c r="GB35" s="322"/>
      <c r="GC35" s="322"/>
      <c r="GD35" s="322"/>
      <c r="GE35" s="322">
        <v>3</v>
      </c>
      <c r="GF35" s="322">
        <v>3</v>
      </c>
      <c r="GG35" s="322">
        <v>3</v>
      </c>
      <c r="GH35" s="322">
        <v>3</v>
      </c>
      <c r="GI35" s="322"/>
      <c r="GJ35" s="322"/>
      <c r="GK35" s="322"/>
      <c r="GL35" s="322"/>
      <c r="GM35" s="322">
        <v>2</v>
      </c>
      <c r="GN35" s="322">
        <v>2</v>
      </c>
      <c r="GO35" s="322">
        <v>2</v>
      </c>
      <c r="GP35" s="322">
        <v>2</v>
      </c>
      <c r="GQ35" s="322"/>
      <c r="GR35" s="322"/>
      <c r="GS35" s="322"/>
      <c r="GT35" s="322"/>
      <c r="GU35" s="322"/>
      <c r="GV35" s="322"/>
      <c r="GW35" s="322"/>
      <c r="GX35" s="322"/>
      <c r="GY35" s="322"/>
      <c r="GZ35" s="322"/>
      <c r="HA35" s="322"/>
      <c r="HB35" s="322"/>
      <c r="HC35" s="322">
        <v>1</v>
      </c>
      <c r="HD35" s="322">
        <v>1</v>
      </c>
      <c r="HE35" s="322">
        <v>1</v>
      </c>
      <c r="HF35" s="322">
        <v>1</v>
      </c>
      <c r="HG35" s="322"/>
      <c r="HH35" s="322"/>
      <c r="HI35" s="322"/>
      <c r="HJ35" s="322"/>
      <c r="HK35" s="322"/>
      <c r="HL35" s="322"/>
      <c r="HM35" s="322"/>
      <c r="HN35" s="322"/>
      <c r="HO35" s="322">
        <v>1</v>
      </c>
      <c r="HP35" s="322">
        <v>1</v>
      </c>
      <c r="HQ35" s="322">
        <v>1</v>
      </c>
      <c r="HR35" s="322">
        <v>1</v>
      </c>
      <c r="HS35" s="322"/>
      <c r="HT35" s="322"/>
      <c r="HU35" s="322"/>
      <c r="HV35" s="322"/>
      <c r="HW35" s="322">
        <v>1</v>
      </c>
      <c r="HX35" s="322">
        <v>1</v>
      </c>
      <c r="HY35" s="322">
        <v>1</v>
      </c>
      <c r="HZ35" s="322">
        <v>1</v>
      </c>
      <c r="IA35" s="322">
        <v>60</v>
      </c>
      <c r="IB35" s="322">
        <v>60</v>
      </c>
      <c r="IC35" s="322">
        <v>60</v>
      </c>
      <c r="ID35" s="322">
        <v>60</v>
      </c>
      <c r="IE35" s="322">
        <v>1</v>
      </c>
      <c r="IF35" s="322">
        <v>1</v>
      </c>
      <c r="IG35" s="322">
        <v>1</v>
      </c>
      <c r="IH35" s="322">
        <v>1</v>
      </c>
      <c r="II35" s="322"/>
      <c r="IJ35" s="322"/>
      <c r="IK35" s="322"/>
      <c r="IL35" s="322"/>
      <c r="IM35" s="322">
        <v>341</v>
      </c>
      <c r="IN35" s="322">
        <v>5</v>
      </c>
      <c r="IO35" s="322">
        <v>5</v>
      </c>
      <c r="IP35" s="322">
        <v>5</v>
      </c>
      <c r="IQ35" s="322">
        <v>5</v>
      </c>
      <c r="IR35" s="322">
        <v>2</v>
      </c>
      <c r="IS35" s="322">
        <v>2</v>
      </c>
      <c r="IT35" s="322">
        <v>2</v>
      </c>
      <c r="IU35" s="322">
        <v>2</v>
      </c>
      <c r="IV35" s="322"/>
      <c r="IW35" s="322"/>
      <c r="IX35" s="322"/>
      <c r="IY35" s="322"/>
      <c r="IZ35" s="322"/>
      <c r="JA35" s="322"/>
      <c r="JB35" s="322"/>
      <c r="JC35" s="322"/>
      <c r="JD35" s="322">
        <v>39</v>
      </c>
      <c r="JE35" s="322">
        <v>39</v>
      </c>
      <c r="JF35" s="322">
        <v>39</v>
      </c>
      <c r="JG35" s="322">
        <v>39</v>
      </c>
      <c r="JH35" s="322"/>
      <c r="JI35" s="322"/>
      <c r="JJ35" s="322"/>
      <c r="JK35" s="322"/>
      <c r="JL35" s="322"/>
      <c r="JM35" s="322"/>
      <c r="JN35" s="322"/>
      <c r="JO35" s="322"/>
      <c r="JP35" s="322"/>
      <c r="JQ35" s="322"/>
      <c r="JR35" s="322"/>
      <c r="JS35" s="322"/>
      <c r="JT35" s="322"/>
      <c r="JU35" s="322"/>
      <c r="JV35" s="322"/>
      <c r="JW35" s="322"/>
      <c r="JX35" s="322"/>
      <c r="JY35" s="322"/>
      <c r="JZ35" s="322"/>
      <c r="KA35" s="322"/>
      <c r="KB35" s="322"/>
      <c r="KC35" s="322"/>
      <c r="KD35" s="322"/>
      <c r="KE35" s="322"/>
      <c r="KF35" s="322"/>
      <c r="KG35" s="322"/>
      <c r="KH35" s="322"/>
      <c r="KI35" s="322"/>
      <c r="KJ35" s="322"/>
      <c r="KK35" s="322"/>
      <c r="KL35" s="322"/>
      <c r="KM35" s="322"/>
      <c r="KN35" s="322">
        <v>1</v>
      </c>
      <c r="KO35" s="322">
        <v>1</v>
      </c>
      <c r="KP35" s="322">
        <v>1</v>
      </c>
      <c r="KQ35" s="322">
        <v>1</v>
      </c>
      <c r="KR35" s="322"/>
      <c r="KS35" s="322"/>
      <c r="KT35" s="322"/>
      <c r="KU35" s="322"/>
      <c r="KV35" s="322"/>
      <c r="KW35" s="322"/>
      <c r="KX35" s="322"/>
      <c r="KY35" s="322"/>
      <c r="KZ35" s="322">
        <v>47</v>
      </c>
      <c r="LA35" s="322"/>
      <c r="LB35" s="322"/>
      <c r="LC35" s="322"/>
      <c r="LD35" s="322"/>
      <c r="LE35" s="322"/>
      <c r="LF35" s="324">
        <v>432</v>
      </c>
    </row>
    <row r="36" spans="1:318" x14ac:dyDescent="0.2">
      <c r="A36" s="327">
        <v>42676</v>
      </c>
      <c r="B36" s="322"/>
      <c r="C36" s="322"/>
      <c r="D36" s="322"/>
      <c r="E36" s="322"/>
      <c r="F36" s="322"/>
      <c r="G36" s="322"/>
      <c r="H36" s="322"/>
      <c r="I36" s="322"/>
      <c r="J36" s="322"/>
      <c r="K36" s="322"/>
      <c r="L36" s="322"/>
      <c r="M36" s="322"/>
      <c r="N36" s="322">
        <v>1</v>
      </c>
      <c r="O36" s="322">
        <v>1</v>
      </c>
      <c r="P36" s="322">
        <v>1</v>
      </c>
      <c r="Q36" s="322">
        <v>1</v>
      </c>
      <c r="R36" s="322"/>
      <c r="S36" s="322"/>
      <c r="T36" s="322"/>
      <c r="U36" s="322"/>
      <c r="V36" s="322"/>
      <c r="W36" s="322"/>
      <c r="X36" s="322"/>
      <c r="Y36" s="322"/>
      <c r="Z36" s="322"/>
      <c r="AA36" s="322"/>
      <c r="AB36" s="322"/>
      <c r="AC36" s="322"/>
      <c r="AD36" s="322">
        <v>2</v>
      </c>
      <c r="AE36" s="322">
        <v>2</v>
      </c>
      <c r="AF36" s="322">
        <v>2</v>
      </c>
      <c r="AG36" s="322">
        <v>2</v>
      </c>
      <c r="AH36" s="322"/>
      <c r="AI36" s="322"/>
      <c r="AJ36" s="322"/>
      <c r="AK36" s="322"/>
      <c r="AL36" s="322"/>
      <c r="AM36" s="322"/>
      <c r="AN36" s="322"/>
      <c r="AO36" s="322"/>
      <c r="AP36" s="322"/>
      <c r="AQ36" s="322"/>
      <c r="AR36" s="322"/>
      <c r="AS36" s="322"/>
      <c r="AT36" s="322">
        <v>3</v>
      </c>
      <c r="AU36" s="322">
        <v>3</v>
      </c>
      <c r="AV36" s="322">
        <v>3</v>
      </c>
      <c r="AW36" s="322">
        <v>3</v>
      </c>
      <c r="AX36" s="322"/>
      <c r="AY36" s="322"/>
      <c r="AZ36" s="322"/>
      <c r="BA36" s="322"/>
      <c r="BB36" s="322"/>
      <c r="BC36" s="322"/>
      <c r="BD36" s="322"/>
      <c r="BE36" s="322"/>
      <c r="BF36" s="322"/>
      <c r="BG36" s="322"/>
      <c r="BH36" s="322"/>
      <c r="BI36" s="322"/>
      <c r="BJ36" s="322"/>
      <c r="BK36" s="322"/>
      <c r="BL36" s="322"/>
      <c r="BM36" s="322"/>
      <c r="BN36" s="322"/>
      <c r="BO36" s="322"/>
      <c r="BP36" s="322"/>
      <c r="BQ36" s="322"/>
      <c r="BR36" s="322"/>
      <c r="BS36" s="322"/>
      <c r="BT36" s="322"/>
      <c r="BU36" s="322"/>
      <c r="BV36" s="322">
        <v>4</v>
      </c>
      <c r="BW36" s="322">
        <v>4</v>
      </c>
      <c r="BX36" s="322">
        <v>4</v>
      </c>
      <c r="BY36" s="322">
        <v>4</v>
      </c>
      <c r="BZ36" s="322"/>
      <c r="CA36" s="322"/>
      <c r="CB36" s="322"/>
      <c r="CC36" s="322"/>
      <c r="CD36" s="322">
        <v>1</v>
      </c>
      <c r="CE36" s="322">
        <v>1</v>
      </c>
      <c r="CF36" s="322">
        <v>1</v>
      </c>
      <c r="CG36" s="322">
        <v>1</v>
      </c>
      <c r="CH36" s="322"/>
      <c r="CI36" s="322"/>
      <c r="CJ36" s="322"/>
      <c r="CK36" s="322"/>
      <c r="CL36" s="322">
        <v>17</v>
      </c>
      <c r="CM36" s="322">
        <v>17</v>
      </c>
      <c r="CN36" s="322">
        <v>17</v>
      </c>
      <c r="CO36" s="322">
        <v>17</v>
      </c>
      <c r="CP36" s="322">
        <v>1</v>
      </c>
      <c r="CQ36" s="322">
        <v>1</v>
      </c>
      <c r="CR36" s="322">
        <v>1</v>
      </c>
      <c r="CS36" s="322">
        <v>1</v>
      </c>
      <c r="CT36" s="322">
        <v>1</v>
      </c>
      <c r="CU36" s="322">
        <v>1</v>
      </c>
      <c r="CV36" s="322">
        <v>1</v>
      </c>
      <c r="CW36" s="322">
        <v>1</v>
      </c>
      <c r="CX36" s="322"/>
      <c r="CY36" s="322"/>
      <c r="CZ36" s="322"/>
      <c r="DA36" s="322"/>
      <c r="DB36" s="322">
        <v>30</v>
      </c>
      <c r="DC36" s="322">
        <v>184</v>
      </c>
      <c r="DD36" s="322">
        <v>184</v>
      </c>
      <c r="DE36" s="322">
        <v>184</v>
      </c>
      <c r="DF36" s="322">
        <v>184</v>
      </c>
      <c r="DG36" s="322">
        <v>8</v>
      </c>
      <c r="DH36" s="322">
        <v>8</v>
      </c>
      <c r="DI36" s="322">
        <v>8</v>
      </c>
      <c r="DJ36" s="322">
        <v>8</v>
      </c>
      <c r="DK36" s="322">
        <v>4</v>
      </c>
      <c r="DL36" s="322">
        <v>4</v>
      </c>
      <c r="DM36" s="322">
        <v>4</v>
      </c>
      <c r="DN36" s="322">
        <v>4</v>
      </c>
      <c r="DO36" s="322"/>
      <c r="DP36" s="322"/>
      <c r="DQ36" s="322"/>
      <c r="DR36" s="322"/>
      <c r="DS36" s="322">
        <v>1</v>
      </c>
      <c r="DT36" s="322">
        <v>1</v>
      </c>
      <c r="DU36" s="322">
        <v>1</v>
      </c>
      <c r="DV36" s="322">
        <v>1</v>
      </c>
      <c r="DW36" s="322"/>
      <c r="DX36" s="322"/>
      <c r="DY36" s="322"/>
      <c r="DZ36" s="322"/>
      <c r="EA36" s="322"/>
      <c r="EB36" s="322"/>
      <c r="EC36" s="322"/>
      <c r="ED36" s="322"/>
      <c r="EE36" s="322">
        <v>5</v>
      </c>
      <c r="EF36" s="322">
        <v>5</v>
      </c>
      <c r="EG36" s="322">
        <v>5</v>
      </c>
      <c r="EH36" s="322">
        <v>5</v>
      </c>
      <c r="EI36" s="322"/>
      <c r="EJ36" s="322"/>
      <c r="EK36" s="322"/>
      <c r="EL36" s="322"/>
      <c r="EM36" s="322"/>
      <c r="EN36" s="322"/>
      <c r="EO36" s="322"/>
      <c r="EP36" s="322"/>
      <c r="EQ36" s="322"/>
      <c r="ER36" s="322"/>
      <c r="ES36" s="322"/>
      <c r="ET36" s="322"/>
      <c r="EU36" s="322"/>
      <c r="EV36" s="322"/>
      <c r="EW36" s="322"/>
      <c r="EX36" s="322"/>
      <c r="EY36" s="322"/>
      <c r="EZ36" s="322"/>
      <c r="FA36" s="322"/>
      <c r="FB36" s="322"/>
      <c r="FC36" s="322">
        <v>5</v>
      </c>
      <c r="FD36" s="322">
        <v>5</v>
      </c>
      <c r="FE36" s="322">
        <v>5</v>
      </c>
      <c r="FF36" s="322">
        <v>5</v>
      </c>
      <c r="FG36" s="322"/>
      <c r="FH36" s="322"/>
      <c r="FI36" s="322"/>
      <c r="FJ36" s="322"/>
      <c r="FK36" s="322"/>
      <c r="FL36" s="322"/>
      <c r="FM36" s="322"/>
      <c r="FN36" s="322"/>
      <c r="FO36" s="322"/>
      <c r="FP36" s="322"/>
      <c r="FQ36" s="322"/>
      <c r="FR36" s="322"/>
      <c r="FS36" s="322"/>
      <c r="FT36" s="322"/>
      <c r="FU36" s="322"/>
      <c r="FV36" s="322"/>
      <c r="FW36" s="322"/>
      <c r="FX36" s="322"/>
      <c r="FY36" s="322"/>
      <c r="FZ36" s="322"/>
      <c r="GA36" s="322">
        <v>1</v>
      </c>
      <c r="GB36" s="322">
        <v>1</v>
      </c>
      <c r="GC36" s="322">
        <v>1</v>
      </c>
      <c r="GD36" s="322">
        <v>1</v>
      </c>
      <c r="GE36" s="322">
        <v>6</v>
      </c>
      <c r="GF36" s="322">
        <v>6</v>
      </c>
      <c r="GG36" s="322">
        <v>6</v>
      </c>
      <c r="GH36" s="322">
        <v>6</v>
      </c>
      <c r="GI36" s="322"/>
      <c r="GJ36" s="322"/>
      <c r="GK36" s="322"/>
      <c r="GL36" s="322"/>
      <c r="GM36" s="322">
        <v>6</v>
      </c>
      <c r="GN36" s="322">
        <v>6</v>
      </c>
      <c r="GO36" s="322">
        <v>6</v>
      </c>
      <c r="GP36" s="322">
        <v>6</v>
      </c>
      <c r="GQ36" s="322"/>
      <c r="GR36" s="322"/>
      <c r="GS36" s="322"/>
      <c r="GT36" s="322"/>
      <c r="GU36" s="322"/>
      <c r="GV36" s="322"/>
      <c r="GW36" s="322"/>
      <c r="GX36" s="322"/>
      <c r="GY36" s="322"/>
      <c r="GZ36" s="322"/>
      <c r="HA36" s="322"/>
      <c r="HB36" s="322"/>
      <c r="HC36" s="322">
        <v>2</v>
      </c>
      <c r="HD36" s="322">
        <v>2</v>
      </c>
      <c r="HE36" s="322">
        <v>2</v>
      </c>
      <c r="HF36" s="322">
        <v>2</v>
      </c>
      <c r="HG36" s="322"/>
      <c r="HH36" s="322"/>
      <c r="HI36" s="322"/>
      <c r="HJ36" s="322"/>
      <c r="HK36" s="322"/>
      <c r="HL36" s="322"/>
      <c r="HM36" s="322"/>
      <c r="HN36" s="322"/>
      <c r="HO36" s="322"/>
      <c r="HP36" s="322"/>
      <c r="HQ36" s="322"/>
      <c r="HR36" s="322"/>
      <c r="HS36" s="322"/>
      <c r="HT36" s="322"/>
      <c r="HU36" s="322"/>
      <c r="HV36" s="322"/>
      <c r="HW36" s="322">
        <v>1</v>
      </c>
      <c r="HX36" s="322">
        <v>1</v>
      </c>
      <c r="HY36" s="322">
        <v>1</v>
      </c>
      <c r="HZ36" s="322">
        <v>1</v>
      </c>
      <c r="IA36" s="322">
        <v>38</v>
      </c>
      <c r="IB36" s="322">
        <v>38</v>
      </c>
      <c r="IC36" s="322">
        <v>38</v>
      </c>
      <c r="ID36" s="322">
        <v>38</v>
      </c>
      <c r="IE36" s="322"/>
      <c r="IF36" s="322"/>
      <c r="IG36" s="322"/>
      <c r="IH36" s="322"/>
      <c r="II36" s="322"/>
      <c r="IJ36" s="322"/>
      <c r="IK36" s="322"/>
      <c r="IL36" s="322"/>
      <c r="IM36" s="322">
        <v>261</v>
      </c>
      <c r="IN36" s="322">
        <v>13</v>
      </c>
      <c r="IO36" s="322">
        <v>13</v>
      </c>
      <c r="IP36" s="322">
        <v>13</v>
      </c>
      <c r="IQ36" s="322">
        <v>13</v>
      </c>
      <c r="IR36" s="322"/>
      <c r="IS36" s="322"/>
      <c r="IT36" s="322"/>
      <c r="IU36" s="322"/>
      <c r="IV36" s="322"/>
      <c r="IW36" s="322"/>
      <c r="IX36" s="322"/>
      <c r="IY36" s="322"/>
      <c r="IZ36" s="322"/>
      <c r="JA36" s="322"/>
      <c r="JB36" s="322"/>
      <c r="JC36" s="322"/>
      <c r="JD36" s="322">
        <v>1074</v>
      </c>
      <c r="JE36" s="322">
        <v>1074</v>
      </c>
      <c r="JF36" s="322">
        <v>1074</v>
      </c>
      <c r="JG36" s="322">
        <v>1074</v>
      </c>
      <c r="JH36" s="322">
        <v>8</v>
      </c>
      <c r="JI36" s="322">
        <v>8</v>
      </c>
      <c r="JJ36" s="322">
        <v>8</v>
      </c>
      <c r="JK36" s="322">
        <v>8</v>
      </c>
      <c r="JL36" s="322"/>
      <c r="JM36" s="322"/>
      <c r="JN36" s="322"/>
      <c r="JO36" s="322"/>
      <c r="JP36" s="322">
        <v>4</v>
      </c>
      <c r="JQ36" s="322">
        <v>4</v>
      </c>
      <c r="JR36" s="322">
        <v>4</v>
      </c>
      <c r="JS36" s="322">
        <v>4</v>
      </c>
      <c r="JT36" s="322"/>
      <c r="JU36" s="322"/>
      <c r="JV36" s="322"/>
      <c r="JW36" s="322"/>
      <c r="JX36" s="322"/>
      <c r="JY36" s="322"/>
      <c r="JZ36" s="322"/>
      <c r="KA36" s="322"/>
      <c r="KB36" s="322"/>
      <c r="KC36" s="322"/>
      <c r="KD36" s="322"/>
      <c r="KE36" s="322"/>
      <c r="KF36" s="322"/>
      <c r="KG36" s="322"/>
      <c r="KH36" s="322"/>
      <c r="KI36" s="322"/>
      <c r="KJ36" s="322">
        <v>1</v>
      </c>
      <c r="KK36" s="322">
        <v>1</v>
      </c>
      <c r="KL36" s="322">
        <v>1</v>
      </c>
      <c r="KM36" s="322">
        <v>1</v>
      </c>
      <c r="KN36" s="322">
        <v>1</v>
      </c>
      <c r="KO36" s="322">
        <v>1</v>
      </c>
      <c r="KP36" s="322">
        <v>1</v>
      </c>
      <c r="KQ36" s="322">
        <v>1</v>
      </c>
      <c r="KR36" s="322">
        <v>1</v>
      </c>
      <c r="KS36" s="322">
        <v>1</v>
      </c>
      <c r="KT36" s="322">
        <v>1</v>
      </c>
      <c r="KU36" s="322">
        <v>1</v>
      </c>
      <c r="KV36" s="322">
        <v>4</v>
      </c>
      <c r="KW36" s="322">
        <v>4</v>
      </c>
      <c r="KX36" s="322">
        <v>4</v>
      </c>
      <c r="KY36" s="322">
        <v>4</v>
      </c>
      <c r="KZ36" s="322">
        <v>1106</v>
      </c>
      <c r="LA36" s="322"/>
      <c r="LB36" s="322"/>
      <c r="LC36" s="322"/>
      <c r="LD36" s="322"/>
      <c r="LE36" s="322"/>
      <c r="LF36" s="324">
        <v>1397</v>
      </c>
    </row>
    <row r="37" spans="1:318" x14ac:dyDescent="0.2">
      <c r="A37" s="321" t="s">
        <v>1789</v>
      </c>
      <c r="B37" s="322"/>
      <c r="C37" s="322"/>
      <c r="D37" s="322"/>
      <c r="E37" s="322"/>
      <c r="F37" s="322"/>
      <c r="G37" s="322"/>
      <c r="H37" s="322"/>
      <c r="I37" s="322"/>
      <c r="J37" s="322"/>
      <c r="K37" s="322"/>
      <c r="L37" s="322"/>
      <c r="M37" s="322"/>
      <c r="N37" s="322"/>
      <c r="O37" s="322"/>
      <c r="P37" s="322"/>
      <c r="Q37" s="322"/>
      <c r="R37" s="322"/>
      <c r="S37" s="322"/>
      <c r="T37" s="322"/>
      <c r="U37" s="322"/>
      <c r="V37" s="322"/>
      <c r="W37" s="322"/>
      <c r="X37" s="322"/>
      <c r="Y37" s="322"/>
      <c r="Z37" s="322"/>
      <c r="AA37" s="322"/>
      <c r="AB37" s="322"/>
      <c r="AC37" s="322"/>
      <c r="AD37" s="322"/>
      <c r="AE37" s="322"/>
      <c r="AF37" s="322"/>
      <c r="AG37" s="322"/>
      <c r="AH37" s="322"/>
      <c r="AI37" s="322"/>
      <c r="AJ37" s="322"/>
      <c r="AK37" s="322"/>
      <c r="AL37" s="322"/>
      <c r="AM37" s="322"/>
      <c r="AN37" s="322"/>
      <c r="AO37" s="322"/>
      <c r="AP37" s="322"/>
      <c r="AQ37" s="322"/>
      <c r="AR37" s="322"/>
      <c r="AS37" s="322"/>
      <c r="AT37" s="322"/>
      <c r="AU37" s="322"/>
      <c r="AV37" s="322"/>
      <c r="AW37" s="322"/>
      <c r="AX37" s="322"/>
      <c r="AY37" s="322"/>
      <c r="AZ37" s="322"/>
      <c r="BA37" s="322"/>
      <c r="BB37" s="322"/>
      <c r="BC37" s="322"/>
      <c r="BD37" s="322"/>
      <c r="BE37" s="322"/>
      <c r="BF37" s="322"/>
      <c r="BG37" s="322"/>
      <c r="BH37" s="322"/>
      <c r="BI37" s="322"/>
      <c r="BJ37" s="322"/>
      <c r="BK37" s="322"/>
      <c r="BL37" s="322"/>
      <c r="BM37" s="322"/>
      <c r="BN37" s="322"/>
      <c r="BO37" s="322"/>
      <c r="BP37" s="322"/>
      <c r="BQ37" s="322"/>
      <c r="BR37" s="322"/>
      <c r="BS37" s="322"/>
      <c r="BT37" s="322"/>
      <c r="BU37" s="322"/>
      <c r="BV37" s="322"/>
      <c r="BW37" s="322"/>
      <c r="BX37" s="322"/>
      <c r="BY37" s="322"/>
      <c r="BZ37" s="322"/>
      <c r="CA37" s="322"/>
      <c r="CB37" s="322"/>
      <c r="CC37" s="322"/>
      <c r="CD37" s="322"/>
      <c r="CE37" s="322"/>
      <c r="CF37" s="322"/>
      <c r="CG37" s="322"/>
      <c r="CH37" s="322"/>
      <c r="CI37" s="322"/>
      <c r="CJ37" s="322"/>
      <c r="CK37" s="322"/>
      <c r="CL37" s="322"/>
      <c r="CM37" s="322"/>
      <c r="CN37" s="322"/>
      <c r="CO37" s="322"/>
      <c r="CP37" s="322"/>
      <c r="CQ37" s="322"/>
      <c r="CR37" s="322"/>
      <c r="CS37" s="322"/>
      <c r="CT37" s="322"/>
      <c r="CU37" s="322"/>
      <c r="CV37" s="322"/>
      <c r="CW37" s="322"/>
      <c r="CX37" s="322"/>
      <c r="CY37" s="322"/>
      <c r="CZ37" s="322"/>
      <c r="DA37" s="322"/>
      <c r="DB37" s="322"/>
      <c r="DC37" s="322"/>
      <c r="DD37" s="322"/>
      <c r="DE37" s="322"/>
      <c r="DF37" s="322"/>
      <c r="DG37" s="322"/>
      <c r="DH37" s="322"/>
      <c r="DI37" s="322"/>
      <c r="DJ37" s="322"/>
      <c r="DK37" s="322"/>
      <c r="DL37" s="322"/>
      <c r="DM37" s="322"/>
      <c r="DN37" s="322"/>
      <c r="DO37" s="322"/>
      <c r="DP37" s="322"/>
      <c r="DQ37" s="322"/>
      <c r="DR37" s="322"/>
      <c r="DS37" s="322"/>
      <c r="DT37" s="322"/>
      <c r="DU37" s="322"/>
      <c r="DV37" s="322"/>
      <c r="DW37" s="322"/>
      <c r="DX37" s="322"/>
      <c r="DY37" s="322"/>
      <c r="DZ37" s="322"/>
      <c r="EA37" s="322"/>
      <c r="EB37" s="322"/>
      <c r="EC37" s="322"/>
      <c r="ED37" s="322"/>
      <c r="EE37" s="322"/>
      <c r="EF37" s="322"/>
      <c r="EG37" s="322"/>
      <c r="EH37" s="322"/>
      <c r="EI37" s="322"/>
      <c r="EJ37" s="322"/>
      <c r="EK37" s="322"/>
      <c r="EL37" s="322"/>
      <c r="EM37" s="322"/>
      <c r="EN37" s="322"/>
      <c r="EO37" s="322"/>
      <c r="EP37" s="322"/>
      <c r="EQ37" s="322"/>
      <c r="ER37" s="322"/>
      <c r="ES37" s="322"/>
      <c r="ET37" s="322"/>
      <c r="EU37" s="322"/>
      <c r="EV37" s="322"/>
      <c r="EW37" s="322"/>
      <c r="EX37" s="322"/>
      <c r="EY37" s="322"/>
      <c r="EZ37" s="322"/>
      <c r="FA37" s="322"/>
      <c r="FB37" s="322"/>
      <c r="FC37" s="322"/>
      <c r="FD37" s="322"/>
      <c r="FE37" s="322"/>
      <c r="FF37" s="322"/>
      <c r="FG37" s="322"/>
      <c r="FH37" s="322"/>
      <c r="FI37" s="322"/>
      <c r="FJ37" s="322"/>
      <c r="FK37" s="322"/>
      <c r="FL37" s="322"/>
      <c r="FM37" s="322"/>
      <c r="FN37" s="322"/>
      <c r="FO37" s="322"/>
      <c r="FP37" s="322"/>
      <c r="FQ37" s="322"/>
      <c r="FR37" s="322"/>
      <c r="FS37" s="322"/>
      <c r="FT37" s="322"/>
      <c r="FU37" s="322"/>
      <c r="FV37" s="322"/>
      <c r="FW37" s="322"/>
      <c r="FX37" s="322"/>
      <c r="FY37" s="322"/>
      <c r="FZ37" s="322"/>
      <c r="GA37" s="322"/>
      <c r="GB37" s="322"/>
      <c r="GC37" s="322"/>
      <c r="GD37" s="322"/>
      <c r="GE37" s="322"/>
      <c r="GF37" s="322"/>
      <c r="GG37" s="322"/>
      <c r="GH37" s="322"/>
      <c r="GI37" s="322"/>
      <c r="GJ37" s="322"/>
      <c r="GK37" s="322"/>
      <c r="GL37" s="322"/>
      <c r="GM37" s="322"/>
      <c r="GN37" s="322"/>
      <c r="GO37" s="322"/>
      <c r="GP37" s="322"/>
      <c r="GQ37" s="322"/>
      <c r="GR37" s="322"/>
      <c r="GS37" s="322"/>
      <c r="GT37" s="322"/>
      <c r="GU37" s="322"/>
      <c r="GV37" s="322"/>
      <c r="GW37" s="322"/>
      <c r="GX37" s="322"/>
      <c r="GY37" s="322"/>
      <c r="GZ37" s="322"/>
      <c r="HA37" s="322"/>
      <c r="HB37" s="322"/>
      <c r="HC37" s="322"/>
      <c r="HD37" s="322"/>
      <c r="HE37" s="322"/>
      <c r="HF37" s="322"/>
      <c r="HG37" s="322"/>
      <c r="HH37" s="322"/>
      <c r="HI37" s="322"/>
      <c r="HJ37" s="322"/>
      <c r="HK37" s="322"/>
      <c r="HL37" s="322"/>
      <c r="HM37" s="322"/>
      <c r="HN37" s="322"/>
      <c r="HO37" s="322"/>
      <c r="HP37" s="322"/>
      <c r="HQ37" s="322"/>
      <c r="HR37" s="322"/>
      <c r="HS37" s="322"/>
      <c r="HT37" s="322"/>
      <c r="HU37" s="322"/>
      <c r="HV37" s="322"/>
      <c r="HW37" s="322"/>
      <c r="HX37" s="322"/>
      <c r="HY37" s="322"/>
      <c r="HZ37" s="322"/>
      <c r="IA37" s="322"/>
      <c r="IB37" s="322"/>
      <c r="IC37" s="322"/>
      <c r="ID37" s="322"/>
      <c r="IE37" s="322"/>
      <c r="IF37" s="322"/>
      <c r="IG37" s="322"/>
      <c r="IH37" s="322"/>
      <c r="II37" s="322"/>
      <c r="IJ37" s="322"/>
      <c r="IK37" s="322"/>
      <c r="IL37" s="322"/>
      <c r="IM37" s="322"/>
      <c r="IN37" s="322"/>
      <c r="IO37" s="322"/>
      <c r="IP37" s="322"/>
      <c r="IQ37" s="322"/>
      <c r="IR37" s="322"/>
      <c r="IS37" s="322"/>
      <c r="IT37" s="322"/>
      <c r="IU37" s="322"/>
      <c r="IV37" s="322"/>
      <c r="IW37" s="322"/>
      <c r="IX37" s="322"/>
      <c r="IY37" s="322"/>
      <c r="IZ37" s="322"/>
      <c r="JA37" s="322"/>
      <c r="JB37" s="322"/>
      <c r="JC37" s="322"/>
      <c r="JD37" s="322"/>
      <c r="JE37" s="322"/>
      <c r="JF37" s="322"/>
      <c r="JG37" s="322"/>
      <c r="JH37" s="322"/>
      <c r="JI37" s="322"/>
      <c r="JJ37" s="322"/>
      <c r="JK37" s="322"/>
      <c r="JL37" s="322"/>
      <c r="JM37" s="322"/>
      <c r="JN37" s="322"/>
      <c r="JO37" s="322"/>
      <c r="JP37" s="322"/>
      <c r="JQ37" s="322"/>
      <c r="JR37" s="322"/>
      <c r="JS37" s="322"/>
      <c r="JT37" s="322"/>
      <c r="JU37" s="322"/>
      <c r="JV37" s="322"/>
      <c r="JW37" s="322"/>
      <c r="JX37" s="322"/>
      <c r="JY37" s="322"/>
      <c r="JZ37" s="322"/>
      <c r="KA37" s="322"/>
      <c r="KB37" s="322"/>
      <c r="KC37" s="322"/>
      <c r="KD37" s="322"/>
      <c r="KE37" s="322"/>
      <c r="KF37" s="322"/>
      <c r="KG37" s="322"/>
      <c r="KH37" s="322"/>
      <c r="KI37" s="322"/>
      <c r="KJ37" s="322"/>
      <c r="KK37" s="322"/>
      <c r="KL37" s="322"/>
      <c r="KM37" s="322"/>
      <c r="KN37" s="322"/>
      <c r="KO37" s="322"/>
      <c r="KP37" s="322"/>
      <c r="KQ37" s="322"/>
      <c r="KR37" s="322"/>
      <c r="KS37" s="322"/>
      <c r="KT37" s="322"/>
      <c r="KU37" s="322"/>
      <c r="KV37" s="322"/>
      <c r="KW37" s="322"/>
      <c r="KX37" s="322"/>
      <c r="KY37" s="322"/>
      <c r="KZ37" s="322"/>
      <c r="LA37" s="322"/>
      <c r="LB37" s="322"/>
      <c r="LC37" s="322"/>
      <c r="LD37" s="322"/>
      <c r="LE37" s="322"/>
      <c r="LF37" s="324"/>
    </row>
    <row r="38" spans="1:318" x14ac:dyDescent="0.2">
      <c r="A38" s="4" t="s">
        <v>1791</v>
      </c>
      <c r="B38" s="5">
        <v>1</v>
      </c>
      <c r="C38" s="5">
        <v>1</v>
      </c>
      <c r="D38" s="5">
        <v>1</v>
      </c>
      <c r="E38" s="5">
        <v>1</v>
      </c>
      <c r="F38" s="5">
        <v>1</v>
      </c>
      <c r="G38" s="5">
        <v>1</v>
      </c>
      <c r="H38" s="5">
        <v>1</v>
      </c>
      <c r="I38" s="5">
        <v>1</v>
      </c>
      <c r="J38" s="5">
        <v>4</v>
      </c>
      <c r="K38" s="5">
        <v>4</v>
      </c>
      <c r="L38" s="5">
        <v>4</v>
      </c>
      <c r="M38" s="5">
        <v>4</v>
      </c>
      <c r="N38" s="5">
        <v>2</v>
      </c>
      <c r="O38" s="5">
        <v>2</v>
      </c>
      <c r="P38" s="5">
        <v>2</v>
      </c>
      <c r="Q38" s="5">
        <v>2</v>
      </c>
      <c r="R38" s="5">
        <v>2</v>
      </c>
      <c r="S38" s="5">
        <v>2</v>
      </c>
      <c r="T38" s="5">
        <v>2</v>
      </c>
      <c r="U38" s="5">
        <v>2</v>
      </c>
      <c r="V38" s="5">
        <v>2</v>
      </c>
      <c r="W38" s="5">
        <v>2</v>
      </c>
      <c r="X38" s="5">
        <v>2</v>
      </c>
      <c r="Y38" s="5">
        <v>2</v>
      </c>
      <c r="Z38" s="5">
        <v>1</v>
      </c>
      <c r="AA38" s="5">
        <v>1</v>
      </c>
      <c r="AB38" s="5">
        <v>1</v>
      </c>
      <c r="AC38" s="5">
        <v>1</v>
      </c>
      <c r="AD38" s="5">
        <v>6</v>
      </c>
      <c r="AE38" s="5">
        <v>6</v>
      </c>
      <c r="AF38" s="5">
        <v>6</v>
      </c>
      <c r="AG38" s="5">
        <v>6</v>
      </c>
      <c r="AH38" s="5">
        <v>1</v>
      </c>
      <c r="AI38" s="5">
        <v>1</v>
      </c>
      <c r="AJ38" s="5">
        <v>1</v>
      </c>
      <c r="AK38" s="5">
        <v>1</v>
      </c>
      <c r="AL38" s="5">
        <v>3</v>
      </c>
      <c r="AM38" s="5">
        <v>3</v>
      </c>
      <c r="AN38" s="5">
        <v>3</v>
      </c>
      <c r="AO38" s="5">
        <v>3</v>
      </c>
      <c r="AP38" s="5">
        <v>6</v>
      </c>
      <c r="AQ38" s="5">
        <v>6</v>
      </c>
      <c r="AR38" s="5">
        <v>6</v>
      </c>
      <c r="AS38" s="5">
        <v>6</v>
      </c>
      <c r="AT38" s="5">
        <v>28</v>
      </c>
      <c r="AU38" s="5">
        <v>28</v>
      </c>
      <c r="AV38" s="5">
        <v>28</v>
      </c>
      <c r="AW38" s="5">
        <v>28</v>
      </c>
      <c r="AX38" s="5">
        <v>1</v>
      </c>
      <c r="AY38" s="5">
        <v>1</v>
      </c>
      <c r="AZ38" s="5">
        <v>1</v>
      </c>
      <c r="BA38" s="5">
        <v>1</v>
      </c>
      <c r="BB38" s="5">
        <v>58</v>
      </c>
      <c r="BC38" s="5">
        <v>58</v>
      </c>
      <c r="BD38" s="5">
        <v>58</v>
      </c>
      <c r="BE38" s="5">
        <v>58</v>
      </c>
      <c r="BF38" s="5">
        <v>2</v>
      </c>
      <c r="BG38" s="5">
        <v>2</v>
      </c>
      <c r="BH38" s="5">
        <v>2</v>
      </c>
      <c r="BI38" s="5">
        <v>2</v>
      </c>
      <c r="BJ38" s="5">
        <v>11</v>
      </c>
      <c r="BK38" s="5">
        <v>11</v>
      </c>
      <c r="BL38" s="5">
        <v>11</v>
      </c>
      <c r="BM38" s="5">
        <v>11</v>
      </c>
      <c r="BN38" s="5">
        <v>3</v>
      </c>
      <c r="BO38" s="5">
        <v>3</v>
      </c>
      <c r="BP38" s="5">
        <v>3</v>
      </c>
      <c r="BQ38" s="5">
        <v>3</v>
      </c>
      <c r="BR38" s="5">
        <v>1</v>
      </c>
      <c r="BS38" s="5">
        <v>1</v>
      </c>
      <c r="BT38" s="5">
        <v>1</v>
      </c>
      <c r="BU38" s="5">
        <v>1</v>
      </c>
      <c r="BV38" s="5">
        <v>23</v>
      </c>
      <c r="BW38" s="5">
        <v>23</v>
      </c>
      <c r="BX38" s="5">
        <v>23</v>
      </c>
      <c r="BY38" s="5">
        <v>23</v>
      </c>
      <c r="BZ38" s="5">
        <v>5</v>
      </c>
      <c r="CA38" s="5">
        <v>5</v>
      </c>
      <c r="CB38" s="5">
        <v>5</v>
      </c>
      <c r="CC38" s="5">
        <v>5</v>
      </c>
      <c r="CD38" s="5">
        <v>13</v>
      </c>
      <c r="CE38" s="5">
        <v>13</v>
      </c>
      <c r="CF38" s="5">
        <v>13</v>
      </c>
      <c r="CG38" s="5">
        <v>13</v>
      </c>
      <c r="CH38" s="5">
        <v>1</v>
      </c>
      <c r="CI38" s="5">
        <v>1</v>
      </c>
      <c r="CJ38" s="5">
        <v>1</v>
      </c>
      <c r="CK38" s="5">
        <v>1</v>
      </c>
      <c r="CL38" s="5">
        <v>253</v>
      </c>
      <c r="CM38" s="5">
        <v>253</v>
      </c>
      <c r="CN38" s="5">
        <v>253</v>
      </c>
      <c r="CO38" s="5">
        <v>253</v>
      </c>
      <c r="CP38" s="5">
        <v>3</v>
      </c>
      <c r="CQ38" s="5">
        <v>3</v>
      </c>
      <c r="CR38" s="5">
        <v>3</v>
      </c>
      <c r="CS38" s="5">
        <v>3</v>
      </c>
      <c r="CT38" s="5">
        <v>3</v>
      </c>
      <c r="CU38" s="5">
        <v>3</v>
      </c>
      <c r="CV38" s="5">
        <v>3</v>
      </c>
      <c r="CW38" s="5">
        <v>3</v>
      </c>
      <c r="CX38" s="5">
        <v>2</v>
      </c>
      <c r="CY38" s="5">
        <v>2</v>
      </c>
      <c r="CZ38" s="5">
        <v>2</v>
      </c>
      <c r="DA38" s="5">
        <v>2</v>
      </c>
      <c r="DB38" s="5">
        <v>436</v>
      </c>
      <c r="DC38" s="5">
        <v>1787</v>
      </c>
      <c r="DD38" s="5">
        <v>1787</v>
      </c>
      <c r="DE38" s="5">
        <v>1787</v>
      </c>
      <c r="DF38" s="5">
        <v>1787</v>
      </c>
      <c r="DG38" s="5">
        <v>62</v>
      </c>
      <c r="DH38" s="5">
        <v>62</v>
      </c>
      <c r="DI38" s="5">
        <v>62</v>
      </c>
      <c r="DJ38" s="5">
        <v>62</v>
      </c>
      <c r="DK38" s="5">
        <v>37</v>
      </c>
      <c r="DL38" s="5">
        <v>37</v>
      </c>
      <c r="DM38" s="5">
        <v>37</v>
      </c>
      <c r="DN38" s="5">
        <v>37</v>
      </c>
      <c r="DO38" s="5">
        <v>5</v>
      </c>
      <c r="DP38" s="5">
        <v>5</v>
      </c>
      <c r="DQ38" s="5">
        <v>5</v>
      </c>
      <c r="DR38" s="5">
        <v>5</v>
      </c>
      <c r="DS38" s="5">
        <v>5</v>
      </c>
      <c r="DT38" s="5">
        <v>5</v>
      </c>
      <c r="DU38" s="5">
        <v>5</v>
      </c>
      <c r="DV38" s="5">
        <v>5</v>
      </c>
      <c r="DW38" s="5">
        <v>1</v>
      </c>
      <c r="DX38" s="5">
        <v>1</v>
      </c>
      <c r="DY38" s="5">
        <v>1</v>
      </c>
      <c r="DZ38" s="5">
        <v>1</v>
      </c>
      <c r="EA38" s="5">
        <v>4</v>
      </c>
      <c r="EB38" s="5">
        <v>4</v>
      </c>
      <c r="EC38" s="5">
        <v>4</v>
      </c>
      <c r="ED38" s="5">
        <v>4</v>
      </c>
      <c r="EE38" s="5">
        <v>117</v>
      </c>
      <c r="EF38" s="5">
        <v>117</v>
      </c>
      <c r="EG38" s="5">
        <v>117</v>
      </c>
      <c r="EH38" s="5">
        <v>117</v>
      </c>
      <c r="EI38" s="5">
        <v>2</v>
      </c>
      <c r="EJ38" s="5">
        <v>2</v>
      </c>
      <c r="EK38" s="5">
        <v>2</v>
      </c>
      <c r="EL38" s="5">
        <v>2</v>
      </c>
      <c r="EM38" s="5">
        <v>1</v>
      </c>
      <c r="EN38" s="5">
        <v>1</v>
      </c>
      <c r="EO38" s="5">
        <v>1</v>
      </c>
      <c r="EP38" s="5">
        <v>1</v>
      </c>
      <c r="EQ38" s="5">
        <v>1</v>
      </c>
      <c r="ER38" s="5">
        <v>1</v>
      </c>
      <c r="ES38" s="5">
        <v>1</v>
      </c>
      <c r="ET38" s="5">
        <v>1</v>
      </c>
      <c r="EU38" s="5">
        <v>1</v>
      </c>
      <c r="EV38" s="5">
        <v>1</v>
      </c>
      <c r="EW38" s="5">
        <v>1</v>
      </c>
      <c r="EX38" s="5">
        <v>1</v>
      </c>
      <c r="EY38" s="5">
        <v>2</v>
      </c>
      <c r="EZ38" s="5">
        <v>2</v>
      </c>
      <c r="FA38" s="5">
        <v>2</v>
      </c>
      <c r="FB38" s="5">
        <v>2</v>
      </c>
      <c r="FC38" s="5">
        <v>7</v>
      </c>
      <c r="FD38" s="5">
        <v>7</v>
      </c>
      <c r="FE38" s="5">
        <v>7</v>
      </c>
      <c r="FF38" s="5">
        <v>7</v>
      </c>
      <c r="FG38" s="5">
        <v>6</v>
      </c>
      <c r="FH38" s="5">
        <v>6</v>
      </c>
      <c r="FI38" s="5">
        <v>6</v>
      </c>
      <c r="FJ38" s="5">
        <v>6</v>
      </c>
      <c r="FK38" s="5">
        <v>17</v>
      </c>
      <c r="FL38" s="5">
        <v>17</v>
      </c>
      <c r="FM38" s="5">
        <v>17</v>
      </c>
      <c r="FN38" s="5">
        <v>17</v>
      </c>
      <c r="FO38" s="5">
        <v>16</v>
      </c>
      <c r="FP38" s="5">
        <v>16</v>
      </c>
      <c r="FQ38" s="5">
        <v>16</v>
      </c>
      <c r="FR38" s="5">
        <v>16</v>
      </c>
      <c r="FS38" s="5">
        <v>20</v>
      </c>
      <c r="FT38" s="5">
        <v>20</v>
      </c>
      <c r="FU38" s="5">
        <v>20</v>
      </c>
      <c r="FV38" s="5">
        <v>20</v>
      </c>
      <c r="FW38" s="5">
        <v>5</v>
      </c>
      <c r="FX38" s="5">
        <v>5</v>
      </c>
      <c r="FY38" s="5">
        <v>5</v>
      </c>
      <c r="FZ38" s="5">
        <v>5</v>
      </c>
      <c r="GA38" s="5">
        <v>1</v>
      </c>
      <c r="GB38" s="5">
        <v>1</v>
      </c>
      <c r="GC38" s="5">
        <v>1</v>
      </c>
      <c r="GD38" s="5">
        <v>1</v>
      </c>
      <c r="GE38" s="5">
        <v>26</v>
      </c>
      <c r="GF38" s="5">
        <v>26</v>
      </c>
      <c r="GG38" s="5">
        <v>26</v>
      </c>
      <c r="GH38" s="5">
        <v>26</v>
      </c>
      <c r="GI38" s="5">
        <v>2</v>
      </c>
      <c r="GJ38" s="5">
        <v>2</v>
      </c>
      <c r="GK38" s="5">
        <v>2</v>
      </c>
      <c r="GL38" s="5">
        <v>2</v>
      </c>
      <c r="GM38" s="5">
        <v>18</v>
      </c>
      <c r="GN38" s="5">
        <v>18</v>
      </c>
      <c r="GO38" s="5">
        <v>18</v>
      </c>
      <c r="GP38" s="5">
        <v>18</v>
      </c>
      <c r="GQ38" s="5">
        <v>11</v>
      </c>
      <c r="GR38" s="5">
        <v>11</v>
      </c>
      <c r="GS38" s="5">
        <v>11</v>
      </c>
      <c r="GT38" s="5">
        <v>11</v>
      </c>
      <c r="GU38" s="5">
        <v>10</v>
      </c>
      <c r="GV38" s="5">
        <v>10</v>
      </c>
      <c r="GW38" s="5">
        <v>10</v>
      </c>
      <c r="GX38" s="5">
        <v>10</v>
      </c>
      <c r="GY38" s="5">
        <v>6</v>
      </c>
      <c r="GZ38" s="5">
        <v>6</v>
      </c>
      <c r="HA38" s="5">
        <v>6</v>
      </c>
      <c r="HB38" s="5">
        <v>6</v>
      </c>
      <c r="HC38" s="5">
        <v>6</v>
      </c>
      <c r="HD38" s="5">
        <v>6</v>
      </c>
      <c r="HE38" s="5">
        <v>6</v>
      </c>
      <c r="HF38" s="5">
        <v>6</v>
      </c>
      <c r="HG38" s="5">
        <v>8</v>
      </c>
      <c r="HH38" s="5">
        <v>8</v>
      </c>
      <c r="HI38" s="5">
        <v>8</v>
      </c>
      <c r="HJ38" s="5">
        <v>8</v>
      </c>
      <c r="HK38" s="5">
        <v>1</v>
      </c>
      <c r="HL38" s="5">
        <v>1</v>
      </c>
      <c r="HM38" s="5">
        <v>1</v>
      </c>
      <c r="HN38" s="5">
        <v>1</v>
      </c>
      <c r="HO38" s="5">
        <v>1</v>
      </c>
      <c r="HP38" s="5">
        <v>1</v>
      </c>
      <c r="HQ38" s="5">
        <v>1</v>
      </c>
      <c r="HR38" s="5">
        <v>1</v>
      </c>
      <c r="HS38" s="5">
        <v>1</v>
      </c>
      <c r="HT38" s="5">
        <v>1</v>
      </c>
      <c r="HU38" s="5">
        <v>1</v>
      </c>
      <c r="HV38" s="5">
        <v>1</v>
      </c>
      <c r="HW38" s="5">
        <v>13</v>
      </c>
      <c r="HX38" s="5">
        <v>13</v>
      </c>
      <c r="HY38" s="5">
        <v>13</v>
      </c>
      <c r="HZ38" s="5">
        <v>13</v>
      </c>
      <c r="IA38" s="5">
        <v>596</v>
      </c>
      <c r="IB38" s="5">
        <v>596</v>
      </c>
      <c r="IC38" s="5">
        <v>596</v>
      </c>
      <c r="ID38" s="5">
        <v>596</v>
      </c>
      <c r="IE38" s="5">
        <v>1</v>
      </c>
      <c r="IF38" s="5">
        <v>1</v>
      </c>
      <c r="IG38" s="5">
        <v>1</v>
      </c>
      <c r="IH38" s="5">
        <v>1</v>
      </c>
      <c r="II38" s="5">
        <v>2</v>
      </c>
      <c r="IJ38" s="5">
        <v>2</v>
      </c>
      <c r="IK38" s="5">
        <v>2</v>
      </c>
      <c r="IL38" s="5">
        <v>2</v>
      </c>
      <c r="IM38" s="5">
        <v>2799</v>
      </c>
      <c r="IN38" s="5">
        <v>117</v>
      </c>
      <c r="IO38" s="5">
        <v>117</v>
      </c>
      <c r="IP38" s="5">
        <v>117</v>
      </c>
      <c r="IQ38" s="5">
        <v>117</v>
      </c>
      <c r="IR38" s="5">
        <v>9</v>
      </c>
      <c r="IS38" s="5">
        <v>9</v>
      </c>
      <c r="IT38" s="5">
        <v>9</v>
      </c>
      <c r="IU38" s="5">
        <v>9</v>
      </c>
      <c r="IV38" s="5">
        <v>5</v>
      </c>
      <c r="IW38" s="5">
        <v>5</v>
      </c>
      <c r="IX38" s="5">
        <v>5</v>
      </c>
      <c r="IY38" s="5">
        <v>5</v>
      </c>
      <c r="IZ38" s="5">
        <v>35</v>
      </c>
      <c r="JA38" s="5">
        <v>35</v>
      </c>
      <c r="JB38" s="5">
        <v>35</v>
      </c>
      <c r="JC38" s="5">
        <v>35</v>
      </c>
      <c r="JD38" s="5">
        <v>1113</v>
      </c>
      <c r="JE38" s="5">
        <v>1113</v>
      </c>
      <c r="JF38" s="5">
        <v>1113</v>
      </c>
      <c r="JG38" s="5">
        <v>1113</v>
      </c>
      <c r="JH38" s="5">
        <v>58</v>
      </c>
      <c r="JI38" s="5">
        <v>58</v>
      </c>
      <c r="JJ38" s="5">
        <v>58</v>
      </c>
      <c r="JK38" s="5">
        <v>58</v>
      </c>
      <c r="JL38" s="5">
        <v>5</v>
      </c>
      <c r="JM38" s="5">
        <v>5</v>
      </c>
      <c r="JN38" s="5">
        <v>5</v>
      </c>
      <c r="JO38" s="5">
        <v>5</v>
      </c>
      <c r="JP38" s="5">
        <v>39</v>
      </c>
      <c r="JQ38" s="5">
        <v>39</v>
      </c>
      <c r="JR38" s="5">
        <v>39</v>
      </c>
      <c r="JS38" s="5">
        <v>39</v>
      </c>
      <c r="JT38" s="5">
        <v>2</v>
      </c>
      <c r="JU38" s="5">
        <v>2</v>
      </c>
      <c r="JV38" s="5">
        <v>2</v>
      </c>
      <c r="JW38" s="5">
        <v>2</v>
      </c>
      <c r="JX38" s="5">
        <v>4</v>
      </c>
      <c r="JY38" s="5">
        <v>4</v>
      </c>
      <c r="JZ38" s="5">
        <v>4</v>
      </c>
      <c r="KA38" s="5">
        <v>4</v>
      </c>
      <c r="KB38" s="5">
        <v>1</v>
      </c>
      <c r="KC38" s="5">
        <v>1</v>
      </c>
      <c r="KD38" s="5">
        <v>1</v>
      </c>
      <c r="KE38" s="5">
        <v>1</v>
      </c>
      <c r="KF38" s="5">
        <v>3</v>
      </c>
      <c r="KG38" s="5">
        <v>3</v>
      </c>
      <c r="KH38" s="5">
        <v>3</v>
      </c>
      <c r="KI38" s="5">
        <v>3</v>
      </c>
      <c r="KJ38" s="5">
        <v>8</v>
      </c>
      <c r="KK38" s="5">
        <v>8</v>
      </c>
      <c r="KL38" s="5">
        <v>8</v>
      </c>
      <c r="KM38" s="5">
        <v>8</v>
      </c>
      <c r="KN38" s="5">
        <v>7</v>
      </c>
      <c r="KO38" s="5">
        <v>7</v>
      </c>
      <c r="KP38" s="5">
        <v>7</v>
      </c>
      <c r="KQ38" s="5">
        <v>7</v>
      </c>
      <c r="KR38" s="5">
        <v>4</v>
      </c>
      <c r="KS38" s="5">
        <v>4</v>
      </c>
      <c r="KT38" s="5">
        <v>4</v>
      </c>
      <c r="KU38" s="5">
        <v>4</v>
      </c>
      <c r="KV38" s="5">
        <v>23</v>
      </c>
      <c r="KW38" s="5">
        <v>23</v>
      </c>
      <c r="KX38" s="5">
        <v>23</v>
      </c>
      <c r="KY38" s="5">
        <v>23</v>
      </c>
      <c r="KZ38" s="5">
        <v>1433</v>
      </c>
      <c r="LA38" s="5"/>
      <c r="LB38" s="5"/>
      <c r="LC38" s="5"/>
      <c r="LD38" s="5"/>
      <c r="LE38" s="5"/>
      <c r="LF38" s="14">
        <v>4668</v>
      </c>
    </row>
  </sheetData>
  <phoneticPr fontId="2" type="noConversion"/>
  <pageMargins left="0.75" right="0.75" top="1" bottom="1" header="0.5" footer="0.5"/>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tabColor rgb="FF00B0F0"/>
  </sheetPr>
  <dimension ref="A1:T1223"/>
  <sheetViews>
    <sheetView zoomScale="80" zoomScaleNormal="80" workbookViewId="0">
      <selection activeCell="A2" sqref="A2"/>
    </sheetView>
  </sheetViews>
  <sheetFormatPr defaultRowHeight="14.25" x14ac:dyDescent="0.2"/>
  <cols>
    <col min="1" max="1" width="26.140625" style="91" bestFit="1" customWidth="1"/>
    <col min="2" max="2" width="21.5703125" style="92" customWidth="1"/>
    <col min="3" max="3" width="7.5703125" style="93" bestFit="1" customWidth="1"/>
    <col min="4" max="4" width="44.140625" style="94" customWidth="1"/>
    <col min="5" max="5" width="9.28515625" style="93" customWidth="1"/>
    <col min="6" max="6" width="9.140625" style="93"/>
    <col min="7" max="7" width="6.28515625" style="104" customWidth="1"/>
    <col min="8" max="8" width="1.7109375" style="92" customWidth="1"/>
    <col min="9" max="9" width="10.28515625" style="92" bestFit="1" customWidth="1"/>
    <col min="10" max="10" width="71.7109375" style="92" customWidth="1"/>
    <col min="11" max="16384" width="9.140625" style="92"/>
  </cols>
  <sheetData>
    <row r="1" spans="1:16" x14ac:dyDescent="0.2">
      <c r="G1" s="95"/>
    </row>
    <row r="2" spans="1:16" ht="12.75" x14ac:dyDescent="0.2">
      <c r="A2" s="287" t="s">
        <v>621</v>
      </c>
      <c r="B2" s="288"/>
      <c r="C2" s="288"/>
      <c r="D2" s="288"/>
      <c r="E2" s="288"/>
      <c r="F2" s="288"/>
      <c r="G2" s="96"/>
    </row>
    <row r="3" spans="1:16" ht="51" x14ac:dyDescent="0.2">
      <c r="A3" s="279" t="s">
        <v>395</v>
      </c>
      <c r="B3" s="280" t="s">
        <v>396</v>
      </c>
      <c r="C3" s="281" t="s">
        <v>392</v>
      </c>
      <c r="D3" s="285" t="s">
        <v>622</v>
      </c>
      <c r="E3" s="281" t="s">
        <v>399</v>
      </c>
      <c r="F3" s="286" t="s">
        <v>400</v>
      </c>
      <c r="G3" s="107" t="s">
        <v>973</v>
      </c>
      <c r="I3" s="123" t="s">
        <v>564</v>
      </c>
      <c r="J3" s="123" t="s">
        <v>623</v>
      </c>
    </row>
    <row r="4" spans="1:16" ht="12.75" x14ac:dyDescent="0.2">
      <c r="A4" s="282" t="s">
        <v>821</v>
      </c>
      <c r="B4" s="108"/>
      <c r="C4" s="108"/>
      <c r="D4" s="108"/>
      <c r="E4" s="108"/>
      <c r="F4" s="108"/>
      <c r="G4" s="283">
        <v>1</v>
      </c>
      <c r="I4" s="97">
        <v>3</v>
      </c>
      <c r="J4" s="271" t="str">
        <f ca="1">IF('Data Analysis'!$AZ1236="to be attended","Threshold was reached, this area needs to be attended!",IF('Data Analysis'!$AZ1236="monitoring","Threshold was reached in Short Period (SP), this area needs to be monitored.",IF('Data Analysis'!$AS1201&gt;='Data Analysis'!$L1201,"Threshold was reached during period, but now it's ok!","No problem in this area.")))</f>
        <v>No problem in this area.</v>
      </c>
      <c r="O4" s="270"/>
      <c r="P4" s="270"/>
    </row>
    <row r="5" spans="1:16" ht="12.75" x14ac:dyDescent="0.2">
      <c r="A5" s="244"/>
      <c r="B5" s="108"/>
      <c r="C5" s="108"/>
      <c r="D5" s="108"/>
      <c r="E5" s="108"/>
      <c r="F5" s="108"/>
      <c r="G5" s="278"/>
      <c r="I5" s="98"/>
      <c r="J5" s="98"/>
      <c r="O5" s="270"/>
      <c r="P5" s="270"/>
    </row>
    <row r="6" spans="1:16" s="99" customFormat="1" ht="12.75" x14ac:dyDescent="0.2">
      <c r="A6" s="282" t="s">
        <v>863</v>
      </c>
      <c r="B6" s="108"/>
      <c r="C6" s="108"/>
      <c r="D6" s="108"/>
      <c r="E6" s="108"/>
      <c r="F6" s="108"/>
      <c r="G6" s="284">
        <v>0.25</v>
      </c>
      <c r="H6" s="92"/>
      <c r="I6" s="97">
        <v>5</v>
      </c>
      <c r="J6" s="271" t="str">
        <f ca="1">IF('Data Analysis'!$AZ1237="to be attended","Threshold was reached, this area needs to be attended!",IF('Data Analysis'!$AZ1237="monitoring","Threshold was reached in Short Period (SP), this area needs to be monitored.",IF('Data Analysis'!$AS1202&gt;='Data Analysis'!$L1202,"Threshold was reached during period, but now it's ok!","No problem in this area.")))</f>
        <v>No problem in this area.</v>
      </c>
      <c r="L6" s="92"/>
    </row>
    <row r="7" spans="1:16" ht="12.75" x14ac:dyDescent="0.2">
      <c r="A7" s="244"/>
      <c r="B7" s="108"/>
      <c r="C7" s="108"/>
      <c r="D7" s="108"/>
      <c r="E7" s="108"/>
      <c r="F7" s="108"/>
      <c r="G7" s="278"/>
      <c r="I7" s="98"/>
      <c r="J7" s="98"/>
    </row>
    <row r="8" spans="1:16" ht="12.75" x14ac:dyDescent="0.2">
      <c r="A8" s="282" t="s">
        <v>860</v>
      </c>
      <c r="B8" s="108"/>
      <c r="C8" s="108"/>
      <c r="D8" s="108"/>
      <c r="E8" s="108"/>
      <c r="F8" s="108"/>
      <c r="G8" s="284">
        <v>0</v>
      </c>
      <c r="I8" s="97">
        <v>5</v>
      </c>
      <c r="J8" s="271" t="str">
        <f ca="1">IF('Data Analysis'!$AZ1238="to be attended","Threshold was reached, this area needs to be attended!",IF('Data Analysis'!$AZ1238="monitoring","Threshold was reached in Short Period (SP), this area needs to be monitored.",IF('Data Analysis'!$AS1203&gt;='Data Analysis'!$L1203,"Threshold was reached during period, but now it's ok!","No problem in this area.")))</f>
        <v>No problem in this area.</v>
      </c>
    </row>
    <row r="9" spans="1:16" ht="12.75" x14ac:dyDescent="0.2">
      <c r="A9" s="244"/>
      <c r="B9" s="108"/>
      <c r="C9" s="108"/>
      <c r="D9" s="108"/>
      <c r="E9" s="108"/>
      <c r="F9" s="108"/>
      <c r="G9" s="278"/>
      <c r="I9" s="98"/>
      <c r="J9" s="98"/>
    </row>
    <row r="10" spans="1:16" ht="12.75" x14ac:dyDescent="0.2">
      <c r="A10" s="282" t="s">
        <v>4</v>
      </c>
      <c r="B10" s="108"/>
      <c r="C10" s="108"/>
      <c r="D10" s="108"/>
      <c r="E10" s="108"/>
      <c r="F10" s="108"/>
      <c r="G10" s="284">
        <v>3</v>
      </c>
      <c r="I10" s="97">
        <v>2</v>
      </c>
      <c r="J10" s="271" t="str">
        <f ca="1">IF('Data Analysis'!$AZ1239="to be attended","Threshold was reached, this area needs to be attended!",IF('Data Analysis'!$AZ1239="monitoring","Threshold was reached in Short Period (SP), this area needs to be monitored.",IF('Data Analysis'!$AS1204&gt;='Data Analysis'!$L1204,"Threshold was reached during period, but now it's ok!","No problem in this area.")))</f>
        <v>No problem in this area.</v>
      </c>
    </row>
    <row r="11" spans="1:16" ht="12.75" x14ac:dyDescent="0.2">
      <c r="A11" s="244"/>
      <c r="B11" s="108"/>
      <c r="C11" s="108"/>
      <c r="D11" s="108"/>
      <c r="E11" s="108"/>
      <c r="F11" s="108"/>
      <c r="G11" s="278"/>
      <c r="I11" s="98"/>
      <c r="J11" s="98"/>
    </row>
    <row r="12" spans="1:16" ht="12.75" x14ac:dyDescent="0.2">
      <c r="A12" s="282" t="s">
        <v>121</v>
      </c>
      <c r="B12" s="108"/>
      <c r="C12" s="108"/>
      <c r="D12" s="108"/>
      <c r="E12" s="108"/>
      <c r="F12" s="108"/>
      <c r="G12" s="284">
        <v>4</v>
      </c>
      <c r="I12" s="97">
        <v>6</v>
      </c>
      <c r="J12" s="271" t="str">
        <f ca="1">IF('Data Analysis'!$AZ1240="to be attended","Threshold was reached, this area needs to be attended!",IF('Data Analysis'!$AZ1240="monitoring","Threshold was reached in Short Period (SP), this area needs to be monitored.",IF('Data Analysis'!$AS1205&gt;='Data Analysis'!$L1205,"Threshold was reached during period, but now it's ok!","No problem in this area.")))</f>
        <v>No problem in this area.</v>
      </c>
    </row>
    <row r="13" spans="1:16" ht="12.75" x14ac:dyDescent="0.2">
      <c r="A13" s="244"/>
      <c r="B13" s="108"/>
      <c r="C13" s="108"/>
      <c r="D13" s="108"/>
      <c r="E13" s="108"/>
      <c r="F13" s="108"/>
      <c r="G13" s="278"/>
      <c r="I13" s="98"/>
      <c r="J13" s="98"/>
    </row>
    <row r="14" spans="1:16" ht="12.75" x14ac:dyDescent="0.2">
      <c r="A14" s="282" t="s">
        <v>828</v>
      </c>
      <c r="B14" s="108"/>
      <c r="C14" s="108"/>
      <c r="D14" s="108"/>
      <c r="E14" s="108"/>
      <c r="F14" s="108"/>
      <c r="G14" s="284">
        <v>0</v>
      </c>
      <c r="I14" s="97">
        <v>1</v>
      </c>
      <c r="J14" s="271" t="str">
        <f ca="1">IF('Data Analysis'!$AZ1241="to be attended","Threshold was reached, this area needs to be attended!",IF('Data Analysis'!$AZ1241="monitoring","Threshold was reached in Short Period (SP), this area needs to be monitored.",IF('Data Analysis'!$AS1206&gt;='Data Analysis'!$L1206,"Threshold was reached during period, but now it's ok!","No problem in this area.")))</f>
        <v>No problem in this area.</v>
      </c>
    </row>
    <row r="15" spans="1:16" ht="12.75" x14ac:dyDescent="0.2">
      <c r="A15" s="244"/>
      <c r="B15" s="108"/>
      <c r="C15" s="108"/>
      <c r="D15" s="108"/>
      <c r="E15" s="108"/>
      <c r="F15" s="108"/>
      <c r="G15" s="278"/>
      <c r="I15" s="98"/>
      <c r="J15" s="98"/>
    </row>
    <row r="16" spans="1:16" ht="12.75" x14ac:dyDescent="0.2">
      <c r="A16" s="282" t="s">
        <v>234</v>
      </c>
      <c r="B16" s="108"/>
      <c r="C16" s="108"/>
      <c r="D16" s="108"/>
      <c r="E16" s="108"/>
      <c r="F16" s="108"/>
      <c r="G16" s="284">
        <v>0</v>
      </c>
      <c r="I16" s="97">
        <v>1</v>
      </c>
      <c r="J16" s="271" t="str">
        <f ca="1">IF('Data Analysis'!$AZ1242="to be attended","Threshold was reached, this area needs to be attended!",IF('Data Analysis'!$AZ1242="monitoring","Threshold was reached in Short Period (SP), this area needs to be monitored.",IF('Data Analysis'!$AS1207&gt;='Data Analysis'!$L1207,"Threshold was reached during period, but now it's ok!","No problem in this area.")))</f>
        <v>No problem in this area.</v>
      </c>
    </row>
    <row r="17" spans="1:10" ht="12.75" x14ac:dyDescent="0.2">
      <c r="A17" s="244"/>
      <c r="B17" s="108"/>
      <c r="C17" s="108"/>
      <c r="D17" s="108"/>
      <c r="E17" s="108"/>
      <c r="F17" s="108"/>
      <c r="G17" s="278"/>
      <c r="I17" s="98"/>
      <c r="J17" s="98"/>
    </row>
    <row r="18" spans="1:10" ht="12.75" x14ac:dyDescent="0.2">
      <c r="A18" s="282" t="s">
        <v>404</v>
      </c>
      <c r="B18" s="108"/>
      <c r="C18" s="108"/>
      <c r="D18" s="108"/>
      <c r="E18" s="108"/>
      <c r="F18" s="108"/>
      <c r="G18" s="284">
        <v>0</v>
      </c>
      <c r="I18" s="97">
        <v>4</v>
      </c>
      <c r="J18" s="271" t="str">
        <f ca="1">IF('Data Analysis'!$AZ1243="to be attended","Threshold was reached, this area needs to be attended!",IF('Data Analysis'!$AZ1243="monitoring","Threshold was reached in Short Period (SP), this area needs to be monitored.",IF('Data Analysis'!$AS1208&gt;='Data Analysis'!$L1208,"Threshold was reached during period, but now it's ok!","No problem in this area.")))</f>
        <v>No problem in this area.</v>
      </c>
    </row>
    <row r="19" spans="1:10" ht="12.75" x14ac:dyDescent="0.2">
      <c r="A19" s="244"/>
      <c r="B19" s="108"/>
      <c r="C19" s="108"/>
      <c r="D19" s="108"/>
      <c r="E19" s="108"/>
      <c r="F19" s="108"/>
      <c r="G19" s="278"/>
      <c r="I19" s="98"/>
      <c r="J19" s="98"/>
    </row>
    <row r="20" spans="1:10" ht="12.75" x14ac:dyDescent="0.2">
      <c r="A20" s="282" t="s">
        <v>842</v>
      </c>
      <c r="B20" s="108"/>
      <c r="C20" s="108"/>
      <c r="D20" s="108"/>
      <c r="E20" s="108"/>
      <c r="F20" s="108"/>
      <c r="G20" s="283">
        <v>0</v>
      </c>
      <c r="I20" s="97">
        <v>4</v>
      </c>
      <c r="J20" s="271" t="str">
        <f ca="1">IF('Data Analysis'!$AZ1244="to be attended","Threshold was reached, this area needs to be attended!",IF('Data Analysis'!$AZ1244="monitoring","Threshold was reached in Short Period (SP), this area needs to be monitored.",IF('Data Analysis'!$AS1209&gt;='Data Analysis'!$L1209,"Threshold was reached during period, but now it's ok!","No problem in this area.")))</f>
        <v>No problem in this area.</v>
      </c>
    </row>
    <row r="21" spans="1:10" ht="12.75" x14ac:dyDescent="0.2">
      <c r="A21" s="245"/>
      <c r="B21" s="246"/>
      <c r="C21" s="246"/>
      <c r="D21" s="246"/>
      <c r="E21" s="246"/>
      <c r="F21" s="246"/>
      <c r="G21" s="289"/>
      <c r="I21" s="98"/>
      <c r="J21" s="98"/>
    </row>
    <row r="22" spans="1:10" ht="12.75" x14ac:dyDescent="0.2">
      <c r="A22"/>
      <c r="B22"/>
      <c r="C22"/>
      <c r="D22"/>
      <c r="E22"/>
      <c r="F22"/>
      <c r="G22"/>
      <c r="I22" s="100"/>
      <c r="J22" s="101"/>
    </row>
    <row r="23" spans="1:10" ht="12.75" x14ac:dyDescent="0.2">
      <c r="A23"/>
      <c r="B23"/>
      <c r="C23"/>
      <c r="D23"/>
      <c r="E23"/>
      <c r="F23"/>
      <c r="G23"/>
      <c r="I23" s="102" t="str">
        <f>'Messages Dictionary'!$N$6</f>
        <v>Error</v>
      </c>
      <c r="J23" s="103" t="s">
        <v>261</v>
      </c>
    </row>
    <row r="24" spans="1:10" ht="12.75" x14ac:dyDescent="0.2">
      <c r="A24"/>
      <c r="B24"/>
      <c r="C24"/>
      <c r="D24"/>
      <c r="E24"/>
      <c r="F24"/>
      <c r="G24"/>
      <c r="I24" s="95"/>
    </row>
    <row r="25" spans="1:10" ht="12.75" x14ac:dyDescent="0.2">
      <c r="A25"/>
      <c r="B25"/>
      <c r="C25"/>
      <c r="D25"/>
      <c r="E25"/>
      <c r="F25"/>
      <c r="G25"/>
      <c r="I25" s="95"/>
    </row>
    <row r="26" spans="1:10" ht="12.75" x14ac:dyDescent="0.2">
      <c r="A26"/>
      <c r="B26"/>
      <c r="C26"/>
      <c r="D26"/>
      <c r="E26"/>
      <c r="F26"/>
      <c r="G26"/>
    </row>
    <row r="27" spans="1:10" ht="12.75" x14ac:dyDescent="0.2">
      <c r="A27"/>
      <c r="B27"/>
      <c r="C27"/>
      <c r="D27"/>
      <c r="E27"/>
      <c r="F27"/>
      <c r="G27"/>
    </row>
    <row r="28" spans="1:10" ht="12.75" x14ac:dyDescent="0.2">
      <c r="A28"/>
      <c r="B28"/>
      <c r="C28"/>
      <c r="D28"/>
      <c r="E28"/>
      <c r="F28"/>
      <c r="G28"/>
    </row>
    <row r="29" spans="1:10" ht="12.75" x14ac:dyDescent="0.2">
      <c r="A29"/>
      <c r="B29"/>
      <c r="C29"/>
      <c r="D29"/>
      <c r="E29"/>
      <c r="F29"/>
      <c r="G29"/>
    </row>
    <row r="30" spans="1:10" ht="12.75" x14ac:dyDescent="0.2">
      <c r="A30"/>
      <c r="B30"/>
      <c r="C30"/>
      <c r="D30"/>
      <c r="E30"/>
      <c r="F30"/>
      <c r="G30"/>
    </row>
    <row r="31" spans="1:10" ht="12.75" x14ac:dyDescent="0.2">
      <c r="A31"/>
      <c r="B31"/>
      <c r="C31"/>
      <c r="D31"/>
      <c r="E31"/>
      <c r="F31"/>
      <c r="G31"/>
    </row>
    <row r="32" spans="1:10" ht="12.75" x14ac:dyDescent="0.2">
      <c r="A32"/>
      <c r="B32"/>
      <c r="C32"/>
      <c r="D32"/>
      <c r="E32"/>
      <c r="F32"/>
      <c r="G32"/>
    </row>
    <row r="33" spans="1:7" ht="12.75" x14ac:dyDescent="0.2">
      <c r="A33"/>
      <c r="B33"/>
      <c r="C33"/>
      <c r="D33"/>
      <c r="E33"/>
      <c r="F33"/>
      <c r="G33"/>
    </row>
    <row r="34" spans="1:7" ht="12.75" x14ac:dyDescent="0.2">
      <c r="A34"/>
      <c r="B34"/>
      <c r="C34"/>
      <c r="D34"/>
      <c r="E34"/>
      <c r="F34"/>
      <c r="G34"/>
    </row>
    <row r="35" spans="1:7" ht="12.75" x14ac:dyDescent="0.2">
      <c r="A35"/>
      <c r="B35"/>
      <c r="C35"/>
      <c r="D35"/>
      <c r="E35"/>
      <c r="F35"/>
      <c r="G35"/>
    </row>
    <row r="36" spans="1:7" ht="12.75" x14ac:dyDescent="0.2">
      <c r="A36"/>
      <c r="B36"/>
      <c r="C36"/>
      <c r="D36"/>
      <c r="E36"/>
      <c r="F36"/>
      <c r="G36"/>
    </row>
    <row r="37" spans="1:7" ht="12.75" x14ac:dyDescent="0.2">
      <c r="A37"/>
      <c r="B37"/>
      <c r="C37"/>
      <c r="D37"/>
      <c r="E37"/>
      <c r="F37"/>
      <c r="G37"/>
    </row>
    <row r="38" spans="1:7" ht="12.75" x14ac:dyDescent="0.2">
      <c r="A38"/>
      <c r="B38"/>
      <c r="C38"/>
      <c r="D38"/>
      <c r="E38"/>
      <c r="F38"/>
      <c r="G38"/>
    </row>
    <row r="39" spans="1:7" ht="12.75" x14ac:dyDescent="0.2">
      <c r="A39"/>
      <c r="B39"/>
      <c r="C39"/>
      <c r="D39"/>
      <c r="E39"/>
      <c r="F39"/>
      <c r="G39"/>
    </row>
    <row r="40" spans="1:7" ht="12.75" x14ac:dyDescent="0.2">
      <c r="A40"/>
      <c r="B40"/>
      <c r="C40"/>
      <c r="D40"/>
      <c r="E40"/>
      <c r="F40"/>
      <c r="G40"/>
    </row>
    <row r="41" spans="1:7" ht="12.75" x14ac:dyDescent="0.2">
      <c r="A41"/>
      <c r="B41"/>
      <c r="C41"/>
      <c r="D41"/>
      <c r="E41"/>
      <c r="F41"/>
      <c r="G41"/>
    </row>
    <row r="42" spans="1:7" ht="12.75" x14ac:dyDescent="0.2">
      <c r="A42"/>
      <c r="B42"/>
      <c r="C42"/>
      <c r="D42"/>
      <c r="E42"/>
      <c r="F42"/>
      <c r="G42"/>
    </row>
    <row r="43" spans="1:7" ht="12.75" x14ac:dyDescent="0.2">
      <c r="A43"/>
      <c r="B43"/>
      <c r="C43"/>
      <c r="D43"/>
      <c r="E43"/>
      <c r="F43"/>
      <c r="G43"/>
    </row>
    <row r="44" spans="1:7" ht="12.75" x14ac:dyDescent="0.2">
      <c r="A44"/>
      <c r="B44"/>
      <c r="C44"/>
      <c r="D44"/>
      <c r="E44"/>
      <c r="F44"/>
      <c r="G44"/>
    </row>
    <row r="45" spans="1:7" ht="12.75" x14ac:dyDescent="0.2">
      <c r="A45"/>
      <c r="B45"/>
      <c r="C45"/>
      <c r="D45"/>
      <c r="E45"/>
      <c r="F45"/>
      <c r="G45"/>
    </row>
    <row r="46" spans="1:7" ht="12.75" x14ac:dyDescent="0.2">
      <c r="A46"/>
      <c r="B46"/>
      <c r="C46"/>
      <c r="D46"/>
      <c r="E46"/>
      <c r="F46"/>
      <c r="G46"/>
    </row>
    <row r="47" spans="1:7" ht="12.75" x14ac:dyDescent="0.2">
      <c r="A47"/>
      <c r="B47"/>
      <c r="C47"/>
      <c r="D47"/>
      <c r="E47"/>
      <c r="F47"/>
      <c r="G47"/>
    </row>
    <row r="48" spans="1:7" ht="12.75" x14ac:dyDescent="0.2">
      <c r="A48"/>
      <c r="B48"/>
      <c r="C48"/>
      <c r="D48"/>
      <c r="E48"/>
      <c r="F48"/>
      <c r="G48"/>
    </row>
    <row r="49" spans="1:7" ht="12.75" x14ac:dyDescent="0.2">
      <c r="A49"/>
      <c r="B49"/>
      <c r="C49"/>
      <c r="D49"/>
      <c r="E49"/>
      <c r="F49"/>
      <c r="G49"/>
    </row>
    <row r="50" spans="1:7" ht="12.75" x14ac:dyDescent="0.2">
      <c r="A50"/>
      <c r="B50"/>
      <c r="C50"/>
      <c r="D50"/>
      <c r="E50"/>
      <c r="F50"/>
      <c r="G50"/>
    </row>
    <row r="51" spans="1:7" ht="12.75" x14ac:dyDescent="0.2">
      <c r="A51"/>
      <c r="B51"/>
      <c r="C51"/>
      <c r="D51"/>
      <c r="E51"/>
      <c r="F51"/>
      <c r="G51"/>
    </row>
    <row r="52" spans="1:7" ht="12.75" x14ac:dyDescent="0.2">
      <c r="A52"/>
      <c r="B52"/>
      <c r="C52"/>
      <c r="D52"/>
      <c r="E52"/>
      <c r="F52"/>
      <c r="G52"/>
    </row>
    <row r="53" spans="1:7" ht="12.75" x14ac:dyDescent="0.2">
      <c r="A53"/>
      <c r="B53"/>
      <c r="C53"/>
      <c r="D53"/>
      <c r="E53"/>
      <c r="F53"/>
      <c r="G53"/>
    </row>
    <row r="54" spans="1:7" ht="12.75" x14ac:dyDescent="0.2">
      <c r="A54"/>
      <c r="B54"/>
      <c r="C54"/>
      <c r="D54"/>
      <c r="E54"/>
      <c r="F54"/>
      <c r="G54"/>
    </row>
    <row r="55" spans="1:7" ht="12.75" x14ac:dyDescent="0.2">
      <c r="A55"/>
      <c r="B55"/>
      <c r="C55"/>
      <c r="D55"/>
      <c r="E55"/>
      <c r="F55"/>
      <c r="G55"/>
    </row>
    <row r="56" spans="1:7" ht="12.75" x14ac:dyDescent="0.2">
      <c r="A56"/>
      <c r="B56"/>
      <c r="C56"/>
      <c r="D56"/>
      <c r="E56"/>
      <c r="F56"/>
      <c r="G56"/>
    </row>
    <row r="57" spans="1:7" ht="12.75" x14ac:dyDescent="0.2">
      <c r="A57"/>
      <c r="B57"/>
      <c r="C57"/>
      <c r="D57"/>
      <c r="E57"/>
      <c r="F57"/>
      <c r="G57"/>
    </row>
    <row r="58" spans="1:7" ht="12.75" x14ac:dyDescent="0.2">
      <c r="A58"/>
      <c r="B58"/>
      <c r="C58"/>
      <c r="D58"/>
      <c r="E58"/>
      <c r="F58"/>
      <c r="G58"/>
    </row>
    <row r="59" spans="1:7" ht="12.75" x14ac:dyDescent="0.2">
      <c r="A59"/>
      <c r="B59"/>
      <c r="C59"/>
      <c r="D59"/>
      <c r="E59"/>
      <c r="F59"/>
      <c r="G59"/>
    </row>
    <row r="60" spans="1:7" ht="12.75" x14ac:dyDescent="0.2">
      <c r="A60"/>
      <c r="B60"/>
      <c r="C60"/>
      <c r="D60"/>
      <c r="E60"/>
      <c r="F60"/>
      <c r="G60"/>
    </row>
    <row r="61" spans="1:7" ht="12.75" x14ac:dyDescent="0.2">
      <c r="A61"/>
      <c r="B61"/>
      <c r="C61"/>
      <c r="D61"/>
      <c r="E61"/>
      <c r="F61"/>
      <c r="G61"/>
    </row>
    <row r="62" spans="1:7" ht="12.75" x14ac:dyDescent="0.2">
      <c r="A62"/>
      <c r="B62"/>
      <c r="C62"/>
      <c r="D62"/>
      <c r="E62"/>
      <c r="F62"/>
      <c r="G62"/>
    </row>
    <row r="63" spans="1:7" ht="12.75" x14ac:dyDescent="0.2">
      <c r="A63"/>
      <c r="B63"/>
      <c r="C63"/>
      <c r="D63"/>
      <c r="E63"/>
      <c r="F63"/>
      <c r="G63"/>
    </row>
    <row r="64" spans="1:7" ht="12.75" x14ac:dyDescent="0.2">
      <c r="A64"/>
      <c r="B64"/>
      <c r="C64"/>
      <c r="D64"/>
      <c r="E64"/>
      <c r="F64"/>
      <c r="G64"/>
    </row>
    <row r="65" spans="1:7" ht="12.75" x14ac:dyDescent="0.2">
      <c r="A65"/>
      <c r="B65"/>
      <c r="C65"/>
      <c r="D65"/>
      <c r="E65"/>
      <c r="F65"/>
      <c r="G65"/>
    </row>
    <row r="66" spans="1:7" ht="12.75" x14ac:dyDescent="0.2">
      <c r="A66"/>
      <c r="B66"/>
      <c r="C66"/>
      <c r="D66"/>
      <c r="E66"/>
      <c r="F66"/>
      <c r="G66"/>
    </row>
    <row r="67" spans="1:7" ht="12.75" x14ac:dyDescent="0.2">
      <c r="A67"/>
      <c r="B67"/>
      <c r="C67"/>
      <c r="D67"/>
      <c r="E67"/>
      <c r="F67"/>
      <c r="G67"/>
    </row>
    <row r="68" spans="1:7" ht="12.75" x14ac:dyDescent="0.2">
      <c r="A68"/>
      <c r="B68"/>
      <c r="C68"/>
      <c r="D68"/>
      <c r="E68"/>
      <c r="F68"/>
      <c r="G68"/>
    </row>
    <row r="69" spans="1:7" ht="12.75" x14ac:dyDescent="0.2">
      <c r="A69"/>
      <c r="B69"/>
      <c r="C69"/>
      <c r="D69"/>
      <c r="E69"/>
      <c r="F69"/>
      <c r="G69"/>
    </row>
    <row r="70" spans="1:7" ht="12.75" x14ac:dyDescent="0.2">
      <c r="A70"/>
      <c r="B70"/>
      <c r="C70"/>
      <c r="D70"/>
      <c r="E70"/>
      <c r="F70"/>
      <c r="G70"/>
    </row>
    <row r="71" spans="1:7" ht="12.75" x14ac:dyDescent="0.2">
      <c r="A71"/>
      <c r="B71"/>
      <c r="C71"/>
      <c r="D71"/>
      <c r="E71"/>
      <c r="F71"/>
      <c r="G71"/>
    </row>
    <row r="72" spans="1:7" ht="12.75" x14ac:dyDescent="0.2">
      <c r="A72"/>
      <c r="B72"/>
      <c r="C72"/>
      <c r="D72"/>
      <c r="E72"/>
      <c r="F72"/>
      <c r="G72"/>
    </row>
    <row r="73" spans="1:7" ht="12.75" x14ac:dyDescent="0.2">
      <c r="A73"/>
      <c r="B73"/>
      <c r="C73"/>
      <c r="D73"/>
      <c r="E73"/>
      <c r="F73"/>
      <c r="G73"/>
    </row>
    <row r="74" spans="1:7" ht="12.75" x14ac:dyDescent="0.2">
      <c r="A74"/>
      <c r="B74"/>
      <c r="C74"/>
      <c r="D74"/>
      <c r="E74"/>
      <c r="F74"/>
      <c r="G74"/>
    </row>
    <row r="75" spans="1:7" ht="12.75" x14ac:dyDescent="0.2">
      <c r="A75"/>
      <c r="B75"/>
      <c r="C75"/>
      <c r="D75"/>
      <c r="E75"/>
      <c r="F75"/>
      <c r="G75"/>
    </row>
    <row r="76" spans="1:7" ht="12.75" x14ac:dyDescent="0.2">
      <c r="A76"/>
      <c r="B76"/>
      <c r="C76"/>
      <c r="D76"/>
      <c r="E76"/>
      <c r="F76"/>
      <c r="G76"/>
    </row>
    <row r="77" spans="1:7" ht="12.75" x14ac:dyDescent="0.2">
      <c r="A77"/>
      <c r="B77"/>
      <c r="C77"/>
      <c r="D77"/>
      <c r="E77"/>
      <c r="F77"/>
      <c r="G77"/>
    </row>
    <row r="78" spans="1:7" ht="12.75" x14ac:dyDescent="0.2">
      <c r="A78"/>
      <c r="B78"/>
      <c r="C78"/>
      <c r="D78"/>
      <c r="E78"/>
      <c r="F78"/>
      <c r="G78"/>
    </row>
    <row r="79" spans="1:7" ht="12.75" x14ac:dyDescent="0.2">
      <c r="A79"/>
      <c r="B79"/>
      <c r="C79"/>
      <c r="D79"/>
      <c r="E79"/>
      <c r="F79"/>
      <c r="G79"/>
    </row>
    <row r="80" spans="1:7" ht="12.75" x14ac:dyDescent="0.2">
      <c r="A80"/>
      <c r="B80"/>
      <c r="C80"/>
      <c r="D80"/>
      <c r="E80"/>
      <c r="F80"/>
      <c r="G80"/>
    </row>
    <row r="81" spans="1:7" ht="12.75" x14ac:dyDescent="0.2">
      <c r="A81"/>
      <c r="B81"/>
      <c r="C81"/>
      <c r="D81"/>
      <c r="E81"/>
      <c r="F81"/>
      <c r="G81"/>
    </row>
    <row r="82" spans="1:7" ht="12.75" x14ac:dyDescent="0.2">
      <c r="A82"/>
      <c r="B82"/>
      <c r="C82"/>
      <c r="D82"/>
      <c r="E82"/>
      <c r="F82"/>
      <c r="G82"/>
    </row>
    <row r="83" spans="1:7" ht="12.75" x14ac:dyDescent="0.2">
      <c r="A83"/>
      <c r="B83"/>
      <c r="C83"/>
      <c r="D83"/>
      <c r="E83"/>
      <c r="F83"/>
      <c r="G83"/>
    </row>
    <row r="84" spans="1:7" ht="12.75" x14ac:dyDescent="0.2">
      <c r="A84"/>
      <c r="B84"/>
      <c r="C84"/>
      <c r="D84"/>
      <c r="E84"/>
      <c r="F84"/>
      <c r="G84"/>
    </row>
    <row r="85" spans="1:7" ht="12.75" x14ac:dyDescent="0.2">
      <c r="A85"/>
      <c r="B85"/>
      <c r="C85"/>
      <c r="D85"/>
      <c r="E85"/>
      <c r="F85"/>
      <c r="G85"/>
    </row>
    <row r="86" spans="1:7" ht="12.75" x14ac:dyDescent="0.2">
      <c r="A86"/>
      <c r="B86"/>
      <c r="C86"/>
      <c r="D86"/>
      <c r="E86"/>
      <c r="F86"/>
      <c r="G86"/>
    </row>
    <row r="87" spans="1:7" ht="12.75" x14ac:dyDescent="0.2">
      <c r="A87"/>
      <c r="B87"/>
      <c r="C87"/>
      <c r="D87"/>
      <c r="E87"/>
      <c r="F87"/>
      <c r="G87"/>
    </row>
    <row r="88" spans="1:7" ht="12.75" x14ac:dyDescent="0.2">
      <c r="A88"/>
      <c r="B88"/>
      <c r="C88"/>
      <c r="D88"/>
      <c r="E88"/>
      <c r="F88"/>
      <c r="G88"/>
    </row>
    <row r="89" spans="1:7" ht="12.75" x14ac:dyDescent="0.2">
      <c r="A89"/>
      <c r="B89"/>
      <c r="C89"/>
      <c r="D89"/>
      <c r="E89"/>
      <c r="F89"/>
      <c r="G89"/>
    </row>
    <row r="90" spans="1:7" ht="12.75" x14ac:dyDescent="0.2">
      <c r="A90"/>
      <c r="B90"/>
      <c r="C90"/>
      <c r="D90"/>
      <c r="E90"/>
      <c r="F90"/>
      <c r="G90"/>
    </row>
    <row r="91" spans="1:7" ht="12.75" x14ac:dyDescent="0.2">
      <c r="A91"/>
      <c r="B91"/>
      <c r="C91"/>
      <c r="D91"/>
      <c r="E91"/>
      <c r="F91"/>
      <c r="G91"/>
    </row>
    <row r="92" spans="1:7" ht="12.75" x14ac:dyDescent="0.2">
      <c r="A92"/>
      <c r="B92"/>
      <c r="C92"/>
      <c r="D92"/>
      <c r="E92"/>
      <c r="F92"/>
      <c r="G92"/>
    </row>
    <row r="93" spans="1:7" ht="12.75" x14ac:dyDescent="0.2">
      <c r="A93"/>
      <c r="B93"/>
      <c r="C93"/>
      <c r="D93"/>
      <c r="E93"/>
      <c r="F93"/>
      <c r="G93"/>
    </row>
    <row r="94" spans="1:7" ht="12.75" x14ac:dyDescent="0.2">
      <c r="A94"/>
      <c r="B94"/>
      <c r="C94"/>
      <c r="D94"/>
      <c r="E94"/>
      <c r="F94"/>
      <c r="G94"/>
    </row>
    <row r="95" spans="1:7" ht="12.75" x14ac:dyDescent="0.2">
      <c r="A95"/>
      <c r="B95"/>
      <c r="C95"/>
      <c r="D95"/>
      <c r="E95"/>
      <c r="F95"/>
      <c r="G95"/>
    </row>
    <row r="96" spans="1:7" ht="12.75" x14ac:dyDescent="0.2">
      <c r="A96"/>
      <c r="B96"/>
      <c r="C96"/>
      <c r="D96"/>
      <c r="E96"/>
      <c r="F96"/>
      <c r="G96"/>
    </row>
    <row r="97" spans="1:7" ht="12.75" x14ac:dyDescent="0.2">
      <c r="A97"/>
      <c r="B97"/>
      <c r="C97"/>
      <c r="D97"/>
      <c r="E97"/>
      <c r="F97"/>
      <c r="G97"/>
    </row>
    <row r="98" spans="1:7" ht="12.75" x14ac:dyDescent="0.2">
      <c r="A98"/>
      <c r="B98"/>
      <c r="C98"/>
      <c r="D98"/>
      <c r="E98"/>
      <c r="F98"/>
      <c r="G98"/>
    </row>
    <row r="99" spans="1:7" ht="12.75" x14ac:dyDescent="0.2">
      <c r="A99"/>
      <c r="B99"/>
      <c r="C99"/>
      <c r="D99"/>
      <c r="E99"/>
      <c r="F99"/>
      <c r="G99"/>
    </row>
    <row r="100" spans="1:7" ht="12.75" x14ac:dyDescent="0.2">
      <c r="A100"/>
      <c r="B100"/>
      <c r="C100"/>
      <c r="D100"/>
      <c r="E100"/>
      <c r="F100"/>
      <c r="G100"/>
    </row>
    <row r="101" spans="1:7" ht="12.75" x14ac:dyDescent="0.2">
      <c r="A101"/>
      <c r="B101"/>
      <c r="C101"/>
      <c r="D101"/>
      <c r="E101"/>
      <c r="F101"/>
      <c r="G101"/>
    </row>
    <row r="102" spans="1:7" ht="12.75" x14ac:dyDescent="0.2">
      <c r="A102"/>
      <c r="B102"/>
      <c r="C102"/>
      <c r="D102"/>
      <c r="E102"/>
      <c r="F102"/>
      <c r="G102"/>
    </row>
    <row r="103" spans="1:7" ht="12.75" x14ac:dyDescent="0.2">
      <c r="A103"/>
      <c r="B103"/>
      <c r="C103"/>
      <c r="D103"/>
      <c r="E103"/>
      <c r="F103"/>
      <c r="G103"/>
    </row>
    <row r="104" spans="1:7" ht="12.75" x14ac:dyDescent="0.2">
      <c r="A104"/>
      <c r="B104"/>
      <c r="C104"/>
      <c r="D104"/>
      <c r="E104"/>
      <c r="F104"/>
      <c r="G104"/>
    </row>
    <row r="105" spans="1:7" ht="12.75" x14ac:dyDescent="0.2">
      <c r="A105"/>
      <c r="B105"/>
      <c r="C105"/>
      <c r="D105"/>
      <c r="E105"/>
      <c r="F105"/>
      <c r="G105"/>
    </row>
    <row r="106" spans="1:7" ht="12.75" x14ac:dyDescent="0.2">
      <c r="A106"/>
      <c r="B106"/>
      <c r="C106"/>
      <c r="D106"/>
      <c r="E106"/>
      <c r="F106"/>
      <c r="G106"/>
    </row>
    <row r="107" spans="1:7" ht="12.75" x14ac:dyDescent="0.2">
      <c r="A107"/>
      <c r="B107"/>
      <c r="C107"/>
      <c r="D107"/>
      <c r="E107"/>
      <c r="F107"/>
      <c r="G107"/>
    </row>
    <row r="108" spans="1:7" ht="12.75" x14ac:dyDescent="0.2">
      <c r="A108"/>
      <c r="B108"/>
      <c r="C108"/>
      <c r="D108"/>
      <c r="E108"/>
      <c r="F108"/>
      <c r="G108"/>
    </row>
    <row r="109" spans="1:7" ht="12.75" x14ac:dyDescent="0.2">
      <c r="A109"/>
      <c r="B109"/>
      <c r="C109"/>
      <c r="D109"/>
      <c r="E109"/>
      <c r="F109"/>
      <c r="G109"/>
    </row>
    <row r="110" spans="1:7" ht="12.75" x14ac:dyDescent="0.2">
      <c r="A110"/>
      <c r="B110"/>
      <c r="C110"/>
      <c r="D110"/>
      <c r="E110"/>
      <c r="F110"/>
      <c r="G110"/>
    </row>
    <row r="111" spans="1:7" ht="12.75" x14ac:dyDescent="0.2">
      <c r="A111"/>
      <c r="B111"/>
      <c r="C111"/>
      <c r="D111"/>
      <c r="E111"/>
      <c r="F111"/>
      <c r="G111"/>
    </row>
    <row r="112" spans="1:7" ht="12.75" x14ac:dyDescent="0.2">
      <c r="A112"/>
      <c r="B112"/>
      <c r="C112"/>
      <c r="D112"/>
      <c r="E112"/>
      <c r="F112"/>
      <c r="G112"/>
    </row>
    <row r="113" spans="1:7" ht="12.75" x14ac:dyDescent="0.2">
      <c r="A113"/>
      <c r="B113"/>
      <c r="C113"/>
      <c r="D113"/>
      <c r="E113"/>
      <c r="F113"/>
      <c r="G113"/>
    </row>
    <row r="114" spans="1:7" ht="12.75" x14ac:dyDescent="0.2">
      <c r="A114"/>
      <c r="B114"/>
      <c r="C114"/>
      <c r="D114"/>
      <c r="E114"/>
      <c r="F114"/>
      <c r="G114"/>
    </row>
    <row r="115" spans="1:7" ht="12.75" x14ac:dyDescent="0.2">
      <c r="A115"/>
      <c r="B115"/>
      <c r="C115"/>
      <c r="D115"/>
      <c r="E115"/>
      <c r="F115"/>
      <c r="G115"/>
    </row>
    <row r="116" spans="1:7" ht="12.75" x14ac:dyDescent="0.2">
      <c r="A116"/>
      <c r="B116"/>
      <c r="C116"/>
      <c r="D116"/>
      <c r="E116"/>
      <c r="F116"/>
      <c r="G116"/>
    </row>
    <row r="117" spans="1:7" ht="12.75" x14ac:dyDescent="0.2">
      <c r="A117"/>
      <c r="B117"/>
      <c r="C117"/>
      <c r="D117"/>
      <c r="E117"/>
      <c r="F117"/>
      <c r="G117"/>
    </row>
    <row r="118" spans="1:7" ht="12.75" x14ac:dyDescent="0.2">
      <c r="A118"/>
      <c r="B118"/>
      <c r="C118"/>
      <c r="D118"/>
      <c r="E118"/>
      <c r="F118"/>
      <c r="G118"/>
    </row>
    <row r="119" spans="1:7" ht="12.75" x14ac:dyDescent="0.2">
      <c r="A119"/>
      <c r="B119"/>
      <c r="C119"/>
      <c r="D119"/>
      <c r="E119"/>
      <c r="F119"/>
      <c r="G119"/>
    </row>
    <row r="120" spans="1:7" ht="12.75" x14ac:dyDescent="0.2">
      <c r="A120"/>
      <c r="B120"/>
      <c r="C120"/>
      <c r="D120"/>
      <c r="E120"/>
      <c r="F120"/>
      <c r="G120"/>
    </row>
    <row r="121" spans="1:7" ht="12.75" x14ac:dyDescent="0.2">
      <c r="A121"/>
      <c r="B121"/>
      <c r="C121"/>
      <c r="D121"/>
      <c r="E121"/>
      <c r="F121"/>
      <c r="G121"/>
    </row>
    <row r="122" spans="1:7" ht="12.75" x14ac:dyDescent="0.2">
      <c r="A122"/>
      <c r="B122"/>
      <c r="C122"/>
      <c r="D122"/>
      <c r="E122"/>
      <c r="F122"/>
      <c r="G122"/>
    </row>
    <row r="123" spans="1:7" ht="12.75" x14ac:dyDescent="0.2">
      <c r="A123"/>
      <c r="B123"/>
      <c r="C123"/>
      <c r="D123"/>
      <c r="E123"/>
      <c r="F123"/>
      <c r="G123"/>
    </row>
    <row r="124" spans="1:7" ht="12.75" x14ac:dyDescent="0.2">
      <c r="A124"/>
      <c r="B124"/>
      <c r="C124"/>
      <c r="D124"/>
      <c r="E124"/>
      <c r="F124"/>
      <c r="G124"/>
    </row>
    <row r="125" spans="1:7" ht="12.75" x14ac:dyDescent="0.2">
      <c r="A125"/>
      <c r="B125"/>
      <c r="C125"/>
      <c r="D125"/>
      <c r="E125"/>
      <c r="F125"/>
      <c r="G125"/>
    </row>
    <row r="126" spans="1:7" ht="12.75" x14ac:dyDescent="0.2">
      <c r="A126"/>
      <c r="B126"/>
      <c r="C126"/>
      <c r="D126"/>
      <c r="E126"/>
      <c r="F126"/>
      <c r="G126"/>
    </row>
    <row r="127" spans="1:7" ht="12.75" x14ac:dyDescent="0.2">
      <c r="A127"/>
      <c r="B127"/>
      <c r="C127"/>
      <c r="D127"/>
      <c r="E127"/>
      <c r="F127"/>
      <c r="G127"/>
    </row>
    <row r="128" spans="1:7" ht="12.75" x14ac:dyDescent="0.2">
      <c r="A128"/>
      <c r="B128"/>
      <c r="C128"/>
      <c r="D128"/>
      <c r="E128"/>
      <c r="F128"/>
      <c r="G128"/>
    </row>
    <row r="129" spans="1:7" ht="12.75" x14ac:dyDescent="0.2">
      <c r="A129"/>
      <c r="B129"/>
      <c r="C129"/>
      <c r="D129"/>
      <c r="E129"/>
      <c r="F129"/>
      <c r="G129"/>
    </row>
    <row r="130" spans="1:7" ht="12.75" x14ac:dyDescent="0.2">
      <c r="A130"/>
      <c r="B130"/>
      <c r="C130"/>
      <c r="D130"/>
      <c r="E130"/>
      <c r="F130"/>
      <c r="G130"/>
    </row>
    <row r="131" spans="1:7" ht="12.75" x14ac:dyDescent="0.2">
      <c r="A131"/>
      <c r="B131"/>
      <c r="C131"/>
      <c r="D131"/>
      <c r="E131"/>
      <c r="F131"/>
      <c r="G131"/>
    </row>
    <row r="132" spans="1:7" ht="12.75" x14ac:dyDescent="0.2">
      <c r="A132"/>
      <c r="B132"/>
      <c r="C132"/>
      <c r="D132"/>
      <c r="E132"/>
      <c r="F132"/>
      <c r="G132"/>
    </row>
    <row r="133" spans="1:7" ht="12.75" x14ac:dyDescent="0.2">
      <c r="A133"/>
      <c r="B133"/>
      <c r="C133"/>
      <c r="D133"/>
      <c r="E133"/>
      <c r="F133"/>
      <c r="G133"/>
    </row>
    <row r="134" spans="1:7" ht="12.75" x14ac:dyDescent="0.2">
      <c r="A134"/>
      <c r="B134"/>
      <c r="C134"/>
      <c r="D134"/>
      <c r="E134"/>
      <c r="F134"/>
      <c r="G134"/>
    </row>
    <row r="135" spans="1:7" ht="12.75" x14ac:dyDescent="0.2">
      <c r="A135"/>
      <c r="B135"/>
      <c r="C135"/>
      <c r="D135"/>
      <c r="E135"/>
      <c r="F135"/>
      <c r="G135"/>
    </row>
    <row r="136" spans="1:7" ht="12.75" x14ac:dyDescent="0.2">
      <c r="A136"/>
      <c r="B136"/>
      <c r="C136"/>
      <c r="D136"/>
      <c r="E136"/>
      <c r="F136"/>
      <c r="G136"/>
    </row>
    <row r="137" spans="1:7" ht="12.75" x14ac:dyDescent="0.2">
      <c r="A137"/>
      <c r="B137"/>
      <c r="C137"/>
      <c r="D137"/>
      <c r="E137"/>
      <c r="F137"/>
      <c r="G137"/>
    </row>
    <row r="138" spans="1:7" ht="12.75" x14ac:dyDescent="0.2">
      <c r="A138"/>
      <c r="B138"/>
      <c r="C138"/>
      <c r="D138"/>
      <c r="E138"/>
      <c r="F138"/>
      <c r="G138"/>
    </row>
    <row r="139" spans="1:7" ht="12.75" x14ac:dyDescent="0.2">
      <c r="A139"/>
      <c r="B139"/>
      <c r="C139"/>
      <c r="D139"/>
      <c r="E139"/>
      <c r="F139"/>
      <c r="G139"/>
    </row>
    <row r="140" spans="1:7" ht="12.75" x14ac:dyDescent="0.2">
      <c r="A140"/>
      <c r="B140"/>
      <c r="C140"/>
      <c r="D140"/>
      <c r="E140"/>
      <c r="F140"/>
      <c r="G140"/>
    </row>
    <row r="141" spans="1:7" ht="12.75" x14ac:dyDescent="0.2">
      <c r="A141"/>
      <c r="B141"/>
      <c r="C141"/>
      <c r="D141"/>
      <c r="E141"/>
      <c r="F141"/>
      <c r="G141"/>
    </row>
    <row r="142" spans="1:7" ht="12.75" x14ac:dyDescent="0.2">
      <c r="A142"/>
      <c r="B142"/>
      <c r="C142"/>
      <c r="D142"/>
      <c r="E142"/>
      <c r="F142"/>
      <c r="G142"/>
    </row>
    <row r="143" spans="1:7" ht="12.75" x14ac:dyDescent="0.2">
      <c r="A143"/>
      <c r="B143"/>
      <c r="C143"/>
      <c r="D143"/>
      <c r="E143"/>
      <c r="F143"/>
      <c r="G143"/>
    </row>
    <row r="144" spans="1:7" ht="12.75" x14ac:dyDescent="0.2">
      <c r="A144"/>
      <c r="B144"/>
      <c r="C144"/>
      <c r="D144"/>
      <c r="E144"/>
      <c r="F144"/>
      <c r="G144"/>
    </row>
    <row r="145" spans="1:7" ht="12.75" x14ac:dyDescent="0.2">
      <c r="A145"/>
      <c r="B145"/>
      <c r="C145"/>
      <c r="D145"/>
      <c r="E145"/>
      <c r="F145"/>
      <c r="G145"/>
    </row>
    <row r="146" spans="1:7" ht="12.75" x14ac:dyDescent="0.2">
      <c r="A146"/>
      <c r="B146"/>
      <c r="C146"/>
      <c r="D146"/>
      <c r="E146"/>
      <c r="F146"/>
      <c r="G146"/>
    </row>
    <row r="147" spans="1:7" ht="12.75" x14ac:dyDescent="0.2">
      <c r="A147"/>
      <c r="B147"/>
      <c r="C147"/>
      <c r="D147"/>
      <c r="E147"/>
      <c r="F147"/>
      <c r="G147"/>
    </row>
    <row r="148" spans="1:7" ht="12.75" x14ac:dyDescent="0.2">
      <c r="A148"/>
      <c r="B148"/>
      <c r="C148"/>
      <c r="D148"/>
      <c r="E148"/>
      <c r="F148"/>
      <c r="G148"/>
    </row>
    <row r="149" spans="1:7" ht="12.75" x14ac:dyDescent="0.2">
      <c r="A149"/>
      <c r="B149"/>
      <c r="C149"/>
      <c r="D149"/>
      <c r="E149"/>
      <c r="F149"/>
      <c r="G149"/>
    </row>
    <row r="150" spans="1:7" ht="12.75" x14ac:dyDescent="0.2">
      <c r="A150"/>
      <c r="B150"/>
      <c r="C150"/>
      <c r="D150"/>
      <c r="E150"/>
      <c r="F150"/>
      <c r="G150"/>
    </row>
    <row r="151" spans="1:7" ht="12.75" x14ac:dyDescent="0.2">
      <c r="A151"/>
      <c r="B151"/>
      <c r="C151"/>
      <c r="D151"/>
      <c r="E151"/>
      <c r="F151"/>
      <c r="G151"/>
    </row>
    <row r="152" spans="1:7" ht="12.75" x14ac:dyDescent="0.2">
      <c r="A152"/>
      <c r="B152"/>
      <c r="C152"/>
      <c r="D152"/>
      <c r="E152"/>
      <c r="F152"/>
      <c r="G152"/>
    </row>
    <row r="153" spans="1:7" ht="12.75" x14ac:dyDescent="0.2">
      <c r="A153"/>
      <c r="B153"/>
      <c r="C153"/>
      <c r="D153"/>
      <c r="E153"/>
      <c r="F153"/>
      <c r="G153"/>
    </row>
    <row r="154" spans="1:7" ht="12.75" x14ac:dyDescent="0.2">
      <c r="A154"/>
      <c r="B154"/>
      <c r="C154"/>
      <c r="D154"/>
      <c r="E154"/>
      <c r="F154"/>
      <c r="G154"/>
    </row>
    <row r="155" spans="1:7" ht="12.75" x14ac:dyDescent="0.2">
      <c r="A155"/>
      <c r="B155"/>
      <c r="C155"/>
      <c r="D155"/>
      <c r="E155"/>
      <c r="F155"/>
      <c r="G155"/>
    </row>
    <row r="156" spans="1:7" ht="12.75" x14ac:dyDescent="0.2">
      <c r="A156"/>
      <c r="B156"/>
      <c r="C156"/>
      <c r="D156"/>
      <c r="E156"/>
      <c r="F156"/>
      <c r="G156"/>
    </row>
    <row r="157" spans="1:7" ht="12.75" x14ac:dyDescent="0.2">
      <c r="A157"/>
      <c r="B157"/>
      <c r="C157"/>
      <c r="D157"/>
      <c r="E157"/>
      <c r="F157"/>
      <c r="G157"/>
    </row>
    <row r="158" spans="1:7" ht="12.75" x14ac:dyDescent="0.2">
      <c r="A158"/>
      <c r="B158"/>
      <c r="C158"/>
      <c r="D158"/>
      <c r="E158"/>
      <c r="F158"/>
      <c r="G158"/>
    </row>
    <row r="159" spans="1:7" ht="12.75" x14ac:dyDescent="0.2">
      <c r="A159"/>
      <c r="B159"/>
      <c r="C159"/>
      <c r="D159"/>
      <c r="E159"/>
      <c r="F159"/>
      <c r="G159"/>
    </row>
    <row r="160" spans="1:7" ht="12.75" x14ac:dyDescent="0.2">
      <c r="A160"/>
      <c r="B160"/>
      <c r="C160"/>
      <c r="D160"/>
      <c r="E160"/>
      <c r="F160"/>
      <c r="G160"/>
    </row>
    <row r="161" spans="1:7" ht="12.75" x14ac:dyDescent="0.2">
      <c r="A161"/>
      <c r="B161"/>
      <c r="C161"/>
      <c r="D161"/>
      <c r="E161"/>
      <c r="F161"/>
      <c r="G161"/>
    </row>
    <row r="162" spans="1:7" ht="12.75" x14ac:dyDescent="0.2">
      <c r="A162"/>
      <c r="B162"/>
      <c r="C162"/>
      <c r="D162"/>
      <c r="E162"/>
      <c r="F162"/>
      <c r="G162"/>
    </row>
    <row r="163" spans="1:7" ht="12.75" x14ac:dyDescent="0.2">
      <c r="A163"/>
      <c r="B163"/>
      <c r="C163"/>
      <c r="D163"/>
      <c r="E163"/>
      <c r="F163"/>
      <c r="G163"/>
    </row>
    <row r="164" spans="1:7" ht="12.75" x14ac:dyDescent="0.2">
      <c r="A164"/>
      <c r="B164"/>
      <c r="C164"/>
      <c r="D164"/>
      <c r="E164"/>
      <c r="F164"/>
      <c r="G164"/>
    </row>
    <row r="165" spans="1:7" ht="12.75" x14ac:dyDescent="0.2">
      <c r="A165"/>
      <c r="B165"/>
      <c r="C165"/>
      <c r="D165"/>
      <c r="E165"/>
      <c r="F165"/>
      <c r="G165"/>
    </row>
    <row r="166" spans="1:7" ht="12.75" x14ac:dyDescent="0.2">
      <c r="A166"/>
      <c r="B166"/>
      <c r="C166"/>
      <c r="D166"/>
      <c r="E166"/>
      <c r="F166"/>
      <c r="G166"/>
    </row>
    <row r="167" spans="1:7" ht="12.75" x14ac:dyDescent="0.2">
      <c r="A167"/>
      <c r="B167"/>
      <c r="C167"/>
      <c r="D167"/>
      <c r="E167"/>
      <c r="F167"/>
      <c r="G167"/>
    </row>
    <row r="168" spans="1:7" ht="12.75" x14ac:dyDescent="0.2">
      <c r="A168"/>
      <c r="B168"/>
      <c r="C168"/>
      <c r="D168"/>
      <c r="E168"/>
      <c r="F168"/>
      <c r="G168"/>
    </row>
    <row r="169" spans="1:7" ht="12.75" x14ac:dyDescent="0.2">
      <c r="A169"/>
      <c r="B169"/>
      <c r="C169"/>
      <c r="D169"/>
      <c r="E169"/>
      <c r="F169"/>
      <c r="G169"/>
    </row>
    <row r="170" spans="1:7" ht="12.75" x14ac:dyDescent="0.2">
      <c r="A170"/>
      <c r="B170"/>
      <c r="C170"/>
      <c r="D170"/>
      <c r="E170"/>
      <c r="F170"/>
      <c r="G170"/>
    </row>
    <row r="171" spans="1:7" ht="12.75" x14ac:dyDescent="0.2">
      <c r="A171"/>
      <c r="B171"/>
      <c r="C171"/>
      <c r="D171"/>
      <c r="E171"/>
      <c r="F171"/>
      <c r="G171"/>
    </row>
    <row r="172" spans="1:7" ht="12.75" x14ac:dyDescent="0.2">
      <c r="A172"/>
      <c r="B172"/>
      <c r="C172"/>
      <c r="D172"/>
      <c r="E172"/>
      <c r="F172"/>
      <c r="G172" s="27"/>
    </row>
    <row r="173" spans="1:7" ht="12.75" x14ac:dyDescent="0.2">
      <c r="A173"/>
      <c r="B173"/>
      <c r="C173"/>
      <c r="D173"/>
      <c r="E173"/>
      <c r="F173"/>
      <c r="G173" s="27"/>
    </row>
    <row r="174" spans="1:7" ht="12.75" x14ac:dyDescent="0.2">
      <c r="A174"/>
      <c r="B174"/>
      <c r="C174"/>
      <c r="D174"/>
      <c r="E174"/>
      <c r="F174"/>
      <c r="G174" s="27"/>
    </row>
    <row r="175" spans="1:7" ht="12.75" x14ac:dyDescent="0.2">
      <c r="A175"/>
      <c r="B175"/>
      <c r="C175"/>
      <c r="D175"/>
      <c r="E175"/>
      <c r="F175"/>
      <c r="G175" s="27"/>
    </row>
    <row r="176" spans="1:7" ht="12.75" x14ac:dyDescent="0.2">
      <c r="A176"/>
      <c r="B176"/>
      <c r="C176"/>
      <c r="D176"/>
      <c r="E176"/>
      <c r="F176"/>
      <c r="G176" s="27"/>
    </row>
    <row r="177" spans="1:7" ht="12.75" x14ac:dyDescent="0.2">
      <c r="A177"/>
      <c r="B177"/>
      <c r="C177"/>
      <c r="D177"/>
      <c r="E177"/>
      <c r="F177"/>
      <c r="G177" s="27"/>
    </row>
    <row r="178" spans="1:7" ht="12.75" x14ac:dyDescent="0.2">
      <c r="A178"/>
      <c r="B178"/>
      <c r="C178"/>
      <c r="D178"/>
      <c r="E178"/>
      <c r="F178"/>
      <c r="G178" s="27"/>
    </row>
    <row r="179" spans="1:7" ht="12.75" x14ac:dyDescent="0.2">
      <c r="A179"/>
      <c r="B179"/>
      <c r="C179"/>
      <c r="D179"/>
      <c r="E179"/>
      <c r="F179"/>
      <c r="G179" s="27"/>
    </row>
    <row r="180" spans="1:7" ht="12.75" x14ac:dyDescent="0.2">
      <c r="A180"/>
      <c r="B180"/>
      <c r="C180"/>
      <c r="D180"/>
      <c r="E180"/>
      <c r="F180"/>
      <c r="G180" s="27"/>
    </row>
    <row r="181" spans="1:7" ht="12.75" x14ac:dyDescent="0.2">
      <c r="A181"/>
      <c r="B181"/>
      <c r="C181"/>
      <c r="D181"/>
      <c r="E181"/>
      <c r="F181"/>
      <c r="G181" s="27"/>
    </row>
    <row r="182" spans="1:7" ht="12.75" x14ac:dyDescent="0.2">
      <c r="A182"/>
      <c r="B182"/>
      <c r="C182"/>
      <c r="D182"/>
      <c r="E182"/>
      <c r="F182"/>
      <c r="G182" s="27"/>
    </row>
    <row r="183" spans="1:7" ht="12.75" x14ac:dyDescent="0.2">
      <c r="A183"/>
      <c r="B183"/>
      <c r="C183"/>
      <c r="D183"/>
      <c r="E183"/>
      <c r="F183"/>
      <c r="G183" s="27"/>
    </row>
    <row r="184" spans="1:7" ht="12.75" x14ac:dyDescent="0.2">
      <c r="A184"/>
      <c r="B184"/>
      <c r="C184"/>
      <c r="D184"/>
      <c r="E184"/>
      <c r="F184"/>
      <c r="G184" s="27"/>
    </row>
    <row r="185" spans="1:7" ht="12.75" x14ac:dyDescent="0.2">
      <c r="A185"/>
      <c r="B185"/>
      <c r="C185"/>
      <c r="D185"/>
      <c r="E185"/>
      <c r="F185"/>
      <c r="G185" s="27"/>
    </row>
    <row r="186" spans="1:7" ht="12.75" x14ac:dyDescent="0.2">
      <c r="A186"/>
      <c r="B186"/>
      <c r="C186"/>
      <c r="D186"/>
      <c r="E186"/>
      <c r="F186"/>
      <c r="G186" s="27"/>
    </row>
    <row r="187" spans="1:7" ht="12.75" x14ac:dyDescent="0.2">
      <c r="A187"/>
      <c r="B187"/>
      <c r="C187"/>
      <c r="D187"/>
      <c r="E187"/>
      <c r="F187"/>
      <c r="G187" s="27"/>
    </row>
    <row r="188" spans="1:7" ht="12.75" x14ac:dyDescent="0.2">
      <c r="A188"/>
      <c r="B188"/>
      <c r="C188"/>
      <c r="D188"/>
      <c r="E188"/>
      <c r="F188"/>
      <c r="G188" s="27"/>
    </row>
    <row r="189" spans="1:7" ht="12.75" x14ac:dyDescent="0.2">
      <c r="A189"/>
      <c r="B189"/>
      <c r="C189"/>
      <c r="D189"/>
      <c r="E189"/>
      <c r="F189"/>
      <c r="G189" s="27"/>
    </row>
    <row r="190" spans="1:7" ht="12.75" x14ac:dyDescent="0.2">
      <c r="A190"/>
      <c r="B190"/>
      <c r="C190"/>
      <c r="D190"/>
      <c r="E190"/>
      <c r="F190"/>
      <c r="G190" s="27"/>
    </row>
    <row r="191" spans="1:7" ht="12.75" x14ac:dyDescent="0.2">
      <c r="A191"/>
      <c r="B191"/>
      <c r="C191"/>
      <c r="D191"/>
      <c r="E191"/>
      <c r="F191"/>
      <c r="G191" s="27"/>
    </row>
    <row r="192" spans="1:7" ht="12.75" x14ac:dyDescent="0.2">
      <c r="A192"/>
      <c r="B192"/>
      <c r="C192"/>
      <c r="D192"/>
      <c r="E192"/>
      <c r="F192"/>
      <c r="G192" s="27"/>
    </row>
    <row r="193" spans="1:7" ht="12.75" x14ac:dyDescent="0.2">
      <c r="A193"/>
      <c r="B193"/>
      <c r="C193"/>
      <c r="D193"/>
      <c r="E193"/>
      <c r="F193"/>
      <c r="G193" s="27"/>
    </row>
    <row r="194" spans="1:7" ht="12.75" x14ac:dyDescent="0.2">
      <c r="A194"/>
      <c r="B194"/>
      <c r="C194"/>
      <c r="D194"/>
      <c r="E194"/>
      <c r="F194"/>
      <c r="G194" s="27"/>
    </row>
    <row r="195" spans="1:7" ht="12.75" x14ac:dyDescent="0.2">
      <c r="A195"/>
      <c r="B195"/>
      <c r="C195"/>
      <c r="D195"/>
      <c r="E195"/>
      <c r="F195"/>
      <c r="G195" s="27"/>
    </row>
    <row r="196" spans="1:7" ht="12.75" x14ac:dyDescent="0.2">
      <c r="A196"/>
      <c r="B196"/>
      <c r="C196"/>
      <c r="D196"/>
      <c r="E196"/>
      <c r="F196"/>
      <c r="G196" s="27"/>
    </row>
    <row r="197" spans="1:7" ht="12.75" x14ac:dyDescent="0.2">
      <c r="A197"/>
      <c r="B197"/>
      <c r="C197"/>
      <c r="D197"/>
      <c r="E197"/>
      <c r="F197"/>
      <c r="G197" s="27"/>
    </row>
    <row r="198" spans="1:7" ht="12.75" x14ac:dyDescent="0.2">
      <c r="A198"/>
      <c r="B198"/>
      <c r="C198"/>
      <c r="D198"/>
      <c r="E198"/>
      <c r="F198"/>
      <c r="G198" s="27"/>
    </row>
    <row r="199" spans="1:7" ht="12.75" x14ac:dyDescent="0.2">
      <c r="A199"/>
      <c r="B199"/>
      <c r="C199"/>
      <c r="D199"/>
      <c r="E199"/>
      <c r="F199"/>
      <c r="G199" s="27"/>
    </row>
    <row r="200" spans="1:7" ht="12.75" x14ac:dyDescent="0.2">
      <c r="A200"/>
      <c r="B200"/>
      <c r="C200"/>
      <c r="D200"/>
      <c r="E200"/>
      <c r="F200"/>
      <c r="G200" s="27"/>
    </row>
    <row r="201" spans="1:7" ht="12.75" x14ac:dyDescent="0.2">
      <c r="A201"/>
      <c r="B201"/>
      <c r="C201"/>
      <c r="D201"/>
      <c r="E201"/>
      <c r="F201"/>
      <c r="G201" s="27"/>
    </row>
    <row r="202" spans="1:7" ht="12.75" x14ac:dyDescent="0.2">
      <c r="A202"/>
      <c r="B202"/>
      <c r="C202"/>
      <c r="D202"/>
      <c r="E202"/>
      <c r="F202"/>
      <c r="G202" s="27"/>
    </row>
    <row r="203" spans="1:7" ht="12.75" x14ac:dyDescent="0.2">
      <c r="A203"/>
      <c r="B203"/>
      <c r="C203"/>
      <c r="D203"/>
      <c r="E203"/>
      <c r="F203"/>
      <c r="G203" s="27"/>
    </row>
    <row r="204" spans="1:7" ht="12.75" x14ac:dyDescent="0.2">
      <c r="A204"/>
      <c r="B204"/>
      <c r="C204"/>
      <c r="D204"/>
      <c r="E204"/>
      <c r="F204"/>
      <c r="G204" s="27"/>
    </row>
    <row r="205" spans="1:7" ht="12.75" x14ac:dyDescent="0.2">
      <c r="A205"/>
      <c r="B205"/>
      <c r="C205"/>
      <c r="D205"/>
      <c r="E205"/>
      <c r="F205"/>
      <c r="G205" s="27"/>
    </row>
    <row r="206" spans="1:7" ht="12.75" x14ac:dyDescent="0.2">
      <c r="A206"/>
      <c r="B206"/>
      <c r="C206"/>
      <c r="D206"/>
      <c r="E206"/>
      <c r="F206"/>
      <c r="G206" s="27"/>
    </row>
    <row r="207" spans="1:7" ht="12.75" x14ac:dyDescent="0.2">
      <c r="A207"/>
      <c r="B207"/>
      <c r="C207"/>
      <c r="D207"/>
      <c r="E207"/>
      <c r="F207"/>
      <c r="G207" s="27"/>
    </row>
    <row r="208" spans="1:7" ht="12.75" x14ac:dyDescent="0.2">
      <c r="A208"/>
      <c r="B208"/>
      <c r="C208"/>
      <c r="D208"/>
      <c r="E208"/>
      <c r="F208"/>
      <c r="G208" s="27"/>
    </row>
    <row r="209" spans="1:7" ht="12.75" x14ac:dyDescent="0.2">
      <c r="A209"/>
      <c r="B209"/>
      <c r="C209"/>
      <c r="D209"/>
      <c r="E209"/>
      <c r="F209"/>
      <c r="G209" s="27"/>
    </row>
    <row r="210" spans="1:7" ht="12.75" x14ac:dyDescent="0.2">
      <c r="A210"/>
      <c r="B210"/>
      <c r="C210"/>
      <c r="D210"/>
      <c r="E210"/>
      <c r="F210"/>
      <c r="G210" s="27"/>
    </row>
    <row r="211" spans="1:7" ht="12.75" x14ac:dyDescent="0.2">
      <c r="A211"/>
      <c r="B211"/>
      <c r="C211"/>
      <c r="D211"/>
      <c r="E211"/>
      <c r="F211"/>
      <c r="G211" s="27"/>
    </row>
    <row r="212" spans="1:7" ht="12.75" x14ac:dyDescent="0.2">
      <c r="A212"/>
      <c r="B212"/>
      <c r="C212"/>
      <c r="D212"/>
      <c r="E212"/>
      <c r="F212"/>
      <c r="G212" s="27"/>
    </row>
    <row r="213" spans="1:7" ht="12.75" x14ac:dyDescent="0.2">
      <c r="A213"/>
      <c r="B213"/>
      <c r="C213"/>
      <c r="D213"/>
      <c r="E213"/>
      <c r="F213"/>
      <c r="G213" s="27"/>
    </row>
    <row r="214" spans="1:7" ht="12.75" x14ac:dyDescent="0.2">
      <c r="A214"/>
      <c r="B214"/>
      <c r="C214"/>
      <c r="D214"/>
      <c r="E214"/>
      <c r="F214"/>
      <c r="G214" s="27"/>
    </row>
    <row r="215" spans="1:7" ht="12.75" x14ac:dyDescent="0.2">
      <c r="A215"/>
      <c r="B215"/>
      <c r="C215"/>
      <c r="D215"/>
      <c r="E215"/>
      <c r="F215"/>
      <c r="G215" s="27"/>
    </row>
    <row r="216" spans="1:7" ht="12.75" x14ac:dyDescent="0.2">
      <c r="A216"/>
      <c r="B216"/>
      <c r="C216"/>
      <c r="D216"/>
      <c r="E216"/>
      <c r="F216"/>
      <c r="G216" s="27"/>
    </row>
    <row r="217" spans="1:7" ht="12.75" x14ac:dyDescent="0.2">
      <c r="A217"/>
      <c r="B217"/>
      <c r="C217"/>
      <c r="D217"/>
      <c r="E217"/>
      <c r="F217"/>
      <c r="G217" s="27"/>
    </row>
    <row r="218" spans="1:7" ht="12.75" x14ac:dyDescent="0.2">
      <c r="A218"/>
      <c r="B218"/>
      <c r="C218"/>
      <c r="D218"/>
      <c r="E218"/>
      <c r="F218"/>
      <c r="G218" s="27"/>
    </row>
    <row r="219" spans="1:7" ht="12.75" x14ac:dyDescent="0.2">
      <c r="A219"/>
      <c r="B219"/>
      <c r="C219"/>
      <c r="D219"/>
      <c r="E219"/>
      <c r="F219"/>
      <c r="G219" s="27"/>
    </row>
    <row r="220" spans="1:7" ht="12.75" x14ac:dyDescent="0.2">
      <c r="A220"/>
      <c r="B220"/>
      <c r="C220"/>
      <c r="D220"/>
      <c r="E220"/>
      <c r="F220"/>
      <c r="G220" s="27"/>
    </row>
    <row r="221" spans="1:7" ht="12.75" x14ac:dyDescent="0.2">
      <c r="A221"/>
      <c r="B221"/>
      <c r="C221"/>
      <c r="D221"/>
      <c r="E221"/>
      <c r="F221"/>
      <c r="G221" s="27"/>
    </row>
    <row r="222" spans="1:7" ht="12.75" x14ac:dyDescent="0.2">
      <c r="A222"/>
      <c r="B222"/>
      <c r="C222"/>
      <c r="D222"/>
      <c r="E222"/>
      <c r="F222"/>
      <c r="G222" s="27"/>
    </row>
    <row r="223" spans="1:7" ht="12.75" x14ac:dyDescent="0.2">
      <c r="A223"/>
      <c r="B223"/>
      <c r="C223"/>
      <c r="D223"/>
      <c r="E223"/>
      <c r="F223"/>
      <c r="G223" s="27"/>
    </row>
    <row r="224" spans="1:7" ht="12.75" x14ac:dyDescent="0.2">
      <c r="A224"/>
      <c r="B224"/>
      <c r="C224"/>
      <c r="D224"/>
      <c r="E224"/>
      <c r="F224"/>
      <c r="G224" s="27"/>
    </row>
    <row r="225" spans="1:7" ht="12.75" x14ac:dyDescent="0.2">
      <c r="A225"/>
      <c r="B225"/>
      <c r="C225"/>
      <c r="D225"/>
      <c r="E225"/>
      <c r="F225"/>
      <c r="G225" s="27"/>
    </row>
    <row r="226" spans="1:7" ht="12.75" x14ac:dyDescent="0.2">
      <c r="A226"/>
      <c r="B226"/>
      <c r="C226"/>
      <c r="D226"/>
      <c r="E226"/>
      <c r="F226"/>
      <c r="G226" s="27"/>
    </row>
    <row r="227" spans="1:7" ht="12.75" x14ac:dyDescent="0.2">
      <c r="A227"/>
      <c r="B227"/>
      <c r="C227"/>
      <c r="D227"/>
      <c r="E227"/>
      <c r="F227"/>
      <c r="G227" s="27"/>
    </row>
    <row r="228" spans="1:7" ht="12.75" x14ac:dyDescent="0.2">
      <c r="A228"/>
      <c r="B228"/>
      <c r="C228"/>
      <c r="D228"/>
      <c r="E228"/>
      <c r="F228"/>
      <c r="G228" s="27"/>
    </row>
    <row r="229" spans="1:7" ht="12.75" x14ac:dyDescent="0.2">
      <c r="A229"/>
      <c r="B229"/>
      <c r="C229"/>
      <c r="D229"/>
      <c r="E229"/>
      <c r="F229"/>
      <c r="G229" s="27"/>
    </row>
    <row r="230" spans="1:7" ht="12.75" x14ac:dyDescent="0.2">
      <c r="A230"/>
      <c r="B230"/>
      <c r="C230"/>
      <c r="D230"/>
      <c r="E230"/>
      <c r="F230"/>
      <c r="G230" s="27"/>
    </row>
    <row r="231" spans="1:7" ht="12.75" x14ac:dyDescent="0.2">
      <c r="A231"/>
      <c r="B231"/>
      <c r="C231"/>
      <c r="D231"/>
      <c r="E231"/>
      <c r="F231"/>
      <c r="G231" s="27"/>
    </row>
    <row r="232" spans="1:7" ht="12.75" x14ac:dyDescent="0.2">
      <c r="A232"/>
      <c r="B232"/>
      <c r="C232"/>
      <c r="D232"/>
      <c r="E232"/>
      <c r="F232"/>
      <c r="G232" s="27"/>
    </row>
    <row r="233" spans="1:7" ht="12.75" x14ac:dyDescent="0.2">
      <c r="A233"/>
      <c r="B233"/>
      <c r="C233"/>
      <c r="D233"/>
      <c r="E233"/>
      <c r="F233"/>
      <c r="G233" s="27"/>
    </row>
    <row r="234" spans="1:7" ht="12.75" x14ac:dyDescent="0.2">
      <c r="A234"/>
      <c r="B234"/>
      <c r="C234"/>
      <c r="D234"/>
      <c r="E234"/>
      <c r="F234"/>
      <c r="G234" s="27"/>
    </row>
    <row r="235" spans="1:7" ht="12.75" x14ac:dyDescent="0.2">
      <c r="A235"/>
      <c r="B235"/>
      <c r="C235"/>
      <c r="D235"/>
      <c r="E235"/>
      <c r="F235"/>
      <c r="G235" s="27"/>
    </row>
    <row r="236" spans="1:7" ht="12.75" x14ac:dyDescent="0.2">
      <c r="A236"/>
      <c r="B236"/>
      <c r="C236"/>
      <c r="D236"/>
      <c r="E236"/>
      <c r="F236"/>
      <c r="G236" s="27"/>
    </row>
    <row r="237" spans="1:7" ht="12.75" x14ac:dyDescent="0.2">
      <c r="A237"/>
      <c r="B237"/>
      <c r="C237"/>
      <c r="D237"/>
      <c r="E237"/>
      <c r="F237"/>
      <c r="G237" s="27"/>
    </row>
    <row r="238" spans="1:7" ht="12.75" x14ac:dyDescent="0.2">
      <c r="A238"/>
      <c r="B238"/>
      <c r="C238"/>
      <c r="D238"/>
      <c r="E238"/>
      <c r="F238"/>
      <c r="G238" s="27"/>
    </row>
    <row r="239" spans="1:7" ht="12.75" x14ac:dyDescent="0.2">
      <c r="A239"/>
      <c r="B239"/>
      <c r="C239"/>
      <c r="D239"/>
      <c r="E239"/>
      <c r="F239"/>
      <c r="G239" s="27"/>
    </row>
    <row r="240" spans="1:7" ht="12.75" x14ac:dyDescent="0.2">
      <c r="A240"/>
      <c r="B240"/>
      <c r="C240"/>
      <c r="D240"/>
      <c r="E240"/>
      <c r="F240"/>
      <c r="G240" s="27"/>
    </row>
    <row r="241" spans="1:7" ht="12.75" x14ac:dyDescent="0.2">
      <c r="A241"/>
      <c r="B241"/>
      <c r="C241"/>
      <c r="D241"/>
      <c r="E241"/>
      <c r="F241"/>
      <c r="G241" s="27"/>
    </row>
    <row r="242" spans="1:7" ht="12.75" x14ac:dyDescent="0.2">
      <c r="A242"/>
      <c r="B242"/>
      <c r="C242"/>
      <c r="D242"/>
      <c r="E242"/>
      <c r="F242"/>
      <c r="G242" s="27"/>
    </row>
    <row r="243" spans="1:7" ht="12.75" x14ac:dyDescent="0.2">
      <c r="A243"/>
      <c r="B243"/>
      <c r="C243"/>
      <c r="D243"/>
      <c r="E243"/>
      <c r="F243"/>
      <c r="G243" s="27"/>
    </row>
    <row r="244" spans="1:7" ht="12.75" x14ac:dyDescent="0.2">
      <c r="A244"/>
      <c r="B244"/>
      <c r="C244"/>
      <c r="D244"/>
      <c r="E244"/>
      <c r="F244"/>
      <c r="G244" s="27"/>
    </row>
    <row r="245" spans="1:7" ht="12.75" x14ac:dyDescent="0.2">
      <c r="A245"/>
      <c r="B245"/>
      <c r="C245"/>
      <c r="D245"/>
      <c r="E245"/>
      <c r="F245"/>
      <c r="G245" s="27"/>
    </row>
    <row r="246" spans="1:7" ht="12.75" x14ac:dyDescent="0.2">
      <c r="A246"/>
      <c r="B246"/>
      <c r="C246"/>
      <c r="D246"/>
      <c r="E246"/>
      <c r="F246"/>
      <c r="G246" s="27"/>
    </row>
    <row r="247" spans="1:7" ht="12.75" x14ac:dyDescent="0.2">
      <c r="A247"/>
      <c r="B247"/>
      <c r="C247"/>
      <c r="D247"/>
      <c r="E247"/>
      <c r="F247"/>
      <c r="G247" s="27"/>
    </row>
    <row r="248" spans="1:7" ht="12.75" x14ac:dyDescent="0.2">
      <c r="A248"/>
      <c r="B248"/>
      <c r="C248"/>
      <c r="D248"/>
      <c r="E248"/>
      <c r="F248"/>
      <c r="G248" s="27"/>
    </row>
    <row r="249" spans="1:7" ht="12.75" x14ac:dyDescent="0.2">
      <c r="A249"/>
      <c r="B249"/>
      <c r="C249"/>
      <c r="D249"/>
      <c r="E249"/>
      <c r="F249"/>
      <c r="G249" s="27"/>
    </row>
    <row r="250" spans="1:7" ht="12.75" x14ac:dyDescent="0.2">
      <c r="A250"/>
      <c r="B250"/>
      <c r="C250"/>
      <c r="D250"/>
      <c r="E250"/>
      <c r="F250"/>
      <c r="G250" s="27"/>
    </row>
    <row r="251" spans="1:7" ht="12.75" x14ac:dyDescent="0.2">
      <c r="A251"/>
      <c r="B251"/>
      <c r="C251"/>
      <c r="D251"/>
      <c r="E251"/>
      <c r="F251"/>
      <c r="G251" s="27"/>
    </row>
    <row r="252" spans="1:7" ht="12.75" x14ac:dyDescent="0.2">
      <c r="A252"/>
      <c r="B252"/>
      <c r="C252"/>
      <c r="D252"/>
      <c r="E252"/>
      <c r="F252"/>
      <c r="G252" s="27"/>
    </row>
    <row r="253" spans="1:7" ht="12.75" x14ac:dyDescent="0.2">
      <c r="A253"/>
      <c r="B253"/>
      <c r="C253"/>
      <c r="D253"/>
      <c r="E253"/>
      <c r="F253"/>
      <c r="G253" s="27"/>
    </row>
    <row r="254" spans="1:7" ht="12.75" x14ac:dyDescent="0.2">
      <c r="A254"/>
      <c r="B254"/>
      <c r="C254"/>
      <c r="D254"/>
      <c r="E254"/>
      <c r="F254"/>
      <c r="G254" s="27"/>
    </row>
    <row r="255" spans="1:7" ht="12.75" x14ac:dyDescent="0.2">
      <c r="A255"/>
      <c r="B255"/>
      <c r="C255"/>
      <c r="D255"/>
      <c r="E255"/>
      <c r="F255"/>
      <c r="G255" s="27"/>
    </row>
    <row r="256" spans="1:7" ht="12.75" x14ac:dyDescent="0.2">
      <c r="A256"/>
      <c r="B256"/>
      <c r="C256"/>
      <c r="D256"/>
      <c r="E256"/>
      <c r="F256"/>
      <c r="G256" s="27"/>
    </row>
    <row r="257" spans="1:7" ht="12.75" x14ac:dyDescent="0.2">
      <c r="A257"/>
      <c r="B257"/>
      <c r="C257"/>
      <c r="D257"/>
      <c r="E257"/>
      <c r="F257"/>
      <c r="G257" s="27"/>
    </row>
    <row r="258" spans="1:7" ht="12.75" x14ac:dyDescent="0.2">
      <c r="A258"/>
      <c r="B258"/>
      <c r="C258"/>
      <c r="D258"/>
      <c r="E258"/>
      <c r="F258"/>
      <c r="G258" s="27"/>
    </row>
    <row r="259" spans="1:7" ht="12.75" x14ac:dyDescent="0.2">
      <c r="A259"/>
      <c r="B259"/>
      <c r="C259"/>
      <c r="D259"/>
      <c r="E259"/>
      <c r="F259"/>
      <c r="G259" s="27"/>
    </row>
    <row r="260" spans="1:7" ht="12.75" x14ac:dyDescent="0.2">
      <c r="A260"/>
      <c r="B260"/>
      <c r="C260"/>
      <c r="D260"/>
      <c r="E260"/>
      <c r="F260"/>
      <c r="G260" s="27"/>
    </row>
    <row r="261" spans="1:7" ht="12.75" x14ac:dyDescent="0.2">
      <c r="A261"/>
      <c r="B261"/>
      <c r="C261"/>
      <c r="D261"/>
      <c r="E261"/>
      <c r="F261"/>
      <c r="G261" s="27"/>
    </row>
    <row r="262" spans="1:7" ht="12.75" x14ac:dyDescent="0.2">
      <c r="A262"/>
      <c r="B262"/>
      <c r="C262"/>
      <c r="D262"/>
      <c r="E262"/>
      <c r="F262"/>
      <c r="G262" s="27"/>
    </row>
    <row r="263" spans="1:7" ht="12.75" x14ac:dyDescent="0.2">
      <c r="A263"/>
      <c r="B263"/>
      <c r="C263"/>
      <c r="D263"/>
      <c r="E263"/>
      <c r="F263"/>
      <c r="G263" s="27"/>
    </row>
    <row r="264" spans="1:7" ht="12.75" x14ac:dyDescent="0.2">
      <c r="A264"/>
      <c r="B264"/>
      <c r="C264"/>
      <c r="D264"/>
      <c r="E264"/>
      <c r="F264"/>
      <c r="G264" s="27"/>
    </row>
    <row r="265" spans="1:7" ht="12.75" x14ac:dyDescent="0.2">
      <c r="A265"/>
      <c r="B265"/>
      <c r="C265"/>
      <c r="D265"/>
      <c r="E265"/>
      <c r="F265"/>
      <c r="G265" s="27"/>
    </row>
    <row r="266" spans="1:7" ht="12.75" x14ac:dyDescent="0.2">
      <c r="A266"/>
      <c r="B266"/>
      <c r="C266"/>
      <c r="D266"/>
      <c r="E266"/>
      <c r="F266"/>
      <c r="G266" s="27"/>
    </row>
    <row r="267" spans="1:7" ht="12.75" x14ac:dyDescent="0.2">
      <c r="A267"/>
      <c r="B267"/>
      <c r="C267"/>
      <c r="D267"/>
      <c r="E267"/>
      <c r="F267"/>
      <c r="G267" s="27"/>
    </row>
    <row r="268" spans="1:7" ht="12.75" x14ac:dyDescent="0.2">
      <c r="A268"/>
      <c r="B268"/>
      <c r="C268"/>
      <c r="D268"/>
      <c r="E268"/>
      <c r="F268"/>
      <c r="G268" s="27"/>
    </row>
    <row r="269" spans="1:7" ht="12.75" x14ac:dyDescent="0.2">
      <c r="A269"/>
      <c r="B269"/>
      <c r="C269"/>
      <c r="D269"/>
      <c r="E269"/>
      <c r="F269"/>
      <c r="G269" s="27"/>
    </row>
    <row r="270" spans="1:7" ht="12.75" x14ac:dyDescent="0.2">
      <c r="A270"/>
      <c r="B270"/>
      <c r="C270"/>
      <c r="D270"/>
      <c r="E270"/>
      <c r="F270"/>
      <c r="G270" s="27"/>
    </row>
    <row r="271" spans="1:7" ht="12.75" x14ac:dyDescent="0.2">
      <c r="A271"/>
      <c r="B271"/>
      <c r="C271"/>
      <c r="D271"/>
      <c r="E271"/>
      <c r="F271"/>
      <c r="G271" s="27"/>
    </row>
    <row r="272" spans="1:7" ht="12.75" x14ac:dyDescent="0.2">
      <c r="A272"/>
      <c r="B272"/>
      <c r="C272"/>
      <c r="D272"/>
      <c r="E272"/>
      <c r="F272"/>
      <c r="G272" s="27"/>
    </row>
    <row r="273" spans="1:7" ht="12.75" x14ac:dyDescent="0.2">
      <c r="A273"/>
      <c r="B273"/>
      <c r="C273"/>
      <c r="D273"/>
      <c r="E273"/>
      <c r="F273"/>
      <c r="G273" s="27"/>
    </row>
    <row r="274" spans="1:7" ht="12.75" x14ac:dyDescent="0.2">
      <c r="A274"/>
      <c r="B274"/>
      <c r="C274"/>
      <c r="D274"/>
      <c r="E274"/>
      <c r="F274"/>
      <c r="G274" s="27"/>
    </row>
    <row r="275" spans="1:7" ht="12.75" x14ac:dyDescent="0.2">
      <c r="A275"/>
      <c r="B275"/>
      <c r="C275"/>
      <c r="D275"/>
      <c r="E275"/>
      <c r="F275"/>
      <c r="G275" s="27"/>
    </row>
    <row r="276" spans="1:7" ht="12.75" x14ac:dyDescent="0.2">
      <c r="A276"/>
      <c r="B276"/>
      <c r="C276"/>
      <c r="D276"/>
      <c r="E276"/>
      <c r="F276"/>
      <c r="G276" s="27"/>
    </row>
    <row r="277" spans="1:7" ht="12.75" x14ac:dyDescent="0.2">
      <c r="A277"/>
      <c r="B277"/>
      <c r="C277"/>
      <c r="D277"/>
      <c r="E277"/>
      <c r="F277"/>
      <c r="G277" s="27"/>
    </row>
    <row r="278" spans="1:7" ht="12.75" x14ac:dyDescent="0.2">
      <c r="A278"/>
      <c r="B278"/>
      <c r="C278"/>
      <c r="D278"/>
      <c r="E278"/>
      <c r="F278"/>
      <c r="G278" s="27"/>
    </row>
    <row r="279" spans="1:7" ht="12.75" x14ac:dyDescent="0.2">
      <c r="A279"/>
      <c r="B279"/>
      <c r="C279"/>
      <c r="D279"/>
      <c r="E279"/>
      <c r="F279"/>
      <c r="G279" s="27"/>
    </row>
    <row r="280" spans="1:7" ht="12.75" x14ac:dyDescent="0.2">
      <c r="A280"/>
      <c r="B280"/>
      <c r="C280"/>
      <c r="D280"/>
      <c r="E280"/>
      <c r="F280"/>
      <c r="G280" s="27"/>
    </row>
    <row r="281" spans="1:7" ht="12.75" x14ac:dyDescent="0.2">
      <c r="A281"/>
      <c r="B281"/>
      <c r="C281"/>
      <c r="D281"/>
      <c r="E281"/>
      <c r="F281"/>
      <c r="G281" s="27"/>
    </row>
    <row r="282" spans="1:7" ht="12.75" x14ac:dyDescent="0.2">
      <c r="A282"/>
      <c r="B282"/>
      <c r="C282"/>
      <c r="D282"/>
      <c r="E282"/>
      <c r="F282"/>
      <c r="G282" s="27"/>
    </row>
    <row r="283" spans="1:7" ht="12.75" x14ac:dyDescent="0.2">
      <c r="A283"/>
      <c r="B283"/>
      <c r="C283"/>
      <c r="D283"/>
      <c r="E283"/>
      <c r="F283"/>
      <c r="G283" s="27"/>
    </row>
    <row r="284" spans="1:7" ht="12.75" x14ac:dyDescent="0.2">
      <c r="A284"/>
      <c r="B284"/>
      <c r="C284"/>
      <c r="D284"/>
      <c r="E284"/>
      <c r="F284"/>
      <c r="G284" s="27"/>
    </row>
    <row r="285" spans="1:7" ht="12.75" x14ac:dyDescent="0.2">
      <c r="A285"/>
      <c r="B285"/>
      <c r="C285"/>
      <c r="D285"/>
      <c r="E285"/>
      <c r="F285"/>
      <c r="G285" s="27"/>
    </row>
    <row r="286" spans="1:7" ht="12.75" x14ac:dyDescent="0.2">
      <c r="A286"/>
      <c r="B286"/>
      <c r="C286"/>
      <c r="D286"/>
      <c r="E286"/>
      <c r="F286"/>
      <c r="G286" s="27"/>
    </row>
    <row r="287" spans="1:7" ht="12.75" x14ac:dyDescent="0.2">
      <c r="A287"/>
      <c r="B287"/>
      <c r="C287"/>
      <c r="D287"/>
      <c r="E287"/>
      <c r="F287"/>
      <c r="G287" s="27"/>
    </row>
    <row r="288" spans="1:7" ht="12.75" x14ac:dyDescent="0.2">
      <c r="A288"/>
      <c r="B288"/>
      <c r="C288"/>
      <c r="D288"/>
      <c r="E288"/>
      <c r="F288"/>
      <c r="G288" s="27"/>
    </row>
    <row r="289" spans="1:7" ht="12.75" x14ac:dyDescent="0.2">
      <c r="A289"/>
      <c r="B289"/>
      <c r="C289"/>
      <c r="D289"/>
      <c r="E289"/>
      <c r="F289"/>
      <c r="G289" s="27"/>
    </row>
    <row r="290" spans="1:7" ht="12.75" x14ac:dyDescent="0.2">
      <c r="A290"/>
      <c r="B290"/>
      <c r="C290"/>
      <c r="D290"/>
      <c r="E290"/>
      <c r="F290"/>
      <c r="G290" s="27"/>
    </row>
    <row r="291" spans="1:7" ht="12.75" x14ac:dyDescent="0.2">
      <c r="A291"/>
      <c r="B291"/>
      <c r="C291"/>
      <c r="D291"/>
      <c r="E291"/>
      <c r="F291"/>
      <c r="G291" s="27"/>
    </row>
    <row r="292" spans="1:7" ht="12.75" x14ac:dyDescent="0.2">
      <c r="A292"/>
      <c r="B292"/>
      <c r="C292"/>
      <c r="D292"/>
      <c r="E292"/>
      <c r="F292"/>
      <c r="G292" s="27"/>
    </row>
    <row r="293" spans="1:7" ht="12.75" x14ac:dyDescent="0.2">
      <c r="A293"/>
      <c r="B293"/>
      <c r="C293"/>
      <c r="D293"/>
      <c r="E293"/>
      <c r="F293"/>
      <c r="G293" s="27"/>
    </row>
    <row r="294" spans="1:7" ht="12.75" x14ac:dyDescent="0.2">
      <c r="A294"/>
      <c r="B294"/>
      <c r="C294"/>
      <c r="D294"/>
      <c r="E294"/>
      <c r="F294"/>
      <c r="G294" s="27"/>
    </row>
    <row r="295" spans="1:7" ht="12.75" x14ac:dyDescent="0.2">
      <c r="A295"/>
      <c r="B295"/>
      <c r="C295"/>
      <c r="D295"/>
      <c r="E295"/>
      <c r="F295"/>
      <c r="G295" s="27"/>
    </row>
    <row r="296" spans="1:7" ht="12.75" x14ac:dyDescent="0.2">
      <c r="A296"/>
      <c r="B296"/>
      <c r="C296"/>
      <c r="D296"/>
      <c r="E296"/>
      <c r="F296"/>
      <c r="G296" s="27"/>
    </row>
    <row r="297" spans="1:7" ht="12.75" x14ac:dyDescent="0.2">
      <c r="A297"/>
      <c r="B297"/>
      <c r="C297"/>
      <c r="D297"/>
      <c r="E297"/>
      <c r="F297"/>
      <c r="G297" s="27"/>
    </row>
    <row r="298" spans="1:7" ht="12.75" x14ac:dyDescent="0.2">
      <c r="A298"/>
      <c r="B298"/>
      <c r="C298"/>
      <c r="D298"/>
      <c r="E298"/>
      <c r="F298"/>
      <c r="G298" s="27"/>
    </row>
    <row r="299" spans="1:7" ht="12.75" x14ac:dyDescent="0.2">
      <c r="A299"/>
      <c r="B299"/>
      <c r="C299"/>
      <c r="D299"/>
      <c r="E299"/>
      <c r="F299"/>
      <c r="G299" s="27"/>
    </row>
    <row r="300" spans="1:7" ht="12.75" x14ac:dyDescent="0.2">
      <c r="A300"/>
      <c r="B300"/>
      <c r="C300"/>
      <c r="D300"/>
      <c r="E300"/>
      <c r="F300"/>
      <c r="G300" s="27"/>
    </row>
    <row r="301" spans="1:7" ht="12.75" x14ac:dyDescent="0.2">
      <c r="A301"/>
      <c r="B301"/>
      <c r="C301"/>
      <c r="D301"/>
      <c r="E301"/>
      <c r="F301"/>
      <c r="G301" s="27"/>
    </row>
    <row r="302" spans="1:7" ht="12.75" x14ac:dyDescent="0.2">
      <c r="A302"/>
      <c r="B302"/>
      <c r="C302"/>
      <c r="D302"/>
      <c r="E302"/>
      <c r="F302"/>
      <c r="G302" s="27"/>
    </row>
    <row r="303" spans="1:7" ht="12.75" x14ac:dyDescent="0.2">
      <c r="A303"/>
      <c r="B303"/>
      <c r="C303"/>
      <c r="D303"/>
      <c r="E303"/>
      <c r="F303"/>
      <c r="G303" s="27"/>
    </row>
    <row r="304" spans="1:7" ht="12.75" x14ac:dyDescent="0.2">
      <c r="A304"/>
      <c r="B304"/>
      <c r="C304"/>
      <c r="D304"/>
      <c r="E304"/>
      <c r="F304"/>
      <c r="G304" s="27"/>
    </row>
    <row r="305" spans="1:7" ht="12.75" x14ac:dyDescent="0.2">
      <c r="A305"/>
      <c r="B305"/>
      <c r="C305"/>
      <c r="D305"/>
      <c r="E305"/>
      <c r="F305"/>
      <c r="G305" s="27"/>
    </row>
    <row r="306" spans="1:7" ht="12.75" x14ac:dyDescent="0.2">
      <c r="A306"/>
      <c r="B306"/>
      <c r="C306"/>
      <c r="D306"/>
      <c r="E306"/>
      <c r="F306"/>
      <c r="G306" s="27"/>
    </row>
    <row r="307" spans="1:7" ht="12.75" x14ac:dyDescent="0.2">
      <c r="A307"/>
      <c r="B307"/>
      <c r="C307"/>
      <c r="D307"/>
      <c r="E307"/>
      <c r="F307"/>
      <c r="G307" s="27"/>
    </row>
    <row r="308" spans="1:7" ht="12.75" x14ac:dyDescent="0.2">
      <c r="A308"/>
      <c r="B308"/>
      <c r="C308"/>
      <c r="D308"/>
      <c r="E308"/>
      <c r="F308"/>
      <c r="G308" s="27"/>
    </row>
    <row r="309" spans="1:7" ht="12.75" x14ac:dyDescent="0.2">
      <c r="A309"/>
      <c r="B309"/>
      <c r="C309"/>
      <c r="D309"/>
      <c r="E309"/>
      <c r="F309"/>
      <c r="G309" s="27"/>
    </row>
    <row r="310" spans="1:7" ht="12.75" x14ac:dyDescent="0.2">
      <c r="A310"/>
      <c r="B310"/>
      <c r="C310"/>
      <c r="D310"/>
      <c r="E310"/>
      <c r="F310"/>
      <c r="G310" s="27"/>
    </row>
    <row r="311" spans="1:7" ht="12.75" x14ac:dyDescent="0.2">
      <c r="A311"/>
      <c r="B311"/>
      <c r="C311"/>
      <c r="D311"/>
      <c r="E311"/>
      <c r="F311"/>
      <c r="G311" s="27"/>
    </row>
    <row r="312" spans="1:7" ht="12.75" x14ac:dyDescent="0.2">
      <c r="A312"/>
      <c r="B312"/>
      <c r="C312"/>
      <c r="D312"/>
      <c r="E312"/>
      <c r="F312"/>
      <c r="G312" s="27"/>
    </row>
    <row r="313" spans="1:7" ht="12.75" x14ac:dyDescent="0.2">
      <c r="A313"/>
      <c r="B313"/>
      <c r="C313"/>
      <c r="D313"/>
      <c r="E313"/>
      <c r="F313"/>
      <c r="G313" s="27"/>
    </row>
    <row r="314" spans="1:7" ht="12.75" x14ac:dyDescent="0.2">
      <c r="A314"/>
      <c r="B314"/>
      <c r="C314"/>
      <c r="D314"/>
      <c r="E314"/>
      <c r="F314"/>
      <c r="G314" s="27"/>
    </row>
    <row r="315" spans="1:7" ht="12.75" x14ac:dyDescent="0.2">
      <c r="A315"/>
      <c r="B315"/>
      <c r="C315"/>
      <c r="D315"/>
      <c r="E315"/>
      <c r="F315"/>
      <c r="G315" s="27"/>
    </row>
    <row r="316" spans="1:7" ht="12.75" x14ac:dyDescent="0.2">
      <c r="A316"/>
      <c r="B316"/>
      <c r="C316"/>
      <c r="D316"/>
      <c r="E316"/>
      <c r="F316"/>
      <c r="G316" s="27"/>
    </row>
    <row r="317" spans="1:7" ht="12.75" x14ac:dyDescent="0.2">
      <c r="A317"/>
      <c r="B317"/>
      <c r="C317"/>
      <c r="D317"/>
      <c r="E317"/>
      <c r="F317"/>
      <c r="G317" s="27"/>
    </row>
    <row r="318" spans="1:7" ht="12.75" x14ac:dyDescent="0.2">
      <c r="A318"/>
      <c r="B318"/>
      <c r="C318"/>
      <c r="D318"/>
      <c r="E318"/>
      <c r="F318"/>
      <c r="G318" s="27"/>
    </row>
    <row r="319" spans="1:7" ht="12.75" x14ac:dyDescent="0.2">
      <c r="A319"/>
      <c r="B319"/>
      <c r="C319"/>
      <c r="D319"/>
      <c r="E319"/>
      <c r="F319"/>
      <c r="G319" s="27"/>
    </row>
    <row r="320" spans="1:7" ht="12.75" x14ac:dyDescent="0.2">
      <c r="A320"/>
      <c r="B320"/>
      <c r="C320"/>
      <c r="D320"/>
      <c r="E320"/>
      <c r="F320"/>
      <c r="G320" s="27"/>
    </row>
    <row r="321" spans="1:7" ht="12.75" x14ac:dyDescent="0.2">
      <c r="A321"/>
      <c r="B321"/>
      <c r="C321"/>
      <c r="D321"/>
      <c r="E321"/>
      <c r="F321"/>
      <c r="G321" s="27"/>
    </row>
    <row r="322" spans="1:7" ht="12.75" x14ac:dyDescent="0.2">
      <c r="A322"/>
      <c r="B322"/>
      <c r="C322"/>
      <c r="D322"/>
      <c r="E322"/>
      <c r="F322"/>
      <c r="G322" s="27"/>
    </row>
    <row r="323" spans="1:7" ht="12.75" x14ac:dyDescent="0.2">
      <c r="A323"/>
      <c r="B323"/>
      <c r="C323"/>
      <c r="D323"/>
      <c r="E323"/>
      <c r="F323"/>
      <c r="G323" s="27"/>
    </row>
    <row r="324" spans="1:7" ht="12.75" x14ac:dyDescent="0.2">
      <c r="A324"/>
      <c r="B324"/>
      <c r="C324"/>
      <c r="D324"/>
      <c r="E324"/>
      <c r="F324"/>
      <c r="G324" s="27"/>
    </row>
    <row r="325" spans="1:7" ht="12.75" x14ac:dyDescent="0.2">
      <c r="A325"/>
      <c r="B325"/>
      <c r="C325"/>
      <c r="D325"/>
      <c r="E325"/>
      <c r="F325"/>
      <c r="G325" s="27"/>
    </row>
    <row r="326" spans="1:7" ht="12.75" x14ac:dyDescent="0.2">
      <c r="A326"/>
      <c r="B326"/>
      <c r="C326"/>
      <c r="D326"/>
      <c r="E326"/>
      <c r="F326"/>
      <c r="G326" s="27"/>
    </row>
    <row r="327" spans="1:7" ht="12.75" x14ac:dyDescent="0.2">
      <c r="A327"/>
      <c r="B327"/>
      <c r="C327"/>
      <c r="D327"/>
      <c r="E327"/>
      <c r="F327"/>
      <c r="G327" s="27"/>
    </row>
    <row r="328" spans="1:7" ht="12.75" x14ac:dyDescent="0.2">
      <c r="A328"/>
      <c r="B328"/>
      <c r="C328"/>
      <c r="D328"/>
      <c r="E328"/>
      <c r="F328"/>
      <c r="G328" s="27"/>
    </row>
    <row r="329" spans="1:7" ht="12.75" x14ac:dyDescent="0.2">
      <c r="A329"/>
      <c r="B329"/>
      <c r="C329"/>
      <c r="D329"/>
      <c r="E329"/>
      <c r="F329"/>
      <c r="G329" s="27"/>
    </row>
    <row r="330" spans="1:7" ht="12.75" x14ac:dyDescent="0.2">
      <c r="A330"/>
      <c r="B330"/>
      <c r="C330"/>
      <c r="D330"/>
      <c r="E330"/>
      <c r="F330"/>
      <c r="G330" s="27"/>
    </row>
    <row r="331" spans="1:7" ht="12.75" x14ac:dyDescent="0.2">
      <c r="A331"/>
      <c r="B331"/>
      <c r="C331"/>
      <c r="D331"/>
      <c r="E331"/>
      <c r="F331"/>
      <c r="G331" s="27"/>
    </row>
    <row r="332" spans="1:7" ht="12.75" x14ac:dyDescent="0.2">
      <c r="A332"/>
      <c r="B332"/>
      <c r="C332"/>
      <c r="D332"/>
      <c r="E332"/>
      <c r="F332"/>
      <c r="G332" s="27"/>
    </row>
    <row r="333" spans="1:7" ht="12.75" x14ac:dyDescent="0.2">
      <c r="A333"/>
      <c r="B333"/>
      <c r="C333"/>
      <c r="D333"/>
      <c r="E333"/>
      <c r="F333"/>
      <c r="G333" s="27"/>
    </row>
    <row r="334" spans="1:7" ht="12.75" x14ac:dyDescent="0.2">
      <c r="A334"/>
      <c r="B334"/>
      <c r="C334"/>
      <c r="D334"/>
      <c r="E334"/>
      <c r="F334"/>
      <c r="G334" s="27"/>
    </row>
    <row r="335" spans="1:7" ht="12.75" x14ac:dyDescent="0.2">
      <c r="A335"/>
      <c r="B335"/>
      <c r="C335"/>
      <c r="D335"/>
      <c r="E335"/>
      <c r="F335"/>
      <c r="G335" s="27"/>
    </row>
    <row r="336" spans="1:7" ht="12.75" x14ac:dyDescent="0.2">
      <c r="A336"/>
      <c r="B336"/>
      <c r="C336"/>
      <c r="D336"/>
      <c r="E336"/>
      <c r="F336"/>
      <c r="G336" s="27"/>
    </row>
    <row r="337" spans="1:7" ht="12.75" x14ac:dyDescent="0.2">
      <c r="A337"/>
      <c r="B337"/>
      <c r="C337"/>
      <c r="D337"/>
      <c r="E337"/>
      <c r="F337"/>
      <c r="G337" s="27"/>
    </row>
    <row r="338" spans="1:7" ht="12.75" x14ac:dyDescent="0.2">
      <c r="A338"/>
      <c r="B338"/>
      <c r="C338"/>
      <c r="D338"/>
      <c r="E338"/>
      <c r="F338"/>
      <c r="G338" s="27"/>
    </row>
    <row r="339" spans="1:7" ht="12.75" x14ac:dyDescent="0.2">
      <c r="A339"/>
      <c r="B339"/>
      <c r="C339"/>
      <c r="D339"/>
      <c r="E339"/>
      <c r="F339"/>
      <c r="G339" s="27"/>
    </row>
    <row r="340" spans="1:7" ht="12.75" x14ac:dyDescent="0.2">
      <c r="A340"/>
      <c r="B340"/>
      <c r="C340"/>
      <c r="D340"/>
      <c r="E340"/>
      <c r="F340"/>
      <c r="G340" s="27"/>
    </row>
    <row r="341" spans="1:7" ht="12.75" x14ac:dyDescent="0.2">
      <c r="A341"/>
      <c r="B341"/>
      <c r="C341"/>
      <c r="D341"/>
      <c r="E341"/>
      <c r="F341"/>
      <c r="G341" s="27"/>
    </row>
    <row r="342" spans="1:7" ht="12.75" x14ac:dyDescent="0.2">
      <c r="A342"/>
      <c r="B342"/>
      <c r="C342"/>
      <c r="D342"/>
      <c r="E342"/>
      <c r="F342"/>
      <c r="G342" s="27"/>
    </row>
    <row r="343" spans="1:7" ht="12.75" x14ac:dyDescent="0.2">
      <c r="A343"/>
      <c r="B343"/>
      <c r="C343"/>
      <c r="D343"/>
      <c r="E343"/>
      <c r="F343"/>
      <c r="G343" s="27"/>
    </row>
    <row r="344" spans="1:7" ht="12.75" x14ac:dyDescent="0.2">
      <c r="A344"/>
      <c r="B344"/>
      <c r="C344"/>
      <c r="D344"/>
      <c r="E344"/>
      <c r="F344"/>
      <c r="G344" s="27"/>
    </row>
    <row r="345" spans="1:7" ht="12.75" x14ac:dyDescent="0.2">
      <c r="A345"/>
      <c r="B345"/>
      <c r="C345"/>
      <c r="D345"/>
      <c r="E345"/>
      <c r="F345"/>
      <c r="G345" s="27"/>
    </row>
    <row r="346" spans="1:7" ht="12.75" x14ac:dyDescent="0.2">
      <c r="A346"/>
      <c r="B346"/>
      <c r="C346"/>
      <c r="D346"/>
      <c r="E346"/>
      <c r="F346"/>
      <c r="G346" s="27"/>
    </row>
    <row r="347" spans="1:7" ht="12.75" x14ac:dyDescent="0.2">
      <c r="A347"/>
      <c r="B347"/>
      <c r="C347"/>
      <c r="D347"/>
      <c r="E347"/>
      <c r="F347"/>
      <c r="G347" s="27"/>
    </row>
    <row r="348" spans="1:7" ht="12.75" x14ac:dyDescent="0.2">
      <c r="A348"/>
      <c r="B348"/>
      <c r="C348"/>
      <c r="D348"/>
      <c r="E348"/>
      <c r="F348"/>
      <c r="G348" s="27"/>
    </row>
    <row r="349" spans="1:7" ht="12.75" x14ac:dyDescent="0.2">
      <c r="A349"/>
      <c r="B349"/>
      <c r="C349"/>
      <c r="D349"/>
      <c r="E349"/>
      <c r="F349"/>
      <c r="G349" s="27"/>
    </row>
    <row r="350" spans="1:7" ht="12.75" x14ac:dyDescent="0.2">
      <c r="A350"/>
      <c r="B350"/>
      <c r="C350"/>
      <c r="D350"/>
      <c r="E350"/>
      <c r="F350"/>
      <c r="G350" s="27"/>
    </row>
    <row r="351" spans="1:7" ht="12.75" x14ac:dyDescent="0.2">
      <c r="A351"/>
      <c r="B351"/>
      <c r="C351"/>
      <c r="D351"/>
      <c r="E351"/>
      <c r="F351"/>
      <c r="G351" s="27"/>
    </row>
    <row r="352" spans="1:7" ht="12.75" x14ac:dyDescent="0.2">
      <c r="A352"/>
      <c r="B352"/>
      <c r="C352"/>
      <c r="D352"/>
      <c r="E352"/>
      <c r="F352"/>
      <c r="G352" s="27"/>
    </row>
    <row r="353" spans="1:7" ht="12.75" x14ac:dyDescent="0.2">
      <c r="A353"/>
      <c r="B353"/>
      <c r="C353"/>
      <c r="D353"/>
      <c r="E353"/>
      <c r="F353"/>
      <c r="G353" s="27"/>
    </row>
    <row r="354" spans="1:7" ht="12.75" x14ac:dyDescent="0.2">
      <c r="A354"/>
      <c r="B354"/>
      <c r="C354"/>
      <c r="D354"/>
      <c r="E354"/>
      <c r="F354"/>
      <c r="G354" s="27"/>
    </row>
    <row r="355" spans="1:7" ht="12.75" x14ac:dyDescent="0.2">
      <c r="A355"/>
      <c r="B355"/>
      <c r="C355"/>
      <c r="D355"/>
      <c r="E355"/>
      <c r="F355"/>
      <c r="G355" s="27"/>
    </row>
    <row r="356" spans="1:7" ht="12.75" x14ac:dyDescent="0.2">
      <c r="A356"/>
      <c r="B356"/>
      <c r="C356"/>
      <c r="D356"/>
      <c r="E356"/>
      <c r="F356"/>
      <c r="G356" s="27"/>
    </row>
    <row r="357" spans="1:7" ht="12.75" x14ac:dyDescent="0.2">
      <c r="A357"/>
      <c r="B357"/>
      <c r="C357"/>
      <c r="D357"/>
      <c r="E357"/>
      <c r="F357"/>
      <c r="G357" s="27"/>
    </row>
    <row r="358" spans="1:7" ht="12.75" x14ac:dyDescent="0.2">
      <c r="A358"/>
      <c r="B358"/>
      <c r="C358"/>
      <c r="D358"/>
      <c r="E358"/>
      <c r="F358"/>
      <c r="G358" s="27"/>
    </row>
    <row r="359" spans="1:7" ht="12.75" x14ac:dyDescent="0.2">
      <c r="A359"/>
      <c r="B359"/>
      <c r="C359"/>
      <c r="D359"/>
      <c r="E359"/>
      <c r="F359"/>
      <c r="G359" s="27"/>
    </row>
    <row r="360" spans="1:7" ht="12.75" x14ac:dyDescent="0.2">
      <c r="A360"/>
      <c r="B360"/>
      <c r="C360"/>
      <c r="D360"/>
      <c r="E360"/>
      <c r="F360"/>
      <c r="G360" s="27"/>
    </row>
    <row r="361" spans="1:7" ht="12.75" x14ac:dyDescent="0.2">
      <c r="A361"/>
      <c r="B361"/>
      <c r="C361"/>
      <c r="D361"/>
      <c r="E361"/>
      <c r="F361"/>
      <c r="G361" s="27"/>
    </row>
    <row r="362" spans="1:7" ht="12.75" x14ac:dyDescent="0.2">
      <c r="A362"/>
      <c r="B362"/>
      <c r="C362"/>
      <c r="D362"/>
      <c r="E362"/>
      <c r="F362"/>
      <c r="G362" s="27"/>
    </row>
    <row r="363" spans="1:7" ht="12.75" x14ac:dyDescent="0.2">
      <c r="A363"/>
      <c r="B363"/>
      <c r="C363"/>
      <c r="D363"/>
      <c r="E363"/>
      <c r="F363"/>
      <c r="G363" s="27"/>
    </row>
    <row r="364" spans="1:7" ht="12.75" x14ac:dyDescent="0.2">
      <c r="A364"/>
      <c r="B364"/>
      <c r="C364"/>
      <c r="D364"/>
      <c r="E364"/>
      <c r="F364"/>
      <c r="G364" s="27"/>
    </row>
    <row r="365" spans="1:7" ht="12.75" x14ac:dyDescent="0.2">
      <c r="A365"/>
      <c r="B365"/>
      <c r="C365"/>
      <c r="D365"/>
      <c r="E365"/>
      <c r="F365"/>
      <c r="G365" s="27"/>
    </row>
    <row r="366" spans="1:7" ht="12.75" x14ac:dyDescent="0.2">
      <c r="A366"/>
      <c r="B366"/>
      <c r="C366"/>
      <c r="D366"/>
      <c r="E366"/>
      <c r="F366"/>
      <c r="G366" s="27"/>
    </row>
    <row r="367" spans="1:7" ht="12.75" x14ac:dyDescent="0.2">
      <c r="A367"/>
      <c r="B367"/>
      <c r="C367"/>
      <c r="D367"/>
      <c r="E367"/>
      <c r="F367"/>
      <c r="G367" s="27"/>
    </row>
    <row r="368" spans="1:7" ht="12.75" x14ac:dyDescent="0.2">
      <c r="A368"/>
      <c r="B368"/>
      <c r="C368"/>
      <c r="D368"/>
      <c r="E368"/>
      <c r="F368"/>
      <c r="G368" s="27"/>
    </row>
    <row r="369" spans="1:7" ht="12.75" x14ac:dyDescent="0.2">
      <c r="A369"/>
      <c r="B369"/>
      <c r="C369"/>
      <c r="D369"/>
      <c r="E369"/>
      <c r="F369"/>
      <c r="G369" s="27"/>
    </row>
    <row r="370" spans="1:7" ht="12.75" x14ac:dyDescent="0.2">
      <c r="A370"/>
      <c r="B370"/>
      <c r="C370"/>
      <c r="D370"/>
      <c r="E370"/>
      <c r="F370"/>
      <c r="G370" s="27"/>
    </row>
    <row r="371" spans="1:7" ht="12.75" x14ac:dyDescent="0.2">
      <c r="A371"/>
      <c r="B371"/>
      <c r="C371"/>
      <c r="D371"/>
      <c r="E371"/>
      <c r="F371"/>
      <c r="G371" s="27"/>
    </row>
    <row r="372" spans="1:7" ht="12.75" x14ac:dyDescent="0.2">
      <c r="A372"/>
      <c r="B372"/>
      <c r="C372"/>
      <c r="D372"/>
      <c r="E372"/>
      <c r="F372"/>
      <c r="G372" s="27"/>
    </row>
    <row r="373" spans="1:7" ht="12.75" x14ac:dyDescent="0.2">
      <c r="A373"/>
      <c r="B373"/>
      <c r="C373"/>
      <c r="D373"/>
      <c r="E373"/>
      <c r="F373"/>
      <c r="G373" s="27"/>
    </row>
    <row r="374" spans="1:7" ht="12.75" x14ac:dyDescent="0.2">
      <c r="A374"/>
      <c r="B374"/>
      <c r="C374"/>
      <c r="D374"/>
      <c r="E374"/>
      <c r="F374"/>
      <c r="G374" s="27"/>
    </row>
    <row r="375" spans="1:7" ht="12.75" x14ac:dyDescent="0.2">
      <c r="A375"/>
      <c r="B375"/>
      <c r="C375"/>
      <c r="D375"/>
      <c r="E375"/>
      <c r="F375"/>
      <c r="G375" s="27"/>
    </row>
    <row r="376" spans="1:7" ht="12.75" x14ac:dyDescent="0.2">
      <c r="A376"/>
      <c r="B376"/>
      <c r="C376"/>
      <c r="D376"/>
      <c r="E376"/>
      <c r="F376"/>
      <c r="G376" s="27"/>
    </row>
    <row r="377" spans="1:7" ht="12.75" x14ac:dyDescent="0.2">
      <c r="A377"/>
      <c r="B377"/>
      <c r="C377"/>
      <c r="D377"/>
      <c r="E377"/>
      <c r="F377"/>
      <c r="G377" s="27"/>
    </row>
    <row r="378" spans="1:7" ht="12.75" x14ac:dyDescent="0.2">
      <c r="A378"/>
      <c r="B378"/>
      <c r="C378"/>
      <c r="D378"/>
      <c r="E378"/>
      <c r="F378"/>
      <c r="G378" s="27"/>
    </row>
    <row r="379" spans="1:7" ht="12.75" x14ac:dyDescent="0.2">
      <c r="A379"/>
      <c r="B379"/>
      <c r="C379"/>
      <c r="D379"/>
      <c r="E379"/>
      <c r="F379"/>
      <c r="G379" s="27"/>
    </row>
    <row r="380" spans="1:7" ht="12.75" x14ac:dyDescent="0.2">
      <c r="A380"/>
      <c r="B380"/>
      <c r="C380"/>
      <c r="D380"/>
      <c r="E380"/>
      <c r="F380"/>
      <c r="G380" s="27"/>
    </row>
    <row r="381" spans="1:7" ht="12.75" x14ac:dyDescent="0.2">
      <c r="A381"/>
      <c r="B381"/>
      <c r="C381"/>
      <c r="D381"/>
      <c r="E381"/>
      <c r="F381"/>
      <c r="G381" s="27"/>
    </row>
    <row r="382" spans="1:7" ht="12.75" x14ac:dyDescent="0.2">
      <c r="A382"/>
      <c r="B382"/>
      <c r="C382"/>
      <c r="D382"/>
      <c r="E382"/>
      <c r="F382"/>
      <c r="G382" s="27"/>
    </row>
    <row r="383" spans="1:7" ht="12.75" x14ac:dyDescent="0.2">
      <c r="A383"/>
      <c r="B383"/>
      <c r="C383"/>
      <c r="D383"/>
      <c r="E383"/>
      <c r="F383"/>
      <c r="G383" s="27"/>
    </row>
    <row r="384" spans="1:7" ht="12.75" x14ac:dyDescent="0.2">
      <c r="A384"/>
      <c r="B384"/>
      <c r="C384"/>
      <c r="D384"/>
      <c r="E384"/>
      <c r="F384"/>
      <c r="G384" s="27"/>
    </row>
    <row r="385" spans="1:7" ht="12.75" x14ac:dyDescent="0.2">
      <c r="A385"/>
      <c r="B385"/>
      <c r="C385"/>
      <c r="D385"/>
      <c r="E385"/>
      <c r="F385"/>
      <c r="G385" s="27"/>
    </row>
    <row r="386" spans="1:7" ht="12.75" x14ac:dyDescent="0.2">
      <c r="A386"/>
      <c r="B386"/>
      <c r="C386"/>
      <c r="D386"/>
      <c r="E386"/>
      <c r="F386"/>
      <c r="G386" s="27"/>
    </row>
    <row r="387" spans="1:7" ht="12.75" x14ac:dyDescent="0.2">
      <c r="A387"/>
      <c r="B387"/>
      <c r="C387"/>
      <c r="D387"/>
      <c r="E387"/>
      <c r="F387"/>
      <c r="G387" s="27"/>
    </row>
    <row r="388" spans="1:7" ht="12.75" x14ac:dyDescent="0.2">
      <c r="A388"/>
      <c r="B388"/>
      <c r="C388"/>
      <c r="D388"/>
      <c r="E388"/>
      <c r="F388"/>
      <c r="G388" s="27"/>
    </row>
    <row r="389" spans="1:7" ht="12.75" x14ac:dyDescent="0.2">
      <c r="A389"/>
      <c r="B389"/>
      <c r="C389"/>
      <c r="D389"/>
      <c r="E389"/>
      <c r="F389"/>
      <c r="G389" s="27"/>
    </row>
    <row r="390" spans="1:7" ht="12.75" x14ac:dyDescent="0.2">
      <c r="A390"/>
      <c r="B390"/>
      <c r="C390"/>
      <c r="D390"/>
      <c r="E390"/>
      <c r="F390"/>
      <c r="G390" s="27"/>
    </row>
    <row r="391" spans="1:7" ht="12.75" x14ac:dyDescent="0.2">
      <c r="A391"/>
      <c r="B391"/>
      <c r="C391"/>
      <c r="D391"/>
      <c r="E391"/>
      <c r="F391"/>
      <c r="G391" s="27"/>
    </row>
    <row r="392" spans="1:7" ht="12.75" x14ac:dyDescent="0.2">
      <c r="A392"/>
      <c r="B392"/>
      <c r="C392"/>
      <c r="D392"/>
      <c r="E392"/>
      <c r="F392"/>
      <c r="G392" s="27"/>
    </row>
    <row r="393" spans="1:7" ht="12.75" x14ac:dyDescent="0.2">
      <c r="A393"/>
      <c r="B393"/>
      <c r="C393"/>
      <c r="D393"/>
      <c r="E393"/>
      <c r="F393"/>
      <c r="G393" s="27"/>
    </row>
    <row r="394" spans="1:7" ht="12.75" x14ac:dyDescent="0.2">
      <c r="A394"/>
      <c r="B394"/>
      <c r="C394"/>
      <c r="D394"/>
      <c r="E394"/>
      <c r="F394"/>
      <c r="G394" s="27"/>
    </row>
    <row r="395" spans="1:7" ht="12.75" x14ac:dyDescent="0.2">
      <c r="A395"/>
      <c r="B395"/>
      <c r="C395"/>
      <c r="D395"/>
      <c r="E395"/>
      <c r="F395"/>
      <c r="G395" s="27"/>
    </row>
    <row r="396" spans="1:7" ht="12.75" x14ac:dyDescent="0.2">
      <c r="A396"/>
      <c r="B396"/>
      <c r="C396"/>
      <c r="D396"/>
      <c r="E396"/>
      <c r="F396"/>
      <c r="G396" s="27"/>
    </row>
    <row r="397" spans="1:7" ht="12.75" x14ac:dyDescent="0.2">
      <c r="A397"/>
      <c r="B397"/>
      <c r="C397"/>
      <c r="D397"/>
      <c r="E397"/>
      <c r="F397"/>
      <c r="G397" s="27"/>
    </row>
    <row r="398" spans="1:7" ht="12.75" x14ac:dyDescent="0.2">
      <c r="A398"/>
      <c r="B398"/>
      <c r="C398"/>
      <c r="D398"/>
      <c r="E398"/>
      <c r="F398"/>
      <c r="G398" s="27"/>
    </row>
    <row r="399" spans="1:7" ht="12.75" x14ac:dyDescent="0.2">
      <c r="A399"/>
      <c r="B399"/>
      <c r="C399"/>
      <c r="D399"/>
      <c r="E399"/>
      <c r="F399"/>
      <c r="G399" s="27"/>
    </row>
    <row r="400" spans="1:7" ht="12.75" x14ac:dyDescent="0.2">
      <c r="A400"/>
      <c r="B400"/>
      <c r="C400"/>
      <c r="D400"/>
      <c r="E400"/>
      <c r="F400"/>
      <c r="G400" s="27"/>
    </row>
    <row r="401" spans="1:7" ht="12.75" x14ac:dyDescent="0.2">
      <c r="A401"/>
      <c r="B401"/>
      <c r="C401"/>
      <c r="D401"/>
      <c r="E401"/>
      <c r="F401"/>
      <c r="G401" s="27"/>
    </row>
    <row r="402" spans="1:7" ht="12.75" x14ac:dyDescent="0.2">
      <c r="A402"/>
      <c r="B402"/>
      <c r="C402"/>
      <c r="D402"/>
      <c r="E402"/>
      <c r="F402"/>
      <c r="G402" s="27"/>
    </row>
    <row r="403" spans="1:7" ht="12.75" x14ac:dyDescent="0.2">
      <c r="A403"/>
      <c r="B403"/>
      <c r="C403"/>
      <c r="D403"/>
      <c r="E403"/>
      <c r="F403"/>
      <c r="G403" s="27"/>
    </row>
    <row r="404" spans="1:7" ht="12.75" x14ac:dyDescent="0.2">
      <c r="A404"/>
      <c r="B404"/>
      <c r="C404"/>
      <c r="D404"/>
      <c r="E404"/>
      <c r="F404"/>
      <c r="G404" s="27"/>
    </row>
    <row r="405" spans="1:7" ht="12.75" x14ac:dyDescent="0.2">
      <c r="A405"/>
      <c r="B405"/>
      <c r="C405"/>
      <c r="D405"/>
      <c r="E405"/>
      <c r="F405"/>
      <c r="G405" s="27"/>
    </row>
    <row r="406" spans="1:7" ht="12.75" x14ac:dyDescent="0.2">
      <c r="A406"/>
      <c r="B406"/>
      <c r="C406"/>
      <c r="D406"/>
      <c r="E406"/>
      <c r="F406"/>
      <c r="G406" s="27"/>
    </row>
    <row r="407" spans="1:7" ht="12.75" x14ac:dyDescent="0.2">
      <c r="A407"/>
      <c r="B407"/>
      <c r="C407"/>
      <c r="D407"/>
      <c r="E407"/>
      <c r="F407"/>
      <c r="G407" s="27"/>
    </row>
    <row r="408" spans="1:7" ht="12.75" x14ac:dyDescent="0.2">
      <c r="A408"/>
      <c r="B408"/>
      <c r="C408"/>
      <c r="D408"/>
      <c r="E408"/>
      <c r="F408"/>
      <c r="G408" s="27"/>
    </row>
    <row r="409" spans="1:7" ht="12.75" x14ac:dyDescent="0.2">
      <c r="A409"/>
      <c r="B409"/>
      <c r="C409"/>
      <c r="D409"/>
      <c r="E409"/>
      <c r="F409"/>
      <c r="G409" s="27"/>
    </row>
    <row r="410" spans="1:7" ht="12.75" x14ac:dyDescent="0.2">
      <c r="A410"/>
      <c r="B410"/>
      <c r="C410"/>
      <c r="D410"/>
      <c r="E410"/>
      <c r="F410"/>
      <c r="G410" s="27"/>
    </row>
    <row r="411" spans="1:7" ht="12.75" x14ac:dyDescent="0.2">
      <c r="A411"/>
      <c r="B411"/>
      <c r="C411"/>
      <c r="D411"/>
      <c r="E411"/>
      <c r="F411"/>
      <c r="G411" s="27"/>
    </row>
    <row r="412" spans="1:7" ht="12.75" x14ac:dyDescent="0.2">
      <c r="A412"/>
      <c r="B412"/>
      <c r="C412"/>
      <c r="D412"/>
      <c r="E412"/>
      <c r="F412"/>
      <c r="G412" s="27"/>
    </row>
    <row r="413" spans="1:7" ht="12.75" x14ac:dyDescent="0.2">
      <c r="A413"/>
      <c r="B413"/>
      <c r="C413"/>
      <c r="D413"/>
      <c r="E413"/>
      <c r="F413"/>
      <c r="G413" s="27"/>
    </row>
    <row r="414" spans="1:7" ht="12.75" x14ac:dyDescent="0.2">
      <c r="A414"/>
      <c r="B414"/>
      <c r="C414"/>
      <c r="D414"/>
      <c r="E414"/>
      <c r="F414"/>
      <c r="G414" s="27"/>
    </row>
    <row r="415" spans="1:7" ht="12.75" x14ac:dyDescent="0.2">
      <c r="A415"/>
      <c r="B415"/>
      <c r="C415"/>
      <c r="D415"/>
      <c r="E415"/>
      <c r="F415"/>
      <c r="G415" s="27"/>
    </row>
    <row r="416" spans="1:7" ht="12.75" x14ac:dyDescent="0.2">
      <c r="A416"/>
      <c r="B416"/>
      <c r="C416"/>
      <c r="D416"/>
      <c r="E416"/>
      <c r="F416"/>
      <c r="G416" s="27"/>
    </row>
    <row r="417" spans="1:7" ht="12.75" x14ac:dyDescent="0.2">
      <c r="A417"/>
      <c r="B417"/>
      <c r="C417"/>
      <c r="D417"/>
      <c r="E417"/>
      <c r="F417"/>
      <c r="G417" s="27"/>
    </row>
    <row r="418" spans="1:7" ht="12.75" x14ac:dyDescent="0.2">
      <c r="A418"/>
      <c r="B418"/>
      <c r="C418"/>
      <c r="D418"/>
      <c r="E418"/>
      <c r="F418"/>
      <c r="G418" s="27"/>
    </row>
    <row r="419" spans="1:7" ht="12.75" x14ac:dyDescent="0.2">
      <c r="A419"/>
      <c r="B419"/>
      <c r="C419"/>
      <c r="D419"/>
      <c r="E419"/>
      <c r="F419"/>
      <c r="G419" s="27"/>
    </row>
    <row r="420" spans="1:7" ht="12.75" x14ac:dyDescent="0.2">
      <c r="A420"/>
      <c r="B420"/>
      <c r="C420"/>
      <c r="D420"/>
      <c r="E420"/>
      <c r="F420"/>
      <c r="G420" s="27"/>
    </row>
    <row r="421" spans="1:7" ht="12.75" x14ac:dyDescent="0.2">
      <c r="A421"/>
      <c r="B421"/>
      <c r="C421"/>
      <c r="D421"/>
      <c r="E421"/>
      <c r="F421"/>
      <c r="G421" s="27"/>
    </row>
    <row r="422" spans="1:7" ht="12.75" x14ac:dyDescent="0.2">
      <c r="A422"/>
      <c r="B422"/>
      <c r="C422"/>
      <c r="D422"/>
      <c r="E422"/>
      <c r="F422"/>
      <c r="G422" s="27"/>
    </row>
    <row r="423" spans="1:7" ht="12.75" x14ac:dyDescent="0.2">
      <c r="A423"/>
      <c r="B423"/>
      <c r="C423"/>
      <c r="D423"/>
      <c r="E423"/>
      <c r="F423"/>
      <c r="G423" s="27"/>
    </row>
    <row r="424" spans="1:7" ht="12.75" x14ac:dyDescent="0.2">
      <c r="A424"/>
      <c r="B424"/>
      <c r="C424"/>
      <c r="D424"/>
      <c r="E424"/>
      <c r="F424"/>
      <c r="G424" s="27"/>
    </row>
    <row r="425" spans="1:7" ht="12.75" x14ac:dyDescent="0.2">
      <c r="A425"/>
      <c r="B425"/>
      <c r="C425"/>
      <c r="D425"/>
      <c r="E425"/>
      <c r="F425"/>
      <c r="G425" s="27"/>
    </row>
    <row r="426" spans="1:7" ht="12.75" x14ac:dyDescent="0.2">
      <c r="A426"/>
      <c r="B426"/>
      <c r="C426"/>
      <c r="D426"/>
      <c r="E426"/>
      <c r="F426"/>
      <c r="G426" s="27"/>
    </row>
    <row r="427" spans="1:7" ht="12.75" x14ac:dyDescent="0.2">
      <c r="A427"/>
      <c r="B427"/>
      <c r="C427"/>
      <c r="D427"/>
      <c r="E427"/>
      <c r="F427"/>
      <c r="G427" s="27"/>
    </row>
    <row r="428" spans="1:7" ht="12.75" x14ac:dyDescent="0.2">
      <c r="A428"/>
      <c r="B428"/>
      <c r="C428"/>
      <c r="D428"/>
      <c r="E428"/>
      <c r="F428"/>
      <c r="G428" s="27"/>
    </row>
    <row r="429" spans="1:7" ht="12.75" x14ac:dyDescent="0.2">
      <c r="A429"/>
      <c r="B429"/>
      <c r="C429"/>
      <c r="D429"/>
      <c r="E429"/>
      <c r="F429"/>
      <c r="G429" s="27"/>
    </row>
    <row r="430" spans="1:7" ht="12.75" x14ac:dyDescent="0.2">
      <c r="A430"/>
      <c r="B430"/>
      <c r="C430"/>
      <c r="D430"/>
      <c r="E430"/>
      <c r="F430"/>
      <c r="G430" s="27"/>
    </row>
    <row r="431" spans="1:7" ht="12.75" x14ac:dyDescent="0.2">
      <c r="A431"/>
      <c r="B431"/>
      <c r="C431"/>
      <c r="D431"/>
      <c r="E431"/>
      <c r="F431"/>
      <c r="G431" s="27"/>
    </row>
    <row r="432" spans="1:7" ht="12.75" x14ac:dyDescent="0.2">
      <c r="A432"/>
      <c r="B432"/>
      <c r="C432"/>
      <c r="D432"/>
      <c r="E432"/>
      <c r="F432"/>
      <c r="G432" s="27"/>
    </row>
    <row r="433" spans="1:7" ht="12.75" x14ac:dyDescent="0.2">
      <c r="A433"/>
      <c r="B433"/>
      <c r="C433"/>
      <c r="D433"/>
      <c r="E433"/>
      <c r="F433"/>
      <c r="G433" s="27"/>
    </row>
    <row r="434" spans="1:7" ht="12.75" x14ac:dyDescent="0.2">
      <c r="A434"/>
      <c r="B434"/>
      <c r="C434"/>
      <c r="D434"/>
      <c r="E434"/>
      <c r="F434"/>
      <c r="G434" s="27"/>
    </row>
    <row r="435" spans="1:7" ht="12.75" x14ac:dyDescent="0.2">
      <c r="A435"/>
      <c r="B435"/>
      <c r="C435"/>
      <c r="D435"/>
      <c r="E435"/>
      <c r="F435"/>
      <c r="G435" s="27"/>
    </row>
    <row r="436" spans="1:7" ht="12.75" x14ac:dyDescent="0.2">
      <c r="A436"/>
      <c r="B436"/>
      <c r="C436"/>
      <c r="D436"/>
      <c r="E436"/>
      <c r="F436"/>
      <c r="G436" s="27"/>
    </row>
    <row r="437" spans="1:7" ht="12.75" x14ac:dyDescent="0.2">
      <c r="A437"/>
      <c r="B437"/>
      <c r="C437"/>
      <c r="D437"/>
      <c r="E437"/>
      <c r="F437"/>
      <c r="G437" s="27"/>
    </row>
    <row r="438" spans="1:7" ht="12.75" x14ac:dyDescent="0.2">
      <c r="A438"/>
      <c r="B438"/>
      <c r="C438"/>
      <c r="D438"/>
      <c r="E438"/>
      <c r="F438"/>
      <c r="G438" s="27"/>
    </row>
    <row r="439" spans="1:7" ht="12.75" x14ac:dyDescent="0.2">
      <c r="A439"/>
      <c r="B439"/>
      <c r="C439"/>
      <c r="D439"/>
      <c r="E439"/>
      <c r="F439"/>
      <c r="G439" s="27"/>
    </row>
    <row r="440" spans="1:7" ht="12.75" x14ac:dyDescent="0.2">
      <c r="A440"/>
      <c r="B440"/>
      <c r="C440"/>
      <c r="D440"/>
      <c r="E440"/>
      <c r="F440"/>
      <c r="G440" s="27"/>
    </row>
    <row r="441" spans="1:7" ht="12.75" x14ac:dyDescent="0.2">
      <c r="A441"/>
      <c r="B441"/>
      <c r="C441"/>
      <c r="D441"/>
      <c r="E441"/>
      <c r="F441"/>
      <c r="G441" s="27"/>
    </row>
    <row r="442" spans="1:7" ht="12.75" x14ac:dyDescent="0.2">
      <c r="A442"/>
      <c r="B442"/>
      <c r="C442"/>
      <c r="D442"/>
      <c r="E442"/>
      <c r="F442"/>
      <c r="G442" s="27"/>
    </row>
    <row r="443" spans="1:7" ht="12.75" x14ac:dyDescent="0.2">
      <c r="A443"/>
      <c r="B443"/>
      <c r="C443"/>
      <c r="D443"/>
      <c r="E443"/>
      <c r="F443"/>
      <c r="G443" s="27"/>
    </row>
    <row r="444" spans="1:7" ht="12.75" x14ac:dyDescent="0.2">
      <c r="A444"/>
      <c r="B444"/>
      <c r="C444"/>
      <c r="D444"/>
      <c r="E444"/>
      <c r="F444"/>
      <c r="G444" s="27"/>
    </row>
    <row r="445" spans="1:7" ht="12.75" x14ac:dyDescent="0.2">
      <c r="A445"/>
      <c r="B445"/>
      <c r="C445"/>
      <c r="D445"/>
      <c r="E445"/>
      <c r="F445"/>
      <c r="G445" s="27"/>
    </row>
    <row r="446" spans="1:7" ht="12.75" x14ac:dyDescent="0.2">
      <c r="A446"/>
      <c r="B446"/>
      <c r="C446"/>
      <c r="D446"/>
      <c r="E446"/>
      <c r="F446"/>
      <c r="G446" s="27"/>
    </row>
    <row r="447" spans="1:7" ht="12.75" x14ac:dyDescent="0.2">
      <c r="A447"/>
      <c r="B447"/>
      <c r="C447"/>
      <c r="D447"/>
      <c r="E447"/>
      <c r="F447"/>
      <c r="G447" s="27"/>
    </row>
    <row r="448" spans="1:7" ht="12.75" x14ac:dyDescent="0.2">
      <c r="A448"/>
      <c r="B448"/>
      <c r="C448"/>
      <c r="D448"/>
      <c r="E448"/>
      <c r="F448"/>
      <c r="G448" s="27"/>
    </row>
    <row r="449" spans="1:7" ht="12.75" x14ac:dyDescent="0.2">
      <c r="A449"/>
      <c r="B449"/>
      <c r="C449"/>
      <c r="D449"/>
      <c r="E449"/>
      <c r="F449"/>
      <c r="G449" s="27"/>
    </row>
    <row r="450" spans="1:7" ht="12.75" x14ac:dyDescent="0.2">
      <c r="A450"/>
      <c r="B450"/>
      <c r="C450"/>
      <c r="D450"/>
      <c r="E450"/>
      <c r="F450"/>
      <c r="G450" s="27"/>
    </row>
    <row r="451" spans="1:7" ht="12.75" x14ac:dyDescent="0.2">
      <c r="A451"/>
      <c r="B451"/>
      <c r="C451"/>
      <c r="D451"/>
      <c r="E451"/>
      <c r="F451"/>
      <c r="G451" s="27"/>
    </row>
    <row r="452" spans="1:7" ht="12.75" x14ac:dyDescent="0.2">
      <c r="A452"/>
      <c r="B452"/>
      <c r="C452"/>
      <c r="D452"/>
      <c r="E452"/>
      <c r="F452"/>
      <c r="G452" s="27"/>
    </row>
    <row r="453" spans="1:7" ht="12.75" x14ac:dyDescent="0.2">
      <c r="A453"/>
      <c r="B453"/>
      <c r="C453"/>
      <c r="D453"/>
      <c r="E453"/>
      <c r="F453"/>
      <c r="G453" s="27"/>
    </row>
    <row r="454" spans="1:7" ht="12.75" x14ac:dyDescent="0.2">
      <c r="A454"/>
      <c r="B454"/>
      <c r="C454"/>
      <c r="D454"/>
      <c r="E454"/>
      <c r="F454"/>
      <c r="G454" s="27"/>
    </row>
    <row r="455" spans="1:7" ht="12.75" x14ac:dyDescent="0.2">
      <c r="A455"/>
      <c r="B455"/>
      <c r="C455"/>
      <c r="D455"/>
      <c r="E455"/>
      <c r="F455"/>
      <c r="G455" s="27"/>
    </row>
    <row r="456" spans="1:7" ht="12.75" x14ac:dyDescent="0.2">
      <c r="A456"/>
      <c r="B456"/>
      <c r="C456"/>
      <c r="D456"/>
      <c r="E456"/>
      <c r="F456"/>
      <c r="G456" s="27"/>
    </row>
    <row r="457" spans="1:7" ht="12.75" x14ac:dyDescent="0.2">
      <c r="A457"/>
      <c r="B457"/>
      <c r="C457"/>
      <c r="D457"/>
      <c r="E457"/>
      <c r="F457"/>
      <c r="G457" s="27"/>
    </row>
    <row r="458" spans="1:7" ht="12.75" x14ac:dyDescent="0.2">
      <c r="A458"/>
      <c r="B458"/>
      <c r="C458"/>
      <c r="D458"/>
      <c r="E458"/>
      <c r="F458"/>
      <c r="G458" s="27"/>
    </row>
    <row r="459" spans="1:7" ht="12.75" x14ac:dyDescent="0.2">
      <c r="A459"/>
      <c r="B459"/>
      <c r="C459"/>
      <c r="D459"/>
      <c r="E459"/>
      <c r="F459"/>
      <c r="G459" s="27"/>
    </row>
    <row r="460" spans="1:7" ht="12.75" x14ac:dyDescent="0.2">
      <c r="A460"/>
      <c r="B460"/>
      <c r="C460"/>
      <c r="D460"/>
      <c r="E460"/>
      <c r="F460"/>
      <c r="G460" s="27"/>
    </row>
    <row r="461" spans="1:7" ht="12.75" x14ac:dyDescent="0.2">
      <c r="A461"/>
      <c r="B461"/>
      <c r="C461"/>
      <c r="D461"/>
      <c r="E461"/>
      <c r="F461"/>
      <c r="G461" s="27"/>
    </row>
    <row r="462" spans="1:7" ht="12.75" x14ac:dyDescent="0.2">
      <c r="A462"/>
      <c r="B462"/>
      <c r="C462"/>
      <c r="D462"/>
      <c r="E462"/>
      <c r="F462"/>
      <c r="G462" s="27"/>
    </row>
    <row r="463" spans="1:7" ht="12.75" x14ac:dyDescent="0.2">
      <c r="A463"/>
      <c r="B463"/>
      <c r="C463"/>
      <c r="D463"/>
      <c r="E463"/>
      <c r="F463"/>
      <c r="G463" s="27"/>
    </row>
    <row r="464" spans="1:7" ht="12.75" x14ac:dyDescent="0.2">
      <c r="A464"/>
      <c r="B464"/>
      <c r="C464"/>
      <c r="D464"/>
      <c r="E464"/>
      <c r="F464"/>
      <c r="G464" s="27"/>
    </row>
    <row r="465" spans="1:7" ht="12.75" x14ac:dyDescent="0.2">
      <c r="A465"/>
      <c r="B465"/>
      <c r="C465"/>
      <c r="D465"/>
      <c r="E465"/>
      <c r="F465"/>
      <c r="G465" s="27"/>
    </row>
    <row r="466" spans="1:7" ht="12.75" x14ac:dyDescent="0.2">
      <c r="A466"/>
      <c r="B466"/>
      <c r="C466"/>
      <c r="D466"/>
      <c r="E466"/>
      <c r="F466"/>
      <c r="G466" s="27"/>
    </row>
    <row r="467" spans="1:7" ht="12.75" x14ac:dyDescent="0.2">
      <c r="A467"/>
      <c r="B467"/>
      <c r="C467"/>
      <c r="D467"/>
      <c r="E467"/>
      <c r="F467"/>
      <c r="G467" s="27"/>
    </row>
    <row r="468" spans="1:7" ht="12.75" x14ac:dyDescent="0.2">
      <c r="A468"/>
      <c r="B468"/>
      <c r="C468"/>
      <c r="D468"/>
      <c r="E468"/>
      <c r="F468"/>
      <c r="G468" s="27"/>
    </row>
    <row r="469" spans="1:7" ht="12.75" x14ac:dyDescent="0.2">
      <c r="A469"/>
      <c r="B469"/>
      <c r="C469"/>
      <c r="D469"/>
      <c r="E469"/>
      <c r="F469"/>
      <c r="G469" s="27"/>
    </row>
    <row r="470" spans="1:7" ht="12.75" x14ac:dyDescent="0.2">
      <c r="A470"/>
      <c r="B470"/>
      <c r="C470"/>
      <c r="D470"/>
      <c r="E470"/>
      <c r="F470"/>
      <c r="G470" s="27"/>
    </row>
    <row r="471" spans="1:7" ht="12.75" x14ac:dyDescent="0.2">
      <c r="A471"/>
      <c r="B471"/>
      <c r="C471"/>
      <c r="D471"/>
      <c r="E471"/>
      <c r="F471"/>
      <c r="G471" s="27"/>
    </row>
    <row r="472" spans="1:7" ht="12.75" x14ac:dyDescent="0.2">
      <c r="A472"/>
      <c r="B472"/>
      <c r="C472"/>
      <c r="D472"/>
      <c r="E472"/>
      <c r="F472"/>
      <c r="G472" s="27"/>
    </row>
    <row r="473" spans="1:7" ht="12.75" x14ac:dyDescent="0.2">
      <c r="A473"/>
      <c r="B473"/>
      <c r="C473"/>
      <c r="D473"/>
      <c r="E473"/>
      <c r="F473"/>
      <c r="G473" s="27"/>
    </row>
    <row r="474" spans="1:7" ht="12.75" x14ac:dyDescent="0.2">
      <c r="A474"/>
      <c r="B474"/>
      <c r="C474"/>
      <c r="D474"/>
      <c r="E474"/>
      <c r="F474"/>
      <c r="G474" s="27"/>
    </row>
    <row r="475" spans="1:7" ht="12.75" x14ac:dyDescent="0.2">
      <c r="A475"/>
      <c r="B475"/>
      <c r="C475"/>
      <c r="D475"/>
      <c r="E475"/>
      <c r="F475"/>
      <c r="G475" s="27"/>
    </row>
    <row r="476" spans="1:7" ht="12.75" x14ac:dyDescent="0.2">
      <c r="A476"/>
      <c r="B476"/>
      <c r="C476"/>
      <c r="D476"/>
      <c r="E476"/>
      <c r="F476"/>
      <c r="G476" s="27"/>
    </row>
    <row r="477" spans="1:7" ht="12.75" x14ac:dyDescent="0.2">
      <c r="A477"/>
      <c r="B477"/>
      <c r="C477"/>
      <c r="D477"/>
      <c r="E477"/>
      <c r="F477"/>
      <c r="G477" s="27"/>
    </row>
    <row r="478" spans="1:7" ht="12.75" x14ac:dyDescent="0.2">
      <c r="A478"/>
      <c r="B478"/>
      <c r="C478"/>
      <c r="D478"/>
      <c r="E478"/>
      <c r="F478"/>
      <c r="G478" s="27"/>
    </row>
    <row r="479" spans="1:7" ht="12.75" x14ac:dyDescent="0.2">
      <c r="A479"/>
      <c r="B479"/>
      <c r="C479"/>
      <c r="D479"/>
      <c r="E479"/>
      <c r="F479"/>
      <c r="G479" s="27"/>
    </row>
    <row r="480" spans="1:7" ht="12.75" x14ac:dyDescent="0.2">
      <c r="A480"/>
      <c r="B480"/>
      <c r="C480"/>
      <c r="D480"/>
      <c r="E480"/>
      <c r="F480"/>
      <c r="G480" s="27"/>
    </row>
    <row r="481" spans="1:7" ht="12.75" x14ac:dyDescent="0.2">
      <c r="A481"/>
      <c r="B481"/>
      <c r="C481"/>
      <c r="D481"/>
      <c r="E481"/>
      <c r="F481"/>
      <c r="G481" s="27"/>
    </row>
    <row r="482" spans="1:7" ht="12.75" x14ac:dyDescent="0.2">
      <c r="A482"/>
      <c r="B482"/>
      <c r="C482"/>
      <c r="D482"/>
      <c r="E482"/>
      <c r="F482"/>
      <c r="G482" s="27"/>
    </row>
    <row r="483" spans="1:7" ht="12.75" x14ac:dyDescent="0.2">
      <c r="A483"/>
      <c r="B483"/>
      <c r="C483"/>
      <c r="D483"/>
      <c r="E483"/>
      <c r="F483"/>
      <c r="G483" s="27"/>
    </row>
    <row r="484" spans="1:7" ht="12.75" x14ac:dyDescent="0.2">
      <c r="A484"/>
      <c r="B484"/>
      <c r="C484"/>
      <c r="D484"/>
      <c r="E484"/>
      <c r="F484"/>
      <c r="G484" s="27"/>
    </row>
    <row r="485" spans="1:7" ht="12.75" x14ac:dyDescent="0.2">
      <c r="A485"/>
      <c r="B485"/>
      <c r="C485"/>
      <c r="D485"/>
      <c r="E485"/>
      <c r="F485"/>
      <c r="G485" s="27"/>
    </row>
    <row r="486" spans="1:7" ht="12.75" x14ac:dyDescent="0.2">
      <c r="A486"/>
      <c r="B486"/>
      <c r="C486"/>
      <c r="D486"/>
      <c r="E486"/>
      <c r="F486"/>
      <c r="G486" s="27"/>
    </row>
    <row r="487" spans="1:7" ht="12.75" x14ac:dyDescent="0.2">
      <c r="A487"/>
      <c r="B487"/>
      <c r="C487"/>
      <c r="D487"/>
      <c r="E487"/>
      <c r="F487"/>
      <c r="G487" s="27"/>
    </row>
    <row r="488" spans="1:7" ht="12.75" x14ac:dyDescent="0.2">
      <c r="A488"/>
      <c r="B488"/>
      <c r="C488"/>
      <c r="D488"/>
      <c r="E488"/>
      <c r="F488"/>
      <c r="G488" s="27"/>
    </row>
    <row r="489" spans="1:7" ht="12.75" x14ac:dyDescent="0.2">
      <c r="A489"/>
      <c r="B489"/>
      <c r="C489"/>
      <c r="D489"/>
      <c r="E489"/>
      <c r="F489"/>
      <c r="G489" s="27"/>
    </row>
    <row r="490" spans="1:7" ht="12.75" x14ac:dyDescent="0.2">
      <c r="A490"/>
      <c r="B490"/>
      <c r="C490"/>
      <c r="D490"/>
      <c r="E490"/>
      <c r="F490"/>
      <c r="G490" s="27"/>
    </row>
    <row r="491" spans="1:7" ht="12.75" x14ac:dyDescent="0.2">
      <c r="A491"/>
      <c r="B491"/>
      <c r="C491"/>
      <c r="D491"/>
      <c r="E491"/>
      <c r="F491"/>
      <c r="G491" s="27"/>
    </row>
    <row r="492" spans="1:7" ht="12.75" x14ac:dyDescent="0.2">
      <c r="A492"/>
      <c r="B492"/>
      <c r="C492"/>
      <c r="D492"/>
      <c r="E492"/>
      <c r="F492"/>
      <c r="G492" s="27"/>
    </row>
    <row r="493" spans="1:7" ht="12.75" x14ac:dyDescent="0.2">
      <c r="A493"/>
      <c r="B493"/>
      <c r="C493"/>
      <c r="D493"/>
      <c r="E493"/>
      <c r="F493"/>
      <c r="G493" s="27"/>
    </row>
    <row r="494" spans="1:7" ht="12.75" x14ac:dyDescent="0.2">
      <c r="A494"/>
      <c r="B494"/>
      <c r="C494"/>
      <c r="D494"/>
      <c r="E494"/>
      <c r="F494"/>
      <c r="G494" s="27"/>
    </row>
    <row r="495" spans="1:7" ht="12.75" x14ac:dyDescent="0.2">
      <c r="A495"/>
      <c r="B495"/>
      <c r="C495"/>
      <c r="D495"/>
      <c r="E495"/>
      <c r="F495"/>
      <c r="G495" s="27"/>
    </row>
    <row r="496" spans="1:7" ht="12.75" x14ac:dyDescent="0.2">
      <c r="A496"/>
      <c r="B496"/>
      <c r="C496"/>
      <c r="D496"/>
      <c r="E496"/>
      <c r="F496"/>
      <c r="G496" s="27"/>
    </row>
    <row r="497" spans="1:7" ht="12.75" x14ac:dyDescent="0.2">
      <c r="A497"/>
      <c r="B497"/>
      <c r="C497"/>
      <c r="D497"/>
      <c r="E497"/>
      <c r="F497"/>
      <c r="G497" s="27"/>
    </row>
    <row r="498" spans="1:7" ht="12.75" x14ac:dyDescent="0.2">
      <c r="A498"/>
      <c r="B498"/>
      <c r="C498"/>
      <c r="D498"/>
      <c r="E498"/>
      <c r="F498"/>
      <c r="G498" s="27"/>
    </row>
    <row r="499" spans="1:7" ht="12.75" x14ac:dyDescent="0.2">
      <c r="A499"/>
      <c r="B499"/>
      <c r="C499"/>
      <c r="D499"/>
      <c r="E499"/>
      <c r="F499"/>
      <c r="G499" s="27"/>
    </row>
    <row r="500" spans="1:7" ht="12.75" x14ac:dyDescent="0.2">
      <c r="A500"/>
      <c r="B500"/>
      <c r="C500"/>
      <c r="D500"/>
      <c r="E500"/>
      <c r="F500"/>
      <c r="G500" s="27"/>
    </row>
    <row r="501" spans="1:7" ht="12.75" x14ac:dyDescent="0.2">
      <c r="A501"/>
      <c r="B501"/>
      <c r="C501"/>
      <c r="D501"/>
      <c r="E501"/>
      <c r="F501"/>
      <c r="G501" s="27"/>
    </row>
    <row r="502" spans="1:7" ht="12.75" x14ac:dyDescent="0.2">
      <c r="A502"/>
      <c r="B502"/>
      <c r="C502"/>
      <c r="D502"/>
      <c r="E502"/>
      <c r="F502"/>
      <c r="G502" s="27"/>
    </row>
    <row r="503" spans="1:7" ht="12.75" x14ac:dyDescent="0.2">
      <c r="A503"/>
      <c r="B503"/>
      <c r="C503"/>
      <c r="D503"/>
      <c r="E503"/>
      <c r="F503"/>
      <c r="G503" s="27"/>
    </row>
    <row r="504" spans="1:7" ht="12.75" x14ac:dyDescent="0.2">
      <c r="A504"/>
      <c r="B504"/>
      <c r="C504"/>
      <c r="D504"/>
      <c r="E504"/>
      <c r="F504"/>
      <c r="G504" s="27"/>
    </row>
    <row r="505" spans="1:7" ht="12.75" x14ac:dyDescent="0.2">
      <c r="A505"/>
      <c r="B505"/>
      <c r="C505"/>
      <c r="D505"/>
      <c r="E505"/>
      <c r="F505"/>
      <c r="G505" s="27"/>
    </row>
    <row r="506" spans="1:7" ht="12.75" x14ac:dyDescent="0.2">
      <c r="A506"/>
      <c r="B506"/>
      <c r="C506"/>
      <c r="D506"/>
      <c r="E506"/>
      <c r="F506"/>
      <c r="G506" s="27"/>
    </row>
    <row r="507" spans="1:7" ht="12.75" x14ac:dyDescent="0.2">
      <c r="A507"/>
      <c r="B507"/>
      <c r="C507"/>
      <c r="D507"/>
      <c r="E507"/>
      <c r="F507"/>
      <c r="G507" s="27"/>
    </row>
    <row r="508" spans="1:7" ht="12.75" x14ac:dyDescent="0.2">
      <c r="A508"/>
      <c r="B508"/>
      <c r="C508"/>
      <c r="D508"/>
      <c r="E508"/>
      <c r="F508"/>
      <c r="G508" s="27"/>
    </row>
    <row r="509" spans="1:7" ht="12.75" x14ac:dyDescent="0.2">
      <c r="A509"/>
      <c r="B509"/>
      <c r="C509"/>
      <c r="D509"/>
      <c r="E509"/>
      <c r="F509"/>
      <c r="G509" s="27"/>
    </row>
    <row r="510" spans="1:7" ht="12.75" x14ac:dyDescent="0.2">
      <c r="A510"/>
      <c r="B510"/>
      <c r="C510"/>
      <c r="D510"/>
      <c r="E510"/>
      <c r="F510"/>
      <c r="G510" s="27"/>
    </row>
    <row r="511" spans="1:7" ht="12.75" x14ac:dyDescent="0.2">
      <c r="A511"/>
      <c r="B511"/>
      <c r="C511"/>
      <c r="D511"/>
      <c r="E511"/>
      <c r="F511"/>
      <c r="G511" s="27"/>
    </row>
    <row r="512" spans="1:7" ht="12.75" x14ac:dyDescent="0.2">
      <c r="A512"/>
      <c r="B512"/>
      <c r="C512"/>
      <c r="D512"/>
      <c r="E512"/>
      <c r="F512"/>
      <c r="G512" s="27"/>
    </row>
    <row r="513" spans="1:7" ht="12.75" x14ac:dyDescent="0.2">
      <c r="A513"/>
      <c r="B513"/>
      <c r="C513"/>
      <c r="D513"/>
      <c r="E513"/>
      <c r="F513"/>
      <c r="G513" s="27"/>
    </row>
    <row r="514" spans="1:7" ht="12.75" x14ac:dyDescent="0.2">
      <c r="A514"/>
      <c r="B514"/>
      <c r="C514"/>
      <c r="D514"/>
      <c r="E514"/>
      <c r="F514"/>
      <c r="G514" s="27"/>
    </row>
    <row r="515" spans="1:7" ht="12.75" x14ac:dyDescent="0.2">
      <c r="A515"/>
      <c r="B515"/>
      <c r="C515"/>
      <c r="D515"/>
      <c r="E515"/>
      <c r="F515"/>
      <c r="G515" s="27"/>
    </row>
    <row r="516" spans="1:7" ht="12.75" x14ac:dyDescent="0.2">
      <c r="A516"/>
      <c r="B516"/>
      <c r="C516"/>
      <c r="D516"/>
      <c r="E516"/>
      <c r="F516"/>
      <c r="G516" s="27"/>
    </row>
    <row r="517" spans="1:7" ht="12.75" x14ac:dyDescent="0.2">
      <c r="A517"/>
      <c r="B517"/>
      <c r="C517"/>
      <c r="D517"/>
      <c r="E517"/>
      <c r="F517"/>
      <c r="G517" s="27"/>
    </row>
    <row r="518" spans="1:7" ht="12.75" x14ac:dyDescent="0.2">
      <c r="A518"/>
      <c r="B518"/>
      <c r="C518"/>
      <c r="D518"/>
      <c r="E518"/>
      <c r="F518"/>
      <c r="G518" s="27"/>
    </row>
    <row r="519" spans="1:7" ht="12.75" x14ac:dyDescent="0.2">
      <c r="A519"/>
      <c r="B519"/>
      <c r="C519"/>
      <c r="D519"/>
      <c r="E519"/>
      <c r="F519"/>
      <c r="G519" s="27"/>
    </row>
    <row r="520" spans="1:7" ht="12.75" x14ac:dyDescent="0.2">
      <c r="A520"/>
      <c r="B520"/>
      <c r="C520"/>
      <c r="D520"/>
      <c r="E520"/>
      <c r="F520"/>
      <c r="G520" s="27"/>
    </row>
    <row r="521" spans="1:7" ht="12.75" x14ac:dyDescent="0.2">
      <c r="A521"/>
      <c r="B521"/>
      <c r="C521"/>
      <c r="D521"/>
      <c r="E521"/>
      <c r="F521"/>
      <c r="G521" s="27"/>
    </row>
    <row r="522" spans="1:7" ht="12.75" x14ac:dyDescent="0.2">
      <c r="A522"/>
      <c r="B522"/>
      <c r="C522"/>
      <c r="D522"/>
      <c r="E522"/>
      <c r="F522"/>
      <c r="G522" s="27"/>
    </row>
    <row r="523" spans="1:7" ht="12.75" x14ac:dyDescent="0.2">
      <c r="A523"/>
      <c r="B523"/>
      <c r="C523"/>
      <c r="D523"/>
      <c r="E523"/>
      <c r="F523"/>
      <c r="G523" s="27"/>
    </row>
    <row r="524" spans="1:7" ht="12.75" x14ac:dyDescent="0.2">
      <c r="A524"/>
      <c r="B524"/>
      <c r="C524"/>
      <c r="D524"/>
      <c r="E524"/>
      <c r="F524"/>
      <c r="G524" s="27"/>
    </row>
    <row r="525" spans="1:7" ht="12.75" x14ac:dyDescent="0.2">
      <c r="A525"/>
      <c r="B525"/>
      <c r="C525"/>
      <c r="D525"/>
      <c r="E525"/>
      <c r="F525"/>
      <c r="G525" s="27"/>
    </row>
    <row r="526" spans="1:7" ht="12.75" x14ac:dyDescent="0.2">
      <c r="A526"/>
      <c r="B526"/>
      <c r="C526"/>
      <c r="D526"/>
      <c r="E526"/>
      <c r="F526"/>
      <c r="G526" s="27"/>
    </row>
    <row r="527" spans="1:7" ht="12.75" x14ac:dyDescent="0.2">
      <c r="A527"/>
      <c r="B527"/>
      <c r="C527"/>
      <c r="D527"/>
      <c r="E527"/>
      <c r="F527"/>
      <c r="G527" s="27"/>
    </row>
    <row r="528" spans="1:7" ht="12.75" x14ac:dyDescent="0.2">
      <c r="A528"/>
      <c r="B528"/>
      <c r="C528"/>
      <c r="D528"/>
      <c r="E528"/>
      <c r="F528"/>
      <c r="G528" s="27"/>
    </row>
    <row r="529" spans="1:7" ht="12.75" x14ac:dyDescent="0.2">
      <c r="A529"/>
      <c r="B529"/>
      <c r="C529"/>
      <c r="D529"/>
      <c r="E529"/>
      <c r="F529"/>
      <c r="G529" s="27"/>
    </row>
    <row r="530" spans="1:7" ht="12.75" x14ac:dyDescent="0.2">
      <c r="A530"/>
      <c r="B530"/>
      <c r="C530"/>
      <c r="D530"/>
      <c r="E530"/>
      <c r="F530"/>
      <c r="G530" s="27"/>
    </row>
    <row r="531" spans="1:7" ht="12.75" x14ac:dyDescent="0.2">
      <c r="A531"/>
      <c r="B531"/>
      <c r="C531"/>
      <c r="D531"/>
      <c r="E531"/>
      <c r="F531"/>
      <c r="G531" s="27"/>
    </row>
    <row r="532" spans="1:7" ht="12.75" x14ac:dyDescent="0.2">
      <c r="A532"/>
      <c r="B532"/>
      <c r="C532"/>
      <c r="D532"/>
      <c r="E532"/>
      <c r="F532"/>
      <c r="G532" s="27"/>
    </row>
    <row r="533" spans="1:7" ht="12.75" x14ac:dyDescent="0.2">
      <c r="A533"/>
      <c r="B533"/>
      <c r="C533"/>
      <c r="D533"/>
      <c r="E533"/>
      <c r="F533"/>
      <c r="G533" s="27"/>
    </row>
    <row r="534" spans="1:7" ht="12.75" x14ac:dyDescent="0.2">
      <c r="A534"/>
      <c r="B534"/>
      <c r="C534"/>
      <c r="D534"/>
      <c r="E534"/>
      <c r="F534"/>
      <c r="G534" s="27"/>
    </row>
    <row r="535" spans="1:7" ht="12.75" x14ac:dyDescent="0.2">
      <c r="A535"/>
      <c r="B535"/>
      <c r="C535"/>
      <c r="D535"/>
      <c r="E535"/>
      <c r="F535"/>
      <c r="G535" s="27"/>
    </row>
    <row r="536" spans="1:7" ht="12.75" x14ac:dyDescent="0.2">
      <c r="A536"/>
      <c r="B536"/>
      <c r="C536"/>
      <c r="D536"/>
      <c r="E536"/>
      <c r="F536"/>
      <c r="G536" s="27"/>
    </row>
    <row r="537" spans="1:7" ht="12.75" x14ac:dyDescent="0.2">
      <c r="A537"/>
      <c r="B537"/>
      <c r="C537"/>
      <c r="D537"/>
      <c r="E537"/>
      <c r="F537"/>
      <c r="G537" s="27"/>
    </row>
    <row r="538" spans="1:7" ht="12.75" x14ac:dyDescent="0.2">
      <c r="A538"/>
      <c r="B538"/>
      <c r="C538"/>
      <c r="D538"/>
      <c r="E538"/>
      <c r="F538"/>
      <c r="G538" s="27"/>
    </row>
    <row r="539" spans="1:7" ht="12.75" x14ac:dyDescent="0.2">
      <c r="A539"/>
      <c r="B539"/>
      <c r="C539"/>
      <c r="D539"/>
      <c r="E539"/>
      <c r="F539"/>
      <c r="G539" s="27"/>
    </row>
    <row r="540" spans="1:7" ht="12.75" x14ac:dyDescent="0.2">
      <c r="A540"/>
      <c r="B540"/>
      <c r="C540"/>
      <c r="D540"/>
      <c r="E540"/>
      <c r="F540"/>
      <c r="G540" s="27"/>
    </row>
    <row r="541" spans="1:7" ht="12.75" x14ac:dyDescent="0.2">
      <c r="A541"/>
      <c r="B541"/>
      <c r="C541"/>
      <c r="D541"/>
      <c r="E541"/>
      <c r="F541"/>
      <c r="G541" s="27"/>
    </row>
    <row r="542" spans="1:7" ht="12.75" x14ac:dyDescent="0.2">
      <c r="A542"/>
      <c r="B542"/>
      <c r="C542"/>
      <c r="D542"/>
      <c r="E542"/>
      <c r="F542"/>
      <c r="G542" s="27"/>
    </row>
    <row r="543" spans="1:7" ht="12.75" x14ac:dyDescent="0.2">
      <c r="A543"/>
      <c r="B543"/>
      <c r="C543"/>
      <c r="D543"/>
      <c r="E543"/>
      <c r="F543"/>
      <c r="G543" s="27"/>
    </row>
    <row r="544" spans="1:7" ht="12.75" x14ac:dyDescent="0.2">
      <c r="A544"/>
      <c r="B544"/>
      <c r="C544"/>
      <c r="D544"/>
      <c r="E544"/>
      <c r="F544"/>
      <c r="G544" s="27"/>
    </row>
    <row r="545" spans="1:7" ht="12.75" x14ac:dyDescent="0.2">
      <c r="A545"/>
      <c r="B545"/>
      <c r="C545"/>
      <c r="D545"/>
      <c r="E545"/>
      <c r="F545"/>
      <c r="G545" s="27"/>
    </row>
    <row r="546" spans="1:7" ht="12.75" x14ac:dyDescent="0.2">
      <c r="A546"/>
      <c r="B546"/>
      <c r="C546"/>
      <c r="D546"/>
      <c r="E546"/>
      <c r="F546"/>
      <c r="G546" s="27"/>
    </row>
    <row r="547" spans="1:7" ht="12.75" x14ac:dyDescent="0.2">
      <c r="A547"/>
      <c r="B547"/>
      <c r="C547"/>
      <c r="D547"/>
      <c r="E547"/>
      <c r="F547"/>
      <c r="G547" s="27"/>
    </row>
    <row r="548" spans="1:7" ht="12.75" x14ac:dyDescent="0.2">
      <c r="A548"/>
      <c r="B548"/>
      <c r="C548"/>
      <c r="D548"/>
      <c r="E548"/>
      <c r="F548"/>
      <c r="G548" s="27"/>
    </row>
    <row r="549" spans="1:7" ht="12.75" x14ac:dyDescent="0.2">
      <c r="A549"/>
      <c r="B549"/>
      <c r="C549"/>
      <c r="D549"/>
      <c r="E549"/>
      <c r="F549"/>
      <c r="G549" s="27"/>
    </row>
    <row r="550" spans="1:7" ht="12.75" x14ac:dyDescent="0.2">
      <c r="A550"/>
      <c r="B550"/>
      <c r="C550"/>
      <c r="D550"/>
      <c r="E550"/>
      <c r="F550"/>
      <c r="G550" s="27"/>
    </row>
    <row r="551" spans="1:7" ht="12.75" x14ac:dyDescent="0.2">
      <c r="A551"/>
      <c r="B551"/>
      <c r="C551"/>
      <c r="D551"/>
      <c r="E551"/>
      <c r="F551"/>
      <c r="G551" s="27"/>
    </row>
    <row r="552" spans="1:7" ht="12.75" x14ac:dyDescent="0.2">
      <c r="A552"/>
      <c r="B552"/>
      <c r="C552"/>
      <c r="D552"/>
      <c r="E552"/>
      <c r="F552"/>
      <c r="G552" s="27"/>
    </row>
    <row r="553" spans="1:7" ht="12.75" x14ac:dyDescent="0.2">
      <c r="A553"/>
      <c r="B553"/>
      <c r="C553"/>
      <c r="D553"/>
      <c r="E553"/>
      <c r="F553"/>
      <c r="G553" s="27"/>
    </row>
    <row r="554" spans="1:7" ht="12.75" x14ac:dyDescent="0.2">
      <c r="A554"/>
      <c r="B554"/>
      <c r="C554"/>
      <c r="D554"/>
      <c r="E554"/>
      <c r="F554"/>
      <c r="G554" s="27"/>
    </row>
    <row r="555" spans="1:7" ht="12.75" x14ac:dyDescent="0.2">
      <c r="A555"/>
      <c r="B555"/>
      <c r="C555"/>
      <c r="D555"/>
      <c r="E555"/>
      <c r="F555"/>
      <c r="G555" s="27"/>
    </row>
    <row r="556" spans="1:7" ht="12.75" x14ac:dyDescent="0.2">
      <c r="A556"/>
      <c r="B556"/>
      <c r="C556"/>
      <c r="D556"/>
      <c r="E556"/>
      <c r="F556"/>
      <c r="G556" s="27"/>
    </row>
    <row r="557" spans="1:7" ht="12.75" x14ac:dyDescent="0.2">
      <c r="A557"/>
      <c r="B557"/>
      <c r="C557"/>
      <c r="D557"/>
      <c r="E557"/>
      <c r="F557"/>
      <c r="G557" s="27"/>
    </row>
    <row r="558" spans="1:7" ht="12.75" x14ac:dyDescent="0.2">
      <c r="A558"/>
      <c r="B558"/>
      <c r="C558"/>
      <c r="D558"/>
      <c r="E558"/>
      <c r="F558"/>
      <c r="G558" s="27"/>
    </row>
    <row r="559" spans="1:7" ht="12.75" x14ac:dyDescent="0.2">
      <c r="A559"/>
      <c r="B559"/>
      <c r="C559"/>
      <c r="D559"/>
      <c r="E559"/>
      <c r="F559"/>
      <c r="G559" s="27"/>
    </row>
    <row r="560" spans="1:7" ht="12.75" x14ac:dyDescent="0.2">
      <c r="A560"/>
      <c r="B560"/>
      <c r="C560"/>
      <c r="D560"/>
      <c r="E560"/>
      <c r="F560"/>
      <c r="G560" s="27"/>
    </row>
    <row r="561" spans="1:7" ht="12.75" x14ac:dyDescent="0.2">
      <c r="A561"/>
      <c r="B561"/>
      <c r="C561"/>
      <c r="D561"/>
      <c r="E561"/>
      <c r="F561"/>
      <c r="G561" s="27"/>
    </row>
    <row r="562" spans="1:7" ht="12.75" x14ac:dyDescent="0.2">
      <c r="A562"/>
      <c r="B562"/>
      <c r="C562"/>
      <c r="D562"/>
      <c r="E562"/>
      <c r="F562"/>
      <c r="G562" s="27"/>
    </row>
    <row r="563" spans="1:7" ht="12.75" x14ac:dyDescent="0.2">
      <c r="A563"/>
      <c r="B563"/>
      <c r="C563"/>
      <c r="D563"/>
      <c r="E563"/>
      <c r="F563"/>
      <c r="G563" s="27"/>
    </row>
    <row r="564" spans="1:7" ht="12.75" x14ac:dyDescent="0.2">
      <c r="A564"/>
      <c r="B564"/>
      <c r="C564"/>
      <c r="D564"/>
      <c r="E564"/>
      <c r="F564"/>
      <c r="G564" s="27"/>
    </row>
    <row r="565" spans="1:7" ht="12.75" x14ac:dyDescent="0.2">
      <c r="A565"/>
      <c r="B565"/>
      <c r="C565"/>
      <c r="D565"/>
      <c r="E565"/>
      <c r="F565"/>
      <c r="G565" s="27"/>
    </row>
    <row r="566" spans="1:7" ht="12.75" x14ac:dyDescent="0.2">
      <c r="A566"/>
      <c r="B566"/>
      <c r="C566"/>
      <c r="D566"/>
      <c r="E566"/>
      <c r="F566"/>
      <c r="G566" s="27"/>
    </row>
    <row r="567" spans="1:7" ht="12.75" x14ac:dyDescent="0.2">
      <c r="A567"/>
      <c r="B567"/>
      <c r="C567"/>
      <c r="D567"/>
      <c r="E567"/>
      <c r="F567"/>
      <c r="G567" s="27"/>
    </row>
    <row r="568" spans="1:7" ht="12.75" x14ac:dyDescent="0.2">
      <c r="A568"/>
      <c r="B568"/>
      <c r="C568"/>
      <c r="D568"/>
      <c r="E568"/>
      <c r="F568"/>
      <c r="G568" s="27"/>
    </row>
    <row r="569" spans="1:7" ht="12.75" x14ac:dyDescent="0.2">
      <c r="A569"/>
      <c r="B569"/>
      <c r="C569"/>
      <c r="D569"/>
      <c r="E569"/>
      <c r="F569"/>
      <c r="G569" s="27"/>
    </row>
    <row r="570" spans="1:7" ht="12.75" x14ac:dyDescent="0.2">
      <c r="A570"/>
      <c r="B570"/>
      <c r="C570"/>
      <c r="D570"/>
      <c r="E570"/>
      <c r="F570"/>
      <c r="G570" s="27"/>
    </row>
    <row r="571" spans="1:7" ht="12.75" x14ac:dyDescent="0.2">
      <c r="A571"/>
      <c r="B571"/>
      <c r="C571"/>
      <c r="D571"/>
      <c r="E571"/>
      <c r="F571"/>
      <c r="G571" s="27"/>
    </row>
    <row r="572" spans="1:7" ht="12.75" x14ac:dyDescent="0.2">
      <c r="A572"/>
      <c r="B572"/>
      <c r="C572"/>
      <c r="D572"/>
      <c r="E572"/>
      <c r="F572"/>
      <c r="G572" s="27"/>
    </row>
    <row r="573" spans="1:7" ht="12.75" x14ac:dyDescent="0.2">
      <c r="A573"/>
      <c r="B573"/>
      <c r="C573"/>
      <c r="D573"/>
      <c r="E573"/>
      <c r="F573"/>
      <c r="G573" s="27"/>
    </row>
    <row r="574" spans="1:7" ht="12.75" x14ac:dyDescent="0.2">
      <c r="A574"/>
      <c r="B574"/>
      <c r="C574"/>
      <c r="D574"/>
      <c r="E574"/>
      <c r="F574"/>
      <c r="G574" s="27"/>
    </row>
    <row r="575" spans="1:7" ht="12.75" x14ac:dyDescent="0.2">
      <c r="A575"/>
      <c r="B575"/>
      <c r="C575"/>
      <c r="D575"/>
      <c r="E575"/>
      <c r="F575"/>
      <c r="G575" s="27"/>
    </row>
    <row r="576" spans="1:7" ht="12.75" x14ac:dyDescent="0.2">
      <c r="A576"/>
      <c r="B576"/>
      <c r="C576"/>
      <c r="D576"/>
      <c r="E576"/>
      <c r="F576"/>
      <c r="G576" s="27"/>
    </row>
    <row r="577" spans="1:7" ht="12.75" x14ac:dyDescent="0.2">
      <c r="A577"/>
      <c r="B577"/>
      <c r="C577"/>
      <c r="D577"/>
      <c r="E577"/>
      <c r="F577"/>
      <c r="G577" s="27"/>
    </row>
    <row r="578" spans="1:7" ht="12.75" x14ac:dyDescent="0.2">
      <c r="A578"/>
      <c r="B578"/>
      <c r="C578"/>
      <c r="D578"/>
      <c r="E578"/>
      <c r="F578"/>
      <c r="G578" s="27"/>
    </row>
    <row r="579" spans="1:7" ht="12.75" x14ac:dyDescent="0.2">
      <c r="A579"/>
      <c r="B579"/>
      <c r="C579"/>
      <c r="D579"/>
      <c r="E579"/>
      <c r="F579"/>
      <c r="G579" s="27"/>
    </row>
    <row r="580" spans="1:7" ht="12.75" x14ac:dyDescent="0.2">
      <c r="A580"/>
      <c r="B580"/>
      <c r="C580"/>
      <c r="D580"/>
      <c r="E580"/>
      <c r="F580"/>
      <c r="G580" s="27"/>
    </row>
    <row r="581" spans="1:7" ht="12.75" x14ac:dyDescent="0.2">
      <c r="A581"/>
      <c r="B581"/>
      <c r="C581"/>
      <c r="D581"/>
      <c r="E581"/>
      <c r="F581"/>
      <c r="G581" s="27"/>
    </row>
    <row r="582" spans="1:7" ht="12.75" x14ac:dyDescent="0.2">
      <c r="A582"/>
      <c r="B582"/>
      <c r="C582"/>
      <c r="D582"/>
      <c r="E582"/>
      <c r="F582"/>
      <c r="G582" s="27"/>
    </row>
    <row r="583" spans="1:7" ht="12.75" x14ac:dyDescent="0.2">
      <c r="A583"/>
      <c r="B583"/>
      <c r="C583"/>
      <c r="D583"/>
      <c r="E583"/>
      <c r="F583"/>
      <c r="G583" s="27"/>
    </row>
    <row r="584" spans="1:7" ht="12.75" x14ac:dyDescent="0.2">
      <c r="A584"/>
      <c r="B584"/>
      <c r="C584"/>
      <c r="D584"/>
      <c r="E584"/>
      <c r="F584"/>
      <c r="G584" s="27"/>
    </row>
    <row r="585" spans="1:7" ht="12.75" x14ac:dyDescent="0.2">
      <c r="A585"/>
      <c r="B585"/>
      <c r="C585"/>
      <c r="D585"/>
      <c r="E585"/>
      <c r="F585"/>
      <c r="G585" s="27"/>
    </row>
    <row r="586" spans="1:7" ht="12.75" x14ac:dyDescent="0.2">
      <c r="A586"/>
      <c r="B586"/>
      <c r="C586"/>
      <c r="D586"/>
      <c r="E586"/>
      <c r="F586"/>
      <c r="G586" s="27"/>
    </row>
    <row r="587" spans="1:7" ht="12.75" x14ac:dyDescent="0.2">
      <c r="A587"/>
      <c r="B587"/>
      <c r="C587"/>
      <c r="D587"/>
      <c r="E587"/>
      <c r="F587"/>
      <c r="G587" s="27"/>
    </row>
    <row r="588" spans="1:7" ht="12.75" x14ac:dyDescent="0.2">
      <c r="A588"/>
      <c r="B588"/>
      <c r="C588"/>
      <c r="D588"/>
      <c r="E588"/>
      <c r="F588"/>
      <c r="G588" s="27"/>
    </row>
    <row r="589" spans="1:7" ht="12.75" x14ac:dyDescent="0.2">
      <c r="A589"/>
      <c r="B589"/>
      <c r="C589"/>
      <c r="D589"/>
      <c r="E589"/>
      <c r="F589"/>
      <c r="G589" s="27"/>
    </row>
    <row r="590" spans="1:7" ht="12.75" x14ac:dyDescent="0.2">
      <c r="A590"/>
      <c r="B590"/>
      <c r="C590"/>
      <c r="D590"/>
      <c r="E590"/>
      <c r="F590"/>
      <c r="G590" s="27"/>
    </row>
    <row r="591" spans="1:7" ht="12.75" x14ac:dyDescent="0.2">
      <c r="A591"/>
      <c r="B591"/>
      <c r="C591"/>
      <c r="D591"/>
      <c r="E591"/>
      <c r="F591"/>
      <c r="G591" s="27"/>
    </row>
    <row r="592" spans="1:7" ht="12.75" x14ac:dyDescent="0.2">
      <c r="A592"/>
      <c r="B592"/>
      <c r="C592"/>
      <c r="D592"/>
      <c r="E592"/>
      <c r="F592"/>
      <c r="G592" s="27"/>
    </row>
    <row r="593" spans="1:7" ht="12.75" x14ac:dyDescent="0.2">
      <c r="A593"/>
      <c r="B593"/>
      <c r="C593"/>
      <c r="D593"/>
      <c r="E593"/>
      <c r="F593"/>
      <c r="G593" s="27"/>
    </row>
    <row r="594" spans="1:7" ht="12.75" x14ac:dyDescent="0.2">
      <c r="A594"/>
      <c r="B594"/>
      <c r="C594"/>
      <c r="D594"/>
      <c r="E594"/>
      <c r="F594"/>
      <c r="G594" s="27"/>
    </row>
    <row r="595" spans="1:7" ht="12.75" x14ac:dyDescent="0.2">
      <c r="A595"/>
      <c r="B595"/>
      <c r="C595"/>
      <c r="D595"/>
      <c r="E595"/>
      <c r="F595"/>
      <c r="G595" s="27"/>
    </row>
    <row r="596" spans="1:7" ht="12.75" x14ac:dyDescent="0.2">
      <c r="A596"/>
      <c r="B596"/>
      <c r="C596"/>
      <c r="D596"/>
      <c r="E596"/>
      <c r="F596"/>
      <c r="G596" s="27"/>
    </row>
    <row r="597" spans="1:7" ht="12.75" x14ac:dyDescent="0.2">
      <c r="A597"/>
      <c r="B597"/>
      <c r="C597"/>
      <c r="D597"/>
      <c r="E597"/>
      <c r="F597"/>
      <c r="G597" s="27"/>
    </row>
    <row r="598" spans="1:7" ht="12.75" x14ac:dyDescent="0.2">
      <c r="A598"/>
      <c r="B598"/>
      <c r="C598"/>
      <c r="D598"/>
      <c r="E598"/>
      <c r="F598"/>
      <c r="G598" s="27"/>
    </row>
    <row r="599" spans="1:7" ht="12.75" x14ac:dyDescent="0.2">
      <c r="A599"/>
      <c r="B599"/>
      <c r="C599"/>
      <c r="D599"/>
      <c r="E599"/>
      <c r="F599"/>
      <c r="G599" s="27"/>
    </row>
    <row r="600" spans="1:7" ht="12.75" x14ac:dyDescent="0.2">
      <c r="A600"/>
      <c r="B600"/>
      <c r="C600"/>
      <c r="D600"/>
      <c r="E600"/>
      <c r="F600"/>
      <c r="G600" s="27"/>
    </row>
    <row r="601" spans="1:7" ht="12.75" x14ac:dyDescent="0.2">
      <c r="A601"/>
      <c r="B601"/>
      <c r="C601"/>
      <c r="D601"/>
      <c r="E601"/>
      <c r="F601"/>
      <c r="G601" s="27"/>
    </row>
    <row r="602" spans="1:7" ht="12.75" x14ac:dyDescent="0.2">
      <c r="A602"/>
      <c r="B602"/>
      <c r="C602"/>
      <c r="D602"/>
      <c r="E602"/>
      <c r="F602"/>
      <c r="G602" s="27"/>
    </row>
    <row r="603" spans="1:7" ht="12.75" x14ac:dyDescent="0.2">
      <c r="A603"/>
      <c r="B603"/>
      <c r="C603"/>
      <c r="D603"/>
      <c r="E603"/>
      <c r="F603"/>
      <c r="G603" s="27"/>
    </row>
    <row r="604" spans="1:7" ht="12.75" x14ac:dyDescent="0.2">
      <c r="A604"/>
      <c r="B604"/>
      <c r="C604"/>
      <c r="D604"/>
      <c r="E604"/>
      <c r="F604"/>
      <c r="G604" s="27"/>
    </row>
    <row r="605" spans="1:7" ht="12.75" x14ac:dyDescent="0.2">
      <c r="A605"/>
      <c r="B605"/>
      <c r="C605"/>
      <c r="D605"/>
      <c r="E605"/>
      <c r="F605"/>
      <c r="G605" s="27"/>
    </row>
    <row r="606" spans="1:7" ht="12.75" x14ac:dyDescent="0.2">
      <c r="A606"/>
      <c r="B606"/>
      <c r="C606"/>
      <c r="D606"/>
      <c r="E606"/>
      <c r="F606"/>
      <c r="G606" s="27"/>
    </row>
    <row r="607" spans="1:7" ht="12.75" x14ac:dyDescent="0.2">
      <c r="A607"/>
      <c r="B607"/>
      <c r="C607"/>
      <c r="D607"/>
      <c r="E607"/>
      <c r="F607"/>
      <c r="G607" s="27"/>
    </row>
    <row r="608" spans="1:7" ht="12.75" x14ac:dyDescent="0.2">
      <c r="A608"/>
      <c r="B608"/>
      <c r="C608"/>
      <c r="D608"/>
      <c r="E608"/>
      <c r="F608"/>
      <c r="G608" s="27"/>
    </row>
    <row r="609" spans="1:7" ht="12.75" x14ac:dyDescent="0.2">
      <c r="A609"/>
      <c r="B609"/>
      <c r="C609"/>
      <c r="D609"/>
      <c r="E609"/>
      <c r="F609"/>
      <c r="G609" s="27"/>
    </row>
    <row r="610" spans="1:7" ht="12.75" x14ac:dyDescent="0.2">
      <c r="A610"/>
      <c r="B610"/>
      <c r="C610"/>
      <c r="D610"/>
      <c r="E610"/>
      <c r="F610"/>
      <c r="G610" s="27"/>
    </row>
    <row r="611" spans="1:7" ht="12.75" x14ac:dyDescent="0.2">
      <c r="A611"/>
      <c r="B611"/>
      <c r="C611"/>
      <c r="D611"/>
      <c r="E611"/>
      <c r="F611"/>
      <c r="G611" s="27"/>
    </row>
    <row r="612" spans="1:7" ht="12.75" x14ac:dyDescent="0.2">
      <c r="A612"/>
      <c r="B612"/>
      <c r="C612"/>
      <c r="D612"/>
      <c r="E612"/>
      <c r="F612"/>
      <c r="G612" s="27"/>
    </row>
    <row r="613" spans="1:7" ht="12.75" x14ac:dyDescent="0.2">
      <c r="A613"/>
      <c r="B613"/>
      <c r="C613"/>
      <c r="D613"/>
      <c r="E613"/>
      <c r="F613"/>
      <c r="G613" s="27"/>
    </row>
    <row r="614" spans="1:7" ht="12.75" x14ac:dyDescent="0.2">
      <c r="A614"/>
      <c r="B614"/>
      <c r="C614"/>
      <c r="D614"/>
      <c r="E614"/>
      <c r="F614"/>
      <c r="G614" s="27"/>
    </row>
    <row r="615" spans="1:7" ht="12.75" x14ac:dyDescent="0.2">
      <c r="A615"/>
      <c r="B615"/>
      <c r="C615"/>
      <c r="D615"/>
      <c r="E615"/>
      <c r="F615"/>
      <c r="G615" s="27"/>
    </row>
    <row r="616" spans="1:7" ht="12.75" x14ac:dyDescent="0.2">
      <c r="A616"/>
      <c r="B616"/>
      <c r="C616"/>
      <c r="D616"/>
      <c r="E616"/>
      <c r="F616"/>
      <c r="G616" s="27"/>
    </row>
    <row r="617" spans="1:7" ht="12.75" x14ac:dyDescent="0.2">
      <c r="A617"/>
      <c r="B617"/>
      <c r="C617"/>
      <c r="D617"/>
      <c r="E617"/>
      <c r="F617"/>
      <c r="G617" s="27"/>
    </row>
    <row r="618" spans="1:7" ht="12.75" x14ac:dyDescent="0.2">
      <c r="A618"/>
      <c r="B618"/>
      <c r="C618"/>
      <c r="D618"/>
      <c r="E618"/>
      <c r="F618"/>
      <c r="G618" s="27"/>
    </row>
    <row r="619" spans="1:7" ht="12.75" x14ac:dyDescent="0.2">
      <c r="A619"/>
      <c r="B619"/>
      <c r="C619"/>
      <c r="D619"/>
      <c r="E619"/>
      <c r="F619"/>
      <c r="G619" s="27"/>
    </row>
    <row r="620" spans="1:7" ht="12.75" x14ac:dyDescent="0.2">
      <c r="A620"/>
      <c r="B620"/>
      <c r="C620"/>
      <c r="D620"/>
      <c r="E620"/>
      <c r="F620"/>
      <c r="G620" s="27"/>
    </row>
    <row r="621" spans="1:7" ht="12.75" x14ac:dyDescent="0.2">
      <c r="A621"/>
      <c r="B621"/>
      <c r="C621"/>
      <c r="D621"/>
      <c r="E621"/>
      <c r="F621"/>
      <c r="G621" s="27"/>
    </row>
    <row r="622" spans="1:7" ht="12.75" x14ac:dyDescent="0.2">
      <c r="A622"/>
      <c r="B622"/>
      <c r="C622"/>
      <c r="D622"/>
      <c r="E622"/>
      <c r="F622"/>
      <c r="G622" s="27"/>
    </row>
    <row r="623" spans="1:7" ht="12.75" x14ac:dyDescent="0.2">
      <c r="A623"/>
      <c r="B623"/>
      <c r="C623"/>
      <c r="D623"/>
      <c r="E623"/>
      <c r="F623"/>
      <c r="G623" s="27"/>
    </row>
    <row r="624" spans="1:7" ht="12.75" x14ac:dyDescent="0.2">
      <c r="A624"/>
      <c r="B624"/>
      <c r="C624"/>
      <c r="D624"/>
      <c r="E624"/>
      <c r="F624"/>
      <c r="G624" s="27"/>
    </row>
    <row r="625" spans="1:9" ht="12.75" x14ac:dyDescent="0.2">
      <c r="A625"/>
      <c r="B625"/>
      <c r="C625"/>
      <c r="D625"/>
      <c r="E625"/>
      <c r="F625"/>
      <c r="G625" s="27"/>
    </row>
    <row r="626" spans="1:9" ht="12.75" x14ac:dyDescent="0.2">
      <c r="A626"/>
      <c r="B626"/>
      <c r="C626"/>
      <c r="D626"/>
      <c r="E626"/>
      <c r="F626"/>
      <c r="G626" s="27"/>
    </row>
    <row r="627" spans="1:9" ht="12.75" x14ac:dyDescent="0.2">
      <c r="A627"/>
      <c r="B627"/>
      <c r="C627"/>
      <c r="D627"/>
      <c r="E627"/>
      <c r="F627"/>
      <c r="G627" s="27"/>
    </row>
    <row r="628" spans="1:9" ht="12.75" x14ac:dyDescent="0.2">
      <c r="A628"/>
      <c r="B628"/>
      <c r="C628"/>
      <c r="D628"/>
      <c r="E628"/>
      <c r="F628"/>
      <c r="G628" s="27"/>
    </row>
    <row r="629" spans="1:9" ht="12.75" x14ac:dyDescent="0.2">
      <c r="A629"/>
      <c r="B629"/>
      <c r="C629"/>
      <c r="D629"/>
      <c r="E629"/>
      <c r="F629"/>
      <c r="G629" s="27"/>
    </row>
    <row r="630" spans="1:9" ht="12.75" x14ac:dyDescent="0.2">
      <c r="A630"/>
      <c r="B630"/>
      <c r="C630"/>
      <c r="D630"/>
      <c r="E630"/>
      <c r="F630"/>
      <c r="G630" s="27"/>
    </row>
    <row r="631" spans="1:9" ht="12.75" x14ac:dyDescent="0.2">
      <c r="A631"/>
      <c r="B631"/>
      <c r="C631"/>
      <c r="D631"/>
      <c r="E631"/>
      <c r="F631"/>
      <c r="G631" s="27"/>
    </row>
    <row r="632" spans="1:9" ht="12.75" x14ac:dyDescent="0.2">
      <c r="A632"/>
      <c r="B632"/>
      <c r="C632"/>
      <c r="D632"/>
      <c r="E632"/>
      <c r="F632"/>
      <c r="G632" s="27"/>
    </row>
    <row r="633" spans="1:9" ht="12.75" x14ac:dyDescent="0.2">
      <c r="A633"/>
      <c r="B633"/>
      <c r="C633"/>
      <c r="D633"/>
      <c r="E633"/>
      <c r="F633"/>
      <c r="G633" s="27"/>
    </row>
    <row r="634" spans="1:9" ht="12.75" x14ac:dyDescent="0.2">
      <c r="A634"/>
      <c r="B634"/>
      <c r="C634"/>
      <c r="D634"/>
      <c r="E634"/>
      <c r="F634"/>
      <c r="G634" s="27"/>
    </row>
    <row r="635" spans="1:9" ht="12.75" x14ac:dyDescent="0.2">
      <c r="A635"/>
      <c r="B635"/>
      <c r="C635"/>
      <c r="D635"/>
      <c r="E635"/>
      <c r="F635"/>
      <c r="G635" s="27"/>
    </row>
    <row r="636" spans="1:9" ht="12.75" x14ac:dyDescent="0.2">
      <c r="A636"/>
      <c r="B636"/>
      <c r="C636"/>
      <c r="D636"/>
      <c r="E636"/>
      <c r="F636"/>
      <c r="G636" s="27"/>
      <c r="H636"/>
      <c r="I636"/>
    </row>
    <row r="637" spans="1:9" ht="12.75" x14ac:dyDescent="0.2">
      <c r="A637"/>
      <c r="B637"/>
      <c r="C637"/>
      <c r="D637"/>
      <c r="E637"/>
      <c r="F637"/>
      <c r="G637" s="27"/>
      <c r="H637"/>
      <c r="I637"/>
    </row>
    <row r="638" spans="1:9" ht="12.75" x14ac:dyDescent="0.2">
      <c r="A638"/>
      <c r="B638"/>
      <c r="C638"/>
      <c r="D638"/>
      <c r="E638"/>
      <c r="F638"/>
      <c r="G638" s="27"/>
      <c r="H638"/>
      <c r="I638"/>
    </row>
    <row r="639" spans="1:9" ht="12.75" x14ac:dyDescent="0.2">
      <c r="A639" s="92"/>
      <c r="C639" s="92"/>
      <c r="D639" s="92"/>
      <c r="E639" s="92"/>
      <c r="F639" s="92"/>
      <c r="G639" s="95"/>
    </row>
    <row r="640" spans="1:9" ht="12.75" x14ac:dyDescent="0.2">
      <c r="A640" s="92"/>
      <c r="C640" s="92"/>
      <c r="D640" s="92"/>
      <c r="E640" s="92"/>
      <c r="F640" s="92"/>
      <c r="G640" s="95"/>
    </row>
    <row r="641" spans="8:9" x14ac:dyDescent="0.2">
      <c r="H641" s="93"/>
      <c r="I641" s="93"/>
    </row>
    <row r="642" spans="8:9" x14ac:dyDescent="0.2">
      <c r="H642" s="93"/>
      <c r="I642" s="93"/>
    </row>
    <row r="643" spans="8:9" x14ac:dyDescent="0.2">
      <c r="H643" s="93"/>
      <c r="I643" s="93"/>
    </row>
    <row r="644" spans="8:9" x14ac:dyDescent="0.2">
      <c r="H644" s="93"/>
      <c r="I644" s="93"/>
    </row>
    <row r="645" spans="8:9" x14ac:dyDescent="0.2">
      <c r="H645" s="93"/>
      <c r="I645" s="93"/>
    </row>
    <row r="646" spans="8:9" x14ac:dyDescent="0.2">
      <c r="H646" s="93"/>
      <c r="I646" s="93"/>
    </row>
    <row r="647" spans="8:9" x14ac:dyDescent="0.2">
      <c r="H647" s="93"/>
      <c r="I647" s="93"/>
    </row>
    <row r="648" spans="8:9" x14ac:dyDescent="0.2">
      <c r="H648" s="93"/>
      <c r="I648" s="93"/>
    </row>
    <row r="649" spans="8:9" x14ac:dyDescent="0.2">
      <c r="H649" s="93"/>
      <c r="I649" s="93"/>
    </row>
    <row r="650" spans="8:9" x14ac:dyDescent="0.2">
      <c r="H650" s="93"/>
      <c r="I650" s="93"/>
    </row>
    <row r="651" spans="8:9" x14ac:dyDescent="0.2">
      <c r="H651" s="93"/>
      <c r="I651" s="93"/>
    </row>
    <row r="652" spans="8:9" x14ac:dyDescent="0.2">
      <c r="H652" s="93"/>
      <c r="I652" s="93"/>
    </row>
    <row r="653" spans="8:9" x14ac:dyDescent="0.2">
      <c r="H653" s="93"/>
      <c r="I653" s="93"/>
    </row>
    <row r="654" spans="8:9" x14ac:dyDescent="0.2">
      <c r="H654" s="93"/>
      <c r="I654" s="93"/>
    </row>
    <row r="655" spans="8:9" x14ac:dyDescent="0.2">
      <c r="H655" s="93"/>
      <c r="I655" s="93"/>
    </row>
    <row r="656" spans="8:9" x14ac:dyDescent="0.2">
      <c r="H656" s="93"/>
      <c r="I656" s="93"/>
    </row>
    <row r="657" spans="8:9" x14ac:dyDescent="0.2">
      <c r="H657" s="93"/>
      <c r="I657" s="93"/>
    </row>
    <row r="658" spans="8:9" x14ac:dyDescent="0.2">
      <c r="H658" s="93"/>
      <c r="I658" s="93"/>
    </row>
    <row r="659" spans="8:9" x14ac:dyDescent="0.2">
      <c r="H659" s="93"/>
      <c r="I659" s="93"/>
    </row>
    <row r="660" spans="8:9" x14ac:dyDescent="0.2">
      <c r="H660" s="93"/>
      <c r="I660" s="93"/>
    </row>
    <row r="661" spans="8:9" x14ac:dyDescent="0.2">
      <c r="H661" s="93"/>
      <c r="I661" s="93"/>
    </row>
    <row r="662" spans="8:9" x14ac:dyDescent="0.2">
      <c r="H662" s="93"/>
      <c r="I662" s="93"/>
    </row>
    <row r="663" spans="8:9" x14ac:dyDescent="0.2">
      <c r="H663" s="93"/>
      <c r="I663" s="93"/>
    </row>
    <row r="664" spans="8:9" x14ac:dyDescent="0.2">
      <c r="H664" s="93"/>
      <c r="I664" s="93"/>
    </row>
    <row r="665" spans="8:9" x14ac:dyDescent="0.2">
      <c r="H665" s="93"/>
      <c r="I665" s="93"/>
    </row>
    <row r="666" spans="8:9" x14ac:dyDescent="0.2">
      <c r="H666" s="93"/>
      <c r="I666" s="93"/>
    </row>
    <row r="667" spans="8:9" x14ac:dyDescent="0.2">
      <c r="H667" s="93"/>
      <c r="I667" s="93"/>
    </row>
    <row r="668" spans="8:9" x14ac:dyDescent="0.2">
      <c r="H668" s="93"/>
      <c r="I668" s="93"/>
    </row>
    <row r="669" spans="8:9" x14ac:dyDescent="0.2">
      <c r="H669" s="93"/>
      <c r="I669" s="93"/>
    </row>
    <row r="670" spans="8:9" x14ac:dyDescent="0.2">
      <c r="H670" s="93"/>
      <c r="I670" s="93"/>
    </row>
    <row r="671" spans="8:9" x14ac:dyDescent="0.2">
      <c r="H671" s="93"/>
      <c r="I671" s="93"/>
    </row>
    <row r="672" spans="8:9" x14ac:dyDescent="0.2">
      <c r="H672" s="93"/>
      <c r="I672" s="93"/>
    </row>
    <row r="673" spans="7:9" x14ac:dyDescent="0.2">
      <c r="H673" s="93"/>
      <c r="I673" s="93"/>
    </row>
    <row r="674" spans="7:9" x14ac:dyDescent="0.2">
      <c r="G674" s="27"/>
      <c r="H674"/>
      <c r="I674"/>
    </row>
    <row r="675" spans="7:9" x14ac:dyDescent="0.2">
      <c r="G675" s="27"/>
      <c r="H675"/>
      <c r="I675"/>
    </row>
    <row r="676" spans="7:9" x14ac:dyDescent="0.2">
      <c r="G676" s="27"/>
      <c r="H676"/>
      <c r="I676"/>
    </row>
    <row r="677" spans="7:9" x14ac:dyDescent="0.2">
      <c r="G677" s="95"/>
    </row>
    <row r="678" spans="7:9" x14ac:dyDescent="0.2">
      <c r="G678" s="95"/>
    </row>
    <row r="679" spans="7:9" x14ac:dyDescent="0.2">
      <c r="H679" s="93"/>
      <c r="I679" s="93"/>
    </row>
    <row r="680" spans="7:9" x14ac:dyDescent="0.2">
      <c r="H680" s="93"/>
      <c r="I680" s="93"/>
    </row>
    <row r="681" spans="7:9" x14ac:dyDescent="0.2">
      <c r="H681" s="93"/>
      <c r="I681" s="93"/>
    </row>
    <row r="682" spans="7:9" x14ac:dyDescent="0.2">
      <c r="H682" s="93"/>
      <c r="I682" s="93"/>
    </row>
    <row r="683" spans="7:9" x14ac:dyDescent="0.2">
      <c r="H683" s="93"/>
      <c r="I683" s="93"/>
    </row>
    <row r="684" spans="7:9" x14ac:dyDescent="0.2">
      <c r="H684" s="93"/>
      <c r="I684" s="93"/>
    </row>
    <row r="685" spans="7:9" x14ac:dyDescent="0.2">
      <c r="H685" s="93"/>
      <c r="I685" s="93"/>
    </row>
    <row r="686" spans="7:9" x14ac:dyDescent="0.2">
      <c r="H686" s="93"/>
      <c r="I686" s="93"/>
    </row>
    <row r="1217" spans="13:20" x14ac:dyDescent="0.2">
      <c r="M1217" s="92" t="s">
        <v>58</v>
      </c>
      <c r="N1217" s="92" t="s">
        <v>58</v>
      </c>
    </row>
    <row r="1218" spans="13:20" x14ac:dyDescent="0.2">
      <c r="M1218" s="92" t="s">
        <v>59</v>
      </c>
      <c r="N1218" s="92" t="s">
        <v>59</v>
      </c>
    </row>
    <row r="1219" spans="13:20" x14ac:dyDescent="0.2">
      <c r="M1219" s="92" t="s">
        <v>60</v>
      </c>
      <c r="N1219" s="92" t="s">
        <v>960</v>
      </c>
    </row>
    <row r="1221" spans="13:20" x14ac:dyDescent="0.2">
      <c r="T1221" s="92">
        <v>0</v>
      </c>
    </row>
    <row r="1222" spans="13:20" x14ac:dyDescent="0.2">
      <c r="T1222" s="92">
        <v>0</v>
      </c>
    </row>
    <row r="1223" spans="13:20" x14ac:dyDescent="0.2">
      <c r="T1223" s="92">
        <v>0</v>
      </c>
    </row>
  </sheetData>
  <sheetProtection formatCells="0" insertColumns="0" insertRows="0" deleteColumns="0" deleteRows="0" sort="0" autoFilter="0" pivotTables="0"/>
  <phoneticPr fontId="2" type="noConversion"/>
  <conditionalFormatting sqref="I23">
    <cfRule type="cellIs" dxfId="87" priority="224" stopIfTrue="1" operator="equal">
      <formula>"Pass"</formula>
    </cfRule>
    <cfRule type="cellIs" dxfId="86" priority="225" stopIfTrue="1" operator="equal">
      <formula>"Error"</formula>
    </cfRule>
  </conditionalFormatting>
  <conditionalFormatting sqref="E4:E1000">
    <cfRule type="cellIs" dxfId="85" priority="228" stopIfTrue="1" operator="greaterThan">
      <formula>0</formula>
    </cfRule>
    <cfRule type="cellIs" priority="229" stopIfTrue="1" operator="equal">
      <formula>0</formula>
    </cfRule>
  </conditionalFormatting>
  <conditionalFormatting sqref="J4">
    <cfRule type="containsText" dxfId="84" priority="68" stopIfTrue="1" operator="containsText" text="but now it's ok!">
      <formula>NOT(ISERROR(SEARCH("but now it's ok!",J4)))</formula>
    </cfRule>
    <cfRule type="containsText" dxfId="83" priority="69" stopIfTrue="1" operator="containsText" text="TO BE ATTENDED!">
      <formula>NOT(ISERROR(SEARCH("TO BE ATTENDED!",J4)))</formula>
    </cfRule>
    <cfRule type="containsText" dxfId="82" priority="70" stopIfTrue="1" operator="containsText" text="to be monitored.">
      <formula>NOT(ISERROR(SEARCH("to be monitored.",J4)))</formula>
    </cfRule>
    <cfRule type="containsText" dxfId="81" priority="71" stopIfTrue="1" operator="containsText" text="No problem in this area.">
      <formula>NOT(ISERROR(SEARCH("No problem in this area.",J4)))</formula>
    </cfRule>
  </conditionalFormatting>
  <conditionalFormatting sqref="J6 J8 J10 J12 J14 J16 J18 J20">
    <cfRule type="containsText" dxfId="80" priority="4" stopIfTrue="1" operator="containsText" text="but now it's ok!">
      <formula>NOT(ISERROR(SEARCH("but now it's ok!",J6)))</formula>
    </cfRule>
    <cfRule type="containsText" dxfId="79" priority="5" stopIfTrue="1" operator="containsText" text="TO BE ATTENDED!">
      <formula>NOT(ISERROR(SEARCH("TO BE ATTENDED!",J6)))</formula>
    </cfRule>
    <cfRule type="containsText" dxfId="78" priority="6" stopIfTrue="1" operator="containsText" text="to be monitored.">
      <formula>NOT(ISERROR(SEARCH("to be monitored.",J6)))</formula>
    </cfRule>
    <cfRule type="containsText" dxfId="77" priority="7" stopIfTrue="1" operator="containsText" text="No problem in this area.">
      <formula>NOT(ISERROR(SEARCH("No problem in this area.",J6)))</formula>
    </cfRule>
  </conditionalFormatting>
  <conditionalFormatting pivot="1" sqref="G4 G6 G8 G10 G12 G14 G16 G18 G20">
    <cfRule type="cellIs" dxfId="76" priority="1" stopIfTrue="1" operator="greaterThan">
      <formula>0</formula>
    </cfRule>
  </conditionalFormatting>
  <conditionalFormatting pivot="1" sqref="G4:G21">
    <cfRule type="cellIs" dxfId="75" priority="2" stopIfTrue="1" operator="greaterThan">
      <formula>0</formula>
    </cfRule>
  </conditionalFormatting>
  <pageMargins left="0.75" right="0.75" top="1" bottom="1" header="0.5" footer="0.5"/>
  <pageSetup paperSize="9" orientation="portrait" r:id="rId2"/>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F0"/>
    <pageSetUpPr fitToPage="1"/>
  </sheetPr>
  <dimension ref="A1:BC1222"/>
  <sheetViews>
    <sheetView topLeftCell="B2" zoomScale="60" zoomScaleNormal="60" workbookViewId="0">
      <selection activeCell="B2" sqref="B2:AY2"/>
    </sheetView>
  </sheetViews>
  <sheetFormatPr defaultRowHeight="12.75" x14ac:dyDescent="0.2"/>
  <cols>
    <col min="1" max="53" width="6.140625" customWidth="1"/>
  </cols>
  <sheetData>
    <row r="1" spans="1:53" ht="15" thickBot="1" x14ac:dyDescent="0.25">
      <c r="A1" s="190"/>
      <c r="B1" s="178"/>
      <c r="C1" s="178"/>
      <c r="D1" s="178"/>
      <c r="E1" s="178"/>
      <c r="F1" s="178"/>
      <c r="G1" s="178"/>
      <c r="H1" s="178"/>
      <c r="I1" s="178"/>
      <c r="J1" s="178"/>
      <c r="K1" s="178"/>
      <c r="L1" s="178"/>
      <c r="M1" s="178"/>
      <c r="N1" s="178"/>
      <c r="O1" s="178"/>
      <c r="P1" s="178"/>
      <c r="Q1" s="178"/>
      <c r="R1" s="178"/>
      <c r="S1" s="178"/>
      <c r="T1" s="178"/>
      <c r="U1" s="178"/>
      <c r="V1" s="178"/>
      <c r="W1" s="178"/>
      <c r="X1" s="178"/>
      <c r="Y1" s="178"/>
      <c r="Z1" s="178"/>
      <c r="AA1" s="178"/>
      <c r="AB1" s="178"/>
      <c r="AC1" s="178"/>
      <c r="AD1" s="178"/>
      <c r="AE1" s="178"/>
      <c r="AF1" s="178"/>
      <c r="AG1" s="178"/>
      <c r="AH1" s="178"/>
      <c r="AI1" s="178"/>
      <c r="AJ1" s="178"/>
      <c r="AK1" s="178"/>
      <c r="AL1" s="178"/>
      <c r="AM1" s="178"/>
      <c r="AN1" s="178"/>
      <c r="AO1" s="178"/>
      <c r="AP1" s="178"/>
      <c r="AQ1" s="178"/>
      <c r="AR1" s="178"/>
      <c r="AS1" s="178"/>
      <c r="AT1" s="178"/>
      <c r="AU1" s="178"/>
      <c r="AV1" s="178"/>
      <c r="AW1" s="178"/>
      <c r="AX1" s="259"/>
      <c r="AY1" s="259"/>
      <c r="AZ1" s="256"/>
    </row>
    <row r="2" spans="1:53" ht="72.75" customHeight="1" thickBot="1" x14ac:dyDescent="0.25">
      <c r="A2" s="149"/>
      <c r="B2" s="309" t="s">
        <v>890</v>
      </c>
      <c r="C2" s="310"/>
      <c r="D2" s="310"/>
      <c r="E2" s="310"/>
      <c r="F2" s="310"/>
      <c r="G2" s="310"/>
      <c r="H2" s="310"/>
      <c r="I2" s="310"/>
      <c r="J2" s="310"/>
      <c r="K2" s="310"/>
      <c r="L2" s="310"/>
      <c r="M2" s="310"/>
      <c r="N2" s="310"/>
      <c r="O2" s="310"/>
      <c r="P2" s="310"/>
      <c r="Q2" s="310"/>
      <c r="R2" s="310"/>
      <c r="S2" s="310"/>
      <c r="T2" s="310"/>
      <c r="U2" s="310"/>
      <c r="V2" s="310"/>
      <c r="W2" s="310"/>
      <c r="X2" s="310"/>
      <c r="Y2" s="310"/>
      <c r="Z2" s="310"/>
      <c r="AA2" s="310"/>
      <c r="AB2" s="310"/>
      <c r="AC2" s="310"/>
      <c r="AD2" s="310"/>
      <c r="AE2" s="310"/>
      <c r="AF2" s="310"/>
      <c r="AG2" s="310"/>
      <c r="AH2" s="310"/>
      <c r="AI2" s="310"/>
      <c r="AJ2" s="310"/>
      <c r="AK2" s="310"/>
      <c r="AL2" s="310"/>
      <c r="AM2" s="310"/>
      <c r="AN2" s="310"/>
      <c r="AO2" s="310"/>
      <c r="AP2" s="310"/>
      <c r="AQ2" s="310"/>
      <c r="AR2" s="310"/>
      <c r="AS2" s="310"/>
      <c r="AT2" s="310"/>
      <c r="AU2" s="310"/>
      <c r="AV2" s="310"/>
      <c r="AW2" s="310"/>
      <c r="AX2" s="310"/>
      <c r="AY2" s="311"/>
      <c r="AZ2" s="257"/>
    </row>
    <row r="3" spans="1:53" ht="14.25" x14ac:dyDescent="0.2">
      <c r="A3" s="191"/>
      <c r="B3" s="180"/>
      <c r="C3" s="180"/>
      <c r="D3" s="180"/>
      <c r="E3" s="180"/>
      <c r="F3" s="180"/>
      <c r="G3" s="180"/>
      <c r="H3" s="180"/>
      <c r="I3" s="180"/>
      <c r="J3" s="180"/>
      <c r="K3" s="180"/>
      <c r="L3" s="180"/>
      <c r="M3" s="180"/>
      <c r="N3" s="180"/>
      <c r="O3" s="180"/>
      <c r="P3" s="180"/>
      <c r="Q3" s="180"/>
      <c r="R3" s="180"/>
      <c r="S3" s="180"/>
      <c r="T3" s="180"/>
      <c r="U3" s="180"/>
      <c r="V3" s="180"/>
      <c r="W3" s="180"/>
      <c r="X3" s="180"/>
      <c r="Y3" s="180"/>
      <c r="Z3" s="180"/>
      <c r="AA3" s="180"/>
      <c r="AB3" s="180"/>
      <c r="AC3" s="180"/>
      <c r="AD3" s="180"/>
      <c r="AE3" s="180"/>
      <c r="AF3" s="180"/>
      <c r="AG3" s="180"/>
      <c r="AH3" s="180"/>
      <c r="AI3" s="180"/>
      <c r="AJ3" s="180"/>
      <c r="AK3" s="180"/>
      <c r="AL3" s="180"/>
      <c r="AM3" s="180"/>
      <c r="AN3" s="180"/>
      <c r="AO3" s="180"/>
      <c r="AP3" s="180"/>
      <c r="AQ3" s="180"/>
      <c r="AR3" s="180"/>
      <c r="AS3" s="180"/>
      <c r="AT3" s="180"/>
      <c r="AU3" s="180"/>
      <c r="AV3" s="180"/>
      <c r="AW3" s="180"/>
      <c r="AX3" s="255"/>
      <c r="AY3" s="255"/>
      <c r="AZ3" s="257"/>
    </row>
    <row r="4" spans="1:53" ht="15" thickBot="1" x14ac:dyDescent="0.25">
      <c r="A4" s="191"/>
      <c r="B4" s="180"/>
      <c r="C4" s="180"/>
      <c r="D4" s="180"/>
      <c r="E4" s="180"/>
      <c r="F4" s="180"/>
      <c r="G4" s="180"/>
      <c r="H4" s="180"/>
      <c r="I4" s="180"/>
      <c r="J4" s="180"/>
      <c r="K4" s="180"/>
      <c r="L4" s="180"/>
      <c r="M4" s="180"/>
      <c r="N4" s="180"/>
      <c r="O4" s="180"/>
      <c r="P4" s="180"/>
      <c r="Q4" s="180"/>
      <c r="R4" s="180"/>
      <c r="S4" s="180"/>
      <c r="T4" s="180"/>
      <c r="U4" s="180"/>
      <c r="V4" s="180"/>
      <c r="W4" s="180"/>
      <c r="X4" s="180"/>
      <c r="Y4" s="180"/>
      <c r="Z4" s="180"/>
      <c r="AA4" s="180"/>
      <c r="AB4" s="180"/>
      <c r="AC4" s="180"/>
      <c r="AD4" s="180"/>
      <c r="AE4" s="180"/>
      <c r="AF4" s="180"/>
      <c r="AG4" s="180"/>
      <c r="AH4" s="180"/>
      <c r="AI4" s="180"/>
      <c r="AJ4" s="180"/>
      <c r="AK4" s="180"/>
      <c r="AL4" s="180"/>
      <c r="AM4" s="180"/>
      <c r="AN4" s="180"/>
      <c r="AO4" s="180"/>
      <c r="AP4" s="180"/>
      <c r="AQ4" s="180"/>
      <c r="AR4" s="180"/>
      <c r="AS4" s="180"/>
      <c r="AT4" s="180"/>
      <c r="AU4" s="180"/>
      <c r="AV4" s="180"/>
      <c r="AW4" s="180"/>
      <c r="AX4" s="180"/>
      <c r="AY4" s="255"/>
      <c r="AZ4" s="257"/>
      <c r="BA4" s="27"/>
    </row>
    <row r="5" spans="1:53" ht="14.25" x14ac:dyDescent="0.2">
      <c r="A5" s="191"/>
      <c r="B5" s="190"/>
      <c r="C5" s="178"/>
      <c r="D5" s="178"/>
      <c r="E5" s="178"/>
      <c r="F5" s="178"/>
      <c r="G5" s="178"/>
      <c r="H5" s="178"/>
      <c r="I5" s="178"/>
      <c r="J5" s="178"/>
      <c r="K5" s="178"/>
      <c r="L5" s="178"/>
      <c r="M5" s="178"/>
      <c r="N5" s="178"/>
      <c r="O5" s="178"/>
      <c r="P5" s="178"/>
      <c r="Q5" s="179"/>
      <c r="R5" s="180"/>
      <c r="S5" s="190"/>
      <c r="T5" s="178"/>
      <c r="U5" s="178"/>
      <c r="V5" s="178"/>
      <c r="W5" s="178"/>
      <c r="X5" s="178"/>
      <c r="Y5" s="178"/>
      <c r="Z5" s="178"/>
      <c r="AA5" s="178"/>
      <c r="AB5" s="178"/>
      <c r="AC5" s="178"/>
      <c r="AD5" s="178"/>
      <c r="AE5" s="178"/>
      <c r="AF5" s="178"/>
      <c r="AG5" s="178"/>
      <c r="AH5" s="179"/>
      <c r="AI5" s="180"/>
      <c r="AJ5" s="190"/>
      <c r="AK5" s="178"/>
      <c r="AL5" s="178"/>
      <c r="AM5" s="178"/>
      <c r="AN5" s="178"/>
      <c r="AO5" s="178"/>
      <c r="AP5" s="178"/>
      <c r="AQ5" s="178"/>
      <c r="AR5" s="178"/>
      <c r="AS5" s="178"/>
      <c r="AT5" s="178"/>
      <c r="AU5" s="178"/>
      <c r="AV5" s="178"/>
      <c r="AW5" s="178"/>
      <c r="AX5" s="259"/>
      <c r="AY5" s="256"/>
      <c r="AZ5" s="257"/>
    </row>
    <row r="6" spans="1:53" ht="14.25" x14ac:dyDescent="0.2">
      <c r="A6" s="191"/>
      <c r="B6" s="191"/>
      <c r="C6" s="180"/>
      <c r="D6" s="180"/>
      <c r="E6" s="180"/>
      <c r="F6" s="180"/>
      <c r="G6" s="180"/>
      <c r="H6" s="180"/>
      <c r="I6" s="180"/>
      <c r="J6" s="180"/>
      <c r="K6" s="180"/>
      <c r="L6" s="180"/>
      <c r="M6" s="180"/>
      <c r="N6" s="180"/>
      <c r="O6" s="180"/>
      <c r="P6" s="180"/>
      <c r="Q6" s="181"/>
      <c r="R6" s="180"/>
      <c r="S6" s="191"/>
      <c r="T6" s="180"/>
      <c r="U6" s="180"/>
      <c r="V6" s="180"/>
      <c r="W6" s="180"/>
      <c r="X6" s="180"/>
      <c r="Y6" s="180"/>
      <c r="Z6" s="180"/>
      <c r="AA6" s="180"/>
      <c r="AB6" s="180"/>
      <c r="AC6" s="180"/>
      <c r="AD6" s="180"/>
      <c r="AE6" s="180"/>
      <c r="AF6" s="180"/>
      <c r="AG6" s="180"/>
      <c r="AH6" s="181"/>
      <c r="AI6" s="180"/>
      <c r="AJ6" s="191"/>
      <c r="AK6" s="180"/>
      <c r="AL6" s="180"/>
      <c r="AM6" s="180"/>
      <c r="AN6" s="180"/>
      <c r="AO6" s="180"/>
      <c r="AP6" s="180"/>
      <c r="AQ6" s="180"/>
      <c r="AR6" s="180"/>
      <c r="AS6" s="180"/>
      <c r="AT6" s="180"/>
      <c r="AU6" s="180"/>
      <c r="AV6" s="180"/>
      <c r="AW6" s="180"/>
      <c r="AX6" s="255"/>
      <c r="AY6" s="257"/>
      <c r="AZ6" s="257"/>
    </row>
    <row r="7" spans="1:53" ht="14.25" x14ac:dyDescent="0.2">
      <c r="A7" s="191"/>
      <c r="B7" s="191"/>
      <c r="C7" s="180"/>
      <c r="D7" s="180"/>
      <c r="E7" s="180"/>
      <c r="F7" s="180"/>
      <c r="G7" s="180"/>
      <c r="H7" s="180"/>
      <c r="I7" s="180"/>
      <c r="J7" s="180"/>
      <c r="K7" s="180"/>
      <c r="L7" s="180"/>
      <c r="M7" s="180"/>
      <c r="N7" s="180"/>
      <c r="O7" s="180"/>
      <c r="P7" s="180"/>
      <c r="Q7" s="181"/>
      <c r="R7" s="180"/>
      <c r="S7" s="191"/>
      <c r="T7" s="180"/>
      <c r="U7" s="180"/>
      <c r="V7" s="180"/>
      <c r="W7" s="180"/>
      <c r="X7" s="180"/>
      <c r="Y7" s="180"/>
      <c r="Z7" s="180"/>
      <c r="AA7" s="180"/>
      <c r="AB7" s="180"/>
      <c r="AC7" s="180"/>
      <c r="AD7" s="180"/>
      <c r="AE7" s="180"/>
      <c r="AF7" s="180"/>
      <c r="AG7" s="180"/>
      <c r="AH7" s="181"/>
      <c r="AI7" s="180"/>
      <c r="AJ7" s="191"/>
      <c r="AK7" s="180"/>
      <c r="AL7" s="180"/>
      <c r="AM7" s="180"/>
      <c r="AN7" s="180"/>
      <c r="AO7" s="180"/>
      <c r="AP7" s="180"/>
      <c r="AQ7" s="180"/>
      <c r="AR7" s="180"/>
      <c r="AS7" s="180"/>
      <c r="AT7" s="180"/>
      <c r="AU7" s="180"/>
      <c r="AV7" s="180"/>
      <c r="AW7" s="180"/>
      <c r="AX7" s="255"/>
      <c r="AY7" s="257"/>
      <c r="AZ7" s="257"/>
    </row>
    <row r="8" spans="1:53" ht="14.25" x14ac:dyDescent="0.2">
      <c r="A8" s="191"/>
      <c r="B8" s="191"/>
      <c r="C8" s="180"/>
      <c r="D8" s="180"/>
      <c r="E8" s="180"/>
      <c r="F8" s="180"/>
      <c r="G8" s="180"/>
      <c r="H8" s="180"/>
      <c r="I8" s="180"/>
      <c r="J8" s="180"/>
      <c r="K8" s="180"/>
      <c r="L8" s="180"/>
      <c r="M8" s="180"/>
      <c r="N8" s="180"/>
      <c r="O8" s="180"/>
      <c r="P8" s="180"/>
      <c r="Q8" s="181"/>
      <c r="R8" s="180"/>
      <c r="S8" s="191"/>
      <c r="T8" s="180"/>
      <c r="U8" s="180"/>
      <c r="V8" s="180"/>
      <c r="W8" s="180"/>
      <c r="X8" s="180"/>
      <c r="Y8" s="180"/>
      <c r="Z8" s="180"/>
      <c r="AA8" s="180"/>
      <c r="AB8" s="180"/>
      <c r="AC8" s="180"/>
      <c r="AD8" s="180"/>
      <c r="AE8" s="180"/>
      <c r="AF8" s="180"/>
      <c r="AG8" s="180"/>
      <c r="AH8" s="181"/>
      <c r="AI8" s="180"/>
      <c r="AJ8" s="191"/>
      <c r="AK8" s="180"/>
      <c r="AL8" s="180"/>
      <c r="AM8" s="180"/>
      <c r="AN8" s="180"/>
      <c r="AO8" s="180"/>
      <c r="AP8" s="180"/>
      <c r="AQ8" s="180"/>
      <c r="AR8" s="180"/>
      <c r="AS8" s="180"/>
      <c r="AT8" s="180"/>
      <c r="AU8" s="180"/>
      <c r="AV8" s="180"/>
      <c r="AW8" s="180"/>
      <c r="AX8" s="255"/>
      <c r="AY8" s="257"/>
      <c r="AZ8" s="257"/>
    </row>
    <row r="9" spans="1:53" ht="14.25" x14ac:dyDescent="0.2">
      <c r="A9" s="191"/>
      <c r="B9" s="191"/>
      <c r="C9" s="180"/>
      <c r="D9" s="180"/>
      <c r="E9" s="180"/>
      <c r="F9" s="180"/>
      <c r="G9" s="180"/>
      <c r="H9" s="180"/>
      <c r="I9" s="180"/>
      <c r="J9" s="180"/>
      <c r="K9" s="180"/>
      <c r="L9" s="180"/>
      <c r="M9" s="180"/>
      <c r="N9" s="180"/>
      <c r="O9" s="180"/>
      <c r="P9" s="180"/>
      <c r="Q9" s="181"/>
      <c r="R9" s="180"/>
      <c r="S9" s="191"/>
      <c r="T9" s="180"/>
      <c r="U9" s="180"/>
      <c r="V9" s="180"/>
      <c r="W9" s="180"/>
      <c r="X9" s="180"/>
      <c r="Y9" s="180"/>
      <c r="Z9" s="180"/>
      <c r="AA9" s="180"/>
      <c r="AB9" s="180"/>
      <c r="AC9" s="180"/>
      <c r="AD9" s="180"/>
      <c r="AE9" s="180"/>
      <c r="AF9" s="180"/>
      <c r="AG9" s="180"/>
      <c r="AH9" s="181"/>
      <c r="AI9" s="180"/>
      <c r="AJ9" s="191"/>
      <c r="AK9" s="180"/>
      <c r="AL9" s="180"/>
      <c r="AM9" s="180"/>
      <c r="AN9" s="180"/>
      <c r="AO9" s="180"/>
      <c r="AP9" s="180"/>
      <c r="AQ9" s="180"/>
      <c r="AR9" s="180"/>
      <c r="AS9" s="180"/>
      <c r="AT9" s="180"/>
      <c r="AU9" s="180"/>
      <c r="AV9" s="180"/>
      <c r="AW9" s="180"/>
      <c r="AX9" s="255"/>
      <c r="AY9" s="257"/>
      <c r="AZ9" s="257"/>
    </row>
    <row r="10" spans="1:53" ht="14.25" x14ac:dyDescent="0.2">
      <c r="A10" s="191"/>
      <c r="B10" s="191"/>
      <c r="C10" s="180"/>
      <c r="D10" s="180"/>
      <c r="E10" s="180"/>
      <c r="F10" s="180"/>
      <c r="G10" s="180"/>
      <c r="H10" s="180"/>
      <c r="I10" s="180"/>
      <c r="J10" s="180"/>
      <c r="K10" s="180"/>
      <c r="L10" s="180"/>
      <c r="M10" s="180"/>
      <c r="N10" s="180"/>
      <c r="O10" s="180"/>
      <c r="P10" s="180"/>
      <c r="Q10" s="181"/>
      <c r="R10" s="180"/>
      <c r="S10" s="191"/>
      <c r="T10" s="180"/>
      <c r="U10" s="180"/>
      <c r="V10" s="180"/>
      <c r="W10" s="180"/>
      <c r="X10" s="180"/>
      <c r="Y10" s="180"/>
      <c r="Z10" s="180"/>
      <c r="AA10" s="180"/>
      <c r="AB10" s="180"/>
      <c r="AC10" s="180"/>
      <c r="AD10" s="180"/>
      <c r="AE10" s="180"/>
      <c r="AF10" s="180"/>
      <c r="AG10" s="180"/>
      <c r="AH10" s="181"/>
      <c r="AI10" s="180"/>
      <c r="AJ10" s="191"/>
      <c r="AK10" s="180"/>
      <c r="AL10" s="180"/>
      <c r="AM10" s="180"/>
      <c r="AN10" s="180"/>
      <c r="AO10" s="180"/>
      <c r="AP10" s="180"/>
      <c r="AQ10" s="180"/>
      <c r="AR10" s="180"/>
      <c r="AS10" s="180"/>
      <c r="AT10" s="180"/>
      <c r="AU10" s="180"/>
      <c r="AV10" s="180"/>
      <c r="AW10" s="180"/>
      <c r="AX10" s="255"/>
      <c r="AY10" s="257"/>
      <c r="AZ10" s="257"/>
    </row>
    <row r="11" spans="1:53" ht="14.25" x14ac:dyDescent="0.2">
      <c r="A11" s="191"/>
      <c r="B11" s="191"/>
      <c r="C11" s="180"/>
      <c r="D11" s="180"/>
      <c r="E11" s="180"/>
      <c r="F11" s="180"/>
      <c r="G11" s="180"/>
      <c r="H11" s="180"/>
      <c r="I11" s="180"/>
      <c r="J11" s="180"/>
      <c r="K11" s="180"/>
      <c r="L11" s="180"/>
      <c r="M11" s="180"/>
      <c r="N11" s="180"/>
      <c r="O11" s="180"/>
      <c r="P11" s="180"/>
      <c r="Q11" s="181"/>
      <c r="R11" s="180"/>
      <c r="S11" s="191"/>
      <c r="T11" s="180"/>
      <c r="U11" s="180"/>
      <c r="V11" s="180"/>
      <c r="W11" s="180"/>
      <c r="X11" s="180"/>
      <c r="Y11" s="180"/>
      <c r="Z11" s="180"/>
      <c r="AA11" s="180"/>
      <c r="AB11" s="180"/>
      <c r="AC11" s="180"/>
      <c r="AD11" s="180"/>
      <c r="AE11" s="180"/>
      <c r="AF11" s="180"/>
      <c r="AG11" s="180"/>
      <c r="AH11" s="181"/>
      <c r="AI11" s="180"/>
      <c r="AJ11" s="191"/>
      <c r="AK11" s="180"/>
      <c r="AL11" s="180"/>
      <c r="AM11" s="180"/>
      <c r="AN11" s="180"/>
      <c r="AO11" s="180"/>
      <c r="AP11" s="180"/>
      <c r="AQ11" s="180"/>
      <c r="AR11" s="180"/>
      <c r="AS11" s="180"/>
      <c r="AT11" s="180"/>
      <c r="AU11" s="180"/>
      <c r="AV11" s="180"/>
      <c r="AW11" s="180"/>
      <c r="AX11" s="255"/>
      <c r="AY11" s="257"/>
      <c r="AZ11" s="257"/>
    </row>
    <row r="12" spans="1:53" ht="14.25" x14ac:dyDescent="0.2">
      <c r="A12" s="191"/>
      <c r="B12" s="191"/>
      <c r="C12" s="180"/>
      <c r="D12" s="180"/>
      <c r="E12" s="180"/>
      <c r="F12" s="180"/>
      <c r="G12" s="180"/>
      <c r="H12" s="180"/>
      <c r="I12" s="180"/>
      <c r="J12" s="180"/>
      <c r="K12" s="180"/>
      <c r="L12" s="180"/>
      <c r="M12" s="180"/>
      <c r="N12" s="180"/>
      <c r="O12" s="180"/>
      <c r="P12" s="180"/>
      <c r="Q12" s="181"/>
      <c r="R12" s="180"/>
      <c r="S12" s="191"/>
      <c r="T12" s="180"/>
      <c r="U12" s="180"/>
      <c r="V12" s="180"/>
      <c r="W12" s="180"/>
      <c r="X12" s="180"/>
      <c r="Y12" s="180"/>
      <c r="Z12" s="180"/>
      <c r="AA12" s="180"/>
      <c r="AB12" s="180"/>
      <c r="AC12" s="180"/>
      <c r="AD12" s="180"/>
      <c r="AE12" s="180"/>
      <c r="AF12" s="180"/>
      <c r="AG12" s="180"/>
      <c r="AH12" s="181"/>
      <c r="AI12" s="180"/>
      <c r="AJ12" s="191"/>
      <c r="AK12" s="180"/>
      <c r="AL12" s="180"/>
      <c r="AM12" s="180"/>
      <c r="AN12" s="180"/>
      <c r="AO12" s="180"/>
      <c r="AP12" s="180"/>
      <c r="AQ12" s="180"/>
      <c r="AR12" s="180"/>
      <c r="AS12" s="180"/>
      <c r="AT12" s="180"/>
      <c r="AU12" s="180"/>
      <c r="AV12" s="180"/>
      <c r="AW12" s="180"/>
      <c r="AX12" s="255"/>
      <c r="AY12" s="257"/>
      <c r="AZ12" s="257"/>
    </row>
    <row r="13" spans="1:53" ht="14.25" x14ac:dyDescent="0.2">
      <c r="A13" s="191"/>
      <c r="B13" s="191"/>
      <c r="C13" s="180"/>
      <c r="D13" s="180"/>
      <c r="E13" s="180"/>
      <c r="F13" s="180"/>
      <c r="G13" s="180"/>
      <c r="H13" s="180"/>
      <c r="I13" s="180"/>
      <c r="J13" s="180"/>
      <c r="K13" s="180"/>
      <c r="L13" s="180"/>
      <c r="M13" s="180"/>
      <c r="N13" s="180"/>
      <c r="O13" s="180"/>
      <c r="P13" s="180"/>
      <c r="Q13" s="181"/>
      <c r="R13" s="180"/>
      <c r="S13" s="191"/>
      <c r="T13" s="180"/>
      <c r="U13" s="180"/>
      <c r="V13" s="180"/>
      <c r="W13" s="180"/>
      <c r="X13" s="180"/>
      <c r="Y13" s="180"/>
      <c r="Z13" s="180"/>
      <c r="AA13" s="180"/>
      <c r="AB13" s="180"/>
      <c r="AC13" s="180"/>
      <c r="AD13" s="180"/>
      <c r="AE13" s="180"/>
      <c r="AF13" s="180"/>
      <c r="AG13" s="180"/>
      <c r="AH13" s="181"/>
      <c r="AI13" s="180"/>
      <c r="AJ13" s="191"/>
      <c r="AK13" s="180"/>
      <c r="AL13" s="180"/>
      <c r="AM13" s="180"/>
      <c r="AN13" s="180"/>
      <c r="AO13" s="180"/>
      <c r="AP13" s="180"/>
      <c r="AQ13" s="180"/>
      <c r="AR13" s="180"/>
      <c r="AS13" s="180"/>
      <c r="AT13" s="180"/>
      <c r="AU13" s="180"/>
      <c r="AV13" s="180"/>
      <c r="AW13" s="180"/>
      <c r="AX13" s="255"/>
      <c r="AY13" s="257"/>
      <c r="AZ13" s="257"/>
    </row>
    <row r="14" spans="1:53" ht="14.25" x14ac:dyDescent="0.2">
      <c r="A14" s="191"/>
      <c r="B14" s="191"/>
      <c r="C14" s="180"/>
      <c r="D14" s="180"/>
      <c r="E14" s="180"/>
      <c r="F14" s="180"/>
      <c r="G14" s="180"/>
      <c r="H14" s="180"/>
      <c r="I14" s="180"/>
      <c r="J14" s="180"/>
      <c r="K14" s="180"/>
      <c r="L14" s="180"/>
      <c r="M14" s="180"/>
      <c r="N14" s="180"/>
      <c r="O14" s="180"/>
      <c r="P14" s="180"/>
      <c r="Q14" s="181"/>
      <c r="R14" s="180"/>
      <c r="S14" s="191"/>
      <c r="T14" s="180"/>
      <c r="U14" s="180"/>
      <c r="V14" s="180"/>
      <c r="W14" s="180"/>
      <c r="X14" s="180"/>
      <c r="Y14" s="180"/>
      <c r="Z14" s="180"/>
      <c r="AA14" s="180"/>
      <c r="AB14" s="180"/>
      <c r="AC14" s="180"/>
      <c r="AD14" s="180"/>
      <c r="AE14" s="180"/>
      <c r="AF14" s="180"/>
      <c r="AG14" s="180"/>
      <c r="AH14" s="181"/>
      <c r="AI14" s="180"/>
      <c r="AJ14" s="191"/>
      <c r="AK14" s="180"/>
      <c r="AL14" s="180"/>
      <c r="AM14" s="180"/>
      <c r="AN14" s="180"/>
      <c r="AO14" s="180"/>
      <c r="AP14" s="180"/>
      <c r="AQ14" s="180"/>
      <c r="AR14" s="180"/>
      <c r="AS14" s="180"/>
      <c r="AT14" s="180"/>
      <c r="AU14" s="180"/>
      <c r="AV14" s="180"/>
      <c r="AW14" s="180"/>
      <c r="AX14" s="255"/>
      <c r="AY14" s="257"/>
      <c r="AZ14" s="257"/>
    </row>
    <row r="15" spans="1:53" ht="14.25" x14ac:dyDescent="0.2">
      <c r="A15" s="191"/>
      <c r="B15" s="191"/>
      <c r="C15" s="180"/>
      <c r="D15" s="180"/>
      <c r="E15" s="180"/>
      <c r="F15" s="180"/>
      <c r="G15" s="180"/>
      <c r="H15" s="180"/>
      <c r="I15" s="180"/>
      <c r="J15" s="180"/>
      <c r="K15" s="180"/>
      <c r="L15" s="180"/>
      <c r="M15" s="180"/>
      <c r="N15" s="180"/>
      <c r="O15" s="180"/>
      <c r="P15" s="180"/>
      <c r="Q15" s="181"/>
      <c r="R15" s="180"/>
      <c r="S15" s="191"/>
      <c r="T15" s="180"/>
      <c r="U15" s="180"/>
      <c r="V15" s="180"/>
      <c r="W15" s="180"/>
      <c r="X15" s="180"/>
      <c r="Y15" s="180"/>
      <c r="Z15" s="180"/>
      <c r="AA15" s="180"/>
      <c r="AB15" s="180"/>
      <c r="AC15" s="180"/>
      <c r="AD15" s="180"/>
      <c r="AE15" s="180"/>
      <c r="AF15" s="180"/>
      <c r="AG15" s="180"/>
      <c r="AH15" s="181"/>
      <c r="AI15" s="180"/>
      <c r="AJ15" s="191"/>
      <c r="AK15" s="180"/>
      <c r="AL15" s="180"/>
      <c r="AM15" s="180"/>
      <c r="AN15" s="180"/>
      <c r="AO15" s="180"/>
      <c r="AP15" s="180"/>
      <c r="AQ15" s="180"/>
      <c r="AR15" s="180"/>
      <c r="AS15" s="180"/>
      <c r="AT15" s="180"/>
      <c r="AU15" s="180"/>
      <c r="AV15" s="180"/>
      <c r="AW15" s="180"/>
      <c r="AX15" s="255"/>
      <c r="AY15" s="257"/>
      <c r="AZ15" s="257"/>
    </row>
    <row r="16" spans="1:53" ht="14.25" x14ac:dyDescent="0.2">
      <c r="A16" s="191"/>
      <c r="B16" s="191"/>
      <c r="C16" s="180"/>
      <c r="D16" s="180"/>
      <c r="E16" s="180"/>
      <c r="F16" s="180"/>
      <c r="G16" s="180"/>
      <c r="H16" s="180"/>
      <c r="I16" s="180"/>
      <c r="J16" s="180"/>
      <c r="K16" s="180"/>
      <c r="L16" s="180"/>
      <c r="M16" s="180"/>
      <c r="N16" s="180"/>
      <c r="O16" s="180"/>
      <c r="P16" s="180"/>
      <c r="Q16" s="181"/>
      <c r="R16" s="180"/>
      <c r="S16" s="191"/>
      <c r="T16" s="180"/>
      <c r="U16" s="180"/>
      <c r="V16" s="180"/>
      <c r="W16" s="180"/>
      <c r="X16" s="180"/>
      <c r="Y16" s="180"/>
      <c r="Z16" s="180"/>
      <c r="AA16" s="180"/>
      <c r="AB16" s="180"/>
      <c r="AC16" s="180"/>
      <c r="AD16" s="180"/>
      <c r="AE16" s="180"/>
      <c r="AF16" s="180"/>
      <c r="AG16" s="180"/>
      <c r="AH16" s="181"/>
      <c r="AI16" s="180"/>
      <c r="AJ16" s="191"/>
      <c r="AK16" s="180"/>
      <c r="AL16" s="180"/>
      <c r="AM16" s="180"/>
      <c r="AN16" s="180"/>
      <c r="AO16" s="180"/>
      <c r="AP16" s="180"/>
      <c r="AQ16" s="180"/>
      <c r="AR16" s="180"/>
      <c r="AS16" s="180"/>
      <c r="AT16" s="180"/>
      <c r="AU16" s="180"/>
      <c r="AV16" s="180"/>
      <c r="AW16" s="180"/>
      <c r="AX16" s="255"/>
      <c r="AY16" s="257"/>
      <c r="AZ16" s="257"/>
    </row>
    <row r="17" spans="1:54" ht="14.25" x14ac:dyDescent="0.2">
      <c r="A17" s="191"/>
      <c r="B17" s="191"/>
      <c r="C17" s="180"/>
      <c r="D17" s="180"/>
      <c r="E17" s="180"/>
      <c r="F17" s="180"/>
      <c r="G17" s="180"/>
      <c r="H17" s="180"/>
      <c r="I17" s="180"/>
      <c r="J17" s="180"/>
      <c r="K17" s="180"/>
      <c r="L17" s="180"/>
      <c r="M17" s="180"/>
      <c r="N17" s="243"/>
      <c r="O17" s="263" t="s">
        <v>959</v>
      </c>
      <c r="P17" s="180"/>
      <c r="Q17" s="181"/>
      <c r="R17" s="180"/>
      <c r="S17" s="191"/>
      <c r="T17" s="180"/>
      <c r="U17" s="180"/>
      <c r="V17" s="180"/>
      <c r="W17" s="180"/>
      <c r="X17" s="180"/>
      <c r="Y17" s="180"/>
      <c r="Z17" s="180"/>
      <c r="AA17" s="180"/>
      <c r="AB17" s="180"/>
      <c r="AC17" s="180"/>
      <c r="AD17" s="180"/>
      <c r="AE17" s="243"/>
      <c r="AF17" s="263" t="s">
        <v>959</v>
      </c>
      <c r="AG17" s="180"/>
      <c r="AH17" s="181"/>
      <c r="AI17" s="180"/>
      <c r="AJ17" s="191"/>
      <c r="AK17" s="180"/>
      <c r="AL17" s="180"/>
      <c r="AM17" s="180"/>
      <c r="AN17" s="180"/>
      <c r="AO17" s="180"/>
      <c r="AP17" s="180"/>
      <c r="AQ17" s="180"/>
      <c r="AR17" s="180"/>
      <c r="AS17" s="180"/>
      <c r="AT17" s="180"/>
      <c r="AU17" s="180"/>
      <c r="AV17" s="243"/>
      <c r="AW17" s="263" t="s">
        <v>959</v>
      </c>
      <c r="AX17" s="180"/>
      <c r="AY17" s="181"/>
      <c r="AZ17" s="257"/>
      <c r="BA17" s="27"/>
      <c r="BB17" s="27"/>
    </row>
    <row r="18" spans="1:54" ht="14.25" x14ac:dyDescent="0.2">
      <c r="A18" s="191"/>
      <c r="B18" s="191"/>
      <c r="C18" s="180"/>
      <c r="D18" s="180"/>
      <c r="E18" s="180"/>
      <c r="F18" s="180"/>
      <c r="G18" s="180"/>
      <c r="H18" s="180"/>
      <c r="I18" s="180"/>
      <c r="J18" s="180"/>
      <c r="K18" s="180"/>
      <c r="L18" s="180"/>
      <c r="M18" s="180"/>
      <c r="N18" s="180"/>
      <c r="O18" s="261"/>
      <c r="P18" s="180"/>
      <c r="Q18" s="181"/>
      <c r="R18" s="180"/>
      <c r="S18" s="191"/>
      <c r="T18" s="180"/>
      <c r="U18" s="180"/>
      <c r="V18" s="180"/>
      <c r="W18" s="180"/>
      <c r="X18" s="180"/>
      <c r="Y18" s="180"/>
      <c r="Z18" s="180"/>
      <c r="AA18" s="180"/>
      <c r="AB18" s="180"/>
      <c r="AC18" s="180"/>
      <c r="AD18" s="180"/>
      <c r="AE18" s="180"/>
      <c r="AF18" s="180"/>
      <c r="AG18" s="180"/>
      <c r="AH18" s="181"/>
      <c r="AI18" s="180"/>
      <c r="AJ18" s="191"/>
      <c r="AK18" s="180"/>
      <c r="AL18" s="180"/>
      <c r="AM18" s="180"/>
      <c r="AN18" s="180"/>
      <c r="AO18" s="180"/>
      <c r="AP18" s="180"/>
      <c r="AQ18" s="180"/>
      <c r="AR18" s="180"/>
      <c r="AS18" s="180"/>
      <c r="AT18" s="180"/>
      <c r="AU18" s="180"/>
      <c r="AV18" s="180"/>
      <c r="AW18" s="180"/>
      <c r="AX18" s="180"/>
      <c r="AY18" s="181"/>
      <c r="AZ18" s="257"/>
      <c r="BA18" s="27"/>
      <c r="BB18" s="27"/>
    </row>
    <row r="19" spans="1:54" ht="14.25" x14ac:dyDescent="0.2">
      <c r="A19" s="191"/>
      <c r="B19" s="191"/>
      <c r="C19" s="180"/>
      <c r="D19" s="180"/>
      <c r="E19" s="180"/>
      <c r="F19" s="180"/>
      <c r="G19" s="180"/>
      <c r="H19" s="180"/>
      <c r="I19" s="180"/>
      <c r="J19" s="180"/>
      <c r="K19" s="180"/>
      <c r="L19" s="180"/>
      <c r="M19" s="180"/>
      <c r="N19" s="313" t="str">
        <f ca="1">'Data Analysis'!AZ1236</f>
        <v>OK</v>
      </c>
      <c r="O19" s="313"/>
      <c r="P19" s="313"/>
      <c r="Q19" s="262"/>
      <c r="R19" s="180"/>
      <c r="S19" s="191"/>
      <c r="T19" s="180"/>
      <c r="U19" s="180"/>
      <c r="V19" s="180"/>
      <c r="W19" s="180"/>
      <c r="X19" s="180"/>
      <c r="Y19" s="180"/>
      <c r="Z19" s="180"/>
      <c r="AA19" s="180"/>
      <c r="AB19" s="180"/>
      <c r="AC19" s="180"/>
      <c r="AD19" s="180"/>
      <c r="AE19" s="315" t="str">
        <f ca="1">'Data Analysis'!AZ1237</f>
        <v>OK</v>
      </c>
      <c r="AF19" s="315"/>
      <c r="AG19" s="315"/>
      <c r="AH19" s="181"/>
      <c r="AI19" s="180"/>
      <c r="AJ19" s="191"/>
      <c r="AK19" s="180"/>
      <c r="AL19" s="180"/>
      <c r="AM19" s="180"/>
      <c r="AN19" s="180"/>
      <c r="AO19" s="180"/>
      <c r="AP19" s="180"/>
      <c r="AQ19" s="180"/>
      <c r="AR19" s="180"/>
      <c r="AS19" s="180"/>
      <c r="AT19" s="180"/>
      <c r="AU19" s="180"/>
      <c r="AV19" s="314" t="str">
        <f ca="1">'Data Analysis'!AZ1238</f>
        <v>OK</v>
      </c>
      <c r="AW19" s="314"/>
      <c r="AX19" s="314"/>
      <c r="AY19" s="181"/>
      <c r="AZ19" s="257"/>
      <c r="BA19" s="27"/>
      <c r="BB19" s="27"/>
    </row>
    <row r="20" spans="1:54" ht="14.25" x14ac:dyDescent="0.2">
      <c r="A20" s="191"/>
      <c r="B20" s="191"/>
      <c r="C20" s="180"/>
      <c r="D20" s="180"/>
      <c r="E20" s="180"/>
      <c r="F20" s="180"/>
      <c r="G20" s="180"/>
      <c r="H20" s="180"/>
      <c r="I20" s="180"/>
      <c r="J20" s="180"/>
      <c r="K20" s="180"/>
      <c r="L20" s="180"/>
      <c r="M20" s="180"/>
      <c r="N20" s="313"/>
      <c r="O20" s="313"/>
      <c r="P20" s="313"/>
      <c r="Q20" s="262"/>
      <c r="R20" s="180"/>
      <c r="S20" s="191"/>
      <c r="T20" s="180"/>
      <c r="U20" s="180"/>
      <c r="V20" s="180"/>
      <c r="W20" s="180"/>
      <c r="X20" s="180"/>
      <c r="Y20" s="180"/>
      <c r="Z20" s="180"/>
      <c r="AA20" s="180"/>
      <c r="AB20" s="180"/>
      <c r="AC20" s="180"/>
      <c r="AD20" s="180"/>
      <c r="AE20" s="315"/>
      <c r="AF20" s="315"/>
      <c r="AG20" s="315"/>
      <c r="AH20" s="181"/>
      <c r="AI20" s="180"/>
      <c r="AJ20" s="191"/>
      <c r="AK20" s="180"/>
      <c r="AL20" s="180"/>
      <c r="AM20" s="180"/>
      <c r="AN20" s="180"/>
      <c r="AO20" s="180"/>
      <c r="AP20" s="180"/>
      <c r="AQ20" s="180"/>
      <c r="AR20" s="180"/>
      <c r="AS20" s="180"/>
      <c r="AT20" s="180"/>
      <c r="AU20" s="180"/>
      <c r="AV20" s="314"/>
      <c r="AW20" s="314"/>
      <c r="AX20" s="314"/>
      <c r="AY20" s="181"/>
      <c r="AZ20" s="257"/>
      <c r="BA20" s="27"/>
      <c r="BB20" s="27"/>
    </row>
    <row r="21" spans="1:54" ht="14.25" x14ac:dyDescent="0.2">
      <c r="A21" s="191"/>
      <c r="B21" s="191"/>
      <c r="C21" s="180"/>
      <c r="D21" s="180"/>
      <c r="E21" s="180"/>
      <c r="F21" s="180"/>
      <c r="G21" s="180"/>
      <c r="H21" s="180"/>
      <c r="I21" s="180"/>
      <c r="J21" s="180"/>
      <c r="K21" s="180"/>
      <c r="L21" s="180"/>
      <c r="M21" s="180"/>
      <c r="N21" s="180"/>
      <c r="O21" s="180"/>
      <c r="P21" s="180"/>
      <c r="Q21" s="181"/>
      <c r="R21" s="180"/>
      <c r="S21" s="191"/>
      <c r="T21" s="180"/>
      <c r="U21" s="180"/>
      <c r="V21" s="180"/>
      <c r="W21" s="180"/>
      <c r="X21" s="180"/>
      <c r="Y21" s="180"/>
      <c r="Z21" s="180"/>
      <c r="AA21" s="180"/>
      <c r="AB21" s="180"/>
      <c r="AC21" s="180"/>
      <c r="AD21" s="180"/>
      <c r="AE21" s="180"/>
      <c r="AF21" s="180"/>
      <c r="AG21" s="180"/>
      <c r="AH21" s="181"/>
      <c r="AI21" s="180"/>
      <c r="AJ21" s="191"/>
      <c r="AK21" s="180"/>
      <c r="AL21" s="180"/>
      <c r="AM21" s="180"/>
      <c r="AN21" s="180"/>
      <c r="AO21" s="180"/>
      <c r="AP21" s="180"/>
      <c r="AQ21" s="180"/>
      <c r="AR21" s="180"/>
      <c r="AS21" s="180"/>
      <c r="AT21" s="180"/>
      <c r="AU21" s="180"/>
      <c r="AV21" s="180"/>
      <c r="AW21" s="180"/>
      <c r="AX21" s="255"/>
      <c r="AY21" s="257"/>
      <c r="AZ21" s="257"/>
    </row>
    <row r="22" spans="1:54" ht="14.25" x14ac:dyDescent="0.2">
      <c r="A22" s="191"/>
      <c r="B22" s="191"/>
      <c r="C22" s="180"/>
      <c r="D22" s="180"/>
      <c r="E22" s="180"/>
      <c r="F22" s="180"/>
      <c r="G22" s="180"/>
      <c r="H22" s="180"/>
      <c r="I22" s="180"/>
      <c r="J22" s="180"/>
      <c r="K22" s="180"/>
      <c r="L22" s="180"/>
      <c r="M22" s="180"/>
      <c r="N22" s="180"/>
      <c r="O22" s="180"/>
      <c r="P22" s="180"/>
      <c r="Q22" s="181"/>
      <c r="R22" s="180"/>
      <c r="S22" s="191"/>
      <c r="T22" s="180"/>
      <c r="U22" s="180"/>
      <c r="V22" s="180"/>
      <c r="W22" s="180"/>
      <c r="X22" s="180"/>
      <c r="Y22" s="180"/>
      <c r="Z22" s="180"/>
      <c r="AA22" s="180"/>
      <c r="AB22" s="180"/>
      <c r="AC22" s="180"/>
      <c r="AD22" s="180"/>
      <c r="AE22" s="180"/>
      <c r="AF22" s="180"/>
      <c r="AG22" s="180"/>
      <c r="AH22" s="181"/>
      <c r="AI22" s="180"/>
      <c r="AJ22" s="191"/>
      <c r="AK22" s="180"/>
      <c r="AL22" s="180"/>
      <c r="AM22" s="180"/>
      <c r="AN22" s="180"/>
      <c r="AO22" s="180"/>
      <c r="AP22" s="180"/>
      <c r="AQ22" s="180"/>
      <c r="AR22" s="180"/>
      <c r="AS22" s="180"/>
      <c r="AT22" s="180"/>
      <c r="AU22" s="180"/>
      <c r="AV22" s="180"/>
      <c r="AW22" s="180"/>
      <c r="AX22" s="255"/>
      <c r="AY22" s="257"/>
      <c r="AZ22" s="257"/>
    </row>
    <row r="23" spans="1:54" ht="15" thickBot="1" x14ac:dyDescent="0.25">
      <c r="A23" s="191"/>
      <c r="B23" s="192"/>
      <c r="C23" s="182"/>
      <c r="D23" s="182"/>
      <c r="E23" s="182"/>
      <c r="F23" s="182"/>
      <c r="G23" s="182"/>
      <c r="H23" s="182"/>
      <c r="I23" s="182"/>
      <c r="J23" s="182"/>
      <c r="K23" s="182"/>
      <c r="L23" s="182"/>
      <c r="M23" s="182"/>
      <c r="N23" s="182"/>
      <c r="O23" s="182"/>
      <c r="P23" s="182"/>
      <c r="Q23" s="183"/>
      <c r="R23" s="180"/>
      <c r="S23" s="192"/>
      <c r="T23" s="182"/>
      <c r="U23" s="182"/>
      <c r="V23" s="182"/>
      <c r="W23" s="182"/>
      <c r="X23" s="182"/>
      <c r="Y23" s="182"/>
      <c r="Z23" s="182"/>
      <c r="AA23" s="182"/>
      <c r="AB23" s="182"/>
      <c r="AC23" s="182"/>
      <c r="AD23" s="182"/>
      <c r="AE23" s="182"/>
      <c r="AF23" s="182"/>
      <c r="AG23" s="182"/>
      <c r="AH23" s="183"/>
      <c r="AI23" s="180"/>
      <c r="AJ23" s="192"/>
      <c r="AK23" s="182"/>
      <c r="AL23" s="182"/>
      <c r="AM23" s="182"/>
      <c r="AN23" s="182"/>
      <c r="AO23" s="182"/>
      <c r="AP23" s="182"/>
      <c r="AQ23" s="182"/>
      <c r="AR23" s="182"/>
      <c r="AS23" s="182"/>
      <c r="AT23" s="182"/>
      <c r="AU23" s="182"/>
      <c r="AV23" s="182"/>
      <c r="AW23" s="182"/>
      <c r="AX23" s="260"/>
      <c r="AY23" s="258"/>
      <c r="AZ23" s="257"/>
    </row>
    <row r="24" spans="1:54" ht="14.25" x14ac:dyDescent="0.2">
      <c r="A24" s="191"/>
      <c r="B24" s="180"/>
      <c r="C24" s="180"/>
      <c r="D24" s="180"/>
      <c r="E24" s="180"/>
      <c r="F24" s="180"/>
      <c r="G24" s="180"/>
      <c r="H24" s="180"/>
      <c r="I24" s="180"/>
      <c r="J24" s="180"/>
      <c r="K24" s="180"/>
      <c r="L24" s="180"/>
      <c r="M24" s="180"/>
      <c r="N24" s="180"/>
      <c r="O24" s="180"/>
      <c r="P24" s="180"/>
      <c r="Q24" s="180"/>
      <c r="R24" s="180"/>
      <c r="S24" s="180"/>
      <c r="T24" s="180"/>
      <c r="U24" s="180"/>
      <c r="V24" s="180"/>
      <c r="W24" s="180"/>
      <c r="X24" s="180"/>
      <c r="Y24" s="180"/>
      <c r="Z24" s="180"/>
      <c r="AA24" s="180"/>
      <c r="AB24" s="180"/>
      <c r="AC24" s="180"/>
      <c r="AD24" s="180"/>
      <c r="AE24" s="180"/>
      <c r="AF24" s="180"/>
      <c r="AG24" s="180"/>
      <c r="AH24" s="180"/>
      <c r="AI24" s="180"/>
      <c r="AJ24" s="180"/>
      <c r="AK24" s="180"/>
      <c r="AL24" s="180"/>
      <c r="AM24" s="180"/>
      <c r="AN24" s="180"/>
      <c r="AO24" s="180"/>
      <c r="AP24" s="180"/>
      <c r="AQ24" s="180"/>
      <c r="AR24" s="180"/>
      <c r="AS24" s="180"/>
      <c r="AT24" s="180"/>
      <c r="AU24" s="180"/>
      <c r="AV24" s="180"/>
      <c r="AW24" s="180"/>
      <c r="AX24" s="180"/>
      <c r="AY24" s="255"/>
      <c r="AZ24" s="257"/>
      <c r="BA24" s="27"/>
    </row>
    <row r="25" spans="1:54" ht="15" thickBot="1" x14ac:dyDescent="0.25">
      <c r="A25" s="191"/>
      <c r="B25" s="180"/>
      <c r="C25" s="180"/>
      <c r="D25" s="180"/>
      <c r="E25" s="180"/>
      <c r="F25" s="180"/>
      <c r="G25" s="180"/>
      <c r="H25" s="180"/>
      <c r="I25" s="180"/>
      <c r="J25" s="180"/>
      <c r="K25" s="180"/>
      <c r="L25" s="180"/>
      <c r="M25" s="180"/>
      <c r="N25" s="180"/>
      <c r="O25" s="180"/>
      <c r="P25" s="180"/>
      <c r="Q25" s="180"/>
      <c r="R25" s="180"/>
      <c r="S25" s="180"/>
      <c r="T25" s="180"/>
      <c r="U25" s="180"/>
      <c r="V25" s="180"/>
      <c r="W25" s="180"/>
      <c r="X25" s="180"/>
      <c r="Y25" s="180"/>
      <c r="Z25" s="180"/>
      <c r="AA25" s="180"/>
      <c r="AB25" s="180"/>
      <c r="AC25" s="180"/>
      <c r="AD25" s="180"/>
      <c r="AE25" s="180"/>
      <c r="AF25" s="180"/>
      <c r="AG25" s="180"/>
      <c r="AH25" s="180"/>
      <c r="AI25" s="180"/>
      <c r="AJ25" s="180"/>
      <c r="AK25" s="180"/>
      <c r="AL25" s="180"/>
      <c r="AM25" s="180"/>
      <c r="AN25" s="180"/>
      <c r="AO25" s="180"/>
      <c r="AP25" s="180"/>
      <c r="AQ25" s="180"/>
      <c r="AR25" s="180"/>
      <c r="AS25" s="180"/>
      <c r="AT25" s="180"/>
      <c r="AU25" s="180"/>
      <c r="AV25" s="180"/>
      <c r="AW25" s="180"/>
      <c r="AX25" s="180"/>
      <c r="AY25" s="180"/>
      <c r="AZ25" s="257"/>
      <c r="BA25" s="27"/>
      <c r="BB25" s="27"/>
    </row>
    <row r="26" spans="1:54" ht="14.25" x14ac:dyDescent="0.2">
      <c r="A26" s="191"/>
      <c r="B26" s="190"/>
      <c r="C26" s="178"/>
      <c r="D26" s="178"/>
      <c r="E26" s="178"/>
      <c r="F26" s="178"/>
      <c r="G26" s="178"/>
      <c r="H26" s="178"/>
      <c r="I26" s="178"/>
      <c r="J26" s="178"/>
      <c r="K26" s="178"/>
      <c r="L26" s="178"/>
      <c r="M26" s="178"/>
      <c r="N26" s="178"/>
      <c r="O26" s="178"/>
      <c r="P26" s="178"/>
      <c r="Q26" s="179"/>
      <c r="R26" s="180"/>
      <c r="S26" s="190"/>
      <c r="T26" s="178"/>
      <c r="U26" s="178"/>
      <c r="V26" s="178"/>
      <c r="W26" s="178"/>
      <c r="X26" s="178"/>
      <c r="Y26" s="178"/>
      <c r="Z26" s="178"/>
      <c r="AA26" s="178"/>
      <c r="AB26" s="178"/>
      <c r="AC26" s="178"/>
      <c r="AD26" s="178"/>
      <c r="AE26" s="178"/>
      <c r="AF26" s="178"/>
      <c r="AG26" s="178"/>
      <c r="AH26" s="179"/>
      <c r="AI26" s="180"/>
      <c r="AJ26" s="190"/>
      <c r="AK26" s="178"/>
      <c r="AL26" s="178"/>
      <c r="AM26" s="178"/>
      <c r="AN26" s="178"/>
      <c r="AO26" s="178"/>
      <c r="AP26" s="178"/>
      <c r="AQ26" s="178"/>
      <c r="AR26" s="178"/>
      <c r="AS26" s="178"/>
      <c r="AT26" s="178"/>
      <c r="AU26" s="178"/>
      <c r="AV26" s="178"/>
      <c r="AW26" s="178"/>
      <c r="AX26" s="178"/>
      <c r="AY26" s="179"/>
      <c r="AZ26" s="257"/>
    </row>
    <row r="27" spans="1:54" ht="14.25" x14ac:dyDescent="0.2">
      <c r="A27" s="191"/>
      <c r="B27" s="191"/>
      <c r="C27" s="180"/>
      <c r="D27" s="180"/>
      <c r="E27" s="180"/>
      <c r="F27" s="180"/>
      <c r="G27" s="180"/>
      <c r="H27" s="180"/>
      <c r="I27" s="180"/>
      <c r="J27" s="180"/>
      <c r="K27" s="180"/>
      <c r="L27" s="180"/>
      <c r="M27" s="180"/>
      <c r="N27" s="180"/>
      <c r="O27" s="180"/>
      <c r="P27" s="180"/>
      <c r="Q27" s="181"/>
      <c r="R27" s="180"/>
      <c r="S27" s="191"/>
      <c r="T27" s="180"/>
      <c r="U27" s="180"/>
      <c r="V27" s="180"/>
      <c r="W27" s="180"/>
      <c r="X27" s="180"/>
      <c r="Y27" s="180"/>
      <c r="Z27" s="180"/>
      <c r="AA27" s="180"/>
      <c r="AB27" s="180"/>
      <c r="AC27" s="180"/>
      <c r="AD27" s="180"/>
      <c r="AE27" s="180"/>
      <c r="AF27" s="180"/>
      <c r="AG27" s="180"/>
      <c r="AH27" s="181"/>
      <c r="AI27" s="180"/>
      <c r="AJ27" s="191"/>
      <c r="AK27" s="180"/>
      <c r="AL27" s="180"/>
      <c r="AM27" s="180"/>
      <c r="AN27" s="180"/>
      <c r="AO27" s="180"/>
      <c r="AP27" s="180"/>
      <c r="AQ27" s="180"/>
      <c r="AR27" s="180"/>
      <c r="AS27" s="180"/>
      <c r="AT27" s="180"/>
      <c r="AU27" s="180"/>
      <c r="AV27" s="180"/>
      <c r="AW27" s="180"/>
      <c r="AX27" s="180"/>
      <c r="AY27" s="181"/>
      <c r="AZ27" s="257"/>
    </row>
    <row r="28" spans="1:54" ht="14.25" x14ac:dyDescent="0.2">
      <c r="A28" s="191"/>
      <c r="B28" s="191"/>
      <c r="C28" s="180"/>
      <c r="D28" s="180"/>
      <c r="E28" s="180"/>
      <c r="F28" s="180"/>
      <c r="G28" s="180"/>
      <c r="H28" s="180"/>
      <c r="I28" s="180"/>
      <c r="J28" s="180"/>
      <c r="K28" s="180"/>
      <c r="L28" s="180"/>
      <c r="M28" s="180"/>
      <c r="N28" s="180"/>
      <c r="O28" s="180"/>
      <c r="P28" s="180"/>
      <c r="Q28" s="181"/>
      <c r="R28" s="180"/>
      <c r="S28" s="191"/>
      <c r="T28" s="180"/>
      <c r="U28" s="180"/>
      <c r="V28" s="180"/>
      <c r="W28" s="180"/>
      <c r="X28" s="180"/>
      <c r="Y28" s="180"/>
      <c r="Z28" s="180"/>
      <c r="AA28" s="180"/>
      <c r="AB28" s="180"/>
      <c r="AC28" s="180"/>
      <c r="AD28" s="180"/>
      <c r="AE28" s="180"/>
      <c r="AF28" s="180"/>
      <c r="AG28" s="180"/>
      <c r="AH28" s="181"/>
      <c r="AI28" s="180"/>
      <c r="AJ28" s="191"/>
      <c r="AK28" s="180"/>
      <c r="AL28" s="180"/>
      <c r="AM28" s="180"/>
      <c r="AN28" s="180"/>
      <c r="AO28" s="180"/>
      <c r="AP28" s="180"/>
      <c r="AQ28" s="180"/>
      <c r="AR28" s="180"/>
      <c r="AS28" s="180"/>
      <c r="AT28" s="180"/>
      <c r="AU28" s="180"/>
      <c r="AV28" s="180"/>
      <c r="AW28" s="180"/>
      <c r="AX28" s="180"/>
      <c r="AY28" s="181"/>
      <c r="AZ28" s="257"/>
    </row>
    <row r="29" spans="1:54" ht="14.25" x14ac:dyDescent="0.2">
      <c r="A29" s="191"/>
      <c r="B29" s="191"/>
      <c r="C29" s="180"/>
      <c r="D29" s="180"/>
      <c r="E29" s="180"/>
      <c r="F29" s="180"/>
      <c r="G29" s="180"/>
      <c r="H29" s="180"/>
      <c r="I29" s="180"/>
      <c r="J29" s="180"/>
      <c r="K29" s="180"/>
      <c r="L29" s="180"/>
      <c r="M29" s="180"/>
      <c r="N29" s="180"/>
      <c r="O29" s="180"/>
      <c r="P29" s="180"/>
      <c r="Q29" s="181"/>
      <c r="R29" s="180"/>
      <c r="S29" s="191"/>
      <c r="T29" s="180"/>
      <c r="U29" s="180"/>
      <c r="V29" s="180"/>
      <c r="W29" s="180"/>
      <c r="X29" s="180"/>
      <c r="Y29" s="180"/>
      <c r="Z29" s="180"/>
      <c r="AA29" s="180"/>
      <c r="AB29" s="180"/>
      <c r="AC29" s="180"/>
      <c r="AD29" s="180"/>
      <c r="AE29" s="180"/>
      <c r="AF29" s="180"/>
      <c r="AG29" s="180"/>
      <c r="AH29" s="181"/>
      <c r="AI29" s="180"/>
      <c r="AJ29" s="191"/>
      <c r="AK29" s="180"/>
      <c r="AL29" s="180"/>
      <c r="AM29" s="180"/>
      <c r="AN29" s="180"/>
      <c r="AO29" s="180"/>
      <c r="AP29" s="180"/>
      <c r="AQ29" s="180"/>
      <c r="AR29" s="180"/>
      <c r="AS29" s="180"/>
      <c r="AT29" s="180"/>
      <c r="AU29" s="180"/>
      <c r="AV29" s="180"/>
      <c r="AW29" s="180"/>
      <c r="AX29" s="180"/>
      <c r="AY29" s="181"/>
      <c r="AZ29" s="257"/>
    </row>
    <row r="30" spans="1:54" ht="14.25" x14ac:dyDescent="0.2">
      <c r="A30" s="191"/>
      <c r="B30" s="191"/>
      <c r="C30" s="180"/>
      <c r="D30" s="180"/>
      <c r="E30" s="180"/>
      <c r="F30" s="180"/>
      <c r="G30" s="180"/>
      <c r="H30" s="180"/>
      <c r="I30" s="180"/>
      <c r="J30" s="180"/>
      <c r="K30" s="180"/>
      <c r="L30" s="180"/>
      <c r="M30" s="180"/>
      <c r="N30" s="180"/>
      <c r="O30" s="180"/>
      <c r="P30" s="180"/>
      <c r="Q30" s="181"/>
      <c r="R30" s="180"/>
      <c r="S30" s="191"/>
      <c r="T30" s="180"/>
      <c r="U30" s="180"/>
      <c r="V30" s="180"/>
      <c r="W30" s="180"/>
      <c r="X30" s="180"/>
      <c r="Y30" s="180"/>
      <c r="Z30" s="180"/>
      <c r="AA30" s="180"/>
      <c r="AB30" s="180"/>
      <c r="AC30" s="180"/>
      <c r="AD30" s="180"/>
      <c r="AE30" s="180"/>
      <c r="AF30" s="180"/>
      <c r="AG30" s="180"/>
      <c r="AH30" s="181"/>
      <c r="AI30" s="180"/>
      <c r="AJ30" s="191"/>
      <c r="AK30" s="180"/>
      <c r="AL30" s="180"/>
      <c r="AM30" s="180"/>
      <c r="AN30" s="180"/>
      <c r="AO30" s="180"/>
      <c r="AP30" s="180"/>
      <c r="AQ30" s="180"/>
      <c r="AR30" s="180"/>
      <c r="AS30" s="180"/>
      <c r="AT30" s="180"/>
      <c r="AU30" s="180"/>
      <c r="AV30" s="180"/>
      <c r="AW30" s="180"/>
      <c r="AX30" s="180"/>
      <c r="AY30" s="181"/>
      <c r="AZ30" s="257"/>
    </row>
    <row r="31" spans="1:54" ht="14.25" x14ac:dyDescent="0.2">
      <c r="A31" s="191"/>
      <c r="B31" s="191"/>
      <c r="C31" s="180"/>
      <c r="D31" s="180"/>
      <c r="E31" s="180"/>
      <c r="F31" s="180"/>
      <c r="G31" s="180"/>
      <c r="H31" s="180"/>
      <c r="I31" s="180"/>
      <c r="J31" s="180"/>
      <c r="K31" s="180"/>
      <c r="L31" s="180"/>
      <c r="M31" s="180"/>
      <c r="N31" s="180"/>
      <c r="O31" s="180"/>
      <c r="P31" s="180"/>
      <c r="Q31" s="181"/>
      <c r="R31" s="180"/>
      <c r="S31" s="191"/>
      <c r="T31" s="180"/>
      <c r="U31" s="180"/>
      <c r="V31" s="180"/>
      <c r="W31" s="180"/>
      <c r="X31" s="180"/>
      <c r="Y31" s="180"/>
      <c r="Z31" s="180"/>
      <c r="AA31" s="180"/>
      <c r="AB31" s="180"/>
      <c r="AC31" s="180"/>
      <c r="AD31" s="180"/>
      <c r="AE31" s="180"/>
      <c r="AF31" s="180"/>
      <c r="AG31" s="180"/>
      <c r="AH31" s="181"/>
      <c r="AI31" s="180"/>
      <c r="AJ31" s="191"/>
      <c r="AK31" s="180"/>
      <c r="AL31" s="180"/>
      <c r="AM31" s="180"/>
      <c r="AN31" s="180"/>
      <c r="AO31" s="180"/>
      <c r="AP31" s="180"/>
      <c r="AQ31" s="180"/>
      <c r="AR31" s="180"/>
      <c r="AS31" s="180"/>
      <c r="AT31" s="180"/>
      <c r="AU31" s="180"/>
      <c r="AV31" s="180"/>
      <c r="AW31" s="180"/>
      <c r="AX31" s="180"/>
      <c r="AY31" s="181"/>
      <c r="AZ31" s="257"/>
    </row>
    <row r="32" spans="1:54" ht="14.25" x14ac:dyDescent="0.2">
      <c r="A32" s="191"/>
      <c r="B32" s="191"/>
      <c r="C32" s="180"/>
      <c r="D32" s="180"/>
      <c r="E32" s="180"/>
      <c r="F32" s="180"/>
      <c r="G32" s="180"/>
      <c r="H32" s="180"/>
      <c r="I32" s="180"/>
      <c r="J32" s="180"/>
      <c r="K32" s="180"/>
      <c r="L32" s="180"/>
      <c r="M32" s="180"/>
      <c r="N32" s="180"/>
      <c r="O32" s="180"/>
      <c r="P32" s="180"/>
      <c r="Q32" s="181"/>
      <c r="R32" s="180"/>
      <c r="S32" s="191"/>
      <c r="T32" s="180"/>
      <c r="U32" s="180"/>
      <c r="V32" s="180"/>
      <c r="W32" s="180"/>
      <c r="X32" s="180"/>
      <c r="Y32" s="180"/>
      <c r="Z32" s="180"/>
      <c r="AA32" s="180"/>
      <c r="AB32" s="180"/>
      <c r="AC32" s="180"/>
      <c r="AD32" s="180"/>
      <c r="AE32" s="180"/>
      <c r="AF32" s="180"/>
      <c r="AG32" s="180"/>
      <c r="AH32" s="181"/>
      <c r="AI32" s="180"/>
      <c r="AJ32" s="191"/>
      <c r="AK32" s="180"/>
      <c r="AL32" s="180"/>
      <c r="AM32" s="180"/>
      <c r="AN32" s="180"/>
      <c r="AO32" s="180"/>
      <c r="AP32" s="180"/>
      <c r="AQ32" s="180"/>
      <c r="AR32" s="180"/>
      <c r="AS32" s="180"/>
      <c r="AT32" s="180"/>
      <c r="AU32" s="180"/>
      <c r="AV32" s="180"/>
      <c r="AW32" s="180"/>
      <c r="AX32" s="180"/>
      <c r="AY32" s="181"/>
      <c r="AZ32" s="257"/>
    </row>
    <row r="33" spans="1:52" ht="14.25" x14ac:dyDescent="0.2">
      <c r="A33" s="191"/>
      <c r="B33" s="191"/>
      <c r="C33" s="180"/>
      <c r="D33" s="180"/>
      <c r="E33" s="180"/>
      <c r="F33" s="180"/>
      <c r="G33" s="180"/>
      <c r="H33" s="180"/>
      <c r="I33" s="180"/>
      <c r="J33" s="180"/>
      <c r="K33" s="180"/>
      <c r="L33" s="180"/>
      <c r="M33" s="180"/>
      <c r="N33" s="180"/>
      <c r="O33" s="180"/>
      <c r="P33" s="180"/>
      <c r="Q33" s="181"/>
      <c r="R33" s="180"/>
      <c r="S33" s="191"/>
      <c r="T33" s="180"/>
      <c r="U33" s="180"/>
      <c r="V33" s="180"/>
      <c r="W33" s="180"/>
      <c r="X33" s="180"/>
      <c r="Y33" s="180"/>
      <c r="Z33" s="180"/>
      <c r="AA33" s="180"/>
      <c r="AB33" s="180"/>
      <c r="AC33" s="180"/>
      <c r="AD33" s="180"/>
      <c r="AE33" s="180"/>
      <c r="AF33" s="180"/>
      <c r="AG33" s="180"/>
      <c r="AH33" s="181"/>
      <c r="AI33" s="180"/>
      <c r="AJ33" s="191"/>
      <c r="AK33" s="180"/>
      <c r="AL33" s="180"/>
      <c r="AM33" s="180"/>
      <c r="AN33" s="180"/>
      <c r="AO33" s="180"/>
      <c r="AP33" s="180"/>
      <c r="AQ33" s="180"/>
      <c r="AR33" s="180"/>
      <c r="AS33" s="180"/>
      <c r="AT33" s="180"/>
      <c r="AU33" s="180"/>
      <c r="AV33" s="180"/>
      <c r="AW33" s="180"/>
      <c r="AX33" s="180"/>
      <c r="AY33" s="181"/>
      <c r="AZ33" s="257"/>
    </row>
    <row r="34" spans="1:52" ht="14.25" x14ac:dyDescent="0.2">
      <c r="A34" s="191"/>
      <c r="B34" s="191"/>
      <c r="C34" s="180"/>
      <c r="D34" s="180"/>
      <c r="E34" s="180"/>
      <c r="F34" s="180"/>
      <c r="G34" s="180"/>
      <c r="H34" s="180"/>
      <c r="I34" s="180"/>
      <c r="J34" s="180"/>
      <c r="K34" s="180"/>
      <c r="L34" s="180"/>
      <c r="M34" s="180"/>
      <c r="N34" s="180"/>
      <c r="O34" s="180"/>
      <c r="P34" s="180"/>
      <c r="Q34" s="181"/>
      <c r="R34" s="180"/>
      <c r="S34" s="191"/>
      <c r="T34" s="180"/>
      <c r="U34" s="180"/>
      <c r="V34" s="180"/>
      <c r="W34" s="180"/>
      <c r="X34" s="180"/>
      <c r="Y34" s="180"/>
      <c r="Z34" s="180"/>
      <c r="AA34" s="180"/>
      <c r="AB34" s="180"/>
      <c r="AC34" s="180"/>
      <c r="AD34" s="180"/>
      <c r="AE34" s="180"/>
      <c r="AF34" s="180"/>
      <c r="AG34" s="180"/>
      <c r="AH34" s="181"/>
      <c r="AI34" s="180"/>
      <c r="AJ34" s="191"/>
      <c r="AK34" s="180"/>
      <c r="AL34" s="180"/>
      <c r="AM34" s="180"/>
      <c r="AN34" s="180"/>
      <c r="AO34" s="180"/>
      <c r="AP34" s="180"/>
      <c r="AQ34" s="180"/>
      <c r="AR34" s="180"/>
      <c r="AS34" s="180"/>
      <c r="AT34" s="180"/>
      <c r="AU34" s="180"/>
      <c r="AV34" s="180"/>
      <c r="AW34" s="180"/>
      <c r="AX34" s="180"/>
      <c r="AY34" s="181"/>
      <c r="AZ34" s="257"/>
    </row>
    <row r="35" spans="1:52" ht="14.25" x14ac:dyDescent="0.2">
      <c r="A35" s="191"/>
      <c r="B35" s="191"/>
      <c r="C35" s="180"/>
      <c r="D35" s="180"/>
      <c r="E35" s="180"/>
      <c r="F35" s="180"/>
      <c r="G35" s="180"/>
      <c r="H35" s="180"/>
      <c r="I35" s="180"/>
      <c r="J35" s="180"/>
      <c r="K35" s="180"/>
      <c r="L35" s="180"/>
      <c r="M35" s="180"/>
      <c r="N35" s="180"/>
      <c r="O35" s="180"/>
      <c r="P35" s="180"/>
      <c r="Q35" s="181"/>
      <c r="R35" s="180"/>
      <c r="S35" s="191"/>
      <c r="T35" s="180"/>
      <c r="U35" s="180"/>
      <c r="V35" s="180"/>
      <c r="W35" s="180"/>
      <c r="X35" s="180"/>
      <c r="Y35" s="180"/>
      <c r="Z35" s="180"/>
      <c r="AA35" s="180"/>
      <c r="AB35" s="180"/>
      <c r="AC35" s="180"/>
      <c r="AD35" s="180"/>
      <c r="AE35" s="180"/>
      <c r="AF35" s="180"/>
      <c r="AG35" s="180"/>
      <c r="AH35" s="181"/>
      <c r="AI35" s="180"/>
      <c r="AJ35" s="191"/>
      <c r="AK35" s="180"/>
      <c r="AL35" s="180"/>
      <c r="AM35" s="180"/>
      <c r="AN35" s="180"/>
      <c r="AO35" s="180"/>
      <c r="AP35" s="180"/>
      <c r="AQ35" s="180"/>
      <c r="AR35" s="180"/>
      <c r="AS35" s="180"/>
      <c r="AT35" s="180"/>
      <c r="AU35" s="180"/>
      <c r="AV35" s="180"/>
      <c r="AW35" s="180"/>
      <c r="AX35" s="180"/>
      <c r="AY35" s="181"/>
      <c r="AZ35" s="257"/>
    </row>
    <row r="36" spans="1:52" ht="14.25" x14ac:dyDescent="0.2">
      <c r="A36" s="191"/>
      <c r="B36" s="191"/>
      <c r="C36" s="180"/>
      <c r="D36" s="180"/>
      <c r="E36" s="180"/>
      <c r="F36" s="180"/>
      <c r="G36" s="180"/>
      <c r="H36" s="180"/>
      <c r="I36" s="180"/>
      <c r="J36" s="180"/>
      <c r="K36" s="180"/>
      <c r="L36" s="180"/>
      <c r="M36" s="180"/>
      <c r="N36" s="180"/>
      <c r="O36" s="180"/>
      <c r="P36" s="180"/>
      <c r="Q36" s="181"/>
      <c r="R36" s="180"/>
      <c r="S36" s="191"/>
      <c r="T36" s="180"/>
      <c r="U36" s="180"/>
      <c r="V36" s="180"/>
      <c r="W36" s="180"/>
      <c r="X36" s="180"/>
      <c r="Y36" s="180"/>
      <c r="Z36" s="180"/>
      <c r="AA36" s="180"/>
      <c r="AB36" s="180"/>
      <c r="AC36" s="180"/>
      <c r="AD36" s="180"/>
      <c r="AE36" s="180"/>
      <c r="AF36" s="180"/>
      <c r="AG36" s="180"/>
      <c r="AH36" s="181"/>
      <c r="AI36" s="180"/>
      <c r="AJ36" s="191"/>
      <c r="AK36" s="180"/>
      <c r="AL36" s="180"/>
      <c r="AM36" s="180"/>
      <c r="AN36" s="180"/>
      <c r="AO36" s="180"/>
      <c r="AP36" s="180"/>
      <c r="AQ36" s="180"/>
      <c r="AR36" s="180"/>
      <c r="AS36" s="180"/>
      <c r="AT36" s="180"/>
      <c r="AU36" s="180"/>
      <c r="AV36" s="180"/>
      <c r="AW36" s="180"/>
      <c r="AX36" s="180"/>
      <c r="AY36" s="181"/>
      <c r="AZ36" s="257"/>
    </row>
    <row r="37" spans="1:52" ht="14.25" x14ac:dyDescent="0.2">
      <c r="A37" s="191"/>
      <c r="B37" s="191"/>
      <c r="C37" s="180"/>
      <c r="D37" s="180"/>
      <c r="E37" s="180"/>
      <c r="F37" s="180"/>
      <c r="G37" s="180"/>
      <c r="H37" s="180"/>
      <c r="I37" s="180"/>
      <c r="J37" s="180"/>
      <c r="K37" s="180"/>
      <c r="L37" s="180"/>
      <c r="M37" s="180"/>
      <c r="N37" s="180"/>
      <c r="O37" s="180"/>
      <c r="P37" s="180"/>
      <c r="Q37" s="181"/>
      <c r="R37" s="180"/>
      <c r="S37" s="191"/>
      <c r="T37" s="180"/>
      <c r="U37" s="180"/>
      <c r="V37" s="180"/>
      <c r="W37" s="180"/>
      <c r="X37" s="180"/>
      <c r="Y37" s="180"/>
      <c r="Z37" s="180"/>
      <c r="AA37" s="180"/>
      <c r="AB37" s="180"/>
      <c r="AC37" s="180"/>
      <c r="AD37" s="180"/>
      <c r="AE37" s="180"/>
      <c r="AF37" s="180"/>
      <c r="AG37" s="180"/>
      <c r="AH37" s="181"/>
      <c r="AI37" s="180"/>
      <c r="AJ37" s="191"/>
      <c r="AK37" s="180"/>
      <c r="AL37" s="180"/>
      <c r="AM37" s="180"/>
      <c r="AN37" s="180"/>
      <c r="AO37" s="180"/>
      <c r="AP37" s="180"/>
      <c r="AQ37" s="180"/>
      <c r="AR37" s="180"/>
      <c r="AS37" s="180"/>
      <c r="AT37" s="180"/>
      <c r="AU37" s="180"/>
      <c r="AV37" s="180"/>
      <c r="AW37" s="180"/>
      <c r="AX37" s="180"/>
      <c r="AY37" s="181"/>
      <c r="AZ37" s="257"/>
    </row>
    <row r="38" spans="1:52" ht="14.25" x14ac:dyDescent="0.2">
      <c r="A38" s="191"/>
      <c r="B38" s="191"/>
      <c r="C38" s="180"/>
      <c r="D38" s="180"/>
      <c r="E38" s="180"/>
      <c r="F38" s="180"/>
      <c r="G38" s="180"/>
      <c r="H38" s="180"/>
      <c r="I38" s="180"/>
      <c r="J38" s="180"/>
      <c r="K38" s="180"/>
      <c r="L38" s="180"/>
      <c r="M38" s="180"/>
      <c r="N38" s="243"/>
      <c r="O38" s="263" t="s">
        <v>959</v>
      </c>
      <c r="P38" s="180"/>
      <c r="Q38" s="181"/>
      <c r="R38" s="180"/>
      <c r="S38" s="191"/>
      <c r="T38" s="180"/>
      <c r="U38" s="180"/>
      <c r="V38" s="180"/>
      <c r="W38" s="180"/>
      <c r="X38" s="180"/>
      <c r="Y38" s="180"/>
      <c r="Z38" s="180"/>
      <c r="AA38" s="180"/>
      <c r="AB38" s="180"/>
      <c r="AC38" s="180"/>
      <c r="AD38" s="180"/>
      <c r="AE38" s="243"/>
      <c r="AF38" s="263" t="s">
        <v>959</v>
      </c>
      <c r="AG38" s="180"/>
      <c r="AH38" s="181"/>
      <c r="AI38" s="180"/>
      <c r="AJ38" s="191"/>
      <c r="AK38" s="180"/>
      <c r="AL38" s="180"/>
      <c r="AM38" s="180"/>
      <c r="AN38" s="180"/>
      <c r="AO38" s="180"/>
      <c r="AP38" s="180"/>
      <c r="AQ38" s="180"/>
      <c r="AR38" s="180"/>
      <c r="AS38" s="180"/>
      <c r="AT38" s="180"/>
      <c r="AU38" s="180"/>
      <c r="AV38" s="243"/>
      <c r="AW38" s="263" t="s">
        <v>959</v>
      </c>
      <c r="AX38" s="180"/>
      <c r="AY38" s="181"/>
      <c r="AZ38" s="257"/>
    </row>
    <row r="39" spans="1:52" ht="14.25" x14ac:dyDescent="0.2">
      <c r="A39" s="191"/>
      <c r="B39" s="191"/>
      <c r="C39" s="180"/>
      <c r="D39" s="180"/>
      <c r="E39" s="180"/>
      <c r="F39" s="180"/>
      <c r="G39" s="180"/>
      <c r="H39" s="180"/>
      <c r="I39" s="180"/>
      <c r="J39" s="180"/>
      <c r="K39" s="180"/>
      <c r="L39" s="180"/>
      <c r="M39" s="180"/>
      <c r="N39" s="180"/>
      <c r="O39" s="180"/>
      <c r="P39" s="180"/>
      <c r="Q39" s="181"/>
      <c r="R39" s="180"/>
      <c r="S39" s="191"/>
      <c r="T39" s="180"/>
      <c r="U39" s="180"/>
      <c r="V39" s="180"/>
      <c r="W39" s="180"/>
      <c r="X39" s="180"/>
      <c r="Y39" s="180"/>
      <c r="Z39" s="180"/>
      <c r="AA39" s="180"/>
      <c r="AB39" s="180"/>
      <c r="AC39" s="180"/>
      <c r="AD39" s="180"/>
      <c r="AE39" s="180"/>
      <c r="AF39" s="180"/>
      <c r="AG39" s="180"/>
      <c r="AH39" s="181"/>
      <c r="AI39" s="180"/>
      <c r="AJ39" s="191"/>
      <c r="AK39" s="180"/>
      <c r="AL39" s="180"/>
      <c r="AM39" s="180"/>
      <c r="AN39" s="180"/>
      <c r="AO39" s="180"/>
      <c r="AP39" s="180"/>
      <c r="AQ39" s="180"/>
      <c r="AR39" s="180"/>
      <c r="AS39" s="180"/>
      <c r="AT39" s="180"/>
      <c r="AU39" s="180"/>
      <c r="AV39" s="180"/>
      <c r="AW39" s="180"/>
      <c r="AX39" s="180"/>
      <c r="AY39" s="181"/>
      <c r="AZ39" s="257"/>
    </row>
    <row r="40" spans="1:52" ht="14.25" x14ac:dyDescent="0.2">
      <c r="A40" s="191"/>
      <c r="B40" s="191"/>
      <c r="C40" s="180"/>
      <c r="D40" s="180"/>
      <c r="E40" s="180"/>
      <c r="F40" s="180"/>
      <c r="G40" s="180"/>
      <c r="H40" s="180"/>
      <c r="I40" s="180"/>
      <c r="J40" s="180"/>
      <c r="K40" s="180"/>
      <c r="L40" s="180"/>
      <c r="M40" s="180"/>
      <c r="N40" s="312" t="str">
        <f ca="1">'Data Analysis'!AZ1239</f>
        <v>OK</v>
      </c>
      <c r="O40" s="312"/>
      <c r="P40" s="312"/>
      <c r="Q40" s="181"/>
      <c r="R40" s="180"/>
      <c r="S40" s="191"/>
      <c r="T40" s="180"/>
      <c r="U40" s="180"/>
      <c r="V40" s="180"/>
      <c r="W40" s="180"/>
      <c r="X40" s="180"/>
      <c r="Y40" s="180"/>
      <c r="Z40" s="180"/>
      <c r="AA40" s="180"/>
      <c r="AB40" s="180"/>
      <c r="AC40" s="180"/>
      <c r="AD40" s="180"/>
      <c r="AE40" s="312" t="str">
        <f ca="1">'Data Analysis'!AZ1240</f>
        <v>OK</v>
      </c>
      <c r="AF40" s="312"/>
      <c r="AG40" s="312"/>
      <c r="AH40" s="181"/>
      <c r="AI40" s="180"/>
      <c r="AJ40" s="191"/>
      <c r="AK40" s="180"/>
      <c r="AL40" s="180"/>
      <c r="AM40" s="180"/>
      <c r="AN40" s="180"/>
      <c r="AO40" s="180"/>
      <c r="AP40" s="180"/>
      <c r="AQ40" s="180"/>
      <c r="AR40" s="180"/>
      <c r="AS40" s="180"/>
      <c r="AT40" s="180"/>
      <c r="AU40" s="180"/>
      <c r="AV40" s="312" t="str">
        <f ca="1">'Data Analysis'!AZ1241</f>
        <v>OK</v>
      </c>
      <c r="AW40" s="312"/>
      <c r="AX40" s="312"/>
      <c r="AY40" s="181"/>
      <c r="AZ40" s="257"/>
    </row>
    <row r="41" spans="1:52" ht="14.25" x14ac:dyDescent="0.2">
      <c r="A41" s="191"/>
      <c r="B41" s="191"/>
      <c r="C41" s="180"/>
      <c r="D41" s="180"/>
      <c r="E41" s="180"/>
      <c r="F41" s="180"/>
      <c r="G41" s="180"/>
      <c r="H41" s="180"/>
      <c r="I41" s="180"/>
      <c r="J41" s="180"/>
      <c r="K41" s="180"/>
      <c r="L41" s="180"/>
      <c r="M41" s="180"/>
      <c r="N41" s="312"/>
      <c r="O41" s="312"/>
      <c r="P41" s="312"/>
      <c r="Q41" s="181"/>
      <c r="R41" s="180"/>
      <c r="S41" s="191"/>
      <c r="T41" s="180"/>
      <c r="U41" s="180"/>
      <c r="V41" s="180"/>
      <c r="W41" s="180"/>
      <c r="X41" s="180"/>
      <c r="Y41" s="180"/>
      <c r="Z41" s="180"/>
      <c r="AA41" s="180"/>
      <c r="AB41" s="180"/>
      <c r="AC41" s="180"/>
      <c r="AD41" s="180"/>
      <c r="AE41" s="312"/>
      <c r="AF41" s="312"/>
      <c r="AG41" s="312"/>
      <c r="AH41" s="181"/>
      <c r="AI41" s="180"/>
      <c r="AJ41" s="191"/>
      <c r="AK41" s="180"/>
      <c r="AL41" s="180"/>
      <c r="AM41" s="180"/>
      <c r="AN41" s="180"/>
      <c r="AO41" s="180"/>
      <c r="AP41" s="180"/>
      <c r="AQ41" s="180"/>
      <c r="AR41" s="180"/>
      <c r="AS41" s="180"/>
      <c r="AT41" s="180"/>
      <c r="AU41" s="180"/>
      <c r="AV41" s="312"/>
      <c r="AW41" s="312"/>
      <c r="AX41" s="312"/>
      <c r="AY41" s="181"/>
      <c r="AZ41" s="257"/>
    </row>
    <row r="42" spans="1:52" ht="14.25" x14ac:dyDescent="0.2">
      <c r="A42" s="191"/>
      <c r="B42" s="191"/>
      <c r="C42" s="180"/>
      <c r="D42" s="180"/>
      <c r="E42" s="180"/>
      <c r="F42" s="180"/>
      <c r="G42" s="180"/>
      <c r="H42" s="180"/>
      <c r="I42" s="180"/>
      <c r="J42" s="180"/>
      <c r="K42" s="180"/>
      <c r="L42" s="180"/>
      <c r="M42" s="180"/>
      <c r="N42" s="180"/>
      <c r="O42" s="180"/>
      <c r="P42" s="180"/>
      <c r="Q42" s="181"/>
      <c r="R42" s="180"/>
      <c r="S42" s="191"/>
      <c r="T42" s="180"/>
      <c r="U42" s="180"/>
      <c r="V42" s="180"/>
      <c r="W42" s="180"/>
      <c r="X42" s="180"/>
      <c r="Y42" s="180"/>
      <c r="Z42" s="180"/>
      <c r="AA42" s="180"/>
      <c r="AB42" s="180"/>
      <c r="AC42" s="180"/>
      <c r="AD42" s="180"/>
      <c r="AE42" s="180"/>
      <c r="AF42" s="180"/>
      <c r="AG42" s="180"/>
      <c r="AH42" s="181"/>
      <c r="AI42" s="180"/>
      <c r="AJ42" s="191"/>
      <c r="AK42" s="180"/>
      <c r="AL42" s="180"/>
      <c r="AM42" s="180"/>
      <c r="AN42" s="180"/>
      <c r="AO42" s="180"/>
      <c r="AP42" s="180"/>
      <c r="AQ42" s="180"/>
      <c r="AR42" s="180"/>
      <c r="AS42" s="180"/>
      <c r="AT42" s="180"/>
      <c r="AU42" s="180"/>
      <c r="AV42" s="180"/>
      <c r="AW42" s="180"/>
      <c r="AX42" s="180"/>
      <c r="AY42" s="181"/>
      <c r="AZ42" s="257"/>
    </row>
    <row r="43" spans="1:52" ht="14.25" x14ac:dyDescent="0.2">
      <c r="A43" s="191"/>
      <c r="B43" s="191"/>
      <c r="C43" s="180"/>
      <c r="D43" s="180"/>
      <c r="E43" s="180"/>
      <c r="F43" s="180"/>
      <c r="G43" s="180"/>
      <c r="H43" s="180"/>
      <c r="I43" s="180"/>
      <c r="J43" s="180"/>
      <c r="K43" s="180"/>
      <c r="L43" s="180"/>
      <c r="M43" s="180"/>
      <c r="N43" s="180"/>
      <c r="O43" s="180"/>
      <c r="P43" s="180"/>
      <c r="Q43" s="181"/>
      <c r="R43" s="180"/>
      <c r="S43" s="191"/>
      <c r="T43" s="180"/>
      <c r="U43" s="180"/>
      <c r="V43" s="180"/>
      <c r="W43" s="180"/>
      <c r="X43" s="180"/>
      <c r="Y43" s="180"/>
      <c r="Z43" s="180"/>
      <c r="AA43" s="180"/>
      <c r="AB43" s="180"/>
      <c r="AC43" s="180"/>
      <c r="AD43" s="180"/>
      <c r="AE43" s="180"/>
      <c r="AF43" s="180"/>
      <c r="AG43" s="180"/>
      <c r="AH43" s="181"/>
      <c r="AI43" s="180"/>
      <c r="AJ43" s="191"/>
      <c r="AK43" s="180"/>
      <c r="AL43" s="180"/>
      <c r="AM43" s="180"/>
      <c r="AN43" s="180"/>
      <c r="AO43" s="180"/>
      <c r="AP43" s="180"/>
      <c r="AQ43" s="180"/>
      <c r="AR43" s="180"/>
      <c r="AS43" s="180"/>
      <c r="AT43" s="180"/>
      <c r="AU43" s="180"/>
      <c r="AV43" s="180"/>
      <c r="AW43" s="180"/>
      <c r="AX43" s="180"/>
      <c r="AY43" s="181"/>
      <c r="AZ43" s="257"/>
    </row>
    <row r="44" spans="1:52" ht="15" thickBot="1" x14ac:dyDescent="0.25">
      <c r="A44" s="191"/>
      <c r="B44" s="192"/>
      <c r="C44" s="182"/>
      <c r="D44" s="182"/>
      <c r="E44" s="182"/>
      <c r="F44" s="182"/>
      <c r="G44" s="182"/>
      <c r="H44" s="182"/>
      <c r="I44" s="182"/>
      <c r="J44" s="182"/>
      <c r="K44" s="182"/>
      <c r="L44" s="182"/>
      <c r="M44" s="182"/>
      <c r="N44" s="182"/>
      <c r="O44" s="182"/>
      <c r="P44" s="182"/>
      <c r="Q44" s="183"/>
      <c r="R44" s="180"/>
      <c r="S44" s="192"/>
      <c r="T44" s="182"/>
      <c r="U44" s="182"/>
      <c r="V44" s="182"/>
      <c r="W44" s="182"/>
      <c r="X44" s="182"/>
      <c r="Y44" s="182"/>
      <c r="Z44" s="182"/>
      <c r="AA44" s="182"/>
      <c r="AB44" s="182"/>
      <c r="AC44" s="182"/>
      <c r="AD44" s="182"/>
      <c r="AE44" s="182"/>
      <c r="AF44" s="182"/>
      <c r="AG44" s="182"/>
      <c r="AH44" s="183"/>
      <c r="AI44" s="180"/>
      <c r="AJ44" s="192"/>
      <c r="AK44" s="182"/>
      <c r="AL44" s="182"/>
      <c r="AM44" s="182"/>
      <c r="AN44" s="182"/>
      <c r="AO44" s="182"/>
      <c r="AP44" s="182"/>
      <c r="AQ44" s="182"/>
      <c r="AR44" s="182"/>
      <c r="AS44" s="182"/>
      <c r="AT44" s="182"/>
      <c r="AU44" s="182"/>
      <c r="AV44" s="182"/>
      <c r="AW44" s="182"/>
      <c r="AX44" s="182"/>
      <c r="AY44" s="183"/>
      <c r="AZ44" s="257"/>
    </row>
    <row r="45" spans="1:52" ht="14.25" x14ac:dyDescent="0.2">
      <c r="A45" s="191"/>
      <c r="B45" s="180"/>
      <c r="C45" s="180"/>
      <c r="D45" s="180"/>
      <c r="E45" s="180"/>
      <c r="F45" s="180"/>
      <c r="G45" s="180"/>
      <c r="H45" s="180"/>
      <c r="I45" s="180"/>
      <c r="J45" s="180"/>
      <c r="K45" s="180"/>
      <c r="L45" s="180"/>
      <c r="M45" s="180"/>
      <c r="N45" s="180"/>
      <c r="O45" s="180"/>
      <c r="P45" s="180"/>
      <c r="Q45" s="180"/>
      <c r="R45" s="180"/>
      <c r="S45" s="180"/>
      <c r="T45" s="180"/>
      <c r="U45" s="180"/>
      <c r="V45" s="180"/>
      <c r="W45" s="180"/>
      <c r="X45" s="180"/>
      <c r="Y45" s="180"/>
      <c r="Z45" s="180"/>
      <c r="AA45" s="180"/>
      <c r="AB45" s="180"/>
      <c r="AC45" s="180"/>
      <c r="AD45" s="180"/>
      <c r="AE45" s="180"/>
      <c r="AF45" s="180"/>
      <c r="AG45" s="180"/>
      <c r="AH45" s="180"/>
      <c r="AI45" s="180"/>
      <c r="AJ45" s="180"/>
      <c r="AK45" s="180"/>
      <c r="AL45" s="180"/>
      <c r="AM45" s="180"/>
      <c r="AN45" s="180"/>
      <c r="AO45" s="180"/>
      <c r="AP45" s="180"/>
      <c r="AQ45" s="180"/>
      <c r="AR45" s="180"/>
      <c r="AS45" s="180"/>
      <c r="AT45" s="180"/>
      <c r="AU45" s="180"/>
      <c r="AV45" s="180"/>
      <c r="AW45" s="180"/>
      <c r="AX45" s="255"/>
      <c r="AY45" s="255"/>
      <c r="AZ45" s="257"/>
    </row>
    <row r="46" spans="1:52" ht="15" thickBot="1" x14ac:dyDescent="0.25">
      <c r="A46" s="191"/>
      <c r="B46" s="180"/>
      <c r="C46" s="180"/>
      <c r="D46" s="180"/>
      <c r="E46" s="180"/>
      <c r="F46" s="180"/>
      <c r="G46" s="180"/>
      <c r="H46" s="180"/>
      <c r="I46" s="180"/>
      <c r="J46" s="180"/>
      <c r="K46" s="180"/>
      <c r="L46" s="180"/>
      <c r="M46" s="180"/>
      <c r="N46" s="180"/>
      <c r="O46" s="180"/>
      <c r="P46" s="180"/>
      <c r="Q46" s="180"/>
      <c r="R46" s="180"/>
      <c r="S46" s="180"/>
      <c r="T46" s="180"/>
      <c r="U46" s="180"/>
      <c r="V46" s="180"/>
      <c r="W46" s="180"/>
      <c r="X46" s="180"/>
      <c r="Y46" s="180"/>
      <c r="Z46" s="180"/>
      <c r="AA46" s="180"/>
      <c r="AB46" s="180"/>
      <c r="AC46" s="180"/>
      <c r="AD46" s="180"/>
      <c r="AE46" s="180"/>
      <c r="AF46" s="180"/>
      <c r="AG46" s="180"/>
      <c r="AH46" s="180"/>
      <c r="AI46" s="180"/>
      <c r="AJ46" s="180"/>
      <c r="AK46" s="180"/>
      <c r="AL46" s="180"/>
      <c r="AM46" s="180"/>
      <c r="AN46" s="180"/>
      <c r="AO46" s="180"/>
      <c r="AP46" s="180"/>
      <c r="AQ46" s="180"/>
      <c r="AR46" s="180"/>
      <c r="AS46" s="180"/>
      <c r="AT46" s="180"/>
      <c r="AU46" s="180"/>
      <c r="AV46" s="180"/>
      <c r="AW46" s="180"/>
      <c r="AX46" s="180"/>
      <c r="AY46" s="180"/>
      <c r="AZ46" s="257"/>
    </row>
    <row r="47" spans="1:52" ht="14.25" x14ac:dyDescent="0.2">
      <c r="A47" s="191"/>
      <c r="B47" s="190"/>
      <c r="C47" s="178"/>
      <c r="D47" s="178"/>
      <c r="E47" s="178"/>
      <c r="F47" s="178"/>
      <c r="G47" s="178"/>
      <c r="H47" s="178"/>
      <c r="I47" s="178"/>
      <c r="J47" s="178"/>
      <c r="K47" s="178"/>
      <c r="L47" s="178"/>
      <c r="M47" s="178"/>
      <c r="N47" s="178"/>
      <c r="O47" s="178"/>
      <c r="P47" s="178"/>
      <c r="Q47" s="179"/>
      <c r="R47" s="180"/>
      <c r="S47" s="190"/>
      <c r="T47" s="178"/>
      <c r="U47" s="178"/>
      <c r="V47" s="178"/>
      <c r="W47" s="178"/>
      <c r="X47" s="178"/>
      <c r="Y47" s="178"/>
      <c r="Z47" s="178"/>
      <c r="AA47" s="178"/>
      <c r="AB47" s="178"/>
      <c r="AC47" s="178"/>
      <c r="AD47" s="178"/>
      <c r="AE47" s="178"/>
      <c r="AF47" s="178"/>
      <c r="AG47" s="178"/>
      <c r="AH47" s="179"/>
      <c r="AI47" s="180"/>
      <c r="AJ47" s="190"/>
      <c r="AK47" s="178"/>
      <c r="AL47" s="178"/>
      <c r="AM47" s="178"/>
      <c r="AN47" s="178"/>
      <c r="AO47" s="178"/>
      <c r="AP47" s="178"/>
      <c r="AQ47" s="178"/>
      <c r="AR47" s="178"/>
      <c r="AS47" s="178"/>
      <c r="AT47" s="178"/>
      <c r="AU47" s="178"/>
      <c r="AV47" s="178"/>
      <c r="AW47" s="178"/>
      <c r="AX47" s="178"/>
      <c r="AY47" s="179"/>
      <c r="AZ47" s="257"/>
    </row>
    <row r="48" spans="1:52" ht="14.25" x14ac:dyDescent="0.2">
      <c r="A48" s="191"/>
      <c r="B48" s="191"/>
      <c r="C48" s="180"/>
      <c r="D48" s="180"/>
      <c r="E48" s="180"/>
      <c r="F48" s="180"/>
      <c r="G48" s="180"/>
      <c r="H48" s="180"/>
      <c r="I48" s="180"/>
      <c r="J48" s="180"/>
      <c r="K48" s="180"/>
      <c r="L48" s="180"/>
      <c r="M48" s="180"/>
      <c r="N48" s="180"/>
      <c r="O48" s="180"/>
      <c r="P48" s="180"/>
      <c r="Q48" s="181"/>
      <c r="R48" s="180"/>
      <c r="S48" s="191"/>
      <c r="T48" s="180"/>
      <c r="U48" s="180"/>
      <c r="V48" s="180"/>
      <c r="W48" s="180"/>
      <c r="X48" s="180"/>
      <c r="Y48" s="180"/>
      <c r="Z48" s="180"/>
      <c r="AA48" s="180"/>
      <c r="AB48" s="180"/>
      <c r="AC48" s="180"/>
      <c r="AD48" s="180"/>
      <c r="AE48" s="180"/>
      <c r="AF48" s="180"/>
      <c r="AG48" s="180"/>
      <c r="AH48" s="181"/>
      <c r="AI48" s="180"/>
      <c r="AJ48" s="191"/>
      <c r="AK48" s="180"/>
      <c r="AL48" s="180"/>
      <c r="AM48" s="180"/>
      <c r="AN48" s="180"/>
      <c r="AO48" s="180"/>
      <c r="AP48" s="180"/>
      <c r="AQ48" s="180"/>
      <c r="AR48" s="180"/>
      <c r="AS48" s="180"/>
      <c r="AT48" s="180"/>
      <c r="AU48" s="180"/>
      <c r="AV48" s="180"/>
      <c r="AW48" s="180"/>
      <c r="AX48" s="180"/>
      <c r="AY48" s="181"/>
      <c r="AZ48" s="257"/>
    </row>
    <row r="49" spans="1:52" ht="14.25" x14ac:dyDescent="0.2">
      <c r="A49" s="191"/>
      <c r="B49" s="191"/>
      <c r="C49" s="180"/>
      <c r="D49" s="180"/>
      <c r="E49" s="180"/>
      <c r="F49" s="180"/>
      <c r="G49" s="180"/>
      <c r="H49" s="180"/>
      <c r="I49" s="180"/>
      <c r="J49" s="180"/>
      <c r="K49" s="180"/>
      <c r="L49" s="180"/>
      <c r="M49" s="180"/>
      <c r="N49" s="180"/>
      <c r="O49" s="180"/>
      <c r="P49" s="180"/>
      <c r="Q49" s="181"/>
      <c r="R49" s="180"/>
      <c r="S49" s="191"/>
      <c r="T49" s="180"/>
      <c r="U49" s="180"/>
      <c r="V49" s="180"/>
      <c r="W49" s="180"/>
      <c r="X49" s="180"/>
      <c r="Y49" s="180"/>
      <c r="Z49" s="180"/>
      <c r="AA49" s="180"/>
      <c r="AB49" s="180"/>
      <c r="AC49" s="180"/>
      <c r="AD49" s="180"/>
      <c r="AE49" s="180"/>
      <c r="AF49" s="180"/>
      <c r="AG49" s="180"/>
      <c r="AH49" s="181"/>
      <c r="AI49" s="180"/>
      <c r="AJ49" s="191"/>
      <c r="AK49" s="180"/>
      <c r="AL49" s="180"/>
      <c r="AM49" s="180"/>
      <c r="AN49" s="180"/>
      <c r="AO49" s="180"/>
      <c r="AP49" s="180"/>
      <c r="AQ49" s="180"/>
      <c r="AR49" s="180"/>
      <c r="AS49" s="180"/>
      <c r="AT49" s="180"/>
      <c r="AU49" s="180"/>
      <c r="AV49" s="180"/>
      <c r="AW49" s="180"/>
      <c r="AX49" s="180"/>
      <c r="AY49" s="181"/>
      <c r="AZ49" s="257"/>
    </row>
    <row r="50" spans="1:52" ht="14.25" x14ac:dyDescent="0.2">
      <c r="A50" s="191"/>
      <c r="B50" s="191"/>
      <c r="C50" s="180"/>
      <c r="D50" s="180"/>
      <c r="E50" s="180"/>
      <c r="F50" s="180"/>
      <c r="G50" s="180"/>
      <c r="H50" s="180"/>
      <c r="I50" s="180"/>
      <c r="J50" s="180"/>
      <c r="K50" s="180"/>
      <c r="L50" s="180"/>
      <c r="M50" s="180"/>
      <c r="N50" s="180"/>
      <c r="O50" s="180"/>
      <c r="P50" s="180"/>
      <c r="Q50" s="181"/>
      <c r="R50" s="180"/>
      <c r="S50" s="191"/>
      <c r="T50" s="180"/>
      <c r="U50" s="180"/>
      <c r="V50" s="180"/>
      <c r="W50" s="180"/>
      <c r="X50" s="180"/>
      <c r="Y50" s="180"/>
      <c r="Z50" s="180"/>
      <c r="AA50" s="180"/>
      <c r="AB50" s="180"/>
      <c r="AC50" s="180"/>
      <c r="AD50" s="180"/>
      <c r="AE50" s="180"/>
      <c r="AF50" s="180"/>
      <c r="AG50" s="180"/>
      <c r="AH50" s="181"/>
      <c r="AI50" s="180"/>
      <c r="AJ50" s="191"/>
      <c r="AK50" s="180"/>
      <c r="AL50" s="180"/>
      <c r="AM50" s="180"/>
      <c r="AN50" s="180"/>
      <c r="AO50" s="180"/>
      <c r="AP50" s="180"/>
      <c r="AQ50" s="180"/>
      <c r="AR50" s="180"/>
      <c r="AS50" s="180"/>
      <c r="AT50" s="180"/>
      <c r="AU50" s="180"/>
      <c r="AV50" s="180"/>
      <c r="AW50" s="180"/>
      <c r="AX50" s="180"/>
      <c r="AY50" s="181"/>
      <c r="AZ50" s="257"/>
    </row>
    <row r="51" spans="1:52" ht="14.25" x14ac:dyDescent="0.2">
      <c r="A51" s="191"/>
      <c r="B51" s="191"/>
      <c r="C51" s="180"/>
      <c r="D51" s="180"/>
      <c r="E51" s="180"/>
      <c r="F51" s="180"/>
      <c r="G51" s="180"/>
      <c r="H51" s="180"/>
      <c r="I51" s="180"/>
      <c r="J51" s="180"/>
      <c r="K51" s="180"/>
      <c r="L51" s="180"/>
      <c r="M51" s="180"/>
      <c r="N51" s="180"/>
      <c r="O51" s="180"/>
      <c r="P51" s="180"/>
      <c r="Q51" s="181"/>
      <c r="R51" s="180"/>
      <c r="S51" s="191"/>
      <c r="T51" s="180"/>
      <c r="U51" s="180"/>
      <c r="V51" s="180"/>
      <c r="W51" s="180"/>
      <c r="X51" s="180"/>
      <c r="Y51" s="180"/>
      <c r="Z51" s="180"/>
      <c r="AA51" s="180"/>
      <c r="AB51" s="180"/>
      <c r="AC51" s="180"/>
      <c r="AD51" s="180"/>
      <c r="AE51" s="180"/>
      <c r="AF51" s="180"/>
      <c r="AG51" s="180"/>
      <c r="AH51" s="181"/>
      <c r="AI51" s="180"/>
      <c r="AJ51" s="191"/>
      <c r="AK51" s="180"/>
      <c r="AL51" s="180"/>
      <c r="AM51" s="180"/>
      <c r="AN51" s="180"/>
      <c r="AO51" s="180"/>
      <c r="AP51" s="180"/>
      <c r="AQ51" s="180"/>
      <c r="AR51" s="180"/>
      <c r="AS51" s="180"/>
      <c r="AT51" s="180"/>
      <c r="AU51" s="180"/>
      <c r="AV51" s="180"/>
      <c r="AW51" s="180"/>
      <c r="AX51" s="180"/>
      <c r="AY51" s="181"/>
      <c r="AZ51" s="257"/>
    </row>
    <row r="52" spans="1:52" ht="14.25" x14ac:dyDescent="0.2">
      <c r="A52" s="191"/>
      <c r="B52" s="191"/>
      <c r="C52" s="180"/>
      <c r="D52" s="180"/>
      <c r="E52" s="180"/>
      <c r="F52" s="180"/>
      <c r="G52" s="180"/>
      <c r="H52" s="180"/>
      <c r="I52" s="180"/>
      <c r="J52" s="180"/>
      <c r="K52" s="180"/>
      <c r="L52" s="180"/>
      <c r="M52" s="180"/>
      <c r="N52" s="180"/>
      <c r="O52" s="180"/>
      <c r="P52" s="180"/>
      <c r="Q52" s="181"/>
      <c r="R52" s="180"/>
      <c r="S52" s="191"/>
      <c r="T52" s="180"/>
      <c r="U52" s="180"/>
      <c r="V52" s="180"/>
      <c r="W52" s="180"/>
      <c r="X52" s="180"/>
      <c r="Y52" s="180"/>
      <c r="Z52" s="180"/>
      <c r="AA52" s="180"/>
      <c r="AB52" s="180"/>
      <c r="AC52" s="180"/>
      <c r="AD52" s="180"/>
      <c r="AE52" s="180"/>
      <c r="AF52" s="180"/>
      <c r="AG52" s="180"/>
      <c r="AH52" s="181"/>
      <c r="AI52" s="180"/>
      <c r="AJ52" s="191"/>
      <c r="AK52" s="180"/>
      <c r="AL52" s="180"/>
      <c r="AM52" s="180"/>
      <c r="AN52" s="180"/>
      <c r="AO52" s="180"/>
      <c r="AP52" s="180"/>
      <c r="AQ52" s="180"/>
      <c r="AR52" s="180"/>
      <c r="AS52" s="180"/>
      <c r="AT52" s="180"/>
      <c r="AU52" s="180"/>
      <c r="AV52" s="180"/>
      <c r="AW52" s="180"/>
      <c r="AX52" s="180"/>
      <c r="AY52" s="181"/>
      <c r="AZ52" s="257"/>
    </row>
    <row r="53" spans="1:52" ht="14.25" x14ac:dyDescent="0.2">
      <c r="A53" s="191"/>
      <c r="B53" s="191"/>
      <c r="C53" s="180"/>
      <c r="D53" s="180"/>
      <c r="E53" s="180"/>
      <c r="F53" s="180"/>
      <c r="G53" s="180"/>
      <c r="H53" s="180"/>
      <c r="I53" s="180"/>
      <c r="J53" s="180"/>
      <c r="K53" s="180"/>
      <c r="L53" s="180"/>
      <c r="M53" s="180"/>
      <c r="N53" s="180"/>
      <c r="O53" s="180"/>
      <c r="P53" s="180"/>
      <c r="Q53" s="181"/>
      <c r="R53" s="180"/>
      <c r="S53" s="191"/>
      <c r="T53" s="180"/>
      <c r="U53" s="180"/>
      <c r="V53" s="180"/>
      <c r="W53" s="180"/>
      <c r="X53" s="180"/>
      <c r="Y53" s="180"/>
      <c r="Z53" s="180"/>
      <c r="AA53" s="180"/>
      <c r="AB53" s="180"/>
      <c r="AC53" s="180"/>
      <c r="AD53" s="180"/>
      <c r="AE53" s="180"/>
      <c r="AF53" s="180"/>
      <c r="AG53" s="180"/>
      <c r="AH53" s="181"/>
      <c r="AI53" s="180"/>
      <c r="AJ53" s="191"/>
      <c r="AK53" s="180"/>
      <c r="AL53" s="180"/>
      <c r="AM53" s="180"/>
      <c r="AN53" s="180"/>
      <c r="AO53" s="180"/>
      <c r="AP53" s="180"/>
      <c r="AQ53" s="180"/>
      <c r="AR53" s="180"/>
      <c r="AS53" s="180"/>
      <c r="AT53" s="180"/>
      <c r="AU53" s="180"/>
      <c r="AV53" s="180"/>
      <c r="AW53" s="180"/>
      <c r="AX53" s="180"/>
      <c r="AY53" s="181"/>
      <c r="AZ53" s="257"/>
    </row>
    <row r="54" spans="1:52" ht="14.25" x14ac:dyDescent="0.2">
      <c r="A54" s="191"/>
      <c r="B54" s="191"/>
      <c r="C54" s="180"/>
      <c r="D54" s="180"/>
      <c r="E54" s="180"/>
      <c r="F54" s="180"/>
      <c r="G54" s="180"/>
      <c r="H54" s="180"/>
      <c r="I54" s="180"/>
      <c r="J54" s="180"/>
      <c r="K54" s="180"/>
      <c r="L54" s="180"/>
      <c r="M54" s="180"/>
      <c r="N54" s="180"/>
      <c r="O54" s="180"/>
      <c r="P54" s="180"/>
      <c r="Q54" s="181"/>
      <c r="R54" s="180"/>
      <c r="S54" s="191"/>
      <c r="T54" s="180"/>
      <c r="U54" s="180"/>
      <c r="V54" s="180"/>
      <c r="W54" s="180"/>
      <c r="X54" s="180"/>
      <c r="Y54" s="180"/>
      <c r="Z54" s="180"/>
      <c r="AA54" s="180"/>
      <c r="AB54" s="180"/>
      <c r="AC54" s="180"/>
      <c r="AD54" s="180"/>
      <c r="AE54" s="180"/>
      <c r="AF54" s="180"/>
      <c r="AG54" s="180"/>
      <c r="AH54" s="181"/>
      <c r="AI54" s="180"/>
      <c r="AJ54" s="191"/>
      <c r="AK54" s="180"/>
      <c r="AL54" s="180"/>
      <c r="AM54" s="180"/>
      <c r="AN54" s="180"/>
      <c r="AO54" s="180"/>
      <c r="AP54" s="180"/>
      <c r="AQ54" s="180"/>
      <c r="AR54" s="180"/>
      <c r="AS54" s="180"/>
      <c r="AT54" s="180"/>
      <c r="AU54" s="180"/>
      <c r="AV54" s="180"/>
      <c r="AW54" s="180"/>
      <c r="AX54" s="180"/>
      <c r="AY54" s="181"/>
      <c r="AZ54" s="257"/>
    </row>
    <row r="55" spans="1:52" ht="14.25" x14ac:dyDescent="0.2">
      <c r="A55" s="191"/>
      <c r="B55" s="191"/>
      <c r="C55" s="180"/>
      <c r="D55" s="180"/>
      <c r="E55" s="180"/>
      <c r="F55" s="180"/>
      <c r="G55" s="180"/>
      <c r="H55" s="180"/>
      <c r="I55" s="180"/>
      <c r="J55" s="180"/>
      <c r="K55" s="180"/>
      <c r="L55" s="180"/>
      <c r="M55" s="180"/>
      <c r="N55" s="180"/>
      <c r="O55" s="180"/>
      <c r="P55" s="180"/>
      <c r="Q55" s="181"/>
      <c r="R55" s="180"/>
      <c r="S55" s="191"/>
      <c r="T55" s="180"/>
      <c r="U55" s="180"/>
      <c r="V55" s="180"/>
      <c r="W55" s="180"/>
      <c r="X55" s="180"/>
      <c r="Y55" s="180"/>
      <c r="Z55" s="180"/>
      <c r="AA55" s="180"/>
      <c r="AB55" s="180"/>
      <c r="AC55" s="180"/>
      <c r="AD55" s="180"/>
      <c r="AE55" s="180"/>
      <c r="AF55" s="180"/>
      <c r="AG55" s="180"/>
      <c r="AH55" s="181"/>
      <c r="AI55" s="180"/>
      <c r="AJ55" s="191"/>
      <c r="AK55" s="180"/>
      <c r="AL55" s="180"/>
      <c r="AM55" s="180"/>
      <c r="AN55" s="180"/>
      <c r="AO55" s="180"/>
      <c r="AP55" s="180"/>
      <c r="AQ55" s="180"/>
      <c r="AR55" s="180"/>
      <c r="AS55" s="180"/>
      <c r="AT55" s="180"/>
      <c r="AU55" s="180"/>
      <c r="AV55" s="180"/>
      <c r="AW55" s="180"/>
      <c r="AX55" s="180"/>
      <c r="AY55" s="181"/>
      <c r="AZ55" s="257"/>
    </row>
    <row r="56" spans="1:52" ht="14.25" x14ac:dyDescent="0.2">
      <c r="A56" s="191"/>
      <c r="B56" s="191"/>
      <c r="C56" s="180"/>
      <c r="D56" s="180"/>
      <c r="E56" s="180"/>
      <c r="F56" s="180"/>
      <c r="G56" s="180"/>
      <c r="H56" s="180"/>
      <c r="I56" s="180"/>
      <c r="J56" s="180"/>
      <c r="K56" s="180"/>
      <c r="L56" s="180"/>
      <c r="M56" s="180"/>
      <c r="N56" s="180"/>
      <c r="O56" s="180"/>
      <c r="P56" s="180"/>
      <c r="Q56" s="181"/>
      <c r="R56" s="180"/>
      <c r="S56" s="191"/>
      <c r="T56" s="180"/>
      <c r="U56" s="180"/>
      <c r="V56" s="180"/>
      <c r="W56" s="180"/>
      <c r="X56" s="180"/>
      <c r="Y56" s="180"/>
      <c r="Z56" s="180"/>
      <c r="AA56" s="180"/>
      <c r="AB56" s="180"/>
      <c r="AC56" s="180"/>
      <c r="AD56" s="180"/>
      <c r="AE56" s="180"/>
      <c r="AF56" s="180"/>
      <c r="AG56" s="180"/>
      <c r="AH56" s="181"/>
      <c r="AI56" s="180"/>
      <c r="AJ56" s="191"/>
      <c r="AK56" s="180"/>
      <c r="AL56" s="180"/>
      <c r="AM56" s="180"/>
      <c r="AN56" s="180"/>
      <c r="AO56" s="180"/>
      <c r="AP56" s="180"/>
      <c r="AQ56" s="180"/>
      <c r="AR56" s="180"/>
      <c r="AS56" s="180"/>
      <c r="AT56" s="180"/>
      <c r="AU56" s="180"/>
      <c r="AV56" s="180"/>
      <c r="AW56" s="180"/>
      <c r="AX56" s="180"/>
      <c r="AY56" s="181"/>
      <c r="AZ56" s="257"/>
    </row>
    <row r="57" spans="1:52" ht="14.25" x14ac:dyDescent="0.2">
      <c r="A57" s="191"/>
      <c r="B57" s="191"/>
      <c r="C57" s="180"/>
      <c r="D57" s="180"/>
      <c r="E57" s="180"/>
      <c r="F57" s="180"/>
      <c r="G57" s="180"/>
      <c r="H57" s="180"/>
      <c r="I57" s="180"/>
      <c r="J57" s="180"/>
      <c r="K57" s="180"/>
      <c r="L57" s="180"/>
      <c r="M57" s="180"/>
      <c r="N57" s="180"/>
      <c r="O57" s="180"/>
      <c r="P57" s="180"/>
      <c r="Q57" s="181"/>
      <c r="R57" s="180"/>
      <c r="S57" s="191"/>
      <c r="T57" s="180"/>
      <c r="U57" s="180"/>
      <c r="V57" s="180"/>
      <c r="W57" s="180"/>
      <c r="X57" s="180"/>
      <c r="Y57" s="180"/>
      <c r="Z57" s="180"/>
      <c r="AA57" s="180"/>
      <c r="AB57" s="180"/>
      <c r="AC57" s="180"/>
      <c r="AD57" s="180"/>
      <c r="AE57" s="180"/>
      <c r="AF57" s="180"/>
      <c r="AG57" s="180"/>
      <c r="AH57" s="181"/>
      <c r="AI57" s="180"/>
      <c r="AJ57" s="191"/>
      <c r="AK57" s="180"/>
      <c r="AL57" s="180"/>
      <c r="AM57" s="180"/>
      <c r="AN57" s="180"/>
      <c r="AO57" s="180"/>
      <c r="AP57" s="180"/>
      <c r="AQ57" s="180"/>
      <c r="AR57" s="180"/>
      <c r="AS57" s="180"/>
      <c r="AT57" s="180"/>
      <c r="AU57" s="180"/>
      <c r="AV57" s="180"/>
      <c r="AW57" s="180"/>
      <c r="AX57" s="180"/>
      <c r="AY57" s="181"/>
      <c r="AZ57" s="257"/>
    </row>
    <row r="58" spans="1:52" ht="14.25" x14ac:dyDescent="0.2">
      <c r="A58" s="191"/>
      <c r="B58" s="191"/>
      <c r="C58" s="180"/>
      <c r="D58" s="180"/>
      <c r="E58" s="180"/>
      <c r="F58" s="180"/>
      <c r="G58" s="180"/>
      <c r="H58" s="180"/>
      <c r="I58" s="180"/>
      <c r="J58" s="180"/>
      <c r="K58" s="180"/>
      <c r="L58" s="180"/>
      <c r="M58" s="180"/>
      <c r="N58" s="180"/>
      <c r="O58" s="180"/>
      <c r="P58" s="180"/>
      <c r="Q58" s="181"/>
      <c r="R58" s="180"/>
      <c r="S58" s="191"/>
      <c r="T58" s="180"/>
      <c r="U58" s="180"/>
      <c r="V58" s="180"/>
      <c r="W58" s="180"/>
      <c r="X58" s="180"/>
      <c r="Y58" s="180"/>
      <c r="Z58" s="180"/>
      <c r="AA58" s="180"/>
      <c r="AB58" s="180"/>
      <c r="AC58" s="180"/>
      <c r="AD58" s="180"/>
      <c r="AE58" s="180"/>
      <c r="AF58" s="180"/>
      <c r="AG58" s="180"/>
      <c r="AH58" s="181"/>
      <c r="AI58" s="180"/>
      <c r="AJ58" s="191"/>
      <c r="AK58" s="180"/>
      <c r="AL58" s="180"/>
      <c r="AM58" s="180"/>
      <c r="AN58" s="180"/>
      <c r="AO58" s="180"/>
      <c r="AP58" s="180"/>
      <c r="AQ58" s="180"/>
      <c r="AR58" s="180"/>
      <c r="AS58" s="180"/>
      <c r="AT58" s="180"/>
      <c r="AU58" s="180"/>
      <c r="AV58" s="180"/>
      <c r="AW58" s="180"/>
      <c r="AX58" s="180"/>
      <c r="AY58" s="181"/>
      <c r="AZ58" s="257"/>
    </row>
    <row r="59" spans="1:52" ht="14.25" x14ac:dyDescent="0.2">
      <c r="A59" s="191"/>
      <c r="B59" s="191"/>
      <c r="C59" s="180"/>
      <c r="D59" s="180"/>
      <c r="E59" s="180"/>
      <c r="F59" s="180"/>
      <c r="G59" s="180"/>
      <c r="H59" s="180"/>
      <c r="I59" s="180"/>
      <c r="J59" s="180"/>
      <c r="K59" s="180"/>
      <c r="L59" s="180"/>
      <c r="M59" s="180"/>
      <c r="N59" s="243"/>
      <c r="O59" s="263" t="s">
        <v>959</v>
      </c>
      <c r="P59" s="180"/>
      <c r="Q59" s="181"/>
      <c r="R59" s="180"/>
      <c r="S59" s="191"/>
      <c r="T59" s="180"/>
      <c r="U59" s="180"/>
      <c r="V59" s="180"/>
      <c r="W59" s="180"/>
      <c r="X59" s="180"/>
      <c r="Y59" s="180"/>
      <c r="Z59" s="180"/>
      <c r="AA59" s="180"/>
      <c r="AB59" s="180"/>
      <c r="AC59" s="180"/>
      <c r="AD59" s="180"/>
      <c r="AE59" s="243"/>
      <c r="AF59" s="263" t="s">
        <v>959</v>
      </c>
      <c r="AG59" s="180"/>
      <c r="AH59" s="181"/>
      <c r="AI59" s="180"/>
      <c r="AJ59" s="191"/>
      <c r="AK59" s="180"/>
      <c r="AL59" s="180"/>
      <c r="AM59" s="180"/>
      <c r="AN59" s="180"/>
      <c r="AO59" s="180"/>
      <c r="AP59" s="180"/>
      <c r="AQ59" s="180"/>
      <c r="AR59" s="180"/>
      <c r="AS59" s="180"/>
      <c r="AT59" s="180"/>
      <c r="AU59" s="180"/>
      <c r="AV59" s="243"/>
      <c r="AW59" s="263" t="s">
        <v>959</v>
      </c>
      <c r="AX59" s="180"/>
      <c r="AY59" s="181"/>
      <c r="AZ59" s="257"/>
    </row>
    <row r="60" spans="1:52" ht="14.25" x14ac:dyDescent="0.2">
      <c r="A60" s="191"/>
      <c r="B60" s="191"/>
      <c r="C60" s="180"/>
      <c r="D60" s="180"/>
      <c r="E60" s="180"/>
      <c r="F60" s="180"/>
      <c r="G60" s="180"/>
      <c r="H60" s="180"/>
      <c r="I60" s="180"/>
      <c r="J60" s="180"/>
      <c r="K60" s="180"/>
      <c r="L60" s="180"/>
      <c r="M60" s="180"/>
      <c r="N60" s="180"/>
      <c r="O60" s="180"/>
      <c r="P60" s="180"/>
      <c r="Q60" s="181"/>
      <c r="R60" s="180"/>
      <c r="S60" s="191"/>
      <c r="T60" s="180"/>
      <c r="U60" s="180"/>
      <c r="V60" s="180"/>
      <c r="W60" s="180"/>
      <c r="X60" s="180"/>
      <c r="Y60" s="180"/>
      <c r="Z60" s="180"/>
      <c r="AA60" s="180"/>
      <c r="AB60" s="180"/>
      <c r="AC60" s="180"/>
      <c r="AD60" s="180"/>
      <c r="AE60" s="180"/>
      <c r="AF60" s="180"/>
      <c r="AG60" s="180"/>
      <c r="AH60" s="181"/>
      <c r="AI60" s="180"/>
      <c r="AJ60" s="191"/>
      <c r="AK60" s="180"/>
      <c r="AL60" s="180"/>
      <c r="AM60" s="180"/>
      <c r="AN60" s="180"/>
      <c r="AO60" s="180"/>
      <c r="AP60" s="180"/>
      <c r="AQ60" s="180"/>
      <c r="AR60" s="180"/>
      <c r="AS60" s="180"/>
      <c r="AT60" s="180"/>
      <c r="AU60" s="180"/>
      <c r="AV60" s="180"/>
      <c r="AW60" s="180"/>
      <c r="AX60" s="180"/>
      <c r="AY60" s="181"/>
      <c r="AZ60" s="257"/>
    </row>
    <row r="61" spans="1:52" ht="14.25" x14ac:dyDescent="0.2">
      <c r="A61" s="191"/>
      <c r="B61" s="191"/>
      <c r="C61" s="180"/>
      <c r="D61" s="180"/>
      <c r="E61" s="180"/>
      <c r="F61" s="180"/>
      <c r="G61" s="180"/>
      <c r="H61" s="180"/>
      <c r="I61" s="180"/>
      <c r="J61" s="180"/>
      <c r="K61" s="180"/>
      <c r="L61" s="180"/>
      <c r="M61" s="180"/>
      <c r="N61" s="312" t="str">
        <f ca="1">'Data Analysis'!AZ1242</f>
        <v>OK</v>
      </c>
      <c r="O61" s="312"/>
      <c r="P61" s="312"/>
      <c r="Q61" s="181"/>
      <c r="R61" s="180"/>
      <c r="S61" s="191"/>
      <c r="T61" s="180"/>
      <c r="U61" s="180"/>
      <c r="V61" s="180"/>
      <c r="W61" s="180"/>
      <c r="X61" s="180"/>
      <c r="Y61" s="180"/>
      <c r="Z61" s="180"/>
      <c r="AA61" s="180"/>
      <c r="AB61" s="180"/>
      <c r="AC61" s="180"/>
      <c r="AD61" s="180"/>
      <c r="AE61" s="312" t="str">
        <f ca="1">'Data Analysis'!AZ1243</f>
        <v>OK</v>
      </c>
      <c r="AF61" s="312"/>
      <c r="AG61" s="312"/>
      <c r="AH61" s="181"/>
      <c r="AI61" s="180"/>
      <c r="AJ61" s="191"/>
      <c r="AK61" s="180"/>
      <c r="AL61" s="180"/>
      <c r="AM61" s="180"/>
      <c r="AN61" s="180"/>
      <c r="AO61" s="180"/>
      <c r="AP61" s="180"/>
      <c r="AQ61" s="180"/>
      <c r="AR61" s="180"/>
      <c r="AS61" s="180"/>
      <c r="AT61" s="180"/>
      <c r="AU61" s="180"/>
      <c r="AV61" s="312" t="str">
        <f ca="1">'Data Analysis'!AZ1244</f>
        <v>OK</v>
      </c>
      <c r="AW61" s="312"/>
      <c r="AX61" s="312"/>
      <c r="AY61" s="181"/>
      <c r="AZ61" s="257"/>
    </row>
    <row r="62" spans="1:52" ht="14.25" x14ac:dyDescent="0.2">
      <c r="A62" s="191"/>
      <c r="B62" s="191"/>
      <c r="C62" s="180"/>
      <c r="D62" s="180"/>
      <c r="E62" s="180"/>
      <c r="F62" s="180"/>
      <c r="G62" s="180"/>
      <c r="H62" s="180"/>
      <c r="I62" s="180"/>
      <c r="J62" s="180"/>
      <c r="K62" s="180"/>
      <c r="L62" s="180"/>
      <c r="M62" s="180"/>
      <c r="N62" s="312"/>
      <c r="O62" s="312"/>
      <c r="P62" s="312"/>
      <c r="Q62" s="181"/>
      <c r="R62" s="180"/>
      <c r="S62" s="191"/>
      <c r="T62" s="180"/>
      <c r="U62" s="180"/>
      <c r="V62" s="180"/>
      <c r="W62" s="180"/>
      <c r="X62" s="180"/>
      <c r="Y62" s="180"/>
      <c r="Z62" s="180"/>
      <c r="AA62" s="180"/>
      <c r="AB62" s="180"/>
      <c r="AC62" s="180"/>
      <c r="AD62" s="180"/>
      <c r="AE62" s="312"/>
      <c r="AF62" s="312"/>
      <c r="AG62" s="312"/>
      <c r="AH62" s="181"/>
      <c r="AI62" s="180"/>
      <c r="AJ62" s="191"/>
      <c r="AK62" s="180"/>
      <c r="AL62" s="180"/>
      <c r="AM62" s="180"/>
      <c r="AN62" s="180"/>
      <c r="AO62" s="180"/>
      <c r="AP62" s="180"/>
      <c r="AQ62" s="180"/>
      <c r="AR62" s="180"/>
      <c r="AS62" s="180"/>
      <c r="AT62" s="180"/>
      <c r="AU62" s="180"/>
      <c r="AV62" s="312"/>
      <c r="AW62" s="312"/>
      <c r="AX62" s="312"/>
      <c r="AY62" s="181"/>
      <c r="AZ62" s="257"/>
    </row>
    <row r="63" spans="1:52" ht="14.25" x14ac:dyDescent="0.2">
      <c r="A63" s="191"/>
      <c r="B63" s="191"/>
      <c r="C63" s="180"/>
      <c r="D63" s="180"/>
      <c r="E63" s="180"/>
      <c r="F63" s="180"/>
      <c r="G63" s="180"/>
      <c r="H63" s="180"/>
      <c r="I63" s="180"/>
      <c r="J63" s="180"/>
      <c r="K63" s="180"/>
      <c r="L63" s="180"/>
      <c r="M63" s="180"/>
      <c r="N63" s="180"/>
      <c r="O63" s="180"/>
      <c r="P63" s="180"/>
      <c r="Q63" s="181"/>
      <c r="R63" s="180"/>
      <c r="S63" s="191"/>
      <c r="T63" s="180"/>
      <c r="U63" s="180"/>
      <c r="V63" s="180"/>
      <c r="W63" s="180"/>
      <c r="X63" s="180"/>
      <c r="Y63" s="180"/>
      <c r="Z63" s="180"/>
      <c r="AA63" s="180"/>
      <c r="AB63" s="180"/>
      <c r="AC63" s="180"/>
      <c r="AD63" s="180"/>
      <c r="AE63" s="180"/>
      <c r="AF63" s="180"/>
      <c r="AG63" s="180"/>
      <c r="AH63" s="181"/>
      <c r="AI63" s="180"/>
      <c r="AJ63" s="191"/>
      <c r="AK63" s="180"/>
      <c r="AL63" s="180"/>
      <c r="AM63" s="180"/>
      <c r="AN63" s="180"/>
      <c r="AO63" s="180"/>
      <c r="AP63" s="180"/>
      <c r="AQ63" s="180"/>
      <c r="AR63" s="180"/>
      <c r="AS63" s="180"/>
      <c r="AT63" s="180"/>
      <c r="AU63" s="180"/>
      <c r="AV63" s="180"/>
      <c r="AW63" s="180"/>
      <c r="AX63" s="180"/>
      <c r="AY63" s="181"/>
      <c r="AZ63" s="257"/>
    </row>
    <row r="64" spans="1:52" ht="14.25" x14ac:dyDescent="0.2">
      <c r="A64" s="191"/>
      <c r="B64" s="191"/>
      <c r="C64" s="180"/>
      <c r="D64" s="180"/>
      <c r="E64" s="180"/>
      <c r="F64" s="180"/>
      <c r="G64" s="180"/>
      <c r="H64" s="180"/>
      <c r="I64" s="180"/>
      <c r="J64" s="180"/>
      <c r="K64" s="180"/>
      <c r="L64" s="180"/>
      <c r="M64" s="180"/>
      <c r="N64" s="180"/>
      <c r="O64" s="180"/>
      <c r="P64" s="180"/>
      <c r="Q64" s="181"/>
      <c r="R64" s="180"/>
      <c r="S64" s="191"/>
      <c r="T64" s="180"/>
      <c r="U64" s="180"/>
      <c r="V64" s="180"/>
      <c r="W64" s="180"/>
      <c r="X64" s="180"/>
      <c r="Y64" s="180"/>
      <c r="Z64" s="180"/>
      <c r="AA64" s="180"/>
      <c r="AB64" s="180"/>
      <c r="AC64" s="180"/>
      <c r="AD64" s="180"/>
      <c r="AE64" s="180"/>
      <c r="AF64" s="180"/>
      <c r="AG64" s="180"/>
      <c r="AH64" s="181"/>
      <c r="AI64" s="180"/>
      <c r="AJ64" s="191"/>
      <c r="AK64" s="180"/>
      <c r="AL64" s="180"/>
      <c r="AM64" s="180"/>
      <c r="AN64" s="180"/>
      <c r="AO64" s="180"/>
      <c r="AP64" s="180"/>
      <c r="AQ64" s="180"/>
      <c r="AR64" s="180"/>
      <c r="AS64" s="180"/>
      <c r="AT64" s="180"/>
      <c r="AU64" s="180"/>
      <c r="AV64" s="180"/>
      <c r="AW64" s="180"/>
      <c r="AX64" s="180"/>
      <c r="AY64" s="181"/>
      <c r="AZ64" s="257"/>
    </row>
    <row r="65" spans="1:55" ht="15" thickBot="1" x14ac:dyDescent="0.25">
      <c r="A65" s="191"/>
      <c r="B65" s="192"/>
      <c r="C65" s="182"/>
      <c r="D65" s="182"/>
      <c r="E65" s="182"/>
      <c r="F65" s="182"/>
      <c r="G65" s="182"/>
      <c r="H65" s="182"/>
      <c r="I65" s="182"/>
      <c r="J65" s="182"/>
      <c r="K65" s="182"/>
      <c r="L65" s="182"/>
      <c r="M65" s="182"/>
      <c r="N65" s="182"/>
      <c r="O65" s="182"/>
      <c r="P65" s="182"/>
      <c r="Q65" s="183"/>
      <c r="R65" s="180"/>
      <c r="S65" s="192"/>
      <c r="T65" s="182"/>
      <c r="U65" s="182"/>
      <c r="V65" s="182"/>
      <c r="W65" s="182"/>
      <c r="X65" s="182"/>
      <c r="Y65" s="182"/>
      <c r="Z65" s="182"/>
      <c r="AA65" s="182"/>
      <c r="AB65" s="182"/>
      <c r="AC65" s="182"/>
      <c r="AD65" s="182"/>
      <c r="AE65" s="182"/>
      <c r="AF65" s="182"/>
      <c r="AG65" s="182"/>
      <c r="AH65" s="183"/>
      <c r="AI65" s="180"/>
      <c r="AJ65" s="192"/>
      <c r="AK65" s="182"/>
      <c r="AL65" s="182"/>
      <c r="AM65" s="182"/>
      <c r="AN65" s="182"/>
      <c r="AO65" s="182"/>
      <c r="AP65" s="182"/>
      <c r="AQ65" s="182"/>
      <c r="AR65" s="182"/>
      <c r="AS65" s="182"/>
      <c r="AT65" s="182"/>
      <c r="AU65" s="182"/>
      <c r="AV65" s="182"/>
      <c r="AW65" s="182"/>
      <c r="AX65" s="182"/>
      <c r="AY65" s="183"/>
      <c r="AZ65" s="257"/>
    </row>
    <row r="66" spans="1:55" ht="14.25" x14ac:dyDescent="0.2">
      <c r="A66" s="191"/>
      <c r="B66" s="180"/>
      <c r="C66" s="180"/>
      <c r="D66" s="180"/>
      <c r="E66" s="180"/>
      <c r="F66" s="180"/>
      <c r="G66" s="180"/>
      <c r="H66" s="180"/>
      <c r="I66" s="180"/>
      <c r="J66" s="180"/>
      <c r="K66" s="180"/>
      <c r="L66" s="180"/>
      <c r="M66" s="180"/>
      <c r="N66" s="180"/>
      <c r="O66" s="180"/>
      <c r="P66" s="180"/>
      <c r="Q66" s="180"/>
      <c r="R66" s="180"/>
      <c r="S66" s="180"/>
      <c r="T66" s="180"/>
      <c r="U66" s="180"/>
      <c r="V66" s="180"/>
      <c r="W66" s="180"/>
      <c r="X66" s="180"/>
      <c r="Y66" s="180"/>
      <c r="Z66" s="180"/>
      <c r="AA66" s="180"/>
      <c r="AB66" s="180"/>
      <c r="AC66" s="180"/>
      <c r="AD66" s="180"/>
      <c r="AE66" s="180"/>
      <c r="AF66" s="180"/>
      <c r="AG66" s="180"/>
      <c r="AH66" s="180"/>
      <c r="AI66" s="180"/>
      <c r="AJ66" s="180"/>
      <c r="AK66" s="180"/>
      <c r="AL66" s="180"/>
      <c r="AM66" s="180"/>
      <c r="AN66" s="180"/>
      <c r="AO66" s="180"/>
      <c r="AP66" s="180"/>
      <c r="AQ66" s="180"/>
      <c r="AR66" s="180"/>
      <c r="AS66" s="180"/>
      <c r="AT66" s="180"/>
      <c r="AU66" s="180"/>
      <c r="AV66" s="180"/>
      <c r="AW66" s="180"/>
      <c r="AX66" s="180"/>
      <c r="AY66" s="255"/>
      <c r="AZ66" s="257"/>
    </row>
    <row r="67" spans="1:55" ht="15" thickBot="1" x14ac:dyDescent="0.25">
      <c r="A67" s="191"/>
      <c r="B67" s="180"/>
      <c r="C67" s="180"/>
      <c r="D67" s="180"/>
      <c r="E67" s="180"/>
      <c r="F67" s="180"/>
      <c r="G67" s="180"/>
      <c r="H67" s="180"/>
      <c r="I67" s="180"/>
      <c r="J67" s="180"/>
      <c r="K67" s="180"/>
      <c r="L67" s="180"/>
      <c r="M67" s="180"/>
      <c r="N67" s="180"/>
      <c r="O67" s="180"/>
      <c r="P67" s="180"/>
      <c r="Q67" s="180"/>
      <c r="R67" s="180"/>
      <c r="S67" s="180"/>
      <c r="T67" s="180"/>
      <c r="U67" s="180"/>
      <c r="V67" s="180"/>
      <c r="W67" s="180"/>
      <c r="X67" s="180"/>
      <c r="Y67" s="180"/>
      <c r="Z67" s="180"/>
      <c r="AA67" s="180"/>
      <c r="AB67" s="180"/>
      <c r="AC67" s="180"/>
      <c r="AD67" s="180"/>
      <c r="AE67" s="180"/>
      <c r="AF67" s="180"/>
      <c r="AG67" s="180"/>
      <c r="AH67" s="180"/>
      <c r="AI67" s="180"/>
      <c r="AJ67" s="180"/>
      <c r="AK67" s="180"/>
      <c r="AL67" s="180"/>
      <c r="AM67" s="180"/>
      <c r="AN67" s="180"/>
      <c r="AO67" s="180"/>
      <c r="AP67" s="180"/>
      <c r="AQ67" s="180"/>
      <c r="AR67" s="180"/>
      <c r="AS67" s="180"/>
      <c r="AT67" s="180"/>
      <c r="AU67" s="180"/>
      <c r="AV67" s="180"/>
      <c r="AW67" s="180"/>
      <c r="AX67" s="255"/>
      <c r="AY67" s="255"/>
      <c r="AZ67" s="257"/>
    </row>
    <row r="68" spans="1:55" ht="78" customHeight="1" thickBot="1" x14ac:dyDescent="0.25">
      <c r="A68" s="269"/>
      <c r="B68" s="180"/>
      <c r="C68" s="296" t="s">
        <v>367</v>
      </c>
      <c r="D68" s="297"/>
      <c r="E68" s="297"/>
      <c r="F68" s="297"/>
      <c r="G68" s="298"/>
      <c r="H68" s="150">
        <f>'LOGBOOK VIEWER'!F5</f>
        <v>42461</v>
      </c>
      <c r="I68" s="150">
        <f>$H$68+1</f>
        <v>42462</v>
      </c>
      <c r="J68" s="150">
        <f>$H$68+2</f>
        <v>42463</v>
      </c>
      <c r="K68" s="150">
        <f>$H$68+3</f>
        <v>42464</v>
      </c>
      <c r="L68" s="150">
        <f>$H$68+4</f>
        <v>42465</v>
      </c>
      <c r="M68" s="150">
        <f>$H$68+5</f>
        <v>42466</v>
      </c>
      <c r="N68" s="150">
        <f>$H$68+6</f>
        <v>42467</v>
      </c>
      <c r="O68" s="150">
        <f>$H$68+7</f>
        <v>42468</v>
      </c>
      <c r="P68" s="150">
        <f>$H$68+8</f>
        <v>42469</v>
      </c>
      <c r="Q68" s="150">
        <f>$H$68+9</f>
        <v>42470</v>
      </c>
      <c r="R68" s="150">
        <f>$H$68+10</f>
        <v>42471</v>
      </c>
      <c r="S68" s="150">
        <f>$H$68+11</f>
        <v>42472</v>
      </c>
      <c r="T68" s="150">
        <f>$H$68+12</f>
        <v>42473</v>
      </c>
      <c r="U68" s="150">
        <f>$H$68+13</f>
        <v>42474</v>
      </c>
      <c r="V68" s="150">
        <f>$H$68+14</f>
        <v>42475</v>
      </c>
      <c r="W68" s="150">
        <f>$H$68+15</f>
        <v>42476</v>
      </c>
      <c r="X68" s="150">
        <f>$H$68+16</f>
        <v>42477</v>
      </c>
      <c r="Y68" s="150">
        <f>$H$68+17</f>
        <v>42478</v>
      </c>
      <c r="Z68" s="150">
        <f>$H$68+18</f>
        <v>42479</v>
      </c>
      <c r="AA68" s="150">
        <f>$H$68+19</f>
        <v>42480</v>
      </c>
      <c r="AB68" s="150">
        <f>$H$68+20</f>
        <v>42481</v>
      </c>
      <c r="AC68" s="150">
        <f>$H$68+21</f>
        <v>42482</v>
      </c>
      <c r="AD68" s="150">
        <f>$H$68+22</f>
        <v>42483</v>
      </c>
      <c r="AE68" s="150">
        <f>$H$68+23</f>
        <v>42484</v>
      </c>
      <c r="AF68" s="150">
        <f>$H$68+24</f>
        <v>42485</v>
      </c>
      <c r="AG68" s="150">
        <f>$H$68+25</f>
        <v>42486</v>
      </c>
      <c r="AH68" s="150">
        <f>$H$68+26</f>
        <v>42487</v>
      </c>
      <c r="AI68" s="150">
        <f>$H$68+27</f>
        <v>42488</v>
      </c>
      <c r="AJ68" s="150">
        <f>$H$68+28</f>
        <v>42489</v>
      </c>
      <c r="AK68" s="150">
        <f>$H$68+29</f>
        <v>42490</v>
      </c>
      <c r="AL68" s="241">
        <f>$H$68+30</f>
        <v>42491</v>
      </c>
      <c r="AM68" s="266"/>
      <c r="AN68" s="266"/>
      <c r="AO68" s="180"/>
      <c r="AP68" s="296" t="s">
        <v>367</v>
      </c>
      <c r="AQ68" s="299"/>
      <c r="AR68" s="299"/>
      <c r="AS68" s="299"/>
      <c r="AT68" s="300"/>
      <c r="AU68" s="291" t="s">
        <v>958</v>
      </c>
      <c r="AV68" s="292"/>
      <c r="AW68" s="307" t="s">
        <v>957</v>
      </c>
      <c r="AX68" s="308"/>
      <c r="AY68" s="268"/>
      <c r="AZ68" s="181"/>
      <c r="BA68" s="254"/>
    </row>
    <row r="69" spans="1:55" ht="15" x14ac:dyDescent="0.2">
      <c r="A69" s="269"/>
      <c r="B69" s="180"/>
      <c r="C69" s="301" t="str">
        <f>'Data Analysis'!$B$1201</f>
        <v>Arms:</v>
      </c>
      <c r="D69" s="302"/>
      <c r="E69" s="302"/>
      <c r="F69" s="302"/>
      <c r="G69" s="303"/>
      <c r="H69" s="151">
        <f>'Data Analysis'!AR1201</f>
        <v>0</v>
      </c>
      <c r="I69" s="152">
        <f>'Data Analysis'!AQ1201</f>
        <v>0</v>
      </c>
      <c r="J69" s="152">
        <f>'Data Analysis'!AP1201</f>
        <v>0</v>
      </c>
      <c r="K69" s="152">
        <f>'Data Analysis'!AO1201</f>
        <v>0</v>
      </c>
      <c r="L69" s="152">
        <f>'Data Analysis'!AN1201</f>
        <v>0</v>
      </c>
      <c r="M69" s="152">
        <f>'Data Analysis'!AM1201</f>
        <v>0</v>
      </c>
      <c r="N69" s="152">
        <f>'Data Analysis'!AL1201</f>
        <v>0</v>
      </c>
      <c r="O69" s="152">
        <f>'Data Analysis'!AK1201</f>
        <v>0</v>
      </c>
      <c r="P69" s="152">
        <f>'Data Analysis'!AJ1201</f>
        <v>0</v>
      </c>
      <c r="Q69" s="152">
        <f>'Data Analysis'!AI1201</f>
        <v>0</v>
      </c>
      <c r="R69" s="152">
        <f>'Data Analysis'!AH1201</f>
        <v>0</v>
      </c>
      <c r="S69" s="152">
        <f>'Data Analysis'!AG1201</f>
        <v>0</v>
      </c>
      <c r="T69" s="152">
        <f>'Data Analysis'!AF1201</f>
        <v>0</v>
      </c>
      <c r="U69" s="152">
        <f>'Data Analysis'!AE1201</f>
        <v>0</v>
      </c>
      <c r="V69" s="152">
        <f>'Data Analysis'!AD1201</f>
        <v>0</v>
      </c>
      <c r="W69" s="152">
        <f>'Data Analysis'!AC1201</f>
        <v>0</v>
      </c>
      <c r="X69" s="152">
        <f>'Data Analysis'!AB1201</f>
        <v>0</v>
      </c>
      <c r="Y69" s="152">
        <f>'Data Analysis'!AA1201</f>
        <v>0</v>
      </c>
      <c r="Z69" s="152">
        <f>'Data Analysis'!Z1201</f>
        <v>0</v>
      </c>
      <c r="AA69" s="152">
        <f>'Data Analysis'!Y1201</f>
        <v>0</v>
      </c>
      <c r="AB69" s="152">
        <f>'Data Analysis'!X1201</f>
        <v>0</v>
      </c>
      <c r="AC69" s="152">
        <f>'Data Analysis'!W1201</f>
        <v>0</v>
      </c>
      <c r="AD69" s="152">
        <f>'Data Analysis'!V1201</f>
        <v>0</v>
      </c>
      <c r="AE69" s="152">
        <f>'Data Analysis'!U1201</f>
        <v>0</v>
      </c>
      <c r="AF69" s="152">
        <f>'Data Analysis'!T1201</f>
        <v>0</v>
      </c>
      <c r="AG69" s="152">
        <f>'Data Analysis'!S1201</f>
        <v>0</v>
      </c>
      <c r="AH69" s="152">
        <f>'Data Analysis'!R1201</f>
        <v>0</v>
      </c>
      <c r="AI69" s="152">
        <f>'Data Analysis'!Q1201</f>
        <v>0</v>
      </c>
      <c r="AJ69" s="152">
        <f>'Data Analysis'!P1201</f>
        <v>0</v>
      </c>
      <c r="AK69" s="152">
        <f>'Data Analysis'!O1201</f>
        <v>0</v>
      </c>
      <c r="AL69" s="153">
        <f>'Data Analysis'!N1201</f>
        <v>0</v>
      </c>
      <c r="AM69" s="267"/>
      <c r="AN69" s="267"/>
      <c r="AO69" s="180"/>
      <c r="AP69" s="301" t="str">
        <f>'Data Analysis'!$B$1201</f>
        <v>Arms:</v>
      </c>
      <c r="AQ69" s="302"/>
      <c r="AR69" s="302"/>
      <c r="AS69" s="302"/>
      <c r="AT69" s="303"/>
      <c r="AU69" s="173">
        <v>0</v>
      </c>
      <c r="AV69" s="174">
        <f>'Data Analysis'!$AS$1236</f>
        <v>0</v>
      </c>
      <c r="AW69" s="174">
        <f>'Data Analysis'!$AS$1201</f>
        <v>0</v>
      </c>
      <c r="AX69" s="175">
        <v>0</v>
      </c>
      <c r="AY69" s="268"/>
      <c r="AZ69" s="181"/>
      <c r="BA69" s="254"/>
      <c r="BB69" s="253"/>
      <c r="BC69" s="253"/>
    </row>
    <row r="70" spans="1:55" ht="15.75" thickBot="1" x14ac:dyDescent="0.25">
      <c r="A70" s="269"/>
      <c r="B70" s="180"/>
      <c r="C70" s="293" t="s">
        <v>242</v>
      </c>
      <c r="D70" s="294"/>
      <c r="E70" s="294"/>
      <c r="F70" s="294"/>
      <c r="G70" s="295"/>
      <c r="H70" s="86">
        <f>'Data Analysis'!$M$1201</f>
        <v>2</v>
      </c>
      <c r="I70" s="87">
        <f>'Data Analysis'!$M$1201</f>
        <v>2</v>
      </c>
      <c r="J70" s="87">
        <f>'Data Analysis'!$M$1201</f>
        <v>2</v>
      </c>
      <c r="K70" s="87">
        <f>'Data Analysis'!$M$1201</f>
        <v>2</v>
      </c>
      <c r="L70" s="87">
        <f>'Data Analysis'!$M$1201</f>
        <v>2</v>
      </c>
      <c r="M70" s="87">
        <f>'Data Analysis'!$M$1201</f>
        <v>2</v>
      </c>
      <c r="N70" s="87">
        <f>'Data Analysis'!$M$1201</f>
        <v>2</v>
      </c>
      <c r="O70" s="87">
        <f>'Data Analysis'!$M$1201</f>
        <v>2</v>
      </c>
      <c r="P70" s="87">
        <f>'Data Analysis'!$M$1201</f>
        <v>2</v>
      </c>
      <c r="Q70" s="87">
        <f>'Data Analysis'!$M$1201</f>
        <v>2</v>
      </c>
      <c r="R70" s="87">
        <f>'Data Analysis'!$M$1201</f>
        <v>2</v>
      </c>
      <c r="S70" s="87">
        <f>'Data Analysis'!$M$1201</f>
        <v>2</v>
      </c>
      <c r="T70" s="87">
        <f>'Data Analysis'!$M$1201</f>
        <v>2</v>
      </c>
      <c r="U70" s="87">
        <f>'Data Analysis'!$M$1201</f>
        <v>2</v>
      </c>
      <c r="V70" s="87">
        <f>'Data Analysis'!$M$1201</f>
        <v>2</v>
      </c>
      <c r="W70" s="87">
        <f>'Data Analysis'!$M$1201</f>
        <v>2</v>
      </c>
      <c r="X70" s="87">
        <f>'Data Analysis'!$M$1201</f>
        <v>2</v>
      </c>
      <c r="Y70" s="87">
        <f>'Data Analysis'!$M$1201</f>
        <v>2</v>
      </c>
      <c r="Z70" s="87">
        <f>'Data Analysis'!$M$1201</f>
        <v>2</v>
      </c>
      <c r="AA70" s="87">
        <f>'Data Analysis'!$M$1201</f>
        <v>2</v>
      </c>
      <c r="AB70" s="87">
        <f>'Data Analysis'!$M$1201</f>
        <v>2</v>
      </c>
      <c r="AC70" s="87">
        <f>'Data Analysis'!$M$1201</f>
        <v>2</v>
      </c>
      <c r="AD70" s="87">
        <f>'Data Analysis'!$M$1201</f>
        <v>2</v>
      </c>
      <c r="AE70" s="87">
        <f>'Data Analysis'!$M$1201</f>
        <v>2</v>
      </c>
      <c r="AF70" s="87">
        <f>'Data Analysis'!$M$1201</f>
        <v>2</v>
      </c>
      <c r="AG70" s="87">
        <f>'Data Analysis'!$M$1201</f>
        <v>2</v>
      </c>
      <c r="AH70" s="87">
        <f>'Data Analysis'!$M$1201</f>
        <v>2</v>
      </c>
      <c r="AI70" s="87">
        <f>'Data Analysis'!$M$1201</f>
        <v>2</v>
      </c>
      <c r="AJ70" s="87">
        <f>'Data Analysis'!$M$1201</f>
        <v>2</v>
      </c>
      <c r="AK70" s="87">
        <f>'Data Analysis'!$M$1201</f>
        <v>2</v>
      </c>
      <c r="AL70" s="88">
        <f>'Data Analysis'!$M$1201</f>
        <v>2</v>
      </c>
      <c r="AM70" s="267"/>
      <c r="AN70" s="267"/>
      <c r="AO70" s="180"/>
      <c r="AP70" s="293" t="s">
        <v>891</v>
      </c>
      <c r="AQ70" s="294"/>
      <c r="AR70" s="294"/>
      <c r="AS70" s="294"/>
      <c r="AT70" s="295"/>
      <c r="AU70" s="156">
        <f>'Data Analysis'!$L$1201</f>
        <v>3</v>
      </c>
      <c r="AV70" s="157">
        <f>'Data Analysis'!$L$1201</f>
        <v>3</v>
      </c>
      <c r="AW70" s="157">
        <f>'Data Analysis'!$L$1201</f>
        <v>3</v>
      </c>
      <c r="AX70" s="158">
        <f>'Data Analysis'!$L$1201</f>
        <v>3</v>
      </c>
      <c r="AY70" s="268"/>
      <c r="AZ70" s="181"/>
      <c r="BA70" s="254"/>
      <c r="BB70" s="253"/>
      <c r="BC70" s="253"/>
    </row>
    <row r="71" spans="1:55" ht="15" x14ac:dyDescent="0.2">
      <c r="A71" s="269"/>
      <c r="B71" s="180"/>
      <c r="C71" s="301" t="str">
        <f>'Data Analysis'!$B$1202</f>
        <v>Barcode/Racks:</v>
      </c>
      <c r="D71" s="302"/>
      <c r="E71" s="302"/>
      <c r="F71" s="302"/>
      <c r="G71" s="303"/>
      <c r="H71" s="159">
        <f>'Data Analysis'!AR1202</f>
        <v>0</v>
      </c>
      <c r="I71" s="160">
        <f>'Data Analysis'!AQ1202</f>
        <v>0</v>
      </c>
      <c r="J71" s="160">
        <f>'Data Analysis'!AP1202</f>
        <v>0</v>
      </c>
      <c r="K71" s="160">
        <f>'Data Analysis'!AO1202</f>
        <v>0</v>
      </c>
      <c r="L71" s="160">
        <f>'Data Analysis'!AN1202</f>
        <v>0</v>
      </c>
      <c r="M71" s="160">
        <f>'Data Analysis'!AM1202</f>
        <v>0</v>
      </c>
      <c r="N71" s="160">
        <f>'Data Analysis'!AL1202</f>
        <v>0</v>
      </c>
      <c r="O71" s="160">
        <f>'Data Analysis'!AK1202</f>
        <v>0</v>
      </c>
      <c r="P71" s="160">
        <f>'Data Analysis'!AJ1202</f>
        <v>0</v>
      </c>
      <c r="Q71" s="160">
        <f>'Data Analysis'!AI1202</f>
        <v>0</v>
      </c>
      <c r="R71" s="160">
        <f>'Data Analysis'!AH1202</f>
        <v>0</v>
      </c>
      <c r="S71" s="160">
        <f>'Data Analysis'!AG1202</f>
        <v>0</v>
      </c>
      <c r="T71" s="160">
        <f>'Data Analysis'!AF1202</f>
        <v>0</v>
      </c>
      <c r="U71" s="160">
        <f>'Data Analysis'!AE1202</f>
        <v>0</v>
      </c>
      <c r="V71" s="160">
        <f>'Data Analysis'!AD1202</f>
        <v>0</v>
      </c>
      <c r="W71" s="160">
        <f>'Data Analysis'!AC1202</f>
        <v>0</v>
      </c>
      <c r="X71" s="160">
        <f>'Data Analysis'!AB1202</f>
        <v>0</v>
      </c>
      <c r="Y71" s="160">
        <f>'Data Analysis'!AA1202</f>
        <v>0</v>
      </c>
      <c r="Z71" s="160">
        <f>'Data Analysis'!Z1202</f>
        <v>0</v>
      </c>
      <c r="AA71" s="160">
        <f>'Data Analysis'!Y1202</f>
        <v>0</v>
      </c>
      <c r="AB71" s="160">
        <f>'Data Analysis'!X1202</f>
        <v>0</v>
      </c>
      <c r="AC71" s="160">
        <f>'Data Analysis'!W1202</f>
        <v>0</v>
      </c>
      <c r="AD71" s="160">
        <f>'Data Analysis'!V1202</f>
        <v>0</v>
      </c>
      <c r="AE71" s="160">
        <f>'Data Analysis'!U1202</f>
        <v>0</v>
      </c>
      <c r="AF71" s="160">
        <f>'Data Analysis'!T1202</f>
        <v>0</v>
      </c>
      <c r="AG71" s="160">
        <f>'Data Analysis'!S1202</f>
        <v>0</v>
      </c>
      <c r="AH71" s="160">
        <f>'Data Analysis'!R1202</f>
        <v>0</v>
      </c>
      <c r="AI71" s="160">
        <f>'Data Analysis'!Q1202</f>
        <v>0</v>
      </c>
      <c r="AJ71" s="160">
        <f>'Data Analysis'!P1202</f>
        <v>0</v>
      </c>
      <c r="AK71" s="160">
        <f>'Data Analysis'!O1202</f>
        <v>0</v>
      </c>
      <c r="AL71" s="161">
        <f>'Data Analysis'!N1202</f>
        <v>0</v>
      </c>
      <c r="AM71" s="267"/>
      <c r="AN71" s="267"/>
      <c r="AO71" s="180"/>
      <c r="AP71" s="301" t="str">
        <f>'Data Analysis'!$B$1202</f>
        <v>Barcode/Racks:</v>
      </c>
      <c r="AQ71" s="302"/>
      <c r="AR71" s="302"/>
      <c r="AS71" s="302"/>
      <c r="AT71" s="303"/>
      <c r="AU71" s="162">
        <v>0</v>
      </c>
      <c r="AV71" s="177">
        <f>'Data Analysis'!$AS$1237</f>
        <v>0</v>
      </c>
      <c r="AW71" s="177">
        <f>'Data Analysis'!$AS$1202</f>
        <v>0</v>
      </c>
      <c r="AX71" s="163">
        <v>0</v>
      </c>
      <c r="AY71" s="268"/>
      <c r="AZ71" s="181"/>
      <c r="BA71" s="254"/>
      <c r="BB71" s="253"/>
      <c r="BC71" s="253"/>
    </row>
    <row r="72" spans="1:55" ht="15.75" thickBot="1" x14ac:dyDescent="0.25">
      <c r="A72" s="269"/>
      <c r="B72" s="180"/>
      <c r="C72" s="293" t="s">
        <v>242</v>
      </c>
      <c r="D72" s="294"/>
      <c r="E72" s="294"/>
      <c r="F72" s="294"/>
      <c r="G72" s="295"/>
      <c r="H72" s="164">
        <f>'Data Analysis'!$M$1202</f>
        <v>3</v>
      </c>
      <c r="I72" s="165">
        <f>'Data Analysis'!$M$1202</f>
        <v>3</v>
      </c>
      <c r="J72" s="165">
        <f>'Data Analysis'!$M$1202</f>
        <v>3</v>
      </c>
      <c r="K72" s="165">
        <f>'Data Analysis'!$M$1202</f>
        <v>3</v>
      </c>
      <c r="L72" s="165">
        <f>'Data Analysis'!$M$1202</f>
        <v>3</v>
      </c>
      <c r="M72" s="165">
        <f>'Data Analysis'!$M$1202</f>
        <v>3</v>
      </c>
      <c r="N72" s="165">
        <f>'Data Analysis'!$M$1202</f>
        <v>3</v>
      </c>
      <c r="O72" s="165">
        <f>'Data Analysis'!$M$1202</f>
        <v>3</v>
      </c>
      <c r="P72" s="165">
        <f>'Data Analysis'!$M$1202</f>
        <v>3</v>
      </c>
      <c r="Q72" s="165">
        <f>'Data Analysis'!$M$1202</f>
        <v>3</v>
      </c>
      <c r="R72" s="165">
        <f>'Data Analysis'!$M$1202</f>
        <v>3</v>
      </c>
      <c r="S72" s="165">
        <f>'Data Analysis'!$M$1202</f>
        <v>3</v>
      </c>
      <c r="T72" s="165">
        <f>'Data Analysis'!$M$1202</f>
        <v>3</v>
      </c>
      <c r="U72" s="165">
        <f>'Data Analysis'!$M$1202</f>
        <v>3</v>
      </c>
      <c r="V72" s="165">
        <f>'Data Analysis'!$M$1202</f>
        <v>3</v>
      </c>
      <c r="W72" s="165">
        <f>'Data Analysis'!$M$1202</f>
        <v>3</v>
      </c>
      <c r="X72" s="165">
        <f>'Data Analysis'!$M$1202</f>
        <v>3</v>
      </c>
      <c r="Y72" s="165">
        <f>'Data Analysis'!$M$1202</f>
        <v>3</v>
      </c>
      <c r="Z72" s="165">
        <f>'Data Analysis'!$M$1202</f>
        <v>3</v>
      </c>
      <c r="AA72" s="165">
        <f>'Data Analysis'!$M$1202</f>
        <v>3</v>
      </c>
      <c r="AB72" s="165">
        <f>'Data Analysis'!$M$1202</f>
        <v>3</v>
      </c>
      <c r="AC72" s="165">
        <f>'Data Analysis'!$M$1202</f>
        <v>3</v>
      </c>
      <c r="AD72" s="165">
        <f>'Data Analysis'!$M$1202</f>
        <v>3</v>
      </c>
      <c r="AE72" s="165">
        <f>'Data Analysis'!$M$1202</f>
        <v>3</v>
      </c>
      <c r="AF72" s="165">
        <f>'Data Analysis'!$M$1202</f>
        <v>3</v>
      </c>
      <c r="AG72" s="165">
        <f>'Data Analysis'!$M$1202</f>
        <v>3</v>
      </c>
      <c r="AH72" s="165">
        <f>'Data Analysis'!$M$1202</f>
        <v>3</v>
      </c>
      <c r="AI72" s="165">
        <f>'Data Analysis'!$M$1202</f>
        <v>3</v>
      </c>
      <c r="AJ72" s="165">
        <f>'Data Analysis'!$M$1202</f>
        <v>3</v>
      </c>
      <c r="AK72" s="165">
        <f>'Data Analysis'!$M$1202</f>
        <v>3</v>
      </c>
      <c r="AL72" s="166">
        <f>'Data Analysis'!$M$1202</f>
        <v>3</v>
      </c>
      <c r="AM72" s="267"/>
      <c r="AN72" s="267"/>
      <c r="AO72" s="180"/>
      <c r="AP72" s="293" t="s">
        <v>891</v>
      </c>
      <c r="AQ72" s="294"/>
      <c r="AR72" s="294"/>
      <c r="AS72" s="294"/>
      <c r="AT72" s="295"/>
      <c r="AU72" s="167">
        <f>'Data Analysis'!$L$1202</f>
        <v>5</v>
      </c>
      <c r="AV72" s="168">
        <f>'Data Analysis'!$L$1202</f>
        <v>5</v>
      </c>
      <c r="AW72" s="168">
        <f>'Data Analysis'!$L$1202</f>
        <v>5</v>
      </c>
      <c r="AX72" s="169">
        <f>'Data Analysis'!$L$1202</f>
        <v>5</v>
      </c>
      <c r="AY72" s="268"/>
      <c r="AZ72" s="181"/>
      <c r="BA72" s="254"/>
      <c r="BB72" s="253"/>
      <c r="BC72" s="253"/>
    </row>
    <row r="73" spans="1:55" ht="15" x14ac:dyDescent="0.2">
      <c r="A73" s="269"/>
      <c r="B73" s="180"/>
      <c r="C73" s="301" t="str">
        <f>'Data Analysis'!$B$1203</f>
        <v>Cuvettes Movement:</v>
      </c>
      <c r="D73" s="302"/>
      <c r="E73" s="302"/>
      <c r="F73" s="302"/>
      <c r="G73" s="303"/>
      <c r="H73" s="151">
        <f>'Data Analysis'!AR1203</f>
        <v>0</v>
      </c>
      <c r="I73" s="152">
        <f>'Data Analysis'!AQ1203</f>
        <v>0</v>
      </c>
      <c r="J73" s="152">
        <f>'Data Analysis'!AP1203</f>
        <v>0</v>
      </c>
      <c r="K73" s="152">
        <f>'Data Analysis'!AO1203</f>
        <v>0</v>
      </c>
      <c r="L73" s="152">
        <f>'Data Analysis'!AN1203</f>
        <v>0</v>
      </c>
      <c r="M73" s="152">
        <f>'Data Analysis'!AM1203</f>
        <v>0</v>
      </c>
      <c r="N73" s="152">
        <f>'Data Analysis'!AL1203</f>
        <v>0</v>
      </c>
      <c r="O73" s="152">
        <f>'Data Analysis'!AK1203</f>
        <v>0</v>
      </c>
      <c r="P73" s="152">
        <f>'Data Analysis'!AJ1203</f>
        <v>0</v>
      </c>
      <c r="Q73" s="152">
        <f>'Data Analysis'!AI1203</f>
        <v>0</v>
      </c>
      <c r="R73" s="152">
        <f>'Data Analysis'!AH1203</f>
        <v>0</v>
      </c>
      <c r="S73" s="152">
        <f>'Data Analysis'!AG1203</f>
        <v>0</v>
      </c>
      <c r="T73" s="152">
        <f>'Data Analysis'!AF1203</f>
        <v>0</v>
      </c>
      <c r="U73" s="152">
        <f>'Data Analysis'!AE1203</f>
        <v>0</v>
      </c>
      <c r="V73" s="152">
        <f>'Data Analysis'!AD1203</f>
        <v>0</v>
      </c>
      <c r="W73" s="152">
        <f>'Data Analysis'!AC1203</f>
        <v>0</v>
      </c>
      <c r="X73" s="152">
        <f>'Data Analysis'!AB1203</f>
        <v>0</v>
      </c>
      <c r="Y73" s="152">
        <f>'Data Analysis'!AA1203</f>
        <v>0</v>
      </c>
      <c r="Z73" s="152">
        <f>'Data Analysis'!Z1203</f>
        <v>0</v>
      </c>
      <c r="AA73" s="152">
        <f>'Data Analysis'!Y1203</f>
        <v>0</v>
      </c>
      <c r="AB73" s="152">
        <f>'Data Analysis'!X1203</f>
        <v>0</v>
      </c>
      <c r="AC73" s="152">
        <f>'Data Analysis'!W1203</f>
        <v>0</v>
      </c>
      <c r="AD73" s="152">
        <f>'Data Analysis'!V1203</f>
        <v>0</v>
      </c>
      <c r="AE73" s="152">
        <f>'Data Analysis'!U1203</f>
        <v>0</v>
      </c>
      <c r="AF73" s="152">
        <f>'Data Analysis'!T1203</f>
        <v>0</v>
      </c>
      <c r="AG73" s="152">
        <f>'Data Analysis'!S1203</f>
        <v>0</v>
      </c>
      <c r="AH73" s="152">
        <f>'Data Analysis'!R1203</f>
        <v>0</v>
      </c>
      <c r="AI73" s="152">
        <f>'Data Analysis'!Q1203</f>
        <v>0</v>
      </c>
      <c r="AJ73" s="152">
        <f>'Data Analysis'!P1203</f>
        <v>0</v>
      </c>
      <c r="AK73" s="152">
        <f>'Data Analysis'!O1203</f>
        <v>0</v>
      </c>
      <c r="AL73" s="153">
        <f>'Data Analysis'!N1203</f>
        <v>0</v>
      </c>
      <c r="AM73" s="267"/>
      <c r="AN73" s="267"/>
      <c r="AO73" s="180"/>
      <c r="AP73" s="301" t="str">
        <f>'Data Analysis'!$B$1203</f>
        <v>Cuvettes Movement:</v>
      </c>
      <c r="AQ73" s="302"/>
      <c r="AR73" s="302"/>
      <c r="AS73" s="302"/>
      <c r="AT73" s="303"/>
      <c r="AU73" s="154">
        <v>0</v>
      </c>
      <c r="AV73" s="174">
        <f>'Data Analysis'!$AS$1238</f>
        <v>0</v>
      </c>
      <c r="AW73" s="174">
        <f>'Data Analysis'!$AS$1203</f>
        <v>0</v>
      </c>
      <c r="AX73" s="155">
        <v>0</v>
      </c>
      <c r="AY73" s="268"/>
      <c r="AZ73" s="181"/>
      <c r="BA73" s="254"/>
      <c r="BB73" s="253"/>
      <c r="BC73" s="253"/>
    </row>
    <row r="74" spans="1:55" ht="15.75" thickBot="1" x14ac:dyDescent="0.25">
      <c r="A74" s="269"/>
      <c r="B74" s="180"/>
      <c r="C74" s="293" t="s">
        <v>242</v>
      </c>
      <c r="D74" s="294"/>
      <c r="E74" s="294"/>
      <c r="F74" s="294"/>
      <c r="G74" s="295"/>
      <c r="H74" s="86">
        <f>'Data Analysis'!$M$1203</f>
        <v>3</v>
      </c>
      <c r="I74" s="87">
        <f>'Data Analysis'!$M$1203</f>
        <v>3</v>
      </c>
      <c r="J74" s="87">
        <f>'Data Analysis'!$M$1203</f>
        <v>3</v>
      </c>
      <c r="K74" s="87">
        <f>'Data Analysis'!$M$1203</f>
        <v>3</v>
      </c>
      <c r="L74" s="87">
        <f>'Data Analysis'!$M$1203</f>
        <v>3</v>
      </c>
      <c r="M74" s="87">
        <f>'Data Analysis'!$M$1203</f>
        <v>3</v>
      </c>
      <c r="N74" s="87">
        <f>'Data Analysis'!$M$1203</f>
        <v>3</v>
      </c>
      <c r="O74" s="87">
        <f>'Data Analysis'!$M$1203</f>
        <v>3</v>
      </c>
      <c r="P74" s="87">
        <f>'Data Analysis'!$M$1203</f>
        <v>3</v>
      </c>
      <c r="Q74" s="87">
        <f>'Data Analysis'!$M$1203</f>
        <v>3</v>
      </c>
      <c r="R74" s="87">
        <f>'Data Analysis'!$M$1203</f>
        <v>3</v>
      </c>
      <c r="S74" s="87">
        <f>'Data Analysis'!$M$1203</f>
        <v>3</v>
      </c>
      <c r="T74" s="87">
        <f>'Data Analysis'!$M$1203</f>
        <v>3</v>
      </c>
      <c r="U74" s="87">
        <f>'Data Analysis'!$M$1203</f>
        <v>3</v>
      </c>
      <c r="V74" s="87">
        <f>'Data Analysis'!$M$1203</f>
        <v>3</v>
      </c>
      <c r="W74" s="87">
        <f>'Data Analysis'!$M$1203</f>
        <v>3</v>
      </c>
      <c r="X74" s="87">
        <f>'Data Analysis'!$M$1203</f>
        <v>3</v>
      </c>
      <c r="Y74" s="87">
        <f>'Data Analysis'!$M$1203</f>
        <v>3</v>
      </c>
      <c r="Z74" s="87">
        <f>'Data Analysis'!$M$1203</f>
        <v>3</v>
      </c>
      <c r="AA74" s="87">
        <f>'Data Analysis'!$M$1203</f>
        <v>3</v>
      </c>
      <c r="AB74" s="87">
        <f>'Data Analysis'!$M$1203</f>
        <v>3</v>
      </c>
      <c r="AC74" s="87">
        <f>'Data Analysis'!$M$1203</f>
        <v>3</v>
      </c>
      <c r="AD74" s="87">
        <f>'Data Analysis'!$M$1203</f>
        <v>3</v>
      </c>
      <c r="AE74" s="87">
        <f>'Data Analysis'!$M$1203</f>
        <v>3</v>
      </c>
      <c r="AF74" s="87">
        <f>'Data Analysis'!$M$1203</f>
        <v>3</v>
      </c>
      <c r="AG74" s="87">
        <f>'Data Analysis'!$M$1203</f>
        <v>3</v>
      </c>
      <c r="AH74" s="87">
        <f>'Data Analysis'!$M$1203</f>
        <v>3</v>
      </c>
      <c r="AI74" s="87">
        <f>'Data Analysis'!$M$1203</f>
        <v>3</v>
      </c>
      <c r="AJ74" s="87">
        <f>'Data Analysis'!$M$1203</f>
        <v>3</v>
      </c>
      <c r="AK74" s="87">
        <f>'Data Analysis'!$M$1203</f>
        <v>3</v>
      </c>
      <c r="AL74" s="88">
        <f>'Data Analysis'!$M$1203</f>
        <v>3</v>
      </c>
      <c r="AM74" s="267"/>
      <c r="AN74" s="267"/>
      <c r="AO74" s="180"/>
      <c r="AP74" s="293" t="s">
        <v>891</v>
      </c>
      <c r="AQ74" s="294"/>
      <c r="AR74" s="294"/>
      <c r="AS74" s="294"/>
      <c r="AT74" s="295"/>
      <c r="AU74" s="156">
        <f>'Data Analysis'!$L$1203</f>
        <v>5</v>
      </c>
      <c r="AV74" s="157">
        <f>'Data Analysis'!$L$1203</f>
        <v>5</v>
      </c>
      <c r="AW74" s="157">
        <f>'Data Analysis'!$L$1203</f>
        <v>5</v>
      </c>
      <c r="AX74" s="158">
        <f>'Data Analysis'!$L$1203</f>
        <v>5</v>
      </c>
      <c r="AY74" s="268"/>
      <c r="AZ74" s="181"/>
      <c r="BA74" s="254"/>
      <c r="BB74" s="253"/>
      <c r="BC74" s="253"/>
    </row>
    <row r="75" spans="1:55" ht="15" x14ac:dyDescent="0.2">
      <c r="A75" s="269"/>
      <c r="B75" s="180"/>
      <c r="C75" s="301" t="str">
        <f>'Data Analysis'!$B$1204</f>
        <v>Fluidics:</v>
      </c>
      <c r="D75" s="302"/>
      <c r="E75" s="302"/>
      <c r="F75" s="302"/>
      <c r="G75" s="303"/>
      <c r="H75" s="159">
        <f>'Data Analysis'!AR1204</f>
        <v>0</v>
      </c>
      <c r="I75" s="160">
        <f>'Data Analysis'!AQ1204</f>
        <v>0</v>
      </c>
      <c r="J75" s="160">
        <f>'Data Analysis'!AP1204</f>
        <v>0</v>
      </c>
      <c r="K75" s="160">
        <f>'Data Analysis'!AO1204</f>
        <v>0</v>
      </c>
      <c r="L75" s="160">
        <f>'Data Analysis'!AN1204</f>
        <v>0</v>
      </c>
      <c r="M75" s="160">
        <f>'Data Analysis'!AM1204</f>
        <v>0</v>
      </c>
      <c r="N75" s="160">
        <f>'Data Analysis'!AL1204</f>
        <v>0</v>
      </c>
      <c r="O75" s="160">
        <f>'Data Analysis'!AK1204</f>
        <v>0</v>
      </c>
      <c r="P75" s="160">
        <f>'Data Analysis'!AJ1204</f>
        <v>0</v>
      </c>
      <c r="Q75" s="160">
        <f>'Data Analysis'!AI1204</f>
        <v>0</v>
      </c>
      <c r="R75" s="160">
        <f>'Data Analysis'!AH1204</f>
        <v>0</v>
      </c>
      <c r="S75" s="160">
        <f>'Data Analysis'!AG1204</f>
        <v>0</v>
      </c>
      <c r="T75" s="160">
        <f>'Data Analysis'!AF1204</f>
        <v>0</v>
      </c>
      <c r="U75" s="160">
        <f>'Data Analysis'!AE1204</f>
        <v>0</v>
      </c>
      <c r="V75" s="160">
        <f>'Data Analysis'!AD1204</f>
        <v>0</v>
      </c>
      <c r="W75" s="160">
        <f>'Data Analysis'!AC1204</f>
        <v>0</v>
      </c>
      <c r="X75" s="160">
        <f>'Data Analysis'!AB1204</f>
        <v>0</v>
      </c>
      <c r="Y75" s="160">
        <f>'Data Analysis'!AA1204</f>
        <v>0</v>
      </c>
      <c r="Z75" s="160">
        <f>'Data Analysis'!Z1204</f>
        <v>0</v>
      </c>
      <c r="AA75" s="160">
        <f>'Data Analysis'!Y1204</f>
        <v>0</v>
      </c>
      <c r="AB75" s="160">
        <f>'Data Analysis'!X1204</f>
        <v>0</v>
      </c>
      <c r="AC75" s="160">
        <f>'Data Analysis'!W1204</f>
        <v>0</v>
      </c>
      <c r="AD75" s="160">
        <f>'Data Analysis'!V1204</f>
        <v>0</v>
      </c>
      <c r="AE75" s="160">
        <f>'Data Analysis'!U1204</f>
        <v>0</v>
      </c>
      <c r="AF75" s="160">
        <f>'Data Analysis'!T1204</f>
        <v>0</v>
      </c>
      <c r="AG75" s="160">
        <f>'Data Analysis'!S1204</f>
        <v>0</v>
      </c>
      <c r="AH75" s="160">
        <f>'Data Analysis'!R1204</f>
        <v>0</v>
      </c>
      <c r="AI75" s="160">
        <f>'Data Analysis'!Q1204</f>
        <v>0</v>
      </c>
      <c r="AJ75" s="160">
        <f>'Data Analysis'!P1204</f>
        <v>0</v>
      </c>
      <c r="AK75" s="160">
        <f>'Data Analysis'!O1204</f>
        <v>0</v>
      </c>
      <c r="AL75" s="161">
        <f>'Data Analysis'!N1204</f>
        <v>0</v>
      </c>
      <c r="AM75" s="267"/>
      <c r="AN75" s="267"/>
      <c r="AO75" s="180"/>
      <c r="AP75" s="301" t="str">
        <f>'Data Analysis'!$B$1204</f>
        <v>Fluidics:</v>
      </c>
      <c r="AQ75" s="302"/>
      <c r="AR75" s="302"/>
      <c r="AS75" s="302"/>
      <c r="AT75" s="303"/>
      <c r="AU75" s="162">
        <v>0</v>
      </c>
      <c r="AV75" s="177">
        <f>'Data Analysis'!$AS$1239</f>
        <v>0</v>
      </c>
      <c r="AW75" s="177">
        <f>'Data Analysis'!$AS$1204</f>
        <v>0</v>
      </c>
      <c r="AX75" s="163">
        <v>0</v>
      </c>
      <c r="AY75" s="268"/>
      <c r="AZ75" s="181"/>
      <c r="BA75" s="254"/>
      <c r="BB75" s="253"/>
      <c r="BC75" s="253"/>
    </row>
    <row r="76" spans="1:55" ht="15.75" thickBot="1" x14ac:dyDescent="0.25">
      <c r="A76" s="269"/>
      <c r="B76" s="180"/>
      <c r="C76" s="293" t="s">
        <v>242</v>
      </c>
      <c r="D76" s="294"/>
      <c r="E76" s="294"/>
      <c r="F76" s="294"/>
      <c r="G76" s="295"/>
      <c r="H76" s="164">
        <f>'Data Analysis'!$M$1204</f>
        <v>1</v>
      </c>
      <c r="I76" s="165">
        <f>'Data Analysis'!$M$1204</f>
        <v>1</v>
      </c>
      <c r="J76" s="165">
        <f>'Data Analysis'!$M$1204</f>
        <v>1</v>
      </c>
      <c r="K76" s="165">
        <f>'Data Analysis'!$M$1204</f>
        <v>1</v>
      </c>
      <c r="L76" s="165">
        <f>'Data Analysis'!$M$1204</f>
        <v>1</v>
      </c>
      <c r="M76" s="165">
        <f>'Data Analysis'!$M$1204</f>
        <v>1</v>
      </c>
      <c r="N76" s="165">
        <f>'Data Analysis'!$M$1204</f>
        <v>1</v>
      </c>
      <c r="O76" s="165">
        <f>'Data Analysis'!$M$1204</f>
        <v>1</v>
      </c>
      <c r="P76" s="165">
        <f>'Data Analysis'!$M$1204</f>
        <v>1</v>
      </c>
      <c r="Q76" s="165">
        <f>'Data Analysis'!$M$1204</f>
        <v>1</v>
      </c>
      <c r="R76" s="165">
        <f>'Data Analysis'!$M$1204</f>
        <v>1</v>
      </c>
      <c r="S76" s="165">
        <f>'Data Analysis'!$M$1204</f>
        <v>1</v>
      </c>
      <c r="T76" s="165">
        <f>'Data Analysis'!$M$1204</f>
        <v>1</v>
      </c>
      <c r="U76" s="165">
        <f>'Data Analysis'!$M$1204</f>
        <v>1</v>
      </c>
      <c r="V76" s="165">
        <f>'Data Analysis'!$M$1204</f>
        <v>1</v>
      </c>
      <c r="W76" s="165">
        <f>'Data Analysis'!$M$1204</f>
        <v>1</v>
      </c>
      <c r="X76" s="165">
        <f>'Data Analysis'!$M$1204</f>
        <v>1</v>
      </c>
      <c r="Y76" s="165">
        <f>'Data Analysis'!$M$1204</f>
        <v>1</v>
      </c>
      <c r="Z76" s="165">
        <f>'Data Analysis'!$M$1204</f>
        <v>1</v>
      </c>
      <c r="AA76" s="165">
        <f>'Data Analysis'!$M$1204</f>
        <v>1</v>
      </c>
      <c r="AB76" s="165">
        <f>'Data Analysis'!$M$1204</f>
        <v>1</v>
      </c>
      <c r="AC76" s="165">
        <f>'Data Analysis'!$M$1204</f>
        <v>1</v>
      </c>
      <c r="AD76" s="165">
        <f>'Data Analysis'!$M$1204</f>
        <v>1</v>
      </c>
      <c r="AE76" s="165">
        <f>'Data Analysis'!$M$1204</f>
        <v>1</v>
      </c>
      <c r="AF76" s="165">
        <f>'Data Analysis'!$M$1204</f>
        <v>1</v>
      </c>
      <c r="AG76" s="165">
        <f>'Data Analysis'!$M$1204</f>
        <v>1</v>
      </c>
      <c r="AH76" s="165">
        <f>'Data Analysis'!$M$1204</f>
        <v>1</v>
      </c>
      <c r="AI76" s="165">
        <f>'Data Analysis'!$M$1204</f>
        <v>1</v>
      </c>
      <c r="AJ76" s="165">
        <f>'Data Analysis'!$M$1204</f>
        <v>1</v>
      </c>
      <c r="AK76" s="165">
        <f>'Data Analysis'!$M$1204</f>
        <v>1</v>
      </c>
      <c r="AL76" s="166">
        <f>'Data Analysis'!$M$1204</f>
        <v>1</v>
      </c>
      <c r="AM76" s="267"/>
      <c r="AN76" s="267"/>
      <c r="AO76" s="180"/>
      <c r="AP76" s="293" t="s">
        <v>891</v>
      </c>
      <c r="AQ76" s="294"/>
      <c r="AR76" s="294"/>
      <c r="AS76" s="294"/>
      <c r="AT76" s="295"/>
      <c r="AU76" s="167">
        <f>'Data Analysis'!$L$1204</f>
        <v>2</v>
      </c>
      <c r="AV76" s="168">
        <f>'Data Analysis'!$L$1204</f>
        <v>2</v>
      </c>
      <c r="AW76" s="168">
        <f>'Data Analysis'!$L$1204</f>
        <v>2</v>
      </c>
      <c r="AX76" s="169">
        <f>'Data Analysis'!$L$1204</f>
        <v>2</v>
      </c>
      <c r="AY76" s="268"/>
      <c r="AZ76" s="181"/>
      <c r="BA76" s="254"/>
      <c r="BB76" s="253"/>
      <c r="BC76" s="253"/>
    </row>
    <row r="77" spans="1:55" ht="15" x14ac:dyDescent="0.2">
      <c r="A77" s="269"/>
      <c r="B77" s="180"/>
      <c r="C77" s="301" t="str">
        <f>'Data Analysis'!$B$1205</f>
        <v>LLD:</v>
      </c>
      <c r="D77" s="302"/>
      <c r="E77" s="302"/>
      <c r="F77" s="302"/>
      <c r="G77" s="303"/>
      <c r="H77" s="151">
        <f>'Data Analysis'!AR1205</f>
        <v>0</v>
      </c>
      <c r="I77" s="152">
        <f>'Data Analysis'!AQ1205</f>
        <v>0</v>
      </c>
      <c r="J77" s="152">
        <f>'Data Analysis'!AP1205</f>
        <v>0</v>
      </c>
      <c r="K77" s="152">
        <f>'Data Analysis'!AO1205</f>
        <v>0</v>
      </c>
      <c r="L77" s="152">
        <f>'Data Analysis'!AN1205</f>
        <v>0</v>
      </c>
      <c r="M77" s="152">
        <f>'Data Analysis'!AM1205</f>
        <v>0</v>
      </c>
      <c r="N77" s="152">
        <f>'Data Analysis'!AL1205</f>
        <v>0</v>
      </c>
      <c r="O77" s="152">
        <f>'Data Analysis'!AK1205</f>
        <v>0</v>
      </c>
      <c r="P77" s="152">
        <f>'Data Analysis'!AJ1205</f>
        <v>0</v>
      </c>
      <c r="Q77" s="152">
        <f>'Data Analysis'!AI1205</f>
        <v>0</v>
      </c>
      <c r="R77" s="152">
        <f>'Data Analysis'!AH1205</f>
        <v>0</v>
      </c>
      <c r="S77" s="152">
        <f>'Data Analysis'!AG1205</f>
        <v>0</v>
      </c>
      <c r="T77" s="152">
        <f>'Data Analysis'!AF1205</f>
        <v>0</v>
      </c>
      <c r="U77" s="152">
        <f>'Data Analysis'!AE1205</f>
        <v>0</v>
      </c>
      <c r="V77" s="152">
        <f>'Data Analysis'!AD1205</f>
        <v>0</v>
      </c>
      <c r="W77" s="152">
        <f>'Data Analysis'!AC1205</f>
        <v>0</v>
      </c>
      <c r="X77" s="152">
        <f>'Data Analysis'!AB1205</f>
        <v>0</v>
      </c>
      <c r="Y77" s="152">
        <f>'Data Analysis'!AA1205</f>
        <v>0</v>
      </c>
      <c r="Z77" s="152">
        <f>'Data Analysis'!Z1205</f>
        <v>0</v>
      </c>
      <c r="AA77" s="152">
        <f>'Data Analysis'!Y1205</f>
        <v>0</v>
      </c>
      <c r="AB77" s="152">
        <f>'Data Analysis'!X1205</f>
        <v>0</v>
      </c>
      <c r="AC77" s="152">
        <f>'Data Analysis'!W1205</f>
        <v>0</v>
      </c>
      <c r="AD77" s="152">
        <f>'Data Analysis'!V1205</f>
        <v>0</v>
      </c>
      <c r="AE77" s="152">
        <f>'Data Analysis'!U1205</f>
        <v>0</v>
      </c>
      <c r="AF77" s="152">
        <f>'Data Analysis'!T1205</f>
        <v>0</v>
      </c>
      <c r="AG77" s="152">
        <f>'Data Analysis'!S1205</f>
        <v>0</v>
      </c>
      <c r="AH77" s="152">
        <f>'Data Analysis'!R1205</f>
        <v>0</v>
      </c>
      <c r="AI77" s="152">
        <f>'Data Analysis'!Q1205</f>
        <v>0</v>
      </c>
      <c r="AJ77" s="152">
        <f>'Data Analysis'!P1205</f>
        <v>0</v>
      </c>
      <c r="AK77" s="152">
        <f>'Data Analysis'!O1205</f>
        <v>0</v>
      </c>
      <c r="AL77" s="153">
        <f>'Data Analysis'!N1205</f>
        <v>0</v>
      </c>
      <c r="AM77" s="267"/>
      <c r="AN77" s="267"/>
      <c r="AO77" s="180"/>
      <c r="AP77" s="301" t="str">
        <f>'Data Analysis'!$B$1205</f>
        <v>LLD:</v>
      </c>
      <c r="AQ77" s="302"/>
      <c r="AR77" s="302"/>
      <c r="AS77" s="302"/>
      <c r="AT77" s="303"/>
      <c r="AU77" s="154">
        <v>0</v>
      </c>
      <c r="AV77" s="174">
        <f>'Data Analysis'!$AS$1240</f>
        <v>0</v>
      </c>
      <c r="AW77" s="174">
        <f>'Data Analysis'!$AS$1205</f>
        <v>0</v>
      </c>
      <c r="AX77" s="155">
        <v>0</v>
      </c>
      <c r="AY77" s="268"/>
      <c r="AZ77" s="181"/>
      <c r="BA77" s="254"/>
      <c r="BB77" s="253"/>
      <c r="BC77" s="253"/>
    </row>
    <row r="78" spans="1:55" ht="15.75" thickBot="1" x14ac:dyDescent="0.25">
      <c r="A78" s="269"/>
      <c r="B78" s="180"/>
      <c r="C78" s="293" t="s">
        <v>242</v>
      </c>
      <c r="D78" s="294"/>
      <c r="E78" s="294"/>
      <c r="F78" s="294"/>
      <c r="G78" s="295"/>
      <c r="H78" s="86">
        <f>'Data Analysis'!$M$1205</f>
        <v>1</v>
      </c>
      <c r="I78" s="87">
        <f>'Data Analysis'!$M$1205</f>
        <v>1</v>
      </c>
      <c r="J78" s="87">
        <f>'Data Analysis'!$M$1205</f>
        <v>1</v>
      </c>
      <c r="K78" s="87">
        <f>'Data Analysis'!$M$1205</f>
        <v>1</v>
      </c>
      <c r="L78" s="87">
        <f>'Data Analysis'!$M$1205</f>
        <v>1</v>
      </c>
      <c r="M78" s="87">
        <f>'Data Analysis'!$M$1205</f>
        <v>1</v>
      </c>
      <c r="N78" s="87">
        <f>'Data Analysis'!$M$1205</f>
        <v>1</v>
      </c>
      <c r="O78" s="87">
        <f>'Data Analysis'!$M$1205</f>
        <v>1</v>
      </c>
      <c r="P78" s="87">
        <f>'Data Analysis'!$M$1205</f>
        <v>1</v>
      </c>
      <c r="Q78" s="87">
        <f>'Data Analysis'!$M$1205</f>
        <v>1</v>
      </c>
      <c r="R78" s="87">
        <f>'Data Analysis'!$M$1205</f>
        <v>1</v>
      </c>
      <c r="S78" s="87">
        <f>'Data Analysis'!$M$1205</f>
        <v>1</v>
      </c>
      <c r="T78" s="87">
        <f>'Data Analysis'!$M$1205</f>
        <v>1</v>
      </c>
      <c r="U78" s="87">
        <f>'Data Analysis'!$M$1205</f>
        <v>1</v>
      </c>
      <c r="V78" s="87">
        <f>'Data Analysis'!$M$1205</f>
        <v>1</v>
      </c>
      <c r="W78" s="87">
        <f>'Data Analysis'!$M$1205</f>
        <v>1</v>
      </c>
      <c r="X78" s="87">
        <f>'Data Analysis'!$M$1205</f>
        <v>1</v>
      </c>
      <c r="Y78" s="87">
        <f>'Data Analysis'!$M$1205</f>
        <v>1</v>
      </c>
      <c r="Z78" s="87">
        <f>'Data Analysis'!$M$1205</f>
        <v>1</v>
      </c>
      <c r="AA78" s="87">
        <f>'Data Analysis'!$M$1205</f>
        <v>1</v>
      </c>
      <c r="AB78" s="87">
        <f>'Data Analysis'!$M$1205</f>
        <v>1</v>
      </c>
      <c r="AC78" s="87">
        <f>'Data Analysis'!$M$1205</f>
        <v>1</v>
      </c>
      <c r="AD78" s="87">
        <f>'Data Analysis'!$M$1205</f>
        <v>1</v>
      </c>
      <c r="AE78" s="87">
        <f>'Data Analysis'!$M$1205</f>
        <v>1</v>
      </c>
      <c r="AF78" s="87">
        <f>'Data Analysis'!$M$1205</f>
        <v>1</v>
      </c>
      <c r="AG78" s="87">
        <f>'Data Analysis'!$M$1205</f>
        <v>1</v>
      </c>
      <c r="AH78" s="87">
        <f>'Data Analysis'!$M$1205</f>
        <v>1</v>
      </c>
      <c r="AI78" s="87">
        <f>'Data Analysis'!$M$1205</f>
        <v>1</v>
      </c>
      <c r="AJ78" s="87">
        <f>'Data Analysis'!$M$1205</f>
        <v>1</v>
      </c>
      <c r="AK78" s="87">
        <f>'Data Analysis'!$M$1205</f>
        <v>1</v>
      </c>
      <c r="AL78" s="88">
        <f>'Data Analysis'!$M$1205</f>
        <v>1</v>
      </c>
      <c r="AM78" s="267"/>
      <c r="AN78" s="267"/>
      <c r="AO78" s="180"/>
      <c r="AP78" s="293" t="s">
        <v>891</v>
      </c>
      <c r="AQ78" s="294"/>
      <c r="AR78" s="294"/>
      <c r="AS78" s="294"/>
      <c r="AT78" s="295"/>
      <c r="AU78" s="156">
        <f>'Data Analysis'!$L$1205</f>
        <v>6</v>
      </c>
      <c r="AV78" s="157">
        <f>'Data Analysis'!$L$1205</f>
        <v>6</v>
      </c>
      <c r="AW78" s="157">
        <f>'Data Analysis'!$L$1205</f>
        <v>6</v>
      </c>
      <c r="AX78" s="158">
        <f>'Data Analysis'!$L$1205</f>
        <v>6</v>
      </c>
      <c r="AY78" s="268"/>
      <c r="AZ78" s="181"/>
      <c r="BA78" s="254"/>
    </row>
    <row r="79" spans="1:55" ht="15" x14ac:dyDescent="0.2">
      <c r="A79" s="269"/>
      <c r="B79" s="180"/>
      <c r="C79" s="301" t="str">
        <f>'Data Analysis'!$B$1206</f>
        <v>ORU:</v>
      </c>
      <c r="D79" s="302"/>
      <c r="E79" s="302"/>
      <c r="F79" s="302"/>
      <c r="G79" s="303"/>
      <c r="H79" s="159">
        <f>'Data Analysis'!AR1206</f>
        <v>0</v>
      </c>
      <c r="I79" s="160">
        <f>'Data Analysis'!AQ1206</f>
        <v>0</v>
      </c>
      <c r="J79" s="160">
        <f>'Data Analysis'!AP1206</f>
        <v>0</v>
      </c>
      <c r="K79" s="160">
        <f>'Data Analysis'!AO1206</f>
        <v>0</v>
      </c>
      <c r="L79" s="160">
        <f>'Data Analysis'!AN1206</f>
        <v>0</v>
      </c>
      <c r="M79" s="160">
        <f>'Data Analysis'!AM1206</f>
        <v>0</v>
      </c>
      <c r="N79" s="160">
        <f>'Data Analysis'!AL1206</f>
        <v>0</v>
      </c>
      <c r="O79" s="160">
        <f>'Data Analysis'!AK1206</f>
        <v>0</v>
      </c>
      <c r="P79" s="160">
        <f>'Data Analysis'!AJ1206</f>
        <v>0</v>
      </c>
      <c r="Q79" s="160">
        <f>'Data Analysis'!AI1206</f>
        <v>0</v>
      </c>
      <c r="R79" s="160">
        <f>'Data Analysis'!AH1206</f>
        <v>0</v>
      </c>
      <c r="S79" s="160">
        <f>'Data Analysis'!AG1206</f>
        <v>0</v>
      </c>
      <c r="T79" s="160">
        <f>'Data Analysis'!AF1206</f>
        <v>0</v>
      </c>
      <c r="U79" s="160">
        <f>'Data Analysis'!AE1206</f>
        <v>0</v>
      </c>
      <c r="V79" s="160">
        <f>'Data Analysis'!AD1206</f>
        <v>0</v>
      </c>
      <c r="W79" s="160">
        <f>'Data Analysis'!AC1206</f>
        <v>0</v>
      </c>
      <c r="X79" s="160">
        <f>'Data Analysis'!AB1206</f>
        <v>0</v>
      </c>
      <c r="Y79" s="160">
        <f>'Data Analysis'!AA1206</f>
        <v>0</v>
      </c>
      <c r="Z79" s="160">
        <f>'Data Analysis'!Z1206</f>
        <v>0</v>
      </c>
      <c r="AA79" s="160">
        <f>'Data Analysis'!Y1206</f>
        <v>0</v>
      </c>
      <c r="AB79" s="160">
        <f>'Data Analysis'!X1206</f>
        <v>0</v>
      </c>
      <c r="AC79" s="160">
        <f>'Data Analysis'!W1206</f>
        <v>0</v>
      </c>
      <c r="AD79" s="160">
        <f>'Data Analysis'!V1206</f>
        <v>0</v>
      </c>
      <c r="AE79" s="160">
        <f>'Data Analysis'!U1206</f>
        <v>0</v>
      </c>
      <c r="AF79" s="160">
        <f>'Data Analysis'!T1206</f>
        <v>0</v>
      </c>
      <c r="AG79" s="160">
        <f>'Data Analysis'!S1206</f>
        <v>0</v>
      </c>
      <c r="AH79" s="160">
        <f>'Data Analysis'!R1206</f>
        <v>0</v>
      </c>
      <c r="AI79" s="160">
        <f>'Data Analysis'!Q1206</f>
        <v>0</v>
      </c>
      <c r="AJ79" s="160">
        <f>'Data Analysis'!P1206</f>
        <v>0</v>
      </c>
      <c r="AK79" s="160">
        <f>'Data Analysis'!O1206</f>
        <v>0</v>
      </c>
      <c r="AL79" s="161">
        <f>'Data Analysis'!N1206</f>
        <v>0</v>
      </c>
      <c r="AM79" s="267"/>
      <c r="AN79" s="267"/>
      <c r="AO79" s="180"/>
      <c r="AP79" s="301" t="str">
        <f>'Data Analysis'!$B$1206</f>
        <v>ORU:</v>
      </c>
      <c r="AQ79" s="302"/>
      <c r="AR79" s="302"/>
      <c r="AS79" s="302"/>
      <c r="AT79" s="303"/>
      <c r="AU79" s="162">
        <v>0</v>
      </c>
      <c r="AV79" s="177">
        <f>'Data Analysis'!$AS$1241</f>
        <v>0</v>
      </c>
      <c r="AW79" s="177">
        <f>'Data Analysis'!$AS$1206</f>
        <v>0</v>
      </c>
      <c r="AX79" s="163">
        <v>0</v>
      </c>
      <c r="AY79" s="268"/>
      <c r="AZ79" s="181"/>
      <c r="BA79" s="254"/>
    </row>
    <row r="80" spans="1:55" ht="15.75" thickBot="1" x14ac:dyDescent="0.25">
      <c r="A80" s="269"/>
      <c r="B80" s="180"/>
      <c r="C80" s="293" t="s">
        <v>242</v>
      </c>
      <c r="D80" s="294"/>
      <c r="E80" s="294"/>
      <c r="F80" s="294"/>
      <c r="G80" s="295"/>
      <c r="H80" s="164">
        <f>'Data Analysis'!$M$1206</f>
        <v>1</v>
      </c>
      <c r="I80" s="165">
        <f>'Data Analysis'!$M$1206</f>
        <v>1</v>
      </c>
      <c r="J80" s="165">
        <f>'Data Analysis'!$M$1206</f>
        <v>1</v>
      </c>
      <c r="K80" s="165">
        <f>'Data Analysis'!$M$1206</f>
        <v>1</v>
      </c>
      <c r="L80" s="165">
        <f>'Data Analysis'!$M$1206</f>
        <v>1</v>
      </c>
      <c r="M80" s="165">
        <f>'Data Analysis'!$M$1206</f>
        <v>1</v>
      </c>
      <c r="N80" s="165">
        <f>'Data Analysis'!$M$1206</f>
        <v>1</v>
      </c>
      <c r="O80" s="165">
        <f>'Data Analysis'!$M$1206</f>
        <v>1</v>
      </c>
      <c r="P80" s="165">
        <f>'Data Analysis'!$M$1206</f>
        <v>1</v>
      </c>
      <c r="Q80" s="165">
        <f>'Data Analysis'!$M$1206</f>
        <v>1</v>
      </c>
      <c r="R80" s="165">
        <f>'Data Analysis'!$M$1206</f>
        <v>1</v>
      </c>
      <c r="S80" s="165">
        <f>'Data Analysis'!$M$1206</f>
        <v>1</v>
      </c>
      <c r="T80" s="165">
        <f>'Data Analysis'!$M$1206</f>
        <v>1</v>
      </c>
      <c r="U80" s="165">
        <f>'Data Analysis'!$M$1206</f>
        <v>1</v>
      </c>
      <c r="V80" s="165">
        <f>'Data Analysis'!$M$1206</f>
        <v>1</v>
      </c>
      <c r="W80" s="165">
        <f>'Data Analysis'!$M$1206</f>
        <v>1</v>
      </c>
      <c r="X80" s="165">
        <f>'Data Analysis'!$M$1206</f>
        <v>1</v>
      </c>
      <c r="Y80" s="165">
        <f>'Data Analysis'!$M$1206</f>
        <v>1</v>
      </c>
      <c r="Z80" s="165">
        <f>'Data Analysis'!$M$1206</f>
        <v>1</v>
      </c>
      <c r="AA80" s="165">
        <f>'Data Analysis'!$M$1206</f>
        <v>1</v>
      </c>
      <c r="AB80" s="165">
        <f>'Data Analysis'!$M$1206</f>
        <v>1</v>
      </c>
      <c r="AC80" s="165">
        <f>'Data Analysis'!$M$1206</f>
        <v>1</v>
      </c>
      <c r="AD80" s="165">
        <f>'Data Analysis'!$M$1206</f>
        <v>1</v>
      </c>
      <c r="AE80" s="165">
        <f>'Data Analysis'!$M$1206</f>
        <v>1</v>
      </c>
      <c r="AF80" s="165">
        <f>'Data Analysis'!$M$1206</f>
        <v>1</v>
      </c>
      <c r="AG80" s="165">
        <f>'Data Analysis'!$M$1206</f>
        <v>1</v>
      </c>
      <c r="AH80" s="165">
        <f>'Data Analysis'!$M$1206</f>
        <v>1</v>
      </c>
      <c r="AI80" s="165">
        <f>'Data Analysis'!$M$1206</f>
        <v>1</v>
      </c>
      <c r="AJ80" s="165">
        <f>'Data Analysis'!$M$1206</f>
        <v>1</v>
      </c>
      <c r="AK80" s="165">
        <f>'Data Analysis'!$M$1206</f>
        <v>1</v>
      </c>
      <c r="AL80" s="166">
        <f>'Data Analysis'!$M$1206</f>
        <v>1</v>
      </c>
      <c r="AM80" s="267"/>
      <c r="AN80" s="267"/>
      <c r="AO80" s="180"/>
      <c r="AP80" s="293" t="s">
        <v>891</v>
      </c>
      <c r="AQ80" s="294"/>
      <c r="AR80" s="294"/>
      <c r="AS80" s="294"/>
      <c r="AT80" s="295"/>
      <c r="AU80" s="167">
        <f>'Data Analysis'!$L$1206</f>
        <v>1</v>
      </c>
      <c r="AV80" s="168">
        <f>'Data Analysis'!$L$1206</f>
        <v>1</v>
      </c>
      <c r="AW80" s="168">
        <f>'Data Analysis'!$L$1206</f>
        <v>1</v>
      </c>
      <c r="AX80" s="169">
        <f>'Data Analysis'!$L$1206</f>
        <v>1</v>
      </c>
      <c r="AY80" s="268"/>
      <c r="AZ80" s="181"/>
      <c r="BA80" s="254"/>
    </row>
    <row r="81" spans="1:53" ht="15" x14ac:dyDescent="0.2">
      <c r="A81" s="269"/>
      <c r="B81" s="180"/>
      <c r="C81" s="301" t="str">
        <f>'Data Analysis'!$B$1207</f>
        <v>Others:</v>
      </c>
      <c r="D81" s="302"/>
      <c r="E81" s="302"/>
      <c r="F81" s="302"/>
      <c r="G81" s="303"/>
      <c r="H81" s="151">
        <f>'Data Analysis'!AR1207</f>
        <v>0</v>
      </c>
      <c r="I81" s="152">
        <f>'Data Analysis'!AQ1207</f>
        <v>0</v>
      </c>
      <c r="J81" s="152">
        <f>'Data Analysis'!AP1207</f>
        <v>0</v>
      </c>
      <c r="K81" s="152">
        <f>'Data Analysis'!AO1207</f>
        <v>0</v>
      </c>
      <c r="L81" s="152">
        <f>'Data Analysis'!AN1207</f>
        <v>0</v>
      </c>
      <c r="M81" s="152">
        <f>'Data Analysis'!AM1207</f>
        <v>0</v>
      </c>
      <c r="N81" s="152">
        <f>'Data Analysis'!AL1207</f>
        <v>0</v>
      </c>
      <c r="O81" s="152">
        <f>'Data Analysis'!AK1207</f>
        <v>0</v>
      </c>
      <c r="P81" s="152">
        <f>'Data Analysis'!AJ1207</f>
        <v>0</v>
      </c>
      <c r="Q81" s="152">
        <f>'Data Analysis'!AI1207</f>
        <v>0</v>
      </c>
      <c r="R81" s="152">
        <f>'Data Analysis'!AH1207</f>
        <v>0</v>
      </c>
      <c r="S81" s="152">
        <f>'Data Analysis'!AG1207</f>
        <v>0</v>
      </c>
      <c r="T81" s="152">
        <f>'Data Analysis'!AF1207</f>
        <v>0</v>
      </c>
      <c r="U81" s="152">
        <f>'Data Analysis'!AE1207</f>
        <v>0</v>
      </c>
      <c r="V81" s="152">
        <f>'Data Analysis'!AD1207</f>
        <v>0</v>
      </c>
      <c r="W81" s="152">
        <f>'Data Analysis'!AC1207</f>
        <v>0</v>
      </c>
      <c r="X81" s="152">
        <f>'Data Analysis'!AB1207</f>
        <v>0</v>
      </c>
      <c r="Y81" s="152">
        <f>'Data Analysis'!AA1207</f>
        <v>0</v>
      </c>
      <c r="Z81" s="152">
        <f>'Data Analysis'!Z1207</f>
        <v>0</v>
      </c>
      <c r="AA81" s="152">
        <f>'Data Analysis'!Y1207</f>
        <v>0</v>
      </c>
      <c r="AB81" s="152">
        <f>'Data Analysis'!X1207</f>
        <v>0</v>
      </c>
      <c r="AC81" s="152">
        <f>'Data Analysis'!W1207</f>
        <v>0</v>
      </c>
      <c r="AD81" s="152">
        <f>'Data Analysis'!V1207</f>
        <v>0</v>
      </c>
      <c r="AE81" s="152">
        <f>'Data Analysis'!U1207</f>
        <v>0</v>
      </c>
      <c r="AF81" s="152">
        <f>'Data Analysis'!T1207</f>
        <v>0</v>
      </c>
      <c r="AG81" s="152">
        <f>'Data Analysis'!S1207</f>
        <v>0</v>
      </c>
      <c r="AH81" s="152">
        <f>'Data Analysis'!R1207</f>
        <v>0</v>
      </c>
      <c r="AI81" s="152">
        <f>'Data Analysis'!Q1207</f>
        <v>0</v>
      </c>
      <c r="AJ81" s="152">
        <f>'Data Analysis'!P1207</f>
        <v>0</v>
      </c>
      <c r="AK81" s="152">
        <f>'Data Analysis'!O1207</f>
        <v>0</v>
      </c>
      <c r="AL81" s="153">
        <f>'Data Analysis'!N1207</f>
        <v>0</v>
      </c>
      <c r="AM81" s="267"/>
      <c r="AN81" s="267"/>
      <c r="AO81" s="180"/>
      <c r="AP81" s="301" t="str">
        <f>'Data Analysis'!$B$1207</f>
        <v>Others:</v>
      </c>
      <c r="AQ81" s="302"/>
      <c r="AR81" s="302"/>
      <c r="AS81" s="302"/>
      <c r="AT81" s="303"/>
      <c r="AU81" s="154">
        <v>0</v>
      </c>
      <c r="AV81" s="174">
        <f>'Data Analysis'!$AS$1242</f>
        <v>0</v>
      </c>
      <c r="AW81" s="174">
        <f>'Data Analysis'!$AS$1207</f>
        <v>0</v>
      </c>
      <c r="AX81" s="155">
        <v>0</v>
      </c>
      <c r="AY81" s="268"/>
      <c r="AZ81" s="181"/>
      <c r="BA81" s="254"/>
    </row>
    <row r="82" spans="1:53" ht="15.75" thickBot="1" x14ac:dyDescent="0.25">
      <c r="A82" s="269"/>
      <c r="B82" s="180"/>
      <c r="C82" s="293" t="s">
        <v>242</v>
      </c>
      <c r="D82" s="294"/>
      <c r="E82" s="294"/>
      <c r="F82" s="294"/>
      <c r="G82" s="295"/>
      <c r="H82" s="86">
        <f>'Data Analysis'!$M$1207</f>
        <v>1</v>
      </c>
      <c r="I82" s="87">
        <f>'Data Analysis'!$M$1207</f>
        <v>1</v>
      </c>
      <c r="J82" s="87">
        <f>'Data Analysis'!$M$1207</f>
        <v>1</v>
      </c>
      <c r="K82" s="87">
        <f>'Data Analysis'!$M$1207</f>
        <v>1</v>
      </c>
      <c r="L82" s="87">
        <f>'Data Analysis'!$M$1207</f>
        <v>1</v>
      </c>
      <c r="M82" s="87">
        <f>'Data Analysis'!$M$1207</f>
        <v>1</v>
      </c>
      <c r="N82" s="87">
        <f>'Data Analysis'!$M$1207</f>
        <v>1</v>
      </c>
      <c r="O82" s="87">
        <f>'Data Analysis'!$M$1207</f>
        <v>1</v>
      </c>
      <c r="P82" s="87">
        <f>'Data Analysis'!$M$1207</f>
        <v>1</v>
      </c>
      <c r="Q82" s="87">
        <f>'Data Analysis'!$M$1207</f>
        <v>1</v>
      </c>
      <c r="R82" s="87">
        <f>'Data Analysis'!$M$1207</f>
        <v>1</v>
      </c>
      <c r="S82" s="87">
        <f>'Data Analysis'!$M$1207</f>
        <v>1</v>
      </c>
      <c r="T82" s="87">
        <f>'Data Analysis'!$M$1207</f>
        <v>1</v>
      </c>
      <c r="U82" s="87">
        <f>'Data Analysis'!$M$1207</f>
        <v>1</v>
      </c>
      <c r="V82" s="87">
        <f>'Data Analysis'!$M$1207</f>
        <v>1</v>
      </c>
      <c r="W82" s="87">
        <f>'Data Analysis'!$M$1207</f>
        <v>1</v>
      </c>
      <c r="X82" s="87">
        <f>'Data Analysis'!$M$1207</f>
        <v>1</v>
      </c>
      <c r="Y82" s="87">
        <f>'Data Analysis'!$M$1207</f>
        <v>1</v>
      </c>
      <c r="Z82" s="87">
        <f>'Data Analysis'!$M$1207</f>
        <v>1</v>
      </c>
      <c r="AA82" s="87">
        <f>'Data Analysis'!$M$1207</f>
        <v>1</v>
      </c>
      <c r="AB82" s="87">
        <f>'Data Analysis'!$M$1207</f>
        <v>1</v>
      </c>
      <c r="AC82" s="87">
        <f>'Data Analysis'!$M$1207</f>
        <v>1</v>
      </c>
      <c r="AD82" s="87">
        <f>'Data Analysis'!$M$1207</f>
        <v>1</v>
      </c>
      <c r="AE82" s="87">
        <f>'Data Analysis'!$M$1207</f>
        <v>1</v>
      </c>
      <c r="AF82" s="87">
        <f>'Data Analysis'!$M$1207</f>
        <v>1</v>
      </c>
      <c r="AG82" s="87">
        <f>'Data Analysis'!$M$1207</f>
        <v>1</v>
      </c>
      <c r="AH82" s="87">
        <f>'Data Analysis'!$M$1207</f>
        <v>1</v>
      </c>
      <c r="AI82" s="87">
        <f>'Data Analysis'!$M$1207</f>
        <v>1</v>
      </c>
      <c r="AJ82" s="87">
        <f>'Data Analysis'!$M$1207</f>
        <v>1</v>
      </c>
      <c r="AK82" s="87">
        <f>'Data Analysis'!$M$1207</f>
        <v>1</v>
      </c>
      <c r="AL82" s="88">
        <f>'Data Analysis'!$M$1207</f>
        <v>1</v>
      </c>
      <c r="AM82" s="267"/>
      <c r="AN82" s="267"/>
      <c r="AO82" s="180"/>
      <c r="AP82" s="293" t="s">
        <v>891</v>
      </c>
      <c r="AQ82" s="294"/>
      <c r="AR82" s="294"/>
      <c r="AS82" s="294"/>
      <c r="AT82" s="295"/>
      <c r="AU82" s="156">
        <f>'Data Analysis'!$L$1207</f>
        <v>1</v>
      </c>
      <c r="AV82" s="157">
        <f>'Data Analysis'!$L$1207</f>
        <v>1</v>
      </c>
      <c r="AW82" s="157">
        <f>'Data Analysis'!$L$1207</f>
        <v>1</v>
      </c>
      <c r="AX82" s="158">
        <f>'Data Analysis'!$L$1207</f>
        <v>1</v>
      </c>
      <c r="AY82" s="268"/>
      <c r="AZ82" s="181"/>
      <c r="BA82" s="254"/>
    </row>
    <row r="83" spans="1:53" ht="15" x14ac:dyDescent="0.2">
      <c r="A83" s="269"/>
      <c r="B83" s="180"/>
      <c r="C83" s="301" t="str">
        <f>'Data Analysis'!$B$1208</f>
        <v>SW:</v>
      </c>
      <c r="D83" s="302"/>
      <c r="E83" s="302"/>
      <c r="F83" s="302"/>
      <c r="G83" s="303"/>
      <c r="H83" s="159">
        <f>'Data Analysis'!AR1208</f>
        <v>0</v>
      </c>
      <c r="I83" s="160">
        <f>'Data Analysis'!AQ1208</f>
        <v>0</v>
      </c>
      <c r="J83" s="160">
        <f>'Data Analysis'!AP1208</f>
        <v>0</v>
      </c>
      <c r="K83" s="160">
        <f>'Data Analysis'!AO1208</f>
        <v>0</v>
      </c>
      <c r="L83" s="160">
        <f>'Data Analysis'!AN1208</f>
        <v>0</v>
      </c>
      <c r="M83" s="160">
        <f>'Data Analysis'!AM1208</f>
        <v>0</v>
      </c>
      <c r="N83" s="160">
        <f>'Data Analysis'!AL1208</f>
        <v>0</v>
      </c>
      <c r="O83" s="160">
        <f>'Data Analysis'!AK1208</f>
        <v>0</v>
      </c>
      <c r="P83" s="160">
        <f>'Data Analysis'!AJ1208</f>
        <v>0</v>
      </c>
      <c r="Q83" s="160">
        <f>'Data Analysis'!AI1208</f>
        <v>0</v>
      </c>
      <c r="R83" s="160">
        <f>'Data Analysis'!AH1208</f>
        <v>0</v>
      </c>
      <c r="S83" s="160">
        <f>'Data Analysis'!AG1208</f>
        <v>0</v>
      </c>
      <c r="T83" s="160">
        <f>'Data Analysis'!AF1208</f>
        <v>0</v>
      </c>
      <c r="U83" s="160">
        <f>'Data Analysis'!AE1208</f>
        <v>0</v>
      </c>
      <c r="V83" s="160">
        <f>'Data Analysis'!AD1208</f>
        <v>0</v>
      </c>
      <c r="W83" s="160">
        <f>'Data Analysis'!AC1208</f>
        <v>0</v>
      </c>
      <c r="X83" s="160">
        <f>'Data Analysis'!AB1208</f>
        <v>0</v>
      </c>
      <c r="Y83" s="160">
        <f>'Data Analysis'!AA1208</f>
        <v>0</v>
      </c>
      <c r="Z83" s="160">
        <f>'Data Analysis'!Z1208</f>
        <v>0</v>
      </c>
      <c r="AA83" s="160">
        <f>'Data Analysis'!Y1208</f>
        <v>0</v>
      </c>
      <c r="AB83" s="160">
        <f>'Data Analysis'!X1208</f>
        <v>0</v>
      </c>
      <c r="AC83" s="160">
        <f>'Data Analysis'!W1208</f>
        <v>0</v>
      </c>
      <c r="AD83" s="160">
        <f>'Data Analysis'!V1208</f>
        <v>0</v>
      </c>
      <c r="AE83" s="160">
        <f>'Data Analysis'!U1208</f>
        <v>0</v>
      </c>
      <c r="AF83" s="160">
        <f>'Data Analysis'!T1208</f>
        <v>0</v>
      </c>
      <c r="AG83" s="160">
        <f>'Data Analysis'!S1208</f>
        <v>0</v>
      </c>
      <c r="AH83" s="160">
        <f>'Data Analysis'!R1208</f>
        <v>0</v>
      </c>
      <c r="AI83" s="160">
        <f>'Data Analysis'!Q1208</f>
        <v>0</v>
      </c>
      <c r="AJ83" s="160">
        <f>'Data Analysis'!P1208</f>
        <v>0</v>
      </c>
      <c r="AK83" s="160">
        <f>'Data Analysis'!O1208</f>
        <v>0</v>
      </c>
      <c r="AL83" s="161">
        <f>'Data Analysis'!N1208</f>
        <v>0</v>
      </c>
      <c r="AM83" s="267"/>
      <c r="AN83" s="267"/>
      <c r="AO83" s="180"/>
      <c r="AP83" s="301" t="str">
        <f>'Data Analysis'!$B$1208</f>
        <v>SW:</v>
      </c>
      <c r="AQ83" s="302"/>
      <c r="AR83" s="302"/>
      <c r="AS83" s="302"/>
      <c r="AT83" s="303"/>
      <c r="AU83" s="162">
        <v>0</v>
      </c>
      <c r="AV83" s="177">
        <f>'Data Analysis'!$AS$1243</f>
        <v>0</v>
      </c>
      <c r="AW83" s="177">
        <f>'Data Analysis'!$AS$1208</f>
        <v>0</v>
      </c>
      <c r="AX83" s="163">
        <v>0</v>
      </c>
      <c r="AY83" s="268"/>
      <c r="AZ83" s="181"/>
      <c r="BA83" s="254"/>
    </row>
    <row r="84" spans="1:53" ht="15.75" thickBot="1" x14ac:dyDescent="0.25">
      <c r="A84" s="269"/>
      <c r="B84" s="180"/>
      <c r="C84" s="293" t="s">
        <v>242</v>
      </c>
      <c r="D84" s="294"/>
      <c r="E84" s="294"/>
      <c r="F84" s="294"/>
      <c r="G84" s="295"/>
      <c r="H84" s="164">
        <f>'Data Analysis'!$M$1208</f>
        <v>2</v>
      </c>
      <c r="I84" s="165">
        <f>'Data Analysis'!$M$1208</f>
        <v>2</v>
      </c>
      <c r="J84" s="165">
        <f>'Data Analysis'!$M$1208</f>
        <v>2</v>
      </c>
      <c r="K84" s="165">
        <f>'Data Analysis'!$M$1208</f>
        <v>2</v>
      </c>
      <c r="L84" s="165">
        <f>'Data Analysis'!$M$1208</f>
        <v>2</v>
      </c>
      <c r="M84" s="165">
        <f>'Data Analysis'!$M$1208</f>
        <v>2</v>
      </c>
      <c r="N84" s="165">
        <f>'Data Analysis'!$M$1208</f>
        <v>2</v>
      </c>
      <c r="O84" s="165">
        <f>'Data Analysis'!$M$1208</f>
        <v>2</v>
      </c>
      <c r="P84" s="165">
        <f>'Data Analysis'!$M$1208</f>
        <v>2</v>
      </c>
      <c r="Q84" s="165">
        <f>'Data Analysis'!$M$1208</f>
        <v>2</v>
      </c>
      <c r="R84" s="165">
        <f>'Data Analysis'!$M$1208</f>
        <v>2</v>
      </c>
      <c r="S84" s="165">
        <f>'Data Analysis'!$M$1208</f>
        <v>2</v>
      </c>
      <c r="T84" s="165">
        <f>'Data Analysis'!$M$1208</f>
        <v>2</v>
      </c>
      <c r="U84" s="165">
        <f>'Data Analysis'!$M$1208</f>
        <v>2</v>
      </c>
      <c r="V84" s="165">
        <f>'Data Analysis'!$M$1208</f>
        <v>2</v>
      </c>
      <c r="W84" s="165">
        <f>'Data Analysis'!$M$1208</f>
        <v>2</v>
      </c>
      <c r="X84" s="165">
        <f>'Data Analysis'!$M$1208</f>
        <v>2</v>
      </c>
      <c r="Y84" s="165">
        <f>'Data Analysis'!$M$1208</f>
        <v>2</v>
      </c>
      <c r="Z84" s="165">
        <f>'Data Analysis'!$M$1208</f>
        <v>2</v>
      </c>
      <c r="AA84" s="165">
        <f>'Data Analysis'!$M$1208</f>
        <v>2</v>
      </c>
      <c r="AB84" s="165">
        <f>'Data Analysis'!$M$1208</f>
        <v>2</v>
      </c>
      <c r="AC84" s="165">
        <f>'Data Analysis'!$M$1208</f>
        <v>2</v>
      </c>
      <c r="AD84" s="165">
        <f>'Data Analysis'!$M$1208</f>
        <v>2</v>
      </c>
      <c r="AE84" s="165">
        <f>'Data Analysis'!$M$1208</f>
        <v>2</v>
      </c>
      <c r="AF84" s="165">
        <f>'Data Analysis'!$M$1208</f>
        <v>2</v>
      </c>
      <c r="AG84" s="165">
        <f>'Data Analysis'!$M$1208</f>
        <v>2</v>
      </c>
      <c r="AH84" s="165">
        <f>'Data Analysis'!$M$1208</f>
        <v>2</v>
      </c>
      <c r="AI84" s="165">
        <f>'Data Analysis'!$M$1208</f>
        <v>2</v>
      </c>
      <c r="AJ84" s="165">
        <f>'Data Analysis'!$M$1208</f>
        <v>2</v>
      </c>
      <c r="AK84" s="165">
        <f>'Data Analysis'!$M$1208</f>
        <v>2</v>
      </c>
      <c r="AL84" s="166">
        <f>'Data Analysis'!$M$1208</f>
        <v>2</v>
      </c>
      <c r="AM84" s="267"/>
      <c r="AN84" s="267"/>
      <c r="AO84" s="180"/>
      <c r="AP84" s="293" t="s">
        <v>891</v>
      </c>
      <c r="AQ84" s="294"/>
      <c r="AR84" s="294"/>
      <c r="AS84" s="294"/>
      <c r="AT84" s="295"/>
      <c r="AU84" s="167">
        <f>'Data Analysis'!$L$1208</f>
        <v>4</v>
      </c>
      <c r="AV84" s="168">
        <f>'Data Analysis'!$L$1208</f>
        <v>4</v>
      </c>
      <c r="AW84" s="168">
        <f>'Data Analysis'!$L$1208</f>
        <v>4</v>
      </c>
      <c r="AX84" s="169">
        <f>'Data Analysis'!$L$1208</f>
        <v>4</v>
      </c>
      <c r="AY84" s="268"/>
      <c r="AZ84" s="181"/>
      <c r="BA84" s="254"/>
    </row>
    <row r="85" spans="1:53" ht="15" x14ac:dyDescent="0.2">
      <c r="A85" s="269"/>
      <c r="B85" s="180"/>
      <c r="C85" s="301" t="str">
        <f>'Data Analysis'!$B$1209</f>
        <v>Temperatures:</v>
      </c>
      <c r="D85" s="302"/>
      <c r="E85" s="302"/>
      <c r="F85" s="302"/>
      <c r="G85" s="303"/>
      <c r="H85" s="151">
        <f>'Data Analysis'!AR1209</f>
        <v>0</v>
      </c>
      <c r="I85" s="152">
        <f>'Data Analysis'!AQ1209</f>
        <v>0</v>
      </c>
      <c r="J85" s="152">
        <f>'Data Analysis'!AP1209</f>
        <v>0</v>
      </c>
      <c r="K85" s="152">
        <f>'Data Analysis'!AO1209</f>
        <v>0</v>
      </c>
      <c r="L85" s="152">
        <f>'Data Analysis'!AN1209</f>
        <v>0</v>
      </c>
      <c r="M85" s="152">
        <f>'Data Analysis'!AM1209</f>
        <v>0</v>
      </c>
      <c r="N85" s="152">
        <f>'Data Analysis'!AL1209</f>
        <v>0</v>
      </c>
      <c r="O85" s="152">
        <f>'Data Analysis'!AK1209</f>
        <v>0</v>
      </c>
      <c r="P85" s="152">
        <f>'Data Analysis'!AJ1209</f>
        <v>0</v>
      </c>
      <c r="Q85" s="152">
        <f>'Data Analysis'!AI1209</f>
        <v>0</v>
      </c>
      <c r="R85" s="152">
        <f>'Data Analysis'!AH1209</f>
        <v>0</v>
      </c>
      <c r="S85" s="152">
        <f>'Data Analysis'!AG1209</f>
        <v>0</v>
      </c>
      <c r="T85" s="152">
        <f>'Data Analysis'!AF1209</f>
        <v>0</v>
      </c>
      <c r="U85" s="152">
        <f>'Data Analysis'!AE1209</f>
        <v>0</v>
      </c>
      <c r="V85" s="152">
        <f>'Data Analysis'!AD1209</f>
        <v>0</v>
      </c>
      <c r="W85" s="152">
        <f>'Data Analysis'!AC1209</f>
        <v>0</v>
      </c>
      <c r="X85" s="152">
        <f>'Data Analysis'!AB1209</f>
        <v>0</v>
      </c>
      <c r="Y85" s="152">
        <f>'Data Analysis'!AA1209</f>
        <v>0</v>
      </c>
      <c r="Z85" s="152">
        <f>'Data Analysis'!Z1209</f>
        <v>0</v>
      </c>
      <c r="AA85" s="152">
        <f>'Data Analysis'!Y1209</f>
        <v>0</v>
      </c>
      <c r="AB85" s="152">
        <f>'Data Analysis'!X1209</f>
        <v>0</v>
      </c>
      <c r="AC85" s="152">
        <f>'Data Analysis'!W1209</f>
        <v>0</v>
      </c>
      <c r="AD85" s="152">
        <f>'Data Analysis'!V1209</f>
        <v>0</v>
      </c>
      <c r="AE85" s="152">
        <f>'Data Analysis'!U1209</f>
        <v>0</v>
      </c>
      <c r="AF85" s="152">
        <f>'Data Analysis'!T1209</f>
        <v>0</v>
      </c>
      <c r="AG85" s="152">
        <f>'Data Analysis'!S1209</f>
        <v>0</v>
      </c>
      <c r="AH85" s="152">
        <f>'Data Analysis'!R1209</f>
        <v>0</v>
      </c>
      <c r="AI85" s="152">
        <f>'Data Analysis'!Q1209</f>
        <v>0</v>
      </c>
      <c r="AJ85" s="152">
        <f>'Data Analysis'!P1209</f>
        <v>0</v>
      </c>
      <c r="AK85" s="152">
        <f>'Data Analysis'!O1209</f>
        <v>0</v>
      </c>
      <c r="AL85" s="153">
        <f>'Data Analysis'!N1209</f>
        <v>0</v>
      </c>
      <c r="AM85" s="267"/>
      <c r="AN85" s="267"/>
      <c r="AO85" s="180"/>
      <c r="AP85" s="301" t="str">
        <f>'Data Analysis'!$B$1209</f>
        <v>Temperatures:</v>
      </c>
      <c r="AQ85" s="302"/>
      <c r="AR85" s="302"/>
      <c r="AS85" s="302"/>
      <c r="AT85" s="303"/>
      <c r="AU85" s="154">
        <v>0</v>
      </c>
      <c r="AV85" s="174">
        <f>'Data Analysis'!$AS$1244</f>
        <v>0</v>
      </c>
      <c r="AW85" s="174">
        <f>'Data Analysis'!$AS$1209</f>
        <v>0</v>
      </c>
      <c r="AX85" s="155">
        <v>0</v>
      </c>
      <c r="AY85" s="268"/>
      <c r="AZ85" s="181"/>
      <c r="BA85" s="254"/>
    </row>
    <row r="86" spans="1:53" ht="15.75" thickBot="1" x14ac:dyDescent="0.25">
      <c r="A86" s="269"/>
      <c r="B86" s="180"/>
      <c r="C86" s="293" t="s">
        <v>242</v>
      </c>
      <c r="D86" s="294"/>
      <c r="E86" s="294"/>
      <c r="F86" s="294"/>
      <c r="G86" s="295"/>
      <c r="H86" s="170">
        <f>'Data Analysis'!$M$1209</f>
        <v>2</v>
      </c>
      <c r="I86" s="171">
        <f>'Data Analysis'!$M$1209</f>
        <v>2</v>
      </c>
      <c r="J86" s="171">
        <f>'Data Analysis'!$M$1209</f>
        <v>2</v>
      </c>
      <c r="K86" s="171">
        <f>'Data Analysis'!$M$1209</f>
        <v>2</v>
      </c>
      <c r="L86" s="171">
        <f>'Data Analysis'!$M$1209</f>
        <v>2</v>
      </c>
      <c r="M86" s="171">
        <f>'Data Analysis'!$M$1209</f>
        <v>2</v>
      </c>
      <c r="N86" s="171">
        <f>'Data Analysis'!$M$1209</f>
        <v>2</v>
      </c>
      <c r="O86" s="171">
        <f>'Data Analysis'!$M$1209</f>
        <v>2</v>
      </c>
      <c r="P86" s="171">
        <f>'Data Analysis'!$M$1209</f>
        <v>2</v>
      </c>
      <c r="Q86" s="171">
        <f>'Data Analysis'!$M$1209</f>
        <v>2</v>
      </c>
      <c r="R86" s="171">
        <f>'Data Analysis'!$M$1209</f>
        <v>2</v>
      </c>
      <c r="S86" s="171">
        <f>'Data Analysis'!$M$1209</f>
        <v>2</v>
      </c>
      <c r="T86" s="171">
        <f>'Data Analysis'!$M$1209</f>
        <v>2</v>
      </c>
      <c r="U86" s="171">
        <f>'Data Analysis'!$M$1209</f>
        <v>2</v>
      </c>
      <c r="V86" s="171">
        <f>'Data Analysis'!$M$1209</f>
        <v>2</v>
      </c>
      <c r="W86" s="171">
        <f>'Data Analysis'!$M$1209</f>
        <v>2</v>
      </c>
      <c r="X86" s="171">
        <f>'Data Analysis'!$M$1209</f>
        <v>2</v>
      </c>
      <c r="Y86" s="171">
        <f>'Data Analysis'!$M$1209</f>
        <v>2</v>
      </c>
      <c r="Z86" s="171">
        <f>'Data Analysis'!$M$1209</f>
        <v>2</v>
      </c>
      <c r="AA86" s="171">
        <f>'Data Analysis'!$M$1209</f>
        <v>2</v>
      </c>
      <c r="AB86" s="171">
        <f>'Data Analysis'!$M$1209</f>
        <v>2</v>
      </c>
      <c r="AC86" s="171">
        <f>'Data Analysis'!$M$1209</f>
        <v>2</v>
      </c>
      <c r="AD86" s="171">
        <f>'Data Analysis'!$M$1209</f>
        <v>2</v>
      </c>
      <c r="AE86" s="171">
        <f>'Data Analysis'!$M$1209</f>
        <v>2</v>
      </c>
      <c r="AF86" s="171">
        <f>'Data Analysis'!$M$1209</f>
        <v>2</v>
      </c>
      <c r="AG86" s="171">
        <f>'Data Analysis'!$M$1209</f>
        <v>2</v>
      </c>
      <c r="AH86" s="171">
        <f>'Data Analysis'!$M$1209</f>
        <v>2</v>
      </c>
      <c r="AI86" s="171">
        <f>'Data Analysis'!$M$1209</f>
        <v>2</v>
      </c>
      <c r="AJ86" s="171">
        <f>'Data Analysis'!$M$1209</f>
        <v>2</v>
      </c>
      <c r="AK86" s="171">
        <f>'Data Analysis'!$M$1209</f>
        <v>2</v>
      </c>
      <c r="AL86" s="172">
        <f>'Data Analysis'!$M$1209</f>
        <v>2</v>
      </c>
      <c r="AM86" s="267"/>
      <c r="AN86" s="267"/>
      <c r="AO86" s="180"/>
      <c r="AP86" s="293" t="s">
        <v>891</v>
      </c>
      <c r="AQ86" s="294"/>
      <c r="AR86" s="294"/>
      <c r="AS86" s="294"/>
      <c r="AT86" s="295"/>
      <c r="AU86" s="156">
        <f>'Data Analysis'!$L$1209</f>
        <v>4</v>
      </c>
      <c r="AV86" s="157">
        <f>'Data Analysis'!$L$1209</f>
        <v>4</v>
      </c>
      <c r="AW86" s="157">
        <f>'Data Analysis'!$L$1209</f>
        <v>4</v>
      </c>
      <c r="AX86" s="158">
        <f>'Data Analysis'!$L$1209</f>
        <v>4</v>
      </c>
      <c r="AY86" s="268"/>
      <c r="AZ86" s="181"/>
      <c r="BA86" s="254"/>
    </row>
    <row r="87" spans="1:53" ht="15.75" thickBot="1" x14ac:dyDescent="0.25">
      <c r="A87" s="269"/>
      <c r="B87" s="180"/>
      <c r="C87" s="304" t="s">
        <v>426</v>
      </c>
      <c r="D87" s="305"/>
      <c r="E87" s="305"/>
      <c r="F87" s="305"/>
      <c r="G87" s="306"/>
      <c r="H87" s="144">
        <f>'Data Analysis'!AR1210</f>
        <v>0</v>
      </c>
      <c r="I87" s="145">
        <f>'Data Analysis'!AQ1210</f>
        <v>0</v>
      </c>
      <c r="J87" s="145">
        <f>'Data Analysis'!AP1210</f>
        <v>0</v>
      </c>
      <c r="K87" s="145">
        <f>'Data Analysis'!AO1210</f>
        <v>0</v>
      </c>
      <c r="L87" s="145">
        <f>'Data Analysis'!AN1210</f>
        <v>0</v>
      </c>
      <c r="M87" s="145">
        <f>'Data Analysis'!AM1210</f>
        <v>0</v>
      </c>
      <c r="N87" s="145">
        <f>'Data Analysis'!AL1210</f>
        <v>0</v>
      </c>
      <c r="O87" s="145">
        <f>'Data Analysis'!AK1210</f>
        <v>0</v>
      </c>
      <c r="P87" s="145">
        <f>'Data Analysis'!AJ1210</f>
        <v>0</v>
      </c>
      <c r="Q87" s="145">
        <f>'Data Analysis'!AI1210</f>
        <v>0</v>
      </c>
      <c r="R87" s="145">
        <f>'Data Analysis'!AH1210</f>
        <v>0</v>
      </c>
      <c r="S87" s="145">
        <f>'Data Analysis'!AG1210</f>
        <v>0</v>
      </c>
      <c r="T87" s="145">
        <f>'Data Analysis'!AF1210</f>
        <v>0</v>
      </c>
      <c r="U87" s="145">
        <f>'Data Analysis'!AE1210</f>
        <v>0</v>
      </c>
      <c r="V87" s="145">
        <f>'Data Analysis'!AD1210</f>
        <v>0</v>
      </c>
      <c r="W87" s="145">
        <f>'Data Analysis'!AC1210</f>
        <v>0</v>
      </c>
      <c r="X87" s="145">
        <f>'Data Analysis'!AB1210</f>
        <v>0</v>
      </c>
      <c r="Y87" s="145">
        <f>'Data Analysis'!AA1210</f>
        <v>0</v>
      </c>
      <c r="Z87" s="145">
        <f>'Data Analysis'!Z1210</f>
        <v>0</v>
      </c>
      <c r="AA87" s="145">
        <f>'Data Analysis'!Y1210</f>
        <v>0</v>
      </c>
      <c r="AB87" s="145">
        <f>'Data Analysis'!X1210</f>
        <v>0</v>
      </c>
      <c r="AC87" s="145">
        <f>'Data Analysis'!W1210</f>
        <v>0</v>
      </c>
      <c r="AD87" s="145">
        <f>'Data Analysis'!V1210</f>
        <v>0</v>
      </c>
      <c r="AE87" s="145">
        <f>'Data Analysis'!U1210</f>
        <v>0</v>
      </c>
      <c r="AF87" s="145">
        <f>'Data Analysis'!T1210</f>
        <v>0</v>
      </c>
      <c r="AG87" s="145">
        <f>'Data Analysis'!S1210</f>
        <v>0</v>
      </c>
      <c r="AH87" s="145">
        <f>'Data Analysis'!R1210</f>
        <v>0</v>
      </c>
      <c r="AI87" s="145">
        <f>'Data Analysis'!Q1210</f>
        <v>0</v>
      </c>
      <c r="AJ87" s="145">
        <f>'Data Analysis'!P1210</f>
        <v>0</v>
      </c>
      <c r="AK87" s="145">
        <f>'Data Analysis'!O1210</f>
        <v>0</v>
      </c>
      <c r="AL87" s="146">
        <f>'Data Analysis'!N1210</f>
        <v>0</v>
      </c>
      <c r="AM87" s="180"/>
      <c r="AN87" s="180"/>
      <c r="AO87" s="180"/>
      <c r="AP87" s="180"/>
      <c r="AQ87" s="180"/>
      <c r="AR87" s="180"/>
      <c r="AS87" s="180"/>
      <c r="AT87" s="180"/>
      <c r="AU87" s="180"/>
      <c r="AV87" s="180"/>
      <c r="AW87" s="255"/>
      <c r="AX87" s="180"/>
      <c r="AY87" s="255"/>
      <c r="AZ87" s="257"/>
    </row>
    <row r="88" spans="1:53" ht="15" x14ac:dyDescent="0.2">
      <c r="A88" s="191"/>
      <c r="B88" s="264"/>
      <c r="C88" s="265"/>
      <c r="D88" s="265"/>
      <c r="E88" s="265"/>
      <c r="F88" s="265"/>
      <c r="G88" s="255"/>
      <c r="H88" s="255"/>
      <c r="I88" s="255"/>
      <c r="J88" s="255"/>
      <c r="K88" s="255"/>
      <c r="L88" s="255"/>
      <c r="M88" s="255"/>
      <c r="N88" s="255"/>
      <c r="O88" s="255"/>
      <c r="P88" s="255"/>
      <c r="Q88" s="255"/>
      <c r="R88" s="255"/>
      <c r="S88" s="255"/>
      <c r="T88" s="255"/>
      <c r="U88" s="255"/>
      <c r="V88" s="255"/>
      <c r="W88" s="255"/>
      <c r="X88" s="255"/>
      <c r="Y88" s="255"/>
      <c r="Z88" s="255"/>
      <c r="AA88" s="255"/>
      <c r="AB88" s="255"/>
      <c r="AC88" s="255"/>
      <c r="AD88" s="255"/>
      <c r="AE88" s="255"/>
      <c r="AF88" s="255"/>
      <c r="AG88" s="255"/>
      <c r="AH88" s="255"/>
      <c r="AI88" s="255"/>
      <c r="AJ88" s="255"/>
      <c r="AK88" s="255"/>
      <c r="AL88" s="180"/>
      <c r="AM88" s="180"/>
      <c r="AN88" s="180"/>
      <c r="AO88" s="180"/>
      <c r="AP88" s="180"/>
      <c r="AQ88" s="180"/>
      <c r="AR88" s="180"/>
      <c r="AS88" s="180"/>
      <c r="AT88" s="180"/>
      <c r="AU88" s="180"/>
      <c r="AV88" s="180"/>
      <c r="AW88" s="180"/>
      <c r="AX88" s="255"/>
      <c r="AY88" s="255"/>
      <c r="AZ88" s="257"/>
    </row>
    <row r="89" spans="1:53" ht="15" thickBot="1" x14ac:dyDescent="0.25">
      <c r="A89" s="192"/>
      <c r="B89" s="182"/>
      <c r="C89" s="182"/>
      <c r="D89" s="182"/>
      <c r="E89" s="182"/>
      <c r="F89" s="182"/>
      <c r="G89" s="182"/>
      <c r="H89" s="182"/>
      <c r="I89" s="182"/>
      <c r="J89" s="182"/>
      <c r="K89" s="182"/>
      <c r="L89" s="182"/>
      <c r="M89" s="182"/>
      <c r="N89" s="182"/>
      <c r="O89" s="182"/>
      <c r="P89" s="182"/>
      <c r="Q89" s="182"/>
      <c r="R89" s="182"/>
      <c r="S89" s="182"/>
      <c r="T89" s="182"/>
      <c r="U89" s="182"/>
      <c r="V89" s="182"/>
      <c r="W89" s="182"/>
      <c r="X89" s="182"/>
      <c r="Y89" s="182"/>
      <c r="Z89" s="182"/>
      <c r="AA89" s="182"/>
      <c r="AB89" s="182"/>
      <c r="AC89" s="182"/>
      <c r="AD89" s="182"/>
      <c r="AE89" s="182"/>
      <c r="AF89" s="182"/>
      <c r="AG89" s="182"/>
      <c r="AH89" s="182"/>
      <c r="AI89" s="182"/>
      <c r="AJ89" s="182"/>
      <c r="AK89" s="182"/>
      <c r="AL89" s="182"/>
      <c r="AM89" s="182"/>
      <c r="AN89" s="182"/>
      <c r="AO89" s="182"/>
      <c r="AP89" s="182"/>
      <c r="AQ89" s="182"/>
      <c r="AR89" s="182"/>
      <c r="AS89" s="182"/>
      <c r="AT89" s="182"/>
      <c r="AU89" s="182"/>
      <c r="AV89" s="182"/>
      <c r="AW89" s="182"/>
      <c r="AX89" s="260"/>
      <c r="AY89" s="260"/>
      <c r="AZ89" s="258"/>
    </row>
    <row r="90" spans="1:53" x14ac:dyDescent="0.2">
      <c r="A90" s="254"/>
      <c r="B90" s="254"/>
      <c r="C90" s="254"/>
      <c r="D90" s="254"/>
      <c r="E90" s="254"/>
      <c r="F90" s="254"/>
      <c r="G90" s="254"/>
      <c r="H90" s="254"/>
      <c r="I90" s="254"/>
      <c r="J90" s="254"/>
      <c r="K90" s="254"/>
      <c r="L90" s="254"/>
      <c r="M90" s="254"/>
      <c r="N90" s="254"/>
      <c r="O90" s="254"/>
      <c r="P90" s="254"/>
      <c r="Q90" s="254"/>
      <c r="R90" s="254"/>
      <c r="S90" s="254"/>
      <c r="T90" s="254"/>
      <c r="U90" s="254"/>
      <c r="V90" s="254"/>
      <c r="W90" s="254"/>
      <c r="X90" s="254"/>
      <c r="Y90" s="254"/>
      <c r="Z90" s="254"/>
      <c r="AA90" s="254"/>
      <c r="AB90" s="254"/>
      <c r="AC90" s="254"/>
      <c r="AD90" s="254"/>
      <c r="AE90" s="254"/>
      <c r="AF90" s="254"/>
      <c r="AG90" s="254"/>
      <c r="AH90" s="254"/>
      <c r="AI90" s="254"/>
      <c r="AJ90" s="254"/>
      <c r="AK90" s="254"/>
      <c r="AL90" s="254"/>
      <c r="AM90" s="254"/>
      <c r="AN90" s="254"/>
      <c r="AO90" s="254"/>
      <c r="AP90" s="254"/>
      <c r="AQ90" s="254"/>
      <c r="AR90" s="254"/>
      <c r="AS90" s="254"/>
      <c r="AT90" s="254"/>
      <c r="AU90" s="254"/>
      <c r="AV90" s="254"/>
      <c r="AW90" s="254"/>
      <c r="AX90" s="254"/>
    </row>
    <row r="91" spans="1:53" x14ac:dyDescent="0.2">
      <c r="G91" s="18"/>
      <c r="H91" s="18"/>
      <c r="I91" s="18"/>
      <c r="J91" s="18"/>
      <c r="K91" s="18"/>
      <c r="L91" s="18"/>
      <c r="M91" s="18"/>
      <c r="N91" s="18"/>
      <c r="O91" s="18"/>
      <c r="P91" s="18"/>
      <c r="Q91" s="18"/>
      <c r="R91" s="18"/>
      <c r="S91" s="18"/>
      <c r="T91" s="18"/>
      <c r="U91" s="18"/>
      <c r="V91" s="18"/>
      <c r="W91" s="18"/>
      <c r="X91" s="18"/>
      <c r="Y91" s="18"/>
      <c r="Z91" s="18"/>
      <c r="AA91" s="18"/>
      <c r="AB91" s="18"/>
      <c r="AC91" s="18"/>
      <c r="AD91" s="18"/>
      <c r="AE91" s="18"/>
      <c r="AF91" s="18"/>
      <c r="AG91" s="18"/>
      <c r="AH91" s="18"/>
      <c r="AI91" s="18"/>
      <c r="AJ91" s="18"/>
      <c r="AK91" s="18"/>
    </row>
    <row r="92" spans="1:53" x14ac:dyDescent="0.2">
      <c r="G92" s="18"/>
      <c r="H92" s="18"/>
      <c r="I92" s="18"/>
      <c r="J92" s="18"/>
      <c r="K92" s="18"/>
      <c r="L92" s="18"/>
      <c r="M92" s="18"/>
      <c r="N92" s="18"/>
      <c r="O92" s="18"/>
      <c r="P92" s="18"/>
      <c r="Q92" s="18"/>
      <c r="R92" s="18"/>
      <c r="S92" s="18"/>
      <c r="T92" s="18"/>
      <c r="U92" s="18"/>
      <c r="V92" s="18"/>
      <c r="W92" s="18"/>
      <c r="X92" s="18"/>
      <c r="Y92" s="18"/>
      <c r="Z92" s="18"/>
      <c r="AA92" s="18"/>
      <c r="AB92" s="18"/>
      <c r="AC92" s="18"/>
      <c r="AD92" s="18"/>
      <c r="AE92" s="18"/>
      <c r="AF92" s="18"/>
      <c r="AG92" s="18"/>
      <c r="AH92" s="18"/>
      <c r="AI92" s="18"/>
      <c r="AJ92" s="18"/>
      <c r="AK92" s="18"/>
    </row>
    <row r="93" spans="1:53" x14ac:dyDescent="0.2">
      <c r="G93" s="18"/>
      <c r="H93" s="18"/>
      <c r="I93" s="18"/>
      <c r="J93" s="18"/>
      <c r="K93" s="18"/>
      <c r="L93" s="18"/>
      <c r="M93" s="18"/>
      <c r="N93" s="18"/>
      <c r="O93" s="18"/>
      <c r="P93" s="18"/>
      <c r="Q93" s="18"/>
      <c r="R93" s="18"/>
      <c r="S93" s="18"/>
      <c r="T93" s="18"/>
      <c r="U93" s="18"/>
      <c r="V93" s="18"/>
      <c r="W93" s="18"/>
      <c r="X93" s="18"/>
      <c r="Y93" s="18"/>
      <c r="Z93" s="18"/>
      <c r="AA93" s="18"/>
      <c r="AB93" s="18"/>
      <c r="AC93" s="18"/>
      <c r="AD93" s="18"/>
      <c r="AE93" s="18"/>
      <c r="AF93" s="18"/>
      <c r="AG93" s="18"/>
      <c r="AH93" s="18"/>
      <c r="AI93" s="18"/>
      <c r="AJ93" s="18"/>
      <c r="AK93" s="18"/>
    </row>
    <row r="94" spans="1:53" x14ac:dyDescent="0.2">
      <c r="G94" s="18"/>
      <c r="H94" s="18"/>
      <c r="I94" s="18"/>
      <c r="J94" s="18"/>
      <c r="K94" s="18"/>
      <c r="L94" s="18"/>
      <c r="M94" s="18"/>
      <c r="N94" s="18"/>
      <c r="O94" s="18"/>
      <c r="P94" s="18"/>
      <c r="Q94" s="18"/>
      <c r="R94" s="18"/>
      <c r="S94" s="18"/>
      <c r="T94" s="18"/>
      <c r="U94" s="18"/>
      <c r="V94" s="18"/>
      <c r="W94" s="18"/>
      <c r="X94" s="18"/>
      <c r="Y94" s="18"/>
      <c r="Z94" s="18"/>
      <c r="AA94" s="18"/>
      <c r="AB94" s="18"/>
      <c r="AC94" s="18"/>
      <c r="AD94" s="18"/>
      <c r="AE94" s="18"/>
      <c r="AF94" s="18"/>
      <c r="AG94" s="18"/>
      <c r="AH94" s="18"/>
      <c r="AI94" s="18"/>
      <c r="AJ94" s="18"/>
      <c r="AK94" s="18"/>
    </row>
    <row r="95" spans="1:53" x14ac:dyDescent="0.2">
      <c r="G95" s="18"/>
      <c r="H95" s="18"/>
      <c r="I95" s="18"/>
      <c r="J95" s="18"/>
      <c r="K95" s="18"/>
      <c r="L95" s="18"/>
      <c r="M95" s="18"/>
      <c r="N95" s="18"/>
      <c r="O95" s="18"/>
      <c r="P95" s="18"/>
      <c r="Q95" s="18"/>
      <c r="R95" s="18"/>
      <c r="S95" s="18"/>
      <c r="T95" s="18"/>
      <c r="U95" s="18"/>
      <c r="V95" s="18"/>
      <c r="W95" s="18"/>
      <c r="X95" s="18"/>
      <c r="Y95" s="18"/>
      <c r="Z95" s="18"/>
      <c r="AA95" s="18"/>
      <c r="AB95" s="18"/>
      <c r="AC95" s="18"/>
      <c r="AD95" s="18"/>
      <c r="AE95" s="18"/>
      <c r="AF95" s="18"/>
      <c r="AG95" s="18"/>
      <c r="AH95" s="18"/>
      <c r="AI95" s="18"/>
      <c r="AJ95" s="18"/>
      <c r="AK95" s="18"/>
    </row>
    <row r="96" spans="1:53" x14ac:dyDescent="0.2">
      <c r="G96" s="176"/>
      <c r="H96" s="176"/>
      <c r="I96" s="176"/>
      <c r="J96" s="176"/>
      <c r="K96" s="176"/>
      <c r="L96" s="176"/>
      <c r="M96" s="176"/>
      <c r="N96" s="176"/>
      <c r="O96" s="176"/>
      <c r="P96" s="176"/>
      <c r="Q96" s="176"/>
      <c r="R96" s="176"/>
      <c r="S96" s="176"/>
      <c r="T96" s="176"/>
      <c r="U96" s="176"/>
      <c r="V96" s="176"/>
      <c r="W96" s="176"/>
      <c r="X96" s="176"/>
      <c r="Y96" s="176"/>
      <c r="Z96" s="176"/>
      <c r="AA96" s="176"/>
      <c r="AB96" s="176"/>
      <c r="AC96" s="176"/>
      <c r="AD96" s="176"/>
      <c r="AE96" s="176"/>
      <c r="AF96" s="176"/>
      <c r="AG96" s="176"/>
      <c r="AH96" s="176"/>
      <c r="AI96" s="176"/>
      <c r="AJ96" s="176"/>
      <c r="AK96" s="176"/>
      <c r="AL96" s="148"/>
    </row>
    <row r="97" spans="7:38" x14ac:dyDescent="0.2">
      <c r="G97" s="176"/>
      <c r="H97" s="176"/>
      <c r="I97" s="176"/>
      <c r="J97" s="176"/>
      <c r="K97" s="176"/>
      <c r="L97" s="176"/>
      <c r="M97" s="176"/>
      <c r="N97" s="176"/>
      <c r="O97" s="176"/>
      <c r="P97" s="176"/>
      <c r="Q97" s="176"/>
      <c r="R97" s="176"/>
      <c r="S97" s="176"/>
      <c r="T97" s="176"/>
      <c r="U97" s="176"/>
      <c r="V97" s="176"/>
      <c r="W97" s="176"/>
      <c r="X97" s="176"/>
      <c r="Y97" s="176"/>
      <c r="Z97" s="176"/>
      <c r="AA97" s="176"/>
      <c r="AB97" s="176"/>
      <c r="AC97" s="176"/>
      <c r="AD97" s="176"/>
      <c r="AE97" s="176"/>
      <c r="AF97" s="176"/>
      <c r="AG97" s="176"/>
      <c r="AH97" s="176"/>
      <c r="AI97" s="176"/>
      <c r="AJ97" s="176"/>
      <c r="AK97" s="176"/>
      <c r="AL97" s="148"/>
    </row>
    <row r="98" spans="7:38" x14ac:dyDescent="0.2">
      <c r="G98" s="176"/>
      <c r="H98" s="176"/>
      <c r="I98" s="176"/>
      <c r="J98" s="176"/>
      <c r="K98" s="176"/>
      <c r="L98" s="176"/>
      <c r="M98" s="176"/>
      <c r="N98" s="176"/>
      <c r="O98" s="176"/>
      <c r="P98" s="176"/>
      <c r="Q98" s="176"/>
      <c r="R98" s="176"/>
      <c r="S98" s="176"/>
      <c r="T98" s="176"/>
      <c r="U98" s="176"/>
      <c r="V98" s="176"/>
      <c r="W98" s="176"/>
      <c r="X98" s="176"/>
      <c r="Y98" s="176"/>
      <c r="Z98" s="176"/>
      <c r="AA98" s="176"/>
      <c r="AB98" s="176"/>
      <c r="AC98" s="176"/>
      <c r="AD98" s="176"/>
      <c r="AE98" s="176"/>
      <c r="AF98" s="176"/>
      <c r="AG98" s="176"/>
      <c r="AH98" s="176"/>
      <c r="AI98" s="176"/>
      <c r="AJ98" s="176"/>
      <c r="AK98" s="176"/>
      <c r="AL98" s="148"/>
    </row>
    <row r="99" spans="7:38" x14ac:dyDescent="0.2">
      <c r="G99" s="176"/>
      <c r="H99" s="176"/>
      <c r="I99" s="176"/>
      <c r="J99" s="176"/>
      <c r="K99" s="176"/>
      <c r="L99" s="176"/>
      <c r="M99" s="176"/>
      <c r="N99" s="176"/>
      <c r="O99" s="176"/>
      <c r="P99" s="176"/>
      <c r="Q99" s="176"/>
      <c r="R99" s="176"/>
      <c r="S99" s="176"/>
      <c r="T99" s="176"/>
      <c r="U99" s="176"/>
      <c r="V99" s="176"/>
      <c r="W99" s="176"/>
      <c r="X99" s="176"/>
      <c r="Y99" s="176"/>
      <c r="Z99" s="176"/>
      <c r="AA99" s="176"/>
      <c r="AB99" s="176"/>
      <c r="AC99" s="176"/>
      <c r="AD99" s="176"/>
      <c r="AE99" s="176"/>
      <c r="AF99" s="176"/>
      <c r="AG99" s="176"/>
      <c r="AH99" s="176"/>
      <c r="AI99" s="176"/>
      <c r="AJ99" s="176"/>
      <c r="AK99" s="176"/>
      <c r="AL99" s="148"/>
    </row>
    <row r="100" spans="7:38" x14ac:dyDescent="0.2">
      <c r="G100" s="176"/>
      <c r="H100" s="176"/>
      <c r="I100" s="176"/>
      <c r="J100" s="176"/>
      <c r="K100" s="176"/>
      <c r="L100" s="176"/>
      <c r="M100" s="176"/>
      <c r="N100" s="176"/>
      <c r="O100" s="176"/>
      <c r="P100" s="176"/>
      <c r="Q100" s="176"/>
      <c r="R100" s="176"/>
      <c r="S100" s="176"/>
      <c r="T100" s="176"/>
      <c r="U100" s="176"/>
      <c r="V100" s="176"/>
      <c r="W100" s="176"/>
      <c r="X100" s="176"/>
      <c r="Y100" s="176"/>
      <c r="Z100" s="176"/>
      <c r="AA100" s="176"/>
      <c r="AB100" s="176"/>
      <c r="AC100" s="176"/>
      <c r="AD100" s="176"/>
      <c r="AE100" s="176"/>
      <c r="AF100" s="176"/>
      <c r="AG100" s="176"/>
      <c r="AH100" s="176"/>
      <c r="AI100" s="176"/>
      <c r="AJ100" s="176"/>
      <c r="AK100" s="176"/>
      <c r="AL100" s="148"/>
    </row>
    <row r="101" spans="7:38" x14ac:dyDescent="0.2">
      <c r="G101" s="176"/>
      <c r="H101" s="176"/>
      <c r="I101" s="176"/>
      <c r="J101" s="176"/>
      <c r="K101" s="176"/>
      <c r="L101" s="176"/>
      <c r="M101" s="176"/>
      <c r="N101" s="176"/>
      <c r="O101" s="176"/>
      <c r="P101" s="176"/>
      <c r="Q101" s="176"/>
      <c r="R101" s="176"/>
      <c r="S101" s="176"/>
      <c r="T101" s="176"/>
      <c r="U101" s="176"/>
      <c r="V101" s="176"/>
      <c r="W101" s="176"/>
      <c r="X101" s="176"/>
      <c r="Y101" s="176"/>
      <c r="Z101" s="176"/>
      <c r="AA101" s="176"/>
      <c r="AB101" s="176"/>
      <c r="AC101" s="176"/>
      <c r="AD101" s="176"/>
      <c r="AE101" s="176"/>
      <c r="AF101" s="176"/>
      <c r="AG101" s="176"/>
      <c r="AH101" s="176"/>
      <c r="AI101" s="176"/>
      <c r="AJ101" s="176"/>
      <c r="AK101" s="176"/>
      <c r="AL101" s="148"/>
    </row>
    <row r="102" spans="7:38" x14ac:dyDescent="0.2">
      <c r="G102" s="176"/>
      <c r="H102" s="176"/>
      <c r="I102" s="176"/>
      <c r="J102" s="176"/>
      <c r="K102" s="176"/>
      <c r="L102" s="176"/>
      <c r="M102" s="176"/>
      <c r="N102" s="176"/>
      <c r="O102" s="176"/>
      <c r="P102" s="176"/>
      <c r="Q102" s="176"/>
      <c r="R102" s="176"/>
      <c r="S102" s="176"/>
      <c r="T102" s="176"/>
      <c r="U102" s="176"/>
      <c r="V102" s="176"/>
      <c r="W102" s="176"/>
      <c r="X102" s="176"/>
      <c r="Y102" s="176"/>
      <c r="Z102" s="176"/>
      <c r="AA102" s="176"/>
      <c r="AB102" s="176"/>
      <c r="AC102" s="176"/>
      <c r="AD102" s="176"/>
      <c r="AE102" s="176"/>
      <c r="AF102" s="176"/>
      <c r="AG102" s="176"/>
      <c r="AH102" s="176"/>
      <c r="AI102" s="176"/>
      <c r="AJ102" s="176"/>
      <c r="AK102" s="176"/>
      <c r="AL102" s="148"/>
    </row>
    <row r="103" spans="7:38" x14ac:dyDescent="0.2">
      <c r="G103" s="176"/>
      <c r="H103" s="176"/>
      <c r="I103" s="176"/>
      <c r="J103" s="176"/>
      <c r="K103" s="176"/>
      <c r="L103" s="176"/>
      <c r="M103" s="176"/>
      <c r="N103" s="176"/>
      <c r="O103" s="176"/>
      <c r="P103" s="176"/>
      <c r="Q103" s="176"/>
      <c r="R103" s="176"/>
      <c r="S103" s="176"/>
      <c r="T103" s="176"/>
      <c r="U103" s="176"/>
      <c r="V103" s="176"/>
      <c r="W103" s="176"/>
      <c r="X103" s="176"/>
      <c r="Y103" s="176"/>
      <c r="Z103" s="176"/>
      <c r="AA103" s="176"/>
      <c r="AB103" s="176"/>
      <c r="AC103" s="176"/>
      <c r="AD103" s="176"/>
      <c r="AE103" s="176"/>
      <c r="AF103" s="176"/>
      <c r="AG103" s="176"/>
      <c r="AH103" s="176"/>
      <c r="AI103" s="176"/>
      <c r="AJ103" s="176"/>
      <c r="AK103" s="176"/>
      <c r="AL103" s="148"/>
    </row>
    <row r="104" spans="7:38" x14ac:dyDescent="0.2">
      <c r="G104" s="176"/>
      <c r="H104" s="176"/>
      <c r="I104" s="176"/>
      <c r="J104" s="176"/>
      <c r="K104" s="176"/>
      <c r="L104" s="176"/>
      <c r="M104" s="176"/>
      <c r="N104" s="176"/>
      <c r="O104" s="176"/>
      <c r="P104" s="176"/>
      <c r="Q104" s="176"/>
      <c r="R104" s="176"/>
      <c r="S104" s="176"/>
      <c r="T104" s="176"/>
      <c r="U104" s="176"/>
      <c r="V104" s="176"/>
      <c r="W104" s="176"/>
      <c r="X104" s="176"/>
      <c r="Y104" s="176"/>
      <c r="Z104" s="176"/>
      <c r="AA104" s="176"/>
      <c r="AB104" s="176"/>
      <c r="AC104" s="176"/>
      <c r="AD104" s="176"/>
      <c r="AE104" s="176"/>
      <c r="AF104" s="176"/>
      <c r="AG104" s="176"/>
      <c r="AH104" s="176"/>
      <c r="AI104" s="176"/>
      <c r="AJ104" s="176"/>
      <c r="AK104" s="176"/>
      <c r="AL104" s="148"/>
    </row>
    <row r="105" spans="7:38" x14ac:dyDescent="0.2">
      <c r="G105" s="176"/>
      <c r="H105" s="176"/>
      <c r="I105" s="176"/>
      <c r="J105" s="176"/>
      <c r="K105" s="176"/>
      <c r="L105" s="176"/>
      <c r="M105" s="176"/>
      <c r="N105" s="176"/>
      <c r="O105" s="176"/>
      <c r="P105" s="176"/>
      <c r="Q105" s="176"/>
      <c r="R105" s="176"/>
      <c r="S105" s="176"/>
      <c r="T105" s="176"/>
      <c r="U105" s="176"/>
      <c r="V105" s="176"/>
      <c r="W105" s="176"/>
      <c r="X105" s="176"/>
      <c r="Y105" s="176"/>
      <c r="Z105" s="176"/>
      <c r="AA105" s="176"/>
      <c r="AB105" s="176"/>
      <c r="AC105" s="176"/>
      <c r="AD105" s="176"/>
      <c r="AE105" s="176"/>
      <c r="AF105" s="176"/>
      <c r="AG105" s="176"/>
      <c r="AH105" s="176"/>
      <c r="AI105" s="176"/>
      <c r="AJ105" s="176"/>
      <c r="AK105" s="176"/>
      <c r="AL105" s="148"/>
    </row>
    <row r="106" spans="7:38" x14ac:dyDescent="0.2">
      <c r="G106" s="176"/>
      <c r="H106" s="176"/>
      <c r="I106" s="176"/>
      <c r="J106" s="176"/>
      <c r="K106" s="176"/>
      <c r="L106" s="176"/>
      <c r="M106" s="176"/>
      <c r="N106" s="176"/>
      <c r="O106" s="176"/>
      <c r="P106" s="176"/>
      <c r="Q106" s="176"/>
      <c r="R106" s="176"/>
      <c r="S106" s="176"/>
      <c r="T106" s="176"/>
      <c r="U106" s="176"/>
      <c r="V106" s="176"/>
      <c r="W106" s="176"/>
      <c r="X106" s="176"/>
      <c r="Y106" s="176"/>
      <c r="Z106" s="176"/>
      <c r="AA106" s="176"/>
      <c r="AB106" s="176"/>
      <c r="AC106" s="176"/>
      <c r="AD106" s="176"/>
      <c r="AE106" s="176"/>
      <c r="AF106" s="176"/>
      <c r="AG106" s="176"/>
      <c r="AH106" s="176"/>
      <c r="AI106" s="176"/>
      <c r="AJ106" s="176"/>
      <c r="AK106" s="176"/>
      <c r="AL106" s="148"/>
    </row>
    <row r="107" spans="7:38" x14ac:dyDescent="0.2">
      <c r="G107" s="176"/>
      <c r="H107" s="176"/>
      <c r="I107" s="176"/>
      <c r="J107" s="176"/>
      <c r="K107" s="176"/>
      <c r="L107" s="176"/>
      <c r="M107" s="176"/>
      <c r="N107" s="176"/>
      <c r="O107" s="176"/>
      <c r="P107" s="176"/>
      <c r="Q107" s="176"/>
      <c r="R107" s="176"/>
      <c r="S107" s="176"/>
      <c r="T107" s="176"/>
      <c r="U107" s="176"/>
      <c r="V107" s="176"/>
      <c r="W107" s="176"/>
      <c r="X107" s="176"/>
      <c r="Y107" s="176"/>
      <c r="Z107" s="176"/>
      <c r="AA107" s="176"/>
      <c r="AB107" s="176"/>
      <c r="AC107" s="176"/>
      <c r="AD107" s="176"/>
      <c r="AE107" s="176"/>
      <c r="AF107" s="176"/>
      <c r="AG107" s="176"/>
      <c r="AH107" s="176"/>
      <c r="AI107" s="176"/>
      <c r="AJ107" s="176"/>
      <c r="AK107" s="176"/>
      <c r="AL107" s="148"/>
    </row>
    <row r="108" spans="7:38" x14ac:dyDescent="0.2">
      <c r="G108" s="176"/>
      <c r="H108" s="176"/>
      <c r="I108" s="176"/>
      <c r="J108" s="176"/>
      <c r="K108" s="176"/>
      <c r="L108" s="176"/>
      <c r="M108" s="176"/>
      <c r="N108" s="176"/>
      <c r="O108" s="176"/>
      <c r="P108" s="176"/>
      <c r="Q108" s="176"/>
      <c r="R108" s="176"/>
      <c r="S108" s="176"/>
      <c r="T108" s="176"/>
      <c r="U108" s="176"/>
      <c r="V108" s="176"/>
      <c r="W108" s="176"/>
      <c r="X108" s="176"/>
      <c r="Y108" s="176"/>
      <c r="Z108" s="176"/>
      <c r="AA108" s="176"/>
      <c r="AB108" s="176"/>
      <c r="AC108" s="176"/>
      <c r="AD108" s="176"/>
      <c r="AE108" s="176"/>
      <c r="AF108" s="176"/>
      <c r="AG108" s="176"/>
      <c r="AH108" s="176"/>
      <c r="AI108" s="176"/>
      <c r="AJ108" s="176"/>
      <c r="AK108" s="176"/>
      <c r="AL108" s="148"/>
    </row>
    <row r="109" spans="7:38" x14ac:dyDescent="0.2">
      <c r="G109" s="176"/>
      <c r="H109" s="176"/>
      <c r="I109" s="176"/>
      <c r="J109" s="176"/>
      <c r="K109" s="176"/>
      <c r="L109" s="176"/>
      <c r="M109" s="176"/>
      <c r="N109" s="176"/>
      <c r="O109" s="176"/>
      <c r="P109" s="176"/>
      <c r="Q109" s="176"/>
      <c r="R109" s="176"/>
      <c r="S109" s="176"/>
      <c r="T109" s="176"/>
      <c r="U109" s="176"/>
      <c r="V109" s="176"/>
      <c r="W109" s="176"/>
      <c r="X109" s="176"/>
      <c r="Y109" s="176"/>
      <c r="Z109" s="176"/>
      <c r="AA109" s="176"/>
      <c r="AB109" s="176"/>
      <c r="AC109" s="176"/>
      <c r="AD109" s="176"/>
      <c r="AE109" s="176"/>
      <c r="AF109" s="176"/>
      <c r="AG109" s="176"/>
      <c r="AH109" s="176"/>
      <c r="AI109" s="176"/>
      <c r="AJ109" s="176"/>
      <c r="AK109" s="176"/>
      <c r="AL109" s="148"/>
    </row>
    <row r="110" spans="7:38" x14ac:dyDescent="0.2">
      <c r="G110" s="176"/>
      <c r="H110" s="176"/>
      <c r="I110" s="176"/>
      <c r="J110" s="176"/>
      <c r="K110" s="176"/>
      <c r="L110" s="176"/>
      <c r="M110" s="176"/>
      <c r="N110" s="176"/>
      <c r="O110" s="176"/>
      <c r="P110" s="176"/>
      <c r="Q110" s="176"/>
      <c r="R110" s="176"/>
      <c r="S110" s="176"/>
      <c r="T110" s="176"/>
      <c r="U110" s="176"/>
      <c r="V110" s="176"/>
      <c r="W110" s="176"/>
      <c r="X110" s="176"/>
      <c r="Y110" s="176"/>
      <c r="Z110" s="176"/>
      <c r="AA110" s="176"/>
      <c r="AB110" s="176"/>
      <c r="AC110" s="176"/>
      <c r="AD110" s="176"/>
      <c r="AE110" s="176"/>
      <c r="AF110" s="176"/>
      <c r="AG110" s="176"/>
      <c r="AH110" s="176"/>
      <c r="AI110" s="176"/>
      <c r="AJ110" s="176"/>
      <c r="AK110" s="176"/>
      <c r="AL110" s="148"/>
    </row>
    <row r="111" spans="7:38" x14ac:dyDescent="0.2">
      <c r="G111" s="176"/>
      <c r="H111" s="176"/>
      <c r="I111" s="176"/>
      <c r="J111" s="176"/>
      <c r="K111" s="176"/>
      <c r="L111" s="176"/>
      <c r="M111" s="176"/>
      <c r="N111" s="176"/>
      <c r="O111" s="176"/>
      <c r="P111" s="176"/>
      <c r="Q111" s="176"/>
      <c r="R111" s="176"/>
      <c r="S111" s="176"/>
      <c r="T111" s="176"/>
      <c r="U111" s="176"/>
      <c r="V111" s="176"/>
      <c r="W111" s="176"/>
      <c r="X111" s="176"/>
      <c r="Y111" s="176"/>
      <c r="Z111" s="176"/>
      <c r="AA111" s="176"/>
      <c r="AB111" s="176"/>
      <c r="AC111" s="176"/>
      <c r="AD111" s="176"/>
      <c r="AE111" s="176"/>
      <c r="AF111" s="176"/>
      <c r="AG111" s="176"/>
      <c r="AH111" s="176"/>
      <c r="AI111" s="176"/>
      <c r="AJ111" s="176"/>
      <c r="AK111" s="176"/>
      <c r="AL111" s="148"/>
    </row>
    <row r="112" spans="7:38" x14ac:dyDescent="0.2">
      <c r="G112" s="176"/>
      <c r="H112" s="176"/>
      <c r="I112" s="176"/>
      <c r="J112" s="176"/>
      <c r="K112" s="176"/>
      <c r="L112" s="176"/>
      <c r="M112" s="176"/>
      <c r="N112" s="176"/>
      <c r="O112" s="176"/>
      <c r="P112" s="176"/>
      <c r="Q112" s="176"/>
      <c r="R112" s="176"/>
      <c r="S112" s="176"/>
      <c r="T112" s="176"/>
      <c r="U112" s="176"/>
      <c r="V112" s="176"/>
      <c r="W112" s="176"/>
      <c r="X112" s="176"/>
      <c r="Y112" s="176"/>
      <c r="Z112" s="176"/>
      <c r="AA112" s="176"/>
      <c r="AB112" s="176"/>
      <c r="AC112" s="176"/>
      <c r="AD112" s="176"/>
      <c r="AE112" s="176"/>
      <c r="AF112" s="176"/>
      <c r="AG112" s="176"/>
      <c r="AH112" s="176"/>
      <c r="AI112" s="176"/>
      <c r="AJ112" s="176"/>
      <c r="AK112" s="176"/>
      <c r="AL112" s="148"/>
    </row>
    <row r="1217" spans="13:22" x14ac:dyDescent="0.2">
      <c r="M1217" t="s">
        <v>967</v>
      </c>
    </row>
    <row r="1218" spans="13:22" x14ac:dyDescent="0.2">
      <c r="M1218" t="s">
        <v>968</v>
      </c>
    </row>
    <row r="1219" spans="13:22" x14ac:dyDescent="0.2">
      <c r="M1219" t="s">
        <v>969</v>
      </c>
    </row>
    <row r="1220" spans="13:22" x14ac:dyDescent="0.2">
      <c r="M1220" t="s">
        <v>971</v>
      </c>
      <c r="V1220">
        <v>-1</v>
      </c>
    </row>
    <row r="1221" spans="13:22" x14ac:dyDescent="0.2">
      <c r="M1221" t="s">
        <v>970</v>
      </c>
      <c r="V1221">
        <v>-2</v>
      </c>
    </row>
    <row r="1222" spans="13:22" x14ac:dyDescent="0.2">
      <c r="V1222">
        <v>-3</v>
      </c>
    </row>
  </sheetData>
  <sheetProtection password="FFFF" sheet="1" objects="1" scenarios="1"/>
  <mergeCells count="51">
    <mergeCell ref="B2:AY2"/>
    <mergeCell ref="N61:P62"/>
    <mergeCell ref="AE61:AG62"/>
    <mergeCell ref="AV61:AX62"/>
    <mergeCell ref="N19:P20"/>
    <mergeCell ref="AV19:AX20"/>
    <mergeCell ref="AE19:AG20"/>
    <mergeCell ref="N40:P41"/>
    <mergeCell ref="AE40:AG41"/>
    <mergeCell ref="AV40:AX41"/>
    <mergeCell ref="AW68:AX68"/>
    <mergeCell ref="C86:G86"/>
    <mergeCell ref="AP86:AT86"/>
    <mergeCell ref="C80:G80"/>
    <mergeCell ref="AP80:AT80"/>
    <mergeCell ref="C81:G81"/>
    <mergeCell ref="AP81:AT81"/>
    <mergeCell ref="C82:G82"/>
    <mergeCell ref="AP82:AT82"/>
    <mergeCell ref="C77:G77"/>
    <mergeCell ref="AP77:AT77"/>
    <mergeCell ref="C78:G78"/>
    <mergeCell ref="AP78:AT78"/>
    <mergeCell ref="C79:G79"/>
    <mergeCell ref="AP79:AT79"/>
    <mergeCell ref="C74:G74"/>
    <mergeCell ref="C87:G87"/>
    <mergeCell ref="C83:G83"/>
    <mergeCell ref="AP83:AT83"/>
    <mergeCell ref="C84:G84"/>
    <mergeCell ref="AP84:AT84"/>
    <mergeCell ref="C85:G85"/>
    <mergeCell ref="AP85:AT85"/>
    <mergeCell ref="AP74:AT74"/>
    <mergeCell ref="C75:G75"/>
    <mergeCell ref="AP75:AT75"/>
    <mergeCell ref="C76:G76"/>
    <mergeCell ref="AP76:AT76"/>
    <mergeCell ref="C71:G71"/>
    <mergeCell ref="AP71:AT71"/>
    <mergeCell ref="C72:G72"/>
    <mergeCell ref="AP72:AT72"/>
    <mergeCell ref="C73:G73"/>
    <mergeCell ref="AP73:AT73"/>
    <mergeCell ref="AU68:AV68"/>
    <mergeCell ref="C70:G70"/>
    <mergeCell ref="AP70:AT70"/>
    <mergeCell ref="C68:G68"/>
    <mergeCell ref="AP68:AT68"/>
    <mergeCell ref="C69:G69"/>
    <mergeCell ref="AP69:AT69"/>
  </mergeCells>
  <conditionalFormatting sqref="H69:AN69">
    <cfRule type="cellIs" dxfId="74" priority="128" stopIfTrue="1" operator="greaterThanOrEqual">
      <formula>$H$70</formula>
    </cfRule>
  </conditionalFormatting>
  <conditionalFormatting sqref="H71:AN71">
    <cfRule type="cellIs" dxfId="73" priority="127" stopIfTrue="1" operator="greaterThanOrEqual">
      <formula>$H$72</formula>
    </cfRule>
  </conditionalFormatting>
  <conditionalFormatting sqref="H73:AN73">
    <cfRule type="cellIs" dxfId="72" priority="126" stopIfTrue="1" operator="greaterThanOrEqual">
      <formula>$H$74</formula>
    </cfRule>
  </conditionalFormatting>
  <conditionalFormatting sqref="H75:AN75">
    <cfRule type="cellIs" dxfId="71" priority="125" stopIfTrue="1" operator="greaterThanOrEqual">
      <formula>$H$76</formula>
    </cfRule>
  </conditionalFormatting>
  <conditionalFormatting sqref="H77:AN77">
    <cfRule type="cellIs" dxfId="70" priority="124" stopIfTrue="1" operator="greaterThanOrEqual">
      <formula>$H$78</formula>
    </cfRule>
  </conditionalFormatting>
  <conditionalFormatting sqref="H79:AN79">
    <cfRule type="cellIs" dxfId="69" priority="123" stopIfTrue="1" operator="greaterThanOrEqual">
      <formula>$H$80</formula>
    </cfRule>
  </conditionalFormatting>
  <conditionalFormatting sqref="H81:AN81">
    <cfRule type="cellIs" dxfId="68" priority="122" stopIfTrue="1" operator="greaterThanOrEqual">
      <formula>$H$82</formula>
    </cfRule>
  </conditionalFormatting>
  <conditionalFormatting sqref="H83:AN83">
    <cfRule type="cellIs" dxfId="67" priority="121" stopIfTrue="1" operator="greaterThanOrEqual">
      <formula>$H$84</formula>
    </cfRule>
  </conditionalFormatting>
  <conditionalFormatting sqref="H85:AN85">
    <cfRule type="cellIs" dxfId="66" priority="120" stopIfTrue="1" operator="greaterThanOrEqual">
      <formula>$H$86</formula>
    </cfRule>
  </conditionalFormatting>
  <conditionalFormatting sqref="AW69">
    <cfRule type="expression" dxfId="65" priority="100" stopIfTrue="1">
      <formula>AW69&gt;=AW70</formula>
    </cfRule>
  </conditionalFormatting>
  <conditionalFormatting sqref="AV69">
    <cfRule type="expression" dxfId="64" priority="99" stopIfTrue="1">
      <formula>AV69&gt;=AV70</formula>
    </cfRule>
  </conditionalFormatting>
  <conditionalFormatting sqref="AW71">
    <cfRule type="expression" dxfId="63" priority="98" stopIfTrue="1">
      <formula>AW71&gt;=AW72</formula>
    </cfRule>
  </conditionalFormatting>
  <conditionalFormatting sqref="AV71">
    <cfRule type="expression" dxfId="62" priority="97" stopIfTrue="1">
      <formula>AV71&gt;=AV72</formula>
    </cfRule>
  </conditionalFormatting>
  <conditionalFormatting sqref="AW73">
    <cfRule type="expression" dxfId="61" priority="94" stopIfTrue="1">
      <formula>AW73&gt;=AW74</formula>
    </cfRule>
  </conditionalFormatting>
  <conditionalFormatting sqref="AV73">
    <cfRule type="expression" dxfId="60" priority="93" stopIfTrue="1">
      <formula>AV73&gt;=AV74</formula>
    </cfRule>
  </conditionalFormatting>
  <conditionalFormatting sqref="AV75">
    <cfRule type="expression" dxfId="59" priority="92" stopIfTrue="1">
      <formula>AV75&gt;=AV76</formula>
    </cfRule>
  </conditionalFormatting>
  <conditionalFormatting sqref="AW75">
    <cfRule type="expression" dxfId="58" priority="91" stopIfTrue="1">
      <formula>AW75&gt;=AW76</formula>
    </cfRule>
  </conditionalFormatting>
  <conditionalFormatting sqref="AY69:AY86">
    <cfRule type="containsText" dxfId="57" priority="44" stopIfTrue="1" operator="containsText" text="CA">
      <formula>NOT(ISERROR(SEARCH("CA",AY69)))</formula>
    </cfRule>
    <cfRule type="containsText" dxfId="56" priority="90" stopIfTrue="1" operator="containsText" text="OK">
      <formula>NOT(ISERROR(SEARCH("OK",AY69)))</formula>
    </cfRule>
  </conditionalFormatting>
  <conditionalFormatting sqref="AV77">
    <cfRule type="expression" dxfId="55" priority="54" stopIfTrue="1">
      <formula>AV77&gt;=AV78</formula>
    </cfRule>
  </conditionalFormatting>
  <conditionalFormatting sqref="AW77">
    <cfRule type="expression" dxfId="54" priority="53" stopIfTrue="1">
      <formula>AW77&gt;=AW78</formula>
    </cfRule>
  </conditionalFormatting>
  <conditionalFormatting sqref="AV79">
    <cfRule type="expression" dxfId="53" priority="52" stopIfTrue="1">
      <formula>AV79&gt;=AV80</formula>
    </cfRule>
  </conditionalFormatting>
  <conditionalFormatting sqref="AW79">
    <cfRule type="expression" dxfId="52" priority="51" stopIfTrue="1">
      <formula>AW79&gt;=AW80</formula>
    </cfRule>
  </conditionalFormatting>
  <conditionalFormatting sqref="AV81">
    <cfRule type="expression" dxfId="51" priority="50" stopIfTrue="1">
      <formula>AV81&gt;=AV82</formula>
    </cfRule>
  </conditionalFormatting>
  <conditionalFormatting sqref="AW81">
    <cfRule type="expression" dxfId="50" priority="49" stopIfTrue="1">
      <formula>AW81&gt;=AW82</formula>
    </cfRule>
  </conditionalFormatting>
  <conditionalFormatting sqref="AV83">
    <cfRule type="expression" dxfId="49" priority="48" stopIfTrue="1">
      <formula>AV83&gt;=AV84</formula>
    </cfRule>
  </conditionalFormatting>
  <conditionalFormatting sqref="AW83">
    <cfRule type="expression" dxfId="48" priority="47" stopIfTrue="1">
      <formula>AW83&gt;=AW84</formula>
    </cfRule>
  </conditionalFormatting>
  <conditionalFormatting sqref="AV85">
    <cfRule type="expression" dxfId="47" priority="46" stopIfTrue="1">
      <formula>AV85&gt;=AV86</formula>
    </cfRule>
  </conditionalFormatting>
  <conditionalFormatting sqref="AW85">
    <cfRule type="expression" dxfId="46" priority="45" stopIfTrue="1">
      <formula>AW85&gt;=AW86</formula>
    </cfRule>
  </conditionalFormatting>
  <conditionalFormatting sqref="AV19 AE19 N19 N40 AE40 AV40 AV61 AE61 N61">
    <cfRule type="containsText" dxfId="45" priority="25" stopIfTrue="1" operator="containsText" text="TO BE ATTENDED">
      <formula>NOT(ISERROR(SEARCH("TO BE ATTENDED",N19)))</formula>
    </cfRule>
    <cfRule type="containsText" dxfId="44" priority="26" stopIfTrue="1" operator="containsText" text="MONITORING">
      <formula>NOT(ISERROR(SEARCH("MONITORING",N19)))</formula>
    </cfRule>
    <cfRule type="containsText" dxfId="43" priority="27" stopIfTrue="1" operator="containsText" text="OK">
      <formula>NOT(ISERROR(SEARCH("OK",N19)))</formula>
    </cfRule>
  </conditionalFormatting>
  <printOptions horizontalCentered="1" verticalCentered="1"/>
  <pageMargins left="0.25" right="0.25" top="0.25" bottom="0.25" header="0.3" footer="0.3"/>
  <pageSetup scale="41" orientation="landscape"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rgb="FFFFFF00"/>
  </sheetPr>
  <dimension ref="A1:I613"/>
  <sheetViews>
    <sheetView zoomScaleNormal="100" workbookViewId="0">
      <pane xSplit="2" ySplit="1" topLeftCell="C197" activePane="bottomRight" state="frozenSplit"/>
      <selection pane="topRight" activeCell="C1" sqref="C1"/>
      <selection pane="bottomLeft"/>
      <selection pane="bottomRight"/>
    </sheetView>
  </sheetViews>
  <sheetFormatPr defaultRowHeight="14.25" x14ac:dyDescent="0.2"/>
  <cols>
    <col min="1" max="1" width="11" style="115" bestFit="1" customWidth="1"/>
    <col min="2" max="2" width="30.7109375" style="110" customWidth="1"/>
    <col min="3" max="3" width="40.7109375" style="110" customWidth="1"/>
    <col min="4" max="4" width="19.7109375" style="106" bestFit="1" customWidth="1"/>
    <col min="5" max="5" width="22" style="106" bestFit="1" customWidth="1"/>
    <col min="6" max="6" width="12.85546875" style="106" bestFit="1" customWidth="1"/>
    <col min="7" max="7" width="12.42578125" style="110" bestFit="1" customWidth="1"/>
    <col min="8" max="8" width="22" style="110" bestFit="1" customWidth="1"/>
    <col min="9" max="9" width="10.7109375" style="105" customWidth="1"/>
    <col min="10" max="16384" width="9.140625" style="105"/>
  </cols>
  <sheetData>
    <row r="1" spans="1:9" s="113" customFormat="1" ht="28.5" customHeight="1" x14ac:dyDescent="0.2">
      <c r="A1" s="121" t="s">
        <v>392</v>
      </c>
      <c r="B1" s="122" t="s">
        <v>622</v>
      </c>
      <c r="C1" s="122" t="s">
        <v>394</v>
      </c>
      <c r="D1" s="122" t="s">
        <v>395</v>
      </c>
      <c r="E1" s="122" t="s">
        <v>396</v>
      </c>
      <c r="F1" s="122" t="s">
        <v>391</v>
      </c>
      <c r="G1" s="122" t="s">
        <v>397</v>
      </c>
      <c r="H1" s="122" t="s">
        <v>398</v>
      </c>
      <c r="I1" s="122" t="s">
        <v>400</v>
      </c>
    </row>
    <row r="2" spans="1:9" ht="42.75" x14ac:dyDescent="0.2">
      <c r="A2" s="28">
        <v>0</v>
      </c>
      <c r="B2" s="9" t="s">
        <v>402</v>
      </c>
      <c r="C2" s="9" t="s">
        <v>403</v>
      </c>
      <c r="D2" s="9" t="s">
        <v>404</v>
      </c>
      <c r="E2" s="9" t="s">
        <v>404</v>
      </c>
      <c r="F2" s="9" t="s">
        <v>125</v>
      </c>
      <c r="G2" s="225" t="s">
        <v>405</v>
      </c>
      <c r="H2" s="9" t="s">
        <v>406</v>
      </c>
      <c r="I2" s="10">
        <v>0.25</v>
      </c>
    </row>
    <row r="3" spans="1:9" x14ac:dyDescent="0.2">
      <c r="A3" s="28">
        <v>5</v>
      </c>
      <c r="B3" s="9" t="s">
        <v>408</v>
      </c>
      <c r="C3" s="9" t="s">
        <v>409</v>
      </c>
      <c r="D3" s="9" t="s">
        <v>404</v>
      </c>
      <c r="E3" s="9" t="s">
        <v>404</v>
      </c>
      <c r="F3" s="9" t="s">
        <v>125</v>
      </c>
      <c r="G3" s="225" t="s">
        <v>405</v>
      </c>
      <c r="H3" s="9" t="s">
        <v>406</v>
      </c>
      <c r="I3" s="10">
        <v>1</v>
      </c>
    </row>
    <row r="4" spans="1:9" ht="28.5" x14ac:dyDescent="0.2">
      <c r="A4" s="28">
        <v>7</v>
      </c>
      <c r="B4" s="9" t="s">
        <v>627</v>
      </c>
      <c r="C4" s="9" t="s">
        <v>411</v>
      </c>
      <c r="D4" s="9" t="s">
        <v>404</v>
      </c>
      <c r="E4" s="9" t="s">
        <v>404</v>
      </c>
      <c r="F4" s="9" t="s">
        <v>125</v>
      </c>
      <c r="G4" s="225" t="s">
        <v>412</v>
      </c>
      <c r="H4" s="9" t="s">
        <v>831</v>
      </c>
      <c r="I4" s="10">
        <v>0.5</v>
      </c>
    </row>
    <row r="5" spans="1:9" ht="28.5" x14ac:dyDescent="0.2">
      <c r="A5" s="28">
        <v>8</v>
      </c>
      <c r="B5" s="9" t="s">
        <v>410</v>
      </c>
      <c r="C5" s="9" t="s">
        <v>411</v>
      </c>
      <c r="D5" s="9" t="s">
        <v>404</v>
      </c>
      <c r="E5" s="9" t="s">
        <v>404</v>
      </c>
      <c r="F5" s="9" t="s">
        <v>831</v>
      </c>
      <c r="G5" s="225" t="s">
        <v>412</v>
      </c>
      <c r="H5" s="9" t="s">
        <v>831</v>
      </c>
      <c r="I5" s="10">
        <v>0.5</v>
      </c>
    </row>
    <row r="6" spans="1:9" ht="28.5" x14ac:dyDescent="0.2">
      <c r="A6" s="28">
        <v>9</v>
      </c>
      <c r="B6" s="9" t="s">
        <v>413</v>
      </c>
      <c r="C6" s="9" t="s">
        <v>411</v>
      </c>
      <c r="D6" s="9" t="s">
        <v>404</v>
      </c>
      <c r="E6" s="9" t="s">
        <v>404</v>
      </c>
      <c r="F6" s="9" t="s">
        <v>831</v>
      </c>
      <c r="G6" s="225" t="s">
        <v>412</v>
      </c>
      <c r="H6" s="9" t="s">
        <v>831</v>
      </c>
      <c r="I6" s="10">
        <v>0.5</v>
      </c>
    </row>
    <row r="7" spans="1:9" ht="28.5" x14ac:dyDescent="0.2">
      <c r="A7" s="28">
        <v>10</v>
      </c>
      <c r="B7" s="9" t="s">
        <v>414</v>
      </c>
      <c r="C7" s="9" t="s">
        <v>415</v>
      </c>
      <c r="D7" s="9" t="s">
        <v>404</v>
      </c>
      <c r="E7" s="9" t="s">
        <v>404</v>
      </c>
      <c r="F7" s="9" t="s">
        <v>831</v>
      </c>
      <c r="G7" s="225" t="s">
        <v>412</v>
      </c>
      <c r="H7" s="9" t="s">
        <v>831</v>
      </c>
      <c r="I7" s="10">
        <v>0.5</v>
      </c>
    </row>
    <row r="8" spans="1:9" ht="28.5" x14ac:dyDescent="0.2">
      <c r="A8" s="28">
        <v>11</v>
      </c>
      <c r="B8" s="9" t="s">
        <v>417</v>
      </c>
      <c r="C8" s="9" t="s">
        <v>415</v>
      </c>
      <c r="D8" s="9" t="s">
        <v>404</v>
      </c>
      <c r="E8" s="9" t="s">
        <v>404</v>
      </c>
      <c r="F8" s="9" t="s">
        <v>125</v>
      </c>
      <c r="G8" s="225" t="s">
        <v>412</v>
      </c>
      <c r="H8" s="9" t="s">
        <v>831</v>
      </c>
      <c r="I8" s="10">
        <v>0.5</v>
      </c>
    </row>
    <row r="9" spans="1:9" ht="28.5" x14ac:dyDescent="0.2">
      <c r="A9" s="28">
        <v>12</v>
      </c>
      <c r="B9" s="9" t="s">
        <v>418</v>
      </c>
      <c r="C9" s="9" t="s">
        <v>411</v>
      </c>
      <c r="D9" s="9" t="s">
        <v>404</v>
      </c>
      <c r="E9" s="9" t="s">
        <v>404</v>
      </c>
      <c r="F9" s="9" t="s">
        <v>125</v>
      </c>
      <c r="G9" s="225" t="s">
        <v>412</v>
      </c>
      <c r="H9" s="9" t="s">
        <v>831</v>
      </c>
      <c r="I9" s="10">
        <v>0.5</v>
      </c>
    </row>
    <row r="10" spans="1:9" ht="28.5" x14ac:dyDescent="0.2">
      <c r="A10" s="28">
        <v>13</v>
      </c>
      <c r="B10" s="9" t="s">
        <v>420</v>
      </c>
      <c r="C10" s="9" t="s">
        <v>411</v>
      </c>
      <c r="D10" s="9" t="s">
        <v>404</v>
      </c>
      <c r="E10" s="9" t="s">
        <v>404</v>
      </c>
      <c r="F10" s="9" t="s">
        <v>125</v>
      </c>
      <c r="G10" s="225" t="s">
        <v>412</v>
      </c>
      <c r="H10" s="9" t="s">
        <v>831</v>
      </c>
      <c r="I10" s="10">
        <v>0.5</v>
      </c>
    </row>
    <row r="11" spans="1:9" ht="42.75" x14ac:dyDescent="0.2">
      <c r="A11" s="28">
        <v>14</v>
      </c>
      <c r="B11" s="9" t="s">
        <v>628</v>
      </c>
      <c r="C11" s="9" t="s">
        <v>422</v>
      </c>
      <c r="D11" s="9" t="s">
        <v>404</v>
      </c>
      <c r="E11" s="9" t="s">
        <v>404</v>
      </c>
      <c r="F11" s="9" t="s">
        <v>125</v>
      </c>
      <c r="G11" s="225" t="s">
        <v>412</v>
      </c>
      <c r="H11" s="9" t="s">
        <v>831</v>
      </c>
      <c r="I11" s="10">
        <v>0.5</v>
      </c>
    </row>
    <row r="12" spans="1:9" ht="42.75" x14ac:dyDescent="0.2">
      <c r="A12" s="28">
        <v>15</v>
      </c>
      <c r="B12" s="9" t="s">
        <v>421</v>
      </c>
      <c r="C12" s="9" t="s">
        <v>422</v>
      </c>
      <c r="D12" s="9" t="s">
        <v>404</v>
      </c>
      <c r="E12" s="9" t="s">
        <v>404</v>
      </c>
      <c r="F12" s="9" t="s">
        <v>125</v>
      </c>
      <c r="G12" s="225" t="s">
        <v>412</v>
      </c>
      <c r="H12" s="9" t="s">
        <v>831</v>
      </c>
      <c r="I12" s="10">
        <v>0.5</v>
      </c>
    </row>
    <row r="13" spans="1:9" ht="42.75" x14ac:dyDescent="0.2">
      <c r="A13" s="28">
        <v>16</v>
      </c>
      <c r="B13" s="9" t="s">
        <v>423</v>
      </c>
      <c r="C13" s="9" t="s">
        <v>422</v>
      </c>
      <c r="D13" s="9" t="s">
        <v>404</v>
      </c>
      <c r="E13" s="9" t="s">
        <v>404</v>
      </c>
      <c r="F13" s="9" t="s">
        <v>125</v>
      </c>
      <c r="G13" s="225" t="s">
        <v>412</v>
      </c>
      <c r="H13" s="9" t="s">
        <v>831</v>
      </c>
      <c r="I13" s="10">
        <v>0.5</v>
      </c>
    </row>
    <row r="14" spans="1:9" ht="42.75" x14ac:dyDescent="0.2">
      <c r="A14" s="28">
        <v>17</v>
      </c>
      <c r="B14" s="9" t="s">
        <v>424</v>
      </c>
      <c r="C14" s="9" t="s">
        <v>422</v>
      </c>
      <c r="D14" s="9" t="s">
        <v>404</v>
      </c>
      <c r="E14" s="9" t="s">
        <v>404</v>
      </c>
      <c r="F14" s="9" t="s">
        <v>125</v>
      </c>
      <c r="G14" s="225" t="s">
        <v>412</v>
      </c>
      <c r="H14" s="9" t="s">
        <v>831</v>
      </c>
      <c r="I14" s="10">
        <v>0.5</v>
      </c>
    </row>
    <row r="15" spans="1:9" ht="42.75" x14ac:dyDescent="0.2">
      <c r="A15" s="28">
        <v>18</v>
      </c>
      <c r="B15" s="9" t="s">
        <v>425</v>
      </c>
      <c r="C15" s="9" t="s">
        <v>422</v>
      </c>
      <c r="D15" s="9" t="s">
        <v>404</v>
      </c>
      <c r="E15" s="9" t="s">
        <v>404</v>
      </c>
      <c r="F15" s="9" t="s">
        <v>125</v>
      </c>
      <c r="G15" s="225" t="s">
        <v>412</v>
      </c>
      <c r="H15" s="9" t="s">
        <v>831</v>
      </c>
      <c r="I15" s="10">
        <v>0.5</v>
      </c>
    </row>
    <row r="16" spans="1:9" ht="42.75" x14ac:dyDescent="0.2">
      <c r="A16" s="28">
        <v>19</v>
      </c>
      <c r="B16" s="9" t="s">
        <v>427</v>
      </c>
      <c r="C16" s="9" t="s">
        <v>422</v>
      </c>
      <c r="D16" s="9" t="s">
        <v>404</v>
      </c>
      <c r="E16" s="9" t="s">
        <v>404</v>
      </c>
      <c r="F16" s="9" t="s">
        <v>831</v>
      </c>
      <c r="G16" s="225" t="s">
        <v>412</v>
      </c>
      <c r="H16" s="9" t="s">
        <v>831</v>
      </c>
      <c r="I16" s="10">
        <v>0.5</v>
      </c>
    </row>
    <row r="17" spans="1:9" ht="57" x14ac:dyDescent="0.2">
      <c r="A17" s="28">
        <v>20</v>
      </c>
      <c r="B17" s="9" t="s">
        <v>429</v>
      </c>
      <c r="C17" s="9" t="s">
        <v>430</v>
      </c>
      <c r="D17" s="9" t="s">
        <v>404</v>
      </c>
      <c r="E17" s="9" t="s">
        <v>404</v>
      </c>
      <c r="F17" s="9" t="s">
        <v>125</v>
      </c>
      <c r="G17" s="225" t="s">
        <v>405</v>
      </c>
      <c r="H17" s="9" t="s">
        <v>406</v>
      </c>
      <c r="I17" s="10">
        <v>1</v>
      </c>
    </row>
    <row r="18" spans="1:9" ht="42.75" x14ac:dyDescent="0.2">
      <c r="A18" s="28">
        <v>21</v>
      </c>
      <c r="B18" s="9" t="s">
        <v>432</v>
      </c>
      <c r="C18" s="9" t="s">
        <v>422</v>
      </c>
      <c r="D18" s="9" t="s">
        <v>404</v>
      </c>
      <c r="E18" s="9" t="s">
        <v>404</v>
      </c>
      <c r="F18" s="9" t="s">
        <v>831</v>
      </c>
      <c r="G18" s="225" t="s">
        <v>412</v>
      </c>
      <c r="H18" s="9" t="s">
        <v>831</v>
      </c>
      <c r="I18" s="10">
        <v>0.5</v>
      </c>
    </row>
    <row r="19" spans="1:9" ht="42.75" x14ac:dyDescent="0.2">
      <c r="A19" s="28">
        <v>22</v>
      </c>
      <c r="B19" s="9" t="s">
        <v>290</v>
      </c>
      <c r="C19" s="9" t="s">
        <v>422</v>
      </c>
      <c r="D19" s="9" t="s">
        <v>404</v>
      </c>
      <c r="E19" s="9" t="s">
        <v>404</v>
      </c>
      <c r="F19" s="9" t="s">
        <v>831</v>
      </c>
      <c r="G19" s="225" t="s">
        <v>412</v>
      </c>
      <c r="H19" s="9" t="s">
        <v>831</v>
      </c>
      <c r="I19" s="10">
        <v>0.5</v>
      </c>
    </row>
    <row r="20" spans="1:9" ht="28.5" x14ac:dyDescent="0.2">
      <c r="A20" s="28">
        <v>25</v>
      </c>
      <c r="B20" s="9" t="s">
        <v>421</v>
      </c>
      <c r="C20" s="9" t="s">
        <v>807</v>
      </c>
      <c r="D20" s="9" t="s">
        <v>404</v>
      </c>
      <c r="E20" s="9" t="s">
        <v>404</v>
      </c>
      <c r="F20" s="9" t="s">
        <v>125</v>
      </c>
      <c r="G20" s="225" t="s">
        <v>412</v>
      </c>
      <c r="H20" s="9" t="s">
        <v>831</v>
      </c>
      <c r="I20" s="10">
        <v>0.5</v>
      </c>
    </row>
    <row r="21" spans="1:9" ht="28.5" x14ac:dyDescent="0.2">
      <c r="A21" s="28">
        <v>30</v>
      </c>
      <c r="B21" s="9" t="s">
        <v>421</v>
      </c>
      <c r="C21" s="9" t="s">
        <v>808</v>
      </c>
      <c r="D21" s="9" t="s">
        <v>404</v>
      </c>
      <c r="E21" s="9" t="s">
        <v>404</v>
      </c>
      <c r="F21" s="9" t="s">
        <v>125</v>
      </c>
      <c r="G21" s="225" t="s">
        <v>412</v>
      </c>
      <c r="H21" s="9" t="s">
        <v>831</v>
      </c>
      <c r="I21" s="10">
        <v>0.5</v>
      </c>
    </row>
    <row r="22" spans="1:9" ht="28.5" x14ac:dyDescent="0.2">
      <c r="A22" s="28">
        <v>31</v>
      </c>
      <c r="B22" s="9" t="s">
        <v>423</v>
      </c>
      <c r="C22" s="9" t="s">
        <v>808</v>
      </c>
      <c r="D22" s="9" t="s">
        <v>404</v>
      </c>
      <c r="E22" s="9" t="s">
        <v>404</v>
      </c>
      <c r="F22" s="9" t="s">
        <v>125</v>
      </c>
      <c r="G22" s="225" t="s">
        <v>412</v>
      </c>
      <c r="H22" s="9" t="s">
        <v>831</v>
      </c>
      <c r="I22" s="10">
        <v>0.5</v>
      </c>
    </row>
    <row r="23" spans="1:9" ht="28.5" x14ac:dyDescent="0.2">
      <c r="A23" s="28">
        <v>32</v>
      </c>
      <c r="B23" s="9" t="s">
        <v>424</v>
      </c>
      <c r="C23" s="9" t="s">
        <v>808</v>
      </c>
      <c r="D23" s="9" t="s">
        <v>404</v>
      </c>
      <c r="E23" s="9" t="s">
        <v>404</v>
      </c>
      <c r="F23" s="9" t="s">
        <v>125</v>
      </c>
      <c r="G23" s="225" t="s">
        <v>412</v>
      </c>
      <c r="H23" s="9" t="s">
        <v>831</v>
      </c>
      <c r="I23" s="10">
        <v>0.5</v>
      </c>
    </row>
    <row r="24" spans="1:9" ht="28.5" x14ac:dyDescent="0.2">
      <c r="A24" s="28">
        <v>33</v>
      </c>
      <c r="B24" s="9" t="s">
        <v>425</v>
      </c>
      <c r="C24" s="9" t="s">
        <v>808</v>
      </c>
      <c r="D24" s="9" t="s">
        <v>404</v>
      </c>
      <c r="E24" s="9" t="s">
        <v>404</v>
      </c>
      <c r="F24" s="9" t="s">
        <v>125</v>
      </c>
      <c r="G24" s="225" t="s">
        <v>412</v>
      </c>
      <c r="H24" s="9" t="s">
        <v>831</v>
      </c>
      <c r="I24" s="10">
        <v>0.5</v>
      </c>
    </row>
    <row r="25" spans="1:9" ht="28.5" x14ac:dyDescent="0.2">
      <c r="A25" s="28">
        <v>34</v>
      </c>
      <c r="B25" s="9" t="s">
        <v>915</v>
      </c>
      <c r="C25" s="9" t="s">
        <v>808</v>
      </c>
      <c r="D25" s="9" t="s">
        <v>404</v>
      </c>
      <c r="E25" s="9" t="s">
        <v>404</v>
      </c>
      <c r="F25" s="9" t="s">
        <v>125</v>
      </c>
      <c r="G25" s="225" t="s">
        <v>412</v>
      </c>
      <c r="H25" s="9" t="s">
        <v>831</v>
      </c>
      <c r="I25" s="10">
        <v>0.5</v>
      </c>
    </row>
    <row r="26" spans="1:9" s="114" customFormat="1" ht="42.75" x14ac:dyDescent="0.2">
      <c r="A26" s="28">
        <v>35</v>
      </c>
      <c r="B26" s="9" t="s">
        <v>421</v>
      </c>
      <c r="C26" s="9" t="s">
        <v>810</v>
      </c>
      <c r="D26" s="9" t="s">
        <v>404</v>
      </c>
      <c r="E26" s="9" t="s">
        <v>404</v>
      </c>
      <c r="F26" s="9" t="s">
        <v>125</v>
      </c>
      <c r="G26" s="225" t="s">
        <v>405</v>
      </c>
      <c r="H26" s="9" t="s">
        <v>406</v>
      </c>
      <c r="I26" s="10">
        <v>1</v>
      </c>
    </row>
    <row r="27" spans="1:9" s="114" customFormat="1" ht="42.75" x14ac:dyDescent="0.2">
      <c r="A27" s="28">
        <v>36</v>
      </c>
      <c r="B27" s="9" t="s">
        <v>423</v>
      </c>
      <c r="C27" s="9" t="s">
        <v>810</v>
      </c>
      <c r="D27" s="9" t="s">
        <v>404</v>
      </c>
      <c r="E27" s="9" t="s">
        <v>404</v>
      </c>
      <c r="F27" s="9" t="s">
        <v>125</v>
      </c>
      <c r="G27" s="225" t="s">
        <v>412</v>
      </c>
      <c r="H27" s="9" t="s">
        <v>831</v>
      </c>
      <c r="I27" s="10">
        <v>0.5</v>
      </c>
    </row>
    <row r="28" spans="1:9" ht="42.75" x14ac:dyDescent="0.2">
      <c r="A28" s="28">
        <v>37</v>
      </c>
      <c r="B28" s="9" t="s">
        <v>424</v>
      </c>
      <c r="C28" s="9" t="s">
        <v>810</v>
      </c>
      <c r="D28" s="9" t="s">
        <v>404</v>
      </c>
      <c r="E28" s="9" t="s">
        <v>404</v>
      </c>
      <c r="F28" s="9" t="s">
        <v>125</v>
      </c>
      <c r="G28" s="225" t="s">
        <v>412</v>
      </c>
      <c r="H28" s="9" t="s">
        <v>831</v>
      </c>
      <c r="I28" s="10">
        <v>0.5</v>
      </c>
    </row>
    <row r="29" spans="1:9" ht="42.75" x14ac:dyDescent="0.2">
      <c r="A29" s="28">
        <v>38</v>
      </c>
      <c r="B29" s="9" t="s">
        <v>425</v>
      </c>
      <c r="C29" s="9" t="s">
        <v>810</v>
      </c>
      <c r="D29" s="9" t="s">
        <v>404</v>
      </c>
      <c r="E29" s="9" t="s">
        <v>404</v>
      </c>
      <c r="F29" s="9" t="s">
        <v>125</v>
      </c>
      <c r="G29" s="225" t="s">
        <v>412</v>
      </c>
      <c r="H29" s="9" t="s">
        <v>831</v>
      </c>
      <c r="I29" s="10">
        <v>0.5</v>
      </c>
    </row>
    <row r="30" spans="1:9" ht="42.75" x14ac:dyDescent="0.2">
      <c r="A30" s="28">
        <v>39</v>
      </c>
      <c r="B30" s="9" t="s">
        <v>915</v>
      </c>
      <c r="C30" s="9" t="s">
        <v>810</v>
      </c>
      <c r="D30" s="9" t="s">
        <v>404</v>
      </c>
      <c r="E30" s="9" t="s">
        <v>404</v>
      </c>
      <c r="F30" s="9" t="s">
        <v>125</v>
      </c>
      <c r="G30" s="225" t="s">
        <v>412</v>
      </c>
      <c r="H30" s="9" t="s">
        <v>831</v>
      </c>
      <c r="I30" s="10">
        <v>0.5</v>
      </c>
    </row>
    <row r="31" spans="1:9" ht="28.5" x14ac:dyDescent="0.2">
      <c r="A31" s="28">
        <v>40</v>
      </c>
      <c r="B31" s="9" t="s">
        <v>421</v>
      </c>
      <c r="C31" s="9" t="s">
        <v>811</v>
      </c>
      <c r="D31" s="9" t="s">
        <v>404</v>
      </c>
      <c r="E31" s="9" t="s">
        <v>404</v>
      </c>
      <c r="F31" s="9" t="s">
        <v>125</v>
      </c>
      <c r="G31" s="225" t="s">
        <v>412</v>
      </c>
      <c r="H31" s="9" t="s">
        <v>831</v>
      </c>
      <c r="I31" s="10">
        <v>0.5</v>
      </c>
    </row>
    <row r="32" spans="1:9" ht="28.5" x14ac:dyDescent="0.2">
      <c r="A32" s="28">
        <v>41</v>
      </c>
      <c r="B32" s="9" t="s">
        <v>423</v>
      </c>
      <c r="C32" s="9" t="s">
        <v>811</v>
      </c>
      <c r="D32" s="9" t="s">
        <v>404</v>
      </c>
      <c r="E32" s="9" t="s">
        <v>404</v>
      </c>
      <c r="F32" s="9" t="s">
        <v>125</v>
      </c>
      <c r="G32" s="225" t="s">
        <v>412</v>
      </c>
      <c r="H32" s="9" t="s">
        <v>831</v>
      </c>
      <c r="I32" s="10">
        <v>0.5</v>
      </c>
    </row>
    <row r="33" spans="1:9" ht="28.5" x14ac:dyDescent="0.2">
      <c r="A33" s="28">
        <v>42</v>
      </c>
      <c r="B33" s="9" t="s">
        <v>424</v>
      </c>
      <c r="C33" s="9" t="s">
        <v>811</v>
      </c>
      <c r="D33" s="9" t="s">
        <v>404</v>
      </c>
      <c r="E33" s="9" t="s">
        <v>404</v>
      </c>
      <c r="F33" s="9" t="s">
        <v>125</v>
      </c>
      <c r="G33" s="225" t="s">
        <v>412</v>
      </c>
      <c r="H33" s="9" t="s">
        <v>831</v>
      </c>
      <c r="I33" s="10">
        <v>0.5</v>
      </c>
    </row>
    <row r="34" spans="1:9" ht="28.5" x14ac:dyDescent="0.2">
      <c r="A34" s="28">
        <v>43</v>
      </c>
      <c r="B34" s="9" t="s">
        <v>425</v>
      </c>
      <c r="C34" s="9" t="s">
        <v>811</v>
      </c>
      <c r="D34" s="9" t="s">
        <v>404</v>
      </c>
      <c r="E34" s="9" t="s">
        <v>404</v>
      </c>
      <c r="F34" s="9" t="s">
        <v>125</v>
      </c>
      <c r="G34" s="225" t="s">
        <v>412</v>
      </c>
      <c r="H34" s="9" t="s">
        <v>831</v>
      </c>
      <c r="I34" s="10">
        <v>0.5</v>
      </c>
    </row>
    <row r="35" spans="1:9" ht="28.5" x14ac:dyDescent="0.2">
      <c r="A35" s="28">
        <v>44</v>
      </c>
      <c r="B35" s="9" t="s">
        <v>915</v>
      </c>
      <c r="C35" s="9" t="s">
        <v>811</v>
      </c>
      <c r="D35" s="9" t="s">
        <v>404</v>
      </c>
      <c r="E35" s="9" t="s">
        <v>404</v>
      </c>
      <c r="F35" s="9" t="s">
        <v>125</v>
      </c>
      <c r="G35" s="225" t="s">
        <v>412</v>
      </c>
      <c r="H35" s="9" t="s">
        <v>831</v>
      </c>
      <c r="I35" s="10">
        <v>0.5</v>
      </c>
    </row>
    <row r="36" spans="1:9" ht="28.5" x14ac:dyDescent="0.2">
      <c r="A36" s="28">
        <v>45</v>
      </c>
      <c r="B36" s="9" t="s">
        <v>421</v>
      </c>
      <c r="C36" s="9" t="s">
        <v>812</v>
      </c>
      <c r="D36" s="9" t="s">
        <v>404</v>
      </c>
      <c r="E36" s="9" t="s">
        <v>404</v>
      </c>
      <c r="F36" s="9" t="s">
        <v>125</v>
      </c>
      <c r="G36" s="225" t="s">
        <v>412</v>
      </c>
      <c r="H36" s="9" t="s">
        <v>831</v>
      </c>
      <c r="I36" s="10">
        <v>0.5</v>
      </c>
    </row>
    <row r="37" spans="1:9" ht="28.5" x14ac:dyDescent="0.2">
      <c r="A37" s="28">
        <v>46</v>
      </c>
      <c r="B37" s="9" t="s">
        <v>423</v>
      </c>
      <c r="C37" s="9" t="s">
        <v>812</v>
      </c>
      <c r="D37" s="9" t="s">
        <v>404</v>
      </c>
      <c r="E37" s="9" t="s">
        <v>404</v>
      </c>
      <c r="F37" s="9" t="s">
        <v>125</v>
      </c>
      <c r="G37" s="225" t="s">
        <v>412</v>
      </c>
      <c r="H37" s="9" t="s">
        <v>831</v>
      </c>
      <c r="I37" s="10">
        <v>0.5</v>
      </c>
    </row>
    <row r="38" spans="1:9" ht="28.5" x14ac:dyDescent="0.2">
      <c r="A38" s="28">
        <v>47</v>
      </c>
      <c r="B38" s="9" t="s">
        <v>424</v>
      </c>
      <c r="C38" s="9" t="s">
        <v>812</v>
      </c>
      <c r="D38" s="9" t="s">
        <v>404</v>
      </c>
      <c r="E38" s="9" t="s">
        <v>404</v>
      </c>
      <c r="F38" s="9" t="s">
        <v>125</v>
      </c>
      <c r="G38" s="225" t="s">
        <v>412</v>
      </c>
      <c r="H38" s="9" t="s">
        <v>831</v>
      </c>
      <c r="I38" s="10">
        <v>0.5</v>
      </c>
    </row>
    <row r="39" spans="1:9" ht="28.5" x14ac:dyDescent="0.2">
      <c r="A39" s="28">
        <v>48</v>
      </c>
      <c r="B39" s="9" t="s">
        <v>425</v>
      </c>
      <c r="C39" s="9" t="s">
        <v>812</v>
      </c>
      <c r="D39" s="9" t="s">
        <v>404</v>
      </c>
      <c r="E39" s="9" t="s">
        <v>404</v>
      </c>
      <c r="F39" s="9" t="s">
        <v>125</v>
      </c>
      <c r="G39" s="225" t="s">
        <v>412</v>
      </c>
      <c r="H39" s="9" t="s">
        <v>831</v>
      </c>
      <c r="I39" s="10">
        <v>0.5</v>
      </c>
    </row>
    <row r="40" spans="1:9" ht="28.5" x14ac:dyDescent="0.2">
      <c r="A40" s="28">
        <v>49</v>
      </c>
      <c r="B40" s="9" t="s">
        <v>915</v>
      </c>
      <c r="C40" s="9" t="s">
        <v>916</v>
      </c>
      <c r="D40" s="9" t="s">
        <v>404</v>
      </c>
      <c r="E40" s="9" t="s">
        <v>404</v>
      </c>
      <c r="F40" s="9" t="s">
        <v>125</v>
      </c>
      <c r="G40" s="225" t="s">
        <v>412</v>
      </c>
      <c r="H40" s="9" t="s">
        <v>831</v>
      </c>
      <c r="I40" s="10">
        <v>0.5</v>
      </c>
    </row>
    <row r="41" spans="1:9" ht="28.5" x14ac:dyDescent="0.2">
      <c r="A41" s="28">
        <v>50</v>
      </c>
      <c r="B41" s="9" t="s">
        <v>421</v>
      </c>
      <c r="C41" s="9" t="s">
        <v>813</v>
      </c>
      <c r="D41" s="9" t="s">
        <v>404</v>
      </c>
      <c r="E41" s="9" t="s">
        <v>404</v>
      </c>
      <c r="F41" s="9" t="s">
        <v>125</v>
      </c>
      <c r="G41" s="225" t="s">
        <v>412</v>
      </c>
      <c r="H41" s="9" t="s">
        <v>831</v>
      </c>
      <c r="I41" s="10">
        <v>0.5</v>
      </c>
    </row>
    <row r="42" spans="1:9" ht="28.5" x14ac:dyDescent="0.2">
      <c r="A42" s="28">
        <v>51</v>
      </c>
      <c r="B42" s="9" t="s">
        <v>423</v>
      </c>
      <c r="C42" s="9" t="s">
        <v>813</v>
      </c>
      <c r="D42" s="9" t="s">
        <v>404</v>
      </c>
      <c r="E42" s="9" t="s">
        <v>404</v>
      </c>
      <c r="F42" s="9" t="s">
        <v>125</v>
      </c>
      <c r="G42" s="225" t="s">
        <v>412</v>
      </c>
      <c r="H42" s="9" t="s">
        <v>831</v>
      </c>
      <c r="I42" s="10">
        <v>0.5</v>
      </c>
    </row>
    <row r="43" spans="1:9" ht="28.5" x14ac:dyDescent="0.2">
      <c r="A43" s="28">
        <v>52</v>
      </c>
      <c r="B43" s="9" t="s">
        <v>424</v>
      </c>
      <c r="C43" s="9" t="s">
        <v>813</v>
      </c>
      <c r="D43" s="9" t="s">
        <v>404</v>
      </c>
      <c r="E43" s="9" t="s">
        <v>404</v>
      </c>
      <c r="F43" s="9" t="s">
        <v>125</v>
      </c>
      <c r="G43" s="225" t="s">
        <v>412</v>
      </c>
      <c r="H43" s="9" t="s">
        <v>831</v>
      </c>
      <c r="I43" s="10">
        <v>0.5</v>
      </c>
    </row>
    <row r="44" spans="1:9" ht="28.5" x14ac:dyDescent="0.2">
      <c r="A44" s="28">
        <v>53</v>
      </c>
      <c r="B44" s="9" t="s">
        <v>425</v>
      </c>
      <c r="C44" s="9" t="s">
        <v>813</v>
      </c>
      <c r="D44" s="9" t="s">
        <v>404</v>
      </c>
      <c r="E44" s="9" t="s">
        <v>404</v>
      </c>
      <c r="F44" s="9" t="s">
        <v>125</v>
      </c>
      <c r="G44" s="225" t="s">
        <v>412</v>
      </c>
      <c r="H44" s="9" t="s">
        <v>831</v>
      </c>
      <c r="I44" s="10">
        <v>0.5</v>
      </c>
    </row>
    <row r="45" spans="1:9" ht="28.5" x14ac:dyDescent="0.2">
      <c r="A45" s="28">
        <v>54</v>
      </c>
      <c r="B45" s="9" t="s">
        <v>915</v>
      </c>
      <c r="C45" s="9" t="s">
        <v>813</v>
      </c>
      <c r="D45" s="9" t="s">
        <v>404</v>
      </c>
      <c r="E45" s="9" t="s">
        <v>404</v>
      </c>
      <c r="F45" s="9" t="s">
        <v>125</v>
      </c>
      <c r="G45" s="225" t="s">
        <v>412</v>
      </c>
      <c r="H45" s="9" t="s">
        <v>831</v>
      </c>
      <c r="I45" s="10">
        <v>0.5</v>
      </c>
    </row>
    <row r="46" spans="1:9" ht="42.75" x14ac:dyDescent="0.2">
      <c r="A46" s="28">
        <v>56</v>
      </c>
      <c r="B46" s="9" t="s">
        <v>814</v>
      </c>
      <c r="C46" s="9" t="s">
        <v>815</v>
      </c>
      <c r="D46" s="9" t="s">
        <v>404</v>
      </c>
      <c r="E46" s="9" t="s">
        <v>404</v>
      </c>
      <c r="F46" s="9" t="s">
        <v>125</v>
      </c>
      <c r="G46" s="225" t="s">
        <v>405</v>
      </c>
      <c r="H46" s="9" t="s">
        <v>406</v>
      </c>
      <c r="I46" s="10">
        <v>0.1</v>
      </c>
    </row>
    <row r="47" spans="1:9" ht="28.5" x14ac:dyDescent="0.2">
      <c r="A47" s="28">
        <v>57</v>
      </c>
      <c r="B47" s="9" t="s">
        <v>425</v>
      </c>
      <c r="C47" s="9" t="s">
        <v>816</v>
      </c>
      <c r="D47" s="9" t="s">
        <v>404</v>
      </c>
      <c r="E47" s="9" t="s">
        <v>404</v>
      </c>
      <c r="F47" s="9" t="s">
        <v>125</v>
      </c>
      <c r="G47" s="225" t="s">
        <v>412</v>
      </c>
      <c r="H47" s="9" t="s">
        <v>831</v>
      </c>
      <c r="I47" s="10">
        <v>0.5</v>
      </c>
    </row>
    <row r="48" spans="1:9" ht="85.5" x14ac:dyDescent="0.2">
      <c r="A48" s="28">
        <v>58</v>
      </c>
      <c r="B48" s="9" t="s">
        <v>817</v>
      </c>
      <c r="C48" s="9" t="s">
        <v>818</v>
      </c>
      <c r="D48" s="9" t="s">
        <v>404</v>
      </c>
      <c r="E48" s="9" t="s">
        <v>404</v>
      </c>
      <c r="F48" s="9" t="s">
        <v>125</v>
      </c>
      <c r="G48" s="225" t="s">
        <v>412</v>
      </c>
      <c r="H48" s="9" t="s">
        <v>831</v>
      </c>
      <c r="I48" s="10">
        <v>0.5</v>
      </c>
    </row>
    <row r="49" spans="1:9" ht="28.5" x14ac:dyDescent="0.2">
      <c r="A49" s="28">
        <v>59</v>
      </c>
      <c r="B49" s="9" t="s">
        <v>440</v>
      </c>
      <c r="C49" s="9" t="s">
        <v>441</v>
      </c>
      <c r="D49" s="9" t="s">
        <v>404</v>
      </c>
      <c r="E49" s="9" t="s">
        <v>404</v>
      </c>
      <c r="F49" s="9" t="s">
        <v>125</v>
      </c>
      <c r="G49" s="225" t="s">
        <v>412</v>
      </c>
      <c r="H49" s="9" t="s">
        <v>831</v>
      </c>
      <c r="I49" s="10">
        <v>0.5</v>
      </c>
    </row>
    <row r="50" spans="1:9" ht="28.5" x14ac:dyDescent="0.2">
      <c r="A50" s="28">
        <v>60</v>
      </c>
      <c r="B50" s="9" t="s">
        <v>442</v>
      </c>
      <c r="C50" s="9" t="s">
        <v>443</v>
      </c>
      <c r="D50" s="9" t="s">
        <v>404</v>
      </c>
      <c r="E50" s="9" t="s">
        <v>404</v>
      </c>
      <c r="F50" s="9" t="s">
        <v>125</v>
      </c>
      <c r="G50" s="225" t="s">
        <v>412</v>
      </c>
      <c r="H50" s="9" t="s">
        <v>831</v>
      </c>
      <c r="I50" s="10">
        <v>0.5</v>
      </c>
    </row>
    <row r="51" spans="1:9" ht="28.5" x14ac:dyDescent="0.2">
      <c r="A51" s="28">
        <v>61</v>
      </c>
      <c r="B51" s="9" t="s">
        <v>427</v>
      </c>
      <c r="C51" s="9" t="s">
        <v>808</v>
      </c>
      <c r="D51" s="9" t="s">
        <v>404</v>
      </c>
      <c r="E51" s="9" t="s">
        <v>404</v>
      </c>
      <c r="F51" s="9" t="s">
        <v>125</v>
      </c>
      <c r="G51" s="225" t="s">
        <v>412</v>
      </c>
      <c r="H51" s="9" t="s">
        <v>831</v>
      </c>
      <c r="I51" s="10">
        <v>0.5</v>
      </c>
    </row>
    <row r="52" spans="1:9" ht="28.5" x14ac:dyDescent="0.2">
      <c r="A52" s="28">
        <v>62</v>
      </c>
      <c r="B52" s="9" t="s">
        <v>432</v>
      </c>
      <c r="C52" s="9" t="s">
        <v>808</v>
      </c>
      <c r="D52" s="9" t="s">
        <v>404</v>
      </c>
      <c r="E52" s="9" t="s">
        <v>404</v>
      </c>
      <c r="F52" s="9" t="s">
        <v>831</v>
      </c>
      <c r="G52" s="225" t="s">
        <v>412</v>
      </c>
      <c r="H52" s="9" t="s">
        <v>831</v>
      </c>
      <c r="I52" s="10">
        <v>0.5</v>
      </c>
    </row>
    <row r="53" spans="1:9" ht="28.5" x14ac:dyDescent="0.2">
      <c r="A53" s="28">
        <v>63</v>
      </c>
      <c r="B53" s="9" t="s">
        <v>290</v>
      </c>
      <c r="C53" s="9" t="s">
        <v>808</v>
      </c>
      <c r="D53" s="9" t="s">
        <v>404</v>
      </c>
      <c r="E53" s="9" t="s">
        <v>404</v>
      </c>
      <c r="F53" s="9" t="s">
        <v>831</v>
      </c>
      <c r="G53" s="225" t="s">
        <v>412</v>
      </c>
      <c r="H53" s="9" t="s">
        <v>831</v>
      </c>
      <c r="I53" s="10">
        <v>0.5</v>
      </c>
    </row>
    <row r="54" spans="1:9" ht="42.75" x14ac:dyDescent="0.2">
      <c r="A54" s="28">
        <v>65</v>
      </c>
      <c r="B54" s="9" t="s">
        <v>628</v>
      </c>
      <c r="C54" s="9" t="s">
        <v>810</v>
      </c>
      <c r="D54" s="9" t="s">
        <v>404</v>
      </c>
      <c r="E54" s="9" t="s">
        <v>404</v>
      </c>
      <c r="F54" s="9" t="s">
        <v>125</v>
      </c>
      <c r="G54" s="225" t="s">
        <v>412</v>
      </c>
      <c r="H54" s="9" t="s">
        <v>831</v>
      </c>
      <c r="I54" s="10">
        <v>0.5</v>
      </c>
    </row>
    <row r="55" spans="1:9" ht="42.75" x14ac:dyDescent="0.2">
      <c r="A55" s="28">
        <v>66</v>
      </c>
      <c r="B55" s="9" t="s">
        <v>427</v>
      </c>
      <c r="C55" s="9" t="s">
        <v>810</v>
      </c>
      <c r="D55" s="9" t="s">
        <v>404</v>
      </c>
      <c r="E55" s="9" t="s">
        <v>404</v>
      </c>
      <c r="F55" s="9" t="s">
        <v>831</v>
      </c>
      <c r="G55" s="225" t="s">
        <v>412</v>
      </c>
      <c r="H55" s="9" t="s">
        <v>831</v>
      </c>
      <c r="I55" s="10">
        <v>0.5</v>
      </c>
    </row>
    <row r="56" spans="1:9" ht="42.75" x14ac:dyDescent="0.2">
      <c r="A56" s="28">
        <v>67</v>
      </c>
      <c r="B56" s="9" t="s">
        <v>432</v>
      </c>
      <c r="C56" s="9" t="s">
        <v>810</v>
      </c>
      <c r="D56" s="9" t="s">
        <v>404</v>
      </c>
      <c r="E56" s="9" t="s">
        <v>404</v>
      </c>
      <c r="F56" s="9" t="s">
        <v>831</v>
      </c>
      <c r="G56" s="225" t="s">
        <v>412</v>
      </c>
      <c r="H56" s="9" t="s">
        <v>831</v>
      </c>
      <c r="I56" s="10">
        <v>0.5</v>
      </c>
    </row>
    <row r="57" spans="1:9" ht="42.75" x14ac:dyDescent="0.2">
      <c r="A57" s="28">
        <v>68</v>
      </c>
      <c r="B57" s="9" t="s">
        <v>290</v>
      </c>
      <c r="C57" s="9" t="s">
        <v>810</v>
      </c>
      <c r="D57" s="9" t="s">
        <v>404</v>
      </c>
      <c r="E57" s="9" t="s">
        <v>404</v>
      </c>
      <c r="F57" s="9" t="s">
        <v>831</v>
      </c>
      <c r="G57" s="225" t="s">
        <v>412</v>
      </c>
      <c r="H57" s="9" t="s">
        <v>831</v>
      </c>
      <c r="I57" s="10">
        <v>0.5</v>
      </c>
    </row>
    <row r="58" spans="1:9" ht="28.5" x14ac:dyDescent="0.2">
      <c r="A58" s="28">
        <v>70</v>
      </c>
      <c r="B58" s="9" t="s">
        <v>628</v>
      </c>
      <c r="C58" s="9" t="s">
        <v>629</v>
      </c>
      <c r="D58" s="9" t="s">
        <v>404</v>
      </c>
      <c r="E58" s="9" t="s">
        <v>404</v>
      </c>
      <c r="F58" s="9" t="s">
        <v>125</v>
      </c>
      <c r="G58" s="225" t="s">
        <v>412</v>
      </c>
      <c r="H58" s="9" t="s">
        <v>831</v>
      </c>
      <c r="I58" s="10">
        <v>0.5</v>
      </c>
    </row>
    <row r="59" spans="1:9" ht="28.5" x14ac:dyDescent="0.2">
      <c r="A59" s="28">
        <v>71</v>
      </c>
      <c r="B59" s="9" t="s">
        <v>427</v>
      </c>
      <c r="C59" s="9" t="s">
        <v>811</v>
      </c>
      <c r="D59" s="9" t="s">
        <v>404</v>
      </c>
      <c r="E59" s="9" t="s">
        <v>404</v>
      </c>
      <c r="F59" s="9" t="s">
        <v>831</v>
      </c>
      <c r="G59" s="225" t="s">
        <v>412</v>
      </c>
      <c r="H59" s="9" t="s">
        <v>831</v>
      </c>
      <c r="I59" s="10">
        <v>0.5</v>
      </c>
    </row>
    <row r="60" spans="1:9" ht="28.5" x14ac:dyDescent="0.2">
      <c r="A60" s="28">
        <v>72</v>
      </c>
      <c r="B60" s="9" t="s">
        <v>432</v>
      </c>
      <c r="C60" s="9" t="s">
        <v>811</v>
      </c>
      <c r="D60" s="9" t="s">
        <v>404</v>
      </c>
      <c r="E60" s="9" t="s">
        <v>404</v>
      </c>
      <c r="F60" s="9" t="s">
        <v>831</v>
      </c>
      <c r="G60" s="225" t="s">
        <v>412</v>
      </c>
      <c r="H60" s="9" t="s">
        <v>831</v>
      </c>
      <c r="I60" s="10">
        <v>0.5</v>
      </c>
    </row>
    <row r="61" spans="1:9" ht="28.5" x14ac:dyDescent="0.2">
      <c r="A61" s="28">
        <v>73</v>
      </c>
      <c r="B61" s="9" t="s">
        <v>290</v>
      </c>
      <c r="C61" s="9" t="s">
        <v>811</v>
      </c>
      <c r="D61" s="9" t="s">
        <v>404</v>
      </c>
      <c r="E61" s="9" t="s">
        <v>404</v>
      </c>
      <c r="F61" s="9" t="s">
        <v>831</v>
      </c>
      <c r="G61" s="225" t="s">
        <v>412</v>
      </c>
      <c r="H61" s="9" t="s">
        <v>831</v>
      </c>
      <c r="I61" s="10">
        <v>0.5</v>
      </c>
    </row>
    <row r="62" spans="1:9" ht="28.5" x14ac:dyDescent="0.2">
      <c r="A62" s="28">
        <v>75</v>
      </c>
      <c r="B62" s="9" t="s">
        <v>628</v>
      </c>
      <c r="C62" s="9" t="s">
        <v>812</v>
      </c>
      <c r="D62" s="9" t="s">
        <v>404</v>
      </c>
      <c r="E62" s="9" t="s">
        <v>404</v>
      </c>
      <c r="F62" s="9" t="s">
        <v>125</v>
      </c>
      <c r="G62" s="225" t="s">
        <v>412</v>
      </c>
      <c r="H62" s="9" t="s">
        <v>831</v>
      </c>
      <c r="I62" s="10">
        <v>0.5</v>
      </c>
    </row>
    <row r="63" spans="1:9" ht="28.5" x14ac:dyDescent="0.2">
      <c r="A63" s="28">
        <v>76</v>
      </c>
      <c r="B63" s="9" t="s">
        <v>427</v>
      </c>
      <c r="C63" s="9" t="s">
        <v>812</v>
      </c>
      <c r="D63" s="9" t="s">
        <v>404</v>
      </c>
      <c r="E63" s="9" t="s">
        <v>404</v>
      </c>
      <c r="F63" s="9" t="s">
        <v>831</v>
      </c>
      <c r="G63" s="225" t="s">
        <v>412</v>
      </c>
      <c r="H63" s="9" t="s">
        <v>831</v>
      </c>
      <c r="I63" s="10">
        <v>0.5</v>
      </c>
    </row>
    <row r="64" spans="1:9" ht="28.5" x14ac:dyDescent="0.2">
      <c r="A64" s="28">
        <v>77</v>
      </c>
      <c r="B64" s="9" t="s">
        <v>432</v>
      </c>
      <c r="C64" s="9" t="s">
        <v>812</v>
      </c>
      <c r="D64" s="9" t="s">
        <v>404</v>
      </c>
      <c r="E64" s="9" t="s">
        <v>404</v>
      </c>
      <c r="F64" s="9" t="s">
        <v>831</v>
      </c>
      <c r="G64" s="225" t="s">
        <v>412</v>
      </c>
      <c r="H64" s="9" t="s">
        <v>831</v>
      </c>
      <c r="I64" s="10">
        <v>0.5</v>
      </c>
    </row>
    <row r="65" spans="1:9" ht="28.5" x14ac:dyDescent="0.2">
      <c r="A65" s="28">
        <v>78</v>
      </c>
      <c r="B65" s="9" t="s">
        <v>290</v>
      </c>
      <c r="C65" s="9" t="s">
        <v>812</v>
      </c>
      <c r="D65" s="9" t="s">
        <v>404</v>
      </c>
      <c r="E65" s="9" t="s">
        <v>404</v>
      </c>
      <c r="F65" s="9" t="s">
        <v>831</v>
      </c>
      <c r="G65" s="225" t="s">
        <v>412</v>
      </c>
      <c r="H65" s="9" t="s">
        <v>831</v>
      </c>
      <c r="I65" s="10">
        <v>0.5</v>
      </c>
    </row>
    <row r="66" spans="1:9" ht="28.5" x14ac:dyDescent="0.2">
      <c r="A66" s="28">
        <v>80</v>
      </c>
      <c r="B66" s="9" t="s">
        <v>628</v>
      </c>
      <c r="C66" s="9" t="s">
        <v>813</v>
      </c>
      <c r="D66" s="9" t="s">
        <v>404</v>
      </c>
      <c r="E66" s="9" t="s">
        <v>404</v>
      </c>
      <c r="F66" s="9" t="s">
        <v>125</v>
      </c>
      <c r="G66" s="225" t="s">
        <v>412</v>
      </c>
      <c r="H66" s="9" t="s">
        <v>831</v>
      </c>
      <c r="I66" s="10">
        <v>0.5</v>
      </c>
    </row>
    <row r="67" spans="1:9" ht="28.5" x14ac:dyDescent="0.2">
      <c r="A67" s="28">
        <v>81</v>
      </c>
      <c r="B67" s="9" t="s">
        <v>427</v>
      </c>
      <c r="C67" s="9" t="s">
        <v>813</v>
      </c>
      <c r="D67" s="9" t="s">
        <v>404</v>
      </c>
      <c r="E67" s="9" t="s">
        <v>404</v>
      </c>
      <c r="F67" s="9" t="s">
        <v>831</v>
      </c>
      <c r="G67" s="225" t="s">
        <v>412</v>
      </c>
      <c r="H67" s="9" t="s">
        <v>831</v>
      </c>
      <c r="I67" s="10">
        <v>0.5</v>
      </c>
    </row>
    <row r="68" spans="1:9" ht="28.5" x14ac:dyDescent="0.2">
      <c r="A68" s="28">
        <v>82</v>
      </c>
      <c r="B68" s="9" t="s">
        <v>432</v>
      </c>
      <c r="C68" s="9" t="s">
        <v>813</v>
      </c>
      <c r="D68" s="9" t="s">
        <v>404</v>
      </c>
      <c r="E68" s="9" t="s">
        <v>404</v>
      </c>
      <c r="F68" s="9" t="s">
        <v>831</v>
      </c>
      <c r="G68" s="225" t="s">
        <v>412</v>
      </c>
      <c r="H68" s="9" t="s">
        <v>831</v>
      </c>
      <c r="I68" s="10">
        <v>0.5</v>
      </c>
    </row>
    <row r="69" spans="1:9" ht="28.5" x14ac:dyDescent="0.2">
      <c r="A69" s="28">
        <v>83</v>
      </c>
      <c r="B69" s="9" t="s">
        <v>290</v>
      </c>
      <c r="C69" s="9" t="s">
        <v>813</v>
      </c>
      <c r="D69" s="9" t="s">
        <v>404</v>
      </c>
      <c r="E69" s="9" t="s">
        <v>404</v>
      </c>
      <c r="F69" s="9" t="s">
        <v>831</v>
      </c>
      <c r="G69" s="225" t="s">
        <v>412</v>
      </c>
      <c r="H69" s="9" t="s">
        <v>831</v>
      </c>
      <c r="I69" s="10">
        <v>0.5</v>
      </c>
    </row>
    <row r="70" spans="1:9" ht="71.25" x14ac:dyDescent="0.2">
      <c r="A70" s="28">
        <v>84</v>
      </c>
      <c r="B70" s="9" t="s">
        <v>630</v>
      </c>
      <c r="C70" s="9" t="s">
        <v>631</v>
      </c>
      <c r="D70" s="9" t="s">
        <v>404</v>
      </c>
      <c r="E70" s="9" t="s">
        <v>404</v>
      </c>
      <c r="F70" s="9" t="s">
        <v>125</v>
      </c>
      <c r="G70" s="225" t="s">
        <v>412</v>
      </c>
      <c r="H70" s="9" t="s">
        <v>831</v>
      </c>
      <c r="I70" s="10">
        <v>0.5</v>
      </c>
    </row>
    <row r="71" spans="1:9" ht="28.5" x14ac:dyDescent="0.2">
      <c r="A71" s="28">
        <v>85</v>
      </c>
      <c r="B71" s="9" t="s">
        <v>632</v>
      </c>
      <c r="C71" s="9" t="s">
        <v>633</v>
      </c>
      <c r="D71" s="9" t="s">
        <v>404</v>
      </c>
      <c r="E71" s="9" t="s">
        <v>404</v>
      </c>
      <c r="F71" s="9" t="s">
        <v>125</v>
      </c>
      <c r="G71" s="225" t="s">
        <v>412</v>
      </c>
      <c r="H71" s="9" t="s">
        <v>831</v>
      </c>
      <c r="I71" s="10">
        <v>0.5</v>
      </c>
    </row>
    <row r="72" spans="1:9" ht="28.5" x14ac:dyDescent="0.2">
      <c r="A72" s="28">
        <v>86</v>
      </c>
      <c r="B72" s="9" t="s">
        <v>634</v>
      </c>
      <c r="C72" s="9" t="s">
        <v>635</v>
      </c>
      <c r="D72" s="9" t="s">
        <v>404</v>
      </c>
      <c r="E72" s="9" t="s">
        <v>404</v>
      </c>
      <c r="F72" s="9" t="s">
        <v>125</v>
      </c>
      <c r="G72" s="225" t="s">
        <v>412</v>
      </c>
      <c r="H72" s="9" t="s">
        <v>831</v>
      </c>
      <c r="I72" s="10">
        <v>0.5</v>
      </c>
    </row>
    <row r="73" spans="1:9" x14ac:dyDescent="0.2">
      <c r="A73" s="28">
        <v>1001</v>
      </c>
      <c r="B73" s="9" t="s">
        <v>819</v>
      </c>
      <c r="C73" s="9" t="s">
        <v>820</v>
      </c>
      <c r="D73" s="9" t="s">
        <v>821</v>
      </c>
      <c r="E73" s="9" t="s">
        <v>822</v>
      </c>
      <c r="F73" s="9" t="s">
        <v>125</v>
      </c>
      <c r="G73" s="225" t="s">
        <v>405</v>
      </c>
      <c r="H73" s="9" t="s">
        <v>426</v>
      </c>
      <c r="I73" s="10">
        <v>1</v>
      </c>
    </row>
    <row r="74" spans="1:9" x14ac:dyDescent="0.2">
      <c r="A74" s="28">
        <v>1002</v>
      </c>
      <c r="B74" s="9" t="s">
        <v>819</v>
      </c>
      <c r="C74" s="9" t="s">
        <v>820</v>
      </c>
      <c r="D74" s="9" t="s">
        <v>821</v>
      </c>
      <c r="E74" s="9" t="s">
        <v>822</v>
      </c>
      <c r="F74" s="9" t="s">
        <v>125</v>
      </c>
      <c r="G74" s="225" t="s">
        <v>412</v>
      </c>
      <c r="H74" s="9" t="s">
        <v>831</v>
      </c>
      <c r="I74" s="10">
        <v>0.5</v>
      </c>
    </row>
    <row r="75" spans="1:9" x14ac:dyDescent="0.2">
      <c r="A75" s="28">
        <v>1003</v>
      </c>
      <c r="B75" s="9" t="s">
        <v>819</v>
      </c>
      <c r="C75" s="9" t="s">
        <v>820</v>
      </c>
      <c r="D75" s="9" t="s">
        <v>821</v>
      </c>
      <c r="E75" s="9" t="s">
        <v>822</v>
      </c>
      <c r="F75" s="9" t="s">
        <v>125</v>
      </c>
      <c r="G75" s="225" t="s">
        <v>412</v>
      </c>
      <c r="H75" s="9" t="s">
        <v>831</v>
      </c>
      <c r="I75" s="10">
        <v>0.5</v>
      </c>
    </row>
    <row r="76" spans="1:9" x14ac:dyDescent="0.2">
      <c r="A76" s="28">
        <v>1004</v>
      </c>
      <c r="B76" s="9" t="s">
        <v>819</v>
      </c>
      <c r="C76" s="9" t="s">
        <v>820</v>
      </c>
      <c r="D76" s="9" t="s">
        <v>821</v>
      </c>
      <c r="E76" s="9" t="s">
        <v>822</v>
      </c>
      <c r="F76" s="9" t="s">
        <v>125</v>
      </c>
      <c r="G76" s="225" t="s">
        <v>412</v>
      </c>
      <c r="H76" s="9" t="s">
        <v>831</v>
      </c>
      <c r="I76" s="10">
        <v>0.5</v>
      </c>
    </row>
    <row r="77" spans="1:9" x14ac:dyDescent="0.2">
      <c r="A77" s="28">
        <v>1005</v>
      </c>
      <c r="B77" s="9" t="s">
        <v>819</v>
      </c>
      <c r="C77" s="9" t="s">
        <v>820</v>
      </c>
      <c r="D77" s="9" t="s">
        <v>821</v>
      </c>
      <c r="E77" s="9" t="s">
        <v>822</v>
      </c>
      <c r="F77" s="9" t="s">
        <v>125</v>
      </c>
      <c r="G77" s="225" t="s">
        <v>412</v>
      </c>
      <c r="H77" s="9" t="s">
        <v>831</v>
      </c>
      <c r="I77" s="10">
        <v>0.5</v>
      </c>
    </row>
    <row r="78" spans="1:9" x14ac:dyDescent="0.2">
      <c r="A78" s="28">
        <v>1006</v>
      </c>
      <c r="B78" s="9" t="s">
        <v>819</v>
      </c>
      <c r="C78" s="9" t="s">
        <v>820</v>
      </c>
      <c r="D78" s="9" t="s">
        <v>821</v>
      </c>
      <c r="E78" s="9" t="s">
        <v>822</v>
      </c>
      <c r="F78" s="9" t="s">
        <v>125</v>
      </c>
      <c r="G78" s="225" t="s">
        <v>412</v>
      </c>
      <c r="H78" s="9" t="s">
        <v>831</v>
      </c>
      <c r="I78" s="10">
        <v>0.5</v>
      </c>
    </row>
    <row r="79" spans="1:9" x14ac:dyDescent="0.2">
      <c r="A79" s="28">
        <v>1007</v>
      </c>
      <c r="B79" s="9" t="s">
        <v>819</v>
      </c>
      <c r="C79" s="9" t="s">
        <v>820</v>
      </c>
      <c r="D79" s="9" t="s">
        <v>821</v>
      </c>
      <c r="E79" s="9" t="s">
        <v>822</v>
      </c>
      <c r="F79" s="9" t="s">
        <v>125</v>
      </c>
      <c r="G79" s="225" t="s">
        <v>405</v>
      </c>
      <c r="H79" s="9" t="s">
        <v>426</v>
      </c>
      <c r="I79" s="10">
        <v>1</v>
      </c>
    </row>
    <row r="80" spans="1:9" x14ac:dyDescent="0.2">
      <c r="A80" s="28">
        <v>1008</v>
      </c>
      <c r="B80" s="9" t="s">
        <v>819</v>
      </c>
      <c r="C80" s="9" t="s">
        <v>820</v>
      </c>
      <c r="D80" s="9" t="s">
        <v>821</v>
      </c>
      <c r="E80" s="9" t="s">
        <v>822</v>
      </c>
      <c r="F80" s="9" t="s">
        <v>125</v>
      </c>
      <c r="G80" s="225" t="s">
        <v>412</v>
      </c>
      <c r="H80" s="9" t="s">
        <v>831</v>
      </c>
      <c r="I80" s="10">
        <v>0.5</v>
      </c>
    </row>
    <row r="81" spans="1:9" x14ac:dyDescent="0.2">
      <c r="A81" s="28">
        <v>1009</v>
      </c>
      <c r="B81" s="9" t="s">
        <v>819</v>
      </c>
      <c r="C81" s="9" t="s">
        <v>820</v>
      </c>
      <c r="D81" s="9" t="s">
        <v>821</v>
      </c>
      <c r="E81" s="9" t="s">
        <v>822</v>
      </c>
      <c r="F81" s="9" t="s">
        <v>125</v>
      </c>
      <c r="G81" s="225" t="s">
        <v>412</v>
      </c>
      <c r="H81" s="9" t="s">
        <v>831</v>
      </c>
      <c r="I81" s="10">
        <v>0.5</v>
      </c>
    </row>
    <row r="82" spans="1:9" x14ac:dyDescent="0.2">
      <c r="A82" s="28">
        <v>1010</v>
      </c>
      <c r="B82" s="9" t="s">
        <v>819</v>
      </c>
      <c r="C82" s="9" t="s">
        <v>820</v>
      </c>
      <c r="D82" s="9" t="s">
        <v>821</v>
      </c>
      <c r="E82" s="9" t="s">
        <v>822</v>
      </c>
      <c r="F82" s="9" t="s">
        <v>125</v>
      </c>
      <c r="G82" s="225" t="s">
        <v>412</v>
      </c>
      <c r="H82" s="9" t="s">
        <v>831</v>
      </c>
      <c r="I82" s="10">
        <v>0.5</v>
      </c>
    </row>
    <row r="83" spans="1:9" x14ac:dyDescent="0.2">
      <c r="A83" s="28">
        <v>1011</v>
      </c>
      <c r="B83" s="9" t="s">
        <v>819</v>
      </c>
      <c r="C83" s="9" t="s">
        <v>820</v>
      </c>
      <c r="D83" s="9" t="s">
        <v>821</v>
      </c>
      <c r="E83" s="9" t="s">
        <v>822</v>
      </c>
      <c r="F83" s="9" t="s">
        <v>125</v>
      </c>
      <c r="G83" s="225" t="s">
        <v>412</v>
      </c>
      <c r="H83" s="9" t="s">
        <v>831</v>
      </c>
      <c r="I83" s="10">
        <v>0.5</v>
      </c>
    </row>
    <row r="84" spans="1:9" x14ac:dyDescent="0.2">
      <c r="A84" s="28">
        <v>1012</v>
      </c>
      <c r="B84" s="9" t="s">
        <v>819</v>
      </c>
      <c r="C84" s="9" t="s">
        <v>820</v>
      </c>
      <c r="D84" s="9" t="s">
        <v>821</v>
      </c>
      <c r="E84" s="9" t="s">
        <v>822</v>
      </c>
      <c r="F84" s="9" t="s">
        <v>125</v>
      </c>
      <c r="G84" s="225" t="s">
        <v>412</v>
      </c>
      <c r="H84" s="9" t="s">
        <v>831</v>
      </c>
      <c r="I84" s="10">
        <v>0.5</v>
      </c>
    </row>
    <row r="85" spans="1:9" x14ac:dyDescent="0.2">
      <c r="A85" s="28">
        <v>1013</v>
      </c>
      <c r="B85" s="9" t="s">
        <v>819</v>
      </c>
      <c r="C85" s="9" t="s">
        <v>820</v>
      </c>
      <c r="D85" s="9" t="s">
        <v>821</v>
      </c>
      <c r="E85" s="9" t="s">
        <v>822</v>
      </c>
      <c r="F85" s="9" t="s">
        <v>125</v>
      </c>
      <c r="G85" s="225" t="s">
        <v>412</v>
      </c>
      <c r="H85" s="9" t="s">
        <v>831</v>
      </c>
      <c r="I85" s="10">
        <v>0.5</v>
      </c>
    </row>
    <row r="86" spans="1:9" x14ac:dyDescent="0.2">
      <c r="A86" s="28">
        <v>1014</v>
      </c>
      <c r="B86" s="9" t="s">
        <v>819</v>
      </c>
      <c r="C86" s="9" t="s">
        <v>820</v>
      </c>
      <c r="D86" s="9" t="s">
        <v>821</v>
      </c>
      <c r="E86" s="9" t="s">
        <v>822</v>
      </c>
      <c r="F86" s="9" t="s">
        <v>831</v>
      </c>
      <c r="G86" s="225" t="s">
        <v>412</v>
      </c>
      <c r="H86" s="9" t="s">
        <v>831</v>
      </c>
      <c r="I86" s="10">
        <v>0.5</v>
      </c>
    </row>
    <row r="87" spans="1:9" x14ac:dyDescent="0.2">
      <c r="A87" s="28">
        <v>1015</v>
      </c>
      <c r="B87" s="9" t="s">
        <v>819</v>
      </c>
      <c r="C87" s="9" t="s">
        <v>820</v>
      </c>
      <c r="D87" s="9" t="s">
        <v>821</v>
      </c>
      <c r="E87" s="9" t="s">
        <v>822</v>
      </c>
      <c r="F87" s="9" t="s">
        <v>831</v>
      </c>
      <c r="G87" s="225" t="s">
        <v>412</v>
      </c>
      <c r="H87" s="9" t="s">
        <v>831</v>
      </c>
      <c r="I87" s="10">
        <v>0.5</v>
      </c>
    </row>
    <row r="88" spans="1:9" x14ac:dyDescent="0.2">
      <c r="A88" s="28">
        <v>1016</v>
      </c>
      <c r="B88" s="9" t="s">
        <v>819</v>
      </c>
      <c r="C88" s="9" t="s">
        <v>820</v>
      </c>
      <c r="D88" s="9" t="s">
        <v>821</v>
      </c>
      <c r="E88" s="9" t="s">
        <v>822</v>
      </c>
      <c r="F88" s="9" t="s">
        <v>831</v>
      </c>
      <c r="G88" s="225" t="s">
        <v>412</v>
      </c>
      <c r="H88" s="9" t="s">
        <v>831</v>
      </c>
      <c r="I88" s="10">
        <v>0.5</v>
      </c>
    </row>
    <row r="89" spans="1:9" x14ac:dyDescent="0.2">
      <c r="A89" s="28">
        <v>1017</v>
      </c>
      <c r="B89" s="9" t="s">
        <v>819</v>
      </c>
      <c r="C89" s="9" t="s">
        <v>820</v>
      </c>
      <c r="D89" s="9" t="s">
        <v>821</v>
      </c>
      <c r="E89" s="9" t="s">
        <v>822</v>
      </c>
      <c r="F89" s="9" t="s">
        <v>125</v>
      </c>
      <c r="G89" s="225" t="s">
        <v>412</v>
      </c>
      <c r="H89" s="9" t="s">
        <v>831</v>
      </c>
      <c r="I89" s="10">
        <v>0.5</v>
      </c>
    </row>
    <row r="90" spans="1:9" x14ac:dyDescent="0.2">
      <c r="A90" s="28">
        <v>1018</v>
      </c>
      <c r="B90" s="9" t="s">
        <v>819</v>
      </c>
      <c r="C90" s="9" t="s">
        <v>820</v>
      </c>
      <c r="D90" s="9" t="s">
        <v>821</v>
      </c>
      <c r="E90" s="9" t="s">
        <v>822</v>
      </c>
      <c r="F90" s="9" t="s">
        <v>831</v>
      </c>
      <c r="G90" s="225" t="s">
        <v>412</v>
      </c>
      <c r="H90" s="9" t="s">
        <v>831</v>
      </c>
      <c r="I90" s="10">
        <v>0.5</v>
      </c>
    </row>
    <row r="91" spans="1:9" ht="14.25" customHeight="1" x14ac:dyDescent="0.2">
      <c r="A91" s="28">
        <v>1019</v>
      </c>
      <c r="B91" s="9" t="s">
        <v>819</v>
      </c>
      <c r="C91" s="9" t="s">
        <v>820</v>
      </c>
      <c r="D91" s="9" t="s">
        <v>821</v>
      </c>
      <c r="E91" s="9" t="s">
        <v>822</v>
      </c>
      <c r="F91" s="9" t="s">
        <v>831</v>
      </c>
      <c r="G91" s="225" t="s">
        <v>412</v>
      </c>
      <c r="H91" s="9" t="s">
        <v>831</v>
      </c>
      <c r="I91" s="10">
        <v>0.5</v>
      </c>
    </row>
    <row r="92" spans="1:9" x14ac:dyDescent="0.2">
      <c r="A92" s="28">
        <v>1020</v>
      </c>
      <c r="B92" s="9" t="s">
        <v>819</v>
      </c>
      <c r="C92" s="9" t="s">
        <v>820</v>
      </c>
      <c r="D92" s="9" t="s">
        <v>821</v>
      </c>
      <c r="E92" s="9" t="s">
        <v>822</v>
      </c>
      <c r="F92" s="9" t="s">
        <v>125</v>
      </c>
      <c r="G92" s="225" t="s">
        <v>405</v>
      </c>
      <c r="H92" s="9" t="s">
        <v>426</v>
      </c>
      <c r="I92" s="10">
        <v>1</v>
      </c>
    </row>
    <row r="93" spans="1:9" x14ac:dyDescent="0.2">
      <c r="A93" s="28">
        <v>1021</v>
      </c>
      <c r="B93" s="9" t="s">
        <v>819</v>
      </c>
      <c r="C93" s="9" t="s">
        <v>820</v>
      </c>
      <c r="D93" s="9" t="s">
        <v>821</v>
      </c>
      <c r="E93" s="9" t="s">
        <v>822</v>
      </c>
      <c r="F93" s="9" t="s">
        <v>125</v>
      </c>
      <c r="G93" s="225" t="s">
        <v>405</v>
      </c>
      <c r="H93" s="9" t="s">
        <v>426</v>
      </c>
      <c r="I93" s="10">
        <v>1</v>
      </c>
    </row>
    <row r="94" spans="1:9" x14ac:dyDescent="0.2">
      <c r="A94" s="28">
        <v>1022</v>
      </c>
      <c r="B94" s="9" t="s">
        <v>819</v>
      </c>
      <c r="C94" s="9" t="s">
        <v>820</v>
      </c>
      <c r="D94" s="9" t="s">
        <v>821</v>
      </c>
      <c r="E94" s="9" t="s">
        <v>822</v>
      </c>
      <c r="F94" s="9" t="s">
        <v>125</v>
      </c>
      <c r="G94" s="225" t="s">
        <v>405</v>
      </c>
      <c r="H94" s="9" t="s">
        <v>426</v>
      </c>
      <c r="I94" s="10">
        <v>1</v>
      </c>
    </row>
    <row r="95" spans="1:9" x14ac:dyDescent="0.2">
      <c r="A95" s="28">
        <v>1023</v>
      </c>
      <c r="B95" s="9" t="s">
        <v>819</v>
      </c>
      <c r="C95" s="9" t="s">
        <v>820</v>
      </c>
      <c r="D95" s="9" t="s">
        <v>821</v>
      </c>
      <c r="E95" s="9" t="s">
        <v>822</v>
      </c>
      <c r="F95" s="9" t="s">
        <v>125</v>
      </c>
      <c r="G95" s="225" t="s">
        <v>412</v>
      </c>
      <c r="H95" s="9" t="s">
        <v>831</v>
      </c>
      <c r="I95" s="10">
        <v>0.5</v>
      </c>
    </row>
    <row r="96" spans="1:9" x14ac:dyDescent="0.2">
      <c r="A96" s="28">
        <v>1024</v>
      </c>
      <c r="B96" s="9" t="s">
        <v>819</v>
      </c>
      <c r="C96" s="9" t="s">
        <v>820</v>
      </c>
      <c r="D96" s="9" t="s">
        <v>821</v>
      </c>
      <c r="E96" s="9" t="s">
        <v>822</v>
      </c>
      <c r="F96" s="9" t="s">
        <v>125</v>
      </c>
      <c r="G96" s="225" t="s">
        <v>412</v>
      </c>
      <c r="H96" s="9" t="s">
        <v>831</v>
      </c>
      <c r="I96" s="10">
        <v>0.5</v>
      </c>
    </row>
    <row r="97" spans="1:9" x14ac:dyDescent="0.2">
      <c r="A97" s="28">
        <v>1025</v>
      </c>
      <c r="B97" s="9" t="s">
        <v>819</v>
      </c>
      <c r="C97" s="9" t="s">
        <v>820</v>
      </c>
      <c r="D97" s="9" t="s">
        <v>821</v>
      </c>
      <c r="E97" s="9" t="s">
        <v>822</v>
      </c>
      <c r="F97" s="9" t="s">
        <v>125</v>
      </c>
      <c r="G97" s="225" t="s">
        <v>412</v>
      </c>
      <c r="H97" s="9" t="s">
        <v>831</v>
      </c>
      <c r="I97" s="10">
        <v>0.5</v>
      </c>
    </row>
    <row r="98" spans="1:9" x14ac:dyDescent="0.2">
      <c r="A98" s="28">
        <v>1026</v>
      </c>
      <c r="B98" s="9" t="s">
        <v>819</v>
      </c>
      <c r="C98" s="9" t="s">
        <v>820</v>
      </c>
      <c r="D98" s="9" t="s">
        <v>821</v>
      </c>
      <c r="E98" s="9" t="s">
        <v>822</v>
      </c>
      <c r="F98" s="9" t="s">
        <v>125</v>
      </c>
      <c r="G98" s="225" t="s">
        <v>412</v>
      </c>
      <c r="H98" s="9" t="s">
        <v>831</v>
      </c>
      <c r="I98" s="10">
        <v>0.5</v>
      </c>
    </row>
    <row r="99" spans="1:9" x14ac:dyDescent="0.2">
      <c r="A99" s="28">
        <v>1027</v>
      </c>
      <c r="B99" s="9" t="s">
        <v>819</v>
      </c>
      <c r="C99" s="9" t="s">
        <v>820</v>
      </c>
      <c r="D99" s="9" t="s">
        <v>821</v>
      </c>
      <c r="E99" s="9" t="s">
        <v>822</v>
      </c>
      <c r="F99" s="9" t="s">
        <v>125</v>
      </c>
      <c r="G99" s="225" t="s">
        <v>412</v>
      </c>
      <c r="H99" s="9" t="s">
        <v>831</v>
      </c>
      <c r="I99" s="10">
        <v>0.5</v>
      </c>
    </row>
    <row r="100" spans="1:9" x14ac:dyDescent="0.2">
      <c r="A100" s="28">
        <v>1028</v>
      </c>
      <c r="B100" s="9" t="s">
        <v>819</v>
      </c>
      <c r="C100" s="9" t="s">
        <v>820</v>
      </c>
      <c r="D100" s="9" t="s">
        <v>821</v>
      </c>
      <c r="E100" s="9" t="s">
        <v>822</v>
      </c>
      <c r="F100" s="9" t="s">
        <v>125</v>
      </c>
      <c r="G100" s="225" t="s">
        <v>412</v>
      </c>
      <c r="H100" s="9" t="s">
        <v>831</v>
      </c>
      <c r="I100" s="10">
        <v>0.5</v>
      </c>
    </row>
    <row r="101" spans="1:9" x14ac:dyDescent="0.2">
      <c r="A101" s="28">
        <v>1029</v>
      </c>
      <c r="B101" s="9" t="s">
        <v>819</v>
      </c>
      <c r="C101" s="9" t="s">
        <v>820</v>
      </c>
      <c r="D101" s="9" t="s">
        <v>821</v>
      </c>
      <c r="E101" s="9" t="s">
        <v>822</v>
      </c>
      <c r="F101" s="9" t="s">
        <v>125</v>
      </c>
      <c r="G101" s="225" t="s">
        <v>405</v>
      </c>
      <c r="H101" s="9" t="s">
        <v>426</v>
      </c>
      <c r="I101" s="10">
        <v>1</v>
      </c>
    </row>
    <row r="102" spans="1:9" ht="28.5" x14ac:dyDescent="0.2">
      <c r="A102" s="28">
        <v>1031</v>
      </c>
      <c r="B102" s="9" t="s">
        <v>823</v>
      </c>
      <c r="C102" s="9" t="s">
        <v>824</v>
      </c>
      <c r="D102" s="9" t="s">
        <v>821</v>
      </c>
      <c r="E102" s="9" t="s">
        <v>825</v>
      </c>
      <c r="F102" s="9" t="s">
        <v>125</v>
      </c>
      <c r="G102" s="225" t="s">
        <v>412</v>
      </c>
      <c r="H102" s="9" t="s">
        <v>831</v>
      </c>
      <c r="I102" s="10">
        <v>0.5</v>
      </c>
    </row>
    <row r="103" spans="1:9" ht="28.5" x14ac:dyDescent="0.2">
      <c r="A103" s="28">
        <v>1032</v>
      </c>
      <c r="B103" s="9" t="s">
        <v>823</v>
      </c>
      <c r="C103" s="9" t="s">
        <v>824</v>
      </c>
      <c r="D103" s="9" t="s">
        <v>821</v>
      </c>
      <c r="E103" s="9" t="s">
        <v>825</v>
      </c>
      <c r="F103" s="9" t="s">
        <v>125</v>
      </c>
      <c r="G103" s="225" t="s">
        <v>412</v>
      </c>
      <c r="H103" s="9" t="s">
        <v>831</v>
      </c>
      <c r="I103" s="10">
        <v>0.5</v>
      </c>
    </row>
    <row r="104" spans="1:9" ht="28.5" x14ac:dyDescent="0.2">
      <c r="A104" s="28">
        <v>1033</v>
      </c>
      <c r="B104" s="9" t="s">
        <v>823</v>
      </c>
      <c r="C104" s="9" t="s">
        <v>824</v>
      </c>
      <c r="D104" s="9" t="s">
        <v>821</v>
      </c>
      <c r="E104" s="9" t="s">
        <v>825</v>
      </c>
      <c r="F104" s="9" t="s">
        <v>125</v>
      </c>
      <c r="G104" s="225" t="s">
        <v>412</v>
      </c>
      <c r="H104" s="9" t="s">
        <v>831</v>
      </c>
      <c r="I104" s="10">
        <v>0.5</v>
      </c>
    </row>
    <row r="105" spans="1:9" ht="28.5" x14ac:dyDescent="0.2">
      <c r="A105" s="28">
        <v>1034</v>
      </c>
      <c r="B105" s="9" t="s">
        <v>823</v>
      </c>
      <c r="C105" s="9" t="s">
        <v>824</v>
      </c>
      <c r="D105" s="9" t="s">
        <v>821</v>
      </c>
      <c r="E105" s="9" t="s">
        <v>825</v>
      </c>
      <c r="F105" s="9" t="s">
        <v>125</v>
      </c>
      <c r="G105" s="225" t="s">
        <v>412</v>
      </c>
      <c r="H105" s="9" t="s">
        <v>831</v>
      </c>
      <c r="I105" s="10">
        <v>0.5</v>
      </c>
    </row>
    <row r="106" spans="1:9" ht="28.5" x14ac:dyDescent="0.2">
      <c r="A106" s="28">
        <v>1035</v>
      </c>
      <c r="B106" s="9" t="s">
        <v>823</v>
      </c>
      <c r="C106" s="9" t="s">
        <v>824</v>
      </c>
      <c r="D106" s="9" t="s">
        <v>821</v>
      </c>
      <c r="E106" s="9" t="s">
        <v>825</v>
      </c>
      <c r="F106" s="9" t="s">
        <v>125</v>
      </c>
      <c r="G106" s="225" t="s">
        <v>405</v>
      </c>
      <c r="H106" s="9" t="s">
        <v>426</v>
      </c>
      <c r="I106" s="10">
        <v>1</v>
      </c>
    </row>
    <row r="107" spans="1:9" ht="28.5" x14ac:dyDescent="0.2">
      <c r="A107" s="28">
        <v>1036</v>
      </c>
      <c r="B107" s="9" t="s">
        <v>823</v>
      </c>
      <c r="C107" s="9" t="s">
        <v>824</v>
      </c>
      <c r="D107" s="9" t="s">
        <v>821</v>
      </c>
      <c r="E107" s="9" t="s">
        <v>825</v>
      </c>
      <c r="F107" s="9" t="s">
        <v>125</v>
      </c>
      <c r="G107" s="225" t="s">
        <v>412</v>
      </c>
      <c r="H107" s="9" t="s">
        <v>831</v>
      </c>
      <c r="I107" s="10">
        <v>0.5</v>
      </c>
    </row>
    <row r="108" spans="1:9" ht="28.5" x14ac:dyDescent="0.2">
      <c r="A108" s="28">
        <v>1037</v>
      </c>
      <c r="B108" s="9" t="s">
        <v>823</v>
      </c>
      <c r="C108" s="9" t="s">
        <v>824</v>
      </c>
      <c r="D108" s="9" t="s">
        <v>821</v>
      </c>
      <c r="E108" s="9" t="s">
        <v>825</v>
      </c>
      <c r="F108" s="9" t="s">
        <v>125</v>
      </c>
      <c r="G108" s="225" t="s">
        <v>412</v>
      </c>
      <c r="H108" s="9" t="s">
        <v>831</v>
      </c>
      <c r="I108" s="10">
        <v>0.5</v>
      </c>
    </row>
    <row r="109" spans="1:9" ht="28.5" x14ac:dyDescent="0.2">
      <c r="A109" s="28">
        <v>1038</v>
      </c>
      <c r="B109" s="9" t="s">
        <v>823</v>
      </c>
      <c r="C109" s="9" t="s">
        <v>824</v>
      </c>
      <c r="D109" s="9" t="s">
        <v>821</v>
      </c>
      <c r="E109" s="9" t="s">
        <v>825</v>
      </c>
      <c r="F109" s="9" t="s">
        <v>125</v>
      </c>
      <c r="G109" s="225" t="s">
        <v>412</v>
      </c>
      <c r="H109" s="9" t="s">
        <v>831</v>
      </c>
      <c r="I109" s="10">
        <v>0.5</v>
      </c>
    </row>
    <row r="110" spans="1:9" ht="28.5" x14ac:dyDescent="0.2">
      <c r="A110" s="28">
        <v>1039</v>
      </c>
      <c r="B110" s="9" t="s">
        <v>823</v>
      </c>
      <c r="C110" s="9" t="s">
        <v>824</v>
      </c>
      <c r="D110" s="9" t="s">
        <v>821</v>
      </c>
      <c r="E110" s="9" t="s">
        <v>825</v>
      </c>
      <c r="F110" s="9" t="s">
        <v>125</v>
      </c>
      <c r="G110" s="225" t="s">
        <v>405</v>
      </c>
      <c r="H110" s="9" t="s">
        <v>426</v>
      </c>
      <c r="I110" s="10">
        <v>1</v>
      </c>
    </row>
    <row r="111" spans="1:9" ht="28.5" x14ac:dyDescent="0.2">
      <c r="A111" s="28">
        <v>1040</v>
      </c>
      <c r="B111" s="9" t="s">
        <v>823</v>
      </c>
      <c r="C111" s="9" t="s">
        <v>824</v>
      </c>
      <c r="D111" s="9" t="s">
        <v>821</v>
      </c>
      <c r="E111" s="9" t="s">
        <v>825</v>
      </c>
      <c r="F111" s="9" t="s">
        <v>125</v>
      </c>
      <c r="G111" s="225" t="s">
        <v>405</v>
      </c>
      <c r="H111" s="9" t="s">
        <v>426</v>
      </c>
      <c r="I111" s="10">
        <v>1</v>
      </c>
    </row>
    <row r="112" spans="1:9" ht="28.5" x14ac:dyDescent="0.2">
      <c r="A112" s="28">
        <v>1041</v>
      </c>
      <c r="B112" s="9" t="s">
        <v>826</v>
      </c>
      <c r="C112" s="9" t="s">
        <v>827</v>
      </c>
      <c r="D112" s="9" t="s">
        <v>828</v>
      </c>
      <c r="E112" s="9" t="s">
        <v>829</v>
      </c>
      <c r="F112" s="9" t="s">
        <v>126</v>
      </c>
      <c r="G112" s="225" t="s">
        <v>405</v>
      </c>
      <c r="H112" s="9" t="s">
        <v>428</v>
      </c>
      <c r="I112" s="10">
        <v>1</v>
      </c>
    </row>
    <row r="113" spans="1:9" ht="28.5" x14ac:dyDescent="0.2">
      <c r="A113" s="28">
        <v>1042</v>
      </c>
      <c r="B113" s="9" t="s">
        <v>826</v>
      </c>
      <c r="C113" s="9" t="s">
        <v>827</v>
      </c>
      <c r="D113" s="9" t="s">
        <v>828</v>
      </c>
      <c r="E113" s="9" t="s">
        <v>829</v>
      </c>
      <c r="F113" s="9" t="s">
        <v>125</v>
      </c>
      <c r="G113" s="225" t="s">
        <v>412</v>
      </c>
      <c r="H113" s="9" t="s">
        <v>831</v>
      </c>
      <c r="I113" s="10">
        <v>0.5</v>
      </c>
    </row>
    <row r="114" spans="1:9" ht="28.5" x14ac:dyDescent="0.2">
      <c r="A114" s="28">
        <v>1043</v>
      </c>
      <c r="B114" s="9" t="s">
        <v>826</v>
      </c>
      <c r="C114" s="9" t="s">
        <v>827</v>
      </c>
      <c r="D114" s="9" t="s">
        <v>828</v>
      </c>
      <c r="E114" s="9" t="s">
        <v>829</v>
      </c>
      <c r="F114" s="9" t="s">
        <v>125</v>
      </c>
      <c r="G114" s="225" t="s">
        <v>412</v>
      </c>
      <c r="H114" s="9" t="s">
        <v>831</v>
      </c>
      <c r="I114" s="10">
        <v>0.5</v>
      </c>
    </row>
    <row r="115" spans="1:9" ht="28.5" x14ac:dyDescent="0.2">
      <c r="A115" s="28">
        <v>1044</v>
      </c>
      <c r="B115" s="9" t="s">
        <v>826</v>
      </c>
      <c r="C115" s="9" t="s">
        <v>827</v>
      </c>
      <c r="D115" s="9" t="s">
        <v>828</v>
      </c>
      <c r="E115" s="9" t="s">
        <v>829</v>
      </c>
      <c r="F115" s="9" t="s">
        <v>125</v>
      </c>
      <c r="G115" s="225" t="s">
        <v>405</v>
      </c>
      <c r="H115" s="9" t="s">
        <v>428</v>
      </c>
      <c r="I115" s="10">
        <v>1</v>
      </c>
    </row>
    <row r="116" spans="1:9" ht="28.5" x14ac:dyDescent="0.2">
      <c r="A116" s="28">
        <v>1045</v>
      </c>
      <c r="B116" s="9" t="s">
        <v>826</v>
      </c>
      <c r="C116" s="9" t="s">
        <v>827</v>
      </c>
      <c r="D116" s="9" t="s">
        <v>828</v>
      </c>
      <c r="E116" s="9" t="s">
        <v>829</v>
      </c>
      <c r="F116" s="9" t="s">
        <v>125</v>
      </c>
      <c r="G116" s="225" t="s">
        <v>405</v>
      </c>
      <c r="H116" s="9" t="s">
        <v>428</v>
      </c>
      <c r="I116" s="10">
        <v>1</v>
      </c>
    </row>
    <row r="117" spans="1:9" ht="28.5" x14ac:dyDescent="0.2">
      <c r="A117" s="28">
        <v>1046</v>
      </c>
      <c r="B117" s="9" t="s">
        <v>826</v>
      </c>
      <c r="C117" s="9" t="s">
        <v>827</v>
      </c>
      <c r="D117" s="9" t="s">
        <v>828</v>
      </c>
      <c r="E117" s="9" t="s">
        <v>829</v>
      </c>
      <c r="F117" s="9" t="s">
        <v>125</v>
      </c>
      <c r="G117" s="225" t="s">
        <v>412</v>
      </c>
      <c r="H117" s="9" t="s">
        <v>831</v>
      </c>
      <c r="I117" s="10">
        <v>0.5</v>
      </c>
    </row>
    <row r="118" spans="1:9" ht="42.75" x14ac:dyDescent="0.2">
      <c r="A118" s="28">
        <v>1047</v>
      </c>
      <c r="B118" s="9" t="s">
        <v>823</v>
      </c>
      <c r="C118" s="9" t="s">
        <v>830</v>
      </c>
      <c r="D118" s="9" t="s">
        <v>821</v>
      </c>
      <c r="E118" s="9" t="s">
        <v>825</v>
      </c>
      <c r="F118" s="9" t="s">
        <v>125</v>
      </c>
      <c r="G118" s="225" t="s">
        <v>412</v>
      </c>
      <c r="H118" s="9" t="s">
        <v>831</v>
      </c>
      <c r="I118" s="10">
        <v>0.5</v>
      </c>
    </row>
    <row r="119" spans="1:9" ht="71.25" x14ac:dyDescent="0.2">
      <c r="A119" s="28">
        <v>1048</v>
      </c>
      <c r="B119" s="9" t="s">
        <v>823</v>
      </c>
      <c r="C119" s="9" t="s">
        <v>832</v>
      </c>
      <c r="D119" s="9" t="s">
        <v>821</v>
      </c>
      <c r="E119" s="9" t="s">
        <v>825</v>
      </c>
      <c r="F119" s="9" t="s">
        <v>125</v>
      </c>
      <c r="G119" s="225" t="s">
        <v>412</v>
      </c>
      <c r="H119" s="9" t="s">
        <v>831</v>
      </c>
      <c r="I119" s="10">
        <v>0.5</v>
      </c>
    </row>
    <row r="120" spans="1:9" ht="57" x14ac:dyDescent="0.2">
      <c r="A120" s="28">
        <v>1049</v>
      </c>
      <c r="B120" s="9" t="s">
        <v>823</v>
      </c>
      <c r="C120" s="9" t="s">
        <v>833</v>
      </c>
      <c r="D120" s="9" t="s">
        <v>821</v>
      </c>
      <c r="E120" s="9" t="s">
        <v>825</v>
      </c>
      <c r="F120" s="9" t="s">
        <v>125</v>
      </c>
      <c r="G120" s="225" t="s">
        <v>412</v>
      </c>
      <c r="H120" s="9" t="s">
        <v>831</v>
      </c>
      <c r="I120" s="10">
        <v>0.5</v>
      </c>
    </row>
    <row r="121" spans="1:9" ht="42.75" x14ac:dyDescent="0.2">
      <c r="A121" s="28">
        <v>1050</v>
      </c>
      <c r="B121" s="9" t="s">
        <v>823</v>
      </c>
      <c r="C121" s="9" t="s">
        <v>834</v>
      </c>
      <c r="D121" s="9" t="s">
        <v>821</v>
      </c>
      <c r="E121" s="9" t="s">
        <v>825</v>
      </c>
      <c r="F121" s="9" t="s">
        <v>125</v>
      </c>
      <c r="G121" s="225" t="s">
        <v>412</v>
      </c>
      <c r="H121" s="9" t="s">
        <v>831</v>
      </c>
      <c r="I121" s="10">
        <v>0.5</v>
      </c>
    </row>
    <row r="122" spans="1:9" ht="28.5" x14ac:dyDescent="0.2">
      <c r="A122" s="28">
        <v>1100</v>
      </c>
      <c r="B122" s="9" t="s">
        <v>835</v>
      </c>
      <c r="C122" s="9" t="s">
        <v>836</v>
      </c>
      <c r="D122" s="9" t="s">
        <v>828</v>
      </c>
      <c r="E122" s="9" t="s">
        <v>837</v>
      </c>
      <c r="F122" s="9" t="s">
        <v>125</v>
      </c>
      <c r="G122" s="225" t="s">
        <v>412</v>
      </c>
      <c r="H122" s="9" t="s">
        <v>831</v>
      </c>
      <c r="I122" s="10">
        <v>0.5</v>
      </c>
    </row>
    <row r="123" spans="1:9" ht="28.5" x14ac:dyDescent="0.2">
      <c r="A123" s="28">
        <v>1105</v>
      </c>
      <c r="B123" s="9" t="s">
        <v>838</v>
      </c>
      <c r="C123" s="9" t="s">
        <v>839</v>
      </c>
      <c r="D123" s="9" t="s">
        <v>821</v>
      </c>
      <c r="E123" s="9" t="s">
        <v>837</v>
      </c>
      <c r="F123" s="9" t="s">
        <v>125</v>
      </c>
      <c r="G123" s="225" t="s">
        <v>412</v>
      </c>
      <c r="H123" s="9" t="s">
        <v>831</v>
      </c>
      <c r="I123" s="10">
        <v>0.5</v>
      </c>
    </row>
    <row r="124" spans="1:9" ht="42.75" x14ac:dyDescent="0.2">
      <c r="A124" s="28">
        <v>1110</v>
      </c>
      <c r="B124" s="9" t="s">
        <v>840</v>
      </c>
      <c r="C124" s="9" t="s">
        <v>841</v>
      </c>
      <c r="D124" s="9" t="s">
        <v>842</v>
      </c>
      <c r="E124" s="9" t="s">
        <v>842</v>
      </c>
      <c r="F124" s="9" t="s">
        <v>125</v>
      </c>
      <c r="G124" s="225" t="s">
        <v>412</v>
      </c>
      <c r="H124" s="9" t="s">
        <v>831</v>
      </c>
      <c r="I124" s="10">
        <v>0.5</v>
      </c>
    </row>
    <row r="125" spans="1:9" ht="42.75" x14ac:dyDescent="0.2">
      <c r="A125" s="28">
        <v>1111</v>
      </c>
      <c r="B125" s="9" t="s">
        <v>843</v>
      </c>
      <c r="C125" s="9" t="s">
        <v>841</v>
      </c>
      <c r="D125" s="9" t="s">
        <v>842</v>
      </c>
      <c r="E125" s="9" t="s">
        <v>842</v>
      </c>
      <c r="F125" s="9" t="s">
        <v>125</v>
      </c>
      <c r="G125" s="225" t="s">
        <v>412</v>
      </c>
      <c r="H125" s="9" t="s">
        <v>831</v>
      </c>
      <c r="I125" s="10">
        <v>0.5</v>
      </c>
    </row>
    <row r="126" spans="1:9" ht="42.75" x14ac:dyDescent="0.2">
      <c r="A126" s="28">
        <v>1115</v>
      </c>
      <c r="B126" s="9" t="s">
        <v>844</v>
      </c>
      <c r="C126" s="9" t="s">
        <v>845</v>
      </c>
      <c r="D126" s="9" t="s">
        <v>842</v>
      </c>
      <c r="E126" s="9" t="s">
        <v>842</v>
      </c>
      <c r="F126" s="9" t="s">
        <v>125</v>
      </c>
      <c r="G126" s="225" t="s">
        <v>412</v>
      </c>
      <c r="H126" s="9" t="s">
        <v>831</v>
      </c>
      <c r="I126" s="10">
        <v>0.5</v>
      </c>
    </row>
    <row r="127" spans="1:9" ht="42.75" x14ac:dyDescent="0.2">
      <c r="A127" s="28">
        <v>1116</v>
      </c>
      <c r="B127" s="9" t="s">
        <v>846</v>
      </c>
      <c r="C127" s="9" t="s">
        <v>845</v>
      </c>
      <c r="D127" s="9" t="s">
        <v>842</v>
      </c>
      <c r="E127" s="9" t="s">
        <v>842</v>
      </c>
      <c r="F127" s="9" t="s">
        <v>125</v>
      </c>
      <c r="G127" s="225" t="s">
        <v>412</v>
      </c>
      <c r="H127" s="9" t="s">
        <v>831</v>
      </c>
      <c r="I127" s="10">
        <v>0.5</v>
      </c>
    </row>
    <row r="128" spans="1:9" ht="42.75" x14ac:dyDescent="0.2">
      <c r="A128" s="28">
        <v>1117</v>
      </c>
      <c r="B128" s="9" t="s">
        <v>847</v>
      </c>
      <c r="C128" s="9" t="s">
        <v>845</v>
      </c>
      <c r="D128" s="9" t="s">
        <v>842</v>
      </c>
      <c r="E128" s="9" t="s">
        <v>842</v>
      </c>
      <c r="F128" s="9" t="s">
        <v>125</v>
      </c>
      <c r="G128" s="225" t="s">
        <v>412</v>
      </c>
      <c r="H128" s="9" t="s">
        <v>831</v>
      </c>
      <c r="I128" s="10">
        <v>0.5</v>
      </c>
    </row>
    <row r="129" spans="1:9" ht="42.75" x14ac:dyDescent="0.2">
      <c r="A129" s="28">
        <v>1118</v>
      </c>
      <c r="B129" s="9" t="s">
        <v>848</v>
      </c>
      <c r="C129" s="9" t="s">
        <v>845</v>
      </c>
      <c r="D129" s="9" t="s">
        <v>842</v>
      </c>
      <c r="E129" s="9" t="s">
        <v>842</v>
      </c>
      <c r="F129" s="9" t="s">
        <v>125</v>
      </c>
      <c r="G129" s="225" t="s">
        <v>412</v>
      </c>
      <c r="H129" s="9" t="s">
        <v>831</v>
      </c>
      <c r="I129" s="10">
        <v>0.5</v>
      </c>
    </row>
    <row r="130" spans="1:9" ht="42.75" x14ac:dyDescent="0.2">
      <c r="A130" s="28">
        <v>1120</v>
      </c>
      <c r="B130" s="9" t="s">
        <v>849</v>
      </c>
      <c r="C130" s="9" t="s">
        <v>850</v>
      </c>
      <c r="D130" s="9" t="s">
        <v>842</v>
      </c>
      <c r="E130" s="9" t="s">
        <v>842</v>
      </c>
      <c r="F130" s="9" t="s">
        <v>125</v>
      </c>
      <c r="G130" s="225" t="s">
        <v>412</v>
      </c>
      <c r="H130" s="9" t="s">
        <v>831</v>
      </c>
      <c r="I130" s="10">
        <v>0.5</v>
      </c>
    </row>
    <row r="131" spans="1:9" ht="42.75" x14ac:dyDescent="0.2">
      <c r="A131" s="28">
        <v>1125</v>
      </c>
      <c r="B131" s="9" t="s">
        <v>851</v>
      </c>
      <c r="C131" s="9" t="s">
        <v>852</v>
      </c>
      <c r="D131" s="9" t="s">
        <v>842</v>
      </c>
      <c r="E131" s="9" t="s">
        <v>842</v>
      </c>
      <c r="F131" s="9" t="s">
        <v>125</v>
      </c>
      <c r="G131" s="225" t="s">
        <v>405</v>
      </c>
      <c r="H131" s="9" t="s">
        <v>426</v>
      </c>
      <c r="I131" s="10">
        <v>1</v>
      </c>
    </row>
    <row r="132" spans="1:9" ht="42.75" x14ac:dyDescent="0.2">
      <c r="A132" s="28">
        <v>1130</v>
      </c>
      <c r="B132" s="9" t="s">
        <v>853</v>
      </c>
      <c r="C132" s="9" t="s">
        <v>854</v>
      </c>
      <c r="D132" s="9" t="s">
        <v>828</v>
      </c>
      <c r="E132" s="9" t="s">
        <v>837</v>
      </c>
      <c r="F132" s="9" t="s">
        <v>125</v>
      </c>
      <c r="G132" s="225" t="s">
        <v>405</v>
      </c>
      <c r="H132" s="9" t="s">
        <v>426</v>
      </c>
      <c r="I132" s="10">
        <v>1</v>
      </c>
    </row>
    <row r="133" spans="1:9" ht="42.75" x14ac:dyDescent="0.2">
      <c r="A133" s="28">
        <v>1131</v>
      </c>
      <c r="B133" s="9" t="s">
        <v>636</v>
      </c>
      <c r="C133" s="9" t="s">
        <v>637</v>
      </c>
      <c r="D133" s="9" t="s">
        <v>821</v>
      </c>
      <c r="E133" s="9" t="s">
        <v>837</v>
      </c>
      <c r="F133" s="9" t="s">
        <v>125</v>
      </c>
      <c r="G133" s="225" t="s">
        <v>412</v>
      </c>
      <c r="H133" s="9" t="s">
        <v>831</v>
      </c>
      <c r="I133" s="10">
        <v>0.5</v>
      </c>
    </row>
    <row r="134" spans="1:9" ht="42.75" x14ac:dyDescent="0.2">
      <c r="A134" s="28">
        <v>1132</v>
      </c>
      <c r="B134" s="9" t="s">
        <v>855</v>
      </c>
      <c r="C134" s="9" t="s">
        <v>856</v>
      </c>
      <c r="D134" s="9" t="s">
        <v>821</v>
      </c>
      <c r="E134" s="9" t="s">
        <v>837</v>
      </c>
      <c r="F134" s="9" t="s">
        <v>831</v>
      </c>
      <c r="G134" s="225" t="s">
        <v>412</v>
      </c>
      <c r="H134" s="9" t="s">
        <v>831</v>
      </c>
      <c r="I134" s="10">
        <v>0.5</v>
      </c>
    </row>
    <row r="135" spans="1:9" ht="42.75" x14ac:dyDescent="0.2">
      <c r="A135" s="28">
        <v>1133</v>
      </c>
      <c r="B135" s="9" t="s">
        <v>857</v>
      </c>
      <c r="C135" s="9" t="s">
        <v>856</v>
      </c>
      <c r="D135" s="9" t="s">
        <v>821</v>
      </c>
      <c r="E135" s="9" t="s">
        <v>837</v>
      </c>
      <c r="F135" s="9" t="s">
        <v>831</v>
      </c>
      <c r="G135" s="225" t="s">
        <v>412</v>
      </c>
      <c r="H135" s="9" t="s">
        <v>831</v>
      </c>
      <c r="I135" s="10">
        <v>0.5</v>
      </c>
    </row>
    <row r="136" spans="1:9" ht="42.75" x14ac:dyDescent="0.2">
      <c r="A136" s="28">
        <v>1134</v>
      </c>
      <c r="B136" s="9" t="s">
        <v>858</v>
      </c>
      <c r="C136" s="9" t="s">
        <v>856</v>
      </c>
      <c r="D136" s="9" t="s">
        <v>821</v>
      </c>
      <c r="E136" s="9" t="s">
        <v>837</v>
      </c>
      <c r="F136" s="9" t="s">
        <v>831</v>
      </c>
      <c r="G136" s="225" t="s">
        <v>412</v>
      </c>
      <c r="H136" s="9" t="s">
        <v>831</v>
      </c>
      <c r="I136" s="10">
        <v>0.5</v>
      </c>
    </row>
    <row r="137" spans="1:9" ht="42.75" x14ac:dyDescent="0.2">
      <c r="A137" s="28">
        <v>1135</v>
      </c>
      <c r="B137" s="9" t="s">
        <v>859</v>
      </c>
      <c r="C137" s="9" t="s">
        <v>856</v>
      </c>
      <c r="D137" s="9" t="s">
        <v>860</v>
      </c>
      <c r="E137" s="9" t="s">
        <v>861</v>
      </c>
      <c r="F137" s="9" t="s">
        <v>125</v>
      </c>
      <c r="G137" s="225" t="s">
        <v>412</v>
      </c>
      <c r="H137" s="9" t="s">
        <v>831</v>
      </c>
      <c r="I137" s="10">
        <v>0.5</v>
      </c>
    </row>
    <row r="138" spans="1:9" ht="42.75" x14ac:dyDescent="0.2">
      <c r="A138" s="28">
        <v>1136</v>
      </c>
      <c r="B138" s="9" t="s">
        <v>862</v>
      </c>
      <c r="C138" s="9" t="s">
        <v>856</v>
      </c>
      <c r="D138" s="9" t="s">
        <v>863</v>
      </c>
      <c r="E138" s="9" t="s">
        <v>864</v>
      </c>
      <c r="F138" s="9" t="s">
        <v>125</v>
      </c>
      <c r="G138" s="225" t="s">
        <v>412</v>
      </c>
      <c r="H138" s="9" t="s">
        <v>831</v>
      </c>
      <c r="I138" s="10">
        <v>0.5</v>
      </c>
    </row>
    <row r="139" spans="1:9" ht="42.75" x14ac:dyDescent="0.2">
      <c r="A139" s="28">
        <v>1137</v>
      </c>
      <c r="B139" s="9" t="s">
        <v>865</v>
      </c>
      <c r="C139" s="9" t="s">
        <v>856</v>
      </c>
      <c r="D139" s="9" t="s">
        <v>828</v>
      </c>
      <c r="E139" s="9" t="s">
        <v>837</v>
      </c>
      <c r="F139" s="9" t="s">
        <v>125</v>
      </c>
      <c r="G139" s="225" t="s">
        <v>412</v>
      </c>
      <c r="H139" s="9" t="s">
        <v>831</v>
      </c>
      <c r="I139" s="10">
        <v>0.5</v>
      </c>
    </row>
    <row r="140" spans="1:9" ht="42.75" x14ac:dyDescent="0.2">
      <c r="A140" s="28">
        <v>1138</v>
      </c>
      <c r="B140" s="9" t="s">
        <v>917</v>
      </c>
      <c r="C140" s="9" t="s">
        <v>918</v>
      </c>
      <c r="D140" s="9" t="s">
        <v>404</v>
      </c>
      <c r="E140" s="9" t="s">
        <v>404</v>
      </c>
      <c r="F140" s="9" t="s">
        <v>125</v>
      </c>
      <c r="G140" s="225" t="s">
        <v>412</v>
      </c>
      <c r="H140" s="9" t="s">
        <v>831</v>
      </c>
      <c r="I140" s="10">
        <v>0.5</v>
      </c>
    </row>
    <row r="141" spans="1:9" ht="42.75" x14ac:dyDescent="0.2">
      <c r="A141" s="28">
        <v>1139</v>
      </c>
      <c r="B141" s="9" t="s">
        <v>917</v>
      </c>
      <c r="C141" s="9" t="s">
        <v>919</v>
      </c>
      <c r="D141" s="9" t="s">
        <v>404</v>
      </c>
      <c r="E141" s="9" t="s">
        <v>404</v>
      </c>
      <c r="F141" s="9" t="s">
        <v>125</v>
      </c>
      <c r="G141" s="225" t="s">
        <v>412</v>
      </c>
      <c r="H141" s="9" t="s">
        <v>831</v>
      </c>
      <c r="I141" s="10">
        <v>0.5</v>
      </c>
    </row>
    <row r="142" spans="1:9" ht="42.75" x14ac:dyDescent="0.2">
      <c r="A142" s="28">
        <v>1140</v>
      </c>
      <c r="B142" s="9" t="s">
        <v>859</v>
      </c>
      <c r="C142" s="9" t="s">
        <v>866</v>
      </c>
      <c r="D142" s="9" t="s">
        <v>860</v>
      </c>
      <c r="E142" s="9" t="s">
        <v>861</v>
      </c>
      <c r="F142" s="9" t="s">
        <v>125</v>
      </c>
      <c r="G142" s="225" t="s">
        <v>412</v>
      </c>
      <c r="H142" s="9" t="s">
        <v>831</v>
      </c>
      <c r="I142" s="10">
        <v>0.5</v>
      </c>
    </row>
    <row r="143" spans="1:9" ht="42.75" x14ac:dyDescent="0.2">
      <c r="A143" s="28">
        <v>1141</v>
      </c>
      <c r="B143" s="9" t="s">
        <v>862</v>
      </c>
      <c r="C143" s="9" t="s">
        <v>866</v>
      </c>
      <c r="D143" s="9" t="s">
        <v>863</v>
      </c>
      <c r="E143" s="9" t="s">
        <v>864</v>
      </c>
      <c r="F143" s="9" t="s">
        <v>125</v>
      </c>
      <c r="G143" s="225" t="s">
        <v>412</v>
      </c>
      <c r="H143" s="9" t="s">
        <v>831</v>
      </c>
      <c r="I143" s="10">
        <v>0.5</v>
      </c>
    </row>
    <row r="144" spans="1:9" ht="42.75" x14ac:dyDescent="0.2">
      <c r="A144" s="28">
        <v>1142</v>
      </c>
      <c r="B144" s="9" t="s">
        <v>865</v>
      </c>
      <c r="C144" s="9" t="s">
        <v>866</v>
      </c>
      <c r="D144" s="9" t="s">
        <v>828</v>
      </c>
      <c r="E144" s="9" t="s">
        <v>837</v>
      </c>
      <c r="F144" s="9" t="s">
        <v>125</v>
      </c>
      <c r="G144" s="225" t="s">
        <v>412</v>
      </c>
      <c r="H144" s="9" t="s">
        <v>831</v>
      </c>
      <c r="I144" s="10">
        <v>0.5</v>
      </c>
    </row>
    <row r="145" spans="1:9" ht="42.75" x14ac:dyDescent="0.2">
      <c r="A145" s="28">
        <v>1143</v>
      </c>
      <c r="B145" s="9" t="s">
        <v>638</v>
      </c>
      <c r="C145" s="9" t="s">
        <v>866</v>
      </c>
      <c r="D145" s="9" t="s">
        <v>821</v>
      </c>
      <c r="E145" s="9" t="s">
        <v>837</v>
      </c>
      <c r="F145" s="9" t="s">
        <v>125</v>
      </c>
      <c r="G145" s="225" t="s">
        <v>412</v>
      </c>
      <c r="H145" s="9" t="s">
        <v>831</v>
      </c>
      <c r="I145" s="10">
        <v>0.5</v>
      </c>
    </row>
    <row r="146" spans="1:9" ht="42.75" x14ac:dyDescent="0.2">
      <c r="A146" s="28">
        <v>1144</v>
      </c>
      <c r="B146" s="9" t="s">
        <v>855</v>
      </c>
      <c r="C146" s="9" t="s">
        <v>866</v>
      </c>
      <c r="D146" s="9" t="s">
        <v>821</v>
      </c>
      <c r="E146" s="9" t="s">
        <v>837</v>
      </c>
      <c r="F146" s="9" t="s">
        <v>831</v>
      </c>
      <c r="G146" s="225" t="s">
        <v>412</v>
      </c>
      <c r="H146" s="9" t="s">
        <v>831</v>
      </c>
      <c r="I146" s="10">
        <v>0.5</v>
      </c>
    </row>
    <row r="147" spans="1:9" ht="42.75" x14ac:dyDescent="0.2">
      <c r="A147" s="28">
        <v>1145</v>
      </c>
      <c r="B147" s="9" t="s">
        <v>857</v>
      </c>
      <c r="C147" s="9" t="s">
        <v>866</v>
      </c>
      <c r="D147" s="9" t="s">
        <v>821</v>
      </c>
      <c r="E147" s="9" t="s">
        <v>837</v>
      </c>
      <c r="F147" s="9" t="s">
        <v>831</v>
      </c>
      <c r="G147" s="225" t="s">
        <v>412</v>
      </c>
      <c r="H147" s="9" t="s">
        <v>831</v>
      </c>
      <c r="I147" s="10">
        <v>0.5</v>
      </c>
    </row>
    <row r="148" spans="1:9" ht="42.75" x14ac:dyDescent="0.2">
      <c r="A148" s="28">
        <v>1146</v>
      </c>
      <c r="B148" s="9" t="s">
        <v>858</v>
      </c>
      <c r="C148" s="9" t="s">
        <v>866</v>
      </c>
      <c r="D148" s="9" t="s">
        <v>821</v>
      </c>
      <c r="E148" s="9" t="s">
        <v>837</v>
      </c>
      <c r="F148" s="9" t="s">
        <v>831</v>
      </c>
      <c r="G148" s="225" t="s">
        <v>412</v>
      </c>
      <c r="H148" s="9" t="s">
        <v>831</v>
      </c>
      <c r="I148" s="10">
        <v>0.5</v>
      </c>
    </row>
    <row r="149" spans="1:9" ht="28.5" x14ac:dyDescent="0.2">
      <c r="A149" s="28">
        <v>1151</v>
      </c>
      <c r="B149" s="9" t="s">
        <v>639</v>
      </c>
      <c r="C149" s="9" t="s">
        <v>868</v>
      </c>
      <c r="D149" s="9" t="s">
        <v>821</v>
      </c>
      <c r="E149" s="9" t="s">
        <v>837</v>
      </c>
      <c r="F149" s="9" t="s">
        <v>125</v>
      </c>
      <c r="G149" s="225" t="s">
        <v>412</v>
      </c>
      <c r="H149" s="9" t="s">
        <v>831</v>
      </c>
      <c r="I149" s="10">
        <v>0.5</v>
      </c>
    </row>
    <row r="150" spans="1:9" ht="28.5" x14ac:dyDescent="0.2">
      <c r="A150" s="28">
        <v>1152</v>
      </c>
      <c r="B150" s="9" t="s">
        <v>867</v>
      </c>
      <c r="C150" s="9" t="s">
        <v>868</v>
      </c>
      <c r="D150" s="9" t="s">
        <v>821</v>
      </c>
      <c r="E150" s="9" t="s">
        <v>837</v>
      </c>
      <c r="F150" s="9" t="s">
        <v>831</v>
      </c>
      <c r="G150" s="225" t="s">
        <v>412</v>
      </c>
      <c r="H150" s="9" t="s">
        <v>831</v>
      </c>
      <c r="I150" s="10">
        <v>0.5</v>
      </c>
    </row>
    <row r="151" spans="1:9" ht="28.5" x14ac:dyDescent="0.2">
      <c r="A151" s="28">
        <v>1153</v>
      </c>
      <c r="B151" s="9" t="s">
        <v>869</v>
      </c>
      <c r="C151" s="9" t="s">
        <v>868</v>
      </c>
      <c r="D151" s="9" t="s">
        <v>821</v>
      </c>
      <c r="E151" s="9" t="s">
        <v>837</v>
      </c>
      <c r="F151" s="9" t="s">
        <v>831</v>
      </c>
      <c r="G151" s="225" t="s">
        <v>412</v>
      </c>
      <c r="H151" s="9" t="s">
        <v>831</v>
      </c>
      <c r="I151" s="10">
        <v>0.5</v>
      </c>
    </row>
    <row r="152" spans="1:9" ht="28.5" x14ac:dyDescent="0.2">
      <c r="A152" s="28">
        <v>1154</v>
      </c>
      <c r="B152" s="9" t="s">
        <v>870</v>
      </c>
      <c r="C152" s="9" t="s">
        <v>868</v>
      </c>
      <c r="D152" s="9" t="s">
        <v>821</v>
      </c>
      <c r="E152" s="9" t="s">
        <v>837</v>
      </c>
      <c r="F152" s="9" t="s">
        <v>831</v>
      </c>
      <c r="G152" s="225" t="s">
        <v>412</v>
      </c>
      <c r="H152" s="9" t="s">
        <v>831</v>
      </c>
      <c r="I152" s="10">
        <v>0.5</v>
      </c>
    </row>
    <row r="153" spans="1:9" ht="28.5" x14ac:dyDescent="0.2">
      <c r="A153" s="28">
        <v>1155</v>
      </c>
      <c r="B153" s="9" t="s">
        <v>871</v>
      </c>
      <c r="C153" s="9" t="s">
        <v>868</v>
      </c>
      <c r="D153" s="9" t="s">
        <v>860</v>
      </c>
      <c r="E153" s="9" t="s">
        <v>861</v>
      </c>
      <c r="F153" s="9" t="s">
        <v>125</v>
      </c>
      <c r="G153" s="225" t="s">
        <v>412</v>
      </c>
      <c r="H153" s="9" t="s">
        <v>831</v>
      </c>
      <c r="I153" s="10">
        <v>0.5</v>
      </c>
    </row>
    <row r="154" spans="1:9" ht="28.5" x14ac:dyDescent="0.2">
      <c r="A154" s="28">
        <v>1156</v>
      </c>
      <c r="B154" s="9" t="s">
        <v>872</v>
      </c>
      <c r="C154" s="9" t="s">
        <v>868</v>
      </c>
      <c r="D154" s="9" t="s">
        <v>863</v>
      </c>
      <c r="E154" s="9" t="s">
        <v>864</v>
      </c>
      <c r="F154" s="9" t="s">
        <v>125</v>
      </c>
      <c r="G154" s="225" t="s">
        <v>412</v>
      </c>
      <c r="H154" s="9" t="s">
        <v>831</v>
      </c>
      <c r="I154" s="10">
        <v>0.5</v>
      </c>
    </row>
    <row r="155" spans="1:9" ht="28.5" x14ac:dyDescent="0.2">
      <c r="A155" s="28">
        <v>1157</v>
      </c>
      <c r="B155" s="9" t="s">
        <v>873</v>
      </c>
      <c r="C155" s="9" t="s">
        <v>868</v>
      </c>
      <c r="D155" s="9" t="s">
        <v>828</v>
      </c>
      <c r="E155" s="9" t="s">
        <v>837</v>
      </c>
      <c r="F155" s="9" t="s">
        <v>125</v>
      </c>
      <c r="G155" s="225" t="s">
        <v>412</v>
      </c>
      <c r="H155" s="9" t="s">
        <v>831</v>
      </c>
      <c r="I155" s="10">
        <v>0.5</v>
      </c>
    </row>
    <row r="156" spans="1:9" ht="28.5" x14ac:dyDescent="0.2">
      <c r="A156" s="28">
        <v>1158</v>
      </c>
      <c r="B156" s="9" t="s">
        <v>920</v>
      </c>
      <c r="C156" s="9" t="s">
        <v>868</v>
      </c>
      <c r="D156" s="9" t="s">
        <v>860</v>
      </c>
      <c r="E156" s="9" t="s">
        <v>837</v>
      </c>
      <c r="F156" s="9" t="s">
        <v>125</v>
      </c>
      <c r="G156" s="225" t="s">
        <v>412</v>
      </c>
      <c r="H156" s="9" t="s">
        <v>831</v>
      </c>
      <c r="I156" s="10">
        <v>0.5</v>
      </c>
    </row>
    <row r="157" spans="1:9" ht="28.5" x14ac:dyDescent="0.2">
      <c r="A157" s="28">
        <v>1160</v>
      </c>
      <c r="B157" s="9" t="s">
        <v>874</v>
      </c>
      <c r="C157" s="9" t="s">
        <v>875</v>
      </c>
      <c r="D157" s="9" t="s">
        <v>821</v>
      </c>
      <c r="E157" s="9" t="s">
        <v>876</v>
      </c>
      <c r="F157" s="9" t="s">
        <v>125</v>
      </c>
      <c r="G157" s="225" t="s">
        <v>405</v>
      </c>
      <c r="H157" s="9" t="s">
        <v>431</v>
      </c>
      <c r="I157" s="10">
        <v>1</v>
      </c>
    </row>
    <row r="158" spans="1:9" ht="28.5" x14ac:dyDescent="0.2">
      <c r="A158" s="28">
        <v>1161</v>
      </c>
      <c r="B158" s="9" t="s">
        <v>877</v>
      </c>
      <c r="C158" s="9" t="s">
        <v>877</v>
      </c>
      <c r="D158" s="9" t="s">
        <v>821</v>
      </c>
      <c r="E158" s="9" t="s">
        <v>876</v>
      </c>
      <c r="F158" s="9" t="s">
        <v>125</v>
      </c>
      <c r="G158" s="225" t="s">
        <v>405</v>
      </c>
      <c r="H158" s="9" t="s">
        <v>431</v>
      </c>
      <c r="I158" s="10">
        <v>1</v>
      </c>
    </row>
    <row r="159" spans="1:9" ht="42.75" x14ac:dyDescent="0.2">
      <c r="A159" s="28">
        <v>1165</v>
      </c>
      <c r="B159" s="9" t="s">
        <v>878</v>
      </c>
      <c r="C159" s="9" t="s">
        <v>879</v>
      </c>
      <c r="D159" s="9" t="s">
        <v>821</v>
      </c>
      <c r="E159" s="9" t="s">
        <v>876</v>
      </c>
      <c r="F159" s="9" t="s">
        <v>125</v>
      </c>
      <c r="G159" s="225" t="s">
        <v>405</v>
      </c>
      <c r="H159" s="9" t="s">
        <v>431</v>
      </c>
      <c r="I159" s="10">
        <v>1</v>
      </c>
    </row>
    <row r="160" spans="1:9" ht="57" x14ac:dyDescent="0.2">
      <c r="A160" s="28">
        <v>1166</v>
      </c>
      <c r="B160" s="9" t="s">
        <v>444</v>
      </c>
      <c r="C160" s="9" t="s">
        <v>445</v>
      </c>
      <c r="D160" s="9" t="s">
        <v>821</v>
      </c>
      <c r="E160" s="9" t="s">
        <v>876</v>
      </c>
      <c r="F160" s="9" t="s">
        <v>125</v>
      </c>
      <c r="G160" s="225" t="s">
        <v>412</v>
      </c>
      <c r="H160" s="9" t="s">
        <v>431</v>
      </c>
      <c r="I160" s="10">
        <v>0.5</v>
      </c>
    </row>
    <row r="161" spans="1:9" ht="57" x14ac:dyDescent="0.2">
      <c r="A161" s="28">
        <v>1170</v>
      </c>
      <c r="B161" s="9" t="s">
        <v>880</v>
      </c>
      <c r="C161" s="9" t="s">
        <v>881</v>
      </c>
      <c r="D161" s="9" t="s">
        <v>404</v>
      </c>
      <c r="E161" s="9" t="s">
        <v>404</v>
      </c>
      <c r="F161" s="9" t="s">
        <v>125</v>
      </c>
      <c r="G161" s="225" t="s">
        <v>412</v>
      </c>
      <c r="H161" s="9" t="s">
        <v>831</v>
      </c>
      <c r="I161" s="10">
        <v>0.5</v>
      </c>
    </row>
    <row r="162" spans="1:9" ht="42.75" x14ac:dyDescent="0.2">
      <c r="A162" s="28">
        <v>1175</v>
      </c>
      <c r="B162" s="9" t="s">
        <v>882</v>
      </c>
      <c r="C162" s="9" t="s">
        <v>883</v>
      </c>
      <c r="D162" s="9" t="s">
        <v>842</v>
      </c>
      <c r="E162" s="9" t="s">
        <v>842</v>
      </c>
      <c r="F162" s="9" t="s">
        <v>125</v>
      </c>
      <c r="G162" s="225" t="s">
        <v>412</v>
      </c>
      <c r="H162" s="9" t="s">
        <v>831</v>
      </c>
      <c r="I162" s="10">
        <v>0.5</v>
      </c>
    </row>
    <row r="163" spans="1:9" ht="42.75" x14ac:dyDescent="0.2">
      <c r="A163" s="28">
        <v>1176</v>
      </c>
      <c r="B163" s="9" t="s">
        <v>884</v>
      </c>
      <c r="C163" s="9" t="s">
        <v>883</v>
      </c>
      <c r="D163" s="9" t="s">
        <v>842</v>
      </c>
      <c r="E163" s="9" t="s">
        <v>842</v>
      </c>
      <c r="F163" s="9" t="s">
        <v>831</v>
      </c>
      <c r="G163" s="225" t="s">
        <v>412</v>
      </c>
      <c r="H163" s="9" t="s">
        <v>831</v>
      </c>
      <c r="I163" s="10">
        <v>0.5</v>
      </c>
    </row>
    <row r="164" spans="1:9" ht="42.75" x14ac:dyDescent="0.2">
      <c r="A164" s="28">
        <v>1177</v>
      </c>
      <c r="B164" s="9" t="s">
        <v>885</v>
      </c>
      <c r="C164" s="9" t="s">
        <v>883</v>
      </c>
      <c r="D164" s="9" t="s">
        <v>842</v>
      </c>
      <c r="E164" s="9" t="s">
        <v>842</v>
      </c>
      <c r="F164" s="9" t="s">
        <v>831</v>
      </c>
      <c r="G164" s="225" t="s">
        <v>412</v>
      </c>
      <c r="H164" s="9" t="s">
        <v>831</v>
      </c>
      <c r="I164" s="10">
        <v>0.5</v>
      </c>
    </row>
    <row r="165" spans="1:9" ht="42.75" x14ac:dyDescent="0.2">
      <c r="A165" s="28">
        <v>1178</v>
      </c>
      <c r="B165" s="9" t="s">
        <v>886</v>
      </c>
      <c r="C165" s="9" t="s">
        <v>883</v>
      </c>
      <c r="D165" s="9" t="s">
        <v>842</v>
      </c>
      <c r="E165" s="9" t="s">
        <v>842</v>
      </c>
      <c r="F165" s="9" t="s">
        <v>831</v>
      </c>
      <c r="G165" s="225" t="s">
        <v>809</v>
      </c>
      <c r="H165" s="9" t="s">
        <v>831</v>
      </c>
      <c r="I165" s="10">
        <v>0</v>
      </c>
    </row>
    <row r="166" spans="1:9" ht="42.75" x14ac:dyDescent="0.2">
      <c r="A166" s="28">
        <v>1180</v>
      </c>
      <c r="B166" s="221" t="s">
        <v>954</v>
      </c>
      <c r="C166" s="221" t="s">
        <v>888</v>
      </c>
      <c r="D166" s="9" t="s">
        <v>842</v>
      </c>
      <c r="E166" s="9" t="s">
        <v>842</v>
      </c>
      <c r="F166" s="9" t="s">
        <v>125</v>
      </c>
      <c r="G166" s="225" t="s">
        <v>405</v>
      </c>
      <c r="H166" s="9" t="s">
        <v>426</v>
      </c>
      <c r="I166" s="10">
        <v>1</v>
      </c>
    </row>
    <row r="167" spans="1:9" ht="42.75" x14ac:dyDescent="0.2">
      <c r="A167" s="28">
        <v>1181</v>
      </c>
      <c r="B167" s="9" t="s">
        <v>889</v>
      </c>
      <c r="C167" s="9" t="s">
        <v>888</v>
      </c>
      <c r="D167" s="9" t="s">
        <v>842</v>
      </c>
      <c r="E167" s="9" t="s">
        <v>842</v>
      </c>
      <c r="F167" s="9" t="s">
        <v>125</v>
      </c>
      <c r="G167" s="225" t="s">
        <v>405</v>
      </c>
      <c r="H167" s="9" t="s">
        <v>426</v>
      </c>
      <c r="I167" s="10">
        <v>1</v>
      </c>
    </row>
    <row r="168" spans="1:9" ht="42.75" x14ac:dyDescent="0.2">
      <c r="A168" s="28">
        <v>1182</v>
      </c>
      <c r="B168" s="9" t="s">
        <v>0</v>
      </c>
      <c r="C168" s="9" t="s">
        <v>888</v>
      </c>
      <c r="D168" s="9" t="s">
        <v>842</v>
      </c>
      <c r="E168" s="9" t="s">
        <v>842</v>
      </c>
      <c r="F168" s="9" t="s">
        <v>125</v>
      </c>
      <c r="G168" s="225" t="s">
        <v>405</v>
      </c>
      <c r="H168" s="9" t="s">
        <v>426</v>
      </c>
      <c r="I168" s="10">
        <v>1</v>
      </c>
    </row>
    <row r="169" spans="1:9" ht="42.75" x14ac:dyDescent="0.2">
      <c r="A169" s="28">
        <v>1183</v>
      </c>
      <c r="B169" s="9" t="s">
        <v>1</v>
      </c>
      <c r="C169" s="9" t="s">
        <v>888</v>
      </c>
      <c r="D169" s="9" t="s">
        <v>842</v>
      </c>
      <c r="E169" s="9" t="s">
        <v>842</v>
      </c>
      <c r="F169" s="9" t="s">
        <v>831</v>
      </c>
      <c r="G169" s="225" t="s">
        <v>809</v>
      </c>
      <c r="H169" s="9" t="s">
        <v>831</v>
      </c>
      <c r="I169" s="10">
        <v>0</v>
      </c>
    </row>
    <row r="170" spans="1:9" ht="28.5" x14ac:dyDescent="0.2">
      <c r="A170" s="28">
        <v>1185</v>
      </c>
      <c r="B170" s="9" t="s">
        <v>2</v>
      </c>
      <c r="C170" s="9" t="s">
        <v>3</v>
      </c>
      <c r="D170" s="9" t="s">
        <v>4</v>
      </c>
      <c r="E170" s="9" t="s">
        <v>5</v>
      </c>
      <c r="F170" s="9" t="s">
        <v>125</v>
      </c>
      <c r="G170" s="225" t="s">
        <v>412</v>
      </c>
      <c r="H170" s="9" t="s">
        <v>831</v>
      </c>
      <c r="I170" s="10">
        <v>0.5</v>
      </c>
    </row>
    <row r="171" spans="1:9" ht="28.5" x14ac:dyDescent="0.2">
      <c r="A171" s="28">
        <v>1186</v>
      </c>
      <c r="B171" s="9" t="s">
        <v>6</v>
      </c>
      <c r="C171" s="9" t="s">
        <v>3</v>
      </c>
      <c r="D171" s="9" t="s">
        <v>4</v>
      </c>
      <c r="E171" s="9" t="s">
        <v>5</v>
      </c>
      <c r="F171" s="9" t="s">
        <v>831</v>
      </c>
      <c r="G171" s="225" t="s">
        <v>412</v>
      </c>
      <c r="H171" s="9" t="s">
        <v>831</v>
      </c>
      <c r="I171" s="10">
        <v>0.5</v>
      </c>
    </row>
    <row r="172" spans="1:9" ht="28.5" x14ac:dyDescent="0.2">
      <c r="A172" s="28">
        <v>1187</v>
      </c>
      <c r="B172" s="9" t="s">
        <v>7</v>
      </c>
      <c r="C172" s="9" t="s">
        <v>3</v>
      </c>
      <c r="D172" s="9" t="s">
        <v>4</v>
      </c>
      <c r="E172" s="9" t="s">
        <v>5</v>
      </c>
      <c r="F172" s="9" t="s">
        <v>831</v>
      </c>
      <c r="G172" s="225" t="s">
        <v>412</v>
      </c>
      <c r="H172" s="9" t="s">
        <v>831</v>
      </c>
      <c r="I172" s="10">
        <v>0.5</v>
      </c>
    </row>
    <row r="173" spans="1:9" ht="28.5" x14ac:dyDescent="0.2">
      <c r="A173" s="28">
        <v>1188</v>
      </c>
      <c r="B173" s="9" t="s">
        <v>8</v>
      </c>
      <c r="C173" s="9" t="s">
        <v>3</v>
      </c>
      <c r="D173" s="9" t="s">
        <v>4</v>
      </c>
      <c r="E173" s="9" t="s">
        <v>5</v>
      </c>
      <c r="F173" s="9" t="s">
        <v>831</v>
      </c>
      <c r="G173" s="225" t="s">
        <v>412</v>
      </c>
      <c r="H173" s="9" t="s">
        <v>831</v>
      </c>
      <c r="I173" s="10">
        <v>0.5</v>
      </c>
    </row>
    <row r="174" spans="1:9" ht="28.5" x14ac:dyDescent="0.2">
      <c r="A174" s="28">
        <v>1190</v>
      </c>
      <c r="B174" s="9" t="s">
        <v>9</v>
      </c>
      <c r="C174" s="9" t="s">
        <v>10</v>
      </c>
      <c r="D174" s="9" t="s">
        <v>4</v>
      </c>
      <c r="E174" s="9" t="s">
        <v>5</v>
      </c>
      <c r="F174" s="9" t="s">
        <v>125</v>
      </c>
      <c r="G174" s="225" t="s">
        <v>405</v>
      </c>
      <c r="H174" s="9" t="s">
        <v>426</v>
      </c>
      <c r="I174" s="10">
        <v>1</v>
      </c>
    </row>
    <row r="175" spans="1:9" ht="28.5" x14ac:dyDescent="0.2">
      <c r="A175" s="28">
        <v>1191</v>
      </c>
      <c r="B175" s="9" t="s">
        <v>11</v>
      </c>
      <c r="C175" s="9" t="s">
        <v>10</v>
      </c>
      <c r="D175" s="9" t="s">
        <v>4</v>
      </c>
      <c r="E175" s="9" t="s">
        <v>5</v>
      </c>
      <c r="F175" s="9" t="s">
        <v>125</v>
      </c>
      <c r="G175" s="225" t="s">
        <v>412</v>
      </c>
      <c r="H175" s="9" t="s">
        <v>831</v>
      </c>
      <c r="I175" s="10">
        <v>0.5</v>
      </c>
    </row>
    <row r="176" spans="1:9" ht="28.5" x14ac:dyDescent="0.2">
      <c r="A176" s="28">
        <v>1200</v>
      </c>
      <c r="B176" s="9" t="s">
        <v>12</v>
      </c>
      <c r="C176" s="9" t="s">
        <v>10</v>
      </c>
      <c r="D176" s="9" t="s">
        <v>4</v>
      </c>
      <c r="E176" s="9" t="s">
        <v>5</v>
      </c>
      <c r="F176" s="9" t="s">
        <v>125</v>
      </c>
      <c r="G176" s="225" t="s">
        <v>405</v>
      </c>
      <c r="H176" s="9" t="s">
        <v>426</v>
      </c>
      <c r="I176" s="10">
        <v>1</v>
      </c>
    </row>
    <row r="177" spans="1:9" ht="28.5" x14ac:dyDescent="0.2">
      <c r="A177" s="28">
        <v>1201</v>
      </c>
      <c r="B177" s="9" t="s">
        <v>13</v>
      </c>
      <c r="C177" s="9" t="s">
        <v>10</v>
      </c>
      <c r="D177" s="9" t="s">
        <v>4</v>
      </c>
      <c r="E177" s="9" t="s">
        <v>14</v>
      </c>
      <c r="F177" s="9" t="s">
        <v>125</v>
      </c>
      <c r="G177" s="225" t="s">
        <v>405</v>
      </c>
      <c r="H177" s="9" t="s">
        <v>426</v>
      </c>
      <c r="I177" s="10">
        <v>1</v>
      </c>
    </row>
    <row r="178" spans="1:9" ht="28.5" x14ac:dyDescent="0.2">
      <c r="A178" s="28">
        <v>1202</v>
      </c>
      <c r="B178" s="9" t="s">
        <v>15</v>
      </c>
      <c r="C178" s="9" t="s">
        <v>10</v>
      </c>
      <c r="D178" s="9" t="s">
        <v>4</v>
      </c>
      <c r="E178" s="9" t="s">
        <v>14</v>
      </c>
      <c r="F178" s="9" t="s">
        <v>125</v>
      </c>
      <c r="G178" s="225" t="s">
        <v>405</v>
      </c>
      <c r="H178" s="9" t="s">
        <v>426</v>
      </c>
      <c r="I178" s="10">
        <v>1</v>
      </c>
    </row>
    <row r="179" spans="1:9" ht="28.5" x14ac:dyDescent="0.2">
      <c r="A179" s="28">
        <v>1203</v>
      </c>
      <c r="B179" s="9" t="s">
        <v>16</v>
      </c>
      <c r="C179" s="9" t="s">
        <v>10</v>
      </c>
      <c r="D179" s="9" t="s">
        <v>4</v>
      </c>
      <c r="E179" s="9" t="s">
        <v>14</v>
      </c>
      <c r="F179" s="9" t="s">
        <v>831</v>
      </c>
      <c r="G179" s="225" t="s">
        <v>412</v>
      </c>
      <c r="H179" s="9" t="s">
        <v>831</v>
      </c>
      <c r="I179" s="10">
        <v>0.5</v>
      </c>
    </row>
    <row r="180" spans="1:9" ht="28.5" x14ac:dyDescent="0.2">
      <c r="A180" s="28">
        <v>1205</v>
      </c>
      <c r="B180" s="9" t="s">
        <v>17</v>
      </c>
      <c r="C180" s="9" t="s">
        <v>10</v>
      </c>
      <c r="D180" s="9" t="s">
        <v>4</v>
      </c>
      <c r="E180" s="9" t="s">
        <v>18</v>
      </c>
      <c r="F180" s="9" t="s">
        <v>125</v>
      </c>
      <c r="G180" s="225" t="s">
        <v>405</v>
      </c>
      <c r="H180" s="9" t="s">
        <v>426</v>
      </c>
      <c r="I180" s="10">
        <v>1</v>
      </c>
    </row>
    <row r="181" spans="1:9" ht="28.5" x14ac:dyDescent="0.2">
      <c r="A181" s="28">
        <v>1206</v>
      </c>
      <c r="B181" s="9" t="s">
        <v>19</v>
      </c>
      <c r="C181" s="9" t="s">
        <v>20</v>
      </c>
      <c r="D181" s="9" t="s">
        <v>404</v>
      </c>
      <c r="E181" s="9" t="s">
        <v>404</v>
      </c>
      <c r="F181" s="9" t="s">
        <v>125</v>
      </c>
      <c r="G181" s="225" t="s">
        <v>412</v>
      </c>
      <c r="H181" s="9" t="s">
        <v>831</v>
      </c>
      <c r="I181" s="10">
        <v>0.5</v>
      </c>
    </row>
    <row r="182" spans="1:9" ht="28.5" x14ac:dyDescent="0.2">
      <c r="A182" s="28">
        <v>1207</v>
      </c>
      <c r="B182" s="9" t="s">
        <v>21</v>
      </c>
      <c r="C182" s="9" t="s">
        <v>22</v>
      </c>
      <c r="D182" s="9" t="s">
        <v>404</v>
      </c>
      <c r="E182" s="9" t="s">
        <v>404</v>
      </c>
      <c r="F182" s="9" t="s">
        <v>125</v>
      </c>
      <c r="G182" s="225" t="s">
        <v>412</v>
      </c>
      <c r="H182" s="9" t="s">
        <v>831</v>
      </c>
      <c r="I182" s="10">
        <v>0.5</v>
      </c>
    </row>
    <row r="183" spans="1:9" ht="28.5" x14ac:dyDescent="0.2">
      <c r="A183" s="28">
        <v>1208</v>
      </c>
      <c r="B183" s="9" t="s">
        <v>23</v>
      </c>
      <c r="C183" s="9" t="s">
        <v>10</v>
      </c>
      <c r="D183" s="9" t="s">
        <v>4</v>
      </c>
      <c r="E183" s="9" t="s">
        <v>24</v>
      </c>
      <c r="F183" s="9" t="s">
        <v>125</v>
      </c>
      <c r="G183" s="225" t="s">
        <v>405</v>
      </c>
      <c r="H183" s="9" t="s">
        <v>426</v>
      </c>
      <c r="I183" s="10">
        <v>1</v>
      </c>
    </row>
    <row r="184" spans="1:9" ht="42.75" x14ac:dyDescent="0.2">
      <c r="A184" s="28">
        <v>1209</v>
      </c>
      <c r="B184" s="9" t="s">
        <v>25</v>
      </c>
      <c r="C184" s="9" t="s">
        <v>26</v>
      </c>
      <c r="D184" s="9" t="s">
        <v>821</v>
      </c>
      <c r="E184" s="9" t="s">
        <v>27</v>
      </c>
      <c r="F184" s="9" t="s">
        <v>125</v>
      </c>
      <c r="G184" s="225" t="s">
        <v>412</v>
      </c>
      <c r="H184" s="9" t="s">
        <v>831</v>
      </c>
      <c r="I184" s="10">
        <v>0.5</v>
      </c>
    </row>
    <row r="185" spans="1:9" ht="28.5" x14ac:dyDescent="0.2">
      <c r="A185" s="28">
        <v>1210</v>
      </c>
      <c r="B185" s="9" t="s">
        <v>28</v>
      </c>
      <c r="C185" s="9" t="s">
        <v>29</v>
      </c>
      <c r="D185" s="9" t="s">
        <v>860</v>
      </c>
      <c r="E185" s="9" t="s">
        <v>30</v>
      </c>
      <c r="F185" s="9" t="s">
        <v>125</v>
      </c>
      <c r="G185" s="225" t="s">
        <v>405</v>
      </c>
      <c r="H185" s="9" t="s">
        <v>426</v>
      </c>
      <c r="I185" s="10">
        <v>1</v>
      </c>
    </row>
    <row r="186" spans="1:9" ht="28.5" x14ac:dyDescent="0.2">
      <c r="A186" s="28">
        <v>1215</v>
      </c>
      <c r="B186" s="9" t="s">
        <v>31</v>
      </c>
      <c r="C186" s="9" t="s">
        <v>32</v>
      </c>
      <c r="D186" s="9" t="s">
        <v>4</v>
      </c>
      <c r="E186" s="9" t="s">
        <v>18</v>
      </c>
      <c r="F186" s="9" t="s">
        <v>125</v>
      </c>
      <c r="G186" s="225" t="s">
        <v>405</v>
      </c>
      <c r="H186" s="9" t="s">
        <v>426</v>
      </c>
      <c r="I186" s="10">
        <v>1</v>
      </c>
    </row>
    <row r="187" spans="1:9" ht="28.5" x14ac:dyDescent="0.2">
      <c r="A187" s="28">
        <v>1220</v>
      </c>
      <c r="B187" s="9" t="s">
        <v>33</v>
      </c>
      <c r="C187" s="9" t="s">
        <v>34</v>
      </c>
      <c r="D187" s="9" t="s">
        <v>863</v>
      </c>
      <c r="E187" s="9" t="s">
        <v>35</v>
      </c>
      <c r="F187" s="9" t="s">
        <v>125</v>
      </c>
      <c r="G187" s="225" t="s">
        <v>405</v>
      </c>
      <c r="H187" s="9" t="s">
        <v>426</v>
      </c>
      <c r="I187" s="10">
        <v>1</v>
      </c>
    </row>
    <row r="188" spans="1:9" ht="42.75" x14ac:dyDescent="0.2">
      <c r="A188" s="28">
        <v>1221</v>
      </c>
      <c r="B188" s="9" t="s">
        <v>36</v>
      </c>
      <c r="C188" s="9" t="s">
        <v>37</v>
      </c>
      <c r="D188" s="9" t="s">
        <v>863</v>
      </c>
      <c r="E188" s="9" t="s">
        <v>35</v>
      </c>
      <c r="F188" s="9" t="s">
        <v>831</v>
      </c>
      <c r="G188" s="225" t="s">
        <v>412</v>
      </c>
      <c r="H188" s="9" t="s">
        <v>831</v>
      </c>
      <c r="I188" s="10">
        <v>0.5</v>
      </c>
    </row>
    <row r="189" spans="1:9" x14ac:dyDescent="0.2">
      <c r="A189" s="28">
        <v>1236</v>
      </c>
      <c r="B189" s="9" t="s">
        <v>38</v>
      </c>
      <c r="C189" s="9" t="s">
        <v>39</v>
      </c>
      <c r="D189" s="9" t="s">
        <v>860</v>
      </c>
      <c r="E189" s="9" t="s">
        <v>40</v>
      </c>
      <c r="F189" s="9" t="s">
        <v>125</v>
      </c>
      <c r="G189" s="225" t="s">
        <v>412</v>
      </c>
      <c r="H189" s="9" t="s">
        <v>831</v>
      </c>
      <c r="I189" s="10">
        <v>0.5</v>
      </c>
    </row>
    <row r="190" spans="1:9" x14ac:dyDescent="0.2">
      <c r="A190" s="28">
        <v>1237</v>
      </c>
      <c r="B190" s="9" t="s">
        <v>41</v>
      </c>
      <c r="C190" s="9" t="s">
        <v>42</v>
      </c>
      <c r="D190" s="9" t="s">
        <v>860</v>
      </c>
      <c r="E190" s="9" t="s">
        <v>40</v>
      </c>
      <c r="F190" s="9" t="s">
        <v>125</v>
      </c>
      <c r="G190" s="225" t="s">
        <v>412</v>
      </c>
      <c r="H190" s="9" t="s">
        <v>831</v>
      </c>
      <c r="I190" s="10">
        <v>0.5</v>
      </c>
    </row>
    <row r="191" spans="1:9" ht="28.5" x14ac:dyDescent="0.2">
      <c r="A191" s="28">
        <v>1238</v>
      </c>
      <c r="B191" s="9" t="s">
        <v>43</v>
      </c>
      <c r="C191" s="9" t="s">
        <v>44</v>
      </c>
      <c r="D191" s="9" t="s">
        <v>860</v>
      </c>
      <c r="E191" s="9" t="s">
        <v>40</v>
      </c>
      <c r="F191" s="9" t="s">
        <v>125</v>
      </c>
      <c r="G191" s="225" t="s">
        <v>412</v>
      </c>
      <c r="H191" s="9" t="s">
        <v>831</v>
      </c>
      <c r="I191" s="10">
        <v>0.5</v>
      </c>
    </row>
    <row r="192" spans="1:9" x14ac:dyDescent="0.2">
      <c r="A192" s="28">
        <v>1239</v>
      </c>
      <c r="B192" s="9" t="s">
        <v>799</v>
      </c>
      <c r="C192" s="9" t="s">
        <v>311</v>
      </c>
      <c r="D192" s="9" t="s">
        <v>860</v>
      </c>
      <c r="E192" s="9" t="s">
        <v>40</v>
      </c>
      <c r="F192" s="9" t="s">
        <v>125</v>
      </c>
      <c r="G192" s="225" t="s">
        <v>405</v>
      </c>
      <c r="H192" s="9" t="s">
        <v>536</v>
      </c>
      <c r="I192" s="10">
        <v>1</v>
      </c>
    </row>
    <row r="193" spans="1:9" ht="28.5" x14ac:dyDescent="0.2">
      <c r="A193" s="28">
        <v>1240</v>
      </c>
      <c r="B193" s="9" t="s">
        <v>312</v>
      </c>
      <c r="C193" s="9" t="s">
        <v>313</v>
      </c>
      <c r="D193" s="9" t="s">
        <v>4</v>
      </c>
      <c r="E193" s="9" t="s">
        <v>5</v>
      </c>
      <c r="F193" s="9" t="s">
        <v>125</v>
      </c>
      <c r="G193" s="225" t="s">
        <v>405</v>
      </c>
      <c r="H193" s="9" t="s">
        <v>426</v>
      </c>
      <c r="I193" s="10">
        <v>1</v>
      </c>
    </row>
    <row r="194" spans="1:9" ht="28.5" x14ac:dyDescent="0.2">
      <c r="A194" s="28">
        <v>1241</v>
      </c>
      <c r="B194" s="9" t="s">
        <v>640</v>
      </c>
      <c r="C194" s="9" t="s">
        <v>641</v>
      </c>
      <c r="D194" s="9" t="s">
        <v>4</v>
      </c>
      <c r="E194" s="9" t="s">
        <v>5</v>
      </c>
      <c r="F194" s="9" t="s">
        <v>125</v>
      </c>
      <c r="G194" s="225" t="s">
        <v>412</v>
      </c>
      <c r="H194" s="9" t="s">
        <v>831</v>
      </c>
      <c r="I194" s="10">
        <v>0.5</v>
      </c>
    </row>
    <row r="195" spans="1:9" ht="28.5" x14ac:dyDescent="0.2">
      <c r="A195" s="28">
        <v>1243</v>
      </c>
      <c r="B195" s="9" t="s">
        <v>314</v>
      </c>
      <c r="C195" s="9" t="s">
        <v>315</v>
      </c>
      <c r="D195" s="9" t="s">
        <v>860</v>
      </c>
      <c r="E195" s="9" t="s">
        <v>316</v>
      </c>
      <c r="F195" s="9" t="s">
        <v>125</v>
      </c>
      <c r="G195" s="225" t="s">
        <v>412</v>
      </c>
      <c r="H195" s="9" t="s">
        <v>831</v>
      </c>
      <c r="I195" s="10">
        <v>0.5</v>
      </c>
    </row>
    <row r="196" spans="1:9" ht="28.5" x14ac:dyDescent="0.2">
      <c r="A196" s="28">
        <v>1244</v>
      </c>
      <c r="B196" s="9" t="s">
        <v>314</v>
      </c>
      <c r="C196" s="9" t="s">
        <v>315</v>
      </c>
      <c r="D196" s="9" t="s">
        <v>860</v>
      </c>
      <c r="E196" s="9" t="s">
        <v>316</v>
      </c>
      <c r="F196" s="9" t="s">
        <v>125</v>
      </c>
      <c r="G196" s="225" t="s">
        <v>412</v>
      </c>
      <c r="H196" s="9" t="s">
        <v>831</v>
      </c>
      <c r="I196" s="10">
        <v>0.5</v>
      </c>
    </row>
    <row r="197" spans="1:9" ht="28.5" x14ac:dyDescent="0.2">
      <c r="A197" s="28">
        <v>1245</v>
      </c>
      <c r="B197" s="9" t="s">
        <v>314</v>
      </c>
      <c r="C197" s="9" t="s">
        <v>315</v>
      </c>
      <c r="D197" s="9" t="s">
        <v>860</v>
      </c>
      <c r="E197" s="9" t="s">
        <v>316</v>
      </c>
      <c r="F197" s="9" t="s">
        <v>125</v>
      </c>
      <c r="G197" s="225" t="s">
        <v>405</v>
      </c>
      <c r="H197" s="9" t="s">
        <v>536</v>
      </c>
      <c r="I197" s="10">
        <v>1</v>
      </c>
    </row>
    <row r="198" spans="1:9" ht="28.5" x14ac:dyDescent="0.2">
      <c r="A198" s="28">
        <v>1246</v>
      </c>
      <c r="B198" s="9" t="s">
        <v>314</v>
      </c>
      <c r="C198" s="9" t="s">
        <v>315</v>
      </c>
      <c r="D198" s="9" t="s">
        <v>860</v>
      </c>
      <c r="E198" s="9" t="s">
        <v>316</v>
      </c>
      <c r="F198" s="9" t="s">
        <v>125</v>
      </c>
      <c r="G198" s="225" t="s">
        <v>405</v>
      </c>
      <c r="H198" s="9" t="s">
        <v>536</v>
      </c>
      <c r="I198" s="10">
        <v>1</v>
      </c>
    </row>
    <row r="199" spans="1:9" ht="28.5" x14ac:dyDescent="0.2">
      <c r="A199" s="28">
        <v>1247</v>
      </c>
      <c r="B199" s="9" t="s">
        <v>314</v>
      </c>
      <c r="C199" s="9" t="s">
        <v>315</v>
      </c>
      <c r="D199" s="9" t="s">
        <v>860</v>
      </c>
      <c r="E199" s="9" t="s">
        <v>316</v>
      </c>
      <c r="F199" s="9" t="s">
        <v>125</v>
      </c>
      <c r="G199" s="225" t="s">
        <v>405</v>
      </c>
      <c r="H199" s="9" t="s">
        <v>536</v>
      </c>
      <c r="I199" s="10">
        <v>1</v>
      </c>
    </row>
    <row r="200" spans="1:9" ht="28.5" x14ac:dyDescent="0.2">
      <c r="A200" s="28">
        <v>1248</v>
      </c>
      <c r="B200" s="9" t="s">
        <v>314</v>
      </c>
      <c r="C200" s="9" t="s">
        <v>315</v>
      </c>
      <c r="D200" s="9" t="s">
        <v>860</v>
      </c>
      <c r="E200" s="9" t="s">
        <v>316</v>
      </c>
      <c r="F200" s="9" t="s">
        <v>125</v>
      </c>
      <c r="G200" s="225" t="s">
        <v>405</v>
      </c>
      <c r="H200" s="9" t="s">
        <v>536</v>
      </c>
      <c r="I200" s="10">
        <v>1</v>
      </c>
    </row>
    <row r="201" spans="1:9" ht="28.5" x14ac:dyDescent="0.2">
      <c r="A201" s="28">
        <v>1249</v>
      </c>
      <c r="B201" s="9" t="s">
        <v>314</v>
      </c>
      <c r="C201" s="9" t="s">
        <v>315</v>
      </c>
      <c r="D201" s="9" t="s">
        <v>860</v>
      </c>
      <c r="E201" s="9" t="s">
        <v>316</v>
      </c>
      <c r="F201" s="9" t="s">
        <v>125</v>
      </c>
      <c r="G201" s="225" t="s">
        <v>412</v>
      </c>
      <c r="H201" s="9" t="s">
        <v>831</v>
      </c>
      <c r="I201" s="10">
        <v>0.5</v>
      </c>
    </row>
    <row r="202" spans="1:9" ht="28.5" x14ac:dyDescent="0.2">
      <c r="A202" s="28">
        <v>1250</v>
      </c>
      <c r="B202" s="9" t="s">
        <v>314</v>
      </c>
      <c r="C202" s="9" t="s">
        <v>315</v>
      </c>
      <c r="D202" s="9" t="s">
        <v>860</v>
      </c>
      <c r="E202" s="9" t="s">
        <v>316</v>
      </c>
      <c r="F202" s="9" t="s">
        <v>125</v>
      </c>
      <c r="G202" s="225" t="s">
        <v>405</v>
      </c>
      <c r="H202" s="9" t="s">
        <v>536</v>
      </c>
      <c r="I202" s="10">
        <v>1</v>
      </c>
    </row>
    <row r="203" spans="1:9" ht="28.5" x14ac:dyDescent="0.2">
      <c r="A203" s="28">
        <v>1251</v>
      </c>
      <c r="B203" s="9" t="s">
        <v>314</v>
      </c>
      <c r="C203" s="9" t="s">
        <v>315</v>
      </c>
      <c r="D203" s="9" t="s">
        <v>860</v>
      </c>
      <c r="E203" s="9" t="s">
        <v>316</v>
      </c>
      <c r="F203" s="9" t="s">
        <v>125</v>
      </c>
      <c r="G203" s="225" t="s">
        <v>412</v>
      </c>
      <c r="H203" s="9" t="s">
        <v>831</v>
      </c>
      <c r="I203" s="10">
        <v>0.5</v>
      </c>
    </row>
    <row r="204" spans="1:9" ht="28.5" x14ac:dyDescent="0.2">
      <c r="A204" s="28">
        <v>1252</v>
      </c>
      <c r="B204" s="9" t="s">
        <v>314</v>
      </c>
      <c r="C204" s="9" t="s">
        <v>315</v>
      </c>
      <c r="D204" s="9" t="s">
        <v>860</v>
      </c>
      <c r="E204" s="9" t="s">
        <v>316</v>
      </c>
      <c r="F204" s="9" t="s">
        <v>125</v>
      </c>
      <c r="G204" s="225" t="s">
        <v>412</v>
      </c>
      <c r="H204" s="9" t="s">
        <v>831</v>
      </c>
      <c r="I204" s="10">
        <v>0.5</v>
      </c>
    </row>
    <row r="205" spans="1:9" ht="28.5" x14ac:dyDescent="0.2">
      <c r="A205" s="28">
        <v>1253</v>
      </c>
      <c r="B205" s="9" t="s">
        <v>314</v>
      </c>
      <c r="C205" s="9" t="s">
        <v>315</v>
      </c>
      <c r="D205" s="9" t="s">
        <v>860</v>
      </c>
      <c r="E205" s="9" t="s">
        <v>316</v>
      </c>
      <c r="F205" s="9" t="s">
        <v>125</v>
      </c>
      <c r="G205" s="225" t="s">
        <v>405</v>
      </c>
      <c r="H205" s="9" t="s">
        <v>536</v>
      </c>
      <c r="I205" s="10">
        <v>1</v>
      </c>
    </row>
    <row r="206" spans="1:9" ht="57" x14ac:dyDescent="0.2">
      <c r="A206" s="28">
        <v>1254</v>
      </c>
      <c r="B206" s="9" t="s">
        <v>642</v>
      </c>
      <c r="C206" s="9" t="s">
        <v>645</v>
      </c>
      <c r="D206" s="9" t="s">
        <v>860</v>
      </c>
      <c r="E206" s="9" t="s">
        <v>30</v>
      </c>
      <c r="F206" s="9" t="s">
        <v>125</v>
      </c>
      <c r="G206" s="225" t="s">
        <v>412</v>
      </c>
      <c r="H206" s="9" t="s">
        <v>646</v>
      </c>
      <c r="I206" s="10">
        <v>0.5</v>
      </c>
    </row>
    <row r="207" spans="1:9" ht="42.75" x14ac:dyDescent="0.2">
      <c r="A207" s="28">
        <v>1255</v>
      </c>
      <c r="B207" s="9" t="s">
        <v>317</v>
      </c>
      <c r="C207" s="9" t="s">
        <v>318</v>
      </c>
      <c r="D207" s="9" t="s">
        <v>863</v>
      </c>
      <c r="E207" s="9" t="s">
        <v>319</v>
      </c>
      <c r="F207" s="9" t="s">
        <v>125</v>
      </c>
      <c r="G207" s="225" t="s">
        <v>405</v>
      </c>
      <c r="H207" s="9" t="s">
        <v>426</v>
      </c>
      <c r="I207" s="10">
        <v>0.25</v>
      </c>
    </row>
    <row r="208" spans="1:9" ht="42.75" x14ac:dyDescent="0.2">
      <c r="A208" s="28">
        <v>1256</v>
      </c>
      <c r="B208" s="9" t="s">
        <v>317</v>
      </c>
      <c r="C208" s="9" t="s">
        <v>318</v>
      </c>
      <c r="D208" s="9" t="s">
        <v>863</v>
      </c>
      <c r="E208" s="9" t="s">
        <v>319</v>
      </c>
      <c r="F208" s="9" t="s">
        <v>125</v>
      </c>
      <c r="G208" s="225" t="s">
        <v>405</v>
      </c>
      <c r="H208" s="9" t="s">
        <v>426</v>
      </c>
      <c r="I208" s="10">
        <v>1</v>
      </c>
    </row>
    <row r="209" spans="1:9" ht="42.75" x14ac:dyDescent="0.2">
      <c r="A209" s="28">
        <v>1257</v>
      </c>
      <c r="B209" s="9" t="s">
        <v>317</v>
      </c>
      <c r="C209" s="9" t="s">
        <v>318</v>
      </c>
      <c r="D209" s="9" t="s">
        <v>863</v>
      </c>
      <c r="E209" s="9" t="s">
        <v>319</v>
      </c>
      <c r="F209" s="9" t="s">
        <v>125</v>
      </c>
      <c r="G209" s="225" t="s">
        <v>405</v>
      </c>
      <c r="H209" s="9" t="s">
        <v>426</v>
      </c>
      <c r="I209" s="10">
        <v>0.25</v>
      </c>
    </row>
    <row r="210" spans="1:9" ht="42.75" x14ac:dyDescent="0.2">
      <c r="A210" s="28">
        <v>1258</v>
      </c>
      <c r="B210" s="9" t="s">
        <v>317</v>
      </c>
      <c r="C210" s="9" t="s">
        <v>318</v>
      </c>
      <c r="D210" s="9" t="s">
        <v>863</v>
      </c>
      <c r="E210" s="9" t="s">
        <v>319</v>
      </c>
      <c r="F210" s="9" t="s">
        <v>125</v>
      </c>
      <c r="G210" s="225" t="s">
        <v>412</v>
      </c>
      <c r="H210" s="9" t="s">
        <v>831</v>
      </c>
      <c r="I210" s="10">
        <v>0.5</v>
      </c>
    </row>
    <row r="211" spans="1:9" ht="42.75" x14ac:dyDescent="0.2">
      <c r="A211" s="28">
        <v>1259</v>
      </c>
      <c r="B211" s="9" t="s">
        <v>317</v>
      </c>
      <c r="C211" s="9" t="s">
        <v>318</v>
      </c>
      <c r="D211" s="9" t="s">
        <v>863</v>
      </c>
      <c r="E211" s="9" t="s">
        <v>319</v>
      </c>
      <c r="F211" s="9" t="s">
        <v>125</v>
      </c>
      <c r="G211" s="225" t="s">
        <v>405</v>
      </c>
      <c r="H211" s="9" t="s">
        <v>426</v>
      </c>
      <c r="I211" s="10">
        <v>0.25</v>
      </c>
    </row>
    <row r="212" spans="1:9" ht="42.75" x14ac:dyDescent="0.2">
      <c r="A212" s="28">
        <v>1260</v>
      </c>
      <c r="B212" s="9" t="s">
        <v>317</v>
      </c>
      <c r="C212" s="9" t="s">
        <v>318</v>
      </c>
      <c r="D212" s="9" t="s">
        <v>863</v>
      </c>
      <c r="E212" s="9" t="s">
        <v>319</v>
      </c>
      <c r="F212" s="9" t="s">
        <v>125</v>
      </c>
      <c r="G212" s="225" t="s">
        <v>412</v>
      </c>
      <c r="H212" s="9" t="s">
        <v>831</v>
      </c>
      <c r="I212" s="10">
        <v>0.5</v>
      </c>
    </row>
    <row r="213" spans="1:9" ht="42.75" x14ac:dyDescent="0.2">
      <c r="A213" s="28">
        <v>1261</v>
      </c>
      <c r="B213" s="9" t="s">
        <v>320</v>
      </c>
      <c r="C213" s="9" t="s">
        <v>321</v>
      </c>
      <c r="D213" s="9" t="s">
        <v>828</v>
      </c>
      <c r="E213" s="9" t="s">
        <v>829</v>
      </c>
      <c r="F213" s="9" t="s">
        <v>125</v>
      </c>
      <c r="G213" s="225" t="s">
        <v>405</v>
      </c>
      <c r="H213" s="9" t="s">
        <v>428</v>
      </c>
      <c r="I213" s="10">
        <v>1</v>
      </c>
    </row>
    <row r="214" spans="1:9" x14ac:dyDescent="0.2">
      <c r="A214" s="28">
        <v>1262</v>
      </c>
      <c r="B214" s="9" t="s">
        <v>322</v>
      </c>
      <c r="C214" s="9" t="s">
        <v>323</v>
      </c>
      <c r="D214" s="9" t="s">
        <v>404</v>
      </c>
      <c r="E214" s="9" t="s">
        <v>404</v>
      </c>
      <c r="F214" s="9" t="s">
        <v>831</v>
      </c>
      <c r="G214" s="225" t="s">
        <v>412</v>
      </c>
      <c r="H214" s="9" t="s">
        <v>831</v>
      </c>
      <c r="I214" s="10">
        <v>0.5</v>
      </c>
    </row>
    <row r="215" spans="1:9" ht="42.75" x14ac:dyDescent="0.2">
      <c r="A215" s="28">
        <v>1263</v>
      </c>
      <c r="B215" s="9" t="s">
        <v>324</v>
      </c>
      <c r="C215" s="9" t="s">
        <v>325</v>
      </c>
      <c r="D215" s="9" t="s">
        <v>860</v>
      </c>
      <c r="E215" s="9" t="s">
        <v>30</v>
      </c>
      <c r="F215" s="9" t="s">
        <v>125</v>
      </c>
      <c r="G215" s="225" t="s">
        <v>412</v>
      </c>
      <c r="H215" s="9" t="s">
        <v>831</v>
      </c>
      <c r="I215" s="10">
        <v>0.5</v>
      </c>
    </row>
    <row r="216" spans="1:9" ht="28.5" x14ac:dyDescent="0.2">
      <c r="A216" s="28">
        <v>1264</v>
      </c>
      <c r="B216" s="9" t="s">
        <v>844</v>
      </c>
      <c r="C216" s="9" t="s">
        <v>326</v>
      </c>
      <c r="D216" s="9" t="s">
        <v>842</v>
      </c>
      <c r="E216" s="9" t="s">
        <v>842</v>
      </c>
      <c r="F216" s="9" t="s">
        <v>126</v>
      </c>
      <c r="G216" s="225" t="s">
        <v>809</v>
      </c>
      <c r="H216" s="9" t="s">
        <v>831</v>
      </c>
      <c r="I216" s="10">
        <v>0</v>
      </c>
    </row>
    <row r="217" spans="1:9" ht="28.5" x14ac:dyDescent="0.2">
      <c r="A217" s="28">
        <v>1265</v>
      </c>
      <c r="B217" s="9" t="s">
        <v>846</v>
      </c>
      <c r="C217" s="9" t="s">
        <v>326</v>
      </c>
      <c r="D217" s="9" t="s">
        <v>842</v>
      </c>
      <c r="E217" s="9" t="s">
        <v>842</v>
      </c>
      <c r="F217" s="9" t="s">
        <v>126</v>
      </c>
      <c r="G217" s="225" t="s">
        <v>809</v>
      </c>
      <c r="H217" s="9" t="s">
        <v>831</v>
      </c>
      <c r="I217" s="10">
        <v>0</v>
      </c>
    </row>
    <row r="218" spans="1:9" ht="28.5" x14ac:dyDescent="0.2">
      <c r="A218" s="28">
        <v>1266</v>
      </c>
      <c r="B218" s="9" t="s">
        <v>847</v>
      </c>
      <c r="C218" s="9" t="s">
        <v>326</v>
      </c>
      <c r="D218" s="9" t="s">
        <v>842</v>
      </c>
      <c r="E218" s="9" t="s">
        <v>842</v>
      </c>
      <c r="F218" s="9" t="s">
        <v>126</v>
      </c>
      <c r="G218" s="225" t="s">
        <v>809</v>
      </c>
      <c r="H218" s="9" t="s">
        <v>831</v>
      </c>
      <c r="I218" s="10">
        <v>0</v>
      </c>
    </row>
    <row r="219" spans="1:9" ht="28.5" x14ac:dyDescent="0.2">
      <c r="A219" s="28">
        <v>1267</v>
      </c>
      <c r="B219" s="9" t="s">
        <v>848</v>
      </c>
      <c r="C219" s="9" t="s">
        <v>326</v>
      </c>
      <c r="D219" s="9" t="s">
        <v>842</v>
      </c>
      <c r="E219" s="9" t="s">
        <v>842</v>
      </c>
      <c r="F219" s="9" t="s">
        <v>126</v>
      </c>
      <c r="G219" s="225" t="s">
        <v>809</v>
      </c>
      <c r="H219" s="9" t="s">
        <v>831</v>
      </c>
      <c r="I219" s="10">
        <v>0</v>
      </c>
    </row>
    <row r="220" spans="1:9" ht="28.5" x14ac:dyDescent="0.2">
      <c r="A220" s="28">
        <v>1268</v>
      </c>
      <c r="B220" s="9" t="s">
        <v>840</v>
      </c>
      <c r="C220" s="9" t="s">
        <v>328</v>
      </c>
      <c r="D220" s="9" t="s">
        <v>842</v>
      </c>
      <c r="E220" s="9" t="s">
        <v>842</v>
      </c>
      <c r="F220" s="9" t="s">
        <v>126</v>
      </c>
      <c r="G220" s="225" t="s">
        <v>809</v>
      </c>
      <c r="H220" s="9" t="s">
        <v>831</v>
      </c>
      <c r="I220" s="10">
        <v>0</v>
      </c>
    </row>
    <row r="221" spans="1:9" ht="28.5" x14ac:dyDescent="0.2">
      <c r="A221" s="28">
        <v>1269</v>
      </c>
      <c r="B221" s="9" t="s">
        <v>843</v>
      </c>
      <c r="C221" s="9" t="s">
        <v>328</v>
      </c>
      <c r="D221" s="9" t="s">
        <v>842</v>
      </c>
      <c r="E221" s="9" t="s">
        <v>842</v>
      </c>
      <c r="F221" s="9" t="s">
        <v>126</v>
      </c>
      <c r="G221" s="225" t="s">
        <v>809</v>
      </c>
      <c r="H221" s="9" t="s">
        <v>831</v>
      </c>
      <c r="I221" s="10">
        <v>0</v>
      </c>
    </row>
    <row r="222" spans="1:9" ht="42.75" x14ac:dyDescent="0.2">
      <c r="A222" s="28">
        <v>1270</v>
      </c>
      <c r="B222" s="9" t="s">
        <v>329</v>
      </c>
      <c r="C222" s="9" t="s">
        <v>330</v>
      </c>
      <c r="D222" s="9" t="s">
        <v>842</v>
      </c>
      <c r="E222" s="9" t="s">
        <v>842</v>
      </c>
      <c r="F222" s="9" t="s">
        <v>126</v>
      </c>
      <c r="G222" s="225" t="s">
        <v>405</v>
      </c>
      <c r="H222" s="9" t="s">
        <v>426</v>
      </c>
      <c r="I222" s="10">
        <v>1</v>
      </c>
    </row>
    <row r="223" spans="1:9" ht="42.75" x14ac:dyDescent="0.2">
      <c r="A223" s="28">
        <v>1271</v>
      </c>
      <c r="B223" s="9" t="s">
        <v>65</v>
      </c>
      <c r="C223" s="9" t="s">
        <v>66</v>
      </c>
      <c r="D223" s="9" t="s">
        <v>842</v>
      </c>
      <c r="E223" s="9" t="s">
        <v>842</v>
      </c>
      <c r="F223" s="9" t="s">
        <v>126</v>
      </c>
      <c r="G223" s="225" t="s">
        <v>405</v>
      </c>
      <c r="H223" s="9" t="s">
        <v>426</v>
      </c>
      <c r="I223" s="10">
        <v>1</v>
      </c>
    </row>
    <row r="224" spans="1:9" ht="42.75" x14ac:dyDescent="0.2">
      <c r="A224" s="28">
        <v>1272</v>
      </c>
      <c r="B224" s="9" t="s">
        <v>67</v>
      </c>
      <c r="C224" s="9" t="s">
        <v>66</v>
      </c>
      <c r="D224" s="9" t="s">
        <v>842</v>
      </c>
      <c r="E224" s="9" t="s">
        <v>842</v>
      </c>
      <c r="F224" s="9" t="s">
        <v>126</v>
      </c>
      <c r="G224" s="225" t="s">
        <v>405</v>
      </c>
      <c r="H224" s="9" t="s">
        <v>426</v>
      </c>
      <c r="I224" s="10">
        <v>1</v>
      </c>
    </row>
    <row r="225" spans="1:9" ht="42.75" x14ac:dyDescent="0.2">
      <c r="A225" s="28">
        <v>1273</v>
      </c>
      <c r="B225" s="9" t="s">
        <v>68</v>
      </c>
      <c r="C225" s="9" t="s">
        <v>69</v>
      </c>
      <c r="D225" s="9" t="s">
        <v>842</v>
      </c>
      <c r="E225" s="9" t="s">
        <v>842</v>
      </c>
      <c r="F225" s="9" t="s">
        <v>126</v>
      </c>
      <c r="G225" s="225" t="s">
        <v>405</v>
      </c>
      <c r="H225" s="9" t="s">
        <v>426</v>
      </c>
      <c r="I225" s="10">
        <v>1</v>
      </c>
    </row>
    <row r="226" spans="1:9" ht="42.75" x14ac:dyDescent="0.2">
      <c r="A226" s="28">
        <v>1274</v>
      </c>
      <c r="B226" s="9" t="s">
        <v>70</v>
      </c>
      <c r="C226" s="9" t="s">
        <v>69</v>
      </c>
      <c r="D226" s="9" t="s">
        <v>842</v>
      </c>
      <c r="E226" s="9" t="s">
        <v>842</v>
      </c>
      <c r="F226" s="9" t="s">
        <v>126</v>
      </c>
      <c r="G226" s="225" t="s">
        <v>405</v>
      </c>
      <c r="H226" s="9" t="s">
        <v>426</v>
      </c>
      <c r="I226" s="10">
        <v>1</v>
      </c>
    </row>
    <row r="227" spans="1:9" ht="42.75" x14ac:dyDescent="0.2">
      <c r="A227" s="28">
        <v>1275</v>
      </c>
      <c r="B227" s="9" t="s">
        <v>71</v>
      </c>
      <c r="C227" s="9" t="s">
        <v>69</v>
      </c>
      <c r="D227" s="9" t="s">
        <v>842</v>
      </c>
      <c r="E227" s="9" t="s">
        <v>842</v>
      </c>
      <c r="F227" s="9" t="s">
        <v>126</v>
      </c>
      <c r="G227" s="225" t="s">
        <v>405</v>
      </c>
      <c r="H227" s="9" t="s">
        <v>426</v>
      </c>
      <c r="I227" s="10">
        <v>1</v>
      </c>
    </row>
    <row r="228" spans="1:9" ht="42.75" x14ac:dyDescent="0.2">
      <c r="A228" s="28">
        <v>1276</v>
      </c>
      <c r="B228" s="9" t="s">
        <v>72</v>
      </c>
      <c r="C228" s="9" t="s">
        <v>73</v>
      </c>
      <c r="D228" s="9" t="s">
        <v>842</v>
      </c>
      <c r="E228" s="9" t="s">
        <v>842</v>
      </c>
      <c r="F228" s="9" t="s">
        <v>126</v>
      </c>
      <c r="G228" s="225" t="s">
        <v>809</v>
      </c>
      <c r="H228" s="9" t="s">
        <v>831</v>
      </c>
      <c r="I228" s="10">
        <v>0</v>
      </c>
    </row>
    <row r="229" spans="1:9" ht="42.75" x14ac:dyDescent="0.2">
      <c r="A229" s="28">
        <v>1277</v>
      </c>
      <c r="B229" s="9" t="s">
        <v>433</v>
      </c>
      <c r="C229" s="9" t="s">
        <v>434</v>
      </c>
      <c r="D229" s="9" t="s">
        <v>842</v>
      </c>
      <c r="E229" s="9" t="s">
        <v>842</v>
      </c>
      <c r="F229" s="9" t="s">
        <v>126</v>
      </c>
      <c r="G229" s="225" t="s">
        <v>809</v>
      </c>
      <c r="H229" s="9" t="s">
        <v>831</v>
      </c>
      <c r="I229" s="10">
        <v>0</v>
      </c>
    </row>
    <row r="230" spans="1:9" ht="42.75" x14ac:dyDescent="0.2">
      <c r="A230" s="28">
        <v>1278</v>
      </c>
      <c r="B230" s="9" t="s">
        <v>435</v>
      </c>
      <c r="C230" s="9" t="s">
        <v>436</v>
      </c>
      <c r="D230" s="9" t="s">
        <v>828</v>
      </c>
      <c r="E230" s="9" t="s">
        <v>829</v>
      </c>
      <c r="F230" s="9" t="s">
        <v>126</v>
      </c>
      <c r="G230" s="225" t="s">
        <v>405</v>
      </c>
      <c r="H230" s="9" t="s">
        <v>428</v>
      </c>
      <c r="I230" s="10">
        <v>1</v>
      </c>
    </row>
    <row r="231" spans="1:9" ht="28.5" x14ac:dyDescent="0.2">
      <c r="A231" s="28">
        <v>1279</v>
      </c>
      <c r="B231" s="9" t="s">
        <v>437</v>
      </c>
      <c r="C231" s="9" t="s">
        <v>438</v>
      </c>
      <c r="D231" s="9" t="s">
        <v>828</v>
      </c>
      <c r="E231" s="9" t="s">
        <v>829</v>
      </c>
      <c r="F231" s="9" t="s">
        <v>126</v>
      </c>
      <c r="G231" s="225" t="s">
        <v>405</v>
      </c>
      <c r="H231" s="9" t="s">
        <v>428</v>
      </c>
      <c r="I231" s="10">
        <v>1</v>
      </c>
    </row>
    <row r="232" spans="1:9" ht="28.5" x14ac:dyDescent="0.2">
      <c r="A232" s="28">
        <v>1280</v>
      </c>
      <c r="B232" s="9" t="s">
        <v>439</v>
      </c>
      <c r="C232" s="9" t="s">
        <v>110</v>
      </c>
      <c r="D232" s="9" t="s">
        <v>828</v>
      </c>
      <c r="E232" s="9" t="s">
        <v>829</v>
      </c>
      <c r="F232" s="9" t="s">
        <v>126</v>
      </c>
      <c r="G232" s="225" t="s">
        <v>405</v>
      </c>
      <c r="H232" s="9" t="s">
        <v>428</v>
      </c>
      <c r="I232" s="10">
        <v>1</v>
      </c>
    </row>
    <row r="233" spans="1:9" ht="28.5" x14ac:dyDescent="0.2">
      <c r="A233" s="28">
        <v>1281</v>
      </c>
      <c r="B233" s="9" t="s">
        <v>111</v>
      </c>
      <c r="C233" s="9" t="s">
        <v>112</v>
      </c>
      <c r="D233" s="9" t="s">
        <v>828</v>
      </c>
      <c r="E233" s="9" t="s">
        <v>829</v>
      </c>
      <c r="F233" s="9" t="s">
        <v>126</v>
      </c>
      <c r="G233" s="225" t="s">
        <v>405</v>
      </c>
      <c r="H233" s="9" t="s">
        <v>428</v>
      </c>
      <c r="I233" s="10">
        <v>1</v>
      </c>
    </row>
    <row r="234" spans="1:9" ht="42.75" x14ac:dyDescent="0.2">
      <c r="A234" s="28">
        <v>1282</v>
      </c>
      <c r="B234" s="9" t="s">
        <v>113</v>
      </c>
      <c r="C234" s="9" t="s">
        <v>114</v>
      </c>
      <c r="D234" s="9" t="s">
        <v>4</v>
      </c>
      <c r="E234" s="9" t="s">
        <v>14</v>
      </c>
      <c r="F234" s="9" t="s">
        <v>125</v>
      </c>
      <c r="G234" s="225" t="s">
        <v>405</v>
      </c>
      <c r="H234" s="9" t="s">
        <v>526</v>
      </c>
      <c r="I234" s="10">
        <v>1</v>
      </c>
    </row>
    <row r="235" spans="1:9" ht="42.75" x14ac:dyDescent="0.2">
      <c r="A235" s="28">
        <v>1283</v>
      </c>
      <c r="B235" s="9" t="s">
        <v>115</v>
      </c>
      <c r="C235" s="9" t="s">
        <v>116</v>
      </c>
      <c r="D235" s="9" t="s">
        <v>404</v>
      </c>
      <c r="E235" s="9" t="s">
        <v>404</v>
      </c>
      <c r="F235" s="9" t="s">
        <v>126</v>
      </c>
      <c r="G235" s="225" t="s">
        <v>412</v>
      </c>
      <c r="H235" s="9" t="s">
        <v>831</v>
      </c>
      <c r="I235" s="10">
        <v>0.5</v>
      </c>
    </row>
    <row r="236" spans="1:9" ht="71.25" x14ac:dyDescent="0.2">
      <c r="A236" s="28">
        <v>1284</v>
      </c>
      <c r="B236" s="9" t="s">
        <v>117</v>
      </c>
      <c r="C236" s="9" t="s">
        <v>118</v>
      </c>
      <c r="D236" s="9" t="s">
        <v>828</v>
      </c>
      <c r="E236" s="9" t="s">
        <v>829</v>
      </c>
      <c r="F236" s="9" t="s">
        <v>125</v>
      </c>
      <c r="G236" s="225" t="s">
        <v>405</v>
      </c>
      <c r="H236" s="9" t="s">
        <v>428</v>
      </c>
      <c r="I236" s="10">
        <v>1</v>
      </c>
    </row>
    <row r="237" spans="1:9" ht="28.5" x14ac:dyDescent="0.2">
      <c r="A237" s="28">
        <v>1285</v>
      </c>
      <c r="B237" s="9" t="s">
        <v>119</v>
      </c>
      <c r="C237" s="9" t="s">
        <v>120</v>
      </c>
      <c r="D237" s="9" t="s">
        <v>121</v>
      </c>
      <c r="E237" s="9" t="s">
        <v>122</v>
      </c>
      <c r="F237" s="9" t="s">
        <v>125</v>
      </c>
      <c r="G237" s="225" t="s">
        <v>809</v>
      </c>
      <c r="H237" s="9" t="s">
        <v>831</v>
      </c>
      <c r="I237" s="10">
        <v>0</v>
      </c>
    </row>
    <row r="238" spans="1:9" ht="28.5" x14ac:dyDescent="0.2">
      <c r="A238" s="28">
        <v>1286</v>
      </c>
      <c r="B238" s="9" t="s">
        <v>123</v>
      </c>
      <c r="C238" s="9" t="s">
        <v>124</v>
      </c>
      <c r="D238" s="9" t="s">
        <v>404</v>
      </c>
      <c r="E238" s="9" t="s">
        <v>404</v>
      </c>
      <c r="F238" s="9" t="s">
        <v>125</v>
      </c>
      <c r="G238" s="225" t="s">
        <v>809</v>
      </c>
      <c r="H238" s="9" t="s">
        <v>831</v>
      </c>
      <c r="I238" s="10">
        <v>0</v>
      </c>
    </row>
    <row r="239" spans="1:9" ht="28.5" x14ac:dyDescent="0.2">
      <c r="A239" s="28">
        <v>1292</v>
      </c>
      <c r="B239" s="9" t="s">
        <v>446</v>
      </c>
      <c r="C239" s="9" t="s">
        <v>447</v>
      </c>
      <c r="D239" s="9" t="s">
        <v>121</v>
      </c>
      <c r="E239" s="9" t="s">
        <v>122</v>
      </c>
      <c r="F239" s="9" t="s">
        <v>125</v>
      </c>
      <c r="G239" s="225" t="s">
        <v>412</v>
      </c>
      <c r="H239" s="9" t="s">
        <v>831</v>
      </c>
      <c r="I239" s="10">
        <v>0.5</v>
      </c>
    </row>
    <row r="240" spans="1:9" ht="42.75" x14ac:dyDescent="0.2">
      <c r="A240" s="28">
        <v>1293</v>
      </c>
      <c r="B240" s="9" t="s">
        <v>128</v>
      </c>
      <c r="C240" s="9" t="s">
        <v>129</v>
      </c>
      <c r="D240" s="9" t="s">
        <v>121</v>
      </c>
      <c r="E240" s="9" t="s">
        <v>122</v>
      </c>
      <c r="F240" s="9" t="s">
        <v>125</v>
      </c>
      <c r="G240" s="225" t="s">
        <v>405</v>
      </c>
      <c r="H240" s="9" t="s">
        <v>431</v>
      </c>
      <c r="I240" s="10">
        <v>0.1</v>
      </c>
    </row>
    <row r="241" spans="1:9" ht="28.5" x14ac:dyDescent="0.2">
      <c r="A241" s="28">
        <v>1294</v>
      </c>
      <c r="B241" s="9" t="s">
        <v>130</v>
      </c>
      <c r="C241" s="9" t="s">
        <v>131</v>
      </c>
      <c r="D241" s="9" t="s">
        <v>121</v>
      </c>
      <c r="E241" s="9" t="s">
        <v>122</v>
      </c>
      <c r="F241" s="9" t="s">
        <v>125</v>
      </c>
      <c r="G241" s="225" t="s">
        <v>405</v>
      </c>
      <c r="H241" s="9" t="s">
        <v>431</v>
      </c>
      <c r="I241" s="10">
        <v>1</v>
      </c>
    </row>
    <row r="242" spans="1:9" ht="57" x14ac:dyDescent="0.2">
      <c r="A242" s="28">
        <v>1295</v>
      </c>
      <c r="B242" s="9" t="s">
        <v>132</v>
      </c>
      <c r="C242" s="9" t="s">
        <v>133</v>
      </c>
      <c r="D242" s="9" t="s">
        <v>828</v>
      </c>
      <c r="E242" s="9" t="s">
        <v>829</v>
      </c>
      <c r="F242" s="9" t="s">
        <v>125</v>
      </c>
      <c r="G242" s="225" t="s">
        <v>412</v>
      </c>
      <c r="H242" s="9" t="s">
        <v>831</v>
      </c>
      <c r="I242" s="10">
        <v>0.5</v>
      </c>
    </row>
    <row r="243" spans="1:9" ht="28.5" x14ac:dyDescent="0.2">
      <c r="A243" s="28">
        <v>1296</v>
      </c>
      <c r="B243" s="9" t="s">
        <v>134</v>
      </c>
      <c r="C243" s="9" t="s">
        <v>135</v>
      </c>
      <c r="D243" s="9" t="s">
        <v>863</v>
      </c>
      <c r="E243" s="9" t="s">
        <v>319</v>
      </c>
      <c r="F243" s="9" t="s">
        <v>831</v>
      </c>
      <c r="G243" s="225" t="s">
        <v>412</v>
      </c>
      <c r="H243" s="9" t="s">
        <v>831</v>
      </c>
      <c r="I243" s="10">
        <v>0.5</v>
      </c>
    </row>
    <row r="244" spans="1:9" ht="28.5" x14ac:dyDescent="0.2">
      <c r="A244" s="28">
        <v>1297</v>
      </c>
      <c r="B244" s="9" t="s">
        <v>136</v>
      </c>
      <c r="C244" s="9" t="s">
        <v>137</v>
      </c>
      <c r="D244" s="9" t="s">
        <v>404</v>
      </c>
      <c r="E244" s="9" t="s">
        <v>404</v>
      </c>
      <c r="F244" s="9" t="s">
        <v>831</v>
      </c>
      <c r="G244" s="225" t="s">
        <v>412</v>
      </c>
      <c r="H244" s="9" t="s">
        <v>831</v>
      </c>
      <c r="I244" s="10">
        <v>0.5</v>
      </c>
    </row>
    <row r="245" spans="1:9" ht="85.5" x14ac:dyDescent="0.2">
      <c r="A245" s="28">
        <v>1313</v>
      </c>
      <c r="B245" s="9" t="s">
        <v>138</v>
      </c>
      <c r="C245" s="9" t="s">
        <v>537</v>
      </c>
      <c r="D245" s="9" t="s">
        <v>860</v>
      </c>
      <c r="E245" s="9" t="s">
        <v>316</v>
      </c>
      <c r="F245" s="9" t="s">
        <v>125</v>
      </c>
      <c r="G245" s="225" t="s">
        <v>405</v>
      </c>
      <c r="H245" s="9" t="s">
        <v>536</v>
      </c>
      <c r="I245" s="10">
        <v>1</v>
      </c>
    </row>
    <row r="246" spans="1:9" ht="85.5" x14ac:dyDescent="0.2">
      <c r="A246" s="28">
        <v>1314</v>
      </c>
      <c r="B246" s="9" t="s">
        <v>538</v>
      </c>
      <c r="C246" s="9" t="s">
        <v>539</v>
      </c>
      <c r="D246" s="9" t="s">
        <v>860</v>
      </c>
      <c r="E246" s="9" t="s">
        <v>316</v>
      </c>
      <c r="F246" s="9" t="s">
        <v>125</v>
      </c>
      <c r="G246" s="225" t="s">
        <v>405</v>
      </c>
      <c r="H246" s="9" t="s">
        <v>536</v>
      </c>
      <c r="I246" s="10">
        <v>1</v>
      </c>
    </row>
    <row r="247" spans="1:9" ht="71.25" x14ac:dyDescent="0.2">
      <c r="A247" s="28">
        <v>1315</v>
      </c>
      <c r="B247" s="9" t="s">
        <v>540</v>
      </c>
      <c r="C247" s="9" t="s">
        <v>541</v>
      </c>
      <c r="D247" s="9" t="s">
        <v>860</v>
      </c>
      <c r="E247" s="9" t="s">
        <v>40</v>
      </c>
      <c r="F247" s="9" t="s">
        <v>125</v>
      </c>
      <c r="G247" s="225" t="s">
        <v>405</v>
      </c>
      <c r="H247" s="9" t="s">
        <v>536</v>
      </c>
      <c r="I247" s="10">
        <v>1</v>
      </c>
    </row>
    <row r="248" spans="1:9" ht="71.25" x14ac:dyDescent="0.2">
      <c r="A248" s="28">
        <v>1316</v>
      </c>
      <c r="B248" s="9" t="s">
        <v>542</v>
      </c>
      <c r="C248" s="9" t="s">
        <v>543</v>
      </c>
      <c r="D248" s="9" t="s">
        <v>860</v>
      </c>
      <c r="E248" s="9" t="s">
        <v>40</v>
      </c>
      <c r="F248" s="9" t="s">
        <v>125</v>
      </c>
      <c r="G248" s="225" t="s">
        <v>405</v>
      </c>
      <c r="H248" s="9" t="s">
        <v>536</v>
      </c>
      <c r="I248" s="10">
        <v>1</v>
      </c>
    </row>
    <row r="249" spans="1:9" ht="57" x14ac:dyDescent="0.2">
      <c r="A249" s="28">
        <v>1317</v>
      </c>
      <c r="B249" s="9" t="s">
        <v>544</v>
      </c>
      <c r="C249" s="9" t="s">
        <v>545</v>
      </c>
      <c r="D249" s="9" t="s">
        <v>860</v>
      </c>
      <c r="E249" s="9" t="s">
        <v>316</v>
      </c>
      <c r="F249" s="9" t="s">
        <v>125</v>
      </c>
      <c r="G249" s="225" t="s">
        <v>405</v>
      </c>
      <c r="H249" s="9" t="s">
        <v>536</v>
      </c>
      <c r="I249" s="10">
        <v>1</v>
      </c>
    </row>
    <row r="250" spans="1:9" ht="28.5" x14ac:dyDescent="0.2">
      <c r="A250" s="28">
        <v>1318</v>
      </c>
      <c r="B250" s="9" t="s">
        <v>546</v>
      </c>
      <c r="C250" s="9" t="s">
        <v>547</v>
      </c>
      <c r="D250" s="9" t="s">
        <v>860</v>
      </c>
      <c r="E250" s="9" t="s">
        <v>316</v>
      </c>
      <c r="F250" s="9" t="s">
        <v>125</v>
      </c>
      <c r="G250" s="225" t="s">
        <v>412</v>
      </c>
      <c r="H250" s="9" t="s">
        <v>831</v>
      </c>
      <c r="I250" s="10">
        <v>0.5</v>
      </c>
    </row>
    <row r="251" spans="1:9" ht="28.5" x14ac:dyDescent="0.2">
      <c r="A251" s="28">
        <v>1319</v>
      </c>
      <c r="B251" s="9" t="s">
        <v>548</v>
      </c>
      <c r="C251" s="9" t="s">
        <v>549</v>
      </c>
      <c r="D251" s="9" t="s">
        <v>860</v>
      </c>
      <c r="E251" s="9" t="s">
        <v>316</v>
      </c>
      <c r="F251" s="9" t="s">
        <v>125</v>
      </c>
      <c r="G251" s="225" t="s">
        <v>412</v>
      </c>
      <c r="H251" s="9" t="s">
        <v>831</v>
      </c>
      <c r="I251" s="10">
        <v>0.5</v>
      </c>
    </row>
    <row r="252" spans="1:9" ht="42.75" x14ac:dyDescent="0.2">
      <c r="A252" s="28">
        <v>1320</v>
      </c>
      <c r="B252" s="9" t="s">
        <v>550</v>
      </c>
      <c r="C252" s="9" t="s">
        <v>552</v>
      </c>
      <c r="D252" s="9" t="s">
        <v>860</v>
      </c>
      <c r="E252" s="9" t="s">
        <v>316</v>
      </c>
      <c r="F252" s="9" t="s">
        <v>125</v>
      </c>
      <c r="G252" s="225" t="s">
        <v>412</v>
      </c>
      <c r="H252" s="9" t="s">
        <v>831</v>
      </c>
      <c r="I252" s="10">
        <v>0.5</v>
      </c>
    </row>
    <row r="253" spans="1:9" ht="57" x14ac:dyDescent="0.2">
      <c r="A253" s="28">
        <v>1321</v>
      </c>
      <c r="B253" s="9" t="s">
        <v>553</v>
      </c>
      <c r="C253" s="9" t="s">
        <v>554</v>
      </c>
      <c r="D253" s="9" t="s">
        <v>860</v>
      </c>
      <c r="E253" s="9" t="s">
        <v>316</v>
      </c>
      <c r="F253" s="9" t="s">
        <v>125</v>
      </c>
      <c r="G253" s="225" t="s">
        <v>405</v>
      </c>
      <c r="H253" s="9" t="s">
        <v>536</v>
      </c>
      <c r="I253" s="10">
        <v>1</v>
      </c>
    </row>
    <row r="254" spans="1:9" ht="42.75" x14ac:dyDescent="0.2">
      <c r="A254" s="28">
        <v>1322</v>
      </c>
      <c r="B254" s="9" t="s">
        <v>555</v>
      </c>
      <c r="C254" s="9" t="s">
        <v>556</v>
      </c>
      <c r="D254" s="9" t="s">
        <v>860</v>
      </c>
      <c r="E254" s="9" t="s">
        <v>316</v>
      </c>
      <c r="F254" s="9" t="s">
        <v>831</v>
      </c>
      <c r="G254" s="225" t="s">
        <v>412</v>
      </c>
      <c r="H254" s="9" t="s">
        <v>831</v>
      </c>
      <c r="I254" s="10">
        <v>0.5</v>
      </c>
    </row>
    <row r="255" spans="1:9" ht="28.5" x14ac:dyDescent="0.2">
      <c r="A255" s="28">
        <v>1323</v>
      </c>
      <c r="B255" s="9" t="s">
        <v>557</v>
      </c>
      <c r="C255" s="9" t="s">
        <v>558</v>
      </c>
      <c r="D255" s="9" t="s">
        <v>860</v>
      </c>
      <c r="E255" s="9" t="s">
        <v>316</v>
      </c>
      <c r="F255" s="9" t="s">
        <v>125</v>
      </c>
      <c r="G255" s="225" t="s">
        <v>412</v>
      </c>
      <c r="H255" s="9" t="s">
        <v>831</v>
      </c>
      <c r="I255" s="10">
        <v>0.5</v>
      </c>
    </row>
    <row r="256" spans="1:9" ht="28.5" x14ac:dyDescent="0.2">
      <c r="A256" s="28">
        <v>1324</v>
      </c>
      <c r="B256" s="9" t="s">
        <v>559</v>
      </c>
      <c r="C256" s="9" t="s">
        <v>560</v>
      </c>
      <c r="D256" s="9" t="s">
        <v>860</v>
      </c>
      <c r="E256" s="9" t="s">
        <v>316</v>
      </c>
      <c r="F256" s="9" t="s">
        <v>125</v>
      </c>
      <c r="G256" s="225" t="s">
        <v>412</v>
      </c>
      <c r="H256" s="9" t="s">
        <v>831</v>
      </c>
      <c r="I256" s="10">
        <v>0.5</v>
      </c>
    </row>
    <row r="257" spans="1:9" ht="28.5" x14ac:dyDescent="0.2">
      <c r="A257" s="28">
        <v>1325</v>
      </c>
      <c r="B257" s="9" t="s">
        <v>561</v>
      </c>
      <c r="C257" s="9" t="s">
        <v>562</v>
      </c>
      <c r="D257" s="9" t="s">
        <v>860</v>
      </c>
      <c r="E257" s="9" t="s">
        <v>316</v>
      </c>
      <c r="F257" s="9" t="s">
        <v>125</v>
      </c>
      <c r="G257" s="225" t="s">
        <v>412</v>
      </c>
      <c r="H257" s="9" t="s">
        <v>831</v>
      </c>
      <c r="I257" s="10">
        <v>0.5</v>
      </c>
    </row>
    <row r="258" spans="1:9" ht="28.5" x14ac:dyDescent="0.2">
      <c r="A258" s="28">
        <v>1326</v>
      </c>
      <c r="B258" s="9" t="s">
        <v>563</v>
      </c>
      <c r="C258" s="9" t="s">
        <v>565</v>
      </c>
      <c r="D258" s="9" t="s">
        <v>860</v>
      </c>
      <c r="E258" s="9" t="s">
        <v>316</v>
      </c>
      <c r="F258" s="9" t="s">
        <v>125</v>
      </c>
      <c r="G258" s="225" t="s">
        <v>412</v>
      </c>
      <c r="H258" s="9" t="s">
        <v>831</v>
      </c>
      <c r="I258" s="10">
        <v>0.5</v>
      </c>
    </row>
    <row r="259" spans="1:9" ht="42.75" x14ac:dyDescent="0.2">
      <c r="A259" s="28">
        <v>1327</v>
      </c>
      <c r="B259" s="9" t="s">
        <v>566</v>
      </c>
      <c r="C259" s="9" t="s">
        <v>567</v>
      </c>
      <c r="D259" s="9" t="s">
        <v>860</v>
      </c>
      <c r="E259" s="9" t="s">
        <v>316</v>
      </c>
      <c r="F259" s="9" t="s">
        <v>125</v>
      </c>
      <c r="G259" s="225" t="s">
        <v>412</v>
      </c>
      <c r="H259" s="9" t="s">
        <v>831</v>
      </c>
      <c r="I259" s="10">
        <v>0.5</v>
      </c>
    </row>
    <row r="260" spans="1:9" ht="42.75" x14ac:dyDescent="0.2">
      <c r="A260" s="28">
        <v>1328</v>
      </c>
      <c r="B260" s="9" t="s">
        <v>566</v>
      </c>
      <c r="C260" s="9" t="s">
        <v>567</v>
      </c>
      <c r="D260" s="9" t="s">
        <v>860</v>
      </c>
      <c r="E260" s="9" t="s">
        <v>316</v>
      </c>
      <c r="F260" s="9" t="s">
        <v>125</v>
      </c>
      <c r="G260" s="225" t="s">
        <v>405</v>
      </c>
      <c r="H260" s="9" t="s">
        <v>536</v>
      </c>
      <c r="I260" s="10">
        <v>1</v>
      </c>
    </row>
    <row r="261" spans="1:9" ht="28.5" x14ac:dyDescent="0.2">
      <c r="A261" s="28">
        <v>1329</v>
      </c>
      <c r="B261" s="9" t="s">
        <v>568</v>
      </c>
      <c r="C261" s="9" t="s">
        <v>569</v>
      </c>
      <c r="D261" s="9" t="s">
        <v>860</v>
      </c>
      <c r="E261" s="9" t="s">
        <v>316</v>
      </c>
      <c r="F261" s="9" t="s">
        <v>125</v>
      </c>
      <c r="G261" s="225" t="s">
        <v>405</v>
      </c>
      <c r="H261" s="9" t="s">
        <v>426</v>
      </c>
      <c r="I261" s="10">
        <v>1</v>
      </c>
    </row>
    <row r="262" spans="1:9" ht="71.25" x14ac:dyDescent="0.2">
      <c r="A262" s="28">
        <v>1330</v>
      </c>
      <c r="B262" s="9" t="s">
        <v>570</v>
      </c>
      <c r="C262" s="9" t="s">
        <v>571</v>
      </c>
      <c r="D262" s="9" t="s">
        <v>860</v>
      </c>
      <c r="E262" s="9" t="s">
        <v>316</v>
      </c>
      <c r="F262" s="9" t="s">
        <v>125</v>
      </c>
      <c r="G262" s="225" t="s">
        <v>405</v>
      </c>
      <c r="H262" s="9" t="s">
        <v>426</v>
      </c>
      <c r="I262" s="10">
        <v>1</v>
      </c>
    </row>
    <row r="263" spans="1:9" ht="99.75" x14ac:dyDescent="0.2">
      <c r="A263" s="28">
        <v>1331</v>
      </c>
      <c r="B263" s="9" t="s">
        <v>572</v>
      </c>
      <c r="C263" s="9" t="s">
        <v>105</v>
      </c>
      <c r="D263" s="9" t="s">
        <v>860</v>
      </c>
      <c r="E263" s="9" t="s">
        <v>316</v>
      </c>
      <c r="F263" s="9" t="s">
        <v>125</v>
      </c>
      <c r="G263" s="225" t="s">
        <v>412</v>
      </c>
      <c r="H263" s="9" t="s">
        <v>831</v>
      </c>
      <c r="I263" s="10">
        <v>0.5</v>
      </c>
    </row>
    <row r="264" spans="1:9" ht="28.5" x14ac:dyDescent="0.2">
      <c r="A264" s="28">
        <v>1332</v>
      </c>
      <c r="B264" s="9" t="s">
        <v>106</v>
      </c>
      <c r="C264" s="9" t="s">
        <v>139</v>
      </c>
      <c r="D264" s="9" t="s">
        <v>860</v>
      </c>
      <c r="E264" s="9" t="s">
        <v>316</v>
      </c>
      <c r="F264" s="9" t="s">
        <v>125</v>
      </c>
      <c r="G264" s="225" t="s">
        <v>405</v>
      </c>
      <c r="H264" s="9" t="s">
        <v>536</v>
      </c>
      <c r="I264" s="10">
        <v>1</v>
      </c>
    </row>
    <row r="265" spans="1:9" ht="28.5" x14ac:dyDescent="0.2">
      <c r="A265" s="28">
        <v>1333</v>
      </c>
      <c r="B265" s="9" t="s">
        <v>140</v>
      </c>
      <c r="C265" s="9" t="s">
        <v>141</v>
      </c>
      <c r="D265" s="9" t="s">
        <v>860</v>
      </c>
      <c r="E265" s="9" t="s">
        <v>316</v>
      </c>
      <c r="F265" s="9" t="s">
        <v>125</v>
      </c>
      <c r="G265" s="225" t="s">
        <v>405</v>
      </c>
      <c r="H265" s="9" t="s">
        <v>536</v>
      </c>
      <c r="I265" s="10">
        <v>1</v>
      </c>
    </row>
    <row r="266" spans="1:9" ht="57" x14ac:dyDescent="0.2">
      <c r="A266" s="28">
        <v>1334</v>
      </c>
      <c r="B266" s="9" t="s">
        <v>142</v>
      </c>
      <c r="C266" s="9" t="s">
        <v>143</v>
      </c>
      <c r="D266" s="9" t="s">
        <v>860</v>
      </c>
      <c r="E266" s="9" t="s">
        <v>30</v>
      </c>
      <c r="F266" s="9" t="s">
        <v>125</v>
      </c>
      <c r="G266" s="225" t="s">
        <v>405</v>
      </c>
      <c r="H266" s="9" t="s">
        <v>646</v>
      </c>
      <c r="I266" s="10">
        <v>1</v>
      </c>
    </row>
    <row r="267" spans="1:9" ht="57" x14ac:dyDescent="0.2">
      <c r="A267" s="28">
        <v>1335</v>
      </c>
      <c r="B267" s="9" t="s">
        <v>144</v>
      </c>
      <c r="C267" s="9" t="s">
        <v>145</v>
      </c>
      <c r="D267" s="9" t="s">
        <v>860</v>
      </c>
      <c r="E267" s="9" t="s">
        <v>30</v>
      </c>
      <c r="F267" s="9" t="s">
        <v>125</v>
      </c>
      <c r="G267" s="225" t="s">
        <v>412</v>
      </c>
      <c r="H267" s="9" t="s">
        <v>831</v>
      </c>
      <c r="I267" s="10">
        <v>0.5</v>
      </c>
    </row>
    <row r="268" spans="1:9" ht="42.75" x14ac:dyDescent="0.2">
      <c r="A268" s="28">
        <v>1336</v>
      </c>
      <c r="B268" s="9" t="s">
        <v>448</v>
      </c>
      <c r="C268" s="9" t="s">
        <v>449</v>
      </c>
      <c r="D268" s="9" t="s">
        <v>121</v>
      </c>
      <c r="E268" s="9" t="s">
        <v>186</v>
      </c>
      <c r="F268" s="9" t="s">
        <v>125</v>
      </c>
      <c r="G268" s="225" t="s">
        <v>405</v>
      </c>
      <c r="H268" s="9" t="s">
        <v>806</v>
      </c>
      <c r="I268" s="10">
        <v>0.1</v>
      </c>
    </row>
    <row r="269" spans="1:9" ht="28.5" x14ac:dyDescent="0.2">
      <c r="A269" s="28">
        <v>1341</v>
      </c>
      <c r="B269" s="9" t="s">
        <v>146</v>
      </c>
      <c r="C269" s="9" t="s">
        <v>146</v>
      </c>
      <c r="D269" s="9" t="s">
        <v>821</v>
      </c>
      <c r="E269" s="9" t="s">
        <v>27</v>
      </c>
      <c r="F269" s="9" t="s">
        <v>125</v>
      </c>
      <c r="G269" s="225" t="s">
        <v>412</v>
      </c>
      <c r="H269" s="9" t="s">
        <v>831</v>
      </c>
      <c r="I269" s="10">
        <v>0.5</v>
      </c>
    </row>
    <row r="270" spans="1:9" ht="28.5" x14ac:dyDescent="0.2">
      <c r="A270" s="28">
        <v>1342</v>
      </c>
      <c r="B270" s="9" t="s">
        <v>146</v>
      </c>
      <c r="C270" s="9" t="s">
        <v>146</v>
      </c>
      <c r="D270" s="9" t="s">
        <v>821</v>
      </c>
      <c r="E270" s="9" t="s">
        <v>27</v>
      </c>
      <c r="F270" s="9" t="s">
        <v>125</v>
      </c>
      <c r="G270" s="225" t="s">
        <v>412</v>
      </c>
      <c r="H270" s="9" t="s">
        <v>831</v>
      </c>
      <c r="I270" s="10">
        <v>0.5</v>
      </c>
    </row>
    <row r="271" spans="1:9" ht="28.5" x14ac:dyDescent="0.2">
      <c r="A271" s="28">
        <v>1343</v>
      </c>
      <c r="B271" s="9" t="s">
        <v>146</v>
      </c>
      <c r="C271" s="9" t="s">
        <v>146</v>
      </c>
      <c r="D271" s="9" t="s">
        <v>821</v>
      </c>
      <c r="E271" s="9" t="s">
        <v>27</v>
      </c>
      <c r="F271" s="9" t="s">
        <v>125</v>
      </c>
      <c r="G271" s="225" t="s">
        <v>412</v>
      </c>
      <c r="H271" s="9" t="s">
        <v>831</v>
      </c>
      <c r="I271" s="10">
        <v>0.5</v>
      </c>
    </row>
    <row r="272" spans="1:9" ht="28.5" x14ac:dyDescent="0.2">
      <c r="A272" s="28">
        <v>1344</v>
      </c>
      <c r="B272" s="9" t="s">
        <v>147</v>
      </c>
      <c r="C272" s="9" t="s">
        <v>147</v>
      </c>
      <c r="D272" s="9" t="s">
        <v>821</v>
      </c>
      <c r="E272" s="9" t="s">
        <v>27</v>
      </c>
      <c r="F272" s="9" t="s">
        <v>125</v>
      </c>
      <c r="G272" s="225" t="s">
        <v>412</v>
      </c>
      <c r="H272" s="9" t="s">
        <v>831</v>
      </c>
      <c r="I272" s="10">
        <v>0.5</v>
      </c>
    </row>
    <row r="273" spans="1:9" ht="28.5" x14ac:dyDescent="0.2">
      <c r="A273" s="28">
        <v>1345</v>
      </c>
      <c r="B273" s="9" t="s">
        <v>147</v>
      </c>
      <c r="C273" s="9" t="s">
        <v>147</v>
      </c>
      <c r="D273" s="9" t="s">
        <v>821</v>
      </c>
      <c r="E273" s="9" t="s">
        <v>27</v>
      </c>
      <c r="F273" s="9" t="s">
        <v>125</v>
      </c>
      <c r="G273" s="225" t="s">
        <v>412</v>
      </c>
      <c r="H273" s="9" t="s">
        <v>831</v>
      </c>
      <c r="I273" s="10">
        <v>0.5</v>
      </c>
    </row>
    <row r="274" spans="1:9" ht="28.5" x14ac:dyDescent="0.2">
      <c r="A274" s="28">
        <v>1346</v>
      </c>
      <c r="B274" s="9" t="s">
        <v>147</v>
      </c>
      <c r="C274" s="9" t="s">
        <v>147</v>
      </c>
      <c r="D274" s="9" t="s">
        <v>821</v>
      </c>
      <c r="E274" s="9" t="s">
        <v>27</v>
      </c>
      <c r="F274" s="9" t="s">
        <v>125</v>
      </c>
      <c r="G274" s="225" t="s">
        <v>412</v>
      </c>
      <c r="H274" s="9" t="s">
        <v>831</v>
      </c>
      <c r="I274" s="10">
        <v>0.5</v>
      </c>
    </row>
    <row r="275" spans="1:9" ht="28.5" x14ac:dyDescent="0.2">
      <c r="A275" s="28">
        <v>1347</v>
      </c>
      <c r="B275" s="9" t="s">
        <v>148</v>
      </c>
      <c r="C275" s="9" t="s">
        <v>148</v>
      </c>
      <c r="D275" s="9" t="s">
        <v>821</v>
      </c>
      <c r="E275" s="9" t="s">
        <v>27</v>
      </c>
      <c r="F275" s="9" t="s">
        <v>125</v>
      </c>
      <c r="G275" s="225" t="s">
        <v>412</v>
      </c>
      <c r="H275" s="9" t="s">
        <v>831</v>
      </c>
      <c r="I275" s="10">
        <v>0.5</v>
      </c>
    </row>
    <row r="276" spans="1:9" ht="28.5" x14ac:dyDescent="0.2">
      <c r="A276" s="28">
        <v>1348</v>
      </c>
      <c r="B276" s="9" t="s">
        <v>148</v>
      </c>
      <c r="C276" s="9" t="s">
        <v>148</v>
      </c>
      <c r="D276" s="9" t="s">
        <v>821</v>
      </c>
      <c r="E276" s="9" t="s">
        <v>27</v>
      </c>
      <c r="F276" s="9" t="s">
        <v>125</v>
      </c>
      <c r="G276" s="225" t="s">
        <v>412</v>
      </c>
      <c r="H276" s="9" t="s">
        <v>831</v>
      </c>
      <c r="I276" s="10">
        <v>0.5</v>
      </c>
    </row>
    <row r="277" spans="1:9" ht="28.5" x14ac:dyDescent="0.2">
      <c r="A277" s="28">
        <v>1349</v>
      </c>
      <c r="B277" s="9" t="s">
        <v>148</v>
      </c>
      <c r="C277" s="9" t="s">
        <v>148</v>
      </c>
      <c r="D277" s="9" t="s">
        <v>821</v>
      </c>
      <c r="E277" s="9" t="s">
        <v>27</v>
      </c>
      <c r="F277" s="9" t="s">
        <v>125</v>
      </c>
      <c r="G277" s="225" t="s">
        <v>412</v>
      </c>
      <c r="H277" s="9" t="s">
        <v>831</v>
      </c>
      <c r="I277" s="10">
        <v>0.5</v>
      </c>
    </row>
    <row r="278" spans="1:9" ht="28.5" x14ac:dyDescent="0.2">
      <c r="A278" s="28">
        <v>1350</v>
      </c>
      <c r="B278" s="9" t="s">
        <v>149</v>
      </c>
      <c r="C278" s="9" t="s">
        <v>149</v>
      </c>
      <c r="D278" s="9" t="s">
        <v>821</v>
      </c>
      <c r="E278" s="9" t="s">
        <v>27</v>
      </c>
      <c r="F278" s="9" t="s">
        <v>125</v>
      </c>
      <c r="G278" s="225" t="s">
        <v>412</v>
      </c>
      <c r="H278" s="9" t="s">
        <v>831</v>
      </c>
      <c r="I278" s="10">
        <v>0.5</v>
      </c>
    </row>
    <row r="279" spans="1:9" ht="28.5" x14ac:dyDescent="0.2">
      <c r="A279" s="28">
        <v>1351</v>
      </c>
      <c r="B279" s="9" t="s">
        <v>149</v>
      </c>
      <c r="C279" s="9" t="s">
        <v>149</v>
      </c>
      <c r="D279" s="9" t="s">
        <v>821</v>
      </c>
      <c r="E279" s="9" t="s">
        <v>27</v>
      </c>
      <c r="F279" s="9" t="s">
        <v>125</v>
      </c>
      <c r="G279" s="225" t="s">
        <v>412</v>
      </c>
      <c r="H279" s="9" t="s">
        <v>831</v>
      </c>
      <c r="I279" s="10">
        <v>0.5</v>
      </c>
    </row>
    <row r="280" spans="1:9" ht="28.5" x14ac:dyDescent="0.2">
      <c r="A280" s="28">
        <v>1352</v>
      </c>
      <c r="B280" s="9" t="s">
        <v>149</v>
      </c>
      <c r="C280" s="9" t="s">
        <v>149</v>
      </c>
      <c r="D280" s="9" t="s">
        <v>821</v>
      </c>
      <c r="E280" s="9" t="s">
        <v>27</v>
      </c>
      <c r="F280" s="9" t="s">
        <v>125</v>
      </c>
      <c r="G280" s="225" t="s">
        <v>412</v>
      </c>
      <c r="H280" s="9" t="s">
        <v>831</v>
      </c>
      <c r="I280" s="10">
        <v>0.5</v>
      </c>
    </row>
    <row r="281" spans="1:9" ht="28.5" x14ac:dyDescent="0.2">
      <c r="A281" s="28">
        <v>1353</v>
      </c>
      <c r="B281" s="9" t="s">
        <v>150</v>
      </c>
      <c r="C281" s="9" t="s">
        <v>150</v>
      </c>
      <c r="D281" s="9" t="s">
        <v>821</v>
      </c>
      <c r="E281" s="9" t="s">
        <v>27</v>
      </c>
      <c r="F281" s="9" t="s">
        <v>125</v>
      </c>
      <c r="G281" s="225" t="s">
        <v>412</v>
      </c>
      <c r="H281" s="9" t="s">
        <v>831</v>
      </c>
      <c r="I281" s="10">
        <v>0.5</v>
      </c>
    </row>
    <row r="282" spans="1:9" ht="28.5" x14ac:dyDescent="0.2">
      <c r="A282" s="28">
        <v>1354</v>
      </c>
      <c r="B282" s="9" t="s">
        <v>150</v>
      </c>
      <c r="C282" s="9" t="s">
        <v>150</v>
      </c>
      <c r="D282" s="9" t="s">
        <v>821</v>
      </c>
      <c r="E282" s="9" t="s">
        <v>27</v>
      </c>
      <c r="F282" s="9" t="s">
        <v>125</v>
      </c>
      <c r="G282" s="225" t="s">
        <v>412</v>
      </c>
      <c r="H282" s="9" t="s">
        <v>831</v>
      </c>
      <c r="I282" s="10">
        <v>0.5</v>
      </c>
    </row>
    <row r="283" spans="1:9" ht="28.5" x14ac:dyDescent="0.2">
      <c r="A283" s="28">
        <v>1355</v>
      </c>
      <c r="B283" s="9" t="s">
        <v>150</v>
      </c>
      <c r="C283" s="9" t="s">
        <v>150</v>
      </c>
      <c r="D283" s="9" t="s">
        <v>821</v>
      </c>
      <c r="E283" s="9" t="s">
        <v>27</v>
      </c>
      <c r="F283" s="9" t="s">
        <v>125</v>
      </c>
      <c r="G283" s="225" t="s">
        <v>412</v>
      </c>
      <c r="H283" s="9" t="s">
        <v>831</v>
      </c>
      <c r="I283" s="10">
        <v>0.5</v>
      </c>
    </row>
    <row r="284" spans="1:9" ht="28.5" x14ac:dyDescent="0.2">
      <c r="A284" s="28">
        <v>1356</v>
      </c>
      <c r="B284" s="9" t="s">
        <v>151</v>
      </c>
      <c r="C284" s="9" t="s">
        <v>151</v>
      </c>
      <c r="D284" s="9" t="s">
        <v>821</v>
      </c>
      <c r="E284" s="9" t="s">
        <v>27</v>
      </c>
      <c r="F284" s="9" t="s">
        <v>125</v>
      </c>
      <c r="G284" s="225" t="s">
        <v>412</v>
      </c>
      <c r="H284" s="9" t="s">
        <v>831</v>
      </c>
      <c r="I284" s="10">
        <v>0.5</v>
      </c>
    </row>
    <row r="285" spans="1:9" ht="28.5" x14ac:dyDescent="0.2">
      <c r="A285" s="28">
        <v>1357</v>
      </c>
      <c r="B285" s="9" t="s">
        <v>151</v>
      </c>
      <c r="C285" s="9" t="s">
        <v>151</v>
      </c>
      <c r="D285" s="9" t="s">
        <v>821</v>
      </c>
      <c r="E285" s="9" t="s">
        <v>27</v>
      </c>
      <c r="F285" s="9" t="s">
        <v>125</v>
      </c>
      <c r="G285" s="225" t="s">
        <v>412</v>
      </c>
      <c r="H285" s="9" t="s">
        <v>831</v>
      </c>
      <c r="I285" s="10">
        <v>0.5</v>
      </c>
    </row>
    <row r="286" spans="1:9" ht="28.5" x14ac:dyDescent="0.2">
      <c r="A286" s="28">
        <v>1358</v>
      </c>
      <c r="B286" s="9" t="s">
        <v>151</v>
      </c>
      <c r="C286" s="9" t="s">
        <v>151</v>
      </c>
      <c r="D286" s="9" t="s">
        <v>821</v>
      </c>
      <c r="E286" s="9" t="s">
        <v>27</v>
      </c>
      <c r="F286" s="9" t="s">
        <v>125</v>
      </c>
      <c r="G286" s="225" t="s">
        <v>412</v>
      </c>
      <c r="H286" s="9" t="s">
        <v>831</v>
      </c>
      <c r="I286" s="10">
        <v>0.5</v>
      </c>
    </row>
    <row r="287" spans="1:9" ht="28.5" x14ac:dyDescent="0.2">
      <c r="A287" s="28">
        <v>1359</v>
      </c>
      <c r="B287" s="9" t="s">
        <v>152</v>
      </c>
      <c r="C287" s="9" t="s">
        <v>152</v>
      </c>
      <c r="D287" s="9" t="s">
        <v>821</v>
      </c>
      <c r="E287" s="9" t="s">
        <v>27</v>
      </c>
      <c r="F287" s="9" t="s">
        <v>125</v>
      </c>
      <c r="G287" s="225" t="s">
        <v>412</v>
      </c>
      <c r="H287" s="9" t="s">
        <v>831</v>
      </c>
      <c r="I287" s="10">
        <v>0.5</v>
      </c>
    </row>
    <row r="288" spans="1:9" ht="28.5" x14ac:dyDescent="0.2">
      <c r="A288" s="28">
        <v>1360</v>
      </c>
      <c r="B288" s="9" t="s">
        <v>152</v>
      </c>
      <c r="C288" s="9" t="s">
        <v>152</v>
      </c>
      <c r="D288" s="9" t="s">
        <v>821</v>
      </c>
      <c r="E288" s="9" t="s">
        <v>27</v>
      </c>
      <c r="F288" s="9" t="s">
        <v>125</v>
      </c>
      <c r="G288" s="225" t="s">
        <v>412</v>
      </c>
      <c r="H288" s="9" t="s">
        <v>831</v>
      </c>
      <c r="I288" s="10">
        <v>0.5</v>
      </c>
    </row>
    <row r="289" spans="1:9" ht="28.5" x14ac:dyDescent="0.2">
      <c r="A289" s="28">
        <v>1361</v>
      </c>
      <c r="B289" s="9" t="s">
        <v>152</v>
      </c>
      <c r="C289" s="9" t="s">
        <v>152</v>
      </c>
      <c r="D289" s="9" t="s">
        <v>821</v>
      </c>
      <c r="E289" s="9" t="s">
        <v>27</v>
      </c>
      <c r="F289" s="9" t="s">
        <v>125</v>
      </c>
      <c r="G289" s="225" t="s">
        <v>412</v>
      </c>
      <c r="H289" s="9" t="s">
        <v>831</v>
      </c>
      <c r="I289" s="10">
        <v>0.5</v>
      </c>
    </row>
    <row r="290" spans="1:9" ht="28.5" x14ac:dyDescent="0.2">
      <c r="A290" s="28">
        <v>1362</v>
      </c>
      <c r="B290" s="9" t="s">
        <v>153</v>
      </c>
      <c r="C290" s="9" t="s">
        <v>153</v>
      </c>
      <c r="D290" s="9" t="s">
        <v>821</v>
      </c>
      <c r="E290" s="9" t="s">
        <v>27</v>
      </c>
      <c r="F290" s="9" t="s">
        <v>125</v>
      </c>
      <c r="G290" s="225" t="s">
        <v>412</v>
      </c>
      <c r="H290" s="9" t="s">
        <v>831</v>
      </c>
      <c r="I290" s="10">
        <v>0.5</v>
      </c>
    </row>
    <row r="291" spans="1:9" ht="28.5" x14ac:dyDescent="0.2">
      <c r="A291" s="28">
        <v>1363</v>
      </c>
      <c r="B291" s="9" t="s">
        <v>153</v>
      </c>
      <c r="C291" s="9" t="s">
        <v>153</v>
      </c>
      <c r="D291" s="9" t="s">
        <v>821</v>
      </c>
      <c r="E291" s="9" t="s">
        <v>27</v>
      </c>
      <c r="F291" s="9" t="s">
        <v>125</v>
      </c>
      <c r="G291" s="225" t="s">
        <v>412</v>
      </c>
      <c r="H291" s="9" t="s">
        <v>831</v>
      </c>
      <c r="I291" s="10">
        <v>0.5</v>
      </c>
    </row>
    <row r="292" spans="1:9" ht="28.5" x14ac:dyDescent="0.2">
      <c r="A292" s="28">
        <v>1364</v>
      </c>
      <c r="B292" s="9" t="s">
        <v>153</v>
      </c>
      <c r="C292" s="9" t="s">
        <v>153</v>
      </c>
      <c r="D292" s="9" t="s">
        <v>821</v>
      </c>
      <c r="E292" s="9" t="s">
        <v>27</v>
      </c>
      <c r="F292" s="9" t="s">
        <v>125</v>
      </c>
      <c r="G292" s="225" t="s">
        <v>412</v>
      </c>
      <c r="H292" s="9" t="s">
        <v>831</v>
      </c>
      <c r="I292" s="10">
        <v>0.5</v>
      </c>
    </row>
    <row r="293" spans="1:9" ht="28.5" x14ac:dyDescent="0.2">
      <c r="A293" s="28">
        <v>1365</v>
      </c>
      <c r="B293" s="9" t="s">
        <v>154</v>
      </c>
      <c r="C293" s="9" t="s">
        <v>154</v>
      </c>
      <c r="D293" s="9" t="s">
        <v>821</v>
      </c>
      <c r="E293" s="9" t="s">
        <v>27</v>
      </c>
      <c r="F293" s="9" t="s">
        <v>125</v>
      </c>
      <c r="G293" s="225" t="s">
        <v>405</v>
      </c>
      <c r="H293" s="9" t="s">
        <v>426</v>
      </c>
      <c r="I293" s="10">
        <v>1</v>
      </c>
    </row>
    <row r="294" spans="1:9" ht="28.5" x14ac:dyDescent="0.2">
      <c r="A294" s="28">
        <v>1366</v>
      </c>
      <c r="B294" s="9" t="s">
        <v>154</v>
      </c>
      <c r="C294" s="9" t="s">
        <v>154</v>
      </c>
      <c r="D294" s="9" t="s">
        <v>821</v>
      </c>
      <c r="E294" s="9" t="s">
        <v>27</v>
      </c>
      <c r="F294" s="9" t="s">
        <v>125</v>
      </c>
      <c r="G294" s="225" t="s">
        <v>405</v>
      </c>
      <c r="H294" s="9" t="s">
        <v>426</v>
      </c>
      <c r="I294" s="10">
        <v>1</v>
      </c>
    </row>
    <row r="295" spans="1:9" ht="28.5" x14ac:dyDescent="0.2">
      <c r="A295" s="28">
        <v>1367</v>
      </c>
      <c r="B295" s="9" t="s">
        <v>154</v>
      </c>
      <c r="C295" s="9" t="s">
        <v>154</v>
      </c>
      <c r="D295" s="9" t="s">
        <v>821</v>
      </c>
      <c r="E295" s="9" t="s">
        <v>27</v>
      </c>
      <c r="F295" s="9" t="s">
        <v>125</v>
      </c>
      <c r="G295" s="225" t="s">
        <v>405</v>
      </c>
      <c r="H295" s="9" t="s">
        <v>426</v>
      </c>
      <c r="I295" s="10">
        <v>1</v>
      </c>
    </row>
    <row r="296" spans="1:9" ht="28.5" x14ac:dyDescent="0.2">
      <c r="A296" s="28">
        <v>1368</v>
      </c>
      <c r="B296" s="9" t="s">
        <v>155</v>
      </c>
      <c r="C296" s="9" t="s">
        <v>155</v>
      </c>
      <c r="D296" s="9" t="s">
        <v>821</v>
      </c>
      <c r="E296" s="9" t="s">
        <v>27</v>
      </c>
      <c r="F296" s="9" t="s">
        <v>125</v>
      </c>
      <c r="G296" s="225" t="s">
        <v>412</v>
      </c>
      <c r="H296" s="9" t="s">
        <v>831</v>
      </c>
      <c r="I296" s="10">
        <v>0.5</v>
      </c>
    </row>
    <row r="297" spans="1:9" ht="28.5" x14ac:dyDescent="0.2">
      <c r="A297" s="28">
        <v>1369</v>
      </c>
      <c r="B297" s="9" t="s">
        <v>155</v>
      </c>
      <c r="C297" s="9" t="s">
        <v>155</v>
      </c>
      <c r="D297" s="9" t="s">
        <v>821</v>
      </c>
      <c r="E297" s="9" t="s">
        <v>27</v>
      </c>
      <c r="F297" s="9" t="s">
        <v>125</v>
      </c>
      <c r="G297" s="225" t="s">
        <v>412</v>
      </c>
      <c r="H297" s="9" t="s">
        <v>831</v>
      </c>
      <c r="I297" s="10">
        <v>0.5</v>
      </c>
    </row>
    <row r="298" spans="1:9" ht="28.5" x14ac:dyDescent="0.2">
      <c r="A298" s="28">
        <v>1370</v>
      </c>
      <c r="B298" s="9" t="s">
        <v>155</v>
      </c>
      <c r="C298" s="9" t="s">
        <v>155</v>
      </c>
      <c r="D298" s="9" t="s">
        <v>821</v>
      </c>
      <c r="E298" s="9" t="s">
        <v>27</v>
      </c>
      <c r="F298" s="9" t="s">
        <v>125</v>
      </c>
      <c r="G298" s="225" t="s">
        <v>412</v>
      </c>
      <c r="H298" s="9" t="s">
        <v>831</v>
      </c>
      <c r="I298" s="10">
        <v>0.5</v>
      </c>
    </row>
    <row r="299" spans="1:9" x14ac:dyDescent="0.2">
      <c r="A299" s="28">
        <v>1371</v>
      </c>
      <c r="B299" s="9" t="s">
        <v>156</v>
      </c>
      <c r="C299" s="9" t="s">
        <v>156</v>
      </c>
      <c r="D299" s="9" t="s">
        <v>821</v>
      </c>
      <c r="E299" s="9" t="s">
        <v>27</v>
      </c>
      <c r="F299" s="9" t="s">
        <v>125</v>
      </c>
      <c r="G299" s="225" t="s">
        <v>412</v>
      </c>
      <c r="H299" s="9" t="s">
        <v>831</v>
      </c>
      <c r="I299" s="10">
        <v>0.5</v>
      </c>
    </row>
    <row r="300" spans="1:9" x14ac:dyDescent="0.2">
      <c r="A300" s="28">
        <v>1372</v>
      </c>
      <c r="B300" s="9" t="s">
        <v>156</v>
      </c>
      <c r="C300" s="9" t="s">
        <v>156</v>
      </c>
      <c r="D300" s="9" t="s">
        <v>821</v>
      </c>
      <c r="E300" s="9" t="s">
        <v>27</v>
      </c>
      <c r="F300" s="9" t="s">
        <v>125</v>
      </c>
      <c r="G300" s="225" t="s">
        <v>412</v>
      </c>
      <c r="H300" s="9" t="s">
        <v>831</v>
      </c>
      <c r="I300" s="10">
        <v>0.5</v>
      </c>
    </row>
    <row r="301" spans="1:9" x14ac:dyDescent="0.2">
      <c r="A301" s="28">
        <v>1373</v>
      </c>
      <c r="B301" s="9" t="s">
        <v>156</v>
      </c>
      <c r="C301" s="9" t="s">
        <v>156</v>
      </c>
      <c r="D301" s="9" t="s">
        <v>821</v>
      </c>
      <c r="E301" s="9" t="s">
        <v>27</v>
      </c>
      <c r="F301" s="9" t="s">
        <v>125</v>
      </c>
      <c r="G301" s="225" t="s">
        <v>412</v>
      </c>
      <c r="H301" s="9" t="s">
        <v>831</v>
      </c>
      <c r="I301" s="10">
        <v>0.5</v>
      </c>
    </row>
    <row r="302" spans="1:9" ht="28.5" x14ac:dyDescent="0.2">
      <c r="A302" s="28">
        <v>1374</v>
      </c>
      <c r="B302" s="9" t="s">
        <v>157</v>
      </c>
      <c r="C302" s="9" t="s">
        <v>157</v>
      </c>
      <c r="D302" s="9" t="s">
        <v>821</v>
      </c>
      <c r="E302" s="9" t="s">
        <v>27</v>
      </c>
      <c r="F302" s="9" t="s">
        <v>125</v>
      </c>
      <c r="G302" s="225" t="s">
        <v>412</v>
      </c>
      <c r="H302" s="9" t="s">
        <v>831</v>
      </c>
      <c r="I302" s="10">
        <v>0.5</v>
      </c>
    </row>
    <row r="303" spans="1:9" ht="28.5" x14ac:dyDescent="0.2">
      <c r="A303" s="28">
        <v>1375</v>
      </c>
      <c r="B303" s="9" t="s">
        <v>157</v>
      </c>
      <c r="C303" s="9" t="s">
        <v>157</v>
      </c>
      <c r="D303" s="9" t="s">
        <v>821</v>
      </c>
      <c r="E303" s="9" t="s">
        <v>27</v>
      </c>
      <c r="F303" s="9" t="s">
        <v>125</v>
      </c>
      <c r="G303" s="225" t="s">
        <v>405</v>
      </c>
      <c r="H303" s="9" t="s">
        <v>426</v>
      </c>
      <c r="I303" s="10">
        <v>1</v>
      </c>
    </row>
    <row r="304" spans="1:9" ht="28.5" x14ac:dyDescent="0.2">
      <c r="A304" s="28">
        <v>1376</v>
      </c>
      <c r="B304" s="9" t="s">
        <v>157</v>
      </c>
      <c r="C304" s="9" t="s">
        <v>157</v>
      </c>
      <c r="D304" s="9" t="s">
        <v>821</v>
      </c>
      <c r="E304" s="9" t="s">
        <v>27</v>
      </c>
      <c r="F304" s="9" t="s">
        <v>125</v>
      </c>
      <c r="G304" s="225" t="s">
        <v>405</v>
      </c>
      <c r="H304" s="9" t="s">
        <v>426</v>
      </c>
      <c r="I304" s="10">
        <v>1</v>
      </c>
    </row>
    <row r="305" spans="1:9" ht="28.5" x14ac:dyDescent="0.2">
      <c r="A305" s="28">
        <v>1377</v>
      </c>
      <c r="B305" s="9" t="s">
        <v>158</v>
      </c>
      <c r="C305" s="9" t="s">
        <v>158</v>
      </c>
      <c r="D305" s="9" t="s">
        <v>821</v>
      </c>
      <c r="E305" s="9" t="s">
        <v>27</v>
      </c>
      <c r="F305" s="9" t="s">
        <v>125</v>
      </c>
      <c r="G305" s="225" t="s">
        <v>412</v>
      </c>
      <c r="H305" s="9" t="s">
        <v>831</v>
      </c>
      <c r="I305" s="10">
        <v>0.5</v>
      </c>
    </row>
    <row r="306" spans="1:9" ht="28.5" x14ac:dyDescent="0.2">
      <c r="A306" s="28">
        <v>1378</v>
      </c>
      <c r="B306" s="9" t="s">
        <v>158</v>
      </c>
      <c r="C306" s="9" t="s">
        <v>158</v>
      </c>
      <c r="D306" s="9" t="s">
        <v>821</v>
      </c>
      <c r="E306" s="9" t="s">
        <v>27</v>
      </c>
      <c r="F306" s="9" t="s">
        <v>125</v>
      </c>
      <c r="G306" s="225" t="s">
        <v>412</v>
      </c>
      <c r="H306" s="9" t="s">
        <v>831</v>
      </c>
      <c r="I306" s="10">
        <v>0.5</v>
      </c>
    </row>
    <row r="307" spans="1:9" ht="28.5" x14ac:dyDescent="0.2">
      <c r="A307" s="28">
        <v>1379</v>
      </c>
      <c r="B307" s="9" t="s">
        <v>158</v>
      </c>
      <c r="C307" s="9" t="s">
        <v>158</v>
      </c>
      <c r="D307" s="9" t="s">
        <v>821</v>
      </c>
      <c r="E307" s="9" t="s">
        <v>27</v>
      </c>
      <c r="F307" s="9" t="s">
        <v>125</v>
      </c>
      <c r="G307" s="225" t="s">
        <v>412</v>
      </c>
      <c r="H307" s="9" t="s">
        <v>831</v>
      </c>
      <c r="I307" s="10">
        <v>0.5</v>
      </c>
    </row>
    <row r="308" spans="1:9" ht="28.5" x14ac:dyDescent="0.2">
      <c r="A308" s="28">
        <v>1380</v>
      </c>
      <c r="B308" s="9" t="s">
        <v>159</v>
      </c>
      <c r="C308" s="9" t="s">
        <v>159</v>
      </c>
      <c r="D308" s="9" t="s">
        <v>821</v>
      </c>
      <c r="E308" s="9" t="s">
        <v>27</v>
      </c>
      <c r="F308" s="9" t="s">
        <v>125</v>
      </c>
      <c r="G308" s="225" t="s">
        <v>412</v>
      </c>
      <c r="H308" s="9" t="s">
        <v>831</v>
      </c>
      <c r="I308" s="10">
        <v>0.5</v>
      </c>
    </row>
    <row r="309" spans="1:9" ht="42.75" x14ac:dyDescent="0.2">
      <c r="A309" s="28">
        <v>1381</v>
      </c>
      <c r="B309" s="9" t="s">
        <v>160</v>
      </c>
      <c r="C309" s="9" t="s">
        <v>160</v>
      </c>
      <c r="D309" s="9" t="s">
        <v>821</v>
      </c>
      <c r="E309" s="9" t="s">
        <v>27</v>
      </c>
      <c r="F309" s="9" t="s">
        <v>125</v>
      </c>
      <c r="G309" s="225" t="s">
        <v>412</v>
      </c>
      <c r="H309" s="9" t="s">
        <v>831</v>
      </c>
      <c r="I309" s="10">
        <v>0.5</v>
      </c>
    </row>
    <row r="310" spans="1:9" ht="28.5" x14ac:dyDescent="0.2">
      <c r="A310" s="28">
        <v>1382</v>
      </c>
      <c r="B310" s="9" t="s">
        <v>161</v>
      </c>
      <c r="C310" s="9" t="s">
        <v>161</v>
      </c>
      <c r="D310" s="9" t="s">
        <v>121</v>
      </c>
      <c r="E310" s="9" t="s">
        <v>837</v>
      </c>
      <c r="F310" s="9" t="s">
        <v>125</v>
      </c>
      <c r="G310" s="225" t="s">
        <v>412</v>
      </c>
      <c r="H310" s="9" t="s">
        <v>831</v>
      </c>
      <c r="I310" s="10">
        <v>0.5</v>
      </c>
    </row>
    <row r="311" spans="1:9" ht="28.5" x14ac:dyDescent="0.2">
      <c r="A311" s="28">
        <v>1383</v>
      </c>
      <c r="B311" s="9" t="s">
        <v>162</v>
      </c>
      <c r="C311" s="9" t="s">
        <v>162</v>
      </c>
      <c r="D311" s="9" t="s">
        <v>821</v>
      </c>
      <c r="E311" s="9" t="s">
        <v>27</v>
      </c>
      <c r="F311" s="9" t="s">
        <v>125</v>
      </c>
      <c r="G311" s="225" t="s">
        <v>412</v>
      </c>
      <c r="H311" s="9" t="s">
        <v>831</v>
      </c>
      <c r="I311" s="10">
        <v>0.5</v>
      </c>
    </row>
    <row r="312" spans="1:9" x14ac:dyDescent="0.2">
      <c r="A312" s="28">
        <v>1384</v>
      </c>
      <c r="B312" s="9" t="s">
        <v>163</v>
      </c>
      <c r="C312" s="9" t="s">
        <v>163</v>
      </c>
      <c r="D312" s="9" t="s">
        <v>821</v>
      </c>
      <c r="E312" s="9" t="s">
        <v>27</v>
      </c>
      <c r="F312" s="9" t="s">
        <v>125</v>
      </c>
      <c r="G312" s="225" t="s">
        <v>412</v>
      </c>
      <c r="H312" s="9" t="s">
        <v>831</v>
      </c>
      <c r="I312" s="10">
        <v>0.5</v>
      </c>
    </row>
    <row r="313" spans="1:9" x14ac:dyDescent="0.2">
      <c r="A313" s="28">
        <v>1385</v>
      </c>
      <c r="B313" s="9" t="s">
        <v>164</v>
      </c>
      <c r="C313" s="9" t="s">
        <v>164</v>
      </c>
      <c r="D313" s="9" t="s">
        <v>821</v>
      </c>
      <c r="E313" s="9" t="s">
        <v>825</v>
      </c>
      <c r="F313" s="9" t="s">
        <v>125</v>
      </c>
      <c r="G313" s="225" t="s">
        <v>412</v>
      </c>
      <c r="H313" s="9" t="s">
        <v>831</v>
      </c>
      <c r="I313" s="10">
        <v>0.5</v>
      </c>
    </row>
    <row r="314" spans="1:9" x14ac:dyDescent="0.2">
      <c r="A314" s="28">
        <v>1386</v>
      </c>
      <c r="B314" s="9" t="s">
        <v>164</v>
      </c>
      <c r="C314" s="9" t="s">
        <v>164</v>
      </c>
      <c r="D314" s="9" t="s">
        <v>821</v>
      </c>
      <c r="E314" s="9" t="s">
        <v>825</v>
      </c>
      <c r="F314" s="9" t="s">
        <v>831</v>
      </c>
      <c r="G314" s="225" t="s">
        <v>412</v>
      </c>
      <c r="H314" s="9" t="s">
        <v>831</v>
      </c>
      <c r="I314" s="10">
        <v>0.5</v>
      </c>
    </row>
    <row r="315" spans="1:9" ht="28.5" x14ac:dyDescent="0.2">
      <c r="A315" s="28">
        <v>1387</v>
      </c>
      <c r="B315" s="9" t="s">
        <v>165</v>
      </c>
      <c r="C315" s="9" t="s">
        <v>165</v>
      </c>
      <c r="D315" s="9" t="s">
        <v>821</v>
      </c>
      <c r="E315" s="9" t="s">
        <v>825</v>
      </c>
      <c r="F315" s="9" t="s">
        <v>125</v>
      </c>
      <c r="G315" s="225" t="s">
        <v>412</v>
      </c>
      <c r="H315" s="9" t="s">
        <v>831</v>
      </c>
      <c r="I315" s="10">
        <v>0.5</v>
      </c>
    </row>
    <row r="316" spans="1:9" x14ac:dyDescent="0.2">
      <c r="A316" s="28">
        <v>1388</v>
      </c>
      <c r="B316" s="9" t="s">
        <v>166</v>
      </c>
      <c r="C316" s="9" t="s">
        <v>166</v>
      </c>
      <c r="D316" s="9" t="s">
        <v>821</v>
      </c>
      <c r="E316" s="9" t="s">
        <v>825</v>
      </c>
      <c r="F316" s="9" t="s">
        <v>125</v>
      </c>
      <c r="G316" s="225" t="s">
        <v>412</v>
      </c>
      <c r="H316" s="9" t="s">
        <v>831</v>
      </c>
      <c r="I316" s="10">
        <v>0.5</v>
      </c>
    </row>
    <row r="317" spans="1:9" ht="28.5" x14ac:dyDescent="0.2">
      <c r="A317" s="28">
        <v>1389</v>
      </c>
      <c r="B317" s="9" t="s">
        <v>167</v>
      </c>
      <c r="C317" s="9" t="s">
        <v>167</v>
      </c>
      <c r="D317" s="9" t="s">
        <v>821</v>
      </c>
      <c r="E317" s="9" t="s">
        <v>825</v>
      </c>
      <c r="F317" s="9" t="s">
        <v>125</v>
      </c>
      <c r="G317" s="225" t="s">
        <v>412</v>
      </c>
      <c r="H317" s="9" t="s">
        <v>831</v>
      </c>
      <c r="I317" s="10">
        <v>0.5</v>
      </c>
    </row>
    <row r="318" spans="1:9" ht="28.5" x14ac:dyDescent="0.2">
      <c r="A318" s="28">
        <v>1390</v>
      </c>
      <c r="B318" s="9" t="s">
        <v>168</v>
      </c>
      <c r="C318" s="9" t="s">
        <v>168</v>
      </c>
      <c r="D318" s="9" t="s">
        <v>821</v>
      </c>
      <c r="E318" s="9" t="s">
        <v>825</v>
      </c>
      <c r="F318" s="9" t="s">
        <v>125</v>
      </c>
      <c r="G318" s="225" t="s">
        <v>412</v>
      </c>
      <c r="H318" s="9" t="s">
        <v>831</v>
      </c>
      <c r="I318" s="10">
        <v>0.5</v>
      </c>
    </row>
    <row r="319" spans="1:9" x14ac:dyDescent="0.2">
      <c r="A319" s="28">
        <v>1391</v>
      </c>
      <c r="B319" s="9" t="s">
        <v>169</v>
      </c>
      <c r="C319" s="9" t="s">
        <v>169</v>
      </c>
      <c r="D319" s="9" t="s">
        <v>821</v>
      </c>
      <c r="E319" s="9" t="s">
        <v>825</v>
      </c>
      <c r="F319" s="9" t="s">
        <v>125</v>
      </c>
      <c r="G319" s="225" t="s">
        <v>412</v>
      </c>
      <c r="H319" s="9" t="s">
        <v>831</v>
      </c>
      <c r="I319" s="10">
        <v>0.5</v>
      </c>
    </row>
    <row r="320" spans="1:9" x14ac:dyDescent="0.2">
      <c r="A320" s="28">
        <v>1392</v>
      </c>
      <c r="B320" s="9" t="s">
        <v>170</v>
      </c>
      <c r="C320" s="9" t="s">
        <v>170</v>
      </c>
      <c r="D320" s="9" t="s">
        <v>821</v>
      </c>
      <c r="E320" s="9" t="s">
        <v>825</v>
      </c>
      <c r="F320" s="9" t="s">
        <v>125</v>
      </c>
      <c r="G320" s="225" t="s">
        <v>405</v>
      </c>
      <c r="H320" s="9" t="s">
        <v>426</v>
      </c>
      <c r="I320" s="10">
        <v>1</v>
      </c>
    </row>
    <row r="321" spans="1:9" x14ac:dyDescent="0.2">
      <c r="A321" s="28">
        <v>1393</v>
      </c>
      <c r="B321" s="9" t="s">
        <v>171</v>
      </c>
      <c r="C321" s="9" t="s">
        <v>171</v>
      </c>
      <c r="D321" s="9" t="s">
        <v>821</v>
      </c>
      <c r="E321" s="9" t="s">
        <v>825</v>
      </c>
      <c r="F321" s="9" t="s">
        <v>125</v>
      </c>
      <c r="G321" s="225" t="s">
        <v>412</v>
      </c>
      <c r="H321" s="9" t="s">
        <v>831</v>
      </c>
      <c r="I321" s="10">
        <v>0.5</v>
      </c>
    </row>
    <row r="322" spans="1:9" x14ac:dyDescent="0.2">
      <c r="A322" s="28">
        <v>1394</v>
      </c>
      <c r="B322" s="9" t="s">
        <v>172</v>
      </c>
      <c r="C322" s="9" t="s">
        <v>172</v>
      </c>
      <c r="D322" s="9" t="s">
        <v>821</v>
      </c>
      <c r="E322" s="9" t="s">
        <v>825</v>
      </c>
      <c r="F322" s="9" t="s">
        <v>125</v>
      </c>
      <c r="G322" s="225" t="s">
        <v>412</v>
      </c>
      <c r="H322" s="9" t="s">
        <v>831</v>
      </c>
      <c r="I322" s="10">
        <v>0.5</v>
      </c>
    </row>
    <row r="323" spans="1:9" ht="28.5" x14ac:dyDescent="0.2">
      <c r="A323" s="28">
        <v>1395</v>
      </c>
      <c r="B323" s="9" t="s">
        <v>173</v>
      </c>
      <c r="C323" s="9" t="s">
        <v>173</v>
      </c>
      <c r="D323" s="9" t="s">
        <v>821</v>
      </c>
      <c r="E323" s="9" t="s">
        <v>825</v>
      </c>
      <c r="F323" s="9" t="s">
        <v>125</v>
      </c>
      <c r="G323" s="225" t="s">
        <v>412</v>
      </c>
      <c r="H323" s="9" t="s">
        <v>831</v>
      </c>
      <c r="I323" s="10">
        <v>0.5</v>
      </c>
    </row>
    <row r="324" spans="1:9" ht="28.5" x14ac:dyDescent="0.2">
      <c r="A324" s="28">
        <v>1396</v>
      </c>
      <c r="B324" s="9" t="s">
        <v>174</v>
      </c>
      <c r="C324" s="9" t="s">
        <v>174</v>
      </c>
      <c r="D324" s="9" t="s">
        <v>821</v>
      </c>
      <c r="E324" s="9" t="s">
        <v>825</v>
      </c>
      <c r="F324" s="9" t="s">
        <v>125</v>
      </c>
      <c r="G324" s="225" t="s">
        <v>412</v>
      </c>
      <c r="H324" s="9" t="s">
        <v>831</v>
      </c>
      <c r="I324" s="10">
        <v>0.5</v>
      </c>
    </row>
    <row r="325" spans="1:9" x14ac:dyDescent="0.2">
      <c r="A325" s="28">
        <v>1397</v>
      </c>
      <c r="B325" s="9" t="s">
        <v>175</v>
      </c>
      <c r="C325" s="9" t="s">
        <v>175</v>
      </c>
      <c r="D325" s="9" t="s">
        <v>821</v>
      </c>
      <c r="E325" s="9" t="s">
        <v>825</v>
      </c>
      <c r="F325" s="9" t="s">
        <v>125</v>
      </c>
      <c r="G325" s="225" t="s">
        <v>412</v>
      </c>
      <c r="H325" s="9" t="s">
        <v>831</v>
      </c>
      <c r="I325" s="10">
        <v>0.5</v>
      </c>
    </row>
    <row r="326" spans="1:9" x14ac:dyDescent="0.2">
      <c r="A326" s="28">
        <v>1398</v>
      </c>
      <c r="B326" s="9" t="s">
        <v>176</v>
      </c>
      <c r="C326" s="9" t="s">
        <v>176</v>
      </c>
      <c r="D326" s="9" t="s">
        <v>821</v>
      </c>
      <c r="E326" s="9" t="s">
        <v>27</v>
      </c>
      <c r="F326" s="9" t="s">
        <v>831</v>
      </c>
      <c r="G326" s="225" t="s">
        <v>412</v>
      </c>
      <c r="H326" s="9" t="s">
        <v>831</v>
      </c>
      <c r="I326" s="10">
        <v>0.5</v>
      </c>
    </row>
    <row r="327" spans="1:9" x14ac:dyDescent="0.2">
      <c r="A327" s="28">
        <v>1399</v>
      </c>
      <c r="B327" s="9" t="s">
        <v>176</v>
      </c>
      <c r="C327" s="9" t="s">
        <v>176</v>
      </c>
      <c r="D327" s="9" t="s">
        <v>821</v>
      </c>
      <c r="E327" s="9" t="s">
        <v>27</v>
      </c>
      <c r="F327" s="9" t="s">
        <v>831</v>
      </c>
      <c r="G327" s="225" t="s">
        <v>412</v>
      </c>
      <c r="H327" s="9" t="s">
        <v>831</v>
      </c>
      <c r="I327" s="10">
        <v>0.5</v>
      </c>
    </row>
    <row r="328" spans="1:9" x14ac:dyDescent="0.2">
      <c r="A328" s="28">
        <v>1400</v>
      </c>
      <c r="B328" s="9" t="s">
        <v>176</v>
      </c>
      <c r="C328" s="9" t="s">
        <v>176</v>
      </c>
      <c r="D328" s="9" t="s">
        <v>821</v>
      </c>
      <c r="E328" s="9" t="s">
        <v>27</v>
      </c>
      <c r="F328" s="9" t="s">
        <v>831</v>
      </c>
      <c r="G328" s="225" t="s">
        <v>412</v>
      </c>
      <c r="H328" s="9" t="s">
        <v>831</v>
      </c>
      <c r="I328" s="10">
        <v>0.5</v>
      </c>
    </row>
    <row r="329" spans="1:9" x14ac:dyDescent="0.2">
      <c r="A329" s="28">
        <v>1401</v>
      </c>
      <c r="B329" s="9" t="s">
        <v>176</v>
      </c>
      <c r="C329" s="9" t="s">
        <v>176</v>
      </c>
      <c r="D329" s="9" t="s">
        <v>821</v>
      </c>
      <c r="E329" s="9" t="s">
        <v>27</v>
      </c>
      <c r="F329" s="9" t="s">
        <v>831</v>
      </c>
      <c r="G329" s="225" t="s">
        <v>412</v>
      </c>
      <c r="H329" s="9" t="s">
        <v>831</v>
      </c>
      <c r="I329" s="10">
        <v>0.5</v>
      </c>
    </row>
    <row r="330" spans="1:9" x14ac:dyDescent="0.2">
      <c r="A330" s="28">
        <v>1402</v>
      </c>
      <c r="B330" s="9" t="s">
        <v>176</v>
      </c>
      <c r="C330" s="9" t="s">
        <v>176</v>
      </c>
      <c r="D330" s="9" t="s">
        <v>821</v>
      </c>
      <c r="E330" s="9" t="s">
        <v>27</v>
      </c>
      <c r="F330" s="9" t="s">
        <v>831</v>
      </c>
      <c r="G330" s="225" t="s">
        <v>412</v>
      </c>
      <c r="H330" s="9" t="s">
        <v>831</v>
      </c>
      <c r="I330" s="10">
        <v>0.5</v>
      </c>
    </row>
    <row r="331" spans="1:9" x14ac:dyDescent="0.2">
      <c r="A331" s="28">
        <v>1403</v>
      </c>
      <c r="B331" s="9" t="s">
        <v>176</v>
      </c>
      <c r="C331" s="9" t="s">
        <v>176</v>
      </c>
      <c r="D331" s="9" t="s">
        <v>821</v>
      </c>
      <c r="E331" s="9" t="s">
        <v>27</v>
      </c>
      <c r="F331" s="9" t="s">
        <v>831</v>
      </c>
      <c r="G331" s="225" t="s">
        <v>412</v>
      </c>
      <c r="H331" s="9" t="s">
        <v>831</v>
      </c>
      <c r="I331" s="10">
        <v>0.5</v>
      </c>
    </row>
    <row r="332" spans="1:9" x14ac:dyDescent="0.2">
      <c r="A332" s="28">
        <v>1404</v>
      </c>
      <c r="B332" s="9" t="s">
        <v>176</v>
      </c>
      <c r="C332" s="9" t="s">
        <v>176</v>
      </c>
      <c r="D332" s="9" t="s">
        <v>821</v>
      </c>
      <c r="E332" s="9" t="s">
        <v>27</v>
      </c>
      <c r="F332" s="9" t="s">
        <v>831</v>
      </c>
      <c r="G332" s="225" t="s">
        <v>412</v>
      </c>
      <c r="H332" s="9" t="s">
        <v>831</v>
      </c>
      <c r="I332" s="10">
        <v>0.5</v>
      </c>
    </row>
    <row r="333" spans="1:9" x14ac:dyDescent="0.2">
      <c r="A333" s="28">
        <v>1405</v>
      </c>
      <c r="B333" s="9" t="s">
        <v>176</v>
      </c>
      <c r="C333" s="9" t="s">
        <v>176</v>
      </c>
      <c r="D333" s="9" t="s">
        <v>821</v>
      </c>
      <c r="E333" s="9" t="s">
        <v>27</v>
      </c>
      <c r="F333" s="9" t="s">
        <v>831</v>
      </c>
      <c r="G333" s="225" t="s">
        <v>412</v>
      </c>
      <c r="H333" s="9" t="s">
        <v>831</v>
      </c>
      <c r="I333" s="10">
        <v>0.5</v>
      </c>
    </row>
    <row r="334" spans="1:9" x14ac:dyDescent="0.2">
      <c r="A334" s="28">
        <v>1406</v>
      </c>
      <c r="B334" s="9" t="s">
        <v>176</v>
      </c>
      <c r="C334" s="9" t="s">
        <v>176</v>
      </c>
      <c r="D334" s="9" t="s">
        <v>821</v>
      </c>
      <c r="E334" s="9" t="s">
        <v>27</v>
      </c>
      <c r="F334" s="9" t="s">
        <v>831</v>
      </c>
      <c r="G334" s="225" t="s">
        <v>412</v>
      </c>
      <c r="H334" s="9" t="s">
        <v>831</v>
      </c>
      <c r="I334" s="10">
        <v>0.5</v>
      </c>
    </row>
    <row r="335" spans="1:9" x14ac:dyDescent="0.2">
      <c r="A335" s="28">
        <v>1407</v>
      </c>
      <c r="B335" s="9" t="s">
        <v>176</v>
      </c>
      <c r="C335" s="9" t="s">
        <v>176</v>
      </c>
      <c r="D335" s="9" t="s">
        <v>821</v>
      </c>
      <c r="E335" s="9" t="s">
        <v>27</v>
      </c>
      <c r="F335" s="9" t="s">
        <v>831</v>
      </c>
      <c r="G335" s="225" t="s">
        <v>412</v>
      </c>
      <c r="H335" s="9" t="s">
        <v>831</v>
      </c>
      <c r="I335" s="10">
        <v>0.5</v>
      </c>
    </row>
    <row r="336" spans="1:9" x14ac:dyDescent="0.2">
      <c r="A336" s="28">
        <v>1408</v>
      </c>
      <c r="B336" s="9" t="s">
        <v>176</v>
      </c>
      <c r="C336" s="9" t="s">
        <v>176</v>
      </c>
      <c r="D336" s="9" t="s">
        <v>821</v>
      </c>
      <c r="E336" s="9" t="s">
        <v>27</v>
      </c>
      <c r="F336" s="9" t="s">
        <v>831</v>
      </c>
      <c r="G336" s="225" t="s">
        <v>412</v>
      </c>
      <c r="H336" s="9" t="s">
        <v>831</v>
      </c>
      <c r="I336" s="10">
        <v>0.5</v>
      </c>
    </row>
    <row r="337" spans="1:9" x14ac:dyDescent="0.2">
      <c r="A337" s="28">
        <v>1409</v>
      </c>
      <c r="B337" s="9" t="s">
        <v>176</v>
      </c>
      <c r="C337" s="9" t="s">
        <v>176</v>
      </c>
      <c r="D337" s="9" t="s">
        <v>821</v>
      </c>
      <c r="E337" s="9" t="s">
        <v>27</v>
      </c>
      <c r="F337" s="9" t="s">
        <v>831</v>
      </c>
      <c r="G337" s="225" t="s">
        <v>412</v>
      </c>
      <c r="H337" s="9" t="s">
        <v>831</v>
      </c>
      <c r="I337" s="10">
        <v>0.5</v>
      </c>
    </row>
    <row r="338" spans="1:9" x14ac:dyDescent="0.2">
      <c r="A338" s="28">
        <v>1410</v>
      </c>
      <c r="B338" s="9" t="s">
        <v>176</v>
      </c>
      <c r="C338" s="9" t="s">
        <v>176</v>
      </c>
      <c r="D338" s="9" t="s">
        <v>821</v>
      </c>
      <c r="E338" s="9" t="s">
        <v>27</v>
      </c>
      <c r="F338" s="9" t="s">
        <v>831</v>
      </c>
      <c r="G338" s="225" t="s">
        <v>412</v>
      </c>
      <c r="H338" s="9" t="s">
        <v>831</v>
      </c>
      <c r="I338" s="10">
        <v>0.5</v>
      </c>
    </row>
    <row r="339" spans="1:9" x14ac:dyDescent="0.2">
      <c r="A339" s="28">
        <v>1411</v>
      </c>
      <c r="B339" s="9" t="s">
        <v>176</v>
      </c>
      <c r="C339" s="9" t="s">
        <v>176</v>
      </c>
      <c r="D339" s="9" t="s">
        <v>821</v>
      </c>
      <c r="E339" s="9" t="s">
        <v>27</v>
      </c>
      <c r="F339" s="9" t="s">
        <v>831</v>
      </c>
      <c r="G339" s="225" t="s">
        <v>412</v>
      </c>
      <c r="H339" s="9" t="s">
        <v>831</v>
      </c>
      <c r="I339" s="10">
        <v>0.5</v>
      </c>
    </row>
    <row r="340" spans="1:9" x14ac:dyDescent="0.2">
      <c r="A340" s="28">
        <v>1412</v>
      </c>
      <c r="B340" s="9" t="s">
        <v>176</v>
      </c>
      <c r="C340" s="9" t="s">
        <v>176</v>
      </c>
      <c r="D340" s="9" t="s">
        <v>821</v>
      </c>
      <c r="E340" s="9" t="s">
        <v>27</v>
      </c>
      <c r="F340" s="9" t="s">
        <v>831</v>
      </c>
      <c r="G340" s="225" t="s">
        <v>412</v>
      </c>
      <c r="H340" s="9" t="s">
        <v>831</v>
      </c>
      <c r="I340" s="10">
        <v>0.5</v>
      </c>
    </row>
    <row r="341" spans="1:9" x14ac:dyDescent="0.2">
      <c r="A341" s="28">
        <v>1413</v>
      </c>
      <c r="B341" s="9" t="s">
        <v>176</v>
      </c>
      <c r="C341" s="9" t="s">
        <v>176</v>
      </c>
      <c r="D341" s="9" t="s">
        <v>821</v>
      </c>
      <c r="E341" s="9" t="s">
        <v>27</v>
      </c>
      <c r="F341" s="9" t="s">
        <v>831</v>
      </c>
      <c r="G341" s="225" t="s">
        <v>412</v>
      </c>
      <c r="H341" s="9" t="s">
        <v>831</v>
      </c>
      <c r="I341" s="10">
        <v>0.5</v>
      </c>
    </row>
    <row r="342" spans="1:9" x14ac:dyDescent="0.2">
      <c r="A342" s="28">
        <v>1414</v>
      </c>
      <c r="B342" s="9" t="s">
        <v>177</v>
      </c>
      <c r="C342" s="9" t="s">
        <v>177</v>
      </c>
      <c r="D342" s="9" t="s">
        <v>821</v>
      </c>
      <c r="E342" s="9" t="s">
        <v>27</v>
      </c>
      <c r="F342" s="9" t="s">
        <v>125</v>
      </c>
      <c r="G342" s="225" t="s">
        <v>412</v>
      </c>
      <c r="H342" s="9" t="s">
        <v>831</v>
      </c>
      <c r="I342" s="10">
        <v>0.5</v>
      </c>
    </row>
    <row r="343" spans="1:9" ht="28.5" x14ac:dyDescent="0.2">
      <c r="A343" s="28">
        <v>1415</v>
      </c>
      <c r="B343" s="9" t="s">
        <v>178</v>
      </c>
      <c r="C343" s="9" t="s">
        <v>178</v>
      </c>
      <c r="D343" s="9" t="s">
        <v>821</v>
      </c>
      <c r="E343" s="9" t="s">
        <v>27</v>
      </c>
      <c r="F343" s="9" t="s">
        <v>125</v>
      </c>
      <c r="G343" s="225" t="s">
        <v>405</v>
      </c>
      <c r="H343" s="9" t="s">
        <v>426</v>
      </c>
      <c r="I343" s="10">
        <v>1</v>
      </c>
    </row>
    <row r="344" spans="1:9" ht="42.75" x14ac:dyDescent="0.2">
      <c r="A344" s="28">
        <v>1416</v>
      </c>
      <c r="B344" s="9" t="s">
        <v>179</v>
      </c>
      <c r="C344" s="9" t="s">
        <v>180</v>
      </c>
      <c r="D344" s="9" t="s">
        <v>821</v>
      </c>
      <c r="E344" s="9" t="s">
        <v>27</v>
      </c>
      <c r="F344" s="9" t="s">
        <v>125</v>
      </c>
      <c r="G344" s="225" t="s">
        <v>405</v>
      </c>
      <c r="H344" s="9" t="s">
        <v>426</v>
      </c>
      <c r="I344" s="10">
        <v>1</v>
      </c>
    </row>
    <row r="345" spans="1:9" ht="42.75" x14ac:dyDescent="0.2">
      <c r="A345" s="28">
        <v>1417</v>
      </c>
      <c r="B345" s="9" t="s">
        <v>181</v>
      </c>
      <c r="C345" s="9" t="s">
        <v>182</v>
      </c>
      <c r="D345" s="9" t="s">
        <v>821</v>
      </c>
      <c r="E345" s="9" t="s">
        <v>404</v>
      </c>
      <c r="F345" s="9" t="s">
        <v>125</v>
      </c>
      <c r="G345" s="225" t="s">
        <v>412</v>
      </c>
      <c r="H345" s="9" t="s">
        <v>831</v>
      </c>
      <c r="I345" s="10">
        <v>0.5</v>
      </c>
    </row>
    <row r="346" spans="1:9" ht="42.75" x14ac:dyDescent="0.2">
      <c r="A346" s="28">
        <v>1418</v>
      </c>
      <c r="B346" s="9" t="s">
        <v>181</v>
      </c>
      <c r="C346" s="9" t="s">
        <v>183</v>
      </c>
      <c r="D346" s="9" t="s">
        <v>821</v>
      </c>
      <c r="E346" s="9" t="s">
        <v>404</v>
      </c>
      <c r="F346" s="9" t="s">
        <v>125</v>
      </c>
      <c r="G346" s="225" t="s">
        <v>405</v>
      </c>
      <c r="H346" s="9" t="s">
        <v>426</v>
      </c>
      <c r="I346" s="10">
        <v>1</v>
      </c>
    </row>
    <row r="347" spans="1:9" ht="42.75" x14ac:dyDescent="0.2">
      <c r="A347" s="28">
        <v>1419</v>
      </c>
      <c r="B347" s="9" t="s">
        <v>184</v>
      </c>
      <c r="C347" s="9" t="s">
        <v>185</v>
      </c>
      <c r="D347" s="9" t="s">
        <v>121</v>
      </c>
      <c r="E347" s="9" t="s">
        <v>186</v>
      </c>
      <c r="F347" s="9" t="s">
        <v>125</v>
      </c>
      <c r="G347" s="225" t="s">
        <v>405</v>
      </c>
      <c r="H347" s="9" t="s">
        <v>806</v>
      </c>
      <c r="I347" s="10">
        <v>0.1</v>
      </c>
    </row>
    <row r="348" spans="1:9" ht="57" x14ac:dyDescent="0.2">
      <c r="A348" s="28">
        <v>1420</v>
      </c>
      <c r="B348" s="9" t="s">
        <v>187</v>
      </c>
      <c r="C348" s="9" t="s">
        <v>185</v>
      </c>
      <c r="D348" s="9" t="s">
        <v>121</v>
      </c>
      <c r="E348" s="9" t="s">
        <v>186</v>
      </c>
      <c r="F348" s="9" t="s">
        <v>125</v>
      </c>
      <c r="G348" s="225" t="s">
        <v>405</v>
      </c>
      <c r="H348" s="9" t="s">
        <v>806</v>
      </c>
      <c r="I348" s="10">
        <v>0.1</v>
      </c>
    </row>
    <row r="349" spans="1:9" ht="42.75" x14ac:dyDescent="0.2">
      <c r="A349" s="28">
        <v>1421</v>
      </c>
      <c r="B349" s="9" t="s">
        <v>188</v>
      </c>
      <c r="C349" s="9" t="s">
        <v>185</v>
      </c>
      <c r="D349" s="9" t="s">
        <v>121</v>
      </c>
      <c r="E349" s="9" t="s">
        <v>186</v>
      </c>
      <c r="F349" s="9" t="s">
        <v>125</v>
      </c>
      <c r="G349" s="225" t="s">
        <v>405</v>
      </c>
      <c r="H349" s="9" t="s">
        <v>806</v>
      </c>
      <c r="I349" s="10">
        <v>0.1</v>
      </c>
    </row>
    <row r="350" spans="1:9" ht="57" x14ac:dyDescent="0.2">
      <c r="A350" s="28">
        <v>1422</v>
      </c>
      <c r="B350" s="9" t="s">
        <v>189</v>
      </c>
      <c r="C350" s="9" t="s">
        <v>190</v>
      </c>
      <c r="D350" s="9" t="s">
        <v>121</v>
      </c>
      <c r="E350" s="9" t="s">
        <v>186</v>
      </c>
      <c r="F350" s="9" t="s">
        <v>125</v>
      </c>
      <c r="G350" s="225" t="s">
        <v>405</v>
      </c>
      <c r="H350" s="9" t="s">
        <v>806</v>
      </c>
      <c r="I350" s="10">
        <v>0.1</v>
      </c>
    </row>
    <row r="351" spans="1:9" ht="57" x14ac:dyDescent="0.2">
      <c r="A351" s="28">
        <v>1423</v>
      </c>
      <c r="B351" s="9" t="s">
        <v>191</v>
      </c>
      <c r="C351" s="9" t="s">
        <v>190</v>
      </c>
      <c r="D351" s="9" t="s">
        <v>121</v>
      </c>
      <c r="E351" s="9" t="s">
        <v>186</v>
      </c>
      <c r="F351" s="9" t="s">
        <v>125</v>
      </c>
      <c r="G351" s="225" t="s">
        <v>405</v>
      </c>
      <c r="H351" s="9" t="s">
        <v>806</v>
      </c>
      <c r="I351" s="10">
        <v>0.1</v>
      </c>
    </row>
    <row r="352" spans="1:9" ht="57" x14ac:dyDescent="0.2">
      <c r="A352" s="28">
        <v>1424</v>
      </c>
      <c r="B352" s="9" t="s">
        <v>192</v>
      </c>
      <c r="C352" s="9" t="s">
        <v>190</v>
      </c>
      <c r="D352" s="9" t="s">
        <v>121</v>
      </c>
      <c r="E352" s="9" t="s">
        <v>186</v>
      </c>
      <c r="F352" s="9" t="s">
        <v>125</v>
      </c>
      <c r="G352" s="225" t="s">
        <v>405</v>
      </c>
      <c r="H352" s="9" t="s">
        <v>806</v>
      </c>
      <c r="I352" s="10">
        <v>0.1</v>
      </c>
    </row>
    <row r="353" spans="1:9" ht="57" x14ac:dyDescent="0.2">
      <c r="A353" s="28">
        <v>1425</v>
      </c>
      <c r="B353" s="9" t="s">
        <v>193</v>
      </c>
      <c r="C353" s="9" t="s">
        <v>194</v>
      </c>
      <c r="D353" s="9" t="s">
        <v>121</v>
      </c>
      <c r="E353" s="9" t="s">
        <v>186</v>
      </c>
      <c r="F353" s="9" t="s">
        <v>125</v>
      </c>
      <c r="G353" s="225" t="s">
        <v>405</v>
      </c>
      <c r="H353" s="9" t="s">
        <v>806</v>
      </c>
      <c r="I353" s="10">
        <v>0.1</v>
      </c>
    </row>
    <row r="354" spans="1:9" ht="57" x14ac:dyDescent="0.2">
      <c r="A354" s="28">
        <v>1426</v>
      </c>
      <c r="B354" s="9" t="s">
        <v>61</v>
      </c>
      <c r="C354" s="9" t="s">
        <v>194</v>
      </c>
      <c r="D354" s="9" t="s">
        <v>121</v>
      </c>
      <c r="E354" s="9" t="s">
        <v>186</v>
      </c>
      <c r="F354" s="9" t="s">
        <v>125</v>
      </c>
      <c r="G354" s="225" t="s">
        <v>405</v>
      </c>
      <c r="H354" s="9" t="s">
        <v>806</v>
      </c>
      <c r="I354" s="10">
        <v>0.1</v>
      </c>
    </row>
    <row r="355" spans="1:9" ht="57" x14ac:dyDescent="0.2">
      <c r="A355" s="28">
        <v>1427</v>
      </c>
      <c r="B355" s="9" t="s">
        <v>62</v>
      </c>
      <c r="C355" s="9" t="s">
        <v>194</v>
      </c>
      <c r="D355" s="9" t="s">
        <v>121</v>
      </c>
      <c r="E355" s="9" t="s">
        <v>186</v>
      </c>
      <c r="F355" s="9" t="s">
        <v>125</v>
      </c>
      <c r="G355" s="225" t="s">
        <v>405</v>
      </c>
      <c r="H355" s="9" t="s">
        <v>806</v>
      </c>
      <c r="I355" s="10">
        <v>0.1</v>
      </c>
    </row>
    <row r="356" spans="1:9" ht="57" x14ac:dyDescent="0.2">
      <c r="A356" s="28">
        <v>1428</v>
      </c>
      <c r="B356" s="9" t="s">
        <v>63</v>
      </c>
      <c r="C356" s="9" t="s">
        <v>64</v>
      </c>
      <c r="D356" s="9" t="s">
        <v>121</v>
      </c>
      <c r="E356" s="9" t="s">
        <v>186</v>
      </c>
      <c r="F356" s="9" t="s">
        <v>125</v>
      </c>
      <c r="G356" s="225" t="s">
        <v>405</v>
      </c>
      <c r="H356" s="9" t="s">
        <v>806</v>
      </c>
      <c r="I356" s="10">
        <v>0.1</v>
      </c>
    </row>
    <row r="357" spans="1:9" ht="57" x14ac:dyDescent="0.2">
      <c r="A357" s="28">
        <v>1429</v>
      </c>
      <c r="B357" s="9" t="s">
        <v>775</v>
      </c>
      <c r="C357" s="9" t="s">
        <v>64</v>
      </c>
      <c r="D357" s="9" t="s">
        <v>121</v>
      </c>
      <c r="E357" s="9" t="s">
        <v>186</v>
      </c>
      <c r="F357" s="9" t="s">
        <v>125</v>
      </c>
      <c r="G357" s="225" t="s">
        <v>405</v>
      </c>
      <c r="H357" s="9" t="s">
        <v>806</v>
      </c>
      <c r="I357" s="10">
        <v>0.1</v>
      </c>
    </row>
    <row r="358" spans="1:9" ht="57" x14ac:dyDescent="0.2">
      <c r="A358" s="28">
        <v>1430</v>
      </c>
      <c r="B358" s="9" t="s">
        <v>776</v>
      </c>
      <c r="C358" s="9" t="s">
        <v>64</v>
      </c>
      <c r="D358" s="9" t="s">
        <v>121</v>
      </c>
      <c r="E358" s="9" t="s">
        <v>186</v>
      </c>
      <c r="F358" s="9" t="s">
        <v>125</v>
      </c>
      <c r="G358" s="225" t="s">
        <v>405</v>
      </c>
      <c r="H358" s="9" t="s">
        <v>806</v>
      </c>
      <c r="I358" s="10">
        <v>0.1</v>
      </c>
    </row>
    <row r="359" spans="1:9" ht="42.75" x14ac:dyDescent="0.2">
      <c r="A359" s="28">
        <v>1431</v>
      </c>
      <c r="B359" s="9" t="s">
        <v>450</v>
      </c>
      <c r="C359" s="9" t="s">
        <v>185</v>
      </c>
      <c r="D359" s="9" t="s">
        <v>121</v>
      </c>
      <c r="E359" s="9" t="s">
        <v>186</v>
      </c>
      <c r="F359" s="9" t="s">
        <v>125</v>
      </c>
      <c r="G359" s="225" t="s">
        <v>405</v>
      </c>
      <c r="H359" s="9" t="s">
        <v>806</v>
      </c>
      <c r="I359" s="10">
        <v>0.1</v>
      </c>
    </row>
    <row r="360" spans="1:9" ht="42.75" x14ac:dyDescent="0.2">
      <c r="A360" s="28">
        <v>1432</v>
      </c>
      <c r="B360" s="9" t="s">
        <v>451</v>
      </c>
      <c r="C360" s="9" t="s">
        <v>185</v>
      </c>
      <c r="D360" s="9" t="s">
        <v>121</v>
      </c>
      <c r="E360" s="9" t="s">
        <v>186</v>
      </c>
      <c r="F360" s="9" t="s">
        <v>125</v>
      </c>
      <c r="G360" s="225" t="s">
        <v>405</v>
      </c>
      <c r="H360" s="9" t="s">
        <v>806</v>
      </c>
      <c r="I360" s="10">
        <v>0.1</v>
      </c>
    </row>
    <row r="361" spans="1:9" ht="42.75" x14ac:dyDescent="0.2">
      <c r="A361" s="28">
        <v>1433</v>
      </c>
      <c r="B361" s="9" t="s">
        <v>452</v>
      </c>
      <c r="C361" s="9" t="s">
        <v>453</v>
      </c>
      <c r="D361" s="9" t="s">
        <v>121</v>
      </c>
      <c r="E361" s="9" t="s">
        <v>186</v>
      </c>
      <c r="F361" s="9" t="s">
        <v>125</v>
      </c>
      <c r="G361" s="225" t="s">
        <v>405</v>
      </c>
      <c r="H361" s="9" t="s">
        <v>806</v>
      </c>
      <c r="I361" s="10">
        <v>0.1</v>
      </c>
    </row>
    <row r="362" spans="1:9" ht="57" x14ac:dyDescent="0.2">
      <c r="A362" s="28">
        <v>1434</v>
      </c>
      <c r="B362" s="9" t="s">
        <v>454</v>
      </c>
      <c r="C362" s="9" t="s">
        <v>455</v>
      </c>
      <c r="D362" s="9" t="s">
        <v>121</v>
      </c>
      <c r="E362" s="9" t="s">
        <v>186</v>
      </c>
      <c r="F362" s="9" t="s">
        <v>125</v>
      </c>
      <c r="G362" s="225" t="s">
        <v>405</v>
      </c>
      <c r="H362" s="9" t="s">
        <v>806</v>
      </c>
      <c r="I362" s="10">
        <v>0.1</v>
      </c>
    </row>
    <row r="363" spans="1:9" ht="42.75" x14ac:dyDescent="0.2">
      <c r="A363" s="28">
        <v>1435</v>
      </c>
      <c r="B363" s="9" t="s">
        <v>456</v>
      </c>
      <c r="C363" s="9" t="s">
        <v>457</v>
      </c>
      <c r="D363" s="9" t="s">
        <v>121</v>
      </c>
      <c r="E363" s="9" t="s">
        <v>186</v>
      </c>
      <c r="F363" s="9" t="s">
        <v>125</v>
      </c>
      <c r="G363" s="225" t="s">
        <v>405</v>
      </c>
      <c r="H363" s="9" t="s">
        <v>806</v>
      </c>
      <c r="I363" s="10">
        <v>0.1</v>
      </c>
    </row>
    <row r="364" spans="1:9" ht="42.75" x14ac:dyDescent="0.2">
      <c r="A364" s="28">
        <v>1436</v>
      </c>
      <c r="B364" s="9" t="s">
        <v>458</v>
      </c>
      <c r="C364" s="9" t="s">
        <v>190</v>
      </c>
      <c r="D364" s="9" t="s">
        <v>121</v>
      </c>
      <c r="E364" s="9" t="s">
        <v>186</v>
      </c>
      <c r="F364" s="9" t="s">
        <v>125</v>
      </c>
      <c r="G364" s="225" t="s">
        <v>405</v>
      </c>
      <c r="H364" s="9" t="s">
        <v>806</v>
      </c>
      <c r="I364" s="10">
        <v>0.1</v>
      </c>
    </row>
    <row r="365" spans="1:9" ht="42.75" x14ac:dyDescent="0.2">
      <c r="A365" s="28">
        <v>1437</v>
      </c>
      <c r="B365" s="9" t="s">
        <v>459</v>
      </c>
      <c r="C365" s="9" t="s">
        <v>460</v>
      </c>
      <c r="D365" s="9" t="s">
        <v>121</v>
      </c>
      <c r="E365" s="9" t="s">
        <v>186</v>
      </c>
      <c r="F365" s="9" t="s">
        <v>125</v>
      </c>
      <c r="G365" s="225" t="s">
        <v>405</v>
      </c>
      <c r="H365" s="9" t="s">
        <v>806</v>
      </c>
      <c r="I365" s="10">
        <v>0.1</v>
      </c>
    </row>
    <row r="366" spans="1:9" ht="57" x14ac:dyDescent="0.2">
      <c r="A366" s="28">
        <v>1438</v>
      </c>
      <c r="B366" s="9" t="s">
        <v>461</v>
      </c>
      <c r="C366" s="9" t="s">
        <v>462</v>
      </c>
      <c r="D366" s="9" t="s">
        <v>121</v>
      </c>
      <c r="E366" s="9" t="s">
        <v>186</v>
      </c>
      <c r="F366" s="9" t="s">
        <v>125</v>
      </c>
      <c r="G366" s="225" t="s">
        <v>405</v>
      </c>
      <c r="H366" s="9" t="s">
        <v>806</v>
      </c>
      <c r="I366" s="10">
        <v>0.1</v>
      </c>
    </row>
    <row r="367" spans="1:9" ht="28.5" x14ac:dyDescent="0.2">
      <c r="A367" s="28">
        <v>1439</v>
      </c>
      <c r="B367" s="9" t="s">
        <v>921</v>
      </c>
      <c r="C367" s="9" t="s">
        <v>922</v>
      </c>
      <c r="D367" s="9" t="s">
        <v>821</v>
      </c>
      <c r="E367" s="9" t="s">
        <v>837</v>
      </c>
      <c r="F367" s="9" t="s">
        <v>125</v>
      </c>
      <c r="G367" s="225" t="s">
        <v>412</v>
      </c>
      <c r="H367" s="9" t="s">
        <v>426</v>
      </c>
      <c r="I367" s="10">
        <v>0.5</v>
      </c>
    </row>
    <row r="368" spans="1:9" ht="42.75" x14ac:dyDescent="0.2">
      <c r="A368" s="28">
        <v>1440</v>
      </c>
      <c r="B368" s="9" t="s">
        <v>923</v>
      </c>
      <c r="C368" s="9" t="s">
        <v>924</v>
      </c>
      <c r="D368" s="9" t="s">
        <v>121</v>
      </c>
      <c r="E368" s="9" t="s">
        <v>186</v>
      </c>
      <c r="F368" s="9" t="s">
        <v>125</v>
      </c>
      <c r="G368" s="225" t="s">
        <v>405</v>
      </c>
      <c r="H368" s="9" t="s">
        <v>953</v>
      </c>
      <c r="I368" s="10">
        <v>1</v>
      </c>
    </row>
    <row r="369" spans="1:9" x14ac:dyDescent="0.2">
      <c r="A369" s="28">
        <v>2000</v>
      </c>
      <c r="B369" s="9" t="s">
        <v>777</v>
      </c>
      <c r="C369" s="9" t="s">
        <v>778</v>
      </c>
      <c r="D369" s="9" t="s">
        <v>4</v>
      </c>
      <c r="E369" s="9" t="s">
        <v>14</v>
      </c>
      <c r="F369" s="9" t="s">
        <v>125</v>
      </c>
      <c r="G369" s="225" t="s">
        <v>809</v>
      </c>
      <c r="H369" s="9" t="s">
        <v>831</v>
      </c>
      <c r="I369" s="10">
        <v>0</v>
      </c>
    </row>
    <row r="370" spans="1:9" ht="28.5" x14ac:dyDescent="0.2">
      <c r="A370" s="28">
        <v>2005</v>
      </c>
      <c r="B370" s="9" t="s">
        <v>779</v>
      </c>
      <c r="C370" s="9" t="s">
        <v>780</v>
      </c>
      <c r="D370" s="9" t="s">
        <v>4</v>
      </c>
      <c r="E370" s="9" t="s">
        <v>18</v>
      </c>
      <c r="F370" s="9" t="s">
        <v>125</v>
      </c>
      <c r="G370" s="225" t="s">
        <v>809</v>
      </c>
      <c r="H370" s="9" t="s">
        <v>831</v>
      </c>
      <c r="I370" s="10">
        <v>0</v>
      </c>
    </row>
    <row r="371" spans="1:9" ht="57" x14ac:dyDescent="0.2">
      <c r="A371" s="28">
        <v>2006</v>
      </c>
      <c r="B371" s="9" t="s">
        <v>647</v>
      </c>
      <c r="C371" s="9" t="s">
        <v>647</v>
      </c>
      <c r="D371" s="9" t="s">
        <v>4</v>
      </c>
      <c r="E371" s="9" t="s">
        <v>18</v>
      </c>
      <c r="F371" s="9" t="s">
        <v>125</v>
      </c>
      <c r="G371" s="225" t="s">
        <v>405</v>
      </c>
      <c r="H371" s="9" t="s">
        <v>648</v>
      </c>
      <c r="I371" s="10">
        <v>1</v>
      </c>
    </row>
    <row r="372" spans="1:9" ht="28.5" x14ac:dyDescent="0.2">
      <c r="A372" s="28">
        <v>2010</v>
      </c>
      <c r="B372" s="9" t="s">
        <v>781</v>
      </c>
      <c r="C372" s="9" t="s">
        <v>782</v>
      </c>
      <c r="D372" s="9" t="s">
        <v>863</v>
      </c>
      <c r="E372" s="9" t="s">
        <v>319</v>
      </c>
      <c r="F372" s="9" t="s">
        <v>125</v>
      </c>
      <c r="G372" s="225" t="s">
        <v>809</v>
      </c>
      <c r="H372" s="9" t="s">
        <v>831</v>
      </c>
      <c r="I372" s="10">
        <v>0</v>
      </c>
    </row>
    <row r="373" spans="1:9" x14ac:dyDescent="0.2">
      <c r="A373" s="28">
        <v>2015</v>
      </c>
      <c r="B373" s="9" t="s">
        <v>783</v>
      </c>
      <c r="C373" s="9" t="s">
        <v>784</v>
      </c>
      <c r="D373" s="9" t="s">
        <v>4</v>
      </c>
      <c r="E373" s="9" t="s">
        <v>5</v>
      </c>
      <c r="F373" s="9" t="s">
        <v>125</v>
      </c>
      <c r="G373" s="225" t="s">
        <v>809</v>
      </c>
      <c r="H373" s="9" t="s">
        <v>831</v>
      </c>
      <c r="I373" s="10">
        <v>0</v>
      </c>
    </row>
    <row r="374" spans="1:9" ht="28.5" x14ac:dyDescent="0.2">
      <c r="A374" s="28">
        <v>2020</v>
      </c>
      <c r="B374" s="9" t="s">
        <v>785</v>
      </c>
      <c r="C374" s="9" t="s">
        <v>786</v>
      </c>
      <c r="D374" s="9" t="s">
        <v>860</v>
      </c>
      <c r="E374" s="9" t="s">
        <v>40</v>
      </c>
      <c r="F374" s="9" t="s">
        <v>125</v>
      </c>
      <c r="G374" s="225" t="s">
        <v>809</v>
      </c>
      <c r="H374" s="9" t="s">
        <v>831</v>
      </c>
      <c r="I374" s="10">
        <v>0</v>
      </c>
    </row>
    <row r="375" spans="1:9" ht="28.5" x14ac:dyDescent="0.2">
      <c r="A375" s="28">
        <v>2025</v>
      </c>
      <c r="B375" s="9" t="s">
        <v>787</v>
      </c>
      <c r="C375" s="9" t="s">
        <v>789</v>
      </c>
      <c r="D375" s="9" t="s">
        <v>860</v>
      </c>
      <c r="E375" s="9" t="s">
        <v>30</v>
      </c>
      <c r="F375" s="9" t="s">
        <v>125</v>
      </c>
      <c r="G375" s="225" t="s">
        <v>809</v>
      </c>
      <c r="H375" s="9" t="s">
        <v>831</v>
      </c>
      <c r="I375" s="10">
        <v>0</v>
      </c>
    </row>
    <row r="376" spans="1:9" ht="28.5" x14ac:dyDescent="0.2">
      <c r="A376" s="28">
        <v>2030</v>
      </c>
      <c r="B376" s="9" t="s">
        <v>790</v>
      </c>
      <c r="C376" s="9" t="s">
        <v>791</v>
      </c>
      <c r="D376" s="9" t="s">
        <v>860</v>
      </c>
      <c r="E376" s="9" t="s">
        <v>30</v>
      </c>
      <c r="F376" s="9" t="s">
        <v>125</v>
      </c>
      <c r="G376" s="225" t="s">
        <v>809</v>
      </c>
      <c r="H376" s="9" t="s">
        <v>831</v>
      </c>
      <c r="I376" s="10">
        <v>0</v>
      </c>
    </row>
    <row r="377" spans="1:9" ht="28.5" x14ac:dyDescent="0.2">
      <c r="A377" s="28">
        <v>2035</v>
      </c>
      <c r="B377" s="9" t="s">
        <v>792</v>
      </c>
      <c r="C377" s="9" t="s">
        <v>793</v>
      </c>
      <c r="D377" s="9" t="s">
        <v>860</v>
      </c>
      <c r="E377" s="9" t="s">
        <v>316</v>
      </c>
      <c r="F377" s="9" t="s">
        <v>125</v>
      </c>
      <c r="G377" s="225" t="s">
        <v>405</v>
      </c>
      <c r="H377" s="9" t="s">
        <v>536</v>
      </c>
      <c r="I377" s="10">
        <v>1</v>
      </c>
    </row>
    <row r="378" spans="1:9" ht="28.5" x14ac:dyDescent="0.2">
      <c r="A378" s="28">
        <v>2040</v>
      </c>
      <c r="B378" s="9" t="s">
        <v>794</v>
      </c>
      <c r="C378" s="9" t="s">
        <v>795</v>
      </c>
      <c r="D378" s="9" t="s">
        <v>860</v>
      </c>
      <c r="E378" s="9" t="s">
        <v>316</v>
      </c>
      <c r="F378" s="9" t="s">
        <v>125</v>
      </c>
      <c r="G378" s="225" t="s">
        <v>405</v>
      </c>
      <c r="H378" s="9" t="s">
        <v>536</v>
      </c>
      <c r="I378" s="10">
        <v>1</v>
      </c>
    </row>
    <row r="379" spans="1:9" ht="28.5" x14ac:dyDescent="0.2">
      <c r="A379" s="28">
        <v>2045</v>
      </c>
      <c r="B379" s="9" t="s">
        <v>796</v>
      </c>
      <c r="C379" s="9" t="s">
        <v>797</v>
      </c>
      <c r="D379" s="9" t="s">
        <v>860</v>
      </c>
      <c r="E379" s="9" t="s">
        <v>316</v>
      </c>
      <c r="F379" s="9" t="s">
        <v>125</v>
      </c>
      <c r="G379" s="225" t="s">
        <v>405</v>
      </c>
      <c r="H379" s="9" t="s">
        <v>536</v>
      </c>
      <c r="I379" s="10">
        <v>1</v>
      </c>
    </row>
    <row r="380" spans="1:9" ht="71.25" x14ac:dyDescent="0.2">
      <c r="A380" s="28">
        <v>2046</v>
      </c>
      <c r="B380" s="9" t="s">
        <v>649</v>
      </c>
      <c r="C380" s="9" t="s">
        <v>650</v>
      </c>
      <c r="D380" s="9" t="s">
        <v>4</v>
      </c>
      <c r="E380" s="9" t="s">
        <v>5</v>
      </c>
      <c r="F380" s="9" t="s">
        <v>125</v>
      </c>
      <c r="G380" s="225" t="s">
        <v>412</v>
      </c>
      <c r="H380" s="9" t="s">
        <v>651</v>
      </c>
      <c r="I380" s="10">
        <v>0.5</v>
      </c>
    </row>
    <row r="381" spans="1:9" ht="42.75" x14ac:dyDescent="0.2">
      <c r="A381" s="28">
        <v>2055</v>
      </c>
      <c r="B381" s="9" t="s">
        <v>798</v>
      </c>
      <c r="C381" s="9" t="s">
        <v>800</v>
      </c>
      <c r="D381" s="9" t="s">
        <v>121</v>
      </c>
      <c r="E381" s="9" t="s">
        <v>122</v>
      </c>
      <c r="F381" s="9" t="s">
        <v>125</v>
      </c>
      <c r="G381" s="225" t="s">
        <v>809</v>
      </c>
      <c r="H381" s="9" t="s">
        <v>831</v>
      </c>
      <c r="I381" s="10">
        <v>0</v>
      </c>
    </row>
    <row r="382" spans="1:9" ht="28.5" x14ac:dyDescent="0.2">
      <c r="A382" s="28">
        <v>2074</v>
      </c>
      <c r="B382" s="9" t="s">
        <v>463</v>
      </c>
      <c r="C382" s="9" t="s">
        <v>464</v>
      </c>
      <c r="D382" s="9" t="s">
        <v>121</v>
      </c>
      <c r="E382" s="9" t="s">
        <v>122</v>
      </c>
      <c r="F382" s="9" t="s">
        <v>125</v>
      </c>
      <c r="G382" s="225" t="s">
        <v>809</v>
      </c>
      <c r="H382" s="9" t="s">
        <v>831</v>
      </c>
      <c r="I382" s="10">
        <v>0</v>
      </c>
    </row>
    <row r="383" spans="1:9" ht="42.75" x14ac:dyDescent="0.2">
      <c r="A383" s="28">
        <v>2075</v>
      </c>
      <c r="B383" s="9" t="s">
        <v>801</v>
      </c>
      <c r="C383" s="9" t="s">
        <v>802</v>
      </c>
      <c r="D383" s="9" t="s">
        <v>121</v>
      </c>
      <c r="E383" s="9" t="s">
        <v>122</v>
      </c>
      <c r="F383" s="9" t="s">
        <v>125</v>
      </c>
      <c r="G383" s="225" t="s">
        <v>405</v>
      </c>
      <c r="H383" s="9" t="s">
        <v>426</v>
      </c>
      <c r="I383" s="10">
        <v>0.1</v>
      </c>
    </row>
    <row r="384" spans="1:9" ht="71.25" x14ac:dyDescent="0.2">
      <c r="A384" s="28">
        <v>2076</v>
      </c>
      <c r="B384" s="9" t="s">
        <v>652</v>
      </c>
      <c r="C384" s="9" t="s">
        <v>653</v>
      </c>
      <c r="D384" s="9" t="s">
        <v>4</v>
      </c>
      <c r="E384" s="9" t="s">
        <v>5</v>
      </c>
      <c r="F384" s="9" t="s">
        <v>125</v>
      </c>
      <c r="G384" s="225" t="s">
        <v>412</v>
      </c>
      <c r="H384" s="9" t="s">
        <v>651</v>
      </c>
      <c r="I384" s="10">
        <v>0.5</v>
      </c>
    </row>
    <row r="385" spans="1:9" ht="28.5" x14ac:dyDescent="0.2">
      <c r="A385" s="28">
        <v>2077</v>
      </c>
      <c r="B385" s="9" t="s">
        <v>465</v>
      </c>
      <c r="C385" s="9" t="s">
        <v>466</v>
      </c>
      <c r="D385" s="9" t="s">
        <v>121</v>
      </c>
      <c r="E385" s="9" t="s">
        <v>122</v>
      </c>
      <c r="F385" s="9" t="s">
        <v>125</v>
      </c>
      <c r="G385" s="225" t="s">
        <v>809</v>
      </c>
      <c r="H385" s="9" t="s">
        <v>831</v>
      </c>
      <c r="I385" s="10">
        <v>0</v>
      </c>
    </row>
    <row r="386" spans="1:9" ht="42.75" x14ac:dyDescent="0.2">
      <c r="A386" s="28">
        <v>2080</v>
      </c>
      <c r="B386" s="9" t="s">
        <v>803</v>
      </c>
      <c r="C386" s="9" t="s">
        <v>218</v>
      </c>
      <c r="D386" s="9" t="s">
        <v>404</v>
      </c>
      <c r="E386" s="9" t="s">
        <v>404</v>
      </c>
      <c r="F386" s="9" t="s">
        <v>125</v>
      </c>
      <c r="G386" s="225" t="s">
        <v>405</v>
      </c>
      <c r="H386" s="9" t="s">
        <v>406</v>
      </c>
      <c r="I386" s="10">
        <v>1</v>
      </c>
    </row>
    <row r="387" spans="1:9" ht="42.75" x14ac:dyDescent="0.2">
      <c r="A387" s="28">
        <v>2081</v>
      </c>
      <c r="B387" s="9" t="s">
        <v>219</v>
      </c>
      <c r="C387" s="9" t="s">
        <v>220</v>
      </c>
      <c r="D387" s="9" t="s">
        <v>863</v>
      </c>
      <c r="E387" s="9" t="s">
        <v>319</v>
      </c>
      <c r="F387" s="9" t="s">
        <v>125</v>
      </c>
      <c r="G387" s="225" t="s">
        <v>809</v>
      </c>
      <c r="H387" s="9" t="s">
        <v>831</v>
      </c>
      <c r="I387" s="10">
        <v>0</v>
      </c>
    </row>
    <row r="388" spans="1:9" ht="42.75" x14ac:dyDescent="0.2">
      <c r="A388" s="28">
        <v>2082</v>
      </c>
      <c r="B388" s="9" t="s">
        <v>221</v>
      </c>
      <c r="C388" s="9" t="s">
        <v>678</v>
      </c>
      <c r="D388" s="9" t="s">
        <v>828</v>
      </c>
      <c r="E388" s="9" t="s">
        <v>829</v>
      </c>
      <c r="F388" s="9" t="s">
        <v>125</v>
      </c>
      <c r="G388" s="225" t="s">
        <v>405</v>
      </c>
      <c r="H388" s="9" t="s">
        <v>428</v>
      </c>
      <c r="I388" s="10">
        <v>1</v>
      </c>
    </row>
    <row r="389" spans="1:9" ht="28.5" x14ac:dyDescent="0.2">
      <c r="A389" s="28">
        <v>2083</v>
      </c>
      <c r="B389" s="9" t="s">
        <v>679</v>
      </c>
      <c r="C389" s="9" t="s">
        <v>680</v>
      </c>
      <c r="D389" s="9" t="s">
        <v>121</v>
      </c>
      <c r="E389" s="9" t="s">
        <v>122</v>
      </c>
      <c r="F389" s="9" t="s">
        <v>125</v>
      </c>
      <c r="G389" s="225" t="s">
        <v>809</v>
      </c>
      <c r="H389" s="9" t="s">
        <v>831</v>
      </c>
      <c r="I389" s="10">
        <v>0</v>
      </c>
    </row>
    <row r="390" spans="1:9" ht="71.25" x14ac:dyDescent="0.2">
      <c r="A390" s="28">
        <v>2084</v>
      </c>
      <c r="B390" s="9" t="s">
        <v>681</v>
      </c>
      <c r="C390" s="9" t="s">
        <v>682</v>
      </c>
      <c r="D390" s="9" t="s">
        <v>828</v>
      </c>
      <c r="E390" s="9" t="s">
        <v>829</v>
      </c>
      <c r="F390" s="9" t="s">
        <v>125</v>
      </c>
      <c r="G390" s="225" t="s">
        <v>412</v>
      </c>
      <c r="H390" s="9" t="s">
        <v>831</v>
      </c>
      <c r="I390" s="10">
        <v>0.5</v>
      </c>
    </row>
    <row r="391" spans="1:9" ht="57" x14ac:dyDescent="0.2">
      <c r="A391" s="28">
        <v>2085</v>
      </c>
      <c r="B391" s="9" t="s">
        <v>683</v>
      </c>
      <c r="C391" s="9" t="s">
        <v>229</v>
      </c>
      <c r="D391" s="9" t="s">
        <v>828</v>
      </c>
      <c r="E391" s="9" t="s">
        <v>829</v>
      </c>
      <c r="F391" s="9" t="s">
        <v>125</v>
      </c>
      <c r="G391" s="225" t="s">
        <v>405</v>
      </c>
      <c r="H391" s="9" t="s">
        <v>428</v>
      </c>
      <c r="I391" s="10">
        <v>1</v>
      </c>
    </row>
    <row r="392" spans="1:9" ht="42.75" x14ac:dyDescent="0.2">
      <c r="A392" s="28">
        <v>2086</v>
      </c>
      <c r="B392" s="9" t="s">
        <v>230</v>
      </c>
      <c r="C392" s="9" t="s">
        <v>231</v>
      </c>
      <c r="D392" s="9" t="s">
        <v>234</v>
      </c>
      <c r="E392" s="9" t="s">
        <v>235</v>
      </c>
      <c r="F392" s="9" t="s">
        <v>125</v>
      </c>
      <c r="G392" s="225" t="s">
        <v>809</v>
      </c>
      <c r="H392" s="9" t="s">
        <v>831</v>
      </c>
      <c r="I392" s="10">
        <v>0</v>
      </c>
    </row>
    <row r="393" spans="1:9" ht="28.5" x14ac:dyDescent="0.2">
      <c r="A393" s="28">
        <v>2087</v>
      </c>
      <c r="B393" s="9" t="s">
        <v>236</v>
      </c>
      <c r="C393" s="9" t="s">
        <v>237</v>
      </c>
      <c r="D393" s="9" t="s">
        <v>404</v>
      </c>
      <c r="E393" s="9" t="s">
        <v>404</v>
      </c>
      <c r="F393" s="9" t="s">
        <v>126</v>
      </c>
      <c r="G393" s="225" t="s">
        <v>412</v>
      </c>
      <c r="H393" s="9" t="s">
        <v>831</v>
      </c>
      <c r="I393" s="10">
        <v>0.5</v>
      </c>
    </row>
    <row r="394" spans="1:9" x14ac:dyDescent="0.2">
      <c r="A394" s="28">
        <v>2091</v>
      </c>
      <c r="B394" s="9" t="s">
        <v>238</v>
      </c>
      <c r="C394" s="9" t="s">
        <v>238</v>
      </c>
      <c r="D394" s="9" t="s">
        <v>821</v>
      </c>
      <c r="E394" s="9" t="s">
        <v>27</v>
      </c>
      <c r="F394" s="9" t="s">
        <v>125</v>
      </c>
      <c r="G394" s="225" t="s">
        <v>405</v>
      </c>
      <c r="H394" s="9" t="s">
        <v>426</v>
      </c>
      <c r="I394" s="10">
        <v>1</v>
      </c>
    </row>
    <row r="395" spans="1:9" ht="28.5" x14ac:dyDescent="0.2">
      <c r="A395" s="28">
        <v>2092</v>
      </c>
      <c r="B395" s="9" t="s">
        <v>697</v>
      </c>
      <c r="C395" s="9" t="s">
        <v>697</v>
      </c>
      <c r="D395" s="9" t="s">
        <v>4</v>
      </c>
      <c r="E395" s="9" t="s">
        <v>24</v>
      </c>
      <c r="F395" s="9" t="s">
        <v>125</v>
      </c>
      <c r="G395" s="225" t="s">
        <v>412</v>
      </c>
      <c r="H395" s="9" t="s">
        <v>831</v>
      </c>
      <c r="I395" s="10">
        <v>0.5</v>
      </c>
    </row>
    <row r="396" spans="1:9" ht="28.5" x14ac:dyDescent="0.2">
      <c r="A396" s="28">
        <v>2093</v>
      </c>
      <c r="B396" s="9" t="s">
        <v>925</v>
      </c>
      <c r="C396" s="9" t="s">
        <v>926</v>
      </c>
      <c r="D396" s="9" t="s">
        <v>404</v>
      </c>
      <c r="E396" s="9" t="s">
        <v>404</v>
      </c>
      <c r="F396" s="9" t="s">
        <v>125</v>
      </c>
      <c r="G396" s="225" t="s">
        <v>412</v>
      </c>
      <c r="H396" s="9" t="s">
        <v>831</v>
      </c>
      <c r="I396" s="10">
        <v>0.5</v>
      </c>
    </row>
    <row r="397" spans="1:9" ht="99.75" x14ac:dyDescent="0.2">
      <c r="A397" s="28">
        <v>2094</v>
      </c>
      <c r="B397" s="9" t="s">
        <v>927</v>
      </c>
      <c r="C397" s="9" t="s">
        <v>928</v>
      </c>
      <c r="D397" s="9" t="s">
        <v>404</v>
      </c>
      <c r="E397" s="9" t="s">
        <v>404</v>
      </c>
      <c r="F397" s="9" t="s">
        <v>125</v>
      </c>
      <c r="G397" s="225" t="s">
        <v>412</v>
      </c>
      <c r="H397" s="9" t="s">
        <v>831</v>
      </c>
      <c r="I397" s="10">
        <v>0.5</v>
      </c>
    </row>
    <row r="398" spans="1:9" ht="28.5" x14ac:dyDescent="0.2">
      <c r="A398" s="28">
        <v>3001</v>
      </c>
      <c r="B398" s="9" t="s">
        <v>698</v>
      </c>
      <c r="C398" s="9" t="s">
        <v>699</v>
      </c>
      <c r="D398" s="9" t="s">
        <v>121</v>
      </c>
      <c r="E398" s="9" t="s">
        <v>122</v>
      </c>
      <c r="F398" s="9" t="s">
        <v>126</v>
      </c>
      <c r="G398" s="225" t="s">
        <v>809</v>
      </c>
      <c r="H398" s="9" t="s">
        <v>831</v>
      </c>
      <c r="I398" s="10">
        <v>0</v>
      </c>
    </row>
    <row r="399" spans="1:9" ht="28.5" x14ac:dyDescent="0.2">
      <c r="A399" s="28">
        <v>3002</v>
      </c>
      <c r="B399" s="9" t="s">
        <v>700</v>
      </c>
      <c r="C399" s="9" t="s">
        <v>701</v>
      </c>
      <c r="D399" s="9" t="s">
        <v>234</v>
      </c>
      <c r="E399" s="9" t="s">
        <v>702</v>
      </c>
      <c r="F399" s="9" t="s">
        <v>126</v>
      </c>
      <c r="G399" s="225" t="s">
        <v>809</v>
      </c>
      <c r="H399" s="9" t="s">
        <v>831</v>
      </c>
      <c r="I399" s="10">
        <v>0</v>
      </c>
    </row>
    <row r="400" spans="1:9" ht="42.75" x14ac:dyDescent="0.2">
      <c r="A400" s="28">
        <v>3003</v>
      </c>
      <c r="B400" s="9" t="s">
        <v>244</v>
      </c>
      <c r="C400" s="9" t="s">
        <v>245</v>
      </c>
      <c r="D400" s="9" t="s">
        <v>234</v>
      </c>
      <c r="E400" s="9" t="s">
        <v>702</v>
      </c>
      <c r="F400" s="9" t="s">
        <v>126</v>
      </c>
      <c r="G400" s="225" t="s">
        <v>809</v>
      </c>
      <c r="H400" s="9" t="s">
        <v>831</v>
      </c>
      <c r="I400" s="10">
        <v>0</v>
      </c>
    </row>
    <row r="401" spans="1:9" ht="57" x14ac:dyDescent="0.2">
      <c r="A401" s="28">
        <v>3004</v>
      </c>
      <c r="B401" s="9" t="s">
        <v>246</v>
      </c>
      <c r="C401" s="9" t="s">
        <v>247</v>
      </c>
      <c r="D401" s="9" t="s">
        <v>234</v>
      </c>
      <c r="E401" s="9" t="s">
        <v>702</v>
      </c>
      <c r="F401" s="9" t="s">
        <v>125</v>
      </c>
      <c r="G401" s="225" t="s">
        <v>809</v>
      </c>
      <c r="H401" s="9" t="s">
        <v>831</v>
      </c>
      <c r="I401" s="10">
        <v>0</v>
      </c>
    </row>
    <row r="402" spans="1:9" ht="57" x14ac:dyDescent="0.2">
      <c r="A402" s="28">
        <v>3005</v>
      </c>
      <c r="B402" s="9" t="s">
        <v>248</v>
      </c>
      <c r="C402" s="9" t="s">
        <v>249</v>
      </c>
      <c r="D402" s="9" t="s">
        <v>234</v>
      </c>
      <c r="E402" s="9" t="s">
        <v>702</v>
      </c>
      <c r="F402" s="9" t="s">
        <v>125</v>
      </c>
      <c r="G402" s="225" t="s">
        <v>809</v>
      </c>
      <c r="H402" s="9" t="s">
        <v>831</v>
      </c>
      <c r="I402" s="10">
        <v>0</v>
      </c>
    </row>
    <row r="403" spans="1:9" ht="57" x14ac:dyDescent="0.2">
      <c r="A403" s="28">
        <v>3006</v>
      </c>
      <c r="B403" s="9" t="s">
        <v>250</v>
      </c>
      <c r="C403" s="9" t="s">
        <v>251</v>
      </c>
      <c r="D403" s="9" t="s">
        <v>234</v>
      </c>
      <c r="E403" s="9" t="s">
        <v>702</v>
      </c>
      <c r="F403" s="9" t="s">
        <v>126</v>
      </c>
      <c r="G403" s="225" t="s">
        <v>809</v>
      </c>
      <c r="H403" s="9" t="s">
        <v>831</v>
      </c>
      <c r="I403" s="10">
        <v>0</v>
      </c>
    </row>
    <row r="404" spans="1:9" ht="71.25" x14ac:dyDescent="0.2">
      <c r="A404" s="28">
        <v>3007</v>
      </c>
      <c r="B404" s="9" t="s">
        <v>252</v>
      </c>
      <c r="C404" s="9" t="s">
        <v>253</v>
      </c>
      <c r="D404" s="9" t="s">
        <v>234</v>
      </c>
      <c r="E404" s="9" t="s">
        <v>702</v>
      </c>
      <c r="F404" s="9" t="s">
        <v>125</v>
      </c>
      <c r="G404" s="225" t="s">
        <v>809</v>
      </c>
      <c r="H404" s="9" t="s">
        <v>831</v>
      </c>
      <c r="I404" s="10">
        <v>0</v>
      </c>
    </row>
    <row r="405" spans="1:9" ht="57" x14ac:dyDescent="0.2">
      <c r="A405" s="28">
        <v>3008</v>
      </c>
      <c r="B405" s="9" t="s">
        <v>254</v>
      </c>
      <c r="C405" s="9" t="s">
        <v>255</v>
      </c>
      <c r="D405" s="9" t="s">
        <v>234</v>
      </c>
      <c r="E405" s="9" t="s">
        <v>702</v>
      </c>
      <c r="F405" s="9" t="s">
        <v>831</v>
      </c>
      <c r="G405" s="225" t="s">
        <v>809</v>
      </c>
      <c r="H405" s="9" t="s">
        <v>831</v>
      </c>
      <c r="I405" s="10">
        <v>0</v>
      </c>
    </row>
    <row r="406" spans="1:9" ht="57" x14ac:dyDescent="0.2">
      <c r="A406" s="28">
        <v>3009</v>
      </c>
      <c r="B406" s="9" t="s">
        <v>256</v>
      </c>
      <c r="C406" s="9" t="s">
        <v>257</v>
      </c>
      <c r="D406" s="9" t="s">
        <v>234</v>
      </c>
      <c r="E406" s="9" t="s">
        <v>702</v>
      </c>
      <c r="F406" s="9" t="s">
        <v>125</v>
      </c>
      <c r="G406" s="225" t="s">
        <v>809</v>
      </c>
      <c r="H406" s="9" t="s">
        <v>831</v>
      </c>
      <c r="I406" s="10">
        <v>0</v>
      </c>
    </row>
    <row r="407" spans="1:9" ht="57" x14ac:dyDescent="0.2">
      <c r="A407" s="28">
        <v>3010</v>
      </c>
      <c r="B407" s="9" t="s">
        <v>256</v>
      </c>
      <c r="C407" s="9" t="s">
        <v>257</v>
      </c>
      <c r="D407" s="9" t="s">
        <v>234</v>
      </c>
      <c r="E407" s="9" t="s">
        <v>702</v>
      </c>
      <c r="F407" s="9" t="s">
        <v>125</v>
      </c>
      <c r="G407" s="225" t="s">
        <v>809</v>
      </c>
      <c r="H407" s="9" t="s">
        <v>831</v>
      </c>
      <c r="I407" s="10">
        <v>0</v>
      </c>
    </row>
    <row r="408" spans="1:9" ht="57" x14ac:dyDescent="0.2">
      <c r="A408" s="28">
        <v>3011</v>
      </c>
      <c r="B408" s="9" t="s">
        <v>256</v>
      </c>
      <c r="C408" s="9" t="s">
        <v>257</v>
      </c>
      <c r="D408" s="9" t="s">
        <v>234</v>
      </c>
      <c r="E408" s="9" t="s">
        <v>702</v>
      </c>
      <c r="F408" s="9" t="s">
        <v>125</v>
      </c>
      <c r="G408" s="225" t="s">
        <v>809</v>
      </c>
      <c r="H408" s="9" t="s">
        <v>831</v>
      </c>
      <c r="I408" s="10">
        <v>0</v>
      </c>
    </row>
    <row r="409" spans="1:9" ht="57" x14ac:dyDescent="0.2">
      <c r="A409" s="28">
        <v>3012</v>
      </c>
      <c r="B409" s="9" t="s">
        <v>258</v>
      </c>
      <c r="C409" s="9" t="s">
        <v>257</v>
      </c>
      <c r="D409" s="9" t="s">
        <v>234</v>
      </c>
      <c r="E409" s="9" t="s">
        <v>702</v>
      </c>
      <c r="F409" s="9" t="s">
        <v>125</v>
      </c>
      <c r="G409" s="225" t="s">
        <v>809</v>
      </c>
      <c r="H409" s="9" t="s">
        <v>831</v>
      </c>
      <c r="I409" s="10">
        <v>0</v>
      </c>
    </row>
    <row r="410" spans="1:9" ht="57" x14ac:dyDescent="0.2">
      <c r="A410" s="28">
        <v>3013</v>
      </c>
      <c r="B410" s="9" t="s">
        <v>256</v>
      </c>
      <c r="C410" s="9" t="s">
        <v>257</v>
      </c>
      <c r="D410" s="9" t="s">
        <v>234</v>
      </c>
      <c r="E410" s="9" t="s">
        <v>702</v>
      </c>
      <c r="F410" s="9" t="s">
        <v>125</v>
      </c>
      <c r="G410" s="225" t="s">
        <v>809</v>
      </c>
      <c r="H410" s="9" t="s">
        <v>831</v>
      </c>
      <c r="I410" s="10">
        <v>0</v>
      </c>
    </row>
    <row r="411" spans="1:9" ht="57" x14ac:dyDescent="0.2">
      <c r="A411" s="28">
        <v>3014</v>
      </c>
      <c r="B411" s="9" t="s">
        <v>256</v>
      </c>
      <c r="C411" s="9" t="s">
        <v>257</v>
      </c>
      <c r="D411" s="9" t="s">
        <v>234</v>
      </c>
      <c r="E411" s="9" t="s">
        <v>702</v>
      </c>
      <c r="F411" s="9" t="s">
        <v>125</v>
      </c>
      <c r="G411" s="225" t="s">
        <v>809</v>
      </c>
      <c r="H411" s="9" t="s">
        <v>831</v>
      </c>
      <c r="I411" s="10">
        <v>0</v>
      </c>
    </row>
    <row r="412" spans="1:9" ht="57" x14ac:dyDescent="0.2">
      <c r="A412" s="28">
        <v>3015</v>
      </c>
      <c r="B412" s="9" t="s">
        <v>256</v>
      </c>
      <c r="C412" s="9" t="s">
        <v>257</v>
      </c>
      <c r="D412" s="9" t="s">
        <v>234</v>
      </c>
      <c r="E412" s="9" t="s">
        <v>702</v>
      </c>
      <c r="F412" s="9" t="s">
        <v>125</v>
      </c>
      <c r="G412" s="225" t="s">
        <v>809</v>
      </c>
      <c r="H412" s="9" t="s">
        <v>831</v>
      </c>
      <c r="I412" s="10">
        <v>0</v>
      </c>
    </row>
    <row r="413" spans="1:9" ht="57" x14ac:dyDescent="0.2">
      <c r="A413" s="28">
        <v>3016</v>
      </c>
      <c r="B413" s="9" t="s">
        <v>256</v>
      </c>
      <c r="C413" s="9" t="s">
        <v>257</v>
      </c>
      <c r="D413" s="9" t="s">
        <v>234</v>
      </c>
      <c r="E413" s="9" t="s">
        <v>702</v>
      </c>
      <c r="F413" s="9" t="s">
        <v>125</v>
      </c>
      <c r="G413" s="225" t="s">
        <v>809</v>
      </c>
      <c r="H413" s="9" t="s">
        <v>831</v>
      </c>
      <c r="I413" s="10">
        <v>0</v>
      </c>
    </row>
    <row r="414" spans="1:9" ht="57" x14ac:dyDescent="0.2">
      <c r="A414" s="28">
        <v>3017</v>
      </c>
      <c r="B414" s="9" t="s">
        <v>256</v>
      </c>
      <c r="C414" s="9" t="s">
        <v>257</v>
      </c>
      <c r="D414" s="9" t="s">
        <v>234</v>
      </c>
      <c r="E414" s="9" t="s">
        <v>702</v>
      </c>
      <c r="F414" s="9" t="s">
        <v>125</v>
      </c>
      <c r="G414" s="225" t="s">
        <v>809</v>
      </c>
      <c r="H414" s="9" t="s">
        <v>831</v>
      </c>
      <c r="I414" s="10">
        <v>0</v>
      </c>
    </row>
    <row r="415" spans="1:9" ht="57" x14ac:dyDescent="0.2">
      <c r="A415" s="28">
        <v>3018</v>
      </c>
      <c r="B415" s="9" t="s">
        <v>256</v>
      </c>
      <c r="C415" s="9" t="s">
        <v>257</v>
      </c>
      <c r="D415" s="9" t="s">
        <v>234</v>
      </c>
      <c r="E415" s="9" t="s">
        <v>702</v>
      </c>
      <c r="F415" s="9" t="s">
        <v>125</v>
      </c>
      <c r="G415" s="225" t="s">
        <v>809</v>
      </c>
      <c r="H415" s="9" t="s">
        <v>831</v>
      </c>
      <c r="I415" s="10">
        <v>0</v>
      </c>
    </row>
    <row r="416" spans="1:9" ht="57" x14ac:dyDescent="0.2">
      <c r="A416" s="28">
        <v>3019</v>
      </c>
      <c r="B416" s="9" t="s">
        <v>256</v>
      </c>
      <c r="C416" s="9" t="s">
        <v>257</v>
      </c>
      <c r="D416" s="9" t="s">
        <v>234</v>
      </c>
      <c r="E416" s="9" t="s">
        <v>702</v>
      </c>
      <c r="F416" s="9" t="s">
        <v>125</v>
      </c>
      <c r="G416" s="225" t="s">
        <v>809</v>
      </c>
      <c r="H416" s="9" t="s">
        <v>831</v>
      </c>
      <c r="I416" s="10">
        <v>0</v>
      </c>
    </row>
    <row r="417" spans="1:9" ht="57" x14ac:dyDescent="0.2">
      <c r="A417" s="28">
        <v>3020</v>
      </c>
      <c r="B417" s="9" t="s">
        <v>256</v>
      </c>
      <c r="C417" s="9" t="s">
        <v>257</v>
      </c>
      <c r="D417" s="9" t="s">
        <v>234</v>
      </c>
      <c r="E417" s="9" t="s">
        <v>702</v>
      </c>
      <c r="F417" s="9" t="s">
        <v>125</v>
      </c>
      <c r="G417" s="225" t="s">
        <v>809</v>
      </c>
      <c r="H417" s="9" t="s">
        <v>831</v>
      </c>
      <c r="I417" s="10">
        <v>0</v>
      </c>
    </row>
    <row r="418" spans="1:9" ht="57" x14ac:dyDescent="0.2">
      <c r="A418" s="28">
        <v>3021</v>
      </c>
      <c r="B418" s="9" t="s">
        <v>256</v>
      </c>
      <c r="C418" s="9" t="s">
        <v>259</v>
      </c>
      <c r="D418" s="9" t="s">
        <v>234</v>
      </c>
      <c r="E418" s="9" t="s">
        <v>702</v>
      </c>
      <c r="F418" s="9" t="s">
        <v>125</v>
      </c>
      <c r="G418" s="225" t="s">
        <v>809</v>
      </c>
      <c r="H418" s="9" t="s">
        <v>831</v>
      </c>
      <c r="I418" s="10">
        <v>0</v>
      </c>
    </row>
    <row r="419" spans="1:9" ht="42.75" x14ac:dyDescent="0.2">
      <c r="A419" s="28">
        <v>3022</v>
      </c>
      <c r="B419" s="9" t="s">
        <v>260</v>
      </c>
      <c r="C419" s="9" t="s">
        <v>262</v>
      </c>
      <c r="D419" s="9" t="s">
        <v>234</v>
      </c>
      <c r="E419" s="9" t="s">
        <v>263</v>
      </c>
      <c r="F419" s="9" t="s">
        <v>126</v>
      </c>
      <c r="G419" s="225" t="s">
        <v>809</v>
      </c>
      <c r="H419" s="9" t="s">
        <v>831</v>
      </c>
      <c r="I419" s="10">
        <v>0</v>
      </c>
    </row>
    <row r="420" spans="1:9" ht="28.5" x14ac:dyDescent="0.2">
      <c r="A420" s="28">
        <v>3023</v>
      </c>
      <c r="B420" s="9" t="s">
        <v>264</v>
      </c>
      <c r="C420" s="9" t="s">
        <v>265</v>
      </c>
      <c r="D420" s="9" t="s">
        <v>863</v>
      </c>
      <c r="E420" s="9" t="s">
        <v>319</v>
      </c>
      <c r="F420" s="9" t="s">
        <v>126</v>
      </c>
      <c r="G420" s="225" t="s">
        <v>809</v>
      </c>
      <c r="H420" s="9" t="s">
        <v>831</v>
      </c>
      <c r="I420" s="10">
        <v>0</v>
      </c>
    </row>
    <row r="421" spans="1:9" ht="42.75" x14ac:dyDescent="0.2">
      <c r="A421" s="28">
        <v>3024</v>
      </c>
      <c r="B421" s="9" t="s">
        <v>266</v>
      </c>
      <c r="C421" s="9" t="s">
        <v>267</v>
      </c>
      <c r="D421" s="9" t="s">
        <v>234</v>
      </c>
      <c r="E421" s="9" t="s">
        <v>702</v>
      </c>
      <c r="F421" s="9" t="s">
        <v>126</v>
      </c>
      <c r="G421" s="225" t="s">
        <v>809</v>
      </c>
      <c r="H421" s="9" t="s">
        <v>831</v>
      </c>
      <c r="I421" s="10">
        <v>0</v>
      </c>
    </row>
    <row r="422" spans="1:9" ht="42.75" x14ac:dyDescent="0.2">
      <c r="A422" s="28">
        <v>3025</v>
      </c>
      <c r="B422" s="9" t="s">
        <v>268</v>
      </c>
      <c r="C422" s="9" t="s">
        <v>269</v>
      </c>
      <c r="D422" s="9" t="s">
        <v>234</v>
      </c>
      <c r="E422" s="9" t="s">
        <v>702</v>
      </c>
      <c r="F422" s="9" t="s">
        <v>126</v>
      </c>
      <c r="G422" s="225" t="s">
        <v>809</v>
      </c>
      <c r="H422" s="9" t="s">
        <v>831</v>
      </c>
      <c r="I422" s="10">
        <v>0</v>
      </c>
    </row>
    <row r="423" spans="1:9" ht="28.5" x14ac:dyDescent="0.2">
      <c r="A423" s="28">
        <v>3026</v>
      </c>
      <c r="B423" s="9" t="s">
        <v>270</v>
      </c>
      <c r="C423" s="9" t="s">
        <v>271</v>
      </c>
      <c r="D423" s="9" t="s">
        <v>234</v>
      </c>
      <c r="E423" s="9" t="s">
        <v>702</v>
      </c>
      <c r="F423" s="9" t="s">
        <v>126</v>
      </c>
      <c r="G423" s="225" t="s">
        <v>809</v>
      </c>
      <c r="H423" s="9" t="s">
        <v>831</v>
      </c>
      <c r="I423" s="10">
        <v>0</v>
      </c>
    </row>
    <row r="424" spans="1:9" ht="28.5" x14ac:dyDescent="0.2">
      <c r="A424" s="28">
        <v>3027</v>
      </c>
      <c r="B424" s="9" t="s">
        <v>654</v>
      </c>
      <c r="C424" s="9" t="s">
        <v>655</v>
      </c>
      <c r="D424" s="9" t="s">
        <v>234</v>
      </c>
      <c r="E424" s="9" t="s">
        <v>656</v>
      </c>
      <c r="F424" s="9" t="s">
        <v>127</v>
      </c>
      <c r="G424" s="225" t="s">
        <v>809</v>
      </c>
      <c r="H424" s="9" t="s">
        <v>831</v>
      </c>
      <c r="I424" s="10">
        <v>0</v>
      </c>
    </row>
    <row r="425" spans="1:9" ht="28.5" x14ac:dyDescent="0.2">
      <c r="A425" s="28">
        <v>3028</v>
      </c>
      <c r="B425" s="9" t="s">
        <v>657</v>
      </c>
      <c r="C425" s="9" t="s">
        <v>658</v>
      </c>
      <c r="D425" s="9" t="s">
        <v>234</v>
      </c>
      <c r="E425" s="9" t="s">
        <v>656</v>
      </c>
      <c r="F425" s="9" t="s">
        <v>127</v>
      </c>
      <c r="G425" s="225" t="s">
        <v>809</v>
      </c>
      <c r="H425" s="9" t="s">
        <v>831</v>
      </c>
      <c r="I425" s="10">
        <v>0</v>
      </c>
    </row>
    <row r="426" spans="1:9" ht="28.5" x14ac:dyDescent="0.2">
      <c r="A426" s="28">
        <v>3029</v>
      </c>
      <c r="B426" s="9" t="s">
        <v>659</v>
      </c>
      <c r="C426" s="9" t="s">
        <v>660</v>
      </c>
      <c r="D426" s="9" t="s">
        <v>234</v>
      </c>
      <c r="E426" s="9" t="s">
        <v>656</v>
      </c>
      <c r="F426" s="9" t="s">
        <v>127</v>
      </c>
      <c r="G426" s="225" t="s">
        <v>809</v>
      </c>
      <c r="H426" s="9" t="s">
        <v>831</v>
      </c>
      <c r="I426" s="10">
        <v>0</v>
      </c>
    </row>
    <row r="427" spans="1:9" ht="42.75" x14ac:dyDescent="0.2">
      <c r="A427" s="28">
        <v>3030</v>
      </c>
      <c r="B427" s="9" t="s">
        <v>661</v>
      </c>
      <c r="C427" s="9" t="s">
        <v>662</v>
      </c>
      <c r="D427" s="9" t="s">
        <v>234</v>
      </c>
      <c r="E427" s="9" t="s">
        <v>656</v>
      </c>
      <c r="F427" s="9" t="s">
        <v>127</v>
      </c>
      <c r="G427" s="225" t="s">
        <v>809</v>
      </c>
      <c r="H427" s="9" t="s">
        <v>831</v>
      </c>
      <c r="I427" s="10">
        <v>0</v>
      </c>
    </row>
    <row r="428" spans="1:9" ht="57" x14ac:dyDescent="0.2">
      <c r="A428" s="28">
        <v>3031</v>
      </c>
      <c r="B428" s="9" t="s">
        <v>272</v>
      </c>
      <c r="C428" s="9" t="s">
        <v>273</v>
      </c>
      <c r="D428" s="9" t="s">
        <v>234</v>
      </c>
      <c r="E428" s="9" t="s">
        <v>263</v>
      </c>
      <c r="F428" s="9" t="s">
        <v>125</v>
      </c>
      <c r="G428" s="225" t="s">
        <v>809</v>
      </c>
      <c r="H428" s="9" t="s">
        <v>831</v>
      </c>
      <c r="I428" s="10">
        <v>0</v>
      </c>
    </row>
    <row r="429" spans="1:9" ht="57" x14ac:dyDescent="0.2">
      <c r="A429" s="28">
        <v>3032</v>
      </c>
      <c r="B429" s="9" t="s">
        <v>276</v>
      </c>
      <c r="C429" s="9" t="s">
        <v>273</v>
      </c>
      <c r="D429" s="9" t="s">
        <v>234</v>
      </c>
      <c r="E429" s="9" t="s">
        <v>263</v>
      </c>
      <c r="F429" s="9" t="s">
        <v>125</v>
      </c>
      <c r="G429" s="225" t="s">
        <v>809</v>
      </c>
      <c r="H429" s="9" t="s">
        <v>831</v>
      </c>
      <c r="I429" s="10">
        <v>0</v>
      </c>
    </row>
    <row r="430" spans="1:9" ht="28.5" x14ac:dyDescent="0.2">
      <c r="A430" s="28">
        <v>3033</v>
      </c>
      <c r="B430" s="9" t="s">
        <v>277</v>
      </c>
      <c r="C430" s="9" t="s">
        <v>278</v>
      </c>
      <c r="D430" s="9" t="s">
        <v>234</v>
      </c>
      <c r="E430" s="9" t="s">
        <v>263</v>
      </c>
      <c r="F430" s="9" t="s">
        <v>126</v>
      </c>
      <c r="G430" s="225" t="s">
        <v>809</v>
      </c>
      <c r="H430" s="9" t="s">
        <v>831</v>
      </c>
      <c r="I430" s="10">
        <v>0</v>
      </c>
    </row>
    <row r="431" spans="1:9" ht="85.5" x14ac:dyDescent="0.2">
      <c r="A431" s="28">
        <v>3034</v>
      </c>
      <c r="B431" s="9" t="s">
        <v>279</v>
      </c>
      <c r="C431" s="9" t="s">
        <v>281</v>
      </c>
      <c r="D431" s="9" t="s">
        <v>234</v>
      </c>
      <c r="E431" s="9" t="s">
        <v>263</v>
      </c>
      <c r="F431" s="9" t="s">
        <v>125</v>
      </c>
      <c r="G431" s="225" t="s">
        <v>809</v>
      </c>
      <c r="H431" s="9" t="s">
        <v>831</v>
      </c>
      <c r="I431" s="10">
        <v>0</v>
      </c>
    </row>
    <row r="432" spans="1:9" ht="85.5" x14ac:dyDescent="0.2">
      <c r="A432" s="28">
        <v>3035</v>
      </c>
      <c r="B432" s="9" t="s">
        <v>282</v>
      </c>
      <c r="C432" s="9" t="s">
        <v>283</v>
      </c>
      <c r="D432" s="9" t="s">
        <v>234</v>
      </c>
      <c r="E432" s="9" t="s">
        <v>263</v>
      </c>
      <c r="F432" s="9" t="s">
        <v>125</v>
      </c>
      <c r="G432" s="225" t="s">
        <v>809</v>
      </c>
      <c r="H432" s="9" t="s">
        <v>831</v>
      </c>
      <c r="I432" s="10">
        <v>0</v>
      </c>
    </row>
    <row r="433" spans="1:9" ht="28.5" x14ac:dyDescent="0.2">
      <c r="A433" s="28">
        <v>3036</v>
      </c>
      <c r="B433" s="9" t="s">
        <v>284</v>
      </c>
      <c r="C433" s="9" t="s">
        <v>286</v>
      </c>
      <c r="D433" s="9" t="s">
        <v>234</v>
      </c>
      <c r="E433" s="9" t="s">
        <v>263</v>
      </c>
      <c r="F433" s="9" t="s">
        <v>126</v>
      </c>
      <c r="G433" s="225" t="s">
        <v>809</v>
      </c>
      <c r="H433" s="9" t="s">
        <v>831</v>
      </c>
      <c r="I433" s="10">
        <v>0</v>
      </c>
    </row>
    <row r="434" spans="1:9" ht="28.5" x14ac:dyDescent="0.2">
      <c r="A434" s="28">
        <v>3037</v>
      </c>
      <c r="B434" s="9" t="s">
        <v>287</v>
      </c>
      <c r="C434" s="9" t="s">
        <v>288</v>
      </c>
      <c r="D434" s="9" t="s">
        <v>234</v>
      </c>
      <c r="E434" s="9" t="s">
        <v>263</v>
      </c>
      <c r="F434" s="9" t="s">
        <v>126</v>
      </c>
      <c r="G434" s="225" t="s">
        <v>809</v>
      </c>
      <c r="H434" s="9" t="s">
        <v>831</v>
      </c>
      <c r="I434" s="10">
        <v>0</v>
      </c>
    </row>
    <row r="435" spans="1:9" ht="42.75" x14ac:dyDescent="0.2">
      <c r="A435" s="28">
        <v>3038</v>
      </c>
      <c r="B435" s="9" t="s">
        <v>291</v>
      </c>
      <c r="C435" s="9" t="s">
        <v>292</v>
      </c>
      <c r="D435" s="9" t="s">
        <v>234</v>
      </c>
      <c r="E435" s="9" t="s">
        <v>263</v>
      </c>
      <c r="F435" s="9" t="s">
        <v>125</v>
      </c>
      <c r="G435" s="225" t="s">
        <v>809</v>
      </c>
      <c r="H435" s="9" t="s">
        <v>831</v>
      </c>
      <c r="I435" s="10">
        <v>0</v>
      </c>
    </row>
    <row r="436" spans="1:9" ht="28.5" x14ac:dyDescent="0.2">
      <c r="A436" s="28">
        <v>3039</v>
      </c>
      <c r="B436" s="9" t="s">
        <v>293</v>
      </c>
      <c r="C436" s="9" t="s">
        <v>294</v>
      </c>
      <c r="D436" s="9" t="s">
        <v>234</v>
      </c>
      <c r="E436" s="9" t="s">
        <v>263</v>
      </c>
      <c r="F436" s="9" t="s">
        <v>126</v>
      </c>
      <c r="G436" s="225" t="s">
        <v>809</v>
      </c>
      <c r="H436" s="9" t="s">
        <v>831</v>
      </c>
      <c r="I436" s="10">
        <v>0</v>
      </c>
    </row>
    <row r="437" spans="1:9" ht="42.75" x14ac:dyDescent="0.2">
      <c r="A437" s="28">
        <v>3040</v>
      </c>
      <c r="B437" s="9" t="s">
        <v>295</v>
      </c>
      <c r="C437" s="9" t="s">
        <v>296</v>
      </c>
      <c r="D437" s="9" t="s">
        <v>234</v>
      </c>
      <c r="E437" s="9" t="s">
        <v>263</v>
      </c>
      <c r="F437" s="9" t="s">
        <v>125</v>
      </c>
      <c r="G437" s="225" t="s">
        <v>809</v>
      </c>
      <c r="H437" s="9" t="s">
        <v>831</v>
      </c>
      <c r="I437" s="10">
        <v>0</v>
      </c>
    </row>
    <row r="438" spans="1:9" ht="42.75" x14ac:dyDescent="0.2">
      <c r="A438" s="28">
        <v>3041</v>
      </c>
      <c r="B438" s="9" t="s">
        <v>297</v>
      </c>
      <c r="C438" s="9" t="s">
        <v>300</v>
      </c>
      <c r="D438" s="9" t="s">
        <v>234</v>
      </c>
      <c r="E438" s="9" t="s">
        <v>263</v>
      </c>
      <c r="F438" s="9" t="s">
        <v>125</v>
      </c>
      <c r="G438" s="225" t="s">
        <v>809</v>
      </c>
      <c r="H438" s="9" t="s">
        <v>831</v>
      </c>
      <c r="I438" s="10">
        <v>0</v>
      </c>
    </row>
    <row r="439" spans="1:9" ht="42.75" x14ac:dyDescent="0.2">
      <c r="A439" s="28">
        <v>3042</v>
      </c>
      <c r="B439" s="9" t="s">
        <v>301</v>
      </c>
      <c r="C439" s="9" t="s">
        <v>301</v>
      </c>
      <c r="D439" s="9" t="s">
        <v>234</v>
      </c>
      <c r="E439" s="9" t="s">
        <v>263</v>
      </c>
      <c r="F439" s="9" t="s">
        <v>125</v>
      </c>
      <c r="G439" s="225" t="s">
        <v>809</v>
      </c>
      <c r="H439" s="9" t="s">
        <v>831</v>
      </c>
      <c r="I439" s="10">
        <v>0</v>
      </c>
    </row>
    <row r="440" spans="1:9" ht="42.75" x14ac:dyDescent="0.2">
      <c r="A440" s="28">
        <v>3043</v>
      </c>
      <c r="B440" s="9" t="s">
        <v>302</v>
      </c>
      <c r="C440" s="9" t="s">
        <v>303</v>
      </c>
      <c r="D440" s="9" t="s">
        <v>234</v>
      </c>
      <c r="E440" s="9" t="s">
        <v>263</v>
      </c>
      <c r="F440" s="9" t="s">
        <v>126</v>
      </c>
      <c r="G440" s="225" t="s">
        <v>809</v>
      </c>
      <c r="H440" s="9" t="s">
        <v>831</v>
      </c>
      <c r="I440" s="10">
        <v>0</v>
      </c>
    </row>
    <row r="441" spans="1:9" ht="28.5" x14ac:dyDescent="0.2">
      <c r="A441" s="28">
        <v>3044</v>
      </c>
      <c r="B441" s="9" t="s">
        <v>304</v>
      </c>
      <c r="C441" s="9" t="s">
        <v>305</v>
      </c>
      <c r="D441" s="9" t="s">
        <v>234</v>
      </c>
      <c r="E441" s="9" t="s">
        <v>263</v>
      </c>
      <c r="F441" s="9" t="s">
        <v>125</v>
      </c>
      <c r="G441" s="225" t="s">
        <v>809</v>
      </c>
      <c r="H441" s="9" t="s">
        <v>831</v>
      </c>
      <c r="I441" s="10">
        <v>0</v>
      </c>
    </row>
    <row r="442" spans="1:9" ht="42.75" x14ac:dyDescent="0.2">
      <c r="A442" s="28">
        <v>3045</v>
      </c>
      <c r="B442" s="9" t="s">
        <v>306</v>
      </c>
      <c r="C442" s="9" t="s">
        <v>307</v>
      </c>
      <c r="D442" s="9" t="s">
        <v>234</v>
      </c>
      <c r="E442" s="9" t="s">
        <v>263</v>
      </c>
      <c r="F442" s="9" t="s">
        <v>125</v>
      </c>
      <c r="G442" s="225" t="s">
        <v>809</v>
      </c>
      <c r="H442" s="9" t="s">
        <v>831</v>
      </c>
      <c r="I442" s="10">
        <v>0</v>
      </c>
    </row>
    <row r="443" spans="1:9" ht="28.5" x14ac:dyDescent="0.2">
      <c r="A443" s="28">
        <v>3046</v>
      </c>
      <c r="B443" s="9" t="s">
        <v>663</v>
      </c>
      <c r="C443" s="9" t="s">
        <v>664</v>
      </c>
      <c r="D443" s="9" t="s">
        <v>404</v>
      </c>
      <c r="E443" s="9" t="s">
        <v>404</v>
      </c>
      <c r="F443" s="9" t="s">
        <v>127</v>
      </c>
      <c r="G443" s="225" t="s">
        <v>809</v>
      </c>
      <c r="H443" s="9" t="s">
        <v>831</v>
      </c>
      <c r="I443" s="10">
        <v>0</v>
      </c>
    </row>
    <row r="444" spans="1:9" ht="57" x14ac:dyDescent="0.2">
      <c r="A444" s="28">
        <v>3047</v>
      </c>
      <c r="B444" s="9" t="s">
        <v>308</v>
      </c>
      <c r="C444" s="9" t="s">
        <v>309</v>
      </c>
      <c r="D444" s="9" t="s">
        <v>234</v>
      </c>
      <c r="E444" s="9" t="s">
        <v>235</v>
      </c>
      <c r="F444" s="9" t="s">
        <v>126</v>
      </c>
      <c r="G444" s="225" t="s">
        <v>809</v>
      </c>
      <c r="H444" s="9" t="s">
        <v>831</v>
      </c>
      <c r="I444" s="10">
        <v>0</v>
      </c>
    </row>
    <row r="445" spans="1:9" ht="42.75" x14ac:dyDescent="0.2">
      <c r="A445" s="28">
        <v>3048</v>
      </c>
      <c r="B445" s="9" t="s">
        <v>665</v>
      </c>
      <c r="C445" s="9" t="s">
        <v>666</v>
      </c>
      <c r="D445" s="9" t="s">
        <v>234</v>
      </c>
      <c r="E445" s="9" t="s">
        <v>235</v>
      </c>
      <c r="F445" s="9" t="s">
        <v>127</v>
      </c>
      <c r="G445" s="225" t="s">
        <v>809</v>
      </c>
      <c r="H445" s="9" t="s">
        <v>831</v>
      </c>
      <c r="I445" s="10">
        <v>0</v>
      </c>
    </row>
    <row r="446" spans="1:9" ht="42.75" x14ac:dyDescent="0.2">
      <c r="A446" s="28">
        <v>3049</v>
      </c>
      <c r="B446" s="9" t="s">
        <v>667</v>
      </c>
      <c r="C446" s="9" t="s">
        <v>668</v>
      </c>
      <c r="D446" s="9" t="s">
        <v>234</v>
      </c>
      <c r="E446" s="9" t="s">
        <v>235</v>
      </c>
      <c r="F446" s="9" t="s">
        <v>127</v>
      </c>
      <c r="G446" s="225" t="s">
        <v>809</v>
      </c>
      <c r="H446" s="9" t="s">
        <v>831</v>
      </c>
      <c r="I446" s="10">
        <v>0</v>
      </c>
    </row>
    <row r="447" spans="1:9" ht="42.75" x14ac:dyDescent="0.2">
      <c r="A447" s="28">
        <v>3050</v>
      </c>
      <c r="B447" s="9" t="s">
        <v>669</v>
      </c>
      <c r="C447" s="9" t="s">
        <v>670</v>
      </c>
      <c r="D447" s="9" t="s">
        <v>234</v>
      </c>
      <c r="E447" s="9" t="s">
        <v>235</v>
      </c>
      <c r="F447" s="9" t="s">
        <v>127</v>
      </c>
      <c r="G447" s="225" t="s">
        <v>809</v>
      </c>
      <c r="H447" s="9" t="s">
        <v>831</v>
      </c>
      <c r="I447" s="10">
        <v>0</v>
      </c>
    </row>
    <row r="448" spans="1:9" ht="57" x14ac:dyDescent="0.2">
      <c r="A448" s="28">
        <v>3051</v>
      </c>
      <c r="B448" s="9" t="s">
        <v>671</v>
      </c>
      <c r="C448" s="9" t="s">
        <v>672</v>
      </c>
      <c r="D448" s="9" t="s">
        <v>234</v>
      </c>
      <c r="E448" s="9" t="s">
        <v>235</v>
      </c>
      <c r="F448" s="9" t="s">
        <v>127</v>
      </c>
      <c r="G448" s="225" t="s">
        <v>809</v>
      </c>
      <c r="H448" s="9" t="s">
        <v>831</v>
      </c>
      <c r="I448" s="10">
        <v>0</v>
      </c>
    </row>
    <row r="449" spans="1:9" ht="42.75" x14ac:dyDescent="0.2">
      <c r="A449" s="28">
        <v>3052</v>
      </c>
      <c r="B449" s="9" t="s">
        <v>673</v>
      </c>
      <c r="C449" s="9" t="s">
        <v>674</v>
      </c>
      <c r="D449" s="9" t="s">
        <v>234</v>
      </c>
      <c r="E449" s="9" t="s">
        <v>235</v>
      </c>
      <c r="F449" s="9" t="s">
        <v>127</v>
      </c>
      <c r="G449" s="225" t="s">
        <v>809</v>
      </c>
      <c r="H449" s="9" t="s">
        <v>831</v>
      </c>
      <c r="I449" s="10">
        <v>0</v>
      </c>
    </row>
    <row r="450" spans="1:9" ht="28.5" x14ac:dyDescent="0.2">
      <c r="A450" s="28">
        <v>3053</v>
      </c>
      <c r="B450" s="9" t="s">
        <v>310</v>
      </c>
      <c r="C450" s="9" t="s">
        <v>684</v>
      </c>
      <c r="D450" s="9" t="s">
        <v>234</v>
      </c>
      <c r="E450" s="9" t="s">
        <v>702</v>
      </c>
      <c r="F450" s="9" t="s">
        <v>126</v>
      </c>
      <c r="G450" s="225" t="s">
        <v>809</v>
      </c>
      <c r="H450" s="9" t="s">
        <v>831</v>
      </c>
      <c r="I450" s="10">
        <v>0</v>
      </c>
    </row>
    <row r="451" spans="1:9" ht="28.5" x14ac:dyDescent="0.2">
      <c r="A451" s="28">
        <v>3054</v>
      </c>
      <c r="B451" s="9" t="s">
        <v>685</v>
      </c>
      <c r="C451" s="9" t="s">
        <v>686</v>
      </c>
      <c r="D451" s="9" t="s">
        <v>234</v>
      </c>
      <c r="E451" s="9" t="s">
        <v>702</v>
      </c>
      <c r="F451" s="9" t="s">
        <v>126</v>
      </c>
      <c r="G451" s="225" t="s">
        <v>809</v>
      </c>
      <c r="H451" s="9" t="s">
        <v>831</v>
      </c>
      <c r="I451" s="10">
        <v>0</v>
      </c>
    </row>
    <row r="452" spans="1:9" ht="28.5" x14ac:dyDescent="0.2">
      <c r="A452" s="28">
        <v>3055</v>
      </c>
      <c r="B452" s="9" t="s">
        <v>687</v>
      </c>
      <c r="C452" s="9" t="s">
        <v>688</v>
      </c>
      <c r="D452" s="9" t="s">
        <v>234</v>
      </c>
      <c r="E452" s="9" t="s">
        <v>702</v>
      </c>
      <c r="F452" s="9" t="s">
        <v>125</v>
      </c>
      <c r="G452" s="225" t="s">
        <v>809</v>
      </c>
      <c r="H452" s="9" t="s">
        <v>831</v>
      </c>
      <c r="I452" s="10">
        <v>0</v>
      </c>
    </row>
    <row r="453" spans="1:9" ht="42.75" x14ac:dyDescent="0.2">
      <c r="A453" s="28">
        <v>3056</v>
      </c>
      <c r="B453" s="9" t="s">
        <v>693</v>
      </c>
      <c r="C453" s="9" t="s">
        <v>694</v>
      </c>
      <c r="D453" s="9" t="s">
        <v>234</v>
      </c>
      <c r="E453" s="9" t="s">
        <v>702</v>
      </c>
      <c r="F453" s="9" t="s">
        <v>126</v>
      </c>
      <c r="G453" s="225" t="s">
        <v>809</v>
      </c>
      <c r="H453" s="9" t="s">
        <v>831</v>
      </c>
      <c r="I453" s="10">
        <v>0</v>
      </c>
    </row>
    <row r="454" spans="1:9" ht="28.5" x14ac:dyDescent="0.2">
      <c r="A454" s="28">
        <v>3057</v>
      </c>
      <c r="B454" s="9" t="s">
        <v>675</v>
      </c>
      <c r="C454" s="9" t="s">
        <v>676</v>
      </c>
      <c r="D454" s="9" t="s">
        <v>234</v>
      </c>
      <c r="E454" s="9" t="s">
        <v>677</v>
      </c>
      <c r="F454" s="9" t="s">
        <v>127</v>
      </c>
      <c r="G454" s="225" t="s">
        <v>809</v>
      </c>
      <c r="H454" s="9" t="s">
        <v>831</v>
      </c>
      <c r="I454" s="10">
        <v>0</v>
      </c>
    </row>
    <row r="455" spans="1:9" ht="28.5" x14ac:dyDescent="0.2">
      <c r="A455" s="28">
        <v>3058</v>
      </c>
      <c r="B455" s="9" t="s">
        <v>212</v>
      </c>
      <c r="C455" s="9" t="s">
        <v>213</v>
      </c>
      <c r="D455" s="9" t="s">
        <v>234</v>
      </c>
      <c r="E455" s="9" t="s">
        <v>677</v>
      </c>
      <c r="F455" s="9" t="s">
        <v>127</v>
      </c>
      <c r="G455" s="225" t="s">
        <v>809</v>
      </c>
      <c r="H455" s="9" t="s">
        <v>831</v>
      </c>
      <c r="I455" s="10">
        <v>0</v>
      </c>
    </row>
    <row r="456" spans="1:9" ht="28.5" x14ac:dyDescent="0.2">
      <c r="A456" s="28">
        <v>3059</v>
      </c>
      <c r="B456" s="9" t="s">
        <v>214</v>
      </c>
      <c r="C456" s="9" t="s">
        <v>215</v>
      </c>
      <c r="D456" s="9" t="s">
        <v>234</v>
      </c>
      <c r="E456" s="9" t="s">
        <v>677</v>
      </c>
      <c r="F456" s="9" t="s">
        <v>831</v>
      </c>
      <c r="G456" s="225" t="s">
        <v>809</v>
      </c>
      <c r="H456" s="9" t="s">
        <v>831</v>
      </c>
      <c r="I456" s="10">
        <v>0</v>
      </c>
    </row>
    <row r="457" spans="1:9" ht="28.5" x14ac:dyDescent="0.2">
      <c r="A457" s="28">
        <v>3060</v>
      </c>
      <c r="B457" s="9" t="s">
        <v>216</v>
      </c>
      <c r="C457" s="9" t="s">
        <v>94</v>
      </c>
      <c r="D457" s="9" t="s">
        <v>234</v>
      </c>
      <c r="E457" s="9" t="s">
        <v>677</v>
      </c>
      <c r="F457" s="9" t="s">
        <v>127</v>
      </c>
      <c r="G457" s="225" t="s">
        <v>809</v>
      </c>
      <c r="H457" s="9" t="s">
        <v>831</v>
      </c>
      <c r="I457" s="10">
        <v>0</v>
      </c>
    </row>
    <row r="458" spans="1:9" ht="28.5" x14ac:dyDescent="0.2">
      <c r="A458" s="28">
        <v>3061</v>
      </c>
      <c r="B458" s="9" t="s">
        <v>95</v>
      </c>
      <c r="C458" s="9" t="s">
        <v>96</v>
      </c>
      <c r="D458" s="9" t="s">
        <v>234</v>
      </c>
      <c r="E458" s="9" t="s">
        <v>677</v>
      </c>
      <c r="F458" s="9" t="s">
        <v>127</v>
      </c>
      <c r="G458" s="225" t="s">
        <v>809</v>
      </c>
      <c r="H458" s="9" t="s">
        <v>831</v>
      </c>
      <c r="I458" s="10">
        <v>0</v>
      </c>
    </row>
    <row r="459" spans="1:9" ht="28.5" x14ac:dyDescent="0.2">
      <c r="A459" s="28">
        <v>3062</v>
      </c>
      <c r="B459" s="9" t="s">
        <v>97</v>
      </c>
      <c r="C459" s="9" t="s">
        <v>98</v>
      </c>
      <c r="D459" s="9" t="s">
        <v>234</v>
      </c>
      <c r="E459" s="9" t="s">
        <v>677</v>
      </c>
      <c r="F459" s="9" t="s">
        <v>127</v>
      </c>
      <c r="G459" s="225" t="s">
        <v>809</v>
      </c>
      <c r="H459" s="9" t="s">
        <v>831</v>
      </c>
      <c r="I459" s="10">
        <v>0</v>
      </c>
    </row>
    <row r="460" spans="1:9" ht="28.5" x14ac:dyDescent="0.2">
      <c r="A460" s="28">
        <v>3063</v>
      </c>
      <c r="B460" s="9" t="s">
        <v>99</v>
      </c>
      <c r="C460" s="9" t="s">
        <v>100</v>
      </c>
      <c r="D460" s="9" t="s">
        <v>234</v>
      </c>
      <c r="E460" s="9" t="s">
        <v>702</v>
      </c>
      <c r="F460" s="9" t="s">
        <v>127</v>
      </c>
      <c r="G460" s="225" t="s">
        <v>809</v>
      </c>
      <c r="H460" s="9" t="s">
        <v>831</v>
      </c>
      <c r="I460" s="10">
        <v>0</v>
      </c>
    </row>
    <row r="461" spans="1:9" ht="28.5" x14ac:dyDescent="0.2">
      <c r="A461" s="28">
        <v>3064</v>
      </c>
      <c r="B461" s="9" t="s">
        <v>101</v>
      </c>
      <c r="C461" s="9" t="s">
        <v>102</v>
      </c>
      <c r="D461" s="9" t="s">
        <v>234</v>
      </c>
      <c r="E461" s="9" t="s">
        <v>702</v>
      </c>
      <c r="F461" s="9" t="s">
        <v>127</v>
      </c>
      <c r="G461" s="225" t="s">
        <v>809</v>
      </c>
      <c r="H461" s="9" t="s">
        <v>831</v>
      </c>
      <c r="I461" s="10">
        <v>0</v>
      </c>
    </row>
    <row r="462" spans="1:9" ht="42.75" x14ac:dyDescent="0.2">
      <c r="A462" s="28">
        <v>3065</v>
      </c>
      <c r="B462" s="9" t="s">
        <v>103</v>
      </c>
      <c r="C462" s="9" t="s">
        <v>104</v>
      </c>
      <c r="D462" s="9" t="s">
        <v>234</v>
      </c>
      <c r="E462" s="9" t="s">
        <v>702</v>
      </c>
      <c r="F462" s="9" t="s">
        <v>127</v>
      </c>
      <c r="G462" s="225" t="s">
        <v>809</v>
      </c>
      <c r="H462" s="9" t="s">
        <v>831</v>
      </c>
      <c r="I462" s="10">
        <v>0</v>
      </c>
    </row>
    <row r="463" spans="1:9" ht="42.75" x14ac:dyDescent="0.2">
      <c r="A463" s="28">
        <v>3066</v>
      </c>
      <c r="B463" s="9" t="s">
        <v>709</v>
      </c>
      <c r="C463" s="9" t="s">
        <v>710</v>
      </c>
      <c r="D463" s="9" t="s">
        <v>234</v>
      </c>
      <c r="E463" s="9" t="s">
        <v>702</v>
      </c>
      <c r="F463" s="9" t="s">
        <v>127</v>
      </c>
      <c r="G463" s="225" t="s">
        <v>809</v>
      </c>
      <c r="H463" s="9" t="s">
        <v>831</v>
      </c>
      <c r="I463" s="10">
        <v>0</v>
      </c>
    </row>
    <row r="464" spans="1:9" ht="57" x14ac:dyDescent="0.2">
      <c r="A464" s="28">
        <v>3067</v>
      </c>
      <c r="B464" s="9" t="s">
        <v>239</v>
      </c>
      <c r="C464" s="9" t="s">
        <v>240</v>
      </c>
      <c r="D464" s="9" t="s">
        <v>234</v>
      </c>
      <c r="E464" s="9" t="s">
        <v>702</v>
      </c>
      <c r="F464" s="9" t="s">
        <v>127</v>
      </c>
      <c r="G464" s="225" t="s">
        <v>809</v>
      </c>
      <c r="H464" s="9" t="s">
        <v>831</v>
      </c>
      <c r="I464" s="10">
        <v>0</v>
      </c>
    </row>
    <row r="465" spans="1:9" ht="42.75" x14ac:dyDescent="0.2">
      <c r="A465" s="28">
        <v>3068</v>
      </c>
      <c r="B465" s="9" t="s">
        <v>241</v>
      </c>
      <c r="C465" s="9" t="s">
        <v>243</v>
      </c>
      <c r="D465" s="9" t="s">
        <v>234</v>
      </c>
      <c r="E465" s="9" t="s">
        <v>702</v>
      </c>
      <c r="F465" s="9" t="s">
        <v>127</v>
      </c>
      <c r="G465" s="225" t="s">
        <v>809</v>
      </c>
      <c r="H465" s="9" t="s">
        <v>831</v>
      </c>
      <c r="I465" s="10">
        <v>0</v>
      </c>
    </row>
    <row r="466" spans="1:9" ht="42.75" x14ac:dyDescent="0.2">
      <c r="A466" s="28">
        <v>3069</v>
      </c>
      <c r="B466" s="9" t="s">
        <v>711</v>
      </c>
      <c r="C466" s="9" t="s">
        <v>712</v>
      </c>
      <c r="D466" s="9" t="s">
        <v>234</v>
      </c>
      <c r="E466" s="9" t="s">
        <v>702</v>
      </c>
      <c r="F466" s="9" t="s">
        <v>127</v>
      </c>
      <c r="G466" s="225" t="s">
        <v>809</v>
      </c>
      <c r="H466" s="9" t="s">
        <v>831</v>
      </c>
      <c r="I466" s="10">
        <v>0</v>
      </c>
    </row>
    <row r="467" spans="1:9" ht="42.75" x14ac:dyDescent="0.2">
      <c r="A467" s="28">
        <v>3070</v>
      </c>
      <c r="B467" s="9" t="s">
        <v>713</v>
      </c>
      <c r="C467" s="9" t="s">
        <v>714</v>
      </c>
      <c r="D467" s="9" t="s">
        <v>234</v>
      </c>
      <c r="E467" s="9" t="s">
        <v>702</v>
      </c>
      <c r="F467" s="9" t="s">
        <v>127</v>
      </c>
      <c r="G467" s="225" t="s">
        <v>809</v>
      </c>
      <c r="H467" s="9" t="s">
        <v>831</v>
      </c>
      <c r="I467" s="10">
        <v>0</v>
      </c>
    </row>
    <row r="468" spans="1:9" ht="42.75" x14ac:dyDescent="0.2">
      <c r="A468" s="28">
        <v>3071</v>
      </c>
      <c r="B468" s="9" t="s">
        <v>715</v>
      </c>
      <c r="C468" s="9" t="s">
        <v>716</v>
      </c>
      <c r="D468" s="9" t="s">
        <v>234</v>
      </c>
      <c r="E468" s="9" t="s">
        <v>702</v>
      </c>
      <c r="F468" s="9" t="s">
        <v>127</v>
      </c>
      <c r="G468" s="225" t="s">
        <v>809</v>
      </c>
      <c r="H468" s="9" t="s">
        <v>831</v>
      </c>
      <c r="I468" s="10">
        <v>0</v>
      </c>
    </row>
    <row r="469" spans="1:9" ht="28.5" x14ac:dyDescent="0.2">
      <c r="A469" s="28">
        <v>3072</v>
      </c>
      <c r="B469" s="9" t="s">
        <v>717</v>
      </c>
      <c r="C469" s="9" t="s">
        <v>718</v>
      </c>
      <c r="D469" s="9" t="s">
        <v>234</v>
      </c>
      <c r="E469" s="9" t="s">
        <v>702</v>
      </c>
      <c r="F469" s="9" t="s">
        <v>127</v>
      </c>
      <c r="G469" s="225" t="s">
        <v>809</v>
      </c>
      <c r="H469" s="9" t="s">
        <v>831</v>
      </c>
      <c r="I469" s="10">
        <v>0</v>
      </c>
    </row>
    <row r="470" spans="1:9" ht="28.5" x14ac:dyDescent="0.2">
      <c r="A470" s="28">
        <v>3073</v>
      </c>
      <c r="B470" s="9" t="s">
        <v>719</v>
      </c>
      <c r="C470" s="9" t="s">
        <v>720</v>
      </c>
      <c r="D470" s="9" t="s">
        <v>234</v>
      </c>
      <c r="E470" s="9" t="s">
        <v>677</v>
      </c>
      <c r="F470" s="9" t="s">
        <v>127</v>
      </c>
      <c r="G470" s="225" t="s">
        <v>809</v>
      </c>
      <c r="H470" s="9" t="s">
        <v>831</v>
      </c>
      <c r="I470" s="10">
        <v>0</v>
      </c>
    </row>
    <row r="471" spans="1:9" ht="28.5" x14ac:dyDescent="0.2">
      <c r="A471" s="28">
        <v>3074</v>
      </c>
      <c r="B471" s="9" t="s">
        <v>721</v>
      </c>
      <c r="C471" s="9" t="s">
        <v>722</v>
      </c>
      <c r="D471" s="9" t="s">
        <v>234</v>
      </c>
      <c r="E471" s="9" t="s">
        <v>677</v>
      </c>
      <c r="F471" s="9" t="s">
        <v>127</v>
      </c>
      <c r="G471" s="225" t="s">
        <v>809</v>
      </c>
      <c r="H471" s="9" t="s">
        <v>831</v>
      </c>
      <c r="I471" s="10">
        <v>0</v>
      </c>
    </row>
    <row r="472" spans="1:9" ht="28.5" x14ac:dyDescent="0.2">
      <c r="A472" s="28">
        <v>3075</v>
      </c>
      <c r="B472" s="9" t="s">
        <v>723</v>
      </c>
      <c r="C472" s="9" t="s">
        <v>724</v>
      </c>
      <c r="D472" s="9" t="s">
        <v>234</v>
      </c>
      <c r="E472" s="9" t="s">
        <v>263</v>
      </c>
      <c r="F472" s="9" t="s">
        <v>127</v>
      </c>
      <c r="G472" s="225" t="s">
        <v>809</v>
      </c>
      <c r="H472" s="9" t="s">
        <v>831</v>
      </c>
      <c r="I472" s="10">
        <v>0</v>
      </c>
    </row>
    <row r="473" spans="1:9" ht="42.75" x14ac:dyDescent="0.2">
      <c r="A473" s="28">
        <v>3076</v>
      </c>
      <c r="B473" s="9" t="s">
        <v>725</v>
      </c>
      <c r="C473" s="9" t="s">
        <v>726</v>
      </c>
      <c r="D473" s="9" t="s">
        <v>234</v>
      </c>
      <c r="E473" s="9" t="s">
        <v>656</v>
      </c>
      <c r="F473" s="9" t="s">
        <v>127</v>
      </c>
      <c r="G473" s="225" t="s">
        <v>809</v>
      </c>
      <c r="H473" s="9" t="s">
        <v>831</v>
      </c>
      <c r="I473" s="10">
        <v>0</v>
      </c>
    </row>
    <row r="474" spans="1:9" ht="42.75" x14ac:dyDescent="0.2">
      <c r="A474" s="28">
        <v>3077</v>
      </c>
      <c r="B474" s="9" t="s">
        <v>727</v>
      </c>
      <c r="C474" s="9" t="s">
        <v>728</v>
      </c>
      <c r="D474" s="9" t="s">
        <v>234</v>
      </c>
      <c r="E474" s="9" t="s">
        <v>656</v>
      </c>
      <c r="F474" s="9" t="s">
        <v>127</v>
      </c>
      <c r="G474" s="225" t="s">
        <v>809</v>
      </c>
      <c r="H474" s="9" t="s">
        <v>831</v>
      </c>
      <c r="I474" s="10">
        <v>0</v>
      </c>
    </row>
    <row r="475" spans="1:9" ht="42.75" x14ac:dyDescent="0.2">
      <c r="A475" s="28">
        <v>3078</v>
      </c>
      <c r="B475" s="9" t="s">
        <v>729</v>
      </c>
      <c r="C475" s="9" t="s">
        <v>730</v>
      </c>
      <c r="D475" s="9" t="s">
        <v>234</v>
      </c>
      <c r="E475" s="9" t="s">
        <v>656</v>
      </c>
      <c r="F475" s="9" t="s">
        <v>127</v>
      </c>
      <c r="G475" s="225" t="s">
        <v>809</v>
      </c>
      <c r="H475" s="9" t="s">
        <v>831</v>
      </c>
      <c r="I475" s="10">
        <v>0</v>
      </c>
    </row>
    <row r="476" spans="1:9" ht="42.75" x14ac:dyDescent="0.2">
      <c r="A476" s="28">
        <v>3079</v>
      </c>
      <c r="B476" s="9" t="s">
        <v>731</v>
      </c>
      <c r="C476" s="9" t="s">
        <v>732</v>
      </c>
      <c r="D476" s="9" t="s">
        <v>234</v>
      </c>
      <c r="E476" s="9" t="s">
        <v>656</v>
      </c>
      <c r="F476" s="9" t="s">
        <v>127</v>
      </c>
      <c r="G476" s="225" t="s">
        <v>809</v>
      </c>
      <c r="H476" s="9" t="s">
        <v>831</v>
      </c>
      <c r="I476" s="10">
        <v>0</v>
      </c>
    </row>
    <row r="477" spans="1:9" ht="42.75" x14ac:dyDescent="0.2">
      <c r="A477" s="28">
        <v>3080</v>
      </c>
      <c r="B477" s="9" t="s">
        <v>733</v>
      </c>
      <c r="C477" s="9" t="s">
        <v>734</v>
      </c>
      <c r="D477" s="9" t="s">
        <v>234</v>
      </c>
      <c r="E477" s="9" t="s">
        <v>656</v>
      </c>
      <c r="F477" s="9" t="s">
        <v>127</v>
      </c>
      <c r="G477" s="225" t="s">
        <v>809</v>
      </c>
      <c r="H477" s="9" t="s">
        <v>831</v>
      </c>
      <c r="I477" s="10">
        <v>0</v>
      </c>
    </row>
    <row r="478" spans="1:9" ht="42.75" x14ac:dyDescent="0.2">
      <c r="A478" s="28">
        <v>3081</v>
      </c>
      <c r="B478" s="9" t="s">
        <v>735</v>
      </c>
      <c r="C478" s="9" t="s">
        <v>736</v>
      </c>
      <c r="D478" s="9" t="s">
        <v>234</v>
      </c>
      <c r="E478" s="9" t="s">
        <v>656</v>
      </c>
      <c r="F478" s="9" t="s">
        <v>127</v>
      </c>
      <c r="G478" s="225" t="s">
        <v>809</v>
      </c>
      <c r="H478" s="9" t="s">
        <v>831</v>
      </c>
      <c r="I478" s="10">
        <v>0</v>
      </c>
    </row>
    <row r="479" spans="1:9" ht="42.75" x14ac:dyDescent="0.2">
      <c r="A479" s="28">
        <v>3082</v>
      </c>
      <c r="B479" s="9" t="s">
        <v>737</v>
      </c>
      <c r="C479" s="9" t="s">
        <v>738</v>
      </c>
      <c r="D479" s="9" t="s">
        <v>234</v>
      </c>
      <c r="E479" s="9" t="s">
        <v>656</v>
      </c>
      <c r="F479" s="9" t="s">
        <v>127</v>
      </c>
      <c r="G479" s="225" t="s">
        <v>809</v>
      </c>
      <c r="H479" s="9" t="s">
        <v>831</v>
      </c>
      <c r="I479" s="10">
        <v>0</v>
      </c>
    </row>
    <row r="480" spans="1:9" ht="42.75" x14ac:dyDescent="0.2">
      <c r="A480" s="28">
        <v>3083</v>
      </c>
      <c r="B480" s="9" t="s">
        <v>739</v>
      </c>
      <c r="C480" s="9" t="s">
        <v>741</v>
      </c>
      <c r="D480" s="9" t="s">
        <v>234</v>
      </c>
      <c r="E480" s="9" t="s">
        <v>656</v>
      </c>
      <c r="F480" s="9" t="s">
        <v>127</v>
      </c>
      <c r="G480" s="225" t="s">
        <v>809</v>
      </c>
      <c r="H480" s="9" t="s">
        <v>831</v>
      </c>
      <c r="I480" s="10">
        <v>0</v>
      </c>
    </row>
    <row r="481" spans="1:9" ht="42.75" x14ac:dyDescent="0.2">
      <c r="A481" s="28">
        <v>3084</v>
      </c>
      <c r="B481" s="9" t="s">
        <v>695</v>
      </c>
      <c r="C481" s="9" t="s">
        <v>222</v>
      </c>
      <c r="D481" s="9" t="s">
        <v>234</v>
      </c>
      <c r="E481" s="9" t="s">
        <v>702</v>
      </c>
      <c r="F481" s="9" t="s">
        <v>125</v>
      </c>
      <c r="G481" s="225" t="s">
        <v>809</v>
      </c>
      <c r="H481" s="9" t="s">
        <v>831</v>
      </c>
      <c r="I481" s="10">
        <v>0</v>
      </c>
    </row>
    <row r="482" spans="1:9" ht="42.75" x14ac:dyDescent="0.2">
      <c r="A482" s="28">
        <v>3085</v>
      </c>
      <c r="B482" s="9" t="s">
        <v>223</v>
      </c>
      <c r="C482" s="9" t="s">
        <v>224</v>
      </c>
      <c r="D482" s="9" t="s">
        <v>234</v>
      </c>
      <c r="E482" s="9" t="s">
        <v>702</v>
      </c>
      <c r="F482" s="9" t="s">
        <v>125</v>
      </c>
      <c r="G482" s="225" t="s">
        <v>809</v>
      </c>
      <c r="H482" s="9" t="s">
        <v>831</v>
      </c>
      <c r="I482" s="10">
        <v>0</v>
      </c>
    </row>
    <row r="483" spans="1:9" ht="57" x14ac:dyDescent="0.2">
      <c r="A483" s="28">
        <v>3086</v>
      </c>
      <c r="B483" s="9" t="s">
        <v>225</v>
      </c>
      <c r="C483" s="9" t="s">
        <v>226</v>
      </c>
      <c r="D483" s="9" t="s">
        <v>234</v>
      </c>
      <c r="E483" s="9" t="s">
        <v>702</v>
      </c>
      <c r="F483" s="9" t="s">
        <v>125</v>
      </c>
      <c r="G483" s="225" t="s">
        <v>809</v>
      </c>
      <c r="H483" s="9" t="s">
        <v>831</v>
      </c>
      <c r="I483" s="10">
        <v>0</v>
      </c>
    </row>
    <row r="484" spans="1:9" ht="28.5" x14ac:dyDescent="0.2">
      <c r="A484" s="28">
        <v>3087</v>
      </c>
      <c r="B484" s="9" t="s">
        <v>227</v>
      </c>
      <c r="C484" s="9" t="s">
        <v>228</v>
      </c>
      <c r="D484" s="9" t="s">
        <v>234</v>
      </c>
      <c r="E484" s="9" t="s">
        <v>702</v>
      </c>
      <c r="F484" s="9" t="s">
        <v>125</v>
      </c>
      <c r="G484" s="225" t="s">
        <v>809</v>
      </c>
      <c r="H484" s="9" t="s">
        <v>831</v>
      </c>
      <c r="I484" s="10">
        <v>0</v>
      </c>
    </row>
    <row r="485" spans="1:9" ht="28.5" x14ac:dyDescent="0.2">
      <c r="A485" s="28">
        <v>3088</v>
      </c>
      <c r="B485" s="9" t="s">
        <v>703</v>
      </c>
      <c r="C485" s="9" t="s">
        <v>704</v>
      </c>
      <c r="D485" s="9" t="s">
        <v>234</v>
      </c>
      <c r="E485" s="9" t="s">
        <v>702</v>
      </c>
      <c r="F485" s="9" t="s">
        <v>125</v>
      </c>
      <c r="G485" s="225" t="s">
        <v>809</v>
      </c>
      <c r="H485" s="9" t="s">
        <v>831</v>
      </c>
      <c r="I485" s="10">
        <v>0</v>
      </c>
    </row>
    <row r="486" spans="1:9" ht="57" x14ac:dyDescent="0.2">
      <c r="A486" s="28">
        <v>3089</v>
      </c>
      <c r="B486" s="9" t="s">
        <v>705</v>
      </c>
      <c r="C486" s="9" t="s">
        <v>706</v>
      </c>
      <c r="D486" s="9" t="s">
        <v>234</v>
      </c>
      <c r="E486" s="9" t="s">
        <v>235</v>
      </c>
      <c r="F486" s="9" t="s">
        <v>126</v>
      </c>
      <c r="G486" s="225" t="s">
        <v>809</v>
      </c>
      <c r="H486" s="9" t="s">
        <v>831</v>
      </c>
      <c r="I486" s="10">
        <v>0</v>
      </c>
    </row>
    <row r="487" spans="1:9" ht="28.5" x14ac:dyDescent="0.2">
      <c r="A487" s="28">
        <v>3090</v>
      </c>
      <c r="B487" s="9" t="s">
        <v>707</v>
      </c>
      <c r="C487" s="9" t="s">
        <v>708</v>
      </c>
      <c r="D487" s="9" t="s">
        <v>234</v>
      </c>
      <c r="E487" s="9" t="s">
        <v>702</v>
      </c>
      <c r="F487" s="9" t="s">
        <v>125</v>
      </c>
      <c r="G487" s="225" t="s">
        <v>809</v>
      </c>
      <c r="H487" s="9" t="s">
        <v>831</v>
      </c>
      <c r="I487" s="10">
        <v>0</v>
      </c>
    </row>
    <row r="488" spans="1:9" ht="28.5" x14ac:dyDescent="0.2">
      <c r="A488" s="28">
        <v>3091</v>
      </c>
      <c r="B488" s="9" t="s">
        <v>574</v>
      </c>
      <c r="C488" s="9" t="s">
        <v>575</v>
      </c>
      <c r="D488" s="9" t="s">
        <v>234</v>
      </c>
      <c r="E488" s="9" t="s">
        <v>702</v>
      </c>
      <c r="F488" s="9" t="s">
        <v>125</v>
      </c>
      <c r="G488" s="225" t="s">
        <v>809</v>
      </c>
      <c r="H488" s="9" t="s">
        <v>831</v>
      </c>
      <c r="I488" s="10">
        <v>0</v>
      </c>
    </row>
    <row r="489" spans="1:9" ht="28.5" x14ac:dyDescent="0.2">
      <c r="A489" s="28">
        <v>3092</v>
      </c>
      <c r="B489" s="9" t="s">
        <v>576</v>
      </c>
      <c r="C489" s="9" t="s">
        <v>577</v>
      </c>
      <c r="D489" s="9" t="s">
        <v>234</v>
      </c>
      <c r="E489" s="9" t="s">
        <v>702</v>
      </c>
      <c r="F489" s="9" t="s">
        <v>831</v>
      </c>
      <c r="G489" s="225" t="s">
        <v>809</v>
      </c>
      <c r="H489" s="9" t="s">
        <v>831</v>
      </c>
      <c r="I489" s="10">
        <v>0</v>
      </c>
    </row>
    <row r="490" spans="1:9" ht="28.5" x14ac:dyDescent="0.2">
      <c r="A490" s="28">
        <v>3093</v>
      </c>
      <c r="B490" s="9" t="s">
        <v>578</v>
      </c>
      <c r="C490" s="9" t="s">
        <v>579</v>
      </c>
      <c r="D490" s="9" t="s">
        <v>234</v>
      </c>
      <c r="E490" s="9" t="s">
        <v>702</v>
      </c>
      <c r="F490" s="9" t="s">
        <v>831</v>
      </c>
      <c r="G490" s="225" t="s">
        <v>809</v>
      </c>
      <c r="H490" s="9" t="s">
        <v>831</v>
      </c>
      <c r="I490" s="10">
        <v>0</v>
      </c>
    </row>
    <row r="491" spans="1:9" ht="28.5" x14ac:dyDescent="0.2">
      <c r="A491" s="28">
        <v>3094</v>
      </c>
      <c r="B491" s="9" t="s">
        <v>580</v>
      </c>
      <c r="C491" s="9" t="s">
        <v>581</v>
      </c>
      <c r="D491" s="9" t="s">
        <v>234</v>
      </c>
      <c r="E491" s="9" t="s">
        <v>702</v>
      </c>
      <c r="F491" s="9" t="s">
        <v>126</v>
      </c>
      <c r="G491" s="225" t="s">
        <v>809</v>
      </c>
      <c r="H491" s="9" t="s">
        <v>831</v>
      </c>
      <c r="I491" s="10">
        <v>0</v>
      </c>
    </row>
    <row r="492" spans="1:9" ht="42.75" x14ac:dyDescent="0.2">
      <c r="A492" s="28">
        <v>3095</v>
      </c>
      <c r="B492" s="9" t="s">
        <v>582</v>
      </c>
      <c r="C492" s="9" t="s">
        <v>583</v>
      </c>
      <c r="D492" s="9" t="s">
        <v>234</v>
      </c>
      <c r="E492" s="9" t="s">
        <v>702</v>
      </c>
      <c r="F492" s="9" t="s">
        <v>126</v>
      </c>
      <c r="G492" s="225" t="s">
        <v>809</v>
      </c>
      <c r="H492" s="9" t="s">
        <v>831</v>
      </c>
      <c r="I492" s="10">
        <v>0</v>
      </c>
    </row>
    <row r="493" spans="1:9" ht="42.75" x14ac:dyDescent="0.2">
      <c r="A493" s="28">
        <v>3096</v>
      </c>
      <c r="B493" s="9" t="s">
        <v>584</v>
      </c>
      <c r="C493" s="9" t="s">
        <v>585</v>
      </c>
      <c r="D493" s="9" t="s">
        <v>234</v>
      </c>
      <c r="E493" s="9" t="s">
        <v>702</v>
      </c>
      <c r="F493" s="9" t="s">
        <v>126</v>
      </c>
      <c r="G493" s="225" t="s">
        <v>809</v>
      </c>
      <c r="H493" s="9" t="s">
        <v>831</v>
      </c>
      <c r="I493" s="10">
        <v>0</v>
      </c>
    </row>
    <row r="494" spans="1:9" ht="85.5" x14ac:dyDescent="0.2">
      <c r="A494" s="28">
        <v>3097</v>
      </c>
      <c r="B494" s="9" t="s">
        <v>929</v>
      </c>
      <c r="C494" s="9" t="s">
        <v>930</v>
      </c>
      <c r="D494" s="9" t="s">
        <v>234</v>
      </c>
      <c r="E494" s="9" t="s">
        <v>702</v>
      </c>
      <c r="F494" s="9" t="s">
        <v>126</v>
      </c>
      <c r="G494" s="225" t="s">
        <v>809</v>
      </c>
      <c r="H494" s="9" t="s">
        <v>831</v>
      </c>
      <c r="I494" s="10">
        <v>0</v>
      </c>
    </row>
    <row r="495" spans="1:9" ht="42.75" x14ac:dyDescent="0.2">
      <c r="A495" s="28">
        <v>3098</v>
      </c>
      <c r="B495" s="9" t="s">
        <v>586</v>
      </c>
      <c r="C495" s="9" t="s">
        <v>587</v>
      </c>
      <c r="D495" s="9" t="s">
        <v>234</v>
      </c>
      <c r="E495" s="9" t="s">
        <v>702</v>
      </c>
      <c r="F495" s="9" t="s">
        <v>126</v>
      </c>
      <c r="G495" s="225" t="s">
        <v>809</v>
      </c>
      <c r="H495" s="9" t="s">
        <v>831</v>
      </c>
      <c r="I495" s="10">
        <v>0</v>
      </c>
    </row>
    <row r="496" spans="1:9" ht="42.75" x14ac:dyDescent="0.2">
      <c r="A496" s="28">
        <v>3099</v>
      </c>
      <c r="B496" s="9" t="s">
        <v>588</v>
      </c>
      <c r="C496" s="9" t="s">
        <v>589</v>
      </c>
      <c r="D496" s="9" t="s">
        <v>234</v>
      </c>
      <c r="E496" s="9" t="s">
        <v>702</v>
      </c>
      <c r="F496" s="9" t="s">
        <v>126</v>
      </c>
      <c r="G496" s="225" t="s">
        <v>809</v>
      </c>
      <c r="H496" s="9" t="s">
        <v>831</v>
      </c>
      <c r="I496" s="10">
        <v>0</v>
      </c>
    </row>
    <row r="497" spans="1:9" ht="28.5" x14ac:dyDescent="0.2">
      <c r="A497" s="28">
        <v>3100</v>
      </c>
      <c r="B497" s="9" t="s">
        <v>742</v>
      </c>
      <c r="C497" s="9" t="s">
        <v>743</v>
      </c>
      <c r="D497" s="9" t="s">
        <v>234</v>
      </c>
      <c r="E497" s="9" t="s">
        <v>677</v>
      </c>
      <c r="F497" s="9" t="s">
        <v>127</v>
      </c>
      <c r="G497" s="225" t="s">
        <v>809</v>
      </c>
      <c r="H497" s="9" t="s">
        <v>831</v>
      </c>
      <c r="I497" s="10">
        <v>0</v>
      </c>
    </row>
    <row r="498" spans="1:9" ht="28.5" x14ac:dyDescent="0.2">
      <c r="A498" s="28">
        <v>3101</v>
      </c>
      <c r="B498" s="9" t="s">
        <v>744</v>
      </c>
      <c r="C498" s="9" t="s">
        <v>745</v>
      </c>
      <c r="D498" s="9" t="s">
        <v>234</v>
      </c>
      <c r="E498" s="9" t="s">
        <v>677</v>
      </c>
      <c r="F498" s="9" t="s">
        <v>127</v>
      </c>
      <c r="G498" s="225" t="s">
        <v>809</v>
      </c>
      <c r="H498" s="9" t="s">
        <v>831</v>
      </c>
      <c r="I498" s="10">
        <v>0</v>
      </c>
    </row>
    <row r="499" spans="1:9" ht="28.5" x14ac:dyDescent="0.2">
      <c r="A499" s="28">
        <v>3102</v>
      </c>
      <c r="B499" s="9" t="s">
        <v>746</v>
      </c>
      <c r="C499" s="9" t="s">
        <v>745</v>
      </c>
      <c r="D499" s="9" t="s">
        <v>234</v>
      </c>
      <c r="E499" s="9" t="s">
        <v>677</v>
      </c>
      <c r="F499" s="9" t="s">
        <v>127</v>
      </c>
      <c r="G499" s="225" t="s">
        <v>809</v>
      </c>
      <c r="H499" s="9" t="s">
        <v>831</v>
      </c>
      <c r="I499" s="10">
        <v>0</v>
      </c>
    </row>
    <row r="500" spans="1:9" ht="28.5" x14ac:dyDescent="0.2">
      <c r="A500" s="28">
        <v>3103</v>
      </c>
      <c r="B500" s="9" t="s">
        <v>748</v>
      </c>
      <c r="C500" s="9" t="s">
        <v>749</v>
      </c>
      <c r="D500" s="9" t="s">
        <v>234</v>
      </c>
      <c r="E500" s="9" t="s">
        <v>677</v>
      </c>
      <c r="F500" s="9" t="s">
        <v>127</v>
      </c>
      <c r="G500" s="225" t="s">
        <v>809</v>
      </c>
      <c r="H500" s="9" t="s">
        <v>831</v>
      </c>
      <c r="I500" s="10">
        <v>0</v>
      </c>
    </row>
    <row r="501" spans="1:9" ht="42.75" x14ac:dyDescent="0.2">
      <c r="A501" s="28">
        <v>3104</v>
      </c>
      <c r="B501" s="9" t="s">
        <v>750</v>
      </c>
      <c r="C501" s="9" t="s">
        <v>751</v>
      </c>
      <c r="D501" s="9" t="s">
        <v>234</v>
      </c>
      <c r="E501" s="9" t="s">
        <v>677</v>
      </c>
      <c r="F501" s="9" t="s">
        <v>127</v>
      </c>
      <c r="G501" s="225" t="s">
        <v>809</v>
      </c>
      <c r="H501" s="9" t="s">
        <v>831</v>
      </c>
      <c r="I501" s="10">
        <v>0</v>
      </c>
    </row>
    <row r="502" spans="1:9" ht="42.75" x14ac:dyDescent="0.2">
      <c r="A502" s="28">
        <v>3105</v>
      </c>
      <c r="B502" s="9" t="s">
        <v>752</v>
      </c>
      <c r="C502" s="9" t="s">
        <v>753</v>
      </c>
      <c r="D502" s="9" t="s">
        <v>234</v>
      </c>
      <c r="E502" s="9" t="s">
        <v>677</v>
      </c>
      <c r="F502" s="9" t="s">
        <v>127</v>
      </c>
      <c r="G502" s="225" t="s">
        <v>809</v>
      </c>
      <c r="H502" s="9" t="s">
        <v>831</v>
      </c>
      <c r="I502" s="10">
        <v>0</v>
      </c>
    </row>
    <row r="503" spans="1:9" ht="28.5" x14ac:dyDescent="0.2">
      <c r="A503" s="28">
        <v>3106</v>
      </c>
      <c r="B503" s="9" t="s">
        <v>467</v>
      </c>
      <c r="C503" s="9" t="s">
        <v>468</v>
      </c>
      <c r="D503" s="9" t="s">
        <v>234</v>
      </c>
      <c r="E503" s="9" t="s">
        <v>677</v>
      </c>
      <c r="F503" s="9" t="s">
        <v>127</v>
      </c>
      <c r="G503" s="225" t="s">
        <v>809</v>
      </c>
      <c r="H503" s="9" t="s">
        <v>831</v>
      </c>
      <c r="I503" s="10">
        <v>0</v>
      </c>
    </row>
    <row r="504" spans="1:9" ht="28.5" x14ac:dyDescent="0.2">
      <c r="A504" s="28">
        <v>3107</v>
      </c>
      <c r="B504" s="9" t="s">
        <v>469</v>
      </c>
      <c r="C504" s="9" t="s">
        <v>470</v>
      </c>
      <c r="D504" s="9" t="s">
        <v>234</v>
      </c>
      <c r="E504" s="9" t="s">
        <v>677</v>
      </c>
      <c r="F504" s="9" t="s">
        <v>127</v>
      </c>
      <c r="G504" s="225" t="s">
        <v>809</v>
      </c>
      <c r="H504" s="9" t="s">
        <v>831</v>
      </c>
      <c r="I504" s="10">
        <v>0</v>
      </c>
    </row>
    <row r="505" spans="1:9" x14ac:dyDescent="0.2">
      <c r="A505" s="28">
        <v>3108</v>
      </c>
      <c r="B505" s="9" t="s">
        <v>471</v>
      </c>
      <c r="C505" s="9" t="s">
        <v>472</v>
      </c>
      <c r="D505" s="9" t="s">
        <v>234</v>
      </c>
      <c r="E505" s="9" t="s">
        <v>677</v>
      </c>
      <c r="F505" s="9" t="s">
        <v>127</v>
      </c>
      <c r="G505" s="225" t="s">
        <v>809</v>
      </c>
      <c r="H505" s="9" t="s">
        <v>831</v>
      </c>
      <c r="I505" s="10">
        <v>0</v>
      </c>
    </row>
    <row r="506" spans="1:9" ht="42.75" x14ac:dyDescent="0.2">
      <c r="A506" s="28">
        <v>3109</v>
      </c>
      <c r="B506" s="9" t="s">
        <v>473</v>
      </c>
      <c r="C506" s="9" t="s">
        <v>474</v>
      </c>
      <c r="D506" s="9" t="s">
        <v>234</v>
      </c>
      <c r="E506" s="9" t="s">
        <v>677</v>
      </c>
      <c r="F506" s="9" t="s">
        <v>127</v>
      </c>
      <c r="G506" s="225" t="s">
        <v>809</v>
      </c>
      <c r="H506" s="9" t="s">
        <v>831</v>
      </c>
      <c r="I506" s="10">
        <v>0</v>
      </c>
    </row>
    <row r="507" spans="1:9" ht="28.5" x14ac:dyDescent="0.2">
      <c r="A507" s="28">
        <v>3110</v>
      </c>
      <c r="B507" s="9" t="s">
        <v>754</v>
      </c>
      <c r="C507" s="9" t="s">
        <v>755</v>
      </c>
      <c r="D507" s="9" t="s">
        <v>234</v>
      </c>
      <c r="E507" s="9" t="s">
        <v>677</v>
      </c>
      <c r="F507" s="9" t="s">
        <v>127</v>
      </c>
      <c r="G507" s="225" t="s">
        <v>809</v>
      </c>
      <c r="H507" s="9" t="s">
        <v>831</v>
      </c>
      <c r="I507" s="10">
        <v>0</v>
      </c>
    </row>
    <row r="508" spans="1:9" ht="28.5" x14ac:dyDescent="0.2">
      <c r="A508" s="28">
        <v>3111</v>
      </c>
      <c r="B508" s="9" t="s">
        <v>756</v>
      </c>
      <c r="C508" s="9" t="s">
        <v>757</v>
      </c>
      <c r="D508" s="9" t="s">
        <v>234</v>
      </c>
      <c r="E508" s="9" t="s">
        <v>677</v>
      </c>
      <c r="F508" s="9" t="s">
        <v>127</v>
      </c>
      <c r="G508" s="225" t="s">
        <v>809</v>
      </c>
      <c r="H508" s="9" t="s">
        <v>831</v>
      </c>
      <c r="I508" s="10">
        <v>0</v>
      </c>
    </row>
    <row r="509" spans="1:9" ht="28.5" x14ac:dyDescent="0.2">
      <c r="A509" s="28">
        <v>3112</v>
      </c>
      <c r="B509" s="9" t="s">
        <v>758</v>
      </c>
      <c r="C509" s="9" t="s">
        <v>759</v>
      </c>
      <c r="D509" s="9" t="s">
        <v>234</v>
      </c>
      <c r="E509" s="9" t="s">
        <v>677</v>
      </c>
      <c r="F509" s="9" t="s">
        <v>127</v>
      </c>
      <c r="G509" s="225" t="s">
        <v>809</v>
      </c>
      <c r="H509" s="9" t="s">
        <v>831</v>
      </c>
      <c r="I509" s="10">
        <v>0</v>
      </c>
    </row>
    <row r="510" spans="1:9" ht="28.5" x14ac:dyDescent="0.2">
      <c r="A510" s="28">
        <v>3120</v>
      </c>
      <c r="B510" s="9" t="s">
        <v>760</v>
      </c>
      <c r="C510" s="9" t="s">
        <v>760</v>
      </c>
      <c r="D510" s="9" t="s">
        <v>234</v>
      </c>
      <c r="E510" s="9" t="s">
        <v>677</v>
      </c>
      <c r="F510" s="9" t="s">
        <v>127</v>
      </c>
      <c r="G510" s="225" t="s">
        <v>809</v>
      </c>
      <c r="H510" s="9" t="s">
        <v>831</v>
      </c>
      <c r="I510" s="10">
        <v>0</v>
      </c>
    </row>
    <row r="511" spans="1:9" ht="28.5" x14ac:dyDescent="0.2">
      <c r="A511" s="28">
        <v>3130</v>
      </c>
      <c r="B511" s="9" t="s">
        <v>761</v>
      </c>
      <c r="C511" s="9" t="s">
        <v>762</v>
      </c>
      <c r="D511" s="9" t="s">
        <v>234</v>
      </c>
      <c r="E511" s="9" t="s">
        <v>677</v>
      </c>
      <c r="F511" s="9" t="s">
        <v>127</v>
      </c>
      <c r="G511" s="225" t="s">
        <v>809</v>
      </c>
      <c r="H511" s="9" t="s">
        <v>831</v>
      </c>
      <c r="I511" s="10">
        <v>0</v>
      </c>
    </row>
    <row r="512" spans="1:9" ht="28.5" x14ac:dyDescent="0.2">
      <c r="A512" s="28">
        <v>3131</v>
      </c>
      <c r="B512" s="9" t="s">
        <v>763</v>
      </c>
      <c r="C512" s="9" t="s">
        <v>764</v>
      </c>
      <c r="D512" s="9" t="s">
        <v>234</v>
      </c>
      <c r="E512" s="9" t="s">
        <v>677</v>
      </c>
      <c r="F512" s="9" t="s">
        <v>831</v>
      </c>
      <c r="G512" s="225" t="s">
        <v>809</v>
      </c>
      <c r="H512" s="9" t="s">
        <v>831</v>
      </c>
      <c r="I512" s="10">
        <v>0</v>
      </c>
    </row>
    <row r="513" spans="1:9" ht="28.5" x14ac:dyDescent="0.2">
      <c r="A513" s="28">
        <v>3132</v>
      </c>
      <c r="B513" s="9" t="s">
        <v>765</v>
      </c>
      <c r="C513" s="9" t="s">
        <v>766</v>
      </c>
      <c r="D513" s="9" t="s">
        <v>234</v>
      </c>
      <c r="E513" s="9" t="s">
        <v>677</v>
      </c>
      <c r="F513" s="9" t="s">
        <v>127</v>
      </c>
      <c r="G513" s="225" t="s">
        <v>809</v>
      </c>
      <c r="H513" s="9" t="s">
        <v>831</v>
      </c>
      <c r="I513" s="10">
        <v>0</v>
      </c>
    </row>
    <row r="514" spans="1:9" ht="28.5" x14ac:dyDescent="0.2">
      <c r="A514" s="28">
        <v>3140</v>
      </c>
      <c r="B514" s="9" t="s">
        <v>767</v>
      </c>
      <c r="C514" s="9" t="s">
        <v>768</v>
      </c>
      <c r="D514" s="9" t="s">
        <v>234</v>
      </c>
      <c r="E514" s="9" t="s">
        <v>677</v>
      </c>
      <c r="F514" s="9" t="s">
        <v>127</v>
      </c>
      <c r="G514" s="225" t="s">
        <v>809</v>
      </c>
      <c r="H514" s="9" t="s">
        <v>831</v>
      </c>
      <c r="I514" s="10">
        <v>0</v>
      </c>
    </row>
    <row r="515" spans="1:9" ht="28.5" x14ac:dyDescent="0.2">
      <c r="A515" s="28">
        <v>3141</v>
      </c>
      <c r="B515" s="9" t="s">
        <v>769</v>
      </c>
      <c r="C515" s="9" t="s">
        <v>770</v>
      </c>
      <c r="D515" s="9" t="s">
        <v>234</v>
      </c>
      <c r="E515" s="9" t="s">
        <v>677</v>
      </c>
      <c r="F515" s="9" t="s">
        <v>127</v>
      </c>
      <c r="G515" s="225" t="s">
        <v>809</v>
      </c>
      <c r="H515" s="9" t="s">
        <v>831</v>
      </c>
      <c r="I515" s="10">
        <v>0</v>
      </c>
    </row>
    <row r="516" spans="1:9" ht="28.5" x14ac:dyDescent="0.2">
      <c r="A516" s="28">
        <v>3142</v>
      </c>
      <c r="B516" s="9" t="s">
        <v>771</v>
      </c>
      <c r="C516" s="9" t="s">
        <v>772</v>
      </c>
      <c r="D516" s="9" t="s">
        <v>234</v>
      </c>
      <c r="E516" s="9" t="s">
        <v>677</v>
      </c>
      <c r="F516" s="9" t="s">
        <v>127</v>
      </c>
      <c r="G516" s="225" t="s">
        <v>809</v>
      </c>
      <c r="H516" s="9" t="s">
        <v>831</v>
      </c>
      <c r="I516" s="10">
        <v>0</v>
      </c>
    </row>
    <row r="517" spans="1:9" ht="28.5" x14ac:dyDescent="0.2">
      <c r="A517" s="28">
        <v>3145</v>
      </c>
      <c r="B517" s="9" t="s">
        <v>773</v>
      </c>
      <c r="C517" s="9" t="s">
        <v>774</v>
      </c>
      <c r="D517" s="9" t="s">
        <v>234</v>
      </c>
      <c r="E517" s="9" t="s">
        <v>656</v>
      </c>
      <c r="F517" s="9" t="s">
        <v>127</v>
      </c>
      <c r="G517" s="225" t="s">
        <v>809</v>
      </c>
      <c r="H517" s="9" t="s">
        <v>831</v>
      </c>
      <c r="I517" s="10">
        <v>0</v>
      </c>
    </row>
    <row r="518" spans="1:9" ht="28.5" x14ac:dyDescent="0.2">
      <c r="A518" s="28">
        <v>3146</v>
      </c>
      <c r="B518" s="9" t="s">
        <v>689</v>
      </c>
      <c r="C518" s="9" t="s">
        <v>690</v>
      </c>
      <c r="D518" s="9" t="s">
        <v>234</v>
      </c>
      <c r="E518" s="9" t="s">
        <v>656</v>
      </c>
      <c r="F518" s="9" t="s">
        <v>127</v>
      </c>
      <c r="G518" s="225" t="s">
        <v>809</v>
      </c>
      <c r="H518" s="9" t="s">
        <v>831</v>
      </c>
      <c r="I518" s="10">
        <v>0</v>
      </c>
    </row>
    <row r="519" spans="1:9" ht="28.5" x14ac:dyDescent="0.2">
      <c r="A519" s="28">
        <v>3147</v>
      </c>
      <c r="B519" s="9" t="s">
        <v>691</v>
      </c>
      <c r="C519" s="9" t="s">
        <v>692</v>
      </c>
      <c r="D519" s="9" t="s">
        <v>234</v>
      </c>
      <c r="E519" s="9" t="s">
        <v>656</v>
      </c>
      <c r="F519" s="9" t="s">
        <v>831</v>
      </c>
      <c r="G519" s="225" t="s">
        <v>809</v>
      </c>
      <c r="H519" s="9" t="s">
        <v>831</v>
      </c>
      <c r="I519" s="10">
        <v>0</v>
      </c>
    </row>
    <row r="520" spans="1:9" ht="42.75" x14ac:dyDescent="0.2">
      <c r="A520" s="28">
        <v>3161</v>
      </c>
      <c r="B520" s="9" t="s">
        <v>331</v>
      </c>
      <c r="C520" s="9" t="s">
        <v>332</v>
      </c>
      <c r="D520" s="9" t="s">
        <v>234</v>
      </c>
      <c r="E520" s="9" t="s">
        <v>677</v>
      </c>
      <c r="F520" s="9" t="s">
        <v>831</v>
      </c>
      <c r="G520" s="225" t="s">
        <v>809</v>
      </c>
      <c r="H520" s="9" t="s">
        <v>831</v>
      </c>
      <c r="I520" s="10">
        <v>0</v>
      </c>
    </row>
    <row r="521" spans="1:9" ht="42.75" x14ac:dyDescent="0.2">
      <c r="A521" s="28">
        <v>3164</v>
      </c>
      <c r="B521" s="9" t="s">
        <v>333</v>
      </c>
      <c r="C521" s="9" t="s">
        <v>335</v>
      </c>
      <c r="D521" s="9" t="s">
        <v>234</v>
      </c>
      <c r="E521" s="9" t="s">
        <v>677</v>
      </c>
      <c r="F521" s="9" t="s">
        <v>831</v>
      </c>
      <c r="G521" s="225" t="s">
        <v>809</v>
      </c>
      <c r="H521" s="9" t="s">
        <v>831</v>
      </c>
      <c r="I521" s="10">
        <v>0</v>
      </c>
    </row>
    <row r="522" spans="1:9" ht="42.75" x14ac:dyDescent="0.2">
      <c r="A522" s="28">
        <v>3165</v>
      </c>
      <c r="B522" s="9" t="s">
        <v>336</v>
      </c>
      <c r="C522" s="9" t="s">
        <v>368</v>
      </c>
      <c r="D522" s="9" t="s">
        <v>234</v>
      </c>
      <c r="E522" s="9" t="s">
        <v>677</v>
      </c>
      <c r="F522" s="9" t="s">
        <v>127</v>
      </c>
      <c r="G522" s="225" t="s">
        <v>809</v>
      </c>
      <c r="H522" s="9" t="s">
        <v>831</v>
      </c>
      <c r="I522" s="10">
        <v>0</v>
      </c>
    </row>
    <row r="523" spans="1:9" ht="42.75" x14ac:dyDescent="0.2">
      <c r="A523" s="28">
        <v>3166</v>
      </c>
      <c r="B523" s="9" t="s">
        <v>369</v>
      </c>
      <c r="C523" s="9" t="s">
        <v>370</v>
      </c>
      <c r="D523" s="9" t="s">
        <v>234</v>
      </c>
      <c r="E523" s="9" t="s">
        <v>677</v>
      </c>
      <c r="F523" s="9" t="s">
        <v>831</v>
      </c>
      <c r="G523" s="225" t="s">
        <v>809</v>
      </c>
      <c r="H523" s="9" t="s">
        <v>831</v>
      </c>
      <c r="I523" s="10">
        <v>0</v>
      </c>
    </row>
    <row r="524" spans="1:9" ht="28.5" x14ac:dyDescent="0.2">
      <c r="A524" s="28">
        <v>3167</v>
      </c>
      <c r="B524" s="9" t="s">
        <v>371</v>
      </c>
      <c r="C524" s="9" t="s">
        <v>372</v>
      </c>
      <c r="D524" s="9" t="s">
        <v>234</v>
      </c>
      <c r="E524" s="9" t="s">
        <v>677</v>
      </c>
      <c r="F524" s="9" t="s">
        <v>831</v>
      </c>
      <c r="G524" s="225" t="s">
        <v>809</v>
      </c>
      <c r="H524" s="9" t="s">
        <v>831</v>
      </c>
      <c r="I524" s="10">
        <v>0</v>
      </c>
    </row>
    <row r="525" spans="1:9" ht="28.5" x14ac:dyDescent="0.2">
      <c r="A525" s="28">
        <v>3168</v>
      </c>
      <c r="B525" s="9" t="s">
        <v>373</v>
      </c>
      <c r="C525" s="9" t="s">
        <v>374</v>
      </c>
      <c r="D525" s="9" t="s">
        <v>234</v>
      </c>
      <c r="E525" s="9" t="s">
        <v>677</v>
      </c>
      <c r="F525" s="9" t="s">
        <v>127</v>
      </c>
      <c r="G525" s="225" t="s">
        <v>809</v>
      </c>
      <c r="H525" s="9" t="s">
        <v>831</v>
      </c>
      <c r="I525" s="10">
        <v>0</v>
      </c>
    </row>
    <row r="526" spans="1:9" ht="28.5" x14ac:dyDescent="0.2">
      <c r="A526" s="28">
        <v>3169</v>
      </c>
      <c r="B526" s="9" t="s">
        <v>375</v>
      </c>
      <c r="C526" s="9" t="s">
        <v>376</v>
      </c>
      <c r="D526" s="9" t="s">
        <v>234</v>
      </c>
      <c r="E526" s="9" t="s">
        <v>677</v>
      </c>
      <c r="F526" s="9" t="s">
        <v>831</v>
      </c>
      <c r="G526" s="225" t="s">
        <v>809</v>
      </c>
      <c r="H526" s="9" t="s">
        <v>831</v>
      </c>
      <c r="I526" s="10">
        <v>0</v>
      </c>
    </row>
    <row r="527" spans="1:9" x14ac:dyDescent="0.2">
      <c r="A527" s="28">
        <v>3180</v>
      </c>
      <c r="B527" s="9" t="s">
        <v>475</v>
      </c>
      <c r="C527" s="9" t="s">
        <v>476</v>
      </c>
      <c r="D527" s="9" t="s">
        <v>234</v>
      </c>
      <c r="E527" s="9" t="s">
        <v>677</v>
      </c>
      <c r="F527" s="9" t="s">
        <v>831</v>
      </c>
      <c r="G527" s="225" t="s">
        <v>809</v>
      </c>
      <c r="H527" s="9" t="s">
        <v>831</v>
      </c>
      <c r="I527" s="10">
        <v>0</v>
      </c>
    </row>
    <row r="528" spans="1:9" x14ac:dyDescent="0.2">
      <c r="A528" s="28">
        <v>3181</v>
      </c>
      <c r="B528" s="9" t="s">
        <v>477</v>
      </c>
      <c r="C528" s="9" t="s">
        <v>478</v>
      </c>
      <c r="D528" s="9" t="s">
        <v>234</v>
      </c>
      <c r="E528" s="9" t="s">
        <v>677</v>
      </c>
      <c r="F528" s="9" t="s">
        <v>831</v>
      </c>
      <c r="G528" s="225" t="s">
        <v>809</v>
      </c>
      <c r="H528" s="9" t="s">
        <v>831</v>
      </c>
      <c r="I528" s="10">
        <v>0</v>
      </c>
    </row>
    <row r="529" spans="1:9" ht="57" x14ac:dyDescent="0.2">
      <c r="A529" s="28">
        <v>3182</v>
      </c>
      <c r="B529" s="9" t="s">
        <v>479</v>
      </c>
      <c r="C529" s="9" t="s">
        <v>480</v>
      </c>
      <c r="D529" s="9" t="s">
        <v>234</v>
      </c>
      <c r="E529" s="9" t="s">
        <v>677</v>
      </c>
      <c r="F529" s="9" t="s">
        <v>126</v>
      </c>
      <c r="G529" s="225" t="s">
        <v>809</v>
      </c>
      <c r="H529" s="9" t="s">
        <v>831</v>
      </c>
      <c r="I529" s="10">
        <v>0</v>
      </c>
    </row>
    <row r="530" spans="1:9" ht="42.75" x14ac:dyDescent="0.2">
      <c r="A530" s="28">
        <v>3183</v>
      </c>
      <c r="B530" s="9" t="s">
        <v>481</v>
      </c>
      <c r="C530" s="9" t="s">
        <v>482</v>
      </c>
      <c r="D530" s="9" t="s">
        <v>234</v>
      </c>
      <c r="E530" s="9" t="s">
        <v>677</v>
      </c>
      <c r="F530" s="9" t="s">
        <v>126</v>
      </c>
      <c r="G530" s="225" t="s">
        <v>809</v>
      </c>
      <c r="H530" s="9" t="s">
        <v>831</v>
      </c>
      <c r="I530" s="10">
        <v>0</v>
      </c>
    </row>
    <row r="531" spans="1:9" ht="42.75" x14ac:dyDescent="0.2">
      <c r="A531" s="28">
        <v>3184</v>
      </c>
      <c r="B531" s="9" t="s">
        <v>483</v>
      </c>
      <c r="C531" s="9" t="s">
        <v>484</v>
      </c>
      <c r="D531" s="9" t="s">
        <v>234</v>
      </c>
      <c r="E531" s="9" t="s">
        <v>677</v>
      </c>
      <c r="F531" s="9" t="s">
        <v>125</v>
      </c>
      <c r="G531" s="225" t="s">
        <v>809</v>
      </c>
      <c r="H531" s="9" t="s">
        <v>831</v>
      </c>
      <c r="I531" s="10">
        <v>0</v>
      </c>
    </row>
    <row r="532" spans="1:9" ht="42.75" x14ac:dyDescent="0.2">
      <c r="A532" s="28">
        <v>3185</v>
      </c>
      <c r="B532" s="9" t="s">
        <v>485</v>
      </c>
      <c r="C532" s="9" t="s">
        <v>486</v>
      </c>
      <c r="D532" s="9" t="s">
        <v>234</v>
      </c>
      <c r="E532" s="9" t="s">
        <v>677</v>
      </c>
      <c r="F532" s="9" t="s">
        <v>126</v>
      </c>
      <c r="G532" s="225" t="s">
        <v>809</v>
      </c>
      <c r="H532" s="9" t="s">
        <v>831</v>
      </c>
      <c r="I532" s="10">
        <v>0</v>
      </c>
    </row>
    <row r="533" spans="1:9" ht="57" x14ac:dyDescent="0.2">
      <c r="A533" s="28">
        <v>3186</v>
      </c>
      <c r="B533" s="9" t="s">
        <v>931</v>
      </c>
      <c r="C533" s="9" t="s">
        <v>932</v>
      </c>
      <c r="D533" s="9" t="s">
        <v>234</v>
      </c>
      <c r="E533" s="9" t="s">
        <v>677</v>
      </c>
      <c r="F533" s="9" t="s">
        <v>126</v>
      </c>
      <c r="G533" s="225" t="s">
        <v>809</v>
      </c>
      <c r="H533" s="9" t="s">
        <v>831</v>
      </c>
      <c r="I533" s="10">
        <v>0</v>
      </c>
    </row>
    <row r="534" spans="1:9" ht="71.25" x14ac:dyDescent="0.2">
      <c r="A534" s="28">
        <v>3187</v>
      </c>
      <c r="B534" s="9" t="s">
        <v>933</v>
      </c>
      <c r="C534" s="9" t="s">
        <v>934</v>
      </c>
      <c r="D534" s="9" t="s">
        <v>234</v>
      </c>
      <c r="E534" s="9" t="s">
        <v>702</v>
      </c>
      <c r="F534" s="9" t="s">
        <v>126</v>
      </c>
      <c r="G534" s="225" t="s">
        <v>809</v>
      </c>
      <c r="H534" s="9" t="s">
        <v>831</v>
      </c>
      <c r="I534" s="10">
        <v>0</v>
      </c>
    </row>
    <row r="535" spans="1:9" ht="28.5" x14ac:dyDescent="0.2">
      <c r="A535" s="28">
        <v>3200</v>
      </c>
      <c r="B535" s="9" t="s">
        <v>590</v>
      </c>
      <c r="C535" s="9" t="s">
        <v>591</v>
      </c>
      <c r="D535" s="9" t="s">
        <v>234</v>
      </c>
      <c r="E535" s="9" t="s">
        <v>263</v>
      </c>
      <c r="F535" s="9" t="s">
        <v>126</v>
      </c>
      <c r="G535" s="225" t="s">
        <v>809</v>
      </c>
      <c r="H535" s="9" t="s">
        <v>831</v>
      </c>
      <c r="I535" s="10">
        <v>0</v>
      </c>
    </row>
    <row r="536" spans="1:9" ht="42.75" x14ac:dyDescent="0.2">
      <c r="A536" s="28">
        <v>3201</v>
      </c>
      <c r="B536" s="9" t="s">
        <v>592</v>
      </c>
      <c r="C536" s="9" t="s">
        <v>593</v>
      </c>
      <c r="D536" s="9" t="s">
        <v>234</v>
      </c>
      <c r="E536" s="9" t="s">
        <v>263</v>
      </c>
      <c r="F536" s="9" t="s">
        <v>125</v>
      </c>
      <c r="G536" s="225" t="s">
        <v>809</v>
      </c>
      <c r="H536" s="9" t="s">
        <v>831</v>
      </c>
      <c r="I536" s="10">
        <v>0</v>
      </c>
    </row>
    <row r="537" spans="1:9" ht="28.5" x14ac:dyDescent="0.2">
      <c r="A537" s="28">
        <v>3202</v>
      </c>
      <c r="B537" s="9" t="s">
        <v>594</v>
      </c>
      <c r="C537" s="9" t="s">
        <v>595</v>
      </c>
      <c r="D537" s="9" t="s">
        <v>234</v>
      </c>
      <c r="E537" s="9" t="s">
        <v>263</v>
      </c>
      <c r="F537" s="9" t="s">
        <v>125</v>
      </c>
      <c r="G537" s="225" t="s">
        <v>809</v>
      </c>
      <c r="H537" s="9" t="s">
        <v>831</v>
      </c>
      <c r="I537" s="10">
        <v>0</v>
      </c>
    </row>
    <row r="538" spans="1:9" x14ac:dyDescent="0.2">
      <c r="A538" s="28">
        <v>3211</v>
      </c>
      <c r="B538" s="9" t="s">
        <v>596</v>
      </c>
      <c r="C538" s="9" t="s">
        <v>597</v>
      </c>
      <c r="D538" s="9" t="s">
        <v>404</v>
      </c>
      <c r="E538" s="9" t="s">
        <v>404</v>
      </c>
      <c r="F538" s="9" t="s">
        <v>126</v>
      </c>
      <c r="G538" s="225" t="s">
        <v>809</v>
      </c>
      <c r="H538" s="9" t="s">
        <v>831</v>
      </c>
      <c r="I538" s="10">
        <v>0</v>
      </c>
    </row>
    <row r="539" spans="1:9" ht="42.75" x14ac:dyDescent="0.2">
      <c r="A539" s="28">
        <v>3212</v>
      </c>
      <c r="B539" s="9" t="s">
        <v>377</v>
      </c>
      <c r="C539" s="9" t="s">
        <v>378</v>
      </c>
      <c r="D539" s="9" t="s">
        <v>404</v>
      </c>
      <c r="E539" s="9" t="s">
        <v>404</v>
      </c>
      <c r="F539" s="9" t="s">
        <v>831</v>
      </c>
      <c r="G539" s="225" t="s">
        <v>412</v>
      </c>
      <c r="H539" s="9" t="s">
        <v>831</v>
      </c>
      <c r="I539" s="10">
        <v>0.5</v>
      </c>
    </row>
    <row r="540" spans="1:9" ht="71.25" x14ac:dyDescent="0.2">
      <c r="A540" s="28">
        <v>3213</v>
      </c>
      <c r="B540" s="9" t="s">
        <v>379</v>
      </c>
      <c r="C540" s="9" t="s">
        <v>380</v>
      </c>
      <c r="D540" s="9" t="s">
        <v>404</v>
      </c>
      <c r="E540" s="9" t="s">
        <v>404</v>
      </c>
      <c r="F540" s="9" t="s">
        <v>126</v>
      </c>
      <c r="G540" s="225" t="s">
        <v>412</v>
      </c>
      <c r="H540" s="9" t="s">
        <v>831</v>
      </c>
      <c r="I540" s="10">
        <v>0.5</v>
      </c>
    </row>
    <row r="541" spans="1:9" ht="42.75" x14ac:dyDescent="0.2">
      <c r="A541" s="28">
        <v>3214</v>
      </c>
      <c r="B541" s="9" t="s">
        <v>487</v>
      </c>
      <c r="C541" s="9" t="s">
        <v>488</v>
      </c>
      <c r="D541" s="9" t="s">
        <v>404</v>
      </c>
      <c r="E541" s="9" t="s">
        <v>404</v>
      </c>
      <c r="F541" s="9" t="s">
        <v>831</v>
      </c>
      <c r="G541" s="225" t="s">
        <v>412</v>
      </c>
      <c r="H541" s="9" t="s">
        <v>831</v>
      </c>
      <c r="I541" s="10">
        <v>0.5</v>
      </c>
    </row>
    <row r="542" spans="1:9" ht="42.75" x14ac:dyDescent="0.2">
      <c r="A542" s="28">
        <v>3215</v>
      </c>
      <c r="B542" s="9" t="s">
        <v>489</v>
      </c>
      <c r="C542" s="9" t="s">
        <v>490</v>
      </c>
      <c r="D542" s="9" t="s">
        <v>234</v>
      </c>
      <c r="E542" s="9" t="s">
        <v>702</v>
      </c>
      <c r="F542" s="9" t="s">
        <v>125</v>
      </c>
      <c r="G542" s="225" t="s">
        <v>809</v>
      </c>
      <c r="H542" s="9" t="s">
        <v>831</v>
      </c>
      <c r="I542" s="10">
        <v>0</v>
      </c>
    </row>
    <row r="543" spans="1:9" ht="42.75" x14ac:dyDescent="0.2">
      <c r="A543" s="28">
        <v>3216</v>
      </c>
      <c r="B543" s="9" t="s">
        <v>935</v>
      </c>
      <c r="C543" s="9" t="s">
        <v>674</v>
      </c>
      <c r="D543" s="9" t="s">
        <v>234</v>
      </c>
      <c r="E543" s="9" t="s">
        <v>235</v>
      </c>
      <c r="F543" s="9" t="s">
        <v>127</v>
      </c>
      <c r="G543" s="225" t="s">
        <v>809</v>
      </c>
      <c r="H543" s="9" t="s">
        <v>831</v>
      </c>
      <c r="I543" s="10">
        <v>0</v>
      </c>
    </row>
    <row r="544" spans="1:9" ht="42.75" x14ac:dyDescent="0.2">
      <c r="A544" s="28">
        <v>3217</v>
      </c>
      <c r="B544" s="9" t="s">
        <v>936</v>
      </c>
      <c r="C544" s="9" t="s">
        <v>674</v>
      </c>
      <c r="D544" s="9" t="s">
        <v>234</v>
      </c>
      <c r="E544" s="9" t="s">
        <v>235</v>
      </c>
      <c r="F544" s="9" t="s">
        <v>127</v>
      </c>
      <c r="G544" s="225" t="s">
        <v>809</v>
      </c>
      <c r="H544" s="9" t="s">
        <v>831</v>
      </c>
      <c r="I544" s="10">
        <v>0</v>
      </c>
    </row>
    <row r="545" spans="1:9" ht="71.25" x14ac:dyDescent="0.2">
      <c r="A545" s="28">
        <v>4000</v>
      </c>
      <c r="B545" s="9" t="s">
        <v>598</v>
      </c>
      <c r="C545" s="9" t="s">
        <v>599</v>
      </c>
      <c r="D545" s="9" t="s">
        <v>863</v>
      </c>
      <c r="E545" s="9" t="s">
        <v>319</v>
      </c>
      <c r="F545" s="9" t="s">
        <v>126</v>
      </c>
      <c r="G545" s="225" t="s">
        <v>405</v>
      </c>
      <c r="H545" s="9" t="s">
        <v>525</v>
      </c>
      <c r="I545" s="10">
        <v>0.1</v>
      </c>
    </row>
    <row r="546" spans="1:9" ht="28.5" x14ac:dyDescent="0.2">
      <c r="A546" s="28">
        <v>4004</v>
      </c>
      <c r="B546" s="9" t="s">
        <v>491</v>
      </c>
      <c r="C546" s="9" t="s">
        <v>492</v>
      </c>
      <c r="D546" s="9" t="s">
        <v>863</v>
      </c>
      <c r="E546" s="9" t="s">
        <v>319</v>
      </c>
      <c r="F546" s="9" t="s">
        <v>125</v>
      </c>
      <c r="G546" s="225" t="s">
        <v>412</v>
      </c>
      <c r="H546" s="9" t="s">
        <v>831</v>
      </c>
      <c r="I546" s="10">
        <v>0.5</v>
      </c>
    </row>
    <row r="547" spans="1:9" ht="71.25" x14ac:dyDescent="0.2">
      <c r="A547" s="28">
        <v>4005</v>
      </c>
      <c r="B547" s="9" t="s">
        <v>600</v>
      </c>
      <c r="C547" s="9" t="s">
        <v>601</v>
      </c>
      <c r="D547" s="9" t="s">
        <v>863</v>
      </c>
      <c r="E547" s="9" t="s">
        <v>319</v>
      </c>
      <c r="F547" s="9" t="s">
        <v>126</v>
      </c>
      <c r="G547" s="225" t="s">
        <v>405</v>
      </c>
      <c r="H547" s="9" t="s">
        <v>525</v>
      </c>
      <c r="I547" s="10">
        <v>0.3</v>
      </c>
    </row>
    <row r="548" spans="1:9" x14ac:dyDescent="0.2">
      <c r="A548" s="28">
        <v>4006</v>
      </c>
      <c r="B548" s="9" t="s">
        <v>602</v>
      </c>
      <c r="C548" s="9" t="s">
        <v>602</v>
      </c>
      <c r="D548" s="9" t="s">
        <v>863</v>
      </c>
      <c r="E548" s="9" t="s">
        <v>319</v>
      </c>
      <c r="F548" s="9" t="s">
        <v>126</v>
      </c>
      <c r="G548" s="225" t="s">
        <v>809</v>
      </c>
      <c r="H548" s="9" t="s">
        <v>831</v>
      </c>
      <c r="I548" s="10">
        <v>0</v>
      </c>
    </row>
    <row r="549" spans="1:9" ht="42.75" x14ac:dyDescent="0.2">
      <c r="A549" s="28">
        <v>4007</v>
      </c>
      <c r="B549" s="9" t="s">
        <v>603</v>
      </c>
      <c r="C549" s="9" t="s">
        <v>604</v>
      </c>
      <c r="D549" s="9" t="s">
        <v>821</v>
      </c>
      <c r="E549" s="9" t="s">
        <v>27</v>
      </c>
      <c r="F549" s="9" t="s">
        <v>125</v>
      </c>
      <c r="G549" s="225" t="s">
        <v>809</v>
      </c>
      <c r="H549" s="9" t="s">
        <v>831</v>
      </c>
      <c r="I549" s="10">
        <v>0</v>
      </c>
    </row>
    <row r="550" spans="1:9" ht="28.5" x14ac:dyDescent="0.2">
      <c r="A550" s="28">
        <v>4015</v>
      </c>
      <c r="B550" s="9" t="s">
        <v>605</v>
      </c>
      <c r="C550" s="9" t="s">
        <v>606</v>
      </c>
      <c r="D550" s="9" t="s">
        <v>863</v>
      </c>
      <c r="E550" s="9" t="s">
        <v>319</v>
      </c>
      <c r="F550" s="9" t="s">
        <v>126</v>
      </c>
      <c r="G550" s="225" t="s">
        <v>412</v>
      </c>
      <c r="H550" s="9" t="s">
        <v>831</v>
      </c>
      <c r="I550" s="10">
        <v>0.5</v>
      </c>
    </row>
    <row r="551" spans="1:9" ht="28.5" x14ac:dyDescent="0.2">
      <c r="A551" s="28">
        <v>4020</v>
      </c>
      <c r="B551" s="9" t="s">
        <v>607</v>
      </c>
      <c r="C551" s="9" t="s">
        <v>608</v>
      </c>
      <c r="D551" s="9" t="s">
        <v>863</v>
      </c>
      <c r="E551" s="9" t="s">
        <v>319</v>
      </c>
      <c r="F551" s="9" t="s">
        <v>126</v>
      </c>
      <c r="G551" s="225" t="s">
        <v>405</v>
      </c>
      <c r="H551" s="9" t="s">
        <v>426</v>
      </c>
      <c r="I551" s="10">
        <v>1</v>
      </c>
    </row>
    <row r="552" spans="1:9" ht="28.5" x14ac:dyDescent="0.2">
      <c r="A552" s="28">
        <v>4025</v>
      </c>
      <c r="B552" s="9" t="s">
        <v>609</v>
      </c>
      <c r="C552" s="9" t="s">
        <v>610</v>
      </c>
      <c r="D552" s="9" t="s">
        <v>4</v>
      </c>
      <c r="E552" s="9" t="s">
        <v>5</v>
      </c>
      <c r="F552" s="9" t="s">
        <v>126</v>
      </c>
      <c r="G552" s="225" t="s">
        <v>809</v>
      </c>
      <c r="H552" s="9" t="s">
        <v>831</v>
      </c>
      <c r="I552" s="10">
        <v>0</v>
      </c>
    </row>
    <row r="553" spans="1:9" x14ac:dyDescent="0.2">
      <c r="A553" s="28">
        <v>4030</v>
      </c>
      <c r="B553" s="9" t="s">
        <v>611</v>
      </c>
      <c r="C553" s="9" t="s">
        <v>612</v>
      </c>
      <c r="D553" s="9" t="s">
        <v>4</v>
      </c>
      <c r="E553" s="9" t="s">
        <v>14</v>
      </c>
      <c r="F553" s="9" t="s">
        <v>126</v>
      </c>
      <c r="G553" s="225" t="s">
        <v>809</v>
      </c>
      <c r="H553" s="9" t="s">
        <v>831</v>
      </c>
      <c r="I553" s="10">
        <v>0</v>
      </c>
    </row>
    <row r="554" spans="1:9" ht="28.5" x14ac:dyDescent="0.2">
      <c r="A554" s="28">
        <v>4035</v>
      </c>
      <c r="B554" s="9" t="s">
        <v>613</v>
      </c>
      <c r="C554" s="9" t="s">
        <v>614</v>
      </c>
      <c r="D554" s="9" t="s">
        <v>860</v>
      </c>
      <c r="E554" s="9" t="s">
        <v>40</v>
      </c>
      <c r="F554" s="9" t="s">
        <v>126</v>
      </c>
      <c r="G554" s="225" t="s">
        <v>809</v>
      </c>
      <c r="H554" s="9" t="s">
        <v>831</v>
      </c>
      <c r="I554" s="10">
        <v>0</v>
      </c>
    </row>
    <row r="555" spans="1:9" ht="28.5" x14ac:dyDescent="0.2">
      <c r="A555" s="28">
        <v>4040</v>
      </c>
      <c r="B555" s="9" t="s">
        <v>615</v>
      </c>
      <c r="C555" s="9" t="s">
        <v>616</v>
      </c>
      <c r="D555" s="9" t="s">
        <v>860</v>
      </c>
      <c r="E555" s="9" t="s">
        <v>30</v>
      </c>
      <c r="F555" s="9" t="s">
        <v>126</v>
      </c>
      <c r="G555" s="225" t="s">
        <v>809</v>
      </c>
      <c r="H555" s="9" t="s">
        <v>831</v>
      </c>
      <c r="I555" s="10">
        <v>0</v>
      </c>
    </row>
    <row r="556" spans="1:9" ht="28.5" x14ac:dyDescent="0.2">
      <c r="A556" s="28">
        <v>4050</v>
      </c>
      <c r="B556" s="9" t="s">
        <v>617</v>
      </c>
      <c r="C556" s="9" t="s">
        <v>618</v>
      </c>
      <c r="D556" s="9" t="s">
        <v>4</v>
      </c>
      <c r="E556" s="9" t="s">
        <v>18</v>
      </c>
      <c r="F556" s="9" t="s">
        <v>126</v>
      </c>
      <c r="G556" s="225" t="s">
        <v>809</v>
      </c>
      <c r="H556" s="9" t="s">
        <v>831</v>
      </c>
      <c r="I556" s="10">
        <v>0</v>
      </c>
    </row>
    <row r="557" spans="1:9" ht="28.5" x14ac:dyDescent="0.2">
      <c r="A557" s="28">
        <v>4051</v>
      </c>
      <c r="B557" s="9" t="s">
        <v>381</v>
      </c>
      <c r="C557" s="9" t="s">
        <v>381</v>
      </c>
      <c r="D557" s="9" t="s">
        <v>828</v>
      </c>
      <c r="E557" s="9" t="s">
        <v>829</v>
      </c>
      <c r="F557" s="9" t="s">
        <v>127</v>
      </c>
      <c r="G557" s="225" t="s">
        <v>809</v>
      </c>
      <c r="H557" s="9" t="s">
        <v>831</v>
      </c>
      <c r="I557" s="10">
        <v>0</v>
      </c>
    </row>
    <row r="558" spans="1:9" ht="42.75" x14ac:dyDescent="0.2">
      <c r="A558" s="28">
        <v>4052</v>
      </c>
      <c r="B558" s="9" t="s">
        <v>382</v>
      </c>
      <c r="C558" s="9" t="s">
        <v>382</v>
      </c>
      <c r="D558" s="9" t="s">
        <v>828</v>
      </c>
      <c r="E558" s="9" t="s">
        <v>829</v>
      </c>
      <c r="F558" s="9" t="s">
        <v>127</v>
      </c>
      <c r="G558" s="225" t="s">
        <v>809</v>
      </c>
      <c r="H558" s="9" t="s">
        <v>831</v>
      </c>
      <c r="I558" s="10">
        <v>0</v>
      </c>
    </row>
    <row r="559" spans="1:9" ht="42.75" x14ac:dyDescent="0.2">
      <c r="A559" s="28">
        <v>4053</v>
      </c>
      <c r="B559" s="9" t="s">
        <v>383</v>
      </c>
      <c r="C559" s="9" t="s">
        <v>384</v>
      </c>
      <c r="D559" s="9" t="s">
        <v>821</v>
      </c>
      <c r="E559" s="9" t="s">
        <v>876</v>
      </c>
      <c r="F559" s="9" t="s">
        <v>127</v>
      </c>
      <c r="G559" s="225" t="s">
        <v>809</v>
      </c>
      <c r="H559" s="9" t="s">
        <v>831</v>
      </c>
      <c r="I559" s="10">
        <v>0</v>
      </c>
    </row>
    <row r="560" spans="1:9" ht="42.75" x14ac:dyDescent="0.2">
      <c r="A560" s="28">
        <v>4054</v>
      </c>
      <c r="B560" s="9" t="s">
        <v>619</v>
      </c>
      <c r="C560" s="9" t="s">
        <v>619</v>
      </c>
      <c r="D560" s="9" t="s">
        <v>821</v>
      </c>
      <c r="E560" s="9" t="s">
        <v>27</v>
      </c>
      <c r="F560" s="9" t="s">
        <v>125</v>
      </c>
      <c r="G560" s="225" t="s">
        <v>412</v>
      </c>
      <c r="H560" s="9" t="s">
        <v>831</v>
      </c>
      <c r="I560" s="10">
        <v>0.5</v>
      </c>
    </row>
    <row r="561" spans="1:9" ht="42.75" x14ac:dyDescent="0.2">
      <c r="A561" s="28">
        <v>4055</v>
      </c>
      <c r="B561" s="9" t="s">
        <v>620</v>
      </c>
      <c r="C561" s="9" t="s">
        <v>620</v>
      </c>
      <c r="D561" s="9" t="s">
        <v>821</v>
      </c>
      <c r="E561" s="9" t="s">
        <v>27</v>
      </c>
      <c r="F561" s="9" t="s">
        <v>125</v>
      </c>
      <c r="G561" s="225" t="s">
        <v>412</v>
      </c>
      <c r="H561" s="9" t="s">
        <v>831</v>
      </c>
      <c r="I561" s="10">
        <v>0.5</v>
      </c>
    </row>
    <row r="562" spans="1:9" x14ac:dyDescent="0.2">
      <c r="A562" s="28">
        <v>4056</v>
      </c>
      <c r="B562" s="9" t="s">
        <v>385</v>
      </c>
      <c r="C562" s="9" t="s">
        <v>386</v>
      </c>
      <c r="D562" s="9" t="s">
        <v>4</v>
      </c>
      <c r="E562" s="9" t="s">
        <v>18</v>
      </c>
      <c r="F562" s="9" t="s">
        <v>126</v>
      </c>
      <c r="G562" s="225" t="s">
        <v>809</v>
      </c>
      <c r="H562" s="9" t="s">
        <v>831</v>
      </c>
      <c r="I562" s="10">
        <v>0</v>
      </c>
    </row>
    <row r="563" spans="1:9" ht="42.75" x14ac:dyDescent="0.2">
      <c r="A563" s="28">
        <v>4057</v>
      </c>
      <c r="B563" s="9" t="s">
        <v>387</v>
      </c>
      <c r="C563" s="9" t="s">
        <v>388</v>
      </c>
      <c r="D563" s="9" t="s">
        <v>404</v>
      </c>
      <c r="E563" s="9" t="s">
        <v>404</v>
      </c>
      <c r="F563" s="9" t="s">
        <v>126</v>
      </c>
      <c r="G563" s="225" t="s">
        <v>412</v>
      </c>
      <c r="H563" s="9" t="s">
        <v>831</v>
      </c>
      <c r="I563" s="10">
        <v>0.5</v>
      </c>
    </row>
    <row r="564" spans="1:9" ht="28.5" x14ac:dyDescent="0.2">
      <c r="A564" s="28">
        <v>4058</v>
      </c>
      <c r="B564" s="9" t="s">
        <v>389</v>
      </c>
      <c r="C564" s="9" t="s">
        <v>390</v>
      </c>
      <c r="D564" s="9" t="s">
        <v>404</v>
      </c>
      <c r="E564" s="9" t="s">
        <v>404</v>
      </c>
      <c r="F564" s="9" t="s">
        <v>126</v>
      </c>
      <c r="G564" s="225" t="s">
        <v>412</v>
      </c>
      <c r="H564" s="9" t="s">
        <v>831</v>
      </c>
      <c r="I564" s="10">
        <v>0.5</v>
      </c>
    </row>
    <row r="565" spans="1:9" ht="28.5" x14ac:dyDescent="0.2">
      <c r="A565" s="28">
        <v>4059</v>
      </c>
      <c r="B565" s="9" t="s">
        <v>493</v>
      </c>
      <c r="C565" s="9" t="s">
        <v>493</v>
      </c>
      <c r="D565" s="9" t="s">
        <v>234</v>
      </c>
      <c r="E565" s="9" t="s">
        <v>494</v>
      </c>
      <c r="F565" s="9" t="s">
        <v>125</v>
      </c>
      <c r="G565" s="225" t="s">
        <v>809</v>
      </c>
      <c r="H565" s="9" t="s">
        <v>831</v>
      </c>
      <c r="I565" s="10">
        <v>0</v>
      </c>
    </row>
    <row r="566" spans="1:9" ht="28.5" x14ac:dyDescent="0.2">
      <c r="A566" s="28">
        <v>4060</v>
      </c>
      <c r="B566" s="9" t="s">
        <v>937</v>
      </c>
      <c r="C566" s="9" t="s">
        <v>938</v>
      </c>
      <c r="D566" s="9" t="s">
        <v>234</v>
      </c>
      <c r="E566" s="9" t="s">
        <v>677</v>
      </c>
      <c r="F566" s="9" t="s">
        <v>127</v>
      </c>
      <c r="G566" s="225" t="s">
        <v>809</v>
      </c>
      <c r="H566" s="9" t="s">
        <v>831</v>
      </c>
      <c r="I566" s="10">
        <v>0</v>
      </c>
    </row>
    <row r="567" spans="1:9" ht="57" x14ac:dyDescent="0.2">
      <c r="A567" s="28">
        <v>4061</v>
      </c>
      <c r="B567" s="9" t="s">
        <v>939</v>
      </c>
      <c r="C567" s="9" t="s">
        <v>940</v>
      </c>
      <c r="D567" s="9" t="s">
        <v>234</v>
      </c>
      <c r="E567" s="9" t="s">
        <v>677</v>
      </c>
      <c r="F567" s="9" t="s">
        <v>127</v>
      </c>
      <c r="G567" s="225" t="s">
        <v>809</v>
      </c>
      <c r="H567" s="9" t="s">
        <v>831</v>
      </c>
      <c r="I567" s="10">
        <v>0</v>
      </c>
    </row>
    <row r="568" spans="1:9" ht="57" x14ac:dyDescent="0.2">
      <c r="A568" s="28">
        <v>4062</v>
      </c>
      <c r="B568" s="9" t="s">
        <v>941</v>
      </c>
      <c r="C568" s="9" t="s">
        <v>942</v>
      </c>
      <c r="D568" s="9" t="s">
        <v>234</v>
      </c>
      <c r="E568" s="9" t="s">
        <v>677</v>
      </c>
      <c r="F568" s="9" t="s">
        <v>127</v>
      </c>
      <c r="G568" s="225" t="s">
        <v>809</v>
      </c>
      <c r="H568" s="9" t="s">
        <v>831</v>
      </c>
      <c r="I568" s="10">
        <v>0</v>
      </c>
    </row>
    <row r="569" spans="1:9" ht="42.75" x14ac:dyDescent="0.2">
      <c r="A569" s="28">
        <v>4063</v>
      </c>
      <c r="B569" s="9" t="s">
        <v>952</v>
      </c>
      <c r="C569" s="9" t="s">
        <v>943</v>
      </c>
      <c r="D569" s="9" t="s">
        <v>234</v>
      </c>
      <c r="E569" s="9" t="s">
        <v>677</v>
      </c>
      <c r="F569" s="9" t="s">
        <v>127</v>
      </c>
      <c r="G569" s="225" t="s">
        <v>809</v>
      </c>
      <c r="H569" s="9" t="s">
        <v>831</v>
      </c>
      <c r="I569" s="10">
        <v>0</v>
      </c>
    </row>
    <row r="570" spans="1:9" ht="28.5" x14ac:dyDescent="0.2">
      <c r="A570" s="28">
        <v>5000</v>
      </c>
      <c r="B570" s="9" t="s">
        <v>495</v>
      </c>
      <c r="C570" s="9" t="s">
        <v>496</v>
      </c>
      <c r="D570" s="9" t="s">
        <v>121</v>
      </c>
      <c r="E570" s="9" t="s">
        <v>186</v>
      </c>
      <c r="F570" s="9" t="s">
        <v>125</v>
      </c>
      <c r="G570" s="225" t="s">
        <v>412</v>
      </c>
      <c r="H570" s="9" t="s">
        <v>806</v>
      </c>
      <c r="I570" s="10">
        <v>0.5</v>
      </c>
    </row>
    <row r="571" spans="1:9" ht="42.75" x14ac:dyDescent="0.2">
      <c r="A571" s="28">
        <v>5002</v>
      </c>
      <c r="B571" s="9" t="s">
        <v>497</v>
      </c>
      <c r="C571" s="9" t="s">
        <v>498</v>
      </c>
      <c r="D571" s="9" t="s">
        <v>828</v>
      </c>
      <c r="E571" s="9" t="s">
        <v>837</v>
      </c>
      <c r="F571" s="9" t="s">
        <v>125</v>
      </c>
      <c r="G571" s="225" t="s">
        <v>412</v>
      </c>
      <c r="H571" s="9" t="s">
        <v>831</v>
      </c>
      <c r="I571" s="10">
        <v>0.5</v>
      </c>
    </row>
    <row r="572" spans="1:9" ht="57" x14ac:dyDescent="0.2">
      <c r="A572" s="28">
        <v>5090</v>
      </c>
      <c r="B572" s="9" t="s">
        <v>944</v>
      </c>
      <c r="C572" s="9" t="s">
        <v>945</v>
      </c>
      <c r="D572" s="9" t="s">
        <v>404</v>
      </c>
      <c r="E572" s="9" t="s">
        <v>404</v>
      </c>
      <c r="F572" s="9" t="s">
        <v>125</v>
      </c>
      <c r="G572" s="225" t="s">
        <v>412</v>
      </c>
      <c r="H572" s="9" t="s">
        <v>831</v>
      </c>
      <c r="I572" s="10">
        <v>0.5</v>
      </c>
    </row>
    <row r="573" spans="1:9" ht="28.5" x14ac:dyDescent="0.2">
      <c r="A573" s="28">
        <v>5100</v>
      </c>
      <c r="B573" s="9" t="s">
        <v>946</v>
      </c>
      <c r="C573" s="9" t="s">
        <v>947</v>
      </c>
      <c r="D573" s="9" t="s">
        <v>234</v>
      </c>
      <c r="E573" s="9" t="s">
        <v>677</v>
      </c>
      <c r="F573" s="9" t="s">
        <v>126</v>
      </c>
      <c r="G573" s="225" t="s">
        <v>809</v>
      </c>
      <c r="H573" s="9" t="s">
        <v>831</v>
      </c>
      <c r="I573" s="10">
        <v>0</v>
      </c>
    </row>
    <row r="574" spans="1:9" ht="71.25" x14ac:dyDescent="0.2">
      <c r="A574" s="28">
        <v>5190</v>
      </c>
      <c r="B574" s="9" t="s">
        <v>499</v>
      </c>
      <c r="C574" s="9" t="s">
        <v>500</v>
      </c>
      <c r="D574" s="9" t="s">
        <v>842</v>
      </c>
      <c r="E574" s="9" t="s">
        <v>842</v>
      </c>
      <c r="F574" s="9" t="s">
        <v>126</v>
      </c>
      <c r="G574" s="225" t="s">
        <v>412</v>
      </c>
      <c r="H574" s="9" t="s">
        <v>831</v>
      </c>
      <c r="I574" s="10">
        <v>0.5</v>
      </c>
    </row>
    <row r="575" spans="1:9" ht="57" x14ac:dyDescent="0.2">
      <c r="A575" s="28">
        <v>5191</v>
      </c>
      <c r="B575" s="9" t="s">
        <v>501</v>
      </c>
      <c r="C575" s="9" t="s">
        <v>502</v>
      </c>
      <c r="D575" s="9" t="s">
        <v>828</v>
      </c>
      <c r="E575" s="9" t="s">
        <v>837</v>
      </c>
      <c r="F575" s="9" t="s">
        <v>126</v>
      </c>
      <c r="G575" s="225" t="s">
        <v>412</v>
      </c>
      <c r="H575" s="9" t="s">
        <v>831</v>
      </c>
      <c r="I575" s="10">
        <v>0.5</v>
      </c>
    </row>
    <row r="576" spans="1:9" ht="57" x14ac:dyDescent="0.2">
      <c r="A576" s="28">
        <v>5192</v>
      </c>
      <c r="B576" s="9" t="s">
        <v>504</v>
      </c>
      <c r="C576" s="9" t="s">
        <v>505</v>
      </c>
      <c r="D576" s="9" t="s">
        <v>863</v>
      </c>
      <c r="E576" s="9" t="s">
        <v>35</v>
      </c>
      <c r="F576" s="9" t="s">
        <v>126</v>
      </c>
      <c r="G576" s="225" t="s">
        <v>412</v>
      </c>
      <c r="H576" s="9" t="s">
        <v>831</v>
      </c>
      <c r="I576" s="10">
        <v>0.5</v>
      </c>
    </row>
    <row r="577" spans="1:9" ht="28.5" x14ac:dyDescent="0.2">
      <c r="A577" s="28">
        <v>5568</v>
      </c>
      <c r="B577" s="9" t="s">
        <v>948</v>
      </c>
      <c r="C577" s="9" t="s">
        <v>949</v>
      </c>
      <c r="D577" s="9" t="s">
        <v>234</v>
      </c>
      <c r="E577" s="9" t="s">
        <v>677</v>
      </c>
      <c r="F577" s="9" t="s">
        <v>126</v>
      </c>
      <c r="G577" s="225" t="s">
        <v>809</v>
      </c>
      <c r="H577" s="9" t="s">
        <v>831</v>
      </c>
      <c r="I577" s="10">
        <v>0</v>
      </c>
    </row>
    <row r="578" spans="1:9" ht="28.5" x14ac:dyDescent="0.2">
      <c r="A578" s="28">
        <v>5650</v>
      </c>
      <c r="B578" s="9" t="s">
        <v>506</v>
      </c>
      <c r="C578" s="9" t="s">
        <v>507</v>
      </c>
      <c r="D578" s="9" t="s">
        <v>234</v>
      </c>
      <c r="E578" s="9" t="s">
        <v>702</v>
      </c>
      <c r="F578" s="9" t="s">
        <v>126</v>
      </c>
      <c r="G578" s="225" t="s">
        <v>809</v>
      </c>
      <c r="H578" s="9" t="s">
        <v>831</v>
      </c>
      <c r="I578" s="10">
        <v>0</v>
      </c>
    </row>
    <row r="579" spans="1:9" ht="28.5" x14ac:dyDescent="0.2">
      <c r="A579" s="28">
        <v>5651</v>
      </c>
      <c r="B579" s="9" t="s">
        <v>508</v>
      </c>
      <c r="C579" s="9" t="s">
        <v>509</v>
      </c>
      <c r="D579" s="9" t="s">
        <v>234</v>
      </c>
      <c r="E579" s="9" t="s">
        <v>702</v>
      </c>
      <c r="F579" s="9" t="s">
        <v>126</v>
      </c>
      <c r="G579" s="225" t="s">
        <v>809</v>
      </c>
      <c r="H579" s="9" t="s">
        <v>831</v>
      </c>
      <c r="I579" s="10">
        <v>0</v>
      </c>
    </row>
    <row r="580" spans="1:9" ht="28.5" x14ac:dyDescent="0.2">
      <c r="A580" s="28">
        <v>5660</v>
      </c>
      <c r="B580" s="9" t="s">
        <v>510</v>
      </c>
      <c r="C580" s="9" t="s">
        <v>510</v>
      </c>
      <c r="D580" s="9" t="s">
        <v>234</v>
      </c>
      <c r="E580" s="9" t="s">
        <v>702</v>
      </c>
      <c r="F580" s="9" t="s">
        <v>126</v>
      </c>
      <c r="G580" s="225" t="s">
        <v>809</v>
      </c>
      <c r="H580" s="9" t="s">
        <v>831</v>
      </c>
      <c r="I580" s="10">
        <v>0</v>
      </c>
    </row>
    <row r="581" spans="1:9" ht="28.5" x14ac:dyDescent="0.2">
      <c r="A581" s="28">
        <v>5700</v>
      </c>
      <c r="B581" s="9" t="s">
        <v>511</v>
      </c>
      <c r="C581" s="9" t="s">
        <v>512</v>
      </c>
      <c r="D581" s="9" t="s">
        <v>234</v>
      </c>
      <c r="E581" s="9" t="s">
        <v>702</v>
      </c>
      <c r="F581" s="9" t="s">
        <v>125</v>
      </c>
      <c r="G581" s="225" t="s">
        <v>809</v>
      </c>
      <c r="H581" s="9" t="s">
        <v>831</v>
      </c>
      <c r="I581" s="10">
        <v>0</v>
      </c>
    </row>
    <row r="582" spans="1:9" ht="28.5" x14ac:dyDescent="0.2">
      <c r="A582" s="28">
        <v>5701</v>
      </c>
      <c r="B582" s="9" t="s">
        <v>513</v>
      </c>
      <c r="C582" s="9" t="s">
        <v>514</v>
      </c>
      <c r="D582" s="9" t="s">
        <v>234</v>
      </c>
      <c r="E582" s="9" t="s">
        <v>702</v>
      </c>
      <c r="F582" s="9" t="s">
        <v>125</v>
      </c>
      <c r="G582" s="225" t="s">
        <v>809</v>
      </c>
      <c r="H582" s="9" t="s">
        <v>831</v>
      </c>
      <c r="I582" s="10">
        <v>0</v>
      </c>
    </row>
    <row r="583" spans="1:9" ht="42.75" x14ac:dyDescent="0.2">
      <c r="A583" s="28">
        <v>5702</v>
      </c>
      <c r="B583" s="9" t="s">
        <v>515</v>
      </c>
      <c r="C583" s="9" t="s">
        <v>517</v>
      </c>
      <c r="D583" s="9" t="s">
        <v>4</v>
      </c>
      <c r="E583" s="9" t="s">
        <v>14</v>
      </c>
      <c r="F583" s="9" t="s">
        <v>125</v>
      </c>
      <c r="G583" s="225" t="s">
        <v>412</v>
      </c>
      <c r="H583" s="9" t="s">
        <v>831</v>
      </c>
      <c r="I583" s="10">
        <v>0.5</v>
      </c>
    </row>
    <row r="584" spans="1:9" ht="85.5" x14ac:dyDescent="0.2">
      <c r="A584" s="28">
        <v>5703</v>
      </c>
      <c r="B584" s="9" t="s">
        <v>518</v>
      </c>
      <c r="C584" s="9" t="s">
        <v>519</v>
      </c>
      <c r="D584" s="9" t="s">
        <v>404</v>
      </c>
      <c r="E584" s="9" t="s">
        <v>404</v>
      </c>
      <c r="F584" s="9" t="s">
        <v>125</v>
      </c>
      <c r="G584" s="225" t="s">
        <v>412</v>
      </c>
      <c r="H584" s="9" t="s">
        <v>831</v>
      </c>
      <c r="I584" s="10">
        <v>0.5</v>
      </c>
    </row>
    <row r="585" spans="1:9" ht="28.5" x14ac:dyDescent="0.2">
      <c r="A585" s="28">
        <v>10000</v>
      </c>
      <c r="B585" s="9" t="s">
        <v>520</v>
      </c>
      <c r="C585" s="9" t="s">
        <v>520</v>
      </c>
      <c r="D585" s="9" t="s">
        <v>234</v>
      </c>
      <c r="E585" s="9" t="s">
        <v>494</v>
      </c>
      <c r="F585" s="9" t="s">
        <v>125</v>
      </c>
      <c r="G585" s="225" t="s">
        <v>809</v>
      </c>
      <c r="H585" s="9" t="s">
        <v>831</v>
      </c>
      <c r="I585" s="10">
        <v>0</v>
      </c>
    </row>
    <row r="586" spans="1:9" x14ac:dyDescent="0.2">
      <c r="A586" s="28">
        <v>10002</v>
      </c>
      <c r="B586" s="9" t="s">
        <v>521</v>
      </c>
      <c r="C586" s="9" t="s">
        <v>521</v>
      </c>
      <c r="D586" s="9" t="s">
        <v>234</v>
      </c>
      <c r="E586" s="9" t="s">
        <v>494</v>
      </c>
      <c r="F586" s="9" t="s">
        <v>831</v>
      </c>
      <c r="G586" s="225" t="s">
        <v>809</v>
      </c>
      <c r="H586" s="9" t="s">
        <v>831</v>
      </c>
      <c r="I586" s="10">
        <v>0</v>
      </c>
    </row>
    <row r="587" spans="1:9" ht="28.5" x14ac:dyDescent="0.2">
      <c r="A587" s="28">
        <v>10003</v>
      </c>
      <c r="B587" s="9" t="s">
        <v>522</v>
      </c>
      <c r="C587" s="9" t="s">
        <v>523</v>
      </c>
      <c r="D587" s="9" t="s">
        <v>234</v>
      </c>
      <c r="E587" s="9" t="s">
        <v>494</v>
      </c>
      <c r="F587" s="9" t="s">
        <v>125</v>
      </c>
      <c r="G587" s="225" t="s">
        <v>809</v>
      </c>
      <c r="H587" s="9" t="s">
        <v>831</v>
      </c>
      <c r="I587" s="10">
        <v>0</v>
      </c>
    </row>
    <row r="588" spans="1:9" ht="28.5" x14ac:dyDescent="0.2">
      <c r="A588" s="28">
        <v>10004</v>
      </c>
      <c r="B588" s="9" t="s">
        <v>522</v>
      </c>
      <c r="C588" s="9" t="s">
        <v>524</v>
      </c>
      <c r="D588" s="9" t="s">
        <v>234</v>
      </c>
      <c r="E588" s="9" t="s">
        <v>494</v>
      </c>
      <c r="F588" s="9" t="s">
        <v>125</v>
      </c>
      <c r="G588" s="225" t="s">
        <v>809</v>
      </c>
      <c r="H588" s="9" t="s">
        <v>831</v>
      </c>
      <c r="I588" s="10">
        <v>0</v>
      </c>
    </row>
    <row r="589" spans="1:9" ht="42.75" x14ac:dyDescent="0.2">
      <c r="A589" s="28">
        <v>10005</v>
      </c>
      <c r="B589" s="9" t="s">
        <v>527</v>
      </c>
      <c r="C589" s="9" t="s">
        <v>528</v>
      </c>
      <c r="D589" s="9" t="s">
        <v>234</v>
      </c>
      <c r="E589" s="9" t="s">
        <v>494</v>
      </c>
      <c r="F589" s="9" t="s">
        <v>125</v>
      </c>
      <c r="G589" s="225" t="s">
        <v>809</v>
      </c>
      <c r="H589" s="9" t="s">
        <v>831</v>
      </c>
      <c r="I589" s="10">
        <v>0</v>
      </c>
    </row>
    <row r="590" spans="1:9" ht="42.75" x14ac:dyDescent="0.2">
      <c r="A590" s="28">
        <v>10006</v>
      </c>
      <c r="B590" s="9" t="s">
        <v>529</v>
      </c>
      <c r="C590" s="9" t="s">
        <v>530</v>
      </c>
      <c r="D590" s="9" t="s">
        <v>234</v>
      </c>
      <c r="E590" s="9" t="s">
        <v>494</v>
      </c>
      <c r="F590" s="9" t="s">
        <v>126</v>
      </c>
      <c r="G590" s="225" t="s">
        <v>809</v>
      </c>
      <c r="H590" s="9" t="s">
        <v>831</v>
      </c>
      <c r="I590" s="10">
        <v>0</v>
      </c>
    </row>
    <row r="591" spans="1:9" ht="28.5" x14ac:dyDescent="0.2">
      <c r="A591" s="28">
        <v>10007</v>
      </c>
      <c r="B591" s="9" t="s">
        <v>522</v>
      </c>
      <c r="C591" s="9" t="s">
        <v>531</v>
      </c>
      <c r="D591" s="9" t="s">
        <v>234</v>
      </c>
      <c r="E591" s="9" t="s">
        <v>494</v>
      </c>
      <c r="F591" s="9" t="s">
        <v>126</v>
      </c>
      <c r="G591" s="225" t="s">
        <v>809</v>
      </c>
      <c r="H591" s="9" t="s">
        <v>831</v>
      </c>
      <c r="I591" s="10">
        <v>0</v>
      </c>
    </row>
    <row r="592" spans="1:9" ht="57" x14ac:dyDescent="0.2">
      <c r="A592" s="28">
        <v>10008</v>
      </c>
      <c r="B592" s="9" t="s">
        <v>532</v>
      </c>
      <c r="C592" s="9" t="s">
        <v>533</v>
      </c>
      <c r="D592" s="9" t="s">
        <v>234</v>
      </c>
      <c r="E592" s="9" t="s">
        <v>494</v>
      </c>
      <c r="F592" s="9" t="s">
        <v>125</v>
      </c>
      <c r="G592" s="225" t="s">
        <v>809</v>
      </c>
      <c r="H592" s="9" t="s">
        <v>831</v>
      </c>
      <c r="I592" s="10">
        <v>0</v>
      </c>
    </row>
    <row r="593" spans="1:9" ht="57" x14ac:dyDescent="0.2">
      <c r="A593" s="28">
        <v>10009</v>
      </c>
      <c r="B593" s="9" t="s">
        <v>534</v>
      </c>
      <c r="C593" s="9" t="s">
        <v>533</v>
      </c>
      <c r="D593" s="9" t="s">
        <v>234</v>
      </c>
      <c r="E593" s="9" t="s">
        <v>494</v>
      </c>
      <c r="F593" s="9" t="s">
        <v>126</v>
      </c>
      <c r="G593" s="225" t="s">
        <v>809</v>
      </c>
      <c r="H593" s="9" t="s">
        <v>831</v>
      </c>
      <c r="I593" s="10">
        <v>0</v>
      </c>
    </row>
    <row r="594" spans="1:9" ht="71.25" x14ac:dyDescent="0.2">
      <c r="A594" s="28">
        <v>10010</v>
      </c>
      <c r="B594" s="9" t="s">
        <v>535</v>
      </c>
      <c r="C594" s="9" t="s">
        <v>74</v>
      </c>
      <c r="D594" s="9" t="s">
        <v>234</v>
      </c>
      <c r="E594" s="9" t="s">
        <v>494</v>
      </c>
      <c r="F594" s="9" t="s">
        <v>126</v>
      </c>
      <c r="G594" s="225" t="s">
        <v>809</v>
      </c>
      <c r="H594" s="9" t="s">
        <v>831</v>
      </c>
      <c r="I594" s="10">
        <v>0</v>
      </c>
    </row>
    <row r="595" spans="1:9" ht="28.5" x14ac:dyDescent="0.2">
      <c r="A595" s="28">
        <v>10011</v>
      </c>
      <c r="B595" s="9" t="s">
        <v>535</v>
      </c>
      <c r="C595" s="9" t="s">
        <v>75</v>
      </c>
      <c r="D595" s="9" t="s">
        <v>234</v>
      </c>
      <c r="E595" s="9" t="s">
        <v>494</v>
      </c>
      <c r="F595" s="9" t="s">
        <v>126</v>
      </c>
      <c r="G595" s="225" t="s">
        <v>809</v>
      </c>
      <c r="H595" s="9" t="s">
        <v>831</v>
      </c>
      <c r="I595" s="10">
        <v>0</v>
      </c>
    </row>
    <row r="596" spans="1:9" ht="28.5" x14ac:dyDescent="0.2">
      <c r="A596" s="28">
        <v>10012</v>
      </c>
      <c r="B596" s="9" t="s">
        <v>535</v>
      </c>
      <c r="C596" s="9" t="s">
        <v>76</v>
      </c>
      <c r="D596" s="9" t="s">
        <v>234</v>
      </c>
      <c r="E596" s="9" t="s">
        <v>494</v>
      </c>
      <c r="F596" s="9" t="s">
        <v>125</v>
      </c>
      <c r="G596" s="225" t="s">
        <v>809</v>
      </c>
      <c r="H596" s="9" t="s">
        <v>831</v>
      </c>
      <c r="I596" s="10">
        <v>0</v>
      </c>
    </row>
    <row r="597" spans="1:9" ht="28.5" x14ac:dyDescent="0.2">
      <c r="A597" s="28">
        <v>10013</v>
      </c>
      <c r="B597" s="9" t="s">
        <v>535</v>
      </c>
      <c r="C597" s="9" t="s">
        <v>77</v>
      </c>
      <c r="D597" s="9" t="s">
        <v>234</v>
      </c>
      <c r="E597" s="9" t="s">
        <v>494</v>
      </c>
      <c r="F597" s="9" t="s">
        <v>126</v>
      </c>
      <c r="G597" s="225" t="s">
        <v>809</v>
      </c>
      <c r="H597" s="9" t="s">
        <v>831</v>
      </c>
      <c r="I597" s="10">
        <v>0</v>
      </c>
    </row>
    <row r="598" spans="1:9" ht="28.5" x14ac:dyDescent="0.2">
      <c r="A598" s="28">
        <v>10014</v>
      </c>
      <c r="B598" s="9" t="s">
        <v>535</v>
      </c>
      <c r="C598" s="9" t="s">
        <v>78</v>
      </c>
      <c r="D598" s="9" t="s">
        <v>234</v>
      </c>
      <c r="E598" s="9" t="s">
        <v>494</v>
      </c>
      <c r="F598" s="9" t="s">
        <v>125</v>
      </c>
      <c r="G598" s="225" t="s">
        <v>809</v>
      </c>
      <c r="H598" s="9" t="s">
        <v>831</v>
      </c>
      <c r="I598" s="10">
        <v>0</v>
      </c>
    </row>
    <row r="599" spans="1:9" ht="28.5" x14ac:dyDescent="0.2">
      <c r="A599" s="28">
        <v>10015</v>
      </c>
      <c r="B599" s="9" t="s">
        <v>535</v>
      </c>
      <c r="C599" s="9" t="s">
        <v>79</v>
      </c>
      <c r="D599" s="9" t="s">
        <v>234</v>
      </c>
      <c r="E599" s="9" t="s">
        <v>494</v>
      </c>
      <c r="F599" s="9" t="s">
        <v>125</v>
      </c>
      <c r="G599" s="225" t="s">
        <v>809</v>
      </c>
      <c r="H599" s="9" t="s">
        <v>831</v>
      </c>
      <c r="I599" s="10">
        <v>0</v>
      </c>
    </row>
    <row r="600" spans="1:9" ht="28.5" x14ac:dyDescent="0.2">
      <c r="A600" s="28">
        <v>10016</v>
      </c>
      <c r="B600" s="9" t="s">
        <v>80</v>
      </c>
      <c r="C600" s="9" t="s">
        <v>81</v>
      </c>
      <c r="D600" s="9" t="s">
        <v>234</v>
      </c>
      <c r="E600" s="9" t="s">
        <v>494</v>
      </c>
      <c r="F600" s="9" t="s">
        <v>125</v>
      </c>
      <c r="G600" s="225" t="s">
        <v>809</v>
      </c>
      <c r="H600" s="9" t="s">
        <v>831</v>
      </c>
      <c r="I600" s="10">
        <v>0</v>
      </c>
    </row>
    <row r="601" spans="1:9" ht="42.75" x14ac:dyDescent="0.2">
      <c r="A601" s="28">
        <v>10017</v>
      </c>
      <c r="B601" s="9" t="s">
        <v>82</v>
      </c>
      <c r="C601" s="9" t="s">
        <v>296</v>
      </c>
      <c r="D601" s="9" t="s">
        <v>234</v>
      </c>
      <c r="E601" s="9" t="s">
        <v>494</v>
      </c>
      <c r="F601" s="9" t="s">
        <v>125</v>
      </c>
      <c r="G601" s="225" t="s">
        <v>809</v>
      </c>
      <c r="H601" s="9" t="s">
        <v>831</v>
      </c>
      <c r="I601" s="10">
        <v>0</v>
      </c>
    </row>
    <row r="602" spans="1:9" ht="28.5" x14ac:dyDescent="0.2">
      <c r="A602" s="28">
        <v>10018</v>
      </c>
      <c r="B602" s="9" t="s">
        <v>83</v>
      </c>
      <c r="C602" s="9" t="s">
        <v>84</v>
      </c>
      <c r="D602" s="9" t="s">
        <v>234</v>
      </c>
      <c r="E602" s="9" t="s">
        <v>494</v>
      </c>
      <c r="F602" s="9" t="s">
        <v>125</v>
      </c>
      <c r="G602" s="225" t="s">
        <v>809</v>
      </c>
      <c r="H602" s="9" t="s">
        <v>831</v>
      </c>
      <c r="I602" s="10">
        <v>0</v>
      </c>
    </row>
    <row r="603" spans="1:9" ht="42.75" x14ac:dyDescent="0.2">
      <c r="A603" s="28">
        <v>10019</v>
      </c>
      <c r="B603" s="9" t="s">
        <v>306</v>
      </c>
      <c r="C603" s="9" t="s">
        <v>307</v>
      </c>
      <c r="D603" s="9" t="s">
        <v>234</v>
      </c>
      <c r="E603" s="9" t="s">
        <v>494</v>
      </c>
      <c r="F603" s="9" t="s">
        <v>125</v>
      </c>
      <c r="G603" s="225" t="s">
        <v>809</v>
      </c>
      <c r="H603" s="9" t="s">
        <v>831</v>
      </c>
      <c r="I603" s="10">
        <v>0</v>
      </c>
    </row>
    <row r="604" spans="1:9" ht="42.75" x14ac:dyDescent="0.2">
      <c r="A604" s="28">
        <v>10020</v>
      </c>
      <c r="B604" s="9" t="s">
        <v>85</v>
      </c>
      <c r="C604" s="9" t="s">
        <v>86</v>
      </c>
      <c r="D604" s="9" t="s">
        <v>234</v>
      </c>
      <c r="E604" s="9" t="s">
        <v>494</v>
      </c>
      <c r="F604" s="9" t="s">
        <v>126</v>
      </c>
      <c r="G604" s="225" t="s">
        <v>809</v>
      </c>
      <c r="H604" s="9" t="s">
        <v>831</v>
      </c>
      <c r="I604" s="10">
        <v>0</v>
      </c>
    </row>
    <row r="605" spans="1:9" ht="57" x14ac:dyDescent="0.2">
      <c r="A605" s="28">
        <v>10021</v>
      </c>
      <c r="B605" s="9" t="s">
        <v>87</v>
      </c>
      <c r="C605" s="9" t="s">
        <v>88</v>
      </c>
      <c r="D605" s="9" t="s">
        <v>234</v>
      </c>
      <c r="E605" s="9" t="s">
        <v>494</v>
      </c>
      <c r="F605" s="9" t="s">
        <v>125</v>
      </c>
      <c r="G605" s="225" t="s">
        <v>809</v>
      </c>
      <c r="H605" s="9" t="s">
        <v>831</v>
      </c>
      <c r="I605" s="10">
        <v>0</v>
      </c>
    </row>
    <row r="606" spans="1:9" ht="28.5" x14ac:dyDescent="0.2">
      <c r="A606" s="28">
        <v>10022</v>
      </c>
      <c r="B606" s="9" t="s">
        <v>520</v>
      </c>
      <c r="C606" s="9" t="s">
        <v>89</v>
      </c>
      <c r="D606" s="9" t="s">
        <v>234</v>
      </c>
      <c r="E606" s="9" t="s">
        <v>494</v>
      </c>
      <c r="F606" s="9" t="s">
        <v>125</v>
      </c>
      <c r="G606" s="225" t="s">
        <v>809</v>
      </c>
      <c r="H606" s="9" t="s">
        <v>831</v>
      </c>
      <c r="I606" s="10">
        <v>0</v>
      </c>
    </row>
    <row r="607" spans="1:9" ht="28.5" x14ac:dyDescent="0.2">
      <c r="A607" s="28">
        <v>10023</v>
      </c>
      <c r="B607" s="9" t="s">
        <v>522</v>
      </c>
      <c r="C607" s="9" t="s">
        <v>90</v>
      </c>
      <c r="D607" s="9" t="s">
        <v>234</v>
      </c>
      <c r="E607" s="9" t="s">
        <v>494</v>
      </c>
      <c r="F607" s="9" t="s">
        <v>125</v>
      </c>
      <c r="G607" s="225" t="s">
        <v>809</v>
      </c>
      <c r="H607" s="9" t="s">
        <v>831</v>
      </c>
      <c r="I607" s="10">
        <v>0</v>
      </c>
    </row>
    <row r="608" spans="1:9" ht="28.5" x14ac:dyDescent="0.2">
      <c r="A608" s="28">
        <v>10024</v>
      </c>
      <c r="B608" s="9" t="s">
        <v>535</v>
      </c>
      <c r="C608" s="9" t="s">
        <v>91</v>
      </c>
      <c r="D608" s="9" t="s">
        <v>234</v>
      </c>
      <c r="E608" s="9" t="s">
        <v>494</v>
      </c>
      <c r="F608" s="9" t="s">
        <v>125</v>
      </c>
      <c r="G608" s="225" t="s">
        <v>809</v>
      </c>
      <c r="H608" s="9" t="s">
        <v>831</v>
      </c>
      <c r="I608" s="10">
        <v>0</v>
      </c>
    </row>
    <row r="609" spans="1:9" ht="42.75" x14ac:dyDescent="0.2">
      <c r="A609" s="28">
        <v>10025</v>
      </c>
      <c r="B609" s="9" t="s">
        <v>92</v>
      </c>
      <c r="C609" s="9" t="s">
        <v>93</v>
      </c>
      <c r="D609" s="9" t="s">
        <v>234</v>
      </c>
      <c r="E609" s="9" t="s">
        <v>494</v>
      </c>
      <c r="F609" s="9" t="s">
        <v>126</v>
      </c>
      <c r="G609" s="225" t="s">
        <v>809</v>
      </c>
      <c r="H609" s="9" t="s">
        <v>831</v>
      </c>
      <c r="I609" s="10">
        <v>0</v>
      </c>
    </row>
    <row r="610" spans="1:9" x14ac:dyDescent="0.2">
      <c r="A610" s="28">
        <v>10026</v>
      </c>
      <c r="B610" s="9" t="s">
        <v>950</v>
      </c>
      <c r="C610" s="9" t="s">
        <v>951</v>
      </c>
      <c r="D610" s="9" t="s">
        <v>234</v>
      </c>
      <c r="E610" s="9" t="s">
        <v>494</v>
      </c>
      <c r="F610" s="9" t="s">
        <v>125</v>
      </c>
      <c r="G610" s="225" t="s">
        <v>809</v>
      </c>
      <c r="H610" s="9" t="s">
        <v>831</v>
      </c>
      <c r="I610" s="10">
        <v>0</v>
      </c>
    </row>
    <row r="611" spans="1:9" ht="28.5" x14ac:dyDescent="0.2">
      <c r="A611" s="28">
        <v>10027</v>
      </c>
      <c r="B611" s="9" t="s">
        <v>520</v>
      </c>
      <c r="C611" s="9" t="s">
        <v>217</v>
      </c>
      <c r="D611" s="9" t="s">
        <v>234</v>
      </c>
      <c r="E611" s="9" t="s">
        <v>494</v>
      </c>
      <c r="F611" s="9" t="s">
        <v>125</v>
      </c>
      <c r="G611" s="225" t="s">
        <v>809</v>
      </c>
      <c r="H611" s="9" t="s">
        <v>831</v>
      </c>
      <c r="I611" s="10">
        <v>0</v>
      </c>
    </row>
    <row r="612" spans="1:9" ht="42.75" x14ac:dyDescent="0.2">
      <c r="A612" s="28">
        <v>10028</v>
      </c>
      <c r="B612" s="9" t="s">
        <v>107</v>
      </c>
      <c r="C612" s="9" t="s">
        <v>108</v>
      </c>
      <c r="D612" s="9" t="s">
        <v>234</v>
      </c>
      <c r="E612" s="9" t="s">
        <v>494</v>
      </c>
      <c r="F612" s="9" t="s">
        <v>125</v>
      </c>
      <c r="G612" s="225" t="s">
        <v>809</v>
      </c>
      <c r="H612" s="9" t="s">
        <v>831</v>
      </c>
      <c r="I612" s="10">
        <v>0</v>
      </c>
    </row>
    <row r="613" spans="1:9" ht="28.5" x14ac:dyDescent="0.2">
      <c r="A613" s="28">
        <v>10029</v>
      </c>
      <c r="B613" s="9" t="s">
        <v>535</v>
      </c>
      <c r="C613" s="9" t="s">
        <v>109</v>
      </c>
      <c r="D613" s="9" t="s">
        <v>234</v>
      </c>
      <c r="E613" s="9" t="s">
        <v>494</v>
      </c>
      <c r="F613" s="9" t="s">
        <v>831</v>
      </c>
      <c r="G613" s="225" t="s">
        <v>809</v>
      </c>
      <c r="H613" s="9" t="s">
        <v>831</v>
      </c>
      <c r="I613" s="10">
        <v>0</v>
      </c>
    </row>
  </sheetData>
  <sheetProtection password="FFFF" sheet="1" objects="1" scenarios="1" sort="0" autoFilter="0"/>
  <autoFilter ref="A1:I1">
    <sortState ref="A2:I613">
      <sortCondition ref="A1"/>
    </sortState>
  </autoFilter>
  <phoneticPr fontId="2" type="noConversion"/>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tabColor rgb="FFFFFF00"/>
  </sheetPr>
  <dimension ref="A2:AR1222"/>
  <sheetViews>
    <sheetView zoomScale="88" workbookViewId="0">
      <selection activeCell="A2" sqref="A2"/>
    </sheetView>
  </sheetViews>
  <sheetFormatPr defaultRowHeight="12.75" x14ac:dyDescent="0.2"/>
  <cols>
    <col min="1" max="1" width="110.42578125" style="111" customWidth="1"/>
    <col min="2" max="16384" width="9.140625" style="109"/>
  </cols>
  <sheetData>
    <row r="2" spans="1:1" s="112" customFormat="1" ht="25.5" x14ac:dyDescent="0.35">
      <c r="A2" s="120" t="s">
        <v>624</v>
      </c>
    </row>
    <row r="3" spans="1:1" x14ac:dyDescent="0.2">
      <c r="A3" s="116"/>
    </row>
    <row r="4" spans="1:1" x14ac:dyDescent="0.2">
      <c r="A4" s="117" t="s">
        <v>503</v>
      </c>
    </row>
    <row r="5" spans="1:1" x14ac:dyDescent="0.2">
      <c r="A5" s="117"/>
    </row>
    <row r="6" spans="1:1" x14ac:dyDescent="0.2">
      <c r="A6" s="117" t="s">
        <v>299</v>
      </c>
    </row>
    <row r="7" spans="1:1" x14ac:dyDescent="0.2">
      <c r="A7" s="117"/>
    </row>
    <row r="8" spans="1:1" x14ac:dyDescent="0.2">
      <c r="A8" s="117" t="s">
        <v>298</v>
      </c>
    </row>
    <row r="9" spans="1:1" x14ac:dyDescent="0.2">
      <c r="A9" s="117"/>
    </row>
    <row r="10" spans="1:1" ht="25.5" x14ac:dyDescent="0.2">
      <c r="A10" s="117" t="s">
        <v>696</v>
      </c>
    </row>
    <row r="11" spans="1:1" x14ac:dyDescent="0.2">
      <c r="A11" s="117"/>
    </row>
    <row r="12" spans="1:1" ht="25.5" x14ac:dyDescent="0.2">
      <c r="A12" s="118" t="s">
        <v>961</v>
      </c>
    </row>
    <row r="13" spans="1:1" x14ac:dyDescent="0.2">
      <c r="A13" s="117"/>
    </row>
    <row r="14" spans="1:1" ht="25.5" x14ac:dyDescent="0.2">
      <c r="A14" s="118" t="s">
        <v>956</v>
      </c>
    </row>
    <row r="15" spans="1:1" x14ac:dyDescent="0.2">
      <c r="A15" s="117"/>
    </row>
    <row r="16" spans="1:1" ht="25.5" x14ac:dyDescent="0.2">
      <c r="A16" s="118" t="s">
        <v>804</v>
      </c>
    </row>
    <row r="17" spans="1:1" x14ac:dyDescent="0.2">
      <c r="A17" s="117"/>
    </row>
    <row r="18" spans="1:1" ht="25.5" x14ac:dyDescent="0.2">
      <c r="A18" s="118" t="s">
        <v>805</v>
      </c>
    </row>
    <row r="19" spans="1:1" x14ac:dyDescent="0.2">
      <c r="A19" s="117"/>
    </row>
    <row r="20" spans="1:1" x14ac:dyDescent="0.2">
      <c r="A20" s="119"/>
    </row>
    <row r="1201" spans="13:44" x14ac:dyDescent="0.2">
      <c r="M1201" s="109">
        <v>2</v>
      </c>
      <c r="N1201" s="109">
        <v>0</v>
      </c>
      <c r="O1201" s="109">
        <v>0</v>
      </c>
      <c r="P1201" s="109">
        <v>0</v>
      </c>
      <c r="Q1201" s="109">
        <v>0</v>
      </c>
      <c r="R1201" s="109">
        <v>0</v>
      </c>
      <c r="S1201" s="109">
        <v>0</v>
      </c>
      <c r="T1201" s="109">
        <v>0</v>
      </c>
      <c r="U1201" s="109">
        <v>0</v>
      </c>
      <c r="V1201" s="109">
        <v>0</v>
      </c>
      <c r="W1201" s="109">
        <v>0</v>
      </c>
      <c r="X1201" s="109">
        <v>0</v>
      </c>
      <c r="Y1201" s="109">
        <v>0</v>
      </c>
      <c r="Z1201" s="109">
        <v>0</v>
      </c>
      <c r="AA1201" s="109">
        <v>0</v>
      </c>
      <c r="AB1201" s="109">
        <v>0</v>
      </c>
      <c r="AC1201" s="109">
        <v>0</v>
      </c>
      <c r="AD1201" s="109">
        <v>0</v>
      </c>
      <c r="AE1201" s="109">
        <v>0</v>
      </c>
      <c r="AF1201" s="109">
        <v>0</v>
      </c>
      <c r="AG1201" s="109">
        <v>0</v>
      </c>
      <c r="AH1201" s="109">
        <v>0</v>
      </c>
      <c r="AI1201" s="109">
        <v>0</v>
      </c>
      <c r="AJ1201" s="109">
        <v>0</v>
      </c>
      <c r="AK1201" s="109">
        <v>0</v>
      </c>
      <c r="AL1201" s="109">
        <v>0</v>
      </c>
      <c r="AM1201" s="109">
        <v>0</v>
      </c>
      <c r="AN1201" s="109">
        <v>0</v>
      </c>
      <c r="AO1201" s="109">
        <v>0</v>
      </c>
      <c r="AP1201" s="109">
        <v>0</v>
      </c>
      <c r="AQ1201" s="109">
        <v>0</v>
      </c>
      <c r="AR1201" s="109">
        <v>0</v>
      </c>
    </row>
    <row r="1202" spans="13:44" x14ac:dyDescent="0.2">
      <c r="M1202" s="109">
        <v>3</v>
      </c>
      <c r="N1202" s="109">
        <v>0</v>
      </c>
      <c r="O1202" s="109">
        <v>0</v>
      </c>
      <c r="P1202" s="109">
        <v>0</v>
      </c>
      <c r="Q1202" s="109">
        <v>0</v>
      </c>
      <c r="R1202" s="109">
        <v>0</v>
      </c>
      <c r="S1202" s="109">
        <v>0</v>
      </c>
      <c r="T1202" s="109">
        <v>0</v>
      </c>
      <c r="U1202" s="109">
        <v>0</v>
      </c>
      <c r="V1202" s="109">
        <v>0</v>
      </c>
      <c r="W1202" s="109">
        <v>0</v>
      </c>
      <c r="X1202" s="109">
        <v>0</v>
      </c>
      <c r="Y1202" s="109">
        <v>0</v>
      </c>
      <c r="Z1202" s="109">
        <v>0</v>
      </c>
      <c r="AA1202" s="109">
        <v>0</v>
      </c>
      <c r="AB1202" s="109">
        <v>0</v>
      </c>
      <c r="AC1202" s="109">
        <v>0</v>
      </c>
      <c r="AD1202" s="109">
        <v>0</v>
      </c>
      <c r="AE1202" s="109">
        <v>0</v>
      </c>
      <c r="AF1202" s="109">
        <v>0</v>
      </c>
      <c r="AG1202" s="109">
        <v>0</v>
      </c>
      <c r="AH1202" s="109">
        <v>0</v>
      </c>
      <c r="AI1202" s="109">
        <v>0</v>
      </c>
      <c r="AJ1202" s="109">
        <v>0</v>
      </c>
      <c r="AK1202" s="109">
        <v>0</v>
      </c>
      <c r="AL1202" s="109">
        <v>0</v>
      </c>
      <c r="AM1202" s="109">
        <v>0</v>
      </c>
      <c r="AN1202" s="109">
        <v>0</v>
      </c>
      <c r="AO1202" s="109">
        <v>0</v>
      </c>
      <c r="AP1202" s="109">
        <v>0</v>
      </c>
      <c r="AQ1202" s="109">
        <v>0</v>
      </c>
      <c r="AR1202" s="109">
        <v>0</v>
      </c>
    </row>
    <row r="1203" spans="13:44" x14ac:dyDescent="0.2">
      <c r="M1203" s="109">
        <v>3</v>
      </c>
      <c r="N1203" s="109">
        <v>0</v>
      </c>
      <c r="O1203" s="109">
        <v>0</v>
      </c>
      <c r="P1203" s="109">
        <v>0</v>
      </c>
      <c r="Q1203" s="109">
        <v>0</v>
      </c>
      <c r="R1203" s="109">
        <v>0</v>
      </c>
      <c r="S1203" s="109">
        <v>0</v>
      </c>
      <c r="T1203" s="109">
        <v>0</v>
      </c>
      <c r="U1203" s="109">
        <v>0</v>
      </c>
      <c r="V1203" s="109">
        <v>0</v>
      </c>
      <c r="W1203" s="109">
        <v>0</v>
      </c>
      <c r="X1203" s="109">
        <v>0</v>
      </c>
      <c r="Y1203" s="109">
        <v>0</v>
      </c>
      <c r="Z1203" s="109">
        <v>0</v>
      </c>
      <c r="AA1203" s="109">
        <v>0</v>
      </c>
      <c r="AB1203" s="109">
        <v>0</v>
      </c>
      <c r="AC1203" s="109">
        <v>0</v>
      </c>
      <c r="AD1203" s="109">
        <v>0</v>
      </c>
      <c r="AE1203" s="109">
        <v>0</v>
      </c>
      <c r="AF1203" s="109">
        <v>0</v>
      </c>
      <c r="AG1203" s="109">
        <v>0</v>
      </c>
      <c r="AH1203" s="109">
        <v>0</v>
      </c>
      <c r="AI1203" s="109">
        <v>0</v>
      </c>
      <c r="AJ1203" s="109">
        <v>0</v>
      </c>
      <c r="AK1203" s="109">
        <v>0</v>
      </c>
      <c r="AL1203" s="109">
        <v>0</v>
      </c>
      <c r="AM1203" s="109">
        <v>0</v>
      </c>
      <c r="AN1203" s="109">
        <v>0</v>
      </c>
      <c r="AO1203" s="109">
        <v>0</v>
      </c>
      <c r="AP1203" s="109">
        <v>0</v>
      </c>
      <c r="AQ1203" s="109">
        <v>0</v>
      </c>
      <c r="AR1203" s="109">
        <v>0</v>
      </c>
    </row>
    <row r="1204" spans="13:44" x14ac:dyDescent="0.2">
      <c r="M1204" s="109">
        <v>1</v>
      </c>
      <c r="N1204" s="109">
        <v>0</v>
      </c>
      <c r="O1204" s="109">
        <v>0</v>
      </c>
      <c r="P1204" s="109">
        <v>0</v>
      </c>
      <c r="Q1204" s="109">
        <v>0</v>
      </c>
      <c r="R1204" s="109">
        <v>0</v>
      </c>
      <c r="S1204" s="109">
        <v>0</v>
      </c>
      <c r="T1204" s="109">
        <v>0</v>
      </c>
      <c r="U1204" s="109">
        <v>0</v>
      </c>
      <c r="V1204" s="109">
        <v>0</v>
      </c>
      <c r="W1204" s="109">
        <v>0</v>
      </c>
      <c r="X1204" s="109">
        <v>0</v>
      </c>
      <c r="Y1204" s="109">
        <v>0</v>
      </c>
      <c r="Z1204" s="109">
        <v>0</v>
      </c>
      <c r="AA1204" s="109">
        <v>0</v>
      </c>
      <c r="AB1204" s="109">
        <v>0</v>
      </c>
      <c r="AC1204" s="109">
        <v>0</v>
      </c>
      <c r="AD1204" s="109">
        <v>0</v>
      </c>
      <c r="AE1204" s="109">
        <v>0</v>
      </c>
      <c r="AF1204" s="109">
        <v>0</v>
      </c>
      <c r="AG1204" s="109">
        <v>0</v>
      </c>
      <c r="AH1204" s="109">
        <v>0</v>
      </c>
      <c r="AI1204" s="109">
        <v>0</v>
      </c>
      <c r="AJ1204" s="109">
        <v>0</v>
      </c>
      <c r="AK1204" s="109">
        <v>0</v>
      </c>
      <c r="AL1204" s="109">
        <v>0</v>
      </c>
      <c r="AM1204" s="109">
        <v>0</v>
      </c>
      <c r="AN1204" s="109">
        <v>0</v>
      </c>
      <c r="AO1204" s="109">
        <v>0</v>
      </c>
      <c r="AP1204" s="109">
        <v>0</v>
      </c>
      <c r="AQ1204" s="109">
        <v>0</v>
      </c>
      <c r="AR1204" s="109">
        <v>0</v>
      </c>
    </row>
    <row r="1205" spans="13:44" x14ac:dyDescent="0.2">
      <c r="M1205" s="109">
        <v>1</v>
      </c>
      <c r="N1205" s="109">
        <v>0</v>
      </c>
      <c r="O1205" s="109">
        <v>0</v>
      </c>
      <c r="P1205" s="109">
        <v>0</v>
      </c>
      <c r="Q1205" s="109">
        <v>0</v>
      </c>
      <c r="R1205" s="109">
        <v>0</v>
      </c>
      <c r="S1205" s="109">
        <v>0</v>
      </c>
      <c r="T1205" s="109">
        <v>0</v>
      </c>
      <c r="U1205" s="109">
        <v>0</v>
      </c>
      <c r="V1205" s="109">
        <v>0</v>
      </c>
      <c r="W1205" s="109">
        <v>0</v>
      </c>
      <c r="X1205" s="109">
        <v>0</v>
      </c>
      <c r="Y1205" s="109">
        <v>0</v>
      </c>
      <c r="Z1205" s="109">
        <v>0</v>
      </c>
      <c r="AA1205" s="109">
        <v>0</v>
      </c>
      <c r="AB1205" s="109">
        <v>0</v>
      </c>
      <c r="AC1205" s="109">
        <v>0</v>
      </c>
      <c r="AD1205" s="109">
        <v>0</v>
      </c>
      <c r="AE1205" s="109">
        <v>0</v>
      </c>
      <c r="AF1205" s="109">
        <v>0</v>
      </c>
      <c r="AG1205" s="109">
        <v>0</v>
      </c>
      <c r="AH1205" s="109">
        <v>0</v>
      </c>
      <c r="AI1205" s="109">
        <v>0</v>
      </c>
      <c r="AJ1205" s="109">
        <v>0</v>
      </c>
      <c r="AK1205" s="109">
        <v>0</v>
      </c>
      <c r="AL1205" s="109">
        <v>0</v>
      </c>
      <c r="AM1205" s="109">
        <v>0</v>
      </c>
      <c r="AN1205" s="109">
        <v>0</v>
      </c>
      <c r="AO1205" s="109">
        <v>0</v>
      </c>
      <c r="AP1205" s="109">
        <v>0</v>
      </c>
      <c r="AQ1205" s="109">
        <v>0</v>
      </c>
      <c r="AR1205" s="109">
        <v>0</v>
      </c>
    </row>
    <row r="1206" spans="13:44" x14ac:dyDescent="0.2">
      <c r="M1206" s="109">
        <v>1</v>
      </c>
      <c r="N1206" s="109">
        <v>0</v>
      </c>
      <c r="O1206" s="109">
        <v>0</v>
      </c>
      <c r="P1206" s="109">
        <v>0</v>
      </c>
      <c r="Q1206" s="109">
        <v>0</v>
      </c>
      <c r="R1206" s="109">
        <v>0</v>
      </c>
      <c r="S1206" s="109">
        <v>0</v>
      </c>
      <c r="T1206" s="109">
        <v>0</v>
      </c>
      <c r="U1206" s="109">
        <v>0</v>
      </c>
      <c r="V1206" s="109">
        <v>0</v>
      </c>
      <c r="W1206" s="109">
        <v>0</v>
      </c>
      <c r="X1206" s="109">
        <v>0</v>
      </c>
      <c r="Y1206" s="109">
        <v>0</v>
      </c>
      <c r="Z1206" s="109">
        <v>0</v>
      </c>
      <c r="AA1206" s="109">
        <v>0</v>
      </c>
      <c r="AB1206" s="109">
        <v>0</v>
      </c>
      <c r="AC1206" s="109">
        <v>0</v>
      </c>
      <c r="AD1206" s="109">
        <v>0</v>
      </c>
      <c r="AE1206" s="109">
        <v>0</v>
      </c>
      <c r="AF1206" s="109">
        <v>0</v>
      </c>
      <c r="AG1206" s="109">
        <v>0</v>
      </c>
      <c r="AH1206" s="109">
        <v>0</v>
      </c>
      <c r="AI1206" s="109">
        <v>0</v>
      </c>
      <c r="AJ1206" s="109">
        <v>0</v>
      </c>
      <c r="AK1206" s="109">
        <v>0</v>
      </c>
      <c r="AL1206" s="109">
        <v>0</v>
      </c>
      <c r="AM1206" s="109">
        <v>0</v>
      </c>
      <c r="AN1206" s="109">
        <v>0</v>
      </c>
      <c r="AO1206" s="109">
        <v>0</v>
      </c>
      <c r="AP1206" s="109">
        <v>0</v>
      </c>
      <c r="AQ1206" s="109">
        <v>0</v>
      </c>
      <c r="AR1206" s="109">
        <v>0</v>
      </c>
    </row>
    <row r="1207" spans="13:44" x14ac:dyDescent="0.2">
      <c r="M1207" s="109">
        <v>1</v>
      </c>
      <c r="N1207" s="109">
        <v>0</v>
      </c>
      <c r="O1207" s="109">
        <v>0</v>
      </c>
      <c r="P1207" s="109">
        <v>0</v>
      </c>
      <c r="Q1207" s="109">
        <v>0</v>
      </c>
      <c r="R1207" s="109">
        <v>0</v>
      </c>
      <c r="S1207" s="109">
        <v>0</v>
      </c>
      <c r="T1207" s="109">
        <v>0</v>
      </c>
      <c r="U1207" s="109">
        <v>0</v>
      </c>
      <c r="V1207" s="109">
        <v>0</v>
      </c>
      <c r="W1207" s="109">
        <v>0</v>
      </c>
      <c r="X1207" s="109">
        <v>0</v>
      </c>
      <c r="Y1207" s="109">
        <v>0</v>
      </c>
      <c r="Z1207" s="109">
        <v>0</v>
      </c>
      <c r="AA1207" s="109">
        <v>0</v>
      </c>
      <c r="AB1207" s="109">
        <v>0</v>
      </c>
      <c r="AC1207" s="109">
        <v>0</v>
      </c>
      <c r="AD1207" s="109">
        <v>0</v>
      </c>
      <c r="AE1207" s="109">
        <v>0</v>
      </c>
      <c r="AF1207" s="109">
        <v>0</v>
      </c>
      <c r="AG1207" s="109">
        <v>0</v>
      </c>
      <c r="AH1207" s="109">
        <v>0</v>
      </c>
      <c r="AI1207" s="109">
        <v>0</v>
      </c>
      <c r="AJ1207" s="109">
        <v>0</v>
      </c>
      <c r="AK1207" s="109">
        <v>0</v>
      </c>
      <c r="AL1207" s="109">
        <v>0</v>
      </c>
      <c r="AM1207" s="109">
        <v>0</v>
      </c>
      <c r="AN1207" s="109">
        <v>0</v>
      </c>
      <c r="AO1207" s="109">
        <v>0</v>
      </c>
      <c r="AP1207" s="109">
        <v>0</v>
      </c>
      <c r="AQ1207" s="109">
        <v>0</v>
      </c>
      <c r="AR1207" s="109">
        <v>0</v>
      </c>
    </row>
    <row r="1208" spans="13:44" x14ac:dyDescent="0.2">
      <c r="M1208" s="109">
        <v>2</v>
      </c>
      <c r="N1208" s="109">
        <v>0</v>
      </c>
      <c r="O1208" s="109">
        <v>0</v>
      </c>
      <c r="P1208" s="109">
        <v>0</v>
      </c>
      <c r="Q1208" s="109">
        <v>0</v>
      </c>
      <c r="R1208" s="109">
        <v>0</v>
      </c>
      <c r="S1208" s="109">
        <v>0</v>
      </c>
      <c r="T1208" s="109">
        <v>0</v>
      </c>
      <c r="U1208" s="109">
        <v>0</v>
      </c>
      <c r="V1208" s="109">
        <v>0</v>
      </c>
      <c r="W1208" s="109">
        <v>0</v>
      </c>
      <c r="X1208" s="109">
        <v>0</v>
      </c>
      <c r="Y1208" s="109">
        <v>0</v>
      </c>
      <c r="Z1208" s="109">
        <v>0</v>
      </c>
      <c r="AA1208" s="109">
        <v>0</v>
      </c>
      <c r="AB1208" s="109">
        <v>0</v>
      </c>
      <c r="AC1208" s="109">
        <v>0</v>
      </c>
      <c r="AD1208" s="109">
        <v>0</v>
      </c>
      <c r="AE1208" s="109">
        <v>0</v>
      </c>
      <c r="AF1208" s="109">
        <v>0</v>
      </c>
      <c r="AG1208" s="109">
        <v>0</v>
      </c>
      <c r="AH1208" s="109">
        <v>0</v>
      </c>
      <c r="AI1208" s="109">
        <v>0</v>
      </c>
      <c r="AJ1208" s="109">
        <v>0</v>
      </c>
      <c r="AK1208" s="109">
        <v>0</v>
      </c>
      <c r="AL1208" s="109">
        <v>0</v>
      </c>
      <c r="AM1208" s="109">
        <v>0</v>
      </c>
      <c r="AN1208" s="109">
        <v>0</v>
      </c>
      <c r="AO1208" s="109">
        <v>0</v>
      </c>
      <c r="AP1208" s="109">
        <v>0</v>
      </c>
      <c r="AQ1208" s="109">
        <v>0</v>
      </c>
      <c r="AR1208" s="109">
        <v>0</v>
      </c>
    </row>
    <row r="1209" spans="13:44" x14ac:dyDescent="0.2">
      <c r="M1209" s="109">
        <v>2</v>
      </c>
      <c r="N1209" s="109">
        <v>0</v>
      </c>
      <c r="O1209" s="109">
        <v>0</v>
      </c>
      <c r="P1209" s="109">
        <v>0</v>
      </c>
      <c r="Q1209" s="109">
        <v>0</v>
      </c>
      <c r="R1209" s="109">
        <v>0</v>
      </c>
      <c r="S1209" s="109">
        <v>0</v>
      </c>
      <c r="T1209" s="109">
        <v>0</v>
      </c>
      <c r="U1209" s="109">
        <v>0</v>
      </c>
      <c r="V1209" s="109">
        <v>0</v>
      </c>
      <c r="W1209" s="109">
        <v>0</v>
      </c>
      <c r="X1209" s="109">
        <v>0</v>
      </c>
      <c r="Y1209" s="109">
        <v>0</v>
      </c>
      <c r="Z1209" s="109">
        <v>0</v>
      </c>
      <c r="AA1209" s="109">
        <v>0</v>
      </c>
      <c r="AB1209" s="109">
        <v>0</v>
      </c>
      <c r="AC1209" s="109">
        <v>0</v>
      </c>
      <c r="AD1209" s="109">
        <v>0</v>
      </c>
      <c r="AE1209" s="109">
        <v>0</v>
      </c>
      <c r="AF1209" s="109">
        <v>0</v>
      </c>
      <c r="AG1209" s="109">
        <v>0</v>
      </c>
      <c r="AH1209" s="109">
        <v>0</v>
      </c>
      <c r="AI1209" s="109">
        <v>0</v>
      </c>
      <c r="AJ1209" s="109">
        <v>0</v>
      </c>
      <c r="AK1209" s="109">
        <v>0</v>
      </c>
      <c r="AL1209" s="109">
        <v>0</v>
      </c>
      <c r="AM1209" s="109">
        <v>0</v>
      </c>
      <c r="AN1209" s="109">
        <v>0</v>
      </c>
      <c r="AO1209" s="109">
        <v>0</v>
      </c>
      <c r="AP1209" s="109">
        <v>0</v>
      </c>
      <c r="AQ1209" s="109">
        <v>0</v>
      </c>
      <c r="AR1209" s="109">
        <v>0</v>
      </c>
    </row>
    <row r="1210" spans="13:44" x14ac:dyDescent="0.2">
      <c r="N1210" s="109">
        <v>0</v>
      </c>
      <c r="O1210" s="109">
        <v>0</v>
      </c>
      <c r="P1210" s="109">
        <v>0</v>
      </c>
      <c r="Q1210" s="109">
        <v>0</v>
      </c>
      <c r="R1210" s="109">
        <v>0</v>
      </c>
      <c r="S1210" s="109">
        <v>0</v>
      </c>
      <c r="T1210" s="109">
        <v>0</v>
      </c>
      <c r="U1210" s="109">
        <v>0</v>
      </c>
      <c r="V1210" s="109">
        <v>0</v>
      </c>
      <c r="W1210" s="109">
        <v>0</v>
      </c>
      <c r="X1210" s="109">
        <v>0</v>
      </c>
      <c r="Y1210" s="109">
        <v>0</v>
      </c>
      <c r="Z1210" s="109">
        <v>0</v>
      </c>
      <c r="AA1210" s="109">
        <v>0</v>
      </c>
      <c r="AB1210" s="109">
        <v>0</v>
      </c>
      <c r="AC1210" s="109">
        <v>0</v>
      </c>
      <c r="AD1210" s="109">
        <v>0</v>
      </c>
      <c r="AE1210" s="109">
        <v>0</v>
      </c>
      <c r="AF1210" s="109">
        <v>0</v>
      </c>
      <c r="AG1210" s="109">
        <v>0</v>
      </c>
      <c r="AH1210" s="109">
        <v>0</v>
      </c>
      <c r="AI1210" s="109">
        <v>0</v>
      </c>
      <c r="AJ1210" s="109">
        <v>0</v>
      </c>
      <c r="AK1210" s="109">
        <v>0</v>
      </c>
      <c r="AL1210" s="109">
        <v>0</v>
      </c>
      <c r="AM1210" s="109">
        <v>0</v>
      </c>
      <c r="AN1210" s="109">
        <v>0</v>
      </c>
      <c r="AO1210" s="109">
        <v>0</v>
      </c>
      <c r="AP1210" s="109">
        <v>0</v>
      </c>
      <c r="AQ1210" s="109">
        <v>0</v>
      </c>
      <c r="AR1210" s="109">
        <v>0</v>
      </c>
    </row>
    <row r="1217" spans="13:22" x14ac:dyDescent="0.2">
      <c r="M1217" s="109" t="s">
        <v>551</v>
      </c>
    </row>
    <row r="1218" spans="13:22" x14ac:dyDescent="0.2">
      <c r="M1218" s="109" t="s">
        <v>233</v>
      </c>
    </row>
    <row r="1219" spans="13:22" x14ac:dyDescent="0.2">
      <c r="M1219" s="109" t="s">
        <v>60</v>
      </c>
    </row>
    <row r="1220" spans="13:22" x14ac:dyDescent="0.2">
      <c r="M1220" s="109" t="s">
        <v>232</v>
      </c>
      <c r="V1220" s="109">
        <v>0</v>
      </c>
    </row>
    <row r="1221" spans="13:22" x14ac:dyDescent="0.2">
      <c r="V1221" s="109">
        <v>0</v>
      </c>
    </row>
    <row r="1222" spans="13:22" x14ac:dyDescent="0.2">
      <c r="V1222" s="109">
        <v>0</v>
      </c>
    </row>
  </sheetData>
  <sheetProtection password="FFFF" sheet="1" objects="1" scenarios="1" selectLockedCells="1" selectUnlockedCells="1"/>
  <phoneticPr fontId="0" type="noConversion"/>
  <pageMargins left="0.75" right="0.75" top="1" bottom="1" header="0.5" footer="0.5"/>
  <pageSetup paperSize="9" orientation="portrait" horizontalDpi="0" verticalDpi="0" r:id="rId1"/>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AZ1244"/>
  <sheetViews>
    <sheetView zoomScale="80" zoomScaleNormal="80" workbookViewId="0">
      <pane xSplit="2" ySplit="1" topLeftCell="C1199" activePane="bottomRight" state="frozenSplit"/>
      <selection pane="topRight" activeCell="C1" sqref="C1"/>
      <selection pane="bottomLeft" activeCell="L1" sqref="L1"/>
      <selection pane="bottomRight" activeCell="L1199" sqref="L1199"/>
    </sheetView>
  </sheetViews>
  <sheetFormatPr defaultRowHeight="14.25" x14ac:dyDescent="0.2"/>
  <cols>
    <col min="1" max="1" width="6.7109375" style="16" customWidth="1"/>
    <col min="2" max="2" width="30.7109375" style="17" customWidth="1"/>
    <col min="3" max="3" width="40.7109375" style="17" hidden="1" customWidth="1"/>
    <col min="4" max="4" width="24.42578125" style="18" hidden="1" customWidth="1"/>
    <col min="5" max="6" width="22.7109375" style="18" hidden="1" customWidth="1"/>
    <col min="7" max="7" width="15.28515625" style="17" hidden="1" customWidth="1"/>
    <col min="8" max="8" width="22.28515625" style="17" hidden="1" customWidth="1"/>
    <col min="9" max="9" width="8.140625" style="19" hidden="1" customWidth="1"/>
    <col min="10" max="10" width="0" style="20" hidden="1" customWidth="1"/>
    <col min="11" max="11" width="8.140625" style="19" hidden="1" customWidth="1"/>
    <col min="12" max="13" width="12.7109375" style="18" customWidth="1"/>
    <col min="14" max="44" width="9.140625" style="18"/>
    <col min="45" max="45" width="9.5703125" style="19" customWidth="1"/>
    <col min="51" max="51" width="9.5703125" bestFit="1" customWidth="1"/>
    <col min="52" max="52" width="18.140625" customWidth="1"/>
  </cols>
  <sheetData>
    <row r="1" spans="1:45" s="64" customFormat="1" ht="51" x14ac:dyDescent="0.2">
      <c r="A1" s="196" t="s">
        <v>392</v>
      </c>
      <c r="B1" s="197" t="s">
        <v>622</v>
      </c>
      <c r="C1" s="197" t="s">
        <v>394</v>
      </c>
      <c r="D1" s="197" t="s">
        <v>395</v>
      </c>
      <c r="E1" s="197" t="s">
        <v>396</v>
      </c>
      <c r="F1" s="197" t="s">
        <v>391</v>
      </c>
      <c r="G1" s="197" t="s">
        <v>397</v>
      </c>
      <c r="H1" s="197" t="s">
        <v>195</v>
      </c>
      <c r="I1" s="198" t="str">
        <f>'Messages Dictionary'!I1</f>
        <v>Total Events</v>
      </c>
      <c r="J1" s="199" t="str">
        <f>'Messages Dictionary'!J1</f>
        <v>Weight Index</v>
      </c>
      <c r="K1" s="195" t="s">
        <v>401</v>
      </c>
      <c r="L1" s="189"/>
      <c r="M1" s="189"/>
      <c r="N1" s="189" t="s">
        <v>196</v>
      </c>
      <c r="O1" s="194" t="s">
        <v>337</v>
      </c>
      <c r="P1" s="194" t="s">
        <v>338</v>
      </c>
      <c r="Q1" s="194" t="s">
        <v>339</v>
      </c>
      <c r="R1" s="194" t="s">
        <v>340</v>
      </c>
      <c r="S1" s="194" t="s">
        <v>341</v>
      </c>
      <c r="T1" s="194" t="s">
        <v>342</v>
      </c>
      <c r="U1" s="194" t="s">
        <v>343</v>
      </c>
      <c r="V1" s="194" t="s">
        <v>344</v>
      </c>
      <c r="W1" s="194" t="s">
        <v>345</v>
      </c>
      <c r="X1" s="194" t="s">
        <v>346</v>
      </c>
      <c r="Y1" s="194" t="s">
        <v>347</v>
      </c>
      <c r="Z1" s="194" t="s">
        <v>348</v>
      </c>
      <c r="AA1" s="194" t="s">
        <v>349</v>
      </c>
      <c r="AB1" s="194" t="s">
        <v>350</v>
      </c>
      <c r="AC1" s="194" t="s">
        <v>351</v>
      </c>
      <c r="AD1" s="194" t="s">
        <v>352</v>
      </c>
      <c r="AE1" s="194" t="s">
        <v>353</v>
      </c>
      <c r="AF1" s="194" t="s">
        <v>354</v>
      </c>
      <c r="AG1" s="194" t="s">
        <v>355</v>
      </c>
      <c r="AH1" s="194" t="s">
        <v>356</v>
      </c>
      <c r="AI1" s="194" t="s">
        <v>357</v>
      </c>
      <c r="AJ1" s="194" t="s">
        <v>358</v>
      </c>
      <c r="AK1" s="194" t="s">
        <v>359</v>
      </c>
      <c r="AL1" s="194" t="s">
        <v>360</v>
      </c>
      <c r="AM1" s="194" t="s">
        <v>361</v>
      </c>
      <c r="AN1" s="194" t="s">
        <v>362</v>
      </c>
      <c r="AO1" s="194" t="s">
        <v>363</v>
      </c>
      <c r="AP1" s="194" t="s">
        <v>364</v>
      </c>
      <c r="AQ1" s="194" t="s">
        <v>365</v>
      </c>
      <c r="AR1" s="194" t="s">
        <v>366</v>
      </c>
      <c r="AS1" s="195" t="s">
        <v>197</v>
      </c>
    </row>
    <row r="2" spans="1:45" ht="42.75" hidden="1" x14ac:dyDescent="0.2">
      <c r="A2" s="65">
        <v>0</v>
      </c>
      <c r="B2" s="9" t="s">
        <v>402</v>
      </c>
      <c r="C2" s="9" t="s">
        <v>403</v>
      </c>
      <c r="D2" s="9" t="s">
        <v>404</v>
      </c>
      <c r="E2" s="9" t="s">
        <v>404</v>
      </c>
      <c r="F2" s="9" t="s">
        <v>198</v>
      </c>
      <c r="G2" s="9" t="s">
        <v>405</v>
      </c>
      <c r="H2" s="9" t="s">
        <v>406</v>
      </c>
      <c r="I2" s="55">
        <f>'Messages Dictionary'!I2</f>
        <v>0</v>
      </c>
      <c r="J2" s="10">
        <f>'Messages Dictionary'!J2</f>
        <v>0.25</v>
      </c>
      <c r="K2" s="10">
        <f t="shared" ref="K2:K65" si="0">I2*J2</f>
        <v>0</v>
      </c>
      <c r="L2" s="66"/>
      <c r="M2" s="66"/>
      <c r="N2" s="67"/>
      <c r="O2" s="67"/>
      <c r="P2" s="67"/>
      <c r="Q2" s="67"/>
      <c r="R2" s="67"/>
      <c r="S2" s="67"/>
      <c r="T2" s="67"/>
      <c r="U2" s="67"/>
      <c r="V2" s="67"/>
      <c r="W2" s="67"/>
      <c r="X2" s="67"/>
      <c r="Y2" s="67"/>
      <c r="Z2" s="67"/>
      <c r="AA2" s="67"/>
      <c r="AB2" s="67"/>
      <c r="AC2" s="67"/>
      <c r="AD2" s="67"/>
      <c r="AE2" s="67"/>
      <c r="AF2" s="67"/>
      <c r="AG2" s="67"/>
      <c r="AH2" s="67"/>
      <c r="AI2" s="67"/>
      <c r="AJ2" s="67"/>
      <c r="AK2" s="67"/>
      <c r="AL2" s="67"/>
      <c r="AM2" s="67"/>
      <c r="AN2" s="67"/>
      <c r="AO2" s="67"/>
      <c r="AP2" s="67"/>
      <c r="AQ2" s="67"/>
      <c r="AR2" s="67"/>
      <c r="AS2" s="55">
        <f>'Messages Dictionary'!I2</f>
        <v>0</v>
      </c>
    </row>
    <row r="3" spans="1:45" hidden="1" x14ac:dyDescent="0.2">
      <c r="A3" s="65">
        <v>5</v>
      </c>
      <c r="B3" s="9" t="s">
        <v>408</v>
      </c>
      <c r="C3" s="9" t="s">
        <v>409</v>
      </c>
      <c r="D3" s="9" t="s">
        <v>404</v>
      </c>
      <c r="E3" s="9" t="s">
        <v>404</v>
      </c>
      <c r="F3" s="9" t="s">
        <v>198</v>
      </c>
      <c r="G3" s="9" t="s">
        <v>405</v>
      </c>
      <c r="H3" s="9" t="s">
        <v>406</v>
      </c>
      <c r="I3" s="55">
        <f>'Messages Dictionary'!I3</f>
        <v>0</v>
      </c>
      <c r="J3" s="10">
        <f>'Messages Dictionary'!J3</f>
        <v>1</v>
      </c>
      <c r="K3" s="10">
        <f t="shared" si="0"/>
        <v>0</v>
      </c>
      <c r="L3" s="66"/>
      <c r="M3" s="66"/>
      <c r="N3" s="67"/>
      <c r="O3" s="67"/>
      <c r="P3" s="67"/>
      <c r="Q3" s="67"/>
      <c r="R3" s="67"/>
      <c r="S3" s="67"/>
      <c r="T3" s="67"/>
      <c r="U3" s="67"/>
      <c r="V3" s="67"/>
      <c r="W3" s="67"/>
      <c r="X3" s="67"/>
      <c r="Y3" s="67"/>
      <c r="Z3" s="67"/>
      <c r="AA3" s="67"/>
      <c r="AB3" s="67"/>
      <c r="AC3" s="67"/>
      <c r="AD3" s="67"/>
      <c r="AE3" s="67"/>
      <c r="AF3" s="67"/>
      <c r="AG3" s="67"/>
      <c r="AH3" s="67"/>
      <c r="AI3" s="67"/>
      <c r="AJ3" s="67"/>
      <c r="AK3" s="67"/>
      <c r="AL3" s="67"/>
      <c r="AM3" s="67"/>
      <c r="AN3" s="67"/>
      <c r="AO3" s="67"/>
      <c r="AP3" s="67"/>
      <c r="AQ3" s="67"/>
      <c r="AR3" s="67"/>
      <c r="AS3" s="55">
        <f>'Messages Dictionary'!I3</f>
        <v>0</v>
      </c>
    </row>
    <row r="4" spans="1:45" ht="28.5" hidden="1" x14ac:dyDescent="0.2">
      <c r="A4" s="65">
        <v>7</v>
      </c>
      <c r="B4" s="9" t="s">
        <v>627</v>
      </c>
      <c r="C4" s="9" t="s">
        <v>411</v>
      </c>
      <c r="D4" s="9" t="s">
        <v>404</v>
      </c>
      <c r="E4" s="9" t="s">
        <v>404</v>
      </c>
      <c r="F4" s="9" t="s">
        <v>199</v>
      </c>
      <c r="G4" s="9" t="s">
        <v>412</v>
      </c>
      <c r="H4" s="9" t="s">
        <v>831</v>
      </c>
      <c r="I4" s="55">
        <f>'Messages Dictionary'!I4</f>
        <v>0</v>
      </c>
      <c r="J4" s="10">
        <f>'Messages Dictionary'!J4</f>
        <v>0.5</v>
      </c>
      <c r="K4" s="10">
        <f t="shared" si="0"/>
        <v>0</v>
      </c>
      <c r="L4" s="66"/>
      <c r="M4" s="66"/>
      <c r="N4" s="67"/>
      <c r="O4" s="67"/>
      <c r="P4" s="67"/>
      <c r="Q4" s="67"/>
      <c r="R4" s="67"/>
      <c r="S4" s="67"/>
      <c r="T4" s="67"/>
      <c r="U4" s="67"/>
      <c r="V4" s="67"/>
      <c r="W4" s="67"/>
      <c r="X4" s="67"/>
      <c r="Y4" s="67"/>
      <c r="Z4" s="67"/>
      <c r="AA4" s="67"/>
      <c r="AB4" s="67"/>
      <c r="AC4" s="67"/>
      <c r="AD4" s="67"/>
      <c r="AE4" s="67"/>
      <c r="AF4" s="67"/>
      <c r="AG4" s="67"/>
      <c r="AH4" s="67"/>
      <c r="AI4" s="67"/>
      <c r="AJ4" s="67"/>
      <c r="AK4" s="67"/>
      <c r="AL4" s="67"/>
      <c r="AM4" s="67"/>
      <c r="AN4" s="67"/>
      <c r="AO4" s="67"/>
      <c r="AP4" s="67"/>
      <c r="AQ4" s="67"/>
      <c r="AR4" s="67"/>
      <c r="AS4" s="55">
        <f>'Messages Dictionary'!I4</f>
        <v>0</v>
      </c>
    </row>
    <row r="5" spans="1:45" ht="28.5" hidden="1" x14ac:dyDescent="0.2">
      <c r="A5" s="65">
        <v>8</v>
      </c>
      <c r="B5" s="9" t="s">
        <v>410</v>
      </c>
      <c r="C5" s="9" t="s">
        <v>411</v>
      </c>
      <c r="D5" s="9" t="s">
        <v>404</v>
      </c>
      <c r="E5" s="9" t="s">
        <v>404</v>
      </c>
      <c r="F5" s="9" t="s">
        <v>199</v>
      </c>
      <c r="G5" s="9" t="s">
        <v>412</v>
      </c>
      <c r="H5" s="9" t="s">
        <v>831</v>
      </c>
      <c r="I5" s="55">
        <f>'Messages Dictionary'!I5</f>
        <v>0</v>
      </c>
      <c r="J5" s="10">
        <f>'Messages Dictionary'!J5</f>
        <v>0.5</v>
      </c>
      <c r="K5" s="10">
        <f t="shared" si="0"/>
        <v>0</v>
      </c>
      <c r="L5" s="66"/>
      <c r="M5" s="66"/>
      <c r="N5" s="67"/>
      <c r="O5" s="67"/>
      <c r="P5" s="67"/>
      <c r="Q5" s="67"/>
      <c r="R5" s="67"/>
      <c r="S5" s="67"/>
      <c r="T5" s="67"/>
      <c r="U5" s="67"/>
      <c r="V5" s="67"/>
      <c r="W5" s="67"/>
      <c r="X5" s="67"/>
      <c r="Y5" s="67"/>
      <c r="Z5" s="67"/>
      <c r="AA5" s="67"/>
      <c r="AB5" s="67"/>
      <c r="AC5" s="67"/>
      <c r="AD5" s="67"/>
      <c r="AE5" s="67"/>
      <c r="AF5" s="67"/>
      <c r="AG5" s="67"/>
      <c r="AH5" s="67"/>
      <c r="AI5" s="67"/>
      <c r="AJ5" s="67"/>
      <c r="AK5" s="67"/>
      <c r="AL5" s="67"/>
      <c r="AM5" s="67"/>
      <c r="AN5" s="67"/>
      <c r="AO5" s="67"/>
      <c r="AP5" s="67"/>
      <c r="AQ5" s="67"/>
      <c r="AR5" s="67"/>
      <c r="AS5" s="55">
        <f>'Messages Dictionary'!I5</f>
        <v>0</v>
      </c>
    </row>
    <row r="6" spans="1:45" ht="28.5" hidden="1" x14ac:dyDescent="0.2">
      <c r="A6" s="65">
        <v>9</v>
      </c>
      <c r="B6" s="9" t="s">
        <v>413</v>
      </c>
      <c r="C6" s="9" t="s">
        <v>411</v>
      </c>
      <c r="D6" s="9" t="s">
        <v>404</v>
      </c>
      <c r="E6" s="9" t="s">
        <v>404</v>
      </c>
      <c r="F6" s="9" t="s">
        <v>199</v>
      </c>
      <c r="G6" s="9" t="s">
        <v>412</v>
      </c>
      <c r="H6" s="9" t="s">
        <v>831</v>
      </c>
      <c r="I6" s="55">
        <f>'Messages Dictionary'!I6</f>
        <v>0</v>
      </c>
      <c r="J6" s="10">
        <f>'Messages Dictionary'!J6</f>
        <v>0.5</v>
      </c>
      <c r="K6" s="10">
        <f t="shared" si="0"/>
        <v>0</v>
      </c>
      <c r="L6" s="66"/>
      <c r="M6" s="66"/>
      <c r="N6" s="67"/>
      <c r="O6" s="67"/>
      <c r="P6" s="67"/>
      <c r="Q6" s="67"/>
      <c r="R6" s="67"/>
      <c r="S6" s="67"/>
      <c r="T6" s="67"/>
      <c r="U6" s="67"/>
      <c r="V6" s="67"/>
      <c r="W6" s="67"/>
      <c r="X6" s="67"/>
      <c r="Y6" s="67"/>
      <c r="Z6" s="67"/>
      <c r="AA6" s="67"/>
      <c r="AB6" s="67"/>
      <c r="AC6" s="67"/>
      <c r="AD6" s="67"/>
      <c r="AE6" s="67"/>
      <c r="AF6" s="67"/>
      <c r="AG6" s="67"/>
      <c r="AH6" s="67"/>
      <c r="AI6" s="67"/>
      <c r="AJ6" s="67"/>
      <c r="AK6" s="67"/>
      <c r="AL6" s="67"/>
      <c r="AM6" s="67"/>
      <c r="AN6" s="67"/>
      <c r="AO6" s="67"/>
      <c r="AP6" s="67"/>
      <c r="AQ6" s="67"/>
      <c r="AR6" s="67"/>
      <c r="AS6" s="55">
        <f>'Messages Dictionary'!I6</f>
        <v>0</v>
      </c>
    </row>
    <row r="7" spans="1:45" ht="28.5" hidden="1" x14ac:dyDescent="0.2">
      <c r="A7" s="65">
        <v>10</v>
      </c>
      <c r="B7" s="9" t="s">
        <v>414</v>
      </c>
      <c r="C7" s="9" t="s">
        <v>415</v>
      </c>
      <c r="D7" s="9" t="s">
        <v>404</v>
      </c>
      <c r="E7" s="9" t="s">
        <v>404</v>
      </c>
      <c r="F7" s="9" t="s">
        <v>199</v>
      </c>
      <c r="G7" s="9" t="s">
        <v>412</v>
      </c>
      <c r="H7" s="9" t="s">
        <v>831</v>
      </c>
      <c r="I7" s="55">
        <f>'Messages Dictionary'!I7</f>
        <v>0</v>
      </c>
      <c r="J7" s="10">
        <f>'Messages Dictionary'!J7</f>
        <v>0.5</v>
      </c>
      <c r="K7" s="10">
        <f t="shared" si="0"/>
        <v>0</v>
      </c>
      <c r="L7" s="66"/>
      <c r="M7" s="66"/>
      <c r="N7" s="67"/>
      <c r="O7" s="67"/>
      <c r="P7" s="67"/>
      <c r="Q7" s="67"/>
      <c r="R7" s="67"/>
      <c r="S7" s="67"/>
      <c r="T7" s="67"/>
      <c r="U7" s="67"/>
      <c r="V7" s="67"/>
      <c r="W7" s="67"/>
      <c r="X7" s="67"/>
      <c r="Y7" s="67"/>
      <c r="Z7" s="67"/>
      <c r="AA7" s="67"/>
      <c r="AB7" s="67"/>
      <c r="AC7" s="67"/>
      <c r="AD7" s="67"/>
      <c r="AE7" s="67"/>
      <c r="AF7" s="67"/>
      <c r="AG7" s="67"/>
      <c r="AH7" s="67"/>
      <c r="AI7" s="67"/>
      <c r="AJ7" s="67"/>
      <c r="AK7" s="67"/>
      <c r="AL7" s="67"/>
      <c r="AM7" s="67"/>
      <c r="AN7" s="67"/>
      <c r="AO7" s="67"/>
      <c r="AP7" s="67"/>
      <c r="AQ7" s="67"/>
      <c r="AR7" s="67"/>
      <c r="AS7" s="55">
        <f>'Messages Dictionary'!I7</f>
        <v>0</v>
      </c>
    </row>
    <row r="8" spans="1:45" ht="28.5" hidden="1" x14ac:dyDescent="0.2">
      <c r="A8" s="65">
        <v>11</v>
      </c>
      <c r="B8" s="9" t="s">
        <v>417</v>
      </c>
      <c r="C8" s="9" t="s">
        <v>415</v>
      </c>
      <c r="D8" s="9" t="s">
        <v>404</v>
      </c>
      <c r="E8" s="9" t="s">
        <v>404</v>
      </c>
      <c r="F8" s="9" t="s">
        <v>199</v>
      </c>
      <c r="G8" s="9" t="s">
        <v>412</v>
      </c>
      <c r="H8" s="9" t="s">
        <v>831</v>
      </c>
      <c r="I8" s="55">
        <f>'Messages Dictionary'!I8</f>
        <v>0</v>
      </c>
      <c r="J8" s="10">
        <f>'Messages Dictionary'!J8</f>
        <v>0.5</v>
      </c>
      <c r="K8" s="10">
        <f t="shared" si="0"/>
        <v>0</v>
      </c>
      <c r="L8" s="66"/>
      <c r="M8" s="66"/>
      <c r="N8" s="67"/>
      <c r="O8" s="67"/>
      <c r="P8" s="67"/>
      <c r="Q8" s="67"/>
      <c r="R8" s="67"/>
      <c r="S8" s="67"/>
      <c r="T8" s="67"/>
      <c r="U8" s="67"/>
      <c r="V8" s="67"/>
      <c r="W8" s="67"/>
      <c r="X8" s="67"/>
      <c r="Y8" s="67"/>
      <c r="Z8" s="67"/>
      <c r="AA8" s="67"/>
      <c r="AB8" s="67"/>
      <c r="AC8" s="67"/>
      <c r="AD8" s="67"/>
      <c r="AE8" s="67"/>
      <c r="AF8" s="67"/>
      <c r="AG8" s="67"/>
      <c r="AH8" s="67"/>
      <c r="AI8" s="67"/>
      <c r="AJ8" s="67"/>
      <c r="AK8" s="67"/>
      <c r="AL8" s="67"/>
      <c r="AM8" s="67"/>
      <c r="AN8" s="67"/>
      <c r="AO8" s="67"/>
      <c r="AP8" s="67"/>
      <c r="AQ8" s="67"/>
      <c r="AR8" s="67"/>
      <c r="AS8" s="55">
        <f>'Messages Dictionary'!I8</f>
        <v>0</v>
      </c>
    </row>
    <row r="9" spans="1:45" ht="28.5" hidden="1" x14ac:dyDescent="0.2">
      <c r="A9" s="65">
        <v>12</v>
      </c>
      <c r="B9" s="9" t="s">
        <v>418</v>
      </c>
      <c r="C9" s="9" t="s">
        <v>411</v>
      </c>
      <c r="D9" s="9" t="s">
        <v>404</v>
      </c>
      <c r="E9" s="9" t="s">
        <v>404</v>
      </c>
      <c r="F9" s="9" t="s">
        <v>199</v>
      </c>
      <c r="G9" s="9" t="s">
        <v>412</v>
      </c>
      <c r="H9" s="9" t="s">
        <v>831</v>
      </c>
      <c r="I9" s="55">
        <f>'Messages Dictionary'!I9</f>
        <v>0</v>
      </c>
      <c r="J9" s="10">
        <f>'Messages Dictionary'!J9</f>
        <v>0.5</v>
      </c>
      <c r="K9" s="10">
        <f t="shared" si="0"/>
        <v>0</v>
      </c>
      <c r="L9" s="66"/>
      <c r="M9" s="66"/>
      <c r="N9" s="67"/>
      <c r="O9" s="67"/>
      <c r="P9" s="67"/>
      <c r="Q9" s="67"/>
      <c r="R9" s="67"/>
      <c r="S9" s="67"/>
      <c r="T9" s="67"/>
      <c r="U9" s="67"/>
      <c r="V9" s="67"/>
      <c r="W9" s="67"/>
      <c r="X9" s="67"/>
      <c r="Y9" s="67"/>
      <c r="Z9" s="67"/>
      <c r="AA9" s="67"/>
      <c r="AB9" s="67"/>
      <c r="AC9" s="67"/>
      <c r="AD9" s="67"/>
      <c r="AE9" s="67"/>
      <c r="AF9" s="67"/>
      <c r="AG9" s="67"/>
      <c r="AH9" s="67"/>
      <c r="AI9" s="67"/>
      <c r="AJ9" s="67"/>
      <c r="AK9" s="67"/>
      <c r="AL9" s="67"/>
      <c r="AM9" s="67"/>
      <c r="AN9" s="67"/>
      <c r="AO9" s="67"/>
      <c r="AP9" s="67"/>
      <c r="AQ9" s="67"/>
      <c r="AR9" s="67"/>
      <c r="AS9" s="55">
        <f>'Messages Dictionary'!I9</f>
        <v>0</v>
      </c>
    </row>
    <row r="10" spans="1:45" ht="28.5" hidden="1" x14ac:dyDescent="0.2">
      <c r="A10" s="65">
        <v>13</v>
      </c>
      <c r="B10" s="9" t="s">
        <v>420</v>
      </c>
      <c r="C10" s="9" t="s">
        <v>411</v>
      </c>
      <c r="D10" s="9" t="s">
        <v>404</v>
      </c>
      <c r="E10" s="9" t="s">
        <v>404</v>
      </c>
      <c r="F10" s="9" t="s">
        <v>199</v>
      </c>
      <c r="G10" s="9" t="s">
        <v>412</v>
      </c>
      <c r="H10" s="9" t="s">
        <v>831</v>
      </c>
      <c r="I10" s="55">
        <f>'Messages Dictionary'!I10</f>
        <v>0</v>
      </c>
      <c r="J10" s="10">
        <f>'Messages Dictionary'!J10</f>
        <v>0.5</v>
      </c>
      <c r="K10" s="10">
        <f t="shared" si="0"/>
        <v>0</v>
      </c>
      <c r="L10" s="66"/>
      <c r="M10" s="66"/>
      <c r="N10" s="67"/>
      <c r="O10" s="67"/>
      <c r="P10" s="67"/>
      <c r="Q10" s="67"/>
      <c r="R10" s="67"/>
      <c r="S10" s="67"/>
      <c r="T10" s="67"/>
      <c r="U10" s="67"/>
      <c r="V10" s="67"/>
      <c r="W10" s="67"/>
      <c r="X10" s="67"/>
      <c r="Y10" s="67"/>
      <c r="Z10" s="67"/>
      <c r="AA10" s="67"/>
      <c r="AB10" s="67"/>
      <c r="AC10" s="67"/>
      <c r="AD10" s="67"/>
      <c r="AE10" s="67"/>
      <c r="AF10" s="67"/>
      <c r="AG10" s="67"/>
      <c r="AH10" s="67"/>
      <c r="AI10" s="67"/>
      <c r="AJ10" s="67"/>
      <c r="AK10" s="67"/>
      <c r="AL10" s="67"/>
      <c r="AM10" s="67"/>
      <c r="AN10" s="67"/>
      <c r="AO10" s="67"/>
      <c r="AP10" s="67"/>
      <c r="AQ10" s="67"/>
      <c r="AR10" s="67"/>
      <c r="AS10" s="55">
        <f>'Messages Dictionary'!I10</f>
        <v>0</v>
      </c>
    </row>
    <row r="11" spans="1:45" ht="42.75" hidden="1" x14ac:dyDescent="0.2">
      <c r="A11" s="65">
        <v>14</v>
      </c>
      <c r="B11" s="9" t="s">
        <v>628</v>
      </c>
      <c r="C11" s="9" t="s">
        <v>422</v>
      </c>
      <c r="D11" s="9" t="s">
        <v>404</v>
      </c>
      <c r="E11" s="9" t="s">
        <v>404</v>
      </c>
      <c r="F11" s="9" t="s">
        <v>199</v>
      </c>
      <c r="G11" s="9" t="s">
        <v>412</v>
      </c>
      <c r="H11" s="9" t="s">
        <v>831</v>
      </c>
      <c r="I11" s="55">
        <f>'Messages Dictionary'!I11</f>
        <v>0</v>
      </c>
      <c r="J11" s="10">
        <f>'Messages Dictionary'!J11</f>
        <v>0.5</v>
      </c>
      <c r="K11" s="10">
        <f t="shared" si="0"/>
        <v>0</v>
      </c>
      <c r="L11" s="66"/>
      <c r="M11" s="66"/>
      <c r="N11" s="67"/>
      <c r="O11" s="67"/>
      <c r="P11" s="67"/>
      <c r="Q11" s="67"/>
      <c r="R11" s="67"/>
      <c r="S11" s="67"/>
      <c r="T11" s="67"/>
      <c r="U11" s="67"/>
      <c r="V11" s="67"/>
      <c r="W11" s="67"/>
      <c r="X11" s="67"/>
      <c r="Y11" s="67"/>
      <c r="Z11" s="67"/>
      <c r="AA11" s="67"/>
      <c r="AB11" s="67"/>
      <c r="AC11" s="67"/>
      <c r="AD11" s="67"/>
      <c r="AE11" s="67"/>
      <c r="AF11" s="67"/>
      <c r="AG11" s="67"/>
      <c r="AH11" s="67"/>
      <c r="AI11" s="67"/>
      <c r="AJ11" s="67"/>
      <c r="AK11" s="67"/>
      <c r="AL11" s="67"/>
      <c r="AM11" s="67"/>
      <c r="AN11" s="67"/>
      <c r="AO11" s="67"/>
      <c r="AP11" s="67"/>
      <c r="AQ11" s="67"/>
      <c r="AR11" s="67"/>
      <c r="AS11" s="55">
        <f>'Messages Dictionary'!I11</f>
        <v>0</v>
      </c>
    </row>
    <row r="12" spans="1:45" ht="42.75" hidden="1" x14ac:dyDescent="0.2">
      <c r="A12" s="65">
        <v>15</v>
      </c>
      <c r="B12" s="9" t="s">
        <v>421</v>
      </c>
      <c r="C12" s="9" t="s">
        <v>422</v>
      </c>
      <c r="D12" s="9" t="s">
        <v>404</v>
      </c>
      <c r="E12" s="9" t="s">
        <v>404</v>
      </c>
      <c r="F12" s="9" t="s">
        <v>199</v>
      </c>
      <c r="G12" s="9" t="s">
        <v>412</v>
      </c>
      <c r="H12" s="9" t="s">
        <v>831</v>
      </c>
      <c r="I12" s="55">
        <f>'Messages Dictionary'!I12</f>
        <v>0</v>
      </c>
      <c r="J12" s="10">
        <f>'Messages Dictionary'!J12</f>
        <v>0.5</v>
      </c>
      <c r="K12" s="10">
        <f t="shared" si="0"/>
        <v>0</v>
      </c>
      <c r="L12" s="66"/>
      <c r="M12" s="66"/>
      <c r="N12" s="67"/>
      <c r="O12" s="67"/>
      <c r="P12" s="67"/>
      <c r="Q12" s="67"/>
      <c r="R12" s="67"/>
      <c r="S12" s="67"/>
      <c r="T12" s="67"/>
      <c r="U12" s="67"/>
      <c r="V12" s="67"/>
      <c r="W12" s="67"/>
      <c r="X12" s="67"/>
      <c r="Y12" s="67"/>
      <c r="Z12" s="67"/>
      <c r="AA12" s="67"/>
      <c r="AB12" s="67"/>
      <c r="AC12" s="67"/>
      <c r="AD12" s="67"/>
      <c r="AE12" s="67"/>
      <c r="AF12" s="67"/>
      <c r="AG12" s="67"/>
      <c r="AH12" s="67"/>
      <c r="AI12" s="67"/>
      <c r="AJ12" s="67"/>
      <c r="AK12" s="67"/>
      <c r="AL12" s="67"/>
      <c r="AM12" s="67"/>
      <c r="AN12" s="67"/>
      <c r="AO12" s="67"/>
      <c r="AP12" s="67"/>
      <c r="AQ12" s="67"/>
      <c r="AR12" s="67"/>
      <c r="AS12" s="55">
        <f>'Messages Dictionary'!I12</f>
        <v>0</v>
      </c>
    </row>
    <row r="13" spans="1:45" ht="42.75" hidden="1" x14ac:dyDescent="0.2">
      <c r="A13" s="65">
        <v>16</v>
      </c>
      <c r="B13" s="9" t="s">
        <v>423</v>
      </c>
      <c r="C13" s="9" t="s">
        <v>422</v>
      </c>
      <c r="D13" s="9" t="s">
        <v>404</v>
      </c>
      <c r="E13" s="9" t="s">
        <v>404</v>
      </c>
      <c r="F13" s="9" t="s">
        <v>199</v>
      </c>
      <c r="G13" s="9" t="s">
        <v>412</v>
      </c>
      <c r="H13" s="9" t="s">
        <v>831</v>
      </c>
      <c r="I13" s="55">
        <f>'Messages Dictionary'!I13</f>
        <v>0</v>
      </c>
      <c r="J13" s="10">
        <f>'Messages Dictionary'!J13</f>
        <v>0.5</v>
      </c>
      <c r="K13" s="10">
        <f t="shared" si="0"/>
        <v>0</v>
      </c>
      <c r="L13" s="66"/>
      <c r="M13" s="66"/>
      <c r="N13" s="67"/>
      <c r="O13" s="67"/>
      <c r="P13" s="67"/>
      <c r="Q13" s="67"/>
      <c r="R13" s="67"/>
      <c r="S13" s="67"/>
      <c r="T13" s="67"/>
      <c r="U13" s="67"/>
      <c r="V13" s="67"/>
      <c r="W13" s="67"/>
      <c r="X13" s="67"/>
      <c r="Y13" s="67"/>
      <c r="Z13" s="67"/>
      <c r="AA13" s="67"/>
      <c r="AB13" s="67"/>
      <c r="AC13" s="67"/>
      <c r="AD13" s="67"/>
      <c r="AE13" s="67"/>
      <c r="AF13" s="67"/>
      <c r="AG13" s="67"/>
      <c r="AH13" s="67"/>
      <c r="AI13" s="67"/>
      <c r="AJ13" s="67"/>
      <c r="AK13" s="67"/>
      <c r="AL13" s="67"/>
      <c r="AM13" s="67"/>
      <c r="AN13" s="67"/>
      <c r="AO13" s="67"/>
      <c r="AP13" s="67"/>
      <c r="AQ13" s="67"/>
      <c r="AR13" s="67"/>
      <c r="AS13" s="55">
        <f>'Messages Dictionary'!I13</f>
        <v>0</v>
      </c>
    </row>
    <row r="14" spans="1:45" ht="42.75" hidden="1" x14ac:dyDescent="0.2">
      <c r="A14" s="65">
        <v>17</v>
      </c>
      <c r="B14" s="9" t="s">
        <v>424</v>
      </c>
      <c r="C14" s="9" t="s">
        <v>422</v>
      </c>
      <c r="D14" s="9" t="s">
        <v>404</v>
      </c>
      <c r="E14" s="9" t="s">
        <v>404</v>
      </c>
      <c r="F14" s="9" t="s">
        <v>199</v>
      </c>
      <c r="G14" s="9" t="s">
        <v>412</v>
      </c>
      <c r="H14" s="9" t="s">
        <v>831</v>
      </c>
      <c r="I14" s="55">
        <f>'Messages Dictionary'!I14</f>
        <v>0</v>
      </c>
      <c r="J14" s="10">
        <f>'Messages Dictionary'!J14</f>
        <v>0.5</v>
      </c>
      <c r="K14" s="10">
        <f t="shared" si="0"/>
        <v>0</v>
      </c>
      <c r="L14" s="66"/>
      <c r="M14" s="66"/>
      <c r="N14" s="67"/>
      <c r="O14" s="67"/>
      <c r="P14" s="67"/>
      <c r="Q14" s="67"/>
      <c r="R14" s="67"/>
      <c r="S14" s="67"/>
      <c r="T14" s="67"/>
      <c r="U14" s="67"/>
      <c r="V14" s="67"/>
      <c r="W14" s="67"/>
      <c r="X14" s="67"/>
      <c r="Y14" s="67"/>
      <c r="Z14" s="67"/>
      <c r="AA14" s="67"/>
      <c r="AB14" s="67"/>
      <c r="AC14" s="67"/>
      <c r="AD14" s="67"/>
      <c r="AE14" s="67"/>
      <c r="AF14" s="67"/>
      <c r="AG14" s="67"/>
      <c r="AH14" s="67"/>
      <c r="AI14" s="67"/>
      <c r="AJ14" s="67"/>
      <c r="AK14" s="67"/>
      <c r="AL14" s="67"/>
      <c r="AM14" s="67"/>
      <c r="AN14" s="67"/>
      <c r="AO14" s="67"/>
      <c r="AP14" s="67"/>
      <c r="AQ14" s="67"/>
      <c r="AR14" s="67"/>
      <c r="AS14" s="55">
        <f>'Messages Dictionary'!I14</f>
        <v>0</v>
      </c>
    </row>
    <row r="15" spans="1:45" ht="42.75" hidden="1" x14ac:dyDescent="0.2">
      <c r="A15" s="65">
        <v>18</v>
      </c>
      <c r="B15" s="9" t="s">
        <v>425</v>
      </c>
      <c r="C15" s="9" t="s">
        <v>422</v>
      </c>
      <c r="D15" s="9" t="s">
        <v>404</v>
      </c>
      <c r="E15" s="9" t="s">
        <v>404</v>
      </c>
      <c r="F15" s="9" t="s">
        <v>199</v>
      </c>
      <c r="G15" s="9" t="s">
        <v>412</v>
      </c>
      <c r="H15" s="9" t="s">
        <v>831</v>
      </c>
      <c r="I15" s="55">
        <f>'Messages Dictionary'!I15</f>
        <v>0</v>
      </c>
      <c r="J15" s="10">
        <f>'Messages Dictionary'!J15</f>
        <v>0.5</v>
      </c>
      <c r="K15" s="10">
        <f t="shared" si="0"/>
        <v>0</v>
      </c>
      <c r="L15" s="66"/>
      <c r="M15" s="66"/>
      <c r="N15" s="67"/>
      <c r="O15" s="67"/>
      <c r="P15" s="67"/>
      <c r="Q15" s="67"/>
      <c r="R15" s="67"/>
      <c r="S15" s="67"/>
      <c r="T15" s="67"/>
      <c r="U15" s="67"/>
      <c r="V15" s="67"/>
      <c r="W15" s="67"/>
      <c r="X15" s="67"/>
      <c r="Y15" s="67"/>
      <c r="Z15" s="67"/>
      <c r="AA15" s="67"/>
      <c r="AB15" s="67"/>
      <c r="AC15" s="67"/>
      <c r="AD15" s="67"/>
      <c r="AE15" s="67"/>
      <c r="AF15" s="67"/>
      <c r="AG15" s="67"/>
      <c r="AH15" s="67"/>
      <c r="AI15" s="67"/>
      <c r="AJ15" s="67"/>
      <c r="AK15" s="67"/>
      <c r="AL15" s="67"/>
      <c r="AM15" s="67"/>
      <c r="AN15" s="67"/>
      <c r="AO15" s="67"/>
      <c r="AP15" s="67"/>
      <c r="AQ15" s="67"/>
      <c r="AR15" s="67"/>
      <c r="AS15" s="55">
        <f>'Messages Dictionary'!I15</f>
        <v>0</v>
      </c>
    </row>
    <row r="16" spans="1:45" ht="42.75" hidden="1" x14ac:dyDescent="0.2">
      <c r="A16" s="65">
        <v>19</v>
      </c>
      <c r="B16" s="9" t="s">
        <v>427</v>
      </c>
      <c r="C16" s="9" t="s">
        <v>422</v>
      </c>
      <c r="D16" s="9" t="s">
        <v>404</v>
      </c>
      <c r="E16" s="9" t="s">
        <v>404</v>
      </c>
      <c r="F16" s="9" t="s">
        <v>199</v>
      </c>
      <c r="G16" s="9" t="s">
        <v>412</v>
      </c>
      <c r="H16" s="9" t="s">
        <v>831</v>
      </c>
      <c r="I16" s="55">
        <f>'Messages Dictionary'!I16</f>
        <v>0</v>
      </c>
      <c r="J16" s="10">
        <f>'Messages Dictionary'!J16</f>
        <v>0.5</v>
      </c>
      <c r="K16" s="10">
        <f t="shared" si="0"/>
        <v>0</v>
      </c>
      <c r="L16" s="66"/>
      <c r="M16" s="66"/>
      <c r="N16" s="67"/>
      <c r="O16" s="67"/>
      <c r="P16" s="67"/>
      <c r="Q16" s="67"/>
      <c r="R16" s="67"/>
      <c r="S16" s="67"/>
      <c r="T16" s="67"/>
      <c r="U16" s="67"/>
      <c r="V16" s="67"/>
      <c r="W16" s="67"/>
      <c r="X16" s="67"/>
      <c r="Y16" s="67"/>
      <c r="Z16" s="67"/>
      <c r="AA16" s="67"/>
      <c r="AB16" s="67"/>
      <c r="AC16" s="67"/>
      <c r="AD16" s="67"/>
      <c r="AE16" s="67"/>
      <c r="AF16" s="67"/>
      <c r="AG16" s="67"/>
      <c r="AH16" s="67"/>
      <c r="AI16" s="67"/>
      <c r="AJ16" s="67"/>
      <c r="AK16" s="67"/>
      <c r="AL16" s="67"/>
      <c r="AM16" s="67"/>
      <c r="AN16" s="67"/>
      <c r="AO16" s="67"/>
      <c r="AP16" s="67"/>
      <c r="AQ16" s="67"/>
      <c r="AR16" s="67"/>
      <c r="AS16" s="55">
        <f>'Messages Dictionary'!I16</f>
        <v>0</v>
      </c>
    </row>
    <row r="17" spans="1:45" ht="57" hidden="1" x14ac:dyDescent="0.2">
      <c r="A17" s="65">
        <v>20</v>
      </c>
      <c r="B17" s="9" t="s">
        <v>429</v>
      </c>
      <c r="C17" s="9" t="s">
        <v>430</v>
      </c>
      <c r="D17" s="9" t="s">
        <v>404</v>
      </c>
      <c r="E17" s="9" t="s">
        <v>404</v>
      </c>
      <c r="F17" s="9" t="s">
        <v>199</v>
      </c>
      <c r="G17" s="9" t="s">
        <v>405</v>
      </c>
      <c r="H17" s="9" t="s">
        <v>406</v>
      </c>
      <c r="I17" s="55">
        <f>'Messages Dictionary'!I17</f>
        <v>0</v>
      </c>
      <c r="J17" s="10">
        <f>'Messages Dictionary'!J17</f>
        <v>1</v>
      </c>
      <c r="K17" s="10">
        <f t="shared" si="0"/>
        <v>0</v>
      </c>
      <c r="L17" s="66"/>
      <c r="M17" s="66"/>
      <c r="N17" s="67"/>
      <c r="O17" s="67"/>
      <c r="P17" s="67"/>
      <c r="Q17" s="67"/>
      <c r="R17" s="67"/>
      <c r="S17" s="67"/>
      <c r="T17" s="67"/>
      <c r="U17" s="67"/>
      <c r="V17" s="67"/>
      <c r="W17" s="67"/>
      <c r="X17" s="67"/>
      <c r="Y17" s="67"/>
      <c r="Z17" s="67"/>
      <c r="AA17" s="67"/>
      <c r="AB17" s="67"/>
      <c r="AC17" s="67"/>
      <c r="AD17" s="67"/>
      <c r="AE17" s="67"/>
      <c r="AF17" s="67"/>
      <c r="AG17" s="67"/>
      <c r="AH17" s="67"/>
      <c r="AI17" s="67"/>
      <c r="AJ17" s="67"/>
      <c r="AK17" s="67"/>
      <c r="AL17" s="67"/>
      <c r="AM17" s="67"/>
      <c r="AN17" s="67"/>
      <c r="AO17" s="67"/>
      <c r="AP17" s="67"/>
      <c r="AQ17" s="67"/>
      <c r="AR17" s="67"/>
      <c r="AS17" s="55">
        <f>'Messages Dictionary'!I17</f>
        <v>0</v>
      </c>
    </row>
    <row r="18" spans="1:45" ht="42.75" hidden="1" x14ac:dyDescent="0.2">
      <c r="A18" s="65">
        <v>21</v>
      </c>
      <c r="B18" s="9" t="s">
        <v>432</v>
      </c>
      <c r="C18" s="9" t="s">
        <v>422</v>
      </c>
      <c r="D18" s="9" t="s">
        <v>404</v>
      </c>
      <c r="E18" s="9" t="s">
        <v>404</v>
      </c>
      <c r="F18" s="9" t="s">
        <v>199</v>
      </c>
      <c r="G18" s="9" t="s">
        <v>412</v>
      </c>
      <c r="H18" s="9" t="s">
        <v>831</v>
      </c>
      <c r="I18" s="55">
        <f>'Messages Dictionary'!I18</f>
        <v>0</v>
      </c>
      <c r="J18" s="10">
        <f>'Messages Dictionary'!J18</f>
        <v>0.5</v>
      </c>
      <c r="K18" s="10">
        <f t="shared" si="0"/>
        <v>0</v>
      </c>
      <c r="L18" s="66"/>
      <c r="M18" s="66"/>
      <c r="N18" s="67"/>
      <c r="O18" s="67"/>
      <c r="P18" s="67"/>
      <c r="Q18" s="67"/>
      <c r="R18" s="67"/>
      <c r="S18" s="67"/>
      <c r="T18" s="67"/>
      <c r="U18" s="67"/>
      <c r="V18" s="67"/>
      <c r="W18" s="67"/>
      <c r="X18" s="67"/>
      <c r="Y18" s="67"/>
      <c r="Z18" s="67"/>
      <c r="AA18" s="67"/>
      <c r="AB18" s="67"/>
      <c r="AC18" s="67"/>
      <c r="AD18" s="67"/>
      <c r="AE18" s="67"/>
      <c r="AF18" s="67"/>
      <c r="AG18" s="67"/>
      <c r="AH18" s="67"/>
      <c r="AI18" s="67"/>
      <c r="AJ18" s="67"/>
      <c r="AK18" s="67"/>
      <c r="AL18" s="67"/>
      <c r="AM18" s="67"/>
      <c r="AN18" s="67"/>
      <c r="AO18" s="67"/>
      <c r="AP18" s="67"/>
      <c r="AQ18" s="67"/>
      <c r="AR18" s="67"/>
      <c r="AS18" s="55">
        <f>'Messages Dictionary'!I18</f>
        <v>0</v>
      </c>
    </row>
    <row r="19" spans="1:45" ht="42.75" hidden="1" x14ac:dyDescent="0.2">
      <c r="A19" s="65">
        <v>22</v>
      </c>
      <c r="B19" s="9" t="s">
        <v>290</v>
      </c>
      <c r="C19" s="9" t="s">
        <v>422</v>
      </c>
      <c r="D19" s="9" t="s">
        <v>404</v>
      </c>
      <c r="E19" s="9" t="s">
        <v>404</v>
      </c>
      <c r="F19" s="9" t="s">
        <v>199</v>
      </c>
      <c r="G19" s="9" t="s">
        <v>412</v>
      </c>
      <c r="H19" s="9" t="s">
        <v>831</v>
      </c>
      <c r="I19" s="55">
        <f>'Messages Dictionary'!I19</f>
        <v>0</v>
      </c>
      <c r="J19" s="10">
        <f>'Messages Dictionary'!J19</f>
        <v>0.5</v>
      </c>
      <c r="K19" s="10">
        <f t="shared" si="0"/>
        <v>0</v>
      </c>
      <c r="L19" s="66"/>
      <c r="M19" s="66"/>
      <c r="N19" s="67"/>
      <c r="O19" s="67"/>
      <c r="P19" s="67"/>
      <c r="Q19" s="67"/>
      <c r="R19" s="67"/>
      <c r="S19" s="67"/>
      <c r="T19" s="67"/>
      <c r="U19" s="67"/>
      <c r="V19" s="67"/>
      <c r="W19" s="67"/>
      <c r="X19" s="67"/>
      <c r="Y19" s="67"/>
      <c r="Z19" s="67"/>
      <c r="AA19" s="67"/>
      <c r="AB19" s="67"/>
      <c r="AC19" s="67"/>
      <c r="AD19" s="67"/>
      <c r="AE19" s="67"/>
      <c r="AF19" s="67"/>
      <c r="AG19" s="67"/>
      <c r="AH19" s="67"/>
      <c r="AI19" s="67"/>
      <c r="AJ19" s="67"/>
      <c r="AK19" s="67"/>
      <c r="AL19" s="67"/>
      <c r="AM19" s="67"/>
      <c r="AN19" s="67"/>
      <c r="AO19" s="67"/>
      <c r="AP19" s="67"/>
      <c r="AQ19" s="67"/>
      <c r="AR19" s="67"/>
      <c r="AS19" s="55">
        <f>'Messages Dictionary'!I19</f>
        <v>0</v>
      </c>
    </row>
    <row r="20" spans="1:45" ht="28.5" hidden="1" x14ac:dyDescent="0.2">
      <c r="A20" s="65">
        <v>25</v>
      </c>
      <c r="B20" s="9" t="s">
        <v>421</v>
      </c>
      <c r="C20" s="9" t="s">
        <v>807</v>
      </c>
      <c r="D20" s="9" t="s">
        <v>404</v>
      </c>
      <c r="E20" s="9" t="s">
        <v>404</v>
      </c>
      <c r="F20" s="9" t="s">
        <v>199</v>
      </c>
      <c r="G20" s="9" t="s">
        <v>412</v>
      </c>
      <c r="H20" s="9" t="s">
        <v>831</v>
      </c>
      <c r="I20" s="55">
        <f>'Messages Dictionary'!I20</f>
        <v>0</v>
      </c>
      <c r="J20" s="10">
        <f>'Messages Dictionary'!J20</f>
        <v>0.5</v>
      </c>
      <c r="K20" s="10">
        <f t="shared" si="0"/>
        <v>0</v>
      </c>
      <c r="L20" s="66"/>
      <c r="M20" s="66"/>
      <c r="N20" s="67"/>
      <c r="O20" s="67"/>
      <c r="P20" s="67"/>
      <c r="Q20" s="67"/>
      <c r="R20" s="67"/>
      <c r="S20" s="67"/>
      <c r="T20" s="67"/>
      <c r="U20" s="67"/>
      <c r="V20" s="67"/>
      <c r="W20" s="67"/>
      <c r="X20" s="67"/>
      <c r="Y20" s="67"/>
      <c r="Z20" s="67"/>
      <c r="AA20" s="67"/>
      <c r="AB20" s="67"/>
      <c r="AC20" s="67"/>
      <c r="AD20" s="67"/>
      <c r="AE20" s="67"/>
      <c r="AF20" s="67"/>
      <c r="AG20" s="67"/>
      <c r="AH20" s="67"/>
      <c r="AI20" s="67"/>
      <c r="AJ20" s="67"/>
      <c r="AK20" s="67"/>
      <c r="AL20" s="67"/>
      <c r="AM20" s="67"/>
      <c r="AN20" s="67"/>
      <c r="AO20" s="67"/>
      <c r="AP20" s="67"/>
      <c r="AQ20" s="67"/>
      <c r="AR20" s="67"/>
      <c r="AS20" s="55">
        <f>'Messages Dictionary'!I20</f>
        <v>0</v>
      </c>
    </row>
    <row r="21" spans="1:45" ht="28.5" hidden="1" x14ac:dyDescent="0.2">
      <c r="A21" s="65">
        <v>30</v>
      </c>
      <c r="B21" s="9" t="s">
        <v>421</v>
      </c>
      <c r="C21" s="9" t="s">
        <v>808</v>
      </c>
      <c r="D21" s="9" t="s">
        <v>404</v>
      </c>
      <c r="E21" s="9" t="s">
        <v>404</v>
      </c>
      <c r="F21" s="9" t="s">
        <v>199</v>
      </c>
      <c r="G21" s="9" t="s">
        <v>412</v>
      </c>
      <c r="H21" s="9" t="s">
        <v>831</v>
      </c>
      <c r="I21" s="55">
        <f>'Messages Dictionary'!I21</f>
        <v>0</v>
      </c>
      <c r="J21" s="10">
        <f>'Messages Dictionary'!J21</f>
        <v>0.5</v>
      </c>
      <c r="K21" s="10">
        <f t="shared" si="0"/>
        <v>0</v>
      </c>
      <c r="L21" s="66"/>
      <c r="M21" s="66"/>
      <c r="N21" s="67"/>
      <c r="O21" s="67"/>
      <c r="P21" s="67"/>
      <c r="Q21" s="67"/>
      <c r="R21" s="67"/>
      <c r="S21" s="67"/>
      <c r="T21" s="67"/>
      <c r="U21" s="67"/>
      <c r="V21" s="67"/>
      <c r="W21" s="67"/>
      <c r="X21" s="67"/>
      <c r="Y21" s="67"/>
      <c r="Z21" s="67"/>
      <c r="AA21" s="67"/>
      <c r="AB21" s="67"/>
      <c r="AC21" s="67"/>
      <c r="AD21" s="67"/>
      <c r="AE21" s="67"/>
      <c r="AF21" s="67"/>
      <c r="AG21" s="67"/>
      <c r="AH21" s="67"/>
      <c r="AI21" s="67"/>
      <c r="AJ21" s="67"/>
      <c r="AK21" s="67"/>
      <c r="AL21" s="67"/>
      <c r="AM21" s="67"/>
      <c r="AN21" s="67"/>
      <c r="AO21" s="67"/>
      <c r="AP21" s="67"/>
      <c r="AQ21" s="67"/>
      <c r="AR21" s="67"/>
      <c r="AS21" s="55">
        <f>'Messages Dictionary'!I21</f>
        <v>0</v>
      </c>
    </row>
    <row r="22" spans="1:45" ht="28.5" hidden="1" x14ac:dyDescent="0.2">
      <c r="A22" s="65">
        <v>31</v>
      </c>
      <c r="B22" s="9" t="s">
        <v>423</v>
      </c>
      <c r="C22" s="9" t="s">
        <v>808</v>
      </c>
      <c r="D22" s="9" t="s">
        <v>404</v>
      </c>
      <c r="E22" s="9" t="s">
        <v>404</v>
      </c>
      <c r="F22" s="9" t="s">
        <v>199</v>
      </c>
      <c r="G22" s="9" t="s">
        <v>412</v>
      </c>
      <c r="H22" s="9" t="s">
        <v>831</v>
      </c>
      <c r="I22" s="55">
        <f>'Messages Dictionary'!I22</f>
        <v>0</v>
      </c>
      <c r="J22" s="10">
        <f>'Messages Dictionary'!J22</f>
        <v>0.5</v>
      </c>
      <c r="K22" s="10">
        <f t="shared" si="0"/>
        <v>0</v>
      </c>
      <c r="L22" s="66"/>
      <c r="M22" s="66"/>
      <c r="N22" s="67"/>
      <c r="O22" s="67"/>
      <c r="P22" s="67"/>
      <c r="Q22" s="67"/>
      <c r="R22" s="67"/>
      <c r="S22" s="67"/>
      <c r="T22" s="67"/>
      <c r="U22" s="67"/>
      <c r="V22" s="67"/>
      <c r="W22" s="67"/>
      <c r="X22" s="67"/>
      <c r="Y22" s="67"/>
      <c r="Z22" s="67"/>
      <c r="AA22" s="67"/>
      <c r="AB22" s="67"/>
      <c r="AC22" s="67"/>
      <c r="AD22" s="67"/>
      <c r="AE22" s="67"/>
      <c r="AF22" s="67"/>
      <c r="AG22" s="67"/>
      <c r="AH22" s="67"/>
      <c r="AI22" s="67"/>
      <c r="AJ22" s="67"/>
      <c r="AK22" s="67"/>
      <c r="AL22" s="67"/>
      <c r="AM22" s="67"/>
      <c r="AN22" s="67"/>
      <c r="AO22" s="67"/>
      <c r="AP22" s="67"/>
      <c r="AQ22" s="67"/>
      <c r="AR22" s="67"/>
      <c r="AS22" s="55">
        <f>'Messages Dictionary'!I22</f>
        <v>0</v>
      </c>
    </row>
    <row r="23" spans="1:45" ht="28.5" hidden="1" x14ac:dyDescent="0.2">
      <c r="A23" s="65">
        <v>32</v>
      </c>
      <c r="B23" s="9" t="s">
        <v>424</v>
      </c>
      <c r="C23" s="9" t="s">
        <v>808</v>
      </c>
      <c r="D23" s="9" t="s">
        <v>404</v>
      </c>
      <c r="E23" s="9" t="s">
        <v>404</v>
      </c>
      <c r="F23" s="9" t="s">
        <v>199</v>
      </c>
      <c r="G23" s="9" t="s">
        <v>412</v>
      </c>
      <c r="H23" s="9" t="s">
        <v>831</v>
      </c>
      <c r="I23" s="55">
        <f>'Messages Dictionary'!I23</f>
        <v>0</v>
      </c>
      <c r="J23" s="10">
        <f>'Messages Dictionary'!J23</f>
        <v>0.5</v>
      </c>
      <c r="K23" s="10">
        <f t="shared" si="0"/>
        <v>0</v>
      </c>
      <c r="L23" s="66"/>
      <c r="M23" s="66"/>
      <c r="N23" s="67"/>
      <c r="O23" s="67"/>
      <c r="P23" s="67"/>
      <c r="Q23" s="67"/>
      <c r="R23" s="67"/>
      <c r="S23" s="67"/>
      <c r="T23" s="67"/>
      <c r="U23" s="67"/>
      <c r="V23" s="67"/>
      <c r="W23" s="67"/>
      <c r="X23" s="67"/>
      <c r="Y23" s="67"/>
      <c r="Z23" s="67"/>
      <c r="AA23" s="67"/>
      <c r="AB23" s="67"/>
      <c r="AC23" s="67"/>
      <c r="AD23" s="67"/>
      <c r="AE23" s="67"/>
      <c r="AF23" s="67"/>
      <c r="AG23" s="67"/>
      <c r="AH23" s="67"/>
      <c r="AI23" s="67"/>
      <c r="AJ23" s="67"/>
      <c r="AK23" s="67"/>
      <c r="AL23" s="67"/>
      <c r="AM23" s="67"/>
      <c r="AN23" s="67"/>
      <c r="AO23" s="67"/>
      <c r="AP23" s="67"/>
      <c r="AQ23" s="67"/>
      <c r="AR23" s="67"/>
      <c r="AS23" s="55">
        <f>'Messages Dictionary'!I23</f>
        <v>0</v>
      </c>
    </row>
    <row r="24" spans="1:45" ht="28.5" hidden="1" x14ac:dyDescent="0.2">
      <c r="A24" s="65">
        <v>33</v>
      </c>
      <c r="B24" s="9" t="s">
        <v>425</v>
      </c>
      <c r="C24" s="9" t="s">
        <v>808</v>
      </c>
      <c r="D24" s="9" t="s">
        <v>404</v>
      </c>
      <c r="E24" s="9" t="s">
        <v>404</v>
      </c>
      <c r="F24" s="9" t="s">
        <v>199</v>
      </c>
      <c r="G24" s="9" t="s">
        <v>412</v>
      </c>
      <c r="H24" s="9" t="s">
        <v>831</v>
      </c>
      <c r="I24" s="55">
        <f>'Messages Dictionary'!I24</f>
        <v>0</v>
      </c>
      <c r="J24" s="10">
        <f>'Messages Dictionary'!J24</f>
        <v>0.5</v>
      </c>
      <c r="K24" s="10">
        <f t="shared" si="0"/>
        <v>0</v>
      </c>
      <c r="L24" s="66"/>
      <c r="M24" s="66"/>
      <c r="N24" s="67"/>
      <c r="O24" s="67"/>
      <c r="P24" s="67"/>
      <c r="Q24" s="67"/>
      <c r="R24" s="67"/>
      <c r="S24" s="67"/>
      <c r="T24" s="67"/>
      <c r="U24" s="67"/>
      <c r="V24" s="67"/>
      <c r="W24" s="67"/>
      <c r="X24" s="67"/>
      <c r="Y24" s="67"/>
      <c r="Z24" s="67"/>
      <c r="AA24" s="67"/>
      <c r="AB24" s="67"/>
      <c r="AC24" s="67"/>
      <c r="AD24" s="67"/>
      <c r="AE24" s="67"/>
      <c r="AF24" s="67"/>
      <c r="AG24" s="67"/>
      <c r="AH24" s="67"/>
      <c r="AI24" s="67"/>
      <c r="AJ24" s="67"/>
      <c r="AK24" s="67"/>
      <c r="AL24" s="67"/>
      <c r="AM24" s="67"/>
      <c r="AN24" s="67"/>
      <c r="AO24" s="67"/>
      <c r="AP24" s="67"/>
      <c r="AQ24" s="67"/>
      <c r="AR24" s="67"/>
      <c r="AS24" s="55">
        <f>'Messages Dictionary'!I24</f>
        <v>0</v>
      </c>
    </row>
    <row r="25" spans="1:45" ht="42.75" hidden="1" x14ac:dyDescent="0.2">
      <c r="A25" s="65">
        <v>35</v>
      </c>
      <c r="B25" s="9" t="s">
        <v>421</v>
      </c>
      <c r="C25" s="9" t="s">
        <v>810</v>
      </c>
      <c r="D25" s="9" t="s">
        <v>404</v>
      </c>
      <c r="E25" s="9" t="s">
        <v>404</v>
      </c>
      <c r="F25" s="9" t="s">
        <v>199</v>
      </c>
      <c r="G25" s="9" t="s">
        <v>405</v>
      </c>
      <c r="H25" s="9" t="s">
        <v>831</v>
      </c>
      <c r="I25" s="55">
        <f>'Messages Dictionary'!I26</f>
        <v>0</v>
      </c>
      <c r="J25" s="10">
        <f>'Messages Dictionary'!J26</f>
        <v>1</v>
      </c>
      <c r="K25" s="10">
        <f t="shared" si="0"/>
        <v>0</v>
      </c>
      <c r="L25" s="66"/>
      <c r="M25" s="66"/>
      <c r="N25" s="67"/>
      <c r="O25" s="67"/>
      <c r="P25" s="67"/>
      <c r="Q25" s="67"/>
      <c r="R25" s="67"/>
      <c r="S25" s="67"/>
      <c r="T25" s="67"/>
      <c r="U25" s="67"/>
      <c r="V25" s="67"/>
      <c r="W25" s="67"/>
      <c r="X25" s="67"/>
      <c r="Y25" s="67"/>
      <c r="Z25" s="67"/>
      <c r="AA25" s="67"/>
      <c r="AB25" s="67"/>
      <c r="AC25" s="67"/>
      <c r="AD25" s="67"/>
      <c r="AE25" s="67"/>
      <c r="AF25" s="67"/>
      <c r="AG25" s="67"/>
      <c r="AH25" s="67"/>
      <c r="AI25" s="67"/>
      <c r="AJ25" s="67"/>
      <c r="AK25" s="67"/>
      <c r="AL25" s="67"/>
      <c r="AM25" s="67"/>
      <c r="AN25" s="67"/>
      <c r="AO25" s="67"/>
      <c r="AP25" s="67"/>
      <c r="AQ25" s="67"/>
      <c r="AR25" s="67"/>
      <c r="AS25" s="55">
        <f>'Messages Dictionary'!I26</f>
        <v>0</v>
      </c>
    </row>
    <row r="26" spans="1:45" ht="42.75" hidden="1" x14ac:dyDescent="0.2">
      <c r="A26" s="65">
        <v>36</v>
      </c>
      <c r="B26" s="9" t="s">
        <v>423</v>
      </c>
      <c r="C26" s="9" t="s">
        <v>810</v>
      </c>
      <c r="D26" s="9" t="s">
        <v>404</v>
      </c>
      <c r="E26" s="9" t="s">
        <v>404</v>
      </c>
      <c r="F26" s="9" t="s">
        <v>199</v>
      </c>
      <c r="G26" s="9" t="s">
        <v>412</v>
      </c>
      <c r="H26" s="9" t="s">
        <v>831</v>
      </c>
      <c r="I26" s="55">
        <f>'Messages Dictionary'!I27</f>
        <v>0</v>
      </c>
      <c r="J26" s="10">
        <f>'Messages Dictionary'!J27</f>
        <v>0.5</v>
      </c>
      <c r="K26" s="10">
        <f t="shared" si="0"/>
        <v>0</v>
      </c>
      <c r="L26" s="68"/>
      <c r="M26" s="68"/>
      <c r="N26" s="67"/>
      <c r="O26" s="67"/>
      <c r="P26" s="67"/>
      <c r="Q26" s="67"/>
      <c r="R26" s="67"/>
      <c r="S26" s="67"/>
      <c r="T26" s="67"/>
      <c r="U26" s="67"/>
      <c r="V26" s="67"/>
      <c r="W26" s="67"/>
      <c r="X26" s="67"/>
      <c r="Y26" s="67"/>
      <c r="Z26" s="67"/>
      <c r="AA26" s="67"/>
      <c r="AB26" s="67"/>
      <c r="AC26" s="67"/>
      <c r="AD26" s="67"/>
      <c r="AE26" s="67"/>
      <c r="AF26" s="67"/>
      <c r="AG26" s="67"/>
      <c r="AH26" s="67"/>
      <c r="AI26" s="67"/>
      <c r="AJ26" s="67"/>
      <c r="AK26" s="67"/>
      <c r="AL26" s="67"/>
      <c r="AM26" s="67"/>
      <c r="AN26" s="67"/>
      <c r="AO26" s="67"/>
      <c r="AP26" s="67"/>
      <c r="AQ26" s="67"/>
      <c r="AR26" s="67"/>
      <c r="AS26" s="55">
        <f>'Messages Dictionary'!I27</f>
        <v>0</v>
      </c>
    </row>
    <row r="27" spans="1:45" ht="42.75" hidden="1" x14ac:dyDescent="0.2">
      <c r="A27" s="65">
        <v>37</v>
      </c>
      <c r="B27" s="9" t="s">
        <v>424</v>
      </c>
      <c r="C27" s="9" t="s">
        <v>810</v>
      </c>
      <c r="D27" s="9" t="s">
        <v>404</v>
      </c>
      <c r="E27" s="9" t="s">
        <v>404</v>
      </c>
      <c r="F27" s="9" t="s">
        <v>199</v>
      </c>
      <c r="G27" s="9" t="s">
        <v>412</v>
      </c>
      <c r="H27" s="9" t="s">
        <v>831</v>
      </c>
      <c r="I27" s="55">
        <f>'Messages Dictionary'!I28</f>
        <v>0</v>
      </c>
      <c r="J27" s="10">
        <f>'Messages Dictionary'!J28</f>
        <v>0.5</v>
      </c>
      <c r="K27" s="10">
        <f t="shared" si="0"/>
        <v>0</v>
      </c>
      <c r="L27" s="68"/>
      <c r="M27" s="68"/>
      <c r="N27" s="67"/>
      <c r="O27" s="67"/>
      <c r="P27" s="67"/>
      <c r="Q27" s="67"/>
      <c r="R27" s="67"/>
      <c r="S27" s="67"/>
      <c r="T27" s="67"/>
      <c r="U27" s="67"/>
      <c r="V27" s="67"/>
      <c r="W27" s="67"/>
      <c r="X27" s="67"/>
      <c r="Y27" s="67"/>
      <c r="Z27" s="67"/>
      <c r="AA27" s="67"/>
      <c r="AB27" s="67"/>
      <c r="AC27" s="67"/>
      <c r="AD27" s="67"/>
      <c r="AE27" s="67"/>
      <c r="AF27" s="67"/>
      <c r="AG27" s="67"/>
      <c r="AH27" s="67"/>
      <c r="AI27" s="67"/>
      <c r="AJ27" s="67"/>
      <c r="AK27" s="67"/>
      <c r="AL27" s="67"/>
      <c r="AM27" s="67"/>
      <c r="AN27" s="67"/>
      <c r="AO27" s="67"/>
      <c r="AP27" s="67"/>
      <c r="AQ27" s="67"/>
      <c r="AR27" s="67"/>
      <c r="AS27" s="55">
        <f>'Messages Dictionary'!I28</f>
        <v>0</v>
      </c>
    </row>
    <row r="28" spans="1:45" ht="42.75" hidden="1" x14ac:dyDescent="0.2">
      <c r="A28" s="65">
        <v>38</v>
      </c>
      <c r="B28" s="9" t="s">
        <v>425</v>
      </c>
      <c r="C28" s="9" t="s">
        <v>810</v>
      </c>
      <c r="D28" s="9" t="s">
        <v>404</v>
      </c>
      <c r="E28" s="9" t="s">
        <v>404</v>
      </c>
      <c r="F28" s="9" t="s">
        <v>199</v>
      </c>
      <c r="G28" s="9" t="s">
        <v>412</v>
      </c>
      <c r="H28" s="9" t="s">
        <v>831</v>
      </c>
      <c r="I28" s="55">
        <f>'Messages Dictionary'!I29</f>
        <v>0</v>
      </c>
      <c r="J28" s="10">
        <f>'Messages Dictionary'!J29</f>
        <v>0.5</v>
      </c>
      <c r="K28" s="10">
        <f t="shared" si="0"/>
        <v>0</v>
      </c>
      <c r="L28" s="66"/>
      <c r="M28" s="66"/>
      <c r="N28" s="67"/>
      <c r="O28" s="67"/>
      <c r="P28" s="67"/>
      <c r="Q28" s="67"/>
      <c r="R28" s="67"/>
      <c r="S28" s="67"/>
      <c r="T28" s="67"/>
      <c r="U28" s="67"/>
      <c r="V28" s="67"/>
      <c r="W28" s="67"/>
      <c r="X28" s="67"/>
      <c r="Y28" s="67"/>
      <c r="Z28" s="67"/>
      <c r="AA28" s="67"/>
      <c r="AB28" s="67"/>
      <c r="AC28" s="67"/>
      <c r="AD28" s="67"/>
      <c r="AE28" s="67"/>
      <c r="AF28" s="67"/>
      <c r="AG28" s="67"/>
      <c r="AH28" s="67"/>
      <c r="AI28" s="67"/>
      <c r="AJ28" s="67"/>
      <c r="AK28" s="67"/>
      <c r="AL28" s="67"/>
      <c r="AM28" s="67"/>
      <c r="AN28" s="67"/>
      <c r="AO28" s="67"/>
      <c r="AP28" s="67"/>
      <c r="AQ28" s="67"/>
      <c r="AR28" s="67"/>
      <c r="AS28" s="55">
        <f>'Messages Dictionary'!I29</f>
        <v>0</v>
      </c>
    </row>
    <row r="29" spans="1:45" ht="28.5" hidden="1" x14ac:dyDescent="0.2">
      <c r="A29" s="65">
        <v>40</v>
      </c>
      <c r="B29" s="9" t="s">
        <v>421</v>
      </c>
      <c r="C29" s="9" t="s">
        <v>811</v>
      </c>
      <c r="D29" s="9" t="s">
        <v>404</v>
      </c>
      <c r="E29" s="9" t="s">
        <v>404</v>
      </c>
      <c r="F29" s="9" t="s">
        <v>199</v>
      </c>
      <c r="G29" s="9" t="s">
        <v>412</v>
      </c>
      <c r="H29" s="9" t="s">
        <v>831</v>
      </c>
      <c r="I29" s="55">
        <f>'Messages Dictionary'!I31</f>
        <v>0</v>
      </c>
      <c r="J29" s="10">
        <f>'Messages Dictionary'!J31</f>
        <v>0.5</v>
      </c>
      <c r="K29" s="10">
        <f t="shared" si="0"/>
        <v>0</v>
      </c>
      <c r="L29" s="66"/>
      <c r="M29" s="66"/>
      <c r="N29" s="67"/>
      <c r="O29" s="67"/>
      <c r="P29" s="67"/>
      <c r="Q29" s="67"/>
      <c r="R29" s="67"/>
      <c r="S29" s="67"/>
      <c r="T29" s="67"/>
      <c r="U29" s="67"/>
      <c r="V29" s="67"/>
      <c r="W29" s="67"/>
      <c r="X29" s="67"/>
      <c r="Y29" s="67"/>
      <c r="Z29" s="67"/>
      <c r="AA29" s="67"/>
      <c r="AB29" s="67"/>
      <c r="AC29" s="67"/>
      <c r="AD29" s="67"/>
      <c r="AE29" s="67"/>
      <c r="AF29" s="67"/>
      <c r="AG29" s="67"/>
      <c r="AH29" s="67"/>
      <c r="AI29" s="67"/>
      <c r="AJ29" s="67"/>
      <c r="AK29" s="67"/>
      <c r="AL29" s="67"/>
      <c r="AM29" s="67"/>
      <c r="AN29" s="67"/>
      <c r="AO29" s="67"/>
      <c r="AP29" s="67"/>
      <c r="AQ29" s="67"/>
      <c r="AR29" s="67"/>
      <c r="AS29" s="55">
        <f>'Messages Dictionary'!I31</f>
        <v>0</v>
      </c>
    </row>
    <row r="30" spans="1:45" ht="28.5" hidden="1" x14ac:dyDescent="0.2">
      <c r="A30" s="65">
        <v>41</v>
      </c>
      <c r="B30" s="9" t="s">
        <v>423</v>
      </c>
      <c r="C30" s="9" t="s">
        <v>811</v>
      </c>
      <c r="D30" s="9" t="s">
        <v>404</v>
      </c>
      <c r="E30" s="9" t="s">
        <v>404</v>
      </c>
      <c r="F30" s="9" t="s">
        <v>199</v>
      </c>
      <c r="G30" s="9" t="s">
        <v>412</v>
      </c>
      <c r="H30" s="9" t="s">
        <v>831</v>
      </c>
      <c r="I30" s="55">
        <f>'Messages Dictionary'!I32</f>
        <v>0</v>
      </c>
      <c r="J30" s="10">
        <f>'Messages Dictionary'!J32</f>
        <v>0.5</v>
      </c>
      <c r="K30" s="10">
        <f t="shared" si="0"/>
        <v>0</v>
      </c>
      <c r="L30" s="66"/>
      <c r="M30" s="66"/>
      <c r="N30" s="67"/>
      <c r="O30" s="67"/>
      <c r="P30" s="67"/>
      <c r="Q30" s="67"/>
      <c r="R30" s="67"/>
      <c r="S30" s="67"/>
      <c r="T30" s="67"/>
      <c r="U30" s="67"/>
      <c r="V30" s="67"/>
      <c r="W30" s="67"/>
      <c r="X30" s="67"/>
      <c r="Y30" s="67"/>
      <c r="Z30" s="67"/>
      <c r="AA30" s="67"/>
      <c r="AB30" s="67"/>
      <c r="AC30" s="67"/>
      <c r="AD30" s="67"/>
      <c r="AE30" s="67"/>
      <c r="AF30" s="67"/>
      <c r="AG30" s="67"/>
      <c r="AH30" s="67"/>
      <c r="AI30" s="67"/>
      <c r="AJ30" s="67"/>
      <c r="AK30" s="67"/>
      <c r="AL30" s="67"/>
      <c r="AM30" s="67"/>
      <c r="AN30" s="67"/>
      <c r="AO30" s="67"/>
      <c r="AP30" s="67"/>
      <c r="AQ30" s="67"/>
      <c r="AR30" s="67"/>
      <c r="AS30" s="55">
        <f>'Messages Dictionary'!I32</f>
        <v>0</v>
      </c>
    </row>
    <row r="31" spans="1:45" ht="28.5" hidden="1" x14ac:dyDescent="0.2">
      <c r="A31" s="65">
        <v>42</v>
      </c>
      <c r="B31" s="9" t="s">
        <v>424</v>
      </c>
      <c r="C31" s="9" t="s">
        <v>811</v>
      </c>
      <c r="D31" s="9" t="s">
        <v>404</v>
      </c>
      <c r="E31" s="9" t="s">
        <v>404</v>
      </c>
      <c r="F31" s="9" t="s">
        <v>199</v>
      </c>
      <c r="G31" s="9" t="s">
        <v>412</v>
      </c>
      <c r="H31" s="9" t="s">
        <v>831</v>
      </c>
      <c r="I31" s="55">
        <f>'Messages Dictionary'!I33</f>
        <v>0</v>
      </c>
      <c r="J31" s="10">
        <f>'Messages Dictionary'!J33</f>
        <v>0.5</v>
      </c>
      <c r="K31" s="10">
        <f t="shared" si="0"/>
        <v>0</v>
      </c>
      <c r="L31" s="66"/>
      <c r="M31" s="66"/>
      <c r="N31" s="67"/>
      <c r="O31" s="67"/>
      <c r="P31" s="67"/>
      <c r="Q31" s="67"/>
      <c r="R31" s="67"/>
      <c r="S31" s="67"/>
      <c r="T31" s="67"/>
      <c r="U31" s="67"/>
      <c r="V31" s="67"/>
      <c r="W31" s="67"/>
      <c r="X31" s="67"/>
      <c r="Y31" s="67"/>
      <c r="Z31" s="67"/>
      <c r="AA31" s="67"/>
      <c r="AB31" s="67"/>
      <c r="AC31" s="67"/>
      <c r="AD31" s="67"/>
      <c r="AE31" s="67"/>
      <c r="AF31" s="67"/>
      <c r="AG31" s="67"/>
      <c r="AH31" s="67"/>
      <c r="AI31" s="67"/>
      <c r="AJ31" s="67"/>
      <c r="AK31" s="67"/>
      <c r="AL31" s="67"/>
      <c r="AM31" s="67"/>
      <c r="AN31" s="67"/>
      <c r="AO31" s="67"/>
      <c r="AP31" s="67"/>
      <c r="AQ31" s="67"/>
      <c r="AR31" s="67"/>
      <c r="AS31" s="55">
        <f>'Messages Dictionary'!I33</f>
        <v>0</v>
      </c>
    </row>
    <row r="32" spans="1:45" ht="28.5" hidden="1" x14ac:dyDescent="0.2">
      <c r="A32" s="65">
        <v>43</v>
      </c>
      <c r="B32" s="9" t="s">
        <v>425</v>
      </c>
      <c r="C32" s="9" t="s">
        <v>811</v>
      </c>
      <c r="D32" s="9" t="s">
        <v>404</v>
      </c>
      <c r="E32" s="9" t="s">
        <v>404</v>
      </c>
      <c r="F32" s="9" t="s">
        <v>199</v>
      </c>
      <c r="G32" s="9" t="s">
        <v>412</v>
      </c>
      <c r="H32" s="9" t="s">
        <v>831</v>
      </c>
      <c r="I32" s="55">
        <f>'Messages Dictionary'!I34</f>
        <v>0</v>
      </c>
      <c r="J32" s="10">
        <f>'Messages Dictionary'!J34</f>
        <v>0.5</v>
      </c>
      <c r="K32" s="10">
        <f t="shared" si="0"/>
        <v>0</v>
      </c>
      <c r="L32" s="66"/>
      <c r="M32" s="66"/>
      <c r="N32" s="67"/>
      <c r="O32" s="67"/>
      <c r="P32" s="67"/>
      <c r="Q32" s="67"/>
      <c r="R32" s="67"/>
      <c r="S32" s="67"/>
      <c r="T32" s="67"/>
      <c r="U32" s="67"/>
      <c r="V32" s="67"/>
      <c r="W32" s="67"/>
      <c r="X32" s="67"/>
      <c r="Y32" s="67"/>
      <c r="Z32" s="67"/>
      <c r="AA32" s="67"/>
      <c r="AB32" s="67"/>
      <c r="AC32" s="67"/>
      <c r="AD32" s="67"/>
      <c r="AE32" s="67"/>
      <c r="AF32" s="67"/>
      <c r="AG32" s="67"/>
      <c r="AH32" s="67"/>
      <c r="AI32" s="67"/>
      <c r="AJ32" s="67"/>
      <c r="AK32" s="67"/>
      <c r="AL32" s="67"/>
      <c r="AM32" s="67"/>
      <c r="AN32" s="67"/>
      <c r="AO32" s="67"/>
      <c r="AP32" s="67"/>
      <c r="AQ32" s="67"/>
      <c r="AR32" s="67"/>
      <c r="AS32" s="55">
        <f>'Messages Dictionary'!I34</f>
        <v>0</v>
      </c>
    </row>
    <row r="33" spans="1:45" ht="28.5" hidden="1" x14ac:dyDescent="0.2">
      <c r="A33" s="65">
        <v>45</v>
      </c>
      <c r="B33" s="9" t="s">
        <v>421</v>
      </c>
      <c r="C33" s="9" t="s">
        <v>812</v>
      </c>
      <c r="D33" s="9" t="s">
        <v>404</v>
      </c>
      <c r="E33" s="9" t="s">
        <v>404</v>
      </c>
      <c r="F33" s="9" t="s">
        <v>199</v>
      </c>
      <c r="G33" s="9" t="s">
        <v>412</v>
      </c>
      <c r="H33" s="9" t="s">
        <v>831</v>
      </c>
      <c r="I33" s="55">
        <f>'Messages Dictionary'!I36</f>
        <v>0</v>
      </c>
      <c r="J33" s="10">
        <f>'Messages Dictionary'!J36</f>
        <v>0.5</v>
      </c>
      <c r="K33" s="10">
        <f t="shared" si="0"/>
        <v>0</v>
      </c>
      <c r="L33" s="66"/>
      <c r="M33" s="66"/>
      <c r="N33" s="67"/>
      <c r="O33" s="67"/>
      <c r="P33" s="67"/>
      <c r="Q33" s="67"/>
      <c r="R33" s="67"/>
      <c r="S33" s="67"/>
      <c r="T33" s="67"/>
      <c r="U33" s="67"/>
      <c r="V33" s="67"/>
      <c r="W33" s="67"/>
      <c r="X33" s="67"/>
      <c r="Y33" s="67"/>
      <c r="Z33" s="67"/>
      <c r="AA33" s="67"/>
      <c r="AB33" s="67"/>
      <c r="AC33" s="67"/>
      <c r="AD33" s="67"/>
      <c r="AE33" s="67"/>
      <c r="AF33" s="67"/>
      <c r="AG33" s="67"/>
      <c r="AH33" s="67"/>
      <c r="AI33" s="67"/>
      <c r="AJ33" s="67"/>
      <c r="AK33" s="67"/>
      <c r="AL33" s="67"/>
      <c r="AM33" s="67"/>
      <c r="AN33" s="67"/>
      <c r="AO33" s="67"/>
      <c r="AP33" s="67"/>
      <c r="AQ33" s="67"/>
      <c r="AR33" s="67"/>
      <c r="AS33" s="55">
        <f>'Messages Dictionary'!I36</f>
        <v>0</v>
      </c>
    </row>
    <row r="34" spans="1:45" ht="28.5" hidden="1" x14ac:dyDescent="0.2">
      <c r="A34" s="65">
        <v>46</v>
      </c>
      <c r="B34" s="9" t="s">
        <v>423</v>
      </c>
      <c r="C34" s="9" t="s">
        <v>812</v>
      </c>
      <c r="D34" s="9" t="s">
        <v>404</v>
      </c>
      <c r="E34" s="9" t="s">
        <v>404</v>
      </c>
      <c r="F34" s="9" t="s">
        <v>199</v>
      </c>
      <c r="G34" s="9" t="s">
        <v>412</v>
      </c>
      <c r="H34" s="9" t="s">
        <v>831</v>
      </c>
      <c r="I34" s="55">
        <f>'Messages Dictionary'!I37</f>
        <v>0</v>
      </c>
      <c r="J34" s="10">
        <f>'Messages Dictionary'!J37</f>
        <v>0.5</v>
      </c>
      <c r="K34" s="10">
        <f t="shared" si="0"/>
        <v>0</v>
      </c>
      <c r="L34" s="66"/>
      <c r="M34" s="66"/>
      <c r="N34" s="67"/>
      <c r="O34" s="67"/>
      <c r="P34" s="67"/>
      <c r="Q34" s="67"/>
      <c r="R34" s="67"/>
      <c r="S34" s="67"/>
      <c r="T34" s="67"/>
      <c r="U34" s="67"/>
      <c r="V34" s="67"/>
      <c r="W34" s="67"/>
      <c r="X34" s="67"/>
      <c r="Y34" s="67"/>
      <c r="Z34" s="67"/>
      <c r="AA34" s="67"/>
      <c r="AB34" s="67"/>
      <c r="AC34" s="67"/>
      <c r="AD34" s="67"/>
      <c r="AE34" s="67"/>
      <c r="AF34" s="67"/>
      <c r="AG34" s="67"/>
      <c r="AH34" s="67"/>
      <c r="AI34" s="67"/>
      <c r="AJ34" s="67"/>
      <c r="AK34" s="67"/>
      <c r="AL34" s="67"/>
      <c r="AM34" s="67"/>
      <c r="AN34" s="67"/>
      <c r="AO34" s="67"/>
      <c r="AP34" s="67"/>
      <c r="AQ34" s="67"/>
      <c r="AR34" s="67"/>
      <c r="AS34" s="55">
        <f>'Messages Dictionary'!I37</f>
        <v>0</v>
      </c>
    </row>
    <row r="35" spans="1:45" ht="28.5" hidden="1" x14ac:dyDescent="0.2">
      <c r="A35" s="65">
        <v>47</v>
      </c>
      <c r="B35" s="9" t="s">
        <v>424</v>
      </c>
      <c r="C35" s="9" t="s">
        <v>812</v>
      </c>
      <c r="D35" s="9" t="s">
        <v>404</v>
      </c>
      <c r="E35" s="9" t="s">
        <v>404</v>
      </c>
      <c r="F35" s="9" t="s">
        <v>199</v>
      </c>
      <c r="G35" s="9" t="s">
        <v>412</v>
      </c>
      <c r="H35" s="9" t="s">
        <v>831</v>
      </c>
      <c r="I35" s="55">
        <f>'Messages Dictionary'!I38</f>
        <v>0</v>
      </c>
      <c r="J35" s="10">
        <f>'Messages Dictionary'!J38</f>
        <v>0.5</v>
      </c>
      <c r="K35" s="10">
        <f t="shared" si="0"/>
        <v>0</v>
      </c>
      <c r="L35" s="66"/>
      <c r="M35" s="66"/>
      <c r="N35" s="67"/>
      <c r="O35" s="67"/>
      <c r="P35" s="67"/>
      <c r="Q35" s="67"/>
      <c r="R35" s="67"/>
      <c r="S35" s="67"/>
      <c r="T35" s="67"/>
      <c r="U35" s="67"/>
      <c r="V35" s="67"/>
      <c r="W35" s="67"/>
      <c r="X35" s="67"/>
      <c r="Y35" s="67"/>
      <c r="Z35" s="67"/>
      <c r="AA35" s="67"/>
      <c r="AB35" s="67"/>
      <c r="AC35" s="67"/>
      <c r="AD35" s="67"/>
      <c r="AE35" s="67"/>
      <c r="AF35" s="67"/>
      <c r="AG35" s="67"/>
      <c r="AH35" s="67"/>
      <c r="AI35" s="67"/>
      <c r="AJ35" s="67"/>
      <c r="AK35" s="67"/>
      <c r="AL35" s="67"/>
      <c r="AM35" s="67"/>
      <c r="AN35" s="67"/>
      <c r="AO35" s="67"/>
      <c r="AP35" s="67"/>
      <c r="AQ35" s="67"/>
      <c r="AR35" s="67"/>
      <c r="AS35" s="55">
        <f>'Messages Dictionary'!I38</f>
        <v>0</v>
      </c>
    </row>
    <row r="36" spans="1:45" ht="28.5" hidden="1" x14ac:dyDescent="0.2">
      <c r="A36" s="65">
        <v>48</v>
      </c>
      <c r="B36" s="9" t="s">
        <v>425</v>
      </c>
      <c r="C36" s="9" t="s">
        <v>812</v>
      </c>
      <c r="D36" s="9" t="s">
        <v>404</v>
      </c>
      <c r="E36" s="9" t="s">
        <v>404</v>
      </c>
      <c r="F36" s="9" t="s">
        <v>199</v>
      </c>
      <c r="G36" s="9" t="s">
        <v>412</v>
      </c>
      <c r="H36" s="9" t="s">
        <v>831</v>
      </c>
      <c r="I36" s="55">
        <f>'Messages Dictionary'!I39</f>
        <v>0</v>
      </c>
      <c r="J36" s="10">
        <f>'Messages Dictionary'!J39</f>
        <v>0.5</v>
      </c>
      <c r="K36" s="10">
        <f t="shared" si="0"/>
        <v>0</v>
      </c>
      <c r="L36" s="66"/>
      <c r="M36" s="66"/>
      <c r="N36" s="67"/>
      <c r="O36" s="67"/>
      <c r="P36" s="67"/>
      <c r="Q36" s="67"/>
      <c r="R36" s="67"/>
      <c r="S36" s="67"/>
      <c r="T36" s="67"/>
      <c r="U36" s="67"/>
      <c r="V36" s="67"/>
      <c r="W36" s="67"/>
      <c r="X36" s="67"/>
      <c r="Y36" s="67"/>
      <c r="Z36" s="67"/>
      <c r="AA36" s="67"/>
      <c r="AB36" s="67"/>
      <c r="AC36" s="67"/>
      <c r="AD36" s="67"/>
      <c r="AE36" s="67"/>
      <c r="AF36" s="67"/>
      <c r="AG36" s="67"/>
      <c r="AH36" s="67"/>
      <c r="AI36" s="67"/>
      <c r="AJ36" s="67"/>
      <c r="AK36" s="67"/>
      <c r="AL36" s="67"/>
      <c r="AM36" s="67"/>
      <c r="AN36" s="67"/>
      <c r="AO36" s="67"/>
      <c r="AP36" s="67"/>
      <c r="AQ36" s="67"/>
      <c r="AR36" s="67"/>
      <c r="AS36" s="55">
        <f>'Messages Dictionary'!I39</f>
        <v>0</v>
      </c>
    </row>
    <row r="37" spans="1:45" ht="28.5" hidden="1" x14ac:dyDescent="0.2">
      <c r="A37" s="65">
        <v>50</v>
      </c>
      <c r="B37" s="9" t="s">
        <v>421</v>
      </c>
      <c r="C37" s="9" t="s">
        <v>813</v>
      </c>
      <c r="D37" s="9" t="s">
        <v>404</v>
      </c>
      <c r="E37" s="9" t="s">
        <v>404</v>
      </c>
      <c r="F37" s="9" t="s">
        <v>199</v>
      </c>
      <c r="G37" s="9" t="s">
        <v>412</v>
      </c>
      <c r="H37" s="9" t="s">
        <v>831</v>
      </c>
      <c r="I37" s="55">
        <f>'Messages Dictionary'!I41</f>
        <v>0</v>
      </c>
      <c r="J37" s="10">
        <f>'Messages Dictionary'!J41</f>
        <v>0.5</v>
      </c>
      <c r="K37" s="10">
        <f t="shared" si="0"/>
        <v>0</v>
      </c>
      <c r="L37" s="66"/>
      <c r="M37" s="66"/>
      <c r="N37" s="67"/>
      <c r="O37" s="67"/>
      <c r="P37" s="67"/>
      <c r="Q37" s="67"/>
      <c r="R37" s="67"/>
      <c r="S37" s="67"/>
      <c r="T37" s="67"/>
      <c r="U37" s="67"/>
      <c r="V37" s="67"/>
      <c r="W37" s="67"/>
      <c r="X37" s="67"/>
      <c r="Y37" s="67"/>
      <c r="Z37" s="67"/>
      <c r="AA37" s="67"/>
      <c r="AB37" s="67"/>
      <c r="AC37" s="67"/>
      <c r="AD37" s="67"/>
      <c r="AE37" s="67"/>
      <c r="AF37" s="67"/>
      <c r="AG37" s="67"/>
      <c r="AH37" s="67"/>
      <c r="AI37" s="67"/>
      <c r="AJ37" s="67"/>
      <c r="AK37" s="67"/>
      <c r="AL37" s="67"/>
      <c r="AM37" s="67"/>
      <c r="AN37" s="67"/>
      <c r="AO37" s="67"/>
      <c r="AP37" s="67"/>
      <c r="AQ37" s="67"/>
      <c r="AR37" s="67"/>
      <c r="AS37" s="55">
        <f>'Messages Dictionary'!I41</f>
        <v>0</v>
      </c>
    </row>
    <row r="38" spans="1:45" ht="28.5" hidden="1" x14ac:dyDescent="0.2">
      <c r="A38" s="65">
        <v>51</v>
      </c>
      <c r="B38" s="9" t="s">
        <v>423</v>
      </c>
      <c r="C38" s="9" t="s">
        <v>813</v>
      </c>
      <c r="D38" s="9" t="s">
        <v>404</v>
      </c>
      <c r="E38" s="9" t="s">
        <v>404</v>
      </c>
      <c r="F38" s="9" t="s">
        <v>199</v>
      </c>
      <c r="G38" s="9" t="s">
        <v>412</v>
      </c>
      <c r="H38" s="9" t="s">
        <v>831</v>
      </c>
      <c r="I38" s="55">
        <f>'Messages Dictionary'!I42</f>
        <v>0</v>
      </c>
      <c r="J38" s="10">
        <f>'Messages Dictionary'!J42</f>
        <v>0.5</v>
      </c>
      <c r="K38" s="10">
        <f t="shared" si="0"/>
        <v>0</v>
      </c>
      <c r="L38" s="66"/>
      <c r="M38" s="66"/>
      <c r="N38" s="67"/>
      <c r="O38" s="67"/>
      <c r="P38" s="67"/>
      <c r="Q38" s="67"/>
      <c r="R38" s="67"/>
      <c r="S38" s="67"/>
      <c r="T38" s="67"/>
      <c r="U38" s="67"/>
      <c r="V38" s="67"/>
      <c r="W38" s="67"/>
      <c r="X38" s="67"/>
      <c r="Y38" s="67"/>
      <c r="Z38" s="67"/>
      <c r="AA38" s="67"/>
      <c r="AB38" s="67"/>
      <c r="AC38" s="67"/>
      <c r="AD38" s="67"/>
      <c r="AE38" s="67"/>
      <c r="AF38" s="67"/>
      <c r="AG38" s="67"/>
      <c r="AH38" s="67"/>
      <c r="AI38" s="67"/>
      <c r="AJ38" s="67"/>
      <c r="AK38" s="67"/>
      <c r="AL38" s="67"/>
      <c r="AM38" s="67"/>
      <c r="AN38" s="67"/>
      <c r="AO38" s="67"/>
      <c r="AP38" s="67"/>
      <c r="AQ38" s="67"/>
      <c r="AR38" s="67"/>
      <c r="AS38" s="55">
        <f>'Messages Dictionary'!I42</f>
        <v>0</v>
      </c>
    </row>
    <row r="39" spans="1:45" ht="28.5" hidden="1" x14ac:dyDescent="0.2">
      <c r="A39" s="65">
        <v>52</v>
      </c>
      <c r="B39" s="9" t="s">
        <v>424</v>
      </c>
      <c r="C39" s="9" t="s">
        <v>813</v>
      </c>
      <c r="D39" s="9" t="s">
        <v>404</v>
      </c>
      <c r="E39" s="9" t="s">
        <v>404</v>
      </c>
      <c r="F39" s="9" t="s">
        <v>199</v>
      </c>
      <c r="G39" s="9" t="s">
        <v>412</v>
      </c>
      <c r="H39" s="9" t="s">
        <v>831</v>
      </c>
      <c r="I39" s="55">
        <f>'Messages Dictionary'!I43</f>
        <v>0</v>
      </c>
      <c r="J39" s="10">
        <f>'Messages Dictionary'!J43</f>
        <v>0.5</v>
      </c>
      <c r="K39" s="10">
        <f t="shared" si="0"/>
        <v>0</v>
      </c>
      <c r="L39" s="66"/>
      <c r="M39" s="66"/>
      <c r="N39" s="67"/>
      <c r="O39" s="67"/>
      <c r="P39" s="67"/>
      <c r="Q39" s="67"/>
      <c r="R39" s="67"/>
      <c r="S39" s="67"/>
      <c r="T39" s="67"/>
      <c r="U39" s="67"/>
      <c r="V39" s="67"/>
      <c r="W39" s="67"/>
      <c r="X39" s="67"/>
      <c r="Y39" s="67"/>
      <c r="Z39" s="67"/>
      <c r="AA39" s="67"/>
      <c r="AB39" s="67"/>
      <c r="AC39" s="67"/>
      <c r="AD39" s="67"/>
      <c r="AE39" s="67"/>
      <c r="AF39" s="67"/>
      <c r="AG39" s="67"/>
      <c r="AH39" s="67"/>
      <c r="AI39" s="67"/>
      <c r="AJ39" s="67"/>
      <c r="AK39" s="67"/>
      <c r="AL39" s="67"/>
      <c r="AM39" s="67"/>
      <c r="AN39" s="67"/>
      <c r="AO39" s="67"/>
      <c r="AP39" s="67"/>
      <c r="AQ39" s="67"/>
      <c r="AR39" s="67"/>
      <c r="AS39" s="55">
        <f>'Messages Dictionary'!I43</f>
        <v>0</v>
      </c>
    </row>
    <row r="40" spans="1:45" ht="28.5" hidden="1" x14ac:dyDescent="0.2">
      <c r="A40" s="65">
        <v>53</v>
      </c>
      <c r="B40" s="9" t="s">
        <v>425</v>
      </c>
      <c r="C40" s="9" t="s">
        <v>813</v>
      </c>
      <c r="D40" s="9" t="s">
        <v>404</v>
      </c>
      <c r="E40" s="9" t="s">
        <v>404</v>
      </c>
      <c r="F40" s="9" t="s">
        <v>199</v>
      </c>
      <c r="G40" s="9" t="s">
        <v>412</v>
      </c>
      <c r="H40" s="9" t="s">
        <v>831</v>
      </c>
      <c r="I40" s="55">
        <f>'Messages Dictionary'!I44</f>
        <v>0</v>
      </c>
      <c r="J40" s="10">
        <f>'Messages Dictionary'!J44</f>
        <v>0.5</v>
      </c>
      <c r="K40" s="10">
        <f t="shared" si="0"/>
        <v>0</v>
      </c>
      <c r="L40" s="66"/>
      <c r="M40" s="66"/>
      <c r="N40" s="67"/>
      <c r="O40" s="67"/>
      <c r="P40" s="67"/>
      <c r="Q40" s="67"/>
      <c r="R40" s="67"/>
      <c r="S40" s="67"/>
      <c r="T40" s="67"/>
      <c r="U40" s="67"/>
      <c r="V40" s="67"/>
      <c r="W40" s="67"/>
      <c r="X40" s="67"/>
      <c r="Y40" s="67"/>
      <c r="Z40" s="67"/>
      <c r="AA40" s="67"/>
      <c r="AB40" s="67"/>
      <c r="AC40" s="67"/>
      <c r="AD40" s="67"/>
      <c r="AE40" s="67"/>
      <c r="AF40" s="67"/>
      <c r="AG40" s="67"/>
      <c r="AH40" s="67"/>
      <c r="AI40" s="67"/>
      <c r="AJ40" s="67"/>
      <c r="AK40" s="67"/>
      <c r="AL40" s="67"/>
      <c r="AM40" s="67"/>
      <c r="AN40" s="67"/>
      <c r="AO40" s="67"/>
      <c r="AP40" s="67"/>
      <c r="AQ40" s="67"/>
      <c r="AR40" s="67"/>
      <c r="AS40" s="55">
        <f>'Messages Dictionary'!I44</f>
        <v>0</v>
      </c>
    </row>
    <row r="41" spans="1:45" ht="42.75" hidden="1" x14ac:dyDescent="0.2">
      <c r="A41" s="65">
        <v>56</v>
      </c>
      <c r="B41" s="9" t="s">
        <v>814</v>
      </c>
      <c r="C41" s="9" t="s">
        <v>815</v>
      </c>
      <c r="D41" s="9" t="s">
        <v>404</v>
      </c>
      <c r="E41" s="9" t="s">
        <v>404</v>
      </c>
      <c r="F41" s="9" t="s">
        <v>199</v>
      </c>
      <c r="G41" s="9" t="s">
        <v>809</v>
      </c>
      <c r="H41" s="9" t="s">
        <v>831</v>
      </c>
      <c r="I41" s="55">
        <f>'Messages Dictionary'!I46</f>
        <v>0</v>
      </c>
      <c r="J41" s="10">
        <f>'Messages Dictionary'!J46</f>
        <v>0.1</v>
      </c>
      <c r="K41" s="10">
        <f t="shared" si="0"/>
        <v>0</v>
      </c>
      <c r="L41" s="66"/>
      <c r="M41" s="66"/>
      <c r="N41" s="67"/>
      <c r="O41" s="67"/>
      <c r="P41" s="67"/>
      <c r="Q41" s="67"/>
      <c r="R41" s="67"/>
      <c r="S41" s="67"/>
      <c r="T41" s="67"/>
      <c r="U41" s="67"/>
      <c r="V41" s="67"/>
      <c r="W41" s="67"/>
      <c r="X41" s="67"/>
      <c r="Y41" s="67"/>
      <c r="Z41" s="67"/>
      <c r="AA41" s="67"/>
      <c r="AB41" s="67"/>
      <c r="AC41" s="67"/>
      <c r="AD41" s="67"/>
      <c r="AE41" s="67"/>
      <c r="AF41" s="67"/>
      <c r="AG41" s="67"/>
      <c r="AH41" s="67"/>
      <c r="AI41" s="67"/>
      <c r="AJ41" s="67"/>
      <c r="AK41" s="67"/>
      <c r="AL41" s="67"/>
      <c r="AM41" s="67"/>
      <c r="AN41" s="67"/>
      <c r="AO41" s="67"/>
      <c r="AP41" s="67"/>
      <c r="AQ41" s="67"/>
      <c r="AR41" s="67"/>
      <c r="AS41" s="55">
        <f>'Messages Dictionary'!I46</f>
        <v>0</v>
      </c>
    </row>
    <row r="42" spans="1:45" ht="28.5" hidden="1" x14ac:dyDescent="0.2">
      <c r="A42" s="65">
        <v>57</v>
      </c>
      <c r="B42" s="9" t="s">
        <v>425</v>
      </c>
      <c r="C42" s="9" t="s">
        <v>816</v>
      </c>
      <c r="D42" s="9" t="s">
        <v>404</v>
      </c>
      <c r="E42" s="9" t="s">
        <v>404</v>
      </c>
      <c r="F42" s="9" t="s">
        <v>199</v>
      </c>
      <c r="G42" s="9" t="s">
        <v>412</v>
      </c>
      <c r="H42" s="9" t="s">
        <v>831</v>
      </c>
      <c r="I42" s="55">
        <f>'Messages Dictionary'!I47</f>
        <v>0</v>
      </c>
      <c r="J42" s="10">
        <f>'Messages Dictionary'!J47</f>
        <v>0.5</v>
      </c>
      <c r="K42" s="10">
        <f t="shared" si="0"/>
        <v>0</v>
      </c>
      <c r="L42" s="66"/>
      <c r="M42" s="66"/>
      <c r="N42" s="67"/>
      <c r="O42" s="67"/>
      <c r="P42" s="67"/>
      <c r="Q42" s="67"/>
      <c r="R42" s="67"/>
      <c r="S42" s="67"/>
      <c r="T42" s="67"/>
      <c r="U42" s="67"/>
      <c r="V42" s="67"/>
      <c r="W42" s="67"/>
      <c r="X42" s="67"/>
      <c r="Y42" s="67"/>
      <c r="Z42" s="67"/>
      <c r="AA42" s="67"/>
      <c r="AB42" s="67"/>
      <c r="AC42" s="67"/>
      <c r="AD42" s="67"/>
      <c r="AE42" s="67"/>
      <c r="AF42" s="67"/>
      <c r="AG42" s="67"/>
      <c r="AH42" s="67"/>
      <c r="AI42" s="67"/>
      <c r="AJ42" s="67"/>
      <c r="AK42" s="67"/>
      <c r="AL42" s="67"/>
      <c r="AM42" s="67"/>
      <c r="AN42" s="67"/>
      <c r="AO42" s="67"/>
      <c r="AP42" s="67"/>
      <c r="AQ42" s="67"/>
      <c r="AR42" s="67"/>
      <c r="AS42" s="55">
        <f>'Messages Dictionary'!I47</f>
        <v>0</v>
      </c>
    </row>
    <row r="43" spans="1:45" ht="85.5" hidden="1" x14ac:dyDescent="0.2">
      <c r="A43" s="65">
        <v>58</v>
      </c>
      <c r="B43" s="9" t="s">
        <v>817</v>
      </c>
      <c r="C43" s="9" t="s">
        <v>818</v>
      </c>
      <c r="D43" s="9" t="s">
        <v>404</v>
      </c>
      <c r="E43" s="9" t="s">
        <v>404</v>
      </c>
      <c r="F43" s="9" t="s">
        <v>199</v>
      </c>
      <c r="G43" s="9" t="s">
        <v>412</v>
      </c>
      <c r="H43" s="9" t="s">
        <v>831</v>
      </c>
      <c r="I43" s="55">
        <f>'Messages Dictionary'!I48</f>
        <v>0</v>
      </c>
      <c r="J43" s="10">
        <f>'Messages Dictionary'!J48</f>
        <v>0.5</v>
      </c>
      <c r="K43" s="10">
        <f t="shared" si="0"/>
        <v>0</v>
      </c>
      <c r="L43" s="66"/>
      <c r="M43" s="66"/>
      <c r="N43" s="67"/>
      <c r="O43" s="67"/>
      <c r="P43" s="67"/>
      <c r="Q43" s="67"/>
      <c r="R43" s="67"/>
      <c r="S43" s="67"/>
      <c r="T43" s="67"/>
      <c r="U43" s="67"/>
      <c r="V43" s="67"/>
      <c r="W43" s="67"/>
      <c r="X43" s="67"/>
      <c r="Y43" s="67"/>
      <c r="Z43" s="67"/>
      <c r="AA43" s="67"/>
      <c r="AB43" s="67"/>
      <c r="AC43" s="67"/>
      <c r="AD43" s="67"/>
      <c r="AE43" s="67"/>
      <c r="AF43" s="67"/>
      <c r="AG43" s="67"/>
      <c r="AH43" s="67"/>
      <c r="AI43" s="67"/>
      <c r="AJ43" s="67"/>
      <c r="AK43" s="67"/>
      <c r="AL43" s="67"/>
      <c r="AM43" s="67"/>
      <c r="AN43" s="67"/>
      <c r="AO43" s="67"/>
      <c r="AP43" s="67"/>
      <c r="AQ43" s="67"/>
      <c r="AR43" s="67"/>
      <c r="AS43" s="55">
        <f>'Messages Dictionary'!I48</f>
        <v>0</v>
      </c>
    </row>
    <row r="44" spans="1:45" ht="28.5" hidden="1" x14ac:dyDescent="0.2">
      <c r="A44" s="69">
        <v>59</v>
      </c>
      <c r="B44" s="70" t="s">
        <v>440</v>
      </c>
      <c r="C44" s="70" t="s">
        <v>441</v>
      </c>
      <c r="D44" s="70" t="s">
        <v>404</v>
      </c>
      <c r="E44" s="70" t="s">
        <v>404</v>
      </c>
      <c r="F44" s="70" t="s">
        <v>199</v>
      </c>
      <c r="G44" s="70" t="s">
        <v>412</v>
      </c>
      <c r="H44" s="70" t="s">
        <v>831</v>
      </c>
      <c r="I44" s="55">
        <f>'Messages Dictionary'!I49</f>
        <v>0</v>
      </c>
      <c r="J44" s="10">
        <f>'Messages Dictionary'!J49</f>
        <v>0.5</v>
      </c>
      <c r="K44" s="71">
        <f t="shared" si="0"/>
        <v>0</v>
      </c>
      <c r="L44" s="66"/>
      <c r="M44" s="66"/>
      <c r="N44" s="67"/>
      <c r="O44" s="67"/>
      <c r="P44" s="67"/>
      <c r="Q44" s="67"/>
      <c r="R44" s="67"/>
      <c r="S44" s="67"/>
      <c r="T44" s="67"/>
      <c r="U44" s="67"/>
      <c r="V44" s="67"/>
      <c r="W44" s="67"/>
      <c r="X44" s="67"/>
      <c r="Y44" s="67"/>
      <c r="Z44" s="67"/>
      <c r="AA44" s="67"/>
      <c r="AB44" s="67"/>
      <c r="AC44" s="67"/>
      <c r="AD44" s="67"/>
      <c r="AE44" s="67"/>
      <c r="AF44" s="67"/>
      <c r="AG44" s="67"/>
      <c r="AH44" s="67"/>
      <c r="AI44" s="67"/>
      <c r="AJ44" s="67"/>
      <c r="AK44" s="67"/>
      <c r="AL44" s="67"/>
      <c r="AM44" s="67"/>
      <c r="AN44" s="67"/>
      <c r="AO44" s="67"/>
      <c r="AP44" s="67"/>
      <c r="AQ44" s="67"/>
      <c r="AR44" s="67"/>
      <c r="AS44" s="55">
        <f>'Messages Dictionary'!I49</f>
        <v>0</v>
      </c>
    </row>
    <row r="45" spans="1:45" ht="28.5" hidden="1" x14ac:dyDescent="0.2">
      <c r="A45" s="69">
        <v>60</v>
      </c>
      <c r="B45" s="70" t="s">
        <v>442</v>
      </c>
      <c r="C45" s="70" t="s">
        <v>443</v>
      </c>
      <c r="D45" s="70" t="s">
        <v>404</v>
      </c>
      <c r="E45" s="70" t="s">
        <v>404</v>
      </c>
      <c r="F45" s="70" t="s">
        <v>199</v>
      </c>
      <c r="G45" s="70" t="s">
        <v>412</v>
      </c>
      <c r="H45" s="70" t="s">
        <v>831</v>
      </c>
      <c r="I45" s="55">
        <f>'Messages Dictionary'!I50</f>
        <v>0</v>
      </c>
      <c r="J45" s="10">
        <f>'Messages Dictionary'!J50</f>
        <v>0.5</v>
      </c>
      <c r="K45" s="71">
        <f t="shared" si="0"/>
        <v>0</v>
      </c>
      <c r="L45" s="66"/>
      <c r="M45" s="66"/>
      <c r="N45" s="67"/>
      <c r="O45" s="67"/>
      <c r="P45" s="67"/>
      <c r="Q45" s="67"/>
      <c r="R45" s="67"/>
      <c r="S45" s="67"/>
      <c r="T45" s="67"/>
      <c r="U45" s="67"/>
      <c r="V45" s="67"/>
      <c r="W45" s="67"/>
      <c r="X45" s="67"/>
      <c r="Y45" s="67"/>
      <c r="Z45" s="67"/>
      <c r="AA45" s="67"/>
      <c r="AB45" s="67"/>
      <c r="AC45" s="67"/>
      <c r="AD45" s="67"/>
      <c r="AE45" s="67"/>
      <c r="AF45" s="67"/>
      <c r="AG45" s="67"/>
      <c r="AH45" s="67"/>
      <c r="AI45" s="67"/>
      <c r="AJ45" s="67"/>
      <c r="AK45" s="67"/>
      <c r="AL45" s="67"/>
      <c r="AM45" s="67"/>
      <c r="AN45" s="67"/>
      <c r="AO45" s="67"/>
      <c r="AP45" s="67"/>
      <c r="AQ45" s="67"/>
      <c r="AR45" s="67"/>
      <c r="AS45" s="55">
        <f>'Messages Dictionary'!I50</f>
        <v>0</v>
      </c>
    </row>
    <row r="46" spans="1:45" ht="28.5" hidden="1" x14ac:dyDescent="0.2">
      <c r="A46" s="65">
        <v>61</v>
      </c>
      <c r="B46" s="9" t="s">
        <v>427</v>
      </c>
      <c r="C46" s="9" t="s">
        <v>808</v>
      </c>
      <c r="D46" s="9" t="s">
        <v>404</v>
      </c>
      <c r="E46" s="9" t="s">
        <v>404</v>
      </c>
      <c r="F46" s="9" t="s">
        <v>199</v>
      </c>
      <c r="G46" s="9" t="s">
        <v>412</v>
      </c>
      <c r="H46" s="9" t="s">
        <v>831</v>
      </c>
      <c r="I46" s="55">
        <f>'Messages Dictionary'!I51</f>
        <v>0</v>
      </c>
      <c r="J46" s="10">
        <f>'Messages Dictionary'!J51</f>
        <v>0.5</v>
      </c>
      <c r="K46" s="10">
        <f t="shared" si="0"/>
        <v>0</v>
      </c>
      <c r="L46" s="66"/>
      <c r="M46" s="66"/>
      <c r="N46" s="67"/>
      <c r="O46" s="67"/>
      <c r="P46" s="67"/>
      <c r="Q46" s="67"/>
      <c r="R46" s="67"/>
      <c r="S46" s="67"/>
      <c r="T46" s="67"/>
      <c r="U46" s="67"/>
      <c r="V46" s="67"/>
      <c r="W46" s="67"/>
      <c r="X46" s="67"/>
      <c r="Y46" s="67"/>
      <c r="Z46" s="67"/>
      <c r="AA46" s="67"/>
      <c r="AB46" s="67"/>
      <c r="AC46" s="67"/>
      <c r="AD46" s="67"/>
      <c r="AE46" s="67"/>
      <c r="AF46" s="67"/>
      <c r="AG46" s="67"/>
      <c r="AH46" s="67"/>
      <c r="AI46" s="67"/>
      <c r="AJ46" s="67"/>
      <c r="AK46" s="67"/>
      <c r="AL46" s="67"/>
      <c r="AM46" s="67"/>
      <c r="AN46" s="67"/>
      <c r="AO46" s="67"/>
      <c r="AP46" s="67"/>
      <c r="AQ46" s="67"/>
      <c r="AR46" s="67"/>
      <c r="AS46" s="55">
        <f>'Messages Dictionary'!I51</f>
        <v>0</v>
      </c>
    </row>
    <row r="47" spans="1:45" ht="28.5" hidden="1" x14ac:dyDescent="0.2">
      <c r="A47" s="65">
        <v>62</v>
      </c>
      <c r="B47" s="9" t="s">
        <v>432</v>
      </c>
      <c r="C47" s="9" t="s">
        <v>808</v>
      </c>
      <c r="D47" s="9" t="s">
        <v>404</v>
      </c>
      <c r="E47" s="9" t="s">
        <v>404</v>
      </c>
      <c r="F47" s="9" t="s">
        <v>199</v>
      </c>
      <c r="G47" s="9" t="s">
        <v>412</v>
      </c>
      <c r="H47" s="9" t="s">
        <v>831</v>
      </c>
      <c r="I47" s="55">
        <f>'Messages Dictionary'!I52</f>
        <v>0</v>
      </c>
      <c r="J47" s="10">
        <f>'Messages Dictionary'!J52</f>
        <v>0.5</v>
      </c>
      <c r="K47" s="10">
        <f t="shared" si="0"/>
        <v>0</v>
      </c>
      <c r="L47" s="66"/>
      <c r="M47" s="66"/>
      <c r="N47" s="67"/>
      <c r="O47" s="67"/>
      <c r="P47" s="67"/>
      <c r="Q47" s="67"/>
      <c r="R47" s="67"/>
      <c r="S47" s="67"/>
      <c r="T47" s="67"/>
      <c r="U47" s="67"/>
      <c r="V47" s="67"/>
      <c r="W47" s="67"/>
      <c r="X47" s="67"/>
      <c r="Y47" s="67"/>
      <c r="Z47" s="67"/>
      <c r="AA47" s="67"/>
      <c r="AB47" s="67"/>
      <c r="AC47" s="67"/>
      <c r="AD47" s="67"/>
      <c r="AE47" s="67"/>
      <c r="AF47" s="67"/>
      <c r="AG47" s="67"/>
      <c r="AH47" s="67"/>
      <c r="AI47" s="67"/>
      <c r="AJ47" s="67"/>
      <c r="AK47" s="67"/>
      <c r="AL47" s="67"/>
      <c r="AM47" s="67"/>
      <c r="AN47" s="67"/>
      <c r="AO47" s="67"/>
      <c r="AP47" s="67"/>
      <c r="AQ47" s="67"/>
      <c r="AR47" s="67"/>
      <c r="AS47" s="55">
        <f>'Messages Dictionary'!I52</f>
        <v>0</v>
      </c>
    </row>
    <row r="48" spans="1:45" ht="28.5" hidden="1" x14ac:dyDescent="0.2">
      <c r="A48" s="65">
        <v>63</v>
      </c>
      <c r="B48" s="9" t="s">
        <v>290</v>
      </c>
      <c r="C48" s="9" t="s">
        <v>808</v>
      </c>
      <c r="D48" s="9" t="s">
        <v>404</v>
      </c>
      <c r="E48" s="9" t="s">
        <v>404</v>
      </c>
      <c r="F48" s="9" t="s">
        <v>199</v>
      </c>
      <c r="G48" s="9" t="s">
        <v>412</v>
      </c>
      <c r="H48" s="9" t="s">
        <v>831</v>
      </c>
      <c r="I48" s="55">
        <f>'Messages Dictionary'!I53</f>
        <v>0</v>
      </c>
      <c r="J48" s="10">
        <f>'Messages Dictionary'!J53</f>
        <v>0.5</v>
      </c>
      <c r="K48" s="10">
        <f t="shared" si="0"/>
        <v>0</v>
      </c>
      <c r="L48" s="66"/>
      <c r="M48" s="66"/>
      <c r="N48" s="67"/>
      <c r="O48" s="67"/>
      <c r="P48" s="67"/>
      <c r="Q48" s="67"/>
      <c r="R48" s="67"/>
      <c r="S48" s="67"/>
      <c r="T48" s="67"/>
      <c r="U48" s="67"/>
      <c r="V48" s="67"/>
      <c r="W48" s="67"/>
      <c r="X48" s="67"/>
      <c r="Y48" s="67"/>
      <c r="Z48" s="67"/>
      <c r="AA48" s="67"/>
      <c r="AB48" s="67"/>
      <c r="AC48" s="67"/>
      <c r="AD48" s="67"/>
      <c r="AE48" s="67"/>
      <c r="AF48" s="67"/>
      <c r="AG48" s="67"/>
      <c r="AH48" s="67"/>
      <c r="AI48" s="67"/>
      <c r="AJ48" s="67"/>
      <c r="AK48" s="67"/>
      <c r="AL48" s="67"/>
      <c r="AM48" s="67"/>
      <c r="AN48" s="67"/>
      <c r="AO48" s="67"/>
      <c r="AP48" s="67"/>
      <c r="AQ48" s="67"/>
      <c r="AR48" s="67"/>
      <c r="AS48" s="55">
        <f>'Messages Dictionary'!I53</f>
        <v>0</v>
      </c>
    </row>
    <row r="49" spans="1:45" ht="42.75" hidden="1" x14ac:dyDescent="0.2">
      <c r="A49" s="65">
        <v>65</v>
      </c>
      <c r="B49" s="9" t="s">
        <v>628</v>
      </c>
      <c r="C49" s="9" t="s">
        <v>810</v>
      </c>
      <c r="D49" s="9" t="s">
        <v>404</v>
      </c>
      <c r="E49" s="9" t="s">
        <v>404</v>
      </c>
      <c r="F49" s="9" t="s">
        <v>199</v>
      </c>
      <c r="G49" s="9" t="s">
        <v>412</v>
      </c>
      <c r="H49" s="9" t="s">
        <v>831</v>
      </c>
      <c r="I49" s="55">
        <f>'Messages Dictionary'!I54</f>
        <v>0</v>
      </c>
      <c r="J49" s="10">
        <f>'Messages Dictionary'!J54</f>
        <v>0.5</v>
      </c>
      <c r="K49" s="10">
        <f t="shared" si="0"/>
        <v>0</v>
      </c>
      <c r="L49" s="66"/>
      <c r="M49" s="66"/>
      <c r="N49" s="67"/>
      <c r="O49" s="67"/>
      <c r="P49" s="67"/>
      <c r="Q49" s="67"/>
      <c r="R49" s="67"/>
      <c r="S49" s="67"/>
      <c r="T49" s="67"/>
      <c r="U49" s="67"/>
      <c r="V49" s="67"/>
      <c r="W49" s="67"/>
      <c r="X49" s="67"/>
      <c r="Y49" s="67"/>
      <c r="Z49" s="67"/>
      <c r="AA49" s="67"/>
      <c r="AB49" s="67"/>
      <c r="AC49" s="67"/>
      <c r="AD49" s="67"/>
      <c r="AE49" s="67"/>
      <c r="AF49" s="67"/>
      <c r="AG49" s="67"/>
      <c r="AH49" s="67"/>
      <c r="AI49" s="67"/>
      <c r="AJ49" s="67"/>
      <c r="AK49" s="67"/>
      <c r="AL49" s="67"/>
      <c r="AM49" s="67"/>
      <c r="AN49" s="67"/>
      <c r="AO49" s="67"/>
      <c r="AP49" s="67"/>
      <c r="AQ49" s="67"/>
      <c r="AR49" s="67"/>
      <c r="AS49" s="55">
        <f>'Messages Dictionary'!I54</f>
        <v>0</v>
      </c>
    </row>
    <row r="50" spans="1:45" ht="42.75" hidden="1" x14ac:dyDescent="0.2">
      <c r="A50" s="65">
        <v>66</v>
      </c>
      <c r="B50" s="9" t="s">
        <v>427</v>
      </c>
      <c r="C50" s="9" t="s">
        <v>810</v>
      </c>
      <c r="D50" s="9" t="s">
        <v>404</v>
      </c>
      <c r="E50" s="9" t="s">
        <v>404</v>
      </c>
      <c r="F50" s="9" t="s">
        <v>199</v>
      </c>
      <c r="G50" s="9" t="s">
        <v>412</v>
      </c>
      <c r="H50" s="9" t="s">
        <v>831</v>
      </c>
      <c r="I50" s="55">
        <f>'Messages Dictionary'!I55</f>
        <v>0</v>
      </c>
      <c r="J50" s="10">
        <f>'Messages Dictionary'!J55</f>
        <v>0.5</v>
      </c>
      <c r="K50" s="10">
        <f t="shared" si="0"/>
        <v>0</v>
      </c>
      <c r="L50" s="66"/>
      <c r="M50" s="66"/>
      <c r="N50" s="67"/>
      <c r="O50" s="67"/>
      <c r="P50" s="67"/>
      <c r="Q50" s="67"/>
      <c r="R50" s="67"/>
      <c r="S50" s="67"/>
      <c r="T50" s="67"/>
      <c r="U50" s="67"/>
      <c r="V50" s="67"/>
      <c r="W50" s="67"/>
      <c r="X50" s="67"/>
      <c r="Y50" s="67"/>
      <c r="Z50" s="67"/>
      <c r="AA50" s="67"/>
      <c r="AB50" s="67"/>
      <c r="AC50" s="67"/>
      <c r="AD50" s="67"/>
      <c r="AE50" s="67"/>
      <c r="AF50" s="67"/>
      <c r="AG50" s="67"/>
      <c r="AH50" s="67"/>
      <c r="AI50" s="67"/>
      <c r="AJ50" s="67"/>
      <c r="AK50" s="67"/>
      <c r="AL50" s="67"/>
      <c r="AM50" s="67"/>
      <c r="AN50" s="67"/>
      <c r="AO50" s="67"/>
      <c r="AP50" s="67"/>
      <c r="AQ50" s="67"/>
      <c r="AR50" s="67"/>
      <c r="AS50" s="55">
        <f>'Messages Dictionary'!I55</f>
        <v>0</v>
      </c>
    </row>
    <row r="51" spans="1:45" ht="42.75" hidden="1" x14ac:dyDescent="0.2">
      <c r="A51" s="65">
        <v>67</v>
      </c>
      <c r="B51" s="9" t="s">
        <v>432</v>
      </c>
      <c r="C51" s="9" t="s">
        <v>810</v>
      </c>
      <c r="D51" s="9" t="s">
        <v>404</v>
      </c>
      <c r="E51" s="9" t="s">
        <v>404</v>
      </c>
      <c r="F51" s="9" t="s">
        <v>199</v>
      </c>
      <c r="G51" s="9" t="s">
        <v>412</v>
      </c>
      <c r="H51" s="9" t="s">
        <v>831</v>
      </c>
      <c r="I51" s="55">
        <f>'Messages Dictionary'!I56</f>
        <v>0</v>
      </c>
      <c r="J51" s="10">
        <f>'Messages Dictionary'!J56</f>
        <v>0.5</v>
      </c>
      <c r="K51" s="10">
        <f t="shared" si="0"/>
        <v>0</v>
      </c>
      <c r="L51" s="66"/>
      <c r="M51" s="66"/>
      <c r="N51" s="67"/>
      <c r="O51" s="67"/>
      <c r="P51" s="67"/>
      <c r="Q51" s="67"/>
      <c r="R51" s="67"/>
      <c r="S51" s="67"/>
      <c r="T51" s="67"/>
      <c r="U51" s="67"/>
      <c r="V51" s="67"/>
      <c r="W51" s="67"/>
      <c r="X51" s="67"/>
      <c r="Y51" s="67"/>
      <c r="Z51" s="67"/>
      <c r="AA51" s="67"/>
      <c r="AB51" s="67"/>
      <c r="AC51" s="67"/>
      <c r="AD51" s="67"/>
      <c r="AE51" s="67"/>
      <c r="AF51" s="67"/>
      <c r="AG51" s="67"/>
      <c r="AH51" s="67"/>
      <c r="AI51" s="67"/>
      <c r="AJ51" s="67"/>
      <c r="AK51" s="67"/>
      <c r="AL51" s="67"/>
      <c r="AM51" s="67"/>
      <c r="AN51" s="67"/>
      <c r="AO51" s="67"/>
      <c r="AP51" s="67"/>
      <c r="AQ51" s="67"/>
      <c r="AR51" s="67"/>
      <c r="AS51" s="55">
        <f>'Messages Dictionary'!I56</f>
        <v>0</v>
      </c>
    </row>
    <row r="52" spans="1:45" ht="42.75" hidden="1" x14ac:dyDescent="0.2">
      <c r="A52" s="65">
        <v>68</v>
      </c>
      <c r="B52" s="9" t="s">
        <v>290</v>
      </c>
      <c r="C52" s="9" t="s">
        <v>810</v>
      </c>
      <c r="D52" s="9" t="s">
        <v>404</v>
      </c>
      <c r="E52" s="9" t="s">
        <v>404</v>
      </c>
      <c r="F52" s="9" t="s">
        <v>199</v>
      </c>
      <c r="G52" s="9" t="s">
        <v>412</v>
      </c>
      <c r="H52" s="9" t="s">
        <v>831</v>
      </c>
      <c r="I52" s="55">
        <f>'Messages Dictionary'!I57</f>
        <v>0</v>
      </c>
      <c r="J52" s="10">
        <f>'Messages Dictionary'!J57</f>
        <v>0.5</v>
      </c>
      <c r="K52" s="10">
        <f t="shared" si="0"/>
        <v>0</v>
      </c>
      <c r="L52" s="66"/>
      <c r="M52" s="66"/>
      <c r="N52" s="67"/>
      <c r="O52" s="67"/>
      <c r="P52" s="67"/>
      <c r="Q52" s="67"/>
      <c r="R52" s="67"/>
      <c r="S52" s="67"/>
      <c r="T52" s="67"/>
      <c r="U52" s="67"/>
      <c r="V52" s="67"/>
      <c r="W52" s="67"/>
      <c r="X52" s="67"/>
      <c r="Y52" s="67"/>
      <c r="Z52" s="67"/>
      <c r="AA52" s="67"/>
      <c r="AB52" s="67"/>
      <c r="AC52" s="67"/>
      <c r="AD52" s="67"/>
      <c r="AE52" s="67"/>
      <c r="AF52" s="67"/>
      <c r="AG52" s="67"/>
      <c r="AH52" s="67"/>
      <c r="AI52" s="67"/>
      <c r="AJ52" s="67"/>
      <c r="AK52" s="67"/>
      <c r="AL52" s="67"/>
      <c r="AM52" s="67"/>
      <c r="AN52" s="67"/>
      <c r="AO52" s="67"/>
      <c r="AP52" s="67"/>
      <c r="AQ52" s="67"/>
      <c r="AR52" s="67"/>
      <c r="AS52" s="55">
        <f>'Messages Dictionary'!I57</f>
        <v>0</v>
      </c>
    </row>
    <row r="53" spans="1:45" ht="28.5" hidden="1" x14ac:dyDescent="0.2">
      <c r="A53" s="65">
        <v>70</v>
      </c>
      <c r="B53" s="9" t="s">
        <v>628</v>
      </c>
      <c r="C53" s="9" t="s">
        <v>629</v>
      </c>
      <c r="D53" s="9" t="s">
        <v>404</v>
      </c>
      <c r="E53" s="9" t="s">
        <v>404</v>
      </c>
      <c r="F53" s="9" t="s">
        <v>199</v>
      </c>
      <c r="G53" s="9" t="s">
        <v>412</v>
      </c>
      <c r="H53" s="9" t="s">
        <v>831</v>
      </c>
      <c r="I53" s="55">
        <f>'Messages Dictionary'!I58</f>
        <v>0</v>
      </c>
      <c r="J53" s="10">
        <f>'Messages Dictionary'!J58</f>
        <v>0.5</v>
      </c>
      <c r="K53" s="10">
        <f t="shared" si="0"/>
        <v>0</v>
      </c>
      <c r="L53" s="66"/>
      <c r="M53" s="66"/>
      <c r="N53" s="67"/>
      <c r="O53" s="67"/>
      <c r="P53" s="67"/>
      <c r="Q53" s="67"/>
      <c r="R53" s="67"/>
      <c r="S53" s="67"/>
      <c r="T53" s="67"/>
      <c r="U53" s="67"/>
      <c r="V53" s="67"/>
      <c r="W53" s="67"/>
      <c r="X53" s="67"/>
      <c r="Y53" s="67"/>
      <c r="Z53" s="67"/>
      <c r="AA53" s="67"/>
      <c r="AB53" s="67"/>
      <c r="AC53" s="67"/>
      <c r="AD53" s="67"/>
      <c r="AE53" s="67"/>
      <c r="AF53" s="67"/>
      <c r="AG53" s="67"/>
      <c r="AH53" s="67"/>
      <c r="AI53" s="67"/>
      <c r="AJ53" s="67"/>
      <c r="AK53" s="67"/>
      <c r="AL53" s="67"/>
      <c r="AM53" s="67"/>
      <c r="AN53" s="67"/>
      <c r="AO53" s="67"/>
      <c r="AP53" s="67"/>
      <c r="AQ53" s="67"/>
      <c r="AR53" s="67"/>
      <c r="AS53" s="55">
        <f>'Messages Dictionary'!I58</f>
        <v>0</v>
      </c>
    </row>
    <row r="54" spans="1:45" ht="28.5" hidden="1" x14ac:dyDescent="0.2">
      <c r="A54" s="65">
        <v>71</v>
      </c>
      <c r="B54" s="9" t="s">
        <v>427</v>
      </c>
      <c r="C54" s="9" t="s">
        <v>811</v>
      </c>
      <c r="D54" s="9" t="s">
        <v>404</v>
      </c>
      <c r="E54" s="9" t="s">
        <v>404</v>
      </c>
      <c r="F54" s="9" t="s">
        <v>199</v>
      </c>
      <c r="G54" s="9" t="s">
        <v>412</v>
      </c>
      <c r="H54" s="9" t="s">
        <v>831</v>
      </c>
      <c r="I54" s="55">
        <f>'Messages Dictionary'!I59</f>
        <v>0</v>
      </c>
      <c r="J54" s="10">
        <f>'Messages Dictionary'!J59</f>
        <v>0.5</v>
      </c>
      <c r="K54" s="10">
        <f t="shared" si="0"/>
        <v>0</v>
      </c>
      <c r="L54" s="66"/>
      <c r="M54" s="66"/>
      <c r="N54" s="67"/>
      <c r="O54" s="67"/>
      <c r="P54" s="67"/>
      <c r="Q54" s="67"/>
      <c r="R54" s="67"/>
      <c r="S54" s="67"/>
      <c r="T54" s="67"/>
      <c r="U54" s="67"/>
      <c r="V54" s="67"/>
      <c r="W54" s="67"/>
      <c r="X54" s="67"/>
      <c r="Y54" s="67"/>
      <c r="Z54" s="67"/>
      <c r="AA54" s="67"/>
      <c r="AB54" s="67"/>
      <c r="AC54" s="67"/>
      <c r="AD54" s="67"/>
      <c r="AE54" s="67"/>
      <c r="AF54" s="67"/>
      <c r="AG54" s="67"/>
      <c r="AH54" s="67"/>
      <c r="AI54" s="67"/>
      <c r="AJ54" s="67"/>
      <c r="AK54" s="67"/>
      <c r="AL54" s="67"/>
      <c r="AM54" s="67"/>
      <c r="AN54" s="67"/>
      <c r="AO54" s="67"/>
      <c r="AP54" s="67"/>
      <c r="AQ54" s="67"/>
      <c r="AR54" s="67"/>
      <c r="AS54" s="55">
        <f>'Messages Dictionary'!I59</f>
        <v>0</v>
      </c>
    </row>
    <row r="55" spans="1:45" ht="28.5" hidden="1" x14ac:dyDescent="0.2">
      <c r="A55" s="65">
        <v>72</v>
      </c>
      <c r="B55" s="9" t="s">
        <v>432</v>
      </c>
      <c r="C55" s="9" t="s">
        <v>811</v>
      </c>
      <c r="D55" s="9" t="s">
        <v>404</v>
      </c>
      <c r="E55" s="9" t="s">
        <v>404</v>
      </c>
      <c r="F55" s="9" t="s">
        <v>199</v>
      </c>
      <c r="G55" s="9" t="s">
        <v>412</v>
      </c>
      <c r="H55" s="9" t="s">
        <v>831</v>
      </c>
      <c r="I55" s="55">
        <f>'Messages Dictionary'!I60</f>
        <v>0</v>
      </c>
      <c r="J55" s="10">
        <f>'Messages Dictionary'!J60</f>
        <v>0.5</v>
      </c>
      <c r="K55" s="10">
        <f t="shared" si="0"/>
        <v>0</v>
      </c>
      <c r="L55" s="66"/>
      <c r="M55" s="66"/>
      <c r="N55" s="67"/>
      <c r="O55" s="67"/>
      <c r="P55" s="67"/>
      <c r="Q55" s="67"/>
      <c r="R55" s="67"/>
      <c r="S55" s="67"/>
      <c r="T55" s="67"/>
      <c r="U55" s="67"/>
      <c r="V55" s="67"/>
      <c r="W55" s="67"/>
      <c r="X55" s="67"/>
      <c r="Y55" s="67"/>
      <c r="Z55" s="67"/>
      <c r="AA55" s="67"/>
      <c r="AB55" s="67"/>
      <c r="AC55" s="67"/>
      <c r="AD55" s="67"/>
      <c r="AE55" s="67"/>
      <c r="AF55" s="67"/>
      <c r="AG55" s="67"/>
      <c r="AH55" s="67"/>
      <c r="AI55" s="67"/>
      <c r="AJ55" s="67"/>
      <c r="AK55" s="67"/>
      <c r="AL55" s="67"/>
      <c r="AM55" s="67"/>
      <c r="AN55" s="67"/>
      <c r="AO55" s="67"/>
      <c r="AP55" s="67"/>
      <c r="AQ55" s="67"/>
      <c r="AR55" s="67"/>
      <c r="AS55" s="55">
        <f>'Messages Dictionary'!I60</f>
        <v>0</v>
      </c>
    </row>
    <row r="56" spans="1:45" ht="28.5" hidden="1" x14ac:dyDescent="0.2">
      <c r="A56" s="65">
        <v>73</v>
      </c>
      <c r="B56" s="9" t="s">
        <v>290</v>
      </c>
      <c r="C56" s="9" t="s">
        <v>811</v>
      </c>
      <c r="D56" s="9" t="s">
        <v>404</v>
      </c>
      <c r="E56" s="9" t="s">
        <v>404</v>
      </c>
      <c r="F56" s="9" t="s">
        <v>199</v>
      </c>
      <c r="G56" s="9" t="s">
        <v>412</v>
      </c>
      <c r="H56" s="9" t="s">
        <v>831</v>
      </c>
      <c r="I56" s="55">
        <f>'Messages Dictionary'!I61</f>
        <v>0</v>
      </c>
      <c r="J56" s="10">
        <f>'Messages Dictionary'!J61</f>
        <v>0.5</v>
      </c>
      <c r="K56" s="10">
        <f t="shared" si="0"/>
        <v>0</v>
      </c>
      <c r="L56" s="66"/>
      <c r="M56" s="66"/>
      <c r="N56" s="67"/>
      <c r="O56" s="67"/>
      <c r="P56" s="67"/>
      <c r="Q56" s="67"/>
      <c r="R56" s="67"/>
      <c r="S56" s="67"/>
      <c r="T56" s="67"/>
      <c r="U56" s="67"/>
      <c r="V56" s="67"/>
      <c r="W56" s="67"/>
      <c r="X56" s="67"/>
      <c r="Y56" s="67"/>
      <c r="Z56" s="67"/>
      <c r="AA56" s="67"/>
      <c r="AB56" s="67"/>
      <c r="AC56" s="67"/>
      <c r="AD56" s="67"/>
      <c r="AE56" s="67"/>
      <c r="AF56" s="67"/>
      <c r="AG56" s="67"/>
      <c r="AH56" s="67"/>
      <c r="AI56" s="67"/>
      <c r="AJ56" s="67"/>
      <c r="AK56" s="67"/>
      <c r="AL56" s="67"/>
      <c r="AM56" s="67"/>
      <c r="AN56" s="67"/>
      <c r="AO56" s="67"/>
      <c r="AP56" s="67"/>
      <c r="AQ56" s="67"/>
      <c r="AR56" s="67"/>
      <c r="AS56" s="55">
        <f>'Messages Dictionary'!I61</f>
        <v>0</v>
      </c>
    </row>
    <row r="57" spans="1:45" ht="28.5" hidden="1" x14ac:dyDescent="0.2">
      <c r="A57" s="65">
        <v>75</v>
      </c>
      <c r="B57" s="9" t="s">
        <v>628</v>
      </c>
      <c r="C57" s="9" t="s">
        <v>812</v>
      </c>
      <c r="D57" s="9" t="s">
        <v>404</v>
      </c>
      <c r="E57" s="9" t="s">
        <v>404</v>
      </c>
      <c r="F57" s="9" t="s">
        <v>199</v>
      </c>
      <c r="G57" s="9" t="s">
        <v>412</v>
      </c>
      <c r="H57" s="9" t="s">
        <v>831</v>
      </c>
      <c r="I57" s="55">
        <f>'Messages Dictionary'!I62</f>
        <v>0</v>
      </c>
      <c r="J57" s="10">
        <f>'Messages Dictionary'!J62</f>
        <v>0.5</v>
      </c>
      <c r="K57" s="10">
        <f t="shared" si="0"/>
        <v>0</v>
      </c>
      <c r="L57" s="66"/>
      <c r="M57" s="66"/>
      <c r="N57" s="67"/>
      <c r="O57" s="67"/>
      <c r="P57" s="67"/>
      <c r="Q57" s="67"/>
      <c r="R57" s="67"/>
      <c r="S57" s="67"/>
      <c r="T57" s="67"/>
      <c r="U57" s="67"/>
      <c r="V57" s="67"/>
      <c r="W57" s="67"/>
      <c r="X57" s="67"/>
      <c r="Y57" s="67"/>
      <c r="Z57" s="67"/>
      <c r="AA57" s="67"/>
      <c r="AB57" s="67"/>
      <c r="AC57" s="67"/>
      <c r="AD57" s="67"/>
      <c r="AE57" s="67"/>
      <c r="AF57" s="67"/>
      <c r="AG57" s="67"/>
      <c r="AH57" s="67"/>
      <c r="AI57" s="67"/>
      <c r="AJ57" s="67"/>
      <c r="AK57" s="67"/>
      <c r="AL57" s="67"/>
      <c r="AM57" s="67"/>
      <c r="AN57" s="67"/>
      <c r="AO57" s="67"/>
      <c r="AP57" s="67"/>
      <c r="AQ57" s="67"/>
      <c r="AR57" s="67"/>
      <c r="AS57" s="55">
        <f>'Messages Dictionary'!I62</f>
        <v>0</v>
      </c>
    </row>
    <row r="58" spans="1:45" ht="28.5" hidden="1" x14ac:dyDescent="0.2">
      <c r="A58" s="65">
        <v>76</v>
      </c>
      <c r="B58" s="9" t="s">
        <v>427</v>
      </c>
      <c r="C58" s="9" t="s">
        <v>812</v>
      </c>
      <c r="D58" s="9" t="s">
        <v>404</v>
      </c>
      <c r="E58" s="9" t="s">
        <v>404</v>
      </c>
      <c r="F58" s="9" t="s">
        <v>199</v>
      </c>
      <c r="G58" s="9" t="s">
        <v>412</v>
      </c>
      <c r="H58" s="9" t="s">
        <v>831</v>
      </c>
      <c r="I58" s="55">
        <f>'Messages Dictionary'!I63</f>
        <v>0</v>
      </c>
      <c r="J58" s="10">
        <f>'Messages Dictionary'!J63</f>
        <v>0.5</v>
      </c>
      <c r="K58" s="10">
        <f t="shared" si="0"/>
        <v>0</v>
      </c>
      <c r="L58" s="66"/>
      <c r="M58" s="66"/>
      <c r="N58" s="67"/>
      <c r="O58" s="67"/>
      <c r="P58" s="67"/>
      <c r="Q58" s="67"/>
      <c r="R58" s="67"/>
      <c r="S58" s="67"/>
      <c r="T58" s="67"/>
      <c r="U58" s="67"/>
      <c r="V58" s="67"/>
      <c r="W58" s="67"/>
      <c r="X58" s="67"/>
      <c r="Y58" s="67"/>
      <c r="Z58" s="67"/>
      <c r="AA58" s="67"/>
      <c r="AB58" s="67"/>
      <c r="AC58" s="67"/>
      <c r="AD58" s="67"/>
      <c r="AE58" s="67"/>
      <c r="AF58" s="67"/>
      <c r="AG58" s="67"/>
      <c r="AH58" s="67"/>
      <c r="AI58" s="67"/>
      <c r="AJ58" s="67"/>
      <c r="AK58" s="67"/>
      <c r="AL58" s="67"/>
      <c r="AM58" s="67"/>
      <c r="AN58" s="67"/>
      <c r="AO58" s="67"/>
      <c r="AP58" s="67"/>
      <c r="AQ58" s="67"/>
      <c r="AR58" s="67"/>
      <c r="AS58" s="55">
        <f>'Messages Dictionary'!I63</f>
        <v>0</v>
      </c>
    </row>
    <row r="59" spans="1:45" ht="28.5" hidden="1" x14ac:dyDescent="0.2">
      <c r="A59" s="65">
        <v>77</v>
      </c>
      <c r="B59" s="9" t="s">
        <v>432</v>
      </c>
      <c r="C59" s="9" t="s">
        <v>812</v>
      </c>
      <c r="D59" s="9" t="s">
        <v>404</v>
      </c>
      <c r="E59" s="9" t="s">
        <v>404</v>
      </c>
      <c r="F59" s="9" t="s">
        <v>199</v>
      </c>
      <c r="G59" s="9" t="s">
        <v>412</v>
      </c>
      <c r="H59" s="9" t="s">
        <v>831</v>
      </c>
      <c r="I59" s="55">
        <f>'Messages Dictionary'!I64</f>
        <v>0</v>
      </c>
      <c r="J59" s="10">
        <f>'Messages Dictionary'!J64</f>
        <v>0.5</v>
      </c>
      <c r="K59" s="10">
        <f t="shared" si="0"/>
        <v>0</v>
      </c>
      <c r="L59" s="66"/>
      <c r="M59" s="66"/>
      <c r="N59" s="67"/>
      <c r="O59" s="67"/>
      <c r="P59" s="67"/>
      <c r="Q59" s="67"/>
      <c r="R59" s="67"/>
      <c r="S59" s="67"/>
      <c r="T59" s="67"/>
      <c r="U59" s="67"/>
      <c r="V59" s="67"/>
      <c r="W59" s="67"/>
      <c r="X59" s="67"/>
      <c r="Y59" s="67"/>
      <c r="Z59" s="67"/>
      <c r="AA59" s="67"/>
      <c r="AB59" s="67"/>
      <c r="AC59" s="67"/>
      <c r="AD59" s="67"/>
      <c r="AE59" s="67"/>
      <c r="AF59" s="67"/>
      <c r="AG59" s="67"/>
      <c r="AH59" s="67"/>
      <c r="AI59" s="67"/>
      <c r="AJ59" s="67"/>
      <c r="AK59" s="67"/>
      <c r="AL59" s="67"/>
      <c r="AM59" s="67"/>
      <c r="AN59" s="67"/>
      <c r="AO59" s="67"/>
      <c r="AP59" s="67"/>
      <c r="AQ59" s="67"/>
      <c r="AR59" s="67"/>
      <c r="AS59" s="55">
        <f>'Messages Dictionary'!I64</f>
        <v>0</v>
      </c>
    </row>
    <row r="60" spans="1:45" ht="28.5" hidden="1" x14ac:dyDescent="0.2">
      <c r="A60" s="65">
        <v>78</v>
      </c>
      <c r="B60" s="9" t="s">
        <v>290</v>
      </c>
      <c r="C60" s="9" t="s">
        <v>812</v>
      </c>
      <c r="D60" s="9" t="s">
        <v>404</v>
      </c>
      <c r="E60" s="9" t="s">
        <v>404</v>
      </c>
      <c r="F60" s="9" t="s">
        <v>199</v>
      </c>
      <c r="G60" s="9" t="s">
        <v>412</v>
      </c>
      <c r="H60" s="9" t="s">
        <v>831</v>
      </c>
      <c r="I60" s="55">
        <f>'Messages Dictionary'!I65</f>
        <v>0</v>
      </c>
      <c r="J60" s="10">
        <f>'Messages Dictionary'!J65</f>
        <v>0.5</v>
      </c>
      <c r="K60" s="10">
        <f t="shared" si="0"/>
        <v>0</v>
      </c>
      <c r="L60" s="66"/>
      <c r="M60" s="66"/>
      <c r="N60" s="67"/>
      <c r="O60" s="67"/>
      <c r="P60" s="67"/>
      <c r="Q60" s="67"/>
      <c r="R60" s="67"/>
      <c r="S60" s="67"/>
      <c r="T60" s="67"/>
      <c r="U60" s="67"/>
      <c r="V60" s="67"/>
      <c r="W60" s="67"/>
      <c r="X60" s="67"/>
      <c r="Y60" s="67"/>
      <c r="Z60" s="67"/>
      <c r="AA60" s="67"/>
      <c r="AB60" s="67"/>
      <c r="AC60" s="67"/>
      <c r="AD60" s="67"/>
      <c r="AE60" s="67"/>
      <c r="AF60" s="67"/>
      <c r="AG60" s="67"/>
      <c r="AH60" s="67"/>
      <c r="AI60" s="67"/>
      <c r="AJ60" s="67"/>
      <c r="AK60" s="67"/>
      <c r="AL60" s="67"/>
      <c r="AM60" s="67"/>
      <c r="AN60" s="67"/>
      <c r="AO60" s="67"/>
      <c r="AP60" s="67"/>
      <c r="AQ60" s="67"/>
      <c r="AR60" s="67"/>
      <c r="AS60" s="55">
        <f>'Messages Dictionary'!I65</f>
        <v>0</v>
      </c>
    </row>
    <row r="61" spans="1:45" ht="28.5" hidden="1" x14ac:dyDescent="0.2">
      <c r="A61" s="65">
        <v>80</v>
      </c>
      <c r="B61" s="9" t="s">
        <v>628</v>
      </c>
      <c r="C61" s="9" t="s">
        <v>813</v>
      </c>
      <c r="D61" s="9" t="s">
        <v>404</v>
      </c>
      <c r="E61" s="9" t="s">
        <v>404</v>
      </c>
      <c r="F61" s="9" t="s">
        <v>199</v>
      </c>
      <c r="G61" s="9" t="s">
        <v>412</v>
      </c>
      <c r="H61" s="9" t="s">
        <v>831</v>
      </c>
      <c r="I61" s="55">
        <f>'Messages Dictionary'!I66</f>
        <v>0</v>
      </c>
      <c r="J61" s="10">
        <f>'Messages Dictionary'!J66</f>
        <v>0.5</v>
      </c>
      <c r="K61" s="10">
        <f t="shared" si="0"/>
        <v>0</v>
      </c>
      <c r="L61" s="66"/>
      <c r="M61" s="66"/>
      <c r="N61" s="67"/>
      <c r="O61" s="67"/>
      <c r="P61" s="67"/>
      <c r="Q61" s="67"/>
      <c r="R61" s="67"/>
      <c r="S61" s="67"/>
      <c r="T61" s="67"/>
      <c r="U61" s="67"/>
      <c r="V61" s="67"/>
      <c r="W61" s="67"/>
      <c r="X61" s="67"/>
      <c r="Y61" s="67"/>
      <c r="Z61" s="67"/>
      <c r="AA61" s="67"/>
      <c r="AB61" s="67"/>
      <c r="AC61" s="67"/>
      <c r="AD61" s="67"/>
      <c r="AE61" s="67"/>
      <c r="AF61" s="67"/>
      <c r="AG61" s="67"/>
      <c r="AH61" s="67"/>
      <c r="AI61" s="67"/>
      <c r="AJ61" s="67"/>
      <c r="AK61" s="67"/>
      <c r="AL61" s="67"/>
      <c r="AM61" s="67"/>
      <c r="AN61" s="67"/>
      <c r="AO61" s="67"/>
      <c r="AP61" s="67"/>
      <c r="AQ61" s="67"/>
      <c r="AR61" s="67"/>
      <c r="AS61" s="55">
        <f>'Messages Dictionary'!I66</f>
        <v>0</v>
      </c>
    </row>
    <row r="62" spans="1:45" ht="28.5" hidden="1" x14ac:dyDescent="0.2">
      <c r="A62" s="65">
        <v>81</v>
      </c>
      <c r="B62" s="9" t="s">
        <v>427</v>
      </c>
      <c r="C62" s="9" t="s">
        <v>813</v>
      </c>
      <c r="D62" s="9" t="s">
        <v>404</v>
      </c>
      <c r="E62" s="9" t="s">
        <v>404</v>
      </c>
      <c r="F62" s="9" t="s">
        <v>199</v>
      </c>
      <c r="G62" s="9" t="s">
        <v>412</v>
      </c>
      <c r="H62" s="9" t="s">
        <v>831</v>
      </c>
      <c r="I62" s="55">
        <f>'Messages Dictionary'!I67</f>
        <v>0</v>
      </c>
      <c r="J62" s="10">
        <f>'Messages Dictionary'!J67</f>
        <v>0.5</v>
      </c>
      <c r="K62" s="10">
        <f t="shared" si="0"/>
        <v>0</v>
      </c>
      <c r="L62" s="66"/>
      <c r="M62" s="66"/>
      <c r="N62" s="67"/>
      <c r="O62" s="67"/>
      <c r="P62" s="67"/>
      <c r="Q62" s="67"/>
      <c r="R62" s="67"/>
      <c r="S62" s="67"/>
      <c r="T62" s="67"/>
      <c r="U62" s="67"/>
      <c r="V62" s="67"/>
      <c r="W62" s="67"/>
      <c r="X62" s="67"/>
      <c r="Y62" s="67"/>
      <c r="Z62" s="67"/>
      <c r="AA62" s="67"/>
      <c r="AB62" s="67"/>
      <c r="AC62" s="67"/>
      <c r="AD62" s="67"/>
      <c r="AE62" s="67"/>
      <c r="AF62" s="67"/>
      <c r="AG62" s="67"/>
      <c r="AH62" s="67"/>
      <c r="AI62" s="67"/>
      <c r="AJ62" s="67"/>
      <c r="AK62" s="67"/>
      <c r="AL62" s="67"/>
      <c r="AM62" s="67"/>
      <c r="AN62" s="67"/>
      <c r="AO62" s="67"/>
      <c r="AP62" s="67"/>
      <c r="AQ62" s="67"/>
      <c r="AR62" s="67"/>
      <c r="AS62" s="55">
        <f>'Messages Dictionary'!I67</f>
        <v>0</v>
      </c>
    </row>
    <row r="63" spans="1:45" ht="28.5" hidden="1" x14ac:dyDescent="0.2">
      <c r="A63" s="65">
        <v>82</v>
      </c>
      <c r="B63" s="9" t="s">
        <v>432</v>
      </c>
      <c r="C63" s="9" t="s">
        <v>813</v>
      </c>
      <c r="D63" s="9" t="s">
        <v>404</v>
      </c>
      <c r="E63" s="9" t="s">
        <v>404</v>
      </c>
      <c r="F63" s="9" t="s">
        <v>199</v>
      </c>
      <c r="G63" s="9" t="s">
        <v>412</v>
      </c>
      <c r="H63" s="9" t="s">
        <v>831</v>
      </c>
      <c r="I63" s="55">
        <f>'Messages Dictionary'!I68</f>
        <v>0</v>
      </c>
      <c r="J63" s="10">
        <f>'Messages Dictionary'!J68</f>
        <v>0.5</v>
      </c>
      <c r="K63" s="10">
        <f t="shared" si="0"/>
        <v>0</v>
      </c>
      <c r="L63" s="66"/>
      <c r="M63" s="66"/>
      <c r="N63" s="67"/>
      <c r="O63" s="67"/>
      <c r="P63" s="67"/>
      <c r="Q63" s="67"/>
      <c r="R63" s="67"/>
      <c r="S63" s="67"/>
      <c r="T63" s="67"/>
      <c r="U63" s="67"/>
      <c r="V63" s="67"/>
      <c r="W63" s="67"/>
      <c r="X63" s="67"/>
      <c r="Y63" s="67"/>
      <c r="Z63" s="67"/>
      <c r="AA63" s="67"/>
      <c r="AB63" s="67"/>
      <c r="AC63" s="67"/>
      <c r="AD63" s="67"/>
      <c r="AE63" s="67"/>
      <c r="AF63" s="67"/>
      <c r="AG63" s="67"/>
      <c r="AH63" s="67"/>
      <c r="AI63" s="67"/>
      <c r="AJ63" s="67"/>
      <c r="AK63" s="67"/>
      <c r="AL63" s="67"/>
      <c r="AM63" s="67"/>
      <c r="AN63" s="67"/>
      <c r="AO63" s="67"/>
      <c r="AP63" s="67"/>
      <c r="AQ63" s="67"/>
      <c r="AR63" s="67"/>
      <c r="AS63" s="55">
        <f>'Messages Dictionary'!I68</f>
        <v>0</v>
      </c>
    </row>
    <row r="64" spans="1:45" ht="28.5" hidden="1" x14ac:dyDescent="0.2">
      <c r="A64" s="65">
        <v>83</v>
      </c>
      <c r="B64" s="9" t="s">
        <v>290</v>
      </c>
      <c r="C64" s="9" t="s">
        <v>813</v>
      </c>
      <c r="D64" s="9" t="s">
        <v>404</v>
      </c>
      <c r="E64" s="9" t="s">
        <v>404</v>
      </c>
      <c r="F64" s="9" t="s">
        <v>199</v>
      </c>
      <c r="G64" s="9" t="s">
        <v>412</v>
      </c>
      <c r="H64" s="9" t="s">
        <v>831</v>
      </c>
      <c r="I64" s="55">
        <f>'Messages Dictionary'!I69</f>
        <v>0</v>
      </c>
      <c r="J64" s="10">
        <f>'Messages Dictionary'!J69</f>
        <v>0.5</v>
      </c>
      <c r="K64" s="10">
        <f t="shared" si="0"/>
        <v>0</v>
      </c>
      <c r="L64" s="66"/>
      <c r="M64" s="66"/>
      <c r="N64" s="67"/>
      <c r="O64" s="67"/>
      <c r="P64" s="67"/>
      <c r="Q64" s="67"/>
      <c r="R64" s="67"/>
      <c r="S64" s="67"/>
      <c r="T64" s="67"/>
      <c r="U64" s="67"/>
      <c r="V64" s="67"/>
      <c r="W64" s="67"/>
      <c r="X64" s="67"/>
      <c r="Y64" s="67"/>
      <c r="Z64" s="67"/>
      <c r="AA64" s="67"/>
      <c r="AB64" s="67"/>
      <c r="AC64" s="67"/>
      <c r="AD64" s="67"/>
      <c r="AE64" s="67"/>
      <c r="AF64" s="67"/>
      <c r="AG64" s="67"/>
      <c r="AH64" s="67"/>
      <c r="AI64" s="67"/>
      <c r="AJ64" s="67"/>
      <c r="AK64" s="67"/>
      <c r="AL64" s="67"/>
      <c r="AM64" s="67"/>
      <c r="AN64" s="67"/>
      <c r="AO64" s="67"/>
      <c r="AP64" s="67"/>
      <c r="AQ64" s="67"/>
      <c r="AR64" s="67"/>
      <c r="AS64" s="55">
        <f>'Messages Dictionary'!I69</f>
        <v>0</v>
      </c>
    </row>
    <row r="65" spans="1:45" ht="71.25" hidden="1" x14ac:dyDescent="0.2">
      <c r="A65" s="65">
        <v>84</v>
      </c>
      <c r="B65" s="9" t="s">
        <v>630</v>
      </c>
      <c r="C65" s="9" t="s">
        <v>631</v>
      </c>
      <c r="D65" s="9" t="s">
        <v>404</v>
      </c>
      <c r="E65" s="9" t="s">
        <v>404</v>
      </c>
      <c r="F65" s="9" t="s">
        <v>199</v>
      </c>
      <c r="G65" s="9" t="s">
        <v>412</v>
      </c>
      <c r="H65" s="9" t="s">
        <v>831</v>
      </c>
      <c r="I65" s="55">
        <f>'Messages Dictionary'!I70</f>
        <v>0</v>
      </c>
      <c r="J65" s="10">
        <f>'Messages Dictionary'!J70</f>
        <v>0.5</v>
      </c>
      <c r="K65" s="10">
        <f t="shared" si="0"/>
        <v>0</v>
      </c>
      <c r="L65" s="66"/>
      <c r="M65" s="66"/>
      <c r="N65" s="67"/>
      <c r="O65" s="67"/>
      <c r="P65" s="67"/>
      <c r="Q65" s="67"/>
      <c r="R65" s="67"/>
      <c r="S65" s="67"/>
      <c r="T65" s="67"/>
      <c r="U65" s="67"/>
      <c r="V65" s="67"/>
      <c r="W65" s="67"/>
      <c r="X65" s="67"/>
      <c r="Y65" s="67"/>
      <c r="Z65" s="67"/>
      <c r="AA65" s="67"/>
      <c r="AB65" s="67"/>
      <c r="AC65" s="67"/>
      <c r="AD65" s="67"/>
      <c r="AE65" s="67"/>
      <c r="AF65" s="67"/>
      <c r="AG65" s="67"/>
      <c r="AH65" s="67"/>
      <c r="AI65" s="67"/>
      <c r="AJ65" s="67"/>
      <c r="AK65" s="67"/>
      <c r="AL65" s="67"/>
      <c r="AM65" s="67"/>
      <c r="AN65" s="67"/>
      <c r="AO65" s="67"/>
      <c r="AP65" s="67"/>
      <c r="AQ65" s="67"/>
      <c r="AR65" s="67"/>
      <c r="AS65" s="55">
        <f>'Messages Dictionary'!I70</f>
        <v>0</v>
      </c>
    </row>
    <row r="66" spans="1:45" ht="28.5" hidden="1" x14ac:dyDescent="0.2">
      <c r="A66" s="65">
        <v>85</v>
      </c>
      <c r="B66" s="9" t="s">
        <v>632</v>
      </c>
      <c r="C66" s="9" t="s">
        <v>633</v>
      </c>
      <c r="D66" s="9" t="s">
        <v>404</v>
      </c>
      <c r="E66" s="9" t="s">
        <v>404</v>
      </c>
      <c r="F66" s="9" t="s">
        <v>199</v>
      </c>
      <c r="G66" s="9" t="s">
        <v>412</v>
      </c>
      <c r="H66" s="9" t="s">
        <v>831</v>
      </c>
      <c r="I66" s="55">
        <f>'Messages Dictionary'!I71</f>
        <v>0</v>
      </c>
      <c r="J66" s="10">
        <f>'Messages Dictionary'!J71</f>
        <v>0.5</v>
      </c>
      <c r="K66" s="10">
        <f t="shared" ref="K66:K129" si="1">I66*J66</f>
        <v>0</v>
      </c>
      <c r="L66" s="66"/>
      <c r="M66" s="66"/>
      <c r="N66" s="67"/>
      <c r="O66" s="67"/>
      <c r="P66" s="67"/>
      <c r="Q66" s="67"/>
      <c r="R66" s="67"/>
      <c r="S66" s="67"/>
      <c r="T66" s="67"/>
      <c r="U66" s="67"/>
      <c r="V66" s="67"/>
      <c r="W66" s="67"/>
      <c r="X66" s="67"/>
      <c r="Y66" s="67"/>
      <c r="Z66" s="67"/>
      <c r="AA66" s="67"/>
      <c r="AB66" s="67"/>
      <c r="AC66" s="67"/>
      <c r="AD66" s="67"/>
      <c r="AE66" s="67"/>
      <c r="AF66" s="67"/>
      <c r="AG66" s="67"/>
      <c r="AH66" s="67"/>
      <c r="AI66" s="67"/>
      <c r="AJ66" s="67"/>
      <c r="AK66" s="67"/>
      <c r="AL66" s="67"/>
      <c r="AM66" s="67"/>
      <c r="AN66" s="67"/>
      <c r="AO66" s="67"/>
      <c r="AP66" s="67"/>
      <c r="AQ66" s="67"/>
      <c r="AR66" s="67"/>
      <c r="AS66" s="55">
        <f>'Messages Dictionary'!I71</f>
        <v>0</v>
      </c>
    </row>
    <row r="67" spans="1:45" ht="28.5" hidden="1" x14ac:dyDescent="0.2">
      <c r="A67" s="65">
        <v>86</v>
      </c>
      <c r="B67" s="9" t="s">
        <v>634</v>
      </c>
      <c r="C67" s="9" t="s">
        <v>635</v>
      </c>
      <c r="D67" s="9" t="s">
        <v>404</v>
      </c>
      <c r="E67" s="9" t="s">
        <v>404</v>
      </c>
      <c r="F67" s="9" t="s">
        <v>199</v>
      </c>
      <c r="G67" s="9" t="s">
        <v>412</v>
      </c>
      <c r="H67" s="9" t="s">
        <v>831</v>
      </c>
      <c r="I67" s="55">
        <f>'Messages Dictionary'!I72</f>
        <v>0</v>
      </c>
      <c r="J67" s="10">
        <f>'Messages Dictionary'!J72</f>
        <v>0.5</v>
      </c>
      <c r="K67" s="10">
        <f t="shared" si="1"/>
        <v>0</v>
      </c>
      <c r="L67" s="66"/>
      <c r="M67" s="66"/>
      <c r="N67" s="67"/>
      <c r="O67" s="67"/>
      <c r="P67" s="67"/>
      <c r="Q67" s="67"/>
      <c r="R67" s="67"/>
      <c r="S67" s="67"/>
      <c r="T67" s="67"/>
      <c r="U67" s="67"/>
      <c r="V67" s="67"/>
      <c r="W67" s="67"/>
      <c r="X67" s="67"/>
      <c r="Y67" s="67"/>
      <c r="Z67" s="67"/>
      <c r="AA67" s="67"/>
      <c r="AB67" s="67"/>
      <c r="AC67" s="67"/>
      <c r="AD67" s="67"/>
      <c r="AE67" s="67"/>
      <c r="AF67" s="67"/>
      <c r="AG67" s="67"/>
      <c r="AH67" s="67"/>
      <c r="AI67" s="67"/>
      <c r="AJ67" s="67"/>
      <c r="AK67" s="67"/>
      <c r="AL67" s="67"/>
      <c r="AM67" s="67"/>
      <c r="AN67" s="67"/>
      <c r="AO67" s="67"/>
      <c r="AP67" s="67"/>
      <c r="AQ67" s="67"/>
      <c r="AR67" s="67"/>
      <c r="AS67" s="55">
        <f>'Messages Dictionary'!I72</f>
        <v>0</v>
      </c>
    </row>
    <row r="68" spans="1:45" hidden="1" x14ac:dyDescent="0.2">
      <c r="A68" s="65">
        <v>1001</v>
      </c>
      <c r="B68" s="9" t="s">
        <v>819</v>
      </c>
      <c r="C68" s="9" t="s">
        <v>820</v>
      </c>
      <c r="D68" s="9" t="s">
        <v>821</v>
      </c>
      <c r="E68" s="9" t="s">
        <v>822</v>
      </c>
      <c r="F68" s="9" t="s">
        <v>198</v>
      </c>
      <c r="G68" s="9" t="s">
        <v>405</v>
      </c>
      <c r="H68" s="9" t="s">
        <v>426</v>
      </c>
      <c r="I68" s="55">
        <f>'Messages Dictionary'!I73</f>
        <v>0</v>
      </c>
      <c r="J68" s="10">
        <f>'Messages Dictionary'!J73</f>
        <v>1</v>
      </c>
      <c r="K68" s="10">
        <f t="shared" si="1"/>
        <v>0</v>
      </c>
      <c r="L68" s="66"/>
      <c r="M68" s="66"/>
      <c r="N68" s="67"/>
      <c r="O68" s="67"/>
      <c r="P68" s="67"/>
      <c r="Q68" s="67"/>
      <c r="R68" s="67"/>
      <c r="S68" s="67"/>
      <c r="T68" s="67"/>
      <c r="U68" s="67"/>
      <c r="V68" s="67"/>
      <c r="W68" s="67"/>
      <c r="X68" s="67"/>
      <c r="Y68" s="67"/>
      <c r="Z68" s="67"/>
      <c r="AA68" s="67"/>
      <c r="AB68" s="67"/>
      <c r="AC68" s="67"/>
      <c r="AD68" s="67"/>
      <c r="AE68" s="67"/>
      <c r="AF68" s="67"/>
      <c r="AG68" s="67"/>
      <c r="AH68" s="67"/>
      <c r="AI68" s="67"/>
      <c r="AJ68" s="67"/>
      <c r="AK68" s="67"/>
      <c r="AL68" s="67"/>
      <c r="AM68" s="67"/>
      <c r="AN68" s="67"/>
      <c r="AO68" s="67"/>
      <c r="AP68" s="67"/>
      <c r="AQ68" s="67"/>
      <c r="AR68" s="67"/>
      <c r="AS68" s="55">
        <f>'Messages Dictionary'!I73</f>
        <v>0</v>
      </c>
    </row>
    <row r="69" spans="1:45" hidden="1" x14ac:dyDescent="0.2">
      <c r="A69" s="65">
        <v>1002</v>
      </c>
      <c r="B69" s="9" t="s">
        <v>819</v>
      </c>
      <c r="C69" s="9" t="s">
        <v>820</v>
      </c>
      <c r="D69" s="9" t="s">
        <v>821</v>
      </c>
      <c r="E69" s="9" t="s">
        <v>822</v>
      </c>
      <c r="F69" s="9" t="s">
        <v>199</v>
      </c>
      <c r="G69" s="9" t="s">
        <v>412</v>
      </c>
      <c r="H69" s="9" t="s">
        <v>831</v>
      </c>
      <c r="I69" s="55">
        <f>'Messages Dictionary'!I74</f>
        <v>0</v>
      </c>
      <c r="J69" s="10">
        <f>'Messages Dictionary'!J74</f>
        <v>0.5</v>
      </c>
      <c r="K69" s="10">
        <f t="shared" si="1"/>
        <v>0</v>
      </c>
      <c r="L69" s="66"/>
      <c r="M69" s="66"/>
      <c r="N69" s="67"/>
      <c r="O69" s="67"/>
      <c r="P69" s="67"/>
      <c r="Q69" s="67"/>
      <c r="R69" s="67"/>
      <c r="S69" s="67"/>
      <c r="T69" s="67"/>
      <c r="U69" s="67"/>
      <c r="V69" s="67"/>
      <c r="W69" s="67"/>
      <c r="X69" s="67"/>
      <c r="Y69" s="67"/>
      <c r="Z69" s="67"/>
      <c r="AA69" s="67"/>
      <c r="AB69" s="67"/>
      <c r="AC69" s="67"/>
      <c r="AD69" s="67"/>
      <c r="AE69" s="67"/>
      <c r="AF69" s="67"/>
      <c r="AG69" s="67"/>
      <c r="AH69" s="67"/>
      <c r="AI69" s="67"/>
      <c r="AJ69" s="67"/>
      <c r="AK69" s="67"/>
      <c r="AL69" s="67"/>
      <c r="AM69" s="67"/>
      <c r="AN69" s="67"/>
      <c r="AO69" s="67"/>
      <c r="AP69" s="67"/>
      <c r="AQ69" s="67"/>
      <c r="AR69" s="67"/>
      <c r="AS69" s="55">
        <f>'Messages Dictionary'!I74</f>
        <v>0</v>
      </c>
    </row>
    <row r="70" spans="1:45" hidden="1" x14ac:dyDescent="0.2">
      <c r="A70" s="65">
        <v>1003</v>
      </c>
      <c r="B70" s="9" t="s">
        <v>819</v>
      </c>
      <c r="C70" s="9" t="s">
        <v>820</v>
      </c>
      <c r="D70" s="9" t="s">
        <v>821</v>
      </c>
      <c r="E70" s="9" t="s">
        <v>822</v>
      </c>
      <c r="F70" s="9" t="s">
        <v>199</v>
      </c>
      <c r="G70" s="9" t="s">
        <v>412</v>
      </c>
      <c r="H70" s="9" t="s">
        <v>831</v>
      </c>
      <c r="I70" s="55">
        <f>'Messages Dictionary'!I75</f>
        <v>0</v>
      </c>
      <c r="J70" s="10">
        <f>'Messages Dictionary'!J75</f>
        <v>0.5</v>
      </c>
      <c r="K70" s="10">
        <f t="shared" si="1"/>
        <v>0</v>
      </c>
      <c r="L70" s="66"/>
      <c r="M70" s="66"/>
      <c r="N70" s="67"/>
      <c r="O70" s="67"/>
      <c r="P70" s="67"/>
      <c r="Q70" s="67"/>
      <c r="R70" s="67"/>
      <c r="S70" s="67"/>
      <c r="T70" s="67"/>
      <c r="U70" s="67"/>
      <c r="V70" s="67"/>
      <c r="W70" s="67"/>
      <c r="X70" s="67"/>
      <c r="Y70" s="67"/>
      <c r="Z70" s="67"/>
      <c r="AA70" s="67"/>
      <c r="AB70" s="67"/>
      <c r="AC70" s="67"/>
      <c r="AD70" s="67"/>
      <c r="AE70" s="67"/>
      <c r="AF70" s="67"/>
      <c r="AG70" s="67"/>
      <c r="AH70" s="67"/>
      <c r="AI70" s="67"/>
      <c r="AJ70" s="67"/>
      <c r="AK70" s="67"/>
      <c r="AL70" s="67"/>
      <c r="AM70" s="67"/>
      <c r="AN70" s="67"/>
      <c r="AO70" s="67"/>
      <c r="AP70" s="67"/>
      <c r="AQ70" s="67"/>
      <c r="AR70" s="67"/>
      <c r="AS70" s="55">
        <f>'Messages Dictionary'!I75</f>
        <v>0</v>
      </c>
    </row>
    <row r="71" spans="1:45" hidden="1" x14ac:dyDescent="0.2">
      <c r="A71" s="65">
        <v>1004</v>
      </c>
      <c r="B71" s="9" t="s">
        <v>819</v>
      </c>
      <c r="C71" s="9" t="s">
        <v>820</v>
      </c>
      <c r="D71" s="9" t="s">
        <v>821</v>
      </c>
      <c r="E71" s="9" t="s">
        <v>822</v>
      </c>
      <c r="F71" s="9" t="s">
        <v>199</v>
      </c>
      <c r="G71" s="9" t="s">
        <v>412</v>
      </c>
      <c r="H71" s="9" t="s">
        <v>831</v>
      </c>
      <c r="I71" s="55">
        <f>'Messages Dictionary'!I76</f>
        <v>0</v>
      </c>
      <c r="J71" s="10">
        <f>'Messages Dictionary'!J76</f>
        <v>0.5</v>
      </c>
      <c r="K71" s="10">
        <f t="shared" si="1"/>
        <v>0</v>
      </c>
      <c r="L71" s="66"/>
      <c r="M71" s="66"/>
      <c r="N71" s="67"/>
      <c r="O71" s="67"/>
      <c r="P71" s="67"/>
      <c r="Q71" s="67"/>
      <c r="R71" s="67"/>
      <c r="S71" s="67"/>
      <c r="T71" s="67"/>
      <c r="U71" s="67"/>
      <c r="V71" s="67"/>
      <c r="W71" s="67"/>
      <c r="X71" s="67"/>
      <c r="Y71" s="67"/>
      <c r="Z71" s="67"/>
      <c r="AA71" s="67"/>
      <c r="AB71" s="67"/>
      <c r="AC71" s="67"/>
      <c r="AD71" s="67"/>
      <c r="AE71" s="67"/>
      <c r="AF71" s="67"/>
      <c r="AG71" s="67"/>
      <c r="AH71" s="67"/>
      <c r="AI71" s="67"/>
      <c r="AJ71" s="67"/>
      <c r="AK71" s="67"/>
      <c r="AL71" s="67"/>
      <c r="AM71" s="67"/>
      <c r="AN71" s="67"/>
      <c r="AO71" s="67"/>
      <c r="AP71" s="67"/>
      <c r="AQ71" s="67"/>
      <c r="AR71" s="67"/>
      <c r="AS71" s="55">
        <f>'Messages Dictionary'!I76</f>
        <v>0</v>
      </c>
    </row>
    <row r="72" spans="1:45" hidden="1" x14ac:dyDescent="0.2">
      <c r="A72" s="65">
        <v>1005</v>
      </c>
      <c r="B72" s="9" t="s">
        <v>819</v>
      </c>
      <c r="C72" s="9" t="s">
        <v>820</v>
      </c>
      <c r="D72" s="9" t="s">
        <v>821</v>
      </c>
      <c r="E72" s="9" t="s">
        <v>822</v>
      </c>
      <c r="F72" s="9" t="s">
        <v>199</v>
      </c>
      <c r="G72" s="9" t="s">
        <v>412</v>
      </c>
      <c r="H72" s="9" t="s">
        <v>831</v>
      </c>
      <c r="I72" s="55">
        <f>'Messages Dictionary'!I77</f>
        <v>0</v>
      </c>
      <c r="J72" s="10">
        <f>'Messages Dictionary'!J77</f>
        <v>0.5</v>
      </c>
      <c r="K72" s="10">
        <f t="shared" si="1"/>
        <v>0</v>
      </c>
      <c r="L72" s="66"/>
      <c r="M72" s="66"/>
      <c r="N72" s="67"/>
      <c r="O72" s="67"/>
      <c r="P72" s="67"/>
      <c r="Q72" s="67"/>
      <c r="R72" s="67"/>
      <c r="S72" s="67"/>
      <c r="T72" s="67"/>
      <c r="U72" s="67"/>
      <c r="V72" s="67"/>
      <c r="W72" s="67"/>
      <c r="X72" s="67"/>
      <c r="Y72" s="67"/>
      <c r="Z72" s="67"/>
      <c r="AA72" s="67"/>
      <c r="AB72" s="67"/>
      <c r="AC72" s="67"/>
      <c r="AD72" s="67"/>
      <c r="AE72" s="67"/>
      <c r="AF72" s="67"/>
      <c r="AG72" s="67"/>
      <c r="AH72" s="67"/>
      <c r="AI72" s="67"/>
      <c r="AJ72" s="67"/>
      <c r="AK72" s="67"/>
      <c r="AL72" s="67"/>
      <c r="AM72" s="67"/>
      <c r="AN72" s="67"/>
      <c r="AO72" s="67"/>
      <c r="AP72" s="67"/>
      <c r="AQ72" s="67"/>
      <c r="AR72" s="67"/>
      <c r="AS72" s="55">
        <f>'Messages Dictionary'!I77</f>
        <v>0</v>
      </c>
    </row>
    <row r="73" spans="1:45" hidden="1" x14ac:dyDescent="0.2">
      <c r="A73" s="65">
        <v>1006</v>
      </c>
      <c r="B73" s="9" t="s">
        <v>819</v>
      </c>
      <c r="C73" s="9" t="s">
        <v>820</v>
      </c>
      <c r="D73" s="9" t="s">
        <v>821</v>
      </c>
      <c r="E73" s="9" t="s">
        <v>822</v>
      </c>
      <c r="F73" s="9" t="s">
        <v>199</v>
      </c>
      <c r="G73" s="9" t="s">
        <v>412</v>
      </c>
      <c r="H73" s="9" t="s">
        <v>831</v>
      </c>
      <c r="I73" s="55">
        <f>'Messages Dictionary'!I78</f>
        <v>0</v>
      </c>
      <c r="J73" s="10">
        <f>'Messages Dictionary'!J78</f>
        <v>0.5</v>
      </c>
      <c r="K73" s="10">
        <f t="shared" si="1"/>
        <v>0</v>
      </c>
      <c r="L73" s="66"/>
      <c r="M73" s="66"/>
      <c r="N73" s="67"/>
      <c r="O73" s="67"/>
      <c r="P73" s="67"/>
      <c r="Q73" s="67"/>
      <c r="R73" s="67"/>
      <c r="S73" s="67"/>
      <c r="T73" s="67"/>
      <c r="U73" s="67"/>
      <c r="V73" s="67"/>
      <c r="W73" s="67"/>
      <c r="X73" s="67"/>
      <c r="Y73" s="67"/>
      <c r="Z73" s="67"/>
      <c r="AA73" s="67"/>
      <c r="AB73" s="67"/>
      <c r="AC73" s="67"/>
      <c r="AD73" s="67"/>
      <c r="AE73" s="67"/>
      <c r="AF73" s="67"/>
      <c r="AG73" s="67"/>
      <c r="AH73" s="67"/>
      <c r="AI73" s="67"/>
      <c r="AJ73" s="67"/>
      <c r="AK73" s="67"/>
      <c r="AL73" s="67"/>
      <c r="AM73" s="67"/>
      <c r="AN73" s="67"/>
      <c r="AO73" s="67"/>
      <c r="AP73" s="67"/>
      <c r="AQ73" s="67"/>
      <c r="AR73" s="67"/>
      <c r="AS73" s="55">
        <f>'Messages Dictionary'!I78</f>
        <v>0</v>
      </c>
    </row>
    <row r="74" spans="1:45" hidden="1" x14ac:dyDescent="0.2">
      <c r="A74" s="65">
        <v>1007</v>
      </c>
      <c r="B74" s="9" t="s">
        <v>819</v>
      </c>
      <c r="C74" s="9" t="s">
        <v>820</v>
      </c>
      <c r="D74" s="9" t="s">
        <v>821</v>
      </c>
      <c r="E74" s="9" t="s">
        <v>822</v>
      </c>
      <c r="F74" s="9" t="s">
        <v>199</v>
      </c>
      <c r="G74" s="9" t="s">
        <v>405</v>
      </c>
      <c r="H74" s="9" t="s">
        <v>426</v>
      </c>
      <c r="I74" s="55">
        <f>'Messages Dictionary'!I79</f>
        <v>0</v>
      </c>
      <c r="J74" s="10">
        <f>'Messages Dictionary'!J79</f>
        <v>1</v>
      </c>
      <c r="K74" s="10">
        <f t="shared" si="1"/>
        <v>0</v>
      </c>
      <c r="L74" s="66"/>
      <c r="M74" s="66"/>
      <c r="N74" s="67"/>
      <c r="O74" s="67"/>
      <c r="P74" s="67"/>
      <c r="Q74" s="67"/>
      <c r="R74" s="67"/>
      <c r="S74" s="67"/>
      <c r="T74" s="67"/>
      <c r="U74" s="67"/>
      <c r="V74" s="67"/>
      <c r="W74" s="67"/>
      <c r="X74" s="67"/>
      <c r="Y74" s="67"/>
      <c r="Z74" s="67"/>
      <c r="AA74" s="67"/>
      <c r="AB74" s="67"/>
      <c r="AC74" s="67"/>
      <c r="AD74" s="67"/>
      <c r="AE74" s="67"/>
      <c r="AF74" s="67"/>
      <c r="AG74" s="67"/>
      <c r="AH74" s="67"/>
      <c r="AI74" s="67"/>
      <c r="AJ74" s="67"/>
      <c r="AK74" s="67"/>
      <c r="AL74" s="67"/>
      <c r="AM74" s="67"/>
      <c r="AN74" s="67"/>
      <c r="AO74" s="67"/>
      <c r="AP74" s="67"/>
      <c r="AQ74" s="67"/>
      <c r="AR74" s="67"/>
      <c r="AS74" s="55">
        <f>'Messages Dictionary'!I79</f>
        <v>0</v>
      </c>
    </row>
    <row r="75" spans="1:45" hidden="1" x14ac:dyDescent="0.2">
      <c r="A75" s="65">
        <v>1008</v>
      </c>
      <c r="B75" s="9" t="s">
        <v>819</v>
      </c>
      <c r="C75" s="9" t="s">
        <v>820</v>
      </c>
      <c r="D75" s="9" t="s">
        <v>821</v>
      </c>
      <c r="E75" s="9" t="s">
        <v>822</v>
      </c>
      <c r="F75" s="9" t="s">
        <v>199</v>
      </c>
      <c r="G75" s="9" t="s">
        <v>412</v>
      </c>
      <c r="H75" s="9" t="s">
        <v>831</v>
      </c>
      <c r="I75" s="55">
        <f>'Messages Dictionary'!I80</f>
        <v>0</v>
      </c>
      <c r="J75" s="10">
        <f>'Messages Dictionary'!J80</f>
        <v>0.5</v>
      </c>
      <c r="K75" s="10">
        <f t="shared" si="1"/>
        <v>0</v>
      </c>
      <c r="L75" s="66"/>
      <c r="M75" s="66"/>
      <c r="N75" s="67"/>
      <c r="O75" s="67"/>
      <c r="P75" s="67"/>
      <c r="Q75" s="67"/>
      <c r="R75" s="67"/>
      <c r="S75" s="67"/>
      <c r="T75" s="67"/>
      <c r="U75" s="67"/>
      <c r="V75" s="67"/>
      <c r="W75" s="67"/>
      <c r="X75" s="67"/>
      <c r="Y75" s="67"/>
      <c r="Z75" s="67"/>
      <c r="AA75" s="67"/>
      <c r="AB75" s="67"/>
      <c r="AC75" s="67"/>
      <c r="AD75" s="67"/>
      <c r="AE75" s="67"/>
      <c r="AF75" s="67"/>
      <c r="AG75" s="67"/>
      <c r="AH75" s="67"/>
      <c r="AI75" s="67"/>
      <c r="AJ75" s="67"/>
      <c r="AK75" s="67"/>
      <c r="AL75" s="67"/>
      <c r="AM75" s="67"/>
      <c r="AN75" s="67"/>
      <c r="AO75" s="67"/>
      <c r="AP75" s="67"/>
      <c r="AQ75" s="67"/>
      <c r="AR75" s="67"/>
      <c r="AS75" s="55">
        <f>'Messages Dictionary'!I80</f>
        <v>0</v>
      </c>
    </row>
    <row r="76" spans="1:45" hidden="1" x14ac:dyDescent="0.2">
      <c r="A76" s="65">
        <v>1009</v>
      </c>
      <c r="B76" s="9" t="s">
        <v>819</v>
      </c>
      <c r="C76" s="9" t="s">
        <v>820</v>
      </c>
      <c r="D76" s="9" t="s">
        <v>821</v>
      </c>
      <c r="E76" s="9" t="s">
        <v>822</v>
      </c>
      <c r="F76" s="9" t="s">
        <v>199</v>
      </c>
      <c r="G76" s="9" t="s">
        <v>412</v>
      </c>
      <c r="H76" s="9" t="s">
        <v>831</v>
      </c>
      <c r="I76" s="55">
        <f>'Messages Dictionary'!I81</f>
        <v>0</v>
      </c>
      <c r="J76" s="10">
        <f>'Messages Dictionary'!J81</f>
        <v>0.5</v>
      </c>
      <c r="K76" s="10">
        <f t="shared" si="1"/>
        <v>0</v>
      </c>
      <c r="L76" s="66"/>
      <c r="M76" s="66"/>
      <c r="N76" s="67"/>
      <c r="O76" s="67"/>
      <c r="P76" s="67"/>
      <c r="Q76" s="67"/>
      <c r="R76" s="67"/>
      <c r="S76" s="67"/>
      <c r="T76" s="67"/>
      <c r="U76" s="67"/>
      <c r="V76" s="67"/>
      <c r="W76" s="67"/>
      <c r="X76" s="67"/>
      <c r="Y76" s="67"/>
      <c r="Z76" s="67"/>
      <c r="AA76" s="67"/>
      <c r="AB76" s="67"/>
      <c r="AC76" s="67"/>
      <c r="AD76" s="67"/>
      <c r="AE76" s="67"/>
      <c r="AF76" s="67"/>
      <c r="AG76" s="67"/>
      <c r="AH76" s="67"/>
      <c r="AI76" s="67"/>
      <c r="AJ76" s="67"/>
      <c r="AK76" s="67"/>
      <c r="AL76" s="67"/>
      <c r="AM76" s="67"/>
      <c r="AN76" s="67"/>
      <c r="AO76" s="67"/>
      <c r="AP76" s="67"/>
      <c r="AQ76" s="67"/>
      <c r="AR76" s="67"/>
      <c r="AS76" s="55">
        <f>'Messages Dictionary'!I81</f>
        <v>0</v>
      </c>
    </row>
    <row r="77" spans="1:45" hidden="1" x14ac:dyDescent="0.2">
      <c r="A77" s="65">
        <v>1010</v>
      </c>
      <c r="B77" s="9" t="s">
        <v>819</v>
      </c>
      <c r="C77" s="9" t="s">
        <v>820</v>
      </c>
      <c r="D77" s="9" t="s">
        <v>821</v>
      </c>
      <c r="E77" s="9" t="s">
        <v>822</v>
      </c>
      <c r="F77" s="9" t="s">
        <v>199</v>
      </c>
      <c r="G77" s="9" t="s">
        <v>412</v>
      </c>
      <c r="H77" s="9" t="s">
        <v>831</v>
      </c>
      <c r="I77" s="55">
        <f>'Messages Dictionary'!I82</f>
        <v>0</v>
      </c>
      <c r="J77" s="10">
        <f>'Messages Dictionary'!J82</f>
        <v>0.5</v>
      </c>
      <c r="K77" s="10">
        <f t="shared" si="1"/>
        <v>0</v>
      </c>
      <c r="L77" s="66"/>
      <c r="M77" s="66"/>
      <c r="N77" s="67"/>
      <c r="O77" s="67"/>
      <c r="P77" s="67"/>
      <c r="Q77" s="67"/>
      <c r="R77" s="67"/>
      <c r="S77" s="67"/>
      <c r="T77" s="67"/>
      <c r="U77" s="67"/>
      <c r="V77" s="67"/>
      <c r="W77" s="67"/>
      <c r="X77" s="67"/>
      <c r="Y77" s="67"/>
      <c r="Z77" s="67"/>
      <c r="AA77" s="67"/>
      <c r="AB77" s="67"/>
      <c r="AC77" s="67"/>
      <c r="AD77" s="67"/>
      <c r="AE77" s="67"/>
      <c r="AF77" s="67"/>
      <c r="AG77" s="67"/>
      <c r="AH77" s="67"/>
      <c r="AI77" s="67"/>
      <c r="AJ77" s="67"/>
      <c r="AK77" s="67"/>
      <c r="AL77" s="67"/>
      <c r="AM77" s="67"/>
      <c r="AN77" s="67"/>
      <c r="AO77" s="67"/>
      <c r="AP77" s="67"/>
      <c r="AQ77" s="67"/>
      <c r="AR77" s="67"/>
      <c r="AS77" s="55">
        <f>'Messages Dictionary'!I82</f>
        <v>0</v>
      </c>
    </row>
    <row r="78" spans="1:45" hidden="1" x14ac:dyDescent="0.2">
      <c r="A78" s="65">
        <v>1011</v>
      </c>
      <c r="B78" s="9" t="s">
        <v>819</v>
      </c>
      <c r="C78" s="9" t="s">
        <v>820</v>
      </c>
      <c r="D78" s="9" t="s">
        <v>821</v>
      </c>
      <c r="E78" s="9" t="s">
        <v>822</v>
      </c>
      <c r="F78" s="9" t="s">
        <v>199</v>
      </c>
      <c r="G78" s="9" t="s">
        <v>412</v>
      </c>
      <c r="H78" s="9" t="s">
        <v>831</v>
      </c>
      <c r="I78" s="55">
        <f>'Messages Dictionary'!I83</f>
        <v>0</v>
      </c>
      <c r="J78" s="10">
        <f>'Messages Dictionary'!J83</f>
        <v>0.5</v>
      </c>
      <c r="K78" s="10">
        <f t="shared" si="1"/>
        <v>0</v>
      </c>
      <c r="L78" s="66"/>
      <c r="M78" s="66"/>
      <c r="N78" s="67"/>
      <c r="O78" s="67"/>
      <c r="P78" s="67"/>
      <c r="Q78" s="67"/>
      <c r="R78" s="67"/>
      <c r="S78" s="67"/>
      <c r="T78" s="67"/>
      <c r="U78" s="67"/>
      <c r="V78" s="67"/>
      <c r="W78" s="67"/>
      <c r="X78" s="67"/>
      <c r="Y78" s="67"/>
      <c r="Z78" s="67"/>
      <c r="AA78" s="67"/>
      <c r="AB78" s="67"/>
      <c r="AC78" s="67"/>
      <c r="AD78" s="67"/>
      <c r="AE78" s="67"/>
      <c r="AF78" s="67"/>
      <c r="AG78" s="67"/>
      <c r="AH78" s="67"/>
      <c r="AI78" s="67"/>
      <c r="AJ78" s="67"/>
      <c r="AK78" s="67"/>
      <c r="AL78" s="67"/>
      <c r="AM78" s="67"/>
      <c r="AN78" s="67"/>
      <c r="AO78" s="67"/>
      <c r="AP78" s="67"/>
      <c r="AQ78" s="67"/>
      <c r="AR78" s="67"/>
      <c r="AS78" s="55">
        <f>'Messages Dictionary'!I83</f>
        <v>0</v>
      </c>
    </row>
    <row r="79" spans="1:45" hidden="1" x14ac:dyDescent="0.2">
      <c r="A79" s="65">
        <v>1012</v>
      </c>
      <c r="B79" s="9" t="s">
        <v>819</v>
      </c>
      <c r="C79" s="9" t="s">
        <v>820</v>
      </c>
      <c r="D79" s="9" t="s">
        <v>821</v>
      </c>
      <c r="E79" s="9" t="s">
        <v>822</v>
      </c>
      <c r="F79" s="9" t="s">
        <v>199</v>
      </c>
      <c r="G79" s="9" t="s">
        <v>412</v>
      </c>
      <c r="H79" s="9" t="s">
        <v>831</v>
      </c>
      <c r="I79" s="55">
        <f>'Messages Dictionary'!I84</f>
        <v>0</v>
      </c>
      <c r="J79" s="10">
        <f>'Messages Dictionary'!J84</f>
        <v>0.5</v>
      </c>
      <c r="K79" s="10">
        <f t="shared" si="1"/>
        <v>0</v>
      </c>
      <c r="L79" s="66"/>
      <c r="M79" s="66"/>
      <c r="N79" s="67"/>
      <c r="O79" s="67"/>
      <c r="P79" s="67"/>
      <c r="Q79" s="67"/>
      <c r="R79" s="67"/>
      <c r="S79" s="67"/>
      <c r="T79" s="67"/>
      <c r="U79" s="67"/>
      <c r="V79" s="67"/>
      <c r="W79" s="67"/>
      <c r="X79" s="67"/>
      <c r="Y79" s="67"/>
      <c r="Z79" s="67"/>
      <c r="AA79" s="67"/>
      <c r="AB79" s="67"/>
      <c r="AC79" s="67"/>
      <c r="AD79" s="67"/>
      <c r="AE79" s="67"/>
      <c r="AF79" s="67"/>
      <c r="AG79" s="67"/>
      <c r="AH79" s="67"/>
      <c r="AI79" s="67"/>
      <c r="AJ79" s="67"/>
      <c r="AK79" s="67"/>
      <c r="AL79" s="67"/>
      <c r="AM79" s="67"/>
      <c r="AN79" s="67"/>
      <c r="AO79" s="67"/>
      <c r="AP79" s="67"/>
      <c r="AQ79" s="67"/>
      <c r="AR79" s="67"/>
      <c r="AS79" s="55">
        <f>'Messages Dictionary'!I84</f>
        <v>0</v>
      </c>
    </row>
    <row r="80" spans="1:45" hidden="1" x14ac:dyDescent="0.2">
      <c r="A80" s="65">
        <v>1013</v>
      </c>
      <c r="B80" s="9" t="s">
        <v>819</v>
      </c>
      <c r="C80" s="9" t="s">
        <v>820</v>
      </c>
      <c r="D80" s="9" t="s">
        <v>821</v>
      </c>
      <c r="E80" s="9" t="s">
        <v>822</v>
      </c>
      <c r="F80" s="9" t="s">
        <v>199</v>
      </c>
      <c r="G80" s="9" t="s">
        <v>412</v>
      </c>
      <c r="H80" s="9" t="s">
        <v>831</v>
      </c>
      <c r="I80" s="55">
        <f>'Messages Dictionary'!I85</f>
        <v>0</v>
      </c>
      <c r="J80" s="10">
        <f>'Messages Dictionary'!J85</f>
        <v>0.5</v>
      </c>
      <c r="K80" s="10">
        <f t="shared" si="1"/>
        <v>0</v>
      </c>
      <c r="L80" s="66"/>
      <c r="M80" s="66"/>
      <c r="N80" s="67"/>
      <c r="O80" s="67"/>
      <c r="P80" s="67"/>
      <c r="Q80" s="67"/>
      <c r="R80" s="67"/>
      <c r="S80" s="67"/>
      <c r="T80" s="67"/>
      <c r="U80" s="67"/>
      <c r="V80" s="67"/>
      <c r="W80" s="67"/>
      <c r="X80" s="67"/>
      <c r="Y80" s="67"/>
      <c r="Z80" s="67"/>
      <c r="AA80" s="67"/>
      <c r="AB80" s="67"/>
      <c r="AC80" s="67"/>
      <c r="AD80" s="67"/>
      <c r="AE80" s="67"/>
      <c r="AF80" s="67"/>
      <c r="AG80" s="67"/>
      <c r="AH80" s="67"/>
      <c r="AI80" s="67"/>
      <c r="AJ80" s="67"/>
      <c r="AK80" s="67"/>
      <c r="AL80" s="67"/>
      <c r="AM80" s="67"/>
      <c r="AN80" s="67"/>
      <c r="AO80" s="67"/>
      <c r="AP80" s="67"/>
      <c r="AQ80" s="67"/>
      <c r="AR80" s="67"/>
      <c r="AS80" s="55">
        <f>'Messages Dictionary'!I85</f>
        <v>0</v>
      </c>
    </row>
    <row r="81" spans="1:45" hidden="1" x14ac:dyDescent="0.2">
      <c r="A81" s="65">
        <v>1014</v>
      </c>
      <c r="B81" s="9" t="s">
        <v>819</v>
      </c>
      <c r="C81" s="9" t="s">
        <v>820</v>
      </c>
      <c r="D81" s="9" t="s">
        <v>821</v>
      </c>
      <c r="E81" s="9" t="s">
        <v>822</v>
      </c>
      <c r="F81" s="9" t="s">
        <v>199</v>
      </c>
      <c r="G81" s="9" t="s">
        <v>412</v>
      </c>
      <c r="H81" s="9" t="s">
        <v>831</v>
      </c>
      <c r="I81" s="55">
        <f>'Messages Dictionary'!I86</f>
        <v>0</v>
      </c>
      <c r="J81" s="10">
        <f>'Messages Dictionary'!J86</f>
        <v>0.5</v>
      </c>
      <c r="K81" s="10">
        <f t="shared" si="1"/>
        <v>0</v>
      </c>
      <c r="L81" s="66"/>
      <c r="M81" s="66"/>
      <c r="N81" s="67"/>
      <c r="O81" s="67"/>
      <c r="P81" s="67"/>
      <c r="Q81" s="67"/>
      <c r="R81" s="67"/>
      <c r="S81" s="67"/>
      <c r="T81" s="67"/>
      <c r="U81" s="67"/>
      <c r="V81" s="67"/>
      <c r="W81" s="67"/>
      <c r="X81" s="67"/>
      <c r="Y81" s="67"/>
      <c r="Z81" s="67"/>
      <c r="AA81" s="67"/>
      <c r="AB81" s="67"/>
      <c r="AC81" s="67"/>
      <c r="AD81" s="67"/>
      <c r="AE81" s="67"/>
      <c r="AF81" s="67"/>
      <c r="AG81" s="67"/>
      <c r="AH81" s="67"/>
      <c r="AI81" s="67"/>
      <c r="AJ81" s="67"/>
      <c r="AK81" s="67"/>
      <c r="AL81" s="67"/>
      <c r="AM81" s="67"/>
      <c r="AN81" s="67"/>
      <c r="AO81" s="67"/>
      <c r="AP81" s="67"/>
      <c r="AQ81" s="67"/>
      <c r="AR81" s="67"/>
      <c r="AS81" s="55">
        <f>'Messages Dictionary'!I86</f>
        <v>0</v>
      </c>
    </row>
    <row r="82" spans="1:45" hidden="1" x14ac:dyDescent="0.2">
      <c r="A82" s="65">
        <v>1015</v>
      </c>
      <c r="B82" s="9" t="s">
        <v>819</v>
      </c>
      <c r="C82" s="9" t="s">
        <v>820</v>
      </c>
      <c r="D82" s="9" t="s">
        <v>821</v>
      </c>
      <c r="E82" s="9" t="s">
        <v>822</v>
      </c>
      <c r="F82" s="9" t="s">
        <v>199</v>
      </c>
      <c r="G82" s="9" t="s">
        <v>412</v>
      </c>
      <c r="H82" s="9" t="s">
        <v>831</v>
      </c>
      <c r="I82" s="55">
        <f>'Messages Dictionary'!I87</f>
        <v>0</v>
      </c>
      <c r="J82" s="10">
        <f>'Messages Dictionary'!J87</f>
        <v>0.5</v>
      </c>
      <c r="K82" s="10">
        <f t="shared" si="1"/>
        <v>0</v>
      </c>
      <c r="L82" s="66"/>
      <c r="M82" s="66"/>
      <c r="N82" s="67"/>
      <c r="O82" s="67"/>
      <c r="P82" s="67"/>
      <c r="Q82" s="67"/>
      <c r="R82" s="67"/>
      <c r="S82" s="67"/>
      <c r="T82" s="67"/>
      <c r="U82" s="67"/>
      <c r="V82" s="67"/>
      <c r="W82" s="67"/>
      <c r="X82" s="67"/>
      <c r="Y82" s="67"/>
      <c r="Z82" s="67"/>
      <c r="AA82" s="67"/>
      <c r="AB82" s="67"/>
      <c r="AC82" s="67"/>
      <c r="AD82" s="67"/>
      <c r="AE82" s="67"/>
      <c r="AF82" s="67"/>
      <c r="AG82" s="67"/>
      <c r="AH82" s="67"/>
      <c r="AI82" s="67"/>
      <c r="AJ82" s="67"/>
      <c r="AK82" s="67"/>
      <c r="AL82" s="67"/>
      <c r="AM82" s="67"/>
      <c r="AN82" s="67"/>
      <c r="AO82" s="67"/>
      <c r="AP82" s="67"/>
      <c r="AQ82" s="67"/>
      <c r="AR82" s="67"/>
      <c r="AS82" s="55">
        <f>'Messages Dictionary'!I87</f>
        <v>0</v>
      </c>
    </row>
    <row r="83" spans="1:45" hidden="1" x14ac:dyDescent="0.2">
      <c r="A83" s="65">
        <v>1016</v>
      </c>
      <c r="B83" s="9" t="s">
        <v>819</v>
      </c>
      <c r="C83" s="9" t="s">
        <v>820</v>
      </c>
      <c r="D83" s="9" t="s">
        <v>821</v>
      </c>
      <c r="E83" s="9" t="s">
        <v>822</v>
      </c>
      <c r="F83" s="9" t="s">
        <v>199</v>
      </c>
      <c r="G83" s="9" t="s">
        <v>412</v>
      </c>
      <c r="H83" s="9" t="s">
        <v>831</v>
      </c>
      <c r="I83" s="55">
        <f>'Messages Dictionary'!I88</f>
        <v>0</v>
      </c>
      <c r="J83" s="10">
        <f>'Messages Dictionary'!J88</f>
        <v>0.5</v>
      </c>
      <c r="K83" s="10">
        <f t="shared" si="1"/>
        <v>0</v>
      </c>
      <c r="L83" s="66"/>
      <c r="M83" s="66"/>
      <c r="N83" s="67"/>
      <c r="O83" s="67"/>
      <c r="P83" s="67"/>
      <c r="Q83" s="67"/>
      <c r="R83" s="67"/>
      <c r="S83" s="67"/>
      <c r="T83" s="67"/>
      <c r="U83" s="67"/>
      <c r="V83" s="67"/>
      <c r="W83" s="67"/>
      <c r="X83" s="67"/>
      <c r="Y83" s="67"/>
      <c r="Z83" s="67"/>
      <c r="AA83" s="67"/>
      <c r="AB83" s="67"/>
      <c r="AC83" s="67"/>
      <c r="AD83" s="67"/>
      <c r="AE83" s="67"/>
      <c r="AF83" s="67"/>
      <c r="AG83" s="67"/>
      <c r="AH83" s="67"/>
      <c r="AI83" s="67"/>
      <c r="AJ83" s="67"/>
      <c r="AK83" s="67"/>
      <c r="AL83" s="67"/>
      <c r="AM83" s="67"/>
      <c r="AN83" s="67"/>
      <c r="AO83" s="67"/>
      <c r="AP83" s="67"/>
      <c r="AQ83" s="67"/>
      <c r="AR83" s="67"/>
      <c r="AS83" s="55">
        <f>'Messages Dictionary'!I88</f>
        <v>0</v>
      </c>
    </row>
    <row r="84" spans="1:45" hidden="1" x14ac:dyDescent="0.2">
      <c r="A84" s="65">
        <v>1017</v>
      </c>
      <c r="B84" s="9" t="s">
        <v>819</v>
      </c>
      <c r="C84" s="9" t="s">
        <v>820</v>
      </c>
      <c r="D84" s="9" t="s">
        <v>821</v>
      </c>
      <c r="E84" s="9" t="s">
        <v>822</v>
      </c>
      <c r="F84" s="9" t="s">
        <v>199</v>
      </c>
      <c r="G84" s="9" t="s">
        <v>412</v>
      </c>
      <c r="H84" s="9" t="s">
        <v>831</v>
      </c>
      <c r="I84" s="55">
        <f>'Messages Dictionary'!I89</f>
        <v>0</v>
      </c>
      <c r="J84" s="10">
        <f>'Messages Dictionary'!J89</f>
        <v>0.5</v>
      </c>
      <c r="K84" s="10">
        <f t="shared" si="1"/>
        <v>0</v>
      </c>
      <c r="L84" s="66"/>
      <c r="M84" s="66"/>
      <c r="N84" s="67"/>
      <c r="O84" s="67"/>
      <c r="P84" s="67"/>
      <c r="Q84" s="67"/>
      <c r="R84" s="67"/>
      <c r="S84" s="67"/>
      <c r="T84" s="67"/>
      <c r="U84" s="67"/>
      <c r="V84" s="67"/>
      <c r="W84" s="67"/>
      <c r="X84" s="67"/>
      <c r="Y84" s="67"/>
      <c r="Z84" s="67"/>
      <c r="AA84" s="67"/>
      <c r="AB84" s="67"/>
      <c r="AC84" s="67"/>
      <c r="AD84" s="67"/>
      <c r="AE84" s="67"/>
      <c r="AF84" s="67"/>
      <c r="AG84" s="67"/>
      <c r="AH84" s="67"/>
      <c r="AI84" s="67"/>
      <c r="AJ84" s="67"/>
      <c r="AK84" s="67"/>
      <c r="AL84" s="67"/>
      <c r="AM84" s="67"/>
      <c r="AN84" s="67"/>
      <c r="AO84" s="67"/>
      <c r="AP84" s="67"/>
      <c r="AQ84" s="67"/>
      <c r="AR84" s="67"/>
      <c r="AS84" s="55">
        <f>'Messages Dictionary'!I89</f>
        <v>0</v>
      </c>
    </row>
    <row r="85" spans="1:45" hidden="1" x14ac:dyDescent="0.2">
      <c r="A85" s="65">
        <v>1018</v>
      </c>
      <c r="B85" s="9" t="s">
        <v>819</v>
      </c>
      <c r="C85" s="9" t="s">
        <v>820</v>
      </c>
      <c r="D85" s="9" t="s">
        <v>821</v>
      </c>
      <c r="E85" s="9" t="s">
        <v>822</v>
      </c>
      <c r="F85" s="9" t="s">
        <v>199</v>
      </c>
      <c r="G85" s="9" t="s">
        <v>412</v>
      </c>
      <c r="H85" s="9" t="s">
        <v>831</v>
      </c>
      <c r="I85" s="55">
        <f>'Messages Dictionary'!I90</f>
        <v>0</v>
      </c>
      <c r="J85" s="10">
        <f>'Messages Dictionary'!J90</f>
        <v>0.5</v>
      </c>
      <c r="K85" s="10">
        <f t="shared" si="1"/>
        <v>0</v>
      </c>
      <c r="L85" s="66"/>
      <c r="M85" s="66"/>
      <c r="N85" s="67"/>
      <c r="O85" s="67"/>
      <c r="P85" s="67"/>
      <c r="Q85" s="67"/>
      <c r="R85" s="67"/>
      <c r="S85" s="67"/>
      <c r="T85" s="67"/>
      <c r="U85" s="67"/>
      <c r="V85" s="67"/>
      <c r="W85" s="67"/>
      <c r="X85" s="67"/>
      <c r="Y85" s="67"/>
      <c r="Z85" s="67"/>
      <c r="AA85" s="67"/>
      <c r="AB85" s="67"/>
      <c r="AC85" s="67"/>
      <c r="AD85" s="67"/>
      <c r="AE85" s="67"/>
      <c r="AF85" s="67"/>
      <c r="AG85" s="67"/>
      <c r="AH85" s="67"/>
      <c r="AI85" s="67"/>
      <c r="AJ85" s="67"/>
      <c r="AK85" s="67"/>
      <c r="AL85" s="67"/>
      <c r="AM85" s="67"/>
      <c r="AN85" s="67"/>
      <c r="AO85" s="67"/>
      <c r="AP85" s="67"/>
      <c r="AQ85" s="67"/>
      <c r="AR85" s="67"/>
      <c r="AS85" s="55">
        <f>'Messages Dictionary'!I90</f>
        <v>0</v>
      </c>
    </row>
    <row r="86" spans="1:45" hidden="1" x14ac:dyDescent="0.2">
      <c r="A86" s="65">
        <v>1019</v>
      </c>
      <c r="B86" s="9" t="s">
        <v>819</v>
      </c>
      <c r="C86" s="9" t="s">
        <v>820</v>
      </c>
      <c r="D86" s="9" t="s">
        <v>821</v>
      </c>
      <c r="E86" s="9" t="s">
        <v>822</v>
      </c>
      <c r="F86" s="9" t="s">
        <v>199</v>
      </c>
      <c r="G86" s="9" t="s">
        <v>412</v>
      </c>
      <c r="H86" s="9" t="s">
        <v>831</v>
      </c>
      <c r="I86" s="55">
        <f>'Messages Dictionary'!I91</f>
        <v>0</v>
      </c>
      <c r="J86" s="10">
        <f>'Messages Dictionary'!J91</f>
        <v>0.5</v>
      </c>
      <c r="K86" s="10">
        <f t="shared" si="1"/>
        <v>0</v>
      </c>
      <c r="L86" s="66"/>
      <c r="M86" s="66"/>
      <c r="N86" s="67"/>
      <c r="O86" s="67"/>
      <c r="P86" s="67"/>
      <c r="Q86" s="67"/>
      <c r="R86" s="67"/>
      <c r="S86" s="67"/>
      <c r="T86" s="67"/>
      <c r="U86" s="67"/>
      <c r="V86" s="67"/>
      <c r="W86" s="67"/>
      <c r="X86" s="67"/>
      <c r="Y86" s="67"/>
      <c r="Z86" s="67"/>
      <c r="AA86" s="67"/>
      <c r="AB86" s="67"/>
      <c r="AC86" s="67"/>
      <c r="AD86" s="67"/>
      <c r="AE86" s="67"/>
      <c r="AF86" s="67"/>
      <c r="AG86" s="67"/>
      <c r="AH86" s="67"/>
      <c r="AI86" s="67"/>
      <c r="AJ86" s="67"/>
      <c r="AK86" s="67"/>
      <c r="AL86" s="67"/>
      <c r="AM86" s="67"/>
      <c r="AN86" s="67"/>
      <c r="AO86" s="67"/>
      <c r="AP86" s="67"/>
      <c r="AQ86" s="67"/>
      <c r="AR86" s="67"/>
      <c r="AS86" s="55">
        <f>'Messages Dictionary'!I91</f>
        <v>0</v>
      </c>
    </row>
    <row r="87" spans="1:45" hidden="1" x14ac:dyDescent="0.2">
      <c r="A87" s="65">
        <v>1020</v>
      </c>
      <c r="B87" s="9" t="s">
        <v>819</v>
      </c>
      <c r="C87" s="9" t="s">
        <v>820</v>
      </c>
      <c r="D87" s="9" t="s">
        <v>821</v>
      </c>
      <c r="E87" s="9" t="s">
        <v>822</v>
      </c>
      <c r="F87" s="9" t="s">
        <v>199</v>
      </c>
      <c r="G87" s="9" t="s">
        <v>412</v>
      </c>
      <c r="H87" s="9" t="s">
        <v>831</v>
      </c>
      <c r="I87" s="55">
        <f>'Messages Dictionary'!I92</f>
        <v>0</v>
      </c>
      <c r="J87" s="10">
        <f>'Messages Dictionary'!J92</f>
        <v>1</v>
      </c>
      <c r="K87" s="10">
        <f t="shared" si="1"/>
        <v>0</v>
      </c>
      <c r="L87" s="66"/>
      <c r="M87" s="66"/>
      <c r="N87" s="67"/>
      <c r="O87" s="67"/>
      <c r="P87" s="67"/>
      <c r="Q87" s="67"/>
      <c r="R87" s="67"/>
      <c r="S87" s="67"/>
      <c r="T87" s="67"/>
      <c r="U87" s="67"/>
      <c r="V87" s="67"/>
      <c r="W87" s="67"/>
      <c r="X87" s="67"/>
      <c r="Y87" s="67"/>
      <c r="Z87" s="67"/>
      <c r="AA87" s="67"/>
      <c r="AB87" s="67"/>
      <c r="AC87" s="67"/>
      <c r="AD87" s="67"/>
      <c r="AE87" s="67"/>
      <c r="AF87" s="67"/>
      <c r="AG87" s="67"/>
      <c r="AH87" s="67"/>
      <c r="AI87" s="67"/>
      <c r="AJ87" s="67"/>
      <c r="AK87" s="67"/>
      <c r="AL87" s="67"/>
      <c r="AM87" s="67"/>
      <c r="AN87" s="67"/>
      <c r="AO87" s="67"/>
      <c r="AP87" s="67"/>
      <c r="AQ87" s="67"/>
      <c r="AR87" s="67"/>
      <c r="AS87" s="55">
        <f>'Messages Dictionary'!I92</f>
        <v>0</v>
      </c>
    </row>
    <row r="88" spans="1:45" hidden="1" x14ac:dyDescent="0.2">
      <c r="A88" s="65">
        <v>1021</v>
      </c>
      <c r="B88" s="9" t="s">
        <v>819</v>
      </c>
      <c r="C88" s="9" t="s">
        <v>820</v>
      </c>
      <c r="D88" s="9" t="s">
        <v>821</v>
      </c>
      <c r="E88" s="9" t="s">
        <v>822</v>
      </c>
      <c r="F88" s="9" t="s">
        <v>199</v>
      </c>
      <c r="G88" s="9" t="s">
        <v>405</v>
      </c>
      <c r="H88" s="9" t="s">
        <v>426</v>
      </c>
      <c r="I88" s="55">
        <f>'Messages Dictionary'!I93</f>
        <v>0</v>
      </c>
      <c r="J88" s="10">
        <f>'Messages Dictionary'!J93</f>
        <v>1</v>
      </c>
      <c r="K88" s="10">
        <f t="shared" si="1"/>
        <v>0</v>
      </c>
      <c r="L88" s="66"/>
      <c r="M88" s="66"/>
      <c r="N88" s="67"/>
      <c r="O88" s="67"/>
      <c r="P88" s="67"/>
      <c r="Q88" s="67"/>
      <c r="R88" s="67"/>
      <c r="S88" s="67"/>
      <c r="T88" s="67"/>
      <c r="U88" s="67"/>
      <c r="V88" s="67"/>
      <c r="W88" s="67"/>
      <c r="X88" s="67"/>
      <c r="Y88" s="67"/>
      <c r="Z88" s="67"/>
      <c r="AA88" s="67"/>
      <c r="AB88" s="67"/>
      <c r="AC88" s="67"/>
      <c r="AD88" s="67"/>
      <c r="AE88" s="67"/>
      <c r="AF88" s="67"/>
      <c r="AG88" s="67"/>
      <c r="AH88" s="67"/>
      <c r="AI88" s="67"/>
      <c r="AJ88" s="67"/>
      <c r="AK88" s="67"/>
      <c r="AL88" s="67"/>
      <c r="AM88" s="67"/>
      <c r="AN88" s="67"/>
      <c r="AO88" s="67"/>
      <c r="AP88" s="67"/>
      <c r="AQ88" s="67"/>
      <c r="AR88" s="67"/>
      <c r="AS88" s="55">
        <f>'Messages Dictionary'!I93</f>
        <v>0</v>
      </c>
    </row>
    <row r="89" spans="1:45" hidden="1" x14ac:dyDescent="0.2">
      <c r="A89" s="65">
        <v>1022</v>
      </c>
      <c r="B89" s="9" t="s">
        <v>819</v>
      </c>
      <c r="C89" s="9" t="s">
        <v>820</v>
      </c>
      <c r="D89" s="9" t="s">
        <v>821</v>
      </c>
      <c r="E89" s="9" t="s">
        <v>822</v>
      </c>
      <c r="F89" s="9" t="s">
        <v>198</v>
      </c>
      <c r="G89" s="9" t="s">
        <v>405</v>
      </c>
      <c r="H89" s="9" t="s">
        <v>426</v>
      </c>
      <c r="I89" s="55">
        <f>'Messages Dictionary'!I94</f>
        <v>0</v>
      </c>
      <c r="J89" s="10">
        <f>'Messages Dictionary'!J94</f>
        <v>1</v>
      </c>
      <c r="K89" s="10">
        <f t="shared" si="1"/>
        <v>0</v>
      </c>
      <c r="L89" s="66"/>
      <c r="M89" s="66"/>
      <c r="N89" s="67"/>
      <c r="O89" s="67"/>
      <c r="P89" s="67"/>
      <c r="Q89" s="67"/>
      <c r="R89" s="67"/>
      <c r="S89" s="67"/>
      <c r="T89" s="67"/>
      <c r="U89" s="67"/>
      <c r="V89" s="67"/>
      <c r="W89" s="67"/>
      <c r="X89" s="67"/>
      <c r="Y89" s="67"/>
      <c r="Z89" s="67"/>
      <c r="AA89" s="67"/>
      <c r="AB89" s="67"/>
      <c r="AC89" s="67"/>
      <c r="AD89" s="67"/>
      <c r="AE89" s="67"/>
      <c r="AF89" s="67"/>
      <c r="AG89" s="67"/>
      <c r="AH89" s="67"/>
      <c r="AI89" s="67"/>
      <c r="AJ89" s="67"/>
      <c r="AK89" s="67"/>
      <c r="AL89" s="67"/>
      <c r="AM89" s="67"/>
      <c r="AN89" s="67"/>
      <c r="AO89" s="67"/>
      <c r="AP89" s="67"/>
      <c r="AQ89" s="67"/>
      <c r="AR89" s="67"/>
      <c r="AS89" s="55">
        <f>'Messages Dictionary'!I94</f>
        <v>0</v>
      </c>
    </row>
    <row r="90" spans="1:45" hidden="1" x14ac:dyDescent="0.2">
      <c r="A90" s="65">
        <v>1023</v>
      </c>
      <c r="B90" s="9" t="s">
        <v>819</v>
      </c>
      <c r="C90" s="9" t="s">
        <v>820</v>
      </c>
      <c r="D90" s="9" t="s">
        <v>821</v>
      </c>
      <c r="E90" s="9" t="s">
        <v>822</v>
      </c>
      <c r="F90" s="9" t="s">
        <v>199</v>
      </c>
      <c r="G90" s="9" t="s">
        <v>412</v>
      </c>
      <c r="H90" s="9" t="s">
        <v>831</v>
      </c>
      <c r="I90" s="55">
        <f>'Messages Dictionary'!I95</f>
        <v>0</v>
      </c>
      <c r="J90" s="10">
        <f>'Messages Dictionary'!J95</f>
        <v>0.5</v>
      </c>
      <c r="K90" s="10">
        <f t="shared" si="1"/>
        <v>0</v>
      </c>
      <c r="L90" s="66"/>
      <c r="M90" s="66"/>
      <c r="N90" s="67"/>
      <c r="O90" s="67"/>
      <c r="P90" s="67"/>
      <c r="Q90" s="67"/>
      <c r="R90" s="67"/>
      <c r="S90" s="67"/>
      <c r="T90" s="67"/>
      <c r="U90" s="67"/>
      <c r="V90" s="67"/>
      <c r="W90" s="67"/>
      <c r="X90" s="67"/>
      <c r="Y90" s="67"/>
      <c r="Z90" s="67"/>
      <c r="AA90" s="67"/>
      <c r="AB90" s="67"/>
      <c r="AC90" s="67"/>
      <c r="AD90" s="67"/>
      <c r="AE90" s="67"/>
      <c r="AF90" s="67"/>
      <c r="AG90" s="67"/>
      <c r="AH90" s="67"/>
      <c r="AI90" s="67"/>
      <c r="AJ90" s="67"/>
      <c r="AK90" s="67"/>
      <c r="AL90" s="67"/>
      <c r="AM90" s="67"/>
      <c r="AN90" s="67"/>
      <c r="AO90" s="67"/>
      <c r="AP90" s="67"/>
      <c r="AQ90" s="67"/>
      <c r="AR90" s="67"/>
      <c r="AS90" s="55">
        <f>'Messages Dictionary'!I95</f>
        <v>0</v>
      </c>
    </row>
    <row r="91" spans="1:45" hidden="1" x14ac:dyDescent="0.2">
      <c r="A91" s="65">
        <v>1024</v>
      </c>
      <c r="B91" s="9" t="s">
        <v>819</v>
      </c>
      <c r="C91" s="9" t="s">
        <v>820</v>
      </c>
      <c r="D91" s="9" t="s">
        <v>821</v>
      </c>
      <c r="E91" s="9" t="s">
        <v>822</v>
      </c>
      <c r="F91" s="9" t="s">
        <v>199</v>
      </c>
      <c r="G91" s="9" t="s">
        <v>412</v>
      </c>
      <c r="H91" s="9" t="s">
        <v>831</v>
      </c>
      <c r="I91" s="55">
        <f>'Messages Dictionary'!I96</f>
        <v>0</v>
      </c>
      <c r="J91" s="10">
        <f>'Messages Dictionary'!J96</f>
        <v>0.5</v>
      </c>
      <c r="K91" s="10">
        <f t="shared" si="1"/>
        <v>0</v>
      </c>
      <c r="L91" s="66"/>
      <c r="M91" s="66"/>
      <c r="N91" s="67"/>
      <c r="O91" s="67"/>
      <c r="P91" s="67"/>
      <c r="Q91" s="67"/>
      <c r="R91" s="67"/>
      <c r="S91" s="67"/>
      <c r="T91" s="67"/>
      <c r="U91" s="67"/>
      <c r="V91" s="67"/>
      <c r="W91" s="67"/>
      <c r="X91" s="67"/>
      <c r="Y91" s="67"/>
      <c r="Z91" s="67"/>
      <c r="AA91" s="67"/>
      <c r="AB91" s="67"/>
      <c r="AC91" s="67"/>
      <c r="AD91" s="67"/>
      <c r="AE91" s="67"/>
      <c r="AF91" s="67"/>
      <c r="AG91" s="67"/>
      <c r="AH91" s="67"/>
      <c r="AI91" s="67"/>
      <c r="AJ91" s="67"/>
      <c r="AK91" s="67"/>
      <c r="AL91" s="67"/>
      <c r="AM91" s="67"/>
      <c r="AN91" s="67"/>
      <c r="AO91" s="67"/>
      <c r="AP91" s="67"/>
      <c r="AQ91" s="67"/>
      <c r="AR91" s="67"/>
      <c r="AS91" s="55">
        <f>'Messages Dictionary'!I96</f>
        <v>0</v>
      </c>
    </row>
    <row r="92" spans="1:45" hidden="1" x14ac:dyDescent="0.2">
      <c r="A92" s="65">
        <v>1025</v>
      </c>
      <c r="B92" s="9" t="s">
        <v>819</v>
      </c>
      <c r="C92" s="9" t="s">
        <v>820</v>
      </c>
      <c r="D92" s="9" t="s">
        <v>821</v>
      </c>
      <c r="E92" s="9" t="s">
        <v>822</v>
      </c>
      <c r="F92" s="9" t="s">
        <v>199</v>
      </c>
      <c r="G92" s="9" t="s">
        <v>412</v>
      </c>
      <c r="H92" s="9" t="s">
        <v>831</v>
      </c>
      <c r="I92" s="55">
        <f>'Messages Dictionary'!I97</f>
        <v>0</v>
      </c>
      <c r="J92" s="10">
        <f>'Messages Dictionary'!J97</f>
        <v>0.5</v>
      </c>
      <c r="K92" s="10">
        <f t="shared" si="1"/>
        <v>0</v>
      </c>
      <c r="L92" s="66"/>
      <c r="M92" s="66"/>
      <c r="N92" s="67"/>
      <c r="O92" s="67"/>
      <c r="P92" s="67"/>
      <c r="Q92" s="67"/>
      <c r="R92" s="67"/>
      <c r="S92" s="67"/>
      <c r="T92" s="67"/>
      <c r="U92" s="67"/>
      <c r="V92" s="67"/>
      <c r="W92" s="67"/>
      <c r="X92" s="67"/>
      <c r="Y92" s="67"/>
      <c r="Z92" s="67"/>
      <c r="AA92" s="67"/>
      <c r="AB92" s="67"/>
      <c r="AC92" s="67"/>
      <c r="AD92" s="67"/>
      <c r="AE92" s="67"/>
      <c r="AF92" s="67"/>
      <c r="AG92" s="67"/>
      <c r="AH92" s="67"/>
      <c r="AI92" s="67"/>
      <c r="AJ92" s="67"/>
      <c r="AK92" s="67"/>
      <c r="AL92" s="67"/>
      <c r="AM92" s="67"/>
      <c r="AN92" s="67"/>
      <c r="AO92" s="67"/>
      <c r="AP92" s="67"/>
      <c r="AQ92" s="67"/>
      <c r="AR92" s="67"/>
      <c r="AS92" s="55">
        <f>'Messages Dictionary'!I97</f>
        <v>0</v>
      </c>
    </row>
    <row r="93" spans="1:45" hidden="1" x14ac:dyDescent="0.2">
      <c r="A93" s="65">
        <v>1026</v>
      </c>
      <c r="B93" s="9" t="s">
        <v>819</v>
      </c>
      <c r="C93" s="9" t="s">
        <v>820</v>
      </c>
      <c r="D93" s="9" t="s">
        <v>821</v>
      </c>
      <c r="E93" s="9" t="s">
        <v>822</v>
      </c>
      <c r="F93" s="9" t="s">
        <v>199</v>
      </c>
      <c r="G93" s="9" t="s">
        <v>412</v>
      </c>
      <c r="H93" s="9" t="s">
        <v>831</v>
      </c>
      <c r="I93" s="55">
        <f>'Messages Dictionary'!I98</f>
        <v>0</v>
      </c>
      <c r="J93" s="10">
        <f>'Messages Dictionary'!J98</f>
        <v>0.5</v>
      </c>
      <c r="K93" s="10">
        <f t="shared" si="1"/>
        <v>0</v>
      </c>
      <c r="L93" s="66"/>
      <c r="M93" s="66"/>
      <c r="N93" s="67"/>
      <c r="O93" s="67"/>
      <c r="P93" s="67"/>
      <c r="Q93" s="67"/>
      <c r="R93" s="67"/>
      <c r="S93" s="67"/>
      <c r="T93" s="67"/>
      <c r="U93" s="67"/>
      <c r="V93" s="67"/>
      <c r="W93" s="67"/>
      <c r="X93" s="67"/>
      <c r="Y93" s="67"/>
      <c r="Z93" s="67"/>
      <c r="AA93" s="67"/>
      <c r="AB93" s="67"/>
      <c r="AC93" s="67"/>
      <c r="AD93" s="67"/>
      <c r="AE93" s="67"/>
      <c r="AF93" s="67"/>
      <c r="AG93" s="67"/>
      <c r="AH93" s="67"/>
      <c r="AI93" s="67"/>
      <c r="AJ93" s="67"/>
      <c r="AK93" s="67"/>
      <c r="AL93" s="67"/>
      <c r="AM93" s="67"/>
      <c r="AN93" s="67"/>
      <c r="AO93" s="67"/>
      <c r="AP93" s="67"/>
      <c r="AQ93" s="67"/>
      <c r="AR93" s="67"/>
      <c r="AS93" s="55">
        <f>'Messages Dictionary'!I98</f>
        <v>0</v>
      </c>
    </row>
    <row r="94" spans="1:45" hidden="1" x14ac:dyDescent="0.2">
      <c r="A94" s="65">
        <v>1027</v>
      </c>
      <c r="B94" s="9" t="s">
        <v>819</v>
      </c>
      <c r="C94" s="9" t="s">
        <v>820</v>
      </c>
      <c r="D94" s="9" t="s">
        <v>821</v>
      </c>
      <c r="E94" s="9" t="s">
        <v>822</v>
      </c>
      <c r="F94" s="9" t="s">
        <v>199</v>
      </c>
      <c r="G94" s="9" t="s">
        <v>412</v>
      </c>
      <c r="H94" s="9" t="s">
        <v>831</v>
      </c>
      <c r="I94" s="55">
        <f>'Messages Dictionary'!I99</f>
        <v>0</v>
      </c>
      <c r="J94" s="10">
        <f>'Messages Dictionary'!J99</f>
        <v>0.5</v>
      </c>
      <c r="K94" s="10">
        <f t="shared" si="1"/>
        <v>0</v>
      </c>
      <c r="L94" s="66"/>
      <c r="M94" s="66"/>
      <c r="N94" s="67"/>
      <c r="O94" s="67"/>
      <c r="P94" s="67"/>
      <c r="Q94" s="67"/>
      <c r="R94" s="67"/>
      <c r="S94" s="67"/>
      <c r="T94" s="67"/>
      <c r="U94" s="67"/>
      <c r="V94" s="67"/>
      <c r="W94" s="67"/>
      <c r="X94" s="67"/>
      <c r="Y94" s="67"/>
      <c r="Z94" s="67"/>
      <c r="AA94" s="67"/>
      <c r="AB94" s="67"/>
      <c r="AC94" s="67"/>
      <c r="AD94" s="67"/>
      <c r="AE94" s="67"/>
      <c r="AF94" s="67"/>
      <c r="AG94" s="67"/>
      <c r="AH94" s="67"/>
      <c r="AI94" s="67"/>
      <c r="AJ94" s="67"/>
      <c r="AK94" s="67"/>
      <c r="AL94" s="67"/>
      <c r="AM94" s="67"/>
      <c r="AN94" s="67"/>
      <c r="AO94" s="67"/>
      <c r="AP94" s="67"/>
      <c r="AQ94" s="67"/>
      <c r="AR94" s="67"/>
      <c r="AS94" s="55">
        <f>'Messages Dictionary'!I99</f>
        <v>0</v>
      </c>
    </row>
    <row r="95" spans="1:45" hidden="1" x14ac:dyDescent="0.2">
      <c r="A95" s="65">
        <v>1028</v>
      </c>
      <c r="B95" s="9" t="s">
        <v>819</v>
      </c>
      <c r="C95" s="9" t="s">
        <v>820</v>
      </c>
      <c r="D95" s="9" t="s">
        <v>821</v>
      </c>
      <c r="E95" s="9" t="s">
        <v>822</v>
      </c>
      <c r="F95" s="9" t="s">
        <v>199</v>
      </c>
      <c r="G95" s="9" t="s">
        <v>412</v>
      </c>
      <c r="H95" s="9" t="s">
        <v>831</v>
      </c>
      <c r="I95" s="55">
        <f>'Messages Dictionary'!I100</f>
        <v>0</v>
      </c>
      <c r="J95" s="10">
        <f>'Messages Dictionary'!J100</f>
        <v>0.5</v>
      </c>
      <c r="K95" s="10">
        <f t="shared" si="1"/>
        <v>0</v>
      </c>
      <c r="L95" s="66"/>
      <c r="M95" s="66"/>
      <c r="N95" s="67"/>
      <c r="O95" s="67"/>
      <c r="P95" s="67"/>
      <c r="Q95" s="67"/>
      <c r="R95" s="67"/>
      <c r="S95" s="67"/>
      <c r="T95" s="67"/>
      <c r="U95" s="67"/>
      <c r="V95" s="67"/>
      <c r="W95" s="67"/>
      <c r="X95" s="67"/>
      <c r="Y95" s="67"/>
      <c r="Z95" s="67"/>
      <c r="AA95" s="67"/>
      <c r="AB95" s="67"/>
      <c r="AC95" s="67"/>
      <c r="AD95" s="67"/>
      <c r="AE95" s="67"/>
      <c r="AF95" s="67"/>
      <c r="AG95" s="67"/>
      <c r="AH95" s="67"/>
      <c r="AI95" s="67"/>
      <c r="AJ95" s="67"/>
      <c r="AK95" s="67"/>
      <c r="AL95" s="67"/>
      <c r="AM95" s="67"/>
      <c r="AN95" s="67"/>
      <c r="AO95" s="67"/>
      <c r="AP95" s="67"/>
      <c r="AQ95" s="67"/>
      <c r="AR95" s="67"/>
      <c r="AS95" s="55">
        <f>'Messages Dictionary'!I100</f>
        <v>0</v>
      </c>
    </row>
    <row r="96" spans="1:45" hidden="1" x14ac:dyDescent="0.2">
      <c r="A96" s="65">
        <v>1029</v>
      </c>
      <c r="B96" s="9" t="s">
        <v>819</v>
      </c>
      <c r="C96" s="9" t="s">
        <v>820</v>
      </c>
      <c r="D96" s="9" t="s">
        <v>821</v>
      </c>
      <c r="E96" s="9" t="s">
        <v>822</v>
      </c>
      <c r="F96" s="9" t="s">
        <v>199</v>
      </c>
      <c r="G96" s="9" t="s">
        <v>405</v>
      </c>
      <c r="H96" s="9" t="s">
        <v>426</v>
      </c>
      <c r="I96" s="55">
        <f>'Messages Dictionary'!I101</f>
        <v>0</v>
      </c>
      <c r="J96" s="10">
        <f>'Messages Dictionary'!J101</f>
        <v>1</v>
      </c>
      <c r="K96" s="10">
        <f t="shared" si="1"/>
        <v>0</v>
      </c>
      <c r="L96" s="66"/>
      <c r="M96" s="66"/>
      <c r="N96" s="67"/>
      <c r="O96" s="67"/>
      <c r="P96" s="67"/>
      <c r="Q96" s="67"/>
      <c r="R96" s="67"/>
      <c r="S96" s="67"/>
      <c r="T96" s="67"/>
      <c r="U96" s="67"/>
      <c r="V96" s="67"/>
      <c r="W96" s="67"/>
      <c r="X96" s="67"/>
      <c r="Y96" s="67"/>
      <c r="Z96" s="67"/>
      <c r="AA96" s="67"/>
      <c r="AB96" s="67"/>
      <c r="AC96" s="67"/>
      <c r="AD96" s="67"/>
      <c r="AE96" s="67"/>
      <c r="AF96" s="67"/>
      <c r="AG96" s="67"/>
      <c r="AH96" s="67"/>
      <c r="AI96" s="67"/>
      <c r="AJ96" s="67"/>
      <c r="AK96" s="67"/>
      <c r="AL96" s="67"/>
      <c r="AM96" s="67"/>
      <c r="AN96" s="67"/>
      <c r="AO96" s="67"/>
      <c r="AP96" s="67"/>
      <c r="AQ96" s="67"/>
      <c r="AR96" s="67"/>
      <c r="AS96" s="55">
        <f>'Messages Dictionary'!I101</f>
        <v>0</v>
      </c>
    </row>
    <row r="97" spans="1:45" ht="28.5" hidden="1" x14ac:dyDescent="0.2">
      <c r="A97" s="65">
        <v>1031</v>
      </c>
      <c r="B97" s="9" t="s">
        <v>823</v>
      </c>
      <c r="C97" s="9" t="s">
        <v>824</v>
      </c>
      <c r="D97" s="9" t="s">
        <v>821</v>
      </c>
      <c r="E97" s="9" t="s">
        <v>825</v>
      </c>
      <c r="F97" s="9" t="s">
        <v>199</v>
      </c>
      <c r="G97" s="9" t="s">
        <v>412</v>
      </c>
      <c r="H97" s="9" t="s">
        <v>831</v>
      </c>
      <c r="I97" s="55">
        <f>'Messages Dictionary'!I102</f>
        <v>0</v>
      </c>
      <c r="J97" s="10">
        <f>'Messages Dictionary'!J102</f>
        <v>0.5</v>
      </c>
      <c r="K97" s="10">
        <f t="shared" si="1"/>
        <v>0</v>
      </c>
      <c r="L97" s="66"/>
      <c r="M97" s="66"/>
      <c r="N97" s="67"/>
      <c r="O97" s="67"/>
      <c r="P97" s="67"/>
      <c r="Q97" s="67"/>
      <c r="R97" s="67"/>
      <c r="S97" s="67"/>
      <c r="T97" s="67"/>
      <c r="U97" s="67"/>
      <c r="V97" s="67"/>
      <c r="W97" s="67"/>
      <c r="X97" s="67"/>
      <c r="Y97" s="67"/>
      <c r="Z97" s="67"/>
      <c r="AA97" s="67"/>
      <c r="AB97" s="67"/>
      <c r="AC97" s="67"/>
      <c r="AD97" s="67"/>
      <c r="AE97" s="67"/>
      <c r="AF97" s="67"/>
      <c r="AG97" s="67"/>
      <c r="AH97" s="67"/>
      <c r="AI97" s="67"/>
      <c r="AJ97" s="67"/>
      <c r="AK97" s="67"/>
      <c r="AL97" s="67"/>
      <c r="AM97" s="67"/>
      <c r="AN97" s="67"/>
      <c r="AO97" s="67"/>
      <c r="AP97" s="67"/>
      <c r="AQ97" s="67"/>
      <c r="AR97" s="67"/>
      <c r="AS97" s="55">
        <f>'Messages Dictionary'!I102</f>
        <v>0</v>
      </c>
    </row>
    <row r="98" spans="1:45" ht="28.5" hidden="1" x14ac:dyDescent="0.2">
      <c r="A98" s="65">
        <v>1032</v>
      </c>
      <c r="B98" s="9" t="s">
        <v>823</v>
      </c>
      <c r="C98" s="9" t="s">
        <v>824</v>
      </c>
      <c r="D98" s="9" t="s">
        <v>821</v>
      </c>
      <c r="E98" s="9" t="s">
        <v>825</v>
      </c>
      <c r="F98" s="9" t="s">
        <v>199</v>
      </c>
      <c r="G98" s="9" t="s">
        <v>412</v>
      </c>
      <c r="H98" s="9" t="s">
        <v>831</v>
      </c>
      <c r="I98" s="55">
        <f>'Messages Dictionary'!I103</f>
        <v>0</v>
      </c>
      <c r="J98" s="10">
        <f>'Messages Dictionary'!J103</f>
        <v>0.5</v>
      </c>
      <c r="K98" s="10">
        <f t="shared" si="1"/>
        <v>0</v>
      </c>
      <c r="L98" s="66"/>
      <c r="M98" s="66"/>
      <c r="N98" s="67"/>
      <c r="O98" s="67"/>
      <c r="P98" s="67"/>
      <c r="Q98" s="67"/>
      <c r="R98" s="67"/>
      <c r="S98" s="67"/>
      <c r="T98" s="67"/>
      <c r="U98" s="67"/>
      <c r="V98" s="67"/>
      <c r="W98" s="67"/>
      <c r="X98" s="67"/>
      <c r="Y98" s="67"/>
      <c r="Z98" s="67"/>
      <c r="AA98" s="67"/>
      <c r="AB98" s="67"/>
      <c r="AC98" s="67"/>
      <c r="AD98" s="67"/>
      <c r="AE98" s="67"/>
      <c r="AF98" s="67"/>
      <c r="AG98" s="67"/>
      <c r="AH98" s="67"/>
      <c r="AI98" s="67"/>
      <c r="AJ98" s="67"/>
      <c r="AK98" s="67"/>
      <c r="AL98" s="67"/>
      <c r="AM98" s="67"/>
      <c r="AN98" s="67"/>
      <c r="AO98" s="67"/>
      <c r="AP98" s="67"/>
      <c r="AQ98" s="67"/>
      <c r="AR98" s="67"/>
      <c r="AS98" s="55">
        <f>'Messages Dictionary'!I103</f>
        <v>0</v>
      </c>
    </row>
    <row r="99" spans="1:45" ht="28.5" hidden="1" x14ac:dyDescent="0.2">
      <c r="A99" s="65">
        <v>1033</v>
      </c>
      <c r="B99" s="9" t="s">
        <v>823</v>
      </c>
      <c r="C99" s="9" t="s">
        <v>824</v>
      </c>
      <c r="D99" s="9" t="s">
        <v>821</v>
      </c>
      <c r="E99" s="9" t="s">
        <v>825</v>
      </c>
      <c r="F99" s="9" t="s">
        <v>199</v>
      </c>
      <c r="G99" s="9" t="s">
        <v>412</v>
      </c>
      <c r="H99" s="9" t="s">
        <v>831</v>
      </c>
      <c r="I99" s="55">
        <f>'Messages Dictionary'!I104</f>
        <v>0</v>
      </c>
      <c r="J99" s="10">
        <f>'Messages Dictionary'!J104</f>
        <v>0.5</v>
      </c>
      <c r="K99" s="10">
        <f t="shared" si="1"/>
        <v>0</v>
      </c>
      <c r="L99" s="66"/>
      <c r="M99" s="66"/>
      <c r="N99" s="67"/>
      <c r="O99" s="67"/>
      <c r="P99" s="67"/>
      <c r="Q99" s="67"/>
      <c r="R99" s="67"/>
      <c r="S99" s="67"/>
      <c r="T99" s="67"/>
      <c r="U99" s="67"/>
      <c r="V99" s="67"/>
      <c r="W99" s="67"/>
      <c r="X99" s="67"/>
      <c r="Y99" s="67"/>
      <c r="Z99" s="67"/>
      <c r="AA99" s="67"/>
      <c r="AB99" s="67"/>
      <c r="AC99" s="67"/>
      <c r="AD99" s="67"/>
      <c r="AE99" s="67"/>
      <c r="AF99" s="67"/>
      <c r="AG99" s="67"/>
      <c r="AH99" s="67"/>
      <c r="AI99" s="67"/>
      <c r="AJ99" s="67"/>
      <c r="AK99" s="67"/>
      <c r="AL99" s="67"/>
      <c r="AM99" s="67"/>
      <c r="AN99" s="67"/>
      <c r="AO99" s="67"/>
      <c r="AP99" s="67"/>
      <c r="AQ99" s="67"/>
      <c r="AR99" s="67"/>
      <c r="AS99" s="55">
        <f>'Messages Dictionary'!I104</f>
        <v>0</v>
      </c>
    </row>
    <row r="100" spans="1:45" ht="28.5" hidden="1" x14ac:dyDescent="0.2">
      <c r="A100" s="65">
        <v>1034</v>
      </c>
      <c r="B100" s="9" t="s">
        <v>823</v>
      </c>
      <c r="C100" s="9" t="s">
        <v>824</v>
      </c>
      <c r="D100" s="9" t="s">
        <v>821</v>
      </c>
      <c r="E100" s="9" t="s">
        <v>825</v>
      </c>
      <c r="F100" s="9" t="s">
        <v>199</v>
      </c>
      <c r="G100" s="9" t="s">
        <v>412</v>
      </c>
      <c r="H100" s="9" t="s">
        <v>831</v>
      </c>
      <c r="I100" s="55">
        <f>'Messages Dictionary'!I105</f>
        <v>0</v>
      </c>
      <c r="J100" s="10">
        <f>'Messages Dictionary'!J105</f>
        <v>0.5</v>
      </c>
      <c r="K100" s="10">
        <f t="shared" si="1"/>
        <v>0</v>
      </c>
      <c r="L100" s="66"/>
      <c r="M100" s="66"/>
      <c r="N100" s="67"/>
      <c r="O100" s="67"/>
      <c r="P100" s="67"/>
      <c r="Q100" s="67"/>
      <c r="R100" s="67"/>
      <c r="S100" s="67"/>
      <c r="T100" s="67"/>
      <c r="U100" s="67"/>
      <c r="V100" s="67"/>
      <c r="W100" s="67"/>
      <c r="X100" s="67"/>
      <c r="Y100" s="67"/>
      <c r="Z100" s="67"/>
      <c r="AA100" s="67"/>
      <c r="AB100" s="67"/>
      <c r="AC100" s="67"/>
      <c r="AD100" s="67"/>
      <c r="AE100" s="67"/>
      <c r="AF100" s="67"/>
      <c r="AG100" s="67"/>
      <c r="AH100" s="67"/>
      <c r="AI100" s="67"/>
      <c r="AJ100" s="67"/>
      <c r="AK100" s="67"/>
      <c r="AL100" s="67"/>
      <c r="AM100" s="67"/>
      <c r="AN100" s="67"/>
      <c r="AO100" s="67"/>
      <c r="AP100" s="67"/>
      <c r="AQ100" s="67"/>
      <c r="AR100" s="67"/>
      <c r="AS100" s="55">
        <f>'Messages Dictionary'!I105</f>
        <v>0</v>
      </c>
    </row>
    <row r="101" spans="1:45" ht="28.5" hidden="1" x14ac:dyDescent="0.2">
      <c r="A101" s="65">
        <v>1035</v>
      </c>
      <c r="B101" s="9" t="s">
        <v>823</v>
      </c>
      <c r="C101" s="9" t="s">
        <v>824</v>
      </c>
      <c r="D101" s="9" t="s">
        <v>821</v>
      </c>
      <c r="E101" s="9" t="s">
        <v>825</v>
      </c>
      <c r="F101" s="9" t="s">
        <v>199</v>
      </c>
      <c r="G101" s="9" t="s">
        <v>412</v>
      </c>
      <c r="H101" s="9" t="s">
        <v>831</v>
      </c>
      <c r="I101" s="55">
        <f>'Messages Dictionary'!I106</f>
        <v>0</v>
      </c>
      <c r="J101" s="10">
        <f>'Messages Dictionary'!J106</f>
        <v>1</v>
      </c>
      <c r="K101" s="10">
        <f t="shared" si="1"/>
        <v>0</v>
      </c>
      <c r="L101" s="66"/>
      <c r="M101" s="66"/>
      <c r="N101" s="67"/>
      <c r="O101" s="67"/>
      <c r="P101" s="67"/>
      <c r="Q101" s="67"/>
      <c r="R101" s="67"/>
      <c r="S101" s="67"/>
      <c r="T101" s="67"/>
      <c r="U101" s="67"/>
      <c r="V101" s="67"/>
      <c r="W101" s="67"/>
      <c r="X101" s="67"/>
      <c r="Y101" s="67"/>
      <c r="Z101" s="67"/>
      <c r="AA101" s="67"/>
      <c r="AB101" s="67"/>
      <c r="AC101" s="67"/>
      <c r="AD101" s="67"/>
      <c r="AE101" s="67"/>
      <c r="AF101" s="67"/>
      <c r="AG101" s="67"/>
      <c r="AH101" s="67"/>
      <c r="AI101" s="67"/>
      <c r="AJ101" s="67"/>
      <c r="AK101" s="67"/>
      <c r="AL101" s="67"/>
      <c r="AM101" s="67"/>
      <c r="AN101" s="67"/>
      <c r="AO101" s="67"/>
      <c r="AP101" s="67"/>
      <c r="AQ101" s="67"/>
      <c r="AR101" s="67"/>
      <c r="AS101" s="55">
        <f>'Messages Dictionary'!I106</f>
        <v>0</v>
      </c>
    </row>
    <row r="102" spans="1:45" ht="28.5" hidden="1" x14ac:dyDescent="0.2">
      <c r="A102" s="65">
        <v>1036</v>
      </c>
      <c r="B102" s="9" t="s">
        <v>823</v>
      </c>
      <c r="C102" s="9" t="s">
        <v>824</v>
      </c>
      <c r="D102" s="9" t="s">
        <v>821</v>
      </c>
      <c r="E102" s="9" t="s">
        <v>825</v>
      </c>
      <c r="F102" s="9" t="s">
        <v>199</v>
      </c>
      <c r="G102" s="9" t="s">
        <v>412</v>
      </c>
      <c r="H102" s="9" t="s">
        <v>831</v>
      </c>
      <c r="I102" s="55">
        <f>'Messages Dictionary'!I107</f>
        <v>0</v>
      </c>
      <c r="J102" s="10">
        <f>'Messages Dictionary'!J107</f>
        <v>0.5</v>
      </c>
      <c r="K102" s="10">
        <f t="shared" si="1"/>
        <v>0</v>
      </c>
      <c r="L102" s="66"/>
      <c r="M102" s="66"/>
      <c r="N102" s="67"/>
      <c r="O102" s="67"/>
      <c r="P102" s="67"/>
      <c r="Q102" s="67"/>
      <c r="R102" s="67"/>
      <c r="S102" s="67"/>
      <c r="T102" s="67"/>
      <c r="U102" s="67"/>
      <c r="V102" s="67"/>
      <c r="W102" s="67"/>
      <c r="X102" s="67"/>
      <c r="Y102" s="67"/>
      <c r="Z102" s="67"/>
      <c r="AA102" s="67"/>
      <c r="AB102" s="67"/>
      <c r="AC102" s="67"/>
      <c r="AD102" s="67"/>
      <c r="AE102" s="67"/>
      <c r="AF102" s="67"/>
      <c r="AG102" s="67"/>
      <c r="AH102" s="67"/>
      <c r="AI102" s="67"/>
      <c r="AJ102" s="67"/>
      <c r="AK102" s="67"/>
      <c r="AL102" s="67"/>
      <c r="AM102" s="67"/>
      <c r="AN102" s="67"/>
      <c r="AO102" s="67"/>
      <c r="AP102" s="67"/>
      <c r="AQ102" s="67"/>
      <c r="AR102" s="67"/>
      <c r="AS102" s="55">
        <f>'Messages Dictionary'!I107</f>
        <v>0</v>
      </c>
    </row>
    <row r="103" spans="1:45" ht="28.5" hidden="1" x14ac:dyDescent="0.2">
      <c r="A103" s="65">
        <v>1037</v>
      </c>
      <c r="B103" s="9" t="s">
        <v>823</v>
      </c>
      <c r="C103" s="9" t="s">
        <v>824</v>
      </c>
      <c r="D103" s="9" t="s">
        <v>821</v>
      </c>
      <c r="E103" s="9" t="s">
        <v>825</v>
      </c>
      <c r="F103" s="9" t="s">
        <v>199</v>
      </c>
      <c r="G103" s="9" t="s">
        <v>412</v>
      </c>
      <c r="H103" s="9" t="s">
        <v>831</v>
      </c>
      <c r="I103" s="55">
        <f>'Messages Dictionary'!I108</f>
        <v>0</v>
      </c>
      <c r="J103" s="10">
        <f>'Messages Dictionary'!J108</f>
        <v>0.5</v>
      </c>
      <c r="K103" s="10">
        <f t="shared" si="1"/>
        <v>0</v>
      </c>
      <c r="L103" s="66"/>
      <c r="M103" s="66"/>
      <c r="N103" s="67"/>
      <c r="O103" s="67"/>
      <c r="P103" s="67"/>
      <c r="Q103" s="67"/>
      <c r="R103" s="67"/>
      <c r="S103" s="67"/>
      <c r="T103" s="67"/>
      <c r="U103" s="67"/>
      <c r="V103" s="67"/>
      <c r="W103" s="67"/>
      <c r="X103" s="67"/>
      <c r="Y103" s="67"/>
      <c r="Z103" s="67"/>
      <c r="AA103" s="67"/>
      <c r="AB103" s="67"/>
      <c r="AC103" s="67"/>
      <c r="AD103" s="67"/>
      <c r="AE103" s="67"/>
      <c r="AF103" s="67"/>
      <c r="AG103" s="67"/>
      <c r="AH103" s="67"/>
      <c r="AI103" s="67"/>
      <c r="AJ103" s="67"/>
      <c r="AK103" s="67"/>
      <c r="AL103" s="67"/>
      <c r="AM103" s="67"/>
      <c r="AN103" s="67"/>
      <c r="AO103" s="67"/>
      <c r="AP103" s="67"/>
      <c r="AQ103" s="67"/>
      <c r="AR103" s="67"/>
      <c r="AS103" s="55">
        <f>'Messages Dictionary'!I108</f>
        <v>0</v>
      </c>
    </row>
    <row r="104" spans="1:45" ht="28.5" hidden="1" x14ac:dyDescent="0.2">
      <c r="A104" s="65">
        <v>1038</v>
      </c>
      <c r="B104" s="9" t="s">
        <v>823</v>
      </c>
      <c r="C104" s="9" t="s">
        <v>824</v>
      </c>
      <c r="D104" s="9" t="s">
        <v>821</v>
      </c>
      <c r="E104" s="9" t="s">
        <v>825</v>
      </c>
      <c r="F104" s="9" t="s">
        <v>199</v>
      </c>
      <c r="G104" s="9" t="s">
        <v>412</v>
      </c>
      <c r="H104" s="9" t="s">
        <v>831</v>
      </c>
      <c r="I104" s="55">
        <f>'Messages Dictionary'!I109</f>
        <v>0</v>
      </c>
      <c r="J104" s="10">
        <f>'Messages Dictionary'!J109</f>
        <v>0.5</v>
      </c>
      <c r="K104" s="10">
        <f t="shared" si="1"/>
        <v>0</v>
      </c>
      <c r="L104" s="66"/>
      <c r="M104" s="66"/>
      <c r="N104" s="67"/>
      <c r="O104" s="67"/>
      <c r="P104" s="67"/>
      <c r="Q104" s="67"/>
      <c r="R104" s="67"/>
      <c r="S104" s="67"/>
      <c r="T104" s="67"/>
      <c r="U104" s="67"/>
      <c r="V104" s="67"/>
      <c r="W104" s="67"/>
      <c r="X104" s="67"/>
      <c r="Y104" s="67"/>
      <c r="Z104" s="67"/>
      <c r="AA104" s="67"/>
      <c r="AB104" s="67"/>
      <c r="AC104" s="67"/>
      <c r="AD104" s="67"/>
      <c r="AE104" s="67"/>
      <c r="AF104" s="67"/>
      <c r="AG104" s="67"/>
      <c r="AH104" s="67"/>
      <c r="AI104" s="67"/>
      <c r="AJ104" s="67"/>
      <c r="AK104" s="67"/>
      <c r="AL104" s="67"/>
      <c r="AM104" s="67"/>
      <c r="AN104" s="67"/>
      <c r="AO104" s="67"/>
      <c r="AP104" s="67"/>
      <c r="AQ104" s="67"/>
      <c r="AR104" s="67"/>
      <c r="AS104" s="55">
        <f>'Messages Dictionary'!I109</f>
        <v>0</v>
      </c>
    </row>
    <row r="105" spans="1:45" ht="28.5" hidden="1" x14ac:dyDescent="0.2">
      <c r="A105" s="65">
        <v>1039</v>
      </c>
      <c r="B105" s="9" t="s">
        <v>823</v>
      </c>
      <c r="C105" s="9" t="s">
        <v>824</v>
      </c>
      <c r="D105" s="9" t="s">
        <v>821</v>
      </c>
      <c r="E105" s="9" t="s">
        <v>825</v>
      </c>
      <c r="F105" s="9" t="s">
        <v>199</v>
      </c>
      <c r="G105" s="9" t="s">
        <v>412</v>
      </c>
      <c r="H105" s="9" t="s">
        <v>831</v>
      </c>
      <c r="I105" s="55">
        <f>'Messages Dictionary'!I110</f>
        <v>0</v>
      </c>
      <c r="J105" s="10">
        <f>'Messages Dictionary'!J110</f>
        <v>1</v>
      </c>
      <c r="K105" s="10">
        <f t="shared" si="1"/>
        <v>0</v>
      </c>
      <c r="L105" s="66"/>
      <c r="M105" s="66"/>
      <c r="N105" s="67"/>
      <c r="O105" s="67"/>
      <c r="P105" s="67"/>
      <c r="Q105" s="67"/>
      <c r="R105" s="67"/>
      <c r="S105" s="67"/>
      <c r="T105" s="67"/>
      <c r="U105" s="67"/>
      <c r="V105" s="67"/>
      <c r="W105" s="67"/>
      <c r="X105" s="67"/>
      <c r="Y105" s="67"/>
      <c r="Z105" s="67"/>
      <c r="AA105" s="67"/>
      <c r="AB105" s="67"/>
      <c r="AC105" s="67"/>
      <c r="AD105" s="67"/>
      <c r="AE105" s="67"/>
      <c r="AF105" s="67"/>
      <c r="AG105" s="67"/>
      <c r="AH105" s="67"/>
      <c r="AI105" s="67"/>
      <c r="AJ105" s="67"/>
      <c r="AK105" s="67"/>
      <c r="AL105" s="67"/>
      <c r="AM105" s="67"/>
      <c r="AN105" s="67"/>
      <c r="AO105" s="67"/>
      <c r="AP105" s="67"/>
      <c r="AQ105" s="67"/>
      <c r="AR105" s="67"/>
      <c r="AS105" s="55">
        <f>'Messages Dictionary'!I110</f>
        <v>0</v>
      </c>
    </row>
    <row r="106" spans="1:45" ht="28.5" hidden="1" x14ac:dyDescent="0.2">
      <c r="A106" s="65">
        <v>1040</v>
      </c>
      <c r="B106" s="9" t="s">
        <v>823</v>
      </c>
      <c r="C106" s="9" t="s">
        <v>824</v>
      </c>
      <c r="D106" s="9" t="s">
        <v>821</v>
      </c>
      <c r="E106" s="9" t="s">
        <v>825</v>
      </c>
      <c r="F106" s="9" t="s">
        <v>199</v>
      </c>
      <c r="G106" s="9" t="s">
        <v>412</v>
      </c>
      <c r="H106" s="9" t="s">
        <v>831</v>
      </c>
      <c r="I106" s="55">
        <f>'Messages Dictionary'!I111</f>
        <v>0</v>
      </c>
      <c r="J106" s="10">
        <f>'Messages Dictionary'!J111</f>
        <v>1</v>
      </c>
      <c r="K106" s="10">
        <f t="shared" si="1"/>
        <v>0</v>
      </c>
      <c r="L106" s="66"/>
      <c r="M106" s="66"/>
      <c r="N106" s="67"/>
      <c r="O106" s="67"/>
      <c r="P106" s="67"/>
      <c r="Q106" s="67"/>
      <c r="R106" s="67"/>
      <c r="S106" s="67"/>
      <c r="T106" s="67"/>
      <c r="U106" s="67"/>
      <c r="V106" s="67"/>
      <c r="W106" s="67"/>
      <c r="X106" s="67"/>
      <c r="Y106" s="67"/>
      <c r="Z106" s="67"/>
      <c r="AA106" s="67"/>
      <c r="AB106" s="67"/>
      <c r="AC106" s="67"/>
      <c r="AD106" s="67"/>
      <c r="AE106" s="67"/>
      <c r="AF106" s="67"/>
      <c r="AG106" s="67"/>
      <c r="AH106" s="67"/>
      <c r="AI106" s="67"/>
      <c r="AJ106" s="67"/>
      <c r="AK106" s="67"/>
      <c r="AL106" s="67"/>
      <c r="AM106" s="67"/>
      <c r="AN106" s="67"/>
      <c r="AO106" s="67"/>
      <c r="AP106" s="67"/>
      <c r="AQ106" s="67"/>
      <c r="AR106" s="67"/>
      <c r="AS106" s="55">
        <f>'Messages Dictionary'!I111</f>
        <v>0</v>
      </c>
    </row>
    <row r="107" spans="1:45" ht="28.5" hidden="1" x14ac:dyDescent="0.2">
      <c r="A107" s="65">
        <v>1041</v>
      </c>
      <c r="B107" s="9" t="s">
        <v>826</v>
      </c>
      <c r="C107" s="9" t="s">
        <v>827</v>
      </c>
      <c r="D107" s="9" t="s">
        <v>828</v>
      </c>
      <c r="E107" s="9" t="s">
        <v>829</v>
      </c>
      <c r="F107" s="9" t="s">
        <v>199</v>
      </c>
      <c r="G107" s="9" t="s">
        <v>412</v>
      </c>
      <c r="H107" s="9" t="s">
        <v>831</v>
      </c>
      <c r="I107" s="55">
        <f>'Messages Dictionary'!I112</f>
        <v>0</v>
      </c>
      <c r="J107" s="10">
        <f>'Messages Dictionary'!J112</f>
        <v>1</v>
      </c>
      <c r="K107" s="10">
        <f t="shared" si="1"/>
        <v>0</v>
      </c>
      <c r="L107" s="66"/>
      <c r="M107" s="66"/>
      <c r="N107" s="67"/>
      <c r="O107" s="67"/>
      <c r="P107" s="67"/>
      <c r="Q107" s="67"/>
      <c r="R107" s="67"/>
      <c r="S107" s="67"/>
      <c r="T107" s="67"/>
      <c r="U107" s="67"/>
      <c r="V107" s="67"/>
      <c r="W107" s="67"/>
      <c r="X107" s="67"/>
      <c r="Y107" s="67"/>
      <c r="Z107" s="67"/>
      <c r="AA107" s="67"/>
      <c r="AB107" s="67"/>
      <c r="AC107" s="67"/>
      <c r="AD107" s="67"/>
      <c r="AE107" s="67"/>
      <c r="AF107" s="67"/>
      <c r="AG107" s="67"/>
      <c r="AH107" s="67"/>
      <c r="AI107" s="67"/>
      <c r="AJ107" s="67"/>
      <c r="AK107" s="67"/>
      <c r="AL107" s="67"/>
      <c r="AM107" s="67"/>
      <c r="AN107" s="67"/>
      <c r="AO107" s="67"/>
      <c r="AP107" s="67"/>
      <c r="AQ107" s="67"/>
      <c r="AR107" s="67"/>
      <c r="AS107" s="55">
        <f>'Messages Dictionary'!I112</f>
        <v>0</v>
      </c>
    </row>
    <row r="108" spans="1:45" ht="28.5" hidden="1" x14ac:dyDescent="0.2">
      <c r="A108" s="65">
        <v>1042</v>
      </c>
      <c r="B108" s="9" t="s">
        <v>826</v>
      </c>
      <c r="C108" s="9" t="s">
        <v>827</v>
      </c>
      <c r="D108" s="9" t="s">
        <v>828</v>
      </c>
      <c r="E108" s="9" t="s">
        <v>829</v>
      </c>
      <c r="F108" s="9" t="s">
        <v>199</v>
      </c>
      <c r="G108" s="9" t="s">
        <v>412</v>
      </c>
      <c r="H108" s="9" t="s">
        <v>831</v>
      </c>
      <c r="I108" s="55">
        <f>'Messages Dictionary'!I113</f>
        <v>0</v>
      </c>
      <c r="J108" s="10">
        <f>'Messages Dictionary'!J113</f>
        <v>0.5</v>
      </c>
      <c r="K108" s="10">
        <f t="shared" si="1"/>
        <v>0</v>
      </c>
      <c r="L108" s="66"/>
      <c r="M108" s="66"/>
      <c r="N108" s="67"/>
      <c r="O108" s="67"/>
      <c r="P108" s="67"/>
      <c r="Q108" s="67"/>
      <c r="R108" s="67"/>
      <c r="S108" s="67"/>
      <c r="T108" s="67"/>
      <c r="U108" s="67"/>
      <c r="V108" s="67"/>
      <c r="W108" s="67"/>
      <c r="X108" s="67"/>
      <c r="Y108" s="67"/>
      <c r="Z108" s="67"/>
      <c r="AA108" s="67"/>
      <c r="AB108" s="67"/>
      <c r="AC108" s="67"/>
      <c r="AD108" s="67"/>
      <c r="AE108" s="67"/>
      <c r="AF108" s="67"/>
      <c r="AG108" s="67"/>
      <c r="AH108" s="67"/>
      <c r="AI108" s="67"/>
      <c r="AJ108" s="67"/>
      <c r="AK108" s="67"/>
      <c r="AL108" s="67"/>
      <c r="AM108" s="67"/>
      <c r="AN108" s="67"/>
      <c r="AO108" s="67"/>
      <c r="AP108" s="67"/>
      <c r="AQ108" s="67"/>
      <c r="AR108" s="67"/>
      <c r="AS108" s="55">
        <f>'Messages Dictionary'!I113</f>
        <v>0</v>
      </c>
    </row>
    <row r="109" spans="1:45" ht="28.5" hidden="1" x14ac:dyDescent="0.2">
      <c r="A109" s="65">
        <v>1043</v>
      </c>
      <c r="B109" s="9" t="s">
        <v>826</v>
      </c>
      <c r="C109" s="9" t="s">
        <v>827</v>
      </c>
      <c r="D109" s="9" t="s">
        <v>828</v>
      </c>
      <c r="E109" s="9" t="s">
        <v>829</v>
      </c>
      <c r="F109" s="9" t="s">
        <v>199</v>
      </c>
      <c r="G109" s="9" t="s">
        <v>412</v>
      </c>
      <c r="H109" s="9" t="s">
        <v>831</v>
      </c>
      <c r="I109" s="55">
        <f>'Messages Dictionary'!I114</f>
        <v>0</v>
      </c>
      <c r="J109" s="10">
        <f>'Messages Dictionary'!J114</f>
        <v>0.5</v>
      </c>
      <c r="K109" s="10">
        <f t="shared" si="1"/>
        <v>0</v>
      </c>
      <c r="L109" s="66"/>
      <c r="M109" s="66"/>
      <c r="N109" s="67"/>
      <c r="O109" s="67"/>
      <c r="P109" s="67"/>
      <c r="Q109" s="67"/>
      <c r="R109" s="67"/>
      <c r="S109" s="67"/>
      <c r="T109" s="67"/>
      <c r="U109" s="67"/>
      <c r="V109" s="67"/>
      <c r="W109" s="67"/>
      <c r="X109" s="67"/>
      <c r="Y109" s="67"/>
      <c r="Z109" s="67"/>
      <c r="AA109" s="67"/>
      <c r="AB109" s="67"/>
      <c r="AC109" s="67"/>
      <c r="AD109" s="67"/>
      <c r="AE109" s="67"/>
      <c r="AF109" s="67"/>
      <c r="AG109" s="67"/>
      <c r="AH109" s="67"/>
      <c r="AI109" s="67"/>
      <c r="AJ109" s="67"/>
      <c r="AK109" s="67"/>
      <c r="AL109" s="67"/>
      <c r="AM109" s="67"/>
      <c r="AN109" s="67"/>
      <c r="AO109" s="67"/>
      <c r="AP109" s="67"/>
      <c r="AQ109" s="67"/>
      <c r="AR109" s="67"/>
      <c r="AS109" s="55">
        <f>'Messages Dictionary'!I114</f>
        <v>0</v>
      </c>
    </row>
    <row r="110" spans="1:45" ht="28.5" hidden="1" x14ac:dyDescent="0.2">
      <c r="A110" s="65">
        <v>1044</v>
      </c>
      <c r="B110" s="9" t="s">
        <v>826</v>
      </c>
      <c r="C110" s="9" t="s">
        <v>827</v>
      </c>
      <c r="D110" s="9" t="s">
        <v>828</v>
      </c>
      <c r="E110" s="9" t="s">
        <v>829</v>
      </c>
      <c r="F110" s="9" t="s">
        <v>199</v>
      </c>
      <c r="G110" s="9" t="s">
        <v>405</v>
      </c>
      <c r="H110" s="9" t="s">
        <v>428</v>
      </c>
      <c r="I110" s="55">
        <f>'Messages Dictionary'!I115</f>
        <v>0</v>
      </c>
      <c r="J110" s="10">
        <f>'Messages Dictionary'!J115</f>
        <v>1</v>
      </c>
      <c r="K110" s="10">
        <f t="shared" si="1"/>
        <v>0</v>
      </c>
      <c r="L110" s="66"/>
      <c r="M110" s="66"/>
      <c r="N110" s="67"/>
      <c r="O110" s="67"/>
      <c r="P110" s="67"/>
      <c r="Q110" s="67"/>
      <c r="R110" s="67"/>
      <c r="S110" s="67"/>
      <c r="T110" s="67"/>
      <c r="U110" s="67"/>
      <c r="V110" s="67"/>
      <c r="W110" s="67"/>
      <c r="X110" s="67"/>
      <c r="Y110" s="67"/>
      <c r="Z110" s="67"/>
      <c r="AA110" s="67"/>
      <c r="AB110" s="67"/>
      <c r="AC110" s="67"/>
      <c r="AD110" s="67"/>
      <c r="AE110" s="67"/>
      <c r="AF110" s="67"/>
      <c r="AG110" s="67"/>
      <c r="AH110" s="67"/>
      <c r="AI110" s="67"/>
      <c r="AJ110" s="67"/>
      <c r="AK110" s="67"/>
      <c r="AL110" s="67"/>
      <c r="AM110" s="67"/>
      <c r="AN110" s="67"/>
      <c r="AO110" s="67"/>
      <c r="AP110" s="67"/>
      <c r="AQ110" s="67"/>
      <c r="AR110" s="67"/>
      <c r="AS110" s="55">
        <f>'Messages Dictionary'!I115</f>
        <v>0</v>
      </c>
    </row>
    <row r="111" spans="1:45" ht="28.5" hidden="1" x14ac:dyDescent="0.2">
      <c r="A111" s="65">
        <v>1045</v>
      </c>
      <c r="B111" s="9" t="s">
        <v>826</v>
      </c>
      <c r="C111" s="9" t="s">
        <v>827</v>
      </c>
      <c r="D111" s="9" t="s">
        <v>828</v>
      </c>
      <c r="E111" s="9" t="s">
        <v>829</v>
      </c>
      <c r="F111" s="9" t="s">
        <v>199</v>
      </c>
      <c r="G111" s="9" t="s">
        <v>412</v>
      </c>
      <c r="H111" s="9" t="s">
        <v>831</v>
      </c>
      <c r="I111" s="55">
        <f>'Messages Dictionary'!I116</f>
        <v>0</v>
      </c>
      <c r="J111" s="10">
        <f>'Messages Dictionary'!J116</f>
        <v>1</v>
      </c>
      <c r="K111" s="10">
        <f t="shared" si="1"/>
        <v>0</v>
      </c>
      <c r="L111" s="66"/>
      <c r="M111" s="66"/>
      <c r="N111" s="67"/>
      <c r="O111" s="67"/>
      <c r="P111" s="67"/>
      <c r="Q111" s="67"/>
      <c r="R111" s="67"/>
      <c r="S111" s="67"/>
      <c r="T111" s="67"/>
      <c r="U111" s="67"/>
      <c r="V111" s="67"/>
      <c r="W111" s="67"/>
      <c r="X111" s="67"/>
      <c r="Y111" s="67"/>
      <c r="Z111" s="67"/>
      <c r="AA111" s="67"/>
      <c r="AB111" s="67"/>
      <c r="AC111" s="67"/>
      <c r="AD111" s="67"/>
      <c r="AE111" s="67"/>
      <c r="AF111" s="67"/>
      <c r="AG111" s="67"/>
      <c r="AH111" s="67"/>
      <c r="AI111" s="67"/>
      <c r="AJ111" s="67"/>
      <c r="AK111" s="67"/>
      <c r="AL111" s="67"/>
      <c r="AM111" s="67"/>
      <c r="AN111" s="67"/>
      <c r="AO111" s="67"/>
      <c r="AP111" s="67"/>
      <c r="AQ111" s="67"/>
      <c r="AR111" s="67"/>
      <c r="AS111" s="55">
        <f>'Messages Dictionary'!I116</f>
        <v>0</v>
      </c>
    </row>
    <row r="112" spans="1:45" ht="28.5" hidden="1" x14ac:dyDescent="0.2">
      <c r="A112" s="65">
        <v>1046</v>
      </c>
      <c r="B112" s="9" t="s">
        <v>826</v>
      </c>
      <c r="C112" s="9" t="s">
        <v>827</v>
      </c>
      <c r="D112" s="9" t="s">
        <v>828</v>
      </c>
      <c r="E112" s="9" t="s">
        <v>829</v>
      </c>
      <c r="F112" s="9" t="s">
        <v>199</v>
      </c>
      <c r="G112" s="9" t="s">
        <v>412</v>
      </c>
      <c r="H112" s="9" t="s">
        <v>831</v>
      </c>
      <c r="I112" s="55">
        <f>'Messages Dictionary'!I117</f>
        <v>0</v>
      </c>
      <c r="J112" s="10">
        <f>'Messages Dictionary'!J117</f>
        <v>0.5</v>
      </c>
      <c r="K112" s="10">
        <f t="shared" si="1"/>
        <v>0</v>
      </c>
      <c r="L112" s="66"/>
      <c r="M112" s="66"/>
      <c r="N112" s="67"/>
      <c r="O112" s="67"/>
      <c r="P112" s="67"/>
      <c r="Q112" s="67"/>
      <c r="R112" s="67"/>
      <c r="S112" s="67"/>
      <c r="T112" s="67"/>
      <c r="U112" s="67"/>
      <c r="V112" s="67"/>
      <c r="W112" s="67"/>
      <c r="X112" s="67"/>
      <c r="Y112" s="67"/>
      <c r="Z112" s="67"/>
      <c r="AA112" s="67"/>
      <c r="AB112" s="67"/>
      <c r="AC112" s="67"/>
      <c r="AD112" s="67"/>
      <c r="AE112" s="67"/>
      <c r="AF112" s="67"/>
      <c r="AG112" s="67"/>
      <c r="AH112" s="67"/>
      <c r="AI112" s="67"/>
      <c r="AJ112" s="67"/>
      <c r="AK112" s="67"/>
      <c r="AL112" s="67"/>
      <c r="AM112" s="67"/>
      <c r="AN112" s="67"/>
      <c r="AO112" s="67"/>
      <c r="AP112" s="67"/>
      <c r="AQ112" s="67"/>
      <c r="AR112" s="67"/>
      <c r="AS112" s="55">
        <f>'Messages Dictionary'!I117</f>
        <v>0</v>
      </c>
    </row>
    <row r="113" spans="1:45" ht="42.75" hidden="1" x14ac:dyDescent="0.2">
      <c r="A113" s="65">
        <v>1047</v>
      </c>
      <c r="B113" s="9" t="s">
        <v>823</v>
      </c>
      <c r="C113" s="9" t="s">
        <v>830</v>
      </c>
      <c r="D113" s="9" t="s">
        <v>821</v>
      </c>
      <c r="E113" s="9" t="s">
        <v>825</v>
      </c>
      <c r="F113" s="9" t="s">
        <v>199</v>
      </c>
      <c r="G113" s="9" t="s">
        <v>412</v>
      </c>
      <c r="H113" s="9" t="s">
        <v>831</v>
      </c>
      <c r="I113" s="55">
        <f>'Messages Dictionary'!I118</f>
        <v>0</v>
      </c>
      <c r="J113" s="10">
        <f>'Messages Dictionary'!J118</f>
        <v>0.5</v>
      </c>
      <c r="K113" s="10">
        <f t="shared" si="1"/>
        <v>0</v>
      </c>
      <c r="L113" s="66"/>
      <c r="M113" s="66"/>
      <c r="N113" s="67"/>
      <c r="O113" s="67"/>
      <c r="P113" s="67"/>
      <c r="Q113" s="67"/>
      <c r="R113" s="67"/>
      <c r="S113" s="67"/>
      <c r="T113" s="67"/>
      <c r="U113" s="67"/>
      <c r="V113" s="67"/>
      <c r="W113" s="67"/>
      <c r="X113" s="67"/>
      <c r="Y113" s="67"/>
      <c r="Z113" s="67"/>
      <c r="AA113" s="67"/>
      <c r="AB113" s="67"/>
      <c r="AC113" s="67"/>
      <c r="AD113" s="67"/>
      <c r="AE113" s="67"/>
      <c r="AF113" s="67"/>
      <c r="AG113" s="67"/>
      <c r="AH113" s="67"/>
      <c r="AI113" s="67"/>
      <c r="AJ113" s="67"/>
      <c r="AK113" s="67"/>
      <c r="AL113" s="67"/>
      <c r="AM113" s="67"/>
      <c r="AN113" s="67"/>
      <c r="AO113" s="67"/>
      <c r="AP113" s="67"/>
      <c r="AQ113" s="67"/>
      <c r="AR113" s="67"/>
      <c r="AS113" s="55">
        <f>'Messages Dictionary'!I118</f>
        <v>0</v>
      </c>
    </row>
    <row r="114" spans="1:45" ht="71.25" hidden="1" x14ac:dyDescent="0.2">
      <c r="A114" s="65">
        <v>1048</v>
      </c>
      <c r="B114" s="9" t="s">
        <v>823</v>
      </c>
      <c r="C114" s="9" t="s">
        <v>832</v>
      </c>
      <c r="D114" s="9" t="s">
        <v>821</v>
      </c>
      <c r="E114" s="9" t="s">
        <v>825</v>
      </c>
      <c r="F114" s="9" t="s">
        <v>199</v>
      </c>
      <c r="G114" s="9" t="s">
        <v>412</v>
      </c>
      <c r="H114" s="9" t="s">
        <v>831</v>
      </c>
      <c r="I114" s="55">
        <f>'Messages Dictionary'!I119</f>
        <v>0</v>
      </c>
      <c r="J114" s="10">
        <f>'Messages Dictionary'!J119</f>
        <v>0.5</v>
      </c>
      <c r="K114" s="10">
        <f t="shared" si="1"/>
        <v>0</v>
      </c>
      <c r="L114" s="66"/>
      <c r="M114" s="66"/>
      <c r="N114" s="67"/>
      <c r="O114" s="67"/>
      <c r="P114" s="67"/>
      <c r="Q114" s="67"/>
      <c r="R114" s="67"/>
      <c r="S114" s="67"/>
      <c r="T114" s="67"/>
      <c r="U114" s="67"/>
      <c r="V114" s="67"/>
      <c r="W114" s="67"/>
      <c r="X114" s="67"/>
      <c r="Y114" s="67"/>
      <c r="Z114" s="67"/>
      <c r="AA114" s="67"/>
      <c r="AB114" s="67"/>
      <c r="AC114" s="67"/>
      <c r="AD114" s="67"/>
      <c r="AE114" s="67"/>
      <c r="AF114" s="67"/>
      <c r="AG114" s="67"/>
      <c r="AH114" s="67"/>
      <c r="AI114" s="67"/>
      <c r="AJ114" s="67"/>
      <c r="AK114" s="67"/>
      <c r="AL114" s="67"/>
      <c r="AM114" s="67"/>
      <c r="AN114" s="67"/>
      <c r="AO114" s="67"/>
      <c r="AP114" s="67"/>
      <c r="AQ114" s="67"/>
      <c r="AR114" s="67"/>
      <c r="AS114" s="55">
        <f>'Messages Dictionary'!I119</f>
        <v>0</v>
      </c>
    </row>
    <row r="115" spans="1:45" ht="57" hidden="1" x14ac:dyDescent="0.2">
      <c r="A115" s="65">
        <v>1049</v>
      </c>
      <c r="B115" s="9" t="s">
        <v>823</v>
      </c>
      <c r="C115" s="9" t="s">
        <v>833</v>
      </c>
      <c r="D115" s="9" t="s">
        <v>821</v>
      </c>
      <c r="E115" s="9" t="s">
        <v>825</v>
      </c>
      <c r="F115" s="9" t="s">
        <v>199</v>
      </c>
      <c r="G115" s="9" t="s">
        <v>412</v>
      </c>
      <c r="H115" s="9" t="s">
        <v>831</v>
      </c>
      <c r="I115" s="55">
        <f>'Messages Dictionary'!I120</f>
        <v>0</v>
      </c>
      <c r="J115" s="10">
        <f>'Messages Dictionary'!J120</f>
        <v>0.5</v>
      </c>
      <c r="K115" s="10">
        <f t="shared" si="1"/>
        <v>0</v>
      </c>
      <c r="L115" s="66"/>
      <c r="M115" s="66"/>
      <c r="N115" s="67"/>
      <c r="O115" s="67"/>
      <c r="P115" s="67"/>
      <c r="Q115" s="67"/>
      <c r="R115" s="67"/>
      <c r="S115" s="67"/>
      <c r="T115" s="67"/>
      <c r="U115" s="67"/>
      <c r="V115" s="67"/>
      <c r="W115" s="67"/>
      <c r="X115" s="67"/>
      <c r="Y115" s="67"/>
      <c r="Z115" s="67"/>
      <c r="AA115" s="67"/>
      <c r="AB115" s="67"/>
      <c r="AC115" s="67"/>
      <c r="AD115" s="67"/>
      <c r="AE115" s="67"/>
      <c r="AF115" s="67"/>
      <c r="AG115" s="67"/>
      <c r="AH115" s="67"/>
      <c r="AI115" s="67"/>
      <c r="AJ115" s="67"/>
      <c r="AK115" s="67"/>
      <c r="AL115" s="67"/>
      <c r="AM115" s="67"/>
      <c r="AN115" s="67"/>
      <c r="AO115" s="67"/>
      <c r="AP115" s="67"/>
      <c r="AQ115" s="67"/>
      <c r="AR115" s="67"/>
      <c r="AS115" s="55">
        <f>'Messages Dictionary'!I120</f>
        <v>0</v>
      </c>
    </row>
    <row r="116" spans="1:45" ht="42.75" hidden="1" x14ac:dyDescent="0.2">
      <c r="A116" s="65">
        <v>1050</v>
      </c>
      <c r="B116" s="9" t="s">
        <v>823</v>
      </c>
      <c r="C116" s="9" t="s">
        <v>834</v>
      </c>
      <c r="D116" s="9" t="s">
        <v>821</v>
      </c>
      <c r="E116" s="9" t="s">
        <v>825</v>
      </c>
      <c r="F116" s="9" t="s">
        <v>199</v>
      </c>
      <c r="G116" s="9" t="s">
        <v>412</v>
      </c>
      <c r="H116" s="9" t="s">
        <v>831</v>
      </c>
      <c r="I116" s="55">
        <f>'Messages Dictionary'!I121</f>
        <v>0</v>
      </c>
      <c r="J116" s="10">
        <f>'Messages Dictionary'!J121</f>
        <v>0.5</v>
      </c>
      <c r="K116" s="10">
        <f t="shared" si="1"/>
        <v>0</v>
      </c>
      <c r="L116" s="66"/>
      <c r="M116" s="66"/>
      <c r="N116" s="67"/>
      <c r="O116" s="67"/>
      <c r="P116" s="67"/>
      <c r="Q116" s="67"/>
      <c r="R116" s="67"/>
      <c r="S116" s="67"/>
      <c r="T116" s="67"/>
      <c r="U116" s="67"/>
      <c r="V116" s="67"/>
      <c r="W116" s="67"/>
      <c r="X116" s="67"/>
      <c r="Y116" s="67"/>
      <c r="Z116" s="67"/>
      <c r="AA116" s="67"/>
      <c r="AB116" s="67"/>
      <c r="AC116" s="67"/>
      <c r="AD116" s="67"/>
      <c r="AE116" s="67"/>
      <c r="AF116" s="67"/>
      <c r="AG116" s="67"/>
      <c r="AH116" s="67"/>
      <c r="AI116" s="67"/>
      <c r="AJ116" s="67"/>
      <c r="AK116" s="67"/>
      <c r="AL116" s="67"/>
      <c r="AM116" s="67"/>
      <c r="AN116" s="67"/>
      <c r="AO116" s="67"/>
      <c r="AP116" s="67"/>
      <c r="AQ116" s="67"/>
      <c r="AR116" s="67"/>
      <c r="AS116" s="55">
        <f>'Messages Dictionary'!I121</f>
        <v>0</v>
      </c>
    </row>
    <row r="117" spans="1:45" ht="28.5" hidden="1" x14ac:dyDescent="0.2">
      <c r="A117" s="65">
        <v>1100</v>
      </c>
      <c r="B117" s="9" t="s">
        <v>835</v>
      </c>
      <c r="C117" s="9" t="s">
        <v>836</v>
      </c>
      <c r="D117" s="9" t="s">
        <v>828</v>
      </c>
      <c r="E117" s="9" t="s">
        <v>837</v>
      </c>
      <c r="F117" s="9" t="s">
        <v>199</v>
      </c>
      <c r="G117" s="9" t="s">
        <v>412</v>
      </c>
      <c r="H117" s="9" t="s">
        <v>831</v>
      </c>
      <c r="I117" s="55">
        <f>'Messages Dictionary'!I122</f>
        <v>0</v>
      </c>
      <c r="J117" s="10">
        <f>'Messages Dictionary'!J122</f>
        <v>0.5</v>
      </c>
      <c r="K117" s="10">
        <f t="shared" si="1"/>
        <v>0</v>
      </c>
      <c r="L117" s="66"/>
      <c r="M117" s="66"/>
      <c r="N117" s="67"/>
      <c r="O117" s="67"/>
      <c r="P117" s="67"/>
      <c r="Q117" s="67"/>
      <c r="R117" s="67"/>
      <c r="S117" s="67"/>
      <c r="T117" s="67"/>
      <c r="U117" s="67"/>
      <c r="V117" s="67"/>
      <c r="W117" s="67"/>
      <c r="X117" s="67"/>
      <c r="Y117" s="67"/>
      <c r="Z117" s="67"/>
      <c r="AA117" s="67"/>
      <c r="AB117" s="67"/>
      <c r="AC117" s="67"/>
      <c r="AD117" s="67"/>
      <c r="AE117" s="67"/>
      <c r="AF117" s="67"/>
      <c r="AG117" s="67"/>
      <c r="AH117" s="67"/>
      <c r="AI117" s="67"/>
      <c r="AJ117" s="67"/>
      <c r="AK117" s="67"/>
      <c r="AL117" s="67"/>
      <c r="AM117" s="67"/>
      <c r="AN117" s="67"/>
      <c r="AO117" s="67"/>
      <c r="AP117" s="67"/>
      <c r="AQ117" s="67"/>
      <c r="AR117" s="67"/>
      <c r="AS117" s="55">
        <f>'Messages Dictionary'!I122</f>
        <v>0</v>
      </c>
    </row>
    <row r="118" spans="1:45" ht="28.5" hidden="1" x14ac:dyDescent="0.2">
      <c r="A118" s="65">
        <v>1105</v>
      </c>
      <c r="B118" s="9" t="s">
        <v>838</v>
      </c>
      <c r="C118" s="9" t="s">
        <v>839</v>
      </c>
      <c r="D118" s="9" t="s">
        <v>821</v>
      </c>
      <c r="E118" s="9" t="s">
        <v>837</v>
      </c>
      <c r="F118" s="9" t="s">
        <v>199</v>
      </c>
      <c r="G118" s="9" t="s">
        <v>412</v>
      </c>
      <c r="H118" s="9" t="s">
        <v>831</v>
      </c>
      <c r="I118" s="55">
        <f>'Messages Dictionary'!I123</f>
        <v>0</v>
      </c>
      <c r="J118" s="10">
        <f>'Messages Dictionary'!J123</f>
        <v>0.5</v>
      </c>
      <c r="K118" s="10">
        <f t="shared" si="1"/>
        <v>0</v>
      </c>
      <c r="L118" s="66"/>
      <c r="M118" s="66"/>
      <c r="N118" s="67"/>
      <c r="O118" s="67"/>
      <c r="P118" s="67"/>
      <c r="Q118" s="67"/>
      <c r="R118" s="67"/>
      <c r="S118" s="67"/>
      <c r="T118" s="67"/>
      <c r="U118" s="67"/>
      <c r="V118" s="67"/>
      <c r="W118" s="67"/>
      <c r="X118" s="67"/>
      <c r="Y118" s="67"/>
      <c r="Z118" s="67"/>
      <c r="AA118" s="67"/>
      <c r="AB118" s="67"/>
      <c r="AC118" s="67"/>
      <c r="AD118" s="67"/>
      <c r="AE118" s="67"/>
      <c r="AF118" s="67"/>
      <c r="AG118" s="67"/>
      <c r="AH118" s="67"/>
      <c r="AI118" s="67"/>
      <c r="AJ118" s="67"/>
      <c r="AK118" s="67"/>
      <c r="AL118" s="67"/>
      <c r="AM118" s="67"/>
      <c r="AN118" s="67"/>
      <c r="AO118" s="67"/>
      <c r="AP118" s="67"/>
      <c r="AQ118" s="67"/>
      <c r="AR118" s="67"/>
      <c r="AS118" s="55">
        <f>'Messages Dictionary'!I123</f>
        <v>0</v>
      </c>
    </row>
    <row r="119" spans="1:45" ht="42.75" hidden="1" x14ac:dyDescent="0.2">
      <c r="A119" s="65">
        <v>1110</v>
      </c>
      <c r="B119" s="9" t="s">
        <v>840</v>
      </c>
      <c r="C119" s="9" t="s">
        <v>841</v>
      </c>
      <c r="D119" s="9" t="s">
        <v>842</v>
      </c>
      <c r="E119" s="9" t="s">
        <v>842</v>
      </c>
      <c r="F119" s="9" t="s">
        <v>199</v>
      </c>
      <c r="G119" s="9" t="s">
        <v>809</v>
      </c>
      <c r="H119" s="9" t="s">
        <v>831</v>
      </c>
      <c r="I119" s="55">
        <f>'Messages Dictionary'!I124</f>
        <v>0</v>
      </c>
      <c r="J119" s="10">
        <f>'Messages Dictionary'!J124</f>
        <v>0.5</v>
      </c>
      <c r="K119" s="10">
        <f t="shared" si="1"/>
        <v>0</v>
      </c>
      <c r="L119" s="66"/>
      <c r="M119" s="66"/>
      <c r="N119" s="67"/>
      <c r="O119" s="67"/>
      <c r="P119" s="67"/>
      <c r="Q119" s="67"/>
      <c r="R119" s="67"/>
      <c r="S119" s="67"/>
      <c r="T119" s="67"/>
      <c r="U119" s="67"/>
      <c r="V119" s="67"/>
      <c r="W119" s="67"/>
      <c r="X119" s="67"/>
      <c r="Y119" s="67"/>
      <c r="Z119" s="67"/>
      <c r="AA119" s="67"/>
      <c r="AB119" s="67"/>
      <c r="AC119" s="67"/>
      <c r="AD119" s="67"/>
      <c r="AE119" s="67"/>
      <c r="AF119" s="67"/>
      <c r="AG119" s="67"/>
      <c r="AH119" s="67"/>
      <c r="AI119" s="67"/>
      <c r="AJ119" s="67"/>
      <c r="AK119" s="67"/>
      <c r="AL119" s="67"/>
      <c r="AM119" s="67"/>
      <c r="AN119" s="67"/>
      <c r="AO119" s="67"/>
      <c r="AP119" s="67"/>
      <c r="AQ119" s="67"/>
      <c r="AR119" s="67"/>
      <c r="AS119" s="55">
        <f>'Messages Dictionary'!I124</f>
        <v>0</v>
      </c>
    </row>
    <row r="120" spans="1:45" ht="42.75" hidden="1" x14ac:dyDescent="0.2">
      <c r="A120" s="65">
        <v>1111</v>
      </c>
      <c r="B120" s="9" t="s">
        <v>843</v>
      </c>
      <c r="C120" s="9" t="s">
        <v>841</v>
      </c>
      <c r="D120" s="9" t="s">
        <v>842</v>
      </c>
      <c r="E120" s="9" t="s">
        <v>842</v>
      </c>
      <c r="F120" s="9" t="s">
        <v>199</v>
      </c>
      <c r="G120" s="9" t="s">
        <v>412</v>
      </c>
      <c r="H120" s="9" t="s">
        <v>831</v>
      </c>
      <c r="I120" s="55">
        <f>'Messages Dictionary'!I125</f>
        <v>0</v>
      </c>
      <c r="J120" s="10">
        <f>'Messages Dictionary'!J125</f>
        <v>0.5</v>
      </c>
      <c r="K120" s="10">
        <f t="shared" si="1"/>
        <v>0</v>
      </c>
      <c r="L120" s="66"/>
      <c r="M120" s="66"/>
      <c r="N120" s="67"/>
      <c r="O120" s="67"/>
      <c r="P120" s="67"/>
      <c r="Q120" s="67"/>
      <c r="R120" s="67"/>
      <c r="S120" s="67"/>
      <c r="T120" s="67"/>
      <c r="U120" s="67"/>
      <c r="V120" s="67"/>
      <c r="W120" s="67"/>
      <c r="X120" s="67"/>
      <c r="Y120" s="67"/>
      <c r="Z120" s="67"/>
      <c r="AA120" s="67"/>
      <c r="AB120" s="67"/>
      <c r="AC120" s="67"/>
      <c r="AD120" s="67"/>
      <c r="AE120" s="67"/>
      <c r="AF120" s="67"/>
      <c r="AG120" s="67"/>
      <c r="AH120" s="67"/>
      <c r="AI120" s="67"/>
      <c r="AJ120" s="67"/>
      <c r="AK120" s="67"/>
      <c r="AL120" s="67"/>
      <c r="AM120" s="67"/>
      <c r="AN120" s="67"/>
      <c r="AO120" s="67"/>
      <c r="AP120" s="67"/>
      <c r="AQ120" s="67"/>
      <c r="AR120" s="67"/>
      <c r="AS120" s="55">
        <f>'Messages Dictionary'!I125</f>
        <v>0</v>
      </c>
    </row>
    <row r="121" spans="1:45" ht="42.75" hidden="1" x14ac:dyDescent="0.2">
      <c r="A121" s="65">
        <v>1115</v>
      </c>
      <c r="B121" s="9" t="s">
        <v>844</v>
      </c>
      <c r="C121" s="9" t="s">
        <v>845</v>
      </c>
      <c r="D121" s="9" t="s">
        <v>842</v>
      </c>
      <c r="E121" s="9" t="s">
        <v>842</v>
      </c>
      <c r="F121" s="9" t="s">
        <v>199</v>
      </c>
      <c r="G121" s="9" t="s">
        <v>412</v>
      </c>
      <c r="H121" s="9" t="s">
        <v>831</v>
      </c>
      <c r="I121" s="55">
        <f>'Messages Dictionary'!I126</f>
        <v>0</v>
      </c>
      <c r="J121" s="10">
        <f>'Messages Dictionary'!J126</f>
        <v>0.5</v>
      </c>
      <c r="K121" s="10">
        <f t="shared" si="1"/>
        <v>0</v>
      </c>
      <c r="L121" s="66"/>
      <c r="M121" s="66"/>
      <c r="N121" s="67"/>
      <c r="O121" s="67"/>
      <c r="P121" s="67"/>
      <c r="Q121" s="67"/>
      <c r="R121" s="67"/>
      <c r="S121" s="67"/>
      <c r="T121" s="67"/>
      <c r="U121" s="67"/>
      <c r="V121" s="67"/>
      <c r="W121" s="67"/>
      <c r="X121" s="67"/>
      <c r="Y121" s="67"/>
      <c r="Z121" s="67"/>
      <c r="AA121" s="67"/>
      <c r="AB121" s="67"/>
      <c r="AC121" s="67"/>
      <c r="AD121" s="67"/>
      <c r="AE121" s="67"/>
      <c r="AF121" s="67"/>
      <c r="AG121" s="67"/>
      <c r="AH121" s="67"/>
      <c r="AI121" s="67"/>
      <c r="AJ121" s="67"/>
      <c r="AK121" s="67"/>
      <c r="AL121" s="67"/>
      <c r="AM121" s="67"/>
      <c r="AN121" s="67"/>
      <c r="AO121" s="67"/>
      <c r="AP121" s="67"/>
      <c r="AQ121" s="67"/>
      <c r="AR121" s="67"/>
      <c r="AS121" s="55">
        <f>'Messages Dictionary'!I126</f>
        <v>0</v>
      </c>
    </row>
    <row r="122" spans="1:45" ht="42.75" hidden="1" x14ac:dyDescent="0.2">
      <c r="A122" s="65">
        <v>1116</v>
      </c>
      <c r="B122" s="9" t="s">
        <v>846</v>
      </c>
      <c r="C122" s="9" t="s">
        <v>845</v>
      </c>
      <c r="D122" s="9" t="s">
        <v>842</v>
      </c>
      <c r="E122" s="9" t="s">
        <v>842</v>
      </c>
      <c r="F122" s="9" t="s">
        <v>199</v>
      </c>
      <c r="G122" s="9" t="s">
        <v>412</v>
      </c>
      <c r="H122" s="9" t="s">
        <v>831</v>
      </c>
      <c r="I122" s="55">
        <f>'Messages Dictionary'!I127</f>
        <v>0</v>
      </c>
      <c r="J122" s="10">
        <f>'Messages Dictionary'!J127</f>
        <v>0.5</v>
      </c>
      <c r="K122" s="10">
        <f t="shared" si="1"/>
        <v>0</v>
      </c>
      <c r="L122" s="66"/>
      <c r="M122" s="66"/>
      <c r="N122" s="67"/>
      <c r="O122" s="67"/>
      <c r="P122" s="67"/>
      <c r="Q122" s="67"/>
      <c r="R122" s="67"/>
      <c r="S122" s="67"/>
      <c r="T122" s="67"/>
      <c r="U122" s="67"/>
      <c r="V122" s="67"/>
      <c r="W122" s="67"/>
      <c r="X122" s="67"/>
      <c r="Y122" s="67"/>
      <c r="Z122" s="67"/>
      <c r="AA122" s="67"/>
      <c r="AB122" s="67"/>
      <c r="AC122" s="67"/>
      <c r="AD122" s="67"/>
      <c r="AE122" s="67"/>
      <c r="AF122" s="67"/>
      <c r="AG122" s="67"/>
      <c r="AH122" s="67"/>
      <c r="AI122" s="67"/>
      <c r="AJ122" s="67"/>
      <c r="AK122" s="67"/>
      <c r="AL122" s="67"/>
      <c r="AM122" s="67"/>
      <c r="AN122" s="67"/>
      <c r="AO122" s="67"/>
      <c r="AP122" s="67"/>
      <c r="AQ122" s="67"/>
      <c r="AR122" s="67"/>
      <c r="AS122" s="55">
        <f>'Messages Dictionary'!I127</f>
        <v>0</v>
      </c>
    </row>
    <row r="123" spans="1:45" ht="42.75" hidden="1" x14ac:dyDescent="0.2">
      <c r="A123" s="65">
        <v>1117</v>
      </c>
      <c r="B123" s="9" t="s">
        <v>847</v>
      </c>
      <c r="C123" s="9" t="s">
        <v>845</v>
      </c>
      <c r="D123" s="9" t="s">
        <v>842</v>
      </c>
      <c r="E123" s="9" t="s">
        <v>842</v>
      </c>
      <c r="F123" s="9" t="s">
        <v>199</v>
      </c>
      <c r="G123" s="9" t="s">
        <v>412</v>
      </c>
      <c r="H123" s="9" t="s">
        <v>831</v>
      </c>
      <c r="I123" s="55">
        <f>'Messages Dictionary'!I128</f>
        <v>0</v>
      </c>
      <c r="J123" s="10">
        <f>'Messages Dictionary'!J128</f>
        <v>0.5</v>
      </c>
      <c r="K123" s="10">
        <f t="shared" si="1"/>
        <v>0</v>
      </c>
      <c r="L123" s="66"/>
      <c r="M123" s="66"/>
      <c r="N123" s="67"/>
      <c r="O123" s="67"/>
      <c r="P123" s="67"/>
      <c r="Q123" s="67"/>
      <c r="R123" s="67"/>
      <c r="S123" s="67"/>
      <c r="T123" s="67"/>
      <c r="U123" s="67"/>
      <c r="V123" s="67"/>
      <c r="W123" s="67"/>
      <c r="X123" s="67"/>
      <c r="Y123" s="67"/>
      <c r="Z123" s="67"/>
      <c r="AA123" s="67"/>
      <c r="AB123" s="67"/>
      <c r="AC123" s="67"/>
      <c r="AD123" s="67"/>
      <c r="AE123" s="67"/>
      <c r="AF123" s="67"/>
      <c r="AG123" s="67"/>
      <c r="AH123" s="67"/>
      <c r="AI123" s="67"/>
      <c r="AJ123" s="67"/>
      <c r="AK123" s="67"/>
      <c r="AL123" s="67"/>
      <c r="AM123" s="67"/>
      <c r="AN123" s="67"/>
      <c r="AO123" s="67"/>
      <c r="AP123" s="67"/>
      <c r="AQ123" s="67"/>
      <c r="AR123" s="67"/>
      <c r="AS123" s="55">
        <f>'Messages Dictionary'!I128</f>
        <v>0</v>
      </c>
    </row>
    <row r="124" spans="1:45" ht="42.75" hidden="1" x14ac:dyDescent="0.2">
      <c r="A124" s="65">
        <v>1118</v>
      </c>
      <c r="B124" s="9" t="s">
        <v>848</v>
      </c>
      <c r="C124" s="9" t="s">
        <v>845</v>
      </c>
      <c r="D124" s="9" t="s">
        <v>842</v>
      </c>
      <c r="E124" s="9" t="s">
        <v>842</v>
      </c>
      <c r="F124" s="9" t="s">
        <v>199</v>
      </c>
      <c r="G124" s="9" t="s">
        <v>412</v>
      </c>
      <c r="H124" s="9" t="s">
        <v>831</v>
      </c>
      <c r="I124" s="55">
        <f>'Messages Dictionary'!I129</f>
        <v>0</v>
      </c>
      <c r="J124" s="10">
        <f>'Messages Dictionary'!J129</f>
        <v>0.5</v>
      </c>
      <c r="K124" s="10">
        <f t="shared" si="1"/>
        <v>0</v>
      </c>
      <c r="L124" s="66"/>
      <c r="M124" s="66"/>
      <c r="N124" s="67"/>
      <c r="O124" s="67"/>
      <c r="P124" s="67"/>
      <c r="Q124" s="67"/>
      <c r="R124" s="67"/>
      <c r="S124" s="67"/>
      <c r="T124" s="67"/>
      <c r="U124" s="67"/>
      <c r="V124" s="67"/>
      <c r="W124" s="67"/>
      <c r="X124" s="67"/>
      <c r="Y124" s="67"/>
      <c r="Z124" s="67"/>
      <c r="AA124" s="67"/>
      <c r="AB124" s="67"/>
      <c r="AC124" s="67"/>
      <c r="AD124" s="67"/>
      <c r="AE124" s="67"/>
      <c r="AF124" s="67"/>
      <c r="AG124" s="67"/>
      <c r="AH124" s="67"/>
      <c r="AI124" s="67"/>
      <c r="AJ124" s="67"/>
      <c r="AK124" s="67"/>
      <c r="AL124" s="67"/>
      <c r="AM124" s="67"/>
      <c r="AN124" s="67"/>
      <c r="AO124" s="67"/>
      <c r="AP124" s="67"/>
      <c r="AQ124" s="67"/>
      <c r="AR124" s="67"/>
      <c r="AS124" s="55">
        <f>'Messages Dictionary'!I129</f>
        <v>0</v>
      </c>
    </row>
    <row r="125" spans="1:45" ht="42.75" hidden="1" x14ac:dyDescent="0.2">
      <c r="A125" s="65">
        <v>1120</v>
      </c>
      <c r="B125" s="9" t="s">
        <v>849</v>
      </c>
      <c r="C125" s="9" t="s">
        <v>850</v>
      </c>
      <c r="D125" s="9" t="s">
        <v>842</v>
      </c>
      <c r="E125" s="9" t="s">
        <v>842</v>
      </c>
      <c r="F125" s="9" t="s">
        <v>199</v>
      </c>
      <c r="G125" s="9" t="s">
        <v>412</v>
      </c>
      <c r="H125" s="9" t="s">
        <v>831</v>
      </c>
      <c r="I125" s="55">
        <f>'Messages Dictionary'!I130</f>
        <v>0</v>
      </c>
      <c r="J125" s="10">
        <f>'Messages Dictionary'!J130</f>
        <v>0.5</v>
      </c>
      <c r="K125" s="10">
        <f t="shared" si="1"/>
        <v>0</v>
      </c>
      <c r="L125" s="66"/>
      <c r="M125" s="66"/>
      <c r="N125" s="67"/>
      <c r="O125" s="67"/>
      <c r="P125" s="67"/>
      <c r="Q125" s="67"/>
      <c r="R125" s="67"/>
      <c r="S125" s="67"/>
      <c r="T125" s="67"/>
      <c r="U125" s="67"/>
      <c r="V125" s="67"/>
      <c r="W125" s="67"/>
      <c r="X125" s="67"/>
      <c r="Y125" s="67"/>
      <c r="Z125" s="67"/>
      <c r="AA125" s="67"/>
      <c r="AB125" s="67"/>
      <c r="AC125" s="67"/>
      <c r="AD125" s="67"/>
      <c r="AE125" s="67"/>
      <c r="AF125" s="67"/>
      <c r="AG125" s="67"/>
      <c r="AH125" s="67"/>
      <c r="AI125" s="67"/>
      <c r="AJ125" s="67"/>
      <c r="AK125" s="67"/>
      <c r="AL125" s="67"/>
      <c r="AM125" s="67"/>
      <c r="AN125" s="67"/>
      <c r="AO125" s="67"/>
      <c r="AP125" s="67"/>
      <c r="AQ125" s="67"/>
      <c r="AR125" s="67"/>
      <c r="AS125" s="55">
        <f>'Messages Dictionary'!I130</f>
        <v>0</v>
      </c>
    </row>
    <row r="126" spans="1:45" ht="42.75" hidden="1" x14ac:dyDescent="0.2">
      <c r="A126" s="65">
        <v>1125</v>
      </c>
      <c r="B126" s="9" t="s">
        <v>851</v>
      </c>
      <c r="C126" s="9" t="s">
        <v>852</v>
      </c>
      <c r="D126" s="9" t="s">
        <v>842</v>
      </c>
      <c r="E126" s="9" t="s">
        <v>842</v>
      </c>
      <c r="F126" s="9" t="s">
        <v>199</v>
      </c>
      <c r="G126" s="9" t="s">
        <v>809</v>
      </c>
      <c r="H126" s="9" t="s">
        <v>831</v>
      </c>
      <c r="I126" s="55">
        <f>'Messages Dictionary'!I131</f>
        <v>0</v>
      </c>
      <c r="J126" s="10">
        <f>'Messages Dictionary'!J131</f>
        <v>1</v>
      </c>
      <c r="K126" s="10">
        <f t="shared" si="1"/>
        <v>0</v>
      </c>
      <c r="L126" s="66"/>
      <c r="M126" s="66"/>
      <c r="N126" s="67"/>
      <c r="O126" s="67"/>
      <c r="P126" s="67"/>
      <c r="Q126" s="67"/>
      <c r="R126" s="67"/>
      <c r="S126" s="67"/>
      <c r="T126" s="67"/>
      <c r="U126" s="67"/>
      <c r="V126" s="67"/>
      <c r="W126" s="67"/>
      <c r="X126" s="67"/>
      <c r="Y126" s="67"/>
      <c r="Z126" s="67"/>
      <c r="AA126" s="67"/>
      <c r="AB126" s="67"/>
      <c r="AC126" s="67"/>
      <c r="AD126" s="67"/>
      <c r="AE126" s="67"/>
      <c r="AF126" s="67"/>
      <c r="AG126" s="67"/>
      <c r="AH126" s="67"/>
      <c r="AI126" s="67"/>
      <c r="AJ126" s="67"/>
      <c r="AK126" s="67"/>
      <c r="AL126" s="67"/>
      <c r="AM126" s="67"/>
      <c r="AN126" s="67"/>
      <c r="AO126" s="67"/>
      <c r="AP126" s="67"/>
      <c r="AQ126" s="67"/>
      <c r="AR126" s="67"/>
      <c r="AS126" s="55">
        <f>'Messages Dictionary'!I131</f>
        <v>0</v>
      </c>
    </row>
    <row r="127" spans="1:45" ht="42.75" hidden="1" x14ac:dyDescent="0.2">
      <c r="A127" s="65">
        <v>1130</v>
      </c>
      <c r="B127" s="9" t="s">
        <v>853</v>
      </c>
      <c r="C127" s="9" t="s">
        <v>854</v>
      </c>
      <c r="D127" s="9" t="s">
        <v>828</v>
      </c>
      <c r="E127" s="9" t="s">
        <v>837</v>
      </c>
      <c r="F127" s="9" t="s">
        <v>199</v>
      </c>
      <c r="G127" s="9" t="s">
        <v>412</v>
      </c>
      <c r="H127" s="9" t="s">
        <v>831</v>
      </c>
      <c r="I127" s="55">
        <f>'Messages Dictionary'!I132</f>
        <v>0</v>
      </c>
      <c r="J127" s="10">
        <f>'Messages Dictionary'!J132</f>
        <v>1</v>
      </c>
      <c r="K127" s="10">
        <f t="shared" si="1"/>
        <v>0</v>
      </c>
      <c r="L127" s="66"/>
      <c r="M127" s="66"/>
      <c r="N127" s="67"/>
      <c r="O127" s="67"/>
      <c r="P127" s="67"/>
      <c r="Q127" s="67"/>
      <c r="R127" s="67"/>
      <c r="S127" s="67"/>
      <c r="T127" s="67"/>
      <c r="U127" s="67"/>
      <c r="V127" s="67"/>
      <c r="W127" s="67"/>
      <c r="X127" s="67"/>
      <c r="Y127" s="67"/>
      <c r="Z127" s="67"/>
      <c r="AA127" s="67"/>
      <c r="AB127" s="67"/>
      <c r="AC127" s="67"/>
      <c r="AD127" s="67"/>
      <c r="AE127" s="67"/>
      <c r="AF127" s="67"/>
      <c r="AG127" s="67"/>
      <c r="AH127" s="67"/>
      <c r="AI127" s="67"/>
      <c r="AJ127" s="67"/>
      <c r="AK127" s="67"/>
      <c r="AL127" s="67"/>
      <c r="AM127" s="67"/>
      <c r="AN127" s="67"/>
      <c r="AO127" s="67"/>
      <c r="AP127" s="67"/>
      <c r="AQ127" s="67"/>
      <c r="AR127" s="67"/>
      <c r="AS127" s="55">
        <f>'Messages Dictionary'!I132</f>
        <v>0</v>
      </c>
    </row>
    <row r="128" spans="1:45" ht="42.75" hidden="1" x14ac:dyDescent="0.2">
      <c r="A128" s="65">
        <v>1131</v>
      </c>
      <c r="B128" s="9" t="s">
        <v>636</v>
      </c>
      <c r="C128" s="9" t="s">
        <v>637</v>
      </c>
      <c r="D128" s="9" t="s">
        <v>821</v>
      </c>
      <c r="E128" s="9" t="s">
        <v>837</v>
      </c>
      <c r="F128" s="9" t="s">
        <v>199</v>
      </c>
      <c r="G128" s="9" t="s">
        <v>412</v>
      </c>
      <c r="H128" s="9" t="s">
        <v>831</v>
      </c>
      <c r="I128" s="55">
        <f>'Messages Dictionary'!I133</f>
        <v>0</v>
      </c>
      <c r="J128" s="10">
        <f>'Messages Dictionary'!J133</f>
        <v>0.5</v>
      </c>
      <c r="K128" s="10">
        <f t="shared" si="1"/>
        <v>0</v>
      </c>
      <c r="L128" s="66"/>
      <c r="M128" s="66"/>
      <c r="N128" s="67"/>
      <c r="O128" s="67"/>
      <c r="P128" s="67"/>
      <c r="Q128" s="67"/>
      <c r="R128" s="67"/>
      <c r="S128" s="67"/>
      <c r="T128" s="67"/>
      <c r="U128" s="67"/>
      <c r="V128" s="67"/>
      <c r="W128" s="67"/>
      <c r="X128" s="67"/>
      <c r="Y128" s="67"/>
      <c r="Z128" s="67"/>
      <c r="AA128" s="67"/>
      <c r="AB128" s="67"/>
      <c r="AC128" s="67"/>
      <c r="AD128" s="67"/>
      <c r="AE128" s="67"/>
      <c r="AF128" s="67"/>
      <c r="AG128" s="67"/>
      <c r="AH128" s="67"/>
      <c r="AI128" s="67"/>
      <c r="AJ128" s="67"/>
      <c r="AK128" s="67"/>
      <c r="AL128" s="67"/>
      <c r="AM128" s="67"/>
      <c r="AN128" s="67"/>
      <c r="AO128" s="67"/>
      <c r="AP128" s="67"/>
      <c r="AQ128" s="67"/>
      <c r="AR128" s="67"/>
      <c r="AS128" s="55">
        <f>'Messages Dictionary'!I133</f>
        <v>0</v>
      </c>
    </row>
    <row r="129" spans="1:45" ht="42.75" hidden="1" x14ac:dyDescent="0.2">
      <c r="A129" s="65">
        <v>1132</v>
      </c>
      <c r="B129" s="9" t="s">
        <v>855</v>
      </c>
      <c r="C129" s="9" t="s">
        <v>856</v>
      </c>
      <c r="D129" s="9" t="s">
        <v>821</v>
      </c>
      <c r="E129" s="9" t="s">
        <v>837</v>
      </c>
      <c r="F129" s="9" t="s">
        <v>199</v>
      </c>
      <c r="G129" s="9" t="s">
        <v>412</v>
      </c>
      <c r="H129" s="9" t="s">
        <v>831</v>
      </c>
      <c r="I129" s="55">
        <f>'Messages Dictionary'!I134</f>
        <v>0</v>
      </c>
      <c r="J129" s="10">
        <f>'Messages Dictionary'!J134</f>
        <v>0.5</v>
      </c>
      <c r="K129" s="10">
        <f t="shared" si="1"/>
        <v>0</v>
      </c>
      <c r="L129" s="66"/>
      <c r="M129" s="66"/>
      <c r="N129" s="67"/>
      <c r="O129" s="67"/>
      <c r="P129" s="67"/>
      <c r="Q129" s="67"/>
      <c r="R129" s="67"/>
      <c r="S129" s="67"/>
      <c r="T129" s="67"/>
      <c r="U129" s="67"/>
      <c r="V129" s="67"/>
      <c r="W129" s="67"/>
      <c r="X129" s="67"/>
      <c r="Y129" s="67"/>
      <c r="Z129" s="67"/>
      <c r="AA129" s="67"/>
      <c r="AB129" s="67"/>
      <c r="AC129" s="67"/>
      <c r="AD129" s="67"/>
      <c r="AE129" s="67"/>
      <c r="AF129" s="67"/>
      <c r="AG129" s="67"/>
      <c r="AH129" s="67"/>
      <c r="AI129" s="67"/>
      <c r="AJ129" s="67"/>
      <c r="AK129" s="67"/>
      <c r="AL129" s="67"/>
      <c r="AM129" s="67"/>
      <c r="AN129" s="67"/>
      <c r="AO129" s="67"/>
      <c r="AP129" s="67"/>
      <c r="AQ129" s="67"/>
      <c r="AR129" s="67"/>
      <c r="AS129" s="55">
        <f>'Messages Dictionary'!I134</f>
        <v>0</v>
      </c>
    </row>
    <row r="130" spans="1:45" ht="42.75" hidden="1" x14ac:dyDescent="0.2">
      <c r="A130" s="65">
        <v>1133</v>
      </c>
      <c r="B130" s="9" t="s">
        <v>857</v>
      </c>
      <c r="C130" s="9" t="s">
        <v>856</v>
      </c>
      <c r="D130" s="9" t="s">
        <v>821</v>
      </c>
      <c r="E130" s="9" t="s">
        <v>837</v>
      </c>
      <c r="F130" s="9" t="s">
        <v>199</v>
      </c>
      <c r="G130" s="9" t="s">
        <v>412</v>
      </c>
      <c r="H130" s="9" t="s">
        <v>831</v>
      </c>
      <c r="I130" s="55">
        <f>'Messages Dictionary'!I135</f>
        <v>0</v>
      </c>
      <c r="J130" s="10">
        <f>'Messages Dictionary'!J135</f>
        <v>0.5</v>
      </c>
      <c r="K130" s="10">
        <f t="shared" ref="K130:K193" si="2">I130*J130</f>
        <v>0</v>
      </c>
      <c r="L130" s="66"/>
      <c r="M130" s="66"/>
      <c r="N130" s="67"/>
      <c r="O130" s="67"/>
      <c r="P130" s="67"/>
      <c r="Q130" s="67"/>
      <c r="R130" s="67"/>
      <c r="S130" s="67"/>
      <c r="T130" s="67"/>
      <c r="U130" s="67"/>
      <c r="V130" s="67"/>
      <c r="W130" s="67"/>
      <c r="X130" s="67"/>
      <c r="Y130" s="67"/>
      <c r="Z130" s="67"/>
      <c r="AA130" s="67"/>
      <c r="AB130" s="67"/>
      <c r="AC130" s="67"/>
      <c r="AD130" s="67"/>
      <c r="AE130" s="67"/>
      <c r="AF130" s="67"/>
      <c r="AG130" s="67"/>
      <c r="AH130" s="67"/>
      <c r="AI130" s="67"/>
      <c r="AJ130" s="67"/>
      <c r="AK130" s="67"/>
      <c r="AL130" s="67"/>
      <c r="AM130" s="67"/>
      <c r="AN130" s="67"/>
      <c r="AO130" s="67"/>
      <c r="AP130" s="67"/>
      <c r="AQ130" s="67"/>
      <c r="AR130" s="67"/>
      <c r="AS130" s="55">
        <f>'Messages Dictionary'!I135</f>
        <v>0</v>
      </c>
    </row>
    <row r="131" spans="1:45" ht="42.75" hidden="1" x14ac:dyDescent="0.2">
      <c r="A131" s="65">
        <v>1134</v>
      </c>
      <c r="B131" s="9" t="s">
        <v>858</v>
      </c>
      <c r="C131" s="9" t="s">
        <v>856</v>
      </c>
      <c r="D131" s="9" t="s">
        <v>821</v>
      </c>
      <c r="E131" s="9" t="s">
        <v>837</v>
      </c>
      <c r="F131" s="9" t="s">
        <v>199</v>
      </c>
      <c r="G131" s="9" t="s">
        <v>412</v>
      </c>
      <c r="H131" s="9" t="s">
        <v>831</v>
      </c>
      <c r="I131" s="55">
        <f>'Messages Dictionary'!I136</f>
        <v>0</v>
      </c>
      <c r="J131" s="10">
        <f>'Messages Dictionary'!J136</f>
        <v>0.5</v>
      </c>
      <c r="K131" s="10">
        <f t="shared" si="2"/>
        <v>0</v>
      </c>
      <c r="L131" s="66"/>
      <c r="M131" s="66"/>
      <c r="N131" s="67"/>
      <c r="O131" s="67"/>
      <c r="P131" s="67"/>
      <c r="Q131" s="67"/>
      <c r="R131" s="67"/>
      <c r="S131" s="67"/>
      <c r="T131" s="67"/>
      <c r="U131" s="67"/>
      <c r="V131" s="67"/>
      <c r="W131" s="67"/>
      <c r="X131" s="67"/>
      <c r="Y131" s="67"/>
      <c r="Z131" s="67"/>
      <c r="AA131" s="67"/>
      <c r="AB131" s="67"/>
      <c r="AC131" s="67"/>
      <c r="AD131" s="67"/>
      <c r="AE131" s="67"/>
      <c r="AF131" s="67"/>
      <c r="AG131" s="67"/>
      <c r="AH131" s="67"/>
      <c r="AI131" s="67"/>
      <c r="AJ131" s="67"/>
      <c r="AK131" s="67"/>
      <c r="AL131" s="67"/>
      <c r="AM131" s="67"/>
      <c r="AN131" s="67"/>
      <c r="AO131" s="67"/>
      <c r="AP131" s="67"/>
      <c r="AQ131" s="67"/>
      <c r="AR131" s="67"/>
      <c r="AS131" s="55">
        <f>'Messages Dictionary'!I136</f>
        <v>0</v>
      </c>
    </row>
    <row r="132" spans="1:45" ht="42.75" hidden="1" x14ac:dyDescent="0.2">
      <c r="A132" s="65">
        <v>1135</v>
      </c>
      <c r="B132" s="9" t="s">
        <v>859</v>
      </c>
      <c r="C132" s="9" t="s">
        <v>856</v>
      </c>
      <c r="D132" s="9" t="s">
        <v>860</v>
      </c>
      <c r="E132" s="9" t="s">
        <v>861</v>
      </c>
      <c r="F132" s="9" t="s">
        <v>199</v>
      </c>
      <c r="G132" s="9" t="s">
        <v>412</v>
      </c>
      <c r="H132" s="9" t="s">
        <v>831</v>
      </c>
      <c r="I132" s="55">
        <f>'Messages Dictionary'!I137</f>
        <v>0</v>
      </c>
      <c r="J132" s="10">
        <f>'Messages Dictionary'!J137</f>
        <v>0.5</v>
      </c>
      <c r="K132" s="10">
        <f t="shared" si="2"/>
        <v>0</v>
      </c>
      <c r="L132" s="66"/>
      <c r="M132" s="66"/>
      <c r="N132" s="67"/>
      <c r="O132" s="67"/>
      <c r="P132" s="67"/>
      <c r="Q132" s="67"/>
      <c r="R132" s="67"/>
      <c r="S132" s="67"/>
      <c r="T132" s="67"/>
      <c r="U132" s="67"/>
      <c r="V132" s="67"/>
      <c r="W132" s="67"/>
      <c r="X132" s="67"/>
      <c r="Y132" s="67"/>
      <c r="Z132" s="67"/>
      <c r="AA132" s="67"/>
      <c r="AB132" s="67"/>
      <c r="AC132" s="67"/>
      <c r="AD132" s="67"/>
      <c r="AE132" s="67"/>
      <c r="AF132" s="67"/>
      <c r="AG132" s="67"/>
      <c r="AH132" s="67"/>
      <c r="AI132" s="67"/>
      <c r="AJ132" s="67"/>
      <c r="AK132" s="67"/>
      <c r="AL132" s="67"/>
      <c r="AM132" s="67"/>
      <c r="AN132" s="67"/>
      <c r="AO132" s="67"/>
      <c r="AP132" s="67"/>
      <c r="AQ132" s="67"/>
      <c r="AR132" s="67"/>
      <c r="AS132" s="55">
        <f>'Messages Dictionary'!I137</f>
        <v>0</v>
      </c>
    </row>
    <row r="133" spans="1:45" ht="42.75" hidden="1" x14ac:dyDescent="0.2">
      <c r="A133" s="65">
        <v>1136</v>
      </c>
      <c r="B133" s="9" t="s">
        <v>862</v>
      </c>
      <c r="C133" s="9" t="s">
        <v>856</v>
      </c>
      <c r="D133" s="9" t="s">
        <v>863</v>
      </c>
      <c r="E133" s="9" t="s">
        <v>864</v>
      </c>
      <c r="F133" s="9" t="s">
        <v>199</v>
      </c>
      <c r="G133" s="9" t="s">
        <v>412</v>
      </c>
      <c r="H133" s="9" t="s">
        <v>831</v>
      </c>
      <c r="I133" s="55">
        <f>'Messages Dictionary'!I138</f>
        <v>0</v>
      </c>
      <c r="J133" s="10">
        <f>'Messages Dictionary'!J138</f>
        <v>0.5</v>
      </c>
      <c r="K133" s="10">
        <f t="shared" si="2"/>
        <v>0</v>
      </c>
      <c r="L133" s="66"/>
      <c r="M133" s="66"/>
      <c r="N133" s="67"/>
      <c r="O133" s="67"/>
      <c r="P133" s="67"/>
      <c r="Q133" s="67"/>
      <c r="R133" s="67"/>
      <c r="S133" s="67"/>
      <c r="T133" s="67"/>
      <c r="U133" s="67"/>
      <c r="V133" s="67"/>
      <c r="W133" s="67"/>
      <c r="X133" s="67"/>
      <c r="Y133" s="67"/>
      <c r="Z133" s="67"/>
      <c r="AA133" s="67"/>
      <c r="AB133" s="67"/>
      <c r="AC133" s="67"/>
      <c r="AD133" s="67"/>
      <c r="AE133" s="67"/>
      <c r="AF133" s="67"/>
      <c r="AG133" s="67"/>
      <c r="AH133" s="67"/>
      <c r="AI133" s="67"/>
      <c r="AJ133" s="67"/>
      <c r="AK133" s="67"/>
      <c r="AL133" s="67"/>
      <c r="AM133" s="67"/>
      <c r="AN133" s="67"/>
      <c r="AO133" s="67"/>
      <c r="AP133" s="67"/>
      <c r="AQ133" s="67"/>
      <c r="AR133" s="67"/>
      <c r="AS133" s="55">
        <f>'Messages Dictionary'!I138</f>
        <v>0</v>
      </c>
    </row>
    <row r="134" spans="1:45" ht="42.75" hidden="1" x14ac:dyDescent="0.2">
      <c r="A134" s="65">
        <v>1137</v>
      </c>
      <c r="B134" s="9" t="s">
        <v>865</v>
      </c>
      <c r="C134" s="9" t="s">
        <v>856</v>
      </c>
      <c r="D134" s="9" t="s">
        <v>828</v>
      </c>
      <c r="E134" s="9" t="s">
        <v>837</v>
      </c>
      <c r="F134" s="9" t="s">
        <v>199</v>
      </c>
      <c r="G134" s="9" t="s">
        <v>412</v>
      </c>
      <c r="H134" s="9" t="s">
        <v>831</v>
      </c>
      <c r="I134" s="55">
        <f>'Messages Dictionary'!I139</f>
        <v>0</v>
      </c>
      <c r="J134" s="10">
        <f>'Messages Dictionary'!J139</f>
        <v>0.5</v>
      </c>
      <c r="K134" s="10">
        <f t="shared" si="2"/>
        <v>0</v>
      </c>
      <c r="L134" s="66"/>
      <c r="M134" s="66"/>
      <c r="N134" s="67"/>
      <c r="O134" s="67"/>
      <c r="P134" s="67"/>
      <c r="Q134" s="67"/>
      <c r="R134" s="67"/>
      <c r="S134" s="67"/>
      <c r="T134" s="67"/>
      <c r="U134" s="67"/>
      <c r="V134" s="67"/>
      <c r="W134" s="67"/>
      <c r="X134" s="67"/>
      <c r="Y134" s="67"/>
      <c r="Z134" s="67"/>
      <c r="AA134" s="67"/>
      <c r="AB134" s="67"/>
      <c r="AC134" s="67"/>
      <c r="AD134" s="67"/>
      <c r="AE134" s="67"/>
      <c r="AF134" s="67"/>
      <c r="AG134" s="67"/>
      <c r="AH134" s="67"/>
      <c r="AI134" s="67"/>
      <c r="AJ134" s="67"/>
      <c r="AK134" s="67"/>
      <c r="AL134" s="67"/>
      <c r="AM134" s="67"/>
      <c r="AN134" s="67"/>
      <c r="AO134" s="67"/>
      <c r="AP134" s="67"/>
      <c r="AQ134" s="67"/>
      <c r="AR134" s="67"/>
      <c r="AS134" s="55">
        <f>'Messages Dictionary'!I139</f>
        <v>0</v>
      </c>
    </row>
    <row r="135" spans="1:45" ht="42.75" hidden="1" x14ac:dyDescent="0.2">
      <c r="A135" s="65">
        <v>1140</v>
      </c>
      <c r="B135" s="9" t="s">
        <v>859</v>
      </c>
      <c r="C135" s="9" t="s">
        <v>866</v>
      </c>
      <c r="D135" s="9" t="s">
        <v>860</v>
      </c>
      <c r="E135" s="9" t="s">
        <v>861</v>
      </c>
      <c r="F135" s="9" t="s">
        <v>199</v>
      </c>
      <c r="G135" s="9" t="s">
        <v>412</v>
      </c>
      <c r="H135" s="9" t="s">
        <v>831</v>
      </c>
      <c r="I135" s="55">
        <f>'Messages Dictionary'!I142</f>
        <v>0</v>
      </c>
      <c r="J135" s="10">
        <f>'Messages Dictionary'!J142</f>
        <v>0.5</v>
      </c>
      <c r="K135" s="10">
        <f t="shared" si="2"/>
        <v>0</v>
      </c>
      <c r="L135" s="66"/>
      <c r="M135" s="66"/>
      <c r="N135" s="67"/>
      <c r="O135" s="67"/>
      <c r="P135" s="67"/>
      <c r="Q135" s="67"/>
      <c r="R135" s="67"/>
      <c r="S135" s="67"/>
      <c r="T135" s="67"/>
      <c r="U135" s="67"/>
      <c r="V135" s="67"/>
      <c r="W135" s="67"/>
      <c r="X135" s="67"/>
      <c r="Y135" s="67"/>
      <c r="Z135" s="67"/>
      <c r="AA135" s="67"/>
      <c r="AB135" s="67"/>
      <c r="AC135" s="67"/>
      <c r="AD135" s="67"/>
      <c r="AE135" s="67"/>
      <c r="AF135" s="67"/>
      <c r="AG135" s="67"/>
      <c r="AH135" s="67"/>
      <c r="AI135" s="67"/>
      <c r="AJ135" s="67"/>
      <c r="AK135" s="67"/>
      <c r="AL135" s="67"/>
      <c r="AM135" s="67"/>
      <c r="AN135" s="67"/>
      <c r="AO135" s="67"/>
      <c r="AP135" s="67"/>
      <c r="AQ135" s="67"/>
      <c r="AR135" s="67"/>
      <c r="AS135" s="55">
        <f>'Messages Dictionary'!I142</f>
        <v>0</v>
      </c>
    </row>
    <row r="136" spans="1:45" ht="42.75" hidden="1" x14ac:dyDescent="0.2">
      <c r="A136" s="65">
        <v>1141</v>
      </c>
      <c r="B136" s="9" t="s">
        <v>862</v>
      </c>
      <c r="C136" s="9" t="s">
        <v>866</v>
      </c>
      <c r="D136" s="9" t="s">
        <v>863</v>
      </c>
      <c r="E136" s="9" t="s">
        <v>864</v>
      </c>
      <c r="F136" s="9" t="s">
        <v>199</v>
      </c>
      <c r="G136" s="9" t="s">
        <v>412</v>
      </c>
      <c r="H136" s="9" t="s">
        <v>831</v>
      </c>
      <c r="I136" s="55">
        <f>'Messages Dictionary'!I143</f>
        <v>0</v>
      </c>
      <c r="J136" s="10">
        <f>'Messages Dictionary'!J143</f>
        <v>0.5</v>
      </c>
      <c r="K136" s="10">
        <f t="shared" si="2"/>
        <v>0</v>
      </c>
      <c r="L136" s="66"/>
      <c r="M136" s="66"/>
      <c r="N136" s="67"/>
      <c r="O136" s="67"/>
      <c r="P136" s="67"/>
      <c r="Q136" s="67"/>
      <c r="R136" s="67"/>
      <c r="S136" s="67"/>
      <c r="T136" s="67"/>
      <c r="U136" s="67"/>
      <c r="V136" s="67"/>
      <c r="W136" s="67"/>
      <c r="X136" s="67"/>
      <c r="Y136" s="67"/>
      <c r="Z136" s="67"/>
      <c r="AA136" s="67"/>
      <c r="AB136" s="67"/>
      <c r="AC136" s="67"/>
      <c r="AD136" s="67"/>
      <c r="AE136" s="67"/>
      <c r="AF136" s="67"/>
      <c r="AG136" s="67"/>
      <c r="AH136" s="67"/>
      <c r="AI136" s="67"/>
      <c r="AJ136" s="67"/>
      <c r="AK136" s="67"/>
      <c r="AL136" s="67"/>
      <c r="AM136" s="67"/>
      <c r="AN136" s="67"/>
      <c r="AO136" s="67"/>
      <c r="AP136" s="67"/>
      <c r="AQ136" s="67"/>
      <c r="AR136" s="67"/>
      <c r="AS136" s="55">
        <f>'Messages Dictionary'!I143</f>
        <v>0</v>
      </c>
    </row>
    <row r="137" spans="1:45" ht="42.75" hidden="1" x14ac:dyDescent="0.2">
      <c r="A137" s="65">
        <v>1142</v>
      </c>
      <c r="B137" s="9" t="s">
        <v>865</v>
      </c>
      <c r="C137" s="9" t="s">
        <v>866</v>
      </c>
      <c r="D137" s="9" t="s">
        <v>828</v>
      </c>
      <c r="E137" s="9" t="s">
        <v>837</v>
      </c>
      <c r="F137" s="9" t="s">
        <v>199</v>
      </c>
      <c r="G137" s="9" t="s">
        <v>412</v>
      </c>
      <c r="H137" s="9" t="s">
        <v>831</v>
      </c>
      <c r="I137" s="55">
        <f>'Messages Dictionary'!I144</f>
        <v>0</v>
      </c>
      <c r="J137" s="10">
        <f>'Messages Dictionary'!J144</f>
        <v>0.5</v>
      </c>
      <c r="K137" s="10">
        <f t="shared" si="2"/>
        <v>0</v>
      </c>
      <c r="L137" s="66"/>
      <c r="M137" s="66"/>
      <c r="N137" s="67"/>
      <c r="O137" s="67"/>
      <c r="P137" s="67"/>
      <c r="Q137" s="67"/>
      <c r="R137" s="67"/>
      <c r="S137" s="67"/>
      <c r="T137" s="67"/>
      <c r="U137" s="67"/>
      <c r="V137" s="67"/>
      <c r="W137" s="67"/>
      <c r="X137" s="67"/>
      <c r="Y137" s="67"/>
      <c r="Z137" s="67"/>
      <c r="AA137" s="67"/>
      <c r="AB137" s="67"/>
      <c r="AC137" s="67"/>
      <c r="AD137" s="67"/>
      <c r="AE137" s="67"/>
      <c r="AF137" s="67"/>
      <c r="AG137" s="67"/>
      <c r="AH137" s="67"/>
      <c r="AI137" s="67"/>
      <c r="AJ137" s="67"/>
      <c r="AK137" s="67"/>
      <c r="AL137" s="67"/>
      <c r="AM137" s="67"/>
      <c r="AN137" s="67"/>
      <c r="AO137" s="67"/>
      <c r="AP137" s="67"/>
      <c r="AQ137" s="67"/>
      <c r="AR137" s="67"/>
      <c r="AS137" s="55">
        <f>'Messages Dictionary'!I144</f>
        <v>0</v>
      </c>
    </row>
    <row r="138" spans="1:45" ht="42.75" hidden="1" x14ac:dyDescent="0.2">
      <c r="A138" s="65">
        <v>1143</v>
      </c>
      <c r="B138" s="9" t="s">
        <v>638</v>
      </c>
      <c r="C138" s="9" t="s">
        <v>866</v>
      </c>
      <c r="D138" s="9" t="s">
        <v>821</v>
      </c>
      <c r="E138" s="9" t="s">
        <v>837</v>
      </c>
      <c r="F138" s="9" t="s">
        <v>199</v>
      </c>
      <c r="G138" s="9" t="s">
        <v>412</v>
      </c>
      <c r="H138" s="9" t="s">
        <v>831</v>
      </c>
      <c r="I138" s="55">
        <f>'Messages Dictionary'!I145</f>
        <v>0</v>
      </c>
      <c r="J138" s="10">
        <f>'Messages Dictionary'!J145</f>
        <v>0.5</v>
      </c>
      <c r="K138" s="10">
        <f t="shared" si="2"/>
        <v>0</v>
      </c>
      <c r="L138" s="66"/>
      <c r="M138" s="66"/>
      <c r="N138" s="67"/>
      <c r="O138" s="67"/>
      <c r="P138" s="67"/>
      <c r="Q138" s="67"/>
      <c r="R138" s="67"/>
      <c r="S138" s="67"/>
      <c r="T138" s="67"/>
      <c r="U138" s="67"/>
      <c r="V138" s="67"/>
      <c r="W138" s="67"/>
      <c r="X138" s="67"/>
      <c r="Y138" s="67"/>
      <c r="Z138" s="67"/>
      <c r="AA138" s="67"/>
      <c r="AB138" s="67"/>
      <c r="AC138" s="67"/>
      <c r="AD138" s="67"/>
      <c r="AE138" s="67"/>
      <c r="AF138" s="67"/>
      <c r="AG138" s="67"/>
      <c r="AH138" s="67"/>
      <c r="AI138" s="67"/>
      <c r="AJ138" s="67"/>
      <c r="AK138" s="67"/>
      <c r="AL138" s="67"/>
      <c r="AM138" s="67"/>
      <c r="AN138" s="67"/>
      <c r="AO138" s="67"/>
      <c r="AP138" s="67"/>
      <c r="AQ138" s="67"/>
      <c r="AR138" s="67"/>
      <c r="AS138" s="55">
        <f>'Messages Dictionary'!I145</f>
        <v>0</v>
      </c>
    </row>
    <row r="139" spans="1:45" ht="42.75" hidden="1" x14ac:dyDescent="0.2">
      <c r="A139" s="65">
        <v>1144</v>
      </c>
      <c r="B139" s="9" t="s">
        <v>855</v>
      </c>
      <c r="C139" s="9" t="s">
        <v>866</v>
      </c>
      <c r="D139" s="9" t="s">
        <v>821</v>
      </c>
      <c r="E139" s="9" t="s">
        <v>837</v>
      </c>
      <c r="F139" s="9" t="s">
        <v>199</v>
      </c>
      <c r="G139" s="9" t="s">
        <v>412</v>
      </c>
      <c r="H139" s="9" t="s">
        <v>831</v>
      </c>
      <c r="I139" s="55">
        <f>'Messages Dictionary'!I146</f>
        <v>0</v>
      </c>
      <c r="J139" s="10">
        <f>'Messages Dictionary'!J146</f>
        <v>0.5</v>
      </c>
      <c r="K139" s="10">
        <f t="shared" si="2"/>
        <v>0</v>
      </c>
      <c r="L139" s="66"/>
      <c r="M139" s="66"/>
      <c r="N139" s="67"/>
      <c r="O139" s="67"/>
      <c r="P139" s="67"/>
      <c r="Q139" s="67"/>
      <c r="R139" s="67"/>
      <c r="S139" s="67"/>
      <c r="T139" s="67"/>
      <c r="U139" s="67"/>
      <c r="V139" s="67"/>
      <c r="W139" s="67"/>
      <c r="X139" s="67"/>
      <c r="Y139" s="67"/>
      <c r="Z139" s="67"/>
      <c r="AA139" s="67"/>
      <c r="AB139" s="67"/>
      <c r="AC139" s="67"/>
      <c r="AD139" s="67"/>
      <c r="AE139" s="67"/>
      <c r="AF139" s="67"/>
      <c r="AG139" s="67"/>
      <c r="AH139" s="67"/>
      <c r="AI139" s="67"/>
      <c r="AJ139" s="67"/>
      <c r="AK139" s="67"/>
      <c r="AL139" s="67"/>
      <c r="AM139" s="67"/>
      <c r="AN139" s="67"/>
      <c r="AO139" s="67"/>
      <c r="AP139" s="67"/>
      <c r="AQ139" s="67"/>
      <c r="AR139" s="67"/>
      <c r="AS139" s="55">
        <f>'Messages Dictionary'!I146</f>
        <v>0</v>
      </c>
    </row>
    <row r="140" spans="1:45" ht="42.75" hidden="1" x14ac:dyDescent="0.2">
      <c r="A140" s="65">
        <v>1145</v>
      </c>
      <c r="B140" s="9" t="s">
        <v>857</v>
      </c>
      <c r="C140" s="9" t="s">
        <v>866</v>
      </c>
      <c r="D140" s="9" t="s">
        <v>821</v>
      </c>
      <c r="E140" s="9" t="s">
        <v>837</v>
      </c>
      <c r="F140" s="9" t="s">
        <v>199</v>
      </c>
      <c r="G140" s="9" t="s">
        <v>412</v>
      </c>
      <c r="H140" s="9" t="s">
        <v>831</v>
      </c>
      <c r="I140" s="55">
        <f>'Messages Dictionary'!I147</f>
        <v>0</v>
      </c>
      <c r="J140" s="10">
        <f>'Messages Dictionary'!J147</f>
        <v>0.5</v>
      </c>
      <c r="K140" s="10">
        <f t="shared" si="2"/>
        <v>0</v>
      </c>
      <c r="L140" s="66"/>
      <c r="M140" s="66"/>
      <c r="N140" s="67"/>
      <c r="O140" s="67"/>
      <c r="P140" s="67"/>
      <c r="Q140" s="67"/>
      <c r="R140" s="67"/>
      <c r="S140" s="67"/>
      <c r="T140" s="67"/>
      <c r="U140" s="67"/>
      <c r="V140" s="67"/>
      <c r="W140" s="67"/>
      <c r="X140" s="67"/>
      <c r="Y140" s="67"/>
      <c r="Z140" s="67"/>
      <c r="AA140" s="67"/>
      <c r="AB140" s="67"/>
      <c r="AC140" s="67"/>
      <c r="AD140" s="67"/>
      <c r="AE140" s="67"/>
      <c r="AF140" s="67"/>
      <c r="AG140" s="67"/>
      <c r="AH140" s="67"/>
      <c r="AI140" s="67"/>
      <c r="AJ140" s="67"/>
      <c r="AK140" s="67"/>
      <c r="AL140" s="67"/>
      <c r="AM140" s="67"/>
      <c r="AN140" s="67"/>
      <c r="AO140" s="67"/>
      <c r="AP140" s="67"/>
      <c r="AQ140" s="67"/>
      <c r="AR140" s="67"/>
      <c r="AS140" s="55">
        <f>'Messages Dictionary'!I147</f>
        <v>0</v>
      </c>
    </row>
    <row r="141" spans="1:45" ht="42.75" hidden="1" x14ac:dyDescent="0.2">
      <c r="A141" s="65">
        <v>1146</v>
      </c>
      <c r="B141" s="9" t="s">
        <v>858</v>
      </c>
      <c r="C141" s="9" t="s">
        <v>866</v>
      </c>
      <c r="D141" s="9" t="s">
        <v>821</v>
      </c>
      <c r="E141" s="9" t="s">
        <v>837</v>
      </c>
      <c r="F141" s="9" t="s">
        <v>199</v>
      </c>
      <c r="G141" s="9" t="s">
        <v>412</v>
      </c>
      <c r="H141" s="9" t="s">
        <v>831</v>
      </c>
      <c r="I141" s="55">
        <f>'Messages Dictionary'!I148</f>
        <v>0</v>
      </c>
      <c r="J141" s="10">
        <f>'Messages Dictionary'!J148</f>
        <v>0.5</v>
      </c>
      <c r="K141" s="10">
        <f t="shared" si="2"/>
        <v>0</v>
      </c>
      <c r="L141" s="66"/>
      <c r="M141" s="66"/>
      <c r="N141" s="67"/>
      <c r="O141" s="67"/>
      <c r="P141" s="67"/>
      <c r="Q141" s="67"/>
      <c r="R141" s="67"/>
      <c r="S141" s="67"/>
      <c r="T141" s="67"/>
      <c r="U141" s="67"/>
      <c r="V141" s="67"/>
      <c r="W141" s="67"/>
      <c r="X141" s="67"/>
      <c r="Y141" s="67"/>
      <c r="Z141" s="67"/>
      <c r="AA141" s="67"/>
      <c r="AB141" s="67"/>
      <c r="AC141" s="67"/>
      <c r="AD141" s="67"/>
      <c r="AE141" s="67"/>
      <c r="AF141" s="67"/>
      <c r="AG141" s="67"/>
      <c r="AH141" s="67"/>
      <c r="AI141" s="67"/>
      <c r="AJ141" s="67"/>
      <c r="AK141" s="67"/>
      <c r="AL141" s="67"/>
      <c r="AM141" s="67"/>
      <c r="AN141" s="67"/>
      <c r="AO141" s="67"/>
      <c r="AP141" s="67"/>
      <c r="AQ141" s="67"/>
      <c r="AR141" s="67"/>
      <c r="AS141" s="55">
        <f>'Messages Dictionary'!I148</f>
        <v>0</v>
      </c>
    </row>
    <row r="142" spans="1:45" ht="28.5" hidden="1" x14ac:dyDescent="0.2">
      <c r="A142" s="65">
        <v>1151</v>
      </c>
      <c r="B142" s="9" t="s">
        <v>639</v>
      </c>
      <c r="C142" s="9" t="s">
        <v>868</v>
      </c>
      <c r="D142" s="9" t="s">
        <v>821</v>
      </c>
      <c r="E142" s="9" t="s">
        <v>837</v>
      </c>
      <c r="F142" s="9" t="s">
        <v>199</v>
      </c>
      <c r="G142" s="9" t="s">
        <v>412</v>
      </c>
      <c r="H142" s="9" t="s">
        <v>831</v>
      </c>
      <c r="I142" s="55">
        <f>'Messages Dictionary'!I149</f>
        <v>0</v>
      </c>
      <c r="J142" s="10">
        <f>'Messages Dictionary'!J149</f>
        <v>0.5</v>
      </c>
      <c r="K142" s="10">
        <f t="shared" si="2"/>
        <v>0</v>
      </c>
      <c r="L142" s="66"/>
      <c r="M142" s="66"/>
      <c r="N142" s="67"/>
      <c r="O142" s="67"/>
      <c r="P142" s="67"/>
      <c r="Q142" s="67"/>
      <c r="R142" s="67"/>
      <c r="S142" s="67"/>
      <c r="T142" s="67"/>
      <c r="U142" s="67"/>
      <c r="V142" s="67"/>
      <c r="W142" s="67"/>
      <c r="X142" s="67"/>
      <c r="Y142" s="67"/>
      <c r="Z142" s="67"/>
      <c r="AA142" s="67"/>
      <c r="AB142" s="67"/>
      <c r="AC142" s="67"/>
      <c r="AD142" s="67"/>
      <c r="AE142" s="67"/>
      <c r="AF142" s="67"/>
      <c r="AG142" s="67"/>
      <c r="AH142" s="67"/>
      <c r="AI142" s="67"/>
      <c r="AJ142" s="67"/>
      <c r="AK142" s="67"/>
      <c r="AL142" s="67"/>
      <c r="AM142" s="67"/>
      <c r="AN142" s="67"/>
      <c r="AO142" s="67"/>
      <c r="AP142" s="67"/>
      <c r="AQ142" s="67"/>
      <c r="AR142" s="67"/>
      <c r="AS142" s="55">
        <f>'Messages Dictionary'!I149</f>
        <v>0</v>
      </c>
    </row>
    <row r="143" spans="1:45" ht="28.5" hidden="1" x14ac:dyDescent="0.2">
      <c r="A143" s="65">
        <v>1152</v>
      </c>
      <c r="B143" s="9" t="s">
        <v>867</v>
      </c>
      <c r="C143" s="9" t="s">
        <v>868</v>
      </c>
      <c r="D143" s="9" t="s">
        <v>821</v>
      </c>
      <c r="E143" s="9" t="s">
        <v>837</v>
      </c>
      <c r="F143" s="9" t="s">
        <v>199</v>
      </c>
      <c r="G143" s="9" t="s">
        <v>412</v>
      </c>
      <c r="H143" s="9" t="s">
        <v>831</v>
      </c>
      <c r="I143" s="55">
        <f>'Messages Dictionary'!I150</f>
        <v>0</v>
      </c>
      <c r="J143" s="10">
        <f>'Messages Dictionary'!J150</f>
        <v>0.5</v>
      </c>
      <c r="K143" s="10">
        <f t="shared" si="2"/>
        <v>0</v>
      </c>
      <c r="L143" s="66"/>
      <c r="M143" s="66"/>
      <c r="N143" s="67"/>
      <c r="O143" s="67"/>
      <c r="P143" s="67"/>
      <c r="Q143" s="67"/>
      <c r="R143" s="67"/>
      <c r="S143" s="67"/>
      <c r="T143" s="67"/>
      <c r="U143" s="67"/>
      <c r="V143" s="67"/>
      <c r="W143" s="67"/>
      <c r="X143" s="67"/>
      <c r="Y143" s="67"/>
      <c r="Z143" s="67"/>
      <c r="AA143" s="67"/>
      <c r="AB143" s="67"/>
      <c r="AC143" s="67"/>
      <c r="AD143" s="67"/>
      <c r="AE143" s="67"/>
      <c r="AF143" s="67"/>
      <c r="AG143" s="67"/>
      <c r="AH143" s="67"/>
      <c r="AI143" s="67"/>
      <c r="AJ143" s="67"/>
      <c r="AK143" s="67"/>
      <c r="AL143" s="67"/>
      <c r="AM143" s="67"/>
      <c r="AN143" s="67"/>
      <c r="AO143" s="67"/>
      <c r="AP143" s="67"/>
      <c r="AQ143" s="67"/>
      <c r="AR143" s="67"/>
      <c r="AS143" s="55">
        <f>'Messages Dictionary'!I150</f>
        <v>0</v>
      </c>
    </row>
    <row r="144" spans="1:45" ht="28.5" hidden="1" x14ac:dyDescent="0.2">
      <c r="A144" s="65">
        <v>1153</v>
      </c>
      <c r="B144" s="9" t="s">
        <v>869</v>
      </c>
      <c r="C144" s="9" t="s">
        <v>868</v>
      </c>
      <c r="D144" s="9" t="s">
        <v>821</v>
      </c>
      <c r="E144" s="9" t="s">
        <v>837</v>
      </c>
      <c r="F144" s="9" t="s">
        <v>199</v>
      </c>
      <c r="G144" s="9" t="s">
        <v>412</v>
      </c>
      <c r="H144" s="9" t="s">
        <v>831</v>
      </c>
      <c r="I144" s="55">
        <f>'Messages Dictionary'!I151</f>
        <v>0</v>
      </c>
      <c r="J144" s="10">
        <f>'Messages Dictionary'!J151</f>
        <v>0.5</v>
      </c>
      <c r="K144" s="10">
        <f t="shared" si="2"/>
        <v>0</v>
      </c>
      <c r="L144" s="66"/>
      <c r="M144" s="66"/>
      <c r="N144" s="67"/>
      <c r="O144" s="67"/>
      <c r="P144" s="67"/>
      <c r="Q144" s="67"/>
      <c r="R144" s="67"/>
      <c r="S144" s="67"/>
      <c r="T144" s="67"/>
      <c r="U144" s="67"/>
      <c r="V144" s="67"/>
      <c r="W144" s="67"/>
      <c r="X144" s="67"/>
      <c r="Y144" s="67"/>
      <c r="Z144" s="67"/>
      <c r="AA144" s="67"/>
      <c r="AB144" s="67"/>
      <c r="AC144" s="67"/>
      <c r="AD144" s="67"/>
      <c r="AE144" s="67"/>
      <c r="AF144" s="67"/>
      <c r="AG144" s="67"/>
      <c r="AH144" s="67"/>
      <c r="AI144" s="67"/>
      <c r="AJ144" s="67"/>
      <c r="AK144" s="67"/>
      <c r="AL144" s="67"/>
      <c r="AM144" s="67"/>
      <c r="AN144" s="67"/>
      <c r="AO144" s="67"/>
      <c r="AP144" s="67"/>
      <c r="AQ144" s="67"/>
      <c r="AR144" s="67"/>
      <c r="AS144" s="55">
        <f>'Messages Dictionary'!I151</f>
        <v>0</v>
      </c>
    </row>
    <row r="145" spans="1:45" ht="28.5" hidden="1" x14ac:dyDescent="0.2">
      <c r="A145" s="65">
        <v>1154</v>
      </c>
      <c r="B145" s="9" t="s">
        <v>870</v>
      </c>
      <c r="C145" s="9" t="s">
        <v>868</v>
      </c>
      <c r="D145" s="9" t="s">
        <v>821</v>
      </c>
      <c r="E145" s="9" t="s">
        <v>837</v>
      </c>
      <c r="F145" s="9" t="s">
        <v>199</v>
      </c>
      <c r="G145" s="9" t="s">
        <v>412</v>
      </c>
      <c r="H145" s="9" t="s">
        <v>831</v>
      </c>
      <c r="I145" s="55">
        <f>'Messages Dictionary'!I152</f>
        <v>0</v>
      </c>
      <c r="J145" s="10">
        <f>'Messages Dictionary'!J152</f>
        <v>0.5</v>
      </c>
      <c r="K145" s="10">
        <f t="shared" si="2"/>
        <v>0</v>
      </c>
      <c r="L145" s="66"/>
      <c r="M145" s="66"/>
      <c r="N145" s="67"/>
      <c r="O145" s="67"/>
      <c r="P145" s="67"/>
      <c r="Q145" s="67"/>
      <c r="R145" s="67"/>
      <c r="S145" s="67"/>
      <c r="T145" s="67"/>
      <c r="U145" s="67"/>
      <c r="V145" s="67"/>
      <c r="W145" s="67"/>
      <c r="X145" s="67"/>
      <c r="Y145" s="67"/>
      <c r="Z145" s="67"/>
      <c r="AA145" s="67"/>
      <c r="AB145" s="67"/>
      <c r="AC145" s="67"/>
      <c r="AD145" s="67"/>
      <c r="AE145" s="67"/>
      <c r="AF145" s="67"/>
      <c r="AG145" s="67"/>
      <c r="AH145" s="67"/>
      <c r="AI145" s="67"/>
      <c r="AJ145" s="67"/>
      <c r="AK145" s="67"/>
      <c r="AL145" s="67"/>
      <c r="AM145" s="67"/>
      <c r="AN145" s="67"/>
      <c r="AO145" s="67"/>
      <c r="AP145" s="67"/>
      <c r="AQ145" s="67"/>
      <c r="AR145" s="67"/>
      <c r="AS145" s="55">
        <f>'Messages Dictionary'!I152</f>
        <v>0</v>
      </c>
    </row>
    <row r="146" spans="1:45" ht="28.5" hidden="1" x14ac:dyDescent="0.2">
      <c r="A146" s="65">
        <v>1155</v>
      </c>
      <c r="B146" s="9" t="s">
        <v>871</v>
      </c>
      <c r="C146" s="9" t="s">
        <v>868</v>
      </c>
      <c r="D146" s="9" t="s">
        <v>860</v>
      </c>
      <c r="E146" s="9" t="s">
        <v>861</v>
      </c>
      <c r="F146" s="9" t="s">
        <v>199</v>
      </c>
      <c r="G146" s="9" t="s">
        <v>412</v>
      </c>
      <c r="H146" s="9" t="s">
        <v>831</v>
      </c>
      <c r="I146" s="55">
        <f>'Messages Dictionary'!I153</f>
        <v>0</v>
      </c>
      <c r="J146" s="10">
        <f>'Messages Dictionary'!J153</f>
        <v>0.5</v>
      </c>
      <c r="K146" s="10">
        <f t="shared" si="2"/>
        <v>0</v>
      </c>
      <c r="L146" s="66"/>
      <c r="M146" s="66"/>
      <c r="N146" s="67"/>
      <c r="O146" s="67"/>
      <c r="P146" s="67"/>
      <c r="Q146" s="67"/>
      <c r="R146" s="67"/>
      <c r="S146" s="67"/>
      <c r="T146" s="67"/>
      <c r="U146" s="67"/>
      <c r="V146" s="67"/>
      <c r="W146" s="67"/>
      <c r="X146" s="67"/>
      <c r="Y146" s="67"/>
      <c r="Z146" s="67"/>
      <c r="AA146" s="67"/>
      <c r="AB146" s="67"/>
      <c r="AC146" s="67"/>
      <c r="AD146" s="67"/>
      <c r="AE146" s="67"/>
      <c r="AF146" s="67"/>
      <c r="AG146" s="67"/>
      <c r="AH146" s="67"/>
      <c r="AI146" s="67"/>
      <c r="AJ146" s="67"/>
      <c r="AK146" s="67"/>
      <c r="AL146" s="67"/>
      <c r="AM146" s="67"/>
      <c r="AN146" s="67"/>
      <c r="AO146" s="67"/>
      <c r="AP146" s="67"/>
      <c r="AQ146" s="67"/>
      <c r="AR146" s="67"/>
      <c r="AS146" s="55">
        <f>'Messages Dictionary'!I153</f>
        <v>0</v>
      </c>
    </row>
    <row r="147" spans="1:45" ht="28.5" hidden="1" x14ac:dyDescent="0.2">
      <c r="A147" s="65">
        <v>1156</v>
      </c>
      <c r="B147" s="9" t="s">
        <v>872</v>
      </c>
      <c r="C147" s="9" t="s">
        <v>868</v>
      </c>
      <c r="D147" s="9" t="s">
        <v>863</v>
      </c>
      <c r="E147" s="9" t="s">
        <v>864</v>
      </c>
      <c r="F147" s="9" t="s">
        <v>199</v>
      </c>
      <c r="G147" s="9" t="s">
        <v>412</v>
      </c>
      <c r="H147" s="9" t="s">
        <v>831</v>
      </c>
      <c r="I147" s="55">
        <f>'Messages Dictionary'!I154</f>
        <v>0</v>
      </c>
      <c r="J147" s="10">
        <f>'Messages Dictionary'!J154</f>
        <v>0.5</v>
      </c>
      <c r="K147" s="10">
        <f t="shared" si="2"/>
        <v>0</v>
      </c>
      <c r="L147" s="66"/>
      <c r="M147" s="66"/>
      <c r="N147" s="67"/>
      <c r="O147" s="67"/>
      <c r="P147" s="67"/>
      <c r="Q147" s="67"/>
      <c r="R147" s="67"/>
      <c r="S147" s="67"/>
      <c r="T147" s="67"/>
      <c r="U147" s="67"/>
      <c r="V147" s="67"/>
      <c r="W147" s="67"/>
      <c r="X147" s="67"/>
      <c r="Y147" s="67"/>
      <c r="Z147" s="67"/>
      <c r="AA147" s="67"/>
      <c r="AB147" s="67"/>
      <c r="AC147" s="67"/>
      <c r="AD147" s="67"/>
      <c r="AE147" s="67"/>
      <c r="AF147" s="67"/>
      <c r="AG147" s="67"/>
      <c r="AH147" s="67"/>
      <c r="AI147" s="67"/>
      <c r="AJ147" s="67"/>
      <c r="AK147" s="67"/>
      <c r="AL147" s="67"/>
      <c r="AM147" s="67"/>
      <c r="AN147" s="67"/>
      <c r="AO147" s="67"/>
      <c r="AP147" s="67"/>
      <c r="AQ147" s="67"/>
      <c r="AR147" s="67"/>
      <c r="AS147" s="55">
        <f>'Messages Dictionary'!I154</f>
        <v>0</v>
      </c>
    </row>
    <row r="148" spans="1:45" ht="28.5" hidden="1" x14ac:dyDescent="0.2">
      <c r="A148" s="65">
        <v>1157</v>
      </c>
      <c r="B148" s="9" t="s">
        <v>873</v>
      </c>
      <c r="C148" s="9" t="s">
        <v>868</v>
      </c>
      <c r="D148" s="9" t="s">
        <v>828</v>
      </c>
      <c r="E148" s="9" t="s">
        <v>837</v>
      </c>
      <c r="F148" s="9" t="s">
        <v>199</v>
      </c>
      <c r="G148" s="9" t="s">
        <v>412</v>
      </c>
      <c r="H148" s="9" t="s">
        <v>831</v>
      </c>
      <c r="I148" s="55">
        <f>'Messages Dictionary'!I155</f>
        <v>0</v>
      </c>
      <c r="J148" s="10">
        <f>'Messages Dictionary'!J155</f>
        <v>0.5</v>
      </c>
      <c r="K148" s="10">
        <f t="shared" si="2"/>
        <v>0</v>
      </c>
      <c r="L148" s="66"/>
      <c r="M148" s="66"/>
      <c r="N148" s="67"/>
      <c r="O148" s="67"/>
      <c r="P148" s="67"/>
      <c r="Q148" s="67"/>
      <c r="R148" s="67"/>
      <c r="S148" s="67"/>
      <c r="T148" s="67"/>
      <c r="U148" s="67"/>
      <c r="V148" s="67"/>
      <c r="W148" s="67"/>
      <c r="X148" s="67"/>
      <c r="Y148" s="67"/>
      <c r="Z148" s="67"/>
      <c r="AA148" s="67"/>
      <c r="AB148" s="67"/>
      <c r="AC148" s="67"/>
      <c r="AD148" s="67"/>
      <c r="AE148" s="67"/>
      <c r="AF148" s="67"/>
      <c r="AG148" s="67"/>
      <c r="AH148" s="67"/>
      <c r="AI148" s="67"/>
      <c r="AJ148" s="67"/>
      <c r="AK148" s="67"/>
      <c r="AL148" s="67"/>
      <c r="AM148" s="67"/>
      <c r="AN148" s="67"/>
      <c r="AO148" s="67"/>
      <c r="AP148" s="67"/>
      <c r="AQ148" s="67"/>
      <c r="AR148" s="67"/>
      <c r="AS148" s="55">
        <f>'Messages Dictionary'!I155</f>
        <v>0</v>
      </c>
    </row>
    <row r="149" spans="1:45" ht="28.5" hidden="1" x14ac:dyDescent="0.2">
      <c r="A149" s="65">
        <v>1160</v>
      </c>
      <c r="B149" s="9" t="s">
        <v>874</v>
      </c>
      <c r="C149" s="9" t="s">
        <v>875</v>
      </c>
      <c r="D149" s="9" t="s">
        <v>821</v>
      </c>
      <c r="E149" s="9" t="s">
        <v>876</v>
      </c>
      <c r="F149" s="9" t="s">
        <v>199</v>
      </c>
      <c r="G149" s="9" t="s">
        <v>405</v>
      </c>
      <c r="H149" s="9" t="s">
        <v>431</v>
      </c>
      <c r="I149" s="55">
        <f>'Messages Dictionary'!I157</f>
        <v>1</v>
      </c>
      <c r="J149" s="10">
        <f>'Messages Dictionary'!J157</f>
        <v>1</v>
      </c>
      <c r="K149" s="10">
        <f t="shared" si="2"/>
        <v>1</v>
      </c>
      <c r="L149" s="66"/>
      <c r="M149" s="66"/>
      <c r="N149" s="67"/>
      <c r="O149" s="67"/>
      <c r="P149" s="67"/>
      <c r="Q149" s="67"/>
      <c r="R149" s="67"/>
      <c r="S149" s="67"/>
      <c r="T149" s="67"/>
      <c r="U149" s="67"/>
      <c r="V149" s="67"/>
      <c r="W149" s="67"/>
      <c r="X149" s="67"/>
      <c r="Y149" s="67"/>
      <c r="Z149" s="67"/>
      <c r="AA149" s="67"/>
      <c r="AB149" s="67"/>
      <c r="AC149" s="67"/>
      <c r="AD149" s="67"/>
      <c r="AE149" s="67"/>
      <c r="AF149" s="67"/>
      <c r="AG149" s="67"/>
      <c r="AH149" s="67"/>
      <c r="AI149" s="67"/>
      <c r="AJ149" s="67"/>
      <c r="AK149" s="67"/>
      <c r="AL149" s="67"/>
      <c r="AM149" s="67"/>
      <c r="AN149" s="67"/>
      <c r="AO149" s="67"/>
      <c r="AP149" s="67"/>
      <c r="AQ149" s="67"/>
      <c r="AR149" s="67"/>
      <c r="AS149" s="55">
        <f>'Messages Dictionary'!I157</f>
        <v>1</v>
      </c>
    </row>
    <row r="150" spans="1:45" ht="28.5" hidden="1" x14ac:dyDescent="0.2">
      <c r="A150" s="65">
        <v>1161</v>
      </c>
      <c r="B150" s="9" t="s">
        <v>877</v>
      </c>
      <c r="C150" s="9" t="s">
        <v>877</v>
      </c>
      <c r="D150" s="9" t="s">
        <v>821</v>
      </c>
      <c r="E150" s="9" t="s">
        <v>876</v>
      </c>
      <c r="F150" s="9" t="s">
        <v>199</v>
      </c>
      <c r="G150" s="9" t="s">
        <v>405</v>
      </c>
      <c r="H150" s="9" t="s">
        <v>431</v>
      </c>
      <c r="I150" s="55">
        <f>'Messages Dictionary'!I158</f>
        <v>0</v>
      </c>
      <c r="J150" s="10">
        <f>'Messages Dictionary'!J158</f>
        <v>1</v>
      </c>
      <c r="K150" s="10">
        <f t="shared" si="2"/>
        <v>0</v>
      </c>
      <c r="L150" s="66"/>
      <c r="M150" s="66"/>
      <c r="N150" s="67"/>
      <c r="O150" s="67"/>
      <c r="P150" s="67"/>
      <c r="Q150" s="67"/>
      <c r="R150" s="67"/>
      <c r="S150" s="67"/>
      <c r="T150" s="67"/>
      <c r="U150" s="67"/>
      <c r="V150" s="67"/>
      <c r="W150" s="67"/>
      <c r="X150" s="67"/>
      <c r="Y150" s="67"/>
      <c r="Z150" s="67"/>
      <c r="AA150" s="67"/>
      <c r="AB150" s="67"/>
      <c r="AC150" s="67"/>
      <c r="AD150" s="67"/>
      <c r="AE150" s="67"/>
      <c r="AF150" s="67"/>
      <c r="AG150" s="67"/>
      <c r="AH150" s="67"/>
      <c r="AI150" s="67"/>
      <c r="AJ150" s="67"/>
      <c r="AK150" s="67"/>
      <c r="AL150" s="67"/>
      <c r="AM150" s="67"/>
      <c r="AN150" s="67"/>
      <c r="AO150" s="67"/>
      <c r="AP150" s="67"/>
      <c r="AQ150" s="67"/>
      <c r="AR150" s="67"/>
      <c r="AS150" s="55">
        <f>'Messages Dictionary'!I158</f>
        <v>0</v>
      </c>
    </row>
    <row r="151" spans="1:45" ht="42.75" hidden="1" x14ac:dyDescent="0.2">
      <c r="A151" s="65">
        <v>1165</v>
      </c>
      <c r="B151" s="9" t="s">
        <v>878</v>
      </c>
      <c r="C151" s="9" t="s">
        <v>879</v>
      </c>
      <c r="D151" s="9" t="s">
        <v>821</v>
      </c>
      <c r="E151" s="9" t="s">
        <v>876</v>
      </c>
      <c r="F151" s="9" t="s">
        <v>199</v>
      </c>
      <c r="G151" s="9" t="s">
        <v>405</v>
      </c>
      <c r="H151" s="9" t="s">
        <v>431</v>
      </c>
      <c r="I151" s="55">
        <f>'Messages Dictionary'!I159</f>
        <v>0</v>
      </c>
      <c r="J151" s="10">
        <f>'Messages Dictionary'!J159</f>
        <v>1</v>
      </c>
      <c r="K151" s="10">
        <f t="shared" si="2"/>
        <v>0</v>
      </c>
      <c r="L151" s="66"/>
      <c r="M151" s="66"/>
      <c r="N151" s="67"/>
      <c r="O151" s="67"/>
      <c r="P151" s="67"/>
      <c r="Q151" s="67"/>
      <c r="R151" s="67"/>
      <c r="S151" s="67"/>
      <c r="T151" s="67"/>
      <c r="U151" s="67"/>
      <c r="V151" s="67"/>
      <c r="W151" s="67"/>
      <c r="X151" s="67"/>
      <c r="Y151" s="67"/>
      <c r="Z151" s="67"/>
      <c r="AA151" s="67"/>
      <c r="AB151" s="67"/>
      <c r="AC151" s="67"/>
      <c r="AD151" s="67"/>
      <c r="AE151" s="67"/>
      <c r="AF151" s="67"/>
      <c r="AG151" s="67"/>
      <c r="AH151" s="67"/>
      <c r="AI151" s="67"/>
      <c r="AJ151" s="67"/>
      <c r="AK151" s="67"/>
      <c r="AL151" s="67"/>
      <c r="AM151" s="67"/>
      <c r="AN151" s="67"/>
      <c r="AO151" s="67"/>
      <c r="AP151" s="67"/>
      <c r="AQ151" s="67"/>
      <c r="AR151" s="67"/>
      <c r="AS151" s="55">
        <f>'Messages Dictionary'!I159</f>
        <v>0</v>
      </c>
    </row>
    <row r="152" spans="1:45" ht="57" hidden="1" x14ac:dyDescent="0.2">
      <c r="A152" s="69">
        <v>1166</v>
      </c>
      <c r="B152" s="70" t="s">
        <v>444</v>
      </c>
      <c r="C152" s="70" t="s">
        <v>445</v>
      </c>
      <c r="D152" s="70" t="s">
        <v>821</v>
      </c>
      <c r="E152" s="70" t="s">
        <v>876</v>
      </c>
      <c r="F152" s="70" t="s">
        <v>199</v>
      </c>
      <c r="G152" s="70" t="s">
        <v>405</v>
      </c>
      <c r="H152" s="70" t="s">
        <v>431</v>
      </c>
      <c r="I152" s="55">
        <f>'Messages Dictionary'!I160</f>
        <v>0</v>
      </c>
      <c r="J152" s="10">
        <f>'Messages Dictionary'!J160</f>
        <v>0.5</v>
      </c>
      <c r="K152" s="71">
        <f t="shared" si="2"/>
        <v>0</v>
      </c>
      <c r="L152" s="66"/>
      <c r="M152" s="66"/>
      <c r="N152" s="67"/>
      <c r="O152" s="67"/>
      <c r="P152" s="67"/>
      <c r="Q152" s="67"/>
      <c r="R152" s="67"/>
      <c r="S152" s="67"/>
      <c r="T152" s="67"/>
      <c r="U152" s="67"/>
      <c r="V152" s="67"/>
      <c r="W152" s="67"/>
      <c r="X152" s="67"/>
      <c r="Y152" s="67"/>
      <c r="Z152" s="67"/>
      <c r="AA152" s="67"/>
      <c r="AB152" s="67"/>
      <c r="AC152" s="67"/>
      <c r="AD152" s="67"/>
      <c r="AE152" s="67"/>
      <c r="AF152" s="67"/>
      <c r="AG152" s="67"/>
      <c r="AH152" s="67"/>
      <c r="AI152" s="67"/>
      <c r="AJ152" s="67"/>
      <c r="AK152" s="67"/>
      <c r="AL152" s="67"/>
      <c r="AM152" s="67"/>
      <c r="AN152" s="67"/>
      <c r="AO152" s="67"/>
      <c r="AP152" s="67"/>
      <c r="AQ152" s="67"/>
      <c r="AR152" s="67"/>
      <c r="AS152" s="55">
        <f>'Messages Dictionary'!I160</f>
        <v>0</v>
      </c>
    </row>
    <row r="153" spans="1:45" ht="57" hidden="1" x14ac:dyDescent="0.2">
      <c r="A153" s="65">
        <v>1170</v>
      </c>
      <c r="B153" s="9" t="s">
        <v>880</v>
      </c>
      <c r="C153" s="9" t="s">
        <v>881</v>
      </c>
      <c r="D153" s="9" t="s">
        <v>404</v>
      </c>
      <c r="E153" s="9" t="s">
        <v>404</v>
      </c>
      <c r="F153" s="9" t="s">
        <v>199</v>
      </c>
      <c r="G153" s="9" t="s">
        <v>412</v>
      </c>
      <c r="H153" s="9" t="s">
        <v>831</v>
      </c>
      <c r="I153" s="55">
        <f>'Messages Dictionary'!I161</f>
        <v>0</v>
      </c>
      <c r="J153" s="10">
        <f>'Messages Dictionary'!J161</f>
        <v>0.5</v>
      </c>
      <c r="K153" s="10">
        <f t="shared" si="2"/>
        <v>0</v>
      </c>
      <c r="L153" s="66"/>
      <c r="M153" s="66"/>
      <c r="N153" s="67"/>
      <c r="O153" s="67"/>
      <c r="P153" s="67"/>
      <c r="Q153" s="67"/>
      <c r="R153" s="67"/>
      <c r="S153" s="67"/>
      <c r="T153" s="67"/>
      <c r="U153" s="67"/>
      <c r="V153" s="67"/>
      <c r="W153" s="67"/>
      <c r="X153" s="67"/>
      <c r="Y153" s="67"/>
      <c r="Z153" s="67"/>
      <c r="AA153" s="67"/>
      <c r="AB153" s="67"/>
      <c r="AC153" s="67"/>
      <c r="AD153" s="67"/>
      <c r="AE153" s="67"/>
      <c r="AF153" s="67"/>
      <c r="AG153" s="67"/>
      <c r="AH153" s="67"/>
      <c r="AI153" s="67"/>
      <c r="AJ153" s="67"/>
      <c r="AK153" s="67"/>
      <c r="AL153" s="67"/>
      <c r="AM153" s="67"/>
      <c r="AN153" s="67"/>
      <c r="AO153" s="67"/>
      <c r="AP153" s="67"/>
      <c r="AQ153" s="67"/>
      <c r="AR153" s="67"/>
      <c r="AS153" s="55">
        <f>'Messages Dictionary'!I161</f>
        <v>0</v>
      </c>
    </row>
    <row r="154" spans="1:45" ht="42.75" hidden="1" x14ac:dyDescent="0.2">
      <c r="A154" s="65">
        <v>1175</v>
      </c>
      <c r="B154" s="9" t="s">
        <v>882</v>
      </c>
      <c r="C154" s="9" t="s">
        <v>883</v>
      </c>
      <c r="D154" s="9" t="s">
        <v>842</v>
      </c>
      <c r="E154" s="9" t="s">
        <v>842</v>
      </c>
      <c r="F154" s="9" t="s">
        <v>199</v>
      </c>
      <c r="G154" s="9" t="s">
        <v>412</v>
      </c>
      <c r="H154" s="9" t="s">
        <v>831</v>
      </c>
      <c r="I154" s="55">
        <f>'Messages Dictionary'!I162</f>
        <v>0</v>
      </c>
      <c r="J154" s="10">
        <f>'Messages Dictionary'!J162</f>
        <v>0.5</v>
      </c>
      <c r="K154" s="10">
        <f t="shared" si="2"/>
        <v>0</v>
      </c>
      <c r="L154" s="66"/>
      <c r="M154" s="66"/>
      <c r="N154" s="67"/>
      <c r="O154" s="67"/>
      <c r="P154" s="67"/>
      <c r="Q154" s="67"/>
      <c r="R154" s="67"/>
      <c r="S154" s="67"/>
      <c r="T154" s="67"/>
      <c r="U154" s="67"/>
      <c r="V154" s="67"/>
      <c r="W154" s="67"/>
      <c r="X154" s="67"/>
      <c r="Y154" s="67"/>
      <c r="Z154" s="67"/>
      <c r="AA154" s="67"/>
      <c r="AB154" s="67"/>
      <c r="AC154" s="67"/>
      <c r="AD154" s="67"/>
      <c r="AE154" s="67"/>
      <c r="AF154" s="67"/>
      <c r="AG154" s="67"/>
      <c r="AH154" s="67"/>
      <c r="AI154" s="67"/>
      <c r="AJ154" s="67"/>
      <c r="AK154" s="67"/>
      <c r="AL154" s="67"/>
      <c r="AM154" s="67"/>
      <c r="AN154" s="67"/>
      <c r="AO154" s="67"/>
      <c r="AP154" s="67"/>
      <c r="AQ154" s="67"/>
      <c r="AR154" s="67"/>
      <c r="AS154" s="55">
        <f>'Messages Dictionary'!I162</f>
        <v>0</v>
      </c>
    </row>
    <row r="155" spans="1:45" ht="42.75" hidden="1" x14ac:dyDescent="0.2">
      <c r="A155" s="65">
        <v>1176</v>
      </c>
      <c r="B155" s="9" t="s">
        <v>884</v>
      </c>
      <c r="C155" s="9" t="s">
        <v>883</v>
      </c>
      <c r="D155" s="9" t="s">
        <v>842</v>
      </c>
      <c r="E155" s="9" t="s">
        <v>842</v>
      </c>
      <c r="F155" s="9" t="s">
        <v>199</v>
      </c>
      <c r="G155" s="9" t="s">
        <v>412</v>
      </c>
      <c r="H155" s="9" t="s">
        <v>831</v>
      </c>
      <c r="I155" s="55">
        <f>'Messages Dictionary'!I163</f>
        <v>0</v>
      </c>
      <c r="J155" s="10">
        <f>'Messages Dictionary'!J163</f>
        <v>0.5</v>
      </c>
      <c r="K155" s="10">
        <f t="shared" si="2"/>
        <v>0</v>
      </c>
      <c r="L155" s="66"/>
      <c r="M155" s="66"/>
      <c r="N155" s="67"/>
      <c r="O155" s="67"/>
      <c r="P155" s="67"/>
      <c r="Q155" s="67"/>
      <c r="R155" s="67"/>
      <c r="S155" s="67"/>
      <c r="T155" s="67"/>
      <c r="U155" s="67"/>
      <c r="V155" s="67"/>
      <c r="W155" s="67"/>
      <c r="X155" s="67"/>
      <c r="Y155" s="67"/>
      <c r="Z155" s="67"/>
      <c r="AA155" s="67"/>
      <c r="AB155" s="67"/>
      <c r="AC155" s="67"/>
      <c r="AD155" s="67"/>
      <c r="AE155" s="67"/>
      <c r="AF155" s="67"/>
      <c r="AG155" s="67"/>
      <c r="AH155" s="67"/>
      <c r="AI155" s="67"/>
      <c r="AJ155" s="67"/>
      <c r="AK155" s="67"/>
      <c r="AL155" s="67"/>
      <c r="AM155" s="67"/>
      <c r="AN155" s="67"/>
      <c r="AO155" s="67"/>
      <c r="AP155" s="67"/>
      <c r="AQ155" s="67"/>
      <c r="AR155" s="67"/>
      <c r="AS155" s="55">
        <f>'Messages Dictionary'!I163</f>
        <v>0</v>
      </c>
    </row>
    <row r="156" spans="1:45" ht="42.75" hidden="1" x14ac:dyDescent="0.2">
      <c r="A156" s="65">
        <v>1177</v>
      </c>
      <c r="B156" s="9" t="s">
        <v>885</v>
      </c>
      <c r="C156" s="9" t="s">
        <v>883</v>
      </c>
      <c r="D156" s="9" t="s">
        <v>842</v>
      </c>
      <c r="E156" s="9" t="s">
        <v>842</v>
      </c>
      <c r="F156" s="9" t="s">
        <v>199</v>
      </c>
      <c r="G156" s="9" t="s">
        <v>412</v>
      </c>
      <c r="H156" s="9" t="s">
        <v>831</v>
      </c>
      <c r="I156" s="55">
        <f>'Messages Dictionary'!I164</f>
        <v>0</v>
      </c>
      <c r="J156" s="10">
        <f>'Messages Dictionary'!J164</f>
        <v>0.5</v>
      </c>
      <c r="K156" s="10">
        <f t="shared" si="2"/>
        <v>0</v>
      </c>
      <c r="L156" s="66"/>
      <c r="M156" s="66"/>
      <c r="N156" s="67"/>
      <c r="O156" s="67"/>
      <c r="P156" s="67"/>
      <c r="Q156" s="67"/>
      <c r="R156" s="67"/>
      <c r="S156" s="67"/>
      <c r="T156" s="67"/>
      <c r="U156" s="67"/>
      <c r="V156" s="67"/>
      <c r="W156" s="67"/>
      <c r="X156" s="67"/>
      <c r="Y156" s="67"/>
      <c r="Z156" s="67"/>
      <c r="AA156" s="67"/>
      <c r="AB156" s="67"/>
      <c r="AC156" s="67"/>
      <c r="AD156" s="67"/>
      <c r="AE156" s="67"/>
      <c r="AF156" s="67"/>
      <c r="AG156" s="67"/>
      <c r="AH156" s="67"/>
      <c r="AI156" s="67"/>
      <c r="AJ156" s="67"/>
      <c r="AK156" s="67"/>
      <c r="AL156" s="67"/>
      <c r="AM156" s="67"/>
      <c r="AN156" s="67"/>
      <c r="AO156" s="67"/>
      <c r="AP156" s="67"/>
      <c r="AQ156" s="67"/>
      <c r="AR156" s="67"/>
      <c r="AS156" s="55">
        <f>'Messages Dictionary'!I164</f>
        <v>0</v>
      </c>
    </row>
    <row r="157" spans="1:45" ht="28.5" hidden="1" x14ac:dyDescent="0.2">
      <c r="A157" s="65">
        <v>1178</v>
      </c>
      <c r="B157" s="9" t="s">
        <v>886</v>
      </c>
      <c r="C157" s="9"/>
      <c r="D157" s="9" t="s">
        <v>842</v>
      </c>
      <c r="E157" s="9" t="s">
        <v>842</v>
      </c>
      <c r="F157" s="9" t="s">
        <v>199</v>
      </c>
      <c r="G157" s="9" t="s">
        <v>809</v>
      </c>
      <c r="H157" s="9" t="s">
        <v>831</v>
      </c>
      <c r="I157" s="55">
        <f>'Messages Dictionary'!I165</f>
        <v>0</v>
      </c>
      <c r="J157" s="10">
        <f>'Messages Dictionary'!J165</f>
        <v>0</v>
      </c>
      <c r="K157" s="10">
        <f t="shared" si="2"/>
        <v>0</v>
      </c>
      <c r="L157" s="66"/>
      <c r="M157" s="66"/>
      <c r="N157" s="67"/>
      <c r="O157" s="67"/>
      <c r="P157" s="67"/>
      <c r="Q157" s="67"/>
      <c r="R157" s="67"/>
      <c r="S157" s="67"/>
      <c r="T157" s="67"/>
      <c r="U157" s="67"/>
      <c r="V157" s="67"/>
      <c r="W157" s="67"/>
      <c r="X157" s="67"/>
      <c r="Y157" s="67"/>
      <c r="Z157" s="67"/>
      <c r="AA157" s="67"/>
      <c r="AB157" s="67"/>
      <c r="AC157" s="67"/>
      <c r="AD157" s="67"/>
      <c r="AE157" s="67"/>
      <c r="AF157" s="67"/>
      <c r="AG157" s="67"/>
      <c r="AH157" s="67"/>
      <c r="AI157" s="67"/>
      <c r="AJ157" s="67"/>
      <c r="AK157" s="67"/>
      <c r="AL157" s="67"/>
      <c r="AM157" s="67"/>
      <c r="AN157" s="67"/>
      <c r="AO157" s="67"/>
      <c r="AP157" s="67"/>
      <c r="AQ157" s="67"/>
      <c r="AR157" s="67"/>
      <c r="AS157" s="55">
        <f>'Messages Dictionary'!I165</f>
        <v>0</v>
      </c>
    </row>
    <row r="158" spans="1:45" ht="42.75" hidden="1" x14ac:dyDescent="0.2">
      <c r="A158" s="65">
        <v>1180</v>
      </c>
      <c r="B158" s="9" t="s">
        <v>887</v>
      </c>
      <c r="C158" s="9" t="s">
        <v>888</v>
      </c>
      <c r="D158" s="9" t="s">
        <v>842</v>
      </c>
      <c r="E158" s="9" t="s">
        <v>842</v>
      </c>
      <c r="F158" s="9" t="s">
        <v>199</v>
      </c>
      <c r="G158" s="9" t="s">
        <v>405</v>
      </c>
      <c r="H158" s="9" t="s">
        <v>426</v>
      </c>
      <c r="I158" s="55">
        <f>'Messages Dictionary'!I166</f>
        <v>0</v>
      </c>
      <c r="J158" s="10">
        <f>'Messages Dictionary'!J166</f>
        <v>1</v>
      </c>
      <c r="K158" s="10">
        <f t="shared" si="2"/>
        <v>0</v>
      </c>
      <c r="L158" s="66"/>
      <c r="M158" s="66"/>
      <c r="N158" s="67"/>
      <c r="O158" s="67"/>
      <c r="P158" s="67"/>
      <c r="Q158" s="67"/>
      <c r="R158" s="67"/>
      <c r="S158" s="67"/>
      <c r="T158" s="67"/>
      <c r="U158" s="67"/>
      <c r="V158" s="67"/>
      <c r="W158" s="67"/>
      <c r="X158" s="67"/>
      <c r="Y158" s="67"/>
      <c r="Z158" s="67"/>
      <c r="AA158" s="67"/>
      <c r="AB158" s="67"/>
      <c r="AC158" s="67"/>
      <c r="AD158" s="67"/>
      <c r="AE158" s="67"/>
      <c r="AF158" s="67"/>
      <c r="AG158" s="67"/>
      <c r="AH158" s="67"/>
      <c r="AI158" s="67"/>
      <c r="AJ158" s="67"/>
      <c r="AK158" s="67"/>
      <c r="AL158" s="67"/>
      <c r="AM158" s="67"/>
      <c r="AN158" s="67"/>
      <c r="AO158" s="67"/>
      <c r="AP158" s="67"/>
      <c r="AQ158" s="67"/>
      <c r="AR158" s="67"/>
      <c r="AS158" s="55">
        <f>'Messages Dictionary'!I166</f>
        <v>0</v>
      </c>
    </row>
    <row r="159" spans="1:45" ht="42.75" hidden="1" x14ac:dyDescent="0.2">
      <c r="A159" s="65">
        <v>1181</v>
      </c>
      <c r="B159" s="9" t="s">
        <v>889</v>
      </c>
      <c r="C159" s="9" t="s">
        <v>888</v>
      </c>
      <c r="D159" s="9" t="s">
        <v>842</v>
      </c>
      <c r="E159" s="9" t="s">
        <v>842</v>
      </c>
      <c r="F159" s="9" t="s">
        <v>199</v>
      </c>
      <c r="G159" s="9" t="s">
        <v>412</v>
      </c>
      <c r="H159" s="9" t="s">
        <v>831</v>
      </c>
      <c r="I159" s="55">
        <f>'Messages Dictionary'!I167</f>
        <v>0</v>
      </c>
      <c r="J159" s="10">
        <f>'Messages Dictionary'!J167</f>
        <v>1</v>
      </c>
      <c r="K159" s="10">
        <f t="shared" si="2"/>
        <v>0</v>
      </c>
      <c r="L159" s="66"/>
      <c r="M159" s="66"/>
      <c r="N159" s="67"/>
      <c r="O159" s="67"/>
      <c r="P159" s="67"/>
      <c r="Q159" s="67"/>
      <c r="R159" s="67"/>
      <c r="S159" s="67"/>
      <c r="T159" s="67"/>
      <c r="U159" s="67"/>
      <c r="V159" s="67"/>
      <c r="W159" s="67"/>
      <c r="X159" s="67"/>
      <c r="Y159" s="67"/>
      <c r="Z159" s="67"/>
      <c r="AA159" s="67"/>
      <c r="AB159" s="67"/>
      <c r="AC159" s="67"/>
      <c r="AD159" s="67"/>
      <c r="AE159" s="67"/>
      <c r="AF159" s="67"/>
      <c r="AG159" s="67"/>
      <c r="AH159" s="67"/>
      <c r="AI159" s="67"/>
      <c r="AJ159" s="67"/>
      <c r="AK159" s="67"/>
      <c r="AL159" s="67"/>
      <c r="AM159" s="67"/>
      <c r="AN159" s="67"/>
      <c r="AO159" s="67"/>
      <c r="AP159" s="67"/>
      <c r="AQ159" s="67"/>
      <c r="AR159" s="67"/>
      <c r="AS159" s="55">
        <f>'Messages Dictionary'!I167</f>
        <v>0</v>
      </c>
    </row>
    <row r="160" spans="1:45" ht="42.75" hidden="1" x14ac:dyDescent="0.2">
      <c r="A160" s="65">
        <v>1182</v>
      </c>
      <c r="B160" s="9" t="s">
        <v>0</v>
      </c>
      <c r="C160" s="9" t="s">
        <v>888</v>
      </c>
      <c r="D160" s="9" t="s">
        <v>842</v>
      </c>
      <c r="E160" s="9" t="s">
        <v>842</v>
      </c>
      <c r="F160" s="9" t="s">
        <v>199</v>
      </c>
      <c r="G160" s="9" t="s">
        <v>412</v>
      </c>
      <c r="H160" s="9" t="s">
        <v>831</v>
      </c>
      <c r="I160" s="55">
        <f>'Messages Dictionary'!I168</f>
        <v>0</v>
      </c>
      <c r="J160" s="10">
        <f>'Messages Dictionary'!J168</f>
        <v>1</v>
      </c>
      <c r="K160" s="10">
        <f t="shared" si="2"/>
        <v>0</v>
      </c>
      <c r="L160" s="66"/>
      <c r="M160" s="66"/>
      <c r="N160" s="67"/>
      <c r="O160" s="67"/>
      <c r="P160" s="67"/>
      <c r="Q160" s="67"/>
      <c r="R160" s="67"/>
      <c r="S160" s="67"/>
      <c r="T160" s="67"/>
      <c r="U160" s="67"/>
      <c r="V160" s="67"/>
      <c r="W160" s="67"/>
      <c r="X160" s="67"/>
      <c r="Y160" s="67"/>
      <c r="Z160" s="67"/>
      <c r="AA160" s="67"/>
      <c r="AB160" s="67"/>
      <c r="AC160" s="67"/>
      <c r="AD160" s="67"/>
      <c r="AE160" s="67"/>
      <c r="AF160" s="67"/>
      <c r="AG160" s="67"/>
      <c r="AH160" s="67"/>
      <c r="AI160" s="67"/>
      <c r="AJ160" s="67"/>
      <c r="AK160" s="67"/>
      <c r="AL160" s="67"/>
      <c r="AM160" s="67"/>
      <c r="AN160" s="67"/>
      <c r="AO160" s="67"/>
      <c r="AP160" s="67"/>
      <c r="AQ160" s="67"/>
      <c r="AR160" s="67"/>
      <c r="AS160" s="55">
        <f>'Messages Dictionary'!I168</f>
        <v>0</v>
      </c>
    </row>
    <row r="161" spans="1:45" ht="42.75" hidden="1" x14ac:dyDescent="0.2">
      <c r="A161" s="65">
        <v>1183</v>
      </c>
      <c r="B161" s="9" t="s">
        <v>1</v>
      </c>
      <c r="C161" s="9" t="s">
        <v>888</v>
      </c>
      <c r="D161" s="9" t="s">
        <v>842</v>
      </c>
      <c r="E161" s="9" t="s">
        <v>842</v>
      </c>
      <c r="F161" s="9" t="s">
        <v>199</v>
      </c>
      <c r="G161" s="9" t="s">
        <v>809</v>
      </c>
      <c r="H161" s="9" t="s">
        <v>831</v>
      </c>
      <c r="I161" s="55">
        <f>'Messages Dictionary'!I169</f>
        <v>0</v>
      </c>
      <c r="J161" s="10">
        <f>'Messages Dictionary'!J169</f>
        <v>0</v>
      </c>
      <c r="K161" s="10">
        <f t="shared" si="2"/>
        <v>0</v>
      </c>
      <c r="L161" s="66"/>
      <c r="M161" s="66"/>
      <c r="N161" s="67"/>
      <c r="O161" s="67"/>
      <c r="P161" s="67"/>
      <c r="Q161" s="67"/>
      <c r="R161" s="67"/>
      <c r="S161" s="67"/>
      <c r="T161" s="67"/>
      <c r="U161" s="67"/>
      <c r="V161" s="67"/>
      <c r="W161" s="67"/>
      <c r="X161" s="67"/>
      <c r="Y161" s="67"/>
      <c r="Z161" s="67"/>
      <c r="AA161" s="67"/>
      <c r="AB161" s="67"/>
      <c r="AC161" s="67"/>
      <c r="AD161" s="67"/>
      <c r="AE161" s="67"/>
      <c r="AF161" s="67"/>
      <c r="AG161" s="67"/>
      <c r="AH161" s="67"/>
      <c r="AI161" s="67"/>
      <c r="AJ161" s="67"/>
      <c r="AK161" s="67"/>
      <c r="AL161" s="67"/>
      <c r="AM161" s="67"/>
      <c r="AN161" s="67"/>
      <c r="AO161" s="67"/>
      <c r="AP161" s="67"/>
      <c r="AQ161" s="67"/>
      <c r="AR161" s="67"/>
      <c r="AS161" s="55">
        <f>'Messages Dictionary'!I169</f>
        <v>0</v>
      </c>
    </row>
    <row r="162" spans="1:45" ht="28.5" hidden="1" x14ac:dyDescent="0.2">
      <c r="A162" s="65">
        <v>1185</v>
      </c>
      <c r="B162" s="9" t="s">
        <v>2</v>
      </c>
      <c r="C162" s="9" t="s">
        <v>3</v>
      </c>
      <c r="D162" s="9" t="s">
        <v>4</v>
      </c>
      <c r="E162" s="9" t="s">
        <v>5</v>
      </c>
      <c r="F162" s="9" t="s">
        <v>199</v>
      </c>
      <c r="G162" s="9" t="s">
        <v>412</v>
      </c>
      <c r="H162" s="9" t="s">
        <v>831</v>
      </c>
      <c r="I162" s="55">
        <f>'Messages Dictionary'!I170</f>
        <v>0</v>
      </c>
      <c r="J162" s="10">
        <f>'Messages Dictionary'!J170</f>
        <v>0.5</v>
      </c>
      <c r="K162" s="10">
        <f t="shared" si="2"/>
        <v>0</v>
      </c>
      <c r="L162" s="66"/>
      <c r="M162" s="66"/>
      <c r="N162" s="67"/>
      <c r="O162" s="67"/>
      <c r="P162" s="67"/>
      <c r="Q162" s="67"/>
      <c r="R162" s="67"/>
      <c r="S162" s="67"/>
      <c r="T162" s="67"/>
      <c r="U162" s="67"/>
      <c r="V162" s="67"/>
      <c r="W162" s="67"/>
      <c r="X162" s="67"/>
      <c r="Y162" s="67"/>
      <c r="Z162" s="67"/>
      <c r="AA162" s="67"/>
      <c r="AB162" s="67"/>
      <c r="AC162" s="67"/>
      <c r="AD162" s="67"/>
      <c r="AE162" s="67"/>
      <c r="AF162" s="67"/>
      <c r="AG162" s="67"/>
      <c r="AH162" s="67"/>
      <c r="AI162" s="67"/>
      <c r="AJ162" s="67"/>
      <c r="AK162" s="67"/>
      <c r="AL162" s="67"/>
      <c r="AM162" s="67"/>
      <c r="AN162" s="67"/>
      <c r="AO162" s="67"/>
      <c r="AP162" s="67"/>
      <c r="AQ162" s="67"/>
      <c r="AR162" s="67"/>
      <c r="AS162" s="55">
        <f>'Messages Dictionary'!I170</f>
        <v>0</v>
      </c>
    </row>
    <row r="163" spans="1:45" ht="28.5" hidden="1" x14ac:dyDescent="0.2">
      <c r="A163" s="65">
        <v>1186</v>
      </c>
      <c r="B163" s="9" t="s">
        <v>6</v>
      </c>
      <c r="C163" s="9" t="s">
        <v>3</v>
      </c>
      <c r="D163" s="9" t="s">
        <v>4</v>
      </c>
      <c r="E163" s="9" t="s">
        <v>5</v>
      </c>
      <c r="F163" s="9" t="s">
        <v>199</v>
      </c>
      <c r="G163" s="9" t="s">
        <v>412</v>
      </c>
      <c r="H163" s="9" t="s">
        <v>831</v>
      </c>
      <c r="I163" s="55">
        <f>'Messages Dictionary'!I171</f>
        <v>0</v>
      </c>
      <c r="J163" s="10">
        <f>'Messages Dictionary'!J171</f>
        <v>0.5</v>
      </c>
      <c r="K163" s="10">
        <f t="shared" si="2"/>
        <v>0</v>
      </c>
      <c r="L163" s="66"/>
      <c r="M163" s="66"/>
      <c r="N163" s="67"/>
      <c r="O163" s="67"/>
      <c r="P163" s="67"/>
      <c r="Q163" s="67"/>
      <c r="R163" s="67"/>
      <c r="S163" s="67"/>
      <c r="T163" s="67"/>
      <c r="U163" s="67"/>
      <c r="V163" s="67"/>
      <c r="W163" s="67"/>
      <c r="X163" s="67"/>
      <c r="Y163" s="67"/>
      <c r="Z163" s="67"/>
      <c r="AA163" s="67"/>
      <c r="AB163" s="67"/>
      <c r="AC163" s="67"/>
      <c r="AD163" s="67"/>
      <c r="AE163" s="67"/>
      <c r="AF163" s="67"/>
      <c r="AG163" s="67"/>
      <c r="AH163" s="67"/>
      <c r="AI163" s="67"/>
      <c r="AJ163" s="67"/>
      <c r="AK163" s="67"/>
      <c r="AL163" s="67"/>
      <c r="AM163" s="67"/>
      <c r="AN163" s="67"/>
      <c r="AO163" s="67"/>
      <c r="AP163" s="67"/>
      <c r="AQ163" s="67"/>
      <c r="AR163" s="67"/>
      <c r="AS163" s="55">
        <f>'Messages Dictionary'!I171</f>
        <v>0</v>
      </c>
    </row>
    <row r="164" spans="1:45" ht="28.5" hidden="1" x14ac:dyDescent="0.2">
      <c r="A164" s="65">
        <v>1187</v>
      </c>
      <c r="B164" s="9" t="s">
        <v>7</v>
      </c>
      <c r="C164" s="9" t="s">
        <v>3</v>
      </c>
      <c r="D164" s="9" t="s">
        <v>4</v>
      </c>
      <c r="E164" s="9" t="s">
        <v>5</v>
      </c>
      <c r="F164" s="9" t="s">
        <v>199</v>
      </c>
      <c r="G164" s="9" t="s">
        <v>412</v>
      </c>
      <c r="H164" s="9" t="s">
        <v>831</v>
      </c>
      <c r="I164" s="55">
        <f>'Messages Dictionary'!I172</f>
        <v>0</v>
      </c>
      <c r="J164" s="10">
        <f>'Messages Dictionary'!J172</f>
        <v>0.5</v>
      </c>
      <c r="K164" s="10">
        <f t="shared" si="2"/>
        <v>0</v>
      </c>
      <c r="L164" s="66"/>
      <c r="M164" s="66"/>
      <c r="N164" s="67"/>
      <c r="O164" s="67"/>
      <c r="P164" s="67"/>
      <c r="Q164" s="67"/>
      <c r="R164" s="67"/>
      <c r="S164" s="67"/>
      <c r="T164" s="67"/>
      <c r="U164" s="67"/>
      <c r="V164" s="67"/>
      <c r="W164" s="67"/>
      <c r="X164" s="67"/>
      <c r="Y164" s="67"/>
      <c r="Z164" s="67"/>
      <c r="AA164" s="67"/>
      <c r="AB164" s="67"/>
      <c r="AC164" s="67"/>
      <c r="AD164" s="67"/>
      <c r="AE164" s="67"/>
      <c r="AF164" s="67"/>
      <c r="AG164" s="67"/>
      <c r="AH164" s="67"/>
      <c r="AI164" s="67"/>
      <c r="AJ164" s="67"/>
      <c r="AK164" s="67"/>
      <c r="AL164" s="67"/>
      <c r="AM164" s="67"/>
      <c r="AN164" s="67"/>
      <c r="AO164" s="67"/>
      <c r="AP164" s="67"/>
      <c r="AQ164" s="67"/>
      <c r="AR164" s="67"/>
      <c r="AS164" s="55">
        <f>'Messages Dictionary'!I172</f>
        <v>0</v>
      </c>
    </row>
    <row r="165" spans="1:45" ht="28.5" hidden="1" x14ac:dyDescent="0.2">
      <c r="A165" s="65">
        <v>1188</v>
      </c>
      <c r="B165" s="9" t="s">
        <v>8</v>
      </c>
      <c r="C165" s="9" t="s">
        <v>3</v>
      </c>
      <c r="D165" s="9" t="s">
        <v>4</v>
      </c>
      <c r="E165" s="9" t="s">
        <v>5</v>
      </c>
      <c r="F165" s="9" t="s">
        <v>199</v>
      </c>
      <c r="G165" s="9" t="s">
        <v>412</v>
      </c>
      <c r="H165" s="9" t="s">
        <v>831</v>
      </c>
      <c r="I165" s="55">
        <f>'Messages Dictionary'!I173</f>
        <v>0</v>
      </c>
      <c r="J165" s="10">
        <f>'Messages Dictionary'!J173</f>
        <v>0.5</v>
      </c>
      <c r="K165" s="10">
        <f t="shared" si="2"/>
        <v>0</v>
      </c>
      <c r="L165" s="66"/>
      <c r="M165" s="66"/>
      <c r="N165" s="67"/>
      <c r="O165" s="67"/>
      <c r="P165" s="67"/>
      <c r="Q165" s="67"/>
      <c r="R165" s="67"/>
      <c r="S165" s="67"/>
      <c r="T165" s="67"/>
      <c r="U165" s="67"/>
      <c r="V165" s="67"/>
      <c r="W165" s="67"/>
      <c r="X165" s="67"/>
      <c r="Y165" s="67"/>
      <c r="Z165" s="67"/>
      <c r="AA165" s="67"/>
      <c r="AB165" s="67"/>
      <c r="AC165" s="67"/>
      <c r="AD165" s="67"/>
      <c r="AE165" s="67"/>
      <c r="AF165" s="67"/>
      <c r="AG165" s="67"/>
      <c r="AH165" s="67"/>
      <c r="AI165" s="67"/>
      <c r="AJ165" s="67"/>
      <c r="AK165" s="67"/>
      <c r="AL165" s="67"/>
      <c r="AM165" s="67"/>
      <c r="AN165" s="67"/>
      <c r="AO165" s="67"/>
      <c r="AP165" s="67"/>
      <c r="AQ165" s="67"/>
      <c r="AR165" s="67"/>
      <c r="AS165" s="55">
        <f>'Messages Dictionary'!I173</f>
        <v>0</v>
      </c>
    </row>
    <row r="166" spans="1:45" ht="28.5" hidden="1" x14ac:dyDescent="0.2">
      <c r="A166" s="65">
        <v>1190</v>
      </c>
      <c r="B166" s="9" t="s">
        <v>9</v>
      </c>
      <c r="C166" s="9" t="s">
        <v>10</v>
      </c>
      <c r="D166" s="9" t="s">
        <v>4</v>
      </c>
      <c r="E166" s="9" t="s">
        <v>5</v>
      </c>
      <c r="F166" s="9" t="s">
        <v>199</v>
      </c>
      <c r="G166" s="9" t="s">
        <v>405</v>
      </c>
      <c r="H166" s="9" t="s">
        <v>426</v>
      </c>
      <c r="I166" s="55">
        <f>'Messages Dictionary'!I174</f>
        <v>0</v>
      </c>
      <c r="J166" s="10">
        <f>'Messages Dictionary'!J174</f>
        <v>1</v>
      </c>
      <c r="K166" s="10">
        <f t="shared" si="2"/>
        <v>0</v>
      </c>
      <c r="L166" s="66"/>
      <c r="M166" s="66"/>
      <c r="N166" s="67"/>
      <c r="O166" s="67"/>
      <c r="P166" s="67"/>
      <c r="Q166" s="67"/>
      <c r="R166" s="67"/>
      <c r="S166" s="67"/>
      <c r="T166" s="67"/>
      <c r="U166" s="67"/>
      <c r="V166" s="67"/>
      <c r="W166" s="67"/>
      <c r="X166" s="67"/>
      <c r="Y166" s="67"/>
      <c r="Z166" s="67"/>
      <c r="AA166" s="67"/>
      <c r="AB166" s="67"/>
      <c r="AC166" s="67"/>
      <c r="AD166" s="67"/>
      <c r="AE166" s="67"/>
      <c r="AF166" s="67"/>
      <c r="AG166" s="67"/>
      <c r="AH166" s="67"/>
      <c r="AI166" s="67"/>
      <c r="AJ166" s="67"/>
      <c r="AK166" s="67"/>
      <c r="AL166" s="67"/>
      <c r="AM166" s="67"/>
      <c r="AN166" s="67"/>
      <c r="AO166" s="67"/>
      <c r="AP166" s="67"/>
      <c r="AQ166" s="67"/>
      <c r="AR166" s="67"/>
      <c r="AS166" s="55">
        <f>'Messages Dictionary'!I174</f>
        <v>0</v>
      </c>
    </row>
    <row r="167" spans="1:45" ht="28.5" hidden="1" x14ac:dyDescent="0.2">
      <c r="A167" s="65">
        <v>1191</v>
      </c>
      <c r="B167" s="9" t="s">
        <v>11</v>
      </c>
      <c r="C167" s="9" t="s">
        <v>10</v>
      </c>
      <c r="D167" s="9" t="s">
        <v>4</v>
      </c>
      <c r="E167" s="9" t="s">
        <v>5</v>
      </c>
      <c r="F167" s="9" t="s">
        <v>199</v>
      </c>
      <c r="G167" s="9" t="s">
        <v>412</v>
      </c>
      <c r="H167" s="9" t="s">
        <v>831</v>
      </c>
      <c r="I167" s="55">
        <f>'Messages Dictionary'!I175</f>
        <v>0</v>
      </c>
      <c r="J167" s="10">
        <f>'Messages Dictionary'!J175</f>
        <v>0.5</v>
      </c>
      <c r="K167" s="10">
        <f t="shared" si="2"/>
        <v>0</v>
      </c>
      <c r="L167" s="66"/>
      <c r="M167" s="66"/>
      <c r="N167" s="67"/>
      <c r="O167" s="67"/>
      <c r="P167" s="67"/>
      <c r="Q167" s="67"/>
      <c r="R167" s="67"/>
      <c r="S167" s="67"/>
      <c r="T167" s="67"/>
      <c r="U167" s="67"/>
      <c r="V167" s="67"/>
      <c r="W167" s="67"/>
      <c r="X167" s="67"/>
      <c r="Y167" s="67"/>
      <c r="Z167" s="67"/>
      <c r="AA167" s="67"/>
      <c r="AB167" s="67"/>
      <c r="AC167" s="67"/>
      <c r="AD167" s="67"/>
      <c r="AE167" s="67"/>
      <c r="AF167" s="67"/>
      <c r="AG167" s="67"/>
      <c r="AH167" s="67"/>
      <c r="AI167" s="67"/>
      <c r="AJ167" s="67"/>
      <c r="AK167" s="67"/>
      <c r="AL167" s="67"/>
      <c r="AM167" s="67"/>
      <c r="AN167" s="67"/>
      <c r="AO167" s="67"/>
      <c r="AP167" s="67"/>
      <c r="AQ167" s="67"/>
      <c r="AR167" s="67"/>
      <c r="AS167" s="55">
        <f>'Messages Dictionary'!I175</f>
        <v>0</v>
      </c>
    </row>
    <row r="168" spans="1:45" ht="28.5" hidden="1" x14ac:dyDescent="0.2">
      <c r="A168" s="65">
        <v>1200</v>
      </c>
      <c r="B168" s="9" t="s">
        <v>12</v>
      </c>
      <c r="C168" s="9" t="s">
        <v>10</v>
      </c>
      <c r="D168" s="9" t="s">
        <v>4</v>
      </c>
      <c r="E168" s="9" t="s">
        <v>5</v>
      </c>
      <c r="F168" s="9" t="s">
        <v>199</v>
      </c>
      <c r="G168" s="9" t="s">
        <v>412</v>
      </c>
      <c r="H168" s="9" t="s">
        <v>831</v>
      </c>
      <c r="I168" s="55">
        <f>'Messages Dictionary'!I176</f>
        <v>0</v>
      </c>
      <c r="J168" s="10">
        <f>'Messages Dictionary'!J176</f>
        <v>1</v>
      </c>
      <c r="K168" s="10">
        <f t="shared" si="2"/>
        <v>0</v>
      </c>
      <c r="L168" s="66"/>
      <c r="M168" s="66"/>
      <c r="N168" s="67"/>
      <c r="O168" s="67"/>
      <c r="P168" s="67"/>
      <c r="Q168" s="67"/>
      <c r="R168" s="67"/>
      <c r="S168" s="67"/>
      <c r="T168" s="67"/>
      <c r="U168" s="67"/>
      <c r="V168" s="67"/>
      <c r="W168" s="67"/>
      <c r="X168" s="67"/>
      <c r="Y168" s="67"/>
      <c r="Z168" s="67"/>
      <c r="AA168" s="67"/>
      <c r="AB168" s="67"/>
      <c r="AC168" s="67"/>
      <c r="AD168" s="67"/>
      <c r="AE168" s="67"/>
      <c r="AF168" s="67"/>
      <c r="AG168" s="67"/>
      <c r="AH168" s="67"/>
      <c r="AI168" s="67"/>
      <c r="AJ168" s="67"/>
      <c r="AK168" s="67"/>
      <c r="AL168" s="67"/>
      <c r="AM168" s="67"/>
      <c r="AN168" s="67"/>
      <c r="AO168" s="67"/>
      <c r="AP168" s="67"/>
      <c r="AQ168" s="67"/>
      <c r="AR168" s="67"/>
      <c r="AS168" s="55">
        <f>'Messages Dictionary'!I176</f>
        <v>0</v>
      </c>
    </row>
    <row r="169" spans="1:45" ht="28.5" hidden="1" x14ac:dyDescent="0.2">
      <c r="A169" s="65">
        <v>1201</v>
      </c>
      <c r="B169" s="9" t="s">
        <v>13</v>
      </c>
      <c r="C169" s="9" t="s">
        <v>10</v>
      </c>
      <c r="D169" s="9" t="s">
        <v>4</v>
      </c>
      <c r="E169" s="9" t="s">
        <v>14</v>
      </c>
      <c r="F169" s="9" t="s">
        <v>199</v>
      </c>
      <c r="G169" s="9" t="s">
        <v>412</v>
      </c>
      <c r="H169" s="9" t="s">
        <v>831</v>
      </c>
      <c r="I169" s="55">
        <f>'Messages Dictionary'!I177</f>
        <v>0</v>
      </c>
      <c r="J169" s="10">
        <f>'Messages Dictionary'!J177</f>
        <v>1</v>
      </c>
      <c r="K169" s="10">
        <f t="shared" si="2"/>
        <v>0</v>
      </c>
      <c r="L169" s="66"/>
      <c r="M169" s="66"/>
      <c r="N169" s="67"/>
      <c r="O169" s="67"/>
      <c r="P169" s="67"/>
      <c r="Q169" s="67"/>
      <c r="R169" s="67"/>
      <c r="S169" s="67"/>
      <c r="T169" s="67"/>
      <c r="U169" s="67"/>
      <c r="V169" s="67"/>
      <c r="W169" s="67"/>
      <c r="X169" s="67"/>
      <c r="Y169" s="67"/>
      <c r="Z169" s="67"/>
      <c r="AA169" s="67"/>
      <c r="AB169" s="67"/>
      <c r="AC169" s="67"/>
      <c r="AD169" s="67"/>
      <c r="AE169" s="67"/>
      <c r="AF169" s="67"/>
      <c r="AG169" s="67"/>
      <c r="AH169" s="67"/>
      <c r="AI169" s="67"/>
      <c r="AJ169" s="67"/>
      <c r="AK169" s="67"/>
      <c r="AL169" s="67"/>
      <c r="AM169" s="67"/>
      <c r="AN169" s="67"/>
      <c r="AO169" s="67"/>
      <c r="AP169" s="67"/>
      <c r="AQ169" s="67"/>
      <c r="AR169" s="67"/>
      <c r="AS169" s="55">
        <f>'Messages Dictionary'!I177</f>
        <v>0</v>
      </c>
    </row>
    <row r="170" spans="1:45" ht="28.5" hidden="1" x14ac:dyDescent="0.2">
      <c r="A170" s="65">
        <v>1202</v>
      </c>
      <c r="B170" s="9" t="s">
        <v>15</v>
      </c>
      <c r="C170" s="9" t="s">
        <v>10</v>
      </c>
      <c r="D170" s="9" t="s">
        <v>4</v>
      </c>
      <c r="E170" s="9" t="s">
        <v>14</v>
      </c>
      <c r="F170" s="9" t="s">
        <v>199</v>
      </c>
      <c r="G170" s="9" t="s">
        <v>412</v>
      </c>
      <c r="H170" s="9" t="s">
        <v>831</v>
      </c>
      <c r="I170" s="55">
        <f>'Messages Dictionary'!I178</f>
        <v>0</v>
      </c>
      <c r="J170" s="10">
        <f>'Messages Dictionary'!J178</f>
        <v>1</v>
      </c>
      <c r="K170" s="10">
        <f t="shared" si="2"/>
        <v>0</v>
      </c>
      <c r="L170" s="66"/>
      <c r="M170" s="66"/>
      <c r="N170" s="67"/>
      <c r="O170" s="67"/>
      <c r="P170" s="67"/>
      <c r="Q170" s="67"/>
      <c r="R170" s="67"/>
      <c r="S170" s="67"/>
      <c r="T170" s="67"/>
      <c r="U170" s="67"/>
      <c r="V170" s="67"/>
      <c r="W170" s="67"/>
      <c r="X170" s="67"/>
      <c r="Y170" s="67"/>
      <c r="Z170" s="67"/>
      <c r="AA170" s="67"/>
      <c r="AB170" s="67"/>
      <c r="AC170" s="67"/>
      <c r="AD170" s="67"/>
      <c r="AE170" s="67"/>
      <c r="AF170" s="67"/>
      <c r="AG170" s="67"/>
      <c r="AH170" s="67"/>
      <c r="AI170" s="67"/>
      <c r="AJ170" s="67"/>
      <c r="AK170" s="67"/>
      <c r="AL170" s="67"/>
      <c r="AM170" s="67"/>
      <c r="AN170" s="67"/>
      <c r="AO170" s="67"/>
      <c r="AP170" s="67"/>
      <c r="AQ170" s="67"/>
      <c r="AR170" s="67"/>
      <c r="AS170" s="55">
        <f>'Messages Dictionary'!I178</f>
        <v>0</v>
      </c>
    </row>
    <row r="171" spans="1:45" ht="28.5" hidden="1" x14ac:dyDescent="0.2">
      <c r="A171" s="65">
        <v>1203</v>
      </c>
      <c r="B171" s="9" t="s">
        <v>16</v>
      </c>
      <c r="C171" s="9" t="s">
        <v>10</v>
      </c>
      <c r="D171" s="9" t="s">
        <v>4</v>
      </c>
      <c r="E171" s="9" t="s">
        <v>14</v>
      </c>
      <c r="F171" s="9" t="s">
        <v>199</v>
      </c>
      <c r="G171" s="9" t="s">
        <v>412</v>
      </c>
      <c r="H171" s="9" t="s">
        <v>831</v>
      </c>
      <c r="I171" s="55">
        <f>'Messages Dictionary'!I179</f>
        <v>0</v>
      </c>
      <c r="J171" s="10">
        <f>'Messages Dictionary'!J179</f>
        <v>0.5</v>
      </c>
      <c r="K171" s="10">
        <f t="shared" si="2"/>
        <v>0</v>
      </c>
      <c r="L171" s="66"/>
      <c r="M171" s="66"/>
      <c r="N171" s="67"/>
      <c r="O171" s="67"/>
      <c r="P171" s="67"/>
      <c r="Q171" s="67"/>
      <c r="R171" s="67"/>
      <c r="S171" s="67"/>
      <c r="T171" s="67"/>
      <c r="U171" s="67"/>
      <c r="V171" s="67"/>
      <c r="W171" s="67"/>
      <c r="X171" s="67"/>
      <c r="Y171" s="67"/>
      <c r="Z171" s="67"/>
      <c r="AA171" s="67"/>
      <c r="AB171" s="67"/>
      <c r="AC171" s="67"/>
      <c r="AD171" s="67"/>
      <c r="AE171" s="67"/>
      <c r="AF171" s="67"/>
      <c r="AG171" s="67"/>
      <c r="AH171" s="67"/>
      <c r="AI171" s="67"/>
      <c r="AJ171" s="67"/>
      <c r="AK171" s="67"/>
      <c r="AL171" s="67"/>
      <c r="AM171" s="67"/>
      <c r="AN171" s="67"/>
      <c r="AO171" s="67"/>
      <c r="AP171" s="67"/>
      <c r="AQ171" s="67"/>
      <c r="AR171" s="67"/>
      <c r="AS171" s="55">
        <f>'Messages Dictionary'!I179</f>
        <v>0</v>
      </c>
    </row>
    <row r="172" spans="1:45" ht="28.5" hidden="1" x14ac:dyDescent="0.2">
      <c r="A172" s="65">
        <v>1205</v>
      </c>
      <c r="B172" s="9" t="s">
        <v>17</v>
      </c>
      <c r="C172" s="9" t="s">
        <v>10</v>
      </c>
      <c r="D172" s="9" t="s">
        <v>4</v>
      </c>
      <c r="E172" s="9" t="s">
        <v>18</v>
      </c>
      <c r="F172" s="9" t="s">
        <v>199</v>
      </c>
      <c r="G172" s="9" t="s">
        <v>412</v>
      </c>
      <c r="H172" s="9" t="s">
        <v>831</v>
      </c>
      <c r="I172" s="55">
        <f>'Messages Dictionary'!I180</f>
        <v>0</v>
      </c>
      <c r="J172" s="10">
        <f>'Messages Dictionary'!J180</f>
        <v>1</v>
      </c>
      <c r="K172" s="10">
        <f t="shared" si="2"/>
        <v>0</v>
      </c>
      <c r="L172" s="66"/>
      <c r="M172" s="66"/>
      <c r="N172" s="67"/>
      <c r="O172" s="67"/>
      <c r="P172" s="67"/>
      <c r="Q172" s="67"/>
      <c r="R172" s="67"/>
      <c r="S172" s="67"/>
      <c r="T172" s="67"/>
      <c r="U172" s="67"/>
      <c r="V172" s="67"/>
      <c r="W172" s="67"/>
      <c r="X172" s="67"/>
      <c r="Y172" s="67"/>
      <c r="Z172" s="67"/>
      <c r="AA172" s="67"/>
      <c r="AB172" s="67"/>
      <c r="AC172" s="67"/>
      <c r="AD172" s="67"/>
      <c r="AE172" s="67"/>
      <c r="AF172" s="67"/>
      <c r="AG172" s="67"/>
      <c r="AH172" s="67"/>
      <c r="AI172" s="67"/>
      <c r="AJ172" s="67"/>
      <c r="AK172" s="67"/>
      <c r="AL172" s="67"/>
      <c r="AM172" s="67"/>
      <c r="AN172" s="67"/>
      <c r="AO172" s="67"/>
      <c r="AP172" s="67"/>
      <c r="AQ172" s="67"/>
      <c r="AR172" s="67"/>
      <c r="AS172" s="55">
        <f>'Messages Dictionary'!I180</f>
        <v>0</v>
      </c>
    </row>
    <row r="173" spans="1:45" ht="28.5" hidden="1" x14ac:dyDescent="0.2">
      <c r="A173" s="65">
        <v>1206</v>
      </c>
      <c r="B173" s="9" t="s">
        <v>19</v>
      </c>
      <c r="C173" s="9" t="s">
        <v>20</v>
      </c>
      <c r="D173" s="9" t="s">
        <v>404</v>
      </c>
      <c r="E173" s="9" t="s">
        <v>404</v>
      </c>
      <c r="F173" s="9" t="s">
        <v>199</v>
      </c>
      <c r="G173" s="9" t="s">
        <v>412</v>
      </c>
      <c r="H173" s="9" t="s">
        <v>831</v>
      </c>
      <c r="I173" s="55">
        <f>'Messages Dictionary'!I181</f>
        <v>0</v>
      </c>
      <c r="J173" s="10">
        <f>'Messages Dictionary'!J181</f>
        <v>0.5</v>
      </c>
      <c r="K173" s="10">
        <f t="shared" si="2"/>
        <v>0</v>
      </c>
      <c r="L173" s="66"/>
      <c r="M173" s="66"/>
      <c r="N173" s="67"/>
      <c r="O173" s="67"/>
      <c r="P173" s="67"/>
      <c r="Q173" s="67"/>
      <c r="R173" s="67"/>
      <c r="S173" s="67"/>
      <c r="T173" s="67"/>
      <c r="U173" s="67"/>
      <c r="V173" s="67"/>
      <c r="W173" s="67"/>
      <c r="X173" s="67"/>
      <c r="Y173" s="67"/>
      <c r="Z173" s="67"/>
      <c r="AA173" s="67"/>
      <c r="AB173" s="67"/>
      <c r="AC173" s="67"/>
      <c r="AD173" s="67"/>
      <c r="AE173" s="67"/>
      <c r="AF173" s="67"/>
      <c r="AG173" s="67"/>
      <c r="AH173" s="67"/>
      <c r="AI173" s="67"/>
      <c r="AJ173" s="67"/>
      <c r="AK173" s="67"/>
      <c r="AL173" s="67"/>
      <c r="AM173" s="67"/>
      <c r="AN173" s="67"/>
      <c r="AO173" s="67"/>
      <c r="AP173" s="67"/>
      <c r="AQ173" s="67"/>
      <c r="AR173" s="67"/>
      <c r="AS173" s="55">
        <f>'Messages Dictionary'!I181</f>
        <v>0</v>
      </c>
    </row>
    <row r="174" spans="1:45" ht="28.5" hidden="1" x14ac:dyDescent="0.2">
      <c r="A174" s="65">
        <v>1207</v>
      </c>
      <c r="B174" s="9" t="s">
        <v>21</v>
      </c>
      <c r="C174" s="9" t="s">
        <v>22</v>
      </c>
      <c r="D174" s="9" t="s">
        <v>404</v>
      </c>
      <c r="E174" s="9" t="s">
        <v>404</v>
      </c>
      <c r="F174" s="9" t="s">
        <v>199</v>
      </c>
      <c r="G174" s="9" t="s">
        <v>412</v>
      </c>
      <c r="H174" s="9" t="s">
        <v>831</v>
      </c>
      <c r="I174" s="55">
        <f>'Messages Dictionary'!I182</f>
        <v>0</v>
      </c>
      <c r="J174" s="10">
        <f>'Messages Dictionary'!J182</f>
        <v>0.5</v>
      </c>
      <c r="K174" s="10">
        <f t="shared" si="2"/>
        <v>0</v>
      </c>
      <c r="L174" s="66"/>
      <c r="M174" s="66"/>
      <c r="N174" s="67"/>
      <c r="O174" s="67"/>
      <c r="P174" s="67"/>
      <c r="Q174" s="67"/>
      <c r="R174" s="67"/>
      <c r="S174" s="67"/>
      <c r="T174" s="67"/>
      <c r="U174" s="67"/>
      <c r="V174" s="67"/>
      <c r="W174" s="67"/>
      <c r="X174" s="67"/>
      <c r="Y174" s="67"/>
      <c r="Z174" s="67"/>
      <c r="AA174" s="67"/>
      <c r="AB174" s="67"/>
      <c r="AC174" s="67"/>
      <c r="AD174" s="67"/>
      <c r="AE174" s="67"/>
      <c r="AF174" s="67"/>
      <c r="AG174" s="67"/>
      <c r="AH174" s="67"/>
      <c r="AI174" s="67"/>
      <c r="AJ174" s="67"/>
      <c r="AK174" s="67"/>
      <c r="AL174" s="67"/>
      <c r="AM174" s="67"/>
      <c r="AN174" s="67"/>
      <c r="AO174" s="67"/>
      <c r="AP174" s="67"/>
      <c r="AQ174" s="67"/>
      <c r="AR174" s="67"/>
      <c r="AS174" s="55">
        <f>'Messages Dictionary'!I182</f>
        <v>0</v>
      </c>
    </row>
    <row r="175" spans="1:45" ht="28.5" hidden="1" x14ac:dyDescent="0.2">
      <c r="A175" s="65">
        <v>1208</v>
      </c>
      <c r="B175" s="9" t="s">
        <v>23</v>
      </c>
      <c r="C175" s="9" t="s">
        <v>10</v>
      </c>
      <c r="D175" s="9" t="s">
        <v>4</v>
      </c>
      <c r="E175" s="9" t="s">
        <v>24</v>
      </c>
      <c r="F175" s="9" t="s">
        <v>199</v>
      </c>
      <c r="G175" s="9" t="s">
        <v>412</v>
      </c>
      <c r="H175" s="9" t="s">
        <v>831</v>
      </c>
      <c r="I175" s="55">
        <f>'Messages Dictionary'!I183</f>
        <v>0</v>
      </c>
      <c r="J175" s="10">
        <f>'Messages Dictionary'!J183</f>
        <v>1</v>
      </c>
      <c r="K175" s="10">
        <f t="shared" si="2"/>
        <v>0</v>
      </c>
      <c r="L175" s="66"/>
      <c r="M175" s="66"/>
      <c r="N175" s="67"/>
      <c r="O175" s="67"/>
      <c r="P175" s="67"/>
      <c r="Q175" s="67"/>
      <c r="R175" s="67"/>
      <c r="S175" s="67"/>
      <c r="T175" s="67"/>
      <c r="U175" s="67"/>
      <c r="V175" s="67"/>
      <c r="W175" s="67"/>
      <c r="X175" s="67"/>
      <c r="Y175" s="67"/>
      <c r="Z175" s="67"/>
      <c r="AA175" s="67"/>
      <c r="AB175" s="67"/>
      <c r="AC175" s="67"/>
      <c r="AD175" s="67"/>
      <c r="AE175" s="67"/>
      <c r="AF175" s="67"/>
      <c r="AG175" s="67"/>
      <c r="AH175" s="67"/>
      <c r="AI175" s="67"/>
      <c r="AJ175" s="67"/>
      <c r="AK175" s="67"/>
      <c r="AL175" s="67"/>
      <c r="AM175" s="67"/>
      <c r="AN175" s="67"/>
      <c r="AO175" s="67"/>
      <c r="AP175" s="67"/>
      <c r="AQ175" s="67"/>
      <c r="AR175" s="67"/>
      <c r="AS175" s="55">
        <f>'Messages Dictionary'!I183</f>
        <v>0</v>
      </c>
    </row>
    <row r="176" spans="1:45" ht="42.75" hidden="1" x14ac:dyDescent="0.2">
      <c r="A176" s="65">
        <v>1209</v>
      </c>
      <c r="B176" s="9" t="s">
        <v>25</v>
      </c>
      <c r="C176" s="9" t="s">
        <v>26</v>
      </c>
      <c r="D176" s="9" t="s">
        <v>821</v>
      </c>
      <c r="E176" s="9" t="s">
        <v>27</v>
      </c>
      <c r="F176" s="9" t="s">
        <v>199</v>
      </c>
      <c r="G176" s="9" t="s">
        <v>412</v>
      </c>
      <c r="H176" s="9" t="s">
        <v>831</v>
      </c>
      <c r="I176" s="55">
        <f>'Messages Dictionary'!I184</f>
        <v>0</v>
      </c>
      <c r="J176" s="10">
        <f>'Messages Dictionary'!J184</f>
        <v>0.5</v>
      </c>
      <c r="K176" s="10">
        <f t="shared" si="2"/>
        <v>0</v>
      </c>
      <c r="L176" s="66"/>
      <c r="M176" s="66"/>
      <c r="N176" s="67"/>
      <c r="O176" s="67"/>
      <c r="P176" s="67"/>
      <c r="Q176" s="67"/>
      <c r="R176" s="67"/>
      <c r="S176" s="67"/>
      <c r="T176" s="67"/>
      <c r="U176" s="67"/>
      <c r="V176" s="67"/>
      <c r="W176" s="67"/>
      <c r="X176" s="67"/>
      <c r="Y176" s="67"/>
      <c r="Z176" s="67"/>
      <c r="AA176" s="67"/>
      <c r="AB176" s="67"/>
      <c r="AC176" s="67"/>
      <c r="AD176" s="67"/>
      <c r="AE176" s="67"/>
      <c r="AF176" s="67"/>
      <c r="AG176" s="67"/>
      <c r="AH176" s="67"/>
      <c r="AI176" s="67"/>
      <c r="AJ176" s="67"/>
      <c r="AK176" s="67"/>
      <c r="AL176" s="67"/>
      <c r="AM176" s="67"/>
      <c r="AN176" s="67"/>
      <c r="AO176" s="67"/>
      <c r="AP176" s="67"/>
      <c r="AQ176" s="67"/>
      <c r="AR176" s="67"/>
      <c r="AS176" s="55">
        <f>'Messages Dictionary'!I184</f>
        <v>0</v>
      </c>
    </row>
    <row r="177" spans="1:45" ht="28.5" hidden="1" x14ac:dyDescent="0.2">
      <c r="A177" s="65">
        <v>1210</v>
      </c>
      <c r="B177" s="9" t="s">
        <v>28</v>
      </c>
      <c r="C177" s="9" t="s">
        <v>29</v>
      </c>
      <c r="D177" s="9" t="s">
        <v>860</v>
      </c>
      <c r="E177" s="9" t="s">
        <v>30</v>
      </c>
      <c r="F177" s="9" t="s">
        <v>199</v>
      </c>
      <c r="G177" s="9" t="s">
        <v>412</v>
      </c>
      <c r="H177" s="9" t="s">
        <v>831</v>
      </c>
      <c r="I177" s="55">
        <f>'Messages Dictionary'!I185</f>
        <v>0</v>
      </c>
      <c r="J177" s="10">
        <f>'Messages Dictionary'!J185</f>
        <v>1</v>
      </c>
      <c r="K177" s="10">
        <f t="shared" si="2"/>
        <v>0</v>
      </c>
      <c r="L177" s="66"/>
      <c r="M177" s="66"/>
      <c r="N177" s="67"/>
      <c r="O177" s="67"/>
      <c r="P177" s="67"/>
      <c r="Q177" s="67"/>
      <c r="R177" s="67"/>
      <c r="S177" s="67"/>
      <c r="T177" s="67"/>
      <c r="U177" s="67"/>
      <c r="V177" s="67"/>
      <c r="W177" s="67"/>
      <c r="X177" s="67"/>
      <c r="Y177" s="67"/>
      <c r="Z177" s="67"/>
      <c r="AA177" s="67"/>
      <c r="AB177" s="67"/>
      <c r="AC177" s="67"/>
      <c r="AD177" s="67"/>
      <c r="AE177" s="67"/>
      <c r="AF177" s="67"/>
      <c r="AG177" s="67"/>
      <c r="AH177" s="67"/>
      <c r="AI177" s="67"/>
      <c r="AJ177" s="67"/>
      <c r="AK177" s="67"/>
      <c r="AL177" s="67"/>
      <c r="AM177" s="67"/>
      <c r="AN177" s="67"/>
      <c r="AO177" s="67"/>
      <c r="AP177" s="67"/>
      <c r="AQ177" s="67"/>
      <c r="AR177" s="67"/>
      <c r="AS177" s="55">
        <f>'Messages Dictionary'!I185</f>
        <v>0</v>
      </c>
    </row>
    <row r="178" spans="1:45" ht="28.5" hidden="1" x14ac:dyDescent="0.2">
      <c r="A178" s="65">
        <v>1215</v>
      </c>
      <c r="B178" s="9" t="s">
        <v>31</v>
      </c>
      <c r="C178" s="9" t="s">
        <v>32</v>
      </c>
      <c r="D178" s="9" t="s">
        <v>4</v>
      </c>
      <c r="E178" s="9" t="s">
        <v>18</v>
      </c>
      <c r="F178" s="9" t="s">
        <v>198</v>
      </c>
      <c r="G178" s="9" t="s">
        <v>405</v>
      </c>
      <c r="H178" s="9" t="s">
        <v>426</v>
      </c>
      <c r="I178" s="55">
        <f>'Messages Dictionary'!I186</f>
        <v>0</v>
      </c>
      <c r="J178" s="10">
        <f>'Messages Dictionary'!J186</f>
        <v>1</v>
      </c>
      <c r="K178" s="10">
        <f t="shared" si="2"/>
        <v>0</v>
      </c>
      <c r="L178" s="66"/>
      <c r="M178" s="66"/>
      <c r="N178" s="67"/>
      <c r="O178" s="67"/>
      <c r="P178" s="67"/>
      <c r="Q178" s="67"/>
      <c r="R178" s="67"/>
      <c r="S178" s="67"/>
      <c r="T178" s="67"/>
      <c r="U178" s="67"/>
      <c r="V178" s="67"/>
      <c r="W178" s="67"/>
      <c r="X178" s="67"/>
      <c r="Y178" s="67"/>
      <c r="Z178" s="67"/>
      <c r="AA178" s="67"/>
      <c r="AB178" s="67"/>
      <c r="AC178" s="67"/>
      <c r="AD178" s="67"/>
      <c r="AE178" s="67"/>
      <c r="AF178" s="67"/>
      <c r="AG178" s="67"/>
      <c r="AH178" s="67"/>
      <c r="AI178" s="67"/>
      <c r="AJ178" s="67"/>
      <c r="AK178" s="67"/>
      <c r="AL178" s="67"/>
      <c r="AM178" s="67"/>
      <c r="AN178" s="67"/>
      <c r="AO178" s="67"/>
      <c r="AP178" s="67"/>
      <c r="AQ178" s="67"/>
      <c r="AR178" s="67"/>
      <c r="AS178" s="55">
        <f>'Messages Dictionary'!I186</f>
        <v>0</v>
      </c>
    </row>
    <row r="179" spans="1:45" ht="28.5" hidden="1" x14ac:dyDescent="0.2">
      <c r="A179" s="65">
        <v>1220</v>
      </c>
      <c r="B179" s="9" t="s">
        <v>33</v>
      </c>
      <c r="C179" s="9" t="s">
        <v>34</v>
      </c>
      <c r="D179" s="9" t="s">
        <v>863</v>
      </c>
      <c r="E179" s="9" t="s">
        <v>35</v>
      </c>
      <c r="F179" s="9" t="s">
        <v>199</v>
      </c>
      <c r="G179" s="9" t="s">
        <v>412</v>
      </c>
      <c r="H179" s="9" t="s">
        <v>831</v>
      </c>
      <c r="I179" s="55">
        <f>'Messages Dictionary'!I187</f>
        <v>0</v>
      </c>
      <c r="J179" s="10">
        <f>'Messages Dictionary'!J187</f>
        <v>1</v>
      </c>
      <c r="K179" s="10">
        <f t="shared" si="2"/>
        <v>0</v>
      </c>
      <c r="L179" s="66"/>
      <c r="M179" s="66"/>
      <c r="N179" s="67"/>
      <c r="O179" s="67"/>
      <c r="P179" s="67"/>
      <c r="Q179" s="67"/>
      <c r="R179" s="67"/>
      <c r="S179" s="67"/>
      <c r="T179" s="67"/>
      <c r="U179" s="67"/>
      <c r="V179" s="67"/>
      <c r="W179" s="67"/>
      <c r="X179" s="67"/>
      <c r="Y179" s="67"/>
      <c r="Z179" s="67"/>
      <c r="AA179" s="67"/>
      <c r="AB179" s="67"/>
      <c r="AC179" s="67"/>
      <c r="AD179" s="67"/>
      <c r="AE179" s="67"/>
      <c r="AF179" s="67"/>
      <c r="AG179" s="67"/>
      <c r="AH179" s="67"/>
      <c r="AI179" s="67"/>
      <c r="AJ179" s="67"/>
      <c r="AK179" s="67"/>
      <c r="AL179" s="67"/>
      <c r="AM179" s="67"/>
      <c r="AN179" s="67"/>
      <c r="AO179" s="67"/>
      <c r="AP179" s="67"/>
      <c r="AQ179" s="67"/>
      <c r="AR179" s="67"/>
      <c r="AS179" s="55">
        <f>'Messages Dictionary'!I187</f>
        <v>0</v>
      </c>
    </row>
    <row r="180" spans="1:45" ht="42.75" hidden="1" x14ac:dyDescent="0.2">
      <c r="A180" s="65">
        <v>1221</v>
      </c>
      <c r="B180" s="9" t="s">
        <v>36</v>
      </c>
      <c r="C180" s="9" t="s">
        <v>37</v>
      </c>
      <c r="D180" s="9" t="s">
        <v>863</v>
      </c>
      <c r="E180" s="9" t="s">
        <v>35</v>
      </c>
      <c r="F180" s="9" t="s">
        <v>199</v>
      </c>
      <c r="G180" s="9" t="s">
        <v>412</v>
      </c>
      <c r="H180" s="9" t="s">
        <v>831</v>
      </c>
      <c r="I180" s="55">
        <f>'Messages Dictionary'!I188</f>
        <v>0</v>
      </c>
      <c r="J180" s="10">
        <f>'Messages Dictionary'!J188</f>
        <v>0.5</v>
      </c>
      <c r="K180" s="10">
        <f t="shared" si="2"/>
        <v>0</v>
      </c>
      <c r="L180" s="66"/>
      <c r="M180" s="66"/>
      <c r="N180" s="67"/>
      <c r="O180" s="67"/>
      <c r="P180" s="67"/>
      <c r="Q180" s="67"/>
      <c r="R180" s="67"/>
      <c r="S180" s="67"/>
      <c r="T180" s="67"/>
      <c r="U180" s="67"/>
      <c r="V180" s="67"/>
      <c r="W180" s="67"/>
      <c r="X180" s="67"/>
      <c r="Y180" s="67"/>
      <c r="Z180" s="67"/>
      <c r="AA180" s="67"/>
      <c r="AB180" s="67"/>
      <c r="AC180" s="67"/>
      <c r="AD180" s="67"/>
      <c r="AE180" s="67"/>
      <c r="AF180" s="67"/>
      <c r="AG180" s="67"/>
      <c r="AH180" s="67"/>
      <c r="AI180" s="67"/>
      <c r="AJ180" s="67"/>
      <c r="AK180" s="67"/>
      <c r="AL180" s="67"/>
      <c r="AM180" s="67"/>
      <c r="AN180" s="67"/>
      <c r="AO180" s="67"/>
      <c r="AP180" s="67"/>
      <c r="AQ180" s="67"/>
      <c r="AR180" s="67"/>
      <c r="AS180" s="55">
        <f>'Messages Dictionary'!I188</f>
        <v>0</v>
      </c>
    </row>
    <row r="181" spans="1:45" hidden="1" x14ac:dyDescent="0.2">
      <c r="A181" s="65">
        <v>1236</v>
      </c>
      <c r="B181" s="9" t="s">
        <v>38</v>
      </c>
      <c r="C181" s="9" t="s">
        <v>39</v>
      </c>
      <c r="D181" s="9" t="s">
        <v>860</v>
      </c>
      <c r="E181" s="9" t="s">
        <v>40</v>
      </c>
      <c r="F181" s="9" t="s">
        <v>199</v>
      </c>
      <c r="G181" s="9" t="s">
        <v>412</v>
      </c>
      <c r="H181" s="9" t="s">
        <v>831</v>
      </c>
      <c r="I181" s="55">
        <f>'Messages Dictionary'!I189</f>
        <v>0</v>
      </c>
      <c r="J181" s="10">
        <f>'Messages Dictionary'!J189</f>
        <v>0.5</v>
      </c>
      <c r="K181" s="10">
        <f t="shared" si="2"/>
        <v>0</v>
      </c>
      <c r="L181" s="66"/>
      <c r="M181" s="66"/>
      <c r="N181" s="67"/>
      <c r="O181" s="67"/>
      <c r="P181" s="67"/>
      <c r="Q181" s="67"/>
      <c r="R181" s="67"/>
      <c r="S181" s="67"/>
      <c r="T181" s="67"/>
      <c r="U181" s="67"/>
      <c r="V181" s="67"/>
      <c r="W181" s="67"/>
      <c r="X181" s="67"/>
      <c r="Y181" s="67"/>
      <c r="Z181" s="67"/>
      <c r="AA181" s="67"/>
      <c r="AB181" s="67"/>
      <c r="AC181" s="67"/>
      <c r="AD181" s="67"/>
      <c r="AE181" s="67"/>
      <c r="AF181" s="67"/>
      <c r="AG181" s="67"/>
      <c r="AH181" s="67"/>
      <c r="AI181" s="67"/>
      <c r="AJ181" s="67"/>
      <c r="AK181" s="67"/>
      <c r="AL181" s="67"/>
      <c r="AM181" s="67"/>
      <c r="AN181" s="67"/>
      <c r="AO181" s="67"/>
      <c r="AP181" s="67"/>
      <c r="AQ181" s="67"/>
      <c r="AR181" s="67"/>
      <c r="AS181" s="55">
        <f>'Messages Dictionary'!I189</f>
        <v>0</v>
      </c>
    </row>
    <row r="182" spans="1:45" hidden="1" x14ac:dyDescent="0.2">
      <c r="A182" s="65">
        <v>1237</v>
      </c>
      <c r="B182" s="9" t="s">
        <v>41</v>
      </c>
      <c r="C182" s="9" t="s">
        <v>42</v>
      </c>
      <c r="D182" s="9" t="s">
        <v>860</v>
      </c>
      <c r="E182" s="9" t="s">
        <v>40</v>
      </c>
      <c r="F182" s="9" t="s">
        <v>199</v>
      </c>
      <c r="G182" s="9" t="s">
        <v>412</v>
      </c>
      <c r="H182" s="9" t="s">
        <v>831</v>
      </c>
      <c r="I182" s="55">
        <f>'Messages Dictionary'!I190</f>
        <v>0</v>
      </c>
      <c r="J182" s="10">
        <f>'Messages Dictionary'!J190</f>
        <v>0.5</v>
      </c>
      <c r="K182" s="10">
        <f t="shared" si="2"/>
        <v>0</v>
      </c>
      <c r="L182" s="66"/>
      <c r="M182" s="66"/>
      <c r="N182" s="67"/>
      <c r="O182" s="67"/>
      <c r="P182" s="67"/>
      <c r="Q182" s="67"/>
      <c r="R182" s="67"/>
      <c r="S182" s="67"/>
      <c r="T182" s="67"/>
      <c r="U182" s="67"/>
      <c r="V182" s="67"/>
      <c r="W182" s="67"/>
      <c r="X182" s="67"/>
      <c r="Y182" s="67"/>
      <c r="Z182" s="67"/>
      <c r="AA182" s="67"/>
      <c r="AB182" s="67"/>
      <c r="AC182" s="67"/>
      <c r="AD182" s="67"/>
      <c r="AE182" s="67"/>
      <c r="AF182" s="67"/>
      <c r="AG182" s="67"/>
      <c r="AH182" s="67"/>
      <c r="AI182" s="67"/>
      <c r="AJ182" s="67"/>
      <c r="AK182" s="67"/>
      <c r="AL182" s="67"/>
      <c r="AM182" s="67"/>
      <c r="AN182" s="67"/>
      <c r="AO182" s="67"/>
      <c r="AP182" s="67"/>
      <c r="AQ182" s="67"/>
      <c r="AR182" s="67"/>
      <c r="AS182" s="55">
        <f>'Messages Dictionary'!I190</f>
        <v>0</v>
      </c>
    </row>
    <row r="183" spans="1:45" ht="28.5" hidden="1" x14ac:dyDescent="0.2">
      <c r="A183" s="65">
        <v>1238</v>
      </c>
      <c r="B183" s="9" t="s">
        <v>43</v>
      </c>
      <c r="C183" s="9" t="s">
        <v>44</v>
      </c>
      <c r="D183" s="9" t="s">
        <v>860</v>
      </c>
      <c r="E183" s="9" t="s">
        <v>40</v>
      </c>
      <c r="F183" s="9" t="s">
        <v>199</v>
      </c>
      <c r="G183" s="9" t="s">
        <v>412</v>
      </c>
      <c r="H183" s="9" t="s">
        <v>831</v>
      </c>
      <c r="I183" s="55">
        <f>'Messages Dictionary'!I191</f>
        <v>0</v>
      </c>
      <c r="J183" s="10">
        <f>'Messages Dictionary'!J191</f>
        <v>0.5</v>
      </c>
      <c r="K183" s="10">
        <f t="shared" si="2"/>
        <v>0</v>
      </c>
      <c r="L183" s="66"/>
      <c r="M183" s="66"/>
      <c r="N183" s="67"/>
      <c r="O183" s="67"/>
      <c r="P183" s="67"/>
      <c r="Q183" s="67"/>
      <c r="R183" s="67"/>
      <c r="S183" s="67"/>
      <c r="T183" s="67"/>
      <c r="U183" s="67"/>
      <c r="V183" s="67"/>
      <c r="W183" s="67"/>
      <c r="X183" s="67"/>
      <c r="Y183" s="67"/>
      <c r="Z183" s="67"/>
      <c r="AA183" s="67"/>
      <c r="AB183" s="67"/>
      <c r="AC183" s="67"/>
      <c r="AD183" s="67"/>
      <c r="AE183" s="67"/>
      <c r="AF183" s="67"/>
      <c r="AG183" s="67"/>
      <c r="AH183" s="67"/>
      <c r="AI183" s="67"/>
      <c r="AJ183" s="67"/>
      <c r="AK183" s="67"/>
      <c r="AL183" s="67"/>
      <c r="AM183" s="67"/>
      <c r="AN183" s="67"/>
      <c r="AO183" s="67"/>
      <c r="AP183" s="67"/>
      <c r="AQ183" s="67"/>
      <c r="AR183" s="67"/>
      <c r="AS183" s="55">
        <f>'Messages Dictionary'!I191</f>
        <v>0</v>
      </c>
    </row>
    <row r="184" spans="1:45" hidden="1" x14ac:dyDescent="0.2">
      <c r="A184" s="65">
        <v>1239</v>
      </c>
      <c r="B184" s="9" t="s">
        <v>799</v>
      </c>
      <c r="C184" s="9" t="s">
        <v>311</v>
      </c>
      <c r="D184" s="9" t="s">
        <v>860</v>
      </c>
      <c r="E184" s="9" t="s">
        <v>40</v>
      </c>
      <c r="F184" s="9" t="s">
        <v>198</v>
      </c>
      <c r="G184" s="9" t="s">
        <v>405</v>
      </c>
      <c r="H184" s="9" t="s">
        <v>536</v>
      </c>
      <c r="I184" s="55">
        <f>'Messages Dictionary'!I192</f>
        <v>0</v>
      </c>
      <c r="J184" s="10">
        <f>'Messages Dictionary'!J192</f>
        <v>1</v>
      </c>
      <c r="K184" s="10">
        <f t="shared" si="2"/>
        <v>0</v>
      </c>
      <c r="L184" s="66"/>
      <c r="M184" s="66"/>
      <c r="N184" s="67"/>
      <c r="O184" s="67"/>
      <c r="P184" s="67"/>
      <c r="Q184" s="67"/>
      <c r="R184" s="67"/>
      <c r="S184" s="67"/>
      <c r="T184" s="67"/>
      <c r="U184" s="67"/>
      <c r="V184" s="67"/>
      <c r="W184" s="67"/>
      <c r="X184" s="67"/>
      <c r="Y184" s="67"/>
      <c r="Z184" s="67"/>
      <c r="AA184" s="67"/>
      <c r="AB184" s="67"/>
      <c r="AC184" s="67"/>
      <c r="AD184" s="67"/>
      <c r="AE184" s="67"/>
      <c r="AF184" s="67"/>
      <c r="AG184" s="67"/>
      <c r="AH184" s="67"/>
      <c r="AI184" s="67"/>
      <c r="AJ184" s="67"/>
      <c r="AK184" s="67"/>
      <c r="AL184" s="67"/>
      <c r="AM184" s="67"/>
      <c r="AN184" s="67"/>
      <c r="AO184" s="67"/>
      <c r="AP184" s="67"/>
      <c r="AQ184" s="67"/>
      <c r="AR184" s="67"/>
      <c r="AS184" s="55">
        <f>'Messages Dictionary'!I192</f>
        <v>0</v>
      </c>
    </row>
    <row r="185" spans="1:45" ht="28.5" hidden="1" x14ac:dyDescent="0.2">
      <c r="A185" s="65">
        <v>1240</v>
      </c>
      <c r="B185" s="9" t="s">
        <v>312</v>
      </c>
      <c r="C185" s="9" t="s">
        <v>313</v>
      </c>
      <c r="D185" s="9" t="s">
        <v>4</v>
      </c>
      <c r="E185" s="9" t="s">
        <v>5</v>
      </c>
      <c r="F185" s="9" t="s">
        <v>199</v>
      </c>
      <c r="G185" s="9" t="s">
        <v>405</v>
      </c>
      <c r="H185" s="9" t="s">
        <v>426</v>
      </c>
      <c r="I185" s="55">
        <f>'Messages Dictionary'!I193</f>
        <v>0</v>
      </c>
      <c r="J185" s="10">
        <f>'Messages Dictionary'!J193</f>
        <v>1</v>
      </c>
      <c r="K185" s="10">
        <f t="shared" si="2"/>
        <v>0</v>
      </c>
      <c r="L185" s="66"/>
      <c r="M185" s="66"/>
      <c r="N185" s="67"/>
      <c r="O185" s="67"/>
      <c r="P185" s="67"/>
      <c r="Q185" s="67"/>
      <c r="R185" s="67"/>
      <c r="S185" s="67"/>
      <c r="T185" s="67"/>
      <c r="U185" s="67"/>
      <c r="V185" s="67"/>
      <c r="W185" s="67"/>
      <c r="X185" s="67"/>
      <c r="Y185" s="67"/>
      <c r="Z185" s="67"/>
      <c r="AA185" s="67"/>
      <c r="AB185" s="67"/>
      <c r="AC185" s="67"/>
      <c r="AD185" s="67"/>
      <c r="AE185" s="67"/>
      <c r="AF185" s="67"/>
      <c r="AG185" s="67"/>
      <c r="AH185" s="67"/>
      <c r="AI185" s="67"/>
      <c r="AJ185" s="67"/>
      <c r="AK185" s="67"/>
      <c r="AL185" s="67"/>
      <c r="AM185" s="67"/>
      <c r="AN185" s="67"/>
      <c r="AO185" s="67"/>
      <c r="AP185" s="67"/>
      <c r="AQ185" s="67"/>
      <c r="AR185" s="67"/>
      <c r="AS185" s="55">
        <f>'Messages Dictionary'!I193</f>
        <v>0</v>
      </c>
    </row>
    <row r="186" spans="1:45" ht="28.5" hidden="1" x14ac:dyDescent="0.2">
      <c r="A186" s="65">
        <v>1241</v>
      </c>
      <c r="B186" s="9" t="s">
        <v>640</v>
      </c>
      <c r="C186" s="9" t="s">
        <v>641</v>
      </c>
      <c r="D186" s="9" t="s">
        <v>4</v>
      </c>
      <c r="E186" s="9" t="s">
        <v>5</v>
      </c>
      <c r="F186" s="9" t="s">
        <v>199</v>
      </c>
      <c r="G186" s="9" t="s">
        <v>412</v>
      </c>
      <c r="H186" s="9" t="s">
        <v>831</v>
      </c>
      <c r="I186" s="55">
        <f>'Messages Dictionary'!I194</f>
        <v>0</v>
      </c>
      <c r="J186" s="10">
        <f>'Messages Dictionary'!J194</f>
        <v>0.5</v>
      </c>
      <c r="K186" s="10">
        <f t="shared" si="2"/>
        <v>0</v>
      </c>
      <c r="L186" s="66"/>
      <c r="M186" s="66"/>
      <c r="N186" s="67"/>
      <c r="O186" s="67"/>
      <c r="P186" s="67"/>
      <c r="Q186" s="67"/>
      <c r="R186" s="67"/>
      <c r="S186" s="67"/>
      <c r="T186" s="67"/>
      <c r="U186" s="67"/>
      <c r="V186" s="67"/>
      <c r="W186" s="67"/>
      <c r="X186" s="67"/>
      <c r="Y186" s="67"/>
      <c r="Z186" s="67"/>
      <c r="AA186" s="67"/>
      <c r="AB186" s="67"/>
      <c r="AC186" s="67"/>
      <c r="AD186" s="67"/>
      <c r="AE186" s="67"/>
      <c r="AF186" s="67"/>
      <c r="AG186" s="67"/>
      <c r="AH186" s="67"/>
      <c r="AI186" s="67"/>
      <c r="AJ186" s="67"/>
      <c r="AK186" s="67"/>
      <c r="AL186" s="67"/>
      <c r="AM186" s="67"/>
      <c r="AN186" s="67"/>
      <c r="AO186" s="67"/>
      <c r="AP186" s="67"/>
      <c r="AQ186" s="67"/>
      <c r="AR186" s="67"/>
      <c r="AS186" s="55">
        <f>'Messages Dictionary'!I194</f>
        <v>0</v>
      </c>
    </row>
    <row r="187" spans="1:45" ht="28.5" hidden="1" x14ac:dyDescent="0.2">
      <c r="A187" s="65">
        <v>1243</v>
      </c>
      <c r="B187" s="9" t="s">
        <v>314</v>
      </c>
      <c r="C187" s="9" t="s">
        <v>315</v>
      </c>
      <c r="D187" s="9" t="s">
        <v>860</v>
      </c>
      <c r="E187" s="9" t="s">
        <v>316</v>
      </c>
      <c r="F187" s="9" t="s">
        <v>199</v>
      </c>
      <c r="G187" s="9" t="s">
        <v>412</v>
      </c>
      <c r="H187" s="9" t="s">
        <v>831</v>
      </c>
      <c r="I187" s="55">
        <f>'Messages Dictionary'!I195</f>
        <v>0</v>
      </c>
      <c r="J187" s="10">
        <f>'Messages Dictionary'!J195</f>
        <v>0.5</v>
      </c>
      <c r="K187" s="10">
        <f t="shared" si="2"/>
        <v>0</v>
      </c>
      <c r="L187" s="66"/>
      <c r="M187" s="66"/>
      <c r="N187" s="67"/>
      <c r="O187" s="67"/>
      <c r="P187" s="67"/>
      <c r="Q187" s="67"/>
      <c r="R187" s="67"/>
      <c r="S187" s="67"/>
      <c r="T187" s="67"/>
      <c r="U187" s="67"/>
      <c r="V187" s="67"/>
      <c r="W187" s="67"/>
      <c r="X187" s="67"/>
      <c r="Y187" s="67"/>
      <c r="Z187" s="67"/>
      <c r="AA187" s="67"/>
      <c r="AB187" s="67"/>
      <c r="AC187" s="67"/>
      <c r="AD187" s="67"/>
      <c r="AE187" s="67"/>
      <c r="AF187" s="67"/>
      <c r="AG187" s="67"/>
      <c r="AH187" s="67"/>
      <c r="AI187" s="67"/>
      <c r="AJ187" s="67"/>
      <c r="AK187" s="67"/>
      <c r="AL187" s="67"/>
      <c r="AM187" s="67"/>
      <c r="AN187" s="67"/>
      <c r="AO187" s="67"/>
      <c r="AP187" s="67"/>
      <c r="AQ187" s="67"/>
      <c r="AR187" s="67"/>
      <c r="AS187" s="55">
        <f>'Messages Dictionary'!I195</f>
        <v>0</v>
      </c>
    </row>
    <row r="188" spans="1:45" ht="28.5" hidden="1" x14ac:dyDescent="0.2">
      <c r="A188" s="65">
        <v>1244</v>
      </c>
      <c r="B188" s="9" t="s">
        <v>314</v>
      </c>
      <c r="C188" s="9" t="s">
        <v>315</v>
      </c>
      <c r="D188" s="9" t="s">
        <v>860</v>
      </c>
      <c r="E188" s="9" t="s">
        <v>316</v>
      </c>
      <c r="F188" s="9" t="s">
        <v>199</v>
      </c>
      <c r="G188" s="9" t="s">
        <v>412</v>
      </c>
      <c r="H188" s="9" t="s">
        <v>831</v>
      </c>
      <c r="I188" s="55">
        <f>'Messages Dictionary'!I196</f>
        <v>0</v>
      </c>
      <c r="J188" s="10">
        <f>'Messages Dictionary'!J196</f>
        <v>0.5</v>
      </c>
      <c r="K188" s="10">
        <f t="shared" si="2"/>
        <v>0</v>
      </c>
      <c r="L188" s="66"/>
      <c r="M188" s="66"/>
      <c r="N188" s="67"/>
      <c r="O188" s="67"/>
      <c r="P188" s="67"/>
      <c r="Q188" s="67"/>
      <c r="R188" s="67"/>
      <c r="S188" s="67"/>
      <c r="T188" s="67"/>
      <c r="U188" s="67"/>
      <c r="V188" s="67"/>
      <c r="W188" s="67"/>
      <c r="X188" s="67"/>
      <c r="Y188" s="67"/>
      <c r="Z188" s="67"/>
      <c r="AA188" s="67"/>
      <c r="AB188" s="67"/>
      <c r="AC188" s="67"/>
      <c r="AD188" s="67"/>
      <c r="AE188" s="67"/>
      <c r="AF188" s="67"/>
      <c r="AG188" s="67"/>
      <c r="AH188" s="67"/>
      <c r="AI188" s="67"/>
      <c r="AJ188" s="67"/>
      <c r="AK188" s="67"/>
      <c r="AL188" s="67"/>
      <c r="AM188" s="67"/>
      <c r="AN188" s="67"/>
      <c r="AO188" s="67"/>
      <c r="AP188" s="67"/>
      <c r="AQ188" s="67"/>
      <c r="AR188" s="67"/>
      <c r="AS188" s="55">
        <f>'Messages Dictionary'!I196</f>
        <v>0</v>
      </c>
    </row>
    <row r="189" spans="1:45" ht="28.5" hidden="1" x14ac:dyDescent="0.2">
      <c r="A189" s="65">
        <v>1245</v>
      </c>
      <c r="B189" s="9" t="s">
        <v>314</v>
      </c>
      <c r="C189" s="9" t="s">
        <v>315</v>
      </c>
      <c r="D189" s="9" t="s">
        <v>860</v>
      </c>
      <c r="E189" s="9" t="s">
        <v>316</v>
      </c>
      <c r="F189" s="9" t="s">
        <v>199</v>
      </c>
      <c r="G189" s="9" t="s">
        <v>405</v>
      </c>
      <c r="H189" s="9" t="s">
        <v>536</v>
      </c>
      <c r="I189" s="55">
        <f>'Messages Dictionary'!I197</f>
        <v>0</v>
      </c>
      <c r="J189" s="10">
        <f>'Messages Dictionary'!J197</f>
        <v>1</v>
      </c>
      <c r="K189" s="10">
        <f t="shared" si="2"/>
        <v>0</v>
      </c>
      <c r="L189" s="66"/>
      <c r="M189" s="66"/>
      <c r="N189" s="67"/>
      <c r="O189" s="67"/>
      <c r="P189" s="67"/>
      <c r="Q189" s="67"/>
      <c r="R189" s="67"/>
      <c r="S189" s="67"/>
      <c r="T189" s="67"/>
      <c r="U189" s="67"/>
      <c r="V189" s="67"/>
      <c r="W189" s="67"/>
      <c r="X189" s="67"/>
      <c r="Y189" s="67"/>
      <c r="Z189" s="67"/>
      <c r="AA189" s="67"/>
      <c r="AB189" s="67"/>
      <c r="AC189" s="67"/>
      <c r="AD189" s="67"/>
      <c r="AE189" s="67"/>
      <c r="AF189" s="67"/>
      <c r="AG189" s="67"/>
      <c r="AH189" s="67"/>
      <c r="AI189" s="67"/>
      <c r="AJ189" s="67"/>
      <c r="AK189" s="67"/>
      <c r="AL189" s="67"/>
      <c r="AM189" s="67"/>
      <c r="AN189" s="67"/>
      <c r="AO189" s="67"/>
      <c r="AP189" s="67"/>
      <c r="AQ189" s="67"/>
      <c r="AR189" s="67"/>
      <c r="AS189" s="55">
        <f>'Messages Dictionary'!I197</f>
        <v>0</v>
      </c>
    </row>
    <row r="190" spans="1:45" ht="28.5" hidden="1" x14ac:dyDescent="0.2">
      <c r="A190" s="65">
        <v>1246</v>
      </c>
      <c r="B190" s="9" t="s">
        <v>314</v>
      </c>
      <c r="C190" s="9" t="s">
        <v>315</v>
      </c>
      <c r="D190" s="9" t="s">
        <v>860</v>
      </c>
      <c r="E190" s="9" t="s">
        <v>316</v>
      </c>
      <c r="F190" s="9" t="s">
        <v>199</v>
      </c>
      <c r="G190" s="9" t="s">
        <v>405</v>
      </c>
      <c r="H190" s="9" t="s">
        <v>536</v>
      </c>
      <c r="I190" s="55">
        <f>'Messages Dictionary'!I198</f>
        <v>0</v>
      </c>
      <c r="J190" s="10">
        <f>'Messages Dictionary'!J198</f>
        <v>1</v>
      </c>
      <c r="K190" s="10">
        <f t="shared" si="2"/>
        <v>0</v>
      </c>
      <c r="L190" s="66"/>
      <c r="M190" s="66"/>
      <c r="N190" s="67"/>
      <c r="O190" s="67"/>
      <c r="P190" s="67"/>
      <c r="Q190" s="67"/>
      <c r="R190" s="67"/>
      <c r="S190" s="67"/>
      <c r="T190" s="67"/>
      <c r="U190" s="67"/>
      <c r="V190" s="67"/>
      <c r="W190" s="67"/>
      <c r="X190" s="67"/>
      <c r="Y190" s="67"/>
      <c r="Z190" s="67"/>
      <c r="AA190" s="67"/>
      <c r="AB190" s="67"/>
      <c r="AC190" s="67"/>
      <c r="AD190" s="67"/>
      <c r="AE190" s="67"/>
      <c r="AF190" s="67"/>
      <c r="AG190" s="67"/>
      <c r="AH190" s="67"/>
      <c r="AI190" s="67"/>
      <c r="AJ190" s="67"/>
      <c r="AK190" s="67"/>
      <c r="AL190" s="67"/>
      <c r="AM190" s="67"/>
      <c r="AN190" s="67"/>
      <c r="AO190" s="67"/>
      <c r="AP190" s="67"/>
      <c r="AQ190" s="67"/>
      <c r="AR190" s="67"/>
      <c r="AS190" s="55">
        <f>'Messages Dictionary'!I198</f>
        <v>0</v>
      </c>
    </row>
    <row r="191" spans="1:45" ht="28.5" hidden="1" x14ac:dyDescent="0.2">
      <c r="A191" s="65">
        <v>1247</v>
      </c>
      <c r="B191" s="9" t="s">
        <v>314</v>
      </c>
      <c r="C191" s="9" t="s">
        <v>315</v>
      </c>
      <c r="D191" s="9" t="s">
        <v>860</v>
      </c>
      <c r="E191" s="9" t="s">
        <v>316</v>
      </c>
      <c r="F191" s="9" t="s">
        <v>199</v>
      </c>
      <c r="G191" s="9" t="s">
        <v>405</v>
      </c>
      <c r="H191" s="9" t="s">
        <v>536</v>
      </c>
      <c r="I191" s="55">
        <f>'Messages Dictionary'!I199</f>
        <v>0</v>
      </c>
      <c r="J191" s="10">
        <f>'Messages Dictionary'!J199</f>
        <v>1</v>
      </c>
      <c r="K191" s="10">
        <f t="shared" si="2"/>
        <v>0</v>
      </c>
      <c r="L191" s="66"/>
      <c r="M191" s="66"/>
      <c r="N191" s="67"/>
      <c r="O191" s="67"/>
      <c r="P191" s="67"/>
      <c r="Q191" s="67"/>
      <c r="R191" s="67"/>
      <c r="S191" s="67"/>
      <c r="T191" s="67"/>
      <c r="U191" s="67"/>
      <c r="V191" s="67"/>
      <c r="W191" s="67"/>
      <c r="X191" s="67"/>
      <c r="Y191" s="67"/>
      <c r="Z191" s="67"/>
      <c r="AA191" s="67"/>
      <c r="AB191" s="67"/>
      <c r="AC191" s="67"/>
      <c r="AD191" s="67"/>
      <c r="AE191" s="67"/>
      <c r="AF191" s="67"/>
      <c r="AG191" s="67"/>
      <c r="AH191" s="67"/>
      <c r="AI191" s="67"/>
      <c r="AJ191" s="67"/>
      <c r="AK191" s="67"/>
      <c r="AL191" s="67"/>
      <c r="AM191" s="67"/>
      <c r="AN191" s="67"/>
      <c r="AO191" s="67"/>
      <c r="AP191" s="67"/>
      <c r="AQ191" s="67"/>
      <c r="AR191" s="67"/>
      <c r="AS191" s="55">
        <f>'Messages Dictionary'!I199</f>
        <v>0</v>
      </c>
    </row>
    <row r="192" spans="1:45" ht="28.5" hidden="1" x14ac:dyDescent="0.2">
      <c r="A192" s="65">
        <v>1248</v>
      </c>
      <c r="B192" s="9" t="s">
        <v>314</v>
      </c>
      <c r="C192" s="9" t="s">
        <v>315</v>
      </c>
      <c r="D192" s="9" t="s">
        <v>860</v>
      </c>
      <c r="E192" s="9" t="s">
        <v>316</v>
      </c>
      <c r="F192" s="9" t="s">
        <v>198</v>
      </c>
      <c r="G192" s="9" t="s">
        <v>405</v>
      </c>
      <c r="H192" s="9" t="s">
        <v>536</v>
      </c>
      <c r="I192" s="55">
        <f>'Messages Dictionary'!I200</f>
        <v>0</v>
      </c>
      <c r="J192" s="10">
        <f>'Messages Dictionary'!J200</f>
        <v>1</v>
      </c>
      <c r="K192" s="10">
        <f t="shared" si="2"/>
        <v>0</v>
      </c>
      <c r="L192" s="66"/>
      <c r="M192" s="66"/>
      <c r="N192" s="67"/>
      <c r="O192" s="67"/>
      <c r="P192" s="67"/>
      <c r="Q192" s="67"/>
      <c r="R192" s="67"/>
      <c r="S192" s="67"/>
      <c r="T192" s="67"/>
      <c r="U192" s="67"/>
      <c r="V192" s="67"/>
      <c r="W192" s="67"/>
      <c r="X192" s="67"/>
      <c r="Y192" s="67"/>
      <c r="Z192" s="67"/>
      <c r="AA192" s="67"/>
      <c r="AB192" s="67"/>
      <c r="AC192" s="67"/>
      <c r="AD192" s="67"/>
      <c r="AE192" s="67"/>
      <c r="AF192" s="67"/>
      <c r="AG192" s="67"/>
      <c r="AH192" s="67"/>
      <c r="AI192" s="67"/>
      <c r="AJ192" s="67"/>
      <c r="AK192" s="67"/>
      <c r="AL192" s="67"/>
      <c r="AM192" s="67"/>
      <c r="AN192" s="67"/>
      <c r="AO192" s="67"/>
      <c r="AP192" s="67"/>
      <c r="AQ192" s="67"/>
      <c r="AR192" s="67"/>
      <c r="AS192" s="55">
        <f>'Messages Dictionary'!I200</f>
        <v>0</v>
      </c>
    </row>
    <row r="193" spans="1:45" ht="28.5" hidden="1" x14ac:dyDescent="0.2">
      <c r="A193" s="65">
        <v>1249</v>
      </c>
      <c r="B193" s="9" t="s">
        <v>314</v>
      </c>
      <c r="C193" s="9" t="s">
        <v>315</v>
      </c>
      <c r="D193" s="9" t="s">
        <v>860</v>
      </c>
      <c r="E193" s="9" t="s">
        <v>316</v>
      </c>
      <c r="F193" s="9" t="s">
        <v>199</v>
      </c>
      <c r="G193" s="9" t="s">
        <v>412</v>
      </c>
      <c r="H193" s="9" t="s">
        <v>831</v>
      </c>
      <c r="I193" s="55">
        <f>'Messages Dictionary'!I201</f>
        <v>0</v>
      </c>
      <c r="J193" s="10">
        <f>'Messages Dictionary'!J201</f>
        <v>0.5</v>
      </c>
      <c r="K193" s="10">
        <f t="shared" si="2"/>
        <v>0</v>
      </c>
      <c r="L193" s="66"/>
      <c r="M193" s="66"/>
      <c r="N193" s="67"/>
      <c r="O193" s="67"/>
      <c r="P193" s="67"/>
      <c r="Q193" s="67"/>
      <c r="R193" s="67"/>
      <c r="S193" s="67"/>
      <c r="T193" s="67"/>
      <c r="U193" s="67"/>
      <c r="V193" s="67"/>
      <c r="W193" s="67"/>
      <c r="X193" s="67"/>
      <c r="Y193" s="67"/>
      <c r="Z193" s="67"/>
      <c r="AA193" s="67"/>
      <c r="AB193" s="67"/>
      <c r="AC193" s="67"/>
      <c r="AD193" s="67"/>
      <c r="AE193" s="67"/>
      <c r="AF193" s="67"/>
      <c r="AG193" s="67"/>
      <c r="AH193" s="67"/>
      <c r="AI193" s="67"/>
      <c r="AJ193" s="67"/>
      <c r="AK193" s="67"/>
      <c r="AL193" s="67"/>
      <c r="AM193" s="67"/>
      <c r="AN193" s="67"/>
      <c r="AO193" s="67"/>
      <c r="AP193" s="67"/>
      <c r="AQ193" s="67"/>
      <c r="AR193" s="67"/>
      <c r="AS193" s="55">
        <f>'Messages Dictionary'!I201</f>
        <v>0</v>
      </c>
    </row>
    <row r="194" spans="1:45" ht="28.5" hidden="1" x14ac:dyDescent="0.2">
      <c r="A194" s="65">
        <v>1250</v>
      </c>
      <c r="B194" s="9" t="s">
        <v>314</v>
      </c>
      <c r="C194" s="9" t="s">
        <v>315</v>
      </c>
      <c r="D194" s="9" t="s">
        <v>860</v>
      </c>
      <c r="E194" s="9" t="s">
        <v>316</v>
      </c>
      <c r="F194" s="9" t="s">
        <v>199</v>
      </c>
      <c r="G194" s="9" t="s">
        <v>412</v>
      </c>
      <c r="H194" s="9" t="s">
        <v>831</v>
      </c>
      <c r="I194" s="55">
        <f>'Messages Dictionary'!I202</f>
        <v>0</v>
      </c>
      <c r="J194" s="10">
        <f>'Messages Dictionary'!J202</f>
        <v>1</v>
      </c>
      <c r="K194" s="10">
        <f t="shared" ref="K194:K257" si="3">I194*J194</f>
        <v>0</v>
      </c>
      <c r="L194" s="66"/>
      <c r="M194" s="66"/>
      <c r="N194" s="67"/>
      <c r="O194" s="67"/>
      <c r="P194" s="67"/>
      <c r="Q194" s="67"/>
      <c r="R194" s="67"/>
      <c r="S194" s="67"/>
      <c r="T194" s="67"/>
      <c r="U194" s="67"/>
      <c r="V194" s="67"/>
      <c r="W194" s="67"/>
      <c r="X194" s="67"/>
      <c r="Y194" s="67"/>
      <c r="Z194" s="67"/>
      <c r="AA194" s="67"/>
      <c r="AB194" s="67"/>
      <c r="AC194" s="67"/>
      <c r="AD194" s="67"/>
      <c r="AE194" s="67"/>
      <c r="AF194" s="67"/>
      <c r="AG194" s="67"/>
      <c r="AH194" s="67"/>
      <c r="AI194" s="67"/>
      <c r="AJ194" s="67"/>
      <c r="AK194" s="67"/>
      <c r="AL194" s="67"/>
      <c r="AM194" s="67"/>
      <c r="AN194" s="67"/>
      <c r="AO194" s="67"/>
      <c r="AP194" s="67"/>
      <c r="AQ194" s="67"/>
      <c r="AR194" s="67"/>
      <c r="AS194" s="55">
        <f>'Messages Dictionary'!I202</f>
        <v>0</v>
      </c>
    </row>
    <row r="195" spans="1:45" ht="28.5" hidden="1" x14ac:dyDescent="0.2">
      <c r="A195" s="65">
        <v>1251</v>
      </c>
      <c r="B195" s="9" t="s">
        <v>314</v>
      </c>
      <c r="C195" s="9" t="s">
        <v>315</v>
      </c>
      <c r="D195" s="9" t="s">
        <v>860</v>
      </c>
      <c r="E195" s="9" t="s">
        <v>316</v>
      </c>
      <c r="F195" s="9" t="s">
        <v>199</v>
      </c>
      <c r="G195" s="9" t="s">
        <v>412</v>
      </c>
      <c r="H195" s="9" t="s">
        <v>831</v>
      </c>
      <c r="I195" s="55">
        <f>'Messages Dictionary'!I203</f>
        <v>0</v>
      </c>
      <c r="J195" s="10">
        <f>'Messages Dictionary'!J203</f>
        <v>0.5</v>
      </c>
      <c r="K195" s="10">
        <f t="shared" si="3"/>
        <v>0</v>
      </c>
      <c r="L195" s="66"/>
      <c r="M195" s="66"/>
      <c r="N195" s="67"/>
      <c r="O195" s="67"/>
      <c r="P195" s="67"/>
      <c r="Q195" s="67"/>
      <c r="R195" s="67"/>
      <c r="S195" s="67"/>
      <c r="T195" s="67"/>
      <c r="U195" s="67"/>
      <c r="V195" s="67"/>
      <c r="W195" s="67"/>
      <c r="X195" s="67"/>
      <c r="Y195" s="67"/>
      <c r="Z195" s="67"/>
      <c r="AA195" s="67"/>
      <c r="AB195" s="67"/>
      <c r="AC195" s="67"/>
      <c r="AD195" s="67"/>
      <c r="AE195" s="67"/>
      <c r="AF195" s="67"/>
      <c r="AG195" s="67"/>
      <c r="AH195" s="67"/>
      <c r="AI195" s="67"/>
      <c r="AJ195" s="67"/>
      <c r="AK195" s="67"/>
      <c r="AL195" s="67"/>
      <c r="AM195" s="67"/>
      <c r="AN195" s="67"/>
      <c r="AO195" s="67"/>
      <c r="AP195" s="67"/>
      <c r="AQ195" s="67"/>
      <c r="AR195" s="67"/>
      <c r="AS195" s="55">
        <f>'Messages Dictionary'!I203</f>
        <v>0</v>
      </c>
    </row>
    <row r="196" spans="1:45" ht="28.5" hidden="1" x14ac:dyDescent="0.2">
      <c r="A196" s="65">
        <v>1252</v>
      </c>
      <c r="B196" s="9" t="s">
        <v>314</v>
      </c>
      <c r="C196" s="9" t="s">
        <v>315</v>
      </c>
      <c r="D196" s="9" t="s">
        <v>860</v>
      </c>
      <c r="E196" s="9" t="s">
        <v>316</v>
      </c>
      <c r="F196" s="9" t="s">
        <v>199</v>
      </c>
      <c r="G196" s="9" t="s">
        <v>412</v>
      </c>
      <c r="H196" s="9" t="s">
        <v>831</v>
      </c>
      <c r="I196" s="55">
        <f>'Messages Dictionary'!I204</f>
        <v>0</v>
      </c>
      <c r="J196" s="10">
        <f>'Messages Dictionary'!J204</f>
        <v>0.5</v>
      </c>
      <c r="K196" s="10">
        <f t="shared" si="3"/>
        <v>0</v>
      </c>
      <c r="L196" s="66"/>
      <c r="M196" s="66"/>
      <c r="N196" s="67"/>
      <c r="O196" s="67"/>
      <c r="P196" s="67"/>
      <c r="Q196" s="67"/>
      <c r="R196" s="67"/>
      <c r="S196" s="67"/>
      <c r="T196" s="67"/>
      <c r="U196" s="67"/>
      <c r="V196" s="67"/>
      <c r="W196" s="67"/>
      <c r="X196" s="67"/>
      <c r="Y196" s="67"/>
      <c r="Z196" s="67"/>
      <c r="AA196" s="67"/>
      <c r="AB196" s="67"/>
      <c r="AC196" s="67"/>
      <c r="AD196" s="67"/>
      <c r="AE196" s="67"/>
      <c r="AF196" s="67"/>
      <c r="AG196" s="67"/>
      <c r="AH196" s="67"/>
      <c r="AI196" s="67"/>
      <c r="AJ196" s="67"/>
      <c r="AK196" s="67"/>
      <c r="AL196" s="67"/>
      <c r="AM196" s="67"/>
      <c r="AN196" s="67"/>
      <c r="AO196" s="67"/>
      <c r="AP196" s="67"/>
      <c r="AQ196" s="67"/>
      <c r="AR196" s="67"/>
      <c r="AS196" s="55">
        <f>'Messages Dictionary'!I204</f>
        <v>0</v>
      </c>
    </row>
    <row r="197" spans="1:45" ht="28.5" hidden="1" x14ac:dyDescent="0.2">
      <c r="A197" s="65">
        <v>1253</v>
      </c>
      <c r="B197" s="9" t="s">
        <v>314</v>
      </c>
      <c r="C197" s="9" t="s">
        <v>315</v>
      </c>
      <c r="D197" s="9" t="s">
        <v>860</v>
      </c>
      <c r="E197" s="9" t="s">
        <v>316</v>
      </c>
      <c r="F197" s="9" t="s">
        <v>199</v>
      </c>
      <c r="G197" s="9" t="s">
        <v>405</v>
      </c>
      <c r="H197" s="9" t="s">
        <v>536</v>
      </c>
      <c r="I197" s="55">
        <f>'Messages Dictionary'!I205</f>
        <v>0</v>
      </c>
      <c r="J197" s="10">
        <f>'Messages Dictionary'!J205</f>
        <v>1</v>
      </c>
      <c r="K197" s="10">
        <f t="shared" si="3"/>
        <v>0</v>
      </c>
      <c r="L197" s="66"/>
      <c r="M197" s="66"/>
      <c r="N197" s="67"/>
      <c r="O197" s="67"/>
      <c r="P197" s="67"/>
      <c r="Q197" s="67"/>
      <c r="R197" s="67"/>
      <c r="S197" s="67"/>
      <c r="T197" s="67"/>
      <c r="U197" s="67"/>
      <c r="V197" s="67"/>
      <c r="W197" s="67"/>
      <c r="X197" s="67"/>
      <c r="Y197" s="67"/>
      <c r="Z197" s="67"/>
      <c r="AA197" s="67"/>
      <c r="AB197" s="67"/>
      <c r="AC197" s="67"/>
      <c r="AD197" s="67"/>
      <c r="AE197" s="67"/>
      <c r="AF197" s="67"/>
      <c r="AG197" s="67"/>
      <c r="AH197" s="67"/>
      <c r="AI197" s="67"/>
      <c r="AJ197" s="67"/>
      <c r="AK197" s="67"/>
      <c r="AL197" s="67"/>
      <c r="AM197" s="67"/>
      <c r="AN197" s="67"/>
      <c r="AO197" s="67"/>
      <c r="AP197" s="67"/>
      <c r="AQ197" s="67"/>
      <c r="AR197" s="67"/>
      <c r="AS197" s="55">
        <f>'Messages Dictionary'!I205</f>
        <v>0</v>
      </c>
    </row>
    <row r="198" spans="1:45" ht="57" hidden="1" x14ac:dyDescent="0.2">
      <c r="A198" s="65">
        <v>1254</v>
      </c>
      <c r="B198" s="9" t="s">
        <v>642</v>
      </c>
      <c r="C198" s="9" t="s">
        <v>645</v>
      </c>
      <c r="D198" s="9" t="s">
        <v>860</v>
      </c>
      <c r="E198" s="9" t="s">
        <v>30</v>
      </c>
      <c r="F198" s="9" t="s">
        <v>199</v>
      </c>
      <c r="G198" s="9" t="s">
        <v>405</v>
      </c>
      <c r="H198" s="9" t="s">
        <v>646</v>
      </c>
      <c r="I198" s="55">
        <f>'Messages Dictionary'!I206</f>
        <v>0</v>
      </c>
      <c r="J198" s="10">
        <f>'Messages Dictionary'!J206</f>
        <v>0.5</v>
      </c>
      <c r="K198" s="10">
        <f t="shared" si="3"/>
        <v>0</v>
      </c>
      <c r="L198" s="66"/>
      <c r="M198" s="66"/>
      <c r="N198" s="67"/>
      <c r="O198" s="67"/>
      <c r="P198" s="67"/>
      <c r="Q198" s="67"/>
      <c r="R198" s="67"/>
      <c r="S198" s="67"/>
      <c r="T198" s="67"/>
      <c r="U198" s="67"/>
      <c r="V198" s="67"/>
      <c r="W198" s="67"/>
      <c r="X198" s="67"/>
      <c r="Y198" s="67"/>
      <c r="Z198" s="67"/>
      <c r="AA198" s="67"/>
      <c r="AB198" s="67"/>
      <c r="AC198" s="67"/>
      <c r="AD198" s="67"/>
      <c r="AE198" s="67"/>
      <c r="AF198" s="67"/>
      <c r="AG198" s="67"/>
      <c r="AH198" s="67"/>
      <c r="AI198" s="67"/>
      <c r="AJ198" s="67"/>
      <c r="AK198" s="67"/>
      <c r="AL198" s="67"/>
      <c r="AM198" s="67"/>
      <c r="AN198" s="67"/>
      <c r="AO198" s="67"/>
      <c r="AP198" s="67"/>
      <c r="AQ198" s="67"/>
      <c r="AR198" s="67"/>
      <c r="AS198" s="55">
        <f>'Messages Dictionary'!I206</f>
        <v>0</v>
      </c>
    </row>
    <row r="199" spans="1:45" ht="42.75" hidden="1" x14ac:dyDescent="0.2">
      <c r="A199" s="65">
        <v>1255</v>
      </c>
      <c r="B199" s="9" t="s">
        <v>317</v>
      </c>
      <c r="C199" s="9" t="s">
        <v>318</v>
      </c>
      <c r="D199" s="9" t="s">
        <v>863</v>
      </c>
      <c r="E199" s="9" t="s">
        <v>319</v>
      </c>
      <c r="F199" s="9" t="s">
        <v>198</v>
      </c>
      <c r="G199" s="9" t="s">
        <v>405</v>
      </c>
      <c r="H199" s="9" t="s">
        <v>426</v>
      </c>
      <c r="I199" s="55">
        <f>'Messages Dictionary'!I207</f>
        <v>1</v>
      </c>
      <c r="J199" s="10">
        <f>'Messages Dictionary'!J207</f>
        <v>0.25</v>
      </c>
      <c r="K199" s="10">
        <f t="shared" si="3"/>
        <v>0.25</v>
      </c>
      <c r="L199" s="66"/>
      <c r="M199" s="66"/>
      <c r="N199" s="67"/>
      <c r="O199" s="67"/>
      <c r="P199" s="67"/>
      <c r="Q199" s="67"/>
      <c r="R199" s="67"/>
      <c r="S199" s="67"/>
      <c r="T199" s="67"/>
      <c r="U199" s="67"/>
      <c r="V199" s="67"/>
      <c r="W199" s="67"/>
      <c r="X199" s="67"/>
      <c r="Y199" s="67"/>
      <c r="Z199" s="67"/>
      <c r="AA199" s="67"/>
      <c r="AB199" s="67"/>
      <c r="AC199" s="67"/>
      <c r="AD199" s="67"/>
      <c r="AE199" s="67"/>
      <c r="AF199" s="67"/>
      <c r="AG199" s="67"/>
      <c r="AH199" s="67"/>
      <c r="AI199" s="67"/>
      <c r="AJ199" s="67"/>
      <c r="AK199" s="67"/>
      <c r="AL199" s="67"/>
      <c r="AM199" s="67"/>
      <c r="AN199" s="67"/>
      <c r="AO199" s="67"/>
      <c r="AP199" s="67"/>
      <c r="AQ199" s="67"/>
      <c r="AR199" s="67"/>
      <c r="AS199" s="55">
        <f>'Messages Dictionary'!I207</f>
        <v>1</v>
      </c>
    </row>
    <row r="200" spans="1:45" ht="42.75" hidden="1" x14ac:dyDescent="0.2">
      <c r="A200" s="65">
        <v>1256</v>
      </c>
      <c r="B200" s="9" t="s">
        <v>317</v>
      </c>
      <c r="C200" s="9" t="s">
        <v>318</v>
      </c>
      <c r="D200" s="9" t="s">
        <v>863</v>
      </c>
      <c r="E200" s="9" t="s">
        <v>319</v>
      </c>
      <c r="F200" s="9" t="s">
        <v>199</v>
      </c>
      <c r="G200" s="9" t="s">
        <v>412</v>
      </c>
      <c r="H200" s="9" t="s">
        <v>831</v>
      </c>
      <c r="I200" s="55">
        <f>'Messages Dictionary'!I208</f>
        <v>0</v>
      </c>
      <c r="J200" s="10">
        <f>'Messages Dictionary'!J208</f>
        <v>1</v>
      </c>
      <c r="K200" s="10">
        <f t="shared" si="3"/>
        <v>0</v>
      </c>
      <c r="L200" s="66"/>
      <c r="M200" s="66"/>
      <c r="N200" s="67"/>
      <c r="O200" s="67"/>
      <c r="P200" s="67"/>
      <c r="Q200" s="67"/>
      <c r="R200" s="67"/>
      <c r="S200" s="67"/>
      <c r="T200" s="67"/>
      <c r="U200" s="67"/>
      <c r="V200" s="67"/>
      <c r="W200" s="67"/>
      <c r="X200" s="67"/>
      <c r="Y200" s="67"/>
      <c r="Z200" s="67"/>
      <c r="AA200" s="67"/>
      <c r="AB200" s="67"/>
      <c r="AC200" s="67"/>
      <c r="AD200" s="67"/>
      <c r="AE200" s="67"/>
      <c r="AF200" s="67"/>
      <c r="AG200" s="67"/>
      <c r="AH200" s="67"/>
      <c r="AI200" s="67"/>
      <c r="AJ200" s="67"/>
      <c r="AK200" s="67"/>
      <c r="AL200" s="67"/>
      <c r="AM200" s="67"/>
      <c r="AN200" s="67"/>
      <c r="AO200" s="67"/>
      <c r="AP200" s="67"/>
      <c r="AQ200" s="67"/>
      <c r="AR200" s="67"/>
      <c r="AS200" s="55">
        <f>'Messages Dictionary'!I208</f>
        <v>0</v>
      </c>
    </row>
    <row r="201" spans="1:45" ht="42.75" hidden="1" x14ac:dyDescent="0.2">
      <c r="A201" s="65">
        <v>1257</v>
      </c>
      <c r="B201" s="9" t="s">
        <v>317</v>
      </c>
      <c r="C201" s="9" t="s">
        <v>318</v>
      </c>
      <c r="D201" s="9" t="s">
        <v>863</v>
      </c>
      <c r="E201" s="9" t="s">
        <v>319</v>
      </c>
      <c r="F201" s="9" t="s">
        <v>198</v>
      </c>
      <c r="G201" s="9" t="s">
        <v>809</v>
      </c>
      <c r="H201" s="9" t="s">
        <v>831</v>
      </c>
      <c r="I201" s="55">
        <f>'Messages Dictionary'!I209</f>
        <v>0</v>
      </c>
      <c r="J201" s="10">
        <f>'Messages Dictionary'!J209</f>
        <v>0.25</v>
      </c>
      <c r="K201" s="10">
        <f t="shared" si="3"/>
        <v>0</v>
      </c>
      <c r="L201" s="66"/>
      <c r="M201" s="66"/>
      <c r="N201" s="67"/>
      <c r="O201" s="67"/>
      <c r="P201" s="67"/>
      <c r="Q201" s="67"/>
      <c r="R201" s="67"/>
      <c r="S201" s="67"/>
      <c r="T201" s="67"/>
      <c r="U201" s="67"/>
      <c r="V201" s="67"/>
      <c r="W201" s="67"/>
      <c r="X201" s="67"/>
      <c r="Y201" s="67"/>
      <c r="Z201" s="67"/>
      <c r="AA201" s="67"/>
      <c r="AB201" s="67"/>
      <c r="AC201" s="67"/>
      <c r="AD201" s="67"/>
      <c r="AE201" s="67"/>
      <c r="AF201" s="67"/>
      <c r="AG201" s="67"/>
      <c r="AH201" s="67"/>
      <c r="AI201" s="67"/>
      <c r="AJ201" s="67"/>
      <c r="AK201" s="67"/>
      <c r="AL201" s="67"/>
      <c r="AM201" s="67"/>
      <c r="AN201" s="67"/>
      <c r="AO201" s="67"/>
      <c r="AP201" s="67"/>
      <c r="AQ201" s="67"/>
      <c r="AR201" s="67"/>
      <c r="AS201" s="55">
        <f>'Messages Dictionary'!I209</f>
        <v>0</v>
      </c>
    </row>
    <row r="202" spans="1:45" ht="42.75" hidden="1" x14ac:dyDescent="0.2">
      <c r="A202" s="65">
        <v>1258</v>
      </c>
      <c r="B202" s="9" t="s">
        <v>317</v>
      </c>
      <c r="C202" s="9" t="s">
        <v>318</v>
      </c>
      <c r="D202" s="9" t="s">
        <v>863</v>
      </c>
      <c r="E202" s="9" t="s">
        <v>319</v>
      </c>
      <c r="F202" s="9" t="s">
        <v>199</v>
      </c>
      <c r="G202" s="9" t="s">
        <v>412</v>
      </c>
      <c r="H202" s="9" t="s">
        <v>831</v>
      </c>
      <c r="I202" s="55">
        <f>'Messages Dictionary'!I210</f>
        <v>0</v>
      </c>
      <c r="J202" s="10">
        <f>'Messages Dictionary'!J210</f>
        <v>0.5</v>
      </c>
      <c r="K202" s="10">
        <f t="shared" si="3"/>
        <v>0</v>
      </c>
      <c r="L202" s="66"/>
      <c r="M202" s="66"/>
      <c r="N202" s="67"/>
      <c r="O202" s="67"/>
      <c r="P202" s="67"/>
      <c r="Q202" s="67"/>
      <c r="R202" s="67"/>
      <c r="S202" s="67"/>
      <c r="T202" s="67"/>
      <c r="U202" s="67"/>
      <c r="V202" s="67"/>
      <c r="W202" s="67"/>
      <c r="X202" s="67"/>
      <c r="Y202" s="67"/>
      <c r="Z202" s="67"/>
      <c r="AA202" s="67"/>
      <c r="AB202" s="67"/>
      <c r="AC202" s="67"/>
      <c r="AD202" s="67"/>
      <c r="AE202" s="67"/>
      <c r="AF202" s="67"/>
      <c r="AG202" s="67"/>
      <c r="AH202" s="67"/>
      <c r="AI202" s="67"/>
      <c r="AJ202" s="67"/>
      <c r="AK202" s="67"/>
      <c r="AL202" s="67"/>
      <c r="AM202" s="67"/>
      <c r="AN202" s="67"/>
      <c r="AO202" s="67"/>
      <c r="AP202" s="67"/>
      <c r="AQ202" s="67"/>
      <c r="AR202" s="67"/>
      <c r="AS202" s="55">
        <f>'Messages Dictionary'!I210</f>
        <v>0</v>
      </c>
    </row>
    <row r="203" spans="1:45" ht="42.75" hidden="1" x14ac:dyDescent="0.2">
      <c r="A203" s="65">
        <v>1259</v>
      </c>
      <c r="B203" s="9" t="s">
        <v>317</v>
      </c>
      <c r="C203" s="9" t="s">
        <v>318</v>
      </c>
      <c r="D203" s="9" t="s">
        <v>863</v>
      </c>
      <c r="E203" s="9" t="s">
        <v>319</v>
      </c>
      <c r="F203" s="9" t="s">
        <v>198</v>
      </c>
      <c r="G203" s="9" t="s">
        <v>809</v>
      </c>
      <c r="H203" s="9" t="s">
        <v>831</v>
      </c>
      <c r="I203" s="55">
        <f>'Messages Dictionary'!I211</f>
        <v>0</v>
      </c>
      <c r="J203" s="10">
        <f>'Messages Dictionary'!J211</f>
        <v>0.25</v>
      </c>
      <c r="K203" s="10">
        <f t="shared" si="3"/>
        <v>0</v>
      </c>
      <c r="L203" s="66"/>
      <c r="M203" s="66"/>
      <c r="N203" s="67"/>
      <c r="O203" s="67"/>
      <c r="P203" s="67"/>
      <c r="Q203" s="67"/>
      <c r="R203" s="67"/>
      <c r="S203" s="67"/>
      <c r="T203" s="67"/>
      <c r="U203" s="67"/>
      <c r="V203" s="67"/>
      <c r="W203" s="67"/>
      <c r="X203" s="67"/>
      <c r="Y203" s="67"/>
      <c r="Z203" s="67"/>
      <c r="AA203" s="67"/>
      <c r="AB203" s="67"/>
      <c r="AC203" s="67"/>
      <c r="AD203" s="67"/>
      <c r="AE203" s="67"/>
      <c r="AF203" s="67"/>
      <c r="AG203" s="67"/>
      <c r="AH203" s="67"/>
      <c r="AI203" s="67"/>
      <c r="AJ203" s="67"/>
      <c r="AK203" s="67"/>
      <c r="AL203" s="67"/>
      <c r="AM203" s="67"/>
      <c r="AN203" s="67"/>
      <c r="AO203" s="67"/>
      <c r="AP203" s="67"/>
      <c r="AQ203" s="67"/>
      <c r="AR203" s="67"/>
      <c r="AS203" s="55">
        <f>'Messages Dictionary'!I211</f>
        <v>0</v>
      </c>
    </row>
    <row r="204" spans="1:45" ht="42.75" hidden="1" x14ac:dyDescent="0.2">
      <c r="A204" s="65">
        <v>1260</v>
      </c>
      <c r="B204" s="9" t="s">
        <v>317</v>
      </c>
      <c r="C204" s="9" t="s">
        <v>318</v>
      </c>
      <c r="D204" s="9" t="s">
        <v>863</v>
      </c>
      <c r="E204" s="9" t="s">
        <v>319</v>
      </c>
      <c r="F204" s="9" t="s">
        <v>199</v>
      </c>
      <c r="G204" s="9" t="s">
        <v>412</v>
      </c>
      <c r="H204" s="9" t="s">
        <v>831</v>
      </c>
      <c r="I204" s="55">
        <f>'Messages Dictionary'!I212</f>
        <v>0</v>
      </c>
      <c r="J204" s="10">
        <f>'Messages Dictionary'!J212</f>
        <v>0.5</v>
      </c>
      <c r="K204" s="10">
        <f t="shared" si="3"/>
        <v>0</v>
      </c>
      <c r="L204" s="66"/>
      <c r="M204" s="66"/>
      <c r="N204" s="67"/>
      <c r="O204" s="67"/>
      <c r="P204" s="67"/>
      <c r="Q204" s="67"/>
      <c r="R204" s="67"/>
      <c r="S204" s="67"/>
      <c r="T204" s="67"/>
      <c r="U204" s="67"/>
      <c r="V204" s="67"/>
      <c r="W204" s="67"/>
      <c r="X204" s="67"/>
      <c r="Y204" s="67"/>
      <c r="Z204" s="67"/>
      <c r="AA204" s="67"/>
      <c r="AB204" s="67"/>
      <c r="AC204" s="67"/>
      <c r="AD204" s="67"/>
      <c r="AE204" s="67"/>
      <c r="AF204" s="67"/>
      <c r="AG204" s="67"/>
      <c r="AH204" s="67"/>
      <c r="AI204" s="67"/>
      <c r="AJ204" s="67"/>
      <c r="AK204" s="67"/>
      <c r="AL204" s="67"/>
      <c r="AM204" s="67"/>
      <c r="AN204" s="67"/>
      <c r="AO204" s="67"/>
      <c r="AP204" s="67"/>
      <c r="AQ204" s="67"/>
      <c r="AR204" s="67"/>
      <c r="AS204" s="55">
        <f>'Messages Dictionary'!I212</f>
        <v>0</v>
      </c>
    </row>
    <row r="205" spans="1:45" ht="42.75" hidden="1" x14ac:dyDescent="0.2">
      <c r="A205" s="65">
        <v>1261</v>
      </c>
      <c r="B205" s="9" t="s">
        <v>320</v>
      </c>
      <c r="C205" s="9" t="s">
        <v>321</v>
      </c>
      <c r="D205" s="9" t="s">
        <v>828</v>
      </c>
      <c r="E205" s="9" t="s">
        <v>829</v>
      </c>
      <c r="F205" s="9" t="s">
        <v>199</v>
      </c>
      <c r="G205" s="9" t="s">
        <v>412</v>
      </c>
      <c r="H205" s="9" t="s">
        <v>831</v>
      </c>
      <c r="I205" s="55">
        <f>'Messages Dictionary'!I213</f>
        <v>0</v>
      </c>
      <c r="J205" s="10">
        <f>'Messages Dictionary'!J213</f>
        <v>1</v>
      </c>
      <c r="K205" s="10">
        <f t="shared" si="3"/>
        <v>0</v>
      </c>
      <c r="L205" s="66"/>
      <c r="M205" s="66"/>
      <c r="N205" s="67"/>
      <c r="O205" s="67"/>
      <c r="P205" s="67"/>
      <c r="Q205" s="67"/>
      <c r="R205" s="67"/>
      <c r="S205" s="67"/>
      <c r="T205" s="67"/>
      <c r="U205" s="67"/>
      <c r="V205" s="67"/>
      <c r="W205" s="67"/>
      <c r="X205" s="67"/>
      <c r="Y205" s="67"/>
      <c r="Z205" s="67"/>
      <c r="AA205" s="67"/>
      <c r="AB205" s="67"/>
      <c r="AC205" s="67"/>
      <c r="AD205" s="67"/>
      <c r="AE205" s="67"/>
      <c r="AF205" s="67"/>
      <c r="AG205" s="67"/>
      <c r="AH205" s="67"/>
      <c r="AI205" s="67"/>
      <c r="AJ205" s="67"/>
      <c r="AK205" s="67"/>
      <c r="AL205" s="67"/>
      <c r="AM205" s="67"/>
      <c r="AN205" s="67"/>
      <c r="AO205" s="67"/>
      <c r="AP205" s="67"/>
      <c r="AQ205" s="67"/>
      <c r="AR205" s="67"/>
      <c r="AS205" s="55">
        <f>'Messages Dictionary'!I213</f>
        <v>0</v>
      </c>
    </row>
    <row r="206" spans="1:45" hidden="1" x14ac:dyDescent="0.2">
      <c r="A206" s="65">
        <v>1262</v>
      </c>
      <c r="B206" s="9" t="s">
        <v>322</v>
      </c>
      <c r="C206" s="9" t="s">
        <v>323</v>
      </c>
      <c r="D206" s="9" t="s">
        <v>404</v>
      </c>
      <c r="E206" s="9" t="s">
        <v>404</v>
      </c>
      <c r="F206" s="9" t="s">
        <v>199</v>
      </c>
      <c r="G206" s="9" t="s">
        <v>412</v>
      </c>
      <c r="H206" s="9" t="s">
        <v>831</v>
      </c>
      <c r="I206" s="55">
        <f>'Messages Dictionary'!I214</f>
        <v>0</v>
      </c>
      <c r="J206" s="10">
        <f>'Messages Dictionary'!J214</f>
        <v>0.5</v>
      </c>
      <c r="K206" s="10">
        <f t="shared" si="3"/>
        <v>0</v>
      </c>
      <c r="L206" s="66"/>
      <c r="M206" s="66"/>
      <c r="N206" s="67"/>
      <c r="O206" s="67"/>
      <c r="P206" s="67"/>
      <c r="Q206" s="67"/>
      <c r="R206" s="67"/>
      <c r="S206" s="67"/>
      <c r="T206" s="67"/>
      <c r="U206" s="67"/>
      <c r="V206" s="67"/>
      <c r="W206" s="67"/>
      <c r="X206" s="67"/>
      <c r="Y206" s="67"/>
      <c r="Z206" s="67"/>
      <c r="AA206" s="67"/>
      <c r="AB206" s="67"/>
      <c r="AC206" s="67"/>
      <c r="AD206" s="67"/>
      <c r="AE206" s="67"/>
      <c r="AF206" s="67"/>
      <c r="AG206" s="67"/>
      <c r="AH206" s="67"/>
      <c r="AI206" s="67"/>
      <c r="AJ206" s="67"/>
      <c r="AK206" s="67"/>
      <c r="AL206" s="67"/>
      <c r="AM206" s="67"/>
      <c r="AN206" s="67"/>
      <c r="AO206" s="67"/>
      <c r="AP206" s="67"/>
      <c r="AQ206" s="67"/>
      <c r="AR206" s="67"/>
      <c r="AS206" s="55">
        <f>'Messages Dictionary'!I214</f>
        <v>0</v>
      </c>
    </row>
    <row r="207" spans="1:45" ht="42.75" hidden="1" x14ac:dyDescent="0.2">
      <c r="A207" s="65">
        <v>1263</v>
      </c>
      <c r="B207" s="9" t="s">
        <v>324</v>
      </c>
      <c r="C207" s="9" t="s">
        <v>325</v>
      </c>
      <c r="D207" s="9" t="s">
        <v>860</v>
      </c>
      <c r="E207" s="9" t="s">
        <v>30</v>
      </c>
      <c r="F207" s="9" t="s">
        <v>199</v>
      </c>
      <c r="G207" s="9" t="s">
        <v>412</v>
      </c>
      <c r="H207" s="9" t="s">
        <v>831</v>
      </c>
      <c r="I207" s="55">
        <f>'Messages Dictionary'!I215</f>
        <v>0</v>
      </c>
      <c r="J207" s="10">
        <f>'Messages Dictionary'!J215</f>
        <v>0.5</v>
      </c>
      <c r="K207" s="10">
        <f t="shared" si="3"/>
        <v>0</v>
      </c>
      <c r="L207" s="66"/>
      <c r="M207" s="66"/>
      <c r="N207" s="67"/>
      <c r="O207" s="67"/>
      <c r="P207" s="67"/>
      <c r="Q207" s="67"/>
      <c r="R207" s="67"/>
      <c r="S207" s="67"/>
      <c r="T207" s="67"/>
      <c r="U207" s="67"/>
      <c r="V207" s="67"/>
      <c r="W207" s="67"/>
      <c r="X207" s="67"/>
      <c r="Y207" s="67"/>
      <c r="Z207" s="67"/>
      <c r="AA207" s="67"/>
      <c r="AB207" s="67"/>
      <c r="AC207" s="67"/>
      <c r="AD207" s="67"/>
      <c r="AE207" s="67"/>
      <c r="AF207" s="67"/>
      <c r="AG207" s="67"/>
      <c r="AH207" s="67"/>
      <c r="AI207" s="67"/>
      <c r="AJ207" s="67"/>
      <c r="AK207" s="67"/>
      <c r="AL207" s="67"/>
      <c r="AM207" s="67"/>
      <c r="AN207" s="67"/>
      <c r="AO207" s="67"/>
      <c r="AP207" s="67"/>
      <c r="AQ207" s="67"/>
      <c r="AR207" s="67"/>
      <c r="AS207" s="55">
        <f>'Messages Dictionary'!I215</f>
        <v>0</v>
      </c>
    </row>
    <row r="208" spans="1:45" ht="28.5" hidden="1" x14ac:dyDescent="0.2">
      <c r="A208" s="65">
        <v>1264</v>
      </c>
      <c r="B208" s="9" t="s">
        <v>844</v>
      </c>
      <c r="C208" s="9" t="s">
        <v>326</v>
      </c>
      <c r="D208" s="9" t="s">
        <v>842</v>
      </c>
      <c r="E208" s="9" t="s">
        <v>842</v>
      </c>
      <c r="F208" s="9" t="s">
        <v>199</v>
      </c>
      <c r="G208" s="9" t="s">
        <v>809</v>
      </c>
      <c r="H208" s="9" t="s">
        <v>831</v>
      </c>
      <c r="I208" s="55">
        <f>'Messages Dictionary'!I216</f>
        <v>0</v>
      </c>
      <c r="J208" s="10">
        <f>'Messages Dictionary'!J216</f>
        <v>0</v>
      </c>
      <c r="K208" s="10">
        <f t="shared" si="3"/>
        <v>0</v>
      </c>
      <c r="L208" s="66"/>
      <c r="M208" s="66"/>
      <c r="N208" s="67"/>
      <c r="O208" s="67"/>
      <c r="P208" s="67"/>
      <c r="Q208" s="67"/>
      <c r="R208" s="67"/>
      <c r="S208" s="67"/>
      <c r="T208" s="67"/>
      <c r="U208" s="67"/>
      <c r="V208" s="67"/>
      <c r="W208" s="67"/>
      <c r="X208" s="67"/>
      <c r="Y208" s="67"/>
      <c r="Z208" s="67"/>
      <c r="AA208" s="67"/>
      <c r="AB208" s="67"/>
      <c r="AC208" s="67"/>
      <c r="AD208" s="67"/>
      <c r="AE208" s="67"/>
      <c r="AF208" s="67"/>
      <c r="AG208" s="67"/>
      <c r="AH208" s="67"/>
      <c r="AI208" s="67"/>
      <c r="AJ208" s="67"/>
      <c r="AK208" s="67"/>
      <c r="AL208" s="67"/>
      <c r="AM208" s="67"/>
      <c r="AN208" s="67"/>
      <c r="AO208" s="67"/>
      <c r="AP208" s="67"/>
      <c r="AQ208" s="67"/>
      <c r="AR208" s="67"/>
      <c r="AS208" s="55">
        <f>'Messages Dictionary'!I216</f>
        <v>0</v>
      </c>
    </row>
    <row r="209" spans="1:45" ht="28.5" hidden="1" x14ac:dyDescent="0.2">
      <c r="A209" s="65">
        <v>1265</v>
      </c>
      <c r="B209" s="9" t="s">
        <v>846</v>
      </c>
      <c r="C209" s="9" t="s">
        <v>326</v>
      </c>
      <c r="D209" s="9" t="s">
        <v>842</v>
      </c>
      <c r="E209" s="9" t="s">
        <v>842</v>
      </c>
      <c r="F209" s="9" t="s">
        <v>199</v>
      </c>
      <c r="G209" s="9" t="s">
        <v>809</v>
      </c>
      <c r="H209" s="9" t="s">
        <v>831</v>
      </c>
      <c r="I209" s="55">
        <f>'Messages Dictionary'!I217</f>
        <v>0</v>
      </c>
      <c r="J209" s="10">
        <f>'Messages Dictionary'!J217</f>
        <v>0</v>
      </c>
      <c r="K209" s="10">
        <f t="shared" si="3"/>
        <v>0</v>
      </c>
      <c r="L209" s="66"/>
      <c r="M209" s="66"/>
      <c r="N209" s="67"/>
      <c r="O209" s="67"/>
      <c r="P209" s="67"/>
      <c r="Q209" s="67"/>
      <c r="R209" s="67"/>
      <c r="S209" s="67"/>
      <c r="T209" s="67"/>
      <c r="U209" s="67"/>
      <c r="V209" s="67"/>
      <c r="W209" s="67"/>
      <c r="X209" s="67"/>
      <c r="Y209" s="67"/>
      <c r="Z209" s="67"/>
      <c r="AA209" s="67"/>
      <c r="AB209" s="67"/>
      <c r="AC209" s="67"/>
      <c r="AD209" s="67"/>
      <c r="AE209" s="67"/>
      <c r="AF209" s="67"/>
      <c r="AG209" s="67"/>
      <c r="AH209" s="67"/>
      <c r="AI209" s="67"/>
      <c r="AJ209" s="67"/>
      <c r="AK209" s="67"/>
      <c r="AL209" s="67"/>
      <c r="AM209" s="67"/>
      <c r="AN209" s="67"/>
      <c r="AO209" s="67"/>
      <c r="AP209" s="67"/>
      <c r="AQ209" s="67"/>
      <c r="AR209" s="67"/>
      <c r="AS209" s="55">
        <f>'Messages Dictionary'!I217</f>
        <v>0</v>
      </c>
    </row>
    <row r="210" spans="1:45" ht="28.5" hidden="1" x14ac:dyDescent="0.2">
      <c r="A210" s="65">
        <v>1266</v>
      </c>
      <c r="B210" s="9" t="s">
        <v>847</v>
      </c>
      <c r="C210" s="9" t="s">
        <v>326</v>
      </c>
      <c r="D210" s="9" t="s">
        <v>842</v>
      </c>
      <c r="E210" s="9" t="s">
        <v>842</v>
      </c>
      <c r="F210" s="9" t="s">
        <v>199</v>
      </c>
      <c r="G210" s="9" t="s">
        <v>809</v>
      </c>
      <c r="H210" s="9" t="s">
        <v>831</v>
      </c>
      <c r="I210" s="55">
        <f>'Messages Dictionary'!I218</f>
        <v>0</v>
      </c>
      <c r="J210" s="10">
        <f>'Messages Dictionary'!J218</f>
        <v>0</v>
      </c>
      <c r="K210" s="10">
        <f t="shared" si="3"/>
        <v>0</v>
      </c>
      <c r="L210" s="66"/>
      <c r="M210" s="66"/>
      <c r="N210" s="67"/>
      <c r="O210" s="67"/>
      <c r="P210" s="67"/>
      <c r="Q210" s="67"/>
      <c r="R210" s="67"/>
      <c r="S210" s="67"/>
      <c r="T210" s="67"/>
      <c r="U210" s="67"/>
      <c r="V210" s="67"/>
      <c r="W210" s="67"/>
      <c r="X210" s="67"/>
      <c r="Y210" s="67"/>
      <c r="Z210" s="67"/>
      <c r="AA210" s="67"/>
      <c r="AB210" s="67"/>
      <c r="AC210" s="67"/>
      <c r="AD210" s="67"/>
      <c r="AE210" s="67"/>
      <c r="AF210" s="67"/>
      <c r="AG210" s="67"/>
      <c r="AH210" s="67"/>
      <c r="AI210" s="67"/>
      <c r="AJ210" s="67"/>
      <c r="AK210" s="67"/>
      <c r="AL210" s="67"/>
      <c r="AM210" s="67"/>
      <c r="AN210" s="67"/>
      <c r="AO210" s="67"/>
      <c r="AP210" s="67"/>
      <c r="AQ210" s="67"/>
      <c r="AR210" s="67"/>
      <c r="AS210" s="55">
        <f>'Messages Dictionary'!I218</f>
        <v>0</v>
      </c>
    </row>
    <row r="211" spans="1:45" ht="28.5" hidden="1" x14ac:dyDescent="0.2">
      <c r="A211" s="65">
        <v>1267</v>
      </c>
      <c r="B211" s="9" t="s">
        <v>848</v>
      </c>
      <c r="C211" s="9" t="s">
        <v>326</v>
      </c>
      <c r="D211" s="9" t="s">
        <v>842</v>
      </c>
      <c r="E211" s="9" t="s">
        <v>842</v>
      </c>
      <c r="F211" s="9" t="s">
        <v>200</v>
      </c>
      <c r="G211" s="9" t="s">
        <v>809</v>
      </c>
      <c r="H211" s="9" t="s">
        <v>831</v>
      </c>
      <c r="I211" s="55">
        <f>'Messages Dictionary'!I219</f>
        <v>0</v>
      </c>
      <c r="J211" s="10">
        <f>'Messages Dictionary'!J219</f>
        <v>0</v>
      </c>
      <c r="K211" s="10">
        <f t="shared" si="3"/>
        <v>0</v>
      </c>
      <c r="L211" s="66"/>
      <c r="M211" s="66"/>
      <c r="N211" s="67"/>
      <c r="O211" s="67"/>
      <c r="P211" s="67"/>
      <c r="Q211" s="67"/>
      <c r="R211" s="67"/>
      <c r="S211" s="67"/>
      <c r="T211" s="67"/>
      <c r="U211" s="67"/>
      <c r="V211" s="67"/>
      <c r="W211" s="67"/>
      <c r="X211" s="67"/>
      <c r="Y211" s="67"/>
      <c r="Z211" s="67"/>
      <c r="AA211" s="67"/>
      <c r="AB211" s="67"/>
      <c r="AC211" s="67"/>
      <c r="AD211" s="67"/>
      <c r="AE211" s="67"/>
      <c r="AF211" s="67"/>
      <c r="AG211" s="67"/>
      <c r="AH211" s="67"/>
      <c r="AI211" s="67"/>
      <c r="AJ211" s="67"/>
      <c r="AK211" s="67"/>
      <c r="AL211" s="67"/>
      <c r="AM211" s="67"/>
      <c r="AN211" s="67"/>
      <c r="AO211" s="67"/>
      <c r="AP211" s="67"/>
      <c r="AQ211" s="67"/>
      <c r="AR211" s="67"/>
      <c r="AS211" s="55">
        <f>'Messages Dictionary'!I219</f>
        <v>0</v>
      </c>
    </row>
    <row r="212" spans="1:45" ht="28.5" hidden="1" x14ac:dyDescent="0.2">
      <c r="A212" s="65">
        <v>1268</v>
      </c>
      <c r="B212" s="9" t="s">
        <v>840</v>
      </c>
      <c r="C212" s="9" t="s">
        <v>328</v>
      </c>
      <c r="D212" s="9" t="s">
        <v>842</v>
      </c>
      <c r="E212" s="9" t="s">
        <v>842</v>
      </c>
      <c r="F212" s="9" t="s">
        <v>200</v>
      </c>
      <c r="G212" s="9" t="s">
        <v>809</v>
      </c>
      <c r="H212" s="9" t="s">
        <v>831</v>
      </c>
      <c r="I212" s="55">
        <f>'Messages Dictionary'!I220</f>
        <v>0</v>
      </c>
      <c r="J212" s="10">
        <f>'Messages Dictionary'!J220</f>
        <v>0</v>
      </c>
      <c r="K212" s="10">
        <f t="shared" si="3"/>
        <v>0</v>
      </c>
      <c r="L212" s="66"/>
      <c r="M212" s="66"/>
      <c r="N212" s="67"/>
      <c r="O212" s="67"/>
      <c r="P212" s="67"/>
      <c r="Q212" s="67"/>
      <c r="R212" s="67"/>
      <c r="S212" s="67"/>
      <c r="T212" s="67"/>
      <c r="U212" s="67"/>
      <c r="V212" s="67"/>
      <c r="W212" s="67"/>
      <c r="X212" s="67"/>
      <c r="Y212" s="67"/>
      <c r="Z212" s="67"/>
      <c r="AA212" s="67"/>
      <c r="AB212" s="67"/>
      <c r="AC212" s="67"/>
      <c r="AD212" s="67"/>
      <c r="AE212" s="67"/>
      <c r="AF212" s="67"/>
      <c r="AG212" s="67"/>
      <c r="AH212" s="67"/>
      <c r="AI212" s="67"/>
      <c r="AJ212" s="67"/>
      <c r="AK212" s="67"/>
      <c r="AL212" s="67"/>
      <c r="AM212" s="67"/>
      <c r="AN212" s="67"/>
      <c r="AO212" s="67"/>
      <c r="AP212" s="67"/>
      <c r="AQ212" s="67"/>
      <c r="AR212" s="67"/>
      <c r="AS212" s="55">
        <f>'Messages Dictionary'!I220</f>
        <v>0</v>
      </c>
    </row>
    <row r="213" spans="1:45" ht="28.5" hidden="1" x14ac:dyDescent="0.2">
      <c r="A213" s="65">
        <v>1269</v>
      </c>
      <c r="B213" s="9" t="s">
        <v>843</v>
      </c>
      <c r="C213" s="9" t="s">
        <v>328</v>
      </c>
      <c r="D213" s="9" t="s">
        <v>842</v>
      </c>
      <c r="E213" s="9" t="s">
        <v>842</v>
      </c>
      <c r="F213" s="9" t="s">
        <v>200</v>
      </c>
      <c r="G213" s="9" t="s">
        <v>809</v>
      </c>
      <c r="H213" s="9" t="s">
        <v>831</v>
      </c>
      <c r="I213" s="55">
        <f>'Messages Dictionary'!I221</f>
        <v>0</v>
      </c>
      <c r="J213" s="10">
        <f>'Messages Dictionary'!J221</f>
        <v>0</v>
      </c>
      <c r="K213" s="10">
        <f t="shared" si="3"/>
        <v>0</v>
      </c>
      <c r="L213" s="66"/>
      <c r="M213" s="66"/>
      <c r="N213" s="67"/>
      <c r="O213" s="67"/>
      <c r="P213" s="67"/>
      <c r="Q213" s="67"/>
      <c r="R213" s="67"/>
      <c r="S213" s="67"/>
      <c r="T213" s="67"/>
      <c r="U213" s="67"/>
      <c r="V213" s="67"/>
      <c r="W213" s="67"/>
      <c r="X213" s="67"/>
      <c r="Y213" s="67"/>
      <c r="Z213" s="67"/>
      <c r="AA213" s="67"/>
      <c r="AB213" s="67"/>
      <c r="AC213" s="67"/>
      <c r="AD213" s="67"/>
      <c r="AE213" s="67"/>
      <c r="AF213" s="67"/>
      <c r="AG213" s="67"/>
      <c r="AH213" s="67"/>
      <c r="AI213" s="67"/>
      <c r="AJ213" s="67"/>
      <c r="AK213" s="67"/>
      <c r="AL213" s="67"/>
      <c r="AM213" s="67"/>
      <c r="AN213" s="67"/>
      <c r="AO213" s="67"/>
      <c r="AP213" s="67"/>
      <c r="AQ213" s="67"/>
      <c r="AR213" s="67"/>
      <c r="AS213" s="55">
        <f>'Messages Dictionary'!I221</f>
        <v>0</v>
      </c>
    </row>
    <row r="214" spans="1:45" ht="42.75" hidden="1" x14ac:dyDescent="0.2">
      <c r="A214" s="65">
        <v>1270</v>
      </c>
      <c r="B214" s="9" t="s">
        <v>329</v>
      </c>
      <c r="C214" s="9" t="s">
        <v>330</v>
      </c>
      <c r="D214" s="9" t="s">
        <v>842</v>
      </c>
      <c r="E214" s="9" t="s">
        <v>842</v>
      </c>
      <c r="F214" s="9" t="s">
        <v>199</v>
      </c>
      <c r="G214" s="9" t="s">
        <v>809</v>
      </c>
      <c r="H214" s="9" t="s">
        <v>831</v>
      </c>
      <c r="I214" s="55">
        <f>'Messages Dictionary'!I222</f>
        <v>0</v>
      </c>
      <c r="J214" s="10">
        <f>'Messages Dictionary'!J222</f>
        <v>1</v>
      </c>
      <c r="K214" s="10">
        <f t="shared" si="3"/>
        <v>0</v>
      </c>
      <c r="L214" s="66"/>
      <c r="M214" s="66"/>
      <c r="N214" s="67"/>
      <c r="O214" s="67"/>
      <c r="P214" s="67"/>
      <c r="Q214" s="67"/>
      <c r="R214" s="67"/>
      <c r="S214" s="67"/>
      <c r="T214" s="67"/>
      <c r="U214" s="67"/>
      <c r="V214" s="67"/>
      <c r="W214" s="67"/>
      <c r="X214" s="67"/>
      <c r="Y214" s="67"/>
      <c r="Z214" s="67"/>
      <c r="AA214" s="67"/>
      <c r="AB214" s="67"/>
      <c r="AC214" s="67"/>
      <c r="AD214" s="67"/>
      <c r="AE214" s="67"/>
      <c r="AF214" s="67"/>
      <c r="AG214" s="67"/>
      <c r="AH214" s="67"/>
      <c r="AI214" s="67"/>
      <c r="AJ214" s="67"/>
      <c r="AK214" s="67"/>
      <c r="AL214" s="67"/>
      <c r="AM214" s="67"/>
      <c r="AN214" s="67"/>
      <c r="AO214" s="67"/>
      <c r="AP214" s="67"/>
      <c r="AQ214" s="67"/>
      <c r="AR214" s="67"/>
      <c r="AS214" s="55">
        <f>'Messages Dictionary'!I222</f>
        <v>0</v>
      </c>
    </row>
    <row r="215" spans="1:45" ht="42.75" hidden="1" x14ac:dyDescent="0.2">
      <c r="A215" s="65">
        <v>1271</v>
      </c>
      <c r="B215" s="9" t="s">
        <v>65</v>
      </c>
      <c r="C215" s="9" t="s">
        <v>66</v>
      </c>
      <c r="D215" s="9" t="s">
        <v>842</v>
      </c>
      <c r="E215" s="9" t="s">
        <v>842</v>
      </c>
      <c r="F215" s="9" t="s">
        <v>199</v>
      </c>
      <c r="G215" s="9" t="s">
        <v>405</v>
      </c>
      <c r="H215" s="9" t="s">
        <v>426</v>
      </c>
      <c r="I215" s="55">
        <f>'Messages Dictionary'!I223</f>
        <v>0</v>
      </c>
      <c r="J215" s="10">
        <f>'Messages Dictionary'!J223</f>
        <v>1</v>
      </c>
      <c r="K215" s="10">
        <f t="shared" si="3"/>
        <v>0</v>
      </c>
      <c r="L215" s="66"/>
      <c r="M215" s="66"/>
      <c r="N215" s="67"/>
      <c r="O215" s="67"/>
      <c r="P215" s="67"/>
      <c r="Q215" s="67"/>
      <c r="R215" s="67"/>
      <c r="S215" s="67"/>
      <c r="T215" s="67"/>
      <c r="U215" s="67"/>
      <c r="V215" s="67"/>
      <c r="W215" s="67"/>
      <c r="X215" s="67"/>
      <c r="Y215" s="67"/>
      <c r="Z215" s="67"/>
      <c r="AA215" s="67"/>
      <c r="AB215" s="67"/>
      <c r="AC215" s="67"/>
      <c r="AD215" s="67"/>
      <c r="AE215" s="67"/>
      <c r="AF215" s="67"/>
      <c r="AG215" s="67"/>
      <c r="AH215" s="67"/>
      <c r="AI215" s="67"/>
      <c r="AJ215" s="67"/>
      <c r="AK215" s="67"/>
      <c r="AL215" s="67"/>
      <c r="AM215" s="67"/>
      <c r="AN215" s="67"/>
      <c r="AO215" s="67"/>
      <c r="AP215" s="67"/>
      <c r="AQ215" s="67"/>
      <c r="AR215" s="67"/>
      <c r="AS215" s="55">
        <f>'Messages Dictionary'!I223</f>
        <v>0</v>
      </c>
    </row>
    <row r="216" spans="1:45" ht="42.75" hidden="1" x14ac:dyDescent="0.2">
      <c r="A216" s="65">
        <v>1272</v>
      </c>
      <c r="B216" s="9" t="s">
        <v>67</v>
      </c>
      <c r="C216" s="9" t="s">
        <v>66</v>
      </c>
      <c r="D216" s="9" t="s">
        <v>842</v>
      </c>
      <c r="E216" s="9" t="s">
        <v>842</v>
      </c>
      <c r="F216" s="9" t="s">
        <v>199</v>
      </c>
      <c r="G216" s="9" t="s">
        <v>405</v>
      </c>
      <c r="H216" s="9" t="s">
        <v>426</v>
      </c>
      <c r="I216" s="55">
        <f>'Messages Dictionary'!I224</f>
        <v>0</v>
      </c>
      <c r="J216" s="10">
        <f>'Messages Dictionary'!J224</f>
        <v>1</v>
      </c>
      <c r="K216" s="10">
        <f t="shared" si="3"/>
        <v>0</v>
      </c>
      <c r="L216" s="66"/>
      <c r="M216" s="66"/>
      <c r="N216" s="67"/>
      <c r="O216" s="67"/>
      <c r="P216" s="67"/>
      <c r="Q216" s="67"/>
      <c r="R216" s="67"/>
      <c r="S216" s="67"/>
      <c r="T216" s="67"/>
      <c r="U216" s="67"/>
      <c r="V216" s="67"/>
      <c r="W216" s="67"/>
      <c r="X216" s="67"/>
      <c r="Y216" s="67"/>
      <c r="Z216" s="67"/>
      <c r="AA216" s="67"/>
      <c r="AB216" s="67"/>
      <c r="AC216" s="67"/>
      <c r="AD216" s="67"/>
      <c r="AE216" s="67"/>
      <c r="AF216" s="67"/>
      <c r="AG216" s="67"/>
      <c r="AH216" s="67"/>
      <c r="AI216" s="67"/>
      <c r="AJ216" s="67"/>
      <c r="AK216" s="67"/>
      <c r="AL216" s="67"/>
      <c r="AM216" s="67"/>
      <c r="AN216" s="67"/>
      <c r="AO216" s="67"/>
      <c r="AP216" s="67"/>
      <c r="AQ216" s="67"/>
      <c r="AR216" s="67"/>
      <c r="AS216" s="55">
        <f>'Messages Dictionary'!I224</f>
        <v>0</v>
      </c>
    </row>
    <row r="217" spans="1:45" ht="42.75" hidden="1" x14ac:dyDescent="0.2">
      <c r="A217" s="65">
        <v>1273</v>
      </c>
      <c r="B217" s="9" t="s">
        <v>68</v>
      </c>
      <c r="C217" s="9" t="s">
        <v>69</v>
      </c>
      <c r="D217" s="9" t="s">
        <v>842</v>
      </c>
      <c r="E217" s="9" t="s">
        <v>842</v>
      </c>
      <c r="F217" s="9" t="s">
        <v>199</v>
      </c>
      <c r="G217" s="9" t="s">
        <v>405</v>
      </c>
      <c r="H217" s="9" t="s">
        <v>426</v>
      </c>
      <c r="I217" s="55">
        <f>'Messages Dictionary'!I225</f>
        <v>0</v>
      </c>
      <c r="J217" s="10">
        <f>'Messages Dictionary'!J225</f>
        <v>1</v>
      </c>
      <c r="K217" s="10">
        <f t="shared" si="3"/>
        <v>0</v>
      </c>
      <c r="L217" s="66"/>
      <c r="M217" s="66"/>
      <c r="N217" s="67"/>
      <c r="O217" s="67"/>
      <c r="P217" s="67"/>
      <c r="Q217" s="67"/>
      <c r="R217" s="67"/>
      <c r="S217" s="67"/>
      <c r="T217" s="67"/>
      <c r="U217" s="67"/>
      <c r="V217" s="67"/>
      <c r="W217" s="67"/>
      <c r="X217" s="67"/>
      <c r="Y217" s="67"/>
      <c r="Z217" s="67"/>
      <c r="AA217" s="67"/>
      <c r="AB217" s="67"/>
      <c r="AC217" s="67"/>
      <c r="AD217" s="67"/>
      <c r="AE217" s="67"/>
      <c r="AF217" s="67"/>
      <c r="AG217" s="67"/>
      <c r="AH217" s="67"/>
      <c r="AI217" s="67"/>
      <c r="AJ217" s="67"/>
      <c r="AK217" s="67"/>
      <c r="AL217" s="67"/>
      <c r="AM217" s="67"/>
      <c r="AN217" s="67"/>
      <c r="AO217" s="67"/>
      <c r="AP217" s="67"/>
      <c r="AQ217" s="67"/>
      <c r="AR217" s="67"/>
      <c r="AS217" s="55">
        <f>'Messages Dictionary'!I225</f>
        <v>0</v>
      </c>
    </row>
    <row r="218" spans="1:45" ht="42.75" hidden="1" x14ac:dyDescent="0.2">
      <c r="A218" s="65">
        <v>1274</v>
      </c>
      <c r="B218" s="9" t="s">
        <v>70</v>
      </c>
      <c r="C218" s="9" t="s">
        <v>69</v>
      </c>
      <c r="D218" s="9" t="s">
        <v>842</v>
      </c>
      <c r="E218" s="9" t="s">
        <v>842</v>
      </c>
      <c r="F218" s="9" t="s">
        <v>199</v>
      </c>
      <c r="G218" s="9" t="s">
        <v>405</v>
      </c>
      <c r="H218" s="9" t="s">
        <v>426</v>
      </c>
      <c r="I218" s="55">
        <f>'Messages Dictionary'!I226</f>
        <v>0</v>
      </c>
      <c r="J218" s="10">
        <f>'Messages Dictionary'!J226</f>
        <v>1</v>
      </c>
      <c r="K218" s="10">
        <f t="shared" si="3"/>
        <v>0</v>
      </c>
      <c r="L218" s="66"/>
      <c r="M218" s="66"/>
      <c r="N218" s="67"/>
      <c r="O218" s="67"/>
      <c r="P218" s="67"/>
      <c r="Q218" s="67"/>
      <c r="R218" s="67"/>
      <c r="S218" s="67"/>
      <c r="T218" s="67"/>
      <c r="U218" s="67"/>
      <c r="V218" s="67"/>
      <c r="W218" s="67"/>
      <c r="X218" s="67"/>
      <c r="Y218" s="67"/>
      <c r="Z218" s="67"/>
      <c r="AA218" s="67"/>
      <c r="AB218" s="67"/>
      <c r="AC218" s="67"/>
      <c r="AD218" s="67"/>
      <c r="AE218" s="67"/>
      <c r="AF218" s="67"/>
      <c r="AG218" s="67"/>
      <c r="AH218" s="67"/>
      <c r="AI218" s="67"/>
      <c r="AJ218" s="67"/>
      <c r="AK218" s="67"/>
      <c r="AL218" s="67"/>
      <c r="AM218" s="67"/>
      <c r="AN218" s="67"/>
      <c r="AO218" s="67"/>
      <c r="AP218" s="67"/>
      <c r="AQ218" s="67"/>
      <c r="AR218" s="67"/>
      <c r="AS218" s="55">
        <f>'Messages Dictionary'!I226</f>
        <v>0</v>
      </c>
    </row>
    <row r="219" spans="1:45" ht="42.75" hidden="1" x14ac:dyDescent="0.2">
      <c r="A219" s="65">
        <v>1275</v>
      </c>
      <c r="B219" s="9" t="s">
        <v>71</v>
      </c>
      <c r="C219" s="9" t="s">
        <v>69</v>
      </c>
      <c r="D219" s="9" t="s">
        <v>842</v>
      </c>
      <c r="E219" s="9" t="s">
        <v>842</v>
      </c>
      <c r="F219" s="9" t="s">
        <v>199</v>
      </c>
      <c r="G219" s="9" t="s">
        <v>405</v>
      </c>
      <c r="H219" s="9" t="s">
        <v>426</v>
      </c>
      <c r="I219" s="55">
        <f>'Messages Dictionary'!I227</f>
        <v>0</v>
      </c>
      <c r="J219" s="10">
        <f>'Messages Dictionary'!J227</f>
        <v>1</v>
      </c>
      <c r="K219" s="10">
        <f t="shared" si="3"/>
        <v>0</v>
      </c>
      <c r="L219" s="66"/>
      <c r="M219" s="66"/>
      <c r="N219" s="67"/>
      <c r="O219" s="67"/>
      <c r="P219" s="67"/>
      <c r="Q219" s="67"/>
      <c r="R219" s="67"/>
      <c r="S219" s="67"/>
      <c r="T219" s="67"/>
      <c r="U219" s="67"/>
      <c r="V219" s="67"/>
      <c r="W219" s="67"/>
      <c r="X219" s="67"/>
      <c r="Y219" s="67"/>
      <c r="Z219" s="67"/>
      <c r="AA219" s="67"/>
      <c r="AB219" s="67"/>
      <c r="AC219" s="67"/>
      <c r="AD219" s="67"/>
      <c r="AE219" s="67"/>
      <c r="AF219" s="67"/>
      <c r="AG219" s="67"/>
      <c r="AH219" s="67"/>
      <c r="AI219" s="67"/>
      <c r="AJ219" s="67"/>
      <c r="AK219" s="67"/>
      <c r="AL219" s="67"/>
      <c r="AM219" s="67"/>
      <c r="AN219" s="67"/>
      <c r="AO219" s="67"/>
      <c r="AP219" s="67"/>
      <c r="AQ219" s="67"/>
      <c r="AR219" s="67"/>
      <c r="AS219" s="55">
        <f>'Messages Dictionary'!I227</f>
        <v>0</v>
      </c>
    </row>
    <row r="220" spans="1:45" ht="42.75" hidden="1" x14ac:dyDescent="0.2">
      <c r="A220" s="65">
        <v>1276</v>
      </c>
      <c r="B220" s="9" t="s">
        <v>72</v>
      </c>
      <c r="C220" s="9" t="s">
        <v>73</v>
      </c>
      <c r="D220" s="9" t="s">
        <v>842</v>
      </c>
      <c r="E220" s="9" t="s">
        <v>842</v>
      </c>
      <c r="F220" s="9" t="s">
        <v>200</v>
      </c>
      <c r="G220" s="9" t="s">
        <v>809</v>
      </c>
      <c r="H220" s="9" t="s">
        <v>831</v>
      </c>
      <c r="I220" s="55">
        <f>'Messages Dictionary'!I228</f>
        <v>0</v>
      </c>
      <c r="J220" s="10">
        <f>'Messages Dictionary'!J228</f>
        <v>0</v>
      </c>
      <c r="K220" s="10">
        <f t="shared" si="3"/>
        <v>0</v>
      </c>
      <c r="L220" s="66"/>
      <c r="M220" s="66"/>
      <c r="N220" s="67"/>
      <c r="O220" s="67"/>
      <c r="P220" s="67"/>
      <c r="Q220" s="67"/>
      <c r="R220" s="67"/>
      <c r="S220" s="67"/>
      <c r="T220" s="67"/>
      <c r="U220" s="67"/>
      <c r="V220" s="67"/>
      <c r="W220" s="67"/>
      <c r="X220" s="67"/>
      <c r="Y220" s="67"/>
      <c r="Z220" s="67"/>
      <c r="AA220" s="67"/>
      <c r="AB220" s="67"/>
      <c r="AC220" s="67"/>
      <c r="AD220" s="67"/>
      <c r="AE220" s="67"/>
      <c r="AF220" s="67"/>
      <c r="AG220" s="67"/>
      <c r="AH220" s="67"/>
      <c r="AI220" s="67"/>
      <c r="AJ220" s="67"/>
      <c r="AK220" s="67"/>
      <c r="AL220" s="67"/>
      <c r="AM220" s="67"/>
      <c r="AN220" s="67"/>
      <c r="AO220" s="67"/>
      <c r="AP220" s="67"/>
      <c r="AQ220" s="67"/>
      <c r="AR220" s="67"/>
      <c r="AS220" s="55">
        <f>'Messages Dictionary'!I228</f>
        <v>0</v>
      </c>
    </row>
    <row r="221" spans="1:45" ht="42.75" hidden="1" x14ac:dyDescent="0.2">
      <c r="A221" s="65">
        <v>1277</v>
      </c>
      <c r="B221" s="9" t="s">
        <v>433</v>
      </c>
      <c r="C221" s="9" t="s">
        <v>434</v>
      </c>
      <c r="D221" s="9" t="s">
        <v>842</v>
      </c>
      <c r="E221" s="9" t="s">
        <v>842</v>
      </c>
      <c r="F221" s="9" t="s">
        <v>200</v>
      </c>
      <c r="G221" s="9" t="s">
        <v>809</v>
      </c>
      <c r="H221" s="9" t="s">
        <v>831</v>
      </c>
      <c r="I221" s="55">
        <f>'Messages Dictionary'!I229</f>
        <v>0</v>
      </c>
      <c r="J221" s="10">
        <f>'Messages Dictionary'!J229</f>
        <v>0</v>
      </c>
      <c r="K221" s="10">
        <f t="shared" si="3"/>
        <v>0</v>
      </c>
      <c r="L221" s="66"/>
      <c r="M221" s="66"/>
      <c r="N221" s="67"/>
      <c r="O221" s="67"/>
      <c r="P221" s="67"/>
      <c r="Q221" s="67"/>
      <c r="R221" s="67"/>
      <c r="S221" s="67"/>
      <c r="T221" s="67"/>
      <c r="U221" s="67"/>
      <c r="V221" s="67"/>
      <c r="W221" s="67"/>
      <c r="X221" s="67"/>
      <c r="Y221" s="67"/>
      <c r="Z221" s="67"/>
      <c r="AA221" s="67"/>
      <c r="AB221" s="67"/>
      <c r="AC221" s="67"/>
      <c r="AD221" s="67"/>
      <c r="AE221" s="67"/>
      <c r="AF221" s="67"/>
      <c r="AG221" s="67"/>
      <c r="AH221" s="67"/>
      <c r="AI221" s="67"/>
      <c r="AJ221" s="67"/>
      <c r="AK221" s="67"/>
      <c r="AL221" s="67"/>
      <c r="AM221" s="67"/>
      <c r="AN221" s="67"/>
      <c r="AO221" s="67"/>
      <c r="AP221" s="67"/>
      <c r="AQ221" s="67"/>
      <c r="AR221" s="67"/>
      <c r="AS221" s="55">
        <f>'Messages Dictionary'!I229</f>
        <v>0</v>
      </c>
    </row>
    <row r="222" spans="1:45" ht="42.75" hidden="1" x14ac:dyDescent="0.2">
      <c r="A222" s="65">
        <v>1278</v>
      </c>
      <c r="B222" s="9" t="s">
        <v>435</v>
      </c>
      <c r="C222" s="9" t="s">
        <v>436</v>
      </c>
      <c r="D222" s="9" t="s">
        <v>828</v>
      </c>
      <c r="E222" s="9" t="s">
        <v>829</v>
      </c>
      <c r="F222" s="9" t="s">
        <v>199</v>
      </c>
      <c r="G222" s="9" t="s">
        <v>405</v>
      </c>
      <c r="H222" s="9" t="s">
        <v>428</v>
      </c>
      <c r="I222" s="55">
        <f>'Messages Dictionary'!I230</f>
        <v>0</v>
      </c>
      <c r="J222" s="10">
        <f>'Messages Dictionary'!J230</f>
        <v>1</v>
      </c>
      <c r="K222" s="10">
        <f t="shared" si="3"/>
        <v>0</v>
      </c>
      <c r="L222" s="66"/>
      <c r="M222" s="66"/>
      <c r="N222" s="67"/>
      <c r="O222" s="67"/>
      <c r="P222" s="67"/>
      <c r="Q222" s="67"/>
      <c r="R222" s="67"/>
      <c r="S222" s="67"/>
      <c r="T222" s="67"/>
      <c r="U222" s="67"/>
      <c r="V222" s="67"/>
      <c r="W222" s="67"/>
      <c r="X222" s="67"/>
      <c r="Y222" s="67"/>
      <c r="Z222" s="67"/>
      <c r="AA222" s="67"/>
      <c r="AB222" s="67"/>
      <c r="AC222" s="67"/>
      <c r="AD222" s="67"/>
      <c r="AE222" s="67"/>
      <c r="AF222" s="67"/>
      <c r="AG222" s="67"/>
      <c r="AH222" s="67"/>
      <c r="AI222" s="67"/>
      <c r="AJ222" s="67"/>
      <c r="AK222" s="67"/>
      <c r="AL222" s="67"/>
      <c r="AM222" s="67"/>
      <c r="AN222" s="67"/>
      <c r="AO222" s="67"/>
      <c r="AP222" s="67"/>
      <c r="AQ222" s="67"/>
      <c r="AR222" s="67"/>
      <c r="AS222" s="55">
        <f>'Messages Dictionary'!I230</f>
        <v>0</v>
      </c>
    </row>
    <row r="223" spans="1:45" ht="28.5" hidden="1" x14ac:dyDescent="0.2">
      <c r="A223" s="65">
        <v>1279</v>
      </c>
      <c r="B223" s="9" t="s">
        <v>437</v>
      </c>
      <c r="C223" s="9" t="s">
        <v>438</v>
      </c>
      <c r="D223" s="9" t="s">
        <v>828</v>
      </c>
      <c r="E223" s="9" t="s">
        <v>829</v>
      </c>
      <c r="F223" s="9" t="s">
        <v>199</v>
      </c>
      <c r="G223" s="9" t="s">
        <v>405</v>
      </c>
      <c r="H223" s="9" t="s">
        <v>428</v>
      </c>
      <c r="I223" s="55">
        <f>'Messages Dictionary'!I231</f>
        <v>0</v>
      </c>
      <c r="J223" s="10">
        <f>'Messages Dictionary'!J231</f>
        <v>1</v>
      </c>
      <c r="K223" s="10">
        <f t="shared" si="3"/>
        <v>0</v>
      </c>
      <c r="L223" s="66"/>
      <c r="M223" s="66"/>
      <c r="N223" s="67"/>
      <c r="O223" s="67"/>
      <c r="P223" s="67"/>
      <c r="Q223" s="67"/>
      <c r="R223" s="67"/>
      <c r="S223" s="67"/>
      <c r="T223" s="67"/>
      <c r="U223" s="67"/>
      <c r="V223" s="67"/>
      <c r="W223" s="67"/>
      <c r="X223" s="67"/>
      <c r="Y223" s="67"/>
      <c r="Z223" s="67"/>
      <c r="AA223" s="67"/>
      <c r="AB223" s="67"/>
      <c r="AC223" s="67"/>
      <c r="AD223" s="67"/>
      <c r="AE223" s="67"/>
      <c r="AF223" s="67"/>
      <c r="AG223" s="67"/>
      <c r="AH223" s="67"/>
      <c r="AI223" s="67"/>
      <c r="AJ223" s="67"/>
      <c r="AK223" s="67"/>
      <c r="AL223" s="67"/>
      <c r="AM223" s="67"/>
      <c r="AN223" s="67"/>
      <c r="AO223" s="67"/>
      <c r="AP223" s="67"/>
      <c r="AQ223" s="67"/>
      <c r="AR223" s="67"/>
      <c r="AS223" s="55">
        <f>'Messages Dictionary'!I231</f>
        <v>0</v>
      </c>
    </row>
    <row r="224" spans="1:45" ht="28.5" hidden="1" x14ac:dyDescent="0.2">
      <c r="A224" s="65">
        <v>1280</v>
      </c>
      <c r="B224" s="9" t="s">
        <v>439</v>
      </c>
      <c r="C224" s="9" t="s">
        <v>110</v>
      </c>
      <c r="D224" s="9" t="s">
        <v>828</v>
      </c>
      <c r="E224" s="9" t="s">
        <v>829</v>
      </c>
      <c r="F224" s="9" t="s">
        <v>199</v>
      </c>
      <c r="G224" s="9" t="s">
        <v>405</v>
      </c>
      <c r="H224" s="9" t="s">
        <v>428</v>
      </c>
      <c r="I224" s="55">
        <f>'Messages Dictionary'!I232</f>
        <v>0</v>
      </c>
      <c r="J224" s="10">
        <f>'Messages Dictionary'!J232</f>
        <v>1</v>
      </c>
      <c r="K224" s="10">
        <f t="shared" si="3"/>
        <v>0</v>
      </c>
      <c r="L224" s="66"/>
      <c r="M224" s="66"/>
      <c r="N224" s="67"/>
      <c r="O224" s="67"/>
      <c r="P224" s="67"/>
      <c r="Q224" s="67"/>
      <c r="R224" s="67"/>
      <c r="S224" s="67"/>
      <c r="T224" s="67"/>
      <c r="U224" s="67"/>
      <c r="V224" s="67"/>
      <c r="W224" s="67"/>
      <c r="X224" s="67"/>
      <c r="Y224" s="67"/>
      <c r="Z224" s="67"/>
      <c r="AA224" s="67"/>
      <c r="AB224" s="67"/>
      <c r="AC224" s="67"/>
      <c r="AD224" s="67"/>
      <c r="AE224" s="67"/>
      <c r="AF224" s="67"/>
      <c r="AG224" s="67"/>
      <c r="AH224" s="67"/>
      <c r="AI224" s="67"/>
      <c r="AJ224" s="67"/>
      <c r="AK224" s="67"/>
      <c r="AL224" s="67"/>
      <c r="AM224" s="67"/>
      <c r="AN224" s="67"/>
      <c r="AO224" s="67"/>
      <c r="AP224" s="67"/>
      <c r="AQ224" s="67"/>
      <c r="AR224" s="67"/>
      <c r="AS224" s="55">
        <f>'Messages Dictionary'!I232</f>
        <v>0</v>
      </c>
    </row>
    <row r="225" spans="1:45" ht="28.5" hidden="1" x14ac:dyDescent="0.2">
      <c r="A225" s="65">
        <v>1281</v>
      </c>
      <c r="B225" s="9" t="s">
        <v>111</v>
      </c>
      <c r="C225" s="9" t="s">
        <v>112</v>
      </c>
      <c r="D225" s="9" t="s">
        <v>828</v>
      </c>
      <c r="E225" s="9" t="s">
        <v>829</v>
      </c>
      <c r="F225" s="9" t="s">
        <v>199</v>
      </c>
      <c r="G225" s="9" t="s">
        <v>412</v>
      </c>
      <c r="H225" s="9" t="s">
        <v>831</v>
      </c>
      <c r="I225" s="55">
        <f>'Messages Dictionary'!I233</f>
        <v>0</v>
      </c>
      <c r="J225" s="10">
        <f>'Messages Dictionary'!J233</f>
        <v>1</v>
      </c>
      <c r="K225" s="10">
        <f t="shared" si="3"/>
        <v>0</v>
      </c>
      <c r="L225" s="66"/>
      <c r="M225" s="66"/>
      <c r="N225" s="67"/>
      <c r="O225" s="67"/>
      <c r="P225" s="67"/>
      <c r="Q225" s="67"/>
      <c r="R225" s="67"/>
      <c r="S225" s="67"/>
      <c r="T225" s="67"/>
      <c r="U225" s="67"/>
      <c r="V225" s="67"/>
      <c r="W225" s="67"/>
      <c r="X225" s="67"/>
      <c r="Y225" s="67"/>
      <c r="Z225" s="67"/>
      <c r="AA225" s="67"/>
      <c r="AB225" s="67"/>
      <c r="AC225" s="67"/>
      <c r="AD225" s="67"/>
      <c r="AE225" s="67"/>
      <c r="AF225" s="67"/>
      <c r="AG225" s="67"/>
      <c r="AH225" s="67"/>
      <c r="AI225" s="67"/>
      <c r="AJ225" s="67"/>
      <c r="AK225" s="67"/>
      <c r="AL225" s="67"/>
      <c r="AM225" s="67"/>
      <c r="AN225" s="67"/>
      <c r="AO225" s="67"/>
      <c r="AP225" s="67"/>
      <c r="AQ225" s="67"/>
      <c r="AR225" s="67"/>
      <c r="AS225" s="55">
        <f>'Messages Dictionary'!I233</f>
        <v>0</v>
      </c>
    </row>
    <row r="226" spans="1:45" ht="28.5" hidden="1" x14ac:dyDescent="0.2">
      <c r="A226" s="65">
        <v>1282</v>
      </c>
      <c r="B226" s="9" t="s">
        <v>113</v>
      </c>
      <c r="C226" s="9" t="s">
        <v>114</v>
      </c>
      <c r="D226" s="9" t="s">
        <v>4</v>
      </c>
      <c r="E226" s="9" t="s">
        <v>14</v>
      </c>
      <c r="F226" s="9" t="s">
        <v>199</v>
      </c>
      <c r="G226" s="9" t="s">
        <v>412</v>
      </c>
      <c r="H226" s="9" t="s">
        <v>831</v>
      </c>
      <c r="I226" s="55">
        <f>'Messages Dictionary'!I234</f>
        <v>0</v>
      </c>
      <c r="J226" s="10">
        <f>'Messages Dictionary'!J234</f>
        <v>1</v>
      </c>
      <c r="K226" s="10">
        <f t="shared" si="3"/>
        <v>0</v>
      </c>
      <c r="L226" s="66"/>
      <c r="M226" s="66"/>
      <c r="N226" s="67"/>
      <c r="O226" s="67"/>
      <c r="P226" s="67"/>
      <c r="Q226" s="67"/>
      <c r="R226" s="67"/>
      <c r="S226" s="67"/>
      <c r="T226" s="67"/>
      <c r="U226" s="67"/>
      <c r="V226" s="67"/>
      <c r="W226" s="67"/>
      <c r="X226" s="67"/>
      <c r="Y226" s="67"/>
      <c r="Z226" s="67"/>
      <c r="AA226" s="67"/>
      <c r="AB226" s="67"/>
      <c r="AC226" s="67"/>
      <c r="AD226" s="67"/>
      <c r="AE226" s="67"/>
      <c r="AF226" s="67"/>
      <c r="AG226" s="67"/>
      <c r="AH226" s="67"/>
      <c r="AI226" s="67"/>
      <c r="AJ226" s="67"/>
      <c r="AK226" s="67"/>
      <c r="AL226" s="67"/>
      <c r="AM226" s="67"/>
      <c r="AN226" s="67"/>
      <c r="AO226" s="67"/>
      <c r="AP226" s="67"/>
      <c r="AQ226" s="67"/>
      <c r="AR226" s="67"/>
      <c r="AS226" s="55">
        <f>'Messages Dictionary'!I234</f>
        <v>0</v>
      </c>
    </row>
    <row r="227" spans="1:45" ht="42.75" hidden="1" x14ac:dyDescent="0.2">
      <c r="A227" s="65">
        <v>1283</v>
      </c>
      <c r="B227" s="9" t="s">
        <v>115</v>
      </c>
      <c r="C227" s="9" t="s">
        <v>116</v>
      </c>
      <c r="D227" s="9" t="s">
        <v>404</v>
      </c>
      <c r="E227" s="9" t="s">
        <v>404</v>
      </c>
      <c r="F227" s="9" t="s">
        <v>199</v>
      </c>
      <c r="G227" s="9" t="s">
        <v>412</v>
      </c>
      <c r="H227" s="9" t="s">
        <v>831</v>
      </c>
      <c r="I227" s="55">
        <f>'Messages Dictionary'!I235</f>
        <v>0</v>
      </c>
      <c r="J227" s="10">
        <f>'Messages Dictionary'!J235</f>
        <v>0.5</v>
      </c>
      <c r="K227" s="10">
        <f t="shared" si="3"/>
        <v>0</v>
      </c>
      <c r="L227" s="66"/>
      <c r="M227" s="66"/>
      <c r="N227" s="67"/>
      <c r="O227" s="67"/>
      <c r="P227" s="67"/>
      <c r="Q227" s="67"/>
      <c r="R227" s="67"/>
      <c r="S227" s="67"/>
      <c r="T227" s="67"/>
      <c r="U227" s="67"/>
      <c r="V227" s="67"/>
      <c r="W227" s="67"/>
      <c r="X227" s="67"/>
      <c r="Y227" s="67"/>
      <c r="Z227" s="67"/>
      <c r="AA227" s="67"/>
      <c r="AB227" s="67"/>
      <c r="AC227" s="67"/>
      <c r="AD227" s="67"/>
      <c r="AE227" s="67"/>
      <c r="AF227" s="67"/>
      <c r="AG227" s="67"/>
      <c r="AH227" s="67"/>
      <c r="AI227" s="67"/>
      <c r="AJ227" s="67"/>
      <c r="AK227" s="67"/>
      <c r="AL227" s="67"/>
      <c r="AM227" s="67"/>
      <c r="AN227" s="67"/>
      <c r="AO227" s="67"/>
      <c r="AP227" s="67"/>
      <c r="AQ227" s="67"/>
      <c r="AR227" s="67"/>
      <c r="AS227" s="55">
        <f>'Messages Dictionary'!I235</f>
        <v>0</v>
      </c>
    </row>
    <row r="228" spans="1:45" ht="71.25" hidden="1" x14ac:dyDescent="0.2">
      <c r="A228" s="65">
        <v>1284</v>
      </c>
      <c r="B228" s="9" t="s">
        <v>117</v>
      </c>
      <c r="C228" s="9" t="s">
        <v>118</v>
      </c>
      <c r="D228" s="9" t="s">
        <v>828</v>
      </c>
      <c r="E228" s="9" t="s">
        <v>829</v>
      </c>
      <c r="F228" s="9" t="s">
        <v>199</v>
      </c>
      <c r="G228" s="9" t="s">
        <v>405</v>
      </c>
      <c r="H228" s="9" t="s">
        <v>428</v>
      </c>
      <c r="I228" s="55">
        <f>'Messages Dictionary'!I236</f>
        <v>0</v>
      </c>
      <c r="J228" s="10">
        <f>'Messages Dictionary'!J236</f>
        <v>1</v>
      </c>
      <c r="K228" s="10">
        <f t="shared" si="3"/>
        <v>0</v>
      </c>
      <c r="L228" s="66"/>
      <c r="M228" s="66"/>
      <c r="N228" s="67"/>
      <c r="O228" s="67"/>
      <c r="P228" s="67"/>
      <c r="Q228" s="67"/>
      <c r="R228" s="67"/>
      <c r="S228" s="67"/>
      <c r="T228" s="67"/>
      <c r="U228" s="67"/>
      <c r="V228" s="67"/>
      <c r="W228" s="67"/>
      <c r="X228" s="67"/>
      <c r="Y228" s="67"/>
      <c r="Z228" s="67"/>
      <c r="AA228" s="67"/>
      <c r="AB228" s="67"/>
      <c r="AC228" s="67"/>
      <c r="AD228" s="67"/>
      <c r="AE228" s="67"/>
      <c r="AF228" s="67"/>
      <c r="AG228" s="67"/>
      <c r="AH228" s="67"/>
      <c r="AI228" s="67"/>
      <c r="AJ228" s="67"/>
      <c r="AK228" s="67"/>
      <c r="AL228" s="67"/>
      <c r="AM228" s="67"/>
      <c r="AN228" s="67"/>
      <c r="AO228" s="67"/>
      <c r="AP228" s="67"/>
      <c r="AQ228" s="67"/>
      <c r="AR228" s="67"/>
      <c r="AS228" s="55">
        <f>'Messages Dictionary'!I236</f>
        <v>0</v>
      </c>
    </row>
    <row r="229" spans="1:45" ht="28.5" hidden="1" x14ac:dyDescent="0.2">
      <c r="A229" s="65">
        <v>1285</v>
      </c>
      <c r="B229" s="9" t="s">
        <v>119</v>
      </c>
      <c r="C229" s="9" t="s">
        <v>120</v>
      </c>
      <c r="D229" s="9" t="s">
        <v>121</v>
      </c>
      <c r="E229" s="9" t="s">
        <v>122</v>
      </c>
      <c r="F229" s="9" t="s">
        <v>198</v>
      </c>
      <c r="G229" s="9" t="s">
        <v>809</v>
      </c>
      <c r="H229" s="9" t="s">
        <v>831</v>
      </c>
      <c r="I229" s="55">
        <f>'Messages Dictionary'!I237</f>
        <v>0</v>
      </c>
      <c r="J229" s="10">
        <f>'Messages Dictionary'!J237</f>
        <v>0</v>
      </c>
      <c r="K229" s="10">
        <f t="shared" si="3"/>
        <v>0</v>
      </c>
      <c r="L229" s="66"/>
      <c r="M229" s="66"/>
      <c r="N229" s="67"/>
      <c r="O229" s="67"/>
      <c r="P229" s="67"/>
      <c r="Q229" s="67"/>
      <c r="R229" s="67"/>
      <c r="S229" s="67"/>
      <c r="T229" s="67"/>
      <c r="U229" s="67"/>
      <c r="V229" s="67"/>
      <c r="W229" s="67"/>
      <c r="X229" s="67"/>
      <c r="Y229" s="67"/>
      <c r="Z229" s="67"/>
      <c r="AA229" s="67"/>
      <c r="AB229" s="67"/>
      <c r="AC229" s="67"/>
      <c r="AD229" s="67"/>
      <c r="AE229" s="67"/>
      <c r="AF229" s="67"/>
      <c r="AG229" s="67"/>
      <c r="AH229" s="67"/>
      <c r="AI229" s="67"/>
      <c r="AJ229" s="67"/>
      <c r="AK229" s="67"/>
      <c r="AL229" s="67"/>
      <c r="AM229" s="67"/>
      <c r="AN229" s="67"/>
      <c r="AO229" s="67"/>
      <c r="AP229" s="67"/>
      <c r="AQ229" s="67"/>
      <c r="AR229" s="67"/>
      <c r="AS229" s="55">
        <f>'Messages Dictionary'!I237</f>
        <v>0</v>
      </c>
    </row>
    <row r="230" spans="1:45" ht="28.5" hidden="1" x14ac:dyDescent="0.2">
      <c r="A230" s="65">
        <v>1286</v>
      </c>
      <c r="B230" s="9" t="s">
        <v>123</v>
      </c>
      <c r="C230" s="9" t="s">
        <v>124</v>
      </c>
      <c r="D230" s="9" t="s">
        <v>404</v>
      </c>
      <c r="E230" s="9" t="s">
        <v>404</v>
      </c>
      <c r="F230" s="9" t="s">
        <v>198</v>
      </c>
      <c r="G230" s="9" t="s">
        <v>809</v>
      </c>
      <c r="H230" s="9" t="s">
        <v>831</v>
      </c>
      <c r="I230" s="55">
        <f>'Messages Dictionary'!I238</f>
        <v>0</v>
      </c>
      <c r="J230" s="10">
        <f>'Messages Dictionary'!J238</f>
        <v>0</v>
      </c>
      <c r="K230" s="10">
        <f t="shared" si="3"/>
        <v>0</v>
      </c>
      <c r="L230" s="66"/>
      <c r="M230" s="66"/>
      <c r="N230" s="67"/>
      <c r="O230" s="67"/>
      <c r="P230" s="67"/>
      <c r="Q230" s="67"/>
      <c r="R230" s="67"/>
      <c r="S230" s="67"/>
      <c r="T230" s="67"/>
      <c r="U230" s="67"/>
      <c r="V230" s="67"/>
      <c r="W230" s="67"/>
      <c r="X230" s="67"/>
      <c r="Y230" s="67"/>
      <c r="Z230" s="67"/>
      <c r="AA230" s="67"/>
      <c r="AB230" s="67"/>
      <c r="AC230" s="67"/>
      <c r="AD230" s="67"/>
      <c r="AE230" s="67"/>
      <c r="AF230" s="67"/>
      <c r="AG230" s="67"/>
      <c r="AH230" s="67"/>
      <c r="AI230" s="67"/>
      <c r="AJ230" s="67"/>
      <c r="AK230" s="67"/>
      <c r="AL230" s="67"/>
      <c r="AM230" s="67"/>
      <c r="AN230" s="67"/>
      <c r="AO230" s="67"/>
      <c r="AP230" s="67"/>
      <c r="AQ230" s="67"/>
      <c r="AR230" s="67"/>
      <c r="AS230" s="55">
        <f>'Messages Dictionary'!I238</f>
        <v>0</v>
      </c>
    </row>
    <row r="231" spans="1:45" s="27" customFormat="1" ht="28.5" hidden="1" x14ac:dyDescent="0.2">
      <c r="A231" s="28">
        <v>1292</v>
      </c>
      <c r="B231" s="9" t="s">
        <v>446</v>
      </c>
      <c r="C231" s="9" t="s">
        <v>447</v>
      </c>
      <c r="D231" s="9" t="s">
        <v>121</v>
      </c>
      <c r="E231" s="9" t="s">
        <v>122</v>
      </c>
      <c r="F231" s="9" t="s">
        <v>199</v>
      </c>
      <c r="G231" s="9" t="s">
        <v>405</v>
      </c>
      <c r="H231" s="9" t="s">
        <v>431</v>
      </c>
      <c r="I231" s="55">
        <f>'Messages Dictionary'!I239</f>
        <v>0</v>
      </c>
      <c r="J231" s="10">
        <f>'Messages Dictionary'!J239</f>
        <v>0.5</v>
      </c>
      <c r="K231" s="10">
        <f t="shared" si="3"/>
        <v>0</v>
      </c>
      <c r="L231" s="82"/>
      <c r="M231" s="82"/>
      <c r="N231" s="83"/>
      <c r="O231" s="83"/>
      <c r="P231" s="83"/>
      <c r="Q231" s="83"/>
      <c r="R231" s="83"/>
      <c r="S231" s="83"/>
      <c r="T231" s="83"/>
      <c r="U231" s="83"/>
      <c r="V231" s="83"/>
      <c r="W231" s="83"/>
      <c r="X231" s="83"/>
      <c r="Y231" s="83"/>
      <c r="Z231" s="83"/>
      <c r="AA231" s="83"/>
      <c r="AB231" s="83"/>
      <c r="AC231" s="83"/>
      <c r="AD231" s="83"/>
      <c r="AE231" s="83"/>
      <c r="AF231" s="83"/>
      <c r="AG231" s="83"/>
      <c r="AH231" s="83"/>
      <c r="AI231" s="83"/>
      <c r="AJ231" s="83"/>
      <c r="AK231" s="83"/>
      <c r="AL231" s="83"/>
      <c r="AM231" s="83"/>
      <c r="AN231" s="83"/>
      <c r="AO231" s="83"/>
      <c r="AP231" s="83"/>
      <c r="AQ231" s="83"/>
      <c r="AR231" s="83"/>
      <c r="AS231" s="55">
        <f>'Messages Dictionary'!I239</f>
        <v>0</v>
      </c>
    </row>
    <row r="232" spans="1:45" ht="42.75" hidden="1" x14ac:dyDescent="0.2">
      <c r="A232" s="65">
        <v>1293</v>
      </c>
      <c r="B232" s="9" t="s">
        <v>128</v>
      </c>
      <c r="C232" s="9" t="s">
        <v>129</v>
      </c>
      <c r="D232" s="9" t="s">
        <v>121</v>
      </c>
      <c r="E232" s="9" t="s">
        <v>122</v>
      </c>
      <c r="F232" s="9" t="s">
        <v>199</v>
      </c>
      <c r="G232" s="9" t="s">
        <v>405</v>
      </c>
      <c r="H232" s="9" t="s">
        <v>431</v>
      </c>
      <c r="I232" s="55">
        <f>'Messages Dictionary'!I240</f>
        <v>0</v>
      </c>
      <c r="J232" s="10">
        <f>'Messages Dictionary'!J240</f>
        <v>0.1</v>
      </c>
      <c r="K232" s="10">
        <f t="shared" si="3"/>
        <v>0</v>
      </c>
      <c r="L232" s="66"/>
      <c r="M232" s="66"/>
      <c r="N232" s="67"/>
      <c r="O232" s="67"/>
      <c r="P232" s="67"/>
      <c r="Q232" s="67"/>
      <c r="R232" s="67"/>
      <c r="S232" s="67"/>
      <c r="T232" s="67"/>
      <c r="U232" s="67"/>
      <c r="V232" s="67"/>
      <c r="W232" s="67"/>
      <c r="X232" s="67"/>
      <c r="Y232" s="67"/>
      <c r="Z232" s="67"/>
      <c r="AA232" s="67"/>
      <c r="AB232" s="67"/>
      <c r="AC232" s="67"/>
      <c r="AD232" s="67"/>
      <c r="AE232" s="67"/>
      <c r="AF232" s="67"/>
      <c r="AG232" s="67"/>
      <c r="AH232" s="67"/>
      <c r="AI232" s="67"/>
      <c r="AJ232" s="67"/>
      <c r="AK232" s="67"/>
      <c r="AL232" s="67"/>
      <c r="AM232" s="67"/>
      <c r="AN232" s="67"/>
      <c r="AO232" s="67"/>
      <c r="AP232" s="67"/>
      <c r="AQ232" s="67"/>
      <c r="AR232" s="67"/>
      <c r="AS232" s="55">
        <f>'Messages Dictionary'!I240</f>
        <v>0</v>
      </c>
    </row>
    <row r="233" spans="1:45" ht="28.5" hidden="1" x14ac:dyDescent="0.2">
      <c r="A233" s="65">
        <v>1294</v>
      </c>
      <c r="B233" s="9" t="s">
        <v>130</v>
      </c>
      <c r="C233" s="9" t="s">
        <v>131</v>
      </c>
      <c r="D233" s="9" t="s">
        <v>121</v>
      </c>
      <c r="E233" s="9" t="s">
        <v>122</v>
      </c>
      <c r="F233" s="9" t="s">
        <v>199</v>
      </c>
      <c r="G233" s="9" t="s">
        <v>405</v>
      </c>
      <c r="H233" s="9" t="s">
        <v>431</v>
      </c>
      <c r="I233" s="55">
        <f>'Messages Dictionary'!I241</f>
        <v>4</v>
      </c>
      <c r="J233" s="10">
        <f>'Messages Dictionary'!J241</f>
        <v>1</v>
      </c>
      <c r="K233" s="10">
        <f t="shared" si="3"/>
        <v>4</v>
      </c>
      <c r="L233" s="66"/>
      <c r="M233" s="66"/>
      <c r="N233" s="67"/>
      <c r="O233" s="67"/>
      <c r="P233" s="67"/>
      <c r="Q233" s="67"/>
      <c r="R233" s="67"/>
      <c r="S233" s="67"/>
      <c r="T233" s="67"/>
      <c r="U233" s="67"/>
      <c r="V233" s="67"/>
      <c r="W233" s="67"/>
      <c r="X233" s="67"/>
      <c r="Y233" s="67"/>
      <c r="Z233" s="67"/>
      <c r="AA233" s="67"/>
      <c r="AB233" s="67"/>
      <c r="AC233" s="67"/>
      <c r="AD233" s="67"/>
      <c r="AE233" s="67"/>
      <c r="AF233" s="67"/>
      <c r="AG233" s="67"/>
      <c r="AH233" s="67"/>
      <c r="AI233" s="67"/>
      <c r="AJ233" s="67"/>
      <c r="AK233" s="67"/>
      <c r="AL233" s="67"/>
      <c r="AM233" s="67"/>
      <c r="AN233" s="67"/>
      <c r="AO233" s="67"/>
      <c r="AP233" s="67"/>
      <c r="AQ233" s="67"/>
      <c r="AR233" s="67"/>
      <c r="AS233" s="55">
        <f>'Messages Dictionary'!I241</f>
        <v>4</v>
      </c>
    </row>
    <row r="234" spans="1:45" ht="57" hidden="1" x14ac:dyDescent="0.2">
      <c r="A234" s="65">
        <v>1295</v>
      </c>
      <c r="B234" s="9" t="s">
        <v>132</v>
      </c>
      <c r="C234" s="9" t="s">
        <v>133</v>
      </c>
      <c r="D234" s="9" t="s">
        <v>828</v>
      </c>
      <c r="E234" s="9" t="s">
        <v>829</v>
      </c>
      <c r="F234" s="9" t="s">
        <v>199</v>
      </c>
      <c r="G234" s="9" t="s">
        <v>412</v>
      </c>
      <c r="H234" s="9" t="s">
        <v>831</v>
      </c>
      <c r="I234" s="55">
        <f>'Messages Dictionary'!I242</f>
        <v>0</v>
      </c>
      <c r="J234" s="10">
        <f>'Messages Dictionary'!J242</f>
        <v>0.5</v>
      </c>
      <c r="K234" s="10">
        <f t="shared" si="3"/>
        <v>0</v>
      </c>
      <c r="L234" s="66"/>
      <c r="M234" s="66"/>
      <c r="N234" s="67"/>
      <c r="O234" s="67"/>
      <c r="P234" s="67"/>
      <c r="Q234" s="67"/>
      <c r="R234" s="67"/>
      <c r="S234" s="67"/>
      <c r="T234" s="67"/>
      <c r="U234" s="67"/>
      <c r="V234" s="67"/>
      <c r="W234" s="67"/>
      <c r="X234" s="67"/>
      <c r="Y234" s="67"/>
      <c r="Z234" s="67"/>
      <c r="AA234" s="67"/>
      <c r="AB234" s="67"/>
      <c r="AC234" s="67"/>
      <c r="AD234" s="67"/>
      <c r="AE234" s="67"/>
      <c r="AF234" s="67"/>
      <c r="AG234" s="67"/>
      <c r="AH234" s="67"/>
      <c r="AI234" s="67"/>
      <c r="AJ234" s="67"/>
      <c r="AK234" s="67"/>
      <c r="AL234" s="67"/>
      <c r="AM234" s="67"/>
      <c r="AN234" s="67"/>
      <c r="AO234" s="67"/>
      <c r="AP234" s="67"/>
      <c r="AQ234" s="67"/>
      <c r="AR234" s="67"/>
      <c r="AS234" s="55">
        <f>'Messages Dictionary'!I242</f>
        <v>0</v>
      </c>
    </row>
    <row r="235" spans="1:45" ht="28.5" hidden="1" x14ac:dyDescent="0.2">
      <c r="A235" s="65">
        <v>1296</v>
      </c>
      <c r="B235" s="9" t="s">
        <v>134</v>
      </c>
      <c r="C235" s="9" t="s">
        <v>135</v>
      </c>
      <c r="D235" s="9" t="s">
        <v>863</v>
      </c>
      <c r="E235" s="9" t="s">
        <v>319</v>
      </c>
      <c r="F235" s="9" t="s">
        <v>199</v>
      </c>
      <c r="G235" s="9" t="s">
        <v>412</v>
      </c>
      <c r="H235" s="9" t="s">
        <v>831</v>
      </c>
      <c r="I235" s="55">
        <f>'Messages Dictionary'!I243</f>
        <v>0</v>
      </c>
      <c r="J235" s="10">
        <f>'Messages Dictionary'!J243</f>
        <v>0.5</v>
      </c>
      <c r="K235" s="10">
        <f t="shared" si="3"/>
        <v>0</v>
      </c>
      <c r="L235" s="66"/>
      <c r="M235" s="66"/>
      <c r="N235" s="67"/>
      <c r="O235" s="67"/>
      <c r="P235" s="67"/>
      <c r="Q235" s="67"/>
      <c r="R235" s="67"/>
      <c r="S235" s="67"/>
      <c r="T235" s="67"/>
      <c r="U235" s="67"/>
      <c r="V235" s="67"/>
      <c r="W235" s="67"/>
      <c r="X235" s="67"/>
      <c r="Y235" s="67"/>
      <c r="Z235" s="67"/>
      <c r="AA235" s="67"/>
      <c r="AB235" s="67"/>
      <c r="AC235" s="67"/>
      <c r="AD235" s="67"/>
      <c r="AE235" s="67"/>
      <c r="AF235" s="67"/>
      <c r="AG235" s="67"/>
      <c r="AH235" s="67"/>
      <c r="AI235" s="67"/>
      <c r="AJ235" s="67"/>
      <c r="AK235" s="67"/>
      <c r="AL235" s="67"/>
      <c r="AM235" s="67"/>
      <c r="AN235" s="67"/>
      <c r="AO235" s="67"/>
      <c r="AP235" s="67"/>
      <c r="AQ235" s="67"/>
      <c r="AR235" s="67"/>
      <c r="AS235" s="55">
        <f>'Messages Dictionary'!I243</f>
        <v>0</v>
      </c>
    </row>
    <row r="236" spans="1:45" ht="28.5" hidden="1" x14ac:dyDescent="0.2">
      <c r="A236" s="65">
        <v>1297</v>
      </c>
      <c r="B236" s="9" t="s">
        <v>136</v>
      </c>
      <c r="C236" s="9" t="s">
        <v>137</v>
      </c>
      <c r="D236" s="9" t="s">
        <v>404</v>
      </c>
      <c r="E236" s="9" t="s">
        <v>404</v>
      </c>
      <c r="F236" s="9" t="s">
        <v>199</v>
      </c>
      <c r="G236" s="9" t="s">
        <v>412</v>
      </c>
      <c r="H236" s="9" t="s">
        <v>831</v>
      </c>
      <c r="I236" s="55">
        <f>'Messages Dictionary'!I244</f>
        <v>0</v>
      </c>
      <c r="J236" s="10">
        <f>'Messages Dictionary'!J244</f>
        <v>0.5</v>
      </c>
      <c r="K236" s="10">
        <f t="shared" si="3"/>
        <v>0</v>
      </c>
      <c r="L236" s="66"/>
      <c r="M236" s="66"/>
      <c r="N236" s="67"/>
      <c r="O236" s="67"/>
      <c r="P236" s="67"/>
      <c r="Q236" s="67"/>
      <c r="R236" s="67"/>
      <c r="S236" s="67"/>
      <c r="T236" s="67"/>
      <c r="U236" s="67"/>
      <c r="V236" s="67"/>
      <c r="W236" s="67"/>
      <c r="X236" s="67"/>
      <c r="Y236" s="67"/>
      <c r="Z236" s="67"/>
      <c r="AA236" s="67"/>
      <c r="AB236" s="67"/>
      <c r="AC236" s="67"/>
      <c r="AD236" s="67"/>
      <c r="AE236" s="67"/>
      <c r="AF236" s="67"/>
      <c r="AG236" s="67"/>
      <c r="AH236" s="67"/>
      <c r="AI236" s="67"/>
      <c r="AJ236" s="67"/>
      <c r="AK236" s="67"/>
      <c r="AL236" s="67"/>
      <c r="AM236" s="67"/>
      <c r="AN236" s="67"/>
      <c r="AO236" s="67"/>
      <c r="AP236" s="67"/>
      <c r="AQ236" s="67"/>
      <c r="AR236" s="67"/>
      <c r="AS236" s="55">
        <f>'Messages Dictionary'!I244</f>
        <v>0</v>
      </c>
    </row>
    <row r="237" spans="1:45" ht="85.5" hidden="1" x14ac:dyDescent="0.2">
      <c r="A237" s="65">
        <v>1313</v>
      </c>
      <c r="B237" s="9" t="s">
        <v>138</v>
      </c>
      <c r="C237" s="9" t="s">
        <v>537</v>
      </c>
      <c r="D237" s="9" t="s">
        <v>860</v>
      </c>
      <c r="E237" s="9" t="s">
        <v>316</v>
      </c>
      <c r="F237" s="9" t="s">
        <v>199</v>
      </c>
      <c r="G237" s="9" t="s">
        <v>412</v>
      </c>
      <c r="H237" s="9" t="s">
        <v>831</v>
      </c>
      <c r="I237" s="55">
        <f>'Messages Dictionary'!I245</f>
        <v>0</v>
      </c>
      <c r="J237" s="10">
        <f>'Messages Dictionary'!J245</f>
        <v>1</v>
      </c>
      <c r="K237" s="10">
        <f t="shared" si="3"/>
        <v>0</v>
      </c>
      <c r="L237" s="66"/>
      <c r="M237" s="66"/>
      <c r="N237" s="67"/>
      <c r="O237" s="67"/>
      <c r="P237" s="67"/>
      <c r="Q237" s="67"/>
      <c r="R237" s="67"/>
      <c r="S237" s="67"/>
      <c r="T237" s="67"/>
      <c r="U237" s="67"/>
      <c r="V237" s="67"/>
      <c r="W237" s="67"/>
      <c r="X237" s="67"/>
      <c r="Y237" s="67"/>
      <c r="Z237" s="67"/>
      <c r="AA237" s="67"/>
      <c r="AB237" s="67"/>
      <c r="AC237" s="67"/>
      <c r="AD237" s="67"/>
      <c r="AE237" s="67"/>
      <c r="AF237" s="67"/>
      <c r="AG237" s="67"/>
      <c r="AH237" s="67"/>
      <c r="AI237" s="67"/>
      <c r="AJ237" s="67"/>
      <c r="AK237" s="67"/>
      <c r="AL237" s="67"/>
      <c r="AM237" s="67"/>
      <c r="AN237" s="67"/>
      <c r="AO237" s="67"/>
      <c r="AP237" s="67"/>
      <c r="AQ237" s="67"/>
      <c r="AR237" s="67"/>
      <c r="AS237" s="55">
        <f>'Messages Dictionary'!I245</f>
        <v>0</v>
      </c>
    </row>
    <row r="238" spans="1:45" ht="85.5" hidden="1" x14ac:dyDescent="0.2">
      <c r="A238" s="65">
        <v>1314</v>
      </c>
      <c r="B238" s="9" t="s">
        <v>538</v>
      </c>
      <c r="C238" s="9" t="s">
        <v>539</v>
      </c>
      <c r="D238" s="9" t="s">
        <v>860</v>
      </c>
      <c r="E238" s="9" t="s">
        <v>316</v>
      </c>
      <c r="F238" s="9" t="s">
        <v>199</v>
      </c>
      <c r="G238" s="9" t="s">
        <v>405</v>
      </c>
      <c r="H238" s="9" t="s">
        <v>536</v>
      </c>
      <c r="I238" s="55">
        <f>'Messages Dictionary'!I246</f>
        <v>0</v>
      </c>
      <c r="J238" s="10">
        <f>'Messages Dictionary'!J246</f>
        <v>1</v>
      </c>
      <c r="K238" s="10">
        <f t="shared" si="3"/>
        <v>0</v>
      </c>
      <c r="L238" s="66"/>
      <c r="M238" s="66"/>
      <c r="N238" s="67"/>
      <c r="O238" s="67"/>
      <c r="P238" s="67"/>
      <c r="Q238" s="67"/>
      <c r="R238" s="67"/>
      <c r="S238" s="67"/>
      <c r="T238" s="67"/>
      <c r="U238" s="67"/>
      <c r="V238" s="67"/>
      <c r="W238" s="67"/>
      <c r="X238" s="67"/>
      <c r="Y238" s="67"/>
      <c r="Z238" s="67"/>
      <c r="AA238" s="67"/>
      <c r="AB238" s="67"/>
      <c r="AC238" s="67"/>
      <c r="AD238" s="67"/>
      <c r="AE238" s="67"/>
      <c r="AF238" s="67"/>
      <c r="AG238" s="67"/>
      <c r="AH238" s="67"/>
      <c r="AI238" s="67"/>
      <c r="AJ238" s="67"/>
      <c r="AK238" s="67"/>
      <c r="AL238" s="67"/>
      <c r="AM238" s="67"/>
      <c r="AN238" s="67"/>
      <c r="AO238" s="67"/>
      <c r="AP238" s="67"/>
      <c r="AQ238" s="67"/>
      <c r="AR238" s="67"/>
      <c r="AS238" s="55">
        <f>'Messages Dictionary'!I246</f>
        <v>0</v>
      </c>
    </row>
    <row r="239" spans="1:45" ht="71.25" hidden="1" x14ac:dyDescent="0.2">
      <c r="A239" s="65">
        <v>1315</v>
      </c>
      <c r="B239" s="9" t="s">
        <v>540</v>
      </c>
      <c r="C239" s="9" t="s">
        <v>541</v>
      </c>
      <c r="D239" s="9" t="s">
        <v>860</v>
      </c>
      <c r="E239" s="9" t="s">
        <v>40</v>
      </c>
      <c r="F239" s="9" t="s">
        <v>199</v>
      </c>
      <c r="G239" s="9" t="s">
        <v>405</v>
      </c>
      <c r="H239" s="9" t="s">
        <v>536</v>
      </c>
      <c r="I239" s="55">
        <f>'Messages Dictionary'!I247</f>
        <v>0</v>
      </c>
      <c r="J239" s="10">
        <f>'Messages Dictionary'!J247</f>
        <v>1</v>
      </c>
      <c r="K239" s="10">
        <f t="shared" si="3"/>
        <v>0</v>
      </c>
      <c r="L239" s="66"/>
      <c r="M239" s="66"/>
      <c r="N239" s="67"/>
      <c r="O239" s="67"/>
      <c r="P239" s="67"/>
      <c r="Q239" s="67"/>
      <c r="R239" s="67"/>
      <c r="S239" s="67"/>
      <c r="T239" s="67"/>
      <c r="U239" s="67"/>
      <c r="V239" s="67"/>
      <c r="W239" s="67"/>
      <c r="X239" s="67"/>
      <c r="Y239" s="67"/>
      <c r="Z239" s="67"/>
      <c r="AA239" s="67"/>
      <c r="AB239" s="67"/>
      <c r="AC239" s="67"/>
      <c r="AD239" s="67"/>
      <c r="AE239" s="67"/>
      <c r="AF239" s="67"/>
      <c r="AG239" s="67"/>
      <c r="AH239" s="67"/>
      <c r="AI239" s="67"/>
      <c r="AJ239" s="67"/>
      <c r="AK239" s="67"/>
      <c r="AL239" s="67"/>
      <c r="AM239" s="67"/>
      <c r="AN239" s="67"/>
      <c r="AO239" s="67"/>
      <c r="AP239" s="67"/>
      <c r="AQ239" s="67"/>
      <c r="AR239" s="67"/>
      <c r="AS239" s="55">
        <f>'Messages Dictionary'!I247</f>
        <v>0</v>
      </c>
    </row>
    <row r="240" spans="1:45" ht="71.25" hidden="1" x14ac:dyDescent="0.2">
      <c r="A240" s="65">
        <v>1316</v>
      </c>
      <c r="B240" s="9" t="s">
        <v>542</v>
      </c>
      <c r="C240" s="9" t="s">
        <v>543</v>
      </c>
      <c r="D240" s="9" t="s">
        <v>860</v>
      </c>
      <c r="E240" s="9" t="s">
        <v>40</v>
      </c>
      <c r="F240" s="9" t="s">
        <v>199</v>
      </c>
      <c r="G240" s="9" t="s">
        <v>405</v>
      </c>
      <c r="H240" s="9" t="s">
        <v>536</v>
      </c>
      <c r="I240" s="55">
        <f>'Messages Dictionary'!I248</f>
        <v>0</v>
      </c>
      <c r="J240" s="10">
        <f>'Messages Dictionary'!J248</f>
        <v>1</v>
      </c>
      <c r="K240" s="10">
        <f t="shared" si="3"/>
        <v>0</v>
      </c>
      <c r="L240" s="66"/>
      <c r="M240" s="66"/>
      <c r="N240" s="67"/>
      <c r="O240" s="67"/>
      <c r="P240" s="67"/>
      <c r="Q240" s="67"/>
      <c r="R240" s="67"/>
      <c r="S240" s="67"/>
      <c r="T240" s="67"/>
      <c r="U240" s="67"/>
      <c r="V240" s="67"/>
      <c r="W240" s="67"/>
      <c r="X240" s="67"/>
      <c r="Y240" s="67"/>
      <c r="Z240" s="67"/>
      <c r="AA240" s="67"/>
      <c r="AB240" s="67"/>
      <c r="AC240" s="67"/>
      <c r="AD240" s="67"/>
      <c r="AE240" s="67"/>
      <c r="AF240" s="67"/>
      <c r="AG240" s="67"/>
      <c r="AH240" s="67"/>
      <c r="AI240" s="67"/>
      <c r="AJ240" s="67"/>
      <c r="AK240" s="67"/>
      <c r="AL240" s="67"/>
      <c r="AM240" s="67"/>
      <c r="AN240" s="67"/>
      <c r="AO240" s="67"/>
      <c r="AP240" s="67"/>
      <c r="AQ240" s="67"/>
      <c r="AR240" s="67"/>
      <c r="AS240" s="55">
        <f>'Messages Dictionary'!I248</f>
        <v>0</v>
      </c>
    </row>
    <row r="241" spans="1:45" ht="57" hidden="1" x14ac:dyDescent="0.2">
      <c r="A241" s="65">
        <v>1317</v>
      </c>
      <c r="B241" s="9" t="s">
        <v>544</v>
      </c>
      <c r="C241" s="9" t="s">
        <v>545</v>
      </c>
      <c r="D241" s="9" t="s">
        <v>860</v>
      </c>
      <c r="E241" s="9" t="s">
        <v>316</v>
      </c>
      <c r="F241" s="9" t="s">
        <v>198</v>
      </c>
      <c r="G241" s="9" t="s">
        <v>405</v>
      </c>
      <c r="H241" s="9" t="s">
        <v>536</v>
      </c>
      <c r="I241" s="55">
        <f>'Messages Dictionary'!I249</f>
        <v>0</v>
      </c>
      <c r="J241" s="10">
        <f>'Messages Dictionary'!J249</f>
        <v>1</v>
      </c>
      <c r="K241" s="10">
        <f t="shared" si="3"/>
        <v>0</v>
      </c>
      <c r="L241" s="66"/>
      <c r="M241" s="66"/>
      <c r="N241" s="67"/>
      <c r="O241" s="67"/>
      <c r="P241" s="67"/>
      <c r="Q241" s="67"/>
      <c r="R241" s="67"/>
      <c r="S241" s="67"/>
      <c r="T241" s="67"/>
      <c r="U241" s="67"/>
      <c r="V241" s="67"/>
      <c r="W241" s="67"/>
      <c r="X241" s="67"/>
      <c r="Y241" s="67"/>
      <c r="Z241" s="67"/>
      <c r="AA241" s="67"/>
      <c r="AB241" s="67"/>
      <c r="AC241" s="67"/>
      <c r="AD241" s="67"/>
      <c r="AE241" s="67"/>
      <c r="AF241" s="67"/>
      <c r="AG241" s="67"/>
      <c r="AH241" s="67"/>
      <c r="AI241" s="67"/>
      <c r="AJ241" s="67"/>
      <c r="AK241" s="67"/>
      <c r="AL241" s="67"/>
      <c r="AM241" s="67"/>
      <c r="AN241" s="67"/>
      <c r="AO241" s="67"/>
      <c r="AP241" s="67"/>
      <c r="AQ241" s="67"/>
      <c r="AR241" s="67"/>
      <c r="AS241" s="55">
        <f>'Messages Dictionary'!I249</f>
        <v>0</v>
      </c>
    </row>
    <row r="242" spans="1:45" ht="28.5" hidden="1" x14ac:dyDescent="0.2">
      <c r="A242" s="65">
        <v>1318</v>
      </c>
      <c r="B242" s="9" t="s">
        <v>546</v>
      </c>
      <c r="C242" s="9" t="s">
        <v>547</v>
      </c>
      <c r="D242" s="9" t="s">
        <v>860</v>
      </c>
      <c r="E242" s="9" t="s">
        <v>316</v>
      </c>
      <c r="F242" s="9" t="s">
        <v>199</v>
      </c>
      <c r="G242" s="9" t="s">
        <v>412</v>
      </c>
      <c r="H242" s="9" t="s">
        <v>831</v>
      </c>
      <c r="I242" s="55">
        <f>'Messages Dictionary'!I250</f>
        <v>0</v>
      </c>
      <c r="J242" s="10">
        <f>'Messages Dictionary'!J250</f>
        <v>0.5</v>
      </c>
      <c r="K242" s="10">
        <f t="shared" si="3"/>
        <v>0</v>
      </c>
      <c r="L242" s="66"/>
      <c r="M242" s="66"/>
      <c r="N242" s="67"/>
      <c r="O242" s="67"/>
      <c r="P242" s="67"/>
      <c r="Q242" s="67"/>
      <c r="R242" s="67"/>
      <c r="S242" s="67"/>
      <c r="T242" s="67"/>
      <c r="U242" s="67"/>
      <c r="V242" s="67"/>
      <c r="W242" s="67"/>
      <c r="X242" s="67"/>
      <c r="Y242" s="67"/>
      <c r="Z242" s="67"/>
      <c r="AA242" s="67"/>
      <c r="AB242" s="67"/>
      <c r="AC242" s="67"/>
      <c r="AD242" s="67"/>
      <c r="AE242" s="67"/>
      <c r="AF242" s="67"/>
      <c r="AG242" s="67"/>
      <c r="AH242" s="67"/>
      <c r="AI242" s="67"/>
      <c r="AJ242" s="67"/>
      <c r="AK242" s="67"/>
      <c r="AL242" s="67"/>
      <c r="AM242" s="67"/>
      <c r="AN242" s="67"/>
      <c r="AO242" s="67"/>
      <c r="AP242" s="67"/>
      <c r="AQ242" s="67"/>
      <c r="AR242" s="67"/>
      <c r="AS242" s="55">
        <f>'Messages Dictionary'!I250</f>
        <v>0</v>
      </c>
    </row>
    <row r="243" spans="1:45" ht="28.5" hidden="1" x14ac:dyDescent="0.2">
      <c r="A243" s="65">
        <v>1319</v>
      </c>
      <c r="B243" s="9" t="s">
        <v>548</v>
      </c>
      <c r="C243" s="9" t="s">
        <v>549</v>
      </c>
      <c r="D243" s="9" t="s">
        <v>860</v>
      </c>
      <c r="E243" s="9" t="s">
        <v>316</v>
      </c>
      <c r="F243" s="9" t="s">
        <v>199</v>
      </c>
      <c r="G243" s="9" t="s">
        <v>412</v>
      </c>
      <c r="H243" s="9" t="s">
        <v>831</v>
      </c>
      <c r="I243" s="55">
        <f>'Messages Dictionary'!I251</f>
        <v>0</v>
      </c>
      <c r="J243" s="10">
        <f>'Messages Dictionary'!J251</f>
        <v>0.5</v>
      </c>
      <c r="K243" s="10">
        <f t="shared" si="3"/>
        <v>0</v>
      </c>
      <c r="L243" s="66"/>
      <c r="M243" s="66"/>
      <c r="N243" s="67"/>
      <c r="O243" s="67"/>
      <c r="P243" s="67"/>
      <c r="Q243" s="67"/>
      <c r="R243" s="67"/>
      <c r="S243" s="67"/>
      <c r="T243" s="67"/>
      <c r="U243" s="67"/>
      <c r="V243" s="67"/>
      <c r="W243" s="67"/>
      <c r="X243" s="67"/>
      <c r="Y243" s="67"/>
      <c r="Z243" s="67"/>
      <c r="AA243" s="67"/>
      <c r="AB243" s="67"/>
      <c r="AC243" s="67"/>
      <c r="AD243" s="67"/>
      <c r="AE243" s="67"/>
      <c r="AF243" s="67"/>
      <c r="AG243" s="67"/>
      <c r="AH243" s="67"/>
      <c r="AI243" s="67"/>
      <c r="AJ243" s="67"/>
      <c r="AK243" s="67"/>
      <c r="AL243" s="67"/>
      <c r="AM243" s="67"/>
      <c r="AN243" s="67"/>
      <c r="AO243" s="67"/>
      <c r="AP243" s="67"/>
      <c r="AQ243" s="67"/>
      <c r="AR243" s="67"/>
      <c r="AS243" s="55">
        <f>'Messages Dictionary'!I251</f>
        <v>0</v>
      </c>
    </row>
    <row r="244" spans="1:45" ht="42.75" hidden="1" x14ac:dyDescent="0.2">
      <c r="A244" s="65">
        <v>1320</v>
      </c>
      <c r="B244" s="9" t="s">
        <v>550</v>
      </c>
      <c r="C244" s="9" t="s">
        <v>552</v>
      </c>
      <c r="D244" s="9" t="s">
        <v>860</v>
      </c>
      <c r="E244" s="9" t="s">
        <v>316</v>
      </c>
      <c r="F244" s="9" t="s">
        <v>199</v>
      </c>
      <c r="G244" s="9" t="s">
        <v>412</v>
      </c>
      <c r="H244" s="9" t="s">
        <v>831</v>
      </c>
      <c r="I244" s="55">
        <f>'Messages Dictionary'!I252</f>
        <v>0</v>
      </c>
      <c r="J244" s="10">
        <f>'Messages Dictionary'!J252</f>
        <v>0.5</v>
      </c>
      <c r="K244" s="10">
        <f t="shared" si="3"/>
        <v>0</v>
      </c>
      <c r="L244" s="66"/>
      <c r="M244" s="66"/>
      <c r="N244" s="67"/>
      <c r="O244" s="67"/>
      <c r="P244" s="67"/>
      <c r="Q244" s="67"/>
      <c r="R244" s="67"/>
      <c r="S244" s="67"/>
      <c r="T244" s="67"/>
      <c r="U244" s="67"/>
      <c r="V244" s="67"/>
      <c r="W244" s="67"/>
      <c r="X244" s="67"/>
      <c r="Y244" s="67"/>
      <c r="Z244" s="67"/>
      <c r="AA244" s="67"/>
      <c r="AB244" s="67"/>
      <c r="AC244" s="67"/>
      <c r="AD244" s="67"/>
      <c r="AE244" s="67"/>
      <c r="AF244" s="67"/>
      <c r="AG244" s="67"/>
      <c r="AH244" s="67"/>
      <c r="AI244" s="67"/>
      <c r="AJ244" s="67"/>
      <c r="AK244" s="67"/>
      <c r="AL244" s="67"/>
      <c r="AM244" s="67"/>
      <c r="AN244" s="67"/>
      <c r="AO244" s="67"/>
      <c r="AP244" s="67"/>
      <c r="AQ244" s="67"/>
      <c r="AR244" s="67"/>
      <c r="AS244" s="55">
        <f>'Messages Dictionary'!I252</f>
        <v>0</v>
      </c>
    </row>
    <row r="245" spans="1:45" ht="57" hidden="1" x14ac:dyDescent="0.2">
      <c r="A245" s="65">
        <v>1321</v>
      </c>
      <c r="B245" s="9" t="s">
        <v>553</v>
      </c>
      <c r="C245" s="9" t="s">
        <v>554</v>
      </c>
      <c r="D245" s="9" t="s">
        <v>860</v>
      </c>
      <c r="E245" s="9" t="s">
        <v>316</v>
      </c>
      <c r="F245" s="9" t="s">
        <v>199</v>
      </c>
      <c r="G245" s="9" t="s">
        <v>405</v>
      </c>
      <c r="H245" s="9" t="s">
        <v>536</v>
      </c>
      <c r="I245" s="55">
        <f>'Messages Dictionary'!I253</f>
        <v>0</v>
      </c>
      <c r="J245" s="10">
        <f>'Messages Dictionary'!J253</f>
        <v>1</v>
      </c>
      <c r="K245" s="10">
        <f t="shared" si="3"/>
        <v>0</v>
      </c>
      <c r="L245" s="66"/>
      <c r="M245" s="66"/>
      <c r="N245" s="67"/>
      <c r="O245" s="67"/>
      <c r="P245" s="67"/>
      <c r="Q245" s="67"/>
      <c r="R245" s="67"/>
      <c r="S245" s="67"/>
      <c r="T245" s="67"/>
      <c r="U245" s="67"/>
      <c r="V245" s="67"/>
      <c r="W245" s="67"/>
      <c r="X245" s="67"/>
      <c r="Y245" s="67"/>
      <c r="Z245" s="67"/>
      <c r="AA245" s="67"/>
      <c r="AB245" s="67"/>
      <c r="AC245" s="67"/>
      <c r="AD245" s="67"/>
      <c r="AE245" s="67"/>
      <c r="AF245" s="67"/>
      <c r="AG245" s="67"/>
      <c r="AH245" s="67"/>
      <c r="AI245" s="67"/>
      <c r="AJ245" s="67"/>
      <c r="AK245" s="67"/>
      <c r="AL245" s="67"/>
      <c r="AM245" s="67"/>
      <c r="AN245" s="67"/>
      <c r="AO245" s="67"/>
      <c r="AP245" s="67"/>
      <c r="AQ245" s="67"/>
      <c r="AR245" s="67"/>
      <c r="AS245" s="55">
        <f>'Messages Dictionary'!I253</f>
        <v>0</v>
      </c>
    </row>
    <row r="246" spans="1:45" ht="42.75" hidden="1" x14ac:dyDescent="0.2">
      <c r="A246" s="65">
        <v>1322</v>
      </c>
      <c r="B246" s="9" t="s">
        <v>555</v>
      </c>
      <c r="C246" s="9" t="s">
        <v>556</v>
      </c>
      <c r="D246" s="9" t="s">
        <v>860</v>
      </c>
      <c r="E246" s="9" t="s">
        <v>316</v>
      </c>
      <c r="F246" s="9" t="s">
        <v>199</v>
      </c>
      <c r="G246" s="9" t="s">
        <v>412</v>
      </c>
      <c r="H246" s="9" t="s">
        <v>831</v>
      </c>
      <c r="I246" s="55">
        <f>'Messages Dictionary'!I254</f>
        <v>0</v>
      </c>
      <c r="J246" s="10">
        <f>'Messages Dictionary'!J254</f>
        <v>0.5</v>
      </c>
      <c r="K246" s="10">
        <f t="shared" si="3"/>
        <v>0</v>
      </c>
      <c r="L246" s="66"/>
      <c r="M246" s="66"/>
      <c r="N246" s="67"/>
      <c r="O246" s="67"/>
      <c r="P246" s="67"/>
      <c r="Q246" s="67"/>
      <c r="R246" s="67"/>
      <c r="S246" s="67"/>
      <c r="T246" s="67"/>
      <c r="U246" s="67"/>
      <c r="V246" s="67"/>
      <c r="W246" s="67"/>
      <c r="X246" s="67"/>
      <c r="Y246" s="67"/>
      <c r="Z246" s="67"/>
      <c r="AA246" s="67"/>
      <c r="AB246" s="67"/>
      <c r="AC246" s="67"/>
      <c r="AD246" s="67"/>
      <c r="AE246" s="67"/>
      <c r="AF246" s="67"/>
      <c r="AG246" s="67"/>
      <c r="AH246" s="67"/>
      <c r="AI246" s="67"/>
      <c r="AJ246" s="67"/>
      <c r="AK246" s="67"/>
      <c r="AL246" s="67"/>
      <c r="AM246" s="67"/>
      <c r="AN246" s="67"/>
      <c r="AO246" s="67"/>
      <c r="AP246" s="67"/>
      <c r="AQ246" s="67"/>
      <c r="AR246" s="67"/>
      <c r="AS246" s="55">
        <f>'Messages Dictionary'!I254</f>
        <v>0</v>
      </c>
    </row>
    <row r="247" spans="1:45" ht="28.5" hidden="1" x14ac:dyDescent="0.2">
      <c r="A247" s="65">
        <v>1323</v>
      </c>
      <c r="B247" s="9" t="s">
        <v>557</v>
      </c>
      <c r="C247" s="9" t="s">
        <v>558</v>
      </c>
      <c r="D247" s="9" t="s">
        <v>860</v>
      </c>
      <c r="E247" s="9" t="s">
        <v>316</v>
      </c>
      <c r="F247" s="9" t="s">
        <v>199</v>
      </c>
      <c r="G247" s="9" t="s">
        <v>412</v>
      </c>
      <c r="H247" s="9" t="s">
        <v>831</v>
      </c>
      <c r="I247" s="55">
        <f>'Messages Dictionary'!I255</f>
        <v>0</v>
      </c>
      <c r="J247" s="10">
        <f>'Messages Dictionary'!J255</f>
        <v>0.5</v>
      </c>
      <c r="K247" s="10">
        <f t="shared" si="3"/>
        <v>0</v>
      </c>
      <c r="L247" s="66"/>
      <c r="M247" s="66"/>
      <c r="N247" s="67"/>
      <c r="O247" s="67"/>
      <c r="P247" s="67"/>
      <c r="Q247" s="67"/>
      <c r="R247" s="67"/>
      <c r="S247" s="67"/>
      <c r="T247" s="67"/>
      <c r="U247" s="67"/>
      <c r="V247" s="67"/>
      <c r="W247" s="67"/>
      <c r="X247" s="67"/>
      <c r="Y247" s="67"/>
      <c r="Z247" s="67"/>
      <c r="AA247" s="67"/>
      <c r="AB247" s="67"/>
      <c r="AC247" s="67"/>
      <c r="AD247" s="67"/>
      <c r="AE247" s="67"/>
      <c r="AF247" s="67"/>
      <c r="AG247" s="67"/>
      <c r="AH247" s="67"/>
      <c r="AI247" s="67"/>
      <c r="AJ247" s="67"/>
      <c r="AK247" s="67"/>
      <c r="AL247" s="67"/>
      <c r="AM247" s="67"/>
      <c r="AN247" s="67"/>
      <c r="AO247" s="67"/>
      <c r="AP247" s="67"/>
      <c r="AQ247" s="67"/>
      <c r="AR247" s="67"/>
      <c r="AS247" s="55">
        <f>'Messages Dictionary'!I255</f>
        <v>0</v>
      </c>
    </row>
    <row r="248" spans="1:45" ht="28.5" hidden="1" x14ac:dyDescent="0.2">
      <c r="A248" s="65">
        <v>1324</v>
      </c>
      <c r="B248" s="9" t="s">
        <v>559</v>
      </c>
      <c r="C248" s="9" t="s">
        <v>560</v>
      </c>
      <c r="D248" s="9" t="s">
        <v>860</v>
      </c>
      <c r="E248" s="9" t="s">
        <v>316</v>
      </c>
      <c r="F248" s="9" t="s">
        <v>199</v>
      </c>
      <c r="G248" s="9" t="s">
        <v>412</v>
      </c>
      <c r="H248" s="9" t="s">
        <v>831</v>
      </c>
      <c r="I248" s="55">
        <f>'Messages Dictionary'!I256</f>
        <v>0</v>
      </c>
      <c r="J248" s="10">
        <f>'Messages Dictionary'!J256</f>
        <v>0.5</v>
      </c>
      <c r="K248" s="10">
        <f t="shared" si="3"/>
        <v>0</v>
      </c>
      <c r="L248" s="66"/>
      <c r="M248" s="66"/>
      <c r="N248" s="67"/>
      <c r="O248" s="67"/>
      <c r="P248" s="67"/>
      <c r="Q248" s="67"/>
      <c r="R248" s="67"/>
      <c r="S248" s="67"/>
      <c r="T248" s="67"/>
      <c r="U248" s="67"/>
      <c r="V248" s="67"/>
      <c r="W248" s="67"/>
      <c r="X248" s="67"/>
      <c r="Y248" s="67"/>
      <c r="Z248" s="67"/>
      <c r="AA248" s="67"/>
      <c r="AB248" s="67"/>
      <c r="AC248" s="67"/>
      <c r="AD248" s="67"/>
      <c r="AE248" s="67"/>
      <c r="AF248" s="67"/>
      <c r="AG248" s="67"/>
      <c r="AH248" s="67"/>
      <c r="AI248" s="67"/>
      <c r="AJ248" s="67"/>
      <c r="AK248" s="67"/>
      <c r="AL248" s="67"/>
      <c r="AM248" s="67"/>
      <c r="AN248" s="67"/>
      <c r="AO248" s="67"/>
      <c r="AP248" s="67"/>
      <c r="AQ248" s="67"/>
      <c r="AR248" s="67"/>
      <c r="AS248" s="55">
        <f>'Messages Dictionary'!I256</f>
        <v>0</v>
      </c>
    </row>
    <row r="249" spans="1:45" ht="28.5" hidden="1" x14ac:dyDescent="0.2">
      <c r="A249" s="65">
        <v>1325</v>
      </c>
      <c r="B249" s="9" t="s">
        <v>561</v>
      </c>
      <c r="C249" s="9" t="s">
        <v>562</v>
      </c>
      <c r="D249" s="9" t="s">
        <v>860</v>
      </c>
      <c r="E249" s="9" t="s">
        <v>316</v>
      </c>
      <c r="F249" s="9" t="s">
        <v>199</v>
      </c>
      <c r="G249" s="9" t="s">
        <v>412</v>
      </c>
      <c r="H249" s="9" t="s">
        <v>831</v>
      </c>
      <c r="I249" s="55">
        <f>'Messages Dictionary'!I257</f>
        <v>0</v>
      </c>
      <c r="J249" s="10">
        <f>'Messages Dictionary'!J257</f>
        <v>0.5</v>
      </c>
      <c r="K249" s="10">
        <f t="shared" si="3"/>
        <v>0</v>
      </c>
      <c r="L249" s="66"/>
      <c r="M249" s="66"/>
      <c r="N249" s="67"/>
      <c r="O249" s="67"/>
      <c r="P249" s="67"/>
      <c r="Q249" s="67"/>
      <c r="R249" s="67"/>
      <c r="S249" s="67"/>
      <c r="T249" s="67"/>
      <c r="U249" s="67"/>
      <c r="V249" s="67"/>
      <c r="W249" s="67"/>
      <c r="X249" s="67"/>
      <c r="Y249" s="67"/>
      <c r="Z249" s="67"/>
      <c r="AA249" s="67"/>
      <c r="AB249" s="67"/>
      <c r="AC249" s="67"/>
      <c r="AD249" s="67"/>
      <c r="AE249" s="67"/>
      <c r="AF249" s="67"/>
      <c r="AG249" s="67"/>
      <c r="AH249" s="67"/>
      <c r="AI249" s="67"/>
      <c r="AJ249" s="67"/>
      <c r="AK249" s="67"/>
      <c r="AL249" s="67"/>
      <c r="AM249" s="67"/>
      <c r="AN249" s="67"/>
      <c r="AO249" s="67"/>
      <c r="AP249" s="67"/>
      <c r="AQ249" s="67"/>
      <c r="AR249" s="67"/>
      <c r="AS249" s="55">
        <f>'Messages Dictionary'!I257</f>
        <v>0</v>
      </c>
    </row>
    <row r="250" spans="1:45" ht="28.5" hidden="1" x14ac:dyDescent="0.2">
      <c r="A250" s="65">
        <v>1326</v>
      </c>
      <c r="B250" s="9" t="s">
        <v>563</v>
      </c>
      <c r="C250" s="9" t="s">
        <v>565</v>
      </c>
      <c r="D250" s="9" t="s">
        <v>860</v>
      </c>
      <c r="E250" s="9" t="s">
        <v>316</v>
      </c>
      <c r="F250" s="9" t="s">
        <v>199</v>
      </c>
      <c r="G250" s="9" t="s">
        <v>412</v>
      </c>
      <c r="H250" s="9" t="s">
        <v>831</v>
      </c>
      <c r="I250" s="55">
        <f>'Messages Dictionary'!I258</f>
        <v>0</v>
      </c>
      <c r="J250" s="10">
        <f>'Messages Dictionary'!J258</f>
        <v>0.5</v>
      </c>
      <c r="K250" s="10">
        <f t="shared" si="3"/>
        <v>0</v>
      </c>
      <c r="L250" s="66"/>
      <c r="M250" s="66"/>
      <c r="N250" s="67"/>
      <c r="O250" s="67"/>
      <c r="P250" s="67"/>
      <c r="Q250" s="67"/>
      <c r="R250" s="67"/>
      <c r="S250" s="67"/>
      <c r="T250" s="67"/>
      <c r="U250" s="67"/>
      <c r="V250" s="67"/>
      <c r="W250" s="67"/>
      <c r="X250" s="67"/>
      <c r="Y250" s="67"/>
      <c r="Z250" s="67"/>
      <c r="AA250" s="67"/>
      <c r="AB250" s="67"/>
      <c r="AC250" s="67"/>
      <c r="AD250" s="67"/>
      <c r="AE250" s="67"/>
      <c r="AF250" s="67"/>
      <c r="AG250" s="67"/>
      <c r="AH250" s="67"/>
      <c r="AI250" s="67"/>
      <c r="AJ250" s="67"/>
      <c r="AK250" s="67"/>
      <c r="AL250" s="67"/>
      <c r="AM250" s="67"/>
      <c r="AN250" s="67"/>
      <c r="AO250" s="67"/>
      <c r="AP250" s="67"/>
      <c r="AQ250" s="67"/>
      <c r="AR250" s="67"/>
      <c r="AS250" s="55">
        <f>'Messages Dictionary'!I258</f>
        <v>0</v>
      </c>
    </row>
    <row r="251" spans="1:45" ht="42.75" hidden="1" x14ac:dyDescent="0.2">
      <c r="A251" s="65">
        <v>1327</v>
      </c>
      <c r="B251" s="9" t="s">
        <v>566</v>
      </c>
      <c r="C251" s="9" t="s">
        <v>567</v>
      </c>
      <c r="D251" s="9" t="s">
        <v>860</v>
      </c>
      <c r="E251" s="9" t="s">
        <v>316</v>
      </c>
      <c r="F251" s="9" t="s">
        <v>199</v>
      </c>
      <c r="G251" s="9" t="s">
        <v>412</v>
      </c>
      <c r="H251" s="9" t="s">
        <v>831</v>
      </c>
      <c r="I251" s="55">
        <f>'Messages Dictionary'!I259</f>
        <v>0</v>
      </c>
      <c r="J251" s="10">
        <f>'Messages Dictionary'!J259</f>
        <v>0.5</v>
      </c>
      <c r="K251" s="10">
        <f t="shared" si="3"/>
        <v>0</v>
      </c>
      <c r="L251" s="66"/>
      <c r="M251" s="66"/>
      <c r="N251" s="67"/>
      <c r="O251" s="67"/>
      <c r="P251" s="67"/>
      <c r="Q251" s="67"/>
      <c r="R251" s="67"/>
      <c r="S251" s="67"/>
      <c r="T251" s="67"/>
      <c r="U251" s="67"/>
      <c r="V251" s="67"/>
      <c r="W251" s="67"/>
      <c r="X251" s="67"/>
      <c r="Y251" s="67"/>
      <c r="Z251" s="67"/>
      <c r="AA251" s="67"/>
      <c r="AB251" s="67"/>
      <c r="AC251" s="67"/>
      <c r="AD251" s="67"/>
      <c r="AE251" s="67"/>
      <c r="AF251" s="67"/>
      <c r="AG251" s="67"/>
      <c r="AH251" s="67"/>
      <c r="AI251" s="67"/>
      <c r="AJ251" s="67"/>
      <c r="AK251" s="67"/>
      <c r="AL251" s="67"/>
      <c r="AM251" s="67"/>
      <c r="AN251" s="67"/>
      <c r="AO251" s="67"/>
      <c r="AP251" s="67"/>
      <c r="AQ251" s="67"/>
      <c r="AR251" s="67"/>
      <c r="AS251" s="55">
        <f>'Messages Dictionary'!I259</f>
        <v>0</v>
      </c>
    </row>
    <row r="252" spans="1:45" ht="42.75" hidden="1" x14ac:dyDescent="0.2">
      <c r="A252" s="65">
        <v>1328</v>
      </c>
      <c r="B252" s="9" t="s">
        <v>566</v>
      </c>
      <c r="C252" s="9" t="s">
        <v>567</v>
      </c>
      <c r="D252" s="9" t="s">
        <v>860</v>
      </c>
      <c r="E252" s="9" t="s">
        <v>316</v>
      </c>
      <c r="F252" s="9" t="s">
        <v>199</v>
      </c>
      <c r="G252" s="9" t="s">
        <v>405</v>
      </c>
      <c r="H252" s="9" t="s">
        <v>536</v>
      </c>
      <c r="I252" s="55">
        <f>'Messages Dictionary'!I260</f>
        <v>0</v>
      </c>
      <c r="J252" s="10">
        <f>'Messages Dictionary'!J260</f>
        <v>1</v>
      </c>
      <c r="K252" s="10">
        <f t="shared" si="3"/>
        <v>0</v>
      </c>
      <c r="L252" s="66"/>
      <c r="M252" s="66"/>
      <c r="N252" s="67"/>
      <c r="O252" s="67"/>
      <c r="P252" s="67"/>
      <c r="Q252" s="67"/>
      <c r="R252" s="67"/>
      <c r="S252" s="67"/>
      <c r="T252" s="67"/>
      <c r="U252" s="67"/>
      <c r="V252" s="67"/>
      <c r="W252" s="67"/>
      <c r="X252" s="67"/>
      <c r="Y252" s="67"/>
      <c r="Z252" s="67"/>
      <c r="AA252" s="67"/>
      <c r="AB252" s="67"/>
      <c r="AC252" s="67"/>
      <c r="AD252" s="67"/>
      <c r="AE252" s="67"/>
      <c r="AF252" s="67"/>
      <c r="AG252" s="67"/>
      <c r="AH252" s="67"/>
      <c r="AI252" s="67"/>
      <c r="AJ252" s="67"/>
      <c r="AK252" s="67"/>
      <c r="AL252" s="67"/>
      <c r="AM252" s="67"/>
      <c r="AN252" s="67"/>
      <c r="AO252" s="67"/>
      <c r="AP252" s="67"/>
      <c r="AQ252" s="67"/>
      <c r="AR252" s="67"/>
      <c r="AS252" s="55">
        <f>'Messages Dictionary'!I260</f>
        <v>0</v>
      </c>
    </row>
    <row r="253" spans="1:45" ht="28.5" hidden="1" x14ac:dyDescent="0.2">
      <c r="A253" s="65">
        <v>1329</v>
      </c>
      <c r="B253" s="9" t="s">
        <v>568</v>
      </c>
      <c r="C253" s="9" t="s">
        <v>569</v>
      </c>
      <c r="D253" s="9" t="s">
        <v>860</v>
      </c>
      <c r="E253" s="9" t="s">
        <v>316</v>
      </c>
      <c r="F253" s="9" t="s">
        <v>199</v>
      </c>
      <c r="G253" s="9" t="s">
        <v>412</v>
      </c>
      <c r="H253" s="9" t="s">
        <v>831</v>
      </c>
      <c r="I253" s="55">
        <f>'Messages Dictionary'!I261</f>
        <v>0</v>
      </c>
      <c r="J253" s="10">
        <f>'Messages Dictionary'!J261</f>
        <v>1</v>
      </c>
      <c r="K253" s="10">
        <f t="shared" si="3"/>
        <v>0</v>
      </c>
      <c r="L253" s="66"/>
      <c r="M253" s="66"/>
      <c r="N253" s="67"/>
      <c r="O253" s="67"/>
      <c r="P253" s="67"/>
      <c r="Q253" s="67"/>
      <c r="R253" s="67"/>
      <c r="S253" s="67"/>
      <c r="T253" s="67"/>
      <c r="U253" s="67"/>
      <c r="V253" s="67"/>
      <c r="W253" s="67"/>
      <c r="X253" s="67"/>
      <c r="Y253" s="67"/>
      <c r="Z253" s="67"/>
      <c r="AA253" s="67"/>
      <c r="AB253" s="67"/>
      <c r="AC253" s="67"/>
      <c r="AD253" s="67"/>
      <c r="AE253" s="67"/>
      <c r="AF253" s="67"/>
      <c r="AG253" s="67"/>
      <c r="AH253" s="67"/>
      <c r="AI253" s="67"/>
      <c r="AJ253" s="67"/>
      <c r="AK253" s="67"/>
      <c r="AL253" s="67"/>
      <c r="AM253" s="67"/>
      <c r="AN253" s="67"/>
      <c r="AO253" s="67"/>
      <c r="AP253" s="67"/>
      <c r="AQ253" s="67"/>
      <c r="AR253" s="67"/>
      <c r="AS253" s="55">
        <f>'Messages Dictionary'!I261</f>
        <v>0</v>
      </c>
    </row>
    <row r="254" spans="1:45" ht="71.25" hidden="1" x14ac:dyDescent="0.2">
      <c r="A254" s="65">
        <v>1330</v>
      </c>
      <c r="B254" s="9" t="s">
        <v>570</v>
      </c>
      <c r="C254" s="9" t="s">
        <v>571</v>
      </c>
      <c r="D254" s="9" t="s">
        <v>860</v>
      </c>
      <c r="E254" s="9" t="s">
        <v>316</v>
      </c>
      <c r="F254" s="9" t="s">
        <v>199</v>
      </c>
      <c r="G254" s="9" t="s">
        <v>412</v>
      </c>
      <c r="H254" s="9" t="s">
        <v>831</v>
      </c>
      <c r="I254" s="55">
        <f>'Messages Dictionary'!I262</f>
        <v>0</v>
      </c>
      <c r="J254" s="10">
        <f>'Messages Dictionary'!J262</f>
        <v>1</v>
      </c>
      <c r="K254" s="10">
        <f t="shared" si="3"/>
        <v>0</v>
      </c>
      <c r="L254" s="66"/>
      <c r="M254" s="66"/>
      <c r="N254" s="67"/>
      <c r="O254" s="67"/>
      <c r="P254" s="67"/>
      <c r="Q254" s="67"/>
      <c r="R254" s="67"/>
      <c r="S254" s="67"/>
      <c r="T254" s="67"/>
      <c r="U254" s="67"/>
      <c r="V254" s="67"/>
      <c r="W254" s="67"/>
      <c r="X254" s="67"/>
      <c r="Y254" s="67"/>
      <c r="Z254" s="67"/>
      <c r="AA254" s="67"/>
      <c r="AB254" s="67"/>
      <c r="AC254" s="67"/>
      <c r="AD254" s="67"/>
      <c r="AE254" s="67"/>
      <c r="AF254" s="67"/>
      <c r="AG254" s="67"/>
      <c r="AH254" s="67"/>
      <c r="AI254" s="67"/>
      <c r="AJ254" s="67"/>
      <c r="AK254" s="67"/>
      <c r="AL254" s="67"/>
      <c r="AM254" s="67"/>
      <c r="AN254" s="67"/>
      <c r="AO254" s="67"/>
      <c r="AP254" s="67"/>
      <c r="AQ254" s="67"/>
      <c r="AR254" s="67"/>
      <c r="AS254" s="55">
        <f>'Messages Dictionary'!I262</f>
        <v>0</v>
      </c>
    </row>
    <row r="255" spans="1:45" ht="99.75" hidden="1" x14ac:dyDescent="0.2">
      <c r="A255" s="65">
        <v>1331</v>
      </c>
      <c r="B255" s="9" t="s">
        <v>572</v>
      </c>
      <c r="C255" s="9" t="s">
        <v>105</v>
      </c>
      <c r="D255" s="9" t="s">
        <v>860</v>
      </c>
      <c r="E255" s="9" t="s">
        <v>316</v>
      </c>
      <c r="F255" s="9" t="s">
        <v>199</v>
      </c>
      <c r="G255" s="9" t="s">
        <v>412</v>
      </c>
      <c r="H255" s="9" t="s">
        <v>831</v>
      </c>
      <c r="I255" s="55">
        <f>'Messages Dictionary'!I263</f>
        <v>0</v>
      </c>
      <c r="J255" s="10">
        <f>'Messages Dictionary'!J263</f>
        <v>0.5</v>
      </c>
      <c r="K255" s="10">
        <f t="shared" si="3"/>
        <v>0</v>
      </c>
      <c r="L255" s="66"/>
      <c r="M255" s="66"/>
      <c r="N255" s="67"/>
      <c r="O255" s="67"/>
      <c r="P255" s="67"/>
      <c r="Q255" s="67"/>
      <c r="R255" s="67"/>
      <c r="S255" s="67"/>
      <c r="T255" s="67"/>
      <c r="U255" s="67"/>
      <c r="V255" s="67"/>
      <c r="W255" s="67"/>
      <c r="X255" s="67"/>
      <c r="Y255" s="67"/>
      <c r="Z255" s="67"/>
      <c r="AA255" s="67"/>
      <c r="AB255" s="67"/>
      <c r="AC255" s="67"/>
      <c r="AD255" s="67"/>
      <c r="AE255" s="67"/>
      <c r="AF255" s="67"/>
      <c r="AG255" s="67"/>
      <c r="AH255" s="67"/>
      <c r="AI255" s="67"/>
      <c r="AJ255" s="67"/>
      <c r="AK255" s="67"/>
      <c r="AL255" s="67"/>
      <c r="AM255" s="67"/>
      <c r="AN255" s="67"/>
      <c r="AO255" s="67"/>
      <c r="AP255" s="67"/>
      <c r="AQ255" s="67"/>
      <c r="AR255" s="67"/>
      <c r="AS255" s="55">
        <f>'Messages Dictionary'!I263</f>
        <v>0</v>
      </c>
    </row>
    <row r="256" spans="1:45" ht="28.5" hidden="1" x14ac:dyDescent="0.2">
      <c r="A256" s="65">
        <v>1332</v>
      </c>
      <c r="B256" s="9" t="s">
        <v>106</v>
      </c>
      <c r="C256" s="9" t="s">
        <v>139</v>
      </c>
      <c r="D256" s="9" t="s">
        <v>860</v>
      </c>
      <c r="E256" s="9" t="s">
        <v>316</v>
      </c>
      <c r="F256" s="9" t="s">
        <v>199</v>
      </c>
      <c r="G256" s="9" t="s">
        <v>405</v>
      </c>
      <c r="H256" s="9" t="s">
        <v>536</v>
      </c>
      <c r="I256" s="55">
        <f>'Messages Dictionary'!I264</f>
        <v>0</v>
      </c>
      <c r="J256" s="10">
        <f>'Messages Dictionary'!J264</f>
        <v>1</v>
      </c>
      <c r="K256" s="10">
        <f t="shared" si="3"/>
        <v>0</v>
      </c>
      <c r="L256" s="66"/>
      <c r="M256" s="66"/>
      <c r="N256" s="67"/>
      <c r="O256" s="67"/>
      <c r="P256" s="67"/>
      <c r="Q256" s="67"/>
      <c r="R256" s="67"/>
      <c r="S256" s="67"/>
      <c r="T256" s="67"/>
      <c r="U256" s="67"/>
      <c r="V256" s="67"/>
      <c r="W256" s="67"/>
      <c r="X256" s="67"/>
      <c r="Y256" s="67"/>
      <c r="Z256" s="67"/>
      <c r="AA256" s="67"/>
      <c r="AB256" s="67"/>
      <c r="AC256" s="67"/>
      <c r="AD256" s="67"/>
      <c r="AE256" s="67"/>
      <c r="AF256" s="67"/>
      <c r="AG256" s="67"/>
      <c r="AH256" s="67"/>
      <c r="AI256" s="67"/>
      <c r="AJ256" s="67"/>
      <c r="AK256" s="67"/>
      <c r="AL256" s="67"/>
      <c r="AM256" s="67"/>
      <c r="AN256" s="67"/>
      <c r="AO256" s="67"/>
      <c r="AP256" s="67"/>
      <c r="AQ256" s="67"/>
      <c r="AR256" s="67"/>
      <c r="AS256" s="55">
        <f>'Messages Dictionary'!I264</f>
        <v>0</v>
      </c>
    </row>
    <row r="257" spans="1:45" ht="28.5" hidden="1" x14ac:dyDescent="0.2">
      <c r="A257" s="65">
        <v>1333</v>
      </c>
      <c r="B257" s="9" t="s">
        <v>140</v>
      </c>
      <c r="C257" s="9" t="s">
        <v>141</v>
      </c>
      <c r="D257" s="9" t="s">
        <v>860</v>
      </c>
      <c r="E257" s="9" t="s">
        <v>316</v>
      </c>
      <c r="F257" s="9" t="s">
        <v>199</v>
      </c>
      <c r="G257" s="9" t="s">
        <v>405</v>
      </c>
      <c r="H257" s="9" t="s">
        <v>536</v>
      </c>
      <c r="I257" s="55">
        <f>'Messages Dictionary'!I265</f>
        <v>0</v>
      </c>
      <c r="J257" s="10">
        <f>'Messages Dictionary'!J265</f>
        <v>1</v>
      </c>
      <c r="K257" s="10">
        <f t="shared" si="3"/>
        <v>0</v>
      </c>
      <c r="L257" s="66"/>
      <c r="M257" s="66"/>
      <c r="N257" s="67"/>
      <c r="O257" s="67"/>
      <c r="P257" s="67"/>
      <c r="Q257" s="67"/>
      <c r="R257" s="67"/>
      <c r="S257" s="67"/>
      <c r="T257" s="67"/>
      <c r="U257" s="67"/>
      <c r="V257" s="67"/>
      <c r="W257" s="67"/>
      <c r="X257" s="67"/>
      <c r="Y257" s="67"/>
      <c r="Z257" s="67"/>
      <c r="AA257" s="67"/>
      <c r="AB257" s="67"/>
      <c r="AC257" s="67"/>
      <c r="AD257" s="67"/>
      <c r="AE257" s="67"/>
      <c r="AF257" s="67"/>
      <c r="AG257" s="67"/>
      <c r="AH257" s="67"/>
      <c r="AI257" s="67"/>
      <c r="AJ257" s="67"/>
      <c r="AK257" s="67"/>
      <c r="AL257" s="67"/>
      <c r="AM257" s="67"/>
      <c r="AN257" s="67"/>
      <c r="AO257" s="67"/>
      <c r="AP257" s="67"/>
      <c r="AQ257" s="67"/>
      <c r="AR257" s="67"/>
      <c r="AS257" s="55">
        <f>'Messages Dictionary'!I265</f>
        <v>0</v>
      </c>
    </row>
    <row r="258" spans="1:45" ht="57" hidden="1" x14ac:dyDescent="0.2">
      <c r="A258" s="65">
        <v>1334</v>
      </c>
      <c r="B258" s="9" t="s">
        <v>142</v>
      </c>
      <c r="C258" s="9" t="s">
        <v>143</v>
      </c>
      <c r="D258" s="9" t="s">
        <v>860</v>
      </c>
      <c r="E258" s="9" t="s">
        <v>30</v>
      </c>
      <c r="F258" s="9" t="s">
        <v>199</v>
      </c>
      <c r="G258" s="9" t="s">
        <v>405</v>
      </c>
      <c r="H258" s="9" t="s">
        <v>646</v>
      </c>
      <c r="I258" s="55">
        <f>'Messages Dictionary'!I266</f>
        <v>0</v>
      </c>
      <c r="J258" s="10">
        <f>'Messages Dictionary'!J266</f>
        <v>1</v>
      </c>
      <c r="K258" s="10">
        <f t="shared" ref="K258:K321" si="4">I258*J258</f>
        <v>0</v>
      </c>
      <c r="L258" s="66"/>
      <c r="M258" s="66"/>
      <c r="N258" s="67"/>
      <c r="O258" s="67"/>
      <c r="P258" s="67"/>
      <c r="Q258" s="67"/>
      <c r="R258" s="67"/>
      <c r="S258" s="67"/>
      <c r="T258" s="67"/>
      <c r="U258" s="67"/>
      <c r="V258" s="67"/>
      <c r="W258" s="67"/>
      <c r="X258" s="67"/>
      <c r="Y258" s="67"/>
      <c r="Z258" s="67"/>
      <c r="AA258" s="67"/>
      <c r="AB258" s="67"/>
      <c r="AC258" s="67"/>
      <c r="AD258" s="67"/>
      <c r="AE258" s="67"/>
      <c r="AF258" s="67"/>
      <c r="AG258" s="67"/>
      <c r="AH258" s="67"/>
      <c r="AI258" s="67"/>
      <c r="AJ258" s="67"/>
      <c r="AK258" s="67"/>
      <c r="AL258" s="67"/>
      <c r="AM258" s="67"/>
      <c r="AN258" s="67"/>
      <c r="AO258" s="67"/>
      <c r="AP258" s="67"/>
      <c r="AQ258" s="67"/>
      <c r="AR258" s="67"/>
      <c r="AS258" s="55">
        <f>'Messages Dictionary'!I266</f>
        <v>0</v>
      </c>
    </row>
    <row r="259" spans="1:45" ht="57" hidden="1" x14ac:dyDescent="0.2">
      <c r="A259" s="65">
        <v>1335</v>
      </c>
      <c r="B259" s="9" t="s">
        <v>144</v>
      </c>
      <c r="C259" s="9" t="s">
        <v>145</v>
      </c>
      <c r="D259" s="9" t="s">
        <v>860</v>
      </c>
      <c r="E259" s="9" t="s">
        <v>30</v>
      </c>
      <c r="F259" s="9" t="s">
        <v>199</v>
      </c>
      <c r="G259" s="9" t="s">
        <v>412</v>
      </c>
      <c r="H259" s="9" t="s">
        <v>831</v>
      </c>
      <c r="I259" s="55">
        <f>'Messages Dictionary'!I267</f>
        <v>0</v>
      </c>
      <c r="J259" s="10">
        <f>'Messages Dictionary'!J267</f>
        <v>0.5</v>
      </c>
      <c r="K259" s="10">
        <f t="shared" si="4"/>
        <v>0</v>
      </c>
      <c r="L259" s="66"/>
      <c r="M259" s="66"/>
      <c r="N259" s="67"/>
      <c r="O259" s="67"/>
      <c r="P259" s="67"/>
      <c r="Q259" s="67"/>
      <c r="R259" s="67"/>
      <c r="S259" s="67"/>
      <c r="T259" s="67"/>
      <c r="U259" s="67"/>
      <c r="V259" s="67"/>
      <c r="W259" s="67"/>
      <c r="X259" s="67"/>
      <c r="Y259" s="67"/>
      <c r="Z259" s="67"/>
      <c r="AA259" s="67"/>
      <c r="AB259" s="67"/>
      <c r="AC259" s="67"/>
      <c r="AD259" s="67"/>
      <c r="AE259" s="67"/>
      <c r="AF259" s="67"/>
      <c r="AG259" s="67"/>
      <c r="AH259" s="67"/>
      <c r="AI259" s="67"/>
      <c r="AJ259" s="67"/>
      <c r="AK259" s="67"/>
      <c r="AL259" s="67"/>
      <c r="AM259" s="67"/>
      <c r="AN259" s="67"/>
      <c r="AO259" s="67"/>
      <c r="AP259" s="67"/>
      <c r="AQ259" s="67"/>
      <c r="AR259" s="67"/>
      <c r="AS259" s="55">
        <f>'Messages Dictionary'!I267</f>
        <v>0</v>
      </c>
    </row>
    <row r="260" spans="1:45" s="27" customFormat="1" ht="42.75" hidden="1" x14ac:dyDescent="0.2">
      <c r="A260" s="28">
        <v>1336</v>
      </c>
      <c r="B260" s="9" t="s">
        <v>448</v>
      </c>
      <c r="C260" s="9" t="s">
        <v>449</v>
      </c>
      <c r="D260" s="9" t="s">
        <v>121</v>
      </c>
      <c r="E260" s="9" t="s">
        <v>186</v>
      </c>
      <c r="F260" s="9" t="s">
        <v>199</v>
      </c>
      <c r="G260" s="9" t="s">
        <v>405</v>
      </c>
      <c r="H260" s="9" t="s">
        <v>806</v>
      </c>
      <c r="I260" s="55">
        <f>'Messages Dictionary'!I268</f>
        <v>0</v>
      </c>
      <c r="J260" s="10">
        <f>'Messages Dictionary'!J268</f>
        <v>0.1</v>
      </c>
      <c r="K260" s="10">
        <f t="shared" si="4"/>
        <v>0</v>
      </c>
      <c r="L260" s="82"/>
      <c r="M260" s="82"/>
      <c r="N260" s="83"/>
      <c r="O260" s="83"/>
      <c r="P260" s="83"/>
      <c r="Q260" s="83"/>
      <c r="R260" s="83"/>
      <c r="S260" s="83"/>
      <c r="T260" s="83"/>
      <c r="U260" s="83"/>
      <c r="V260" s="83"/>
      <c r="W260" s="83"/>
      <c r="X260" s="83"/>
      <c r="Y260" s="83"/>
      <c r="Z260" s="83"/>
      <c r="AA260" s="83"/>
      <c r="AB260" s="83"/>
      <c r="AC260" s="83"/>
      <c r="AD260" s="83"/>
      <c r="AE260" s="83"/>
      <c r="AF260" s="83"/>
      <c r="AG260" s="83"/>
      <c r="AH260" s="83"/>
      <c r="AI260" s="83"/>
      <c r="AJ260" s="83"/>
      <c r="AK260" s="83"/>
      <c r="AL260" s="83"/>
      <c r="AM260" s="83"/>
      <c r="AN260" s="83"/>
      <c r="AO260" s="83"/>
      <c r="AP260" s="83"/>
      <c r="AQ260" s="83"/>
      <c r="AR260" s="83"/>
      <c r="AS260" s="55">
        <f>'Messages Dictionary'!I268</f>
        <v>0</v>
      </c>
    </row>
    <row r="261" spans="1:45" ht="28.5" hidden="1" x14ac:dyDescent="0.2">
      <c r="A261" s="65">
        <v>1341</v>
      </c>
      <c r="B261" s="9" t="s">
        <v>146</v>
      </c>
      <c r="C261" s="9" t="s">
        <v>146</v>
      </c>
      <c r="D261" s="9" t="s">
        <v>821</v>
      </c>
      <c r="E261" s="9" t="s">
        <v>27</v>
      </c>
      <c r="F261" s="9" t="s">
        <v>199</v>
      </c>
      <c r="G261" s="9" t="s">
        <v>412</v>
      </c>
      <c r="H261" s="9" t="s">
        <v>831</v>
      </c>
      <c r="I261" s="55">
        <f>'Messages Dictionary'!I269</f>
        <v>0</v>
      </c>
      <c r="J261" s="10">
        <f>'Messages Dictionary'!J269</f>
        <v>0.5</v>
      </c>
      <c r="K261" s="10">
        <f t="shared" si="4"/>
        <v>0</v>
      </c>
      <c r="L261" s="66"/>
      <c r="M261" s="66"/>
      <c r="N261" s="67"/>
      <c r="O261" s="67"/>
      <c r="P261" s="67"/>
      <c r="Q261" s="67"/>
      <c r="R261" s="67"/>
      <c r="S261" s="67"/>
      <c r="T261" s="67"/>
      <c r="U261" s="67"/>
      <c r="V261" s="67"/>
      <c r="W261" s="67"/>
      <c r="X261" s="67"/>
      <c r="Y261" s="67"/>
      <c r="Z261" s="67"/>
      <c r="AA261" s="67"/>
      <c r="AB261" s="67"/>
      <c r="AC261" s="67"/>
      <c r="AD261" s="67"/>
      <c r="AE261" s="67"/>
      <c r="AF261" s="67"/>
      <c r="AG261" s="67"/>
      <c r="AH261" s="67"/>
      <c r="AI261" s="67"/>
      <c r="AJ261" s="67"/>
      <c r="AK261" s="67"/>
      <c r="AL261" s="67"/>
      <c r="AM261" s="67"/>
      <c r="AN261" s="67"/>
      <c r="AO261" s="67"/>
      <c r="AP261" s="67"/>
      <c r="AQ261" s="67"/>
      <c r="AR261" s="67"/>
      <c r="AS261" s="55">
        <f>'Messages Dictionary'!I269</f>
        <v>0</v>
      </c>
    </row>
    <row r="262" spans="1:45" ht="28.5" hidden="1" x14ac:dyDescent="0.2">
      <c r="A262" s="65">
        <v>1342</v>
      </c>
      <c r="B262" s="9" t="s">
        <v>146</v>
      </c>
      <c r="C262" s="9" t="s">
        <v>146</v>
      </c>
      <c r="D262" s="9" t="s">
        <v>821</v>
      </c>
      <c r="E262" s="9" t="s">
        <v>27</v>
      </c>
      <c r="F262" s="9" t="s">
        <v>199</v>
      </c>
      <c r="G262" s="9" t="s">
        <v>412</v>
      </c>
      <c r="H262" s="9" t="s">
        <v>831</v>
      </c>
      <c r="I262" s="55">
        <f>'Messages Dictionary'!I270</f>
        <v>0</v>
      </c>
      <c r="J262" s="10">
        <f>'Messages Dictionary'!J270</f>
        <v>0.5</v>
      </c>
      <c r="K262" s="10">
        <f t="shared" si="4"/>
        <v>0</v>
      </c>
      <c r="L262" s="66"/>
      <c r="M262" s="66"/>
      <c r="N262" s="67"/>
      <c r="O262" s="67"/>
      <c r="P262" s="67"/>
      <c r="Q262" s="67"/>
      <c r="R262" s="67"/>
      <c r="S262" s="67"/>
      <c r="T262" s="67"/>
      <c r="U262" s="67"/>
      <c r="V262" s="67"/>
      <c r="W262" s="67"/>
      <c r="X262" s="67"/>
      <c r="Y262" s="67"/>
      <c r="Z262" s="67"/>
      <c r="AA262" s="67"/>
      <c r="AB262" s="67"/>
      <c r="AC262" s="67"/>
      <c r="AD262" s="67"/>
      <c r="AE262" s="67"/>
      <c r="AF262" s="67"/>
      <c r="AG262" s="67"/>
      <c r="AH262" s="67"/>
      <c r="AI262" s="67"/>
      <c r="AJ262" s="67"/>
      <c r="AK262" s="67"/>
      <c r="AL262" s="67"/>
      <c r="AM262" s="67"/>
      <c r="AN262" s="67"/>
      <c r="AO262" s="67"/>
      <c r="AP262" s="67"/>
      <c r="AQ262" s="67"/>
      <c r="AR262" s="67"/>
      <c r="AS262" s="55">
        <f>'Messages Dictionary'!I270</f>
        <v>0</v>
      </c>
    </row>
    <row r="263" spans="1:45" ht="28.5" hidden="1" x14ac:dyDescent="0.2">
      <c r="A263" s="65">
        <v>1343</v>
      </c>
      <c r="B263" s="9" t="s">
        <v>146</v>
      </c>
      <c r="C263" s="9" t="s">
        <v>146</v>
      </c>
      <c r="D263" s="9" t="s">
        <v>821</v>
      </c>
      <c r="E263" s="9" t="s">
        <v>27</v>
      </c>
      <c r="F263" s="9" t="s">
        <v>199</v>
      </c>
      <c r="G263" s="9" t="s">
        <v>412</v>
      </c>
      <c r="H263" s="9" t="s">
        <v>831</v>
      </c>
      <c r="I263" s="55">
        <f>'Messages Dictionary'!I271</f>
        <v>0</v>
      </c>
      <c r="J263" s="10">
        <f>'Messages Dictionary'!J271</f>
        <v>0.5</v>
      </c>
      <c r="K263" s="10">
        <f t="shared" si="4"/>
        <v>0</v>
      </c>
      <c r="L263" s="66"/>
      <c r="M263" s="66"/>
      <c r="N263" s="67"/>
      <c r="O263" s="67"/>
      <c r="P263" s="67"/>
      <c r="Q263" s="67"/>
      <c r="R263" s="67"/>
      <c r="S263" s="67"/>
      <c r="T263" s="67"/>
      <c r="U263" s="67"/>
      <c r="V263" s="67"/>
      <c r="W263" s="67"/>
      <c r="X263" s="67"/>
      <c r="Y263" s="67"/>
      <c r="Z263" s="67"/>
      <c r="AA263" s="67"/>
      <c r="AB263" s="67"/>
      <c r="AC263" s="67"/>
      <c r="AD263" s="67"/>
      <c r="AE263" s="67"/>
      <c r="AF263" s="67"/>
      <c r="AG263" s="67"/>
      <c r="AH263" s="67"/>
      <c r="AI263" s="67"/>
      <c r="AJ263" s="67"/>
      <c r="AK263" s="67"/>
      <c r="AL263" s="67"/>
      <c r="AM263" s="67"/>
      <c r="AN263" s="67"/>
      <c r="AO263" s="67"/>
      <c r="AP263" s="67"/>
      <c r="AQ263" s="67"/>
      <c r="AR263" s="67"/>
      <c r="AS263" s="55">
        <f>'Messages Dictionary'!I271</f>
        <v>0</v>
      </c>
    </row>
    <row r="264" spans="1:45" ht="28.5" hidden="1" x14ac:dyDescent="0.2">
      <c r="A264" s="65">
        <v>1344</v>
      </c>
      <c r="B264" s="9" t="s">
        <v>147</v>
      </c>
      <c r="C264" s="9" t="s">
        <v>147</v>
      </c>
      <c r="D264" s="9" t="s">
        <v>821</v>
      </c>
      <c r="E264" s="9" t="s">
        <v>27</v>
      </c>
      <c r="F264" s="9" t="s">
        <v>199</v>
      </c>
      <c r="G264" s="9" t="s">
        <v>412</v>
      </c>
      <c r="H264" s="9" t="s">
        <v>831</v>
      </c>
      <c r="I264" s="55">
        <f>'Messages Dictionary'!I272</f>
        <v>0</v>
      </c>
      <c r="J264" s="10">
        <f>'Messages Dictionary'!J272</f>
        <v>0.5</v>
      </c>
      <c r="K264" s="10">
        <f t="shared" si="4"/>
        <v>0</v>
      </c>
      <c r="L264" s="66"/>
      <c r="M264" s="66"/>
      <c r="N264" s="67"/>
      <c r="O264" s="67"/>
      <c r="P264" s="67"/>
      <c r="Q264" s="67"/>
      <c r="R264" s="67"/>
      <c r="S264" s="67"/>
      <c r="T264" s="67"/>
      <c r="U264" s="67"/>
      <c r="V264" s="67"/>
      <c r="W264" s="67"/>
      <c r="X264" s="67"/>
      <c r="Y264" s="67"/>
      <c r="Z264" s="67"/>
      <c r="AA264" s="67"/>
      <c r="AB264" s="67"/>
      <c r="AC264" s="67"/>
      <c r="AD264" s="67"/>
      <c r="AE264" s="67"/>
      <c r="AF264" s="67"/>
      <c r="AG264" s="67"/>
      <c r="AH264" s="67"/>
      <c r="AI264" s="67"/>
      <c r="AJ264" s="67"/>
      <c r="AK264" s="67"/>
      <c r="AL264" s="67"/>
      <c r="AM264" s="67"/>
      <c r="AN264" s="67"/>
      <c r="AO264" s="67"/>
      <c r="AP264" s="67"/>
      <c r="AQ264" s="67"/>
      <c r="AR264" s="67"/>
      <c r="AS264" s="55">
        <f>'Messages Dictionary'!I272</f>
        <v>0</v>
      </c>
    </row>
    <row r="265" spans="1:45" ht="28.5" hidden="1" x14ac:dyDescent="0.2">
      <c r="A265" s="65">
        <v>1345</v>
      </c>
      <c r="B265" s="9" t="s">
        <v>147</v>
      </c>
      <c r="C265" s="9" t="s">
        <v>147</v>
      </c>
      <c r="D265" s="9" t="s">
        <v>821</v>
      </c>
      <c r="E265" s="9" t="s">
        <v>27</v>
      </c>
      <c r="F265" s="9" t="s">
        <v>199</v>
      </c>
      <c r="G265" s="9" t="s">
        <v>412</v>
      </c>
      <c r="H265" s="9" t="s">
        <v>831</v>
      </c>
      <c r="I265" s="55">
        <f>'Messages Dictionary'!I273</f>
        <v>0</v>
      </c>
      <c r="J265" s="10">
        <f>'Messages Dictionary'!J273</f>
        <v>0.5</v>
      </c>
      <c r="K265" s="10">
        <f t="shared" si="4"/>
        <v>0</v>
      </c>
      <c r="L265" s="66"/>
      <c r="M265" s="66"/>
      <c r="N265" s="67"/>
      <c r="O265" s="67"/>
      <c r="P265" s="67"/>
      <c r="Q265" s="67"/>
      <c r="R265" s="67"/>
      <c r="S265" s="67"/>
      <c r="T265" s="67"/>
      <c r="U265" s="67"/>
      <c r="V265" s="67"/>
      <c r="W265" s="67"/>
      <c r="X265" s="67"/>
      <c r="Y265" s="67"/>
      <c r="Z265" s="67"/>
      <c r="AA265" s="67"/>
      <c r="AB265" s="67"/>
      <c r="AC265" s="67"/>
      <c r="AD265" s="67"/>
      <c r="AE265" s="67"/>
      <c r="AF265" s="67"/>
      <c r="AG265" s="67"/>
      <c r="AH265" s="67"/>
      <c r="AI265" s="67"/>
      <c r="AJ265" s="67"/>
      <c r="AK265" s="67"/>
      <c r="AL265" s="67"/>
      <c r="AM265" s="67"/>
      <c r="AN265" s="67"/>
      <c r="AO265" s="67"/>
      <c r="AP265" s="67"/>
      <c r="AQ265" s="67"/>
      <c r="AR265" s="67"/>
      <c r="AS265" s="55">
        <f>'Messages Dictionary'!I273</f>
        <v>0</v>
      </c>
    </row>
    <row r="266" spans="1:45" ht="28.5" hidden="1" x14ac:dyDescent="0.2">
      <c r="A266" s="65">
        <v>1346</v>
      </c>
      <c r="B266" s="9" t="s">
        <v>147</v>
      </c>
      <c r="C266" s="9" t="s">
        <v>147</v>
      </c>
      <c r="D266" s="9" t="s">
        <v>821</v>
      </c>
      <c r="E266" s="9" t="s">
        <v>27</v>
      </c>
      <c r="F266" s="9" t="s">
        <v>199</v>
      </c>
      <c r="G266" s="9" t="s">
        <v>412</v>
      </c>
      <c r="H266" s="9" t="s">
        <v>831</v>
      </c>
      <c r="I266" s="55">
        <f>'Messages Dictionary'!I274</f>
        <v>0</v>
      </c>
      <c r="J266" s="10">
        <f>'Messages Dictionary'!J274</f>
        <v>0.5</v>
      </c>
      <c r="K266" s="10">
        <f t="shared" si="4"/>
        <v>0</v>
      </c>
      <c r="L266" s="66"/>
      <c r="M266" s="66"/>
      <c r="N266" s="67"/>
      <c r="O266" s="67"/>
      <c r="P266" s="67"/>
      <c r="Q266" s="67"/>
      <c r="R266" s="67"/>
      <c r="S266" s="67"/>
      <c r="T266" s="67"/>
      <c r="U266" s="67"/>
      <c r="V266" s="67"/>
      <c r="W266" s="67"/>
      <c r="X266" s="67"/>
      <c r="Y266" s="67"/>
      <c r="Z266" s="67"/>
      <c r="AA266" s="67"/>
      <c r="AB266" s="67"/>
      <c r="AC266" s="67"/>
      <c r="AD266" s="67"/>
      <c r="AE266" s="67"/>
      <c r="AF266" s="67"/>
      <c r="AG266" s="67"/>
      <c r="AH266" s="67"/>
      <c r="AI266" s="67"/>
      <c r="AJ266" s="67"/>
      <c r="AK266" s="67"/>
      <c r="AL266" s="67"/>
      <c r="AM266" s="67"/>
      <c r="AN266" s="67"/>
      <c r="AO266" s="67"/>
      <c r="AP266" s="67"/>
      <c r="AQ266" s="67"/>
      <c r="AR266" s="67"/>
      <c r="AS266" s="55">
        <f>'Messages Dictionary'!I274</f>
        <v>0</v>
      </c>
    </row>
    <row r="267" spans="1:45" ht="28.5" hidden="1" x14ac:dyDescent="0.2">
      <c r="A267" s="65">
        <v>1347</v>
      </c>
      <c r="B267" s="9" t="s">
        <v>148</v>
      </c>
      <c r="C267" s="9" t="s">
        <v>148</v>
      </c>
      <c r="D267" s="9" t="s">
        <v>821</v>
      </c>
      <c r="E267" s="9" t="s">
        <v>27</v>
      </c>
      <c r="F267" s="9" t="s">
        <v>199</v>
      </c>
      <c r="G267" s="9" t="s">
        <v>412</v>
      </c>
      <c r="H267" s="9" t="s">
        <v>831</v>
      </c>
      <c r="I267" s="55">
        <f>'Messages Dictionary'!I275</f>
        <v>0</v>
      </c>
      <c r="J267" s="10">
        <f>'Messages Dictionary'!J275</f>
        <v>0.5</v>
      </c>
      <c r="K267" s="10">
        <f t="shared" si="4"/>
        <v>0</v>
      </c>
      <c r="L267" s="66"/>
      <c r="M267" s="66"/>
      <c r="N267" s="67"/>
      <c r="O267" s="67"/>
      <c r="P267" s="67"/>
      <c r="Q267" s="67"/>
      <c r="R267" s="67"/>
      <c r="S267" s="67"/>
      <c r="T267" s="67"/>
      <c r="U267" s="67"/>
      <c r="V267" s="67"/>
      <c r="W267" s="67"/>
      <c r="X267" s="67"/>
      <c r="Y267" s="67"/>
      <c r="Z267" s="67"/>
      <c r="AA267" s="67"/>
      <c r="AB267" s="67"/>
      <c r="AC267" s="67"/>
      <c r="AD267" s="67"/>
      <c r="AE267" s="67"/>
      <c r="AF267" s="67"/>
      <c r="AG267" s="67"/>
      <c r="AH267" s="67"/>
      <c r="AI267" s="67"/>
      <c r="AJ267" s="67"/>
      <c r="AK267" s="67"/>
      <c r="AL267" s="67"/>
      <c r="AM267" s="67"/>
      <c r="AN267" s="67"/>
      <c r="AO267" s="67"/>
      <c r="AP267" s="67"/>
      <c r="AQ267" s="67"/>
      <c r="AR267" s="67"/>
      <c r="AS267" s="55">
        <f>'Messages Dictionary'!I275</f>
        <v>0</v>
      </c>
    </row>
    <row r="268" spans="1:45" ht="28.5" hidden="1" x14ac:dyDescent="0.2">
      <c r="A268" s="65">
        <v>1348</v>
      </c>
      <c r="B268" s="9" t="s">
        <v>148</v>
      </c>
      <c r="C268" s="9" t="s">
        <v>148</v>
      </c>
      <c r="D268" s="9" t="s">
        <v>821</v>
      </c>
      <c r="E268" s="9" t="s">
        <v>27</v>
      </c>
      <c r="F268" s="9" t="s">
        <v>199</v>
      </c>
      <c r="G268" s="9" t="s">
        <v>412</v>
      </c>
      <c r="H268" s="9" t="s">
        <v>831</v>
      </c>
      <c r="I268" s="55">
        <f>'Messages Dictionary'!I276</f>
        <v>0</v>
      </c>
      <c r="J268" s="10">
        <f>'Messages Dictionary'!J276</f>
        <v>0.5</v>
      </c>
      <c r="K268" s="10">
        <f t="shared" si="4"/>
        <v>0</v>
      </c>
      <c r="L268" s="66"/>
      <c r="M268" s="66"/>
      <c r="N268" s="67"/>
      <c r="O268" s="67"/>
      <c r="P268" s="67"/>
      <c r="Q268" s="67"/>
      <c r="R268" s="67"/>
      <c r="S268" s="67"/>
      <c r="T268" s="67"/>
      <c r="U268" s="67"/>
      <c r="V268" s="67"/>
      <c r="W268" s="67"/>
      <c r="X268" s="67"/>
      <c r="Y268" s="67"/>
      <c r="Z268" s="67"/>
      <c r="AA268" s="67"/>
      <c r="AB268" s="67"/>
      <c r="AC268" s="67"/>
      <c r="AD268" s="67"/>
      <c r="AE268" s="67"/>
      <c r="AF268" s="67"/>
      <c r="AG268" s="67"/>
      <c r="AH268" s="67"/>
      <c r="AI268" s="67"/>
      <c r="AJ268" s="67"/>
      <c r="AK268" s="67"/>
      <c r="AL268" s="67"/>
      <c r="AM268" s="67"/>
      <c r="AN268" s="67"/>
      <c r="AO268" s="67"/>
      <c r="AP268" s="67"/>
      <c r="AQ268" s="67"/>
      <c r="AR268" s="67"/>
      <c r="AS268" s="55">
        <f>'Messages Dictionary'!I276</f>
        <v>0</v>
      </c>
    </row>
    <row r="269" spans="1:45" ht="28.5" hidden="1" x14ac:dyDescent="0.2">
      <c r="A269" s="65">
        <v>1349</v>
      </c>
      <c r="B269" s="9" t="s">
        <v>148</v>
      </c>
      <c r="C269" s="9" t="s">
        <v>148</v>
      </c>
      <c r="D269" s="9" t="s">
        <v>821</v>
      </c>
      <c r="E269" s="9" t="s">
        <v>27</v>
      </c>
      <c r="F269" s="9" t="s">
        <v>199</v>
      </c>
      <c r="G269" s="9" t="s">
        <v>412</v>
      </c>
      <c r="H269" s="9" t="s">
        <v>831</v>
      </c>
      <c r="I269" s="55">
        <f>'Messages Dictionary'!I277</f>
        <v>0</v>
      </c>
      <c r="J269" s="10">
        <f>'Messages Dictionary'!J277</f>
        <v>0.5</v>
      </c>
      <c r="K269" s="10">
        <f t="shared" si="4"/>
        <v>0</v>
      </c>
      <c r="L269" s="66"/>
      <c r="M269" s="66"/>
      <c r="N269" s="67"/>
      <c r="O269" s="67"/>
      <c r="P269" s="67"/>
      <c r="Q269" s="67"/>
      <c r="R269" s="67"/>
      <c r="S269" s="67"/>
      <c r="T269" s="67"/>
      <c r="U269" s="67"/>
      <c r="V269" s="67"/>
      <c r="W269" s="67"/>
      <c r="X269" s="67"/>
      <c r="Y269" s="67"/>
      <c r="Z269" s="67"/>
      <c r="AA269" s="67"/>
      <c r="AB269" s="67"/>
      <c r="AC269" s="67"/>
      <c r="AD269" s="67"/>
      <c r="AE269" s="67"/>
      <c r="AF269" s="67"/>
      <c r="AG269" s="67"/>
      <c r="AH269" s="67"/>
      <c r="AI269" s="67"/>
      <c r="AJ269" s="67"/>
      <c r="AK269" s="67"/>
      <c r="AL269" s="67"/>
      <c r="AM269" s="67"/>
      <c r="AN269" s="67"/>
      <c r="AO269" s="67"/>
      <c r="AP269" s="67"/>
      <c r="AQ269" s="67"/>
      <c r="AR269" s="67"/>
      <c r="AS269" s="55">
        <f>'Messages Dictionary'!I277</f>
        <v>0</v>
      </c>
    </row>
    <row r="270" spans="1:45" ht="28.5" hidden="1" x14ac:dyDescent="0.2">
      <c r="A270" s="65">
        <v>1350</v>
      </c>
      <c r="B270" s="9" t="s">
        <v>149</v>
      </c>
      <c r="C270" s="9" t="s">
        <v>149</v>
      </c>
      <c r="D270" s="9" t="s">
        <v>821</v>
      </c>
      <c r="E270" s="9" t="s">
        <v>27</v>
      </c>
      <c r="F270" s="9" t="s">
        <v>199</v>
      </c>
      <c r="G270" s="9" t="s">
        <v>412</v>
      </c>
      <c r="H270" s="9" t="s">
        <v>831</v>
      </c>
      <c r="I270" s="55">
        <f>'Messages Dictionary'!I278</f>
        <v>0</v>
      </c>
      <c r="J270" s="10">
        <f>'Messages Dictionary'!J278</f>
        <v>0.5</v>
      </c>
      <c r="K270" s="10">
        <f t="shared" si="4"/>
        <v>0</v>
      </c>
      <c r="L270" s="66"/>
      <c r="M270" s="66"/>
      <c r="N270" s="67"/>
      <c r="O270" s="67"/>
      <c r="P270" s="67"/>
      <c r="Q270" s="67"/>
      <c r="R270" s="67"/>
      <c r="S270" s="67"/>
      <c r="T270" s="67"/>
      <c r="U270" s="67"/>
      <c r="V270" s="67"/>
      <c r="W270" s="67"/>
      <c r="X270" s="67"/>
      <c r="Y270" s="67"/>
      <c r="Z270" s="67"/>
      <c r="AA270" s="67"/>
      <c r="AB270" s="67"/>
      <c r="AC270" s="67"/>
      <c r="AD270" s="67"/>
      <c r="AE270" s="67"/>
      <c r="AF270" s="67"/>
      <c r="AG270" s="67"/>
      <c r="AH270" s="67"/>
      <c r="AI270" s="67"/>
      <c r="AJ270" s="67"/>
      <c r="AK270" s="67"/>
      <c r="AL270" s="67"/>
      <c r="AM270" s="67"/>
      <c r="AN270" s="67"/>
      <c r="AO270" s="67"/>
      <c r="AP270" s="67"/>
      <c r="AQ270" s="67"/>
      <c r="AR270" s="67"/>
      <c r="AS270" s="55">
        <f>'Messages Dictionary'!I278</f>
        <v>0</v>
      </c>
    </row>
    <row r="271" spans="1:45" ht="28.5" hidden="1" x14ac:dyDescent="0.2">
      <c r="A271" s="65">
        <v>1351</v>
      </c>
      <c r="B271" s="9" t="s">
        <v>149</v>
      </c>
      <c r="C271" s="9" t="s">
        <v>149</v>
      </c>
      <c r="D271" s="9" t="s">
        <v>821</v>
      </c>
      <c r="E271" s="9" t="s">
        <v>27</v>
      </c>
      <c r="F271" s="9" t="s">
        <v>199</v>
      </c>
      <c r="G271" s="9" t="s">
        <v>412</v>
      </c>
      <c r="H271" s="9" t="s">
        <v>831</v>
      </c>
      <c r="I271" s="55">
        <f>'Messages Dictionary'!I279</f>
        <v>0</v>
      </c>
      <c r="J271" s="10">
        <f>'Messages Dictionary'!J279</f>
        <v>0.5</v>
      </c>
      <c r="K271" s="10">
        <f t="shared" si="4"/>
        <v>0</v>
      </c>
      <c r="L271" s="66"/>
      <c r="M271" s="66"/>
      <c r="N271" s="67"/>
      <c r="O271" s="67"/>
      <c r="P271" s="67"/>
      <c r="Q271" s="67"/>
      <c r="R271" s="67"/>
      <c r="S271" s="67"/>
      <c r="T271" s="67"/>
      <c r="U271" s="67"/>
      <c r="V271" s="67"/>
      <c r="W271" s="67"/>
      <c r="X271" s="67"/>
      <c r="Y271" s="67"/>
      <c r="Z271" s="67"/>
      <c r="AA271" s="67"/>
      <c r="AB271" s="67"/>
      <c r="AC271" s="67"/>
      <c r="AD271" s="67"/>
      <c r="AE271" s="67"/>
      <c r="AF271" s="67"/>
      <c r="AG271" s="67"/>
      <c r="AH271" s="67"/>
      <c r="AI271" s="67"/>
      <c r="AJ271" s="67"/>
      <c r="AK271" s="67"/>
      <c r="AL271" s="67"/>
      <c r="AM271" s="67"/>
      <c r="AN271" s="67"/>
      <c r="AO271" s="67"/>
      <c r="AP271" s="67"/>
      <c r="AQ271" s="67"/>
      <c r="AR271" s="67"/>
      <c r="AS271" s="55">
        <f>'Messages Dictionary'!I279</f>
        <v>0</v>
      </c>
    </row>
    <row r="272" spans="1:45" ht="28.5" hidden="1" x14ac:dyDescent="0.2">
      <c r="A272" s="65">
        <v>1352</v>
      </c>
      <c r="B272" s="9" t="s">
        <v>149</v>
      </c>
      <c r="C272" s="9" t="s">
        <v>149</v>
      </c>
      <c r="D272" s="9" t="s">
        <v>821</v>
      </c>
      <c r="E272" s="9" t="s">
        <v>27</v>
      </c>
      <c r="F272" s="9" t="s">
        <v>199</v>
      </c>
      <c r="G272" s="9" t="s">
        <v>412</v>
      </c>
      <c r="H272" s="9" t="s">
        <v>831</v>
      </c>
      <c r="I272" s="55">
        <f>'Messages Dictionary'!I280</f>
        <v>0</v>
      </c>
      <c r="J272" s="10">
        <f>'Messages Dictionary'!J280</f>
        <v>0.5</v>
      </c>
      <c r="K272" s="10">
        <f t="shared" si="4"/>
        <v>0</v>
      </c>
      <c r="L272" s="66"/>
      <c r="M272" s="66"/>
      <c r="N272" s="67"/>
      <c r="O272" s="67"/>
      <c r="P272" s="67"/>
      <c r="Q272" s="67"/>
      <c r="R272" s="67"/>
      <c r="S272" s="67"/>
      <c r="T272" s="67"/>
      <c r="U272" s="67"/>
      <c r="V272" s="67"/>
      <c r="W272" s="67"/>
      <c r="X272" s="67"/>
      <c r="Y272" s="67"/>
      <c r="Z272" s="67"/>
      <c r="AA272" s="67"/>
      <c r="AB272" s="67"/>
      <c r="AC272" s="67"/>
      <c r="AD272" s="67"/>
      <c r="AE272" s="67"/>
      <c r="AF272" s="67"/>
      <c r="AG272" s="67"/>
      <c r="AH272" s="67"/>
      <c r="AI272" s="67"/>
      <c r="AJ272" s="67"/>
      <c r="AK272" s="67"/>
      <c r="AL272" s="67"/>
      <c r="AM272" s="67"/>
      <c r="AN272" s="67"/>
      <c r="AO272" s="67"/>
      <c r="AP272" s="67"/>
      <c r="AQ272" s="67"/>
      <c r="AR272" s="67"/>
      <c r="AS272" s="55">
        <f>'Messages Dictionary'!I280</f>
        <v>0</v>
      </c>
    </row>
    <row r="273" spans="1:45" ht="28.5" hidden="1" x14ac:dyDescent="0.2">
      <c r="A273" s="65">
        <v>1353</v>
      </c>
      <c r="B273" s="9" t="s">
        <v>150</v>
      </c>
      <c r="C273" s="9" t="s">
        <v>150</v>
      </c>
      <c r="D273" s="9" t="s">
        <v>821</v>
      </c>
      <c r="E273" s="9" t="s">
        <v>27</v>
      </c>
      <c r="F273" s="9" t="s">
        <v>199</v>
      </c>
      <c r="G273" s="9" t="s">
        <v>412</v>
      </c>
      <c r="H273" s="9" t="s">
        <v>831</v>
      </c>
      <c r="I273" s="55">
        <f>'Messages Dictionary'!I281</f>
        <v>0</v>
      </c>
      <c r="J273" s="10">
        <f>'Messages Dictionary'!J281</f>
        <v>0.5</v>
      </c>
      <c r="K273" s="10">
        <f t="shared" si="4"/>
        <v>0</v>
      </c>
      <c r="L273" s="66"/>
      <c r="M273" s="66"/>
      <c r="N273" s="67"/>
      <c r="O273" s="67"/>
      <c r="P273" s="67"/>
      <c r="Q273" s="67"/>
      <c r="R273" s="67"/>
      <c r="S273" s="67"/>
      <c r="T273" s="67"/>
      <c r="U273" s="67"/>
      <c r="V273" s="67"/>
      <c r="W273" s="67"/>
      <c r="X273" s="67"/>
      <c r="Y273" s="67"/>
      <c r="Z273" s="67"/>
      <c r="AA273" s="67"/>
      <c r="AB273" s="67"/>
      <c r="AC273" s="67"/>
      <c r="AD273" s="67"/>
      <c r="AE273" s="67"/>
      <c r="AF273" s="67"/>
      <c r="AG273" s="67"/>
      <c r="AH273" s="67"/>
      <c r="AI273" s="67"/>
      <c r="AJ273" s="67"/>
      <c r="AK273" s="67"/>
      <c r="AL273" s="67"/>
      <c r="AM273" s="67"/>
      <c r="AN273" s="67"/>
      <c r="AO273" s="67"/>
      <c r="AP273" s="67"/>
      <c r="AQ273" s="67"/>
      <c r="AR273" s="67"/>
      <c r="AS273" s="55">
        <f>'Messages Dictionary'!I281</f>
        <v>0</v>
      </c>
    </row>
    <row r="274" spans="1:45" ht="28.5" hidden="1" x14ac:dyDescent="0.2">
      <c r="A274" s="65">
        <v>1354</v>
      </c>
      <c r="B274" s="9" t="s">
        <v>150</v>
      </c>
      <c r="C274" s="9" t="s">
        <v>150</v>
      </c>
      <c r="D274" s="9" t="s">
        <v>821</v>
      </c>
      <c r="E274" s="9" t="s">
        <v>27</v>
      </c>
      <c r="F274" s="9" t="s">
        <v>199</v>
      </c>
      <c r="G274" s="9" t="s">
        <v>412</v>
      </c>
      <c r="H274" s="9" t="s">
        <v>831</v>
      </c>
      <c r="I274" s="55">
        <f>'Messages Dictionary'!I282</f>
        <v>0</v>
      </c>
      <c r="J274" s="10">
        <f>'Messages Dictionary'!J282</f>
        <v>0.5</v>
      </c>
      <c r="K274" s="10">
        <f t="shared" si="4"/>
        <v>0</v>
      </c>
      <c r="L274" s="66"/>
      <c r="M274" s="66"/>
      <c r="N274" s="67"/>
      <c r="O274" s="67"/>
      <c r="P274" s="67"/>
      <c r="Q274" s="67"/>
      <c r="R274" s="67"/>
      <c r="S274" s="67"/>
      <c r="T274" s="67"/>
      <c r="U274" s="67"/>
      <c r="V274" s="67"/>
      <c r="W274" s="67"/>
      <c r="X274" s="67"/>
      <c r="Y274" s="67"/>
      <c r="Z274" s="67"/>
      <c r="AA274" s="67"/>
      <c r="AB274" s="67"/>
      <c r="AC274" s="67"/>
      <c r="AD274" s="67"/>
      <c r="AE274" s="67"/>
      <c r="AF274" s="67"/>
      <c r="AG274" s="67"/>
      <c r="AH274" s="67"/>
      <c r="AI274" s="67"/>
      <c r="AJ274" s="67"/>
      <c r="AK274" s="67"/>
      <c r="AL274" s="67"/>
      <c r="AM274" s="67"/>
      <c r="AN274" s="67"/>
      <c r="AO274" s="67"/>
      <c r="AP274" s="67"/>
      <c r="AQ274" s="67"/>
      <c r="AR274" s="67"/>
      <c r="AS274" s="55">
        <f>'Messages Dictionary'!I282</f>
        <v>0</v>
      </c>
    </row>
    <row r="275" spans="1:45" ht="28.5" hidden="1" x14ac:dyDescent="0.2">
      <c r="A275" s="65">
        <v>1355</v>
      </c>
      <c r="B275" s="9" t="s">
        <v>150</v>
      </c>
      <c r="C275" s="9" t="s">
        <v>150</v>
      </c>
      <c r="D275" s="9" t="s">
        <v>821</v>
      </c>
      <c r="E275" s="9" t="s">
        <v>27</v>
      </c>
      <c r="F275" s="9" t="s">
        <v>199</v>
      </c>
      <c r="G275" s="9" t="s">
        <v>412</v>
      </c>
      <c r="H275" s="9" t="s">
        <v>831</v>
      </c>
      <c r="I275" s="55">
        <f>'Messages Dictionary'!I283</f>
        <v>0</v>
      </c>
      <c r="J275" s="10">
        <f>'Messages Dictionary'!J283</f>
        <v>0.5</v>
      </c>
      <c r="K275" s="10">
        <f t="shared" si="4"/>
        <v>0</v>
      </c>
      <c r="L275" s="66"/>
      <c r="M275" s="66"/>
      <c r="N275" s="67"/>
      <c r="O275" s="67"/>
      <c r="P275" s="67"/>
      <c r="Q275" s="67"/>
      <c r="R275" s="67"/>
      <c r="S275" s="67"/>
      <c r="T275" s="67"/>
      <c r="U275" s="67"/>
      <c r="V275" s="67"/>
      <c r="W275" s="67"/>
      <c r="X275" s="67"/>
      <c r="Y275" s="67"/>
      <c r="Z275" s="67"/>
      <c r="AA275" s="67"/>
      <c r="AB275" s="67"/>
      <c r="AC275" s="67"/>
      <c r="AD275" s="67"/>
      <c r="AE275" s="67"/>
      <c r="AF275" s="67"/>
      <c r="AG275" s="67"/>
      <c r="AH275" s="67"/>
      <c r="AI275" s="67"/>
      <c r="AJ275" s="67"/>
      <c r="AK275" s="67"/>
      <c r="AL275" s="67"/>
      <c r="AM275" s="67"/>
      <c r="AN275" s="67"/>
      <c r="AO275" s="67"/>
      <c r="AP275" s="67"/>
      <c r="AQ275" s="67"/>
      <c r="AR275" s="67"/>
      <c r="AS275" s="55">
        <f>'Messages Dictionary'!I283</f>
        <v>0</v>
      </c>
    </row>
    <row r="276" spans="1:45" ht="28.5" hidden="1" x14ac:dyDescent="0.2">
      <c r="A276" s="65">
        <v>1356</v>
      </c>
      <c r="B276" s="9" t="s">
        <v>151</v>
      </c>
      <c r="C276" s="9" t="s">
        <v>151</v>
      </c>
      <c r="D276" s="9" t="s">
        <v>821</v>
      </c>
      <c r="E276" s="9" t="s">
        <v>27</v>
      </c>
      <c r="F276" s="9" t="s">
        <v>199</v>
      </c>
      <c r="G276" s="9" t="s">
        <v>412</v>
      </c>
      <c r="H276" s="9" t="s">
        <v>831</v>
      </c>
      <c r="I276" s="55">
        <f>'Messages Dictionary'!I284</f>
        <v>0</v>
      </c>
      <c r="J276" s="10">
        <f>'Messages Dictionary'!J284</f>
        <v>0.5</v>
      </c>
      <c r="K276" s="10">
        <f t="shared" si="4"/>
        <v>0</v>
      </c>
      <c r="L276" s="66"/>
      <c r="M276" s="66"/>
      <c r="N276" s="67"/>
      <c r="O276" s="67"/>
      <c r="P276" s="67"/>
      <c r="Q276" s="67"/>
      <c r="R276" s="67"/>
      <c r="S276" s="67"/>
      <c r="T276" s="67"/>
      <c r="U276" s="67"/>
      <c r="V276" s="67"/>
      <c r="W276" s="67"/>
      <c r="X276" s="67"/>
      <c r="Y276" s="67"/>
      <c r="Z276" s="67"/>
      <c r="AA276" s="67"/>
      <c r="AB276" s="67"/>
      <c r="AC276" s="67"/>
      <c r="AD276" s="67"/>
      <c r="AE276" s="67"/>
      <c r="AF276" s="67"/>
      <c r="AG276" s="67"/>
      <c r="AH276" s="67"/>
      <c r="AI276" s="67"/>
      <c r="AJ276" s="67"/>
      <c r="AK276" s="67"/>
      <c r="AL276" s="67"/>
      <c r="AM276" s="67"/>
      <c r="AN276" s="67"/>
      <c r="AO276" s="67"/>
      <c r="AP276" s="67"/>
      <c r="AQ276" s="67"/>
      <c r="AR276" s="67"/>
      <c r="AS276" s="55">
        <f>'Messages Dictionary'!I284</f>
        <v>0</v>
      </c>
    </row>
    <row r="277" spans="1:45" ht="28.5" hidden="1" x14ac:dyDescent="0.2">
      <c r="A277" s="65">
        <v>1357</v>
      </c>
      <c r="B277" s="9" t="s">
        <v>151</v>
      </c>
      <c r="C277" s="9" t="s">
        <v>151</v>
      </c>
      <c r="D277" s="9" t="s">
        <v>821</v>
      </c>
      <c r="E277" s="9" t="s">
        <v>27</v>
      </c>
      <c r="F277" s="9" t="s">
        <v>199</v>
      </c>
      <c r="G277" s="9" t="s">
        <v>412</v>
      </c>
      <c r="H277" s="9" t="s">
        <v>831</v>
      </c>
      <c r="I277" s="55">
        <f>'Messages Dictionary'!I285</f>
        <v>0</v>
      </c>
      <c r="J277" s="10">
        <f>'Messages Dictionary'!J285</f>
        <v>0.5</v>
      </c>
      <c r="K277" s="10">
        <f t="shared" si="4"/>
        <v>0</v>
      </c>
      <c r="L277" s="66"/>
      <c r="M277" s="66"/>
      <c r="N277" s="67"/>
      <c r="O277" s="67"/>
      <c r="P277" s="67"/>
      <c r="Q277" s="67"/>
      <c r="R277" s="67"/>
      <c r="S277" s="67"/>
      <c r="T277" s="67"/>
      <c r="U277" s="67"/>
      <c r="V277" s="67"/>
      <c r="W277" s="67"/>
      <c r="X277" s="67"/>
      <c r="Y277" s="67"/>
      <c r="Z277" s="67"/>
      <c r="AA277" s="67"/>
      <c r="AB277" s="67"/>
      <c r="AC277" s="67"/>
      <c r="AD277" s="67"/>
      <c r="AE277" s="67"/>
      <c r="AF277" s="67"/>
      <c r="AG277" s="67"/>
      <c r="AH277" s="67"/>
      <c r="AI277" s="67"/>
      <c r="AJ277" s="67"/>
      <c r="AK277" s="67"/>
      <c r="AL277" s="67"/>
      <c r="AM277" s="67"/>
      <c r="AN277" s="67"/>
      <c r="AO277" s="67"/>
      <c r="AP277" s="67"/>
      <c r="AQ277" s="67"/>
      <c r="AR277" s="67"/>
      <c r="AS277" s="55">
        <f>'Messages Dictionary'!I285</f>
        <v>0</v>
      </c>
    </row>
    <row r="278" spans="1:45" ht="28.5" hidden="1" x14ac:dyDescent="0.2">
      <c r="A278" s="65">
        <v>1358</v>
      </c>
      <c r="B278" s="9" t="s">
        <v>151</v>
      </c>
      <c r="C278" s="9" t="s">
        <v>151</v>
      </c>
      <c r="D278" s="9" t="s">
        <v>821</v>
      </c>
      <c r="E278" s="9" t="s">
        <v>27</v>
      </c>
      <c r="F278" s="9" t="s">
        <v>199</v>
      </c>
      <c r="G278" s="9" t="s">
        <v>412</v>
      </c>
      <c r="H278" s="9" t="s">
        <v>831</v>
      </c>
      <c r="I278" s="55">
        <f>'Messages Dictionary'!I286</f>
        <v>0</v>
      </c>
      <c r="J278" s="10">
        <f>'Messages Dictionary'!J286</f>
        <v>0.5</v>
      </c>
      <c r="K278" s="10">
        <f t="shared" si="4"/>
        <v>0</v>
      </c>
      <c r="L278" s="66"/>
      <c r="M278" s="66"/>
      <c r="N278" s="67"/>
      <c r="O278" s="67"/>
      <c r="P278" s="67"/>
      <c r="Q278" s="67"/>
      <c r="R278" s="67"/>
      <c r="S278" s="67"/>
      <c r="T278" s="67"/>
      <c r="U278" s="67"/>
      <c r="V278" s="67"/>
      <c r="W278" s="67"/>
      <c r="X278" s="67"/>
      <c r="Y278" s="67"/>
      <c r="Z278" s="67"/>
      <c r="AA278" s="67"/>
      <c r="AB278" s="67"/>
      <c r="AC278" s="67"/>
      <c r="AD278" s="67"/>
      <c r="AE278" s="67"/>
      <c r="AF278" s="67"/>
      <c r="AG278" s="67"/>
      <c r="AH278" s="67"/>
      <c r="AI278" s="67"/>
      <c r="AJ278" s="67"/>
      <c r="AK278" s="67"/>
      <c r="AL278" s="67"/>
      <c r="AM278" s="67"/>
      <c r="AN278" s="67"/>
      <c r="AO278" s="67"/>
      <c r="AP278" s="67"/>
      <c r="AQ278" s="67"/>
      <c r="AR278" s="67"/>
      <c r="AS278" s="55">
        <f>'Messages Dictionary'!I286</f>
        <v>0</v>
      </c>
    </row>
    <row r="279" spans="1:45" ht="28.5" hidden="1" x14ac:dyDescent="0.2">
      <c r="A279" s="65">
        <v>1359</v>
      </c>
      <c r="B279" s="9" t="s">
        <v>152</v>
      </c>
      <c r="C279" s="9" t="s">
        <v>152</v>
      </c>
      <c r="D279" s="9" t="s">
        <v>821</v>
      </c>
      <c r="E279" s="9" t="s">
        <v>27</v>
      </c>
      <c r="F279" s="9" t="s">
        <v>199</v>
      </c>
      <c r="G279" s="9" t="s">
        <v>412</v>
      </c>
      <c r="H279" s="9" t="s">
        <v>831</v>
      </c>
      <c r="I279" s="55">
        <f>'Messages Dictionary'!I287</f>
        <v>0</v>
      </c>
      <c r="J279" s="10">
        <f>'Messages Dictionary'!J287</f>
        <v>0.5</v>
      </c>
      <c r="K279" s="10">
        <f t="shared" si="4"/>
        <v>0</v>
      </c>
      <c r="L279" s="66"/>
      <c r="M279" s="66"/>
      <c r="N279" s="67"/>
      <c r="O279" s="67"/>
      <c r="P279" s="67"/>
      <c r="Q279" s="67"/>
      <c r="R279" s="67"/>
      <c r="S279" s="67"/>
      <c r="T279" s="67"/>
      <c r="U279" s="67"/>
      <c r="V279" s="67"/>
      <c r="W279" s="67"/>
      <c r="X279" s="67"/>
      <c r="Y279" s="67"/>
      <c r="Z279" s="67"/>
      <c r="AA279" s="67"/>
      <c r="AB279" s="67"/>
      <c r="AC279" s="67"/>
      <c r="AD279" s="67"/>
      <c r="AE279" s="67"/>
      <c r="AF279" s="67"/>
      <c r="AG279" s="67"/>
      <c r="AH279" s="67"/>
      <c r="AI279" s="67"/>
      <c r="AJ279" s="67"/>
      <c r="AK279" s="67"/>
      <c r="AL279" s="67"/>
      <c r="AM279" s="67"/>
      <c r="AN279" s="67"/>
      <c r="AO279" s="67"/>
      <c r="AP279" s="67"/>
      <c r="AQ279" s="67"/>
      <c r="AR279" s="67"/>
      <c r="AS279" s="55">
        <f>'Messages Dictionary'!I287</f>
        <v>0</v>
      </c>
    </row>
    <row r="280" spans="1:45" ht="28.5" hidden="1" x14ac:dyDescent="0.2">
      <c r="A280" s="65">
        <v>1360</v>
      </c>
      <c r="B280" s="9" t="s">
        <v>152</v>
      </c>
      <c r="C280" s="9" t="s">
        <v>152</v>
      </c>
      <c r="D280" s="9" t="s">
        <v>821</v>
      </c>
      <c r="E280" s="9" t="s">
        <v>27</v>
      </c>
      <c r="F280" s="9" t="s">
        <v>199</v>
      </c>
      <c r="G280" s="9" t="s">
        <v>412</v>
      </c>
      <c r="H280" s="9" t="s">
        <v>831</v>
      </c>
      <c r="I280" s="55">
        <f>'Messages Dictionary'!I288</f>
        <v>0</v>
      </c>
      <c r="J280" s="10">
        <f>'Messages Dictionary'!J288</f>
        <v>0.5</v>
      </c>
      <c r="K280" s="10">
        <f t="shared" si="4"/>
        <v>0</v>
      </c>
      <c r="L280" s="66"/>
      <c r="M280" s="66"/>
      <c r="N280" s="67"/>
      <c r="O280" s="67"/>
      <c r="P280" s="67"/>
      <c r="Q280" s="67"/>
      <c r="R280" s="67"/>
      <c r="S280" s="67"/>
      <c r="T280" s="67"/>
      <c r="U280" s="67"/>
      <c r="V280" s="67"/>
      <c r="W280" s="67"/>
      <c r="X280" s="67"/>
      <c r="Y280" s="67"/>
      <c r="Z280" s="67"/>
      <c r="AA280" s="67"/>
      <c r="AB280" s="67"/>
      <c r="AC280" s="67"/>
      <c r="AD280" s="67"/>
      <c r="AE280" s="67"/>
      <c r="AF280" s="67"/>
      <c r="AG280" s="67"/>
      <c r="AH280" s="67"/>
      <c r="AI280" s="67"/>
      <c r="AJ280" s="67"/>
      <c r="AK280" s="67"/>
      <c r="AL280" s="67"/>
      <c r="AM280" s="67"/>
      <c r="AN280" s="67"/>
      <c r="AO280" s="67"/>
      <c r="AP280" s="67"/>
      <c r="AQ280" s="67"/>
      <c r="AR280" s="67"/>
      <c r="AS280" s="55">
        <f>'Messages Dictionary'!I288</f>
        <v>0</v>
      </c>
    </row>
    <row r="281" spans="1:45" ht="28.5" hidden="1" x14ac:dyDescent="0.2">
      <c r="A281" s="65">
        <v>1361</v>
      </c>
      <c r="B281" s="9" t="s">
        <v>152</v>
      </c>
      <c r="C281" s="9" t="s">
        <v>152</v>
      </c>
      <c r="D281" s="9" t="s">
        <v>821</v>
      </c>
      <c r="E281" s="9" t="s">
        <v>27</v>
      </c>
      <c r="F281" s="9" t="s">
        <v>199</v>
      </c>
      <c r="G281" s="9" t="s">
        <v>412</v>
      </c>
      <c r="H281" s="9" t="s">
        <v>831</v>
      </c>
      <c r="I281" s="55">
        <f>'Messages Dictionary'!I289</f>
        <v>0</v>
      </c>
      <c r="J281" s="10">
        <f>'Messages Dictionary'!J289</f>
        <v>0.5</v>
      </c>
      <c r="K281" s="10">
        <f t="shared" si="4"/>
        <v>0</v>
      </c>
      <c r="L281" s="66"/>
      <c r="M281" s="66"/>
      <c r="N281" s="67"/>
      <c r="O281" s="67"/>
      <c r="P281" s="67"/>
      <c r="Q281" s="67"/>
      <c r="R281" s="67"/>
      <c r="S281" s="67"/>
      <c r="T281" s="67"/>
      <c r="U281" s="67"/>
      <c r="V281" s="67"/>
      <c r="W281" s="67"/>
      <c r="X281" s="67"/>
      <c r="Y281" s="67"/>
      <c r="Z281" s="67"/>
      <c r="AA281" s="67"/>
      <c r="AB281" s="67"/>
      <c r="AC281" s="67"/>
      <c r="AD281" s="67"/>
      <c r="AE281" s="67"/>
      <c r="AF281" s="67"/>
      <c r="AG281" s="67"/>
      <c r="AH281" s="67"/>
      <c r="AI281" s="67"/>
      <c r="AJ281" s="67"/>
      <c r="AK281" s="67"/>
      <c r="AL281" s="67"/>
      <c r="AM281" s="67"/>
      <c r="AN281" s="67"/>
      <c r="AO281" s="67"/>
      <c r="AP281" s="67"/>
      <c r="AQ281" s="67"/>
      <c r="AR281" s="67"/>
      <c r="AS281" s="55">
        <f>'Messages Dictionary'!I289</f>
        <v>0</v>
      </c>
    </row>
    <row r="282" spans="1:45" ht="28.5" hidden="1" x14ac:dyDescent="0.2">
      <c r="A282" s="65">
        <v>1362</v>
      </c>
      <c r="B282" s="9" t="s">
        <v>153</v>
      </c>
      <c r="C282" s="9" t="s">
        <v>153</v>
      </c>
      <c r="D282" s="9" t="s">
        <v>821</v>
      </c>
      <c r="E282" s="9" t="s">
        <v>27</v>
      </c>
      <c r="F282" s="9" t="s">
        <v>199</v>
      </c>
      <c r="G282" s="9" t="s">
        <v>412</v>
      </c>
      <c r="H282" s="9" t="s">
        <v>831</v>
      </c>
      <c r="I282" s="55">
        <f>'Messages Dictionary'!I290</f>
        <v>0</v>
      </c>
      <c r="J282" s="10">
        <f>'Messages Dictionary'!J290</f>
        <v>0.5</v>
      </c>
      <c r="K282" s="10">
        <f t="shared" si="4"/>
        <v>0</v>
      </c>
      <c r="L282" s="66"/>
      <c r="M282" s="66"/>
      <c r="N282" s="67"/>
      <c r="O282" s="67"/>
      <c r="P282" s="67"/>
      <c r="Q282" s="67"/>
      <c r="R282" s="67"/>
      <c r="S282" s="67"/>
      <c r="T282" s="67"/>
      <c r="U282" s="67"/>
      <c r="V282" s="67"/>
      <c r="W282" s="67"/>
      <c r="X282" s="67"/>
      <c r="Y282" s="67"/>
      <c r="Z282" s="67"/>
      <c r="AA282" s="67"/>
      <c r="AB282" s="67"/>
      <c r="AC282" s="67"/>
      <c r="AD282" s="67"/>
      <c r="AE282" s="67"/>
      <c r="AF282" s="67"/>
      <c r="AG282" s="67"/>
      <c r="AH282" s="67"/>
      <c r="AI282" s="67"/>
      <c r="AJ282" s="67"/>
      <c r="AK282" s="67"/>
      <c r="AL282" s="67"/>
      <c r="AM282" s="67"/>
      <c r="AN282" s="67"/>
      <c r="AO282" s="67"/>
      <c r="AP282" s="67"/>
      <c r="AQ282" s="67"/>
      <c r="AR282" s="67"/>
      <c r="AS282" s="55">
        <f>'Messages Dictionary'!I290</f>
        <v>0</v>
      </c>
    </row>
    <row r="283" spans="1:45" ht="28.5" hidden="1" x14ac:dyDescent="0.2">
      <c r="A283" s="65">
        <v>1363</v>
      </c>
      <c r="B283" s="9" t="s">
        <v>153</v>
      </c>
      <c r="C283" s="9" t="s">
        <v>153</v>
      </c>
      <c r="D283" s="9" t="s">
        <v>821</v>
      </c>
      <c r="E283" s="9" t="s">
        <v>27</v>
      </c>
      <c r="F283" s="9" t="s">
        <v>199</v>
      </c>
      <c r="G283" s="9" t="s">
        <v>412</v>
      </c>
      <c r="H283" s="9" t="s">
        <v>831</v>
      </c>
      <c r="I283" s="55">
        <f>'Messages Dictionary'!I291</f>
        <v>0</v>
      </c>
      <c r="J283" s="10">
        <f>'Messages Dictionary'!J291</f>
        <v>0.5</v>
      </c>
      <c r="K283" s="10">
        <f t="shared" si="4"/>
        <v>0</v>
      </c>
      <c r="L283" s="66"/>
      <c r="M283" s="66"/>
      <c r="N283" s="67"/>
      <c r="O283" s="67"/>
      <c r="P283" s="67"/>
      <c r="Q283" s="67"/>
      <c r="R283" s="67"/>
      <c r="S283" s="67"/>
      <c r="T283" s="67"/>
      <c r="U283" s="67"/>
      <c r="V283" s="67"/>
      <c r="W283" s="67"/>
      <c r="X283" s="67"/>
      <c r="Y283" s="67"/>
      <c r="Z283" s="67"/>
      <c r="AA283" s="67"/>
      <c r="AB283" s="67"/>
      <c r="AC283" s="67"/>
      <c r="AD283" s="67"/>
      <c r="AE283" s="67"/>
      <c r="AF283" s="67"/>
      <c r="AG283" s="67"/>
      <c r="AH283" s="67"/>
      <c r="AI283" s="67"/>
      <c r="AJ283" s="67"/>
      <c r="AK283" s="67"/>
      <c r="AL283" s="67"/>
      <c r="AM283" s="67"/>
      <c r="AN283" s="67"/>
      <c r="AO283" s="67"/>
      <c r="AP283" s="67"/>
      <c r="AQ283" s="67"/>
      <c r="AR283" s="67"/>
      <c r="AS283" s="55">
        <f>'Messages Dictionary'!I291</f>
        <v>0</v>
      </c>
    </row>
    <row r="284" spans="1:45" ht="28.5" hidden="1" x14ac:dyDescent="0.2">
      <c r="A284" s="65">
        <v>1364</v>
      </c>
      <c r="B284" s="9" t="s">
        <v>153</v>
      </c>
      <c r="C284" s="9" t="s">
        <v>153</v>
      </c>
      <c r="D284" s="9" t="s">
        <v>821</v>
      </c>
      <c r="E284" s="9" t="s">
        <v>27</v>
      </c>
      <c r="F284" s="9" t="s">
        <v>199</v>
      </c>
      <c r="G284" s="9" t="s">
        <v>412</v>
      </c>
      <c r="H284" s="9" t="s">
        <v>831</v>
      </c>
      <c r="I284" s="55">
        <f>'Messages Dictionary'!I292</f>
        <v>0</v>
      </c>
      <c r="J284" s="10">
        <f>'Messages Dictionary'!J292</f>
        <v>0.5</v>
      </c>
      <c r="K284" s="10">
        <f t="shared" si="4"/>
        <v>0</v>
      </c>
      <c r="L284" s="66"/>
      <c r="M284" s="66"/>
      <c r="N284" s="67"/>
      <c r="O284" s="67"/>
      <c r="P284" s="67"/>
      <c r="Q284" s="67"/>
      <c r="R284" s="67"/>
      <c r="S284" s="67"/>
      <c r="T284" s="67"/>
      <c r="U284" s="67"/>
      <c r="V284" s="67"/>
      <c r="W284" s="67"/>
      <c r="X284" s="67"/>
      <c r="Y284" s="67"/>
      <c r="Z284" s="67"/>
      <c r="AA284" s="67"/>
      <c r="AB284" s="67"/>
      <c r="AC284" s="67"/>
      <c r="AD284" s="67"/>
      <c r="AE284" s="67"/>
      <c r="AF284" s="67"/>
      <c r="AG284" s="67"/>
      <c r="AH284" s="67"/>
      <c r="AI284" s="67"/>
      <c r="AJ284" s="67"/>
      <c r="AK284" s="67"/>
      <c r="AL284" s="67"/>
      <c r="AM284" s="67"/>
      <c r="AN284" s="67"/>
      <c r="AO284" s="67"/>
      <c r="AP284" s="67"/>
      <c r="AQ284" s="67"/>
      <c r="AR284" s="67"/>
      <c r="AS284" s="55">
        <f>'Messages Dictionary'!I292</f>
        <v>0</v>
      </c>
    </row>
    <row r="285" spans="1:45" ht="28.5" hidden="1" x14ac:dyDescent="0.2">
      <c r="A285" s="65">
        <v>1365</v>
      </c>
      <c r="B285" s="9" t="s">
        <v>154</v>
      </c>
      <c r="C285" s="9" t="s">
        <v>154</v>
      </c>
      <c r="D285" s="9" t="s">
        <v>821</v>
      </c>
      <c r="E285" s="9" t="s">
        <v>27</v>
      </c>
      <c r="F285" s="9" t="s">
        <v>199</v>
      </c>
      <c r="G285" s="9" t="s">
        <v>405</v>
      </c>
      <c r="H285" s="9" t="s">
        <v>426</v>
      </c>
      <c r="I285" s="55">
        <f>'Messages Dictionary'!I293</f>
        <v>0</v>
      </c>
      <c r="J285" s="10">
        <f>'Messages Dictionary'!J293</f>
        <v>1</v>
      </c>
      <c r="K285" s="10">
        <f t="shared" si="4"/>
        <v>0</v>
      </c>
      <c r="L285" s="66"/>
      <c r="M285" s="66"/>
      <c r="N285" s="67"/>
      <c r="O285" s="67"/>
      <c r="P285" s="67"/>
      <c r="Q285" s="67"/>
      <c r="R285" s="67"/>
      <c r="S285" s="67"/>
      <c r="T285" s="67"/>
      <c r="U285" s="67"/>
      <c r="V285" s="67"/>
      <c r="W285" s="67"/>
      <c r="X285" s="67"/>
      <c r="Y285" s="67"/>
      <c r="Z285" s="67"/>
      <c r="AA285" s="67"/>
      <c r="AB285" s="67"/>
      <c r="AC285" s="67"/>
      <c r="AD285" s="67"/>
      <c r="AE285" s="67"/>
      <c r="AF285" s="67"/>
      <c r="AG285" s="67"/>
      <c r="AH285" s="67"/>
      <c r="AI285" s="67"/>
      <c r="AJ285" s="67"/>
      <c r="AK285" s="67"/>
      <c r="AL285" s="67"/>
      <c r="AM285" s="67"/>
      <c r="AN285" s="67"/>
      <c r="AO285" s="67"/>
      <c r="AP285" s="67"/>
      <c r="AQ285" s="67"/>
      <c r="AR285" s="67"/>
      <c r="AS285" s="55">
        <f>'Messages Dictionary'!I293</f>
        <v>0</v>
      </c>
    </row>
    <row r="286" spans="1:45" ht="28.5" hidden="1" x14ac:dyDescent="0.2">
      <c r="A286" s="65">
        <v>1366</v>
      </c>
      <c r="B286" s="9" t="s">
        <v>154</v>
      </c>
      <c r="C286" s="9" t="s">
        <v>154</v>
      </c>
      <c r="D286" s="9" t="s">
        <v>821</v>
      </c>
      <c r="E286" s="9" t="s">
        <v>27</v>
      </c>
      <c r="F286" s="9" t="s">
        <v>199</v>
      </c>
      <c r="G286" s="9" t="s">
        <v>405</v>
      </c>
      <c r="H286" s="9" t="s">
        <v>426</v>
      </c>
      <c r="I286" s="55">
        <f>'Messages Dictionary'!I294</f>
        <v>0</v>
      </c>
      <c r="J286" s="10">
        <f>'Messages Dictionary'!J294</f>
        <v>1</v>
      </c>
      <c r="K286" s="10">
        <f t="shared" si="4"/>
        <v>0</v>
      </c>
      <c r="L286" s="66"/>
      <c r="M286" s="66"/>
      <c r="N286" s="67"/>
      <c r="O286" s="67"/>
      <c r="P286" s="67"/>
      <c r="Q286" s="67"/>
      <c r="R286" s="67"/>
      <c r="S286" s="67"/>
      <c r="T286" s="67"/>
      <c r="U286" s="67"/>
      <c r="V286" s="67"/>
      <c r="W286" s="67"/>
      <c r="X286" s="67"/>
      <c r="Y286" s="67"/>
      <c r="Z286" s="67"/>
      <c r="AA286" s="67"/>
      <c r="AB286" s="67"/>
      <c r="AC286" s="67"/>
      <c r="AD286" s="67"/>
      <c r="AE286" s="67"/>
      <c r="AF286" s="67"/>
      <c r="AG286" s="67"/>
      <c r="AH286" s="67"/>
      <c r="AI286" s="67"/>
      <c r="AJ286" s="67"/>
      <c r="AK286" s="67"/>
      <c r="AL286" s="67"/>
      <c r="AM286" s="67"/>
      <c r="AN286" s="67"/>
      <c r="AO286" s="67"/>
      <c r="AP286" s="67"/>
      <c r="AQ286" s="67"/>
      <c r="AR286" s="67"/>
      <c r="AS286" s="55">
        <f>'Messages Dictionary'!I294</f>
        <v>0</v>
      </c>
    </row>
    <row r="287" spans="1:45" ht="28.5" hidden="1" x14ac:dyDescent="0.2">
      <c r="A287" s="65">
        <v>1367</v>
      </c>
      <c r="B287" s="9" t="s">
        <v>154</v>
      </c>
      <c r="C287" s="9" t="s">
        <v>154</v>
      </c>
      <c r="D287" s="9" t="s">
        <v>821</v>
      </c>
      <c r="E287" s="9" t="s">
        <v>27</v>
      </c>
      <c r="F287" s="9" t="s">
        <v>199</v>
      </c>
      <c r="G287" s="9" t="s">
        <v>405</v>
      </c>
      <c r="H287" s="9" t="s">
        <v>426</v>
      </c>
      <c r="I287" s="55">
        <f>'Messages Dictionary'!I295</f>
        <v>0</v>
      </c>
      <c r="J287" s="10">
        <f>'Messages Dictionary'!J295</f>
        <v>1</v>
      </c>
      <c r="K287" s="10">
        <f t="shared" si="4"/>
        <v>0</v>
      </c>
      <c r="L287" s="66"/>
      <c r="M287" s="66"/>
      <c r="N287" s="67"/>
      <c r="O287" s="67"/>
      <c r="P287" s="67"/>
      <c r="Q287" s="67"/>
      <c r="R287" s="67"/>
      <c r="S287" s="67"/>
      <c r="T287" s="67"/>
      <c r="U287" s="67"/>
      <c r="V287" s="67"/>
      <c r="W287" s="67"/>
      <c r="X287" s="67"/>
      <c r="Y287" s="67"/>
      <c r="Z287" s="67"/>
      <c r="AA287" s="67"/>
      <c r="AB287" s="67"/>
      <c r="AC287" s="67"/>
      <c r="AD287" s="67"/>
      <c r="AE287" s="67"/>
      <c r="AF287" s="67"/>
      <c r="AG287" s="67"/>
      <c r="AH287" s="67"/>
      <c r="AI287" s="67"/>
      <c r="AJ287" s="67"/>
      <c r="AK287" s="67"/>
      <c r="AL287" s="67"/>
      <c r="AM287" s="67"/>
      <c r="AN287" s="67"/>
      <c r="AO287" s="67"/>
      <c r="AP287" s="67"/>
      <c r="AQ287" s="67"/>
      <c r="AR287" s="67"/>
      <c r="AS287" s="55">
        <f>'Messages Dictionary'!I295</f>
        <v>0</v>
      </c>
    </row>
    <row r="288" spans="1:45" ht="28.5" hidden="1" x14ac:dyDescent="0.2">
      <c r="A288" s="65">
        <v>1368</v>
      </c>
      <c r="B288" s="9" t="s">
        <v>155</v>
      </c>
      <c r="C288" s="9" t="s">
        <v>155</v>
      </c>
      <c r="D288" s="9" t="s">
        <v>821</v>
      </c>
      <c r="E288" s="9" t="s">
        <v>27</v>
      </c>
      <c r="F288" s="9" t="s">
        <v>199</v>
      </c>
      <c r="G288" s="9" t="s">
        <v>412</v>
      </c>
      <c r="H288" s="9" t="s">
        <v>831</v>
      </c>
      <c r="I288" s="55">
        <f>'Messages Dictionary'!I296</f>
        <v>0</v>
      </c>
      <c r="J288" s="10">
        <f>'Messages Dictionary'!J296</f>
        <v>0.5</v>
      </c>
      <c r="K288" s="10">
        <f t="shared" si="4"/>
        <v>0</v>
      </c>
      <c r="L288" s="66"/>
      <c r="M288" s="66"/>
      <c r="N288" s="67"/>
      <c r="O288" s="67"/>
      <c r="P288" s="67"/>
      <c r="Q288" s="67"/>
      <c r="R288" s="67"/>
      <c r="S288" s="67"/>
      <c r="T288" s="67"/>
      <c r="U288" s="67"/>
      <c r="V288" s="67"/>
      <c r="W288" s="67"/>
      <c r="X288" s="67"/>
      <c r="Y288" s="67"/>
      <c r="Z288" s="67"/>
      <c r="AA288" s="67"/>
      <c r="AB288" s="67"/>
      <c r="AC288" s="67"/>
      <c r="AD288" s="67"/>
      <c r="AE288" s="67"/>
      <c r="AF288" s="67"/>
      <c r="AG288" s="67"/>
      <c r="AH288" s="67"/>
      <c r="AI288" s="67"/>
      <c r="AJ288" s="67"/>
      <c r="AK288" s="67"/>
      <c r="AL288" s="67"/>
      <c r="AM288" s="67"/>
      <c r="AN288" s="67"/>
      <c r="AO288" s="67"/>
      <c r="AP288" s="67"/>
      <c r="AQ288" s="67"/>
      <c r="AR288" s="67"/>
      <c r="AS288" s="55">
        <f>'Messages Dictionary'!I296</f>
        <v>0</v>
      </c>
    </row>
    <row r="289" spans="1:45" ht="28.5" hidden="1" x14ac:dyDescent="0.2">
      <c r="A289" s="65">
        <v>1369</v>
      </c>
      <c r="B289" s="9" t="s">
        <v>155</v>
      </c>
      <c r="C289" s="9" t="s">
        <v>155</v>
      </c>
      <c r="D289" s="9" t="s">
        <v>821</v>
      </c>
      <c r="E289" s="9" t="s">
        <v>27</v>
      </c>
      <c r="F289" s="9" t="s">
        <v>199</v>
      </c>
      <c r="G289" s="9" t="s">
        <v>412</v>
      </c>
      <c r="H289" s="9" t="s">
        <v>831</v>
      </c>
      <c r="I289" s="55">
        <f>'Messages Dictionary'!I297</f>
        <v>0</v>
      </c>
      <c r="J289" s="10">
        <f>'Messages Dictionary'!J297</f>
        <v>0.5</v>
      </c>
      <c r="K289" s="10">
        <f t="shared" si="4"/>
        <v>0</v>
      </c>
      <c r="L289" s="66"/>
      <c r="M289" s="66"/>
      <c r="N289" s="67"/>
      <c r="O289" s="67"/>
      <c r="P289" s="67"/>
      <c r="Q289" s="67"/>
      <c r="R289" s="67"/>
      <c r="S289" s="67"/>
      <c r="T289" s="67"/>
      <c r="U289" s="67"/>
      <c r="V289" s="67"/>
      <c r="W289" s="67"/>
      <c r="X289" s="67"/>
      <c r="Y289" s="67"/>
      <c r="Z289" s="67"/>
      <c r="AA289" s="67"/>
      <c r="AB289" s="67"/>
      <c r="AC289" s="67"/>
      <c r="AD289" s="67"/>
      <c r="AE289" s="67"/>
      <c r="AF289" s="67"/>
      <c r="AG289" s="67"/>
      <c r="AH289" s="67"/>
      <c r="AI289" s="67"/>
      <c r="AJ289" s="67"/>
      <c r="AK289" s="67"/>
      <c r="AL289" s="67"/>
      <c r="AM289" s="67"/>
      <c r="AN289" s="67"/>
      <c r="AO289" s="67"/>
      <c r="AP289" s="67"/>
      <c r="AQ289" s="67"/>
      <c r="AR289" s="67"/>
      <c r="AS289" s="55">
        <f>'Messages Dictionary'!I297</f>
        <v>0</v>
      </c>
    </row>
    <row r="290" spans="1:45" ht="28.5" hidden="1" x14ac:dyDescent="0.2">
      <c r="A290" s="65">
        <v>1370</v>
      </c>
      <c r="B290" s="9" t="s">
        <v>155</v>
      </c>
      <c r="C290" s="9" t="s">
        <v>155</v>
      </c>
      <c r="D290" s="9" t="s">
        <v>821</v>
      </c>
      <c r="E290" s="9" t="s">
        <v>27</v>
      </c>
      <c r="F290" s="9" t="s">
        <v>199</v>
      </c>
      <c r="G290" s="9" t="s">
        <v>412</v>
      </c>
      <c r="H290" s="9" t="s">
        <v>831</v>
      </c>
      <c r="I290" s="55">
        <f>'Messages Dictionary'!I298</f>
        <v>0</v>
      </c>
      <c r="J290" s="10">
        <f>'Messages Dictionary'!J298</f>
        <v>0.5</v>
      </c>
      <c r="K290" s="10">
        <f t="shared" si="4"/>
        <v>0</v>
      </c>
      <c r="L290" s="66"/>
      <c r="M290" s="66"/>
      <c r="N290" s="67"/>
      <c r="O290" s="67"/>
      <c r="P290" s="67"/>
      <c r="Q290" s="67"/>
      <c r="R290" s="67"/>
      <c r="S290" s="67"/>
      <c r="T290" s="67"/>
      <c r="U290" s="67"/>
      <c r="V290" s="67"/>
      <c r="W290" s="67"/>
      <c r="X290" s="67"/>
      <c r="Y290" s="67"/>
      <c r="Z290" s="67"/>
      <c r="AA290" s="67"/>
      <c r="AB290" s="67"/>
      <c r="AC290" s="67"/>
      <c r="AD290" s="67"/>
      <c r="AE290" s="67"/>
      <c r="AF290" s="67"/>
      <c r="AG290" s="67"/>
      <c r="AH290" s="67"/>
      <c r="AI290" s="67"/>
      <c r="AJ290" s="67"/>
      <c r="AK290" s="67"/>
      <c r="AL290" s="67"/>
      <c r="AM290" s="67"/>
      <c r="AN290" s="67"/>
      <c r="AO290" s="67"/>
      <c r="AP290" s="67"/>
      <c r="AQ290" s="67"/>
      <c r="AR290" s="67"/>
      <c r="AS290" s="55">
        <f>'Messages Dictionary'!I298</f>
        <v>0</v>
      </c>
    </row>
    <row r="291" spans="1:45" hidden="1" x14ac:dyDescent="0.2">
      <c r="A291" s="65">
        <v>1371</v>
      </c>
      <c r="B291" s="9" t="s">
        <v>156</v>
      </c>
      <c r="C291" s="9" t="s">
        <v>156</v>
      </c>
      <c r="D291" s="9" t="s">
        <v>821</v>
      </c>
      <c r="E291" s="9" t="s">
        <v>27</v>
      </c>
      <c r="F291" s="9" t="s">
        <v>199</v>
      </c>
      <c r="G291" s="9" t="s">
        <v>412</v>
      </c>
      <c r="H291" s="9" t="s">
        <v>831</v>
      </c>
      <c r="I291" s="55">
        <f>'Messages Dictionary'!I299</f>
        <v>0</v>
      </c>
      <c r="J291" s="10">
        <f>'Messages Dictionary'!J299</f>
        <v>0.5</v>
      </c>
      <c r="K291" s="10">
        <f t="shared" si="4"/>
        <v>0</v>
      </c>
      <c r="L291" s="66"/>
      <c r="M291" s="66"/>
      <c r="N291" s="67"/>
      <c r="O291" s="67"/>
      <c r="P291" s="67"/>
      <c r="Q291" s="67"/>
      <c r="R291" s="67"/>
      <c r="S291" s="67"/>
      <c r="T291" s="67"/>
      <c r="U291" s="67"/>
      <c r="V291" s="67"/>
      <c r="W291" s="67"/>
      <c r="X291" s="67"/>
      <c r="Y291" s="67"/>
      <c r="Z291" s="67"/>
      <c r="AA291" s="67"/>
      <c r="AB291" s="67"/>
      <c r="AC291" s="67"/>
      <c r="AD291" s="67"/>
      <c r="AE291" s="67"/>
      <c r="AF291" s="67"/>
      <c r="AG291" s="67"/>
      <c r="AH291" s="67"/>
      <c r="AI291" s="67"/>
      <c r="AJ291" s="67"/>
      <c r="AK291" s="67"/>
      <c r="AL291" s="67"/>
      <c r="AM291" s="67"/>
      <c r="AN291" s="67"/>
      <c r="AO291" s="67"/>
      <c r="AP291" s="67"/>
      <c r="AQ291" s="67"/>
      <c r="AR291" s="67"/>
      <c r="AS291" s="55">
        <f>'Messages Dictionary'!I299</f>
        <v>0</v>
      </c>
    </row>
    <row r="292" spans="1:45" hidden="1" x14ac:dyDescent="0.2">
      <c r="A292" s="65">
        <v>1372</v>
      </c>
      <c r="B292" s="9" t="s">
        <v>156</v>
      </c>
      <c r="C292" s="9" t="s">
        <v>156</v>
      </c>
      <c r="D292" s="9" t="s">
        <v>821</v>
      </c>
      <c r="E292" s="9" t="s">
        <v>27</v>
      </c>
      <c r="F292" s="9" t="s">
        <v>199</v>
      </c>
      <c r="G292" s="9" t="s">
        <v>412</v>
      </c>
      <c r="H292" s="9" t="s">
        <v>831</v>
      </c>
      <c r="I292" s="55">
        <f>'Messages Dictionary'!I300</f>
        <v>0</v>
      </c>
      <c r="J292" s="10">
        <f>'Messages Dictionary'!J300</f>
        <v>0.5</v>
      </c>
      <c r="K292" s="10">
        <f t="shared" si="4"/>
        <v>0</v>
      </c>
      <c r="L292" s="66"/>
      <c r="M292" s="66"/>
      <c r="N292" s="67"/>
      <c r="O292" s="67"/>
      <c r="P292" s="67"/>
      <c r="Q292" s="67"/>
      <c r="R292" s="67"/>
      <c r="S292" s="67"/>
      <c r="T292" s="67"/>
      <c r="U292" s="67"/>
      <c r="V292" s="67"/>
      <c r="W292" s="67"/>
      <c r="X292" s="67"/>
      <c r="Y292" s="67"/>
      <c r="Z292" s="67"/>
      <c r="AA292" s="67"/>
      <c r="AB292" s="67"/>
      <c r="AC292" s="67"/>
      <c r="AD292" s="67"/>
      <c r="AE292" s="67"/>
      <c r="AF292" s="67"/>
      <c r="AG292" s="67"/>
      <c r="AH292" s="67"/>
      <c r="AI292" s="67"/>
      <c r="AJ292" s="67"/>
      <c r="AK292" s="67"/>
      <c r="AL292" s="67"/>
      <c r="AM292" s="67"/>
      <c r="AN292" s="67"/>
      <c r="AO292" s="67"/>
      <c r="AP292" s="67"/>
      <c r="AQ292" s="67"/>
      <c r="AR292" s="67"/>
      <c r="AS292" s="55">
        <f>'Messages Dictionary'!I300</f>
        <v>0</v>
      </c>
    </row>
    <row r="293" spans="1:45" hidden="1" x14ac:dyDescent="0.2">
      <c r="A293" s="65">
        <v>1373</v>
      </c>
      <c r="B293" s="9" t="s">
        <v>156</v>
      </c>
      <c r="C293" s="9" t="s">
        <v>156</v>
      </c>
      <c r="D293" s="9" t="s">
        <v>821</v>
      </c>
      <c r="E293" s="9" t="s">
        <v>27</v>
      </c>
      <c r="F293" s="9" t="s">
        <v>199</v>
      </c>
      <c r="G293" s="9" t="s">
        <v>412</v>
      </c>
      <c r="H293" s="9" t="s">
        <v>831</v>
      </c>
      <c r="I293" s="55">
        <f>'Messages Dictionary'!I301</f>
        <v>0</v>
      </c>
      <c r="J293" s="10">
        <f>'Messages Dictionary'!J301</f>
        <v>0.5</v>
      </c>
      <c r="K293" s="10">
        <f t="shared" si="4"/>
        <v>0</v>
      </c>
      <c r="L293" s="66"/>
      <c r="M293" s="66"/>
      <c r="N293" s="67"/>
      <c r="O293" s="67"/>
      <c r="P293" s="67"/>
      <c r="Q293" s="67"/>
      <c r="R293" s="67"/>
      <c r="S293" s="67"/>
      <c r="T293" s="67"/>
      <c r="U293" s="67"/>
      <c r="V293" s="67"/>
      <c r="W293" s="67"/>
      <c r="X293" s="67"/>
      <c r="Y293" s="67"/>
      <c r="Z293" s="67"/>
      <c r="AA293" s="67"/>
      <c r="AB293" s="67"/>
      <c r="AC293" s="67"/>
      <c r="AD293" s="67"/>
      <c r="AE293" s="67"/>
      <c r="AF293" s="67"/>
      <c r="AG293" s="67"/>
      <c r="AH293" s="67"/>
      <c r="AI293" s="67"/>
      <c r="AJ293" s="67"/>
      <c r="AK293" s="67"/>
      <c r="AL293" s="67"/>
      <c r="AM293" s="67"/>
      <c r="AN293" s="67"/>
      <c r="AO293" s="67"/>
      <c r="AP293" s="67"/>
      <c r="AQ293" s="67"/>
      <c r="AR293" s="67"/>
      <c r="AS293" s="55">
        <f>'Messages Dictionary'!I301</f>
        <v>0</v>
      </c>
    </row>
    <row r="294" spans="1:45" ht="28.5" hidden="1" x14ac:dyDescent="0.2">
      <c r="A294" s="65">
        <v>1374</v>
      </c>
      <c r="B294" s="9" t="s">
        <v>157</v>
      </c>
      <c r="C294" s="9" t="s">
        <v>157</v>
      </c>
      <c r="D294" s="9" t="s">
        <v>821</v>
      </c>
      <c r="E294" s="9" t="s">
        <v>27</v>
      </c>
      <c r="F294" s="9" t="s">
        <v>199</v>
      </c>
      <c r="G294" s="9" t="s">
        <v>412</v>
      </c>
      <c r="H294" s="9" t="s">
        <v>831</v>
      </c>
      <c r="I294" s="55">
        <f>'Messages Dictionary'!I302</f>
        <v>0</v>
      </c>
      <c r="J294" s="10">
        <f>'Messages Dictionary'!J302</f>
        <v>0.5</v>
      </c>
      <c r="K294" s="10">
        <f t="shared" si="4"/>
        <v>0</v>
      </c>
      <c r="L294" s="66"/>
      <c r="M294" s="66"/>
      <c r="N294" s="67"/>
      <c r="O294" s="67"/>
      <c r="P294" s="67"/>
      <c r="Q294" s="67"/>
      <c r="R294" s="67"/>
      <c r="S294" s="67"/>
      <c r="T294" s="67"/>
      <c r="U294" s="67"/>
      <c r="V294" s="67"/>
      <c r="W294" s="67"/>
      <c r="X294" s="67"/>
      <c r="Y294" s="67"/>
      <c r="Z294" s="67"/>
      <c r="AA294" s="67"/>
      <c r="AB294" s="67"/>
      <c r="AC294" s="67"/>
      <c r="AD294" s="67"/>
      <c r="AE294" s="67"/>
      <c r="AF294" s="67"/>
      <c r="AG294" s="67"/>
      <c r="AH294" s="67"/>
      <c r="AI294" s="67"/>
      <c r="AJ294" s="67"/>
      <c r="AK294" s="67"/>
      <c r="AL294" s="67"/>
      <c r="AM294" s="67"/>
      <c r="AN294" s="67"/>
      <c r="AO294" s="67"/>
      <c r="AP294" s="67"/>
      <c r="AQ294" s="67"/>
      <c r="AR294" s="67"/>
      <c r="AS294" s="55">
        <f>'Messages Dictionary'!I302</f>
        <v>0</v>
      </c>
    </row>
    <row r="295" spans="1:45" ht="28.5" hidden="1" x14ac:dyDescent="0.2">
      <c r="A295" s="65">
        <v>1375</v>
      </c>
      <c r="B295" s="9" t="s">
        <v>157</v>
      </c>
      <c r="C295" s="9" t="s">
        <v>157</v>
      </c>
      <c r="D295" s="9" t="s">
        <v>821</v>
      </c>
      <c r="E295" s="9" t="s">
        <v>27</v>
      </c>
      <c r="F295" s="9" t="s">
        <v>199</v>
      </c>
      <c r="G295" s="9" t="s">
        <v>412</v>
      </c>
      <c r="H295" s="9" t="s">
        <v>831</v>
      </c>
      <c r="I295" s="55">
        <f>'Messages Dictionary'!I303</f>
        <v>0</v>
      </c>
      <c r="J295" s="10">
        <f>'Messages Dictionary'!J303</f>
        <v>1</v>
      </c>
      <c r="K295" s="10">
        <f t="shared" si="4"/>
        <v>0</v>
      </c>
      <c r="L295" s="66"/>
      <c r="M295" s="66"/>
      <c r="N295" s="67"/>
      <c r="O295" s="67"/>
      <c r="P295" s="67"/>
      <c r="Q295" s="67"/>
      <c r="R295" s="67"/>
      <c r="S295" s="67"/>
      <c r="T295" s="67"/>
      <c r="U295" s="67"/>
      <c r="V295" s="67"/>
      <c r="W295" s="67"/>
      <c r="X295" s="67"/>
      <c r="Y295" s="67"/>
      <c r="Z295" s="67"/>
      <c r="AA295" s="67"/>
      <c r="AB295" s="67"/>
      <c r="AC295" s="67"/>
      <c r="AD295" s="67"/>
      <c r="AE295" s="67"/>
      <c r="AF295" s="67"/>
      <c r="AG295" s="67"/>
      <c r="AH295" s="67"/>
      <c r="AI295" s="67"/>
      <c r="AJ295" s="67"/>
      <c r="AK295" s="67"/>
      <c r="AL295" s="67"/>
      <c r="AM295" s="67"/>
      <c r="AN295" s="67"/>
      <c r="AO295" s="67"/>
      <c r="AP295" s="67"/>
      <c r="AQ295" s="67"/>
      <c r="AR295" s="67"/>
      <c r="AS295" s="55">
        <f>'Messages Dictionary'!I303</f>
        <v>0</v>
      </c>
    </row>
    <row r="296" spans="1:45" ht="28.5" hidden="1" x14ac:dyDescent="0.2">
      <c r="A296" s="65">
        <v>1376</v>
      </c>
      <c r="B296" s="9" t="s">
        <v>157</v>
      </c>
      <c r="C296" s="9" t="s">
        <v>157</v>
      </c>
      <c r="D296" s="9" t="s">
        <v>821</v>
      </c>
      <c r="E296" s="9" t="s">
        <v>27</v>
      </c>
      <c r="F296" s="9" t="s">
        <v>199</v>
      </c>
      <c r="G296" s="9" t="s">
        <v>412</v>
      </c>
      <c r="H296" s="9" t="s">
        <v>831</v>
      </c>
      <c r="I296" s="55">
        <f>'Messages Dictionary'!I304</f>
        <v>0</v>
      </c>
      <c r="J296" s="10">
        <f>'Messages Dictionary'!J304</f>
        <v>1</v>
      </c>
      <c r="K296" s="10">
        <f t="shared" si="4"/>
        <v>0</v>
      </c>
      <c r="L296" s="66"/>
      <c r="M296" s="66"/>
      <c r="N296" s="67"/>
      <c r="O296" s="67"/>
      <c r="P296" s="67"/>
      <c r="Q296" s="67"/>
      <c r="R296" s="67"/>
      <c r="S296" s="67"/>
      <c r="T296" s="67"/>
      <c r="U296" s="67"/>
      <c r="V296" s="67"/>
      <c r="W296" s="67"/>
      <c r="X296" s="67"/>
      <c r="Y296" s="67"/>
      <c r="Z296" s="67"/>
      <c r="AA296" s="67"/>
      <c r="AB296" s="67"/>
      <c r="AC296" s="67"/>
      <c r="AD296" s="67"/>
      <c r="AE296" s="67"/>
      <c r="AF296" s="67"/>
      <c r="AG296" s="67"/>
      <c r="AH296" s="67"/>
      <c r="AI296" s="67"/>
      <c r="AJ296" s="67"/>
      <c r="AK296" s="67"/>
      <c r="AL296" s="67"/>
      <c r="AM296" s="67"/>
      <c r="AN296" s="67"/>
      <c r="AO296" s="67"/>
      <c r="AP296" s="67"/>
      <c r="AQ296" s="67"/>
      <c r="AR296" s="67"/>
      <c r="AS296" s="55">
        <f>'Messages Dictionary'!I304</f>
        <v>0</v>
      </c>
    </row>
    <row r="297" spans="1:45" ht="28.5" hidden="1" x14ac:dyDescent="0.2">
      <c r="A297" s="65">
        <v>1377</v>
      </c>
      <c r="B297" s="9" t="s">
        <v>158</v>
      </c>
      <c r="C297" s="9" t="s">
        <v>158</v>
      </c>
      <c r="D297" s="9" t="s">
        <v>821</v>
      </c>
      <c r="E297" s="9" t="s">
        <v>27</v>
      </c>
      <c r="F297" s="9" t="s">
        <v>199</v>
      </c>
      <c r="G297" s="9" t="s">
        <v>412</v>
      </c>
      <c r="H297" s="9" t="s">
        <v>831</v>
      </c>
      <c r="I297" s="55">
        <f>'Messages Dictionary'!I305</f>
        <v>0</v>
      </c>
      <c r="J297" s="10">
        <f>'Messages Dictionary'!J305</f>
        <v>0.5</v>
      </c>
      <c r="K297" s="10">
        <f t="shared" si="4"/>
        <v>0</v>
      </c>
      <c r="L297" s="66"/>
      <c r="M297" s="66"/>
      <c r="N297" s="67"/>
      <c r="O297" s="67"/>
      <c r="P297" s="67"/>
      <c r="Q297" s="67"/>
      <c r="R297" s="67"/>
      <c r="S297" s="67"/>
      <c r="T297" s="67"/>
      <c r="U297" s="67"/>
      <c r="V297" s="67"/>
      <c r="W297" s="67"/>
      <c r="X297" s="67"/>
      <c r="Y297" s="67"/>
      <c r="Z297" s="67"/>
      <c r="AA297" s="67"/>
      <c r="AB297" s="67"/>
      <c r="AC297" s="67"/>
      <c r="AD297" s="67"/>
      <c r="AE297" s="67"/>
      <c r="AF297" s="67"/>
      <c r="AG297" s="67"/>
      <c r="AH297" s="67"/>
      <c r="AI297" s="67"/>
      <c r="AJ297" s="67"/>
      <c r="AK297" s="67"/>
      <c r="AL297" s="67"/>
      <c r="AM297" s="67"/>
      <c r="AN297" s="67"/>
      <c r="AO297" s="67"/>
      <c r="AP297" s="67"/>
      <c r="AQ297" s="67"/>
      <c r="AR297" s="67"/>
      <c r="AS297" s="55">
        <f>'Messages Dictionary'!I305</f>
        <v>0</v>
      </c>
    </row>
    <row r="298" spans="1:45" ht="28.5" hidden="1" x14ac:dyDescent="0.2">
      <c r="A298" s="65">
        <v>1378</v>
      </c>
      <c r="B298" s="9" t="s">
        <v>158</v>
      </c>
      <c r="C298" s="9" t="s">
        <v>158</v>
      </c>
      <c r="D298" s="9" t="s">
        <v>821</v>
      </c>
      <c r="E298" s="9" t="s">
        <v>27</v>
      </c>
      <c r="F298" s="9" t="s">
        <v>199</v>
      </c>
      <c r="G298" s="9" t="s">
        <v>412</v>
      </c>
      <c r="H298" s="9" t="s">
        <v>831</v>
      </c>
      <c r="I298" s="55">
        <f>'Messages Dictionary'!I306</f>
        <v>0</v>
      </c>
      <c r="J298" s="10">
        <f>'Messages Dictionary'!J306</f>
        <v>0.5</v>
      </c>
      <c r="K298" s="10">
        <f t="shared" si="4"/>
        <v>0</v>
      </c>
      <c r="L298" s="66"/>
      <c r="M298" s="66"/>
      <c r="N298" s="67"/>
      <c r="O298" s="67"/>
      <c r="P298" s="67"/>
      <c r="Q298" s="67"/>
      <c r="R298" s="67"/>
      <c r="S298" s="67"/>
      <c r="T298" s="67"/>
      <c r="U298" s="67"/>
      <c r="V298" s="67"/>
      <c r="W298" s="67"/>
      <c r="X298" s="67"/>
      <c r="Y298" s="67"/>
      <c r="Z298" s="67"/>
      <c r="AA298" s="67"/>
      <c r="AB298" s="67"/>
      <c r="AC298" s="67"/>
      <c r="AD298" s="67"/>
      <c r="AE298" s="67"/>
      <c r="AF298" s="67"/>
      <c r="AG298" s="67"/>
      <c r="AH298" s="67"/>
      <c r="AI298" s="67"/>
      <c r="AJ298" s="67"/>
      <c r="AK298" s="67"/>
      <c r="AL298" s="67"/>
      <c r="AM298" s="67"/>
      <c r="AN298" s="67"/>
      <c r="AO298" s="67"/>
      <c r="AP298" s="67"/>
      <c r="AQ298" s="67"/>
      <c r="AR298" s="67"/>
      <c r="AS298" s="55">
        <f>'Messages Dictionary'!I306</f>
        <v>0</v>
      </c>
    </row>
    <row r="299" spans="1:45" ht="28.5" hidden="1" x14ac:dyDescent="0.2">
      <c r="A299" s="65">
        <v>1379</v>
      </c>
      <c r="B299" s="9" t="s">
        <v>158</v>
      </c>
      <c r="C299" s="9" t="s">
        <v>158</v>
      </c>
      <c r="D299" s="9" t="s">
        <v>821</v>
      </c>
      <c r="E299" s="9" t="s">
        <v>27</v>
      </c>
      <c r="F299" s="9" t="s">
        <v>199</v>
      </c>
      <c r="G299" s="9" t="s">
        <v>412</v>
      </c>
      <c r="H299" s="9" t="s">
        <v>831</v>
      </c>
      <c r="I299" s="55">
        <f>'Messages Dictionary'!I307</f>
        <v>0</v>
      </c>
      <c r="J299" s="10">
        <f>'Messages Dictionary'!J307</f>
        <v>0.5</v>
      </c>
      <c r="K299" s="10">
        <f t="shared" si="4"/>
        <v>0</v>
      </c>
      <c r="L299" s="66"/>
      <c r="M299" s="66"/>
      <c r="N299" s="67"/>
      <c r="O299" s="67"/>
      <c r="P299" s="67"/>
      <c r="Q299" s="67"/>
      <c r="R299" s="67"/>
      <c r="S299" s="67"/>
      <c r="T299" s="67"/>
      <c r="U299" s="67"/>
      <c r="V299" s="67"/>
      <c r="W299" s="67"/>
      <c r="X299" s="67"/>
      <c r="Y299" s="67"/>
      <c r="Z299" s="67"/>
      <c r="AA299" s="67"/>
      <c r="AB299" s="67"/>
      <c r="AC299" s="67"/>
      <c r="AD299" s="67"/>
      <c r="AE299" s="67"/>
      <c r="AF299" s="67"/>
      <c r="AG299" s="67"/>
      <c r="AH299" s="67"/>
      <c r="AI299" s="67"/>
      <c r="AJ299" s="67"/>
      <c r="AK299" s="67"/>
      <c r="AL299" s="67"/>
      <c r="AM299" s="67"/>
      <c r="AN299" s="67"/>
      <c r="AO299" s="67"/>
      <c r="AP299" s="67"/>
      <c r="AQ299" s="67"/>
      <c r="AR299" s="67"/>
      <c r="AS299" s="55">
        <f>'Messages Dictionary'!I307</f>
        <v>0</v>
      </c>
    </row>
    <row r="300" spans="1:45" ht="28.5" hidden="1" x14ac:dyDescent="0.2">
      <c r="A300" s="65">
        <v>1380</v>
      </c>
      <c r="B300" s="9" t="s">
        <v>159</v>
      </c>
      <c r="C300" s="9" t="s">
        <v>159</v>
      </c>
      <c r="D300" s="9" t="s">
        <v>821</v>
      </c>
      <c r="E300" s="9" t="s">
        <v>27</v>
      </c>
      <c r="F300" s="9" t="s">
        <v>199</v>
      </c>
      <c r="G300" s="9" t="s">
        <v>412</v>
      </c>
      <c r="H300" s="9" t="s">
        <v>831</v>
      </c>
      <c r="I300" s="55">
        <f>'Messages Dictionary'!I308</f>
        <v>0</v>
      </c>
      <c r="J300" s="10">
        <f>'Messages Dictionary'!J308</f>
        <v>0.5</v>
      </c>
      <c r="K300" s="10">
        <f t="shared" si="4"/>
        <v>0</v>
      </c>
      <c r="L300" s="66"/>
      <c r="M300" s="66"/>
      <c r="N300" s="67"/>
      <c r="O300" s="67"/>
      <c r="P300" s="67"/>
      <c r="Q300" s="67"/>
      <c r="R300" s="67"/>
      <c r="S300" s="67"/>
      <c r="T300" s="67"/>
      <c r="U300" s="67"/>
      <c r="V300" s="67"/>
      <c r="W300" s="67"/>
      <c r="X300" s="67"/>
      <c r="Y300" s="67"/>
      <c r="Z300" s="67"/>
      <c r="AA300" s="67"/>
      <c r="AB300" s="67"/>
      <c r="AC300" s="67"/>
      <c r="AD300" s="67"/>
      <c r="AE300" s="67"/>
      <c r="AF300" s="67"/>
      <c r="AG300" s="67"/>
      <c r="AH300" s="67"/>
      <c r="AI300" s="67"/>
      <c r="AJ300" s="67"/>
      <c r="AK300" s="67"/>
      <c r="AL300" s="67"/>
      <c r="AM300" s="67"/>
      <c r="AN300" s="67"/>
      <c r="AO300" s="67"/>
      <c r="AP300" s="67"/>
      <c r="AQ300" s="67"/>
      <c r="AR300" s="67"/>
      <c r="AS300" s="55">
        <f>'Messages Dictionary'!I308</f>
        <v>0</v>
      </c>
    </row>
    <row r="301" spans="1:45" ht="42.75" hidden="1" x14ac:dyDescent="0.2">
      <c r="A301" s="65">
        <v>1381</v>
      </c>
      <c r="B301" s="9" t="s">
        <v>160</v>
      </c>
      <c r="C301" s="9" t="s">
        <v>160</v>
      </c>
      <c r="D301" s="9" t="s">
        <v>821</v>
      </c>
      <c r="E301" s="9" t="s">
        <v>27</v>
      </c>
      <c r="F301" s="9" t="s">
        <v>199</v>
      </c>
      <c r="G301" s="9" t="s">
        <v>412</v>
      </c>
      <c r="H301" s="9" t="s">
        <v>831</v>
      </c>
      <c r="I301" s="55">
        <f>'Messages Dictionary'!I309</f>
        <v>0</v>
      </c>
      <c r="J301" s="10">
        <f>'Messages Dictionary'!J309</f>
        <v>0.5</v>
      </c>
      <c r="K301" s="10">
        <f t="shared" si="4"/>
        <v>0</v>
      </c>
      <c r="L301" s="66"/>
      <c r="M301" s="66"/>
      <c r="N301" s="67"/>
      <c r="O301" s="67"/>
      <c r="P301" s="67"/>
      <c r="Q301" s="67"/>
      <c r="R301" s="67"/>
      <c r="S301" s="67"/>
      <c r="T301" s="67"/>
      <c r="U301" s="67"/>
      <c r="V301" s="67"/>
      <c r="W301" s="67"/>
      <c r="X301" s="67"/>
      <c r="Y301" s="67"/>
      <c r="Z301" s="67"/>
      <c r="AA301" s="67"/>
      <c r="AB301" s="67"/>
      <c r="AC301" s="67"/>
      <c r="AD301" s="67"/>
      <c r="AE301" s="67"/>
      <c r="AF301" s="67"/>
      <c r="AG301" s="67"/>
      <c r="AH301" s="67"/>
      <c r="AI301" s="67"/>
      <c r="AJ301" s="67"/>
      <c r="AK301" s="67"/>
      <c r="AL301" s="67"/>
      <c r="AM301" s="67"/>
      <c r="AN301" s="67"/>
      <c r="AO301" s="67"/>
      <c r="AP301" s="67"/>
      <c r="AQ301" s="67"/>
      <c r="AR301" s="67"/>
      <c r="AS301" s="55">
        <f>'Messages Dictionary'!I309</f>
        <v>0</v>
      </c>
    </row>
    <row r="302" spans="1:45" ht="28.5" hidden="1" x14ac:dyDescent="0.2">
      <c r="A302" s="65">
        <v>1382</v>
      </c>
      <c r="B302" s="9" t="s">
        <v>161</v>
      </c>
      <c r="C302" s="9" t="s">
        <v>161</v>
      </c>
      <c r="D302" s="9" t="s">
        <v>121</v>
      </c>
      <c r="E302" s="9" t="s">
        <v>837</v>
      </c>
      <c r="F302" s="9" t="s">
        <v>199</v>
      </c>
      <c r="G302" s="9" t="s">
        <v>412</v>
      </c>
      <c r="H302" s="9" t="s">
        <v>831</v>
      </c>
      <c r="I302" s="55">
        <f>'Messages Dictionary'!I310</f>
        <v>0</v>
      </c>
      <c r="J302" s="10">
        <f>'Messages Dictionary'!J310</f>
        <v>0.5</v>
      </c>
      <c r="K302" s="10">
        <f t="shared" si="4"/>
        <v>0</v>
      </c>
      <c r="L302" s="66"/>
      <c r="M302" s="66"/>
      <c r="N302" s="67"/>
      <c r="O302" s="67"/>
      <c r="P302" s="67"/>
      <c r="Q302" s="67"/>
      <c r="R302" s="67"/>
      <c r="S302" s="67"/>
      <c r="T302" s="67"/>
      <c r="U302" s="67"/>
      <c r="V302" s="67"/>
      <c r="W302" s="67"/>
      <c r="X302" s="67"/>
      <c r="Y302" s="67"/>
      <c r="Z302" s="67"/>
      <c r="AA302" s="67"/>
      <c r="AB302" s="67"/>
      <c r="AC302" s="67"/>
      <c r="AD302" s="67"/>
      <c r="AE302" s="67"/>
      <c r="AF302" s="67"/>
      <c r="AG302" s="67"/>
      <c r="AH302" s="67"/>
      <c r="AI302" s="67"/>
      <c r="AJ302" s="67"/>
      <c r="AK302" s="67"/>
      <c r="AL302" s="67"/>
      <c r="AM302" s="67"/>
      <c r="AN302" s="67"/>
      <c r="AO302" s="67"/>
      <c r="AP302" s="67"/>
      <c r="AQ302" s="67"/>
      <c r="AR302" s="67"/>
      <c r="AS302" s="55">
        <f>'Messages Dictionary'!I310</f>
        <v>0</v>
      </c>
    </row>
    <row r="303" spans="1:45" ht="28.5" hidden="1" x14ac:dyDescent="0.2">
      <c r="A303" s="65">
        <v>1383</v>
      </c>
      <c r="B303" s="9" t="s">
        <v>162</v>
      </c>
      <c r="C303" s="9" t="s">
        <v>162</v>
      </c>
      <c r="D303" s="9" t="s">
        <v>821</v>
      </c>
      <c r="E303" s="9" t="s">
        <v>27</v>
      </c>
      <c r="F303" s="9" t="s">
        <v>199</v>
      </c>
      <c r="G303" s="9" t="s">
        <v>412</v>
      </c>
      <c r="H303" s="9" t="s">
        <v>831</v>
      </c>
      <c r="I303" s="55">
        <f>'Messages Dictionary'!I311</f>
        <v>0</v>
      </c>
      <c r="J303" s="10">
        <f>'Messages Dictionary'!J311</f>
        <v>0.5</v>
      </c>
      <c r="K303" s="10">
        <f t="shared" si="4"/>
        <v>0</v>
      </c>
      <c r="L303" s="66"/>
      <c r="M303" s="66"/>
      <c r="N303" s="67"/>
      <c r="O303" s="67"/>
      <c r="P303" s="67"/>
      <c r="Q303" s="67"/>
      <c r="R303" s="67"/>
      <c r="S303" s="67"/>
      <c r="T303" s="67"/>
      <c r="U303" s="67"/>
      <c r="V303" s="67"/>
      <c r="W303" s="67"/>
      <c r="X303" s="67"/>
      <c r="Y303" s="67"/>
      <c r="Z303" s="67"/>
      <c r="AA303" s="67"/>
      <c r="AB303" s="67"/>
      <c r="AC303" s="67"/>
      <c r="AD303" s="67"/>
      <c r="AE303" s="67"/>
      <c r="AF303" s="67"/>
      <c r="AG303" s="67"/>
      <c r="AH303" s="67"/>
      <c r="AI303" s="67"/>
      <c r="AJ303" s="67"/>
      <c r="AK303" s="67"/>
      <c r="AL303" s="67"/>
      <c r="AM303" s="67"/>
      <c r="AN303" s="67"/>
      <c r="AO303" s="67"/>
      <c r="AP303" s="67"/>
      <c r="AQ303" s="67"/>
      <c r="AR303" s="67"/>
      <c r="AS303" s="55">
        <f>'Messages Dictionary'!I311</f>
        <v>0</v>
      </c>
    </row>
    <row r="304" spans="1:45" hidden="1" x14ac:dyDescent="0.2">
      <c r="A304" s="65">
        <v>1384</v>
      </c>
      <c r="B304" s="9" t="s">
        <v>163</v>
      </c>
      <c r="C304" s="9" t="s">
        <v>163</v>
      </c>
      <c r="D304" s="9" t="s">
        <v>821</v>
      </c>
      <c r="E304" s="9" t="s">
        <v>27</v>
      </c>
      <c r="F304" s="9" t="s">
        <v>199</v>
      </c>
      <c r="G304" s="9" t="s">
        <v>412</v>
      </c>
      <c r="H304" s="9" t="s">
        <v>831</v>
      </c>
      <c r="I304" s="55">
        <f>'Messages Dictionary'!I312</f>
        <v>0</v>
      </c>
      <c r="J304" s="10">
        <f>'Messages Dictionary'!J312</f>
        <v>0.5</v>
      </c>
      <c r="K304" s="10">
        <f t="shared" si="4"/>
        <v>0</v>
      </c>
      <c r="L304" s="66"/>
      <c r="M304" s="66"/>
      <c r="N304" s="67"/>
      <c r="O304" s="67"/>
      <c r="P304" s="67"/>
      <c r="Q304" s="67"/>
      <c r="R304" s="67"/>
      <c r="S304" s="67"/>
      <c r="T304" s="67"/>
      <c r="U304" s="67"/>
      <c r="V304" s="67"/>
      <c r="W304" s="67"/>
      <c r="X304" s="67"/>
      <c r="Y304" s="67"/>
      <c r="Z304" s="67"/>
      <c r="AA304" s="67"/>
      <c r="AB304" s="67"/>
      <c r="AC304" s="67"/>
      <c r="AD304" s="67"/>
      <c r="AE304" s="67"/>
      <c r="AF304" s="67"/>
      <c r="AG304" s="67"/>
      <c r="AH304" s="67"/>
      <c r="AI304" s="67"/>
      <c r="AJ304" s="67"/>
      <c r="AK304" s="67"/>
      <c r="AL304" s="67"/>
      <c r="AM304" s="67"/>
      <c r="AN304" s="67"/>
      <c r="AO304" s="67"/>
      <c r="AP304" s="67"/>
      <c r="AQ304" s="67"/>
      <c r="AR304" s="67"/>
      <c r="AS304" s="55">
        <f>'Messages Dictionary'!I312</f>
        <v>0</v>
      </c>
    </row>
    <row r="305" spans="1:45" hidden="1" x14ac:dyDescent="0.2">
      <c r="A305" s="65">
        <v>1385</v>
      </c>
      <c r="B305" s="9" t="s">
        <v>164</v>
      </c>
      <c r="C305" s="9" t="s">
        <v>164</v>
      </c>
      <c r="D305" s="9" t="s">
        <v>821</v>
      </c>
      <c r="E305" s="9" t="s">
        <v>825</v>
      </c>
      <c r="F305" s="9" t="s">
        <v>199</v>
      </c>
      <c r="G305" s="9" t="s">
        <v>412</v>
      </c>
      <c r="H305" s="9" t="s">
        <v>831</v>
      </c>
      <c r="I305" s="55">
        <f>'Messages Dictionary'!I313</f>
        <v>0</v>
      </c>
      <c r="J305" s="10">
        <f>'Messages Dictionary'!J313</f>
        <v>0.5</v>
      </c>
      <c r="K305" s="10">
        <f t="shared" si="4"/>
        <v>0</v>
      </c>
      <c r="L305" s="66"/>
      <c r="M305" s="66"/>
      <c r="N305" s="67"/>
      <c r="O305" s="67"/>
      <c r="P305" s="67"/>
      <c r="Q305" s="67"/>
      <c r="R305" s="67"/>
      <c r="S305" s="67"/>
      <c r="T305" s="67"/>
      <c r="U305" s="67"/>
      <c r="V305" s="67"/>
      <c r="W305" s="67"/>
      <c r="X305" s="67"/>
      <c r="Y305" s="67"/>
      <c r="Z305" s="67"/>
      <c r="AA305" s="67"/>
      <c r="AB305" s="67"/>
      <c r="AC305" s="67"/>
      <c r="AD305" s="67"/>
      <c r="AE305" s="67"/>
      <c r="AF305" s="67"/>
      <c r="AG305" s="67"/>
      <c r="AH305" s="67"/>
      <c r="AI305" s="67"/>
      <c r="AJ305" s="67"/>
      <c r="AK305" s="67"/>
      <c r="AL305" s="67"/>
      <c r="AM305" s="67"/>
      <c r="AN305" s="67"/>
      <c r="AO305" s="67"/>
      <c r="AP305" s="67"/>
      <c r="AQ305" s="67"/>
      <c r="AR305" s="67"/>
      <c r="AS305" s="55">
        <f>'Messages Dictionary'!I313</f>
        <v>0</v>
      </c>
    </row>
    <row r="306" spans="1:45" hidden="1" x14ac:dyDescent="0.2">
      <c r="A306" s="65">
        <v>1386</v>
      </c>
      <c r="B306" s="9" t="s">
        <v>164</v>
      </c>
      <c r="C306" s="9" t="s">
        <v>164</v>
      </c>
      <c r="D306" s="9" t="s">
        <v>821</v>
      </c>
      <c r="E306" s="9" t="s">
        <v>825</v>
      </c>
      <c r="F306" s="9" t="s">
        <v>199</v>
      </c>
      <c r="G306" s="9" t="s">
        <v>412</v>
      </c>
      <c r="H306" s="9" t="s">
        <v>831</v>
      </c>
      <c r="I306" s="55">
        <f>'Messages Dictionary'!I314</f>
        <v>0</v>
      </c>
      <c r="J306" s="10">
        <f>'Messages Dictionary'!J314</f>
        <v>0.5</v>
      </c>
      <c r="K306" s="10">
        <f t="shared" si="4"/>
        <v>0</v>
      </c>
      <c r="L306" s="66"/>
      <c r="M306" s="66"/>
      <c r="N306" s="67"/>
      <c r="O306" s="67"/>
      <c r="P306" s="67"/>
      <c r="Q306" s="67"/>
      <c r="R306" s="67"/>
      <c r="S306" s="67"/>
      <c r="T306" s="67"/>
      <c r="U306" s="67"/>
      <c r="V306" s="67"/>
      <c r="W306" s="67"/>
      <c r="X306" s="67"/>
      <c r="Y306" s="67"/>
      <c r="Z306" s="67"/>
      <c r="AA306" s="67"/>
      <c r="AB306" s="67"/>
      <c r="AC306" s="67"/>
      <c r="AD306" s="67"/>
      <c r="AE306" s="67"/>
      <c r="AF306" s="67"/>
      <c r="AG306" s="67"/>
      <c r="AH306" s="67"/>
      <c r="AI306" s="67"/>
      <c r="AJ306" s="67"/>
      <c r="AK306" s="67"/>
      <c r="AL306" s="67"/>
      <c r="AM306" s="67"/>
      <c r="AN306" s="67"/>
      <c r="AO306" s="67"/>
      <c r="AP306" s="67"/>
      <c r="AQ306" s="67"/>
      <c r="AR306" s="67"/>
      <c r="AS306" s="55">
        <f>'Messages Dictionary'!I314</f>
        <v>0</v>
      </c>
    </row>
    <row r="307" spans="1:45" ht="28.5" hidden="1" x14ac:dyDescent="0.2">
      <c r="A307" s="65">
        <v>1387</v>
      </c>
      <c r="B307" s="9" t="s">
        <v>165</v>
      </c>
      <c r="C307" s="9" t="s">
        <v>165</v>
      </c>
      <c r="D307" s="9" t="s">
        <v>821</v>
      </c>
      <c r="E307" s="9" t="s">
        <v>825</v>
      </c>
      <c r="F307" s="9" t="s">
        <v>199</v>
      </c>
      <c r="G307" s="9" t="s">
        <v>412</v>
      </c>
      <c r="H307" s="9" t="s">
        <v>831</v>
      </c>
      <c r="I307" s="55">
        <f>'Messages Dictionary'!I315</f>
        <v>0</v>
      </c>
      <c r="J307" s="10">
        <f>'Messages Dictionary'!J315</f>
        <v>0.5</v>
      </c>
      <c r="K307" s="10">
        <f t="shared" si="4"/>
        <v>0</v>
      </c>
      <c r="L307" s="66"/>
      <c r="M307" s="66"/>
      <c r="N307" s="67"/>
      <c r="O307" s="67"/>
      <c r="P307" s="67"/>
      <c r="Q307" s="67"/>
      <c r="R307" s="67"/>
      <c r="S307" s="67"/>
      <c r="T307" s="67"/>
      <c r="U307" s="67"/>
      <c r="V307" s="67"/>
      <c r="W307" s="67"/>
      <c r="X307" s="67"/>
      <c r="Y307" s="67"/>
      <c r="Z307" s="67"/>
      <c r="AA307" s="67"/>
      <c r="AB307" s="67"/>
      <c r="AC307" s="67"/>
      <c r="AD307" s="67"/>
      <c r="AE307" s="67"/>
      <c r="AF307" s="67"/>
      <c r="AG307" s="67"/>
      <c r="AH307" s="67"/>
      <c r="AI307" s="67"/>
      <c r="AJ307" s="67"/>
      <c r="AK307" s="67"/>
      <c r="AL307" s="67"/>
      <c r="AM307" s="67"/>
      <c r="AN307" s="67"/>
      <c r="AO307" s="67"/>
      <c r="AP307" s="67"/>
      <c r="AQ307" s="67"/>
      <c r="AR307" s="67"/>
      <c r="AS307" s="55">
        <f>'Messages Dictionary'!I315</f>
        <v>0</v>
      </c>
    </row>
    <row r="308" spans="1:45" hidden="1" x14ac:dyDescent="0.2">
      <c r="A308" s="65">
        <v>1388</v>
      </c>
      <c r="B308" s="9" t="s">
        <v>166</v>
      </c>
      <c r="C308" s="9" t="s">
        <v>166</v>
      </c>
      <c r="D308" s="9" t="s">
        <v>821</v>
      </c>
      <c r="E308" s="9" t="s">
        <v>825</v>
      </c>
      <c r="F308" s="9" t="s">
        <v>199</v>
      </c>
      <c r="G308" s="9" t="s">
        <v>412</v>
      </c>
      <c r="H308" s="9" t="s">
        <v>831</v>
      </c>
      <c r="I308" s="55">
        <f>'Messages Dictionary'!I316</f>
        <v>0</v>
      </c>
      <c r="J308" s="10">
        <f>'Messages Dictionary'!J316</f>
        <v>0.5</v>
      </c>
      <c r="K308" s="10">
        <f t="shared" si="4"/>
        <v>0</v>
      </c>
      <c r="L308" s="66"/>
      <c r="M308" s="66"/>
      <c r="N308" s="67"/>
      <c r="O308" s="67"/>
      <c r="P308" s="67"/>
      <c r="Q308" s="67"/>
      <c r="R308" s="67"/>
      <c r="S308" s="67"/>
      <c r="T308" s="67"/>
      <c r="U308" s="67"/>
      <c r="V308" s="67"/>
      <c r="W308" s="67"/>
      <c r="X308" s="67"/>
      <c r="Y308" s="67"/>
      <c r="Z308" s="67"/>
      <c r="AA308" s="67"/>
      <c r="AB308" s="67"/>
      <c r="AC308" s="67"/>
      <c r="AD308" s="67"/>
      <c r="AE308" s="67"/>
      <c r="AF308" s="67"/>
      <c r="AG308" s="67"/>
      <c r="AH308" s="67"/>
      <c r="AI308" s="67"/>
      <c r="AJ308" s="67"/>
      <c r="AK308" s="67"/>
      <c r="AL308" s="67"/>
      <c r="AM308" s="67"/>
      <c r="AN308" s="67"/>
      <c r="AO308" s="67"/>
      <c r="AP308" s="67"/>
      <c r="AQ308" s="67"/>
      <c r="AR308" s="67"/>
      <c r="AS308" s="55">
        <f>'Messages Dictionary'!I316</f>
        <v>0</v>
      </c>
    </row>
    <row r="309" spans="1:45" ht="28.5" hidden="1" x14ac:dyDescent="0.2">
      <c r="A309" s="65">
        <v>1389</v>
      </c>
      <c r="B309" s="9" t="s">
        <v>167</v>
      </c>
      <c r="C309" s="9" t="s">
        <v>167</v>
      </c>
      <c r="D309" s="9" t="s">
        <v>821</v>
      </c>
      <c r="E309" s="9" t="s">
        <v>825</v>
      </c>
      <c r="F309" s="9" t="s">
        <v>199</v>
      </c>
      <c r="G309" s="9" t="s">
        <v>412</v>
      </c>
      <c r="H309" s="9" t="s">
        <v>831</v>
      </c>
      <c r="I309" s="55">
        <f>'Messages Dictionary'!I317</f>
        <v>0</v>
      </c>
      <c r="J309" s="10">
        <f>'Messages Dictionary'!J317</f>
        <v>0.5</v>
      </c>
      <c r="K309" s="10">
        <f t="shared" si="4"/>
        <v>0</v>
      </c>
      <c r="L309" s="66"/>
      <c r="M309" s="66"/>
      <c r="N309" s="67"/>
      <c r="O309" s="67"/>
      <c r="P309" s="67"/>
      <c r="Q309" s="67"/>
      <c r="R309" s="67"/>
      <c r="S309" s="67"/>
      <c r="T309" s="67"/>
      <c r="U309" s="67"/>
      <c r="V309" s="67"/>
      <c r="W309" s="67"/>
      <c r="X309" s="67"/>
      <c r="Y309" s="67"/>
      <c r="Z309" s="67"/>
      <c r="AA309" s="67"/>
      <c r="AB309" s="67"/>
      <c r="AC309" s="67"/>
      <c r="AD309" s="67"/>
      <c r="AE309" s="67"/>
      <c r="AF309" s="67"/>
      <c r="AG309" s="67"/>
      <c r="AH309" s="67"/>
      <c r="AI309" s="67"/>
      <c r="AJ309" s="67"/>
      <c r="AK309" s="67"/>
      <c r="AL309" s="67"/>
      <c r="AM309" s="67"/>
      <c r="AN309" s="67"/>
      <c r="AO309" s="67"/>
      <c r="AP309" s="67"/>
      <c r="AQ309" s="67"/>
      <c r="AR309" s="67"/>
      <c r="AS309" s="55">
        <f>'Messages Dictionary'!I317</f>
        <v>0</v>
      </c>
    </row>
    <row r="310" spans="1:45" ht="28.5" hidden="1" x14ac:dyDescent="0.2">
      <c r="A310" s="65">
        <v>1390</v>
      </c>
      <c r="B310" s="9" t="s">
        <v>168</v>
      </c>
      <c r="C310" s="9" t="s">
        <v>168</v>
      </c>
      <c r="D310" s="9" t="s">
        <v>821</v>
      </c>
      <c r="E310" s="9" t="s">
        <v>825</v>
      </c>
      <c r="F310" s="9" t="s">
        <v>199</v>
      </c>
      <c r="G310" s="9" t="s">
        <v>412</v>
      </c>
      <c r="H310" s="9" t="s">
        <v>831</v>
      </c>
      <c r="I310" s="55">
        <f>'Messages Dictionary'!I318</f>
        <v>0</v>
      </c>
      <c r="J310" s="10">
        <f>'Messages Dictionary'!J318</f>
        <v>0.5</v>
      </c>
      <c r="K310" s="10">
        <f t="shared" si="4"/>
        <v>0</v>
      </c>
      <c r="L310" s="66"/>
      <c r="M310" s="66"/>
      <c r="N310" s="67"/>
      <c r="O310" s="67"/>
      <c r="P310" s="67"/>
      <c r="Q310" s="67"/>
      <c r="R310" s="67"/>
      <c r="S310" s="67"/>
      <c r="T310" s="67"/>
      <c r="U310" s="67"/>
      <c r="V310" s="67"/>
      <c r="W310" s="67"/>
      <c r="X310" s="67"/>
      <c r="Y310" s="67"/>
      <c r="Z310" s="67"/>
      <c r="AA310" s="67"/>
      <c r="AB310" s="67"/>
      <c r="AC310" s="67"/>
      <c r="AD310" s="67"/>
      <c r="AE310" s="67"/>
      <c r="AF310" s="67"/>
      <c r="AG310" s="67"/>
      <c r="AH310" s="67"/>
      <c r="AI310" s="67"/>
      <c r="AJ310" s="67"/>
      <c r="AK310" s="67"/>
      <c r="AL310" s="67"/>
      <c r="AM310" s="67"/>
      <c r="AN310" s="67"/>
      <c r="AO310" s="67"/>
      <c r="AP310" s="67"/>
      <c r="AQ310" s="67"/>
      <c r="AR310" s="67"/>
      <c r="AS310" s="55">
        <f>'Messages Dictionary'!I318</f>
        <v>0</v>
      </c>
    </row>
    <row r="311" spans="1:45" hidden="1" x14ac:dyDescent="0.2">
      <c r="A311" s="65">
        <v>1391</v>
      </c>
      <c r="B311" s="9" t="s">
        <v>169</v>
      </c>
      <c r="C311" s="9" t="s">
        <v>169</v>
      </c>
      <c r="D311" s="9" t="s">
        <v>821</v>
      </c>
      <c r="E311" s="9" t="s">
        <v>825</v>
      </c>
      <c r="F311" s="9" t="s">
        <v>199</v>
      </c>
      <c r="G311" s="9" t="s">
        <v>412</v>
      </c>
      <c r="H311" s="9" t="s">
        <v>831</v>
      </c>
      <c r="I311" s="55">
        <f>'Messages Dictionary'!I319</f>
        <v>0</v>
      </c>
      <c r="J311" s="10">
        <f>'Messages Dictionary'!J319</f>
        <v>0.5</v>
      </c>
      <c r="K311" s="10">
        <f t="shared" si="4"/>
        <v>0</v>
      </c>
      <c r="L311" s="66"/>
      <c r="M311" s="66"/>
      <c r="N311" s="67"/>
      <c r="O311" s="67"/>
      <c r="P311" s="67"/>
      <c r="Q311" s="67"/>
      <c r="R311" s="67"/>
      <c r="S311" s="67"/>
      <c r="T311" s="67"/>
      <c r="U311" s="67"/>
      <c r="V311" s="67"/>
      <c r="W311" s="67"/>
      <c r="X311" s="67"/>
      <c r="Y311" s="67"/>
      <c r="Z311" s="67"/>
      <c r="AA311" s="67"/>
      <c r="AB311" s="67"/>
      <c r="AC311" s="67"/>
      <c r="AD311" s="67"/>
      <c r="AE311" s="67"/>
      <c r="AF311" s="67"/>
      <c r="AG311" s="67"/>
      <c r="AH311" s="67"/>
      <c r="AI311" s="67"/>
      <c r="AJ311" s="67"/>
      <c r="AK311" s="67"/>
      <c r="AL311" s="67"/>
      <c r="AM311" s="67"/>
      <c r="AN311" s="67"/>
      <c r="AO311" s="67"/>
      <c r="AP311" s="67"/>
      <c r="AQ311" s="67"/>
      <c r="AR311" s="67"/>
      <c r="AS311" s="55">
        <f>'Messages Dictionary'!I319</f>
        <v>0</v>
      </c>
    </row>
    <row r="312" spans="1:45" hidden="1" x14ac:dyDescent="0.2">
      <c r="A312" s="65">
        <v>1392</v>
      </c>
      <c r="B312" s="9" t="s">
        <v>170</v>
      </c>
      <c r="C312" s="9" t="s">
        <v>170</v>
      </c>
      <c r="D312" s="9" t="s">
        <v>821</v>
      </c>
      <c r="E312" s="9" t="s">
        <v>825</v>
      </c>
      <c r="F312" s="9" t="s">
        <v>199</v>
      </c>
      <c r="G312" s="9" t="s">
        <v>412</v>
      </c>
      <c r="H312" s="9" t="s">
        <v>831</v>
      </c>
      <c r="I312" s="55">
        <f>'Messages Dictionary'!I320</f>
        <v>0</v>
      </c>
      <c r="J312" s="10">
        <f>'Messages Dictionary'!J320</f>
        <v>1</v>
      </c>
      <c r="K312" s="10">
        <f t="shared" si="4"/>
        <v>0</v>
      </c>
      <c r="L312" s="66"/>
      <c r="M312" s="66"/>
      <c r="N312" s="67"/>
      <c r="O312" s="67"/>
      <c r="P312" s="67"/>
      <c r="Q312" s="67"/>
      <c r="R312" s="67"/>
      <c r="S312" s="67"/>
      <c r="T312" s="67"/>
      <c r="U312" s="67"/>
      <c r="V312" s="67"/>
      <c r="W312" s="67"/>
      <c r="X312" s="67"/>
      <c r="Y312" s="67"/>
      <c r="Z312" s="67"/>
      <c r="AA312" s="67"/>
      <c r="AB312" s="67"/>
      <c r="AC312" s="67"/>
      <c r="AD312" s="67"/>
      <c r="AE312" s="67"/>
      <c r="AF312" s="67"/>
      <c r="AG312" s="67"/>
      <c r="AH312" s="67"/>
      <c r="AI312" s="67"/>
      <c r="AJ312" s="67"/>
      <c r="AK312" s="67"/>
      <c r="AL312" s="67"/>
      <c r="AM312" s="67"/>
      <c r="AN312" s="67"/>
      <c r="AO312" s="67"/>
      <c r="AP312" s="67"/>
      <c r="AQ312" s="67"/>
      <c r="AR312" s="67"/>
      <c r="AS312" s="55">
        <f>'Messages Dictionary'!I320</f>
        <v>0</v>
      </c>
    </row>
    <row r="313" spans="1:45" hidden="1" x14ac:dyDescent="0.2">
      <c r="A313" s="65">
        <v>1393</v>
      </c>
      <c r="B313" s="9" t="s">
        <v>171</v>
      </c>
      <c r="C313" s="9" t="s">
        <v>171</v>
      </c>
      <c r="D313" s="9" t="s">
        <v>821</v>
      </c>
      <c r="E313" s="9" t="s">
        <v>825</v>
      </c>
      <c r="F313" s="9" t="s">
        <v>199</v>
      </c>
      <c r="G313" s="9" t="s">
        <v>412</v>
      </c>
      <c r="H313" s="9" t="s">
        <v>831</v>
      </c>
      <c r="I313" s="55">
        <f>'Messages Dictionary'!I321</f>
        <v>0</v>
      </c>
      <c r="J313" s="10">
        <f>'Messages Dictionary'!J321</f>
        <v>0.5</v>
      </c>
      <c r="K313" s="10">
        <f t="shared" si="4"/>
        <v>0</v>
      </c>
      <c r="L313" s="66"/>
      <c r="M313" s="66"/>
      <c r="N313" s="67"/>
      <c r="O313" s="67"/>
      <c r="P313" s="67"/>
      <c r="Q313" s="67"/>
      <c r="R313" s="67"/>
      <c r="S313" s="67"/>
      <c r="T313" s="67"/>
      <c r="U313" s="67"/>
      <c r="V313" s="67"/>
      <c r="W313" s="67"/>
      <c r="X313" s="67"/>
      <c r="Y313" s="67"/>
      <c r="Z313" s="67"/>
      <c r="AA313" s="67"/>
      <c r="AB313" s="67"/>
      <c r="AC313" s="67"/>
      <c r="AD313" s="67"/>
      <c r="AE313" s="67"/>
      <c r="AF313" s="67"/>
      <c r="AG313" s="67"/>
      <c r="AH313" s="67"/>
      <c r="AI313" s="67"/>
      <c r="AJ313" s="67"/>
      <c r="AK313" s="67"/>
      <c r="AL313" s="67"/>
      <c r="AM313" s="67"/>
      <c r="AN313" s="67"/>
      <c r="AO313" s="67"/>
      <c r="AP313" s="67"/>
      <c r="AQ313" s="67"/>
      <c r="AR313" s="67"/>
      <c r="AS313" s="55">
        <f>'Messages Dictionary'!I321</f>
        <v>0</v>
      </c>
    </row>
    <row r="314" spans="1:45" hidden="1" x14ac:dyDescent="0.2">
      <c r="A314" s="65">
        <v>1394</v>
      </c>
      <c r="B314" s="9" t="s">
        <v>172</v>
      </c>
      <c r="C314" s="9" t="s">
        <v>172</v>
      </c>
      <c r="D314" s="9" t="s">
        <v>821</v>
      </c>
      <c r="E314" s="9" t="s">
        <v>825</v>
      </c>
      <c r="F314" s="9" t="s">
        <v>199</v>
      </c>
      <c r="G314" s="9" t="s">
        <v>412</v>
      </c>
      <c r="H314" s="9" t="s">
        <v>831</v>
      </c>
      <c r="I314" s="55">
        <f>'Messages Dictionary'!I322</f>
        <v>0</v>
      </c>
      <c r="J314" s="10">
        <f>'Messages Dictionary'!J322</f>
        <v>0.5</v>
      </c>
      <c r="K314" s="10">
        <f t="shared" si="4"/>
        <v>0</v>
      </c>
      <c r="L314" s="66"/>
      <c r="M314" s="66"/>
      <c r="N314" s="67"/>
      <c r="O314" s="67"/>
      <c r="P314" s="67"/>
      <c r="Q314" s="67"/>
      <c r="R314" s="67"/>
      <c r="S314" s="67"/>
      <c r="T314" s="67"/>
      <c r="U314" s="67"/>
      <c r="V314" s="67"/>
      <c r="W314" s="67"/>
      <c r="X314" s="67"/>
      <c r="Y314" s="67"/>
      <c r="Z314" s="67"/>
      <c r="AA314" s="67"/>
      <c r="AB314" s="67"/>
      <c r="AC314" s="67"/>
      <c r="AD314" s="67"/>
      <c r="AE314" s="67"/>
      <c r="AF314" s="67"/>
      <c r="AG314" s="67"/>
      <c r="AH314" s="67"/>
      <c r="AI314" s="67"/>
      <c r="AJ314" s="67"/>
      <c r="AK314" s="67"/>
      <c r="AL314" s="67"/>
      <c r="AM314" s="67"/>
      <c r="AN314" s="67"/>
      <c r="AO314" s="67"/>
      <c r="AP314" s="67"/>
      <c r="AQ314" s="67"/>
      <c r="AR314" s="67"/>
      <c r="AS314" s="55">
        <f>'Messages Dictionary'!I322</f>
        <v>0</v>
      </c>
    </row>
    <row r="315" spans="1:45" ht="28.5" hidden="1" x14ac:dyDescent="0.2">
      <c r="A315" s="65">
        <v>1395</v>
      </c>
      <c r="B315" s="9" t="s">
        <v>173</v>
      </c>
      <c r="C315" s="9" t="s">
        <v>173</v>
      </c>
      <c r="D315" s="9" t="s">
        <v>821</v>
      </c>
      <c r="E315" s="9" t="s">
        <v>825</v>
      </c>
      <c r="F315" s="9" t="s">
        <v>199</v>
      </c>
      <c r="G315" s="9" t="s">
        <v>412</v>
      </c>
      <c r="H315" s="9" t="s">
        <v>831</v>
      </c>
      <c r="I315" s="55">
        <f>'Messages Dictionary'!I323</f>
        <v>0</v>
      </c>
      <c r="J315" s="10">
        <f>'Messages Dictionary'!J323</f>
        <v>0.5</v>
      </c>
      <c r="K315" s="10">
        <f t="shared" si="4"/>
        <v>0</v>
      </c>
      <c r="L315" s="66"/>
      <c r="M315" s="66"/>
      <c r="N315" s="67"/>
      <c r="O315" s="67"/>
      <c r="P315" s="67"/>
      <c r="Q315" s="67"/>
      <c r="R315" s="67"/>
      <c r="S315" s="67"/>
      <c r="T315" s="67"/>
      <c r="U315" s="67"/>
      <c r="V315" s="67"/>
      <c r="W315" s="67"/>
      <c r="X315" s="67"/>
      <c r="Y315" s="67"/>
      <c r="Z315" s="67"/>
      <c r="AA315" s="67"/>
      <c r="AB315" s="67"/>
      <c r="AC315" s="67"/>
      <c r="AD315" s="67"/>
      <c r="AE315" s="67"/>
      <c r="AF315" s="67"/>
      <c r="AG315" s="67"/>
      <c r="AH315" s="67"/>
      <c r="AI315" s="67"/>
      <c r="AJ315" s="67"/>
      <c r="AK315" s="67"/>
      <c r="AL315" s="67"/>
      <c r="AM315" s="67"/>
      <c r="AN315" s="67"/>
      <c r="AO315" s="67"/>
      <c r="AP315" s="67"/>
      <c r="AQ315" s="67"/>
      <c r="AR315" s="67"/>
      <c r="AS315" s="55">
        <f>'Messages Dictionary'!I323</f>
        <v>0</v>
      </c>
    </row>
    <row r="316" spans="1:45" ht="28.5" hidden="1" x14ac:dyDescent="0.2">
      <c r="A316" s="65">
        <v>1396</v>
      </c>
      <c r="B316" s="9" t="s">
        <v>174</v>
      </c>
      <c r="C316" s="9" t="s">
        <v>174</v>
      </c>
      <c r="D316" s="9" t="s">
        <v>821</v>
      </c>
      <c r="E316" s="9" t="s">
        <v>825</v>
      </c>
      <c r="F316" s="9" t="s">
        <v>199</v>
      </c>
      <c r="G316" s="9" t="s">
        <v>412</v>
      </c>
      <c r="H316" s="9" t="s">
        <v>831</v>
      </c>
      <c r="I316" s="55">
        <f>'Messages Dictionary'!I324</f>
        <v>0</v>
      </c>
      <c r="J316" s="10">
        <f>'Messages Dictionary'!J324</f>
        <v>0.5</v>
      </c>
      <c r="K316" s="10">
        <f t="shared" si="4"/>
        <v>0</v>
      </c>
      <c r="L316" s="66"/>
      <c r="M316" s="66"/>
      <c r="N316" s="67"/>
      <c r="O316" s="67"/>
      <c r="P316" s="67"/>
      <c r="Q316" s="67"/>
      <c r="R316" s="67"/>
      <c r="S316" s="67"/>
      <c r="T316" s="67"/>
      <c r="U316" s="67"/>
      <c r="V316" s="67"/>
      <c r="W316" s="67"/>
      <c r="X316" s="67"/>
      <c r="Y316" s="67"/>
      <c r="Z316" s="67"/>
      <c r="AA316" s="67"/>
      <c r="AB316" s="67"/>
      <c r="AC316" s="67"/>
      <c r="AD316" s="67"/>
      <c r="AE316" s="67"/>
      <c r="AF316" s="67"/>
      <c r="AG316" s="67"/>
      <c r="AH316" s="67"/>
      <c r="AI316" s="67"/>
      <c r="AJ316" s="67"/>
      <c r="AK316" s="67"/>
      <c r="AL316" s="67"/>
      <c r="AM316" s="67"/>
      <c r="AN316" s="67"/>
      <c r="AO316" s="67"/>
      <c r="AP316" s="67"/>
      <c r="AQ316" s="67"/>
      <c r="AR316" s="67"/>
      <c r="AS316" s="55">
        <f>'Messages Dictionary'!I324</f>
        <v>0</v>
      </c>
    </row>
    <row r="317" spans="1:45" hidden="1" x14ac:dyDescent="0.2">
      <c r="A317" s="65">
        <v>1397</v>
      </c>
      <c r="B317" s="9" t="s">
        <v>175</v>
      </c>
      <c r="C317" s="9" t="s">
        <v>175</v>
      </c>
      <c r="D317" s="9" t="s">
        <v>821</v>
      </c>
      <c r="E317" s="9" t="s">
        <v>825</v>
      </c>
      <c r="F317" s="9" t="s">
        <v>199</v>
      </c>
      <c r="G317" s="9" t="s">
        <v>412</v>
      </c>
      <c r="H317" s="9" t="s">
        <v>831</v>
      </c>
      <c r="I317" s="55">
        <f>'Messages Dictionary'!I325</f>
        <v>0</v>
      </c>
      <c r="J317" s="10">
        <f>'Messages Dictionary'!J325</f>
        <v>0.5</v>
      </c>
      <c r="K317" s="10">
        <f t="shared" si="4"/>
        <v>0</v>
      </c>
      <c r="L317" s="66"/>
      <c r="M317" s="66"/>
      <c r="N317" s="67"/>
      <c r="O317" s="67"/>
      <c r="P317" s="67"/>
      <c r="Q317" s="67"/>
      <c r="R317" s="67"/>
      <c r="S317" s="67"/>
      <c r="T317" s="67"/>
      <c r="U317" s="67"/>
      <c r="V317" s="67"/>
      <c r="W317" s="67"/>
      <c r="X317" s="67"/>
      <c r="Y317" s="67"/>
      <c r="Z317" s="67"/>
      <c r="AA317" s="67"/>
      <c r="AB317" s="67"/>
      <c r="AC317" s="67"/>
      <c r="AD317" s="67"/>
      <c r="AE317" s="67"/>
      <c r="AF317" s="67"/>
      <c r="AG317" s="67"/>
      <c r="AH317" s="67"/>
      <c r="AI317" s="67"/>
      <c r="AJ317" s="67"/>
      <c r="AK317" s="67"/>
      <c r="AL317" s="67"/>
      <c r="AM317" s="67"/>
      <c r="AN317" s="67"/>
      <c r="AO317" s="67"/>
      <c r="AP317" s="67"/>
      <c r="AQ317" s="67"/>
      <c r="AR317" s="67"/>
      <c r="AS317" s="55">
        <f>'Messages Dictionary'!I325</f>
        <v>0</v>
      </c>
    </row>
    <row r="318" spans="1:45" hidden="1" x14ac:dyDescent="0.2">
      <c r="A318" s="65">
        <v>1398</v>
      </c>
      <c r="B318" s="9" t="s">
        <v>176</v>
      </c>
      <c r="C318" s="9" t="s">
        <v>176</v>
      </c>
      <c r="D318" s="9" t="s">
        <v>821</v>
      </c>
      <c r="E318" s="9" t="s">
        <v>27</v>
      </c>
      <c r="F318" s="9" t="s">
        <v>199</v>
      </c>
      <c r="G318" s="9" t="s">
        <v>412</v>
      </c>
      <c r="H318" s="9" t="s">
        <v>831</v>
      </c>
      <c r="I318" s="55">
        <f>'Messages Dictionary'!I326</f>
        <v>0</v>
      </c>
      <c r="J318" s="10">
        <f>'Messages Dictionary'!J326</f>
        <v>0.5</v>
      </c>
      <c r="K318" s="10">
        <f t="shared" si="4"/>
        <v>0</v>
      </c>
      <c r="L318" s="66"/>
      <c r="M318" s="66"/>
      <c r="N318" s="67"/>
      <c r="O318" s="67"/>
      <c r="P318" s="67"/>
      <c r="Q318" s="67"/>
      <c r="R318" s="67"/>
      <c r="S318" s="67"/>
      <c r="T318" s="67"/>
      <c r="U318" s="67"/>
      <c r="V318" s="67"/>
      <c r="W318" s="67"/>
      <c r="X318" s="67"/>
      <c r="Y318" s="67"/>
      <c r="Z318" s="67"/>
      <c r="AA318" s="67"/>
      <c r="AB318" s="67"/>
      <c r="AC318" s="67"/>
      <c r="AD318" s="67"/>
      <c r="AE318" s="67"/>
      <c r="AF318" s="67"/>
      <c r="AG318" s="67"/>
      <c r="AH318" s="67"/>
      <c r="AI318" s="67"/>
      <c r="AJ318" s="67"/>
      <c r="AK318" s="67"/>
      <c r="AL318" s="67"/>
      <c r="AM318" s="67"/>
      <c r="AN318" s="67"/>
      <c r="AO318" s="67"/>
      <c r="AP318" s="67"/>
      <c r="AQ318" s="67"/>
      <c r="AR318" s="67"/>
      <c r="AS318" s="55">
        <f>'Messages Dictionary'!I326</f>
        <v>0</v>
      </c>
    </row>
    <row r="319" spans="1:45" hidden="1" x14ac:dyDescent="0.2">
      <c r="A319" s="65">
        <v>1399</v>
      </c>
      <c r="B319" s="9" t="s">
        <v>176</v>
      </c>
      <c r="C319" s="9" t="s">
        <v>176</v>
      </c>
      <c r="D319" s="9" t="s">
        <v>821</v>
      </c>
      <c r="E319" s="9" t="s">
        <v>27</v>
      </c>
      <c r="F319" s="9" t="s">
        <v>199</v>
      </c>
      <c r="G319" s="9" t="s">
        <v>412</v>
      </c>
      <c r="H319" s="9" t="s">
        <v>831</v>
      </c>
      <c r="I319" s="55">
        <f>'Messages Dictionary'!I327</f>
        <v>0</v>
      </c>
      <c r="J319" s="10">
        <f>'Messages Dictionary'!J327</f>
        <v>0.5</v>
      </c>
      <c r="K319" s="10">
        <f t="shared" si="4"/>
        <v>0</v>
      </c>
      <c r="L319" s="66"/>
      <c r="M319" s="66"/>
      <c r="N319" s="67"/>
      <c r="O319" s="67"/>
      <c r="P319" s="67"/>
      <c r="Q319" s="67"/>
      <c r="R319" s="67"/>
      <c r="S319" s="67"/>
      <c r="T319" s="67"/>
      <c r="U319" s="67"/>
      <c r="V319" s="67"/>
      <c r="W319" s="67"/>
      <c r="X319" s="67"/>
      <c r="Y319" s="67"/>
      <c r="Z319" s="67"/>
      <c r="AA319" s="67"/>
      <c r="AB319" s="67"/>
      <c r="AC319" s="67"/>
      <c r="AD319" s="67"/>
      <c r="AE319" s="67"/>
      <c r="AF319" s="67"/>
      <c r="AG319" s="67"/>
      <c r="AH319" s="67"/>
      <c r="AI319" s="67"/>
      <c r="AJ319" s="67"/>
      <c r="AK319" s="67"/>
      <c r="AL319" s="67"/>
      <c r="AM319" s="67"/>
      <c r="AN319" s="67"/>
      <c r="AO319" s="67"/>
      <c r="AP319" s="67"/>
      <c r="AQ319" s="67"/>
      <c r="AR319" s="67"/>
      <c r="AS319" s="55">
        <f>'Messages Dictionary'!I327</f>
        <v>0</v>
      </c>
    </row>
    <row r="320" spans="1:45" hidden="1" x14ac:dyDescent="0.2">
      <c r="A320" s="65">
        <v>1400</v>
      </c>
      <c r="B320" s="9" t="s">
        <v>176</v>
      </c>
      <c r="C320" s="9" t="s">
        <v>176</v>
      </c>
      <c r="D320" s="9" t="s">
        <v>821</v>
      </c>
      <c r="E320" s="9" t="s">
        <v>27</v>
      </c>
      <c r="F320" s="9" t="s">
        <v>199</v>
      </c>
      <c r="G320" s="9" t="s">
        <v>412</v>
      </c>
      <c r="H320" s="9" t="s">
        <v>831</v>
      </c>
      <c r="I320" s="55">
        <f>'Messages Dictionary'!I328</f>
        <v>0</v>
      </c>
      <c r="J320" s="10">
        <f>'Messages Dictionary'!J328</f>
        <v>0.5</v>
      </c>
      <c r="K320" s="10">
        <f t="shared" si="4"/>
        <v>0</v>
      </c>
      <c r="L320" s="66"/>
      <c r="M320" s="66"/>
      <c r="N320" s="67"/>
      <c r="O320" s="67"/>
      <c r="P320" s="67"/>
      <c r="Q320" s="67"/>
      <c r="R320" s="67"/>
      <c r="S320" s="67"/>
      <c r="T320" s="67"/>
      <c r="U320" s="67"/>
      <c r="V320" s="67"/>
      <c r="W320" s="67"/>
      <c r="X320" s="67"/>
      <c r="Y320" s="67"/>
      <c r="Z320" s="67"/>
      <c r="AA320" s="67"/>
      <c r="AB320" s="67"/>
      <c r="AC320" s="67"/>
      <c r="AD320" s="67"/>
      <c r="AE320" s="67"/>
      <c r="AF320" s="67"/>
      <c r="AG320" s="67"/>
      <c r="AH320" s="67"/>
      <c r="AI320" s="67"/>
      <c r="AJ320" s="67"/>
      <c r="AK320" s="67"/>
      <c r="AL320" s="67"/>
      <c r="AM320" s="67"/>
      <c r="AN320" s="67"/>
      <c r="AO320" s="67"/>
      <c r="AP320" s="67"/>
      <c r="AQ320" s="67"/>
      <c r="AR320" s="67"/>
      <c r="AS320" s="55">
        <f>'Messages Dictionary'!I328</f>
        <v>0</v>
      </c>
    </row>
    <row r="321" spans="1:45" hidden="1" x14ac:dyDescent="0.2">
      <c r="A321" s="65">
        <v>1401</v>
      </c>
      <c r="B321" s="9" t="s">
        <v>176</v>
      </c>
      <c r="C321" s="9" t="s">
        <v>176</v>
      </c>
      <c r="D321" s="9" t="s">
        <v>821</v>
      </c>
      <c r="E321" s="9" t="s">
        <v>27</v>
      </c>
      <c r="F321" s="9" t="s">
        <v>199</v>
      </c>
      <c r="G321" s="9" t="s">
        <v>412</v>
      </c>
      <c r="H321" s="9" t="s">
        <v>831</v>
      </c>
      <c r="I321" s="55">
        <f>'Messages Dictionary'!I329</f>
        <v>0</v>
      </c>
      <c r="J321" s="10">
        <f>'Messages Dictionary'!J329</f>
        <v>0.5</v>
      </c>
      <c r="K321" s="10">
        <f t="shared" si="4"/>
        <v>0</v>
      </c>
      <c r="L321" s="66"/>
      <c r="M321" s="66"/>
      <c r="N321" s="67"/>
      <c r="O321" s="67"/>
      <c r="P321" s="67"/>
      <c r="Q321" s="67"/>
      <c r="R321" s="67"/>
      <c r="S321" s="67"/>
      <c r="T321" s="67"/>
      <c r="U321" s="67"/>
      <c r="V321" s="67"/>
      <c r="W321" s="67"/>
      <c r="X321" s="67"/>
      <c r="Y321" s="67"/>
      <c r="Z321" s="67"/>
      <c r="AA321" s="67"/>
      <c r="AB321" s="67"/>
      <c r="AC321" s="67"/>
      <c r="AD321" s="67"/>
      <c r="AE321" s="67"/>
      <c r="AF321" s="67"/>
      <c r="AG321" s="67"/>
      <c r="AH321" s="67"/>
      <c r="AI321" s="67"/>
      <c r="AJ321" s="67"/>
      <c r="AK321" s="67"/>
      <c r="AL321" s="67"/>
      <c r="AM321" s="67"/>
      <c r="AN321" s="67"/>
      <c r="AO321" s="67"/>
      <c r="AP321" s="67"/>
      <c r="AQ321" s="67"/>
      <c r="AR321" s="67"/>
      <c r="AS321" s="55">
        <f>'Messages Dictionary'!I329</f>
        <v>0</v>
      </c>
    </row>
    <row r="322" spans="1:45" hidden="1" x14ac:dyDescent="0.2">
      <c r="A322" s="65">
        <v>1402</v>
      </c>
      <c r="B322" s="9" t="s">
        <v>176</v>
      </c>
      <c r="C322" s="9" t="s">
        <v>176</v>
      </c>
      <c r="D322" s="9" t="s">
        <v>821</v>
      </c>
      <c r="E322" s="9" t="s">
        <v>27</v>
      </c>
      <c r="F322" s="9" t="s">
        <v>199</v>
      </c>
      <c r="G322" s="9" t="s">
        <v>412</v>
      </c>
      <c r="H322" s="9" t="s">
        <v>831</v>
      </c>
      <c r="I322" s="55">
        <f>'Messages Dictionary'!I330</f>
        <v>0</v>
      </c>
      <c r="J322" s="10">
        <f>'Messages Dictionary'!J330</f>
        <v>0.5</v>
      </c>
      <c r="K322" s="10">
        <f t="shared" ref="K322:K385" si="5">I322*J322</f>
        <v>0</v>
      </c>
      <c r="L322" s="66"/>
      <c r="M322" s="66"/>
      <c r="N322" s="67"/>
      <c r="O322" s="67"/>
      <c r="P322" s="67"/>
      <c r="Q322" s="67"/>
      <c r="R322" s="67"/>
      <c r="S322" s="67"/>
      <c r="T322" s="67"/>
      <c r="U322" s="67"/>
      <c r="V322" s="67"/>
      <c r="W322" s="67"/>
      <c r="X322" s="67"/>
      <c r="Y322" s="67"/>
      <c r="Z322" s="67"/>
      <c r="AA322" s="67"/>
      <c r="AB322" s="67"/>
      <c r="AC322" s="67"/>
      <c r="AD322" s="67"/>
      <c r="AE322" s="67"/>
      <c r="AF322" s="67"/>
      <c r="AG322" s="67"/>
      <c r="AH322" s="67"/>
      <c r="AI322" s="67"/>
      <c r="AJ322" s="67"/>
      <c r="AK322" s="67"/>
      <c r="AL322" s="67"/>
      <c r="AM322" s="67"/>
      <c r="AN322" s="67"/>
      <c r="AO322" s="67"/>
      <c r="AP322" s="67"/>
      <c r="AQ322" s="67"/>
      <c r="AR322" s="67"/>
      <c r="AS322" s="55">
        <f>'Messages Dictionary'!I330</f>
        <v>0</v>
      </c>
    </row>
    <row r="323" spans="1:45" hidden="1" x14ac:dyDescent="0.2">
      <c r="A323" s="65">
        <v>1403</v>
      </c>
      <c r="B323" s="9" t="s">
        <v>176</v>
      </c>
      <c r="C323" s="9" t="s">
        <v>176</v>
      </c>
      <c r="D323" s="9" t="s">
        <v>821</v>
      </c>
      <c r="E323" s="9" t="s">
        <v>27</v>
      </c>
      <c r="F323" s="9" t="s">
        <v>199</v>
      </c>
      <c r="G323" s="9" t="s">
        <v>412</v>
      </c>
      <c r="H323" s="9" t="s">
        <v>831</v>
      </c>
      <c r="I323" s="55">
        <f>'Messages Dictionary'!I331</f>
        <v>0</v>
      </c>
      <c r="J323" s="10">
        <f>'Messages Dictionary'!J331</f>
        <v>0.5</v>
      </c>
      <c r="K323" s="10">
        <f t="shared" si="5"/>
        <v>0</v>
      </c>
      <c r="L323" s="66"/>
      <c r="M323" s="66"/>
      <c r="N323" s="67"/>
      <c r="O323" s="67"/>
      <c r="P323" s="67"/>
      <c r="Q323" s="67"/>
      <c r="R323" s="67"/>
      <c r="S323" s="67"/>
      <c r="T323" s="67"/>
      <c r="U323" s="67"/>
      <c r="V323" s="67"/>
      <c r="W323" s="67"/>
      <c r="X323" s="67"/>
      <c r="Y323" s="67"/>
      <c r="Z323" s="67"/>
      <c r="AA323" s="67"/>
      <c r="AB323" s="67"/>
      <c r="AC323" s="67"/>
      <c r="AD323" s="67"/>
      <c r="AE323" s="67"/>
      <c r="AF323" s="67"/>
      <c r="AG323" s="67"/>
      <c r="AH323" s="67"/>
      <c r="AI323" s="67"/>
      <c r="AJ323" s="67"/>
      <c r="AK323" s="67"/>
      <c r="AL323" s="67"/>
      <c r="AM323" s="67"/>
      <c r="AN323" s="67"/>
      <c r="AO323" s="67"/>
      <c r="AP323" s="67"/>
      <c r="AQ323" s="67"/>
      <c r="AR323" s="67"/>
      <c r="AS323" s="55">
        <f>'Messages Dictionary'!I331</f>
        <v>0</v>
      </c>
    </row>
    <row r="324" spans="1:45" hidden="1" x14ac:dyDescent="0.2">
      <c r="A324" s="65">
        <v>1404</v>
      </c>
      <c r="B324" s="9" t="s">
        <v>176</v>
      </c>
      <c r="C324" s="9" t="s">
        <v>176</v>
      </c>
      <c r="D324" s="9" t="s">
        <v>821</v>
      </c>
      <c r="E324" s="9" t="s">
        <v>27</v>
      </c>
      <c r="F324" s="9" t="s">
        <v>199</v>
      </c>
      <c r="G324" s="9" t="s">
        <v>412</v>
      </c>
      <c r="H324" s="9" t="s">
        <v>831</v>
      </c>
      <c r="I324" s="55">
        <f>'Messages Dictionary'!I332</f>
        <v>0</v>
      </c>
      <c r="J324" s="10">
        <f>'Messages Dictionary'!J332</f>
        <v>0.5</v>
      </c>
      <c r="K324" s="10">
        <f t="shared" si="5"/>
        <v>0</v>
      </c>
      <c r="L324" s="66"/>
      <c r="M324" s="66"/>
      <c r="N324" s="67"/>
      <c r="O324" s="67"/>
      <c r="P324" s="67"/>
      <c r="Q324" s="67"/>
      <c r="R324" s="67"/>
      <c r="S324" s="67"/>
      <c r="T324" s="67"/>
      <c r="U324" s="67"/>
      <c r="V324" s="67"/>
      <c r="W324" s="67"/>
      <c r="X324" s="67"/>
      <c r="Y324" s="67"/>
      <c r="Z324" s="67"/>
      <c r="AA324" s="67"/>
      <c r="AB324" s="67"/>
      <c r="AC324" s="67"/>
      <c r="AD324" s="67"/>
      <c r="AE324" s="67"/>
      <c r="AF324" s="67"/>
      <c r="AG324" s="67"/>
      <c r="AH324" s="67"/>
      <c r="AI324" s="67"/>
      <c r="AJ324" s="67"/>
      <c r="AK324" s="67"/>
      <c r="AL324" s="67"/>
      <c r="AM324" s="67"/>
      <c r="AN324" s="67"/>
      <c r="AO324" s="67"/>
      <c r="AP324" s="67"/>
      <c r="AQ324" s="67"/>
      <c r="AR324" s="67"/>
      <c r="AS324" s="55">
        <f>'Messages Dictionary'!I332</f>
        <v>0</v>
      </c>
    </row>
    <row r="325" spans="1:45" hidden="1" x14ac:dyDescent="0.2">
      <c r="A325" s="65">
        <v>1405</v>
      </c>
      <c r="B325" s="9" t="s">
        <v>176</v>
      </c>
      <c r="C325" s="9" t="s">
        <v>176</v>
      </c>
      <c r="D325" s="9" t="s">
        <v>821</v>
      </c>
      <c r="E325" s="9" t="s">
        <v>27</v>
      </c>
      <c r="F325" s="9" t="s">
        <v>199</v>
      </c>
      <c r="G325" s="9" t="s">
        <v>412</v>
      </c>
      <c r="H325" s="9" t="s">
        <v>831</v>
      </c>
      <c r="I325" s="55">
        <f>'Messages Dictionary'!I333</f>
        <v>0</v>
      </c>
      <c r="J325" s="10">
        <f>'Messages Dictionary'!J333</f>
        <v>0.5</v>
      </c>
      <c r="K325" s="10">
        <f t="shared" si="5"/>
        <v>0</v>
      </c>
      <c r="L325" s="66"/>
      <c r="M325" s="66"/>
      <c r="N325" s="67"/>
      <c r="O325" s="67"/>
      <c r="P325" s="67"/>
      <c r="Q325" s="67"/>
      <c r="R325" s="67"/>
      <c r="S325" s="67"/>
      <c r="T325" s="67"/>
      <c r="U325" s="67"/>
      <c r="V325" s="67"/>
      <c r="W325" s="67"/>
      <c r="X325" s="67"/>
      <c r="Y325" s="67"/>
      <c r="Z325" s="67"/>
      <c r="AA325" s="67"/>
      <c r="AB325" s="67"/>
      <c r="AC325" s="67"/>
      <c r="AD325" s="67"/>
      <c r="AE325" s="67"/>
      <c r="AF325" s="67"/>
      <c r="AG325" s="67"/>
      <c r="AH325" s="67"/>
      <c r="AI325" s="67"/>
      <c r="AJ325" s="67"/>
      <c r="AK325" s="67"/>
      <c r="AL325" s="67"/>
      <c r="AM325" s="67"/>
      <c r="AN325" s="67"/>
      <c r="AO325" s="67"/>
      <c r="AP325" s="67"/>
      <c r="AQ325" s="67"/>
      <c r="AR325" s="67"/>
      <c r="AS325" s="55">
        <f>'Messages Dictionary'!I333</f>
        <v>0</v>
      </c>
    </row>
    <row r="326" spans="1:45" hidden="1" x14ac:dyDescent="0.2">
      <c r="A326" s="65">
        <v>1406</v>
      </c>
      <c r="B326" s="9" t="s">
        <v>176</v>
      </c>
      <c r="C326" s="9" t="s">
        <v>176</v>
      </c>
      <c r="D326" s="9" t="s">
        <v>821</v>
      </c>
      <c r="E326" s="9" t="s">
        <v>27</v>
      </c>
      <c r="F326" s="9" t="s">
        <v>199</v>
      </c>
      <c r="G326" s="9" t="s">
        <v>412</v>
      </c>
      <c r="H326" s="9" t="s">
        <v>831</v>
      </c>
      <c r="I326" s="55">
        <f>'Messages Dictionary'!I334</f>
        <v>0</v>
      </c>
      <c r="J326" s="10">
        <f>'Messages Dictionary'!J334</f>
        <v>0.5</v>
      </c>
      <c r="K326" s="10">
        <f t="shared" si="5"/>
        <v>0</v>
      </c>
      <c r="L326" s="66"/>
      <c r="M326" s="66"/>
      <c r="N326" s="67"/>
      <c r="O326" s="67"/>
      <c r="P326" s="67"/>
      <c r="Q326" s="67"/>
      <c r="R326" s="67"/>
      <c r="S326" s="67"/>
      <c r="T326" s="67"/>
      <c r="U326" s="67"/>
      <c r="V326" s="67"/>
      <c r="W326" s="67"/>
      <c r="X326" s="67"/>
      <c r="Y326" s="67"/>
      <c r="Z326" s="67"/>
      <c r="AA326" s="67"/>
      <c r="AB326" s="67"/>
      <c r="AC326" s="67"/>
      <c r="AD326" s="67"/>
      <c r="AE326" s="67"/>
      <c r="AF326" s="67"/>
      <c r="AG326" s="67"/>
      <c r="AH326" s="67"/>
      <c r="AI326" s="67"/>
      <c r="AJ326" s="67"/>
      <c r="AK326" s="67"/>
      <c r="AL326" s="67"/>
      <c r="AM326" s="67"/>
      <c r="AN326" s="67"/>
      <c r="AO326" s="67"/>
      <c r="AP326" s="67"/>
      <c r="AQ326" s="67"/>
      <c r="AR326" s="67"/>
      <c r="AS326" s="55">
        <f>'Messages Dictionary'!I334</f>
        <v>0</v>
      </c>
    </row>
    <row r="327" spans="1:45" hidden="1" x14ac:dyDescent="0.2">
      <c r="A327" s="65">
        <v>1407</v>
      </c>
      <c r="B327" s="9" t="s">
        <v>176</v>
      </c>
      <c r="C327" s="9" t="s">
        <v>176</v>
      </c>
      <c r="D327" s="9" t="s">
        <v>821</v>
      </c>
      <c r="E327" s="9" t="s">
        <v>27</v>
      </c>
      <c r="F327" s="9" t="s">
        <v>199</v>
      </c>
      <c r="G327" s="9" t="s">
        <v>412</v>
      </c>
      <c r="H327" s="9" t="s">
        <v>831</v>
      </c>
      <c r="I327" s="55">
        <f>'Messages Dictionary'!I335</f>
        <v>0</v>
      </c>
      <c r="J327" s="10">
        <f>'Messages Dictionary'!J335</f>
        <v>0.5</v>
      </c>
      <c r="K327" s="10">
        <f t="shared" si="5"/>
        <v>0</v>
      </c>
      <c r="L327" s="66"/>
      <c r="M327" s="66"/>
      <c r="N327" s="67"/>
      <c r="O327" s="67"/>
      <c r="P327" s="67"/>
      <c r="Q327" s="67"/>
      <c r="R327" s="67"/>
      <c r="S327" s="67"/>
      <c r="T327" s="67"/>
      <c r="U327" s="67"/>
      <c r="V327" s="67"/>
      <c r="W327" s="67"/>
      <c r="X327" s="67"/>
      <c r="Y327" s="67"/>
      <c r="Z327" s="67"/>
      <c r="AA327" s="67"/>
      <c r="AB327" s="67"/>
      <c r="AC327" s="67"/>
      <c r="AD327" s="67"/>
      <c r="AE327" s="67"/>
      <c r="AF327" s="67"/>
      <c r="AG327" s="67"/>
      <c r="AH327" s="67"/>
      <c r="AI327" s="67"/>
      <c r="AJ327" s="67"/>
      <c r="AK327" s="67"/>
      <c r="AL327" s="67"/>
      <c r="AM327" s="67"/>
      <c r="AN327" s="67"/>
      <c r="AO327" s="67"/>
      <c r="AP327" s="67"/>
      <c r="AQ327" s="67"/>
      <c r="AR327" s="67"/>
      <c r="AS327" s="55">
        <f>'Messages Dictionary'!I335</f>
        <v>0</v>
      </c>
    </row>
    <row r="328" spans="1:45" hidden="1" x14ac:dyDescent="0.2">
      <c r="A328" s="65">
        <v>1408</v>
      </c>
      <c r="B328" s="9" t="s">
        <v>176</v>
      </c>
      <c r="C328" s="9" t="s">
        <v>176</v>
      </c>
      <c r="D328" s="9" t="s">
        <v>821</v>
      </c>
      <c r="E328" s="9" t="s">
        <v>27</v>
      </c>
      <c r="F328" s="9" t="s">
        <v>199</v>
      </c>
      <c r="G328" s="9" t="s">
        <v>412</v>
      </c>
      <c r="H328" s="9" t="s">
        <v>831</v>
      </c>
      <c r="I328" s="55">
        <f>'Messages Dictionary'!I336</f>
        <v>0</v>
      </c>
      <c r="J328" s="10">
        <f>'Messages Dictionary'!J336</f>
        <v>0.5</v>
      </c>
      <c r="K328" s="10">
        <f t="shared" si="5"/>
        <v>0</v>
      </c>
      <c r="L328" s="66"/>
      <c r="M328" s="66"/>
      <c r="N328" s="67"/>
      <c r="O328" s="67"/>
      <c r="P328" s="67"/>
      <c r="Q328" s="67"/>
      <c r="R328" s="67"/>
      <c r="S328" s="67"/>
      <c r="T328" s="67"/>
      <c r="U328" s="67"/>
      <c r="V328" s="67"/>
      <c r="W328" s="67"/>
      <c r="X328" s="67"/>
      <c r="Y328" s="67"/>
      <c r="Z328" s="67"/>
      <c r="AA328" s="67"/>
      <c r="AB328" s="67"/>
      <c r="AC328" s="67"/>
      <c r="AD328" s="67"/>
      <c r="AE328" s="67"/>
      <c r="AF328" s="67"/>
      <c r="AG328" s="67"/>
      <c r="AH328" s="67"/>
      <c r="AI328" s="67"/>
      <c r="AJ328" s="67"/>
      <c r="AK328" s="67"/>
      <c r="AL328" s="67"/>
      <c r="AM328" s="67"/>
      <c r="AN328" s="67"/>
      <c r="AO328" s="67"/>
      <c r="AP328" s="67"/>
      <c r="AQ328" s="67"/>
      <c r="AR328" s="67"/>
      <c r="AS328" s="55">
        <f>'Messages Dictionary'!I336</f>
        <v>0</v>
      </c>
    </row>
    <row r="329" spans="1:45" hidden="1" x14ac:dyDescent="0.2">
      <c r="A329" s="65">
        <v>1409</v>
      </c>
      <c r="B329" s="9" t="s">
        <v>176</v>
      </c>
      <c r="C329" s="9" t="s">
        <v>176</v>
      </c>
      <c r="D329" s="9" t="s">
        <v>821</v>
      </c>
      <c r="E329" s="9" t="s">
        <v>27</v>
      </c>
      <c r="F329" s="9" t="s">
        <v>199</v>
      </c>
      <c r="G329" s="9" t="s">
        <v>412</v>
      </c>
      <c r="H329" s="9" t="s">
        <v>831</v>
      </c>
      <c r="I329" s="55">
        <f>'Messages Dictionary'!I337</f>
        <v>0</v>
      </c>
      <c r="J329" s="10">
        <f>'Messages Dictionary'!J337</f>
        <v>0.5</v>
      </c>
      <c r="K329" s="10">
        <f t="shared" si="5"/>
        <v>0</v>
      </c>
      <c r="L329" s="66"/>
      <c r="M329" s="66"/>
      <c r="N329" s="67"/>
      <c r="O329" s="67"/>
      <c r="P329" s="67"/>
      <c r="Q329" s="67"/>
      <c r="R329" s="67"/>
      <c r="S329" s="67"/>
      <c r="T329" s="67"/>
      <c r="U329" s="67"/>
      <c r="V329" s="67"/>
      <c r="W329" s="67"/>
      <c r="X329" s="67"/>
      <c r="Y329" s="67"/>
      <c r="Z329" s="67"/>
      <c r="AA329" s="67"/>
      <c r="AB329" s="67"/>
      <c r="AC329" s="67"/>
      <c r="AD329" s="67"/>
      <c r="AE329" s="67"/>
      <c r="AF329" s="67"/>
      <c r="AG329" s="67"/>
      <c r="AH329" s="67"/>
      <c r="AI329" s="67"/>
      <c r="AJ329" s="67"/>
      <c r="AK329" s="67"/>
      <c r="AL329" s="67"/>
      <c r="AM329" s="67"/>
      <c r="AN329" s="67"/>
      <c r="AO329" s="67"/>
      <c r="AP329" s="67"/>
      <c r="AQ329" s="67"/>
      <c r="AR329" s="67"/>
      <c r="AS329" s="55">
        <f>'Messages Dictionary'!I337</f>
        <v>0</v>
      </c>
    </row>
    <row r="330" spans="1:45" hidden="1" x14ac:dyDescent="0.2">
      <c r="A330" s="65">
        <v>1410</v>
      </c>
      <c r="B330" s="9" t="s">
        <v>176</v>
      </c>
      <c r="C330" s="9" t="s">
        <v>176</v>
      </c>
      <c r="D330" s="9" t="s">
        <v>821</v>
      </c>
      <c r="E330" s="9" t="s">
        <v>27</v>
      </c>
      <c r="F330" s="9" t="s">
        <v>199</v>
      </c>
      <c r="G330" s="9" t="s">
        <v>412</v>
      </c>
      <c r="H330" s="9" t="s">
        <v>831</v>
      </c>
      <c r="I330" s="55">
        <f>'Messages Dictionary'!I338</f>
        <v>0</v>
      </c>
      <c r="J330" s="10">
        <f>'Messages Dictionary'!J338</f>
        <v>0.5</v>
      </c>
      <c r="K330" s="10">
        <f t="shared" si="5"/>
        <v>0</v>
      </c>
      <c r="L330" s="66"/>
      <c r="M330" s="66"/>
      <c r="N330" s="67"/>
      <c r="O330" s="67"/>
      <c r="P330" s="67"/>
      <c r="Q330" s="67"/>
      <c r="R330" s="67"/>
      <c r="S330" s="67"/>
      <c r="T330" s="67"/>
      <c r="U330" s="67"/>
      <c r="V330" s="67"/>
      <c r="W330" s="67"/>
      <c r="X330" s="67"/>
      <c r="Y330" s="67"/>
      <c r="Z330" s="67"/>
      <c r="AA330" s="67"/>
      <c r="AB330" s="67"/>
      <c r="AC330" s="67"/>
      <c r="AD330" s="67"/>
      <c r="AE330" s="67"/>
      <c r="AF330" s="67"/>
      <c r="AG330" s="67"/>
      <c r="AH330" s="67"/>
      <c r="AI330" s="67"/>
      <c r="AJ330" s="67"/>
      <c r="AK330" s="67"/>
      <c r="AL330" s="67"/>
      <c r="AM330" s="67"/>
      <c r="AN330" s="67"/>
      <c r="AO330" s="67"/>
      <c r="AP330" s="67"/>
      <c r="AQ330" s="67"/>
      <c r="AR330" s="67"/>
      <c r="AS330" s="55">
        <f>'Messages Dictionary'!I338</f>
        <v>0</v>
      </c>
    </row>
    <row r="331" spans="1:45" hidden="1" x14ac:dyDescent="0.2">
      <c r="A331" s="65">
        <v>1411</v>
      </c>
      <c r="B331" s="9" t="s">
        <v>176</v>
      </c>
      <c r="C331" s="9" t="s">
        <v>176</v>
      </c>
      <c r="D331" s="9" t="s">
        <v>821</v>
      </c>
      <c r="E331" s="9" t="s">
        <v>27</v>
      </c>
      <c r="F331" s="9" t="s">
        <v>199</v>
      </c>
      <c r="G331" s="9" t="s">
        <v>412</v>
      </c>
      <c r="H331" s="9" t="s">
        <v>831</v>
      </c>
      <c r="I331" s="55">
        <f>'Messages Dictionary'!I339</f>
        <v>0</v>
      </c>
      <c r="J331" s="10">
        <f>'Messages Dictionary'!J339</f>
        <v>0.5</v>
      </c>
      <c r="K331" s="10">
        <f t="shared" si="5"/>
        <v>0</v>
      </c>
      <c r="L331" s="66"/>
      <c r="M331" s="66"/>
      <c r="N331" s="67"/>
      <c r="O331" s="67"/>
      <c r="P331" s="67"/>
      <c r="Q331" s="67"/>
      <c r="R331" s="67"/>
      <c r="S331" s="67"/>
      <c r="T331" s="67"/>
      <c r="U331" s="67"/>
      <c r="V331" s="67"/>
      <c r="W331" s="67"/>
      <c r="X331" s="67"/>
      <c r="Y331" s="67"/>
      <c r="Z331" s="67"/>
      <c r="AA331" s="67"/>
      <c r="AB331" s="67"/>
      <c r="AC331" s="67"/>
      <c r="AD331" s="67"/>
      <c r="AE331" s="67"/>
      <c r="AF331" s="67"/>
      <c r="AG331" s="67"/>
      <c r="AH331" s="67"/>
      <c r="AI331" s="67"/>
      <c r="AJ331" s="67"/>
      <c r="AK331" s="67"/>
      <c r="AL331" s="67"/>
      <c r="AM331" s="67"/>
      <c r="AN331" s="67"/>
      <c r="AO331" s="67"/>
      <c r="AP331" s="67"/>
      <c r="AQ331" s="67"/>
      <c r="AR331" s="67"/>
      <c r="AS331" s="55">
        <f>'Messages Dictionary'!I339</f>
        <v>0</v>
      </c>
    </row>
    <row r="332" spans="1:45" hidden="1" x14ac:dyDescent="0.2">
      <c r="A332" s="65">
        <v>1412</v>
      </c>
      <c r="B332" s="9" t="s">
        <v>176</v>
      </c>
      <c r="C332" s="9" t="s">
        <v>176</v>
      </c>
      <c r="D332" s="9" t="s">
        <v>821</v>
      </c>
      <c r="E332" s="9" t="s">
        <v>27</v>
      </c>
      <c r="F332" s="9" t="s">
        <v>199</v>
      </c>
      <c r="G332" s="9" t="s">
        <v>412</v>
      </c>
      <c r="H332" s="9" t="s">
        <v>831</v>
      </c>
      <c r="I332" s="55">
        <f>'Messages Dictionary'!I340</f>
        <v>0</v>
      </c>
      <c r="J332" s="10">
        <f>'Messages Dictionary'!J340</f>
        <v>0.5</v>
      </c>
      <c r="K332" s="10">
        <f t="shared" si="5"/>
        <v>0</v>
      </c>
      <c r="L332" s="66"/>
      <c r="M332" s="66"/>
      <c r="N332" s="67"/>
      <c r="O332" s="67"/>
      <c r="P332" s="67"/>
      <c r="Q332" s="67"/>
      <c r="R332" s="67"/>
      <c r="S332" s="67"/>
      <c r="T332" s="67"/>
      <c r="U332" s="67"/>
      <c r="V332" s="67"/>
      <c r="W332" s="67"/>
      <c r="X332" s="67"/>
      <c r="Y332" s="67"/>
      <c r="Z332" s="67"/>
      <c r="AA332" s="67"/>
      <c r="AB332" s="67"/>
      <c r="AC332" s="67"/>
      <c r="AD332" s="67"/>
      <c r="AE332" s="67"/>
      <c r="AF332" s="67"/>
      <c r="AG332" s="67"/>
      <c r="AH332" s="67"/>
      <c r="AI332" s="67"/>
      <c r="AJ332" s="67"/>
      <c r="AK332" s="67"/>
      <c r="AL332" s="67"/>
      <c r="AM332" s="67"/>
      <c r="AN332" s="67"/>
      <c r="AO332" s="67"/>
      <c r="AP332" s="67"/>
      <c r="AQ332" s="67"/>
      <c r="AR332" s="67"/>
      <c r="AS332" s="55">
        <f>'Messages Dictionary'!I340</f>
        <v>0</v>
      </c>
    </row>
    <row r="333" spans="1:45" hidden="1" x14ac:dyDescent="0.2">
      <c r="A333" s="65">
        <v>1413</v>
      </c>
      <c r="B333" s="9" t="s">
        <v>176</v>
      </c>
      <c r="C333" s="9" t="s">
        <v>176</v>
      </c>
      <c r="D333" s="9" t="s">
        <v>821</v>
      </c>
      <c r="E333" s="9" t="s">
        <v>27</v>
      </c>
      <c r="F333" s="9" t="s">
        <v>199</v>
      </c>
      <c r="G333" s="9" t="s">
        <v>412</v>
      </c>
      <c r="H333" s="9" t="s">
        <v>831</v>
      </c>
      <c r="I333" s="55">
        <f>'Messages Dictionary'!I341</f>
        <v>0</v>
      </c>
      <c r="J333" s="10">
        <f>'Messages Dictionary'!J341</f>
        <v>0.5</v>
      </c>
      <c r="K333" s="10">
        <f t="shared" si="5"/>
        <v>0</v>
      </c>
      <c r="L333" s="66"/>
      <c r="M333" s="66"/>
      <c r="N333" s="67"/>
      <c r="O333" s="67"/>
      <c r="P333" s="67"/>
      <c r="Q333" s="67"/>
      <c r="R333" s="67"/>
      <c r="S333" s="67"/>
      <c r="T333" s="67"/>
      <c r="U333" s="67"/>
      <c r="V333" s="67"/>
      <c r="W333" s="67"/>
      <c r="X333" s="67"/>
      <c r="Y333" s="67"/>
      <c r="Z333" s="67"/>
      <c r="AA333" s="67"/>
      <c r="AB333" s="67"/>
      <c r="AC333" s="67"/>
      <c r="AD333" s="67"/>
      <c r="AE333" s="67"/>
      <c r="AF333" s="67"/>
      <c r="AG333" s="67"/>
      <c r="AH333" s="67"/>
      <c r="AI333" s="67"/>
      <c r="AJ333" s="67"/>
      <c r="AK333" s="67"/>
      <c r="AL333" s="67"/>
      <c r="AM333" s="67"/>
      <c r="AN333" s="67"/>
      <c r="AO333" s="67"/>
      <c r="AP333" s="67"/>
      <c r="AQ333" s="67"/>
      <c r="AR333" s="67"/>
      <c r="AS333" s="55">
        <f>'Messages Dictionary'!I341</f>
        <v>0</v>
      </c>
    </row>
    <row r="334" spans="1:45" hidden="1" x14ac:dyDescent="0.2">
      <c r="A334" s="65">
        <v>1414</v>
      </c>
      <c r="B334" s="9" t="s">
        <v>177</v>
      </c>
      <c r="C334" s="9" t="s">
        <v>177</v>
      </c>
      <c r="D334" s="9" t="s">
        <v>821</v>
      </c>
      <c r="E334" s="9" t="s">
        <v>27</v>
      </c>
      <c r="F334" s="9" t="s">
        <v>199</v>
      </c>
      <c r="G334" s="9" t="s">
        <v>412</v>
      </c>
      <c r="H334" s="9" t="s">
        <v>831</v>
      </c>
      <c r="I334" s="55">
        <f>'Messages Dictionary'!I342</f>
        <v>0</v>
      </c>
      <c r="J334" s="10">
        <f>'Messages Dictionary'!J342</f>
        <v>0.5</v>
      </c>
      <c r="K334" s="10">
        <f t="shared" si="5"/>
        <v>0</v>
      </c>
      <c r="L334" s="66"/>
      <c r="M334" s="66"/>
      <c r="N334" s="67"/>
      <c r="O334" s="67"/>
      <c r="P334" s="67"/>
      <c r="Q334" s="67"/>
      <c r="R334" s="67"/>
      <c r="S334" s="67"/>
      <c r="T334" s="67"/>
      <c r="U334" s="67"/>
      <c r="V334" s="67"/>
      <c r="W334" s="67"/>
      <c r="X334" s="67"/>
      <c r="Y334" s="67"/>
      <c r="Z334" s="67"/>
      <c r="AA334" s="67"/>
      <c r="AB334" s="67"/>
      <c r="AC334" s="67"/>
      <c r="AD334" s="67"/>
      <c r="AE334" s="67"/>
      <c r="AF334" s="67"/>
      <c r="AG334" s="67"/>
      <c r="AH334" s="67"/>
      <c r="AI334" s="67"/>
      <c r="AJ334" s="67"/>
      <c r="AK334" s="67"/>
      <c r="AL334" s="67"/>
      <c r="AM334" s="67"/>
      <c r="AN334" s="67"/>
      <c r="AO334" s="67"/>
      <c r="AP334" s="67"/>
      <c r="AQ334" s="67"/>
      <c r="AR334" s="67"/>
      <c r="AS334" s="55">
        <f>'Messages Dictionary'!I342</f>
        <v>0</v>
      </c>
    </row>
    <row r="335" spans="1:45" ht="28.5" hidden="1" x14ac:dyDescent="0.2">
      <c r="A335" s="65">
        <v>1415</v>
      </c>
      <c r="B335" s="9" t="s">
        <v>178</v>
      </c>
      <c r="C335" s="9" t="s">
        <v>178</v>
      </c>
      <c r="D335" s="9" t="s">
        <v>821</v>
      </c>
      <c r="E335" s="9" t="s">
        <v>27</v>
      </c>
      <c r="F335" s="9" t="s">
        <v>199</v>
      </c>
      <c r="G335" s="9" t="s">
        <v>405</v>
      </c>
      <c r="H335" s="9" t="s">
        <v>426</v>
      </c>
      <c r="I335" s="55">
        <f>'Messages Dictionary'!I343</f>
        <v>0</v>
      </c>
      <c r="J335" s="10">
        <f>'Messages Dictionary'!J343</f>
        <v>1</v>
      </c>
      <c r="K335" s="10">
        <f t="shared" si="5"/>
        <v>0</v>
      </c>
      <c r="L335" s="66"/>
      <c r="M335" s="66"/>
      <c r="N335" s="67"/>
      <c r="O335" s="67"/>
      <c r="P335" s="67"/>
      <c r="Q335" s="67"/>
      <c r="R335" s="67"/>
      <c r="S335" s="67"/>
      <c r="T335" s="67"/>
      <c r="U335" s="67"/>
      <c r="V335" s="67"/>
      <c r="W335" s="67"/>
      <c r="X335" s="67"/>
      <c r="Y335" s="67"/>
      <c r="Z335" s="67"/>
      <c r="AA335" s="67"/>
      <c r="AB335" s="67"/>
      <c r="AC335" s="67"/>
      <c r="AD335" s="67"/>
      <c r="AE335" s="67"/>
      <c r="AF335" s="67"/>
      <c r="AG335" s="67"/>
      <c r="AH335" s="67"/>
      <c r="AI335" s="67"/>
      <c r="AJ335" s="67"/>
      <c r="AK335" s="67"/>
      <c r="AL335" s="67"/>
      <c r="AM335" s="67"/>
      <c r="AN335" s="67"/>
      <c r="AO335" s="67"/>
      <c r="AP335" s="67"/>
      <c r="AQ335" s="67"/>
      <c r="AR335" s="67"/>
      <c r="AS335" s="55">
        <f>'Messages Dictionary'!I343</f>
        <v>0</v>
      </c>
    </row>
    <row r="336" spans="1:45" ht="42.75" hidden="1" x14ac:dyDescent="0.2">
      <c r="A336" s="65">
        <v>1416</v>
      </c>
      <c r="B336" s="9" t="s">
        <v>179</v>
      </c>
      <c r="C336" s="9" t="s">
        <v>180</v>
      </c>
      <c r="D336" s="9" t="s">
        <v>821</v>
      </c>
      <c r="E336" s="9" t="s">
        <v>27</v>
      </c>
      <c r="F336" s="9" t="s">
        <v>199</v>
      </c>
      <c r="G336" s="9" t="s">
        <v>405</v>
      </c>
      <c r="H336" s="9" t="s">
        <v>426</v>
      </c>
      <c r="I336" s="55">
        <f>'Messages Dictionary'!I344</f>
        <v>0</v>
      </c>
      <c r="J336" s="10">
        <f>'Messages Dictionary'!J344</f>
        <v>1</v>
      </c>
      <c r="K336" s="10">
        <f t="shared" si="5"/>
        <v>0</v>
      </c>
      <c r="L336" s="66"/>
      <c r="M336" s="66"/>
      <c r="N336" s="67"/>
      <c r="O336" s="67"/>
      <c r="P336" s="67"/>
      <c r="Q336" s="67"/>
      <c r="R336" s="67"/>
      <c r="S336" s="67"/>
      <c r="T336" s="67"/>
      <c r="U336" s="67"/>
      <c r="V336" s="67"/>
      <c r="W336" s="67"/>
      <c r="X336" s="67"/>
      <c r="Y336" s="67"/>
      <c r="Z336" s="67"/>
      <c r="AA336" s="67"/>
      <c r="AB336" s="67"/>
      <c r="AC336" s="67"/>
      <c r="AD336" s="67"/>
      <c r="AE336" s="67"/>
      <c r="AF336" s="67"/>
      <c r="AG336" s="67"/>
      <c r="AH336" s="67"/>
      <c r="AI336" s="67"/>
      <c r="AJ336" s="67"/>
      <c r="AK336" s="67"/>
      <c r="AL336" s="67"/>
      <c r="AM336" s="67"/>
      <c r="AN336" s="67"/>
      <c r="AO336" s="67"/>
      <c r="AP336" s="67"/>
      <c r="AQ336" s="67"/>
      <c r="AR336" s="67"/>
      <c r="AS336" s="55">
        <f>'Messages Dictionary'!I344</f>
        <v>0</v>
      </c>
    </row>
    <row r="337" spans="1:45" ht="42.75" hidden="1" x14ac:dyDescent="0.2">
      <c r="A337" s="65">
        <v>1417</v>
      </c>
      <c r="B337" s="9" t="s">
        <v>181</v>
      </c>
      <c r="C337" s="9" t="s">
        <v>182</v>
      </c>
      <c r="D337" s="9" t="s">
        <v>821</v>
      </c>
      <c r="E337" s="9" t="s">
        <v>404</v>
      </c>
      <c r="F337" s="9" t="s">
        <v>199</v>
      </c>
      <c r="G337" s="9" t="s">
        <v>412</v>
      </c>
      <c r="H337" s="9" t="s">
        <v>831</v>
      </c>
      <c r="I337" s="55">
        <f>'Messages Dictionary'!I345</f>
        <v>0</v>
      </c>
      <c r="J337" s="10">
        <f>'Messages Dictionary'!J345</f>
        <v>0.5</v>
      </c>
      <c r="K337" s="10">
        <f t="shared" si="5"/>
        <v>0</v>
      </c>
      <c r="L337" s="66"/>
      <c r="M337" s="66"/>
      <c r="N337" s="67"/>
      <c r="O337" s="67"/>
      <c r="P337" s="67"/>
      <c r="Q337" s="67"/>
      <c r="R337" s="67"/>
      <c r="S337" s="67"/>
      <c r="T337" s="67"/>
      <c r="U337" s="67"/>
      <c r="V337" s="67"/>
      <c r="W337" s="67"/>
      <c r="X337" s="67"/>
      <c r="Y337" s="67"/>
      <c r="Z337" s="67"/>
      <c r="AA337" s="67"/>
      <c r="AB337" s="67"/>
      <c r="AC337" s="67"/>
      <c r="AD337" s="67"/>
      <c r="AE337" s="67"/>
      <c r="AF337" s="67"/>
      <c r="AG337" s="67"/>
      <c r="AH337" s="67"/>
      <c r="AI337" s="67"/>
      <c r="AJ337" s="67"/>
      <c r="AK337" s="67"/>
      <c r="AL337" s="67"/>
      <c r="AM337" s="67"/>
      <c r="AN337" s="67"/>
      <c r="AO337" s="67"/>
      <c r="AP337" s="67"/>
      <c r="AQ337" s="67"/>
      <c r="AR337" s="67"/>
      <c r="AS337" s="55">
        <f>'Messages Dictionary'!I345</f>
        <v>0</v>
      </c>
    </row>
    <row r="338" spans="1:45" ht="42.75" hidden="1" x14ac:dyDescent="0.2">
      <c r="A338" s="65">
        <v>1418</v>
      </c>
      <c r="B338" s="9" t="s">
        <v>181</v>
      </c>
      <c r="C338" s="9" t="s">
        <v>183</v>
      </c>
      <c r="D338" s="9" t="s">
        <v>821</v>
      </c>
      <c r="E338" s="9" t="s">
        <v>404</v>
      </c>
      <c r="F338" s="9" t="s">
        <v>199</v>
      </c>
      <c r="G338" s="9" t="s">
        <v>412</v>
      </c>
      <c r="H338" s="9" t="s">
        <v>831</v>
      </c>
      <c r="I338" s="55">
        <f>'Messages Dictionary'!I346</f>
        <v>0</v>
      </c>
      <c r="J338" s="10">
        <f>'Messages Dictionary'!J346</f>
        <v>1</v>
      </c>
      <c r="K338" s="10">
        <f t="shared" si="5"/>
        <v>0</v>
      </c>
      <c r="L338" s="66"/>
      <c r="M338" s="66"/>
      <c r="N338" s="67"/>
      <c r="O338" s="67"/>
      <c r="P338" s="67"/>
      <c r="Q338" s="67"/>
      <c r="R338" s="67"/>
      <c r="S338" s="67"/>
      <c r="T338" s="67"/>
      <c r="U338" s="67"/>
      <c r="V338" s="67"/>
      <c r="W338" s="67"/>
      <c r="X338" s="67"/>
      <c r="Y338" s="67"/>
      <c r="Z338" s="67"/>
      <c r="AA338" s="67"/>
      <c r="AB338" s="67"/>
      <c r="AC338" s="67"/>
      <c r="AD338" s="67"/>
      <c r="AE338" s="67"/>
      <c r="AF338" s="67"/>
      <c r="AG338" s="67"/>
      <c r="AH338" s="67"/>
      <c r="AI338" s="67"/>
      <c r="AJ338" s="67"/>
      <c r="AK338" s="67"/>
      <c r="AL338" s="67"/>
      <c r="AM338" s="67"/>
      <c r="AN338" s="67"/>
      <c r="AO338" s="67"/>
      <c r="AP338" s="67"/>
      <c r="AQ338" s="67"/>
      <c r="AR338" s="67"/>
      <c r="AS338" s="55">
        <f>'Messages Dictionary'!I346</f>
        <v>0</v>
      </c>
    </row>
    <row r="339" spans="1:45" ht="42.75" hidden="1" x14ac:dyDescent="0.2">
      <c r="A339" s="65">
        <v>1419</v>
      </c>
      <c r="B339" s="9" t="s">
        <v>184</v>
      </c>
      <c r="C339" s="9" t="s">
        <v>185</v>
      </c>
      <c r="D339" s="9" t="s">
        <v>121</v>
      </c>
      <c r="E339" s="9" t="s">
        <v>186</v>
      </c>
      <c r="F339" s="9" t="s">
        <v>198</v>
      </c>
      <c r="G339" s="9" t="s">
        <v>405</v>
      </c>
      <c r="H339" s="9" t="s">
        <v>806</v>
      </c>
      <c r="I339" s="55">
        <f>'Messages Dictionary'!I347</f>
        <v>0</v>
      </c>
      <c r="J339" s="10">
        <f>'Messages Dictionary'!J347</f>
        <v>0.1</v>
      </c>
      <c r="K339" s="10">
        <f t="shared" si="5"/>
        <v>0</v>
      </c>
      <c r="L339" s="66"/>
      <c r="M339" s="66"/>
      <c r="N339" s="67"/>
      <c r="O339" s="67"/>
      <c r="P339" s="67"/>
      <c r="Q339" s="67"/>
      <c r="R339" s="67"/>
      <c r="S339" s="67"/>
      <c r="T339" s="67"/>
      <c r="U339" s="67"/>
      <c r="V339" s="67"/>
      <c r="W339" s="67"/>
      <c r="X339" s="67"/>
      <c r="Y339" s="67"/>
      <c r="Z339" s="67"/>
      <c r="AA339" s="67"/>
      <c r="AB339" s="67"/>
      <c r="AC339" s="67"/>
      <c r="AD339" s="67"/>
      <c r="AE339" s="67"/>
      <c r="AF339" s="67"/>
      <c r="AG339" s="67"/>
      <c r="AH339" s="67"/>
      <c r="AI339" s="67"/>
      <c r="AJ339" s="67"/>
      <c r="AK339" s="67"/>
      <c r="AL339" s="67"/>
      <c r="AM339" s="67"/>
      <c r="AN339" s="67"/>
      <c r="AO339" s="67"/>
      <c r="AP339" s="67"/>
      <c r="AQ339" s="67"/>
      <c r="AR339" s="67"/>
      <c r="AS339" s="55">
        <f>'Messages Dictionary'!I347</f>
        <v>0</v>
      </c>
    </row>
    <row r="340" spans="1:45" ht="57" hidden="1" x14ac:dyDescent="0.2">
      <c r="A340" s="65">
        <v>1420</v>
      </c>
      <c r="B340" s="9" t="s">
        <v>187</v>
      </c>
      <c r="C340" s="9" t="s">
        <v>185</v>
      </c>
      <c r="D340" s="9" t="s">
        <v>121</v>
      </c>
      <c r="E340" s="9" t="s">
        <v>186</v>
      </c>
      <c r="F340" s="9" t="s">
        <v>199</v>
      </c>
      <c r="G340" s="9" t="s">
        <v>405</v>
      </c>
      <c r="H340" s="9" t="s">
        <v>806</v>
      </c>
      <c r="I340" s="55">
        <f>'Messages Dictionary'!I348</f>
        <v>0</v>
      </c>
      <c r="J340" s="10">
        <f>'Messages Dictionary'!J348</f>
        <v>0.1</v>
      </c>
      <c r="K340" s="10">
        <f t="shared" si="5"/>
        <v>0</v>
      </c>
      <c r="L340" s="66"/>
      <c r="M340" s="66"/>
      <c r="N340" s="67"/>
      <c r="O340" s="67"/>
      <c r="P340" s="67"/>
      <c r="Q340" s="67"/>
      <c r="R340" s="67"/>
      <c r="S340" s="67"/>
      <c r="T340" s="67"/>
      <c r="U340" s="67"/>
      <c r="V340" s="67"/>
      <c r="W340" s="67"/>
      <c r="X340" s="67"/>
      <c r="Y340" s="67"/>
      <c r="Z340" s="67"/>
      <c r="AA340" s="67"/>
      <c r="AB340" s="67"/>
      <c r="AC340" s="67"/>
      <c r="AD340" s="67"/>
      <c r="AE340" s="67"/>
      <c r="AF340" s="67"/>
      <c r="AG340" s="67"/>
      <c r="AH340" s="67"/>
      <c r="AI340" s="67"/>
      <c r="AJ340" s="67"/>
      <c r="AK340" s="67"/>
      <c r="AL340" s="67"/>
      <c r="AM340" s="67"/>
      <c r="AN340" s="67"/>
      <c r="AO340" s="67"/>
      <c r="AP340" s="67"/>
      <c r="AQ340" s="67"/>
      <c r="AR340" s="67"/>
      <c r="AS340" s="55">
        <f>'Messages Dictionary'!I348</f>
        <v>0</v>
      </c>
    </row>
    <row r="341" spans="1:45" ht="42.75" hidden="1" x14ac:dyDescent="0.2">
      <c r="A341" s="65">
        <v>1421</v>
      </c>
      <c r="B341" s="9" t="s">
        <v>188</v>
      </c>
      <c r="C341" s="9" t="s">
        <v>185</v>
      </c>
      <c r="D341" s="9" t="s">
        <v>121</v>
      </c>
      <c r="E341" s="9" t="s">
        <v>186</v>
      </c>
      <c r="F341" s="9" t="s">
        <v>199</v>
      </c>
      <c r="G341" s="9" t="s">
        <v>405</v>
      </c>
      <c r="H341" s="9" t="s">
        <v>806</v>
      </c>
      <c r="I341" s="55">
        <f>'Messages Dictionary'!I349</f>
        <v>0</v>
      </c>
      <c r="J341" s="10">
        <f>'Messages Dictionary'!J349</f>
        <v>0.1</v>
      </c>
      <c r="K341" s="10">
        <f t="shared" si="5"/>
        <v>0</v>
      </c>
      <c r="L341" s="66"/>
      <c r="M341" s="66"/>
      <c r="N341" s="67"/>
      <c r="O341" s="67"/>
      <c r="P341" s="67"/>
      <c r="Q341" s="67"/>
      <c r="R341" s="67"/>
      <c r="S341" s="67"/>
      <c r="T341" s="67"/>
      <c r="U341" s="67"/>
      <c r="V341" s="67"/>
      <c r="W341" s="67"/>
      <c r="X341" s="67"/>
      <c r="Y341" s="67"/>
      <c r="Z341" s="67"/>
      <c r="AA341" s="67"/>
      <c r="AB341" s="67"/>
      <c r="AC341" s="67"/>
      <c r="AD341" s="67"/>
      <c r="AE341" s="67"/>
      <c r="AF341" s="67"/>
      <c r="AG341" s="67"/>
      <c r="AH341" s="67"/>
      <c r="AI341" s="67"/>
      <c r="AJ341" s="67"/>
      <c r="AK341" s="67"/>
      <c r="AL341" s="67"/>
      <c r="AM341" s="67"/>
      <c r="AN341" s="67"/>
      <c r="AO341" s="67"/>
      <c r="AP341" s="67"/>
      <c r="AQ341" s="67"/>
      <c r="AR341" s="67"/>
      <c r="AS341" s="55">
        <f>'Messages Dictionary'!I349</f>
        <v>0</v>
      </c>
    </row>
    <row r="342" spans="1:45" ht="57" hidden="1" x14ac:dyDescent="0.2">
      <c r="A342" s="65">
        <v>1422</v>
      </c>
      <c r="B342" s="9" t="s">
        <v>189</v>
      </c>
      <c r="C342" s="9" t="s">
        <v>190</v>
      </c>
      <c r="D342" s="9" t="s">
        <v>121</v>
      </c>
      <c r="E342" s="9" t="s">
        <v>186</v>
      </c>
      <c r="F342" s="9" t="s">
        <v>199</v>
      </c>
      <c r="G342" s="9" t="s">
        <v>405</v>
      </c>
      <c r="H342" s="9" t="s">
        <v>806</v>
      </c>
      <c r="I342" s="55">
        <f>'Messages Dictionary'!I350</f>
        <v>0</v>
      </c>
      <c r="J342" s="10">
        <f>'Messages Dictionary'!J350</f>
        <v>0.1</v>
      </c>
      <c r="K342" s="10">
        <f t="shared" si="5"/>
        <v>0</v>
      </c>
      <c r="L342" s="66"/>
      <c r="M342" s="66"/>
      <c r="N342" s="67"/>
      <c r="O342" s="67"/>
      <c r="P342" s="67"/>
      <c r="Q342" s="67"/>
      <c r="R342" s="67"/>
      <c r="S342" s="67"/>
      <c r="T342" s="67"/>
      <c r="U342" s="67"/>
      <c r="V342" s="67"/>
      <c r="W342" s="67"/>
      <c r="X342" s="67"/>
      <c r="Y342" s="67"/>
      <c r="Z342" s="67"/>
      <c r="AA342" s="67"/>
      <c r="AB342" s="67"/>
      <c r="AC342" s="67"/>
      <c r="AD342" s="67"/>
      <c r="AE342" s="67"/>
      <c r="AF342" s="67"/>
      <c r="AG342" s="67"/>
      <c r="AH342" s="67"/>
      <c r="AI342" s="67"/>
      <c r="AJ342" s="67"/>
      <c r="AK342" s="67"/>
      <c r="AL342" s="67"/>
      <c r="AM342" s="67"/>
      <c r="AN342" s="67"/>
      <c r="AO342" s="67"/>
      <c r="AP342" s="67"/>
      <c r="AQ342" s="67"/>
      <c r="AR342" s="67"/>
      <c r="AS342" s="55">
        <f>'Messages Dictionary'!I350</f>
        <v>0</v>
      </c>
    </row>
    <row r="343" spans="1:45" ht="57" hidden="1" x14ac:dyDescent="0.2">
      <c r="A343" s="65">
        <v>1423</v>
      </c>
      <c r="B343" s="9" t="s">
        <v>191</v>
      </c>
      <c r="C343" s="9" t="s">
        <v>190</v>
      </c>
      <c r="D343" s="9" t="s">
        <v>121</v>
      </c>
      <c r="E343" s="9" t="s">
        <v>186</v>
      </c>
      <c r="F343" s="9" t="s">
        <v>199</v>
      </c>
      <c r="G343" s="9" t="s">
        <v>405</v>
      </c>
      <c r="H343" s="9" t="s">
        <v>806</v>
      </c>
      <c r="I343" s="55">
        <f>'Messages Dictionary'!I351</f>
        <v>0</v>
      </c>
      <c r="J343" s="10">
        <f>'Messages Dictionary'!J351</f>
        <v>0.1</v>
      </c>
      <c r="K343" s="10">
        <f t="shared" si="5"/>
        <v>0</v>
      </c>
      <c r="L343" s="66"/>
      <c r="M343" s="66"/>
      <c r="N343" s="67"/>
      <c r="O343" s="67"/>
      <c r="P343" s="67"/>
      <c r="Q343" s="67"/>
      <c r="R343" s="67"/>
      <c r="S343" s="67"/>
      <c r="T343" s="67"/>
      <c r="U343" s="67"/>
      <c r="V343" s="67"/>
      <c r="W343" s="67"/>
      <c r="X343" s="67"/>
      <c r="Y343" s="67"/>
      <c r="Z343" s="67"/>
      <c r="AA343" s="67"/>
      <c r="AB343" s="67"/>
      <c r="AC343" s="67"/>
      <c r="AD343" s="67"/>
      <c r="AE343" s="67"/>
      <c r="AF343" s="67"/>
      <c r="AG343" s="67"/>
      <c r="AH343" s="67"/>
      <c r="AI343" s="67"/>
      <c r="AJ343" s="67"/>
      <c r="AK343" s="67"/>
      <c r="AL343" s="67"/>
      <c r="AM343" s="67"/>
      <c r="AN343" s="67"/>
      <c r="AO343" s="67"/>
      <c r="AP343" s="67"/>
      <c r="AQ343" s="67"/>
      <c r="AR343" s="67"/>
      <c r="AS343" s="55">
        <f>'Messages Dictionary'!I351</f>
        <v>0</v>
      </c>
    </row>
    <row r="344" spans="1:45" ht="57" hidden="1" x14ac:dyDescent="0.2">
      <c r="A344" s="65">
        <v>1424</v>
      </c>
      <c r="B344" s="9" t="s">
        <v>192</v>
      </c>
      <c r="C344" s="9" t="s">
        <v>190</v>
      </c>
      <c r="D344" s="9" t="s">
        <v>121</v>
      </c>
      <c r="E344" s="9" t="s">
        <v>186</v>
      </c>
      <c r="F344" s="9" t="s">
        <v>199</v>
      </c>
      <c r="G344" s="9" t="s">
        <v>405</v>
      </c>
      <c r="H344" s="9" t="s">
        <v>806</v>
      </c>
      <c r="I344" s="55">
        <f>'Messages Dictionary'!I352</f>
        <v>0</v>
      </c>
      <c r="J344" s="10">
        <f>'Messages Dictionary'!J352</f>
        <v>0.1</v>
      </c>
      <c r="K344" s="10">
        <f t="shared" si="5"/>
        <v>0</v>
      </c>
      <c r="L344" s="66"/>
      <c r="M344" s="66"/>
      <c r="N344" s="67"/>
      <c r="O344" s="67"/>
      <c r="P344" s="67"/>
      <c r="Q344" s="67"/>
      <c r="R344" s="67"/>
      <c r="S344" s="67"/>
      <c r="T344" s="67"/>
      <c r="U344" s="67"/>
      <c r="V344" s="67"/>
      <c r="W344" s="67"/>
      <c r="X344" s="67"/>
      <c r="Y344" s="67"/>
      <c r="Z344" s="67"/>
      <c r="AA344" s="67"/>
      <c r="AB344" s="67"/>
      <c r="AC344" s="67"/>
      <c r="AD344" s="67"/>
      <c r="AE344" s="67"/>
      <c r="AF344" s="67"/>
      <c r="AG344" s="67"/>
      <c r="AH344" s="67"/>
      <c r="AI344" s="67"/>
      <c r="AJ344" s="67"/>
      <c r="AK344" s="67"/>
      <c r="AL344" s="67"/>
      <c r="AM344" s="67"/>
      <c r="AN344" s="67"/>
      <c r="AO344" s="67"/>
      <c r="AP344" s="67"/>
      <c r="AQ344" s="67"/>
      <c r="AR344" s="67"/>
      <c r="AS344" s="55">
        <f>'Messages Dictionary'!I352</f>
        <v>0</v>
      </c>
    </row>
    <row r="345" spans="1:45" ht="57" hidden="1" x14ac:dyDescent="0.2">
      <c r="A345" s="65">
        <v>1425</v>
      </c>
      <c r="B345" s="9" t="s">
        <v>193</v>
      </c>
      <c r="C345" s="9" t="s">
        <v>194</v>
      </c>
      <c r="D345" s="9" t="s">
        <v>121</v>
      </c>
      <c r="E345" s="9" t="s">
        <v>186</v>
      </c>
      <c r="F345" s="9" t="s">
        <v>199</v>
      </c>
      <c r="G345" s="9" t="s">
        <v>405</v>
      </c>
      <c r="H345" s="9" t="s">
        <v>806</v>
      </c>
      <c r="I345" s="55">
        <f>'Messages Dictionary'!I353</f>
        <v>0</v>
      </c>
      <c r="J345" s="10">
        <f>'Messages Dictionary'!J353</f>
        <v>0.1</v>
      </c>
      <c r="K345" s="10">
        <f t="shared" si="5"/>
        <v>0</v>
      </c>
      <c r="L345" s="66"/>
      <c r="M345" s="66"/>
      <c r="N345" s="67"/>
      <c r="O345" s="67"/>
      <c r="P345" s="67"/>
      <c r="Q345" s="67"/>
      <c r="R345" s="67"/>
      <c r="S345" s="67"/>
      <c r="T345" s="67"/>
      <c r="U345" s="67"/>
      <c r="V345" s="67"/>
      <c r="W345" s="67"/>
      <c r="X345" s="67"/>
      <c r="Y345" s="67"/>
      <c r="Z345" s="67"/>
      <c r="AA345" s="67"/>
      <c r="AB345" s="67"/>
      <c r="AC345" s="67"/>
      <c r="AD345" s="67"/>
      <c r="AE345" s="67"/>
      <c r="AF345" s="67"/>
      <c r="AG345" s="67"/>
      <c r="AH345" s="67"/>
      <c r="AI345" s="67"/>
      <c r="AJ345" s="67"/>
      <c r="AK345" s="67"/>
      <c r="AL345" s="67"/>
      <c r="AM345" s="67"/>
      <c r="AN345" s="67"/>
      <c r="AO345" s="67"/>
      <c r="AP345" s="67"/>
      <c r="AQ345" s="67"/>
      <c r="AR345" s="67"/>
      <c r="AS345" s="55">
        <f>'Messages Dictionary'!I353</f>
        <v>0</v>
      </c>
    </row>
    <row r="346" spans="1:45" ht="57" hidden="1" x14ac:dyDescent="0.2">
      <c r="A346" s="65">
        <v>1426</v>
      </c>
      <c r="B346" s="9" t="s">
        <v>61</v>
      </c>
      <c r="C346" s="9" t="s">
        <v>194</v>
      </c>
      <c r="D346" s="9" t="s">
        <v>121</v>
      </c>
      <c r="E346" s="9" t="s">
        <v>186</v>
      </c>
      <c r="F346" s="9" t="s">
        <v>199</v>
      </c>
      <c r="G346" s="9" t="s">
        <v>405</v>
      </c>
      <c r="H346" s="9" t="s">
        <v>806</v>
      </c>
      <c r="I346" s="55">
        <f>'Messages Dictionary'!I354</f>
        <v>0</v>
      </c>
      <c r="J346" s="10">
        <f>'Messages Dictionary'!J354</f>
        <v>0.1</v>
      </c>
      <c r="K346" s="10">
        <f t="shared" si="5"/>
        <v>0</v>
      </c>
      <c r="L346" s="66"/>
      <c r="M346" s="66"/>
      <c r="N346" s="67"/>
      <c r="O346" s="67"/>
      <c r="P346" s="67"/>
      <c r="Q346" s="67"/>
      <c r="R346" s="67"/>
      <c r="S346" s="67"/>
      <c r="T346" s="67"/>
      <c r="U346" s="67"/>
      <c r="V346" s="67"/>
      <c r="W346" s="67"/>
      <c r="X346" s="67"/>
      <c r="Y346" s="67"/>
      <c r="Z346" s="67"/>
      <c r="AA346" s="67"/>
      <c r="AB346" s="67"/>
      <c r="AC346" s="67"/>
      <c r="AD346" s="67"/>
      <c r="AE346" s="67"/>
      <c r="AF346" s="67"/>
      <c r="AG346" s="67"/>
      <c r="AH346" s="67"/>
      <c r="AI346" s="67"/>
      <c r="AJ346" s="67"/>
      <c r="AK346" s="67"/>
      <c r="AL346" s="67"/>
      <c r="AM346" s="67"/>
      <c r="AN346" s="67"/>
      <c r="AO346" s="67"/>
      <c r="AP346" s="67"/>
      <c r="AQ346" s="67"/>
      <c r="AR346" s="67"/>
      <c r="AS346" s="55">
        <f>'Messages Dictionary'!I354</f>
        <v>0</v>
      </c>
    </row>
    <row r="347" spans="1:45" ht="57" hidden="1" x14ac:dyDescent="0.2">
      <c r="A347" s="65">
        <v>1427</v>
      </c>
      <c r="B347" s="9" t="s">
        <v>62</v>
      </c>
      <c r="C347" s="9" t="s">
        <v>194</v>
      </c>
      <c r="D347" s="9" t="s">
        <v>121</v>
      </c>
      <c r="E347" s="9" t="s">
        <v>186</v>
      </c>
      <c r="F347" s="9" t="s">
        <v>199</v>
      </c>
      <c r="G347" s="9" t="s">
        <v>405</v>
      </c>
      <c r="H347" s="9" t="s">
        <v>806</v>
      </c>
      <c r="I347" s="55">
        <f>'Messages Dictionary'!I355</f>
        <v>0</v>
      </c>
      <c r="J347" s="10">
        <f>'Messages Dictionary'!J355</f>
        <v>0.1</v>
      </c>
      <c r="K347" s="10">
        <f t="shared" si="5"/>
        <v>0</v>
      </c>
      <c r="L347" s="66"/>
      <c r="M347" s="66"/>
      <c r="N347" s="67"/>
      <c r="O347" s="67"/>
      <c r="P347" s="67"/>
      <c r="Q347" s="67"/>
      <c r="R347" s="67"/>
      <c r="S347" s="67"/>
      <c r="T347" s="67"/>
      <c r="U347" s="67"/>
      <c r="V347" s="67"/>
      <c r="W347" s="67"/>
      <c r="X347" s="67"/>
      <c r="Y347" s="67"/>
      <c r="Z347" s="67"/>
      <c r="AA347" s="67"/>
      <c r="AB347" s="67"/>
      <c r="AC347" s="67"/>
      <c r="AD347" s="67"/>
      <c r="AE347" s="67"/>
      <c r="AF347" s="67"/>
      <c r="AG347" s="67"/>
      <c r="AH347" s="67"/>
      <c r="AI347" s="67"/>
      <c r="AJ347" s="67"/>
      <c r="AK347" s="67"/>
      <c r="AL347" s="67"/>
      <c r="AM347" s="67"/>
      <c r="AN347" s="67"/>
      <c r="AO347" s="67"/>
      <c r="AP347" s="67"/>
      <c r="AQ347" s="67"/>
      <c r="AR347" s="67"/>
      <c r="AS347" s="55">
        <f>'Messages Dictionary'!I355</f>
        <v>0</v>
      </c>
    </row>
    <row r="348" spans="1:45" ht="57" hidden="1" x14ac:dyDescent="0.2">
      <c r="A348" s="65">
        <v>1428</v>
      </c>
      <c r="B348" s="9" t="s">
        <v>63</v>
      </c>
      <c r="C348" s="9" t="s">
        <v>64</v>
      </c>
      <c r="D348" s="9" t="s">
        <v>121</v>
      </c>
      <c r="E348" s="9" t="s">
        <v>186</v>
      </c>
      <c r="F348" s="9" t="s">
        <v>199</v>
      </c>
      <c r="G348" s="9" t="s">
        <v>405</v>
      </c>
      <c r="H348" s="9" t="s">
        <v>806</v>
      </c>
      <c r="I348" s="55">
        <f>'Messages Dictionary'!I356</f>
        <v>0</v>
      </c>
      <c r="J348" s="10">
        <f>'Messages Dictionary'!J356</f>
        <v>0.1</v>
      </c>
      <c r="K348" s="10">
        <f t="shared" si="5"/>
        <v>0</v>
      </c>
      <c r="L348" s="66"/>
      <c r="M348" s="66"/>
      <c r="N348" s="67"/>
      <c r="O348" s="67"/>
      <c r="P348" s="67"/>
      <c r="Q348" s="67"/>
      <c r="R348" s="67"/>
      <c r="S348" s="67"/>
      <c r="T348" s="67"/>
      <c r="U348" s="67"/>
      <c r="V348" s="67"/>
      <c r="W348" s="67"/>
      <c r="X348" s="67"/>
      <c r="Y348" s="67"/>
      <c r="Z348" s="67"/>
      <c r="AA348" s="67"/>
      <c r="AB348" s="67"/>
      <c r="AC348" s="67"/>
      <c r="AD348" s="67"/>
      <c r="AE348" s="67"/>
      <c r="AF348" s="67"/>
      <c r="AG348" s="67"/>
      <c r="AH348" s="67"/>
      <c r="AI348" s="67"/>
      <c r="AJ348" s="67"/>
      <c r="AK348" s="67"/>
      <c r="AL348" s="67"/>
      <c r="AM348" s="67"/>
      <c r="AN348" s="67"/>
      <c r="AO348" s="67"/>
      <c r="AP348" s="67"/>
      <c r="AQ348" s="67"/>
      <c r="AR348" s="67"/>
      <c r="AS348" s="55">
        <f>'Messages Dictionary'!I356</f>
        <v>0</v>
      </c>
    </row>
    <row r="349" spans="1:45" ht="57" hidden="1" x14ac:dyDescent="0.2">
      <c r="A349" s="65">
        <v>1429</v>
      </c>
      <c r="B349" s="9" t="s">
        <v>775</v>
      </c>
      <c r="C349" s="9" t="s">
        <v>64</v>
      </c>
      <c r="D349" s="9" t="s">
        <v>121</v>
      </c>
      <c r="E349" s="9" t="s">
        <v>186</v>
      </c>
      <c r="F349" s="9" t="s">
        <v>199</v>
      </c>
      <c r="G349" s="9" t="s">
        <v>405</v>
      </c>
      <c r="H349" s="9" t="s">
        <v>806</v>
      </c>
      <c r="I349" s="55">
        <f>'Messages Dictionary'!I357</f>
        <v>0</v>
      </c>
      <c r="J349" s="10">
        <f>'Messages Dictionary'!J357</f>
        <v>0.1</v>
      </c>
      <c r="K349" s="10">
        <f t="shared" si="5"/>
        <v>0</v>
      </c>
      <c r="L349" s="66"/>
      <c r="M349" s="66"/>
      <c r="N349" s="67"/>
      <c r="O349" s="67"/>
      <c r="P349" s="67"/>
      <c r="Q349" s="67"/>
      <c r="R349" s="67"/>
      <c r="S349" s="67"/>
      <c r="T349" s="67"/>
      <c r="U349" s="67"/>
      <c r="V349" s="67"/>
      <c r="W349" s="67"/>
      <c r="X349" s="67"/>
      <c r="Y349" s="67"/>
      <c r="Z349" s="67"/>
      <c r="AA349" s="67"/>
      <c r="AB349" s="67"/>
      <c r="AC349" s="67"/>
      <c r="AD349" s="67"/>
      <c r="AE349" s="67"/>
      <c r="AF349" s="67"/>
      <c r="AG349" s="67"/>
      <c r="AH349" s="67"/>
      <c r="AI349" s="67"/>
      <c r="AJ349" s="67"/>
      <c r="AK349" s="67"/>
      <c r="AL349" s="67"/>
      <c r="AM349" s="67"/>
      <c r="AN349" s="67"/>
      <c r="AO349" s="67"/>
      <c r="AP349" s="67"/>
      <c r="AQ349" s="67"/>
      <c r="AR349" s="67"/>
      <c r="AS349" s="55">
        <f>'Messages Dictionary'!I357</f>
        <v>0</v>
      </c>
    </row>
    <row r="350" spans="1:45" ht="57" hidden="1" x14ac:dyDescent="0.2">
      <c r="A350" s="65">
        <v>1430</v>
      </c>
      <c r="B350" s="9" t="s">
        <v>776</v>
      </c>
      <c r="C350" s="9" t="s">
        <v>64</v>
      </c>
      <c r="D350" s="9" t="s">
        <v>121</v>
      </c>
      <c r="E350" s="9" t="s">
        <v>186</v>
      </c>
      <c r="F350" s="9" t="s">
        <v>199</v>
      </c>
      <c r="G350" s="9" t="s">
        <v>405</v>
      </c>
      <c r="H350" s="9" t="s">
        <v>806</v>
      </c>
      <c r="I350" s="55">
        <f>'Messages Dictionary'!I358</f>
        <v>0</v>
      </c>
      <c r="J350" s="10">
        <f>'Messages Dictionary'!J358</f>
        <v>0.1</v>
      </c>
      <c r="K350" s="10">
        <f t="shared" si="5"/>
        <v>0</v>
      </c>
      <c r="L350" s="66"/>
      <c r="M350" s="66"/>
      <c r="N350" s="67"/>
      <c r="O350" s="67"/>
      <c r="P350" s="67"/>
      <c r="Q350" s="67"/>
      <c r="R350" s="67"/>
      <c r="S350" s="67"/>
      <c r="T350" s="67"/>
      <c r="U350" s="67"/>
      <c r="V350" s="67"/>
      <c r="W350" s="67"/>
      <c r="X350" s="67"/>
      <c r="Y350" s="67"/>
      <c r="Z350" s="67"/>
      <c r="AA350" s="67"/>
      <c r="AB350" s="67"/>
      <c r="AC350" s="67"/>
      <c r="AD350" s="67"/>
      <c r="AE350" s="67"/>
      <c r="AF350" s="67"/>
      <c r="AG350" s="67"/>
      <c r="AH350" s="67"/>
      <c r="AI350" s="67"/>
      <c r="AJ350" s="67"/>
      <c r="AK350" s="67"/>
      <c r="AL350" s="67"/>
      <c r="AM350" s="67"/>
      <c r="AN350" s="67"/>
      <c r="AO350" s="67"/>
      <c r="AP350" s="67"/>
      <c r="AQ350" s="67"/>
      <c r="AR350" s="67"/>
      <c r="AS350" s="55">
        <f>'Messages Dictionary'!I358</f>
        <v>0</v>
      </c>
    </row>
    <row r="351" spans="1:45" s="27" customFormat="1" ht="42.75" hidden="1" x14ac:dyDescent="0.2">
      <c r="A351" s="28">
        <v>1431</v>
      </c>
      <c r="B351" s="9" t="s">
        <v>450</v>
      </c>
      <c r="C351" s="9" t="s">
        <v>185</v>
      </c>
      <c r="D351" s="9" t="s">
        <v>121</v>
      </c>
      <c r="E351" s="9" t="s">
        <v>186</v>
      </c>
      <c r="F351" s="9" t="s">
        <v>199</v>
      </c>
      <c r="G351" s="9" t="s">
        <v>405</v>
      </c>
      <c r="H351" s="9" t="s">
        <v>806</v>
      </c>
      <c r="I351" s="55">
        <f>'Messages Dictionary'!I359</f>
        <v>0</v>
      </c>
      <c r="J351" s="10">
        <f>'Messages Dictionary'!J359</f>
        <v>0.1</v>
      </c>
      <c r="K351" s="10">
        <f t="shared" si="5"/>
        <v>0</v>
      </c>
      <c r="L351" s="82"/>
      <c r="M351" s="82"/>
      <c r="N351" s="83"/>
      <c r="O351" s="83"/>
      <c r="P351" s="83"/>
      <c r="Q351" s="83"/>
      <c r="R351" s="83"/>
      <c r="S351" s="83"/>
      <c r="T351" s="83"/>
      <c r="U351" s="83"/>
      <c r="V351" s="83"/>
      <c r="W351" s="83"/>
      <c r="X351" s="83"/>
      <c r="Y351" s="83"/>
      <c r="Z351" s="83"/>
      <c r="AA351" s="83"/>
      <c r="AB351" s="83"/>
      <c r="AC351" s="83"/>
      <c r="AD351" s="83"/>
      <c r="AE351" s="83"/>
      <c r="AF351" s="83"/>
      <c r="AG351" s="83"/>
      <c r="AH351" s="83"/>
      <c r="AI351" s="83"/>
      <c r="AJ351" s="83"/>
      <c r="AK351" s="83"/>
      <c r="AL351" s="83"/>
      <c r="AM351" s="83"/>
      <c r="AN351" s="83"/>
      <c r="AO351" s="83"/>
      <c r="AP351" s="83"/>
      <c r="AQ351" s="83"/>
      <c r="AR351" s="83"/>
      <c r="AS351" s="55">
        <f>'Messages Dictionary'!I359</f>
        <v>0</v>
      </c>
    </row>
    <row r="352" spans="1:45" s="27" customFormat="1" ht="42.75" hidden="1" x14ac:dyDescent="0.2">
      <c r="A352" s="28">
        <v>1432</v>
      </c>
      <c r="B352" s="9" t="s">
        <v>451</v>
      </c>
      <c r="C352" s="9" t="s">
        <v>185</v>
      </c>
      <c r="D352" s="9" t="s">
        <v>121</v>
      </c>
      <c r="E352" s="9" t="s">
        <v>186</v>
      </c>
      <c r="F352" s="9" t="s">
        <v>199</v>
      </c>
      <c r="G352" s="9" t="s">
        <v>405</v>
      </c>
      <c r="H352" s="9" t="s">
        <v>806</v>
      </c>
      <c r="I352" s="55">
        <f>'Messages Dictionary'!I360</f>
        <v>0</v>
      </c>
      <c r="J352" s="10">
        <f>'Messages Dictionary'!J360</f>
        <v>0.1</v>
      </c>
      <c r="K352" s="10">
        <f t="shared" si="5"/>
        <v>0</v>
      </c>
      <c r="L352" s="82"/>
      <c r="M352" s="82"/>
      <c r="N352" s="83"/>
      <c r="O352" s="83"/>
      <c r="P352" s="83"/>
      <c r="Q352" s="83"/>
      <c r="R352" s="83"/>
      <c r="S352" s="83"/>
      <c r="T352" s="83"/>
      <c r="U352" s="83"/>
      <c r="V352" s="83"/>
      <c r="W352" s="83"/>
      <c r="X352" s="83"/>
      <c r="Y352" s="83"/>
      <c r="Z352" s="83"/>
      <c r="AA352" s="83"/>
      <c r="AB352" s="83"/>
      <c r="AC352" s="83"/>
      <c r="AD352" s="83"/>
      <c r="AE352" s="83"/>
      <c r="AF352" s="83"/>
      <c r="AG352" s="83"/>
      <c r="AH352" s="83"/>
      <c r="AI352" s="83"/>
      <c r="AJ352" s="83"/>
      <c r="AK352" s="83"/>
      <c r="AL352" s="83"/>
      <c r="AM352" s="83"/>
      <c r="AN352" s="83"/>
      <c r="AO352" s="83"/>
      <c r="AP352" s="83"/>
      <c r="AQ352" s="83"/>
      <c r="AR352" s="83"/>
      <c r="AS352" s="55">
        <f>'Messages Dictionary'!I360</f>
        <v>0</v>
      </c>
    </row>
    <row r="353" spans="1:45" s="27" customFormat="1" ht="42.75" hidden="1" x14ac:dyDescent="0.2">
      <c r="A353" s="28">
        <v>1433</v>
      </c>
      <c r="B353" s="9" t="s">
        <v>452</v>
      </c>
      <c r="C353" s="9" t="s">
        <v>453</v>
      </c>
      <c r="D353" s="9" t="s">
        <v>121</v>
      </c>
      <c r="E353" s="9" t="s">
        <v>186</v>
      </c>
      <c r="F353" s="9" t="s">
        <v>199</v>
      </c>
      <c r="G353" s="9" t="s">
        <v>405</v>
      </c>
      <c r="H353" s="9" t="s">
        <v>806</v>
      </c>
      <c r="I353" s="55">
        <f>'Messages Dictionary'!I361</f>
        <v>0</v>
      </c>
      <c r="J353" s="10">
        <f>'Messages Dictionary'!J361</f>
        <v>0.1</v>
      </c>
      <c r="K353" s="10">
        <f t="shared" si="5"/>
        <v>0</v>
      </c>
      <c r="L353" s="82"/>
      <c r="M353" s="82"/>
      <c r="N353" s="83"/>
      <c r="O353" s="83"/>
      <c r="P353" s="83"/>
      <c r="Q353" s="83"/>
      <c r="R353" s="83"/>
      <c r="S353" s="83"/>
      <c r="T353" s="83"/>
      <c r="U353" s="83"/>
      <c r="V353" s="83"/>
      <c r="W353" s="83"/>
      <c r="X353" s="83"/>
      <c r="Y353" s="83"/>
      <c r="Z353" s="83"/>
      <c r="AA353" s="83"/>
      <c r="AB353" s="83"/>
      <c r="AC353" s="83"/>
      <c r="AD353" s="83"/>
      <c r="AE353" s="83"/>
      <c r="AF353" s="83"/>
      <c r="AG353" s="83"/>
      <c r="AH353" s="83"/>
      <c r="AI353" s="83"/>
      <c r="AJ353" s="83"/>
      <c r="AK353" s="83"/>
      <c r="AL353" s="83"/>
      <c r="AM353" s="83"/>
      <c r="AN353" s="83"/>
      <c r="AO353" s="83"/>
      <c r="AP353" s="83"/>
      <c r="AQ353" s="83"/>
      <c r="AR353" s="83"/>
      <c r="AS353" s="55">
        <f>'Messages Dictionary'!I361</f>
        <v>0</v>
      </c>
    </row>
    <row r="354" spans="1:45" s="27" customFormat="1" ht="57" hidden="1" x14ac:dyDescent="0.2">
      <c r="A354" s="28">
        <v>1434</v>
      </c>
      <c r="B354" s="9" t="s">
        <v>454</v>
      </c>
      <c r="C354" s="9" t="s">
        <v>455</v>
      </c>
      <c r="D354" s="9" t="s">
        <v>121</v>
      </c>
      <c r="E354" s="9" t="s">
        <v>186</v>
      </c>
      <c r="F354" s="9" t="s">
        <v>199</v>
      </c>
      <c r="G354" s="9" t="s">
        <v>405</v>
      </c>
      <c r="H354" s="9" t="s">
        <v>806</v>
      </c>
      <c r="I354" s="55">
        <f>'Messages Dictionary'!I362</f>
        <v>0</v>
      </c>
      <c r="J354" s="10">
        <f>'Messages Dictionary'!J362</f>
        <v>0.1</v>
      </c>
      <c r="K354" s="10">
        <f t="shared" si="5"/>
        <v>0</v>
      </c>
      <c r="L354" s="82"/>
      <c r="M354" s="82"/>
      <c r="N354" s="83"/>
      <c r="O354" s="83"/>
      <c r="P354" s="83"/>
      <c r="Q354" s="83"/>
      <c r="R354" s="83"/>
      <c r="S354" s="83"/>
      <c r="T354" s="83"/>
      <c r="U354" s="83"/>
      <c r="V354" s="83"/>
      <c r="W354" s="83"/>
      <c r="X354" s="83"/>
      <c r="Y354" s="83"/>
      <c r="Z354" s="83"/>
      <c r="AA354" s="83"/>
      <c r="AB354" s="83"/>
      <c r="AC354" s="83"/>
      <c r="AD354" s="83"/>
      <c r="AE354" s="83"/>
      <c r="AF354" s="83"/>
      <c r="AG354" s="83"/>
      <c r="AH354" s="83"/>
      <c r="AI354" s="83"/>
      <c r="AJ354" s="83"/>
      <c r="AK354" s="83"/>
      <c r="AL354" s="83"/>
      <c r="AM354" s="83"/>
      <c r="AN354" s="83"/>
      <c r="AO354" s="83"/>
      <c r="AP354" s="83"/>
      <c r="AQ354" s="83"/>
      <c r="AR354" s="83"/>
      <c r="AS354" s="55">
        <f>'Messages Dictionary'!I362</f>
        <v>0</v>
      </c>
    </row>
    <row r="355" spans="1:45" s="27" customFormat="1" ht="42.75" hidden="1" x14ac:dyDescent="0.2">
      <c r="A355" s="28">
        <v>1435</v>
      </c>
      <c r="B355" s="9" t="s">
        <v>456</v>
      </c>
      <c r="C355" s="9" t="s">
        <v>457</v>
      </c>
      <c r="D355" s="9" t="s">
        <v>121</v>
      </c>
      <c r="E355" s="9" t="s">
        <v>186</v>
      </c>
      <c r="F355" s="9" t="s">
        <v>199</v>
      </c>
      <c r="G355" s="9" t="s">
        <v>405</v>
      </c>
      <c r="H355" s="9" t="s">
        <v>806</v>
      </c>
      <c r="I355" s="55">
        <f>'Messages Dictionary'!I363</f>
        <v>0</v>
      </c>
      <c r="J355" s="10">
        <f>'Messages Dictionary'!J363</f>
        <v>0.1</v>
      </c>
      <c r="K355" s="10">
        <f t="shared" si="5"/>
        <v>0</v>
      </c>
      <c r="L355" s="82"/>
      <c r="M355" s="82"/>
      <c r="N355" s="83"/>
      <c r="O355" s="83"/>
      <c r="P355" s="83"/>
      <c r="Q355" s="83"/>
      <c r="R355" s="83"/>
      <c r="S355" s="83"/>
      <c r="T355" s="83"/>
      <c r="U355" s="83"/>
      <c r="V355" s="83"/>
      <c r="W355" s="83"/>
      <c r="X355" s="83"/>
      <c r="Y355" s="83"/>
      <c r="Z355" s="83"/>
      <c r="AA355" s="83"/>
      <c r="AB355" s="83"/>
      <c r="AC355" s="83"/>
      <c r="AD355" s="83"/>
      <c r="AE355" s="83"/>
      <c r="AF355" s="83"/>
      <c r="AG355" s="83"/>
      <c r="AH355" s="83"/>
      <c r="AI355" s="83"/>
      <c r="AJ355" s="83"/>
      <c r="AK355" s="83"/>
      <c r="AL355" s="83"/>
      <c r="AM355" s="83"/>
      <c r="AN355" s="83"/>
      <c r="AO355" s="83"/>
      <c r="AP355" s="83"/>
      <c r="AQ355" s="83"/>
      <c r="AR355" s="83"/>
      <c r="AS355" s="55">
        <f>'Messages Dictionary'!I363</f>
        <v>0</v>
      </c>
    </row>
    <row r="356" spans="1:45" s="27" customFormat="1" ht="42.75" hidden="1" x14ac:dyDescent="0.2">
      <c r="A356" s="28">
        <v>1436</v>
      </c>
      <c r="B356" s="9" t="s">
        <v>458</v>
      </c>
      <c r="C356" s="9" t="s">
        <v>190</v>
      </c>
      <c r="D356" s="9" t="s">
        <v>121</v>
      </c>
      <c r="E356" s="9" t="s">
        <v>186</v>
      </c>
      <c r="F356" s="9" t="s">
        <v>199</v>
      </c>
      <c r="G356" s="9" t="s">
        <v>405</v>
      </c>
      <c r="H356" s="9" t="s">
        <v>806</v>
      </c>
      <c r="I356" s="55">
        <f>'Messages Dictionary'!I364</f>
        <v>0</v>
      </c>
      <c r="J356" s="10">
        <f>'Messages Dictionary'!J364</f>
        <v>0.1</v>
      </c>
      <c r="K356" s="10">
        <f t="shared" si="5"/>
        <v>0</v>
      </c>
      <c r="L356" s="82"/>
      <c r="M356" s="82"/>
      <c r="N356" s="83"/>
      <c r="O356" s="83"/>
      <c r="P356" s="83"/>
      <c r="Q356" s="83"/>
      <c r="R356" s="83"/>
      <c r="S356" s="83"/>
      <c r="T356" s="83"/>
      <c r="U356" s="83"/>
      <c r="V356" s="83"/>
      <c r="W356" s="83"/>
      <c r="X356" s="83"/>
      <c r="Y356" s="83"/>
      <c r="Z356" s="83"/>
      <c r="AA356" s="83"/>
      <c r="AB356" s="83"/>
      <c r="AC356" s="83"/>
      <c r="AD356" s="83"/>
      <c r="AE356" s="83"/>
      <c r="AF356" s="83"/>
      <c r="AG356" s="83"/>
      <c r="AH356" s="83"/>
      <c r="AI356" s="83"/>
      <c r="AJ356" s="83"/>
      <c r="AK356" s="83"/>
      <c r="AL356" s="83"/>
      <c r="AM356" s="83"/>
      <c r="AN356" s="83"/>
      <c r="AO356" s="83"/>
      <c r="AP356" s="83"/>
      <c r="AQ356" s="83"/>
      <c r="AR356" s="83"/>
      <c r="AS356" s="55">
        <f>'Messages Dictionary'!I364</f>
        <v>0</v>
      </c>
    </row>
    <row r="357" spans="1:45" s="27" customFormat="1" ht="42.75" hidden="1" x14ac:dyDescent="0.2">
      <c r="A357" s="28">
        <v>1437</v>
      </c>
      <c r="B357" s="9" t="s">
        <v>459</v>
      </c>
      <c r="C357" s="9" t="s">
        <v>460</v>
      </c>
      <c r="D357" s="9" t="s">
        <v>121</v>
      </c>
      <c r="E357" s="9" t="s">
        <v>186</v>
      </c>
      <c r="F357" s="9" t="s">
        <v>199</v>
      </c>
      <c r="G357" s="9" t="s">
        <v>405</v>
      </c>
      <c r="H357" s="9" t="s">
        <v>806</v>
      </c>
      <c r="I357" s="55">
        <f>'Messages Dictionary'!I365</f>
        <v>0</v>
      </c>
      <c r="J357" s="10">
        <f>'Messages Dictionary'!J365</f>
        <v>0.1</v>
      </c>
      <c r="K357" s="10">
        <f t="shared" si="5"/>
        <v>0</v>
      </c>
      <c r="L357" s="82"/>
      <c r="M357" s="82"/>
      <c r="N357" s="83"/>
      <c r="O357" s="83"/>
      <c r="P357" s="83"/>
      <c r="Q357" s="83"/>
      <c r="R357" s="83"/>
      <c r="S357" s="83"/>
      <c r="T357" s="83"/>
      <c r="U357" s="83"/>
      <c r="V357" s="83"/>
      <c r="W357" s="83"/>
      <c r="X357" s="83"/>
      <c r="Y357" s="83"/>
      <c r="Z357" s="83"/>
      <c r="AA357" s="83"/>
      <c r="AB357" s="83"/>
      <c r="AC357" s="83"/>
      <c r="AD357" s="83"/>
      <c r="AE357" s="83"/>
      <c r="AF357" s="83"/>
      <c r="AG357" s="83"/>
      <c r="AH357" s="83"/>
      <c r="AI357" s="83"/>
      <c r="AJ357" s="83"/>
      <c r="AK357" s="83"/>
      <c r="AL357" s="83"/>
      <c r="AM357" s="83"/>
      <c r="AN357" s="83"/>
      <c r="AO357" s="83"/>
      <c r="AP357" s="83"/>
      <c r="AQ357" s="83"/>
      <c r="AR357" s="83"/>
      <c r="AS357" s="55">
        <f>'Messages Dictionary'!I365</f>
        <v>0</v>
      </c>
    </row>
    <row r="358" spans="1:45" s="27" customFormat="1" ht="57" hidden="1" x14ac:dyDescent="0.2">
      <c r="A358" s="28">
        <v>1438</v>
      </c>
      <c r="B358" s="9" t="s">
        <v>461</v>
      </c>
      <c r="C358" s="9" t="s">
        <v>462</v>
      </c>
      <c r="D358" s="9" t="s">
        <v>121</v>
      </c>
      <c r="E358" s="9" t="s">
        <v>186</v>
      </c>
      <c r="F358" s="9" t="s">
        <v>199</v>
      </c>
      <c r="G358" s="9" t="s">
        <v>405</v>
      </c>
      <c r="H358" s="9" t="s">
        <v>806</v>
      </c>
      <c r="I358" s="55">
        <f>'Messages Dictionary'!I366</f>
        <v>0</v>
      </c>
      <c r="J358" s="10">
        <f>'Messages Dictionary'!J366</f>
        <v>0.1</v>
      </c>
      <c r="K358" s="10">
        <f t="shared" si="5"/>
        <v>0</v>
      </c>
      <c r="L358" s="82"/>
      <c r="M358" s="82"/>
      <c r="N358" s="83"/>
      <c r="O358" s="83"/>
      <c r="P358" s="83"/>
      <c r="Q358" s="83"/>
      <c r="R358" s="83"/>
      <c r="S358" s="83"/>
      <c r="T358" s="83"/>
      <c r="U358" s="83"/>
      <c r="V358" s="83"/>
      <c r="W358" s="83"/>
      <c r="X358" s="83"/>
      <c r="Y358" s="83"/>
      <c r="Z358" s="83"/>
      <c r="AA358" s="83"/>
      <c r="AB358" s="83"/>
      <c r="AC358" s="83"/>
      <c r="AD358" s="83"/>
      <c r="AE358" s="83"/>
      <c r="AF358" s="83"/>
      <c r="AG358" s="83"/>
      <c r="AH358" s="83"/>
      <c r="AI358" s="83"/>
      <c r="AJ358" s="83"/>
      <c r="AK358" s="83"/>
      <c r="AL358" s="83"/>
      <c r="AM358" s="83"/>
      <c r="AN358" s="83"/>
      <c r="AO358" s="83"/>
      <c r="AP358" s="83"/>
      <c r="AQ358" s="83"/>
      <c r="AR358" s="83"/>
      <c r="AS358" s="55">
        <f>'Messages Dictionary'!I366</f>
        <v>0</v>
      </c>
    </row>
    <row r="359" spans="1:45" s="27" customFormat="1" hidden="1" x14ac:dyDescent="0.2">
      <c r="A359" s="28">
        <v>2000</v>
      </c>
      <c r="B359" s="9" t="s">
        <v>777</v>
      </c>
      <c r="C359" s="9" t="s">
        <v>778</v>
      </c>
      <c r="D359" s="9" t="s">
        <v>4</v>
      </c>
      <c r="E359" s="9" t="s">
        <v>14</v>
      </c>
      <c r="F359" s="9" t="s">
        <v>198</v>
      </c>
      <c r="G359" s="9" t="s">
        <v>809</v>
      </c>
      <c r="H359" s="9" t="s">
        <v>831</v>
      </c>
      <c r="I359" s="55">
        <f>'Messages Dictionary'!I369</f>
        <v>2</v>
      </c>
      <c r="J359" s="10">
        <f>'Messages Dictionary'!J369</f>
        <v>0</v>
      </c>
      <c r="K359" s="10">
        <f t="shared" si="5"/>
        <v>0</v>
      </c>
      <c r="L359" s="82"/>
      <c r="M359" s="82"/>
      <c r="N359" s="83"/>
      <c r="O359" s="83"/>
      <c r="P359" s="83"/>
      <c r="Q359" s="83"/>
      <c r="R359" s="83"/>
      <c r="S359" s="83"/>
      <c r="T359" s="83"/>
      <c r="U359" s="83"/>
      <c r="V359" s="83"/>
      <c r="W359" s="83"/>
      <c r="X359" s="83"/>
      <c r="Y359" s="83"/>
      <c r="Z359" s="83"/>
      <c r="AA359" s="83"/>
      <c r="AB359" s="83"/>
      <c r="AC359" s="83"/>
      <c r="AD359" s="83"/>
      <c r="AE359" s="83"/>
      <c r="AF359" s="83"/>
      <c r="AG359" s="83"/>
      <c r="AH359" s="83"/>
      <c r="AI359" s="83"/>
      <c r="AJ359" s="83"/>
      <c r="AK359" s="83"/>
      <c r="AL359" s="83"/>
      <c r="AM359" s="83"/>
      <c r="AN359" s="83"/>
      <c r="AO359" s="83"/>
      <c r="AP359" s="83"/>
      <c r="AQ359" s="83"/>
      <c r="AR359" s="83"/>
      <c r="AS359" s="55">
        <f>'Messages Dictionary'!I369</f>
        <v>2</v>
      </c>
    </row>
    <row r="360" spans="1:45" s="27" customFormat="1" ht="28.5" hidden="1" x14ac:dyDescent="0.2">
      <c r="A360" s="28">
        <v>2005</v>
      </c>
      <c r="B360" s="9" t="s">
        <v>779</v>
      </c>
      <c r="C360" s="9" t="s">
        <v>780</v>
      </c>
      <c r="D360" s="9" t="s">
        <v>4</v>
      </c>
      <c r="E360" s="9" t="s">
        <v>18</v>
      </c>
      <c r="F360" s="9" t="s">
        <v>198</v>
      </c>
      <c r="G360" s="9" t="s">
        <v>809</v>
      </c>
      <c r="H360" s="9" t="s">
        <v>831</v>
      </c>
      <c r="I360" s="55">
        <f>'Messages Dictionary'!I370</f>
        <v>2</v>
      </c>
      <c r="J360" s="10">
        <f>'Messages Dictionary'!J370</f>
        <v>0</v>
      </c>
      <c r="K360" s="10">
        <f t="shared" si="5"/>
        <v>0</v>
      </c>
      <c r="L360" s="82"/>
      <c r="M360" s="82"/>
      <c r="N360" s="83"/>
      <c r="O360" s="83"/>
      <c r="P360" s="83"/>
      <c r="Q360" s="83"/>
      <c r="R360" s="83"/>
      <c r="S360" s="83"/>
      <c r="T360" s="83"/>
      <c r="U360" s="83"/>
      <c r="V360" s="83"/>
      <c r="W360" s="83"/>
      <c r="X360" s="83"/>
      <c r="Y360" s="83"/>
      <c r="Z360" s="83"/>
      <c r="AA360" s="83"/>
      <c r="AB360" s="83"/>
      <c r="AC360" s="83"/>
      <c r="AD360" s="83"/>
      <c r="AE360" s="83"/>
      <c r="AF360" s="83"/>
      <c r="AG360" s="83"/>
      <c r="AH360" s="83"/>
      <c r="AI360" s="83"/>
      <c r="AJ360" s="83"/>
      <c r="AK360" s="83"/>
      <c r="AL360" s="83"/>
      <c r="AM360" s="83"/>
      <c r="AN360" s="83"/>
      <c r="AO360" s="83"/>
      <c r="AP360" s="83"/>
      <c r="AQ360" s="83"/>
      <c r="AR360" s="83"/>
      <c r="AS360" s="55">
        <f>'Messages Dictionary'!I370</f>
        <v>2</v>
      </c>
    </row>
    <row r="361" spans="1:45" s="27" customFormat="1" ht="57" hidden="1" x14ac:dyDescent="0.2">
      <c r="A361" s="28">
        <v>2006</v>
      </c>
      <c r="B361" s="9" t="s">
        <v>647</v>
      </c>
      <c r="C361" s="9" t="s">
        <v>647</v>
      </c>
      <c r="D361" s="9" t="s">
        <v>4</v>
      </c>
      <c r="E361" s="9" t="s">
        <v>18</v>
      </c>
      <c r="F361" s="9" t="s">
        <v>199</v>
      </c>
      <c r="G361" s="9" t="s">
        <v>405</v>
      </c>
      <c r="H361" s="9" t="s">
        <v>648</v>
      </c>
      <c r="I361" s="55">
        <f>'Messages Dictionary'!I371</f>
        <v>0</v>
      </c>
      <c r="J361" s="10">
        <f>'Messages Dictionary'!J371</f>
        <v>1</v>
      </c>
      <c r="K361" s="10">
        <f t="shared" si="5"/>
        <v>0</v>
      </c>
      <c r="L361" s="82"/>
      <c r="M361" s="82"/>
      <c r="N361" s="83"/>
      <c r="O361" s="83"/>
      <c r="P361" s="83"/>
      <c r="Q361" s="83"/>
      <c r="R361" s="83"/>
      <c r="S361" s="83"/>
      <c r="T361" s="83"/>
      <c r="U361" s="83"/>
      <c r="V361" s="83"/>
      <c r="W361" s="83"/>
      <c r="X361" s="83"/>
      <c r="Y361" s="83"/>
      <c r="Z361" s="83"/>
      <c r="AA361" s="83"/>
      <c r="AB361" s="83"/>
      <c r="AC361" s="83"/>
      <c r="AD361" s="83"/>
      <c r="AE361" s="83"/>
      <c r="AF361" s="83"/>
      <c r="AG361" s="83"/>
      <c r="AH361" s="83"/>
      <c r="AI361" s="83"/>
      <c r="AJ361" s="83"/>
      <c r="AK361" s="83"/>
      <c r="AL361" s="83"/>
      <c r="AM361" s="83"/>
      <c r="AN361" s="83"/>
      <c r="AO361" s="83"/>
      <c r="AP361" s="83"/>
      <c r="AQ361" s="83"/>
      <c r="AR361" s="83"/>
      <c r="AS361" s="55">
        <f>'Messages Dictionary'!I371</f>
        <v>0</v>
      </c>
    </row>
    <row r="362" spans="1:45" s="27" customFormat="1" ht="28.5" hidden="1" x14ac:dyDescent="0.2">
      <c r="A362" s="28">
        <v>2010</v>
      </c>
      <c r="B362" s="9" t="s">
        <v>781</v>
      </c>
      <c r="C362" s="9" t="s">
        <v>782</v>
      </c>
      <c r="D362" s="9" t="s">
        <v>863</v>
      </c>
      <c r="E362" s="9" t="s">
        <v>319</v>
      </c>
      <c r="F362" s="9" t="s">
        <v>198</v>
      </c>
      <c r="G362" s="9" t="s">
        <v>809</v>
      </c>
      <c r="H362" s="9" t="s">
        <v>831</v>
      </c>
      <c r="I362" s="55">
        <f>'Messages Dictionary'!I372</f>
        <v>2</v>
      </c>
      <c r="J362" s="10">
        <f>'Messages Dictionary'!J372</f>
        <v>0</v>
      </c>
      <c r="K362" s="10">
        <f t="shared" si="5"/>
        <v>0</v>
      </c>
      <c r="L362" s="82"/>
      <c r="M362" s="82"/>
      <c r="N362" s="83"/>
      <c r="O362" s="83"/>
      <c r="P362" s="83"/>
      <c r="Q362" s="83"/>
      <c r="R362" s="83"/>
      <c r="S362" s="83"/>
      <c r="T362" s="83"/>
      <c r="U362" s="83"/>
      <c r="V362" s="83"/>
      <c r="W362" s="83"/>
      <c r="X362" s="83"/>
      <c r="Y362" s="83"/>
      <c r="Z362" s="83"/>
      <c r="AA362" s="83"/>
      <c r="AB362" s="83"/>
      <c r="AC362" s="83"/>
      <c r="AD362" s="83"/>
      <c r="AE362" s="83"/>
      <c r="AF362" s="83"/>
      <c r="AG362" s="83"/>
      <c r="AH362" s="83"/>
      <c r="AI362" s="83"/>
      <c r="AJ362" s="83"/>
      <c r="AK362" s="83"/>
      <c r="AL362" s="83"/>
      <c r="AM362" s="83"/>
      <c r="AN362" s="83"/>
      <c r="AO362" s="83"/>
      <c r="AP362" s="83"/>
      <c r="AQ362" s="83"/>
      <c r="AR362" s="83"/>
      <c r="AS362" s="55">
        <f>'Messages Dictionary'!I372</f>
        <v>2</v>
      </c>
    </row>
    <row r="363" spans="1:45" s="27" customFormat="1" hidden="1" x14ac:dyDescent="0.2">
      <c r="A363" s="28">
        <v>2015</v>
      </c>
      <c r="B363" s="9" t="s">
        <v>783</v>
      </c>
      <c r="C363" s="9" t="s">
        <v>784</v>
      </c>
      <c r="D363" s="9" t="s">
        <v>4</v>
      </c>
      <c r="E363" s="9" t="s">
        <v>5</v>
      </c>
      <c r="F363" s="9" t="s">
        <v>198</v>
      </c>
      <c r="G363" s="9" t="s">
        <v>809</v>
      </c>
      <c r="H363" s="9" t="s">
        <v>831</v>
      </c>
      <c r="I363" s="55">
        <f>'Messages Dictionary'!I373</f>
        <v>1</v>
      </c>
      <c r="J363" s="10">
        <f>'Messages Dictionary'!J373</f>
        <v>0</v>
      </c>
      <c r="K363" s="10">
        <f t="shared" si="5"/>
        <v>0</v>
      </c>
      <c r="L363" s="82"/>
      <c r="M363" s="82"/>
      <c r="N363" s="83"/>
      <c r="O363" s="83"/>
      <c r="P363" s="83"/>
      <c r="Q363" s="83"/>
      <c r="R363" s="83"/>
      <c r="S363" s="83"/>
      <c r="T363" s="83"/>
      <c r="U363" s="83"/>
      <c r="V363" s="83"/>
      <c r="W363" s="83"/>
      <c r="X363" s="83"/>
      <c r="Y363" s="83"/>
      <c r="Z363" s="83"/>
      <c r="AA363" s="83"/>
      <c r="AB363" s="83"/>
      <c r="AC363" s="83"/>
      <c r="AD363" s="83"/>
      <c r="AE363" s="83"/>
      <c r="AF363" s="83"/>
      <c r="AG363" s="83"/>
      <c r="AH363" s="83"/>
      <c r="AI363" s="83"/>
      <c r="AJ363" s="83"/>
      <c r="AK363" s="83"/>
      <c r="AL363" s="83"/>
      <c r="AM363" s="83"/>
      <c r="AN363" s="83"/>
      <c r="AO363" s="83"/>
      <c r="AP363" s="83"/>
      <c r="AQ363" s="83"/>
      <c r="AR363" s="83"/>
      <c r="AS363" s="55">
        <f>'Messages Dictionary'!I373</f>
        <v>1</v>
      </c>
    </row>
    <row r="364" spans="1:45" s="27" customFormat="1" ht="28.5" hidden="1" x14ac:dyDescent="0.2">
      <c r="A364" s="28">
        <v>2020</v>
      </c>
      <c r="B364" s="9" t="s">
        <v>785</v>
      </c>
      <c r="C364" s="9" t="s">
        <v>786</v>
      </c>
      <c r="D364" s="9" t="s">
        <v>860</v>
      </c>
      <c r="E364" s="9" t="s">
        <v>40</v>
      </c>
      <c r="F364" s="9" t="s">
        <v>198</v>
      </c>
      <c r="G364" s="9" t="s">
        <v>809</v>
      </c>
      <c r="H364" s="9" t="s">
        <v>831</v>
      </c>
      <c r="I364" s="55">
        <f>'Messages Dictionary'!I374</f>
        <v>0</v>
      </c>
      <c r="J364" s="10">
        <f>'Messages Dictionary'!J374</f>
        <v>0</v>
      </c>
      <c r="K364" s="10">
        <f t="shared" si="5"/>
        <v>0</v>
      </c>
      <c r="L364" s="82"/>
      <c r="M364" s="82"/>
      <c r="N364" s="83"/>
      <c r="O364" s="83"/>
      <c r="P364" s="83"/>
      <c r="Q364" s="83"/>
      <c r="R364" s="83"/>
      <c r="S364" s="83"/>
      <c r="T364" s="83"/>
      <c r="U364" s="83"/>
      <c r="V364" s="83"/>
      <c r="W364" s="83"/>
      <c r="X364" s="83"/>
      <c r="Y364" s="83"/>
      <c r="Z364" s="83"/>
      <c r="AA364" s="83"/>
      <c r="AB364" s="83"/>
      <c r="AC364" s="83"/>
      <c r="AD364" s="83"/>
      <c r="AE364" s="83"/>
      <c r="AF364" s="83"/>
      <c r="AG364" s="83"/>
      <c r="AH364" s="83"/>
      <c r="AI364" s="83"/>
      <c r="AJ364" s="83"/>
      <c r="AK364" s="83"/>
      <c r="AL364" s="83"/>
      <c r="AM364" s="83"/>
      <c r="AN364" s="83"/>
      <c r="AO364" s="83"/>
      <c r="AP364" s="83"/>
      <c r="AQ364" s="83"/>
      <c r="AR364" s="83"/>
      <c r="AS364" s="55">
        <f>'Messages Dictionary'!I374</f>
        <v>0</v>
      </c>
    </row>
    <row r="365" spans="1:45" s="27" customFormat="1" ht="28.5" hidden="1" x14ac:dyDescent="0.2">
      <c r="A365" s="28">
        <v>2025</v>
      </c>
      <c r="B365" s="9" t="s">
        <v>787</v>
      </c>
      <c r="C365" s="9" t="s">
        <v>789</v>
      </c>
      <c r="D365" s="9" t="s">
        <v>860</v>
      </c>
      <c r="E365" s="9" t="s">
        <v>30</v>
      </c>
      <c r="F365" s="9" t="s">
        <v>199</v>
      </c>
      <c r="G365" s="9" t="s">
        <v>809</v>
      </c>
      <c r="H365" s="9" t="s">
        <v>831</v>
      </c>
      <c r="I365" s="55">
        <f>'Messages Dictionary'!I375</f>
        <v>6</v>
      </c>
      <c r="J365" s="10">
        <f>'Messages Dictionary'!J375</f>
        <v>0</v>
      </c>
      <c r="K365" s="10">
        <f t="shared" si="5"/>
        <v>0</v>
      </c>
      <c r="L365" s="82"/>
      <c r="M365" s="82"/>
      <c r="N365" s="83"/>
      <c r="O365" s="83"/>
      <c r="P365" s="83"/>
      <c r="Q365" s="83"/>
      <c r="R365" s="83"/>
      <c r="S365" s="83"/>
      <c r="T365" s="83"/>
      <c r="U365" s="83"/>
      <c r="V365" s="83"/>
      <c r="W365" s="83"/>
      <c r="X365" s="83"/>
      <c r="Y365" s="83"/>
      <c r="Z365" s="83"/>
      <c r="AA365" s="83"/>
      <c r="AB365" s="83"/>
      <c r="AC365" s="83"/>
      <c r="AD365" s="83"/>
      <c r="AE365" s="83"/>
      <c r="AF365" s="83"/>
      <c r="AG365" s="83"/>
      <c r="AH365" s="83"/>
      <c r="AI365" s="83"/>
      <c r="AJ365" s="83"/>
      <c r="AK365" s="83"/>
      <c r="AL365" s="83"/>
      <c r="AM365" s="83"/>
      <c r="AN365" s="83"/>
      <c r="AO365" s="83"/>
      <c r="AP365" s="83"/>
      <c r="AQ365" s="83"/>
      <c r="AR365" s="83"/>
      <c r="AS365" s="55">
        <f>'Messages Dictionary'!I375</f>
        <v>6</v>
      </c>
    </row>
    <row r="366" spans="1:45" s="27" customFormat="1" ht="28.5" hidden="1" x14ac:dyDescent="0.2">
      <c r="A366" s="28">
        <v>2030</v>
      </c>
      <c r="B366" s="9" t="s">
        <v>790</v>
      </c>
      <c r="C366" s="9" t="s">
        <v>791</v>
      </c>
      <c r="D366" s="9" t="s">
        <v>860</v>
      </c>
      <c r="E366" s="9" t="s">
        <v>30</v>
      </c>
      <c r="F366" s="9" t="s">
        <v>198</v>
      </c>
      <c r="G366" s="9" t="s">
        <v>809</v>
      </c>
      <c r="H366" s="9" t="s">
        <v>831</v>
      </c>
      <c r="I366" s="55">
        <f>'Messages Dictionary'!I376</f>
        <v>1</v>
      </c>
      <c r="J366" s="10">
        <f>'Messages Dictionary'!J376</f>
        <v>0</v>
      </c>
      <c r="K366" s="10">
        <f t="shared" si="5"/>
        <v>0</v>
      </c>
      <c r="L366" s="82"/>
      <c r="M366" s="82"/>
      <c r="N366" s="83"/>
      <c r="O366" s="83"/>
      <c r="P366" s="83"/>
      <c r="Q366" s="83"/>
      <c r="R366" s="83"/>
      <c r="S366" s="83"/>
      <c r="T366" s="83"/>
      <c r="U366" s="83"/>
      <c r="V366" s="83"/>
      <c r="W366" s="83"/>
      <c r="X366" s="83"/>
      <c r="Y366" s="83"/>
      <c r="Z366" s="83"/>
      <c r="AA366" s="83"/>
      <c r="AB366" s="83"/>
      <c r="AC366" s="83"/>
      <c r="AD366" s="83"/>
      <c r="AE366" s="83"/>
      <c r="AF366" s="83"/>
      <c r="AG366" s="83"/>
      <c r="AH366" s="83"/>
      <c r="AI366" s="83"/>
      <c r="AJ366" s="83"/>
      <c r="AK366" s="83"/>
      <c r="AL366" s="83"/>
      <c r="AM366" s="83"/>
      <c r="AN366" s="83"/>
      <c r="AO366" s="83"/>
      <c r="AP366" s="83"/>
      <c r="AQ366" s="83"/>
      <c r="AR366" s="83"/>
      <c r="AS366" s="55">
        <f>'Messages Dictionary'!I376</f>
        <v>1</v>
      </c>
    </row>
    <row r="367" spans="1:45" s="27" customFormat="1" ht="28.5" hidden="1" x14ac:dyDescent="0.2">
      <c r="A367" s="28">
        <v>2035</v>
      </c>
      <c r="B367" s="9" t="s">
        <v>792</v>
      </c>
      <c r="C367" s="9" t="s">
        <v>793</v>
      </c>
      <c r="D367" s="9" t="s">
        <v>860</v>
      </c>
      <c r="E367" s="9" t="s">
        <v>316</v>
      </c>
      <c r="F367" s="9" t="s">
        <v>199</v>
      </c>
      <c r="G367" s="9" t="s">
        <v>405</v>
      </c>
      <c r="H367" s="9" t="s">
        <v>536</v>
      </c>
      <c r="I367" s="55">
        <f>'Messages Dictionary'!I377</f>
        <v>0</v>
      </c>
      <c r="J367" s="10">
        <f>'Messages Dictionary'!J377</f>
        <v>1</v>
      </c>
      <c r="K367" s="10">
        <f t="shared" si="5"/>
        <v>0</v>
      </c>
      <c r="L367" s="82"/>
      <c r="M367" s="82"/>
      <c r="N367" s="83"/>
      <c r="O367" s="83"/>
      <c r="P367" s="83"/>
      <c r="Q367" s="83"/>
      <c r="R367" s="83"/>
      <c r="S367" s="83"/>
      <c r="T367" s="83"/>
      <c r="U367" s="83"/>
      <c r="V367" s="83"/>
      <c r="W367" s="83"/>
      <c r="X367" s="83"/>
      <c r="Y367" s="83"/>
      <c r="Z367" s="83"/>
      <c r="AA367" s="83"/>
      <c r="AB367" s="83"/>
      <c r="AC367" s="83"/>
      <c r="AD367" s="83"/>
      <c r="AE367" s="83"/>
      <c r="AF367" s="83"/>
      <c r="AG367" s="83"/>
      <c r="AH367" s="83"/>
      <c r="AI367" s="83"/>
      <c r="AJ367" s="83"/>
      <c r="AK367" s="83"/>
      <c r="AL367" s="83"/>
      <c r="AM367" s="83"/>
      <c r="AN367" s="83"/>
      <c r="AO367" s="83"/>
      <c r="AP367" s="83"/>
      <c r="AQ367" s="83"/>
      <c r="AR367" s="83"/>
      <c r="AS367" s="55">
        <f>'Messages Dictionary'!I377</f>
        <v>0</v>
      </c>
    </row>
    <row r="368" spans="1:45" s="27" customFormat="1" ht="28.5" hidden="1" x14ac:dyDescent="0.2">
      <c r="A368" s="28">
        <v>2040</v>
      </c>
      <c r="B368" s="9" t="s">
        <v>794</v>
      </c>
      <c r="C368" s="9" t="s">
        <v>795</v>
      </c>
      <c r="D368" s="9" t="s">
        <v>860</v>
      </c>
      <c r="E368" s="9" t="s">
        <v>316</v>
      </c>
      <c r="F368" s="9" t="s">
        <v>198</v>
      </c>
      <c r="G368" s="9" t="s">
        <v>405</v>
      </c>
      <c r="H368" s="9" t="s">
        <v>536</v>
      </c>
      <c r="I368" s="55">
        <f>'Messages Dictionary'!I378</f>
        <v>0</v>
      </c>
      <c r="J368" s="10">
        <f>'Messages Dictionary'!J378</f>
        <v>1</v>
      </c>
      <c r="K368" s="10">
        <f t="shared" si="5"/>
        <v>0</v>
      </c>
      <c r="L368" s="82"/>
      <c r="M368" s="82"/>
      <c r="N368" s="83"/>
      <c r="O368" s="83"/>
      <c r="P368" s="83"/>
      <c r="Q368" s="83"/>
      <c r="R368" s="83"/>
      <c r="S368" s="83"/>
      <c r="T368" s="83"/>
      <c r="U368" s="83"/>
      <c r="V368" s="83"/>
      <c r="W368" s="83"/>
      <c r="X368" s="83"/>
      <c r="Y368" s="83"/>
      <c r="Z368" s="83"/>
      <c r="AA368" s="83"/>
      <c r="AB368" s="83"/>
      <c r="AC368" s="83"/>
      <c r="AD368" s="83"/>
      <c r="AE368" s="83"/>
      <c r="AF368" s="83"/>
      <c r="AG368" s="83"/>
      <c r="AH368" s="83"/>
      <c r="AI368" s="83"/>
      <c r="AJ368" s="83"/>
      <c r="AK368" s="83"/>
      <c r="AL368" s="83"/>
      <c r="AM368" s="83"/>
      <c r="AN368" s="83"/>
      <c r="AO368" s="83"/>
      <c r="AP368" s="83"/>
      <c r="AQ368" s="83"/>
      <c r="AR368" s="83"/>
      <c r="AS368" s="55">
        <f>'Messages Dictionary'!I378</f>
        <v>0</v>
      </c>
    </row>
    <row r="369" spans="1:45" s="27" customFormat="1" ht="28.5" hidden="1" x14ac:dyDescent="0.2">
      <c r="A369" s="28">
        <v>2045</v>
      </c>
      <c r="B369" s="9" t="s">
        <v>796</v>
      </c>
      <c r="C369" s="9" t="s">
        <v>797</v>
      </c>
      <c r="D369" s="9" t="s">
        <v>860</v>
      </c>
      <c r="E369" s="9" t="s">
        <v>316</v>
      </c>
      <c r="F369" s="9" t="s">
        <v>199</v>
      </c>
      <c r="G369" s="9" t="s">
        <v>405</v>
      </c>
      <c r="H369" s="9" t="s">
        <v>536</v>
      </c>
      <c r="I369" s="55">
        <f>'Messages Dictionary'!I379</f>
        <v>0</v>
      </c>
      <c r="J369" s="10">
        <f>'Messages Dictionary'!J379</f>
        <v>1</v>
      </c>
      <c r="K369" s="10">
        <f t="shared" si="5"/>
        <v>0</v>
      </c>
      <c r="L369" s="82"/>
      <c r="M369" s="82"/>
      <c r="N369" s="83"/>
      <c r="O369" s="83"/>
      <c r="P369" s="83"/>
      <c r="Q369" s="83"/>
      <c r="R369" s="83"/>
      <c r="S369" s="83"/>
      <c r="T369" s="83"/>
      <c r="U369" s="83"/>
      <c r="V369" s="83"/>
      <c r="W369" s="83"/>
      <c r="X369" s="83"/>
      <c r="Y369" s="83"/>
      <c r="Z369" s="83"/>
      <c r="AA369" s="83"/>
      <c r="AB369" s="83"/>
      <c r="AC369" s="83"/>
      <c r="AD369" s="83"/>
      <c r="AE369" s="83"/>
      <c r="AF369" s="83"/>
      <c r="AG369" s="83"/>
      <c r="AH369" s="83"/>
      <c r="AI369" s="83"/>
      <c r="AJ369" s="83"/>
      <c r="AK369" s="83"/>
      <c r="AL369" s="83"/>
      <c r="AM369" s="83"/>
      <c r="AN369" s="83"/>
      <c r="AO369" s="83"/>
      <c r="AP369" s="83"/>
      <c r="AQ369" s="83"/>
      <c r="AR369" s="83"/>
      <c r="AS369" s="55">
        <f>'Messages Dictionary'!I379</f>
        <v>0</v>
      </c>
    </row>
    <row r="370" spans="1:45" s="27" customFormat="1" ht="71.25" hidden="1" x14ac:dyDescent="0.2">
      <c r="A370" s="28">
        <v>2046</v>
      </c>
      <c r="B370" s="9" t="s">
        <v>649</v>
      </c>
      <c r="C370" s="9" t="s">
        <v>650</v>
      </c>
      <c r="D370" s="9" t="s">
        <v>4</v>
      </c>
      <c r="E370" s="9" t="s">
        <v>5</v>
      </c>
      <c r="F370" s="9" t="s">
        <v>199</v>
      </c>
      <c r="G370" s="9" t="s">
        <v>405</v>
      </c>
      <c r="H370" s="9" t="s">
        <v>651</v>
      </c>
      <c r="I370" s="55">
        <f>'Messages Dictionary'!I380</f>
        <v>0</v>
      </c>
      <c r="J370" s="10">
        <f>'Messages Dictionary'!J380</f>
        <v>0.5</v>
      </c>
      <c r="K370" s="10">
        <f t="shared" si="5"/>
        <v>0</v>
      </c>
      <c r="L370" s="82"/>
      <c r="M370" s="82"/>
      <c r="N370" s="83"/>
      <c r="O370" s="83"/>
      <c r="P370" s="83"/>
      <c r="Q370" s="83"/>
      <c r="R370" s="83"/>
      <c r="S370" s="83"/>
      <c r="T370" s="83"/>
      <c r="U370" s="83"/>
      <c r="V370" s="83"/>
      <c r="W370" s="83"/>
      <c r="X370" s="83"/>
      <c r="Y370" s="83"/>
      <c r="Z370" s="83"/>
      <c r="AA370" s="83"/>
      <c r="AB370" s="83"/>
      <c r="AC370" s="83"/>
      <c r="AD370" s="83"/>
      <c r="AE370" s="83"/>
      <c r="AF370" s="83"/>
      <c r="AG370" s="83"/>
      <c r="AH370" s="83"/>
      <c r="AI370" s="83"/>
      <c r="AJ370" s="83"/>
      <c r="AK370" s="83"/>
      <c r="AL370" s="83"/>
      <c r="AM370" s="83"/>
      <c r="AN370" s="83"/>
      <c r="AO370" s="83"/>
      <c r="AP370" s="83"/>
      <c r="AQ370" s="83"/>
      <c r="AR370" s="83"/>
      <c r="AS370" s="55">
        <f>'Messages Dictionary'!I380</f>
        <v>0</v>
      </c>
    </row>
    <row r="371" spans="1:45" s="27" customFormat="1" ht="42.75" hidden="1" x14ac:dyDescent="0.2">
      <c r="A371" s="28">
        <v>2055</v>
      </c>
      <c r="B371" s="9" t="s">
        <v>798</v>
      </c>
      <c r="C371" s="9" t="s">
        <v>800</v>
      </c>
      <c r="D371" s="9" t="s">
        <v>121</v>
      </c>
      <c r="E371" s="9" t="s">
        <v>122</v>
      </c>
      <c r="F371" s="9" t="s">
        <v>198</v>
      </c>
      <c r="G371" s="9" t="s">
        <v>809</v>
      </c>
      <c r="H371" s="9" t="s">
        <v>831</v>
      </c>
      <c r="I371" s="55">
        <f>'Messages Dictionary'!I381</f>
        <v>3</v>
      </c>
      <c r="J371" s="10">
        <f>'Messages Dictionary'!J381</f>
        <v>0</v>
      </c>
      <c r="K371" s="10">
        <f t="shared" si="5"/>
        <v>0</v>
      </c>
      <c r="L371" s="82"/>
      <c r="M371" s="82"/>
      <c r="N371" s="83"/>
      <c r="O371" s="83"/>
      <c r="P371" s="83"/>
      <c r="Q371" s="83"/>
      <c r="R371" s="83"/>
      <c r="S371" s="83"/>
      <c r="T371" s="83"/>
      <c r="U371" s="83"/>
      <c r="V371" s="83"/>
      <c r="W371" s="83"/>
      <c r="X371" s="83"/>
      <c r="Y371" s="83"/>
      <c r="Z371" s="83"/>
      <c r="AA371" s="83"/>
      <c r="AB371" s="83"/>
      <c r="AC371" s="83"/>
      <c r="AD371" s="83"/>
      <c r="AE371" s="83"/>
      <c r="AF371" s="83"/>
      <c r="AG371" s="83"/>
      <c r="AH371" s="83"/>
      <c r="AI371" s="83"/>
      <c r="AJ371" s="83"/>
      <c r="AK371" s="83"/>
      <c r="AL371" s="83"/>
      <c r="AM371" s="83"/>
      <c r="AN371" s="83"/>
      <c r="AO371" s="83"/>
      <c r="AP371" s="83"/>
      <c r="AQ371" s="83"/>
      <c r="AR371" s="83"/>
      <c r="AS371" s="55">
        <f>'Messages Dictionary'!I381</f>
        <v>3</v>
      </c>
    </row>
    <row r="372" spans="1:45" s="27" customFormat="1" ht="28.5" hidden="1" x14ac:dyDescent="0.2">
      <c r="A372" s="28">
        <v>2074</v>
      </c>
      <c r="B372" s="9" t="s">
        <v>463</v>
      </c>
      <c r="C372" s="9" t="s">
        <v>464</v>
      </c>
      <c r="D372" s="9" t="s">
        <v>121</v>
      </c>
      <c r="E372" s="9" t="s">
        <v>122</v>
      </c>
      <c r="F372" s="9" t="s">
        <v>199</v>
      </c>
      <c r="G372" s="9" t="s">
        <v>809</v>
      </c>
      <c r="H372" s="9" t="s">
        <v>831</v>
      </c>
      <c r="I372" s="55">
        <f>'Messages Dictionary'!I382</f>
        <v>0</v>
      </c>
      <c r="J372" s="10">
        <f>'Messages Dictionary'!J382</f>
        <v>0</v>
      </c>
      <c r="K372" s="10">
        <f t="shared" si="5"/>
        <v>0</v>
      </c>
      <c r="L372" s="82"/>
      <c r="M372" s="82"/>
      <c r="N372" s="83"/>
      <c r="O372" s="83"/>
      <c r="P372" s="83"/>
      <c r="Q372" s="83"/>
      <c r="R372" s="83"/>
      <c r="S372" s="83"/>
      <c r="T372" s="83"/>
      <c r="U372" s="83"/>
      <c r="V372" s="83"/>
      <c r="W372" s="83"/>
      <c r="X372" s="83"/>
      <c r="Y372" s="83"/>
      <c r="Z372" s="83"/>
      <c r="AA372" s="83"/>
      <c r="AB372" s="83"/>
      <c r="AC372" s="83"/>
      <c r="AD372" s="83"/>
      <c r="AE372" s="83"/>
      <c r="AF372" s="83"/>
      <c r="AG372" s="83"/>
      <c r="AH372" s="83"/>
      <c r="AI372" s="83"/>
      <c r="AJ372" s="83"/>
      <c r="AK372" s="83"/>
      <c r="AL372" s="83"/>
      <c r="AM372" s="83"/>
      <c r="AN372" s="83"/>
      <c r="AO372" s="83"/>
      <c r="AP372" s="83"/>
      <c r="AQ372" s="83"/>
      <c r="AR372" s="83"/>
      <c r="AS372" s="55">
        <f>'Messages Dictionary'!I382</f>
        <v>0</v>
      </c>
    </row>
    <row r="373" spans="1:45" s="27" customFormat="1" ht="42.75" hidden="1" x14ac:dyDescent="0.2">
      <c r="A373" s="28">
        <v>2075</v>
      </c>
      <c r="B373" s="9" t="s">
        <v>801</v>
      </c>
      <c r="C373" s="9" t="s">
        <v>802</v>
      </c>
      <c r="D373" s="9" t="s">
        <v>121</v>
      </c>
      <c r="E373" s="9" t="s">
        <v>122</v>
      </c>
      <c r="F373" s="9" t="s">
        <v>198</v>
      </c>
      <c r="G373" s="9" t="s">
        <v>809</v>
      </c>
      <c r="H373" s="9" t="s">
        <v>831</v>
      </c>
      <c r="I373" s="55">
        <f>'Messages Dictionary'!I383</f>
        <v>0</v>
      </c>
      <c r="J373" s="10">
        <f>'Messages Dictionary'!J383</f>
        <v>0.1</v>
      </c>
      <c r="K373" s="10">
        <f t="shared" si="5"/>
        <v>0</v>
      </c>
      <c r="L373" s="82"/>
      <c r="M373" s="82"/>
      <c r="N373" s="83"/>
      <c r="O373" s="83"/>
      <c r="P373" s="83"/>
      <c r="Q373" s="83"/>
      <c r="R373" s="83"/>
      <c r="S373" s="83"/>
      <c r="T373" s="83"/>
      <c r="U373" s="83"/>
      <c r="V373" s="83"/>
      <c r="W373" s="83"/>
      <c r="X373" s="83"/>
      <c r="Y373" s="83"/>
      <c r="Z373" s="83"/>
      <c r="AA373" s="83"/>
      <c r="AB373" s="83"/>
      <c r="AC373" s="83"/>
      <c r="AD373" s="83"/>
      <c r="AE373" s="83"/>
      <c r="AF373" s="83"/>
      <c r="AG373" s="83"/>
      <c r="AH373" s="83"/>
      <c r="AI373" s="83"/>
      <c r="AJ373" s="83"/>
      <c r="AK373" s="83"/>
      <c r="AL373" s="83"/>
      <c r="AM373" s="83"/>
      <c r="AN373" s="83"/>
      <c r="AO373" s="83"/>
      <c r="AP373" s="83"/>
      <c r="AQ373" s="83"/>
      <c r="AR373" s="83"/>
      <c r="AS373" s="55">
        <f>'Messages Dictionary'!I383</f>
        <v>0</v>
      </c>
    </row>
    <row r="374" spans="1:45" s="27" customFormat="1" ht="71.25" hidden="1" x14ac:dyDescent="0.2">
      <c r="A374" s="28">
        <v>2076</v>
      </c>
      <c r="B374" s="9" t="s">
        <v>652</v>
      </c>
      <c r="C374" s="9" t="s">
        <v>653</v>
      </c>
      <c r="D374" s="9" t="s">
        <v>4</v>
      </c>
      <c r="E374" s="9" t="s">
        <v>5</v>
      </c>
      <c r="F374" s="9" t="s">
        <v>199</v>
      </c>
      <c r="G374" s="9" t="s">
        <v>405</v>
      </c>
      <c r="H374" s="9" t="s">
        <v>651</v>
      </c>
      <c r="I374" s="55">
        <f>'Messages Dictionary'!I384</f>
        <v>6</v>
      </c>
      <c r="J374" s="10">
        <f>'Messages Dictionary'!J384</f>
        <v>0.5</v>
      </c>
      <c r="K374" s="10">
        <f t="shared" si="5"/>
        <v>3</v>
      </c>
      <c r="L374" s="82"/>
      <c r="M374" s="82"/>
      <c r="N374" s="83"/>
      <c r="O374" s="83"/>
      <c r="P374" s="83"/>
      <c r="Q374" s="83"/>
      <c r="R374" s="83"/>
      <c r="S374" s="83"/>
      <c r="T374" s="83"/>
      <c r="U374" s="83"/>
      <c r="V374" s="83"/>
      <c r="W374" s="83"/>
      <c r="X374" s="83"/>
      <c r="Y374" s="83"/>
      <c r="Z374" s="83"/>
      <c r="AA374" s="83"/>
      <c r="AB374" s="83"/>
      <c r="AC374" s="83"/>
      <c r="AD374" s="83"/>
      <c r="AE374" s="83"/>
      <c r="AF374" s="83"/>
      <c r="AG374" s="83"/>
      <c r="AH374" s="83"/>
      <c r="AI374" s="83"/>
      <c r="AJ374" s="83"/>
      <c r="AK374" s="83"/>
      <c r="AL374" s="83"/>
      <c r="AM374" s="83"/>
      <c r="AN374" s="83"/>
      <c r="AO374" s="83"/>
      <c r="AP374" s="83"/>
      <c r="AQ374" s="83"/>
      <c r="AR374" s="83"/>
      <c r="AS374" s="55">
        <f>'Messages Dictionary'!I384</f>
        <v>6</v>
      </c>
    </row>
    <row r="375" spans="1:45" s="27" customFormat="1" ht="28.5" hidden="1" x14ac:dyDescent="0.2">
      <c r="A375" s="28">
        <v>2077</v>
      </c>
      <c r="B375" s="9" t="s">
        <v>465</v>
      </c>
      <c r="C375" s="9" t="s">
        <v>466</v>
      </c>
      <c r="D375" s="9" t="s">
        <v>121</v>
      </c>
      <c r="E375" s="9" t="s">
        <v>122</v>
      </c>
      <c r="F375" s="9" t="s">
        <v>199</v>
      </c>
      <c r="G375" s="9" t="s">
        <v>809</v>
      </c>
      <c r="H375" s="9" t="s">
        <v>831</v>
      </c>
      <c r="I375" s="55">
        <f>'Messages Dictionary'!I385</f>
        <v>0</v>
      </c>
      <c r="J375" s="10">
        <f>'Messages Dictionary'!J385</f>
        <v>0</v>
      </c>
      <c r="K375" s="10">
        <f t="shared" si="5"/>
        <v>0</v>
      </c>
      <c r="L375" s="82"/>
      <c r="M375" s="82"/>
      <c r="N375" s="83"/>
      <c r="O375" s="83"/>
      <c r="P375" s="83"/>
      <c r="Q375" s="83"/>
      <c r="R375" s="83"/>
      <c r="S375" s="83"/>
      <c r="T375" s="83"/>
      <c r="U375" s="83"/>
      <c r="V375" s="83"/>
      <c r="W375" s="83"/>
      <c r="X375" s="83"/>
      <c r="Y375" s="83"/>
      <c r="Z375" s="83"/>
      <c r="AA375" s="83"/>
      <c r="AB375" s="83"/>
      <c r="AC375" s="83"/>
      <c r="AD375" s="83"/>
      <c r="AE375" s="83"/>
      <c r="AF375" s="83"/>
      <c r="AG375" s="83"/>
      <c r="AH375" s="83"/>
      <c r="AI375" s="83"/>
      <c r="AJ375" s="83"/>
      <c r="AK375" s="83"/>
      <c r="AL375" s="83"/>
      <c r="AM375" s="83"/>
      <c r="AN375" s="83"/>
      <c r="AO375" s="83"/>
      <c r="AP375" s="83"/>
      <c r="AQ375" s="83"/>
      <c r="AR375" s="83"/>
      <c r="AS375" s="55">
        <f>'Messages Dictionary'!I385</f>
        <v>0</v>
      </c>
    </row>
    <row r="376" spans="1:45" s="27" customFormat="1" ht="42.75" hidden="1" x14ac:dyDescent="0.2">
      <c r="A376" s="28">
        <v>2080</v>
      </c>
      <c r="B376" s="9" t="s">
        <v>803</v>
      </c>
      <c r="C376" s="9" t="s">
        <v>218</v>
      </c>
      <c r="D376" s="9" t="s">
        <v>404</v>
      </c>
      <c r="E376" s="9" t="s">
        <v>404</v>
      </c>
      <c r="F376" s="9" t="s">
        <v>199</v>
      </c>
      <c r="G376" s="9" t="s">
        <v>405</v>
      </c>
      <c r="H376" s="9" t="s">
        <v>406</v>
      </c>
      <c r="I376" s="55">
        <f>'Messages Dictionary'!I386</f>
        <v>0</v>
      </c>
      <c r="J376" s="10">
        <f>'Messages Dictionary'!J386</f>
        <v>1</v>
      </c>
      <c r="K376" s="10">
        <f t="shared" si="5"/>
        <v>0</v>
      </c>
      <c r="L376" s="82"/>
      <c r="M376" s="82"/>
      <c r="N376" s="83"/>
      <c r="O376" s="83"/>
      <c r="P376" s="83"/>
      <c r="Q376" s="83"/>
      <c r="R376" s="83"/>
      <c r="S376" s="83"/>
      <c r="T376" s="83"/>
      <c r="U376" s="83"/>
      <c r="V376" s="83"/>
      <c r="W376" s="83"/>
      <c r="X376" s="83"/>
      <c r="Y376" s="83"/>
      <c r="Z376" s="83"/>
      <c r="AA376" s="83"/>
      <c r="AB376" s="83"/>
      <c r="AC376" s="83"/>
      <c r="AD376" s="83"/>
      <c r="AE376" s="83"/>
      <c r="AF376" s="83"/>
      <c r="AG376" s="83"/>
      <c r="AH376" s="83"/>
      <c r="AI376" s="83"/>
      <c r="AJ376" s="83"/>
      <c r="AK376" s="83"/>
      <c r="AL376" s="83"/>
      <c r="AM376" s="83"/>
      <c r="AN376" s="83"/>
      <c r="AO376" s="83"/>
      <c r="AP376" s="83"/>
      <c r="AQ376" s="83"/>
      <c r="AR376" s="83"/>
      <c r="AS376" s="55">
        <f>'Messages Dictionary'!I386</f>
        <v>0</v>
      </c>
    </row>
    <row r="377" spans="1:45" s="27" customFormat="1" ht="42.75" hidden="1" x14ac:dyDescent="0.2">
      <c r="A377" s="28">
        <v>2081</v>
      </c>
      <c r="B377" s="9" t="s">
        <v>219</v>
      </c>
      <c r="C377" s="9" t="s">
        <v>220</v>
      </c>
      <c r="D377" s="9" t="s">
        <v>863</v>
      </c>
      <c r="E377" s="9" t="s">
        <v>319</v>
      </c>
      <c r="F377" s="9" t="s">
        <v>198</v>
      </c>
      <c r="G377" s="9" t="s">
        <v>809</v>
      </c>
      <c r="H377" s="9" t="s">
        <v>831</v>
      </c>
      <c r="I377" s="55">
        <f>'Messages Dictionary'!I387</f>
        <v>0</v>
      </c>
      <c r="J377" s="10">
        <f>'Messages Dictionary'!J387</f>
        <v>0</v>
      </c>
      <c r="K377" s="10">
        <f t="shared" si="5"/>
        <v>0</v>
      </c>
      <c r="L377" s="82"/>
      <c r="M377" s="82"/>
      <c r="N377" s="83"/>
      <c r="O377" s="83"/>
      <c r="P377" s="83"/>
      <c r="Q377" s="83"/>
      <c r="R377" s="83"/>
      <c r="S377" s="83"/>
      <c r="T377" s="83"/>
      <c r="U377" s="83"/>
      <c r="V377" s="83"/>
      <c r="W377" s="83"/>
      <c r="X377" s="83"/>
      <c r="Y377" s="83"/>
      <c r="Z377" s="83"/>
      <c r="AA377" s="83"/>
      <c r="AB377" s="83"/>
      <c r="AC377" s="83"/>
      <c r="AD377" s="83"/>
      <c r="AE377" s="83"/>
      <c r="AF377" s="83"/>
      <c r="AG377" s="83"/>
      <c r="AH377" s="83"/>
      <c r="AI377" s="83"/>
      <c r="AJ377" s="83"/>
      <c r="AK377" s="83"/>
      <c r="AL377" s="83"/>
      <c r="AM377" s="83"/>
      <c r="AN377" s="83"/>
      <c r="AO377" s="83"/>
      <c r="AP377" s="83"/>
      <c r="AQ377" s="83"/>
      <c r="AR377" s="83"/>
      <c r="AS377" s="55">
        <f>'Messages Dictionary'!I387</f>
        <v>0</v>
      </c>
    </row>
    <row r="378" spans="1:45" s="27" customFormat="1" ht="42.75" hidden="1" x14ac:dyDescent="0.2">
      <c r="A378" s="28">
        <v>2082</v>
      </c>
      <c r="B378" s="9" t="s">
        <v>221</v>
      </c>
      <c r="C378" s="9" t="s">
        <v>678</v>
      </c>
      <c r="D378" s="9" t="s">
        <v>828</v>
      </c>
      <c r="E378" s="9" t="s">
        <v>829</v>
      </c>
      <c r="F378" s="9" t="s">
        <v>199</v>
      </c>
      <c r="G378" s="9" t="s">
        <v>405</v>
      </c>
      <c r="H378" s="9" t="s">
        <v>428</v>
      </c>
      <c r="I378" s="55">
        <f>'Messages Dictionary'!I388</f>
        <v>0</v>
      </c>
      <c r="J378" s="10">
        <f>'Messages Dictionary'!J388</f>
        <v>1</v>
      </c>
      <c r="K378" s="10">
        <f t="shared" si="5"/>
        <v>0</v>
      </c>
      <c r="L378" s="82"/>
      <c r="M378" s="82"/>
      <c r="N378" s="83"/>
      <c r="O378" s="83"/>
      <c r="P378" s="83"/>
      <c r="Q378" s="83"/>
      <c r="R378" s="83"/>
      <c r="S378" s="83"/>
      <c r="T378" s="83"/>
      <c r="U378" s="83"/>
      <c r="V378" s="83"/>
      <c r="W378" s="83"/>
      <c r="X378" s="83"/>
      <c r="Y378" s="83"/>
      <c r="Z378" s="83"/>
      <c r="AA378" s="83"/>
      <c r="AB378" s="83"/>
      <c r="AC378" s="83"/>
      <c r="AD378" s="83"/>
      <c r="AE378" s="83"/>
      <c r="AF378" s="83"/>
      <c r="AG378" s="83"/>
      <c r="AH378" s="83"/>
      <c r="AI378" s="83"/>
      <c r="AJ378" s="83"/>
      <c r="AK378" s="83"/>
      <c r="AL378" s="83"/>
      <c r="AM378" s="83"/>
      <c r="AN378" s="83"/>
      <c r="AO378" s="83"/>
      <c r="AP378" s="83"/>
      <c r="AQ378" s="83"/>
      <c r="AR378" s="83"/>
      <c r="AS378" s="55">
        <f>'Messages Dictionary'!I388</f>
        <v>0</v>
      </c>
    </row>
    <row r="379" spans="1:45" s="27" customFormat="1" ht="28.5" hidden="1" x14ac:dyDescent="0.2">
      <c r="A379" s="28">
        <v>2083</v>
      </c>
      <c r="B379" s="9" t="s">
        <v>679</v>
      </c>
      <c r="C379" s="9" t="s">
        <v>680</v>
      </c>
      <c r="D379" s="9" t="s">
        <v>121</v>
      </c>
      <c r="E379" s="9" t="s">
        <v>122</v>
      </c>
      <c r="F379" s="9" t="s">
        <v>198</v>
      </c>
      <c r="G379" s="9" t="s">
        <v>809</v>
      </c>
      <c r="H379" s="9" t="s">
        <v>831</v>
      </c>
      <c r="I379" s="55">
        <f>'Messages Dictionary'!I389</f>
        <v>28</v>
      </c>
      <c r="J379" s="10">
        <f>'Messages Dictionary'!J389</f>
        <v>0</v>
      </c>
      <c r="K379" s="10">
        <f t="shared" si="5"/>
        <v>0</v>
      </c>
      <c r="L379" s="82"/>
      <c r="M379" s="82"/>
      <c r="N379" s="83"/>
      <c r="O379" s="83"/>
      <c r="P379" s="83"/>
      <c r="Q379" s="83"/>
      <c r="R379" s="83"/>
      <c r="S379" s="83"/>
      <c r="T379" s="83"/>
      <c r="U379" s="83"/>
      <c r="V379" s="83"/>
      <c r="W379" s="83"/>
      <c r="X379" s="83"/>
      <c r="Y379" s="83"/>
      <c r="Z379" s="83"/>
      <c r="AA379" s="83"/>
      <c r="AB379" s="83"/>
      <c r="AC379" s="83"/>
      <c r="AD379" s="83"/>
      <c r="AE379" s="83"/>
      <c r="AF379" s="83"/>
      <c r="AG379" s="83"/>
      <c r="AH379" s="83"/>
      <c r="AI379" s="83"/>
      <c r="AJ379" s="83"/>
      <c r="AK379" s="83"/>
      <c r="AL379" s="83"/>
      <c r="AM379" s="83"/>
      <c r="AN379" s="83"/>
      <c r="AO379" s="83"/>
      <c r="AP379" s="83"/>
      <c r="AQ379" s="83"/>
      <c r="AR379" s="83"/>
      <c r="AS379" s="55">
        <f>'Messages Dictionary'!I389</f>
        <v>28</v>
      </c>
    </row>
    <row r="380" spans="1:45" s="27" customFormat="1" ht="71.25" hidden="1" x14ac:dyDescent="0.2">
      <c r="A380" s="28">
        <v>2084</v>
      </c>
      <c r="B380" s="9" t="s">
        <v>681</v>
      </c>
      <c r="C380" s="9" t="s">
        <v>682</v>
      </c>
      <c r="D380" s="9" t="s">
        <v>828</v>
      </c>
      <c r="E380" s="9" t="s">
        <v>829</v>
      </c>
      <c r="F380" s="9" t="s">
        <v>199</v>
      </c>
      <c r="G380" s="9" t="s">
        <v>412</v>
      </c>
      <c r="H380" s="9" t="s">
        <v>831</v>
      </c>
      <c r="I380" s="55">
        <f>'Messages Dictionary'!I390</f>
        <v>0</v>
      </c>
      <c r="J380" s="10">
        <f>'Messages Dictionary'!J390</f>
        <v>0.5</v>
      </c>
      <c r="K380" s="10">
        <f t="shared" si="5"/>
        <v>0</v>
      </c>
      <c r="L380" s="82"/>
      <c r="M380" s="82"/>
      <c r="N380" s="83"/>
      <c r="O380" s="83"/>
      <c r="P380" s="83"/>
      <c r="Q380" s="83"/>
      <c r="R380" s="83"/>
      <c r="S380" s="83"/>
      <c r="T380" s="83"/>
      <c r="U380" s="83"/>
      <c r="V380" s="83"/>
      <c r="W380" s="83"/>
      <c r="X380" s="83"/>
      <c r="Y380" s="83"/>
      <c r="Z380" s="83"/>
      <c r="AA380" s="83"/>
      <c r="AB380" s="83"/>
      <c r="AC380" s="83"/>
      <c r="AD380" s="83"/>
      <c r="AE380" s="83"/>
      <c r="AF380" s="83"/>
      <c r="AG380" s="83"/>
      <c r="AH380" s="83"/>
      <c r="AI380" s="83"/>
      <c r="AJ380" s="83"/>
      <c r="AK380" s="83"/>
      <c r="AL380" s="83"/>
      <c r="AM380" s="83"/>
      <c r="AN380" s="83"/>
      <c r="AO380" s="83"/>
      <c r="AP380" s="83"/>
      <c r="AQ380" s="83"/>
      <c r="AR380" s="83"/>
      <c r="AS380" s="55">
        <f>'Messages Dictionary'!I390</f>
        <v>0</v>
      </c>
    </row>
    <row r="381" spans="1:45" s="27" customFormat="1" ht="57" hidden="1" x14ac:dyDescent="0.2">
      <c r="A381" s="28">
        <v>2085</v>
      </c>
      <c r="B381" s="9" t="s">
        <v>683</v>
      </c>
      <c r="C381" s="9" t="s">
        <v>229</v>
      </c>
      <c r="D381" s="9" t="s">
        <v>828</v>
      </c>
      <c r="E381" s="9" t="s">
        <v>829</v>
      </c>
      <c r="F381" s="9" t="s">
        <v>199</v>
      </c>
      <c r="G381" s="9" t="s">
        <v>405</v>
      </c>
      <c r="H381" s="9" t="s">
        <v>428</v>
      </c>
      <c r="I381" s="55">
        <f>'Messages Dictionary'!I391</f>
        <v>0</v>
      </c>
      <c r="J381" s="10">
        <f>'Messages Dictionary'!J391</f>
        <v>1</v>
      </c>
      <c r="K381" s="10">
        <f t="shared" si="5"/>
        <v>0</v>
      </c>
      <c r="L381" s="82"/>
      <c r="M381" s="82"/>
      <c r="N381" s="83"/>
      <c r="O381" s="83"/>
      <c r="P381" s="83"/>
      <c r="Q381" s="83"/>
      <c r="R381" s="83"/>
      <c r="S381" s="83"/>
      <c r="T381" s="83"/>
      <c r="U381" s="83"/>
      <c r="V381" s="83"/>
      <c r="W381" s="83"/>
      <c r="X381" s="83"/>
      <c r="Y381" s="83"/>
      <c r="Z381" s="83"/>
      <c r="AA381" s="83"/>
      <c r="AB381" s="83"/>
      <c r="AC381" s="83"/>
      <c r="AD381" s="83"/>
      <c r="AE381" s="83"/>
      <c r="AF381" s="83"/>
      <c r="AG381" s="83"/>
      <c r="AH381" s="83"/>
      <c r="AI381" s="83"/>
      <c r="AJ381" s="83"/>
      <c r="AK381" s="83"/>
      <c r="AL381" s="83"/>
      <c r="AM381" s="83"/>
      <c r="AN381" s="83"/>
      <c r="AO381" s="83"/>
      <c r="AP381" s="83"/>
      <c r="AQ381" s="83"/>
      <c r="AR381" s="83"/>
      <c r="AS381" s="55">
        <f>'Messages Dictionary'!I391</f>
        <v>0</v>
      </c>
    </row>
    <row r="382" spans="1:45" s="27" customFormat="1" ht="42.75" hidden="1" x14ac:dyDescent="0.2">
      <c r="A382" s="28">
        <v>2086</v>
      </c>
      <c r="B382" s="9" t="s">
        <v>230</v>
      </c>
      <c r="C382" s="9" t="s">
        <v>231</v>
      </c>
      <c r="D382" s="9" t="s">
        <v>234</v>
      </c>
      <c r="E382" s="9" t="s">
        <v>235</v>
      </c>
      <c r="F382" s="9" t="s">
        <v>198</v>
      </c>
      <c r="G382" s="9" t="s">
        <v>809</v>
      </c>
      <c r="H382" s="9" t="s">
        <v>831</v>
      </c>
      <c r="I382" s="55">
        <f>'Messages Dictionary'!I392</f>
        <v>1</v>
      </c>
      <c r="J382" s="10">
        <f>'Messages Dictionary'!J392</f>
        <v>0</v>
      </c>
      <c r="K382" s="10">
        <f t="shared" si="5"/>
        <v>0</v>
      </c>
      <c r="L382" s="82"/>
      <c r="M382" s="82"/>
      <c r="N382" s="83"/>
      <c r="O382" s="83"/>
      <c r="P382" s="83"/>
      <c r="Q382" s="83"/>
      <c r="R382" s="83"/>
      <c r="S382" s="83"/>
      <c r="T382" s="83"/>
      <c r="U382" s="83"/>
      <c r="V382" s="83"/>
      <c r="W382" s="83"/>
      <c r="X382" s="83"/>
      <c r="Y382" s="83"/>
      <c r="Z382" s="83"/>
      <c r="AA382" s="83"/>
      <c r="AB382" s="83"/>
      <c r="AC382" s="83"/>
      <c r="AD382" s="83"/>
      <c r="AE382" s="83"/>
      <c r="AF382" s="83"/>
      <c r="AG382" s="83"/>
      <c r="AH382" s="83"/>
      <c r="AI382" s="83"/>
      <c r="AJ382" s="83"/>
      <c r="AK382" s="83"/>
      <c r="AL382" s="83"/>
      <c r="AM382" s="83"/>
      <c r="AN382" s="83"/>
      <c r="AO382" s="83"/>
      <c r="AP382" s="83"/>
      <c r="AQ382" s="83"/>
      <c r="AR382" s="83"/>
      <c r="AS382" s="55">
        <f>'Messages Dictionary'!I392</f>
        <v>1</v>
      </c>
    </row>
    <row r="383" spans="1:45" s="27" customFormat="1" ht="28.5" hidden="1" x14ac:dyDescent="0.2">
      <c r="A383" s="28">
        <v>2087</v>
      </c>
      <c r="B383" s="9" t="s">
        <v>236</v>
      </c>
      <c r="C383" s="9" t="s">
        <v>237</v>
      </c>
      <c r="D383" s="9" t="s">
        <v>404</v>
      </c>
      <c r="E383" s="9" t="s">
        <v>404</v>
      </c>
      <c r="F383" s="9" t="s">
        <v>199</v>
      </c>
      <c r="G383" s="9" t="s">
        <v>412</v>
      </c>
      <c r="H383" s="9" t="s">
        <v>831</v>
      </c>
      <c r="I383" s="55">
        <f>'Messages Dictionary'!I393</f>
        <v>0</v>
      </c>
      <c r="J383" s="10">
        <f>'Messages Dictionary'!J393</f>
        <v>0.5</v>
      </c>
      <c r="K383" s="10">
        <f t="shared" si="5"/>
        <v>0</v>
      </c>
      <c r="L383" s="82"/>
      <c r="M383" s="82"/>
      <c r="N383" s="83"/>
      <c r="O383" s="83"/>
      <c r="P383" s="83"/>
      <c r="Q383" s="83"/>
      <c r="R383" s="83"/>
      <c r="S383" s="83"/>
      <c r="T383" s="83"/>
      <c r="U383" s="83"/>
      <c r="V383" s="83"/>
      <c r="W383" s="83"/>
      <c r="X383" s="83"/>
      <c r="Y383" s="83"/>
      <c r="Z383" s="83"/>
      <c r="AA383" s="83"/>
      <c r="AB383" s="83"/>
      <c r="AC383" s="83"/>
      <c r="AD383" s="83"/>
      <c r="AE383" s="83"/>
      <c r="AF383" s="83"/>
      <c r="AG383" s="83"/>
      <c r="AH383" s="83"/>
      <c r="AI383" s="83"/>
      <c r="AJ383" s="83"/>
      <c r="AK383" s="83"/>
      <c r="AL383" s="83"/>
      <c r="AM383" s="83"/>
      <c r="AN383" s="83"/>
      <c r="AO383" s="83"/>
      <c r="AP383" s="83"/>
      <c r="AQ383" s="83"/>
      <c r="AR383" s="83"/>
      <c r="AS383" s="55">
        <f>'Messages Dictionary'!I393</f>
        <v>0</v>
      </c>
    </row>
    <row r="384" spans="1:45" s="27" customFormat="1" hidden="1" x14ac:dyDescent="0.2">
      <c r="A384" s="28">
        <v>2091</v>
      </c>
      <c r="B384" s="9" t="s">
        <v>238</v>
      </c>
      <c r="C384" s="9" t="s">
        <v>238</v>
      </c>
      <c r="D384" s="9" t="s">
        <v>821</v>
      </c>
      <c r="E384" s="9" t="s">
        <v>27</v>
      </c>
      <c r="F384" s="9" t="s">
        <v>199</v>
      </c>
      <c r="G384" s="9" t="s">
        <v>809</v>
      </c>
      <c r="H384" s="9" t="s">
        <v>831</v>
      </c>
      <c r="I384" s="55">
        <f>'Messages Dictionary'!I394</f>
        <v>0</v>
      </c>
      <c r="J384" s="10">
        <f>'Messages Dictionary'!J394</f>
        <v>1</v>
      </c>
      <c r="K384" s="10">
        <f t="shared" si="5"/>
        <v>0</v>
      </c>
      <c r="L384" s="82"/>
      <c r="M384" s="82"/>
      <c r="N384" s="83"/>
      <c r="O384" s="83"/>
      <c r="P384" s="83"/>
      <c r="Q384" s="83"/>
      <c r="R384" s="83"/>
      <c r="S384" s="83"/>
      <c r="T384" s="83"/>
      <c r="U384" s="83"/>
      <c r="V384" s="83"/>
      <c r="W384" s="83"/>
      <c r="X384" s="83"/>
      <c r="Y384" s="83"/>
      <c r="Z384" s="83"/>
      <c r="AA384" s="83"/>
      <c r="AB384" s="83"/>
      <c r="AC384" s="83"/>
      <c r="AD384" s="83"/>
      <c r="AE384" s="83"/>
      <c r="AF384" s="83"/>
      <c r="AG384" s="83"/>
      <c r="AH384" s="83"/>
      <c r="AI384" s="83"/>
      <c r="AJ384" s="83"/>
      <c r="AK384" s="83"/>
      <c r="AL384" s="83"/>
      <c r="AM384" s="83"/>
      <c r="AN384" s="83"/>
      <c r="AO384" s="83"/>
      <c r="AP384" s="83"/>
      <c r="AQ384" s="83"/>
      <c r="AR384" s="83"/>
      <c r="AS384" s="55">
        <f>'Messages Dictionary'!I394</f>
        <v>0</v>
      </c>
    </row>
    <row r="385" spans="1:45" s="27" customFormat="1" ht="28.5" hidden="1" x14ac:dyDescent="0.2">
      <c r="A385" s="28">
        <v>2092</v>
      </c>
      <c r="B385" s="9" t="s">
        <v>697</v>
      </c>
      <c r="C385" s="9" t="s">
        <v>697</v>
      </c>
      <c r="D385" s="9" t="s">
        <v>4</v>
      </c>
      <c r="E385" s="9" t="s">
        <v>24</v>
      </c>
      <c r="F385" s="9" t="s">
        <v>199</v>
      </c>
      <c r="G385" s="9" t="s">
        <v>412</v>
      </c>
      <c r="H385" s="9" t="s">
        <v>831</v>
      </c>
      <c r="I385" s="55">
        <f>'Messages Dictionary'!I395</f>
        <v>0</v>
      </c>
      <c r="J385" s="10">
        <f>'Messages Dictionary'!J395</f>
        <v>0.5</v>
      </c>
      <c r="K385" s="10">
        <f t="shared" si="5"/>
        <v>0</v>
      </c>
      <c r="L385" s="82"/>
      <c r="M385" s="82"/>
      <c r="N385" s="83"/>
      <c r="O385" s="83"/>
      <c r="P385" s="83"/>
      <c r="Q385" s="83"/>
      <c r="R385" s="83"/>
      <c r="S385" s="83"/>
      <c r="T385" s="83"/>
      <c r="U385" s="83"/>
      <c r="V385" s="83"/>
      <c r="W385" s="83"/>
      <c r="X385" s="83"/>
      <c r="Y385" s="83"/>
      <c r="Z385" s="83"/>
      <c r="AA385" s="83"/>
      <c r="AB385" s="83"/>
      <c r="AC385" s="83"/>
      <c r="AD385" s="83"/>
      <c r="AE385" s="83"/>
      <c r="AF385" s="83"/>
      <c r="AG385" s="83"/>
      <c r="AH385" s="83"/>
      <c r="AI385" s="83"/>
      <c r="AJ385" s="83"/>
      <c r="AK385" s="83"/>
      <c r="AL385" s="83"/>
      <c r="AM385" s="83"/>
      <c r="AN385" s="83"/>
      <c r="AO385" s="83"/>
      <c r="AP385" s="83"/>
      <c r="AQ385" s="83"/>
      <c r="AR385" s="83"/>
      <c r="AS385" s="55">
        <f>'Messages Dictionary'!I395</f>
        <v>0</v>
      </c>
    </row>
    <row r="386" spans="1:45" s="27" customFormat="1" ht="28.5" hidden="1" x14ac:dyDescent="0.2">
      <c r="A386" s="28">
        <v>3001</v>
      </c>
      <c r="B386" s="9" t="s">
        <v>698</v>
      </c>
      <c r="C386" s="9" t="s">
        <v>699</v>
      </c>
      <c r="D386" s="9" t="s">
        <v>121</v>
      </c>
      <c r="E386" s="9" t="s">
        <v>122</v>
      </c>
      <c r="F386" s="9" t="s">
        <v>200</v>
      </c>
      <c r="G386" s="9" t="s">
        <v>809</v>
      </c>
      <c r="H386" s="9" t="s">
        <v>831</v>
      </c>
      <c r="I386" s="55">
        <f>'Messages Dictionary'!I398</f>
        <v>117</v>
      </c>
      <c r="J386" s="10">
        <f>'Messages Dictionary'!J398</f>
        <v>0</v>
      </c>
      <c r="K386" s="10">
        <f t="shared" ref="K386:K449" si="6">I386*J386</f>
        <v>0</v>
      </c>
      <c r="L386" s="82"/>
      <c r="M386" s="82"/>
      <c r="N386" s="83"/>
      <c r="O386" s="83"/>
      <c r="P386" s="83"/>
      <c r="Q386" s="83"/>
      <c r="R386" s="83"/>
      <c r="S386" s="83"/>
      <c r="T386" s="83"/>
      <c r="U386" s="83"/>
      <c r="V386" s="83"/>
      <c r="W386" s="83"/>
      <c r="X386" s="83"/>
      <c r="Y386" s="83"/>
      <c r="Z386" s="83"/>
      <c r="AA386" s="83"/>
      <c r="AB386" s="83"/>
      <c r="AC386" s="83"/>
      <c r="AD386" s="83"/>
      <c r="AE386" s="83"/>
      <c r="AF386" s="83"/>
      <c r="AG386" s="83"/>
      <c r="AH386" s="83"/>
      <c r="AI386" s="83"/>
      <c r="AJ386" s="83"/>
      <c r="AK386" s="83"/>
      <c r="AL386" s="83"/>
      <c r="AM386" s="83"/>
      <c r="AN386" s="83"/>
      <c r="AO386" s="83"/>
      <c r="AP386" s="83"/>
      <c r="AQ386" s="83"/>
      <c r="AR386" s="83"/>
      <c r="AS386" s="55">
        <f>'Messages Dictionary'!I398</f>
        <v>117</v>
      </c>
    </row>
    <row r="387" spans="1:45" s="27" customFormat="1" ht="28.5" hidden="1" x14ac:dyDescent="0.2">
      <c r="A387" s="28">
        <v>3002</v>
      </c>
      <c r="B387" s="9" t="s">
        <v>700</v>
      </c>
      <c r="C387" s="9" t="s">
        <v>701</v>
      </c>
      <c r="D387" s="9" t="s">
        <v>234</v>
      </c>
      <c r="E387" s="9" t="s">
        <v>702</v>
      </c>
      <c r="F387" s="9" t="s">
        <v>200</v>
      </c>
      <c r="G387" s="9" t="s">
        <v>809</v>
      </c>
      <c r="H387" s="9" t="s">
        <v>831</v>
      </c>
      <c r="I387" s="55">
        <f>'Messages Dictionary'!I399</f>
        <v>9</v>
      </c>
      <c r="J387" s="10">
        <f>'Messages Dictionary'!J399</f>
        <v>0</v>
      </c>
      <c r="K387" s="10">
        <f t="shared" si="6"/>
        <v>0</v>
      </c>
      <c r="L387" s="82"/>
      <c r="M387" s="82"/>
      <c r="N387" s="83"/>
      <c r="O387" s="83"/>
      <c r="P387" s="83"/>
      <c r="Q387" s="83"/>
      <c r="R387" s="83"/>
      <c r="S387" s="83"/>
      <c r="T387" s="83"/>
      <c r="U387" s="83"/>
      <c r="V387" s="83"/>
      <c r="W387" s="83"/>
      <c r="X387" s="83"/>
      <c r="Y387" s="83"/>
      <c r="Z387" s="83"/>
      <c r="AA387" s="83"/>
      <c r="AB387" s="83"/>
      <c r="AC387" s="83"/>
      <c r="AD387" s="83"/>
      <c r="AE387" s="83"/>
      <c r="AF387" s="83"/>
      <c r="AG387" s="83"/>
      <c r="AH387" s="83"/>
      <c r="AI387" s="83"/>
      <c r="AJ387" s="83"/>
      <c r="AK387" s="83"/>
      <c r="AL387" s="83"/>
      <c r="AM387" s="83"/>
      <c r="AN387" s="83"/>
      <c r="AO387" s="83"/>
      <c r="AP387" s="83"/>
      <c r="AQ387" s="83"/>
      <c r="AR387" s="83"/>
      <c r="AS387" s="55">
        <f>'Messages Dictionary'!I399</f>
        <v>9</v>
      </c>
    </row>
    <row r="388" spans="1:45" s="27" customFormat="1" ht="42.75" hidden="1" x14ac:dyDescent="0.2">
      <c r="A388" s="28">
        <v>3003</v>
      </c>
      <c r="B388" s="9" t="s">
        <v>244</v>
      </c>
      <c r="C388" s="9" t="s">
        <v>245</v>
      </c>
      <c r="D388" s="9" t="s">
        <v>234</v>
      </c>
      <c r="E388" s="9" t="s">
        <v>702</v>
      </c>
      <c r="F388" s="9" t="s">
        <v>200</v>
      </c>
      <c r="G388" s="9" t="s">
        <v>809</v>
      </c>
      <c r="H388" s="9" t="s">
        <v>831</v>
      </c>
      <c r="I388" s="55">
        <f>'Messages Dictionary'!I400</f>
        <v>0</v>
      </c>
      <c r="J388" s="10">
        <f>'Messages Dictionary'!J400</f>
        <v>0</v>
      </c>
      <c r="K388" s="10">
        <f t="shared" si="6"/>
        <v>0</v>
      </c>
      <c r="L388" s="82"/>
      <c r="M388" s="82"/>
      <c r="N388" s="83"/>
      <c r="O388" s="83"/>
      <c r="P388" s="83"/>
      <c r="Q388" s="83"/>
      <c r="R388" s="83"/>
      <c r="S388" s="83"/>
      <c r="T388" s="83"/>
      <c r="U388" s="83"/>
      <c r="V388" s="83"/>
      <c r="W388" s="83"/>
      <c r="X388" s="83"/>
      <c r="Y388" s="83"/>
      <c r="Z388" s="83"/>
      <c r="AA388" s="83"/>
      <c r="AB388" s="83"/>
      <c r="AC388" s="83"/>
      <c r="AD388" s="83"/>
      <c r="AE388" s="83"/>
      <c r="AF388" s="83"/>
      <c r="AG388" s="83"/>
      <c r="AH388" s="83"/>
      <c r="AI388" s="83"/>
      <c r="AJ388" s="83"/>
      <c r="AK388" s="83"/>
      <c r="AL388" s="83"/>
      <c r="AM388" s="83"/>
      <c r="AN388" s="83"/>
      <c r="AO388" s="83"/>
      <c r="AP388" s="83"/>
      <c r="AQ388" s="83"/>
      <c r="AR388" s="83"/>
      <c r="AS388" s="55">
        <f>'Messages Dictionary'!I400</f>
        <v>0</v>
      </c>
    </row>
    <row r="389" spans="1:45" s="27" customFormat="1" ht="57" hidden="1" x14ac:dyDescent="0.2">
      <c r="A389" s="28">
        <v>3004</v>
      </c>
      <c r="B389" s="9" t="s">
        <v>246</v>
      </c>
      <c r="C389" s="9" t="s">
        <v>247</v>
      </c>
      <c r="D389" s="9" t="s">
        <v>234</v>
      </c>
      <c r="E389" s="9" t="s">
        <v>702</v>
      </c>
      <c r="F389" s="9" t="s">
        <v>198</v>
      </c>
      <c r="G389" s="9" t="s">
        <v>809</v>
      </c>
      <c r="H389" s="9" t="s">
        <v>831</v>
      </c>
      <c r="I389" s="55">
        <f>'Messages Dictionary'!I401</f>
        <v>58</v>
      </c>
      <c r="J389" s="10">
        <f>'Messages Dictionary'!J401</f>
        <v>0</v>
      </c>
      <c r="K389" s="10">
        <f t="shared" si="6"/>
        <v>0</v>
      </c>
      <c r="L389" s="82"/>
      <c r="M389" s="82"/>
      <c r="N389" s="83"/>
      <c r="O389" s="83"/>
      <c r="P389" s="83"/>
      <c r="Q389" s="83"/>
      <c r="R389" s="83"/>
      <c r="S389" s="83"/>
      <c r="T389" s="83"/>
      <c r="U389" s="83"/>
      <c r="V389" s="83"/>
      <c r="W389" s="83"/>
      <c r="X389" s="83"/>
      <c r="Y389" s="83"/>
      <c r="Z389" s="83"/>
      <c r="AA389" s="83"/>
      <c r="AB389" s="83"/>
      <c r="AC389" s="83"/>
      <c r="AD389" s="83"/>
      <c r="AE389" s="83"/>
      <c r="AF389" s="83"/>
      <c r="AG389" s="83"/>
      <c r="AH389" s="83"/>
      <c r="AI389" s="83"/>
      <c r="AJ389" s="83"/>
      <c r="AK389" s="83"/>
      <c r="AL389" s="83"/>
      <c r="AM389" s="83"/>
      <c r="AN389" s="83"/>
      <c r="AO389" s="83"/>
      <c r="AP389" s="83"/>
      <c r="AQ389" s="83"/>
      <c r="AR389" s="83"/>
      <c r="AS389" s="55">
        <f>'Messages Dictionary'!I401</f>
        <v>58</v>
      </c>
    </row>
    <row r="390" spans="1:45" s="27" customFormat="1" ht="57" hidden="1" x14ac:dyDescent="0.2">
      <c r="A390" s="28">
        <v>3005</v>
      </c>
      <c r="B390" s="9" t="s">
        <v>248</v>
      </c>
      <c r="C390" s="9" t="s">
        <v>249</v>
      </c>
      <c r="D390" s="9" t="s">
        <v>234</v>
      </c>
      <c r="E390" s="9" t="s">
        <v>702</v>
      </c>
      <c r="F390" s="9" t="s">
        <v>199</v>
      </c>
      <c r="G390" s="9" t="s">
        <v>809</v>
      </c>
      <c r="H390" s="9" t="s">
        <v>831</v>
      </c>
      <c r="I390" s="55">
        <f>'Messages Dictionary'!I402</f>
        <v>0</v>
      </c>
      <c r="J390" s="10">
        <f>'Messages Dictionary'!J402</f>
        <v>0</v>
      </c>
      <c r="K390" s="10">
        <f t="shared" si="6"/>
        <v>0</v>
      </c>
      <c r="L390" s="82"/>
      <c r="M390" s="82"/>
      <c r="N390" s="83"/>
      <c r="O390" s="83"/>
      <c r="P390" s="83"/>
      <c r="Q390" s="83"/>
      <c r="R390" s="83"/>
      <c r="S390" s="83"/>
      <c r="T390" s="83"/>
      <c r="U390" s="83"/>
      <c r="V390" s="83"/>
      <c r="W390" s="83"/>
      <c r="X390" s="83"/>
      <c r="Y390" s="83"/>
      <c r="Z390" s="83"/>
      <c r="AA390" s="83"/>
      <c r="AB390" s="83"/>
      <c r="AC390" s="83"/>
      <c r="AD390" s="83"/>
      <c r="AE390" s="83"/>
      <c r="AF390" s="83"/>
      <c r="AG390" s="83"/>
      <c r="AH390" s="83"/>
      <c r="AI390" s="83"/>
      <c r="AJ390" s="83"/>
      <c r="AK390" s="83"/>
      <c r="AL390" s="83"/>
      <c r="AM390" s="83"/>
      <c r="AN390" s="83"/>
      <c r="AO390" s="83"/>
      <c r="AP390" s="83"/>
      <c r="AQ390" s="83"/>
      <c r="AR390" s="83"/>
      <c r="AS390" s="55">
        <f>'Messages Dictionary'!I402</f>
        <v>0</v>
      </c>
    </row>
    <row r="391" spans="1:45" s="27" customFormat="1" ht="57" hidden="1" x14ac:dyDescent="0.2">
      <c r="A391" s="28">
        <v>3006</v>
      </c>
      <c r="B391" s="9" t="s">
        <v>250</v>
      </c>
      <c r="C391" s="9" t="s">
        <v>251</v>
      </c>
      <c r="D391" s="9" t="s">
        <v>234</v>
      </c>
      <c r="E391" s="9" t="s">
        <v>702</v>
      </c>
      <c r="F391" s="9" t="s">
        <v>199</v>
      </c>
      <c r="G391" s="9" t="s">
        <v>809</v>
      </c>
      <c r="H391" s="9" t="s">
        <v>831</v>
      </c>
      <c r="I391" s="55">
        <f>'Messages Dictionary'!I403</f>
        <v>0</v>
      </c>
      <c r="J391" s="10">
        <f>'Messages Dictionary'!J403</f>
        <v>0</v>
      </c>
      <c r="K391" s="10">
        <f t="shared" si="6"/>
        <v>0</v>
      </c>
      <c r="L391" s="82"/>
      <c r="M391" s="82"/>
      <c r="N391" s="83"/>
      <c r="O391" s="83"/>
      <c r="P391" s="83"/>
      <c r="Q391" s="83"/>
      <c r="R391" s="83"/>
      <c r="S391" s="83"/>
      <c r="T391" s="83"/>
      <c r="U391" s="83"/>
      <c r="V391" s="83"/>
      <c r="W391" s="83"/>
      <c r="X391" s="83"/>
      <c r="Y391" s="83"/>
      <c r="Z391" s="83"/>
      <c r="AA391" s="83"/>
      <c r="AB391" s="83"/>
      <c r="AC391" s="83"/>
      <c r="AD391" s="83"/>
      <c r="AE391" s="83"/>
      <c r="AF391" s="83"/>
      <c r="AG391" s="83"/>
      <c r="AH391" s="83"/>
      <c r="AI391" s="83"/>
      <c r="AJ391" s="83"/>
      <c r="AK391" s="83"/>
      <c r="AL391" s="83"/>
      <c r="AM391" s="83"/>
      <c r="AN391" s="83"/>
      <c r="AO391" s="83"/>
      <c r="AP391" s="83"/>
      <c r="AQ391" s="83"/>
      <c r="AR391" s="83"/>
      <c r="AS391" s="55">
        <f>'Messages Dictionary'!I403</f>
        <v>0</v>
      </c>
    </row>
    <row r="392" spans="1:45" s="27" customFormat="1" ht="71.25" hidden="1" x14ac:dyDescent="0.2">
      <c r="A392" s="28">
        <v>3007</v>
      </c>
      <c r="B392" s="9" t="s">
        <v>252</v>
      </c>
      <c r="C392" s="9" t="s">
        <v>253</v>
      </c>
      <c r="D392" s="9" t="s">
        <v>234</v>
      </c>
      <c r="E392" s="9" t="s">
        <v>702</v>
      </c>
      <c r="F392" s="9" t="s">
        <v>198</v>
      </c>
      <c r="G392" s="9" t="s">
        <v>809</v>
      </c>
      <c r="H392" s="9" t="s">
        <v>831</v>
      </c>
      <c r="I392" s="55">
        <f>'Messages Dictionary'!I404</f>
        <v>2</v>
      </c>
      <c r="J392" s="10">
        <f>'Messages Dictionary'!J404</f>
        <v>0</v>
      </c>
      <c r="K392" s="10">
        <f t="shared" si="6"/>
        <v>0</v>
      </c>
      <c r="L392" s="82"/>
      <c r="M392" s="82"/>
      <c r="N392" s="83"/>
      <c r="O392" s="83"/>
      <c r="P392" s="83"/>
      <c r="Q392" s="83"/>
      <c r="R392" s="83"/>
      <c r="S392" s="83"/>
      <c r="T392" s="83"/>
      <c r="U392" s="83"/>
      <c r="V392" s="83"/>
      <c r="W392" s="83"/>
      <c r="X392" s="83"/>
      <c r="Y392" s="83"/>
      <c r="Z392" s="83"/>
      <c r="AA392" s="83"/>
      <c r="AB392" s="83"/>
      <c r="AC392" s="83"/>
      <c r="AD392" s="83"/>
      <c r="AE392" s="83"/>
      <c r="AF392" s="83"/>
      <c r="AG392" s="83"/>
      <c r="AH392" s="83"/>
      <c r="AI392" s="83"/>
      <c r="AJ392" s="83"/>
      <c r="AK392" s="83"/>
      <c r="AL392" s="83"/>
      <c r="AM392" s="83"/>
      <c r="AN392" s="83"/>
      <c r="AO392" s="83"/>
      <c r="AP392" s="83"/>
      <c r="AQ392" s="83"/>
      <c r="AR392" s="83"/>
      <c r="AS392" s="55">
        <f>'Messages Dictionary'!I404</f>
        <v>2</v>
      </c>
    </row>
    <row r="393" spans="1:45" s="27" customFormat="1" ht="57" hidden="1" x14ac:dyDescent="0.2">
      <c r="A393" s="28">
        <v>3008</v>
      </c>
      <c r="B393" s="9" t="s">
        <v>254</v>
      </c>
      <c r="C393" s="9" t="s">
        <v>255</v>
      </c>
      <c r="D393" s="9" t="s">
        <v>234</v>
      </c>
      <c r="E393" s="9" t="s">
        <v>702</v>
      </c>
      <c r="F393" s="9" t="s">
        <v>199</v>
      </c>
      <c r="G393" s="9" t="s">
        <v>809</v>
      </c>
      <c r="H393" s="9" t="s">
        <v>831</v>
      </c>
      <c r="I393" s="55">
        <f>'Messages Dictionary'!I405</f>
        <v>0</v>
      </c>
      <c r="J393" s="10">
        <f>'Messages Dictionary'!J405</f>
        <v>0</v>
      </c>
      <c r="K393" s="10">
        <f t="shared" si="6"/>
        <v>0</v>
      </c>
      <c r="L393" s="82"/>
      <c r="M393" s="82"/>
      <c r="N393" s="83"/>
      <c r="O393" s="83"/>
      <c r="P393" s="83"/>
      <c r="Q393" s="83"/>
      <c r="R393" s="83"/>
      <c r="S393" s="83"/>
      <c r="T393" s="83"/>
      <c r="U393" s="83"/>
      <c r="V393" s="83"/>
      <c r="W393" s="83"/>
      <c r="X393" s="83"/>
      <c r="Y393" s="83"/>
      <c r="Z393" s="83"/>
      <c r="AA393" s="83"/>
      <c r="AB393" s="83"/>
      <c r="AC393" s="83"/>
      <c r="AD393" s="83"/>
      <c r="AE393" s="83"/>
      <c r="AF393" s="83"/>
      <c r="AG393" s="83"/>
      <c r="AH393" s="83"/>
      <c r="AI393" s="83"/>
      <c r="AJ393" s="83"/>
      <c r="AK393" s="83"/>
      <c r="AL393" s="83"/>
      <c r="AM393" s="83"/>
      <c r="AN393" s="83"/>
      <c r="AO393" s="83"/>
      <c r="AP393" s="83"/>
      <c r="AQ393" s="83"/>
      <c r="AR393" s="83"/>
      <c r="AS393" s="55">
        <f>'Messages Dictionary'!I405</f>
        <v>0</v>
      </c>
    </row>
    <row r="394" spans="1:45" s="27" customFormat="1" ht="57" hidden="1" x14ac:dyDescent="0.2">
      <c r="A394" s="28">
        <v>3009</v>
      </c>
      <c r="B394" s="9" t="s">
        <v>256</v>
      </c>
      <c r="C394" s="9" t="s">
        <v>257</v>
      </c>
      <c r="D394" s="9" t="s">
        <v>234</v>
      </c>
      <c r="E394" s="9" t="s">
        <v>702</v>
      </c>
      <c r="F394" s="9" t="s">
        <v>199</v>
      </c>
      <c r="G394" s="9" t="s">
        <v>809</v>
      </c>
      <c r="H394" s="9" t="s">
        <v>831</v>
      </c>
      <c r="I394" s="55">
        <f>'Messages Dictionary'!I406</f>
        <v>0</v>
      </c>
      <c r="J394" s="10">
        <f>'Messages Dictionary'!J406</f>
        <v>0</v>
      </c>
      <c r="K394" s="10">
        <f t="shared" si="6"/>
        <v>0</v>
      </c>
      <c r="L394" s="82"/>
      <c r="M394" s="82"/>
      <c r="N394" s="83"/>
      <c r="O394" s="83"/>
      <c r="P394" s="83"/>
      <c r="Q394" s="83"/>
      <c r="R394" s="83"/>
      <c r="S394" s="83"/>
      <c r="T394" s="83"/>
      <c r="U394" s="83"/>
      <c r="V394" s="83"/>
      <c r="W394" s="83"/>
      <c r="X394" s="83"/>
      <c r="Y394" s="83"/>
      <c r="Z394" s="83"/>
      <c r="AA394" s="83"/>
      <c r="AB394" s="83"/>
      <c r="AC394" s="83"/>
      <c r="AD394" s="83"/>
      <c r="AE394" s="83"/>
      <c r="AF394" s="83"/>
      <c r="AG394" s="83"/>
      <c r="AH394" s="83"/>
      <c r="AI394" s="83"/>
      <c r="AJ394" s="83"/>
      <c r="AK394" s="83"/>
      <c r="AL394" s="83"/>
      <c r="AM394" s="83"/>
      <c r="AN394" s="83"/>
      <c r="AO394" s="83"/>
      <c r="AP394" s="83"/>
      <c r="AQ394" s="83"/>
      <c r="AR394" s="83"/>
      <c r="AS394" s="55">
        <f>'Messages Dictionary'!I406</f>
        <v>0</v>
      </c>
    </row>
    <row r="395" spans="1:45" s="27" customFormat="1" ht="57" hidden="1" x14ac:dyDescent="0.2">
      <c r="A395" s="28">
        <v>3010</v>
      </c>
      <c r="B395" s="9" t="s">
        <v>256</v>
      </c>
      <c r="C395" s="9" t="s">
        <v>257</v>
      </c>
      <c r="D395" s="9" t="s">
        <v>234</v>
      </c>
      <c r="E395" s="9" t="s">
        <v>702</v>
      </c>
      <c r="F395" s="9" t="s">
        <v>199</v>
      </c>
      <c r="G395" s="9" t="s">
        <v>809</v>
      </c>
      <c r="H395" s="9" t="s">
        <v>831</v>
      </c>
      <c r="I395" s="55">
        <f>'Messages Dictionary'!I407</f>
        <v>11</v>
      </c>
      <c r="J395" s="10">
        <f>'Messages Dictionary'!J407</f>
        <v>0</v>
      </c>
      <c r="K395" s="10">
        <f t="shared" si="6"/>
        <v>0</v>
      </c>
      <c r="L395" s="82"/>
      <c r="M395" s="82"/>
      <c r="N395" s="83"/>
      <c r="O395" s="83"/>
      <c r="P395" s="83"/>
      <c r="Q395" s="83"/>
      <c r="R395" s="83"/>
      <c r="S395" s="83"/>
      <c r="T395" s="83"/>
      <c r="U395" s="83"/>
      <c r="V395" s="83"/>
      <c r="W395" s="83"/>
      <c r="X395" s="83"/>
      <c r="Y395" s="83"/>
      <c r="Z395" s="83"/>
      <c r="AA395" s="83"/>
      <c r="AB395" s="83"/>
      <c r="AC395" s="83"/>
      <c r="AD395" s="83"/>
      <c r="AE395" s="83"/>
      <c r="AF395" s="83"/>
      <c r="AG395" s="83"/>
      <c r="AH395" s="83"/>
      <c r="AI395" s="83"/>
      <c r="AJ395" s="83"/>
      <c r="AK395" s="83"/>
      <c r="AL395" s="83"/>
      <c r="AM395" s="83"/>
      <c r="AN395" s="83"/>
      <c r="AO395" s="83"/>
      <c r="AP395" s="83"/>
      <c r="AQ395" s="83"/>
      <c r="AR395" s="83"/>
      <c r="AS395" s="55">
        <f>'Messages Dictionary'!I407</f>
        <v>11</v>
      </c>
    </row>
    <row r="396" spans="1:45" s="27" customFormat="1" ht="57" hidden="1" x14ac:dyDescent="0.2">
      <c r="A396" s="28">
        <v>3011</v>
      </c>
      <c r="B396" s="9" t="s">
        <v>256</v>
      </c>
      <c r="C396" s="9" t="s">
        <v>257</v>
      </c>
      <c r="D396" s="9" t="s">
        <v>234</v>
      </c>
      <c r="E396" s="9" t="s">
        <v>702</v>
      </c>
      <c r="F396" s="9" t="s">
        <v>199</v>
      </c>
      <c r="G396" s="9" t="s">
        <v>809</v>
      </c>
      <c r="H396" s="9" t="s">
        <v>831</v>
      </c>
      <c r="I396" s="55">
        <f>'Messages Dictionary'!I408</f>
        <v>0</v>
      </c>
      <c r="J396" s="10">
        <f>'Messages Dictionary'!J408</f>
        <v>0</v>
      </c>
      <c r="K396" s="10">
        <f t="shared" si="6"/>
        <v>0</v>
      </c>
      <c r="L396" s="82"/>
      <c r="M396" s="82"/>
      <c r="N396" s="83"/>
      <c r="O396" s="83"/>
      <c r="P396" s="83"/>
      <c r="Q396" s="83"/>
      <c r="R396" s="83"/>
      <c r="S396" s="83"/>
      <c r="T396" s="83"/>
      <c r="U396" s="83"/>
      <c r="V396" s="83"/>
      <c r="W396" s="83"/>
      <c r="X396" s="83"/>
      <c r="Y396" s="83"/>
      <c r="Z396" s="83"/>
      <c r="AA396" s="83"/>
      <c r="AB396" s="83"/>
      <c r="AC396" s="83"/>
      <c r="AD396" s="83"/>
      <c r="AE396" s="83"/>
      <c r="AF396" s="83"/>
      <c r="AG396" s="83"/>
      <c r="AH396" s="83"/>
      <c r="AI396" s="83"/>
      <c r="AJ396" s="83"/>
      <c r="AK396" s="83"/>
      <c r="AL396" s="83"/>
      <c r="AM396" s="83"/>
      <c r="AN396" s="83"/>
      <c r="AO396" s="83"/>
      <c r="AP396" s="83"/>
      <c r="AQ396" s="83"/>
      <c r="AR396" s="83"/>
      <c r="AS396" s="55">
        <f>'Messages Dictionary'!I408</f>
        <v>0</v>
      </c>
    </row>
    <row r="397" spans="1:45" s="27" customFormat="1" ht="57" hidden="1" x14ac:dyDescent="0.2">
      <c r="A397" s="28">
        <v>3012</v>
      </c>
      <c r="B397" s="9" t="s">
        <v>258</v>
      </c>
      <c r="C397" s="9" t="s">
        <v>257</v>
      </c>
      <c r="D397" s="9" t="s">
        <v>234</v>
      </c>
      <c r="E397" s="9" t="s">
        <v>702</v>
      </c>
      <c r="F397" s="9" t="s">
        <v>199</v>
      </c>
      <c r="G397" s="9" t="s">
        <v>809</v>
      </c>
      <c r="H397" s="9" t="s">
        <v>831</v>
      </c>
      <c r="I397" s="55">
        <f>'Messages Dictionary'!I409</f>
        <v>0</v>
      </c>
      <c r="J397" s="10">
        <f>'Messages Dictionary'!J409</f>
        <v>0</v>
      </c>
      <c r="K397" s="10">
        <f t="shared" si="6"/>
        <v>0</v>
      </c>
      <c r="L397" s="82"/>
      <c r="M397" s="82"/>
      <c r="N397" s="83"/>
      <c r="O397" s="83"/>
      <c r="P397" s="83"/>
      <c r="Q397" s="83"/>
      <c r="R397" s="83"/>
      <c r="S397" s="83"/>
      <c r="T397" s="83"/>
      <c r="U397" s="83"/>
      <c r="V397" s="83"/>
      <c r="W397" s="83"/>
      <c r="X397" s="83"/>
      <c r="Y397" s="83"/>
      <c r="Z397" s="83"/>
      <c r="AA397" s="83"/>
      <c r="AB397" s="83"/>
      <c r="AC397" s="83"/>
      <c r="AD397" s="83"/>
      <c r="AE397" s="83"/>
      <c r="AF397" s="83"/>
      <c r="AG397" s="83"/>
      <c r="AH397" s="83"/>
      <c r="AI397" s="83"/>
      <c r="AJ397" s="83"/>
      <c r="AK397" s="83"/>
      <c r="AL397" s="83"/>
      <c r="AM397" s="83"/>
      <c r="AN397" s="83"/>
      <c r="AO397" s="83"/>
      <c r="AP397" s="83"/>
      <c r="AQ397" s="83"/>
      <c r="AR397" s="83"/>
      <c r="AS397" s="55">
        <f>'Messages Dictionary'!I409</f>
        <v>0</v>
      </c>
    </row>
    <row r="398" spans="1:45" s="27" customFormat="1" ht="57" hidden="1" x14ac:dyDescent="0.2">
      <c r="A398" s="28">
        <v>3013</v>
      </c>
      <c r="B398" s="9" t="s">
        <v>256</v>
      </c>
      <c r="C398" s="9" t="s">
        <v>257</v>
      </c>
      <c r="D398" s="9" t="s">
        <v>234</v>
      </c>
      <c r="E398" s="9" t="s">
        <v>702</v>
      </c>
      <c r="F398" s="9" t="s">
        <v>198</v>
      </c>
      <c r="G398" s="9" t="s">
        <v>809</v>
      </c>
      <c r="H398" s="9" t="s">
        <v>831</v>
      </c>
      <c r="I398" s="55">
        <f>'Messages Dictionary'!I410</f>
        <v>3</v>
      </c>
      <c r="J398" s="10">
        <f>'Messages Dictionary'!J410</f>
        <v>0</v>
      </c>
      <c r="K398" s="10">
        <f t="shared" si="6"/>
        <v>0</v>
      </c>
      <c r="L398" s="82"/>
      <c r="M398" s="82"/>
      <c r="N398" s="83"/>
      <c r="O398" s="83"/>
      <c r="P398" s="83"/>
      <c r="Q398" s="83"/>
      <c r="R398" s="83"/>
      <c r="S398" s="83"/>
      <c r="T398" s="83"/>
      <c r="U398" s="83"/>
      <c r="V398" s="83"/>
      <c r="W398" s="83"/>
      <c r="X398" s="83"/>
      <c r="Y398" s="83"/>
      <c r="Z398" s="83"/>
      <c r="AA398" s="83"/>
      <c r="AB398" s="83"/>
      <c r="AC398" s="83"/>
      <c r="AD398" s="83"/>
      <c r="AE398" s="83"/>
      <c r="AF398" s="83"/>
      <c r="AG398" s="83"/>
      <c r="AH398" s="83"/>
      <c r="AI398" s="83"/>
      <c r="AJ398" s="83"/>
      <c r="AK398" s="83"/>
      <c r="AL398" s="83"/>
      <c r="AM398" s="83"/>
      <c r="AN398" s="83"/>
      <c r="AO398" s="83"/>
      <c r="AP398" s="83"/>
      <c r="AQ398" s="83"/>
      <c r="AR398" s="83"/>
      <c r="AS398" s="55">
        <f>'Messages Dictionary'!I410</f>
        <v>3</v>
      </c>
    </row>
    <row r="399" spans="1:45" s="27" customFormat="1" ht="57" hidden="1" x14ac:dyDescent="0.2">
      <c r="A399" s="28">
        <v>3014</v>
      </c>
      <c r="B399" s="9" t="s">
        <v>256</v>
      </c>
      <c r="C399" s="9" t="s">
        <v>257</v>
      </c>
      <c r="D399" s="9" t="s">
        <v>234</v>
      </c>
      <c r="E399" s="9" t="s">
        <v>702</v>
      </c>
      <c r="F399" s="9" t="s">
        <v>198</v>
      </c>
      <c r="G399" s="9" t="s">
        <v>809</v>
      </c>
      <c r="H399" s="9" t="s">
        <v>831</v>
      </c>
      <c r="I399" s="55">
        <f>'Messages Dictionary'!I411</f>
        <v>0</v>
      </c>
      <c r="J399" s="10">
        <f>'Messages Dictionary'!J411</f>
        <v>0</v>
      </c>
      <c r="K399" s="10">
        <f t="shared" si="6"/>
        <v>0</v>
      </c>
      <c r="L399" s="82"/>
      <c r="M399" s="82"/>
      <c r="N399" s="83"/>
      <c r="O399" s="83"/>
      <c r="P399" s="83"/>
      <c r="Q399" s="83"/>
      <c r="R399" s="83"/>
      <c r="S399" s="83"/>
      <c r="T399" s="83"/>
      <c r="U399" s="83"/>
      <c r="V399" s="83"/>
      <c r="W399" s="83"/>
      <c r="X399" s="83"/>
      <c r="Y399" s="83"/>
      <c r="Z399" s="83"/>
      <c r="AA399" s="83"/>
      <c r="AB399" s="83"/>
      <c r="AC399" s="83"/>
      <c r="AD399" s="83"/>
      <c r="AE399" s="83"/>
      <c r="AF399" s="83"/>
      <c r="AG399" s="83"/>
      <c r="AH399" s="83"/>
      <c r="AI399" s="83"/>
      <c r="AJ399" s="83"/>
      <c r="AK399" s="83"/>
      <c r="AL399" s="83"/>
      <c r="AM399" s="83"/>
      <c r="AN399" s="83"/>
      <c r="AO399" s="83"/>
      <c r="AP399" s="83"/>
      <c r="AQ399" s="83"/>
      <c r="AR399" s="83"/>
      <c r="AS399" s="55">
        <f>'Messages Dictionary'!I411</f>
        <v>0</v>
      </c>
    </row>
    <row r="400" spans="1:45" s="27" customFormat="1" ht="57" hidden="1" x14ac:dyDescent="0.2">
      <c r="A400" s="28">
        <v>3015</v>
      </c>
      <c r="B400" s="9" t="s">
        <v>256</v>
      </c>
      <c r="C400" s="9" t="s">
        <v>257</v>
      </c>
      <c r="D400" s="9" t="s">
        <v>234</v>
      </c>
      <c r="E400" s="9" t="s">
        <v>702</v>
      </c>
      <c r="F400" s="9" t="s">
        <v>199</v>
      </c>
      <c r="G400" s="9" t="s">
        <v>809</v>
      </c>
      <c r="H400" s="9" t="s">
        <v>831</v>
      </c>
      <c r="I400" s="55">
        <f>'Messages Dictionary'!I412</f>
        <v>0</v>
      </c>
      <c r="J400" s="10">
        <f>'Messages Dictionary'!J412</f>
        <v>0</v>
      </c>
      <c r="K400" s="10">
        <f t="shared" si="6"/>
        <v>0</v>
      </c>
      <c r="L400" s="82"/>
      <c r="M400" s="82"/>
      <c r="N400" s="83"/>
      <c r="O400" s="83"/>
      <c r="P400" s="83"/>
      <c r="Q400" s="83"/>
      <c r="R400" s="83"/>
      <c r="S400" s="83"/>
      <c r="T400" s="83"/>
      <c r="U400" s="83"/>
      <c r="V400" s="83"/>
      <c r="W400" s="83"/>
      <c r="X400" s="83"/>
      <c r="Y400" s="83"/>
      <c r="Z400" s="83"/>
      <c r="AA400" s="83"/>
      <c r="AB400" s="83"/>
      <c r="AC400" s="83"/>
      <c r="AD400" s="83"/>
      <c r="AE400" s="83"/>
      <c r="AF400" s="83"/>
      <c r="AG400" s="83"/>
      <c r="AH400" s="83"/>
      <c r="AI400" s="83"/>
      <c r="AJ400" s="83"/>
      <c r="AK400" s="83"/>
      <c r="AL400" s="83"/>
      <c r="AM400" s="83"/>
      <c r="AN400" s="83"/>
      <c r="AO400" s="83"/>
      <c r="AP400" s="83"/>
      <c r="AQ400" s="83"/>
      <c r="AR400" s="83"/>
      <c r="AS400" s="55">
        <f>'Messages Dictionary'!I412</f>
        <v>0</v>
      </c>
    </row>
    <row r="401" spans="1:45" s="27" customFormat="1" ht="57" hidden="1" x14ac:dyDescent="0.2">
      <c r="A401" s="28">
        <v>3016</v>
      </c>
      <c r="B401" s="9" t="s">
        <v>256</v>
      </c>
      <c r="C401" s="9" t="s">
        <v>257</v>
      </c>
      <c r="D401" s="9" t="s">
        <v>234</v>
      </c>
      <c r="E401" s="9" t="s">
        <v>702</v>
      </c>
      <c r="F401" s="9" t="s">
        <v>199</v>
      </c>
      <c r="G401" s="9" t="s">
        <v>809</v>
      </c>
      <c r="H401" s="9" t="s">
        <v>831</v>
      </c>
      <c r="I401" s="55">
        <f>'Messages Dictionary'!I413</f>
        <v>1</v>
      </c>
      <c r="J401" s="10">
        <f>'Messages Dictionary'!J413</f>
        <v>0</v>
      </c>
      <c r="K401" s="10">
        <f t="shared" si="6"/>
        <v>0</v>
      </c>
      <c r="L401" s="82"/>
      <c r="M401" s="82"/>
      <c r="N401" s="83"/>
      <c r="O401" s="83"/>
      <c r="P401" s="83"/>
      <c r="Q401" s="83"/>
      <c r="R401" s="83"/>
      <c r="S401" s="83"/>
      <c r="T401" s="83"/>
      <c r="U401" s="83"/>
      <c r="V401" s="83"/>
      <c r="W401" s="83"/>
      <c r="X401" s="83"/>
      <c r="Y401" s="83"/>
      <c r="Z401" s="83"/>
      <c r="AA401" s="83"/>
      <c r="AB401" s="83"/>
      <c r="AC401" s="83"/>
      <c r="AD401" s="83"/>
      <c r="AE401" s="83"/>
      <c r="AF401" s="83"/>
      <c r="AG401" s="83"/>
      <c r="AH401" s="83"/>
      <c r="AI401" s="83"/>
      <c r="AJ401" s="83"/>
      <c r="AK401" s="83"/>
      <c r="AL401" s="83"/>
      <c r="AM401" s="83"/>
      <c r="AN401" s="83"/>
      <c r="AO401" s="83"/>
      <c r="AP401" s="83"/>
      <c r="AQ401" s="83"/>
      <c r="AR401" s="83"/>
      <c r="AS401" s="55">
        <f>'Messages Dictionary'!I413</f>
        <v>1</v>
      </c>
    </row>
    <row r="402" spans="1:45" s="27" customFormat="1" ht="57" hidden="1" x14ac:dyDescent="0.2">
      <c r="A402" s="28">
        <v>3017</v>
      </c>
      <c r="B402" s="9" t="s">
        <v>256</v>
      </c>
      <c r="C402" s="9" t="s">
        <v>257</v>
      </c>
      <c r="D402" s="9" t="s">
        <v>234</v>
      </c>
      <c r="E402" s="9" t="s">
        <v>702</v>
      </c>
      <c r="F402" s="9" t="s">
        <v>199</v>
      </c>
      <c r="G402" s="9" t="s">
        <v>809</v>
      </c>
      <c r="H402" s="9" t="s">
        <v>831</v>
      </c>
      <c r="I402" s="55">
        <f>'Messages Dictionary'!I414</f>
        <v>0</v>
      </c>
      <c r="J402" s="10">
        <f>'Messages Dictionary'!J414</f>
        <v>0</v>
      </c>
      <c r="K402" s="10">
        <f t="shared" si="6"/>
        <v>0</v>
      </c>
      <c r="L402" s="82"/>
      <c r="M402" s="82"/>
      <c r="N402" s="83"/>
      <c r="O402" s="83"/>
      <c r="P402" s="83"/>
      <c r="Q402" s="83"/>
      <c r="R402" s="83"/>
      <c r="S402" s="83"/>
      <c r="T402" s="83"/>
      <c r="U402" s="83"/>
      <c r="V402" s="83"/>
      <c r="W402" s="83"/>
      <c r="X402" s="83"/>
      <c r="Y402" s="83"/>
      <c r="Z402" s="83"/>
      <c r="AA402" s="83"/>
      <c r="AB402" s="83"/>
      <c r="AC402" s="83"/>
      <c r="AD402" s="83"/>
      <c r="AE402" s="83"/>
      <c r="AF402" s="83"/>
      <c r="AG402" s="83"/>
      <c r="AH402" s="83"/>
      <c r="AI402" s="83"/>
      <c r="AJ402" s="83"/>
      <c r="AK402" s="83"/>
      <c r="AL402" s="83"/>
      <c r="AM402" s="83"/>
      <c r="AN402" s="83"/>
      <c r="AO402" s="83"/>
      <c r="AP402" s="83"/>
      <c r="AQ402" s="83"/>
      <c r="AR402" s="83"/>
      <c r="AS402" s="55">
        <f>'Messages Dictionary'!I414</f>
        <v>0</v>
      </c>
    </row>
    <row r="403" spans="1:45" s="27" customFormat="1" ht="57" hidden="1" x14ac:dyDescent="0.2">
      <c r="A403" s="28">
        <v>3018</v>
      </c>
      <c r="B403" s="9" t="s">
        <v>256</v>
      </c>
      <c r="C403" s="9" t="s">
        <v>257</v>
      </c>
      <c r="D403" s="9" t="s">
        <v>234</v>
      </c>
      <c r="E403" s="9" t="s">
        <v>702</v>
      </c>
      <c r="F403" s="9" t="s">
        <v>198</v>
      </c>
      <c r="G403" s="9" t="s">
        <v>809</v>
      </c>
      <c r="H403" s="9" t="s">
        <v>831</v>
      </c>
      <c r="I403" s="55">
        <f>'Messages Dictionary'!I415</f>
        <v>0</v>
      </c>
      <c r="J403" s="10">
        <f>'Messages Dictionary'!J415</f>
        <v>0</v>
      </c>
      <c r="K403" s="10">
        <f t="shared" si="6"/>
        <v>0</v>
      </c>
      <c r="L403" s="82"/>
      <c r="M403" s="82"/>
      <c r="N403" s="83"/>
      <c r="O403" s="83"/>
      <c r="P403" s="83"/>
      <c r="Q403" s="83"/>
      <c r="R403" s="83"/>
      <c r="S403" s="83"/>
      <c r="T403" s="83"/>
      <c r="U403" s="83"/>
      <c r="V403" s="83"/>
      <c r="W403" s="83"/>
      <c r="X403" s="83"/>
      <c r="Y403" s="83"/>
      <c r="Z403" s="83"/>
      <c r="AA403" s="83"/>
      <c r="AB403" s="83"/>
      <c r="AC403" s="83"/>
      <c r="AD403" s="83"/>
      <c r="AE403" s="83"/>
      <c r="AF403" s="83"/>
      <c r="AG403" s="83"/>
      <c r="AH403" s="83"/>
      <c r="AI403" s="83"/>
      <c r="AJ403" s="83"/>
      <c r="AK403" s="83"/>
      <c r="AL403" s="83"/>
      <c r="AM403" s="83"/>
      <c r="AN403" s="83"/>
      <c r="AO403" s="83"/>
      <c r="AP403" s="83"/>
      <c r="AQ403" s="83"/>
      <c r="AR403" s="83"/>
      <c r="AS403" s="55">
        <f>'Messages Dictionary'!I415</f>
        <v>0</v>
      </c>
    </row>
    <row r="404" spans="1:45" s="27" customFormat="1" ht="57" hidden="1" x14ac:dyDescent="0.2">
      <c r="A404" s="28">
        <v>3019</v>
      </c>
      <c r="B404" s="9" t="s">
        <v>256</v>
      </c>
      <c r="C404" s="9" t="s">
        <v>257</v>
      </c>
      <c r="D404" s="9" t="s">
        <v>234</v>
      </c>
      <c r="E404" s="9" t="s">
        <v>702</v>
      </c>
      <c r="F404" s="9" t="s">
        <v>199</v>
      </c>
      <c r="G404" s="9" t="s">
        <v>809</v>
      </c>
      <c r="H404" s="9" t="s">
        <v>831</v>
      </c>
      <c r="I404" s="55">
        <f>'Messages Dictionary'!I416</f>
        <v>0</v>
      </c>
      <c r="J404" s="10">
        <f>'Messages Dictionary'!J416</f>
        <v>0</v>
      </c>
      <c r="K404" s="10">
        <f t="shared" si="6"/>
        <v>0</v>
      </c>
      <c r="L404" s="82"/>
      <c r="M404" s="82"/>
      <c r="N404" s="83"/>
      <c r="O404" s="83"/>
      <c r="P404" s="83"/>
      <c r="Q404" s="83"/>
      <c r="R404" s="83"/>
      <c r="S404" s="83"/>
      <c r="T404" s="83"/>
      <c r="U404" s="83"/>
      <c r="V404" s="83"/>
      <c r="W404" s="83"/>
      <c r="X404" s="83"/>
      <c r="Y404" s="83"/>
      <c r="Z404" s="83"/>
      <c r="AA404" s="83"/>
      <c r="AB404" s="83"/>
      <c r="AC404" s="83"/>
      <c r="AD404" s="83"/>
      <c r="AE404" s="83"/>
      <c r="AF404" s="83"/>
      <c r="AG404" s="83"/>
      <c r="AH404" s="83"/>
      <c r="AI404" s="83"/>
      <c r="AJ404" s="83"/>
      <c r="AK404" s="83"/>
      <c r="AL404" s="83"/>
      <c r="AM404" s="83"/>
      <c r="AN404" s="83"/>
      <c r="AO404" s="83"/>
      <c r="AP404" s="83"/>
      <c r="AQ404" s="83"/>
      <c r="AR404" s="83"/>
      <c r="AS404" s="55">
        <f>'Messages Dictionary'!I416</f>
        <v>0</v>
      </c>
    </row>
    <row r="405" spans="1:45" s="27" customFormat="1" ht="57" hidden="1" x14ac:dyDescent="0.2">
      <c r="A405" s="28">
        <v>3020</v>
      </c>
      <c r="B405" s="9" t="s">
        <v>256</v>
      </c>
      <c r="C405" s="9" t="s">
        <v>257</v>
      </c>
      <c r="D405" s="9" t="s">
        <v>234</v>
      </c>
      <c r="E405" s="9" t="s">
        <v>702</v>
      </c>
      <c r="F405" s="9" t="s">
        <v>198</v>
      </c>
      <c r="G405" s="9" t="s">
        <v>809</v>
      </c>
      <c r="H405" s="9" t="s">
        <v>831</v>
      </c>
      <c r="I405" s="55">
        <f>'Messages Dictionary'!I417</f>
        <v>0</v>
      </c>
      <c r="J405" s="10">
        <f>'Messages Dictionary'!J417</f>
        <v>0</v>
      </c>
      <c r="K405" s="10">
        <f t="shared" si="6"/>
        <v>0</v>
      </c>
      <c r="L405" s="82"/>
      <c r="M405" s="82"/>
      <c r="N405" s="83"/>
      <c r="O405" s="83"/>
      <c r="P405" s="83"/>
      <c r="Q405" s="83"/>
      <c r="R405" s="83"/>
      <c r="S405" s="83"/>
      <c r="T405" s="83"/>
      <c r="U405" s="83"/>
      <c r="V405" s="83"/>
      <c r="W405" s="83"/>
      <c r="X405" s="83"/>
      <c r="Y405" s="83"/>
      <c r="Z405" s="83"/>
      <c r="AA405" s="83"/>
      <c r="AB405" s="83"/>
      <c r="AC405" s="83"/>
      <c r="AD405" s="83"/>
      <c r="AE405" s="83"/>
      <c r="AF405" s="83"/>
      <c r="AG405" s="83"/>
      <c r="AH405" s="83"/>
      <c r="AI405" s="83"/>
      <c r="AJ405" s="83"/>
      <c r="AK405" s="83"/>
      <c r="AL405" s="83"/>
      <c r="AM405" s="83"/>
      <c r="AN405" s="83"/>
      <c r="AO405" s="83"/>
      <c r="AP405" s="83"/>
      <c r="AQ405" s="83"/>
      <c r="AR405" s="83"/>
      <c r="AS405" s="55">
        <f>'Messages Dictionary'!I417</f>
        <v>0</v>
      </c>
    </row>
    <row r="406" spans="1:45" s="27" customFormat="1" ht="57" hidden="1" x14ac:dyDescent="0.2">
      <c r="A406" s="28">
        <v>3021</v>
      </c>
      <c r="B406" s="9" t="s">
        <v>256</v>
      </c>
      <c r="C406" s="9" t="s">
        <v>259</v>
      </c>
      <c r="D406" s="9" t="s">
        <v>234</v>
      </c>
      <c r="E406" s="9" t="s">
        <v>702</v>
      </c>
      <c r="F406" s="9" t="s">
        <v>199</v>
      </c>
      <c r="G406" s="9" t="s">
        <v>809</v>
      </c>
      <c r="H406" s="9" t="s">
        <v>831</v>
      </c>
      <c r="I406" s="55">
        <f>'Messages Dictionary'!I418</f>
        <v>0</v>
      </c>
      <c r="J406" s="10">
        <f>'Messages Dictionary'!J418</f>
        <v>0</v>
      </c>
      <c r="K406" s="10">
        <f t="shared" si="6"/>
        <v>0</v>
      </c>
      <c r="L406" s="82"/>
      <c r="M406" s="82"/>
      <c r="N406" s="83"/>
      <c r="O406" s="83"/>
      <c r="P406" s="83"/>
      <c r="Q406" s="83"/>
      <c r="R406" s="83"/>
      <c r="S406" s="83"/>
      <c r="T406" s="83"/>
      <c r="U406" s="83"/>
      <c r="V406" s="83"/>
      <c r="W406" s="83"/>
      <c r="X406" s="83"/>
      <c r="Y406" s="83"/>
      <c r="Z406" s="83"/>
      <c r="AA406" s="83"/>
      <c r="AB406" s="83"/>
      <c r="AC406" s="83"/>
      <c r="AD406" s="83"/>
      <c r="AE406" s="83"/>
      <c r="AF406" s="83"/>
      <c r="AG406" s="83"/>
      <c r="AH406" s="83"/>
      <c r="AI406" s="83"/>
      <c r="AJ406" s="83"/>
      <c r="AK406" s="83"/>
      <c r="AL406" s="83"/>
      <c r="AM406" s="83"/>
      <c r="AN406" s="83"/>
      <c r="AO406" s="83"/>
      <c r="AP406" s="83"/>
      <c r="AQ406" s="83"/>
      <c r="AR406" s="83"/>
      <c r="AS406" s="55">
        <f>'Messages Dictionary'!I418</f>
        <v>0</v>
      </c>
    </row>
    <row r="407" spans="1:45" s="27" customFormat="1" ht="42.75" hidden="1" x14ac:dyDescent="0.2">
      <c r="A407" s="28">
        <v>3022</v>
      </c>
      <c r="B407" s="9" t="s">
        <v>260</v>
      </c>
      <c r="C407" s="9" t="s">
        <v>262</v>
      </c>
      <c r="D407" s="9" t="s">
        <v>234</v>
      </c>
      <c r="E407" s="9" t="s">
        <v>263</v>
      </c>
      <c r="F407" s="9" t="s">
        <v>200</v>
      </c>
      <c r="G407" s="9" t="s">
        <v>809</v>
      </c>
      <c r="H407" s="9" t="s">
        <v>831</v>
      </c>
      <c r="I407" s="55">
        <f>'Messages Dictionary'!I419</f>
        <v>0</v>
      </c>
      <c r="J407" s="10">
        <f>'Messages Dictionary'!J419</f>
        <v>0</v>
      </c>
      <c r="K407" s="10">
        <f t="shared" si="6"/>
        <v>0</v>
      </c>
      <c r="L407" s="82"/>
      <c r="M407" s="82"/>
      <c r="N407" s="83"/>
      <c r="O407" s="83"/>
      <c r="P407" s="83"/>
      <c r="Q407" s="83"/>
      <c r="R407" s="83"/>
      <c r="S407" s="83"/>
      <c r="T407" s="83"/>
      <c r="U407" s="83"/>
      <c r="V407" s="83"/>
      <c r="W407" s="83"/>
      <c r="X407" s="83"/>
      <c r="Y407" s="83"/>
      <c r="Z407" s="83"/>
      <c r="AA407" s="83"/>
      <c r="AB407" s="83"/>
      <c r="AC407" s="83"/>
      <c r="AD407" s="83"/>
      <c r="AE407" s="83"/>
      <c r="AF407" s="83"/>
      <c r="AG407" s="83"/>
      <c r="AH407" s="83"/>
      <c r="AI407" s="83"/>
      <c r="AJ407" s="83"/>
      <c r="AK407" s="83"/>
      <c r="AL407" s="83"/>
      <c r="AM407" s="83"/>
      <c r="AN407" s="83"/>
      <c r="AO407" s="83"/>
      <c r="AP407" s="83"/>
      <c r="AQ407" s="83"/>
      <c r="AR407" s="83"/>
      <c r="AS407" s="55">
        <f>'Messages Dictionary'!I419</f>
        <v>0</v>
      </c>
    </row>
    <row r="408" spans="1:45" s="27" customFormat="1" ht="28.5" hidden="1" x14ac:dyDescent="0.2">
      <c r="A408" s="28">
        <v>3023</v>
      </c>
      <c r="B408" s="9" t="s">
        <v>264</v>
      </c>
      <c r="C408" s="9" t="s">
        <v>265</v>
      </c>
      <c r="D408" s="9" t="s">
        <v>863</v>
      </c>
      <c r="E408" s="9" t="s">
        <v>319</v>
      </c>
      <c r="F408" s="9" t="s">
        <v>200</v>
      </c>
      <c r="G408" s="9" t="s">
        <v>809</v>
      </c>
      <c r="H408" s="9" t="s">
        <v>831</v>
      </c>
      <c r="I408" s="55">
        <f>'Messages Dictionary'!I420</f>
        <v>5</v>
      </c>
      <c r="J408" s="10">
        <f>'Messages Dictionary'!J420</f>
        <v>0</v>
      </c>
      <c r="K408" s="10">
        <f t="shared" si="6"/>
        <v>0</v>
      </c>
      <c r="L408" s="82"/>
      <c r="M408" s="82"/>
      <c r="N408" s="83"/>
      <c r="O408" s="83"/>
      <c r="P408" s="83"/>
      <c r="Q408" s="83"/>
      <c r="R408" s="83"/>
      <c r="S408" s="83"/>
      <c r="T408" s="83"/>
      <c r="U408" s="83"/>
      <c r="V408" s="83"/>
      <c r="W408" s="83"/>
      <c r="X408" s="83"/>
      <c r="Y408" s="83"/>
      <c r="Z408" s="83"/>
      <c r="AA408" s="83"/>
      <c r="AB408" s="83"/>
      <c r="AC408" s="83"/>
      <c r="AD408" s="83"/>
      <c r="AE408" s="83"/>
      <c r="AF408" s="83"/>
      <c r="AG408" s="83"/>
      <c r="AH408" s="83"/>
      <c r="AI408" s="83"/>
      <c r="AJ408" s="83"/>
      <c r="AK408" s="83"/>
      <c r="AL408" s="83"/>
      <c r="AM408" s="83"/>
      <c r="AN408" s="83"/>
      <c r="AO408" s="83"/>
      <c r="AP408" s="83"/>
      <c r="AQ408" s="83"/>
      <c r="AR408" s="83"/>
      <c r="AS408" s="55">
        <f>'Messages Dictionary'!I420</f>
        <v>5</v>
      </c>
    </row>
    <row r="409" spans="1:45" s="27" customFormat="1" ht="42.75" hidden="1" x14ac:dyDescent="0.2">
      <c r="A409" s="28">
        <v>3024</v>
      </c>
      <c r="B409" s="9" t="s">
        <v>266</v>
      </c>
      <c r="C409" s="9" t="s">
        <v>267</v>
      </c>
      <c r="D409" s="9" t="s">
        <v>234</v>
      </c>
      <c r="E409" s="9" t="s">
        <v>702</v>
      </c>
      <c r="F409" s="9" t="s">
        <v>200</v>
      </c>
      <c r="G409" s="9" t="s">
        <v>809</v>
      </c>
      <c r="H409" s="9" t="s">
        <v>831</v>
      </c>
      <c r="I409" s="55">
        <f>'Messages Dictionary'!I421</f>
        <v>35</v>
      </c>
      <c r="J409" s="10">
        <f>'Messages Dictionary'!J421</f>
        <v>0</v>
      </c>
      <c r="K409" s="10">
        <f t="shared" si="6"/>
        <v>0</v>
      </c>
      <c r="L409" s="82"/>
      <c r="M409" s="82"/>
      <c r="N409" s="83"/>
      <c r="O409" s="83"/>
      <c r="P409" s="83"/>
      <c r="Q409" s="83"/>
      <c r="R409" s="83"/>
      <c r="S409" s="83"/>
      <c r="T409" s="83"/>
      <c r="U409" s="83"/>
      <c r="V409" s="83"/>
      <c r="W409" s="83"/>
      <c r="X409" s="83"/>
      <c r="Y409" s="83"/>
      <c r="Z409" s="83"/>
      <c r="AA409" s="83"/>
      <c r="AB409" s="83"/>
      <c r="AC409" s="83"/>
      <c r="AD409" s="83"/>
      <c r="AE409" s="83"/>
      <c r="AF409" s="83"/>
      <c r="AG409" s="83"/>
      <c r="AH409" s="83"/>
      <c r="AI409" s="83"/>
      <c r="AJ409" s="83"/>
      <c r="AK409" s="83"/>
      <c r="AL409" s="83"/>
      <c r="AM409" s="83"/>
      <c r="AN409" s="83"/>
      <c r="AO409" s="83"/>
      <c r="AP409" s="83"/>
      <c r="AQ409" s="83"/>
      <c r="AR409" s="83"/>
      <c r="AS409" s="55">
        <f>'Messages Dictionary'!I421</f>
        <v>35</v>
      </c>
    </row>
    <row r="410" spans="1:45" s="27" customFormat="1" ht="42.75" hidden="1" x14ac:dyDescent="0.2">
      <c r="A410" s="28">
        <v>3025</v>
      </c>
      <c r="B410" s="9" t="s">
        <v>268</v>
      </c>
      <c r="C410" s="9" t="s">
        <v>269</v>
      </c>
      <c r="D410" s="9" t="s">
        <v>234</v>
      </c>
      <c r="E410" s="9" t="s">
        <v>702</v>
      </c>
      <c r="F410" s="9" t="s">
        <v>199</v>
      </c>
      <c r="G410" s="9" t="s">
        <v>809</v>
      </c>
      <c r="H410" s="9" t="s">
        <v>831</v>
      </c>
      <c r="I410" s="55">
        <f>'Messages Dictionary'!I422</f>
        <v>0</v>
      </c>
      <c r="J410" s="10">
        <f>'Messages Dictionary'!J422</f>
        <v>0</v>
      </c>
      <c r="K410" s="10">
        <f t="shared" si="6"/>
        <v>0</v>
      </c>
      <c r="L410" s="82"/>
      <c r="M410" s="82"/>
      <c r="N410" s="83"/>
      <c r="O410" s="83"/>
      <c r="P410" s="83"/>
      <c r="Q410" s="83"/>
      <c r="R410" s="83"/>
      <c r="S410" s="83"/>
      <c r="T410" s="83"/>
      <c r="U410" s="83"/>
      <c r="V410" s="83"/>
      <c r="W410" s="83"/>
      <c r="X410" s="83"/>
      <c r="Y410" s="83"/>
      <c r="Z410" s="83"/>
      <c r="AA410" s="83"/>
      <c r="AB410" s="83"/>
      <c r="AC410" s="83"/>
      <c r="AD410" s="83"/>
      <c r="AE410" s="83"/>
      <c r="AF410" s="83"/>
      <c r="AG410" s="83"/>
      <c r="AH410" s="83"/>
      <c r="AI410" s="83"/>
      <c r="AJ410" s="83"/>
      <c r="AK410" s="83"/>
      <c r="AL410" s="83"/>
      <c r="AM410" s="83"/>
      <c r="AN410" s="83"/>
      <c r="AO410" s="83"/>
      <c r="AP410" s="83"/>
      <c r="AQ410" s="83"/>
      <c r="AR410" s="83"/>
      <c r="AS410" s="55">
        <f>'Messages Dictionary'!I422</f>
        <v>0</v>
      </c>
    </row>
    <row r="411" spans="1:45" s="27" customFormat="1" ht="28.5" hidden="1" x14ac:dyDescent="0.2">
      <c r="A411" s="28">
        <v>3026</v>
      </c>
      <c r="B411" s="9" t="s">
        <v>270</v>
      </c>
      <c r="C411" s="9" t="s">
        <v>271</v>
      </c>
      <c r="D411" s="9" t="s">
        <v>234</v>
      </c>
      <c r="E411" s="9" t="s">
        <v>702</v>
      </c>
      <c r="F411" s="9" t="s">
        <v>199</v>
      </c>
      <c r="G411" s="9" t="s">
        <v>809</v>
      </c>
      <c r="H411" s="9" t="s">
        <v>831</v>
      </c>
      <c r="I411" s="55">
        <f>'Messages Dictionary'!I423</f>
        <v>0</v>
      </c>
      <c r="J411" s="10">
        <f>'Messages Dictionary'!J423</f>
        <v>0</v>
      </c>
      <c r="K411" s="10">
        <f t="shared" si="6"/>
        <v>0</v>
      </c>
      <c r="L411" s="82"/>
      <c r="M411" s="82"/>
      <c r="N411" s="83"/>
      <c r="O411" s="83"/>
      <c r="P411" s="83"/>
      <c r="Q411" s="83"/>
      <c r="R411" s="83"/>
      <c r="S411" s="83"/>
      <c r="T411" s="83"/>
      <c r="U411" s="83"/>
      <c r="V411" s="83"/>
      <c r="W411" s="83"/>
      <c r="X411" s="83"/>
      <c r="Y411" s="83"/>
      <c r="Z411" s="83"/>
      <c r="AA411" s="83"/>
      <c r="AB411" s="83"/>
      <c r="AC411" s="83"/>
      <c r="AD411" s="83"/>
      <c r="AE411" s="83"/>
      <c r="AF411" s="83"/>
      <c r="AG411" s="83"/>
      <c r="AH411" s="83"/>
      <c r="AI411" s="83"/>
      <c r="AJ411" s="83"/>
      <c r="AK411" s="83"/>
      <c r="AL411" s="83"/>
      <c r="AM411" s="83"/>
      <c r="AN411" s="83"/>
      <c r="AO411" s="83"/>
      <c r="AP411" s="83"/>
      <c r="AQ411" s="83"/>
      <c r="AR411" s="83"/>
      <c r="AS411" s="55">
        <f>'Messages Dictionary'!I423</f>
        <v>0</v>
      </c>
    </row>
    <row r="412" spans="1:45" s="27" customFormat="1" ht="28.5" hidden="1" x14ac:dyDescent="0.2">
      <c r="A412" s="28">
        <v>3027</v>
      </c>
      <c r="B412" s="9" t="s">
        <v>654</v>
      </c>
      <c r="C412" s="9" t="s">
        <v>655</v>
      </c>
      <c r="D412" s="9" t="s">
        <v>234</v>
      </c>
      <c r="E412" s="9" t="s">
        <v>656</v>
      </c>
      <c r="F412" s="9" t="s">
        <v>199</v>
      </c>
      <c r="G412" s="9" t="s">
        <v>809</v>
      </c>
      <c r="H412" s="9" t="s">
        <v>831</v>
      </c>
      <c r="I412" s="55">
        <f>'Messages Dictionary'!I424</f>
        <v>0</v>
      </c>
      <c r="J412" s="10">
        <f>'Messages Dictionary'!J424</f>
        <v>0</v>
      </c>
      <c r="K412" s="10">
        <f t="shared" si="6"/>
        <v>0</v>
      </c>
      <c r="L412" s="82"/>
      <c r="M412" s="82"/>
      <c r="N412" s="83"/>
      <c r="O412" s="83"/>
      <c r="P412" s="83"/>
      <c r="Q412" s="83"/>
      <c r="R412" s="83"/>
      <c r="S412" s="83"/>
      <c r="T412" s="83"/>
      <c r="U412" s="83"/>
      <c r="V412" s="83"/>
      <c r="W412" s="83"/>
      <c r="X412" s="83"/>
      <c r="Y412" s="83"/>
      <c r="Z412" s="83"/>
      <c r="AA412" s="83"/>
      <c r="AB412" s="83"/>
      <c r="AC412" s="83"/>
      <c r="AD412" s="83"/>
      <c r="AE412" s="83"/>
      <c r="AF412" s="83"/>
      <c r="AG412" s="83"/>
      <c r="AH412" s="83"/>
      <c r="AI412" s="83"/>
      <c r="AJ412" s="83"/>
      <c r="AK412" s="83"/>
      <c r="AL412" s="83"/>
      <c r="AM412" s="83"/>
      <c r="AN412" s="83"/>
      <c r="AO412" s="83"/>
      <c r="AP412" s="83"/>
      <c r="AQ412" s="83"/>
      <c r="AR412" s="83"/>
      <c r="AS412" s="55">
        <f>'Messages Dictionary'!I424</f>
        <v>0</v>
      </c>
    </row>
    <row r="413" spans="1:45" s="27" customFormat="1" ht="28.5" hidden="1" x14ac:dyDescent="0.2">
      <c r="A413" s="28">
        <v>3028</v>
      </c>
      <c r="B413" s="9" t="s">
        <v>657</v>
      </c>
      <c r="C413" s="9" t="s">
        <v>658</v>
      </c>
      <c r="D413" s="9" t="s">
        <v>234</v>
      </c>
      <c r="E413" s="9" t="s">
        <v>656</v>
      </c>
      <c r="F413" s="9" t="s">
        <v>201</v>
      </c>
      <c r="G413" s="9" t="s">
        <v>809</v>
      </c>
      <c r="H413" s="9" t="s">
        <v>831</v>
      </c>
      <c r="I413" s="55">
        <f>'Messages Dictionary'!I425</f>
        <v>0</v>
      </c>
      <c r="J413" s="10">
        <f>'Messages Dictionary'!J425</f>
        <v>0</v>
      </c>
      <c r="K413" s="10">
        <f t="shared" si="6"/>
        <v>0</v>
      </c>
      <c r="L413" s="82"/>
      <c r="M413" s="82"/>
      <c r="N413" s="83"/>
      <c r="O413" s="83"/>
      <c r="P413" s="83"/>
      <c r="Q413" s="83"/>
      <c r="R413" s="83"/>
      <c r="S413" s="83"/>
      <c r="T413" s="83"/>
      <c r="U413" s="83"/>
      <c r="V413" s="83"/>
      <c r="W413" s="83"/>
      <c r="X413" s="83"/>
      <c r="Y413" s="83"/>
      <c r="Z413" s="83"/>
      <c r="AA413" s="83"/>
      <c r="AB413" s="83"/>
      <c r="AC413" s="83"/>
      <c r="AD413" s="83"/>
      <c r="AE413" s="83"/>
      <c r="AF413" s="83"/>
      <c r="AG413" s="83"/>
      <c r="AH413" s="83"/>
      <c r="AI413" s="83"/>
      <c r="AJ413" s="83"/>
      <c r="AK413" s="83"/>
      <c r="AL413" s="83"/>
      <c r="AM413" s="83"/>
      <c r="AN413" s="83"/>
      <c r="AO413" s="83"/>
      <c r="AP413" s="83"/>
      <c r="AQ413" s="83"/>
      <c r="AR413" s="83"/>
      <c r="AS413" s="55">
        <f>'Messages Dictionary'!I425</f>
        <v>0</v>
      </c>
    </row>
    <row r="414" spans="1:45" s="27" customFormat="1" ht="28.5" hidden="1" x14ac:dyDescent="0.2">
      <c r="A414" s="28">
        <v>3029</v>
      </c>
      <c r="B414" s="9" t="s">
        <v>659</v>
      </c>
      <c r="C414" s="9" t="s">
        <v>660</v>
      </c>
      <c r="D414" s="9" t="s">
        <v>234</v>
      </c>
      <c r="E414" s="9" t="s">
        <v>656</v>
      </c>
      <c r="F414" s="9" t="s">
        <v>199</v>
      </c>
      <c r="G414" s="9" t="s">
        <v>809</v>
      </c>
      <c r="H414" s="9" t="s">
        <v>831</v>
      </c>
      <c r="I414" s="55">
        <f>'Messages Dictionary'!I426</f>
        <v>0</v>
      </c>
      <c r="J414" s="10">
        <f>'Messages Dictionary'!J426</f>
        <v>0</v>
      </c>
      <c r="K414" s="10">
        <f t="shared" si="6"/>
        <v>0</v>
      </c>
      <c r="L414" s="82"/>
      <c r="M414" s="82"/>
      <c r="N414" s="83"/>
      <c r="O414" s="83"/>
      <c r="P414" s="83"/>
      <c r="Q414" s="83"/>
      <c r="R414" s="83"/>
      <c r="S414" s="83"/>
      <c r="T414" s="83"/>
      <c r="U414" s="83"/>
      <c r="V414" s="83"/>
      <c r="W414" s="83"/>
      <c r="X414" s="83"/>
      <c r="Y414" s="83"/>
      <c r="Z414" s="83"/>
      <c r="AA414" s="83"/>
      <c r="AB414" s="83"/>
      <c r="AC414" s="83"/>
      <c r="AD414" s="83"/>
      <c r="AE414" s="83"/>
      <c r="AF414" s="83"/>
      <c r="AG414" s="83"/>
      <c r="AH414" s="83"/>
      <c r="AI414" s="83"/>
      <c r="AJ414" s="83"/>
      <c r="AK414" s="83"/>
      <c r="AL414" s="83"/>
      <c r="AM414" s="83"/>
      <c r="AN414" s="83"/>
      <c r="AO414" s="83"/>
      <c r="AP414" s="83"/>
      <c r="AQ414" s="83"/>
      <c r="AR414" s="83"/>
      <c r="AS414" s="55">
        <f>'Messages Dictionary'!I426</f>
        <v>0</v>
      </c>
    </row>
    <row r="415" spans="1:45" s="27" customFormat="1" ht="42.75" hidden="1" x14ac:dyDescent="0.2">
      <c r="A415" s="28">
        <v>3030</v>
      </c>
      <c r="B415" s="9" t="s">
        <v>661</v>
      </c>
      <c r="C415" s="9" t="s">
        <v>662</v>
      </c>
      <c r="D415" s="9" t="s">
        <v>234</v>
      </c>
      <c r="E415" s="9" t="s">
        <v>656</v>
      </c>
      <c r="F415" s="9" t="s">
        <v>199</v>
      </c>
      <c r="G415" s="9" t="s">
        <v>809</v>
      </c>
      <c r="H415" s="9" t="s">
        <v>831</v>
      </c>
      <c r="I415" s="55">
        <f>'Messages Dictionary'!I427</f>
        <v>0</v>
      </c>
      <c r="J415" s="10">
        <f>'Messages Dictionary'!J427</f>
        <v>0</v>
      </c>
      <c r="K415" s="10">
        <f t="shared" si="6"/>
        <v>0</v>
      </c>
      <c r="L415" s="82"/>
      <c r="M415" s="82"/>
      <c r="N415" s="83"/>
      <c r="O415" s="83"/>
      <c r="P415" s="83"/>
      <c r="Q415" s="83"/>
      <c r="R415" s="83"/>
      <c r="S415" s="83"/>
      <c r="T415" s="83"/>
      <c r="U415" s="83"/>
      <c r="V415" s="83"/>
      <c r="W415" s="83"/>
      <c r="X415" s="83"/>
      <c r="Y415" s="83"/>
      <c r="Z415" s="83"/>
      <c r="AA415" s="83"/>
      <c r="AB415" s="83"/>
      <c r="AC415" s="83"/>
      <c r="AD415" s="83"/>
      <c r="AE415" s="83"/>
      <c r="AF415" s="83"/>
      <c r="AG415" s="83"/>
      <c r="AH415" s="83"/>
      <c r="AI415" s="83"/>
      <c r="AJ415" s="83"/>
      <c r="AK415" s="83"/>
      <c r="AL415" s="83"/>
      <c r="AM415" s="83"/>
      <c r="AN415" s="83"/>
      <c r="AO415" s="83"/>
      <c r="AP415" s="83"/>
      <c r="AQ415" s="83"/>
      <c r="AR415" s="83"/>
      <c r="AS415" s="55">
        <f>'Messages Dictionary'!I427</f>
        <v>0</v>
      </c>
    </row>
    <row r="416" spans="1:45" s="27" customFormat="1" ht="57" hidden="1" x14ac:dyDescent="0.2">
      <c r="A416" s="28">
        <v>3031</v>
      </c>
      <c r="B416" s="9" t="s">
        <v>272</v>
      </c>
      <c r="C416" s="9" t="s">
        <v>273</v>
      </c>
      <c r="D416" s="9" t="s">
        <v>234</v>
      </c>
      <c r="E416" s="9" t="s">
        <v>263</v>
      </c>
      <c r="F416" s="9" t="s">
        <v>199</v>
      </c>
      <c r="G416" s="9" t="s">
        <v>412</v>
      </c>
      <c r="H416" s="9" t="s">
        <v>831</v>
      </c>
      <c r="I416" s="55">
        <f>'Messages Dictionary'!I428</f>
        <v>0</v>
      </c>
      <c r="J416" s="10">
        <f>'Messages Dictionary'!J428</f>
        <v>0</v>
      </c>
      <c r="K416" s="10">
        <f t="shared" si="6"/>
        <v>0</v>
      </c>
      <c r="L416" s="82"/>
      <c r="M416" s="82"/>
      <c r="N416" s="83"/>
      <c r="O416" s="83"/>
      <c r="P416" s="83"/>
      <c r="Q416" s="83"/>
      <c r="R416" s="83"/>
      <c r="S416" s="83"/>
      <c r="T416" s="83"/>
      <c r="U416" s="83"/>
      <c r="V416" s="83"/>
      <c r="W416" s="83"/>
      <c r="X416" s="83"/>
      <c r="Y416" s="83"/>
      <c r="Z416" s="83"/>
      <c r="AA416" s="83"/>
      <c r="AB416" s="83"/>
      <c r="AC416" s="83"/>
      <c r="AD416" s="83"/>
      <c r="AE416" s="83"/>
      <c r="AF416" s="83"/>
      <c r="AG416" s="83"/>
      <c r="AH416" s="83"/>
      <c r="AI416" s="83"/>
      <c r="AJ416" s="83"/>
      <c r="AK416" s="83"/>
      <c r="AL416" s="83"/>
      <c r="AM416" s="83"/>
      <c r="AN416" s="83"/>
      <c r="AO416" s="83"/>
      <c r="AP416" s="83"/>
      <c r="AQ416" s="83"/>
      <c r="AR416" s="83"/>
      <c r="AS416" s="55">
        <f>'Messages Dictionary'!I428</f>
        <v>0</v>
      </c>
    </row>
    <row r="417" spans="1:45" s="27" customFormat="1" ht="57" hidden="1" x14ac:dyDescent="0.2">
      <c r="A417" s="28">
        <v>3032</v>
      </c>
      <c r="B417" s="9" t="s">
        <v>276</v>
      </c>
      <c r="C417" s="9" t="s">
        <v>273</v>
      </c>
      <c r="D417" s="9" t="s">
        <v>234</v>
      </c>
      <c r="E417" s="9" t="s">
        <v>263</v>
      </c>
      <c r="F417" s="9" t="s">
        <v>199</v>
      </c>
      <c r="G417" s="9" t="s">
        <v>412</v>
      </c>
      <c r="H417" s="9" t="s">
        <v>831</v>
      </c>
      <c r="I417" s="55">
        <f>'Messages Dictionary'!I429</f>
        <v>0</v>
      </c>
      <c r="J417" s="10">
        <f>'Messages Dictionary'!J429</f>
        <v>0</v>
      </c>
      <c r="K417" s="10">
        <f t="shared" si="6"/>
        <v>0</v>
      </c>
      <c r="L417" s="82"/>
      <c r="M417" s="82"/>
      <c r="N417" s="83"/>
      <c r="O417" s="83"/>
      <c r="P417" s="83"/>
      <c r="Q417" s="83"/>
      <c r="R417" s="83"/>
      <c r="S417" s="83"/>
      <c r="T417" s="83"/>
      <c r="U417" s="83"/>
      <c r="V417" s="83"/>
      <c r="W417" s="83"/>
      <c r="X417" s="83"/>
      <c r="Y417" s="83"/>
      <c r="Z417" s="83"/>
      <c r="AA417" s="83"/>
      <c r="AB417" s="83"/>
      <c r="AC417" s="83"/>
      <c r="AD417" s="83"/>
      <c r="AE417" s="83"/>
      <c r="AF417" s="83"/>
      <c r="AG417" s="83"/>
      <c r="AH417" s="83"/>
      <c r="AI417" s="83"/>
      <c r="AJ417" s="83"/>
      <c r="AK417" s="83"/>
      <c r="AL417" s="83"/>
      <c r="AM417" s="83"/>
      <c r="AN417" s="83"/>
      <c r="AO417" s="83"/>
      <c r="AP417" s="83"/>
      <c r="AQ417" s="83"/>
      <c r="AR417" s="83"/>
      <c r="AS417" s="55">
        <f>'Messages Dictionary'!I429</f>
        <v>0</v>
      </c>
    </row>
    <row r="418" spans="1:45" s="27" customFormat="1" ht="28.5" hidden="1" x14ac:dyDescent="0.2">
      <c r="A418" s="28">
        <v>3033</v>
      </c>
      <c r="B418" s="9" t="s">
        <v>277</v>
      </c>
      <c r="C418" s="9" t="s">
        <v>278</v>
      </c>
      <c r="D418" s="9" t="s">
        <v>234</v>
      </c>
      <c r="E418" s="9" t="s">
        <v>263</v>
      </c>
      <c r="F418" s="9" t="s">
        <v>199</v>
      </c>
      <c r="G418" s="9" t="s">
        <v>809</v>
      </c>
      <c r="H418" s="9" t="s">
        <v>831</v>
      </c>
      <c r="I418" s="55">
        <f>'Messages Dictionary'!I430</f>
        <v>0</v>
      </c>
      <c r="J418" s="10">
        <f>'Messages Dictionary'!J430</f>
        <v>0</v>
      </c>
      <c r="K418" s="10">
        <f t="shared" si="6"/>
        <v>0</v>
      </c>
      <c r="L418" s="82"/>
      <c r="M418" s="82"/>
      <c r="N418" s="83"/>
      <c r="O418" s="83"/>
      <c r="P418" s="83"/>
      <c r="Q418" s="83"/>
      <c r="R418" s="83"/>
      <c r="S418" s="83"/>
      <c r="T418" s="83"/>
      <c r="U418" s="83"/>
      <c r="V418" s="83"/>
      <c r="W418" s="83"/>
      <c r="X418" s="83"/>
      <c r="Y418" s="83"/>
      <c r="Z418" s="83"/>
      <c r="AA418" s="83"/>
      <c r="AB418" s="83"/>
      <c r="AC418" s="83"/>
      <c r="AD418" s="83"/>
      <c r="AE418" s="83"/>
      <c r="AF418" s="83"/>
      <c r="AG418" s="83"/>
      <c r="AH418" s="83"/>
      <c r="AI418" s="83"/>
      <c r="AJ418" s="83"/>
      <c r="AK418" s="83"/>
      <c r="AL418" s="83"/>
      <c r="AM418" s="83"/>
      <c r="AN418" s="83"/>
      <c r="AO418" s="83"/>
      <c r="AP418" s="83"/>
      <c r="AQ418" s="83"/>
      <c r="AR418" s="83"/>
      <c r="AS418" s="55">
        <f>'Messages Dictionary'!I430</f>
        <v>0</v>
      </c>
    </row>
    <row r="419" spans="1:45" s="27" customFormat="1" ht="85.5" hidden="1" x14ac:dyDescent="0.2">
      <c r="A419" s="28">
        <v>3034</v>
      </c>
      <c r="B419" s="9" t="s">
        <v>279</v>
      </c>
      <c r="C419" s="9" t="s">
        <v>281</v>
      </c>
      <c r="D419" s="9" t="s">
        <v>234</v>
      </c>
      <c r="E419" s="9" t="s">
        <v>263</v>
      </c>
      <c r="F419" s="9" t="s">
        <v>199</v>
      </c>
      <c r="G419" s="9" t="s">
        <v>412</v>
      </c>
      <c r="H419" s="9" t="s">
        <v>831</v>
      </c>
      <c r="I419" s="55">
        <f>'Messages Dictionary'!I431</f>
        <v>0</v>
      </c>
      <c r="J419" s="10">
        <f>'Messages Dictionary'!J431</f>
        <v>0</v>
      </c>
      <c r="K419" s="10">
        <f t="shared" si="6"/>
        <v>0</v>
      </c>
      <c r="L419" s="82"/>
      <c r="M419" s="82"/>
      <c r="N419" s="83"/>
      <c r="O419" s="83"/>
      <c r="P419" s="83"/>
      <c r="Q419" s="83"/>
      <c r="R419" s="83"/>
      <c r="S419" s="83"/>
      <c r="T419" s="83"/>
      <c r="U419" s="83"/>
      <c r="V419" s="83"/>
      <c r="W419" s="83"/>
      <c r="X419" s="83"/>
      <c r="Y419" s="83"/>
      <c r="Z419" s="83"/>
      <c r="AA419" s="83"/>
      <c r="AB419" s="83"/>
      <c r="AC419" s="83"/>
      <c r="AD419" s="83"/>
      <c r="AE419" s="83"/>
      <c r="AF419" s="83"/>
      <c r="AG419" s="83"/>
      <c r="AH419" s="83"/>
      <c r="AI419" s="83"/>
      <c r="AJ419" s="83"/>
      <c r="AK419" s="83"/>
      <c r="AL419" s="83"/>
      <c r="AM419" s="83"/>
      <c r="AN419" s="83"/>
      <c r="AO419" s="83"/>
      <c r="AP419" s="83"/>
      <c r="AQ419" s="83"/>
      <c r="AR419" s="83"/>
      <c r="AS419" s="55">
        <f>'Messages Dictionary'!I431</f>
        <v>0</v>
      </c>
    </row>
    <row r="420" spans="1:45" s="27" customFormat="1" ht="85.5" hidden="1" x14ac:dyDescent="0.2">
      <c r="A420" s="28">
        <v>3035</v>
      </c>
      <c r="B420" s="9" t="s">
        <v>282</v>
      </c>
      <c r="C420" s="9" t="s">
        <v>283</v>
      </c>
      <c r="D420" s="9" t="s">
        <v>234</v>
      </c>
      <c r="E420" s="9" t="s">
        <v>263</v>
      </c>
      <c r="F420" s="9" t="s">
        <v>199</v>
      </c>
      <c r="G420" s="9" t="s">
        <v>412</v>
      </c>
      <c r="H420" s="9" t="s">
        <v>831</v>
      </c>
      <c r="I420" s="55">
        <f>'Messages Dictionary'!I432</f>
        <v>0</v>
      </c>
      <c r="J420" s="10">
        <f>'Messages Dictionary'!J432</f>
        <v>0</v>
      </c>
      <c r="K420" s="10">
        <f t="shared" si="6"/>
        <v>0</v>
      </c>
      <c r="L420" s="82"/>
      <c r="M420" s="82"/>
      <c r="N420" s="83"/>
      <c r="O420" s="83"/>
      <c r="P420" s="83"/>
      <c r="Q420" s="83"/>
      <c r="R420" s="83"/>
      <c r="S420" s="83"/>
      <c r="T420" s="83"/>
      <c r="U420" s="83"/>
      <c r="V420" s="83"/>
      <c r="W420" s="83"/>
      <c r="X420" s="83"/>
      <c r="Y420" s="83"/>
      <c r="Z420" s="83"/>
      <c r="AA420" s="83"/>
      <c r="AB420" s="83"/>
      <c r="AC420" s="83"/>
      <c r="AD420" s="83"/>
      <c r="AE420" s="83"/>
      <c r="AF420" s="83"/>
      <c r="AG420" s="83"/>
      <c r="AH420" s="83"/>
      <c r="AI420" s="83"/>
      <c r="AJ420" s="83"/>
      <c r="AK420" s="83"/>
      <c r="AL420" s="83"/>
      <c r="AM420" s="83"/>
      <c r="AN420" s="83"/>
      <c r="AO420" s="83"/>
      <c r="AP420" s="83"/>
      <c r="AQ420" s="83"/>
      <c r="AR420" s="83"/>
      <c r="AS420" s="55">
        <f>'Messages Dictionary'!I432</f>
        <v>0</v>
      </c>
    </row>
    <row r="421" spans="1:45" s="27" customFormat="1" ht="28.5" hidden="1" x14ac:dyDescent="0.2">
      <c r="A421" s="28">
        <v>3036</v>
      </c>
      <c r="B421" s="9" t="s">
        <v>284</v>
      </c>
      <c r="C421" s="9" t="s">
        <v>286</v>
      </c>
      <c r="D421" s="9" t="s">
        <v>234</v>
      </c>
      <c r="E421" s="9" t="s">
        <v>263</v>
      </c>
      <c r="F421" s="9" t="s">
        <v>199</v>
      </c>
      <c r="G421" s="9" t="s">
        <v>809</v>
      </c>
      <c r="H421" s="9" t="s">
        <v>831</v>
      </c>
      <c r="I421" s="55">
        <f>'Messages Dictionary'!I433</f>
        <v>0</v>
      </c>
      <c r="J421" s="10">
        <f>'Messages Dictionary'!J433</f>
        <v>0</v>
      </c>
      <c r="K421" s="10">
        <f t="shared" si="6"/>
        <v>0</v>
      </c>
      <c r="L421" s="82"/>
      <c r="M421" s="82"/>
      <c r="N421" s="83"/>
      <c r="O421" s="83"/>
      <c r="P421" s="83"/>
      <c r="Q421" s="83"/>
      <c r="R421" s="83"/>
      <c r="S421" s="83"/>
      <c r="T421" s="83"/>
      <c r="U421" s="83"/>
      <c r="V421" s="83"/>
      <c r="W421" s="83"/>
      <c r="X421" s="83"/>
      <c r="Y421" s="83"/>
      <c r="Z421" s="83"/>
      <c r="AA421" s="83"/>
      <c r="AB421" s="83"/>
      <c r="AC421" s="83"/>
      <c r="AD421" s="83"/>
      <c r="AE421" s="83"/>
      <c r="AF421" s="83"/>
      <c r="AG421" s="83"/>
      <c r="AH421" s="83"/>
      <c r="AI421" s="83"/>
      <c r="AJ421" s="83"/>
      <c r="AK421" s="83"/>
      <c r="AL421" s="83"/>
      <c r="AM421" s="83"/>
      <c r="AN421" s="83"/>
      <c r="AO421" s="83"/>
      <c r="AP421" s="83"/>
      <c r="AQ421" s="83"/>
      <c r="AR421" s="83"/>
      <c r="AS421" s="55">
        <f>'Messages Dictionary'!I433</f>
        <v>0</v>
      </c>
    </row>
    <row r="422" spans="1:45" s="27" customFormat="1" ht="28.5" hidden="1" x14ac:dyDescent="0.2">
      <c r="A422" s="28">
        <v>3037</v>
      </c>
      <c r="B422" s="9" t="s">
        <v>287</v>
      </c>
      <c r="C422" s="9" t="s">
        <v>288</v>
      </c>
      <c r="D422" s="9" t="s">
        <v>234</v>
      </c>
      <c r="E422" s="9" t="s">
        <v>263</v>
      </c>
      <c r="F422" s="9" t="s">
        <v>200</v>
      </c>
      <c r="G422" s="9" t="s">
        <v>809</v>
      </c>
      <c r="H422" s="9" t="s">
        <v>831</v>
      </c>
      <c r="I422" s="55">
        <f>'Messages Dictionary'!I434</f>
        <v>1113</v>
      </c>
      <c r="J422" s="10">
        <f>'Messages Dictionary'!J434</f>
        <v>0</v>
      </c>
      <c r="K422" s="10">
        <f t="shared" si="6"/>
        <v>0</v>
      </c>
      <c r="L422" s="82"/>
      <c r="M422" s="82"/>
      <c r="N422" s="83"/>
      <c r="O422" s="83"/>
      <c r="P422" s="83"/>
      <c r="Q422" s="83"/>
      <c r="R422" s="83"/>
      <c r="S422" s="83"/>
      <c r="T422" s="83"/>
      <c r="U422" s="83"/>
      <c r="V422" s="83"/>
      <c r="W422" s="83"/>
      <c r="X422" s="83"/>
      <c r="Y422" s="83"/>
      <c r="Z422" s="83"/>
      <c r="AA422" s="83"/>
      <c r="AB422" s="83"/>
      <c r="AC422" s="83"/>
      <c r="AD422" s="83"/>
      <c r="AE422" s="83"/>
      <c r="AF422" s="83"/>
      <c r="AG422" s="83"/>
      <c r="AH422" s="83"/>
      <c r="AI422" s="83"/>
      <c r="AJ422" s="83"/>
      <c r="AK422" s="83"/>
      <c r="AL422" s="83"/>
      <c r="AM422" s="83"/>
      <c r="AN422" s="83"/>
      <c r="AO422" s="83"/>
      <c r="AP422" s="83"/>
      <c r="AQ422" s="83"/>
      <c r="AR422" s="83"/>
      <c r="AS422" s="55">
        <f>'Messages Dictionary'!I434</f>
        <v>1113</v>
      </c>
    </row>
    <row r="423" spans="1:45" s="27" customFormat="1" ht="42.75" hidden="1" x14ac:dyDescent="0.2">
      <c r="A423" s="28">
        <v>3038</v>
      </c>
      <c r="B423" s="9" t="s">
        <v>291</v>
      </c>
      <c r="C423" s="9" t="s">
        <v>292</v>
      </c>
      <c r="D423" s="9" t="s">
        <v>234</v>
      </c>
      <c r="E423" s="9" t="s">
        <v>263</v>
      </c>
      <c r="F423" s="9" t="s">
        <v>199</v>
      </c>
      <c r="G423" s="9" t="s">
        <v>412</v>
      </c>
      <c r="H423" s="9" t="s">
        <v>831</v>
      </c>
      <c r="I423" s="55">
        <f>'Messages Dictionary'!I435</f>
        <v>0</v>
      </c>
      <c r="J423" s="10">
        <f>'Messages Dictionary'!J435</f>
        <v>0</v>
      </c>
      <c r="K423" s="10">
        <f t="shared" si="6"/>
        <v>0</v>
      </c>
      <c r="L423" s="82"/>
      <c r="M423" s="82"/>
      <c r="N423" s="83"/>
      <c r="O423" s="83"/>
      <c r="P423" s="83"/>
      <c r="Q423" s="83"/>
      <c r="R423" s="83"/>
      <c r="S423" s="83"/>
      <c r="T423" s="83"/>
      <c r="U423" s="83"/>
      <c r="V423" s="83"/>
      <c r="W423" s="83"/>
      <c r="X423" s="83"/>
      <c r="Y423" s="83"/>
      <c r="Z423" s="83"/>
      <c r="AA423" s="83"/>
      <c r="AB423" s="83"/>
      <c r="AC423" s="83"/>
      <c r="AD423" s="83"/>
      <c r="AE423" s="83"/>
      <c r="AF423" s="83"/>
      <c r="AG423" s="83"/>
      <c r="AH423" s="83"/>
      <c r="AI423" s="83"/>
      <c r="AJ423" s="83"/>
      <c r="AK423" s="83"/>
      <c r="AL423" s="83"/>
      <c r="AM423" s="83"/>
      <c r="AN423" s="83"/>
      <c r="AO423" s="83"/>
      <c r="AP423" s="83"/>
      <c r="AQ423" s="83"/>
      <c r="AR423" s="83"/>
      <c r="AS423" s="55">
        <f>'Messages Dictionary'!I435</f>
        <v>0</v>
      </c>
    </row>
    <row r="424" spans="1:45" s="27" customFormat="1" ht="28.5" hidden="1" x14ac:dyDescent="0.2">
      <c r="A424" s="28">
        <v>3039</v>
      </c>
      <c r="B424" s="9" t="s">
        <v>293</v>
      </c>
      <c r="C424" s="9" t="s">
        <v>294</v>
      </c>
      <c r="D424" s="9" t="s">
        <v>234</v>
      </c>
      <c r="E424" s="9" t="s">
        <v>263</v>
      </c>
      <c r="F424" s="9" t="s">
        <v>199</v>
      </c>
      <c r="G424" s="9" t="s">
        <v>412</v>
      </c>
      <c r="H424" s="9" t="s">
        <v>831</v>
      </c>
      <c r="I424" s="55">
        <f>'Messages Dictionary'!I436</f>
        <v>0</v>
      </c>
      <c r="J424" s="10">
        <f>'Messages Dictionary'!J436</f>
        <v>0</v>
      </c>
      <c r="K424" s="10">
        <f t="shared" si="6"/>
        <v>0</v>
      </c>
      <c r="L424" s="82"/>
      <c r="M424" s="82"/>
      <c r="N424" s="83"/>
      <c r="O424" s="83"/>
      <c r="P424" s="83"/>
      <c r="Q424" s="83"/>
      <c r="R424" s="83"/>
      <c r="S424" s="83"/>
      <c r="T424" s="83"/>
      <c r="U424" s="83"/>
      <c r="V424" s="83"/>
      <c r="W424" s="83"/>
      <c r="X424" s="83"/>
      <c r="Y424" s="83"/>
      <c r="Z424" s="83"/>
      <c r="AA424" s="83"/>
      <c r="AB424" s="83"/>
      <c r="AC424" s="83"/>
      <c r="AD424" s="83"/>
      <c r="AE424" s="83"/>
      <c r="AF424" s="83"/>
      <c r="AG424" s="83"/>
      <c r="AH424" s="83"/>
      <c r="AI424" s="83"/>
      <c r="AJ424" s="83"/>
      <c r="AK424" s="83"/>
      <c r="AL424" s="83"/>
      <c r="AM424" s="83"/>
      <c r="AN424" s="83"/>
      <c r="AO424" s="83"/>
      <c r="AP424" s="83"/>
      <c r="AQ424" s="83"/>
      <c r="AR424" s="83"/>
      <c r="AS424" s="55">
        <f>'Messages Dictionary'!I436</f>
        <v>0</v>
      </c>
    </row>
    <row r="425" spans="1:45" s="27" customFormat="1" ht="42.75" hidden="1" x14ac:dyDescent="0.2">
      <c r="A425" s="28">
        <v>3040</v>
      </c>
      <c r="B425" s="9" t="s">
        <v>295</v>
      </c>
      <c r="C425" s="9" t="s">
        <v>296</v>
      </c>
      <c r="D425" s="9" t="s">
        <v>234</v>
      </c>
      <c r="E425" s="9" t="s">
        <v>263</v>
      </c>
      <c r="F425" s="9" t="s">
        <v>199</v>
      </c>
      <c r="G425" s="9" t="s">
        <v>809</v>
      </c>
      <c r="H425" s="9" t="s">
        <v>831</v>
      </c>
      <c r="I425" s="55">
        <f>'Messages Dictionary'!I437</f>
        <v>0</v>
      </c>
      <c r="J425" s="10">
        <f>'Messages Dictionary'!J437</f>
        <v>0</v>
      </c>
      <c r="K425" s="10">
        <f t="shared" si="6"/>
        <v>0</v>
      </c>
      <c r="L425" s="82"/>
      <c r="M425" s="82"/>
      <c r="N425" s="83"/>
      <c r="O425" s="83"/>
      <c r="P425" s="83"/>
      <c r="Q425" s="83"/>
      <c r="R425" s="83"/>
      <c r="S425" s="83"/>
      <c r="T425" s="83"/>
      <c r="U425" s="83"/>
      <c r="V425" s="83"/>
      <c r="W425" s="83"/>
      <c r="X425" s="83"/>
      <c r="Y425" s="83"/>
      <c r="Z425" s="83"/>
      <c r="AA425" s="83"/>
      <c r="AB425" s="83"/>
      <c r="AC425" s="83"/>
      <c r="AD425" s="83"/>
      <c r="AE425" s="83"/>
      <c r="AF425" s="83"/>
      <c r="AG425" s="83"/>
      <c r="AH425" s="83"/>
      <c r="AI425" s="83"/>
      <c r="AJ425" s="83"/>
      <c r="AK425" s="83"/>
      <c r="AL425" s="83"/>
      <c r="AM425" s="83"/>
      <c r="AN425" s="83"/>
      <c r="AO425" s="83"/>
      <c r="AP425" s="83"/>
      <c r="AQ425" s="83"/>
      <c r="AR425" s="83"/>
      <c r="AS425" s="55">
        <f>'Messages Dictionary'!I437</f>
        <v>0</v>
      </c>
    </row>
    <row r="426" spans="1:45" s="27" customFormat="1" ht="42.75" hidden="1" x14ac:dyDescent="0.2">
      <c r="A426" s="28">
        <v>3041</v>
      </c>
      <c r="B426" s="9" t="s">
        <v>297</v>
      </c>
      <c r="C426" s="9" t="s">
        <v>300</v>
      </c>
      <c r="D426" s="9" t="s">
        <v>234</v>
      </c>
      <c r="E426" s="9" t="s">
        <v>263</v>
      </c>
      <c r="F426" s="9" t="s">
        <v>198</v>
      </c>
      <c r="G426" s="9" t="s">
        <v>809</v>
      </c>
      <c r="H426" s="9" t="s">
        <v>831</v>
      </c>
      <c r="I426" s="55">
        <f>'Messages Dictionary'!I438</f>
        <v>0</v>
      </c>
      <c r="J426" s="10">
        <f>'Messages Dictionary'!J438</f>
        <v>0</v>
      </c>
      <c r="K426" s="10">
        <f t="shared" si="6"/>
        <v>0</v>
      </c>
      <c r="L426" s="82"/>
      <c r="M426" s="82"/>
      <c r="N426" s="83"/>
      <c r="O426" s="83"/>
      <c r="P426" s="83"/>
      <c r="Q426" s="83"/>
      <c r="R426" s="83"/>
      <c r="S426" s="83"/>
      <c r="T426" s="83"/>
      <c r="U426" s="83"/>
      <c r="V426" s="83"/>
      <c r="W426" s="83"/>
      <c r="X426" s="83"/>
      <c r="Y426" s="83"/>
      <c r="Z426" s="83"/>
      <c r="AA426" s="83"/>
      <c r="AB426" s="83"/>
      <c r="AC426" s="83"/>
      <c r="AD426" s="83"/>
      <c r="AE426" s="83"/>
      <c r="AF426" s="83"/>
      <c r="AG426" s="83"/>
      <c r="AH426" s="83"/>
      <c r="AI426" s="83"/>
      <c r="AJ426" s="83"/>
      <c r="AK426" s="83"/>
      <c r="AL426" s="83"/>
      <c r="AM426" s="83"/>
      <c r="AN426" s="83"/>
      <c r="AO426" s="83"/>
      <c r="AP426" s="83"/>
      <c r="AQ426" s="83"/>
      <c r="AR426" s="83"/>
      <c r="AS426" s="55">
        <f>'Messages Dictionary'!I438</f>
        <v>0</v>
      </c>
    </row>
    <row r="427" spans="1:45" s="27" customFormat="1" ht="42.75" hidden="1" x14ac:dyDescent="0.2">
      <c r="A427" s="28">
        <v>3042</v>
      </c>
      <c r="B427" s="9" t="s">
        <v>301</v>
      </c>
      <c r="C427" s="9" t="s">
        <v>301</v>
      </c>
      <c r="D427" s="9" t="s">
        <v>234</v>
      </c>
      <c r="E427" s="9" t="s">
        <v>263</v>
      </c>
      <c r="F427" s="9" t="s">
        <v>198</v>
      </c>
      <c r="G427" s="9" t="s">
        <v>809</v>
      </c>
      <c r="H427" s="9" t="s">
        <v>831</v>
      </c>
      <c r="I427" s="55">
        <f>'Messages Dictionary'!I439</f>
        <v>23</v>
      </c>
      <c r="J427" s="10">
        <f>'Messages Dictionary'!J439</f>
        <v>0</v>
      </c>
      <c r="K427" s="10">
        <f t="shared" si="6"/>
        <v>0</v>
      </c>
      <c r="L427" s="82"/>
      <c r="M427" s="82"/>
      <c r="N427" s="83"/>
      <c r="O427" s="83"/>
      <c r="P427" s="83"/>
      <c r="Q427" s="83"/>
      <c r="R427" s="83"/>
      <c r="S427" s="83"/>
      <c r="T427" s="83"/>
      <c r="U427" s="83"/>
      <c r="V427" s="83"/>
      <c r="W427" s="83"/>
      <c r="X427" s="83"/>
      <c r="Y427" s="83"/>
      <c r="Z427" s="83"/>
      <c r="AA427" s="83"/>
      <c r="AB427" s="83"/>
      <c r="AC427" s="83"/>
      <c r="AD427" s="83"/>
      <c r="AE427" s="83"/>
      <c r="AF427" s="83"/>
      <c r="AG427" s="83"/>
      <c r="AH427" s="83"/>
      <c r="AI427" s="83"/>
      <c r="AJ427" s="83"/>
      <c r="AK427" s="83"/>
      <c r="AL427" s="83"/>
      <c r="AM427" s="83"/>
      <c r="AN427" s="83"/>
      <c r="AO427" s="83"/>
      <c r="AP427" s="83"/>
      <c r="AQ427" s="83"/>
      <c r="AR427" s="83"/>
      <c r="AS427" s="55">
        <f>'Messages Dictionary'!I439</f>
        <v>23</v>
      </c>
    </row>
    <row r="428" spans="1:45" s="27" customFormat="1" ht="42.75" hidden="1" x14ac:dyDescent="0.2">
      <c r="A428" s="28">
        <v>3043</v>
      </c>
      <c r="B428" s="9" t="s">
        <v>302</v>
      </c>
      <c r="C428" s="9" t="s">
        <v>303</v>
      </c>
      <c r="D428" s="9" t="s">
        <v>234</v>
      </c>
      <c r="E428" s="9" t="s">
        <v>263</v>
      </c>
      <c r="F428" s="9" t="s">
        <v>199</v>
      </c>
      <c r="G428" s="9" t="s">
        <v>412</v>
      </c>
      <c r="H428" s="9" t="s">
        <v>831</v>
      </c>
      <c r="I428" s="55">
        <f>'Messages Dictionary'!I440</f>
        <v>0</v>
      </c>
      <c r="J428" s="10">
        <f>'Messages Dictionary'!J440</f>
        <v>0</v>
      </c>
      <c r="K428" s="10">
        <f t="shared" si="6"/>
        <v>0</v>
      </c>
      <c r="L428" s="82"/>
      <c r="M428" s="82"/>
      <c r="N428" s="83"/>
      <c r="O428" s="83"/>
      <c r="P428" s="83"/>
      <c r="Q428" s="83"/>
      <c r="R428" s="83"/>
      <c r="S428" s="83"/>
      <c r="T428" s="83"/>
      <c r="U428" s="83"/>
      <c r="V428" s="83"/>
      <c r="W428" s="83"/>
      <c r="X428" s="83"/>
      <c r="Y428" s="83"/>
      <c r="Z428" s="83"/>
      <c r="AA428" s="83"/>
      <c r="AB428" s="83"/>
      <c r="AC428" s="83"/>
      <c r="AD428" s="83"/>
      <c r="AE428" s="83"/>
      <c r="AF428" s="83"/>
      <c r="AG428" s="83"/>
      <c r="AH428" s="83"/>
      <c r="AI428" s="83"/>
      <c r="AJ428" s="83"/>
      <c r="AK428" s="83"/>
      <c r="AL428" s="83"/>
      <c r="AM428" s="83"/>
      <c r="AN428" s="83"/>
      <c r="AO428" s="83"/>
      <c r="AP428" s="83"/>
      <c r="AQ428" s="83"/>
      <c r="AR428" s="83"/>
      <c r="AS428" s="55">
        <f>'Messages Dictionary'!I440</f>
        <v>0</v>
      </c>
    </row>
    <row r="429" spans="1:45" s="27" customFormat="1" ht="28.5" hidden="1" x14ac:dyDescent="0.2">
      <c r="A429" s="28">
        <v>3044</v>
      </c>
      <c r="B429" s="9" t="s">
        <v>304</v>
      </c>
      <c r="C429" s="9" t="s">
        <v>305</v>
      </c>
      <c r="D429" s="9" t="s">
        <v>234</v>
      </c>
      <c r="E429" s="9" t="s">
        <v>263</v>
      </c>
      <c r="F429" s="9" t="s">
        <v>199</v>
      </c>
      <c r="G429" s="9" t="s">
        <v>412</v>
      </c>
      <c r="H429" s="9" t="s">
        <v>831</v>
      </c>
      <c r="I429" s="55">
        <f>'Messages Dictionary'!I441</f>
        <v>0</v>
      </c>
      <c r="J429" s="10">
        <f>'Messages Dictionary'!J441</f>
        <v>0</v>
      </c>
      <c r="K429" s="10">
        <f t="shared" si="6"/>
        <v>0</v>
      </c>
      <c r="L429" s="82"/>
      <c r="M429" s="82"/>
      <c r="N429" s="83"/>
      <c r="O429" s="83"/>
      <c r="P429" s="83"/>
      <c r="Q429" s="83"/>
      <c r="R429" s="83"/>
      <c r="S429" s="83"/>
      <c r="T429" s="83"/>
      <c r="U429" s="83"/>
      <c r="V429" s="83"/>
      <c r="W429" s="83"/>
      <c r="X429" s="83"/>
      <c r="Y429" s="83"/>
      <c r="Z429" s="83"/>
      <c r="AA429" s="83"/>
      <c r="AB429" s="83"/>
      <c r="AC429" s="83"/>
      <c r="AD429" s="83"/>
      <c r="AE429" s="83"/>
      <c r="AF429" s="83"/>
      <c r="AG429" s="83"/>
      <c r="AH429" s="83"/>
      <c r="AI429" s="83"/>
      <c r="AJ429" s="83"/>
      <c r="AK429" s="83"/>
      <c r="AL429" s="83"/>
      <c r="AM429" s="83"/>
      <c r="AN429" s="83"/>
      <c r="AO429" s="83"/>
      <c r="AP429" s="83"/>
      <c r="AQ429" s="83"/>
      <c r="AR429" s="83"/>
      <c r="AS429" s="55">
        <f>'Messages Dictionary'!I441</f>
        <v>0</v>
      </c>
    </row>
    <row r="430" spans="1:45" s="27" customFormat="1" ht="42.75" hidden="1" x14ac:dyDescent="0.2">
      <c r="A430" s="28">
        <v>3045</v>
      </c>
      <c r="B430" s="9" t="s">
        <v>306</v>
      </c>
      <c r="C430" s="9" t="s">
        <v>307</v>
      </c>
      <c r="D430" s="9" t="s">
        <v>234</v>
      </c>
      <c r="E430" s="9" t="s">
        <v>263</v>
      </c>
      <c r="F430" s="9" t="s">
        <v>199</v>
      </c>
      <c r="G430" s="9" t="s">
        <v>412</v>
      </c>
      <c r="H430" s="9" t="s">
        <v>831</v>
      </c>
      <c r="I430" s="55">
        <f>'Messages Dictionary'!I442</f>
        <v>0</v>
      </c>
      <c r="J430" s="10">
        <f>'Messages Dictionary'!J442</f>
        <v>0</v>
      </c>
      <c r="K430" s="10">
        <f t="shared" si="6"/>
        <v>0</v>
      </c>
      <c r="L430" s="82"/>
      <c r="M430" s="82"/>
      <c r="N430" s="83"/>
      <c r="O430" s="83"/>
      <c r="P430" s="83"/>
      <c r="Q430" s="83"/>
      <c r="R430" s="83"/>
      <c r="S430" s="83"/>
      <c r="T430" s="83"/>
      <c r="U430" s="83"/>
      <c r="V430" s="83"/>
      <c r="W430" s="83"/>
      <c r="X430" s="83"/>
      <c r="Y430" s="83"/>
      <c r="Z430" s="83"/>
      <c r="AA430" s="83"/>
      <c r="AB430" s="83"/>
      <c r="AC430" s="83"/>
      <c r="AD430" s="83"/>
      <c r="AE430" s="83"/>
      <c r="AF430" s="83"/>
      <c r="AG430" s="83"/>
      <c r="AH430" s="83"/>
      <c r="AI430" s="83"/>
      <c r="AJ430" s="83"/>
      <c r="AK430" s="83"/>
      <c r="AL430" s="83"/>
      <c r="AM430" s="83"/>
      <c r="AN430" s="83"/>
      <c r="AO430" s="83"/>
      <c r="AP430" s="83"/>
      <c r="AQ430" s="83"/>
      <c r="AR430" s="83"/>
      <c r="AS430" s="55">
        <f>'Messages Dictionary'!I442</f>
        <v>0</v>
      </c>
    </row>
    <row r="431" spans="1:45" s="27" customFormat="1" ht="28.5" hidden="1" x14ac:dyDescent="0.2">
      <c r="A431" s="28">
        <v>3046</v>
      </c>
      <c r="B431" s="9" t="s">
        <v>663</v>
      </c>
      <c r="C431" s="9" t="s">
        <v>664</v>
      </c>
      <c r="D431" s="9" t="s">
        <v>404</v>
      </c>
      <c r="E431" s="9" t="s">
        <v>404</v>
      </c>
      <c r="F431" s="9" t="s">
        <v>201</v>
      </c>
      <c r="G431" s="9" t="s">
        <v>809</v>
      </c>
      <c r="H431" s="9" t="s">
        <v>831</v>
      </c>
      <c r="I431" s="55">
        <f>'Messages Dictionary'!I443</f>
        <v>1787</v>
      </c>
      <c r="J431" s="10">
        <f>'Messages Dictionary'!J443</f>
        <v>0</v>
      </c>
      <c r="K431" s="10">
        <f t="shared" si="6"/>
        <v>0</v>
      </c>
      <c r="L431" s="82"/>
      <c r="M431" s="82"/>
      <c r="N431" s="83"/>
      <c r="O431" s="83"/>
      <c r="P431" s="83"/>
      <c r="Q431" s="83"/>
      <c r="R431" s="83"/>
      <c r="S431" s="83"/>
      <c r="T431" s="83"/>
      <c r="U431" s="83"/>
      <c r="V431" s="83"/>
      <c r="W431" s="83"/>
      <c r="X431" s="83"/>
      <c r="Y431" s="83"/>
      <c r="Z431" s="83"/>
      <c r="AA431" s="83"/>
      <c r="AB431" s="83"/>
      <c r="AC431" s="83"/>
      <c r="AD431" s="83"/>
      <c r="AE431" s="83"/>
      <c r="AF431" s="83"/>
      <c r="AG431" s="83"/>
      <c r="AH431" s="83"/>
      <c r="AI431" s="83"/>
      <c r="AJ431" s="83"/>
      <c r="AK431" s="83"/>
      <c r="AL431" s="83"/>
      <c r="AM431" s="83"/>
      <c r="AN431" s="83"/>
      <c r="AO431" s="83"/>
      <c r="AP431" s="83"/>
      <c r="AQ431" s="83"/>
      <c r="AR431" s="83"/>
      <c r="AS431" s="55">
        <f>'Messages Dictionary'!I443</f>
        <v>1787</v>
      </c>
    </row>
    <row r="432" spans="1:45" s="27" customFormat="1" ht="57" hidden="1" x14ac:dyDescent="0.2">
      <c r="A432" s="28">
        <v>3047</v>
      </c>
      <c r="B432" s="9" t="s">
        <v>308</v>
      </c>
      <c r="C432" s="9" t="s">
        <v>309</v>
      </c>
      <c r="D432" s="9" t="s">
        <v>234</v>
      </c>
      <c r="E432" s="9" t="s">
        <v>235</v>
      </c>
      <c r="F432" s="9" t="s">
        <v>200</v>
      </c>
      <c r="G432" s="9" t="s">
        <v>809</v>
      </c>
      <c r="H432" s="9" t="s">
        <v>831</v>
      </c>
      <c r="I432" s="55">
        <f>'Messages Dictionary'!I444</f>
        <v>58</v>
      </c>
      <c r="J432" s="10">
        <f>'Messages Dictionary'!J444</f>
        <v>0</v>
      </c>
      <c r="K432" s="10">
        <f t="shared" si="6"/>
        <v>0</v>
      </c>
      <c r="L432" s="82"/>
      <c r="M432" s="82"/>
      <c r="N432" s="83"/>
      <c r="O432" s="83"/>
      <c r="P432" s="83"/>
      <c r="Q432" s="83"/>
      <c r="R432" s="83"/>
      <c r="S432" s="83"/>
      <c r="T432" s="83"/>
      <c r="U432" s="83"/>
      <c r="V432" s="83"/>
      <c r="W432" s="83"/>
      <c r="X432" s="83"/>
      <c r="Y432" s="83"/>
      <c r="Z432" s="83"/>
      <c r="AA432" s="83"/>
      <c r="AB432" s="83"/>
      <c r="AC432" s="83"/>
      <c r="AD432" s="83"/>
      <c r="AE432" s="83"/>
      <c r="AF432" s="83"/>
      <c r="AG432" s="83"/>
      <c r="AH432" s="83"/>
      <c r="AI432" s="83"/>
      <c r="AJ432" s="83"/>
      <c r="AK432" s="83"/>
      <c r="AL432" s="83"/>
      <c r="AM432" s="83"/>
      <c r="AN432" s="83"/>
      <c r="AO432" s="83"/>
      <c r="AP432" s="83"/>
      <c r="AQ432" s="83"/>
      <c r="AR432" s="83"/>
      <c r="AS432" s="55">
        <f>'Messages Dictionary'!I444</f>
        <v>58</v>
      </c>
    </row>
    <row r="433" spans="1:45" s="27" customFormat="1" ht="42.75" hidden="1" x14ac:dyDescent="0.2">
      <c r="A433" s="28">
        <v>3048</v>
      </c>
      <c r="B433" s="9" t="s">
        <v>665</v>
      </c>
      <c r="C433" s="9" t="s">
        <v>666</v>
      </c>
      <c r="D433" s="9" t="s">
        <v>234</v>
      </c>
      <c r="E433" s="9" t="s">
        <v>235</v>
      </c>
      <c r="F433" s="9" t="s">
        <v>199</v>
      </c>
      <c r="G433" s="9" t="s">
        <v>809</v>
      </c>
      <c r="H433" s="9" t="s">
        <v>831</v>
      </c>
      <c r="I433" s="55">
        <f>'Messages Dictionary'!I445</f>
        <v>0</v>
      </c>
      <c r="J433" s="10">
        <f>'Messages Dictionary'!J445</f>
        <v>0</v>
      </c>
      <c r="K433" s="10">
        <f t="shared" si="6"/>
        <v>0</v>
      </c>
      <c r="L433" s="82"/>
      <c r="M433" s="82"/>
      <c r="N433" s="83"/>
      <c r="O433" s="83"/>
      <c r="P433" s="83"/>
      <c r="Q433" s="83"/>
      <c r="R433" s="83"/>
      <c r="S433" s="83"/>
      <c r="T433" s="83"/>
      <c r="U433" s="83"/>
      <c r="V433" s="83"/>
      <c r="W433" s="83"/>
      <c r="X433" s="83"/>
      <c r="Y433" s="83"/>
      <c r="Z433" s="83"/>
      <c r="AA433" s="83"/>
      <c r="AB433" s="83"/>
      <c r="AC433" s="83"/>
      <c r="AD433" s="83"/>
      <c r="AE433" s="83"/>
      <c r="AF433" s="83"/>
      <c r="AG433" s="83"/>
      <c r="AH433" s="83"/>
      <c r="AI433" s="83"/>
      <c r="AJ433" s="83"/>
      <c r="AK433" s="83"/>
      <c r="AL433" s="83"/>
      <c r="AM433" s="83"/>
      <c r="AN433" s="83"/>
      <c r="AO433" s="83"/>
      <c r="AP433" s="83"/>
      <c r="AQ433" s="83"/>
      <c r="AR433" s="83"/>
      <c r="AS433" s="55">
        <f>'Messages Dictionary'!I445</f>
        <v>0</v>
      </c>
    </row>
    <row r="434" spans="1:45" s="27" customFormat="1" ht="42.75" hidden="1" x14ac:dyDescent="0.2">
      <c r="A434" s="28">
        <v>3049</v>
      </c>
      <c r="B434" s="9" t="s">
        <v>667</v>
      </c>
      <c r="C434" s="9" t="s">
        <v>668</v>
      </c>
      <c r="D434" s="9" t="s">
        <v>234</v>
      </c>
      <c r="E434" s="9" t="s">
        <v>235</v>
      </c>
      <c r="F434" s="9" t="s">
        <v>199</v>
      </c>
      <c r="G434" s="9" t="s">
        <v>809</v>
      </c>
      <c r="H434" s="9" t="s">
        <v>831</v>
      </c>
      <c r="I434" s="55">
        <f>'Messages Dictionary'!I446</f>
        <v>0</v>
      </c>
      <c r="J434" s="10">
        <f>'Messages Dictionary'!J446</f>
        <v>0</v>
      </c>
      <c r="K434" s="10">
        <f t="shared" si="6"/>
        <v>0</v>
      </c>
      <c r="L434" s="82"/>
      <c r="M434" s="82"/>
      <c r="N434" s="83"/>
      <c r="O434" s="83"/>
      <c r="P434" s="83"/>
      <c r="Q434" s="83"/>
      <c r="R434" s="83"/>
      <c r="S434" s="83"/>
      <c r="T434" s="83"/>
      <c r="U434" s="83"/>
      <c r="V434" s="83"/>
      <c r="W434" s="83"/>
      <c r="X434" s="83"/>
      <c r="Y434" s="83"/>
      <c r="Z434" s="83"/>
      <c r="AA434" s="83"/>
      <c r="AB434" s="83"/>
      <c r="AC434" s="83"/>
      <c r="AD434" s="83"/>
      <c r="AE434" s="83"/>
      <c r="AF434" s="83"/>
      <c r="AG434" s="83"/>
      <c r="AH434" s="83"/>
      <c r="AI434" s="83"/>
      <c r="AJ434" s="83"/>
      <c r="AK434" s="83"/>
      <c r="AL434" s="83"/>
      <c r="AM434" s="83"/>
      <c r="AN434" s="83"/>
      <c r="AO434" s="83"/>
      <c r="AP434" s="83"/>
      <c r="AQ434" s="83"/>
      <c r="AR434" s="83"/>
      <c r="AS434" s="55">
        <f>'Messages Dictionary'!I446</f>
        <v>0</v>
      </c>
    </row>
    <row r="435" spans="1:45" s="27" customFormat="1" ht="42.75" hidden="1" x14ac:dyDescent="0.2">
      <c r="A435" s="28">
        <v>3050</v>
      </c>
      <c r="B435" s="9" t="s">
        <v>669</v>
      </c>
      <c r="C435" s="9" t="s">
        <v>670</v>
      </c>
      <c r="D435" s="9" t="s">
        <v>234</v>
      </c>
      <c r="E435" s="9" t="s">
        <v>235</v>
      </c>
      <c r="F435" s="9" t="s">
        <v>201</v>
      </c>
      <c r="G435" s="9" t="s">
        <v>809</v>
      </c>
      <c r="H435" s="9" t="s">
        <v>831</v>
      </c>
      <c r="I435" s="55">
        <f>'Messages Dictionary'!I447</f>
        <v>0</v>
      </c>
      <c r="J435" s="10">
        <f>'Messages Dictionary'!J447</f>
        <v>0</v>
      </c>
      <c r="K435" s="10">
        <f t="shared" si="6"/>
        <v>0</v>
      </c>
      <c r="L435" s="82"/>
      <c r="M435" s="82"/>
      <c r="N435" s="83"/>
      <c r="O435" s="83"/>
      <c r="P435" s="83"/>
      <c r="Q435" s="83"/>
      <c r="R435" s="83"/>
      <c r="S435" s="83"/>
      <c r="T435" s="83"/>
      <c r="U435" s="83"/>
      <c r="V435" s="83"/>
      <c r="W435" s="83"/>
      <c r="X435" s="83"/>
      <c r="Y435" s="83"/>
      <c r="Z435" s="83"/>
      <c r="AA435" s="83"/>
      <c r="AB435" s="83"/>
      <c r="AC435" s="83"/>
      <c r="AD435" s="83"/>
      <c r="AE435" s="83"/>
      <c r="AF435" s="83"/>
      <c r="AG435" s="83"/>
      <c r="AH435" s="83"/>
      <c r="AI435" s="83"/>
      <c r="AJ435" s="83"/>
      <c r="AK435" s="83"/>
      <c r="AL435" s="83"/>
      <c r="AM435" s="83"/>
      <c r="AN435" s="83"/>
      <c r="AO435" s="83"/>
      <c r="AP435" s="83"/>
      <c r="AQ435" s="83"/>
      <c r="AR435" s="83"/>
      <c r="AS435" s="55">
        <f>'Messages Dictionary'!I447</f>
        <v>0</v>
      </c>
    </row>
    <row r="436" spans="1:45" s="27" customFormat="1" ht="57" hidden="1" x14ac:dyDescent="0.2">
      <c r="A436" s="28">
        <v>3051</v>
      </c>
      <c r="B436" s="9" t="s">
        <v>671</v>
      </c>
      <c r="C436" s="9" t="s">
        <v>672</v>
      </c>
      <c r="D436" s="9" t="s">
        <v>234</v>
      </c>
      <c r="E436" s="9" t="s">
        <v>235</v>
      </c>
      <c r="F436" s="9" t="s">
        <v>201</v>
      </c>
      <c r="G436" s="9" t="s">
        <v>809</v>
      </c>
      <c r="H436" s="9" t="s">
        <v>831</v>
      </c>
      <c r="I436" s="55">
        <f>'Messages Dictionary'!I448</f>
        <v>62</v>
      </c>
      <c r="J436" s="10">
        <f>'Messages Dictionary'!J448</f>
        <v>0</v>
      </c>
      <c r="K436" s="10">
        <f t="shared" si="6"/>
        <v>0</v>
      </c>
      <c r="L436" s="82"/>
      <c r="M436" s="82"/>
      <c r="N436" s="83"/>
      <c r="O436" s="83"/>
      <c r="P436" s="83"/>
      <c r="Q436" s="83"/>
      <c r="R436" s="83"/>
      <c r="S436" s="83"/>
      <c r="T436" s="83"/>
      <c r="U436" s="83"/>
      <c r="V436" s="83"/>
      <c r="W436" s="83"/>
      <c r="X436" s="83"/>
      <c r="Y436" s="83"/>
      <c r="Z436" s="83"/>
      <c r="AA436" s="83"/>
      <c r="AB436" s="83"/>
      <c r="AC436" s="83"/>
      <c r="AD436" s="83"/>
      <c r="AE436" s="83"/>
      <c r="AF436" s="83"/>
      <c r="AG436" s="83"/>
      <c r="AH436" s="83"/>
      <c r="AI436" s="83"/>
      <c r="AJ436" s="83"/>
      <c r="AK436" s="83"/>
      <c r="AL436" s="83"/>
      <c r="AM436" s="83"/>
      <c r="AN436" s="83"/>
      <c r="AO436" s="83"/>
      <c r="AP436" s="83"/>
      <c r="AQ436" s="83"/>
      <c r="AR436" s="83"/>
      <c r="AS436" s="55">
        <f>'Messages Dictionary'!I448</f>
        <v>62</v>
      </c>
    </row>
    <row r="437" spans="1:45" s="27" customFormat="1" ht="42.75" hidden="1" x14ac:dyDescent="0.2">
      <c r="A437" s="28">
        <v>3052</v>
      </c>
      <c r="B437" s="9" t="s">
        <v>673</v>
      </c>
      <c r="C437" s="9" t="s">
        <v>674</v>
      </c>
      <c r="D437" s="9" t="s">
        <v>234</v>
      </c>
      <c r="E437" s="9" t="s">
        <v>235</v>
      </c>
      <c r="F437" s="9" t="s">
        <v>201</v>
      </c>
      <c r="G437" s="9" t="s">
        <v>809</v>
      </c>
      <c r="H437" s="9" t="s">
        <v>831</v>
      </c>
      <c r="I437" s="55">
        <f>'Messages Dictionary'!I449</f>
        <v>37</v>
      </c>
      <c r="J437" s="10">
        <f>'Messages Dictionary'!J449</f>
        <v>0</v>
      </c>
      <c r="K437" s="10">
        <f t="shared" si="6"/>
        <v>0</v>
      </c>
      <c r="L437" s="82"/>
      <c r="M437" s="82"/>
      <c r="N437" s="83"/>
      <c r="O437" s="83"/>
      <c r="P437" s="83"/>
      <c r="Q437" s="83"/>
      <c r="R437" s="83"/>
      <c r="S437" s="83"/>
      <c r="T437" s="83"/>
      <c r="U437" s="83"/>
      <c r="V437" s="83"/>
      <c r="W437" s="83"/>
      <c r="X437" s="83"/>
      <c r="Y437" s="83"/>
      <c r="Z437" s="83"/>
      <c r="AA437" s="83"/>
      <c r="AB437" s="83"/>
      <c r="AC437" s="83"/>
      <c r="AD437" s="83"/>
      <c r="AE437" s="83"/>
      <c r="AF437" s="83"/>
      <c r="AG437" s="83"/>
      <c r="AH437" s="83"/>
      <c r="AI437" s="83"/>
      <c r="AJ437" s="83"/>
      <c r="AK437" s="83"/>
      <c r="AL437" s="83"/>
      <c r="AM437" s="83"/>
      <c r="AN437" s="83"/>
      <c r="AO437" s="83"/>
      <c r="AP437" s="83"/>
      <c r="AQ437" s="83"/>
      <c r="AR437" s="83"/>
      <c r="AS437" s="55">
        <f>'Messages Dictionary'!I449</f>
        <v>37</v>
      </c>
    </row>
    <row r="438" spans="1:45" s="27" customFormat="1" ht="28.5" hidden="1" x14ac:dyDescent="0.2">
      <c r="A438" s="28">
        <v>3053</v>
      </c>
      <c r="B438" s="9" t="s">
        <v>310</v>
      </c>
      <c r="C438" s="9" t="s">
        <v>684</v>
      </c>
      <c r="D438" s="9" t="s">
        <v>234</v>
      </c>
      <c r="E438" s="9" t="s">
        <v>702</v>
      </c>
      <c r="F438" s="9" t="s">
        <v>199</v>
      </c>
      <c r="G438" s="9" t="s">
        <v>809</v>
      </c>
      <c r="H438" s="9" t="s">
        <v>831</v>
      </c>
      <c r="I438" s="55">
        <f>'Messages Dictionary'!I450</f>
        <v>0</v>
      </c>
      <c r="J438" s="10">
        <f>'Messages Dictionary'!J450</f>
        <v>0</v>
      </c>
      <c r="K438" s="10">
        <f t="shared" si="6"/>
        <v>0</v>
      </c>
      <c r="L438" s="82"/>
      <c r="M438" s="82"/>
      <c r="N438" s="83"/>
      <c r="O438" s="83"/>
      <c r="P438" s="83"/>
      <c r="Q438" s="83"/>
      <c r="R438" s="83"/>
      <c r="S438" s="83"/>
      <c r="T438" s="83"/>
      <c r="U438" s="83"/>
      <c r="V438" s="83"/>
      <c r="W438" s="83"/>
      <c r="X438" s="83"/>
      <c r="Y438" s="83"/>
      <c r="Z438" s="83"/>
      <c r="AA438" s="83"/>
      <c r="AB438" s="83"/>
      <c r="AC438" s="83"/>
      <c r="AD438" s="83"/>
      <c r="AE438" s="83"/>
      <c r="AF438" s="83"/>
      <c r="AG438" s="83"/>
      <c r="AH438" s="83"/>
      <c r="AI438" s="83"/>
      <c r="AJ438" s="83"/>
      <c r="AK438" s="83"/>
      <c r="AL438" s="83"/>
      <c r="AM438" s="83"/>
      <c r="AN438" s="83"/>
      <c r="AO438" s="83"/>
      <c r="AP438" s="83"/>
      <c r="AQ438" s="83"/>
      <c r="AR438" s="83"/>
      <c r="AS438" s="55">
        <f>'Messages Dictionary'!I450</f>
        <v>0</v>
      </c>
    </row>
    <row r="439" spans="1:45" s="27" customFormat="1" ht="28.5" hidden="1" x14ac:dyDescent="0.2">
      <c r="A439" s="28">
        <v>3054</v>
      </c>
      <c r="B439" s="9" t="s">
        <v>685</v>
      </c>
      <c r="C439" s="9" t="s">
        <v>686</v>
      </c>
      <c r="D439" s="9" t="s">
        <v>234</v>
      </c>
      <c r="E439" s="9" t="s">
        <v>702</v>
      </c>
      <c r="F439" s="9" t="s">
        <v>199</v>
      </c>
      <c r="G439" s="9" t="s">
        <v>809</v>
      </c>
      <c r="H439" s="9" t="s">
        <v>831</v>
      </c>
      <c r="I439" s="55">
        <f>'Messages Dictionary'!I451</f>
        <v>0</v>
      </c>
      <c r="J439" s="10">
        <f>'Messages Dictionary'!J451</f>
        <v>0</v>
      </c>
      <c r="K439" s="10">
        <f t="shared" si="6"/>
        <v>0</v>
      </c>
      <c r="L439" s="82"/>
      <c r="M439" s="82"/>
      <c r="N439" s="83"/>
      <c r="O439" s="83"/>
      <c r="P439" s="83"/>
      <c r="Q439" s="83"/>
      <c r="R439" s="83"/>
      <c r="S439" s="83"/>
      <c r="T439" s="83"/>
      <c r="U439" s="83"/>
      <c r="V439" s="83"/>
      <c r="W439" s="83"/>
      <c r="X439" s="83"/>
      <c r="Y439" s="83"/>
      <c r="Z439" s="83"/>
      <c r="AA439" s="83"/>
      <c r="AB439" s="83"/>
      <c r="AC439" s="83"/>
      <c r="AD439" s="83"/>
      <c r="AE439" s="83"/>
      <c r="AF439" s="83"/>
      <c r="AG439" s="83"/>
      <c r="AH439" s="83"/>
      <c r="AI439" s="83"/>
      <c r="AJ439" s="83"/>
      <c r="AK439" s="83"/>
      <c r="AL439" s="83"/>
      <c r="AM439" s="83"/>
      <c r="AN439" s="83"/>
      <c r="AO439" s="83"/>
      <c r="AP439" s="83"/>
      <c r="AQ439" s="83"/>
      <c r="AR439" s="83"/>
      <c r="AS439" s="55">
        <f>'Messages Dictionary'!I451</f>
        <v>0</v>
      </c>
    </row>
    <row r="440" spans="1:45" s="27" customFormat="1" ht="28.5" hidden="1" x14ac:dyDescent="0.2">
      <c r="A440" s="28">
        <v>3055</v>
      </c>
      <c r="B440" s="9" t="s">
        <v>687</v>
      </c>
      <c r="C440" s="9" t="s">
        <v>688</v>
      </c>
      <c r="D440" s="9" t="s">
        <v>234</v>
      </c>
      <c r="E440" s="9" t="s">
        <v>702</v>
      </c>
      <c r="F440" s="9" t="s">
        <v>199</v>
      </c>
      <c r="G440" s="9" t="s">
        <v>809</v>
      </c>
      <c r="H440" s="9" t="s">
        <v>831</v>
      </c>
      <c r="I440" s="55">
        <f>'Messages Dictionary'!I452</f>
        <v>0</v>
      </c>
      <c r="J440" s="10">
        <f>'Messages Dictionary'!J452</f>
        <v>0</v>
      </c>
      <c r="K440" s="10">
        <f t="shared" si="6"/>
        <v>0</v>
      </c>
      <c r="L440" s="82"/>
      <c r="M440" s="82"/>
      <c r="N440" s="83"/>
      <c r="O440" s="83"/>
      <c r="P440" s="83"/>
      <c r="Q440" s="83"/>
      <c r="R440" s="83"/>
      <c r="S440" s="83"/>
      <c r="T440" s="83"/>
      <c r="U440" s="83"/>
      <c r="V440" s="83"/>
      <c r="W440" s="83"/>
      <c r="X440" s="83"/>
      <c r="Y440" s="83"/>
      <c r="Z440" s="83"/>
      <c r="AA440" s="83"/>
      <c r="AB440" s="83"/>
      <c r="AC440" s="83"/>
      <c r="AD440" s="83"/>
      <c r="AE440" s="83"/>
      <c r="AF440" s="83"/>
      <c r="AG440" s="83"/>
      <c r="AH440" s="83"/>
      <c r="AI440" s="83"/>
      <c r="AJ440" s="83"/>
      <c r="AK440" s="83"/>
      <c r="AL440" s="83"/>
      <c r="AM440" s="83"/>
      <c r="AN440" s="83"/>
      <c r="AO440" s="83"/>
      <c r="AP440" s="83"/>
      <c r="AQ440" s="83"/>
      <c r="AR440" s="83"/>
      <c r="AS440" s="55">
        <f>'Messages Dictionary'!I452</f>
        <v>0</v>
      </c>
    </row>
    <row r="441" spans="1:45" s="27" customFormat="1" ht="42.75" hidden="1" x14ac:dyDescent="0.2">
      <c r="A441" s="28">
        <v>3056</v>
      </c>
      <c r="B441" s="9" t="s">
        <v>693</v>
      </c>
      <c r="C441" s="9" t="s">
        <v>694</v>
      </c>
      <c r="D441" s="9" t="s">
        <v>234</v>
      </c>
      <c r="E441" s="9" t="s">
        <v>702</v>
      </c>
      <c r="F441" s="9" t="s">
        <v>200</v>
      </c>
      <c r="G441" s="9" t="s">
        <v>809</v>
      </c>
      <c r="H441" s="9" t="s">
        <v>831</v>
      </c>
      <c r="I441" s="55">
        <f>'Messages Dictionary'!I453</f>
        <v>5</v>
      </c>
      <c r="J441" s="10">
        <f>'Messages Dictionary'!J453</f>
        <v>0</v>
      </c>
      <c r="K441" s="10">
        <f t="shared" si="6"/>
        <v>0</v>
      </c>
      <c r="L441" s="82"/>
      <c r="M441" s="82"/>
      <c r="N441" s="83"/>
      <c r="O441" s="83"/>
      <c r="P441" s="83"/>
      <c r="Q441" s="83"/>
      <c r="R441" s="83"/>
      <c r="S441" s="83"/>
      <c r="T441" s="83"/>
      <c r="U441" s="83"/>
      <c r="V441" s="83"/>
      <c r="W441" s="83"/>
      <c r="X441" s="83"/>
      <c r="Y441" s="83"/>
      <c r="Z441" s="83"/>
      <c r="AA441" s="83"/>
      <c r="AB441" s="83"/>
      <c r="AC441" s="83"/>
      <c r="AD441" s="83"/>
      <c r="AE441" s="83"/>
      <c r="AF441" s="83"/>
      <c r="AG441" s="83"/>
      <c r="AH441" s="83"/>
      <c r="AI441" s="83"/>
      <c r="AJ441" s="83"/>
      <c r="AK441" s="83"/>
      <c r="AL441" s="83"/>
      <c r="AM441" s="83"/>
      <c r="AN441" s="83"/>
      <c r="AO441" s="83"/>
      <c r="AP441" s="83"/>
      <c r="AQ441" s="83"/>
      <c r="AR441" s="83"/>
      <c r="AS441" s="55">
        <f>'Messages Dictionary'!I453</f>
        <v>5</v>
      </c>
    </row>
    <row r="442" spans="1:45" s="27" customFormat="1" ht="28.5" hidden="1" x14ac:dyDescent="0.2">
      <c r="A442" s="28">
        <v>3057</v>
      </c>
      <c r="B442" s="9" t="s">
        <v>675</v>
      </c>
      <c r="C442" s="9" t="s">
        <v>676</v>
      </c>
      <c r="D442" s="9" t="s">
        <v>234</v>
      </c>
      <c r="E442" s="9" t="s">
        <v>677</v>
      </c>
      <c r="F442" s="9" t="s">
        <v>199</v>
      </c>
      <c r="G442" s="9" t="s">
        <v>809</v>
      </c>
      <c r="H442" s="9" t="s">
        <v>831</v>
      </c>
      <c r="I442" s="55">
        <f>'Messages Dictionary'!I454</f>
        <v>5</v>
      </c>
      <c r="J442" s="10">
        <f>'Messages Dictionary'!J454</f>
        <v>0</v>
      </c>
      <c r="K442" s="10">
        <f t="shared" si="6"/>
        <v>0</v>
      </c>
      <c r="L442" s="82"/>
      <c r="M442" s="82"/>
      <c r="N442" s="83"/>
      <c r="O442" s="83"/>
      <c r="P442" s="83"/>
      <c r="Q442" s="83"/>
      <c r="R442" s="83"/>
      <c r="S442" s="83"/>
      <c r="T442" s="83"/>
      <c r="U442" s="83"/>
      <c r="V442" s="83"/>
      <c r="W442" s="83"/>
      <c r="X442" s="83"/>
      <c r="Y442" s="83"/>
      <c r="Z442" s="83"/>
      <c r="AA442" s="83"/>
      <c r="AB442" s="83"/>
      <c r="AC442" s="83"/>
      <c r="AD442" s="83"/>
      <c r="AE442" s="83"/>
      <c r="AF442" s="83"/>
      <c r="AG442" s="83"/>
      <c r="AH442" s="83"/>
      <c r="AI442" s="83"/>
      <c r="AJ442" s="83"/>
      <c r="AK442" s="83"/>
      <c r="AL442" s="83"/>
      <c r="AM442" s="83"/>
      <c r="AN442" s="83"/>
      <c r="AO442" s="83"/>
      <c r="AP442" s="83"/>
      <c r="AQ442" s="83"/>
      <c r="AR442" s="83"/>
      <c r="AS442" s="55">
        <f>'Messages Dictionary'!I454</f>
        <v>5</v>
      </c>
    </row>
    <row r="443" spans="1:45" s="27" customFormat="1" ht="28.5" hidden="1" x14ac:dyDescent="0.2">
      <c r="A443" s="28">
        <v>3058</v>
      </c>
      <c r="B443" s="9" t="s">
        <v>212</v>
      </c>
      <c r="C443" s="9" t="s">
        <v>213</v>
      </c>
      <c r="D443" s="9" t="s">
        <v>234</v>
      </c>
      <c r="E443" s="9" t="s">
        <v>677</v>
      </c>
      <c r="F443" s="9" t="s">
        <v>201</v>
      </c>
      <c r="G443" s="9" t="s">
        <v>809</v>
      </c>
      <c r="H443" s="9" t="s">
        <v>831</v>
      </c>
      <c r="I443" s="55">
        <f>'Messages Dictionary'!I455</f>
        <v>5</v>
      </c>
      <c r="J443" s="10">
        <f>'Messages Dictionary'!J455</f>
        <v>0</v>
      </c>
      <c r="K443" s="10">
        <f t="shared" si="6"/>
        <v>0</v>
      </c>
      <c r="L443" s="82"/>
      <c r="M443" s="82"/>
      <c r="N443" s="83"/>
      <c r="O443" s="83"/>
      <c r="P443" s="83"/>
      <c r="Q443" s="83"/>
      <c r="R443" s="83"/>
      <c r="S443" s="83"/>
      <c r="T443" s="83"/>
      <c r="U443" s="83"/>
      <c r="V443" s="83"/>
      <c r="W443" s="83"/>
      <c r="X443" s="83"/>
      <c r="Y443" s="83"/>
      <c r="Z443" s="83"/>
      <c r="AA443" s="83"/>
      <c r="AB443" s="83"/>
      <c r="AC443" s="83"/>
      <c r="AD443" s="83"/>
      <c r="AE443" s="83"/>
      <c r="AF443" s="83"/>
      <c r="AG443" s="83"/>
      <c r="AH443" s="83"/>
      <c r="AI443" s="83"/>
      <c r="AJ443" s="83"/>
      <c r="AK443" s="83"/>
      <c r="AL443" s="83"/>
      <c r="AM443" s="83"/>
      <c r="AN443" s="83"/>
      <c r="AO443" s="83"/>
      <c r="AP443" s="83"/>
      <c r="AQ443" s="83"/>
      <c r="AR443" s="83"/>
      <c r="AS443" s="55">
        <f>'Messages Dictionary'!I455</f>
        <v>5</v>
      </c>
    </row>
    <row r="444" spans="1:45" s="27" customFormat="1" ht="28.5" hidden="1" x14ac:dyDescent="0.2">
      <c r="A444" s="28">
        <v>3059</v>
      </c>
      <c r="B444" s="9" t="s">
        <v>214</v>
      </c>
      <c r="C444" s="9" t="s">
        <v>215</v>
      </c>
      <c r="D444" s="9" t="s">
        <v>234</v>
      </c>
      <c r="E444" s="9" t="s">
        <v>677</v>
      </c>
      <c r="F444" s="9" t="s">
        <v>199</v>
      </c>
      <c r="G444" s="9" t="s">
        <v>809</v>
      </c>
      <c r="H444" s="9" t="s">
        <v>831</v>
      </c>
      <c r="I444" s="55">
        <f>'Messages Dictionary'!I456</f>
        <v>1</v>
      </c>
      <c r="J444" s="10">
        <f>'Messages Dictionary'!J456</f>
        <v>0</v>
      </c>
      <c r="K444" s="10">
        <f t="shared" si="6"/>
        <v>0</v>
      </c>
      <c r="L444" s="82"/>
      <c r="M444" s="82"/>
      <c r="N444" s="83"/>
      <c r="O444" s="83"/>
      <c r="P444" s="83"/>
      <c r="Q444" s="83"/>
      <c r="R444" s="83"/>
      <c r="S444" s="83"/>
      <c r="T444" s="83"/>
      <c r="U444" s="83"/>
      <c r="V444" s="83"/>
      <c r="W444" s="83"/>
      <c r="X444" s="83"/>
      <c r="Y444" s="83"/>
      <c r="Z444" s="83"/>
      <c r="AA444" s="83"/>
      <c r="AB444" s="83"/>
      <c r="AC444" s="83"/>
      <c r="AD444" s="83"/>
      <c r="AE444" s="83"/>
      <c r="AF444" s="83"/>
      <c r="AG444" s="83"/>
      <c r="AH444" s="83"/>
      <c r="AI444" s="83"/>
      <c r="AJ444" s="83"/>
      <c r="AK444" s="83"/>
      <c r="AL444" s="83"/>
      <c r="AM444" s="83"/>
      <c r="AN444" s="83"/>
      <c r="AO444" s="83"/>
      <c r="AP444" s="83"/>
      <c r="AQ444" s="83"/>
      <c r="AR444" s="83"/>
      <c r="AS444" s="55">
        <f>'Messages Dictionary'!I456</f>
        <v>1</v>
      </c>
    </row>
    <row r="445" spans="1:45" s="27" customFormat="1" ht="28.5" hidden="1" x14ac:dyDescent="0.2">
      <c r="A445" s="28">
        <v>3060</v>
      </c>
      <c r="B445" s="9" t="s">
        <v>216</v>
      </c>
      <c r="C445" s="9" t="s">
        <v>94</v>
      </c>
      <c r="D445" s="9" t="s">
        <v>234</v>
      </c>
      <c r="E445" s="9" t="s">
        <v>677</v>
      </c>
      <c r="F445" s="9" t="s">
        <v>199</v>
      </c>
      <c r="G445" s="9" t="s">
        <v>809</v>
      </c>
      <c r="H445" s="9" t="s">
        <v>831</v>
      </c>
      <c r="I445" s="55">
        <f>'Messages Dictionary'!I457</f>
        <v>4</v>
      </c>
      <c r="J445" s="10">
        <f>'Messages Dictionary'!J457</f>
        <v>0</v>
      </c>
      <c r="K445" s="10">
        <f t="shared" si="6"/>
        <v>0</v>
      </c>
      <c r="L445" s="82"/>
      <c r="M445" s="82"/>
      <c r="N445" s="83"/>
      <c r="O445" s="83"/>
      <c r="P445" s="83"/>
      <c r="Q445" s="83"/>
      <c r="R445" s="83"/>
      <c r="S445" s="83"/>
      <c r="T445" s="83"/>
      <c r="U445" s="83"/>
      <c r="V445" s="83"/>
      <c r="W445" s="83"/>
      <c r="X445" s="83"/>
      <c r="Y445" s="83"/>
      <c r="Z445" s="83"/>
      <c r="AA445" s="83"/>
      <c r="AB445" s="83"/>
      <c r="AC445" s="83"/>
      <c r="AD445" s="83"/>
      <c r="AE445" s="83"/>
      <c r="AF445" s="83"/>
      <c r="AG445" s="83"/>
      <c r="AH445" s="83"/>
      <c r="AI445" s="83"/>
      <c r="AJ445" s="83"/>
      <c r="AK445" s="83"/>
      <c r="AL445" s="83"/>
      <c r="AM445" s="83"/>
      <c r="AN445" s="83"/>
      <c r="AO445" s="83"/>
      <c r="AP445" s="83"/>
      <c r="AQ445" s="83"/>
      <c r="AR445" s="83"/>
      <c r="AS445" s="55">
        <f>'Messages Dictionary'!I457</f>
        <v>4</v>
      </c>
    </row>
    <row r="446" spans="1:45" s="27" customFormat="1" ht="28.5" hidden="1" x14ac:dyDescent="0.2">
      <c r="A446" s="28">
        <v>3061</v>
      </c>
      <c r="B446" s="9" t="s">
        <v>95</v>
      </c>
      <c r="C446" s="9" t="s">
        <v>96</v>
      </c>
      <c r="D446" s="9" t="s">
        <v>234</v>
      </c>
      <c r="E446" s="9" t="s">
        <v>677</v>
      </c>
      <c r="F446" s="9" t="s">
        <v>201</v>
      </c>
      <c r="G446" s="9" t="s">
        <v>809</v>
      </c>
      <c r="H446" s="9" t="s">
        <v>831</v>
      </c>
      <c r="I446" s="55">
        <f>'Messages Dictionary'!I458</f>
        <v>117</v>
      </c>
      <c r="J446" s="10">
        <f>'Messages Dictionary'!J458</f>
        <v>0</v>
      </c>
      <c r="K446" s="10">
        <f t="shared" si="6"/>
        <v>0</v>
      </c>
      <c r="L446" s="82"/>
      <c r="M446" s="82"/>
      <c r="N446" s="83"/>
      <c r="O446" s="83"/>
      <c r="P446" s="83"/>
      <c r="Q446" s="83"/>
      <c r="R446" s="83"/>
      <c r="S446" s="83"/>
      <c r="T446" s="83"/>
      <c r="U446" s="83"/>
      <c r="V446" s="83"/>
      <c r="W446" s="83"/>
      <c r="X446" s="83"/>
      <c r="Y446" s="83"/>
      <c r="Z446" s="83"/>
      <c r="AA446" s="83"/>
      <c r="AB446" s="83"/>
      <c r="AC446" s="83"/>
      <c r="AD446" s="83"/>
      <c r="AE446" s="83"/>
      <c r="AF446" s="83"/>
      <c r="AG446" s="83"/>
      <c r="AH446" s="83"/>
      <c r="AI446" s="83"/>
      <c r="AJ446" s="83"/>
      <c r="AK446" s="83"/>
      <c r="AL446" s="83"/>
      <c r="AM446" s="83"/>
      <c r="AN446" s="83"/>
      <c r="AO446" s="83"/>
      <c r="AP446" s="83"/>
      <c r="AQ446" s="83"/>
      <c r="AR446" s="83"/>
      <c r="AS446" s="55">
        <f>'Messages Dictionary'!I458</f>
        <v>117</v>
      </c>
    </row>
    <row r="447" spans="1:45" s="27" customFormat="1" ht="28.5" hidden="1" x14ac:dyDescent="0.2">
      <c r="A447" s="28">
        <v>3062</v>
      </c>
      <c r="B447" s="9" t="s">
        <v>97</v>
      </c>
      <c r="C447" s="9" t="s">
        <v>98</v>
      </c>
      <c r="D447" s="9" t="s">
        <v>234</v>
      </c>
      <c r="E447" s="9" t="s">
        <v>677</v>
      </c>
      <c r="F447" s="9" t="s">
        <v>199</v>
      </c>
      <c r="G447" s="9" t="s">
        <v>809</v>
      </c>
      <c r="H447" s="9" t="s">
        <v>831</v>
      </c>
      <c r="I447" s="55">
        <f>'Messages Dictionary'!I459</f>
        <v>0</v>
      </c>
      <c r="J447" s="10">
        <f>'Messages Dictionary'!J459</f>
        <v>0</v>
      </c>
      <c r="K447" s="10">
        <f t="shared" si="6"/>
        <v>0</v>
      </c>
      <c r="L447" s="82"/>
      <c r="M447" s="82"/>
      <c r="N447" s="83"/>
      <c r="O447" s="83"/>
      <c r="P447" s="83"/>
      <c r="Q447" s="83"/>
      <c r="R447" s="83"/>
      <c r="S447" s="83"/>
      <c r="T447" s="83"/>
      <c r="U447" s="83"/>
      <c r="V447" s="83"/>
      <c r="W447" s="83"/>
      <c r="X447" s="83"/>
      <c r="Y447" s="83"/>
      <c r="Z447" s="83"/>
      <c r="AA447" s="83"/>
      <c r="AB447" s="83"/>
      <c r="AC447" s="83"/>
      <c r="AD447" s="83"/>
      <c r="AE447" s="83"/>
      <c r="AF447" s="83"/>
      <c r="AG447" s="83"/>
      <c r="AH447" s="83"/>
      <c r="AI447" s="83"/>
      <c r="AJ447" s="83"/>
      <c r="AK447" s="83"/>
      <c r="AL447" s="83"/>
      <c r="AM447" s="83"/>
      <c r="AN447" s="83"/>
      <c r="AO447" s="83"/>
      <c r="AP447" s="83"/>
      <c r="AQ447" s="83"/>
      <c r="AR447" s="83"/>
      <c r="AS447" s="55">
        <f>'Messages Dictionary'!I459</f>
        <v>0</v>
      </c>
    </row>
    <row r="448" spans="1:45" s="27" customFormat="1" ht="28.5" hidden="1" x14ac:dyDescent="0.2">
      <c r="A448" s="28">
        <v>3063</v>
      </c>
      <c r="B448" s="9" t="s">
        <v>99</v>
      </c>
      <c r="C448" s="9" t="s">
        <v>100</v>
      </c>
      <c r="D448" s="9" t="s">
        <v>234</v>
      </c>
      <c r="E448" s="9" t="s">
        <v>702</v>
      </c>
      <c r="F448" s="9" t="s">
        <v>201</v>
      </c>
      <c r="G448" s="9" t="s">
        <v>809</v>
      </c>
      <c r="H448" s="9" t="s">
        <v>831</v>
      </c>
      <c r="I448" s="55">
        <f>'Messages Dictionary'!I460</f>
        <v>0</v>
      </c>
      <c r="J448" s="10">
        <f>'Messages Dictionary'!J460</f>
        <v>0</v>
      </c>
      <c r="K448" s="10">
        <f t="shared" si="6"/>
        <v>0</v>
      </c>
      <c r="L448" s="82"/>
      <c r="M448" s="82"/>
      <c r="N448" s="83"/>
      <c r="O448" s="83"/>
      <c r="P448" s="83"/>
      <c r="Q448" s="83"/>
      <c r="R448" s="83"/>
      <c r="S448" s="83"/>
      <c r="T448" s="83"/>
      <c r="U448" s="83"/>
      <c r="V448" s="83"/>
      <c r="W448" s="83"/>
      <c r="X448" s="83"/>
      <c r="Y448" s="83"/>
      <c r="Z448" s="83"/>
      <c r="AA448" s="83"/>
      <c r="AB448" s="83"/>
      <c r="AC448" s="83"/>
      <c r="AD448" s="83"/>
      <c r="AE448" s="83"/>
      <c r="AF448" s="83"/>
      <c r="AG448" s="83"/>
      <c r="AH448" s="83"/>
      <c r="AI448" s="83"/>
      <c r="AJ448" s="83"/>
      <c r="AK448" s="83"/>
      <c r="AL448" s="83"/>
      <c r="AM448" s="83"/>
      <c r="AN448" s="83"/>
      <c r="AO448" s="83"/>
      <c r="AP448" s="83"/>
      <c r="AQ448" s="83"/>
      <c r="AR448" s="83"/>
      <c r="AS448" s="55">
        <f>'Messages Dictionary'!I460</f>
        <v>0</v>
      </c>
    </row>
    <row r="449" spans="1:45" s="27" customFormat="1" ht="28.5" hidden="1" x14ac:dyDescent="0.2">
      <c r="A449" s="28">
        <v>3064</v>
      </c>
      <c r="B449" s="9" t="s">
        <v>101</v>
      </c>
      <c r="C449" s="9" t="s">
        <v>102</v>
      </c>
      <c r="D449" s="9" t="s">
        <v>234</v>
      </c>
      <c r="E449" s="9" t="s">
        <v>702</v>
      </c>
      <c r="F449" s="9" t="s">
        <v>199</v>
      </c>
      <c r="G449" s="9" t="s">
        <v>809</v>
      </c>
      <c r="H449" s="9" t="s">
        <v>831</v>
      </c>
      <c r="I449" s="55">
        <f>'Messages Dictionary'!I461</f>
        <v>0</v>
      </c>
      <c r="J449" s="10">
        <f>'Messages Dictionary'!J461</f>
        <v>0</v>
      </c>
      <c r="K449" s="10">
        <f t="shared" si="6"/>
        <v>0</v>
      </c>
      <c r="L449" s="82"/>
      <c r="M449" s="82"/>
      <c r="N449" s="83"/>
      <c r="O449" s="83"/>
      <c r="P449" s="83"/>
      <c r="Q449" s="83"/>
      <c r="R449" s="83"/>
      <c r="S449" s="83"/>
      <c r="T449" s="83"/>
      <c r="U449" s="83"/>
      <c r="V449" s="83"/>
      <c r="W449" s="83"/>
      <c r="X449" s="83"/>
      <c r="Y449" s="83"/>
      <c r="Z449" s="83"/>
      <c r="AA449" s="83"/>
      <c r="AB449" s="83"/>
      <c r="AC449" s="83"/>
      <c r="AD449" s="83"/>
      <c r="AE449" s="83"/>
      <c r="AF449" s="83"/>
      <c r="AG449" s="83"/>
      <c r="AH449" s="83"/>
      <c r="AI449" s="83"/>
      <c r="AJ449" s="83"/>
      <c r="AK449" s="83"/>
      <c r="AL449" s="83"/>
      <c r="AM449" s="83"/>
      <c r="AN449" s="83"/>
      <c r="AO449" s="83"/>
      <c r="AP449" s="83"/>
      <c r="AQ449" s="83"/>
      <c r="AR449" s="83"/>
      <c r="AS449" s="55">
        <f>'Messages Dictionary'!I461</f>
        <v>0</v>
      </c>
    </row>
    <row r="450" spans="1:45" s="27" customFormat="1" ht="42.75" hidden="1" x14ac:dyDescent="0.2">
      <c r="A450" s="28">
        <v>3065</v>
      </c>
      <c r="B450" s="9" t="s">
        <v>103</v>
      </c>
      <c r="C450" s="9" t="s">
        <v>104</v>
      </c>
      <c r="D450" s="9" t="s">
        <v>234</v>
      </c>
      <c r="E450" s="9" t="s">
        <v>702</v>
      </c>
      <c r="F450" s="9" t="s">
        <v>199</v>
      </c>
      <c r="G450" s="9" t="s">
        <v>809</v>
      </c>
      <c r="H450" s="9" t="s">
        <v>831</v>
      </c>
      <c r="I450" s="55">
        <f>'Messages Dictionary'!I462</f>
        <v>0</v>
      </c>
      <c r="J450" s="10">
        <f>'Messages Dictionary'!J462</f>
        <v>0</v>
      </c>
      <c r="K450" s="10">
        <f t="shared" ref="K450:K513" si="7">I450*J450</f>
        <v>0</v>
      </c>
      <c r="L450" s="82"/>
      <c r="M450" s="82"/>
      <c r="N450" s="83"/>
      <c r="O450" s="83"/>
      <c r="P450" s="83"/>
      <c r="Q450" s="83"/>
      <c r="R450" s="83"/>
      <c r="S450" s="83"/>
      <c r="T450" s="83"/>
      <c r="U450" s="83"/>
      <c r="V450" s="83"/>
      <c r="W450" s="83"/>
      <c r="X450" s="83"/>
      <c r="Y450" s="83"/>
      <c r="Z450" s="83"/>
      <c r="AA450" s="83"/>
      <c r="AB450" s="83"/>
      <c r="AC450" s="83"/>
      <c r="AD450" s="83"/>
      <c r="AE450" s="83"/>
      <c r="AF450" s="83"/>
      <c r="AG450" s="83"/>
      <c r="AH450" s="83"/>
      <c r="AI450" s="83"/>
      <c r="AJ450" s="83"/>
      <c r="AK450" s="83"/>
      <c r="AL450" s="83"/>
      <c r="AM450" s="83"/>
      <c r="AN450" s="83"/>
      <c r="AO450" s="83"/>
      <c r="AP450" s="83"/>
      <c r="AQ450" s="83"/>
      <c r="AR450" s="83"/>
      <c r="AS450" s="55">
        <f>'Messages Dictionary'!I462</f>
        <v>0</v>
      </c>
    </row>
    <row r="451" spans="1:45" s="27" customFormat="1" ht="42.75" hidden="1" x14ac:dyDescent="0.2">
      <c r="A451" s="28">
        <v>3066</v>
      </c>
      <c r="B451" s="9" t="s">
        <v>709</v>
      </c>
      <c r="C451" s="9" t="s">
        <v>710</v>
      </c>
      <c r="D451" s="9" t="s">
        <v>234</v>
      </c>
      <c r="E451" s="9" t="s">
        <v>702</v>
      </c>
      <c r="F451" s="9" t="s">
        <v>199</v>
      </c>
      <c r="G451" s="9" t="s">
        <v>809</v>
      </c>
      <c r="H451" s="9" t="s">
        <v>831</v>
      </c>
      <c r="I451" s="55">
        <f>'Messages Dictionary'!I463</f>
        <v>0</v>
      </c>
      <c r="J451" s="10">
        <f>'Messages Dictionary'!J463</f>
        <v>0</v>
      </c>
      <c r="K451" s="10">
        <f t="shared" si="7"/>
        <v>0</v>
      </c>
      <c r="L451" s="82"/>
      <c r="M451" s="82"/>
      <c r="N451" s="83"/>
      <c r="O451" s="83"/>
      <c r="P451" s="83"/>
      <c r="Q451" s="83"/>
      <c r="R451" s="83"/>
      <c r="S451" s="83"/>
      <c r="T451" s="83"/>
      <c r="U451" s="83"/>
      <c r="V451" s="83"/>
      <c r="W451" s="83"/>
      <c r="X451" s="83"/>
      <c r="Y451" s="83"/>
      <c r="Z451" s="83"/>
      <c r="AA451" s="83"/>
      <c r="AB451" s="83"/>
      <c r="AC451" s="83"/>
      <c r="AD451" s="83"/>
      <c r="AE451" s="83"/>
      <c r="AF451" s="83"/>
      <c r="AG451" s="83"/>
      <c r="AH451" s="83"/>
      <c r="AI451" s="83"/>
      <c r="AJ451" s="83"/>
      <c r="AK451" s="83"/>
      <c r="AL451" s="83"/>
      <c r="AM451" s="83"/>
      <c r="AN451" s="83"/>
      <c r="AO451" s="83"/>
      <c r="AP451" s="83"/>
      <c r="AQ451" s="83"/>
      <c r="AR451" s="83"/>
      <c r="AS451" s="55">
        <f>'Messages Dictionary'!I463</f>
        <v>0</v>
      </c>
    </row>
    <row r="452" spans="1:45" s="27" customFormat="1" ht="57" hidden="1" x14ac:dyDescent="0.2">
      <c r="A452" s="28">
        <v>3067</v>
      </c>
      <c r="B452" s="9" t="s">
        <v>239</v>
      </c>
      <c r="C452" s="9" t="s">
        <v>240</v>
      </c>
      <c r="D452" s="9" t="s">
        <v>234</v>
      </c>
      <c r="E452" s="9" t="s">
        <v>702</v>
      </c>
      <c r="F452" s="9" t="s">
        <v>199</v>
      </c>
      <c r="G452" s="9" t="s">
        <v>809</v>
      </c>
      <c r="H452" s="9" t="s">
        <v>831</v>
      </c>
      <c r="I452" s="55">
        <f>'Messages Dictionary'!I464</f>
        <v>2</v>
      </c>
      <c r="J452" s="10">
        <f>'Messages Dictionary'!J464</f>
        <v>0</v>
      </c>
      <c r="K452" s="10">
        <f t="shared" si="7"/>
        <v>0</v>
      </c>
      <c r="L452" s="82"/>
      <c r="M452" s="82"/>
      <c r="N452" s="83"/>
      <c r="O452" s="83"/>
      <c r="P452" s="83"/>
      <c r="Q452" s="83"/>
      <c r="R452" s="83"/>
      <c r="S452" s="83"/>
      <c r="T452" s="83"/>
      <c r="U452" s="83"/>
      <c r="V452" s="83"/>
      <c r="W452" s="83"/>
      <c r="X452" s="83"/>
      <c r="Y452" s="83"/>
      <c r="Z452" s="83"/>
      <c r="AA452" s="83"/>
      <c r="AB452" s="83"/>
      <c r="AC452" s="83"/>
      <c r="AD452" s="83"/>
      <c r="AE452" s="83"/>
      <c r="AF452" s="83"/>
      <c r="AG452" s="83"/>
      <c r="AH452" s="83"/>
      <c r="AI452" s="83"/>
      <c r="AJ452" s="83"/>
      <c r="AK452" s="83"/>
      <c r="AL452" s="83"/>
      <c r="AM452" s="83"/>
      <c r="AN452" s="83"/>
      <c r="AO452" s="83"/>
      <c r="AP452" s="83"/>
      <c r="AQ452" s="83"/>
      <c r="AR452" s="83"/>
      <c r="AS452" s="55">
        <f>'Messages Dictionary'!I464</f>
        <v>2</v>
      </c>
    </row>
    <row r="453" spans="1:45" s="27" customFormat="1" ht="42.75" hidden="1" x14ac:dyDescent="0.2">
      <c r="A453" s="28">
        <v>3068</v>
      </c>
      <c r="B453" s="9" t="s">
        <v>241</v>
      </c>
      <c r="C453" s="9" t="s">
        <v>243</v>
      </c>
      <c r="D453" s="9" t="s">
        <v>234</v>
      </c>
      <c r="E453" s="9" t="s">
        <v>702</v>
      </c>
      <c r="F453" s="9" t="s">
        <v>201</v>
      </c>
      <c r="G453" s="9" t="s">
        <v>809</v>
      </c>
      <c r="H453" s="9" t="s">
        <v>831</v>
      </c>
      <c r="I453" s="55">
        <f>'Messages Dictionary'!I465</f>
        <v>1</v>
      </c>
      <c r="J453" s="10">
        <f>'Messages Dictionary'!J465</f>
        <v>0</v>
      </c>
      <c r="K453" s="10">
        <f t="shared" si="7"/>
        <v>0</v>
      </c>
      <c r="L453" s="82"/>
      <c r="M453" s="82"/>
      <c r="N453" s="83"/>
      <c r="O453" s="83"/>
      <c r="P453" s="83"/>
      <c r="Q453" s="83"/>
      <c r="R453" s="83"/>
      <c r="S453" s="83"/>
      <c r="T453" s="83"/>
      <c r="U453" s="83"/>
      <c r="V453" s="83"/>
      <c r="W453" s="83"/>
      <c r="X453" s="83"/>
      <c r="Y453" s="83"/>
      <c r="Z453" s="83"/>
      <c r="AA453" s="83"/>
      <c r="AB453" s="83"/>
      <c r="AC453" s="83"/>
      <c r="AD453" s="83"/>
      <c r="AE453" s="83"/>
      <c r="AF453" s="83"/>
      <c r="AG453" s="83"/>
      <c r="AH453" s="83"/>
      <c r="AI453" s="83"/>
      <c r="AJ453" s="83"/>
      <c r="AK453" s="83"/>
      <c r="AL453" s="83"/>
      <c r="AM453" s="83"/>
      <c r="AN453" s="83"/>
      <c r="AO453" s="83"/>
      <c r="AP453" s="83"/>
      <c r="AQ453" s="83"/>
      <c r="AR453" s="83"/>
      <c r="AS453" s="55">
        <f>'Messages Dictionary'!I465</f>
        <v>1</v>
      </c>
    </row>
    <row r="454" spans="1:45" s="27" customFormat="1" ht="42.75" hidden="1" x14ac:dyDescent="0.2">
      <c r="A454" s="28">
        <v>3069</v>
      </c>
      <c r="B454" s="9" t="s">
        <v>711</v>
      </c>
      <c r="C454" s="9" t="s">
        <v>712</v>
      </c>
      <c r="D454" s="9" t="s">
        <v>234</v>
      </c>
      <c r="E454" s="9" t="s">
        <v>702</v>
      </c>
      <c r="F454" s="9" t="s">
        <v>199</v>
      </c>
      <c r="G454" s="9" t="s">
        <v>809</v>
      </c>
      <c r="H454" s="9" t="s">
        <v>831</v>
      </c>
      <c r="I454" s="55">
        <f>'Messages Dictionary'!I466</f>
        <v>0</v>
      </c>
      <c r="J454" s="10">
        <f>'Messages Dictionary'!J466</f>
        <v>0</v>
      </c>
      <c r="K454" s="10">
        <f t="shared" si="7"/>
        <v>0</v>
      </c>
      <c r="L454" s="82"/>
      <c r="M454" s="82"/>
      <c r="N454" s="83"/>
      <c r="O454" s="83"/>
      <c r="P454" s="83"/>
      <c r="Q454" s="83"/>
      <c r="R454" s="83"/>
      <c r="S454" s="83"/>
      <c r="T454" s="83"/>
      <c r="U454" s="83"/>
      <c r="V454" s="83"/>
      <c r="W454" s="83"/>
      <c r="X454" s="83"/>
      <c r="Y454" s="83"/>
      <c r="Z454" s="83"/>
      <c r="AA454" s="83"/>
      <c r="AB454" s="83"/>
      <c r="AC454" s="83"/>
      <c r="AD454" s="83"/>
      <c r="AE454" s="83"/>
      <c r="AF454" s="83"/>
      <c r="AG454" s="83"/>
      <c r="AH454" s="83"/>
      <c r="AI454" s="83"/>
      <c r="AJ454" s="83"/>
      <c r="AK454" s="83"/>
      <c r="AL454" s="83"/>
      <c r="AM454" s="83"/>
      <c r="AN454" s="83"/>
      <c r="AO454" s="83"/>
      <c r="AP454" s="83"/>
      <c r="AQ454" s="83"/>
      <c r="AR454" s="83"/>
      <c r="AS454" s="55">
        <f>'Messages Dictionary'!I466</f>
        <v>0</v>
      </c>
    </row>
    <row r="455" spans="1:45" s="27" customFormat="1" ht="42.75" hidden="1" x14ac:dyDescent="0.2">
      <c r="A455" s="28">
        <v>3070</v>
      </c>
      <c r="B455" s="9" t="s">
        <v>713</v>
      </c>
      <c r="C455" s="9" t="s">
        <v>714</v>
      </c>
      <c r="D455" s="9" t="s">
        <v>234</v>
      </c>
      <c r="E455" s="9" t="s">
        <v>702</v>
      </c>
      <c r="F455" s="9" t="s">
        <v>201</v>
      </c>
      <c r="G455" s="9" t="s">
        <v>809</v>
      </c>
      <c r="H455" s="9" t="s">
        <v>831</v>
      </c>
      <c r="I455" s="55">
        <f>'Messages Dictionary'!I467</f>
        <v>0</v>
      </c>
      <c r="J455" s="10">
        <f>'Messages Dictionary'!J467</f>
        <v>0</v>
      </c>
      <c r="K455" s="10">
        <f t="shared" si="7"/>
        <v>0</v>
      </c>
      <c r="L455" s="82"/>
      <c r="M455" s="82"/>
      <c r="N455" s="83"/>
      <c r="O455" s="83"/>
      <c r="P455" s="83"/>
      <c r="Q455" s="83"/>
      <c r="R455" s="83"/>
      <c r="S455" s="83"/>
      <c r="T455" s="83"/>
      <c r="U455" s="83"/>
      <c r="V455" s="83"/>
      <c r="W455" s="83"/>
      <c r="X455" s="83"/>
      <c r="Y455" s="83"/>
      <c r="Z455" s="83"/>
      <c r="AA455" s="83"/>
      <c r="AB455" s="83"/>
      <c r="AC455" s="83"/>
      <c r="AD455" s="83"/>
      <c r="AE455" s="83"/>
      <c r="AF455" s="83"/>
      <c r="AG455" s="83"/>
      <c r="AH455" s="83"/>
      <c r="AI455" s="83"/>
      <c r="AJ455" s="83"/>
      <c r="AK455" s="83"/>
      <c r="AL455" s="83"/>
      <c r="AM455" s="83"/>
      <c r="AN455" s="83"/>
      <c r="AO455" s="83"/>
      <c r="AP455" s="83"/>
      <c r="AQ455" s="83"/>
      <c r="AR455" s="83"/>
      <c r="AS455" s="55">
        <f>'Messages Dictionary'!I467</f>
        <v>0</v>
      </c>
    </row>
    <row r="456" spans="1:45" s="27" customFormat="1" ht="42.75" hidden="1" x14ac:dyDescent="0.2">
      <c r="A456" s="28">
        <v>3071</v>
      </c>
      <c r="B456" s="9" t="s">
        <v>715</v>
      </c>
      <c r="C456" s="9" t="s">
        <v>716</v>
      </c>
      <c r="D456" s="9" t="s">
        <v>234</v>
      </c>
      <c r="E456" s="9" t="s">
        <v>702</v>
      </c>
      <c r="F456" s="9" t="s">
        <v>201</v>
      </c>
      <c r="G456" s="9" t="s">
        <v>809</v>
      </c>
      <c r="H456" s="9" t="s">
        <v>831</v>
      </c>
      <c r="I456" s="55">
        <f>'Messages Dictionary'!I468</f>
        <v>1</v>
      </c>
      <c r="J456" s="10">
        <f>'Messages Dictionary'!J468</f>
        <v>0</v>
      </c>
      <c r="K456" s="10">
        <f t="shared" si="7"/>
        <v>0</v>
      </c>
      <c r="L456" s="82"/>
      <c r="M456" s="82"/>
      <c r="N456" s="83"/>
      <c r="O456" s="83"/>
      <c r="P456" s="83"/>
      <c r="Q456" s="83"/>
      <c r="R456" s="83"/>
      <c r="S456" s="83"/>
      <c r="T456" s="83"/>
      <c r="U456" s="83"/>
      <c r="V456" s="83"/>
      <c r="W456" s="83"/>
      <c r="X456" s="83"/>
      <c r="Y456" s="83"/>
      <c r="Z456" s="83"/>
      <c r="AA456" s="83"/>
      <c r="AB456" s="83"/>
      <c r="AC456" s="83"/>
      <c r="AD456" s="83"/>
      <c r="AE456" s="83"/>
      <c r="AF456" s="83"/>
      <c r="AG456" s="83"/>
      <c r="AH456" s="83"/>
      <c r="AI456" s="83"/>
      <c r="AJ456" s="83"/>
      <c r="AK456" s="83"/>
      <c r="AL456" s="83"/>
      <c r="AM456" s="83"/>
      <c r="AN456" s="83"/>
      <c r="AO456" s="83"/>
      <c r="AP456" s="83"/>
      <c r="AQ456" s="83"/>
      <c r="AR456" s="83"/>
      <c r="AS456" s="55">
        <f>'Messages Dictionary'!I468</f>
        <v>1</v>
      </c>
    </row>
    <row r="457" spans="1:45" s="27" customFormat="1" ht="28.5" hidden="1" x14ac:dyDescent="0.2">
      <c r="A457" s="28">
        <v>3072</v>
      </c>
      <c r="B457" s="9" t="s">
        <v>717</v>
      </c>
      <c r="C457" s="9" t="s">
        <v>718</v>
      </c>
      <c r="D457" s="9" t="s">
        <v>234</v>
      </c>
      <c r="E457" s="9" t="s">
        <v>702</v>
      </c>
      <c r="F457" s="9" t="s">
        <v>201</v>
      </c>
      <c r="G457" s="9" t="s">
        <v>809</v>
      </c>
      <c r="H457" s="9" t="s">
        <v>831</v>
      </c>
      <c r="I457" s="55">
        <f>'Messages Dictionary'!I469</f>
        <v>1</v>
      </c>
      <c r="J457" s="10">
        <f>'Messages Dictionary'!J469</f>
        <v>0</v>
      </c>
      <c r="K457" s="10">
        <f t="shared" si="7"/>
        <v>0</v>
      </c>
      <c r="L457" s="82"/>
      <c r="M457" s="82"/>
      <c r="N457" s="83"/>
      <c r="O457" s="83"/>
      <c r="P457" s="83"/>
      <c r="Q457" s="83"/>
      <c r="R457" s="83"/>
      <c r="S457" s="83"/>
      <c r="T457" s="83"/>
      <c r="U457" s="83"/>
      <c r="V457" s="83"/>
      <c r="W457" s="83"/>
      <c r="X457" s="83"/>
      <c r="Y457" s="83"/>
      <c r="Z457" s="83"/>
      <c r="AA457" s="83"/>
      <c r="AB457" s="83"/>
      <c r="AC457" s="83"/>
      <c r="AD457" s="83"/>
      <c r="AE457" s="83"/>
      <c r="AF457" s="83"/>
      <c r="AG457" s="83"/>
      <c r="AH457" s="83"/>
      <c r="AI457" s="83"/>
      <c r="AJ457" s="83"/>
      <c r="AK457" s="83"/>
      <c r="AL457" s="83"/>
      <c r="AM457" s="83"/>
      <c r="AN457" s="83"/>
      <c r="AO457" s="83"/>
      <c r="AP457" s="83"/>
      <c r="AQ457" s="83"/>
      <c r="AR457" s="83"/>
      <c r="AS457" s="55">
        <f>'Messages Dictionary'!I469</f>
        <v>1</v>
      </c>
    </row>
    <row r="458" spans="1:45" s="27" customFormat="1" ht="28.5" hidden="1" x14ac:dyDescent="0.2">
      <c r="A458" s="28">
        <v>3073</v>
      </c>
      <c r="B458" s="9" t="s">
        <v>719</v>
      </c>
      <c r="C458" s="9" t="s">
        <v>720</v>
      </c>
      <c r="D458" s="9" t="s">
        <v>234</v>
      </c>
      <c r="E458" s="9" t="s">
        <v>677</v>
      </c>
      <c r="F458" s="9" t="s">
        <v>199</v>
      </c>
      <c r="G458" s="9" t="s">
        <v>809</v>
      </c>
      <c r="H458" s="9" t="s">
        <v>831</v>
      </c>
      <c r="I458" s="55">
        <f>'Messages Dictionary'!I470</f>
        <v>2</v>
      </c>
      <c r="J458" s="10">
        <f>'Messages Dictionary'!J470</f>
        <v>0</v>
      </c>
      <c r="K458" s="10">
        <f t="shared" si="7"/>
        <v>0</v>
      </c>
      <c r="L458" s="82"/>
      <c r="M458" s="82"/>
      <c r="N458" s="83"/>
      <c r="O458" s="83"/>
      <c r="P458" s="83"/>
      <c r="Q458" s="83"/>
      <c r="R458" s="83"/>
      <c r="S458" s="83"/>
      <c r="T458" s="83"/>
      <c r="U458" s="83"/>
      <c r="V458" s="83"/>
      <c r="W458" s="83"/>
      <c r="X458" s="83"/>
      <c r="Y458" s="83"/>
      <c r="Z458" s="83"/>
      <c r="AA458" s="83"/>
      <c r="AB458" s="83"/>
      <c r="AC458" s="83"/>
      <c r="AD458" s="83"/>
      <c r="AE458" s="83"/>
      <c r="AF458" s="83"/>
      <c r="AG458" s="83"/>
      <c r="AH458" s="83"/>
      <c r="AI458" s="83"/>
      <c r="AJ458" s="83"/>
      <c r="AK458" s="83"/>
      <c r="AL458" s="83"/>
      <c r="AM458" s="83"/>
      <c r="AN458" s="83"/>
      <c r="AO458" s="83"/>
      <c r="AP458" s="83"/>
      <c r="AQ458" s="83"/>
      <c r="AR458" s="83"/>
      <c r="AS458" s="55">
        <f>'Messages Dictionary'!I470</f>
        <v>2</v>
      </c>
    </row>
    <row r="459" spans="1:45" s="27" customFormat="1" ht="28.5" hidden="1" x14ac:dyDescent="0.2">
      <c r="A459" s="28">
        <v>3074</v>
      </c>
      <c r="B459" s="9" t="s">
        <v>721</v>
      </c>
      <c r="C459" s="9" t="s">
        <v>722</v>
      </c>
      <c r="D459" s="9" t="s">
        <v>234</v>
      </c>
      <c r="E459" s="9" t="s">
        <v>677</v>
      </c>
      <c r="F459" s="9" t="s">
        <v>199</v>
      </c>
      <c r="G459" s="9" t="s">
        <v>809</v>
      </c>
      <c r="H459" s="9" t="s">
        <v>831</v>
      </c>
      <c r="I459" s="55">
        <f>'Messages Dictionary'!I471</f>
        <v>0</v>
      </c>
      <c r="J459" s="10">
        <f>'Messages Dictionary'!J471</f>
        <v>0</v>
      </c>
      <c r="K459" s="10">
        <f t="shared" si="7"/>
        <v>0</v>
      </c>
      <c r="L459" s="82"/>
      <c r="M459" s="82"/>
      <c r="N459" s="83"/>
      <c r="O459" s="83"/>
      <c r="P459" s="83"/>
      <c r="Q459" s="83"/>
      <c r="R459" s="83"/>
      <c r="S459" s="83"/>
      <c r="T459" s="83"/>
      <c r="U459" s="83"/>
      <c r="V459" s="83"/>
      <c r="W459" s="83"/>
      <c r="X459" s="83"/>
      <c r="Y459" s="83"/>
      <c r="Z459" s="83"/>
      <c r="AA459" s="83"/>
      <c r="AB459" s="83"/>
      <c r="AC459" s="83"/>
      <c r="AD459" s="83"/>
      <c r="AE459" s="83"/>
      <c r="AF459" s="83"/>
      <c r="AG459" s="83"/>
      <c r="AH459" s="83"/>
      <c r="AI459" s="83"/>
      <c r="AJ459" s="83"/>
      <c r="AK459" s="83"/>
      <c r="AL459" s="83"/>
      <c r="AM459" s="83"/>
      <c r="AN459" s="83"/>
      <c r="AO459" s="83"/>
      <c r="AP459" s="83"/>
      <c r="AQ459" s="83"/>
      <c r="AR459" s="83"/>
      <c r="AS459" s="55">
        <f>'Messages Dictionary'!I471</f>
        <v>0</v>
      </c>
    </row>
    <row r="460" spans="1:45" s="27" customFormat="1" ht="28.5" hidden="1" x14ac:dyDescent="0.2">
      <c r="A460" s="28">
        <v>3075</v>
      </c>
      <c r="B460" s="9" t="s">
        <v>723</v>
      </c>
      <c r="C460" s="9" t="s">
        <v>724</v>
      </c>
      <c r="D460" s="9" t="s">
        <v>234</v>
      </c>
      <c r="E460" s="9" t="s">
        <v>263</v>
      </c>
      <c r="F460" s="9" t="s">
        <v>199</v>
      </c>
      <c r="G460" s="9" t="s">
        <v>809</v>
      </c>
      <c r="H460" s="9" t="s">
        <v>831</v>
      </c>
      <c r="I460" s="55">
        <f>'Messages Dictionary'!I472</f>
        <v>7</v>
      </c>
      <c r="J460" s="10">
        <f>'Messages Dictionary'!J472</f>
        <v>0</v>
      </c>
      <c r="K460" s="10">
        <f t="shared" si="7"/>
        <v>0</v>
      </c>
      <c r="L460" s="82"/>
      <c r="M460" s="82"/>
      <c r="N460" s="83"/>
      <c r="O460" s="83"/>
      <c r="P460" s="83"/>
      <c r="Q460" s="83"/>
      <c r="R460" s="83"/>
      <c r="S460" s="83"/>
      <c r="T460" s="83"/>
      <c r="U460" s="83"/>
      <c r="V460" s="83"/>
      <c r="W460" s="83"/>
      <c r="X460" s="83"/>
      <c r="Y460" s="83"/>
      <c r="Z460" s="83"/>
      <c r="AA460" s="83"/>
      <c r="AB460" s="83"/>
      <c r="AC460" s="83"/>
      <c r="AD460" s="83"/>
      <c r="AE460" s="83"/>
      <c r="AF460" s="83"/>
      <c r="AG460" s="83"/>
      <c r="AH460" s="83"/>
      <c r="AI460" s="83"/>
      <c r="AJ460" s="83"/>
      <c r="AK460" s="83"/>
      <c r="AL460" s="83"/>
      <c r="AM460" s="83"/>
      <c r="AN460" s="83"/>
      <c r="AO460" s="83"/>
      <c r="AP460" s="83"/>
      <c r="AQ460" s="83"/>
      <c r="AR460" s="83"/>
      <c r="AS460" s="55">
        <f>'Messages Dictionary'!I472</f>
        <v>7</v>
      </c>
    </row>
    <row r="461" spans="1:45" s="27" customFormat="1" ht="42.75" hidden="1" x14ac:dyDescent="0.2">
      <c r="A461" s="28">
        <v>3076</v>
      </c>
      <c r="B461" s="9" t="s">
        <v>725</v>
      </c>
      <c r="C461" s="9" t="s">
        <v>726</v>
      </c>
      <c r="D461" s="9" t="s">
        <v>234</v>
      </c>
      <c r="E461" s="9" t="s">
        <v>656</v>
      </c>
      <c r="F461" s="9" t="s">
        <v>201</v>
      </c>
      <c r="G461" s="9" t="s">
        <v>809</v>
      </c>
      <c r="H461" s="9" t="s">
        <v>831</v>
      </c>
      <c r="I461" s="55">
        <f>'Messages Dictionary'!I473</f>
        <v>6</v>
      </c>
      <c r="J461" s="10">
        <f>'Messages Dictionary'!J473</f>
        <v>0</v>
      </c>
      <c r="K461" s="10">
        <f t="shared" si="7"/>
        <v>0</v>
      </c>
      <c r="L461" s="82"/>
      <c r="M461" s="82"/>
      <c r="N461" s="83"/>
      <c r="O461" s="83"/>
      <c r="P461" s="83"/>
      <c r="Q461" s="83"/>
      <c r="R461" s="83"/>
      <c r="S461" s="83"/>
      <c r="T461" s="83"/>
      <c r="U461" s="83"/>
      <c r="V461" s="83"/>
      <c r="W461" s="83"/>
      <c r="X461" s="83"/>
      <c r="Y461" s="83"/>
      <c r="Z461" s="83"/>
      <c r="AA461" s="83"/>
      <c r="AB461" s="83"/>
      <c r="AC461" s="83"/>
      <c r="AD461" s="83"/>
      <c r="AE461" s="83"/>
      <c r="AF461" s="83"/>
      <c r="AG461" s="83"/>
      <c r="AH461" s="83"/>
      <c r="AI461" s="83"/>
      <c r="AJ461" s="83"/>
      <c r="AK461" s="83"/>
      <c r="AL461" s="83"/>
      <c r="AM461" s="83"/>
      <c r="AN461" s="83"/>
      <c r="AO461" s="83"/>
      <c r="AP461" s="83"/>
      <c r="AQ461" s="83"/>
      <c r="AR461" s="83"/>
      <c r="AS461" s="55">
        <f>'Messages Dictionary'!I473</f>
        <v>6</v>
      </c>
    </row>
    <row r="462" spans="1:45" s="27" customFormat="1" ht="42.75" hidden="1" x14ac:dyDescent="0.2">
      <c r="A462" s="28">
        <v>3077</v>
      </c>
      <c r="B462" s="9" t="s">
        <v>727</v>
      </c>
      <c r="C462" s="9" t="s">
        <v>728</v>
      </c>
      <c r="D462" s="9" t="s">
        <v>234</v>
      </c>
      <c r="E462" s="9" t="s">
        <v>656</v>
      </c>
      <c r="F462" s="9" t="s">
        <v>199</v>
      </c>
      <c r="G462" s="9" t="s">
        <v>809</v>
      </c>
      <c r="H462" s="9" t="s">
        <v>831</v>
      </c>
      <c r="I462" s="55">
        <f>'Messages Dictionary'!I474</f>
        <v>0</v>
      </c>
      <c r="J462" s="10">
        <f>'Messages Dictionary'!J474</f>
        <v>0</v>
      </c>
      <c r="K462" s="10">
        <f t="shared" si="7"/>
        <v>0</v>
      </c>
      <c r="L462" s="82"/>
      <c r="M462" s="82"/>
      <c r="N462" s="83"/>
      <c r="O462" s="83"/>
      <c r="P462" s="83"/>
      <c r="Q462" s="83"/>
      <c r="R462" s="83"/>
      <c r="S462" s="83"/>
      <c r="T462" s="83"/>
      <c r="U462" s="83"/>
      <c r="V462" s="83"/>
      <c r="W462" s="83"/>
      <c r="X462" s="83"/>
      <c r="Y462" s="83"/>
      <c r="Z462" s="83"/>
      <c r="AA462" s="83"/>
      <c r="AB462" s="83"/>
      <c r="AC462" s="83"/>
      <c r="AD462" s="83"/>
      <c r="AE462" s="83"/>
      <c r="AF462" s="83"/>
      <c r="AG462" s="83"/>
      <c r="AH462" s="83"/>
      <c r="AI462" s="83"/>
      <c r="AJ462" s="83"/>
      <c r="AK462" s="83"/>
      <c r="AL462" s="83"/>
      <c r="AM462" s="83"/>
      <c r="AN462" s="83"/>
      <c r="AO462" s="83"/>
      <c r="AP462" s="83"/>
      <c r="AQ462" s="83"/>
      <c r="AR462" s="83"/>
      <c r="AS462" s="55">
        <f>'Messages Dictionary'!I474</f>
        <v>0</v>
      </c>
    </row>
    <row r="463" spans="1:45" s="27" customFormat="1" ht="42.75" hidden="1" x14ac:dyDescent="0.2">
      <c r="A463" s="28">
        <v>3078</v>
      </c>
      <c r="B463" s="9" t="s">
        <v>729</v>
      </c>
      <c r="C463" s="9" t="s">
        <v>730</v>
      </c>
      <c r="D463" s="9" t="s">
        <v>234</v>
      </c>
      <c r="E463" s="9" t="s">
        <v>656</v>
      </c>
      <c r="F463" s="9" t="s">
        <v>201</v>
      </c>
      <c r="G463" s="9" t="s">
        <v>809</v>
      </c>
      <c r="H463" s="9" t="s">
        <v>831</v>
      </c>
      <c r="I463" s="55">
        <f>'Messages Dictionary'!I475</f>
        <v>17</v>
      </c>
      <c r="J463" s="10">
        <f>'Messages Dictionary'!J475</f>
        <v>0</v>
      </c>
      <c r="K463" s="10">
        <f t="shared" si="7"/>
        <v>0</v>
      </c>
      <c r="L463" s="82"/>
      <c r="M463" s="82"/>
      <c r="N463" s="83"/>
      <c r="O463" s="83"/>
      <c r="P463" s="83"/>
      <c r="Q463" s="83"/>
      <c r="R463" s="83"/>
      <c r="S463" s="83"/>
      <c r="T463" s="83"/>
      <c r="U463" s="83"/>
      <c r="V463" s="83"/>
      <c r="W463" s="83"/>
      <c r="X463" s="83"/>
      <c r="Y463" s="83"/>
      <c r="Z463" s="83"/>
      <c r="AA463" s="83"/>
      <c r="AB463" s="83"/>
      <c r="AC463" s="83"/>
      <c r="AD463" s="83"/>
      <c r="AE463" s="83"/>
      <c r="AF463" s="83"/>
      <c r="AG463" s="83"/>
      <c r="AH463" s="83"/>
      <c r="AI463" s="83"/>
      <c r="AJ463" s="83"/>
      <c r="AK463" s="83"/>
      <c r="AL463" s="83"/>
      <c r="AM463" s="83"/>
      <c r="AN463" s="83"/>
      <c r="AO463" s="83"/>
      <c r="AP463" s="83"/>
      <c r="AQ463" s="83"/>
      <c r="AR463" s="83"/>
      <c r="AS463" s="55">
        <f>'Messages Dictionary'!I475</f>
        <v>17</v>
      </c>
    </row>
    <row r="464" spans="1:45" s="27" customFormat="1" ht="42.75" hidden="1" x14ac:dyDescent="0.2">
      <c r="A464" s="28">
        <v>3079</v>
      </c>
      <c r="B464" s="9" t="s">
        <v>731</v>
      </c>
      <c r="C464" s="9" t="s">
        <v>732</v>
      </c>
      <c r="D464" s="9" t="s">
        <v>234</v>
      </c>
      <c r="E464" s="9" t="s">
        <v>656</v>
      </c>
      <c r="F464" s="9" t="s">
        <v>201</v>
      </c>
      <c r="G464" s="9" t="s">
        <v>809</v>
      </c>
      <c r="H464" s="9" t="s">
        <v>831</v>
      </c>
      <c r="I464" s="55">
        <f>'Messages Dictionary'!I476</f>
        <v>16</v>
      </c>
      <c r="J464" s="10">
        <f>'Messages Dictionary'!J476</f>
        <v>0</v>
      </c>
      <c r="K464" s="10">
        <f t="shared" si="7"/>
        <v>0</v>
      </c>
      <c r="L464" s="82"/>
      <c r="M464" s="82"/>
      <c r="N464" s="83"/>
      <c r="O464" s="83"/>
      <c r="P464" s="83"/>
      <c r="Q464" s="83"/>
      <c r="R464" s="83"/>
      <c r="S464" s="83"/>
      <c r="T464" s="83"/>
      <c r="U464" s="83"/>
      <c r="V464" s="83"/>
      <c r="W464" s="83"/>
      <c r="X464" s="83"/>
      <c r="Y464" s="83"/>
      <c r="Z464" s="83"/>
      <c r="AA464" s="83"/>
      <c r="AB464" s="83"/>
      <c r="AC464" s="83"/>
      <c r="AD464" s="83"/>
      <c r="AE464" s="83"/>
      <c r="AF464" s="83"/>
      <c r="AG464" s="83"/>
      <c r="AH464" s="83"/>
      <c r="AI464" s="83"/>
      <c r="AJ464" s="83"/>
      <c r="AK464" s="83"/>
      <c r="AL464" s="83"/>
      <c r="AM464" s="83"/>
      <c r="AN464" s="83"/>
      <c r="AO464" s="83"/>
      <c r="AP464" s="83"/>
      <c r="AQ464" s="83"/>
      <c r="AR464" s="83"/>
      <c r="AS464" s="55">
        <f>'Messages Dictionary'!I476</f>
        <v>16</v>
      </c>
    </row>
    <row r="465" spans="1:45" s="27" customFormat="1" ht="42.75" hidden="1" x14ac:dyDescent="0.2">
      <c r="A465" s="28">
        <v>3080</v>
      </c>
      <c r="B465" s="9" t="s">
        <v>733</v>
      </c>
      <c r="C465" s="9" t="s">
        <v>734</v>
      </c>
      <c r="D465" s="9" t="s">
        <v>234</v>
      </c>
      <c r="E465" s="9" t="s">
        <v>656</v>
      </c>
      <c r="F465" s="9" t="s">
        <v>199</v>
      </c>
      <c r="G465" s="9" t="s">
        <v>809</v>
      </c>
      <c r="H465" s="9" t="s">
        <v>831</v>
      </c>
      <c r="I465" s="55">
        <f>'Messages Dictionary'!I477</f>
        <v>20</v>
      </c>
      <c r="J465" s="10">
        <f>'Messages Dictionary'!J477</f>
        <v>0</v>
      </c>
      <c r="K465" s="10">
        <f t="shared" si="7"/>
        <v>0</v>
      </c>
      <c r="L465" s="82"/>
      <c r="M465" s="82"/>
      <c r="N465" s="83"/>
      <c r="O465" s="83"/>
      <c r="P465" s="83"/>
      <c r="Q465" s="83"/>
      <c r="R465" s="83"/>
      <c r="S465" s="83"/>
      <c r="T465" s="83"/>
      <c r="U465" s="83"/>
      <c r="V465" s="83"/>
      <c r="W465" s="83"/>
      <c r="X465" s="83"/>
      <c r="Y465" s="83"/>
      <c r="Z465" s="83"/>
      <c r="AA465" s="83"/>
      <c r="AB465" s="83"/>
      <c r="AC465" s="83"/>
      <c r="AD465" s="83"/>
      <c r="AE465" s="83"/>
      <c r="AF465" s="83"/>
      <c r="AG465" s="83"/>
      <c r="AH465" s="83"/>
      <c r="AI465" s="83"/>
      <c r="AJ465" s="83"/>
      <c r="AK465" s="83"/>
      <c r="AL465" s="83"/>
      <c r="AM465" s="83"/>
      <c r="AN465" s="83"/>
      <c r="AO465" s="83"/>
      <c r="AP465" s="83"/>
      <c r="AQ465" s="83"/>
      <c r="AR465" s="83"/>
      <c r="AS465" s="55">
        <f>'Messages Dictionary'!I477</f>
        <v>20</v>
      </c>
    </row>
    <row r="466" spans="1:45" s="27" customFormat="1" ht="42.75" hidden="1" x14ac:dyDescent="0.2">
      <c r="A466" s="28">
        <v>3081</v>
      </c>
      <c r="B466" s="9" t="s">
        <v>735</v>
      </c>
      <c r="C466" s="9" t="s">
        <v>736</v>
      </c>
      <c r="D466" s="9" t="s">
        <v>234</v>
      </c>
      <c r="E466" s="9" t="s">
        <v>656</v>
      </c>
      <c r="F466" s="9" t="s">
        <v>199</v>
      </c>
      <c r="G466" s="9" t="s">
        <v>809</v>
      </c>
      <c r="H466" s="9" t="s">
        <v>831</v>
      </c>
      <c r="I466" s="55">
        <f>'Messages Dictionary'!I478</f>
        <v>5</v>
      </c>
      <c r="J466" s="10">
        <f>'Messages Dictionary'!J478</f>
        <v>0</v>
      </c>
      <c r="K466" s="10">
        <f t="shared" si="7"/>
        <v>0</v>
      </c>
      <c r="L466" s="82"/>
      <c r="M466" s="82"/>
      <c r="N466" s="83"/>
      <c r="O466" s="83"/>
      <c r="P466" s="83"/>
      <c r="Q466" s="83"/>
      <c r="R466" s="83"/>
      <c r="S466" s="83"/>
      <c r="T466" s="83"/>
      <c r="U466" s="83"/>
      <c r="V466" s="83"/>
      <c r="W466" s="83"/>
      <c r="X466" s="83"/>
      <c r="Y466" s="83"/>
      <c r="Z466" s="83"/>
      <c r="AA466" s="83"/>
      <c r="AB466" s="83"/>
      <c r="AC466" s="83"/>
      <c r="AD466" s="83"/>
      <c r="AE466" s="83"/>
      <c r="AF466" s="83"/>
      <c r="AG466" s="83"/>
      <c r="AH466" s="83"/>
      <c r="AI466" s="83"/>
      <c r="AJ466" s="83"/>
      <c r="AK466" s="83"/>
      <c r="AL466" s="83"/>
      <c r="AM466" s="83"/>
      <c r="AN466" s="83"/>
      <c r="AO466" s="83"/>
      <c r="AP466" s="83"/>
      <c r="AQ466" s="83"/>
      <c r="AR466" s="83"/>
      <c r="AS466" s="55">
        <f>'Messages Dictionary'!I478</f>
        <v>5</v>
      </c>
    </row>
    <row r="467" spans="1:45" s="27" customFormat="1" ht="42.75" hidden="1" x14ac:dyDescent="0.2">
      <c r="A467" s="28">
        <v>3082</v>
      </c>
      <c r="B467" s="9" t="s">
        <v>737</v>
      </c>
      <c r="C467" s="9" t="s">
        <v>738</v>
      </c>
      <c r="D467" s="9" t="s">
        <v>234</v>
      </c>
      <c r="E467" s="9" t="s">
        <v>656</v>
      </c>
      <c r="F467" s="9" t="s">
        <v>199</v>
      </c>
      <c r="G467" s="9" t="s">
        <v>809</v>
      </c>
      <c r="H467" s="9" t="s">
        <v>831</v>
      </c>
      <c r="I467" s="55">
        <f>'Messages Dictionary'!I479</f>
        <v>0</v>
      </c>
      <c r="J467" s="10">
        <f>'Messages Dictionary'!J479</f>
        <v>0</v>
      </c>
      <c r="K467" s="10">
        <f t="shared" si="7"/>
        <v>0</v>
      </c>
      <c r="L467" s="82"/>
      <c r="M467" s="82"/>
      <c r="N467" s="83"/>
      <c r="O467" s="83"/>
      <c r="P467" s="83"/>
      <c r="Q467" s="83"/>
      <c r="R467" s="83"/>
      <c r="S467" s="83"/>
      <c r="T467" s="83"/>
      <c r="U467" s="83"/>
      <c r="V467" s="83"/>
      <c r="W467" s="83"/>
      <c r="X467" s="83"/>
      <c r="Y467" s="83"/>
      <c r="Z467" s="83"/>
      <c r="AA467" s="83"/>
      <c r="AB467" s="83"/>
      <c r="AC467" s="83"/>
      <c r="AD467" s="83"/>
      <c r="AE467" s="83"/>
      <c r="AF467" s="83"/>
      <c r="AG467" s="83"/>
      <c r="AH467" s="83"/>
      <c r="AI467" s="83"/>
      <c r="AJ467" s="83"/>
      <c r="AK467" s="83"/>
      <c r="AL467" s="83"/>
      <c r="AM467" s="83"/>
      <c r="AN467" s="83"/>
      <c r="AO467" s="83"/>
      <c r="AP467" s="83"/>
      <c r="AQ467" s="83"/>
      <c r="AR467" s="83"/>
      <c r="AS467" s="55">
        <f>'Messages Dictionary'!I479</f>
        <v>0</v>
      </c>
    </row>
    <row r="468" spans="1:45" s="27" customFormat="1" ht="42.75" hidden="1" x14ac:dyDescent="0.2">
      <c r="A468" s="28">
        <v>3083</v>
      </c>
      <c r="B468" s="9" t="s">
        <v>739</v>
      </c>
      <c r="C468" s="9" t="s">
        <v>741</v>
      </c>
      <c r="D468" s="9" t="s">
        <v>234</v>
      </c>
      <c r="E468" s="9" t="s">
        <v>656</v>
      </c>
      <c r="F468" s="9" t="s">
        <v>199</v>
      </c>
      <c r="G468" s="9" t="s">
        <v>809</v>
      </c>
      <c r="H468" s="9" t="s">
        <v>831</v>
      </c>
      <c r="I468" s="55">
        <f>'Messages Dictionary'!I480</f>
        <v>0</v>
      </c>
      <c r="J468" s="10">
        <f>'Messages Dictionary'!J480</f>
        <v>0</v>
      </c>
      <c r="K468" s="10">
        <f t="shared" si="7"/>
        <v>0</v>
      </c>
      <c r="L468" s="82"/>
      <c r="M468" s="82"/>
      <c r="N468" s="83"/>
      <c r="O468" s="83"/>
      <c r="P468" s="83"/>
      <c r="Q468" s="83"/>
      <c r="R468" s="83"/>
      <c r="S468" s="83"/>
      <c r="T468" s="83"/>
      <c r="U468" s="83"/>
      <c r="V468" s="83"/>
      <c r="W468" s="83"/>
      <c r="X468" s="83"/>
      <c r="Y468" s="83"/>
      <c r="Z468" s="83"/>
      <c r="AA468" s="83"/>
      <c r="AB468" s="83"/>
      <c r="AC468" s="83"/>
      <c r="AD468" s="83"/>
      <c r="AE468" s="83"/>
      <c r="AF468" s="83"/>
      <c r="AG468" s="83"/>
      <c r="AH468" s="83"/>
      <c r="AI468" s="83"/>
      <c r="AJ468" s="83"/>
      <c r="AK468" s="83"/>
      <c r="AL468" s="83"/>
      <c r="AM468" s="83"/>
      <c r="AN468" s="83"/>
      <c r="AO468" s="83"/>
      <c r="AP468" s="83"/>
      <c r="AQ468" s="83"/>
      <c r="AR468" s="83"/>
      <c r="AS468" s="55">
        <f>'Messages Dictionary'!I480</f>
        <v>0</v>
      </c>
    </row>
    <row r="469" spans="1:45" s="27" customFormat="1" ht="42.75" hidden="1" x14ac:dyDescent="0.2">
      <c r="A469" s="28">
        <v>3084</v>
      </c>
      <c r="B469" s="9" t="s">
        <v>695</v>
      </c>
      <c r="C469" s="9" t="s">
        <v>222</v>
      </c>
      <c r="D469" s="9" t="s">
        <v>234</v>
      </c>
      <c r="E469" s="9" t="s">
        <v>702</v>
      </c>
      <c r="F469" s="9" t="s">
        <v>198</v>
      </c>
      <c r="G469" s="9" t="s">
        <v>809</v>
      </c>
      <c r="H469" s="9" t="s">
        <v>831</v>
      </c>
      <c r="I469" s="55">
        <f>'Messages Dictionary'!I481</f>
        <v>5</v>
      </c>
      <c r="J469" s="10">
        <f>'Messages Dictionary'!J481</f>
        <v>0</v>
      </c>
      <c r="K469" s="10">
        <f t="shared" si="7"/>
        <v>0</v>
      </c>
      <c r="L469" s="82"/>
      <c r="M469" s="82"/>
      <c r="N469" s="83"/>
      <c r="O469" s="83"/>
      <c r="P469" s="83"/>
      <c r="Q469" s="83"/>
      <c r="R469" s="83"/>
      <c r="S469" s="83"/>
      <c r="T469" s="83"/>
      <c r="U469" s="83"/>
      <c r="V469" s="83"/>
      <c r="W469" s="83"/>
      <c r="X469" s="83"/>
      <c r="Y469" s="83"/>
      <c r="Z469" s="83"/>
      <c r="AA469" s="83"/>
      <c r="AB469" s="83"/>
      <c r="AC469" s="83"/>
      <c r="AD469" s="83"/>
      <c r="AE469" s="83"/>
      <c r="AF469" s="83"/>
      <c r="AG469" s="83"/>
      <c r="AH469" s="83"/>
      <c r="AI469" s="83"/>
      <c r="AJ469" s="83"/>
      <c r="AK469" s="83"/>
      <c r="AL469" s="83"/>
      <c r="AM469" s="83"/>
      <c r="AN469" s="83"/>
      <c r="AO469" s="83"/>
      <c r="AP469" s="83"/>
      <c r="AQ469" s="83"/>
      <c r="AR469" s="83"/>
      <c r="AS469" s="55">
        <f>'Messages Dictionary'!I481</f>
        <v>5</v>
      </c>
    </row>
    <row r="470" spans="1:45" s="27" customFormat="1" ht="42.75" hidden="1" x14ac:dyDescent="0.2">
      <c r="A470" s="28">
        <v>3085</v>
      </c>
      <c r="B470" s="9" t="s">
        <v>223</v>
      </c>
      <c r="C470" s="9" t="s">
        <v>224</v>
      </c>
      <c r="D470" s="9" t="s">
        <v>234</v>
      </c>
      <c r="E470" s="9" t="s">
        <v>702</v>
      </c>
      <c r="F470" s="9" t="s">
        <v>198</v>
      </c>
      <c r="G470" s="9" t="s">
        <v>809</v>
      </c>
      <c r="H470" s="9" t="s">
        <v>831</v>
      </c>
      <c r="I470" s="55">
        <f>'Messages Dictionary'!I482</f>
        <v>0</v>
      </c>
      <c r="J470" s="10">
        <f>'Messages Dictionary'!J482</f>
        <v>0</v>
      </c>
      <c r="K470" s="10">
        <f t="shared" si="7"/>
        <v>0</v>
      </c>
      <c r="L470" s="82"/>
      <c r="M470" s="82"/>
      <c r="N470" s="83"/>
      <c r="O470" s="83"/>
      <c r="P470" s="83"/>
      <c r="Q470" s="83"/>
      <c r="R470" s="83"/>
      <c r="S470" s="83"/>
      <c r="T470" s="83"/>
      <c r="U470" s="83"/>
      <c r="V470" s="83"/>
      <c r="W470" s="83"/>
      <c r="X470" s="83"/>
      <c r="Y470" s="83"/>
      <c r="Z470" s="83"/>
      <c r="AA470" s="83"/>
      <c r="AB470" s="83"/>
      <c r="AC470" s="83"/>
      <c r="AD470" s="83"/>
      <c r="AE470" s="83"/>
      <c r="AF470" s="83"/>
      <c r="AG470" s="83"/>
      <c r="AH470" s="83"/>
      <c r="AI470" s="83"/>
      <c r="AJ470" s="83"/>
      <c r="AK470" s="83"/>
      <c r="AL470" s="83"/>
      <c r="AM470" s="83"/>
      <c r="AN470" s="83"/>
      <c r="AO470" s="83"/>
      <c r="AP470" s="83"/>
      <c r="AQ470" s="83"/>
      <c r="AR470" s="83"/>
      <c r="AS470" s="55">
        <f>'Messages Dictionary'!I482</f>
        <v>0</v>
      </c>
    </row>
    <row r="471" spans="1:45" s="27" customFormat="1" ht="57" hidden="1" x14ac:dyDescent="0.2">
      <c r="A471" s="28">
        <v>3086</v>
      </c>
      <c r="B471" s="9" t="s">
        <v>225</v>
      </c>
      <c r="C471" s="9" t="s">
        <v>226</v>
      </c>
      <c r="D471" s="9" t="s">
        <v>234</v>
      </c>
      <c r="E471" s="9" t="s">
        <v>702</v>
      </c>
      <c r="F471" s="9" t="s">
        <v>199</v>
      </c>
      <c r="G471" s="9" t="s">
        <v>809</v>
      </c>
      <c r="H471" s="9" t="s">
        <v>831</v>
      </c>
      <c r="I471" s="55">
        <f>'Messages Dictionary'!I483</f>
        <v>0</v>
      </c>
      <c r="J471" s="10">
        <f>'Messages Dictionary'!J483</f>
        <v>0</v>
      </c>
      <c r="K471" s="10">
        <f t="shared" si="7"/>
        <v>0</v>
      </c>
      <c r="L471" s="82"/>
      <c r="M471" s="82"/>
      <c r="N471" s="83"/>
      <c r="O471" s="83"/>
      <c r="P471" s="83"/>
      <c r="Q471" s="83"/>
      <c r="R471" s="83"/>
      <c r="S471" s="83"/>
      <c r="T471" s="83"/>
      <c r="U471" s="83"/>
      <c r="V471" s="83"/>
      <c r="W471" s="83"/>
      <c r="X471" s="83"/>
      <c r="Y471" s="83"/>
      <c r="Z471" s="83"/>
      <c r="AA471" s="83"/>
      <c r="AB471" s="83"/>
      <c r="AC471" s="83"/>
      <c r="AD471" s="83"/>
      <c r="AE471" s="83"/>
      <c r="AF471" s="83"/>
      <c r="AG471" s="83"/>
      <c r="AH471" s="83"/>
      <c r="AI471" s="83"/>
      <c r="AJ471" s="83"/>
      <c r="AK471" s="83"/>
      <c r="AL471" s="83"/>
      <c r="AM471" s="83"/>
      <c r="AN471" s="83"/>
      <c r="AO471" s="83"/>
      <c r="AP471" s="83"/>
      <c r="AQ471" s="83"/>
      <c r="AR471" s="83"/>
      <c r="AS471" s="55">
        <f>'Messages Dictionary'!I483</f>
        <v>0</v>
      </c>
    </row>
    <row r="472" spans="1:45" s="27" customFormat="1" ht="28.5" hidden="1" x14ac:dyDescent="0.2">
      <c r="A472" s="28">
        <v>3087</v>
      </c>
      <c r="B472" s="9" t="s">
        <v>227</v>
      </c>
      <c r="C472" s="9" t="s">
        <v>228</v>
      </c>
      <c r="D472" s="9" t="s">
        <v>234</v>
      </c>
      <c r="E472" s="9" t="s">
        <v>702</v>
      </c>
      <c r="F472" s="9" t="s">
        <v>199</v>
      </c>
      <c r="G472" s="9" t="s">
        <v>809</v>
      </c>
      <c r="H472" s="9" t="s">
        <v>831</v>
      </c>
      <c r="I472" s="55">
        <f>'Messages Dictionary'!I484</f>
        <v>0</v>
      </c>
      <c r="J472" s="10">
        <f>'Messages Dictionary'!J484</f>
        <v>0</v>
      </c>
      <c r="K472" s="10">
        <f t="shared" si="7"/>
        <v>0</v>
      </c>
      <c r="L472" s="82"/>
      <c r="M472" s="82"/>
      <c r="N472" s="83"/>
      <c r="O472" s="83"/>
      <c r="P472" s="83"/>
      <c r="Q472" s="83"/>
      <c r="R472" s="83"/>
      <c r="S472" s="83"/>
      <c r="T472" s="83"/>
      <c r="U472" s="83"/>
      <c r="V472" s="83"/>
      <c r="W472" s="83"/>
      <c r="X472" s="83"/>
      <c r="Y472" s="83"/>
      <c r="Z472" s="83"/>
      <c r="AA472" s="83"/>
      <c r="AB472" s="83"/>
      <c r="AC472" s="83"/>
      <c r="AD472" s="83"/>
      <c r="AE472" s="83"/>
      <c r="AF472" s="83"/>
      <c r="AG472" s="83"/>
      <c r="AH472" s="83"/>
      <c r="AI472" s="83"/>
      <c r="AJ472" s="83"/>
      <c r="AK472" s="83"/>
      <c r="AL472" s="83"/>
      <c r="AM472" s="83"/>
      <c r="AN472" s="83"/>
      <c r="AO472" s="83"/>
      <c r="AP472" s="83"/>
      <c r="AQ472" s="83"/>
      <c r="AR472" s="83"/>
      <c r="AS472" s="55">
        <f>'Messages Dictionary'!I484</f>
        <v>0</v>
      </c>
    </row>
    <row r="473" spans="1:45" s="27" customFormat="1" ht="28.5" hidden="1" x14ac:dyDescent="0.2">
      <c r="A473" s="28">
        <v>3088</v>
      </c>
      <c r="B473" s="9" t="s">
        <v>703</v>
      </c>
      <c r="C473" s="9" t="s">
        <v>704</v>
      </c>
      <c r="D473" s="9" t="s">
        <v>234</v>
      </c>
      <c r="E473" s="9" t="s">
        <v>702</v>
      </c>
      <c r="F473" s="9" t="s">
        <v>198</v>
      </c>
      <c r="G473" s="9" t="s">
        <v>809</v>
      </c>
      <c r="H473" s="9" t="s">
        <v>831</v>
      </c>
      <c r="I473" s="55">
        <f>'Messages Dictionary'!I485</f>
        <v>13</v>
      </c>
      <c r="J473" s="10">
        <f>'Messages Dictionary'!J485</f>
        <v>0</v>
      </c>
      <c r="K473" s="10">
        <f t="shared" si="7"/>
        <v>0</v>
      </c>
      <c r="L473" s="82"/>
      <c r="M473" s="82"/>
      <c r="N473" s="83"/>
      <c r="O473" s="83"/>
      <c r="P473" s="83"/>
      <c r="Q473" s="83"/>
      <c r="R473" s="83"/>
      <c r="S473" s="83"/>
      <c r="T473" s="83"/>
      <c r="U473" s="83"/>
      <c r="V473" s="83"/>
      <c r="W473" s="83"/>
      <c r="X473" s="83"/>
      <c r="Y473" s="83"/>
      <c r="Z473" s="83"/>
      <c r="AA473" s="83"/>
      <c r="AB473" s="83"/>
      <c r="AC473" s="83"/>
      <c r="AD473" s="83"/>
      <c r="AE473" s="83"/>
      <c r="AF473" s="83"/>
      <c r="AG473" s="83"/>
      <c r="AH473" s="83"/>
      <c r="AI473" s="83"/>
      <c r="AJ473" s="83"/>
      <c r="AK473" s="83"/>
      <c r="AL473" s="83"/>
      <c r="AM473" s="83"/>
      <c r="AN473" s="83"/>
      <c r="AO473" s="83"/>
      <c r="AP473" s="83"/>
      <c r="AQ473" s="83"/>
      <c r="AR473" s="83"/>
      <c r="AS473" s="55">
        <f>'Messages Dictionary'!I485</f>
        <v>13</v>
      </c>
    </row>
    <row r="474" spans="1:45" s="27" customFormat="1" ht="57" hidden="1" x14ac:dyDescent="0.2">
      <c r="A474" s="28">
        <v>3089</v>
      </c>
      <c r="B474" s="9" t="s">
        <v>705</v>
      </c>
      <c r="C474" s="9" t="s">
        <v>706</v>
      </c>
      <c r="D474" s="9" t="s">
        <v>234</v>
      </c>
      <c r="E474" s="9" t="s">
        <v>235</v>
      </c>
      <c r="F474" s="9" t="s">
        <v>200</v>
      </c>
      <c r="G474" s="9" t="s">
        <v>809</v>
      </c>
      <c r="H474" s="9" t="s">
        <v>831</v>
      </c>
      <c r="I474" s="55">
        <f>'Messages Dictionary'!I486</f>
        <v>39</v>
      </c>
      <c r="J474" s="10">
        <f>'Messages Dictionary'!J486</f>
        <v>0</v>
      </c>
      <c r="K474" s="10">
        <f t="shared" si="7"/>
        <v>0</v>
      </c>
      <c r="L474" s="82"/>
      <c r="M474" s="82"/>
      <c r="N474" s="83"/>
      <c r="O474" s="83"/>
      <c r="P474" s="83"/>
      <c r="Q474" s="83"/>
      <c r="R474" s="83"/>
      <c r="S474" s="83"/>
      <c r="T474" s="83"/>
      <c r="U474" s="83"/>
      <c r="V474" s="83"/>
      <c r="W474" s="83"/>
      <c r="X474" s="83"/>
      <c r="Y474" s="83"/>
      <c r="Z474" s="83"/>
      <c r="AA474" s="83"/>
      <c r="AB474" s="83"/>
      <c r="AC474" s="83"/>
      <c r="AD474" s="83"/>
      <c r="AE474" s="83"/>
      <c r="AF474" s="83"/>
      <c r="AG474" s="83"/>
      <c r="AH474" s="83"/>
      <c r="AI474" s="83"/>
      <c r="AJ474" s="83"/>
      <c r="AK474" s="83"/>
      <c r="AL474" s="83"/>
      <c r="AM474" s="83"/>
      <c r="AN474" s="83"/>
      <c r="AO474" s="83"/>
      <c r="AP474" s="83"/>
      <c r="AQ474" s="83"/>
      <c r="AR474" s="83"/>
      <c r="AS474" s="55">
        <f>'Messages Dictionary'!I486</f>
        <v>39</v>
      </c>
    </row>
    <row r="475" spans="1:45" s="27" customFormat="1" ht="28.5" hidden="1" x14ac:dyDescent="0.2">
      <c r="A475" s="28">
        <v>3090</v>
      </c>
      <c r="B475" s="9" t="s">
        <v>707</v>
      </c>
      <c r="C475" s="9" t="s">
        <v>708</v>
      </c>
      <c r="D475" s="9" t="s">
        <v>234</v>
      </c>
      <c r="E475" s="9" t="s">
        <v>702</v>
      </c>
      <c r="F475" s="9" t="s">
        <v>199</v>
      </c>
      <c r="G475" s="9" t="s">
        <v>809</v>
      </c>
      <c r="H475" s="9" t="s">
        <v>831</v>
      </c>
      <c r="I475" s="55">
        <f>'Messages Dictionary'!I487</f>
        <v>1</v>
      </c>
      <c r="J475" s="10">
        <f>'Messages Dictionary'!J487</f>
        <v>0</v>
      </c>
      <c r="K475" s="10">
        <f t="shared" si="7"/>
        <v>0</v>
      </c>
      <c r="L475" s="82"/>
      <c r="M475" s="82"/>
      <c r="N475" s="83"/>
      <c r="O475" s="83"/>
      <c r="P475" s="83"/>
      <c r="Q475" s="83"/>
      <c r="R475" s="83"/>
      <c r="S475" s="83"/>
      <c r="T475" s="83"/>
      <c r="U475" s="83"/>
      <c r="V475" s="83"/>
      <c r="W475" s="83"/>
      <c r="X475" s="83"/>
      <c r="Y475" s="83"/>
      <c r="Z475" s="83"/>
      <c r="AA475" s="83"/>
      <c r="AB475" s="83"/>
      <c r="AC475" s="83"/>
      <c r="AD475" s="83"/>
      <c r="AE475" s="83"/>
      <c r="AF475" s="83"/>
      <c r="AG475" s="83"/>
      <c r="AH475" s="83"/>
      <c r="AI475" s="83"/>
      <c r="AJ475" s="83"/>
      <c r="AK475" s="83"/>
      <c r="AL475" s="83"/>
      <c r="AM475" s="83"/>
      <c r="AN475" s="83"/>
      <c r="AO475" s="83"/>
      <c r="AP475" s="83"/>
      <c r="AQ475" s="83"/>
      <c r="AR475" s="83"/>
      <c r="AS475" s="55">
        <f>'Messages Dictionary'!I487</f>
        <v>1</v>
      </c>
    </row>
    <row r="476" spans="1:45" s="27" customFormat="1" ht="28.5" hidden="1" x14ac:dyDescent="0.2">
      <c r="A476" s="28">
        <v>3091</v>
      </c>
      <c r="B476" s="9" t="s">
        <v>574</v>
      </c>
      <c r="C476" s="9" t="s">
        <v>575</v>
      </c>
      <c r="D476" s="9" t="s">
        <v>234</v>
      </c>
      <c r="E476" s="9" t="s">
        <v>702</v>
      </c>
      <c r="F476" s="9" t="s">
        <v>199</v>
      </c>
      <c r="G476" s="9" t="s">
        <v>809</v>
      </c>
      <c r="H476" s="9" t="s">
        <v>831</v>
      </c>
      <c r="I476" s="55">
        <f>'Messages Dictionary'!I488</f>
        <v>0</v>
      </c>
      <c r="J476" s="10">
        <f>'Messages Dictionary'!J488</f>
        <v>0</v>
      </c>
      <c r="K476" s="10">
        <f t="shared" si="7"/>
        <v>0</v>
      </c>
      <c r="L476" s="82"/>
      <c r="M476" s="82"/>
      <c r="N476" s="83"/>
      <c r="O476" s="83"/>
      <c r="P476" s="83"/>
      <c r="Q476" s="83"/>
      <c r="R476" s="83"/>
      <c r="S476" s="83"/>
      <c r="T476" s="83"/>
      <c r="U476" s="83"/>
      <c r="V476" s="83"/>
      <c r="W476" s="83"/>
      <c r="X476" s="83"/>
      <c r="Y476" s="83"/>
      <c r="Z476" s="83"/>
      <c r="AA476" s="83"/>
      <c r="AB476" s="83"/>
      <c r="AC476" s="83"/>
      <c r="AD476" s="83"/>
      <c r="AE476" s="83"/>
      <c r="AF476" s="83"/>
      <c r="AG476" s="83"/>
      <c r="AH476" s="83"/>
      <c r="AI476" s="83"/>
      <c r="AJ476" s="83"/>
      <c r="AK476" s="83"/>
      <c r="AL476" s="83"/>
      <c r="AM476" s="83"/>
      <c r="AN476" s="83"/>
      <c r="AO476" s="83"/>
      <c r="AP476" s="83"/>
      <c r="AQ476" s="83"/>
      <c r="AR476" s="83"/>
      <c r="AS476" s="55">
        <f>'Messages Dictionary'!I488</f>
        <v>0</v>
      </c>
    </row>
    <row r="477" spans="1:45" s="27" customFormat="1" ht="28.5" hidden="1" x14ac:dyDescent="0.2">
      <c r="A477" s="28">
        <v>3092</v>
      </c>
      <c r="B477" s="9" t="s">
        <v>576</v>
      </c>
      <c r="C477" s="9" t="s">
        <v>577</v>
      </c>
      <c r="D477" s="9" t="s">
        <v>234</v>
      </c>
      <c r="E477" s="9" t="s">
        <v>702</v>
      </c>
      <c r="F477" s="9" t="s">
        <v>199</v>
      </c>
      <c r="G477" s="9" t="s">
        <v>809</v>
      </c>
      <c r="H477" s="9" t="s">
        <v>831</v>
      </c>
      <c r="I477" s="55">
        <f>'Messages Dictionary'!I489</f>
        <v>0</v>
      </c>
      <c r="J477" s="10">
        <f>'Messages Dictionary'!J489</f>
        <v>0</v>
      </c>
      <c r="K477" s="10">
        <f t="shared" si="7"/>
        <v>0</v>
      </c>
      <c r="L477" s="82"/>
      <c r="M477" s="82"/>
      <c r="N477" s="83"/>
      <c r="O477" s="83"/>
      <c r="P477" s="83"/>
      <c r="Q477" s="83"/>
      <c r="R477" s="83"/>
      <c r="S477" s="83"/>
      <c r="T477" s="83"/>
      <c r="U477" s="83"/>
      <c r="V477" s="83"/>
      <c r="W477" s="83"/>
      <c r="X477" s="83"/>
      <c r="Y477" s="83"/>
      <c r="Z477" s="83"/>
      <c r="AA477" s="83"/>
      <c r="AB477" s="83"/>
      <c r="AC477" s="83"/>
      <c r="AD477" s="83"/>
      <c r="AE477" s="83"/>
      <c r="AF477" s="83"/>
      <c r="AG477" s="83"/>
      <c r="AH477" s="83"/>
      <c r="AI477" s="83"/>
      <c r="AJ477" s="83"/>
      <c r="AK477" s="83"/>
      <c r="AL477" s="83"/>
      <c r="AM477" s="83"/>
      <c r="AN477" s="83"/>
      <c r="AO477" s="83"/>
      <c r="AP477" s="83"/>
      <c r="AQ477" s="83"/>
      <c r="AR477" s="83"/>
      <c r="AS477" s="55">
        <f>'Messages Dictionary'!I489</f>
        <v>0</v>
      </c>
    </row>
    <row r="478" spans="1:45" s="27" customFormat="1" ht="28.5" hidden="1" x14ac:dyDescent="0.2">
      <c r="A478" s="28">
        <v>3093</v>
      </c>
      <c r="B478" s="9" t="s">
        <v>578</v>
      </c>
      <c r="C478" s="9" t="s">
        <v>579</v>
      </c>
      <c r="D478" s="9" t="s">
        <v>234</v>
      </c>
      <c r="E478" s="9" t="s">
        <v>702</v>
      </c>
      <c r="F478" s="9" t="s">
        <v>199</v>
      </c>
      <c r="G478" s="9" t="s">
        <v>809</v>
      </c>
      <c r="H478" s="9" t="s">
        <v>831</v>
      </c>
      <c r="I478" s="55">
        <f>'Messages Dictionary'!I490</f>
        <v>0</v>
      </c>
      <c r="J478" s="10">
        <f>'Messages Dictionary'!J490</f>
        <v>0</v>
      </c>
      <c r="K478" s="10">
        <f t="shared" si="7"/>
        <v>0</v>
      </c>
      <c r="L478" s="82"/>
      <c r="M478" s="82"/>
      <c r="N478" s="83"/>
      <c r="O478" s="83"/>
      <c r="P478" s="83"/>
      <c r="Q478" s="83"/>
      <c r="R478" s="83"/>
      <c r="S478" s="83"/>
      <c r="T478" s="83"/>
      <c r="U478" s="83"/>
      <c r="V478" s="83"/>
      <c r="W478" s="83"/>
      <c r="X478" s="83"/>
      <c r="Y478" s="83"/>
      <c r="Z478" s="83"/>
      <c r="AA478" s="83"/>
      <c r="AB478" s="83"/>
      <c r="AC478" s="83"/>
      <c r="AD478" s="83"/>
      <c r="AE478" s="83"/>
      <c r="AF478" s="83"/>
      <c r="AG478" s="83"/>
      <c r="AH478" s="83"/>
      <c r="AI478" s="83"/>
      <c r="AJ478" s="83"/>
      <c r="AK478" s="83"/>
      <c r="AL478" s="83"/>
      <c r="AM478" s="83"/>
      <c r="AN478" s="83"/>
      <c r="AO478" s="83"/>
      <c r="AP478" s="83"/>
      <c r="AQ478" s="83"/>
      <c r="AR478" s="83"/>
      <c r="AS478" s="55">
        <f>'Messages Dictionary'!I490</f>
        <v>0</v>
      </c>
    </row>
    <row r="479" spans="1:45" s="27" customFormat="1" ht="28.5" hidden="1" x14ac:dyDescent="0.2">
      <c r="A479" s="28">
        <v>3094</v>
      </c>
      <c r="B479" s="9" t="s">
        <v>580</v>
      </c>
      <c r="C479" s="9" t="s">
        <v>581</v>
      </c>
      <c r="D479" s="9" t="s">
        <v>234</v>
      </c>
      <c r="E479" s="9" t="s">
        <v>702</v>
      </c>
      <c r="F479" s="9" t="s">
        <v>199</v>
      </c>
      <c r="G479" s="9" t="s">
        <v>809</v>
      </c>
      <c r="H479" s="9" t="s">
        <v>831</v>
      </c>
      <c r="I479" s="55">
        <f>'Messages Dictionary'!I491</f>
        <v>0</v>
      </c>
      <c r="J479" s="10">
        <f>'Messages Dictionary'!J491</f>
        <v>0</v>
      </c>
      <c r="K479" s="10">
        <f t="shared" si="7"/>
        <v>0</v>
      </c>
      <c r="L479" s="82"/>
      <c r="M479" s="82"/>
      <c r="N479" s="83"/>
      <c r="O479" s="83"/>
      <c r="P479" s="83"/>
      <c r="Q479" s="83"/>
      <c r="R479" s="83"/>
      <c r="S479" s="83"/>
      <c r="T479" s="83"/>
      <c r="U479" s="83"/>
      <c r="V479" s="83"/>
      <c r="W479" s="83"/>
      <c r="X479" s="83"/>
      <c r="Y479" s="83"/>
      <c r="Z479" s="83"/>
      <c r="AA479" s="83"/>
      <c r="AB479" s="83"/>
      <c r="AC479" s="83"/>
      <c r="AD479" s="83"/>
      <c r="AE479" s="83"/>
      <c r="AF479" s="83"/>
      <c r="AG479" s="83"/>
      <c r="AH479" s="83"/>
      <c r="AI479" s="83"/>
      <c r="AJ479" s="83"/>
      <c r="AK479" s="83"/>
      <c r="AL479" s="83"/>
      <c r="AM479" s="83"/>
      <c r="AN479" s="83"/>
      <c r="AO479" s="83"/>
      <c r="AP479" s="83"/>
      <c r="AQ479" s="83"/>
      <c r="AR479" s="83"/>
      <c r="AS479" s="55">
        <f>'Messages Dictionary'!I491</f>
        <v>0</v>
      </c>
    </row>
    <row r="480" spans="1:45" s="27" customFormat="1" ht="42.75" hidden="1" x14ac:dyDescent="0.2">
      <c r="A480" s="28">
        <v>3095</v>
      </c>
      <c r="B480" s="9" t="s">
        <v>582</v>
      </c>
      <c r="C480" s="9" t="s">
        <v>583</v>
      </c>
      <c r="D480" s="9" t="s">
        <v>234</v>
      </c>
      <c r="E480" s="9" t="s">
        <v>702</v>
      </c>
      <c r="F480" s="9" t="s">
        <v>199</v>
      </c>
      <c r="G480" s="9" t="s">
        <v>809</v>
      </c>
      <c r="H480" s="9" t="s">
        <v>831</v>
      </c>
      <c r="I480" s="55">
        <f>'Messages Dictionary'!I492</f>
        <v>0</v>
      </c>
      <c r="J480" s="10">
        <f>'Messages Dictionary'!J492</f>
        <v>0</v>
      </c>
      <c r="K480" s="10">
        <f t="shared" si="7"/>
        <v>0</v>
      </c>
      <c r="L480" s="82"/>
      <c r="M480" s="82"/>
      <c r="N480" s="83"/>
      <c r="O480" s="83"/>
      <c r="P480" s="83"/>
      <c r="Q480" s="83"/>
      <c r="R480" s="83"/>
      <c r="S480" s="83"/>
      <c r="T480" s="83"/>
      <c r="U480" s="83"/>
      <c r="V480" s="83"/>
      <c r="W480" s="83"/>
      <c r="X480" s="83"/>
      <c r="Y480" s="83"/>
      <c r="Z480" s="83"/>
      <c r="AA480" s="83"/>
      <c r="AB480" s="83"/>
      <c r="AC480" s="83"/>
      <c r="AD480" s="83"/>
      <c r="AE480" s="83"/>
      <c r="AF480" s="83"/>
      <c r="AG480" s="83"/>
      <c r="AH480" s="83"/>
      <c r="AI480" s="83"/>
      <c r="AJ480" s="83"/>
      <c r="AK480" s="83"/>
      <c r="AL480" s="83"/>
      <c r="AM480" s="83"/>
      <c r="AN480" s="83"/>
      <c r="AO480" s="83"/>
      <c r="AP480" s="83"/>
      <c r="AQ480" s="83"/>
      <c r="AR480" s="83"/>
      <c r="AS480" s="55">
        <f>'Messages Dictionary'!I492</f>
        <v>0</v>
      </c>
    </row>
    <row r="481" spans="1:45" s="27" customFormat="1" ht="42.75" hidden="1" x14ac:dyDescent="0.2">
      <c r="A481" s="28">
        <v>3096</v>
      </c>
      <c r="B481" s="9" t="s">
        <v>584</v>
      </c>
      <c r="C481" s="9" t="s">
        <v>585</v>
      </c>
      <c r="D481" s="9" t="s">
        <v>234</v>
      </c>
      <c r="E481" s="9" t="s">
        <v>702</v>
      </c>
      <c r="F481" s="9" t="s">
        <v>199</v>
      </c>
      <c r="G481" s="9" t="s">
        <v>809</v>
      </c>
      <c r="H481" s="9" t="s">
        <v>831</v>
      </c>
      <c r="I481" s="55">
        <f>'Messages Dictionary'!I493</f>
        <v>2</v>
      </c>
      <c r="J481" s="10">
        <f>'Messages Dictionary'!J493</f>
        <v>0</v>
      </c>
      <c r="K481" s="10">
        <f t="shared" si="7"/>
        <v>0</v>
      </c>
      <c r="L481" s="82"/>
      <c r="M481" s="82"/>
      <c r="N481" s="83"/>
      <c r="O481" s="83"/>
      <c r="P481" s="83"/>
      <c r="Q481" s="83"/>
      <c r="R481" s="83"/>
      <c r="S481" s="83"/>
      <c r="T481" s="83"/>
      <c r="U481" s="83"/>
      <c r="V481" s="83"/>
      <c r="W481" s="83"/>
      <c r="X481" s="83"/>
      <c r="Y481" s="83"/>
      <c r="Z481" s="83"/>
      <c r="AA481" s="83"/>
      <c r="AB481" s="83"/>
      <c r="AC481" s="83"/>
      <c r="AD481" s="83"/>
      <c r="AE481" s="83"/>
      <c r="AF481" s="83"/>
      <c r="AG481" s="83"/>
      <c r="AH481" s="83"/>
      <c r="AI481" s="83"/>
      <c r="AJ481" s="83"/>
      <c r="AK481" s="83"/>
      <c r="AL481" s="83"/>
      <c r="AM481" s="83"/>
      <c r="AN481" s="83"/>
      <c r="AO481" s="83"/>
      <c r="AP481" s="83"/>
      <c r="AQ481" s="83"/>
      <c r="AR481" s="83"/>
      <c r="AS481" s="55">
        <f>'Messages Dictionary'!I493</f>
        <v>2</v>
      </c>
    </row>
    <row r="482" spans="1:45" s="27" customFormat="1" ht="42.75" hidden="1" x14ac:dyDescent="0.2">
      <c r="A482" s="28">
        <v>3098</v>
      </c>
      <c r="B482" s="9" t="s">
        <v>586</v>
      </c>
      <c r="C482" s="9" t="s">
        <v>587</v>
      </c>
      <c r="D482" s="9" t="s">
        <v>234</v>
      </c>
      <c r="E482" s="9" t="s">
        <v>702</v>
      </c>
      <c r="F482" s="9" t="s">
        <v>199</v>
      </c>
      <c r="G482" s="9" t="s">
        <v>809</v>
      </c>
      <c r="H482" s="9" t="s">
        <v>831</v>
      </c>
      <c r="I482" s="55">
        <f>'Messages Dictionary'!I495</f>
        <v>0</v>
      </c>
      <c r="J482" s="10">
        <f>'Messages Dictionary'!J495</f>
        <v>0</v>
      </c>
      <c r="K482" s="10">
        <f t="shared" si="7"/>
        <v>0</v>
      </c>
      <c r="L482" s="82"/>
      <c r="M482" s="82"/>
      <c r="N482" s="83"/>
      <c r="O482" s="83"/>
      <c r="P482" s="83"/>
      <c r="Q482" s="83"/>
      <c r="R482" s="83"/>
      <c r="S482" s="83"/>
      <c r="T482" s="83"/>
      <c r="U482" s="83"/>
      <c r="V482" s="83"/>
      <c r="W482" s="83"/>
      <c r="X482" s="83"/>
      <c r="Y482" s="83"/>
      <c r="Z482" s="83"/>
      <c r="AA482" s="83"/>
      <c r="AB482" s="83"/>
      <c r="AC482" s="83"/>
      <c r="AD482" s="83"/>
      <c r="AE482" s="83"/>
      <c r="AF482" s="83"/>
      <c r="AG482" s="83"/>
      <c r="AH482" s="83"/>
      <c r="AI482" s="83"/>
      <c r="AJ482" s="83"/>
      <c r="AK482" s="83"/>
      <c r="AL482" s="83"/>
      <c r="AM482" s="83"/>
      <c r="AN482" s="83"/>
      <c r="AO482" s="83"/>
      <c r="AP482" s="83"/>
      <c r="AQ482" s="83"/>
      <c r="AR482" s="83"/>
      <c r="AS482" s="55">
        <f>'Messages Dictionary'!I495</f>
        <v>0</v>
      </c>
    </row>
    <row r="483" spans="1:45" s="27" customFormat="1" ht="42.75" hidden="1" x14ac:dyDescent="0.2">
      <c r="A483" s="28">
        <v>3099</v>
      </c>
      <c r="B483" s="9" t="s">
        <v>588</v>
      </c>
      <c r="C483" s="9" t="s">
        <v>589</v>
      </c>
      <c r="D483" s="9" t="s">
        <v>234</v>
      </c>
      <c r="E483" s="9" t="s">
        <v>702</v>
      </c>
      <c r="F483" s="9" t="s">
        <v>200</v>
      </c>
      <c r="G483" s="9" t="s">
        <v>809</v>
      </c>
      <c r="H483" s="9" t="s">
        <v>831</v>
      </c>
      <c r="I483" s="55">
        <f>'Messages Dictionary'!I496</f>
        <v>0</v>
      </c>
      <c r="J483" s="10">
        <f>'Messages Dictionary'!J496</f>
        <v>0</v>
      </c>
      <c r="K483" s="10">
        <f t="shared" si="7"/>
        <v>0</v>
      </c>
      <c r="L483" s="82"/>
      <c r="M483" s="82"/>
      <c r="N483" s="83"/>
      <c r="O483" s="83"/>
      <c r="P483" s="83"/>
      <c r="Q483" s="83"/>
      <c r="R483" s="83"/>
      <c r="S483" s="83"/>
      <c r="T483" s="83"/>
      <c r="U483" s="83"/>
      <c r="V483" s="83"/>
      <c r="W483" s="83"/>
      <c r="X483" s="83"/>
      <c r="Y483" s="83"/>
      <c r="Z483" s="83"/>
      <c r="AA483" s="83"/>
      <c r="AB483" s="83"/>
      <c r="AC483" s="83"/>
      <c r="AD483" s="83"/>
      <c r="AE483" s="83"/>
      <c r="AF483" s="83"/>
      <c r="AG483" s="83"/>
      <c r="AH483" s="83"/>
      <c r="AI483" s="83"/>
      <c r="AJ483" s="83"/>
      <c r="AK483" s="83"/>
      <c r="AL483" s="83"/>
      <c r="AM483" s="83"/>
      <c r="AN483" s="83"/>
      <c r="AO483" s="83"/>
      <c r="AP483" s="83"/>
      <c r="AQ483" s="83"/>
      <c r="AR483" s="83"/>
      <c r="AS483" s="55">
        <f>'Messages Dictionary'!I496</f>
        <v>0</v>
      </c>
    </row>
    <row r="484" spans="1:45" s="27" customFormat="1" ht="28.5" hidden="1" x14ac:dyDescent="0.2">
      <c r="A484" s="28">
        <v>3100</v>
      </c>
      <c r="B484" s="9" t="s">
        <v>742</v>
      </c>
      <c r="C484" s="9" t="s">
        <v>743</v>
      </c>
      <c r="D484" s="9" t="s">
        <v>234</v>
      </c>
      <c r="E484" s="9" t="s">
        <v>677</v>
      </c>
      <c r="F484" s="9" t="s">
        <v>199</v>
      </c>
      <c r="G484" s="9" t="s">
        <v>809</v>
      </c>
      <c r="H484" s="9" t="s">
        <v>831</v>
      </c>
      <c r="I484" s="55">
        <f>'Messages Dictionary'!I497</f>
        <v>1</v>
      </c>
      <c r="J484" s="10">
        <f>'Messages Dictionary'!J497</f>
        <v>0</v>
      </c>
      <c r="K484" s="10">
        <f t="shared" si="7"/>
        <v>0</v>
      </c>
      <c r="L484" s="82"/>
      <c r="M484" s="82"/>
      <c r="N484" s="83"/>
      <c r="O484" s="83"/>
      <c r="P484" s="83"/>
      <c r="Q484" s="83"/>
      <c r="R484" s="83"/>
      <c r="S484" s="83"/>
      <c r="T484" s="83"/>
      <c r="U484" s="83"/>
      <c r="V484" s="83"/>
      <c r="W484" s="83"/>
      <c r="X484" s="83"/>
      <c r="Y484" s="83"/>
      <c r="Z484" s="83"/>
      <c r="AA484" s="83"/>
      <c r="AB484" s="83"/>
      <c r="AC484" s="83"/>
      <c r="AD484" s="83"/>
      <c r="AE484" s="83"/>
      <c r="AF484" s="83"/>
      <c r="AG484" s="83"/>
      <c r="AH484" s="83"/>
      <c r="AI484" s="83"/>
      <c r="AJ484" s="83"/>
      <c r="AK484" s="83"/>
      <c r="AL484" s="83"/>
      <c r="AM484" s="83"/>
      <c r="AN484" s="83"/>
      <c r="AO484" s="83"/>
      <c r="AP484" s="83"/>
      <c r="AQ484" s="83"/>
      <c r="AR484" s="83"/>
      <c r="AS484" s="55">
        <f>'Messages Dictionary'!I497</f>
        <v>1</v>
      </c>
    </row>
    <row r="485" spans="1:45" s="27" customFormat="1" ht="28.5" hidden="1" x14ac:dyDescent="0.2">
      <c r="A485" s="28">
        <v>3101</v>
      </c>
      <c r="B485" s="9" t="s">
        <v>744</v>
      </c>
      <c r="C485" s="9" t="s">
        <v>745</v>
      </c>
      <c r="D485" s="9" t="s">
        <v>234</v>
      </c>
      <c r="E485" s="9" t="s">
        <v>677</v>
      </c>
      <c r="F485" s="9" t="s">
        <v>199</v>
      </c>
      <c r="G485" s="9" t="s">
        <v>809</v>
      </c>
      <c r="H485" s="9" t="s">
        <v>831</v>
      </c>
      <c r="I485" s="55">
        <f>'Messages Dictionary'!I498</f>
        <v>0</v>
      </c>
      <c r="J485" s="10">
        <f>'Messages Dictionary'!J498</f>
        <v>0</v>
      </c>
      <c r="K485" s="10">
        <f t="shared" si="7"/>
        <v>0</v>
      </c>
      <c r="L485" s="82"/>
      <c r="M485" s="82"/>
      <c r="N485" s="83"/>
      <c r="O485" s="83"/>
      <c r="P485" s="83"/>
      <c r="Q485" s="83"/>
      <c r="R485" s="83"/>
      <c r="S485" s="83"/>
      <c r="T485" s="83"/>
      <c r="U485" s="83"/>
      <c r="V485" s="83"/>
      <c r="W485" s="83"/>
      <c r="X485" s="83"/>
      <c r="Y485" s="83"/>
      <c r="Z485" s="83"/>
      <c r="AA485" s="83"/>
      <c r="AB485" s="83"/>
      <c r="AC485" s="83"/>
      <c r="AD485" s="83"/>
      <c r="AE485" s="83"/>
      <c r="AF485" s="83"/>
      <c r="AG485" s="83"/>
      <c r="AH485" s="83"/>
      <c r="AI485" s="83"/>
      <c r="AJ485" s="83"/>
      <c r="AK485" s="83"/>
      <c r="AL485" s="83"/>
      <c r="AM485" s="83"/>
      <c r="AN485" s="83"/>
      <c r="AO485" s="83"/>
      <c r="AP485" s="83"/>
      <c r="AQ485" s="83"/>
      <c r="AR485" s="83"/>
      <c r="AS485" s="55">
        <f>'Messages Dictionary'!I498</f>
        <v>0</v>
      </c>
    </row>
    <row r="486" spans="1:45" s="27" customFormat="1" ht="28.5" hidden="1" x14ac:dyDescent="0.2">
      <c r="A486" s="28">
        <v>3102</v>
      </c>
      <c r="B486" s="9" t="s">
        <v>746</v>
      </c>
      <c r="C486" s="9" t="s">
        <v>745</v>
      </c>
      <c r="D486" s="9" t="s">
        <v>234</v>
      </c>
      <c r="E486" s="9" t="s">
        <v>677</v>
      </c>
      <c r="F486" s="9" t="s">
        <v>199</v>
      </c>
      <c r="G486" s="9" t="s">
        <v>809</v>
      </c>
      <c r="H486" s="9" t="s">
        <v>831</v>
      </c>
      <c r="I486" s="55">
        <f>'Messages Dictionary'!I499</f>
        <v>0</v>
      </c>
      <c r="J486" s="10">
        <f>'Messages Dictionary'!J499</f>
        <v>0</v>
      </c>
      <c r="K486" s="10">
        <f t="shared" si="7"/>
        <v>0</v>
      </c>
      <c r="L486" s="82"/>
      <c r="M486" s="82"/>
      <c r="N486" s="83"/>
      <c r="O486" s="83"/>
      <c r="P486" s="83"/>
      <c r="Q486" s="83"/>
      <c r="R486" s="83"/>
      <c r="S486" s="83"/>
      <c r="T486" s="83"/>
      <c r="U486" s="83"/>
      <c r="V486" s="83"/>
      <c r="W486" s="83"/>
      <c r="X486" s="83"/>
      <c r="Y486" s="83"/>
      <c r="Z486" s="83"/>
      <c r="AA486" s="83"/>
      <c r="AB486" s="83"/>
      <c r="AC486" s="83"/>
      <c r="AD486" s="83"/>
      <c r="AE486" s="83"/>
      <c r="AF486" s="83"/>
      <c r="AG486" s="83"/>
      <c r="AH486" s="83"/>
      <c r="AI486" s="83"/>
      <c r="AJ486" s="83"/>
      <c r="AK486" s="83"/>
      <c r="AL486" s="83"/>
      <c r="AM486" s="83"/>
      <c r="AN486" s="83"/>
      <c r="AO486" s="83"/>
      <c r="AP486" s="83"/>
      <c r="AQ486" s="83"/>
      <c r="AR486" s="83"/>
      <c r="AS486" s="55">
        <f>'Messages Dictionary'!I499</f>
        <v>0</v>
      </c>
    </row>
    <row r="487" spans="1:45" s="27" customFormat="1" ht="28.5" hidden="1" x14ac:dyDescent="0.2">
      <c r="A487" s="28">
        <v>3103</v>
      </c>
      <c r="B487" s="9" t="s">
        <v>748</v>
      </c>
      <c r="C487" s="9" t="s">
        <v>749</v>
      </c>
      <c r="D487" s="9" t="s">
        <v>234</v>
      </c>
      <c r="E487" s="9" t="s">
        <v>677</v>
      </c>
      <c r="F487" s="9" t="s">
        <v>199</v>
      </c>
      <c r="G487" s="9" t="s">
        <v>809</v>
      </c>
      <c r="H487" s="9" t="s">
        <v>831</v>
      </c>
      <c r="I487" s="55">
        <f>'Messages Dictionary'!I500</f>
        <v>0</v>
      </c>
      <c r="J487" s="10">
        <f>'Messages Dictionary'!J500</f>
        <v>0</v>
      </c>
      <c r="K487" s="10">
        <f t="shared" si="7"/>
        <v>0</v>
      </c>
      <c r="L487" s="82"/>
      <c r="M487" s="82"/>
      <c r="N487" s="83"/>
      <c r="O487" s="83"/>
      <c r="P487" s="83"/>
      <c r="Q487" s="83"/>
      <c r="R487" s="83"/>
      <c r="S487" s="83"/>
      <c r="T487" s="83"/>
      <c r="U487" s="83"/>
      <c r="V487" s="83"/>
      <c r="W487" s="83"/>
      <c r="X487" s="83"/>
      <c r="Y487" s="83"/>
      <c r="Z487" s="83"/>
      <c r="AA487" s="83"/>
      <c r="AB487" s="83"/>
      <c r="AC487" s="83"/>
      <c r="AD487" s="83"/>
      <c r="AE487" s="83"/>
      <c r="AF487" s="83"/>
      <c r="AG487" s="83"/>
      <c r="AH487" s="83"/>
      <c r="AI487" s="83"/>
      <c r="AJ487" s="83"/>
      <c r="AK487" s="83"/>
      <c r="AL487" s="83"/>
      <c r="AM487" s="83"/>
      <c r="AN487" s="83"/>
      <c r="AO487" s="83"/>
      <c r="AP487" s="83"/>
      <c r="AQ487" s="83"/>
      <c r="AR487" s="83"/>
      <c r="AS487" s="55">
        <f>'Messages Dictionary'!I500</f>
        <v>0</v>
      </c>
    </row>
    <row r="488" spans="1:45" s="27" customFormat="1" ht="42.75" hidden="1" x14ac:dyDescent="0.2">
      <c r="A488" s="28">
        <v>3104</v>
      </c>
      <c r="B488" s="9" t="s">
        <v>750</v>
      </c>
      <c r="C488" s="9" t="s">
        <v>751</v>
      </c>
      <c r="D488" s="9" t="s">
        <v>234</v>
      </c>
      <c r="E488" s="9" t="s">
        <v>677</v>
      </c>
      <c r="F488" s="9" t="s">
        <v>199</v>
      </c>
      <c r="G488" s="9" t="s">
        <v>809</v>
      </c>
      <c r="H488" s="9" t="s">
        <v>831</v>
      </c>
      <c r="I488" s="55">
        <f>'Messages Dictionary'!I501</f>
        <v>0</v>
      </c>
      <c r="J488" s="10">
        <f>'Messages Dictionary'!J501</f>
        <v>0</v>
      </c>
      <c r="K488" s="10">
        <f t="shared" si="7"/>
        <v>0</v>
      </c>
      <c r="L488" s="82"/>
      <c r="M488" s="82"/>
      <c r="N488" s="83"/>
      <c r="O488" s="83"/>
      <c r="P488" s="83"/>
      <c r="Q488" s="83"/>
      <c r="R488" s="83"/>
      <c r="S488" s="83"/>
      <c r="T488" s="83"/>
      <c r="U488" s="83"/>
      <c r="V488" s="83"/>
      <c r="W488" s="83"/>
      <c r="X488" s="83"/>
      <c r="Y488" s="83"/>
      <c r="Z488" s="83"/>
      <c r="AA488" s="83"/>
      <c r="AB488" s="83"/>
      <c r="AC488" s="83"/>
      <c r="AD488" s="83"/>
      <c r="AE488" s="83"/>
      <c r="AF488" s="83"/>
      <c r="AG488" s="83"/>
      <c r="AH488" s="83"/>
      <c r="AI488" s="83"/>
      <c r="AJ488" s="83"/>
      <c r="AK488" s="83"/>
      <c r="AL488" s="83"/>
      <c r="AM488" s="83"/>
      <c r="AN488" s="83"/>
      <c r="AO488" s="83"/>
      <c r="AP488" s="83"/>
      <c r="AQ488" s="83"/>
      <c r="AR488" s="83"/>
      <c r="AS488" s="55">
        <f>'Messages Dictionary'!I501</f>
        <v>0</v>
      </c>
    </row>
    <row r="489" spans="1:45" s="27" customFormat="1" ht="42.75" hidden="1" x14ac:dyDescent="0.2">
      <c r="A489" s="28">
        <v>3105</v>
      </c>
      <c r="B489" s="9" t="s">
        <v>752</v>
      </c>
      <c r="C489" s="9" t="s">
        <v>753</v>
      </c>
      <c r="D489" s="9" t="s">
        <v>234</v>
      </c>
      <c r="E489" s="9" t="s">
        <v>677</v>
      </c>
      <c r="F489" s="9" t="s">
        <v>199</v>
      </c>
      <c r="G489" s="9" t="s">
        <v>809</v>
      </c>
      <c r="H489" s="9" t="s">
        <v>831</v>
      </c>
      <c r="I489" s="55">
        <f>'Messages Dictionary'!I502</f>
        <v>0</v>
      </c>
      <c r="J489" s="10">
        <f>'Messages Dictionary'!J502</f>
        <v>0</v>
      </c>
      <c r="K489" s="10">
        <f t="shared" si="7"/>
        <v>0</v>
      </c>
      <c r="L489" s="82"/>
      <c r="M489" s="82"/>
      <c r="N489" s="83"/>
      <c r="O489" s="83"/>
      <c r="P489" s="83"/>
      <c r="Q489" s="83"/>
      <c r="R489" s="83"/>
      <c r="S489" s="83"/>
      <c r="T489" s="83"/>
      <c r="U489" s="83"/>
      <c r="V489" s="83"/>
      <c r="W489" s="83"/>
      <c r="X489" s="83"/>
      <c r="Y489" s="83"/>
      <c r="Z489" s="83"/>
      <c r="AA489" s="83"/>
      <c r="AB489" s="83"/>
      <c r="AC489" s="83"/>
      <c r="AD489" s="83"/>
      <c r="AE489" s="83"/>
      <c r="AF489" s="83"/>
      <c r="AG489" s="83"/>
      <c r="AH489" s="83"/>
      <c r="AI489" s="83"/>
      <c r="AJ489" s="83"/>
      <c r="AK489" s="83"/>
      <c r="AL489" s="83"/>
      <c r="AM489" s="83"/>
      <c r="AN489" s="83"/>
      <c r="AO489" s="83"/>
      <c r="AP489" s="83"/>
      <c r="AQ489" s="83"/>
      <c r="AR489" s="83"/>
      <c r="AS489" s="55">
        <f>'Messages Dictionary'!I502</f>
        <v>0</v>
      </c>
    </row>
    <row r="490" spans="1:45" s="27" customFormat="1" ht="28.5" hidden="1" x14ac:dyDescent="0.2">
      <c r="A490" s="28">
        <v>3106</v>
      </c>
      <c r="B490" s="9" t="s">
        <v>467</v>
      </c>
      <c r="C490" s="9" t="s">
        <v>468</v>
      </c>
      <c r="D490" s="9" t="s">
        <v>234</v>
      </c>
      <c r="E490" s="9" t="s">
        <v>677</v>
      </c>
      <c r="F490" s="9" t="s">
        <v>201</v>
      </c>
      <c r="G490" s="9" t="s">
        <v>809</v>
      </c>
      <c r="H490" s="9" t="s">
        <v>831</v>
      </c>
      <c r="I490" s="55">
        <f>'Messages Dictionary'!I503</f>
        <v>26</v>
      </c>
      <c r="J490" s="10">
        <f>'Messages Dictionary'!J503</f>
        <v>0</v>
      </c>
      <c r="K490" s="10">
        <f t="shared" si="7"/>
        <v>0</v>
      </c>
      <c r="L490" s="82"/>
      <c r="M490" s="82"/>
      <c r="N490" s="83"/>
      <c r="O490" s="83"/>
      <c r="P490" s="83"/>
      <c r="Q490" s="83"/>
      <c r="R490" s="83"/>
      <c r="S490" s="83"/>
      <c r="T490" s="83"/>
      <c r="U490" s="83"/>
      <c r="V490" s="83"/>
      <c r="W490" s="83"/>
      <c r="X490" s="83"/>
      <c r="Y490" s="83"/>
      <c r="Z490" s="83"/>
      <c r="AA490" s="83"/>
      <c r="AB490" s="83"/>
      <c r="AC490" s="83"/>
      <c r="AD490" s="83"/>
      <c r="AE490" s="83"/>
      <c r="AF490" s="83"/>
      <c r="AG490" s="83"/>
      <c r="AH490" s="83"/>
      <c r="AI490" s="83"/>
      <c r="AJ490" s="83"/>
      <c r="AK490" s="83"/>
      <c r="AL490" s="83"/>
      <c r="AM490" s="83"/>
      <c r="AN490" s="83"/>
      <c r="AO490" s="83"/>
      <c r="AP490" s="83"/>
      <c r="AQ490" s="83"/>
      <c r="AR490" s="83"/>
      <c r="AS490" s="55">
        <f>'Messages Dictionary'!I503</f>
        <v>26</v>
      </c>
    </row>
    <row r="491" spans="1:45" s="27" customFormat="1" ht="28.5" hidden="1" x14ac:dyDescent="0.2">
      <c r="A491" s="28">
        <v>3107</v>
      </c>
      <c r="B491" s="9" t="s">
        <v>469</v>
      </c>
      <c r="C491" s="9" t="s">
        <v>470</v>
      </c>
      <c r="D491" s="9" t="s">
        <v>234</v>
      </c>
      <c r="E491" s="9" t="s">
        <v>677</v>
      </c>
      <c r="F491" s="9" t="s">
        <v>201</v>
      </c>
      <c r="G491" s="9" t="s">
        <v>809</v>
      </c>
      <c r="H491" s="9" t="s">
        <v>831</v>
      </c>
      <c r="I491" s="55">
        <f>'Messages Dictionary'!I504</f>
        <v>2</v>
      </c>
      <c r="J491" s="10">
        <f>'Messages Dictionary'!J504</f>
        <v>0</v>
      </c>
      <c r="K491" s="10">
        <f t="shared" si="7"/>
        <v>0</v>
      </c>
      <c r="L491" s="82"/>
      <c r="M491" s="82"/>
      <c r="N491" s="83"/>
      <c r="O491" s="83"/>
      <c r="P491" s="83"/>
      <c r="Q491" s="83"/>
      <c r="R491" s="83"/>
      <c r="S491" s="83"/>
      <c r="T491" s="83"/>
      <c r="U491" s="83"/>
      <c r="V491" s="83"/>
      <c r="W491" s="83"/>
      <c r="X491" s="83"/>
      <c r="Y491" s="83"/>
      <c r="Z491" s="83"/>
      <c r="AA491" s="83"/>
      <c r="AB491" s="83"/>
      <c r="AC491" s="83"/>
      <c r="AD491" s="83"/>
      <c r="AE491" s="83"/>
      <c r="AF491" s="83"/>
      <c r="AG491" s="83"/>
      <c r="AH491" s="83"/>
      <c r="AI491" s="83"/>
      <c r="AJ491" s="83"/>
      <c r="AK491" s="83"/>
      <c r="AL491" s="83"/>
      <c r="AM491" s="83"/>
      <c r="AN491" s="83"/>
      <c r="AO491" s="83"/>
      <c r="AP491" s="83"/>
      <c r="AQ491" s="83"/>
      <c r="AR491" s="83"/>
      <c r="AS491" s="55">
        <f>'Messages Dictionary'!I504</f>
        <v>2</v>
      </c>
    </row>
    <row r="492" spans="1:45" s="27" customFormat="1" hidden="1" x14ac:dyDescent="0.2">
      <c r="A492" s="28">
        <v>3108</v>
      </c>
      <c r="B492" s="9" t="s">
        <v>471</v>
      </c>
      <c r="C492" s="9" t="s">
        <v>472</v>
      </c>
      <c r="D492" s="9" t="s">
        <v>234</v>
      </c>
      <c r="E492" s="9" t="s">
        <v>677</v>
      </c>
      <c r="F492" s="9" t="s">
        <v>201</v>
      </c>
      <c r="G492" s="9" t="s">
        <v>809</v>
      </c>
      <c r="H492" s="9" t="s">
        <v>831</v>
      </c>
      <c r="I492" s="55">
        <f>'Messages Dictionary'!I505</f>
        <v>18</v>
      </c>
      <c r="J492" s="10">
        <f>'Messages Dictionary'!J505</f>
        <v>0</v>
      </c>
      <c r="K492" s="10">
        <f t="shared" si="7"/>
        <v>0</v>
      </c>
      <c r="L492" s="82"/>
      <c r="M492" s="82"/>
      <c r="N492" s="83"/>
      <c r="O492" s="83"/>
      <c r="P492" s="83"/>
      <c r="Q492" s="83"/>
      <c r="R492" s="83"/>
      <c r="S492" s="83"/>
      <c r="T492" s="83"/>
      <c r="U492" s="83"/>
      <c r="V492" s="83"/>
      <c r="W492" s="83"/>
      <c r="X492" s="83"/>
      <c r="Y492" s="83"/>
      <c r="Z492" s="83"/>
      <c r="AA492" s="83"/>
      <c r="AB492" s="83"/>
      <c r="AC492" s="83"/>
      <c r="AD492" s="83"/>
      <c r="AE492" s="83"/>
      <c r="AF492" s="83"/>
      <c r="AG492" s="83"/>
      <c r="AH492" s="83"/>
      <c r="AI492" s="83"/>
      <c r="AJ492" s="83"/>
      <c r="AK492" s="83"/>
      <c r="AL492" s="83"/>
      <c r="AM492" s="83"/>
      <c r="AN492" s="83"/>
      <c r="AO492" s="83"/>
      <c r="AP492" s="83"/>
      <c r="AQ492" s="83"/>
      <c r="AR492" s="83"/>
      <c r="AS492" s="55">
        <f>'Messages Dictionary'!I505</f>
        <v>18</v>
      </c>
    </row>
    <row r="493" spans="1:45" s="27" customFormat="1" ht="42.75" hidden="1" x14ac:dyDescent="0.2">
      <c r="A493" s="28">
        <v>3109</v>
      </c>
      <c r="B493" s="9" t="s">
        <v>473</v>
      </c>
      <c r="C493" s="9" t="s">
        <v>474</v>
      </c>
      <c r="D493" s="9" t="s">
        <v>234</v>
      </c>
      <c r="E493" s="9" t="s">
        <v>677</v>
      </c>
      <c r="F493" s="9" t="s">
        <v>201</v>
      </c>
      <c r="G493" s="9" t="s">
        <v>809</v>
      </c>
      <c r="H493" s="9" t="s">
        <v>831</v>
      </c>
      <c r="I493" s="55">
        <f>'Messages Dictionary'!I506</f>
        <v>0</v>
      </c>
      <c r="J493" s="10">
        <f>'Messages Dictionary'!J506</f>
        <v>0</v>
      </c>
      <c r="K493" s="10">
        <f t="shared" si="7"/>
        <v>0</v>
      </c>
      <c r="L493" s="82"/>
      <c r="M493" s="82"/>
      <c r="N493" s="83"/>
      <c r="O493" s="83"/>
      <c r="P493" s="83"/>
      <c r="Q493" s="83"/>
      <c r="R493" s="83"/>
      <c r="S493" s="83"/>
      <c r="T493" s="83"/>
      <c r="U493" s="83"/>
      <c r="V493" s="83"/>
      <c r="W493" s="83"/>
      <c r="X493" s="83"/>
      <c r="Y493" s="83"/>
      <c r="Z493" s="83"/>
      <c r="AA493" s="83"/>
      <c r="AB493" s="83"/>
      <c r="AC493" s="83"/>
      <c r="AD493" s="83"/>
      <c r="AE493" s="83"/>
      <c r="AF493" s="83"/>
      <c r="AG493" s="83"/>
      <c r="AH493" s="83"/>
      <c r="AI493" s="83"/>
      <c r="AJ493" s="83"/>
      <c r="AK493" s="83"/>
      <c r="AL493" s="83"/>
      <c r="AM493" s="83"/>
      <c r="AN493" s="83"/>
      <c r="AO493" s="83"/>
      <c r="AP493" s="83"/>
      <c r="AQ493" s="83"/>
      <c r="AR493" s="83"/>
      <c r="AS493" s="55">
        <f>'Messages Dictionary'!I506</f>
        <v>0</v>
      </c>
    </row>
    <row r="494" spans="1:45" s="27" customFormat="1" ht="28.5" hidden="1" x14ac:dyDescent="0.2">
      <c r="A494" s="28">
        <v>3110</v>
      </c>
      <c r="B494" s="9" t="s">
        <v>754</v>
      </c>
      <c r="C494" s="9" t="s">
        <v>755</v>
      </c>
      <c r="D494" s="9" t="s">
        <v>234</v>
      </c>
      <c r="E494" s="9" t="s">
        <v>677</v>
      </c>
      <c r="F494" s="9" t="s">
        <v>199</v>
      </c>
      <c r="G494" s="9" t="s">
        <v>809</v>
      </c>
      <c r="H494" s="9" t="s">
        <v>831</v>
      </c>
      <c r="I494" s="55">
        <f>'Messages Dictionary'!I507</f>
        <v>11</v>
      </c>
      <c r="J494" s="10">
        <f>'Messages Dictionary'!J507</f>
        <v>0</v>
      </c>
      <c r="K494" s="10">
        <f t="shared" si="7"/>
        <v>0</v>
      </c>
      <c r="L494" s="82"/>
      <c r="M494" s="82"/>
      <c r="N494" s="83"/>
      <c r="O494" s="83"/>
      <c r="P494" s="83"/>
      <c r="Q494" s="83"/>
      <c r="R494" s="83"/>
      <c r="S494" s="83"/>
      <c r="T494" s="83"/>
      <c r="U494" s="83"/>
      <c r="V494" s="83"/>
      <c r="W494" s="83"/>
      <c r="X494" s="83"/>
      <c r="Y494" s="83"/>
      <c r="Z494" s="83"/>
      <c r="AA494" s="83"/>
      <c r="AB494" s="83"/>
      <c r="AC494" s="83"/>
      <c r="AD494" s="83"/>
      <c r="AE494" s="83"/>
      <c r="AF494" s="83"/>
      <c r="AG494" s="83"/>
      <c r="AH494" s="83"/>
      <c r="AI494" s="83"/>
      <c r="AJ494" s="83"/>
      <c r="AK494" s="83"/>
      <c r="AL494" s="83"/>
      <c r="AM494" s="83"/>
      <c r="AN494" s="83"/>
      <c r="AO494" s="83"/>
      <c r="AP494" s="83"/>
      <c r="AQ494" s="83"/>
      <c r="AR494" s="83"/>
      <c r="AS494" s="55">
        <f>'Messages Dictionary'!I507</f>
        <v>11</v>
      </c>
    </row>
    <row r="495" spans="1:45" s="27" customFormat="1" ht="28.5" hidden="1" x14ac:dyDescent="0.2">
      <c r="A495" s="28">
        <v>3111</v>
      </c>
      <c r="B495" s="9" t="s">
        <v>756</v>
      </c>
      <c r="C495" s="9" t="s">
        <v>757</v>
      </c>
      <c r="D495" s="9" t="s">
        <v>234</v>
      </c>
      <c r="E495" s="9" t="s">
        <v>677</v>
      </c>
      <c r="F495" s="9" t="s">
        <v>199</v>
      </c>
      <c r="G495" s="9" t="s">
        <v>809</v>
      </c>
      <c r="H495" s="9" t="s">
        <v>831</v>
      </c>
      <c r="I495" s="55">
        <f>'Messages Dictionary'!I508</f>
        <v>10</v>
      </c>
      <c r="J495" s="10">
        <f>'Messages Dictionary'!J508</f>
        <v>0</v>
      </c>
      <c r="K495" s="10">
        <f t="shared" si="7"/>
        <v>0</v>
      </c>
      <c r="L495" s="82"/>
      <c r="M495" s="82"/>
      <c r="N495" s="83"/>
      <c r="O495" s="83"/>
      <c r="P495" s="83"/>
      <c r="Q495" s="83"/>
      <c r="R495" s="83"/>
      <c r="S495" s="83"/>
      <c r="T495" s="83"/>
      <c r="U495" s="83"/>
      <c r="V495" s="83"/>
      <c r="W495" s="83"/>
      <c r="X495" s="83"/>
      <c r="Y495" s="83"/>
      <c r="Z495" s="83"/>
      <c r="AA495" s="83"/>
      <c r="AB495" s="83"/>
      <c r="AC495" s="83"/>
      <c r="AD495" s="83"/>
      <c r="AE495" s="83"/>
      <c r="AF495" s="83"/>
      <c r="AG495" s="83"/>
      <c r="AH495" s="83"/>
      <c r="AI495" s="83"/>
      <c r="AJ495" s="83"/>
      <c r="AK495" s="83"/>
      <c r="AL495" s="83"/>
      <c r="AM495" s="83"/>
      <c r="AN495" s="83"/>
      <c r="AO495" s="83"/>
      <c r="AP495" s="83"/>
      <c r="AQ495" s="83"/>
      <c r="AR495" s="83"/>
      <c r="AS495" s="55">
        <f>'Messages Dictionary'!I508</f>
        <v>10</v>
      </c>
    </row>
    <row r="496" spans="1:45" s="27" customFormat="1" ht="28.5" hidden="1" x14ac:dyDescent="0.2">
      <c r="A496" s="28">
        <v>3112</v>
      </c>
      <c r="B496" s="9" t="s">
        <v>758</v>
      </c>
      <c r="C496" s="9" t="s">
        <v>759</v>
      </c>
      <c r="D496" s="9" t="s">
        <v>234</v>
      </c>
      <c r="E496" s="9" t="s">
        <v>677</v>
      </c>
      <c r="F496" s="9" t="s">
        <v>199</v>
      </c>
      <c r="G496" s="9" t="s">
        <v>809</v>
      </c>
      <c r="H496" s="9" t="s">
        <v>831</v>
      </c>
      <c r="I496" s="55">
        <f>'Messages Dictionary'!I509</f>
        <v>6</v>
      </c>
      <c r="J496" s="10">
        <f>'Messages Dictionary'!J509</f>
        <v>0</v>
      </c>
      <c r="K496" s="10">
        <f t="shared" si="7"/>
        <v>0</v>
      </c>
      <c r="L496" s="82"/>
      <c r="M496" s="82"/>
      <c r="N496" s="83"/>
      <c r="O496" s="83"/>
      <c r="P496" s="83"/>
      <c r="Q496" s="83"/>
      <c r="R496" s="83"/>
      <c r="S496" s="83"/>
      <c r="T496" s="83"/>
      <c r="U496" s="83"/>
      <c r="V496" s="83"/>
      <c r="W496" s="83"/>
      <c r="X496" s="83"/>
      <c r="Y496" s="83"/>
      <c r="Z496" s="83"/>
      <c r="AA496" s="83"/>
      <c r="AB496" s="83"/>
      <c r="AC496" s="83"/>
      <c r="AD496" s="83"/>
      <c r="AE496" s="83"/>
      <c r="AF496" s="83"/>
      <c r="AG496" s="83"/>
      <c r="AH496" s="83"/>
      <c r="AI496" s="83"/>
      <c r="AJ496" s="83"/>
      <c r="AK496" s="83"/>
      <c r="AL496" s="83"/>
      <c r="AM496" s="83"/>
      <c r="AN496" s="83"/>
      <c r="AO496" s="83"/>
      <c r="AP496" s="83"/>
      <c r="AQ496" s="83"/>
      <c r="AR496" s="83"/>
      <c r="AS496" s="55">
        <f>'Messages Dictionary'!I509</f>
        <v>6</v>
      </c>
    </row>
    <row r="497" spans="1:45" s="27" customFormat="1" ht="28.5" hidden="1" x14ac:dyDescent="0.2">
      <c r="A497" s="28">
        <v>3120</v>
      </c>
      <c r="B497" s="9" t="s">
        <v>760</v>
      </c>
      <c r="C497" s="9" t="s">
        <v>760</v>
      </c>
      <c r="D497" s="9" t="s">
        <v>234</v>
      </c>
      <c r="E497" s="9" t="s">
        <v>677</v>
      </c>
      <c r="F497" s="9" t="s">
        <v>199</v>
      </c>
      <c r="G497" s="9" t="s">
        <v>809</v>
      </c>
      <c r="H497" s="9" t="s">
        <v>831</v>
      </c>
      <c r="I497" s="55">
        <f>'Messages Dictionary'!I510</f>
        <v>6</v>
      </c>
      <c r="J497" s="10">
        <f>'Messages Dictionary'!J510</f>
        <v>0</v>
      </c>
      <c r="K497" s="10">
        <f t="shared" si="7"/>
        <v>0</v>
      </c>
      <c r="L497" s="82"/>
      <c r="M497" s="82"/>
      <c r="N497" s="83"/>
      <c r="O497" s="83"/>
      <c r="P497" s="83"/>
      <c r="Q497" s="83"/>
      <c r="R497" s="83"/>
      <c r="S497" s="83"/>
      <c r="T497" s="83"/>
      <c r="U497" s="83"/>
      <c r="V497" s="83"/>
      <c r="W497" s="83"/>
      <c r="X497" s="83"/>
      <c r="Y497" s="83"/>
      <c r="Z497" s="83"/>
      <c r="AA497" s="83"/>
      <c r="AB497" s="83"/>
      <c r="AC497" s="83"/>
      <c r="AD497" s="83"/>
      <c r="AE497" s="83"/>
      <c r="AF497" s="83"/>
      <c r="AG497" s="83"/>
      <c r="AH497" s="83"/>
      <c r="AI497" s="83"/>
      <c r="AJ497" s="83"/>
      <c r="AK497" s="83"/>
      <c r="AL497" s="83"/>
      <c r="AM497" s="83"/>
      <c r="AN497" s="83"/>
      <c r="AO497" s="83"/>
      <c r="AP497" s="83"/>
      <c r="AQ497" s="83"/>
      <c r="AR497" s="83"/>
      <c r="AS497" s="55">
        <f>'Messages Dictionary'!I510</f>
        <v>6</v>
      </c>
    </row>
    <row r="498" spans="1:45" s="27" customFormat="1" ht="28.5" hidden="1" x14ac:dyDescent="0.2">
      <c r="A498" s="28">
        <v>3130</v>
      </c>
      <c r="B498" s="9" t="s">
        <v>761</v>
      </c>
      <c r="C498" s="9" t="s">
        <v>762</v>
      </c>
      <c r="D498" s="9" t="s">
        <v>234</v>
      </c>
      <c r="E498" s="9" t="s">
        <v>677</v>
      </c>
      <c r="F498" s="9" t="s">
        <v>199</v>
      </c>
      <c r="G498" s="9" t="s">
        <v>809</v>
      </c>
      <c r="H498" s="9" t="s">
        <v>831</v>
      </c>
      <c r="I498" s="55">
        <f>'Messages Dictionary'!I511</f>
        <v>0</v>
      </c>
      <c r="J498" s="10">
        <f>'Messages Dictionary'!J511</f>
        <v>0</v>
      </c>
      <c r="K498" s="10">
        <f t="shared" si="7"/>
        <v>0</v>
      </c>
      <c r="L498" s="82"/>
      <c r="M498" s="82"/>
      <c r="N498" s="83"/>
      <c r="O498" s="83"/>
      <c r="P498" s="83"/>
      <c r="Q498" s="83"/>
      <c r="R498" s="83"/>
      <c r="S498" s="83"/>
      <c r="T498" s="83"/>
      <c r="U498" s="83"/>
      <c r="V498" s="83"/>
      <c r="W498" s="83"/>
      <c r="X498" s="83"/>
      <c r="Y498" s="83"/>
      <c r="Z498" s="83"/>
      <c r="AA498" s="83"/>
      <c r="AB498" s="83"/>
      <c r="AC498" s="83"/>
      <c r="AD498" s="83"/>
      <c r="AE498" s="83"/>
      <c r="AF498" s="83"/>
      <c r="AG498" s="83"/>
      <c r="AH498" s="83"/>
      <c r="AI498" s="83"/>
      <c r="AJ498" s="83"/>
      <c r="AK498" s="83"/>
      <c r="AL498" s="83"/>
      <c r="AM498" s="83"/>
      <c r="AN498" s="83"/>
      <c r="AO498" s="83"/>
      <c r="AP498" s="83"/>
      <c r="AQ498" s="83"/>
      <c r="AR498" s="83"/>
      <c r="AS498" s="55">
        <f>'Messages Dictionary'!I511</f>
        <v>0</v>
      </c>
    </row>
    <row r="499" spans="1:45" s="27" customFormat="1" ht="28.5" hidden="1" x14ac:dyDescent="0.2">
      <c r="A499" s="28">
        <v>3131</v>
      </c>
      <c r="B499" s="9" t="s">
        <v>763</v>
      </c>
      <c r="C499" s="9" t="s">
        <v>764</v>
      </c>
      <c r="D499" s="9" t="s">
        <v>234</v>
      </c>
      <c r="E499" s="9" t="s">
        <v>677</v>
      </c>
      <c r="F499" s="9" t="s">
        <v>199</v>
      </c>
      <c r="G499" s="9" t="s">
        <v>809</v>
      </c>
      <c r="H499" s="9" t="s">
        <v>831</v>
      </c>
      <c r="I499" s="55">
        <f>'Messages Dictionary'!I512</f>
        <v>0</v>
      </c>
      <c r="J499" s="10">
        <f>'Messages Dictionary'!J512</f>
        <v>0</v>
      </c>
      <c r="K499" s="10">
        <f t="shared" si="7"/>
        <v>0</v>
      </c>
      <c r="L499" s="82"/>
      <c r="M499" s="82"/>
      <c r="N499" s="83"/>
      <c r="O499" s="83"/>
      <c r="P499" s="83"/>
      <c r="Q499" s="83"/>
      <c r="R499" s="83"/>
      <c r="S499" s="83"/>
      <c r="T499" s="83"/>
      <c r="U499" s="83"/>
      <c r="V499" s="83"/>
      <c r="W499" s="83"/>
      <c r="X499" s="83"/>
      <c r="Y499" s="83"/>
      <c r="Z499" s="83"/>
      <c r="AA499" s="83"/>
      <c r="AB499" s="83"/>
      <c r="AC499" s="83"/>
      <c r="AD499" s="83"/>
      <c r="AE499" s="83"/>
      <c r="AF499" s="83"/>
      <c r="AG499" s="83"/>
      <c r="AH499" s="83"/>
      <c r="AI499" s="83"/>
      <c r="AJ499" s="83"/>
      <c r="AK499" s="83"/>
      <c r="AL499" s="83"/>
      <c r="AM499" s="83"/>
      <c r="AN499" s="83"/>
      <c r="AO499" s="83"/>
      <c r="AP499" s="83"/>
      <c r="AQ499" s="83"/>
      <c r="AR499" s="83"/>
      <c r="AS499" s="55">
        <f>'Messages Dictionary'!I512</f>
        <v>0</v>
      </c>
    </row>
    <row r="500" spans="1:45" s="27" customFormat="1" ht="28.5" hidden="1" x14ac:dyDescent="0.2">
      <c r="A500" s="28">
        <v>3132</v>
      </c>
      <c r="B500" s="9" t="s">
        <v>765</v>
      </c>
      <c r="C500" s="9" t="s">
        <v>766</v>
      </c>
      <c r="D500" s="9" t="s">
        <v>234</v>
      </c>
      <c r="E500" s="9" t="s">
        <v>677</v>
      </c>
      <c r="F500" s="9" t="s">
        <v>199</v>
      </c>
      <c r="G500" s="9" t="s">
        <v>809</v>
      </c>
      <c r="H500" s="9" t="s">
        <v>831</v>
      </c>
      <c r="I500" s="55">
        <f>'Messages Dictionary'!I513</f>
        <v>0</v>
      </c>
      <c r="J500" s="10">
        <f>'Messages Dictionary'!J513</f>
        <v>0</v>
      </c>
      <c r="K500" s="10">
        <f t="shared" si="7"/>
        <v>0</v>
      </c>
      <c r="L500" s="82"/>
      <c r="M500" s="82"/>
      <c r="N500" s="83"/>
      <c r="O500" s="83"/>
      <c r="P500" s="83"/>
      <c r="Q500" s="83"/>
      <c r="R500" s="83"/>
      <c r="S500" s="83"/>
      <c r="T500" s="83"/>
      <c r="U500" s="83"/>
      <c r="V500" s="83"/>
      <c r="W500" s="83"/>
      <c r="X500" s="83"/>
      <c r="Y500" s="83"/>
      <c r="Z500" s="83"/>
      <c r="AA500" s="83"/>
      <c r="AB500" s="83"/>
      <c r="AC500" s="83"/>
      <c r="AD500" s="83"/>
      <c r="AE500" s="83"/>
      <c r="AF500" s="83"/>
      <c r="AG500" s="83"/>
      <c r="AH500" s="83"/>
      <c r="AI500" s="83"/>
      <c r="AJ500" s="83"/>
      <c r="AK500" s="83"/>
      <c r="AL500" s="83"/>
      <c r="AM500" s="83"/>
      <c r="AN500" s="83"/>
      <c r="AO500" s="83"/>
      <c r="AP500" s="83"/>
      <c r="AQ500" s="83"/>
      <c r="AR500" s="83"/>
      <c r="AS500" s="55">
        <f>'Messages Dictionary'!I513</f>
        <v>0</v>
      </c>
    </row>
    <row r="501" spans="1:45" s="27" customFormat="1" ht="28.5" hidden="1" x14ac:dyDescent="0.2">
      <c r="A501" s="28">
        <v>3140</v>
      </c>
      <c r="B501" s="9" t="s">
        <v>767</v>
      </c>
      <c r="C501" s="9" t="s">
        <v>768</v>
      </c>
      <c r="D501" s="9" t="s">
        <v>234</v>
      </c>
      <c r="E501" s="9" t="s">
        <v>677</v>
      </c>
      <c r="F501" s="9" t="s">
        <v>199</v>
      </c>
      <c r="G501" s="9" t="s">
        <v>809</v>
      </c>
      <c r="H501" s="9" t="s">
        <v>831</v>
      </c>
      <c r="I501" s="55">
        <f>'Messages Dictionary'!I514</f>
        <v>0</v>
      </c>
      <c r="J501" s="10">
        <f>'Messages Dictionary'!J514</f>
        <v>0</v>
      </c>
      <c r="K501" s="10">
        <f t="shared" si="7"/>
        <v>0</v>
      </c>
      <c r="L501" s="82"/>
      <c r="M501" s="82"/>
      <c r="N501" s="83"/>
      <c r="O501" s="83"/>
      <c r="P501" s="83"/>
      <c r="Q501" s="83"/>
      <c r="R501" s="83"/>
      <c r="S501" s="83"/>
      <c r="T501" s="83"/>
      <c r="U501" s="83"/>
      <c r="V501" s="83"/>
      <c r="W501" s="83"/>
      <c r="X501" s="83"/>
      <c r="Y501" s="83"/>
      <c r="Z501" s="83"/>
      <c r="AA501" s="83"/>
      <c r="AB501" s="83"/>
      <c r="AC501" s="83"/>
      <c r="AD501" s="83"/>
      <c r="AE501" s="83"/>
      <c r="AF501" s="83"/>
      <c r="AG501" s="83"/>
      <c r="AH501" s="83"/>
      <c r="AI501" s="83"/>
      <c r="AJ501" s="83"/>
      <c r="AK501" s="83"/>
      <c r="AL501" s="83"/>
      <c r="AM501" s="83"/>
      <c r="AN501" s="83"/>
      <c r="AO501" s="83"/>
      <c r="AP501" s="83"/>
      <c r="AQ501" s="83"/>
      <c r="AR501" s="83"/>
      <c r="AS501" s="55">
        <f>'Messages Dictionary'!I514</f>
        <v>0</v>
      </c>
    </row>
    <row r="502" spans="1:45" s="27" customFormat="1" ht="28.5" hidden="1" x14ac:dyDescent="0.2">
      <c r="A502" s="28">
        <v>3141</v>
      </c>
      <c r="B502" s="9" t="s">
        <v>769</v>
      </c>
      <c r="C502" s="9" t="s">
        <v>770</v>
      </c>
      <c r="D502" s="9" t="s">
        <v>234</v>
      </c>
      <c r="E502" s="9" t="s">
        <v>677</v>
      </c>
      <c r="F502" s="9" t="s">
        <v>199</v>
      </c>
      <c r="G502" s="9" t="s">
        <v>809</v>
      </c>
      <c r="H502" s="9" t="s">
        <v>831</v>
      </c>
      <c r="I502" s="55">
        <f>'Messages Dictionary'!I515</f>
        <v>0</v>
      </c>
      <c r="J502" s="10">
        <f>'Messages Dictionary'!J515</f>
        <v>0</v>
      </c>
      <c r="K502" s="10">
        <f t="shared" si="7"/>
        <v>0</v>
      </c>
      <c r="L502" s="82"/>
      <c r="M502" s="82"/>
      <c r="N502" s="83"/>
      <c r="O502" s="83"/>
      <c r="P502" s="83"/>
      <c r="Q502" s="83"/>
      <c r="R502" s="83"/>
      <c r="S502" s="83"/>
      <c r="T502" s="83"/>
      <c r="U502" s="83"/>
      <c r="V502" s="83"/>
      <c r="W502" s="83"/>
      <c r="X502" s="83"/>
      <c r="Y502" s="83"/>
      <c r="Z502" s="83"/>
      <c r="AA502" s="83"/>
      <c r="AB502" s="83"/>
      <c r="AC502" s="83"/>
      <c r="AD502" s="83"/>
      <c r="AE502" s="83"/>
      <c r="AF502" s="83"/>
      <c r="AG502" s="83"/>
      <c r="AH502" s="83"/>
      <c r="AI502" s="83"/>
      <c r="AJ502" s="83"/>
      <c r="AK502" s="83"/>
      <c r="AL502" s="83"/>
      <c r="AM502" s="83"/>
      <c r="AN502" s="83"/>
      <c r="AO502" s="83"/>
      <c r="AP502" s="83"/>
      <c r="AQ502" s="83"/>
      <c r="AR502" s="83"/>
      <c r="AS502" s="55">
        <f>'Messages Dictionary'!I515</f>
        <v>0</v>
      </c>
    </row>
    <row r="503" spans="1:45" s="27" customFormat="1" ht="28.5" hidden="1" x14ac:dyDescent="0.2">
      <c r="A503" s="28">
        <v>3142</v>
      </c>
      <c r="B503" s="9" t="s">
        <v>771</v>
      </c>
      <c r="C503" s="9" t="s">
        <v>772</v>
      </c>
      <c r="D503" s="9" t="s">
        <v>234</v>
      </c>
      <c r="E503" s="9" t="s">
        <v>677</v>
      </c>
      <c r="F503" s="9" t="s">
        <v>199</v>
      </c>
      <c r="G503" s="9" t="s">
        <v>809</v>
      </c>
      <c r="H503" s="9" t="s">
        <v>831</v>
      </c>
      <c r="I503" s="55">
        <f>'Messages Dictionary'!I516</f>
        <v>0</v>
      </c>
      <c r="J503" s="10">
        <f>'Messages Dictionary'!J516</f>
        <v>0</v>
      </c>
      <c r="K503" s="10">
        <f t="shared" si="7"/>
        <v>0</v>
      </c>
      <c r="L503" s="82"/>
      <c r="M503" s="82"/>
      <c r="N503" s="83"/>
      <c r="O503" s="83"/>
      <c r="P503" s="83"/>
      <c r="Q503" s="83"/>
      <c r="R503" s="83"/>
      <c r="S503" s="83"/>
      <c r="T503" s="83"/>
      <c r="U503" s="83"/>
      <c r="V503" s="83"/>
      <c r="W503" s="83"/>
      <c r="X503" s="83"/>
      <c r="Y503" s="83"/>
      <c r="Z503" s="83"/>
      <c r="AA503" s="83"/>
      <c r="AB503" s="83"/>
      <c r="AC503" s="83"/>
      <c r="AD503" s="83"/>
      <c r="AE503" s="83"/>
      <c r="AF503" s="83"/>
      <c r="AG503" s="83"/>
      <c r="AH503" s="83"/>
      <c r="AI503" s="83"/>
      <c r="AJ503" s="83"/>
      <c r="AK503" s="83"/>
      <c r="AL503" s="83"/>
      <c r="AM503" s="83"/>
      <c r="AN503" s="83"/>
      <c r="AO503" s="83"/>
      <c r="AP503" s="83"/>
      <c r="AQ503" s="83"/>
      <c r="AR503" s="83"/>
      <c r="AS503" s="55">
        <f>'Messages Dictionary'!I516</f>
        <v>0</v>
      </c>
    </row>
    <row r="504" spans="1:45" s="27" customFormat="1" ht="28.5" hidden="1" x14ac:dyDescent="0.2">
      <c r="A504" s="28">
        <v>3145</v>
      </c>
      <c r="B504" s="9" t="s">
        <v>773</v>
      </c>
      <c r="C504" s="9" t="s">
        <v>774</v>
      </c>
      <c r="D504" s="9" t="s">
        <v>234</v>
      </c>
      <c r="E504" s="9" t="s">
        <v>656</v>
      </c>
      <c r="F504" s="9" t="s">
        <v>199</v>
      </c>
      <c r="G504" s="9" t="s">
        <v>809</v>
      </c>
      <c r="H504" s="9" t="s">
        <v>831</v>
      </c>
      <c r="I504" s="55">
        <f>'Messages Dictionary'!I517</f>
        <v>1</v>
      </c>
      <c r="J504" s="10">
        <f>'Messages Dictionary'!J517</f>
        <v>0</v>
      </c>
      <c r="K504" s="10">
        <f t="shared" si="7"/>
        <v>0</v>
      </c>
      <c r="L504" s="82"/>
      <c r="M504" s="82"/>
      <c r="N504" s="83"/>
      <c r="O504" s="83"/>
      <c r="P504" s="83"/>
      <c r="Q504" s="83"/>
      <c r="R504" s="83"/>
      <c r="S504" s="83"/>
      <c r="T504" s="83"/>
      <c r="U504" s="83"/>
      <c r="V504" s="83"/>
      <c r="W504" s="83"/>
      <c r="X504" s="83"/>
      <c r="Y504" s="83"/>
      <c r="Z504" s="83"/>
      <c r="AA504" s="83"/>
      <c r="AB504" s="83"/>
      <c r="AC504" s="83"/>
      <c r="AD504" s="83"/>
      <c r="AE504" s="83"/>
      <c r="AF504" s="83"/>
      <c r="AG504" s="83"/>
      <c r="AH504" s="83"/>
      <c r="AI504" s="83"/>
      <c r="AJ504" s="83"/>
      <c r="AK504" s="83"/>
      <c r="AL504" s="83"/>
      <c r="AM504" s="83"/>
      <c r="AN504" s="83"/>
      <c r="AO504" s="83"/>
      <c r="AP504" s="83"/>
      <c r="AQ504" s="83"/>
      <c r="AR504" s="83"/>
      <c r="AS504" s="55">
        <f>'Messages Dictionary'!I517</f>
        <v>1</v>
      </c>
    </row>
    <row r="505" spans="1:45" s="27" customFormat="1" ht="28.5" hidden="1" x14ac:dyDescent="0.2">
      <c r="A505" s="28">
        <v>3146</v>
      </c>
      <c r="B505" s="9" t="s">
        <v>689</v>
      </c>
      <c r="C505" s="9" t="s">
        <v>690</v>
      </c>
      <c r="D505" s="9" t="s">
        <v>234</v>
      </c>
      <c r="E505" s="9" t="s">
        <v>656</v>
      </c>
      <c r="F505" s="9" t="s">
        <v>199</v>
      </c>
      <c r="G505" s="9" t="s">
        <v>809</v>
      </c>
      <c r="H505" s="9" t="s">
        <v>831</v>
      </c>
      <c r="I505" s="55">
        <f>'Messages Dictionary'!I518</f>
        <v>1</v>
      </c>
      <c r="J505" s="10">
        <f>'Messages Dictionary'!J518</f>
        <v>0</v>
      </c>
      <c r="K505" s="10">
        <f t="shared" si="7"/>
        <v>0</v>
      </c>
      <c r="L505" s="82"/>
      <c r="M505" s="82"/>
      <c r="N505" s="83"/>
      <c r="O505" s="83"/>
      <c r="P505" s="83"/>
      <c r="Q505" s="83"/>
      <c r="R505" s="83"/>
      <c r="S505" s="83"/>
      <c r="T505" s="83"/>
      <c r="U505" s="83"/>
      <c r="V505" s="83"/>
      <c r="W505" s="83"/>
      <c r="X505" s="83"/>
      <c r="Y505" s="83"/>
      <c r="Z505" s="83"/>
      <c r="AA505" s="83"/>
      <c r="AB505" s="83"/>
      <c r="AC505" s="83"/>
      <c r="AD505" s="83"/>
      <c r="AE505" s="83"/>
      <c r="AF505" s="83"/>
      <c r="AG505" s="83"/>
      <c r="AH505" s="83"/>
      <c r="AI505" s="83"/>
      <c r="AJ505" s="83"/>
      <c r="AK505" s="83"/>
      <c r="AL505" s="83"/>
      <c r="AM505" s="83"/>
      <c r="AN505" s="83"/>
      <c r="AO505" s="83"/>
      <c r="AP505" s="83"/>
      <c r="AQ505" s="83"/>
      <c r="AR505" s="83"/>
      <c r="AS505" s="55">
        <f>'Messages Dictionary'!I518</f>
        <v>1</v>
      </c>
    </row>
    <row r="506" spans="1:45" s="27" customFormat="1" ht="28.5" hidden="1" x14ac:dyDescent="0.2">
      <c r="A506" s="28">
        <v>3147</v>
      </c>
      <c r="B506" s="9" t="s">
        <v>691</v>
      </c>
      <c r="C506" s="9" t="s">
        <v>692</v>
      </c>
      <c r="D506" s="9" t="s">
        <v>234</v>
      </c>
      <c r="E506" s="9" t="s">
        <v>656</v>
      </c>
      <c r="F506" s="9" t="s">
        <v>199</v>
      </c>
      <c r="G506" s="9" t="s">
        <v>809</v>
      </c>
      <c r="H506" s="9" t="s">
        <v>831</v>
      </c>
      <c r="I506" s="55">
        <f>'Messages Dictionary'!I519</f>
        <v>1</v>
      </c>
      <c r="J506" s="10">
        <f>'Messages Dictionary'!J519</f>
        <v>0</v>
      </c>
      <c r="K506" s="10">
        <f t="shared" si="7"/>
        <v>0</v>
      </c>
      <c r="L506" s="82"/>
      <c r="M506" s="82"/>
      <c r="N506" s="83"/>
      <c r="O506" s="83"/>
      <c r="P506" s="83"/>
      <c r="Q506" s="83"/>
      <c r="R506" s="83"/>
      <c r="S506" s="83"/>
      <c r="T506" s="83"/>
      <c r="U506" s="83"/>
      <c r="V506" s="83"/>
      <c r="W506" s="83"/>
      <c r="X506" s="83"/>
      <c r="Y506" s="83"/>
      <c r="Z506" s="83"/>
      <c r="AA506" s="83"/>
      <c r="AB506" s="83"/>
      <c r="AC506" s="83"/>
      <c r="AD506" s="83"/>
      <c r="AE506" s="83"/>
      <c r="AF506" s="83"/>
      <c r="AG506" s="83"/>
      <c r="AH506" s="83"/>
      <c r="AI506" s="83"/>
      <c r="AJ506" s="83"/>
      <c r="AK506" s="83"/>
      <c r="AL506" s="83"/>
      <c r="AM506" s="83"/>
      <c r="AN506" s="83"/>
      <c r="AO506" s="83"/>
      <c r="AP506" s="83"/>
      <c r="AQ506" s="83"/>
      <c r="AR506" s="83"/>
      <c r="AS506" s="55">
        <f>'Messages Dictionary'!I519</f>
        <v>1</v>
      </c>
    </row>
    <row r="507" spans="1:45" s="27" customFormat="1" ht="42.75" hidden="1" x14ac:dyDescent="0.2">
      <c r="A507" s="28">
        <v>3161</v>
      </c>
      <c r="B507" s="9" t="s">
        <v>331</v>
      </c>
      <c r="C507" s="9" t="s">
        <v>332</v>
      </c>
      <c r="D507" s="9" t="s">
        <v>234</v>
      </c>
      <c r="E507" s="9" t="s">
        <v>677</v>
      </c>
      <c r="F507" s="9" t="s">
        <v>199</v>
      </c>
      <c r="G507" s="9" t="s">
        <v>809</v>
      </c>
      <c r="H507" s="9" t="s">
        <v>831</v>
      </c>
      <c r="I507" s="55">
        <f>'Messages Dictionary'!I520</f>
        <v>0</v>
      </c>
      <c r="J507" s="10">
        <f>'Messages Dictionary'!J520</f>
        <v>0</v>
      </c>
      <c r="K507" s="10">
        <f t="shared" si="7"/>
        <v>0</v>
      </c>
      <c r="L507" s="82"/>
      <c r="M507" s="82"/>
      <c r="N507" s="83"/>
      <c r="O507" s="83"/>
      <c r="P507" s="83"/>
      <c r="Q507" s="83"/>
      <c r="R507" s="83"/>
      <c r="S507" s="83"/>
      <c r="T507" s="83"/>
      <c r="U507" s="83"/>
      <c r="V507" s="83"/>
      <c r="W507" s="83"/>
      <c r="X507" s="83"/>
      <c r="Y507" s="83"/>
      <c r="Z507" s="83"/>
      <c r="AA507" s="83"/>
      <c r="AB507" s="83"/>
      <c r="AC507" s="83"/>
      <c r="AD507" s="83"/>
      <c r="AE507" s="83"/>
      <c r="AF507" s="83"/>
      <c r="AG507" s="83"/>
      <c r="AH507" s="83"/>
      <c r="AI507" s="83"/>
      <c r="AJ507" s="83"/>
      <c r="AK507" s="83"/>
      <c r="AL507" s="83"/>
      <c r="AM507" s="83"/>
      <c r="AN507" s="83"/>
      <c r="AO507" s="83"/>
      <c r="AP507" s="83"/>
      <c r="AQ507" s="83"/>
      <c r="AR507" s="83"/>
      <c r="AS507" s="55">
        <f>'Messages Dictionary'!I520</f>
        <v>0</v>
      </c>
    </row>
    <row r="508" spans="1:45" s="27" customFormat="1" ht="42.75" hidden="1" x14ac:dyDescent="0.2">
      <c r="A508" s="28">
        <v>3164</v>
      </c>
      <c r="B508" s="9" t="s">
        <v>333</v>
      </c>
      <c r="C508" s="9" t="s">
        <v>335</v>
      </c>
      <c r="D508" s="9" t="s">
        <v>234</v>
      </c>
      <c r="E508" s="9" t="s">
        <v>677</v>
      </c>
      <c r="F508" s="9" t="s">
        <v>199</v>
      </c>
      <c r="G508" s="9" t="s">
        <v>809</v>
      </c>
      <c r="H508" s="9" t="s">
        <v>831</v>
      </c>
      <c r="I508" s="55">
        <f>'Messages Dictionary'!I521</f>
        <v>0</v>
      </c>
      <c r="J508" s="10">
        <f>'Messages Dictionary'!J521</f>
        <v>0</v>
      </c>
      <c r="K508" s="10">
        <f t="shared" si="7"/>
        <v>0</v>
      </c>
      <c r="L508" s="82"/>
      <c r="M508" s="82"/>
      <c r="N508" s="83"/>
      <c r="O508" s="83"/>
      <c r="P508" s="83"/>
      <c r="Q508" s="83"/>
      <c r="R508" s="83"/>
      <c r="S508" s="83"/>
      <c r="T508" s="83"/>
      <c r="U508" s="83"/>
      <c r="V508" s="83"/>
      <c r="W508" s="83"/>
      <c r="X508" s="83"/>
      <c r="Y508" s="83"/>
      <c r="Z508" s="83"/>
      <c r="AA508" s="83"/>
      <c r="AB508" s="83"/>
      <c r="AC508" s="83"/>
      <c r="AD508" s="83"/>
      <c r="AE508" s="83"/>
      <c r="AF508" s="83"/>
      <c r="AG508" s="83"/>
      <c r="AH508" s="83"/>
      <c r="AI508" s="83"/>
      <c r="AJ508" s="83"/>
      <c r="AK508" s="83"/>
      <c r="AL508" s="83"/>
      <c r="AM508" s="83"/>
      <c r="AN508" s="83"/>
      <c r="AO508" s="83"/>
      <c r="AP508" s="83"/>
      <c r="AQ508" s="83"/>
      <c r="AR508" s="83"/>
      <c r="AS508" s="55">
        <f>'Messages Dictionary'!I521</f>
        <v>0</v>
      </c>
    </row>
    <row r="509" spans="1:45" s="27" customFormat="1" ht="42.75" hidden="1" x14ac:dyDescent="0.2">
      <c r="A509" s="28">
        <v>3165</v>
      </c>
      <c r="B509" s="9" t="s">
        <v>336</v>
      </c>
      <c r="C509" s="9" t="s">
        <v>368</v>
      </c>
      <c r="D509" s="9" t="s">
        <v>234</v>
      </c>
      <c r="E509" s="9" t="s">
        <v>677</v>
      </c>
      <c r="F509" s="9" t="s">
        <v>199</v>
      </c>
      <c r="G509" s="9" t="s">
        <v>809</v>
      </c>
      <c r="H509" s="9" t="s">
        <v>831</v>
      </c>
      <c r="I509" s="55">
        <f>'Messages Dictionary'!I522</f>
        <v>0</v>
      </c>
      <c r="J509" s="10">
        <f>'Messages Dictionary'!J522</f>
        <v>0</v>
      </c>
      <c r="K509" s="10">
        <f t="shared" si="7"/>
        <v>0</v>
      </c>
      <c r="L509" s="82"/>
      <c r="M509" s="82"/>
      <c r="N509" s="83"/>
      <c r="O509" s="83"/>
      <c r="P509" s="83"/>
      <c r="Q509" s="83"/>
      <c r="R509" s="83"/>
      <c r="S509" s="83"/>
      <c r="T509" s="83"/>
      <c r="U509" s="83"/>
      <c r="V509" s="83"/>
      <c r="W509" s="83"/>
      <c r="X509" s="83"/>
      <c r="Y509" s="83"/>
      <c r="Z509" s="83"/>
      <c r="AA509" s="83"/>
      <c r="AB509" s="83"/>
      <c r="AC509" s="83"/>
      <c r="AD509" s="83"/>
      <c r="AE509" s="83"/>
      <c r="AF509" s="83"/>
      <c r="AG509" s="83"/>
      <c r="AH509" s="83"/>
      <c r="AI509" s="83"/>
      <c r="AJ509" s="83"/>
      <c r="AK509" s="83"/>
      <c r="AL509" s="83"/>
      <c r="AM509" s="83"/>
      <c r="AN509" s="83"/>
      <c r="AO509" s="83"/>
      <c r="AP509" s="83"/>
      <c r="AQ509" s="83"/>
      <c r="AR509" s="83"/>
      <c r="AS509" s="55">
        <f>'Messages Dictionary'!I522</f>
        <v>0</v>
      </c>
    </row>
    <row r="510" spans="1:45" s="27" customFormat="1" ht="42.75" hidden="1" x14ac:dyDescent="0.2">
      <c r="A510" s="28">
        <v>3166</v>
      </c>
      <c r="B510" s="9" t="s">
        <v>369</v>
      </c>
      <c r="C510" s="9" t="s">
        <v>370</v>
      </c>
      <c r="D510" s="9" t="s">
        <v>234</v>
      </c>
      <c r="E510" s="9" t="s">
        <v>677</v>
      </c>
      <c r="F510" s="9" t="s">
        <v>199</v>
      </c>
      <c r="G510" s="9" t="s">
        <v>809</v>
      </c>
      <c r="H510" s="9" t="s">
        <v>831</v>
      </c>
      <c r="I510" s="55">
        <f>'Messages Dictionary'!I523</f>
        <v>0</v>
      </c>
      <c r="J510" s="10">
        <f>'Messages Dictionary'!J523</f>
        <v>0</v>
      </c>
      <c r="K510" s="10">
        <f t="shared" si="7"/>
        <v>0</v>
      </c>
      <c r="L510" s="82"/>
      <c r="M510" s="82"/>
      <c r="N510" s="83"/>
      <c r="O510" s="83"/>
      <c r="P510" s="83"/>
      <c r="Q510" s="83"/>
      <c r="R510" s="83"/>
      <c r="S510" s="83"/>
      <c r="T510" s="83"/>
      <c r="U510" s="83"/>
      <c r="V510" s="83"/>
      <c r="W510" s="83"/>
      <c r="X510" s="83"/>
      <c r="Y510" s="83"/>
      <c r="Z510" s="83"/>
      <c r="AA510" s="83"/>
      <c r="AB510" s="83"/>
      <c r="AC510" s="83"/>
      <c r="AD510" s="83"/>
      <c r="AE510" s="83"/>
      <c r="AF510" s="83"/>
      <c r="AG510" s="83"/>
      <c r="AH510" s="83"/>
      <c r="AI510" s="83"/>
      <c r="AJ510" s="83"/>
      <c r="AK510" s="83"/>
      <c r="AL510" s="83"/>
      <c r="AM510" s="83"/>
      <c r="AN510" s="83"/>
      <c r="AO510" s="83"/>
      <c r="AP510" s="83"/>
      <c r="AQ510" s="83"/>
      <c r="AR510" s="83"/>
      <c r="AS510" s="55">
        <f>'Messages Dictionary'!I523</f>
        <v>0</v>
      </c>
    </row>
    <row r="511" spans="1:45" s="27" customFormat="1" ht="28.5" hidden="1" x14ac:dyDescent="0.2">
      <c r="A511" s="28">
        <v>3167</v>
      </c>
      <c r="B511" s="9" t="s">
        <v>371</v>
      </c>
      <c r="C511" s="9" t="s">
        <v>372</v>
      </c>
      <c r="D511" s="9" t="s">
        <v>234</v>
      </c>
      <c r="E511" s="9" t="s">
        <v>677</v>
      </c>
      <c r="F511" s="9" t="s">
        <v>199</v>
      </c>
      <c r="G511" s="9" t="s">
        <v>809</v>
      </c>
      <c r="H511" s="9" t="s">
        <v>831</v>
      </c>
      <c r="I511" s="55">
        <f>'Messages Dictionary'!I524</f>
        <v>0</v>
      </c>
      <c r="J511" s="10">
        <f>'Messages Dictionary'!J524</f>
        <v>0</v>
      </c>
      <c r="K511" s="10">
        <f t="shared" si="7"/>
        <v>0</v>
      </c>
      <c r="L511" s="82"/>
      <c r="M511" s="82"/>
      <c r="N511" s="83"/>
      <c r="O511" s="83"/>
      <c r="P511" s="83"/>
      <c r="Q511" s="83"/>
      <c r="R511" s="83"/>
      <c r="S511" s="83"/>
      <c r="T511" s="83"/>
      <c r="U511" s="83"/>
      <c r="V511" s="83"/>
      <c r="W511" s="83"/>
      <c r="X511" s="83"/>
      <c r="Y511" s="83"/>
      <c r="Z511" s="83"/>
      <c r="AA511" s="83"/>
      <c r="AB511" s="83"/>
      <c r="AC511" s="83"/>
      <c r="AD511" s="83"/>
      <c r="AE511" s="83"/>
      <c r="AF511" s="83"/>
      <c r="AG511" s="83"/>
      <c r="AH511" s="83"/>
      <c r="AI511" s="83"/>
      <c r="AJ511" s="83"/>
      <c r="AK511" s="83"/>
      <c r="AL511" s="83"/>
      <c r="AM511" s="83"/>
      <c r="AN511" s="83"/>
      <c r="AO511" s="83"/>
      <c r="AP511" s="83"/>
      <c r="AQ511" s="83"/>
      <c r="AR511" s="83"/>
      <c r="AS511" s="55">
        <f>'Messages Dictionary'!I524</f>
        <v>0</v>
      </c>
    </row>
    <row r="512" spans="1:45" s="27" customFormat="1" ht="28.5" hidden="1" x14ac:dyDescent="0.2">
      <c r="A512" s="28">
        <v>3168</v>
      </c>
      <c r="B512" s="9" t="s">
        <v>373</v>
      </c>
      <c r="C512" s="9" t="s">
        <v>374</v>
      </c>
      <c r="D512" s="9" t="s">
        <v>234</v>
      </c>
      <c r="E512" s="9" t="s">
        <v>677</v>
      </c>
      <c r="F512" s="9" t="s">
        <v>199</v>
      </c>
      <c r="G512" s="9" t="s">
        <v>809</v>
      </c>
      <c r="H512" s="9" t="s">
        <v>831</v>
      </c>
      <c r="I512" s="55">
        <f>'Messages Dictionary'!I525</f>
        <v>0</v>
      </c>
      <c r="J512" s="10">
        <f>'Messages Dictionary'!J525</f>
        <v>0</v>
      </c>
      <c r="K512" s="10">
        <f t="shared" si="7"/>
        <v>0</v>
      </c>
      <c r="L512" s="82"/>
      <c r="M512" s="82"/>
      <c r="N512" s="83"/>
      <c r="O512" s="83"/>
      <c r="P512" s="83"/>
      <c r="Q512" s="83"/>
      <c r="R512" s="83"/>
      <c r="S512" s="83"/>
      <c r="T512" s="83"/>
      <c r="U512" s="83"/>
      <c r="V512" s="83"/>
      <c r="W512" s="83"/>
      <c r="X512" s="83"/>
      <c r="Y512" s="83"/>
      <c r="Z512" s="83"/>
      <c r="AA512" s="83"/>
      <c r="AB512" s="83"/>
      <c r="AC512" s="83"/>
      <c r="AD512" s="83"/>
      <c r="AE512" s="83"/>
      <c r="AF512" s="83"/>
      <c r="AG512" s="83"/>
      <c r="AH512" s="83"/>
      <c r="AI512" s="83"/>
      <c r="AJ512" s="83"/>
      <c r="AK512" s="83"/>
      <c r="AL512" s="83"/>
      <c r="AM512" s="83"/>
      <c r="AN512" s="83"/>
      <c r="AO512" s="83"/>
      <c r="AP512" s="83"/>
      <c r="AQ512" s="83"/>
      <c r="AR512" s="83"/>
      <c r="AS512" s="55">
        <f>'Messages Dictionary'!I525</f>
        <v>0</v>
      </c>
    </row>
    <row r="513" spans="1:45" s="27" customFormat="1" ht="28.5" hidden="1" x14ac:dyDescent="0.2">
      <c r="A513" s="28">
        <v>3169</v>
      </c>
      <c r="B513" s="9" t="s">
        <v>375</v>
      </c>
      <c r="C513" s="9" t="s">
        <v>376</v>
      </c>
      <c r="D513" s="9" t="s">
        <v>234</v>
      </c>
      <c r="E513" s="9" t="s">
        <v>677</v>
      </c>
      <c r="F513" s="9" t="s">
        <v>199</v>
      </c>
      <c r="G513" s="9" t="s">
        <v>809</v>
      </c>
      <c r="H513" s="9" t="s">
        <v>831</v>
      </c>
      <c r="I513" s="55">
        <f>'Messages Dictionary'!I526</f>
        <v>0</v>
      </c>
      <c r="J513" s="10">
        <f>'Messages Dictionary'!J526</f>
        <v>0</v>
      </c>
      <c r="K513" s="10">
        <f t="shared" si="7"/>
        <v>0</v>
      </c>
      <c r="L513" s="82"/>
      <c r="M513" s="82"/>
      <c r="N513" s="83"/>
      <c r="O513" s="83"/>
      <c r="P513" s="83"/>
      <c r="Q513" s="83"/>
      <c r="R513" s="83"/>
      <c r="S513" s="83"/>
      <c r="T513" s="83"/>
      <c r="U513" s="83"/>
      <c r="V513" s="83"/>
      <c r="W513" s="83"/>
      <c r="X513" s="83"/>
      <c r="Y513" s="83"/>
      <c r="Z513" s="83"/>
      <c r="AA513" s="83"/>
      <c r="AB513" s="83"/>
      <c r="AC513" s="83"/>
      <c r="AD513" s="83"/>
      <c r="AE513" s="83"/>
      <c r="AF513" s="83"/>
      <c r="AG513" s="83"/>
      <c r="AH513" s="83"/>
      <c r="AI513" s="83"/>
      <c r="AJ513" s="83"/>
      <c r="AK513" s="83"/>
      <c r="AL513" s="83"/>
      <c r="AM513" s="83"/>
      <c r="AN513" s="83"/>
      <c r="AO513" s="83"/>
      <c r="AP513" s="83"/>
      <c r="AQ513" s="83"/>
      <c r="AR513" s="83"/>
      <c r="AS513" s="55">
        <f>'Messages Dictionary'!I526</f>
        <v>0</v>
      </c>
    </row>
    <row r="514" spans="1:45" s="27" customFormat="1" hidden="1" x14ac:dyDescent="0.2">
      <c r="A514" s="28">
        <v>3180</v>
      </c>
      <c r="B514" s="9" t="s">
        <v>475</v>
      </c>
      <c r="C514" s="9" t="s">
        <v>476</v>
      </c>
      <c r="D514" s="9" t="s">
        <v>234</v>
      </c>
      <c r="E514" s="9" t="s">
        <v>677</v>
      </c>
      <c r="F514" s="9" t="s">
        <v>199</v>
      </c>
      <c r="G514" s="9" t="s">
        <v>809</v>
      </c>
      <c r="H514" s="9" t="s">
        <v>831</v>
      </c>
      <c r="I514" s="55">
        <f>'Messages Dictionary'!I527</f>
        <v>0</v>
      </c>
      <c r="J514" s="10">
        <f>'Messages Dictionary'!J527</f>
        <v>0</v>
      </c>
      <c r="K514" s="10">
        <f t="shared" ref="K514:K577" si="8">I514*J514</f>
        <v>0</v>
      </c>
      <c r="L514" s="82"/>
      <c r="M514" s="82"/>
      <c r="N514" s="83"/>
      <c r="O514" s="83"/>
      <c r="P514" s="83"/>
      <c r="Q514" s="83"/>
      <c r="R514" s="83"/>
      <c r="S514" s="83"/>
      <c r="T514" s="83"/>
      <c r="U514" s="83"/>
      <c r="V514" s="83"/>
      <c r="W514" s="83"/>
      <c r="X514" s="83"/>
      <c r="Y514" s="83"/>
      <c r="Z514" s="83"/>
      <c r="AA514" s="83"/>
      <c r="AB514" s="83"/>
      <c r="AC514" s="83"/>
      <c r="AD514" s="83"/>
      <c r="AE514" s="83"/>
      <c r="AF514" s="83"/>
      <c r="AG514" s="83"/>
      <c r="AH514" s="83"/>
      <c r="AI514" s="83"/>
      <c r="AJ514" s="83"/>
      <c r="AK514" s="83"/>
      <c r="AL514" s="83"/>
      <c r="AM514" s="83"/>
      <c r="AN514" s="83"/>
      <c r="AO514" s="83"/>
      <c r="AP514" s="83"/>
      <c r="AQ514" s="83"/>
      <c r="AR514" s="83"/>
      <c r="AS514" s="55">
        <f>'Messages Dictionary'!I527</f>
        <v>0</v>
      </c>
    </row>
    <row r="515" spans="1:45" s="27" customFormat="1" hidden="1" x14ac:dyDescent="0.2">
      <c r="A515" s="28">
        <v>3181</v>
      </c>
      <c r="B515" s="9" t="s">
        <v>477</v>
      </c>
      <c r="C515" s="9" t="s">
        <v>478</v>
      </c>
      <c r="D515" s="9" t="s">
        <v>234</v>
      </c>
      <c r="E515" s="9" t="s">
        <v>677</v>
      </c>
      <c r="F515" s="9" t="s">
        <v>199</v>
      </c>
      <c r="G515" s="9" t="s">
        <v>809</v>
      </c>
      <c r="H515" s="9" t="s">
        <v>831</v>
      </c>
      <c r="I515" s="55">
        <f>'Messages Dictionary'!I528</f>
        <v>0</v>
      </c>
      <c r="J515" s="10">
        <f>'Messages Dictionary'!J528</f>
        <v>0</v>
      </c>
      <c r="K515" s="10">
        <f t="shared" si="8"/>
        <v>0</v>
      </c>
      <c r="L515" s="82"/>
      <c r="M515" s="82"/>
      <c r="N515" s="83"/>
      <c r="O515" s="83"/>
      <c r="P515" s="83"/>
      <c r="Q515" s="83"/>
      <c r="R515" s="83"/>
      <c r="S515" s="83"/>
      <c r="T515" s="83"/>
      <c r="U515" s="83"/>
      <c r="V515" s="83"/>
      <c r="W515" s="83"/>
      <c r="X515" s="83"/>
      <c r="Y515" s="83"/>
      <c r="Z515" s="83"/>
      <c r="AA515" s="83"/>
      <c r="AB515" s="83"/>
      <c r="AC515" s="83"/>
      <c r="AD515" s="83"/>
      <c r="AE515" s="83"/>
      <c r="AF515" s="83"/>
      <c r="AG515" s="83"/>
      <c r="AH515" s="83"/>
      <c r="AI515" s="83"/>
      <c r="AJ515" s="83"/>
      <c r="AK515" s="83"/>
      <c r="AL515" s="83"/>
      <c r="AM515" s="83"/>
      <c r="AN515" s="83"/>
      <c r="AO515" s="83"/>
      <c r="AP515" s="83"/>
      <c r="AQ515" s="83"/>
      <c r="AR515" s="83"/>
      <c r="AS515" s="55">
        <f>'Messages Dictionary'!I528</f>
        <v>0</v>
      </c>
    </row>
    <row r="516" spans="1:45" s="27" customFormat="1" ht="57" hidden="1" x14ac:dyDescent="0.2">
      <c r="A516" s="28">
        <v>3182</v>
      </c>
      <c r="B516" s="9" t="s">
        <v>479</v>
      </c>
      <c r="C516" s="9" t="s">
        <v>480</v>
      </c>
      <c r="D516" s="9" t="s">
        <v>234</v>
      </c>
      <c r="E516" s="9" t="s">
        <v>677</v>
      </c>
      <c r="F516" s="9" t="s">
        <v>199</v>
      </c>
      <c r="G516" s="9" t="s">
        <v>809</v>
      </c>
      <c r="H516" s="9" t="s">
        <v>831</v>
      </c>
      <c r="I516" s="55">
        <f>'Messages Dictionary'!I529</f>
        <v>0</v>
      </c>
      <c r="J516" s="10">
        <f>'Messages Dictionary'!J529</f>
        <v>0</v>
      </c>
      <c r="K516" s="10">
        <f t="shared" si="8"/>
        <v>0</v>
      </c>
      <c r="L516" s="82"/>
      <c r="M516" s="82"/>
      <c r="N516" s="83"/>
      <c r="O516" s="83"/>
      <c r="P516" s="83"/>
      <c r="Q516" s="83"/>
      <c r="R516" s="83"/>
      <c r="S516" s="83"/>
      <c r="T516" s="83"/>
      <c r="U516" s="83"/>
      <c r="V516" s="83"/>
      <c r="W516" s="83"/>
      <c r="X516" s="83"/>
      <c r="Y516" s="83"/>
      <c r="Z516" s="83"/>
      <c r="AA516" s="83"/>
      <c r="AB516" s="83"/>
      <c r="AC516" s="83"/>
      <c r="AD516" s="83"/>
      <c r="AE516" s="83"/>
      <c r="AF516" s="83"/>
      <c r="AG516" s="83"/>
      <c r="AH516" s="83"/>
      <c r="AI516" s="83"/>
      <c r="AJ516" s="83"/>
      <c r="AK516" s="83"/>
      <c r="AL516" s="83"/>
      <c r="AM516" s="83"/>
      <c r="AN516" s="83"/>
      <c r="AO516" s="83"/>
      <c r="AP516" s="83"/>
      <c r="AQ516" s="83"/>
      <c r="AR516" s="83"/>
      <c r="AS516" s="55">
        <f>'Messages Dictionary'!I529</f>
        <v>0</v>
      </c>
    </row>
    <row r="517" spans="1:45" s="27" customFormat="1" ht="42.75" hidden="1" x14ac:dyDescent="0.2">
      <c r="A517" s="28">
        <v>3183</v>
      </c>
      <c r="B517" s="9" t="s">
        <v>481</v>
      </c>
      <c r="C517" s="9" t="s">
        <v>482</v>
      </c>
      <c r="D517" s="9" t="s">
        <v>234</v>
      </c>
      <c r="E517" s="9" t="s">
        <v>677</v>
      </c>
      <c r="F517" s="9" t="s">
        <v>199</v>
      </c>
      <c r="G517" s="9" t="s">
        <v>809</v>
      </c>
      <c r="H517" s="9" t="s">
        <v>831</v>
      </c>
      <c r="I517" s="55">
        <f>'Messages Dictionary'!I530</f>
        <v>0</v>
      </c>
      <c r="J517" s="10">
        <f>'Messages Dictionary'!J530</f>
        <v>0</v>
      </c>
      <c r="K517" s="10">
        <f t="shared" si="8"/>
        <v>0</v>
      </c>
      <c r="L517" s="82"/>
      <c r="M517" s="82"/>
      <c r="N517" s="83"/>
      <c r="O517" s="83"/>
      <c r="P517" s="83"/>
      <c r="Q517" s="83"/>
      <c r="R517" s="83"/>
      <c r="S517" s="83"/>
      <c r="T517" s="83"/>
      <c r="U517" s="83"/>
      <c r="V517" s="83"/>
      <c r="W517" s="83"/>
      <c r="X517" s="83"/>
      <c r="Y517" s="83"/>
      <c r="Z517" s="83"/>
      <c r="AA517" s="83"/>
      <c r="AB517" s="83"/>
      <c r="AC517" s="83"/>
      <c r="AD517" s="83"/>
      <c r="AE517" s="83"/>
      <c r="AF517" s="83"/>
      <c r="AG517" s="83"/>
      <c r="AH517" s="83"/>
      <c r="AI517" s="83"/>
      <c r="AJ517" s="83"/>
      <c r="AK517" s="83"/>
      <c r="AL517" s="83"/>
      <c r="AM517" s="83"/>
      <c r="AN517" s="83"/>
      <c r="AO517" s="83"/>
      <c r="AP517" s="83"/>
      <c r="AQ517" s="83"/>
      <c r="AR517" s="83"/>
      <c r="AS517" s="55">
        <f>'Messages Dictionary'!I530</f>
        <v>0</v>
      </c>
    </row>
    <row r="518" spans="1:45" s="27" customFormat="1" ht="42.75" hidden="1" x14ac:dyDescent="0.2">
      <c r="A518" s="28">
        <v>3184</v>
      </c>
      <c r="B518" s="9" t="s">
        <v>483</v>
      </c>
      <c r="C518" s="9" t="s">
        <v>484</v>
      </c>
      <c r="D518" s="9" t="s">
        <v>234</v>
      </c>
      <c r="E518" s="9" t="s">
        <v>677</v>
      </c>
      <c r="F518" s="9" t="s">
        <v>199</v>
      </c>
      <c r="G518" s="9" t="s">
        <v>809</v>
      </c>
      <c r="H518" s="9" t="s">
        <v>831</v>
      </c>
      <c r="I518" s="55">
        <f>'Messages Dictionary'!I531</f>
        <v>0</v>
      </c>
      <c r="J518" s="10">
        <f>'Messages Dictionary'!J531</f>
        <v>0</v>
      </c>
      <c r="K518" s="10">
        <f t="shared" si="8"/>
        <v>0</v>
      </c>
      <c r="L518" s="82"/>
      <c r="M518" s="82"/>
      <c r="N518" s="83"/>
      <c r="O518" s="83"/>
      <c r="P518" s="83"/>
      <c r="Q518" s="83"/>
      <c r="R518" s="83"/>
      <c r="S518" s="83"/>
      <c r="T518" s="83"/>
      <c r="U518" s="83"/>
      <c r="V518" s="83"/>
      <c r="W518" s="83"/>
      <c r="X518" s="83"/>
      <c r="Y518" s="83"/>
      <c r="Z518" s="83"/>
      <c r="AA518" s="83"/>
      <c r="AB518" s="83"/>
      <c r="AC518" s="83"/>
      <c r="AD518" s="83"/>
      <c r="AE518" s="83"/>
      <c r="AF518" s="83"/>
      <c r="AG518" s="83"/>
      <c r="AH518" s="83"/>
      <c r="AI518" s="83"/>
      <c r="AJ518" s="83"/>
      <c r="AK518" s="83"/>
      <c r="AL518" s="83"/>
      <c r="AM518" s="83"/>
      <c r="AN518" s="83"/>
      <c r="AO518" s="83"/>
      <c r="AP518" s="83"/>
      <c r="AQ518" s="83"/>
      <c r="AR518" s="83"/>
      <c r="AS518" s="55">
        <f>'Messages Dictionary'!I531</f>
        <v>0</v>
      </c>
    </row>
    <row r="519" spans="1:45" s="27" customFormat="1" ht="42.75" hidden="1" x14ac:dyDescent="0.2">
      <c r="A519" s="28">
        <v>3185</v>
      </c>
      <c r="B519" s="9" t="s">
        <v>485</v>
      </c>
      <c r="C519" s="9" t="s">
        <v>486</v>
      </c>
      <c r="D519" s="9" t="s">
        <v>234</v>
      </c>
      <c r="E519" s="9" t="s">
        <v>677</v>
      </c>
      <c r="F519" s="9" t="s">
        <v>199</v>
      </c>
      <c r="G519" s="9" t="s">
        <v>809</v>
      </c>
      <c r="H519" s="9" t="s">
        <v>831</v>
      </c>
      <c r="I519" s="55">
        <f>'Messages Dictionary'!I532</f>
        <v>0</v>
      </c>
      <c r="J519" s="10">
        <f>'Messages Dictionary'!J532</f>
        <v>0</v>
      </c>
      <c r="K519" s="10">
        <f t="shared" si="8"/>
        <v>0</v>
      </c>
      <c r="L519" s="82"/>
      <c r="M519" s="82"/>
      <c r="N519" s="83"/>
      <c r="O519" s="83"/>
      <c r="P519" s="83"/>
      <c r="Q519" s="83"/>
      <c r="R519" s="83"/>
      <c r="S519" s="83"/>
      <c r="T519" s="83"/>
      <c r="U519" s="83"/>
      <c r="V519" s="83"/>
      <c r="W519" s="83"/>
      <c r="X519" s="83"/>
      <c r="Y519" s="83"/>
      <c r="Z519" s="83"/>
      <c r="AA519" s="83"/>
      <c r="AB519" s="83"/>
      <c r="AC519" s="83"/>
      <c r="AD519" s="83"/>
      <c r="AE519" s="83"/>
      <c r="AF519" s="83"/>
      <c r="AG519" s="83"/>
      <c r="AH519" s="83"/>
      <c r="AI519" s="83"/>
      <c r="AJ519" s="83"/>
      <c r="AK519" s="83"/>
      <c r="AL519" s="83"/>
      <c r="AM519" s="83"/>
      <c r="AN519" s="83"/>
      <c r="AO519" s="83"/>
      <c r="AP519" s="83"/>
      <c r="AQ519" s="83"/>
      <c r="AR519" s="83"/>
      <c r="AS519" s="55">
        <f>'Messages Dictionary'!I532</f>
        <v>0</v>
      </c>
    </row>
    <row r="520" spans="1:45" s="27" customFormat="1" ht="28.5" hidden="1" x14ac:dyDescent="0.2">
      <c r="A520" s="28">
        <v>3200</v>
      </c>
      <c r="B520" s="9" t="s">
        <v>590</v>
      </c>
      <c r="C520" s="9" t="s">
        <v>591</v>
      </c>
      <c r="D520" s="9" t="s">
        <v>234</v>
      </c>
      <c r="E520" s="9" t="s">
        <v>263</v>
      </c>
      <c r="F520" s="9" t="s">
        <v>199</v>
      </c>
      <c r="G520" s="9" t="s">
        <v>412</v>
      </c>
      <c r="H520" s="9" t="s">
        <v>831</v>
      </c>
      <c r="I520" s="55">
        <f>'Messages Dictionary'!I535</f>
        <v>0</v>
      </c>
      <c r="J520" s="10">
        <f>'Messages Dictionary'!J535</f>
        <v>0</v>
      </c>
      <c r="K520" s="10">
        <f t="shared" si="8"/>
        <v>0</v>
      </c>
      <c r="L520" s="82"/>
      <c r="M520" s="82"/>
      <c r="N520" s="83"/>
      <c r="O520" s="83"/>
      <c r="P520" s="83"/>
      <c r="Q520" s="83"/>
      <c r="R520" s="83"/>
      <c r="S520" s="83"/>
      <c r="T520" s="83"/>
      <c r="U520" s="83"/>
      <c r="V520" s="83"/>
      <c r="W520" s="83"/>
      <c r="X520" s="83"/>
      <c r="Y520" s="83"/>
      <c r="Z520" s="83"/>
      <c r="AA520" s="83"/>
      <c r="AB520" s="83"/>
      <c r="AC520" s="83"/>
      <c r="AD520" s="83"/>
      <c r="AE520" s="83"/>
      <c r="AF520" s="83"/>
      <c r="AG520" s="83"/>
      <c r="AH520" s="83"/>
      <c r="AI520" s="83"/>
      <c r="AJ520" s="83"/>
      <c r="AK520" s="83"/>
      <c r="AL520" s="83"/>
      <c r="AM520" s="83"/>
      <c r="AN520" s="83"/>
      <c r="AO520" s="83"/>
      <c r="AP520" s="83"/>
      <c r="AQ520" s="83"/>
      <c r="AR520" s="83"/>
      <c r="AS520" s="55">
        <f>'Messages Dictionary'!I535</f>
        <v>0</v>
      </c>
    </row>
    <row r="521" spans="1:45" s="27" customFormat="1" ht="42.75" hidden="1" x14ac:dyDescent="0.2">
      <c r="A521" s="28">
        <v>3201</v>
      </c>
      <c r="B521" s="9" t="s">
        <v>592</v>
      </c>
      <c r="C521" s="9" t="s">
        <v>593</v>
      </c>
      <c r="D521" s="9" t="s">
        <v>234</v>
      </c>
      <c r="E521" s="9" t="s">
        <v>263</v>
      </c>
      <c r="F521" s="9" t="s">
        <v>199</v>
      </c>
      <c r="G521" s="9" t="s">
        <v>412</v>
      </c>
      <c r="H521" s="9" t="s">
        <v>831</v>
      </c>
      <c r="I521" s="55">
        <f>'Messages Dictionary'!I536</f>
        <v>0</v>
      </c>
      <c r="J521" s="10">
        <f>'Messages Dictionary'!J536</f>
        <v>0</v>
      </c>
      <c r="K521" s="10">
        <f t="shared" si="8"/>
        <v>0</v>
      </c>
      <c r="L521" s="82"/>
      <c r="M521" s="82"/>
      <c r="N521" s="83"/>
      <c r="O521" s="83"/>
      <c r="P521" s="83"/>
      <c r="Q521" s="83"/>
      <c r="R521" s="83"/>
      <c r="S521" s="83"/>
      <c r="T521" s="83"/>
      <c r="U521" s="83"/>
      <c r="V521" s="83"/>
      <c r="W521" s="83"/>
      <c r="X521" s="83"/>
      <c r="Y521" s="83"/>
      <c r="Z521" s="83"/>
      <c r="AA521" s="83"/>
      <c r="AB521" s="83"/>
      <c r="AC521" s="83"/>
      <c r="AD521" s="83"/>
      <c r="AE521" s="83"/>
      <c r="AF521" s="83"/>
      <c r="AG521" s="83"/>
      <c r="AH521" s="83"/>
      <c r="AI521" s="83"/>
      <c r="AJ521" s="83"/>
      <c r="AK521" s="83"/>
      <c r="AL521" s="83"/>
      <c r="AM521" s="83"/>
      <c r="AN521" s="83"/>
      <c r="AO521" s="83"/>
      <c r="AP521" s="83"/>
      <c r="AQ521" s="83"/>
      <c r="AR521" s="83"/>
      <c r="AS521" s="55">
        <f>'Messages Dictionary'!I536</f>
        <v>0</v>
      </c>
    </row>
    <row r="522" spans="1:45" s="27" customFormat="1" ht="28.5" hidden="1" x14ac:dyDescent="0.2">
      <c r="A522" s="28">
        <v>3202</v>
      </c>
      <c r="B522" s="9" t="s">
        <v>594</v>
      </c>
      <c r="C522" s="9" t="s">
        <v>595</v>
      </c>
      <c r="D522" s="9" t="s">
        <v>234</v>
      </c>
      <c r="E522" s="9" t="s">
        <v>263</v>
      </c>
      <c r="F522" s="9" t="s">
        <v>199</v>
      </c>
      <c r="G522" s="9" t="s">
        <v>412</v>
      </c>
      <c r="H522" s="9" t="s">
        <v>831</v>
      </c>
      <c r="I522" s="55">
        <f>'Messages Dictionary'!I537</f>
        <v>0</v>
      </c>
      <c r="J522" s="10">
        <f>'Messages Dictionary'!J537</f>
        <v>0</v>
      </c>
      <c r="K522" s="10">
        <f t="shared" si="8"/>
        <v>0</v>
      </c>
      <c r="L522" s="82"/>
      <c r="M522" s="82"/>
      <c r="N522" s="83"/>
      <c r="O522" s="83"/>
      <c r="P522" s="83"/>
      <c r="Q522" s="83"/>
      <c r="R522" s="83"/>
      <c r="S522" s="83"/>
      <c r="T522" s="83"/>
      <c r="U522" s="83"/>
      <c r="V522" s="83"/>
      <c r="W522" s="83"/>
      <c r="X522" s="83"/>
      <c r="Y522" s="83"/>
      <c r="Z522" s="83"/>
      <c r="AA522" s="83"/>
      <c r="AB522" s="83"/>
      <c r="AC522" s="83"/>
      <c r="AD522" s="83"/>
      <c r="AE522" s="83"/>
      <c r="AF522" s="83"/>
      <c r="AG522" s="83"/>
      <c r="AH522" s="83"/>
      <c r="AI522" s="83"/>
      <c r="AJ522" s="83"/>
      <c r="AK522" s="83"/>
      <c r="AL522" s="83"/>
      <c r="AM522" s="83"/>
      <c r="AN522" s="83"/>
      <c r="AO522" s="83"/>
      <c r="AP522" s="83"/>
      <c r="AQ522" s="83"/>
      <c r="AR522" s="83"/>
      <c r="AS522" s="55">
        <f>'Messages Dictionary'!I537</f>
        <v>0</v>
      </c>
    </row>
    <row r="523" spans="1:45" s="27" customFormat="1" hidden="1" x14ac:dyDescent="0.2">
      <c r="A523" s="28">
        <v>3211</v>
      </c>
      <c r="B523" s="9" t="s">
        <v>596</v>
      </c>
      <c r="C523" s="9" t="s">
        <v>597</v>
      </c>
      <c r="D523" s="9" t="s">
        <v>404</v>
      </c>
      <c r="E523" s="9" t="s">
        <v>404</v>
      </c>
      <c r="F523" s="9" t="s">
        <v>199</v>
      </c>
      <c r="G523" s="9" t="s">
        <v>809</v>
      </c>
      <c r="H523" s="9" t="s">
        <v>831</v>
      </c>
      <c r="I523" s="55">
        <f>'Messages Dictionary'!I538</f>
        <v>0</v>
      </c>
      <c r="J523" s="10">
        <f>'Messages Dictionary'!J538</f>
        <v>0</v>
      </c>
      <c r="K523" s="10">
        <f t="shared" si="8"/>
        <v>0</v>
      </c>
      <c r="L523" s="82"/>
      <c r="M523" s="82"/>
      <c r="N523" s="83"/>
      <c r="O523" s="83"/>
      <c r="P523" s="83"/>
      <c r="Q523" s="83"/>
      <c r="R523" s="83"/>
      <c r="S523" s="83"/>
      <c r="T523" s="83"/>
      <c r="U523" s="83"/>
      <c r="V523" s="83"/>
      <c r="W523" s="83"/>
      <c r="X523" s="83"/>
      <c r="Y523" s="83"/>
      <c r="Z523" s="83"/>
      <c r="AA523" s="83"/>
      <c r="AB523" s="83"/>
      <c r="AC523" s="83"/>
      <c r="AD523" s="83"/>
      <c r="AE523" s="83"/>
      <c r="AF523" s="83"/>
      <c r="AG523" s="83"/>
      <c r="AH523" s="83"/>
      <c r="AI523" s="83"/>
      <c r="AJ523" s="83"/>
      <c r="AK523" s="83"/>
      <c r="AL523" s="83"/>
      <c r="AM523" s="83"/>
      <c r="AN523" s="83"/>
      <c r="AO523" s="83"/>
      <c r="AP523" s="83"/>
      <c r="AQ523" s="83"/>
      <c r="AR523" s="83"/>
      <c r="AS523" s="55">
        <f>'Messages Dictionary'!I538</f>
        <v>0</v>
      </c>
    </row>
    <row r="524" spans="1:45" s="27" customFormat="1" ht="42.75" hidden="1" x14ac:dyDescent="0.2">
      <c r="A524" s="28">
        <v>3212</v>
      </c>
      <c r="B524" s="9" t="s">
        <v>377</v>
      </c>
      <c r="C524" s="9" t="s">
        <v>378</v>
      </c>
      <c r="D524" s="9" t="s">
        <v>404</v>
      </c>
      <c r="E524" s="9" t="s">
        <v>404</v>
      </c>
      <c r="F524" s="9" t="s">
        <v>199</v>
      </c>
      <c r="G524" s="9" t="s">
        <v>809</v>
      </c>
      <c r="H524" s="9" t="s">
        <v>831</v>
      </c>
      <c r="I524" s="55">
        <f>'Messages Dictionary'!I539</f>
        <v>0</v>
      </c>
      <c r="J524" s="10">
        <f>'Messages Dictionary'!J539</f>
        <v>0.5</v>
      </c>
      <c r="K524" s="10">
        <f t="shared" si="8"/>
        <v>0</v>
      </c>
      <c r="L524" s="82"/>
      <c r="M524" s="82"/>
      <c r="N524" s="83"/>
      <c r="O524" s="83"/>
      <c r="P524" s="83"/>
      <c r="Q524" s="83"/>
      <c r="R524" s="83"/>
      <c r="S524" s="83"/>
      <c r="T524" s="83"/>
      <c r="U524" s="83"/>
      <c r="V524" s="83"/>
      <c r="W524" s="83"/>
      <c r="X524" s="83"/>
      <c r="Y524" s="83"/>
      <c r="Z524" s="83"/>
      <c r="AA524" s="83"/>
      <c r="AB524" s="83"/>
      <c r="AC524" s="83"/>
      <c r="AD524" s="83"/>
      <c r="AE524" s="83"/>
      <c r="AF524" s="83"/>
      <c r="AG524" s="83"/>
      <c r="AH524" s="83"/>
      <c r="AI524" s="83"/>
      <c r="AJ524" s="83"/>
      <c r="AK524" s="83"/>
      <c r="AL524" s="83"/>
      <c r="AM524" s="83"/>
      <c r="AN524" s="83"/>
      <c r="AO524" s="83"/>
      <c r="AP524" s="83"/>
      <c r="AQ524" s="83"/>
      <c r="AR524" s="83"/>
      <c r="AS524" s="55">
        <f>'Messages Dictionary'!I539</f>
        <v>0</v>
      </c>
    </row>
    <row r="525" spans="1:45" s="27" customFormat="1" ht="71.25" hidden="1" x14ac:dyDescent="0.2">
      <c r="A525" s="28">
        <v>3213</v>
      </c>
      <c r="B525" s="9" t="s">
        <v>379</v>
      </c>
      <c r="C525" s="9" t="s">
        <v>380</v>
      </c>
      <c r="D525" s="9" t="s">
        <v>404</v>
      </c>
      <c r="E525" s="9" t="s">
        <v>404</v>
      </c>
      <c r="F525" s="9" t="s">
        <v>199</v>
      </c>
      <c r="G525" s="9" t="s">
        <v>809</v>
      </c>
      <c r="H525" s="9" t="s">
        <v>831</v>
      </c>
      <c r="I525" s="55">
        <f>'Messages Dictionary'!I540</f>
        <v>0</v>
      </c>
      <c r="J525" s="10">
        <f>'Messages Dictionary'!J540</f>
        <v>0.5</v>
      </c>
      <c r="K525" s="10">
        <f t="shared" si="8"/>
        <v>0</v>
      </c>
      <c r="L525" s="82"/>
      <c r="M525" s="82"/>
      <c r="N525" s="83"/>
      <c r="O525" s="83"/>
      <c r="P525" s="83"/>
      <c r="Q525" s="83"/>
      <c r="R525" s="83"/>
      <c r="S525" s="83"/>
      <c r="T525" s="83"/>
      <c r="U525" s="83"/>
      <c r="V525" s="83"/>
      <c r="W525" s="83"/>
      <c r="X525" s="83"/>
      <c r="Y525" s="83"/>
      <c r="Z525" s="83"/>
      <c r="AA525" s="83"/>
      <c r="AB525" s="83"/>
      <c r="AC525" s="83"/>
      <c r="AD525" s="83"/>
      <c r="AE525" s="83"/>
      <c r="AF525" s="83"/>
      <c r="AG525" s="83"/>
      <c r="AH525" s="83"/>
      <c r="AI525" s="83"/>
      <c r="AJ525" s="83"/>
      <c r="AK525" s="83"/>
      <c r="AL525" s="83"/>
      <c r="AM525" s="83"/>
      <c r="AN525" s="83"/>
      <c r="AO525" s="83"/>
      <c r="AP525" s="83"/>
      <c r="AQ525" s="83"/>
      <c r="AR525" s="83"/>
      <c r="AS525" s="55">
        <f>'Messages Dictionary'!I540</f>
        <v>0</v>
      </c>
    </row>
    <row r="526" spans="1:45" s="27" customFormat="1" ht="42.75" hidden="1" x14ac:dyDescent="0.2">
      <c r="A526" s="28">
        <v>3214</v>
      </c>
      <c r="B526" s="9" t="s">
        <v>487</v>
      </c>
      <c r="C526" s="9" t="s">
        <v>488</v>
      </c>
      <c r="D526" s="9" t="s">
        <v>404</v>
      </c>
      <c r="E526" s="9" t="s">
        <v>404</v>
      </c>
      <c r="F526" s="9" t="s">
        <v>199</v>
      </c>
      <c r="G526" s="9" t="s">
        <v>809</v>
      </c>
      <c r="H526" s="9" t="s">
        <v>831</v>
      </c>
      <c r="I526" s="55">
        <f>'Messages Dictionary'!I541</f>
        <v>0</v>
      </c>
      <c r="J526" s="10">
        <f>'Messages Dictionary'!J541</f>
        <v>0.5</v>
      </c>
      <c r="K526" s="10">
        <f t="shared" si="8"/>
        <v>0</v>
      </c>
      <c r="L526" s="82"/>
      <c r="M526" s="82"/>
      <c r="N526" s="83"/>
      <c r="O526" s="83"/>
      <c r="P526" s="83"/>
      <c r="Q526" s="83"/>
      <c r="R526" s="83"/>
      <c r="S526" s="83"/>
      <c r="T526" s="83"/>
      <c r="U526" s="83"/>
      <c r="V526" s="83"/>
      <c r="W526" s="83"/>
      <c r="X526" s="83"/>
      <c r="Y526" s="83"/>
      <c r="Z526" s="83"/>
      <c r="AA526" s="83"/>
      <c r="AB526" s="83"/>
      <c r="AC526" s="83"/>
      <c r="AD526" s="83"/>
      <c r="AE526" s="83"/>
      <c r="AF526" s="83"/>
      <c r="AG526" s="83"/>
      <c r="AH526" s="83"/>
      <c r="AI526" s="83"/>
      <c r="AJ526" s="83"/>
      <c r="AK526" s="83"/>
      <c r="AL526" s="83"/>
      <c r="AM526" s="83"/>
      <c r="AN526" s="83"/>
      <c r="AO526" s="83"/>
      <c r="AP526" s="83"/>
      <c r="AQ526" s="83"/>
      <c r="AR526" s="83"/>
      <c r="AS526" s="55">
        <f>'Messages Dictionary'!I541</f>
        <v>0</v>
      </c>
    </row>
    <row r="527" spans="1:45" s="27" customFormat="1" ht="42.75" hidden="1" x14ac:dyDescent="0.2">
      <c r="A527" s="28">
        <v>3215</v>
      </c>
      <c r="B527" s="9" t="s">
        <v>489</v>
      </c>
      <c r="C527" s="9" t="s">
        <v>490</v>
      </c>
      <c r="D527" s="9" t="s">
        <v>234</v>
      </c>
      <c r="E527" s="9" t="s">
        <v>702</v>
      </c>
      <c r="F527" s="9" t="s">
        <v>199</v>
      </c>
      <c r="G527" s="9" t="s">
        <v>809</v>
      </c>
      <c r="H527" s="9" t="s">
        <v>831</v>
      </c>
      <c r="I527" s="55">
        <f>'Messages Dictionary'!I542</f>
        <v>0</v>
      </c>
      <c r="J527" s="10">
        <f>'Messages Dictionary'!J542</f>
        <v>0</v>
      </c>
      <c r="K527" s="10">
        <f t="shared" si="8"/>
        <v>0</v>
      </c>
      <c r="L527" s="82"/>
      <c r="M527" s="82"/>
      <c r="N527" s="83"/>
      <c r="O527" s="83"/>
      <c r="P527" s="83"/>
      <c r="Q527" s="83"/>
      <c r="R527" s="83"/>
      <c r="S527" s="83"/>
      <c r="T527" s="83"/>
      <c r="U527" s="83"/>
      <c r="V527" s="83"/>
      <c r="W527" s="83"/>
      <c r="X527" s="83"/>
      <c r="Y527" s="83"/>
      <c r="Z527" s="83"/>
      <c r="AA527" s="83"/>
      <c r="AB527" s="83"/>
      <c r="AC527" s="83"/>
      <c r="AD527" s="83"/>
      <c r="AE527" s="83"/>
      <c r="AF527" s="83"/>
      <c r="AG527" s="83"/>
      <c r="AH527" s="83"/>
      <c r="AI527" s="83"/>
      <c r="AJ527" s="83"/>
      <c r="AK527" s="83"/>
      <c r="AL527" s="83"/>
      <c r="AM527" s="83"/>
      <c r="AN527" s="83"/>
      <c r="AO527" s="83"/>
      <c r="AP527" s="83"/>
      <c r="AQ527" s="83"/>
      <c r="AR527" s="83"/>
      <c r="AS527" s="55">
        <f>'Messages Dictionary'!I542</f>
        <v>0</v>
      </c>
    </row>
    <row r="528" spans="1:45" s="27" customFormat="1" ht="42.75" hidden="1" x14ac:dyDescent="0.2">
      <c r="A528" s="28">
        <v>4000</v>
      </c>
      <c r="B528" s="9" t="s">
        <v>598</v>
      </c>
      <c r="C528" s="9" t="s">
        <v>599</v>
      </c>
      <c r="D528" s="9" t="s">
        <v>863</v>
      </c>
      <c r="E528" s="9" t="s">
        <v>319</v>
      </c>
      <c r="F528" s="9" t="s">
        <v>200</v>
      </c>
      <c r="G528" s="9" t="s">
        <v>809</v>
      </c>
      <c r="H528" s="9" t="s">
        <v>831</v>
      </c>
      <c r="I528" s="55">
        <f>'Messages Dictionary'!I545</f>
        <v>0</v>
      </c>
      <c r="J528" s="10">
        <f>'Messages Dictionary'!J545</f>
        <v>0.1</v>
      </c>
      <c r="K528" s="10">
        <f t="shared" si="8"/>
        <v>0</v>
      </c>
      <c r="L528" s="82"/>
      <c r="M528" s="82"/>
      <c r="N528" s="83"/>
      <c r="O528" s="83"/>
      <c r="P528" s="83"/>
      <c r="Q528" s="83"/>
      <c r="R528" s="83"/>
      <c r="S528" s="83"/>
      <c r="T528" s="83"/>
      <c r="U528" s="83"/>
      <c r="V528" s="83"/>
      <c r="W528" s="83"/>
      <c r="X528" s="83"/>
      <c r="Y528" s="83"/>
      <c r="Z528" s="83"/>
      <c r="AA528" s="83"/>
      <c r="AB528" s="83"/>
      <c r="AC528" s="83"/>
      <c r="AD528" s="83"/>
      <c r="AE528" s="83"/>
      <c r="AF528" s="83"/>
      <c r="AG528" s="83"/>
      <c r="AH528" s="83"/>
      <c r="AI528" s="83"/>
      <c r="AJ528" s="83"/>
      <c r="AK528" s="83"/>
      <c r="AL528" s="83"/>
      <c r="AM528" s="83"/>
      <c r="AN528" s="83"/>
      <c r="AO528" s="83"/>
      <c r="AP528" s="83"/>
      <c r="AQ528" s="83"/>
      <c r="AR528" s="83"/>
      <c r="AS528" s="55">
        <f>'Messages Dictionary'!I545</f>
        <v>0</v>
      </c>
    </row>
    <row r="529" spans="1:45" s="27" customFormat="1" ht="28.5" hidden="1" x14ac:dyDescent="0.2">
      <c r="A529" s="28">
        <v>4004</v>
      </c>
      <c r="B529" s="9" t="s">
        <v>491</v>
      </c>
      <c r="C529" s="9" t="s">
        <v>492</v>
      </c>
      <c r="D529" s="9" t="s">
        <v>863</v>
      </c>
      <c r="E529" s="9" t="s">
        <v>319</v>
      </c>
      <c r="F529" s="9" t="s">
        <v>199</v>
      </c>
      <c r="G529" s="9" t="s">
        <v>412</v>
      </c>
      <c r="H529" s="9" t="s">
        <v>831</v>
      </c>
      <c r="I529" s="55">
        <f>'Messages Dictionary'!I546</f>
        <v>0</v>
      </c>
      <c r="J529" s="10">
        <f>'Messages Dictionary'!J546</f>
        <v>0.5</v>
      </c>
      <c r="K529" s="10">
        <f t="shared" si="8"/>
        <v>0</v>
      </c>
      <c r="L529" s="82"/>
      <c r="M529" s="82"/>
      <c r="N529" s="83"/>
      <c r="O529" s="83"/>
      <c r="P529" s="83"/>
      <c r="Q529" s="83"/>
      <c r="R529" s="83"/>
      <c r="S529" s="83"/>
      <c r="T529" s="83"/>
      <c r="U529" s="83"/>
      <c r="V529" s="83"/>
      <c r="W529" s="83"/>
      <c r="X529" s="83"/>
      <c r="Y529" s="83"/>
      <c r="Z529" s="83"/>
      <c r="AA529" s="83"/>
      <c r="AB529" s="83"/>
      <c r="AC529" s="83"/>
      <c r="AD529" s="83"/>
      <c r="AE529" s="83"/>
      <c r="AF529" s="83"/>
      <c r="AG529" s="83"/>
      <c r="AH529" s="83"/>
      <c r="AI529" s="83"/>
      <c r="AJ529" s="83"/>
      <c r="AK529" s="83"/>
      <c r="AL529" s="83"/>
      <c r="AM529" s="83"/>
      <c r="AN529" s="83"/>
      <c r="AO529" s="83"/>
      <c r="AP529" s="83"/>
      <c r="AQ529" s="83"/>
      <c r="AR529" s="83"/>
      <c r="AS529" s="55">
        <f>'Messages Dictionary'!I546</f>
        <v>0</v>
      </c>
    </row>
    <row r="530" spans="1:45" s="27" customFormat="1" hidden="1" x14ac:dyDescent="0.2">
      <c r="A530" s="28">
        <v>4005</v>
      </c>
      <c r="B530" s="9" t="s">
        <v>600</v>
      </c>
      <c r="C530" s="9" t="s">
        <v>601</v>
      </c>
      <c r="D530" s="9" t="s">
        <v>863</v>
      </c>
      <c r="E530" s="9" t="s">
        <v>319</v>
      </c>
      <c r="F530" s="9" t="s">
        <v>200</v>
      </c>
      <c r="G530" s="9" t="s">
        <v>809</v>
      </c>
      <c r="H530" s="9" t="s">
        <v>831</v>
      </c>
      <c r="I530" s="55">
        <f>'Messages Dictionary'!I547</f>
        <v>0</v>
      </c>
      <c r="J530" s="10">
        <f>'Messages Dictionary'!J547</f>
        <v>0.3</v>
      </c>
      <c r="K530" s="10">
        <f t="shared" si="8"/>
        <v>0</v>
      </c>
      <c r="L530" s="82"/>
      <c r="M530" s="82"/>
      <c r="N530" s="83"/>
      <c r="O530" s="83"/>
      <c r="P530" s="83"/>
      <c r="Q530" s="83"/>
      <c r="R530" s="83"/>
      <c r="S530" s="83"/>
      <c r="T530" s="83"/>
      <c r="U530" s="83"/>
      <c r="V530" s="83"/>
      <c r="W530" s="83"/>
      <c r="X530" s="83"/>
      <c r="Y530" s="83"/>
      <c r="Z530" s="83"/>
      <c r="AA530" s="83"/>
      <c r="AB530" s="83"/>
      <c r="AC530" s="83"/>
      <c r="AD530" s="83"/>
      <c r="AE530" s="83"/>
      <c r="AF530" s="83"/>
      <c r="AG530" s="83"/>
      <c r="AH530" s="83"/>
      <c r="AI530" s="83"/>
      <c r="AJ530" s="83"/>
      <c r="AK530" s="83"/>
      <c r="AL530" s="83"/>
      <c r="AM530" s="83"/>
      <c r="AN530" s="83"/>
      <c r="AO530" s="83"/>
      <c r="AP530" s="83"/>
      <c r="AQ530" s="83"/>
      <c r="AR530" s="83"/>
      <c r="AS530" s="55">
        <f>'Messages Dictionary'!I547</f>
        <v>0</v>
      </c>
    </row>
    <row r="531" spans="1:45" s="27" customFormat="1" hidden="1" x14ac:dyDescent="0.2">
      <c r="A531" s="28">
        <v>4006</v>
      </c>
      <c r="B531" s="9" t="s">
        <v>602</v>
      </c>
      <c r="C531" s="9" t="s">
        <v>602</v>
      </c>
      <c r="D531" s="9" t="s">
        <v>863</v>
      </c>
      <c r="E531" s="9" t="s">
        <v>319</v>
      </c>
      <c r="F531" s="9" t="s">
        <v>199</v>
      </c>
      <c r="G531" s="9" t="s">
        <v>809</v>
      </c>
      <c r="H531" s="9" t="s">
        <v>831</v>
      </c>
      <c r="I531" s="55">
        <f>'Messages Dictionary'!I548</f>
        <v>1</v>
      </c>
      <c r="J531" s="10">
        <f>'Messages Dictionary'!J548</f>
        <v>0</v>
      </c>
      <c r="K531" s="10">
        <f t="shared" si="8"/>
        <v>0</v>
      </c>
      <c r="L531" s="82"/>
      <c r="M531" s="82"/>
      <c r="N531" s="83"/>
      <c r="O531" s="83"/>
      <c r="P531" s="83"/>
      <c r="Q531" s="83"/>
      <c r="R531" s="83"/>
      <c r="S531" s="83"/>
      <c r="T531" s="83"/>
      <c r="U531" s="83"/>
      <c r="V531" s="83"/>
      <c r="W531" s="83"/>
      <c r="X531" s="83"/>
      <c r="Y531" s="83"/>
      <c r="Z531" s="83"/>
      <c r="AA531" s="83"/>
      <c r="AB531" s="83"/>
      <c r="AC531" s="83"/>
      <c r="AD531" s="83"/>
      <c r="AE531" s="83"/>
      <c r="AF531" s="83"/>
      <c r="AG531" s="83"/>
      <c r="AH531" s="83"/>
      <c r="AI531" s="83"/>
      <c r="AJ531" s="83"/>
      <c r="AK531" s="83"/>
      <c r="AL531" s="83"/>
      <c r="AM531" s="83"/>
      <c r="AN531" s="83"/>
      <c r="AO531" s="83"/>
      <c r="AP531" s="83"/>
      <c r="AQ531" s="83"/>
      <c r="AR531" s="83"/>
      <c r="AS531" s="55">
        <f>'Messages Dictionary'!I548</f>
        <v>1</v>
      </c>
    </row>
    <row r="532" spans="1:45" s="27" customFormat="1" ht="42.75" hidden="1" x14ac:dyDescent="0.2">
      <c r="A532" s="28">
        <v>4007</v>
      </c>
      <c r="B532" s="9" t="s">
        <v>603</v>
      </c>
      <c r="C532" s="9" t="s">
        <v>604</v>
      </c>
      <c r="D532" s="9" t="s">
        <v>821</v>
      </c>
      <c r="E532" s="9" t="s">
        <v>27</v>
      </c>
      <c r="F532" s="9" t="s">
        <v>199</v>
      </c>
      <c r="G532" s="9" t="s">
        <v>809</v>
      </c>
      <c r="H532" s="9" t="s">
        <v>831</v>
      </c>
      <c r="I532" s="55">
        <f>'Messages Dictionary'!I549</f>
        <v>0</v>
      </c>
      <c r="J532" s="10">
        <f>'Messages Dictionary'!J549</f>
        <v>0</v>
      </c>
      <c r="K532" s="10">
        <f t="shared" si="8"/>
        <v>0</v>
      </c>
      <c r="L532" s="82"/>
      <c r="M532" s="82"/>
      <c r="N532" s="83"/>
      <c r="O532" s="83"/>
      <c r="P532" s="83"/>
      <c r="Q532" s="83"/>
      <c r="R532" s="83"/>
      <c r="S532" s="83"/>
      <c r="T532" s="83"/>
      <c r="U532" s="83"/>
      <c r="V532" s="83"/>
      <c r="W532" s="83"/>
      <c r="X532" s="83"/>
      <c r="Y532" s="83"/>
      <c r="Z532" s="83"/>
      <c r="AA532" s="83"/>
      <c r="AB532" s="83"/>
      <c r="AC532" s="83"/>
      <c r="AD532" s="83"/>
      <c r="AE532" s="83"/>
      <c r="AF532" s="83"/>
      <c r="AG532" s="83"/>
      <c r="AH532" s="83"/>
      <c r="AI532" s="83"/>
      <c r="AJ532" s="83"/>
      <c r="AK532" s="83"/>
      <c r="AL532" s="83"/>
      <c r="AM532" s="83"/>
      <c r="AN532" s="83"/>
      <c r="AO532" s="83"/>
      <c r="AP532" s="83"/>
      <c r="AQ532" s="83"/>
      <c r="AR532" s="83"/>
      <c r="AS532" s="55">
        <f>'Messages Dictionary'!I549</f>
        <v>0</v>
      </c>
    </row>
    <row r="533" spans="1:45" s="27" customFormat="1" ht="28.5" hidden="1" x14ac:dyDescent="0.2">
      <c r="A533" s="28">
        <v>4015</v>
      </c>
      <c r="B533" s="9" t="s">
        <v>605</v>
      </c>
      <c r="C533" s="9" t="s">
        <v>606</v>
      </c>
      <c r="D533" s="9" t="s">
        <v>863</v>
      </c>
      <c r="E533" s="9" t="s">
        <v>319</v>
      </c>
      <c r="F533" s="9" t="s">
        <v>199</v>
      </c>
      <c r="G533" s="9" t="s">
        <v>412</v>
      </c>
      <c r="H533" s="9" t="s">
        <v>831</v>
      </c>
      <c r="I533" s="55">
        <f>'Messages Dictionary'!I550</f>
        <v>0</v>
      </c>
      <c r="J533" s="10">
        <f>'Messages Dictionary'!J550</f>
        <v>0.5</v>
      </c>
      <c r="K533" s="10">
        <f t="shared" si="8"/>
        <v>0</v>
      </c>
      <c r="L533" s="82"/>
      <c r="M533" s="82"/>
      <c r="N533" s="83"/>
      <c r="O533" s="83"/>
      <c r="P533" s="83"/>
      <c r="Q533" s="83"/>
      <c r="R533" s="83"/>
      <c r="S533" s="83"/>
      <c r="T533" s="83"/>
      <c r="U533" s="83"/>
      <c r="V533" s="83"/>
      <c r="W533" s="83"/>
      <c r="X533" s="83"/>
      <c r="Y533" s="83"/>
      <c r="Z533" s="83"/>
      <c r="AA533" s="83"/>
      <c r="AB533" s="83"/>
      <c r="AC533" s="83"/>
      <c r="AD533" s="83"/>
      <c r="AE533" s="83"/>
      <c r="AF533" s="83"/>
      <c r="AG533" s="83"/>
      <c r="AH533" s="83"/>
      <c r="AI533" s="83"/>
      <c r="AJ533" s="83"/>
      <c r="AK533" s="83"/>
      <c r="AL533" s="83"/>
      <c r="AM533" s="83"/>
      <c r="AN533" s="83"/>
      <c r="AO533" s="83"/>
      <c r="AP533" s="83"/>
      <c r="AQ533" s="83"/>
      <c r="AR533" s="83"/>
      <c r="AS533" s="55">
        <f>'Messages Dictionary'!I550</f>
        <v>0</v>
      </c>
    </row>
    <row r="534" spans="1:45" s="27" customFormat="1" ht="28.5" hidden="1" x14ac:dyDescent="0.2">
      <c r="A534" s="28">
        <v>4020</v>
      </c>
      <c r="B534" s="9" t="s">
        <v>607</v>
      </c>
      <c r="C534" s="9" t="s">
        <v>608</v>
      </c>
      <c r="D534" s="9" t="s">
        <v>863</v>
      </c>
      <c r="E534" s="9" t="s">
        <v>319</v>
      </c>
      <c r="F534" s="9" t="s">
        <v>199</v>
      </c>
      <c r="G534" s="9" t="s">
        <v>412</v>
      </c>
      <c r="H534" s="9" t="s">
        <v>831</v>
      </c>
      <c r="I534" s="55">
        <f>'Messages Dictionary'!I551</f>
        <v>0</v>
      </c>
      <c r="J534" s="10">
        <f>'Messages Dictionary'!J551</f>
        <v>1</v>
      </c>
      <c r="K534" s="10">
        <f t="shared" si="8"/>
        <v>0</v>
      </c>
      <c r="L534" s="82"/>
      <c r="M534" s="82"/>
      <c r="N534" s="83"/>
      <c r="O534" s="83"/>
      <c r="P534" s="83"/>
      <c r="Q534" s="83"/>
      <c r="R534" s="83"/>
      <c r="S534" s="83"/>
      <c r="T534" s="83"/>
      <c r="U534" s="83"/>
      <c r="V534" s="83"/>
      <c r="W534" s="83"/>
      <c r="X534" s="83"/>
      <c r="Y534" s="83"/>
      <c r="Z534" s="83"/>
      <c r="AA534" s="83"/>
      <c r="AB534" s="83"/>
      <c r="AC534" s="83"/>
      <c r="AD534" s="83"/>
      <c r="AE534" s="83"/>
      <c r="AF534" s="83"/>
      <c r="AG534" s="83"/>
      <c r="AH534" s="83"/>
      <c r="AI534" s="83"/>
      <c r="AJ534" s="83"/>
      <c r="AK534" s="83"/>
      <c r="AL534" s="83"/>
      <c r="AM534" s="83"/>
      <c r="AN534" s="83"/>
      <c r="AO534" s="83"/>
      <c r="AP534" s="83"/>
      <c r="AQ534" s="83"/>
      <c r="AR534" s="83"/>
      <c r="AS534" s="55">
        <f>'Messages Dictionary'!I551</f>
        <v>0</v>
      </c>
    </row>
    <row r="535" spans="1:45" s="27" customFormat="1" ht="28.5" hidden="1" x14ac:dyDescent="0.2">
      <c r="A535" s="28">
        <v>4025</v>
      </c>
      <c r="B535" s="9" t="s">
        <v>609</v>
      </c>
      <c r="C535" s="9" t="s">
        <v>610</v>
      </c>
      <c r="D535" s="9" t="s">
        <v>4</v>
      </c>
      <c r="E535" s="9" t="s">
        <v>5</v>
      </c>
      <c r="F535" s="9" t="s">
        <v>200</v>
      </c>
      <c r="G535" s="9" t="s">
        <v>809</v>
      </c>
      <c r="H535" s="9" t="s">
        <v>831</v>
      </c>
      <c r="I535" s="55">
        <f>'Messages Dictionary'!I552</f>
        <v>3</v>
      </c>
      <c r="J535" s="10">
        <f>'Messages Dictionary'!J552</f>
        <v>0</v>
      </c>
      <c r="K535" s="10">
        <f t="shared" si="8"/>
        <v>0</v>
      </c>
      <c r="L535" s="82"/>
      <c r="M535" s="82"/>
      <c r="N535" s="83"/>
      <c r="O535" s="83"/>
      <c r="P535" s="83"/>
      <c r="Q535" s="83"/>
      <c r="R535" s="83"/>
      <c r="S535" s="83"/>
      <c r="T535" s="83"/>
      <c r="U535" s="83"/>
      <c r="V535" s="83"/>
      <c r="W535" s="83"/>
      <c r="X535" s="83"/>
      <c r="Y535" s="83"/>
      <c r="Z535" s="83"/>
      <c r="AA535" s="83"/>
      <c r="AB535" s="83"/>
      <c r="AC535" s="83"/>
      <c r="AD535" s="83"/>
      <c r="AE535" s="83"/>
      <c r="AF535" s="83"/>
      <c r="AG535" s="83"/>
      <c r="AH535" s="83"/>
      <c r="AI535" s="83"/>
      <c r="AJ535" s="83"/>
      <c r="AK535" s="83"/>
      <c r="AL535" s="83"/>
      <c r="AM535" s="83"/>
      <c r="AN535" s="83"/>
      <c r="AO535" s="83"/>
      <c r="AP535" s="83"/>
      <c r="AQ535" s="83"/>
      <c r="AR535" s="83"/>
      <c r="AS535" s="55">
        <f>'Messages Dictionary'!I552</f>
        <v>3</v>
      </c>
    </row>
    <row r="536" spans="1:45" s="27" customFormat="1" hidden="1" x14ac:dyDescent="0.2">
      <c r="A536" s="28">
        <v>4030</v>
      </c>
      <c r="B536" s="9" t="s">
        <v>611</v>
      </c>
      <c r="C536" s="9" t="s">
        <v>612</v>
      </c>
      <c r="D536" s="9" t="s">
        <v>4</v>
      </c>
      <c r="E536" s="9" t="s">
        <v>14</v>
      </c>
      <c r="F536" s="9" t="s">
        <v>200</v>
      </c>
      <c r="G536" s="9" t="s">
        <v>809</v>
      </c>
      <c r="H536" s="9" t="s">
        <v>831</v>
      </c>
      <c r="I536" s="55">
        <f>'Messages Dictionary'!I553</f>
        <v>8</v>
      </c>
      <c r="J536" s="10">
        <f>'Messages Dictionary'!J553</f>
        <v>0</v>
      </c>
      <c r="K536" s="10">
        <f t="shared" si="8"/>
        <v>0</v>
      </c>
      <c r="L536" s="82"/>
      <c r="M536" s="82"/>
      <c r="N536" s="83"/>
      <c r="O536" s="83"/>
      <c r="P536" s="83"/>
      <c r="Q536" s="83"/>
      <c r="R536" s="83"/>
      <c r="S536" s="83"/>
      <c r="T536" s="83"/>
      <c r="U536" s="83"/>
      <c r="V536" s="83"/>
      <c r="W536" s="83"/>
      <c r="X536" s="83"/>
      <c r="Y536" s="83"/>
      <c r="Z536" s="83"/>
      <c r="AA536" s="83"/>
      <c r="AB536" s="83"/>
      <c r="AC536" s="83"/>
      <c r="AD536" s="83"/>
      <c r="AE536" s="83"/>
      <c r="AF536" s="83"/>
      <c r="AG536" s="83"/>
      <c r="AH536" s="83"/>
      <c r="AI536" s="83"/>
      <c r="AJ536" s="83"/>
      <c r="AK536" s="83"/>
      <c r="AL536" s="83"/>
      <c r="AM536" s="83"/>
      <c r="AN536" s="83"/>
      <c r="AO536" s="83"/>
      <c r="AP536" s="83"/>
      <c r="AQ536" s="83"/>
      <c r="AR536" s="83"/>
      <c r="AS536" s="55">
        <f>'Messages Dictionary'!I553</f>
        <v>8</v>
      </c>
    </row>
    <row r="537" spans="1:45" s="27" customFormat="1" ht="28.5" hidden="1" x14ac:dyDescent="0.2">
      <c r="A537" s="28">
        <v>4035</v>
      </c>
      <c r="B537" s="9" t="s">
        <v>613</v>
      </c>
      <c r="C537" s="9" t="s">
        <v>614</v>
      </c>
      <c r="D537" s="9" t="s">
        <v>860</v>
      </c>
      <c r="E537" s="9" t="s">
        <v>40</v>
      </c>
      <c r="F537" s="9" t="s">
        <v>200</v>
      </c>
      <c r="G537" s="9" t="s">
        <v>809</v>
      </c>
      <c r="H537" s="9" t="s">
        <v>831</v>
      </c>
      <c r="I537" s="55">
        <f>'Messages Dictionary'!I554</f>
        <v>7</v>
      </c>
      <c r="J537" s="10">
        <f>'Messages Dictionary'!J554</f>
        <v>0</v>
      </c>
      <c r="K537" s="10">
        <f t="shared" si="8"/>
        <v>0</v>
      </c>
      <c r="L537" s="82"/>
      <c r="M537" s="82"/>
      <c r="N537" s="83"/>
      <c r="O537" s="83"/>
      <c r="P537" s="83"/>
      <c r="Q537" s="83"/>
      <c r="R537" s="83"/>
      <c r="S537" s="83"/>
      <c r="T537" s="83"/>
      <c r="U537" s="83"/>
      <c r="V537" s="83"/>
      <c r="W537" s="83"/>
      <c r="X537" s="83"/>
      <c r="Y537" s="83"/>
      <c r="Z537" s="83"/>
      <c r="AA537" s="83"/>
      <c r="AB537" s="83"/>
      <c r="AC537" s="83"/>
      <c r="AD537" s="83"/>
      <c r="AE537" s="83"/>
      <c r="AF537" s="83"/>
      <c r="AG537" s="83"/>
      <c r="AH537" s="83"/>
      <c r="AI537" s="83"/>
      <c r="AJ537" s="83"/>
      <c r="AK537" s="83"/>
      <c r="AL537" s="83"/>
      <c r="AM537" s="83"/>
      <c r="AN537" s="83"/>
      <c r="AO537" s="83"/>
      <c r="AP537" s="83"/>
      <c r="AQ537" s="83"/>
      <c r="AR537" s="83"/>
      <c r="AS537" s="55">
        <f>'Messages Dictionary'!I554</f>
        <v>7</v>
      </c>
    </row>
    <row r="538" spans="1:45" s="27" customFormat="1" ht="28.5" hidden="1" x14ac:dyDescent="0.2">
      <c r="A538" s="28">
        <v>4040</v>
      </c>
      <c r="B538" s="9" t="s">
        <v>615</v>
      </c>
      <c r="C538" s="9" t="s">
        <v>616</v>
      </c>
      <c r="D538" s="9" t="s">
        <v>860</v>
      </c>
      <c r="E538" s="9" t="s">
        <v>30</v>
      </c>
      <c r="F538" s="9" t="s">
        <v>200</v>
      </c>
      <c r="G538" s="9" t="s">
        <v>809</v>
      </c>
      <c r="H538" s="9" t="s">
        <v>831</v>
      </c>
      <c r="I538" s="55">
        <f>'Messages Dictionary'!I555</f>
        <v>4</v>
      </c>
      <c r="J538" s="10">
        <f>'Messages Dictionary'!J555</f>
        <v>0</v>
      </c>
      <c r="K538" s="10">
        <f t="shared" si="8"/>
        <v>0</v>
      </c>
      <c r="L538" s="82"/>
      <c r="M538" s="82"/>
      <c r="N538" s="83"/>
      <c r="O538" s="83"/>
      <c r="P538" s="83"/>
      <c r="Q538" s="83"/>
      <c r="R538" s="83"/>
      <c r="S538" s="83"/>
      <c r="T538" s="83"/>
      <c r="U538" s="83"/>
      <c r="V538" s="83"/>
      <c r="W538" s="83"/>
      <c r="X538" s="83"/>
      <c r="Y538" s="83"/>
      <c r="Z538" s="83"/>
      <c r="AA538" s="83"/>
      <c r="AB538" s="83"/>
      <c r="AC538" s="83"/>
      <c r="AD538" s="83"/>
      <c r="AE538" s="83"/>
      <c r="AF538" s="83"/>
      <c r="AG538" s="83"/>
      <c r="AH538" s="83"/>
      <c r="AI538" s="83"/>
      <c r="AJ538" s="83"/>
      <c r="AK538" s="83"/>
      <c r="AL538" s="83"/>
      <c r="AM538" s="83"/>
      <c r="AN538" s="83"/>
      <c r="AO538" s="83"/>
      <c r="AP538" s="83"/>
      <c r="AQ538" s="83"/>
      <c r="AR538" s="83"/>
      <c r="AS538" s="55">
        <f>'Messages Dictionary'!I555</f>
        <v>4</v>
      </c>
    </row>
    <row r="539" spans="1:45" s="27" customFormat="1" ht="28.5" hidden="1" x14ac:dyDescent="0.2">
      <c r="A539" s="28">
        <v>4050</v>
      </c>
      <c r="B539" s="9" t="s">
        <v>617</v>
      </c>
      <c r="C539" s="9" t="s">
        <v>618</v>
      </c>
      <c r="D539" s="9" t="s">
        <v>4</v>
      </c>
      <c r="E539" s="9" t="s">
        <v>18</v>
      </c>
      <c r="F539" s="9" t="s">
        <v>200</v>
      </c>
      <c r="G539" s="9" t="s">
        <v>809</v>
      </c>
      <c r="H539" s="9" t="s">
        <v>831</v>
      </c>
      <c r="I539" s="55">
        <f>'Messages Dictionary'!I556</f>
        <v>23</v>
      </c>
      <c r="J539" s="10">
        <f>'Messages Dictionary'!J556</f>
        <v>0</v>
      </c>
      <c r="K539" s="10">
        <f t="shared" si="8"/>
        <v>0</v>
      </c>
      <c r="L539" s="82"/>
      <c r="M539" s="82"/>
      <c r="N539" s="83"/>
      <c r="O539" s="83"/>
      <c r="P539" s="83"/>
      <c r="Q539" s="83"/>
      <c r="R539" s="83"/>
      <c r="S539" s="83"/>
      <c r="T539" s="83"/>
      <c r="U539" s="83"/>
      <c r="V539" s="83"/>
      <c r="W539" s="83"/>
      <c r="X539" s="83"/>
      <c r="Y539" s="83"/>
      <c r="Z539" s="83"/>
      <c r="AA539" s="83"/>
      <c r="AB539" s="83"/>
      <c r="AC539" s="83"/>
      <c r="AD539" s="83"/>
      <c r="AE539" s="83"/>
      <c r="AF539" s="83"/>
      <c r="AG539" s="83"/>
      <c r="AH539" s="83"/>
      <c r="AI539" s="83"/>
      <c r="AJ539" s="83"/>
      <c r="AK539" s="83"/>
      <c r="AL539" s="83"/>
      <c r="AM539" s="83"/>
      <c r="AN539" s="83"/>
      <c r="AO539" s="83"/>
      <c r="AP539" s="83"/>
      <c r="AQ539" s="83"/>
      <c r="AR539" s="83"/>
      <c r="AS539" s="55">
        <f>'Messages Dictionary'!I556</f>
        <v>23</v>
      </c>
    </row>
    <row r="540" spans="1:45" s="27" customFormat="1" ht="28.5" hidden="1" x14ac:dyDescent="0.2">
      <c r="A540" s="28">
        <v>4051</v>
      </c>
      <c r="B540" s="9" t="s">
        <v>381</v>
      </c>
      <c r="C540" s="9" t="s">
        <v>381</v>
      </c>
      <c r="D540" s="9" t="s">
        <v>828</v>
      </c>
      <c r="E540" s="9" t="s">
        <v>829</v>
      </c>
      <c r="F540" s="9" t="s">
        <v>199</v>
      </c>
      <c r="G540" s="9" t="s">
        <v>809</v>
      </c>
      <c r="H540" s="9" t="s">
        <v>831</v>
      </c>
      <c r="I540" s="55">
        <f>'Messages Dictionary'!I557</f>
        <v>0</v>
      </c>
      <c r="J540" s="10">
        <f>'Messages Dictionary'!J557</f>
        <v>0</v>
      </c>
      <c r="K540" s="10">
        <f t="shared" si="8"/>
        <v>0</v>
      </c>
      <c r="L540" s="82"/>
      <c r="M540" s="82"/>
      <c r="N540" s="83"/>
      <c r="O540" s="83"/>
      <c r="P540" s="83"/>
      <c r="Q540" s="83"/>
      <c r="R540" s="83"/>
      <c r="S540" s="83"/>
      <c r="T540" s="83"/>
      <c r="U540" s="83"/>
      <c r="V540" s="83"/>
      <c r="W540" s="83"/>
      <c r="X540" s="83"/>
      <c r="Y540" s="83"/>
      <c r="Z540" s="83"/>
      <c r="AA540" s="83"/>
      <c r="AB540" s="83"/>
      <c r="AC540" s="83"/>
      <c r="AD540" s="83"/>
      <c r="AE540" s="83"/>
      <c r="AF540" s="83"/>
      <c r="AG540" s="83"/>
      <c r="AH540" s="83"/>
      <c r="AI540" s="83"/>
      <c r="AJ540" s="83"/>
      <c r="AK540" s="83"/>
      <c r="AL540" s="83"/>
      <c r="AM540" s="83"/>
      <c r="AN540" s="83"/>
      <c r="AO540" s="83"/>
      <c r="AP540" s="83"/>
      <c r="AQ540" s="83"/>
      <c r="AR540" s="83"/>
      <c r="AS540" s="55">
        <f>'Messages Dictionary'!I557</f>
        <v>0</v>
      </c>
    </row>
    <row r="541" spans="1:45" s="27" customFormat="1" ht="42.75" hidden="1" x14ac:dyDescent="0.2">
      <c r="A541" s="28">
        <v>4052</v>
      </c>
      <c r="B541" s="9" t="s">
        <v>382</v>
      </c>
      <c r="C541" s="9" t="s">
        <v>382</v>
      </c>
      <c r="D541" s="9" t="s">
        <v>828</v>
      </c>
      <c r="E541" s="9" t="s">
        <v>829</v>
      </c>
      <c r="F541" s="9" t="s">
        <v>199</v>
      </c>
      <c r="G541" s="9" t="s">
        <v>809</v>
      </c>
      <c r="H541" s="9" t="s">
        <v>831</v>
      </c>
      <c r="I541" s="55">
        <f>'Messages Dictionary'!I558</f>
        <v>0</v>
      </c>
      <c r="J541" s="10">
        <f>'Messages Dictionary'!J558</f>
        <v>0</v>
      </c>
      <c r="K541" s="10">
        <f t="shared" si="8"/>
        <v>0</v>
      </c>
      <c r="L541" s="82"/>
      <c r="M541" s="82"/>
      <c r="N541" s="83"/>
      <c r="O541" s="83"/>
      <c r="P541" s="83"/>
      <c r="Q541" s="83"/>
      <c r="R541" s="83"/>
      <c r="S541" s="83"/>
      <c r="T541" s="83"/>
      <c r="U541" s="83"/>
      <c r="V541" s="83"/>
      <c r="W541" s="83"/>
      <c r="X541" s="83"/>
      <c r="Y541" s="83"/>
      <c r="Z541" s="83"/>
      <c r="AA541" s="83"/>
      <c r="AB541" s="83"/>
      <c r="AC541" s="83"/>
      <c r="AD541" s="83"/>
      <c r="AE541" s="83"/>
      <c r="AF541" s="83"/>
      <c r="AG541" s="83"/>
      <c r="AH541" s="83"/>
      <c r="AI541" s="83"/>
      <c r="AJ541" s="83"/>
      <c r="AK541" s="83"/>
      <c r="AL541" s="83"/>
      <c r="AM541" s="83"/>
      <c r="AN541" s="83"/>
      <c r="AO541" s="83"/>
      <c r="AP541" s="83"/>
      <c r="AQ541" s="83"/>
      <c r="AR541" s="83"/>
      <c r="AS541" s="55">
        <f>'Messages Dictionary'!I558</f>
        <v>0</v>
      </c>
    </row>
    <row r="542" spans="1:45" s="27" customFormat="1" ht="42.75" hidden="1" x14ac:dyDescent="0.2">
      <c r="A542" s="28">
        <v>4053</v>
      </c>
      <c r="B542" s="9" t="s">
        <v>383</v>
      </c>
      <c r="C542" s="9" t="s">
        <v>384</v>
      </c>
      <c r="D542" s="9" t="s">
        <v>821</v>
      </c>
      <c r="E542" s="9" t="s">
        <v>876</v>
      </c>
      <c r="F542" s="9" t="s">
        <v>199</v>
      </c>
      <c r="G542" s="9" t="s">
        <v>809</v>
      </c>
      <c r="H542" s="9" t="s">
        <v>831</v>
      </c>
      <c r="I542" s="55">
        <f>'Messages Dictionary'!I559</f>
        <v>0</v>
      </c>
      <c r="J542" s="10">
        <f>'Messages Dictionary'!J559</f>
        <v>0</v>
      </c>
      <c r="K542" s="10">
        <f t="shared" si="8"/>
        <v>0</v>
      </c>
      <c r="L542" s="82"/>
      <c r="M542" s="82"/>
      <c r="N542" s="83"/>
      <c r="O542" s="83"/>
      <c r="P542" s="83"/>
      <c r="Q542" s="83"/>
      <c r="R542" s="83"/>
      <c r="S542" s="83"/>
      <c r="T542" s="83"/>
      <c r="U542" s="83"/>
      <c r="V542" s="83"/>
      <c r="W542" s="83"/>
      <c r="X542" s="83"/>
      <c r="Y542" s="83"/>
      <c r="Z542" s="83"/>
      <c r="AA542" s="83"/>
      <c r="AB542" s="83"/>
      <c r="AC542" s="83"/>
      <c r="AD542" s="83"/>
      <c r="AE542" s="83"/>
      <c r="AF542" s="83"/>
      <c r="AG542" s="83"/>
      <c r="AH542" s="83"/>
      <c r="AI542" s="83"/>
      <c r="AJ542" s="83"/>
      <c r="AK542" s="83"/>
      <c r="AL542" s="83"/>
      <c r="AM542" s="83"/>
      <c r="AN542" s="83"/>
      <c r="AO542" s="83"/>
      <c r="AP542" s="83"/>
      <c r="AQ542" s="83"/>
      <c r="AR542" s="83"/>
      <c r="AS542" s="55">
        <f>'Messages Dictionary'!I559</f>
        <v>0</v>
      </c>
    </row>
    <row r="543" spans="1:45" s="27" customFormat="1" ht="42.75" hidden="1" x14ac:dyDescent="0.2">
      <c r="A543" s="28">
        <v>4054</v>
      </c>
      <c r="B543" s="9" t="s">
        <v>619</v>
      </c>
      <c r="C543" s="9" t="s">
        <v>619</v>
      </c>
      <c r="D543" s="9" t="s">
        <v>821</v>
      </c>
      <c r="E543" s="9" t="s">
        <v>27</v>
      </c>
      <c r="F543" s="9" t="s">
        <v>199</v>
      </c>
      <c r="G543" s="9" t="s">
        <v>412</v>
      </c>
      <c r="H543" s="9" t="s">
        <v>831</v>
      </c>
      <c r="I543" s="55">
        <f>'Messages Dictionary'!I560</f>
        <v>0</v>
      </c>
      <c r="J543" s="10">
        <f>'Messages Dictionary'!J560</f>
        <v>0.5</v>
      </c>
      <c r="K543" s="10">
        <f t="shared" si="8"/>
        <v>0</v>
      </c>
      <c r="L543" s="82"/>
      <c r="M543" s="82"/>
      <c r="N543" s="83"/>
      <c r="O543" s="83"/>
      <c r="P543" s="83"/>
      <c r="Q543" s="83"/>
      <c r="R543" s="83"/>
      <c r="S543" s="83"/>
      <c r="T543" s="83"/>
      <c r="U543" s="83"/>
      <c r="V543" s="83"/>
      <c r="W543" s="83"/>
      <c r="X543" s="83"/>
      <c r="Y543" s="83"/>
      <c r="Z543" s="83"/>
      <c r="AA543" s="83"/>
      <c r="AB543" s="83"/>
      <c r="AC543" s="83"/>
      <c r="AD543" s="83"/>
      <c r="AE543" s="83"/>
      <c r="AF543" s="83"/>
      <c r="AG543" s="83"/>
      <c r="AH543" s="83"/>
      <c r="AI543" s="83"/>
      <c r="AJ543" s="83"/>
      <c r="AK543" s="83"/>
      <c r="AL543" s="83"/>
      <c r="AM543" s="83"/>
      <c r="AN543" s="83"/>
      <c r="AO543" s="83"/>
      <c r="AP543" s="83"/>
      <c r="AQ543" s="83"/>
      <c r="AR543" s="83"/>
      <c r="AS543" s="55">
        <f>'Messages Dictionary'!I560</f>
        <v>0</v>
      </c>
    </row>
    <row r="544" spans="1:45" s="27" customFormat="1" ht="42.75" hidden="1" x14ac:dyDescent="0.2">
      <c r="A544" s="28">
        <v>4055</v>
      </c>
      <c r="B544" s="9" t="s">
        <v>620</v>
      </c>
      <c r="C544" s="9" t="s">
        <v>620</v>
      </c>
      <c r="D544" s="9" t="s">
        <v>821</v>
      </c>
      <c r="E544" s="9" t="s">
        <v>27</v>
      </c>
      <c r="F544" s="9" t="s">
        <v>199</v>
      </c>
      <c r="G544" s="9" t="s">
        <v>412</v>
      </c>
      <c r="H544" s="9" t="s">
        <v>831</v>
      </c>
      <c r="I544" s="55">
        <f>'Messages Dictionary'!I561</f>
        <v>0</v>
      </c>
      <c r="J544" s="10">
        <f>'Messages Dictionary'!J561</f>
        <v>0.5</v>
      </c>
      <c r="K544" s="10">
        <f t="shared" si="8"/>
        <v>0</v>
      </c>
      <c r="L544" s="82"/>
      <c r="M544" s="82"/>
      <c r="N544" s="83"/>
      <c r="O544" s="83"/>
      <c r="P544" s="83"/>
      <c r="Q544" s="83"/>
      <c r="R544" s="83"/>
      <c r="S544" s="83"/>
      <c r="T544" s="83"/>
      <c r="U544" s="83"/>
      <c r="V544" s="83"/>
      <c r="W544" s="83"/>
      <c r="X544" s="83"/>
      <c r="Y544" s="83"/>
      <c r="Z544" s="83"/>
      <c r="AA544" s="83"/>
      <c r="AB544" s="83"/>
      <c r="AC544" s="83"/>
      <c r="AD544" s="83"/>
      <c r="AE544" s="83"/>
      <c r="AF544" s="83"/>
      <c r="AG544" s="83"/>
      <c r="AH544" s="83"/>
      <c r="AI544" s="83"/>
      <c r="AJ544" s="83"/>
      <c r="AK544" s="83"/>
      <c r="AL544" s="83"/>
      <c r="AM544" s="83"/>
      <c r="AN544" s="83"/>
      <c r="AO544" s="83"/>
      <c r="AP544" s="83"/>
      <c r="AQ544" s="83"/>
      <c r="AR544" s="83"/>
      <c r="AS544" s="55">
        <f>'Messages Dictionary'!I561</f>
        <v>0</v>
      </c>
    </row>
    <row r="545" spans="1:45" s="27" customFormat="1" hidden="1" x14ac:dyDescent="0.2">
      <c r="A545" s="28">
        <v>4056</v>
      </c>
      <c r="B545" s="9" t="s">
        <v>385</v>
      </c>
      <c r="C545" s="9" t="s">
        <v>386</v>
      </c>
      <c r="D545" s="9" t="s">
        <v>4</v>
      </c>
      <c r="E545" s="9" t="s">
        <v>18</v>
      </c>
      <c r="F545" s="9" t="s">
        <v>199</v>
      </c>
      <c r="G545" s="9" t="s">
        <v>809</v>
      </c>
      <c r="H545" s="9" t="s">
        <v>831</v>
      </c>
      <c r="I545" s="55">
        <f>'Messages Dictionary'!I562</f>
        <v>3</v>
      </c>
      <c r="J545" s="10">
        <f>'Messages Dictionary'!J562</f>
        <v>0</v>
      </c>
      <c r="K545" s="10">
        <f t="shared" si="8"/>
        <v>0</v>
      </c>
      <c r="L545" s="82"/>
      <c r="M545" s="82"/>
      <c r="N545" s="83"/>
      <c r="O545" s="83"/>
      <c r="P545" s="83"/>
      <c r="Q545" s="83"/>
      <c r="R545" s="83"/>
      <c r="S545" s="83"/>
      <c r="T545" s="83"/>
      <c r="U545" s="83"/>
      <c r="V545" s="83"/>
      <c r="W545" s="83"/>
      <c r="X545" s="83"/>
      <c r="Y545" s="83"/>
      <c r="Z545" s="83"/>
      <c r="AA545" s="83"/>
      <c r="AB545" s="83"/>
      <c r="AC545" s="83"/>
      <c r="AD545" s="83"/>
      <c r="AE545" s="83"/>
      <c r="AF545" s="83"/>
      <c r="AG545" s="83"/>
      <c r="AH545" s="83"/>
      <c r="AI545" s="83"/>
      <c r="AJ545" s="83"/>
      <c r="AK545" s="83"/>
      <c r="AL545" s="83"/>
      <c r="AM545" s="83"/>
      <c r="AN545" s="83"/>
      <c r="AO545" s="83"/>
      <c r="AP545" s="83"/>
      <c r="AQ545" s="83"/>
      <c r="AR545" s="83"/>
      <c r="AS545" s="55">
        <f>'Messages Dictionary'!I562</f>
        <v>3</v>
      </c>
    </row>
    <row r="546" spans="1:45" s="27" customFormat="1" ht="42.75" hidden="1" x14ac:dyDescent="0.2">
      <c r="A546" s="28">
        <v>4057</v>
      </c>
      <c r="B546" s="9" t="s">
        <v>387</v>
      </c>
      <c r="C546" s="9" t="s">
        <v>388</v>
      </c>
      <c r="D546" s="9" t="s">
        <v>404</v>
      </c>
      <c r="E546" s="9" t="s">
        <v>404</v>
      </c>
      <c r="F546" s="9" t="s">
        <v>199</v>
      </c>
      <c r="G546" s="9" t="s">
        <v>412</v>
      </c>
      <c r="H546" s="9" t="s">
        <v>831</v>
      </c>
      <c r="I546" s="55">
        <f>'Messages Dictionary'!I563</f>
        <v>0</v>
      </c>
      <c r="J546" s="10">
        <f>'Messages Dictionary'!J563</f>
        <v>0.5</v>
      </c>
      <c r="K546" s="10">
        <f t="shared" si="8"/>
        <v>0</v>
      </c>
      <c r="L546" s="82"/>
      <c r="M546" s="82"/>
      <c r="N546" s="83"/>
      <c r="O546" s="83"/>
      <c r="P546" s="83"/>
      <c r="Q546" s="83"/>
      <c r="R546" s="83"/>
      <c r="S546" s="83"/>
      <c r="T546" s="83"/>
      <c r="U546" s="83"/>
      <c r="V546" s="83"/>
      <c r="W546" s="83"/>
      <c r="X546" s="83"/>
      <c r="Y546" s="83"/>
      <c r="Z546" s="83"/>
      <c r="AA546" s="83"/>
      <c r="AB546" s="83"/>
      <c r="AC546" s="83"/>
      <c r="AD546" s="83"/>
      <c r="AE546" s="83"/>
      <c r="AF546" s="83"/>
      <c r="AG546" s="83"/>
      <c r="AH546" s="83"/>
      <c r="AI546" s="83"/>
      <c r="AJ546" s="83"/>
      <c r="AK546" s="83"/>
      <c r="AL546" s="83"/>
      <c r="AM546" s="83"/>
      <c r="AN546" s="83"/>
      <c r="AO546" s="83"/>
      <c r="AP546" s="83"/>
      <c r="AQ546" s="83"/>
      <c r="AR546" s="83"/>
      <c r="AS546" s="55">
        <f>'Messages Dictionary'!I563</f>
        <v>0</v>
      </c>
    </row>
    <row r="547" spans="1:45" s="27" customFormat="1" ht="28.5" hidden="1" x14ac:dyDescent="0.2">
      <c r="A547" s="28">
        <v>4058</v>
      </c>
      <c r="B547" s="9" t="s">
        <v>389</v>
      </c>
      <c r="C547" s="9" t="s">
        <v>390</v>
      </c>
      <c r="D547" s="9" t="s">
        <v>404</v>
      </c>
      <c r="E547" s="9" t="s">
        <v>404</v>
      </c>
      <c r="F547" s="9" t="s">
        <v>199</v>
      </c>
      <c r="G547" s="9" t="s">
        <v>412</v>
      </c>
      <c r="H547" s="9" t="s">
        <v>831</v>
      </c>
      <c r="I547" s="55">
        <f>'Messages Dictionary'!I564</f>
        <v>0</v>
      </c>
      <c r="J547" s="10">
        <f>'Messages Dictionary'!J564</f>
        <v>0.5</v>
      </c>
      <c r="K547" s="10">
        <f t="shared" si="8"/>
        <v>0</v>
      </c>
      <c r="L547" s="82"/>
      <c r="M547" s="82"/>
      <c r="N547" s="83"/>
      <c r="O547" s="83"/>
      <c r="P547" s="83"/>
      <c r="Q547" s="83"/>
      <c r="R547" s="83"/>
      <c r="S547" s="83"/>
      <c r="T547" s="83"/>
      <c r="U547" s="83"/>
      <c r="V547" s="83"/>
      <c r="W547" s="83"/>
      <c r="X547" s="83"/>
      <c r="Y547" s="83"/>
      <c r="Z547" s="83"/>
      <c r="AA547" s="83"/>
      <c r="AB547" s="83"/>
      <c r="AC547" s="83"/>
      <c r="AD547" s="83"/>
      <c r="AE547" s="83"/>
      <c r="AF547" s="83"/>
      <c r="AG547" s="83"/>
      <c r="AH547" s="83"/>
      <c r="AI547" s="83"/>
      <c r="AJ547" s="83"/>
      <c r="AK547" s="83"/>
      <c r="AL547" s="83"/>
      <c r="AM547" s="83"/>
      <c r="AN547" s="83"/>
      <c r="AO547" s="83"/>
      <c r="AP547" s="83"/>
      <c r="AQ547" s="83"/>
      <c r="AR547" s="83"/>
      <c r="AS547" s="55">
        <f>'Messages Dictionary'!I564</f>
        <v>0</v>
      </c>
    </row>
    <row r="548" spans="1:45" s="27" customFormat="1" ht="28.5" hidden="1" x14ac:dyDescent="0.2">
      <c r="A548" s="28">
        <v>4059</v>
      </c>
      <c r="B548" s="9" t="s">
        <v>493</v>
      </c>
      <c r="C548" s="9" t="s">
        <v>493</v>
      </c>
      <c r="D548" s="9" t="s">
        <v>234</v>
      </c>
      <c r="E548" s="9" t="s">
        <v>494</v>
      </c>
      <c r="F548" s="9" t="s">
        <v>199</v>
      </c>
      <c r="G548" s="9" t="s">
        <v>412</v>
      </c>
      <c r="H548" s="9" t="s">
        <v>831</v>
      </c>
      <c r="I548" s="55">
        <f>'Messages Dictionary'!I565</f>
        <v>3</v>
      </c>
      <c r="J548" s="10">
        <f>'Messages Dictionary'!J565</f>
        <v>0</v>
      </c>
      <c r="K548" s="10">
        <f t="shared" si="8"/>
        <v>0</v>
      </c>
      <c r="L548" s="82"/>
      <c r="M548" s="82"/>
      <c r="N548" s="83"/>
      <c r="O548" s="83"/>
      <c r="P548" s="83"/>
      <c r="Q548" s="83"/>
      <c r="R548" s="83"/>
      <c r="S548" s="83"/>
      <c r="T548" s="83"/>
      <c r="U548" s="83"/>
      <c r="V548" s="83"/>
      <c r="W548" s="83"/>
      <c r="X548" s="83"/>
      <c r="Y548" s="83"/>
      <c r="Z548" s="83"/>
      <c r="AA548" s="83"/>
      <c r="AB548" s="83"/>
      <c r="AC548" s="83"/>
      <c r="AD548" s="83"/>
      <c r="AE548" s="83"/>
      <c r="AF548" s="83"/>
      <c r="AG548" s="83"/>
      <c r="AH548" s="83"/>
      <c r="AI548" s="83"/>
      <c r="AJ548" s="83"/>
      <c r="AK548" s="83"/>
      <c r="AL548" s="83"/>
      <c r="AM548" s="83"/>
      <c r="AN548" s="83"/>
      <c r="AO548" s="83"/>
      <c r="AP548" s="83"/>
      <c r="AQ548" s="83"/>
      <c r="AR548" s="83"/>
      <c r="AS548" s="55">
        <f>'Messages Dictionary'!I565</f>
        <v>3</v>
      </c>
    </row>
    <row r="549" spans="1:45" s="27" customFormat="1" ht="28.5" hidden="1" x14ac:dyDescent="0.2">
      <c r="A549" s="28">
        <v>5000</v>
      </c>
      <c r="B549" s="9" t="s">
        <v>495</v>
      </c>
      <c r="C549" s="9" t="s">
        <v>496</v>
      </c>
      <c r="D549" s="9" t="s">
        <v>121</v>
      </c>
      <c r="E549" s="9" t="s">
        <v>186</v>
      </c>
      <c r="F549" s="9" t="s">
        <v>199</v>
      </c>
      <c r="G549" s="9" t="s">
        <v>809</v>
      </c>
      <c r="H549" s="9" t="s">
        <v>806</v>
      </c>
      <c r="I549" s="55">
        <f>'Messages Dictionary'!I570</f>
        <v>0</v>
      </c>
      <c r="J549" s="10">
        <f>'Messages Dictionary'!J570</f>
        <v>0.5</v>
      </c>
      <c r="K549" s="10">
        <f t="shared" si="8"/>
        <v>0</v>
      </c>
      <c r="L549" s="82"/>
      <c r="M549" s="82"/>
      <c r="N549" s="83"/>
      <c r="O549" s="83"/>
      <c r="P549" s="83"/>
      <c r="Q549" s="83"/>
      <c r="R549" s="83"/>
      <c r="S549" s="83"/>
      <c r="T549" s="83"/>
      <c r="U549" s="83"/>
      <c r="V549" s="83"/>
      <c r="W549" s="83"/>
      <c r="X549" s="83"/>
      <c r="Y549" s="83"/>
      <c r="Z549" s="83"/>
      <c r="AA549" s="83"/>
      <c r="AB549" s="83"/>
      <c r="AC549" s="83"/>
      <c r="AD549" s="83"/>
      <c r="AE549" s="83"/>
      <c r="AF549" s="83"/>
      <c r="AG549" s="83"/>
      <c r="AH549" s="83"/>
      <c r="AI549" s="83"/>
      <c r="AJ549" s="83"/>
      <c r="AK549" s="83"/>
      <c r="AL549" s="83"/>
      <c r="AM549" s="83"/>
      <c r="AN549" s="83"/>
      <c r="AO549" s="83"/>
      <c r="AP549" s="83"/>
      <c r="AQ549" s="83"/>
      <c r="AR549" s="83"/>
      <c r="AS549" s="55">
        <f>'Messages Dictionary'!I570</f>
        <v>0</v>
      </c>
    </row>
    <row r="550" spans="1:45" s="27" customFormat="1" ht="42.75" hidden="1" x14ac:dyDescent="0.2">
      <c r="A550" s="28">
        <v>5002</v>
      </c>
      <c r="B550" s="9" t="s">
        <v>497</v>
      </c>
      <c r="C550" s="9" t="s">
        <v>498</v>
      </c>
      <c r="D550" s="9" t="s">
        <v>828</v>
      </c>
      <c r="E550" s="9" t="s">
        <v>837</v>
      </c>
      <c r="F550" s="9" t="s">
        <v>199</v>
      </c>
      <c r="G550" s="9" t="s">
        <v>412</v>
      </c>
      <c r="H550" s="9" t="s">
        <v>831</v>
      </c>
      <c r="I550" s="55">
        <f>'Messages Dictionary'!I571</f>
        <v>0</v>
      </c>
      <c r="J550" s="10">
        <f>'Messages Dictionary'!J571</f>
        <v>0.5</v>
      </c>
      <c r="K550" s="10">
        <f t="shared" si="8"/>
        <v>0</v>
      </c>
      <c r="L550" s="82"/>
      <c r="M550" s="82"/>
      <c r="N550" s="83"/>
      <c r="O550" s="83"/>
      <c r="P550" s="83"/>
      <c r="Q550" s="83"/>
      <c r="R550" s="83"/>
      <c r="S550" s="83"/>
      <c r="T550" s="83"/>
      <c r="U550" s="83"/>
      <c r="V550" s="83"/>
      <c r="W550" s="83"/>
      <c r="X550" s="83"/>
      <c r="Y550" s="83"/>
      <c r="Z550" s="83"/>
      <c r="AA550" s="83"/>
      <c r="AB550" s="83"/>
      <c r="AC550" s="83"/>
      <c r="AD550" s="83"/>
      <c r="AE550" s="83"/>
      <c r="AF550" s="83"/>
      <c r="AG550" s="83"/>
      <c r="AH550" s="83"/>
      <c r="AI550" s="83"/>
      <c r="AJ550" s="83"/>
      <c r="AK550" s="83"/>
      <c r="AL550" s="83"/>
      <c r="AM550" s="83"/>
      <c r="AN550" s="83"/>
      <c r="AO550" s="83"/>
      <c r="AP550" s="83"/>
      <c r="AQ550" s="83"/>
      <c r="AR550" s="83"/>
      <c r="AS550" s="55">
        <f>'Messages Dictionary'!I571</f>
        <v>0</v>
      </c>
    </row>
    <row r="551" spans="1:45" s="27" customFormat="1" ht="71.25" hidden="1" x14ac:dyDescent="0.2">
      <c r="A551" s="28">
        <v>5190</v>
      </c>
      <c r="B551" s="9" t="s">
        <v>499</v>
      </c>
      <c r="C551" s="9" t="s">
        <v>500</v>
      </c>
      <c r="D551" s="9" t="s">
        <v>842</v>
      </c>
      <c r="E551" s="9" t="s">
        <v>842</v>
      </c>
      <c r="F551" s="9" t="s">
        <v>199</v>
      </c>
      <c r="G551" s="9" t="s">
        <v>405</v>
      </c>
      <c r="H551" s="9" t="s">
        <v>831</v>
      </c>
      <c r="I551" s="55">
        <f>'Messages Dictionary'!I574</f>
        <v>0</v>
      </c>
      <c r="J551" s="10">
        <f>'Messages Dictionary'!J574</f>
        <v>0.5</v>
      </c>
      <c r="K551" s="10">
        <f t="shared" si="8"/>
        <v>0</v>
      </c>
      <c r="L551" s="82"/>
      <c r="M551" s="82"/>
      <c r="N551" s="83"/>
      <c r="O551" s="83"/>
      <c r="P551" s="83"/>
      <c r="Q551" s="83"/>
      <c r="R551" s="83"/>
      <c r="S551" s="83"/>
      <c r="T551" s="83"/>
      <c r="U551" s="83"/>
      <c r="V551" s="83"/>
      <c r="W551" s="83"/>
      <c r="X551" s="83"/>
      <c r="Y551" s="83"/>
      <c r="Z551" s="83"/>
      <c r="AA551" s="83"/>
      <c r="AB551" s="83"/>
      <c r="AC551" s="83"/>
      <c r="AD551" s="83"/>
      <c r="AE551" s="83"/>
      <c r="AF551" s="83"/>
      <c r="AG551" s="83"/>
      <c r="AH551" s="83"/>
      <c r="AI551" s="83"/>
      <c r="AJ551" s="83"/>
      <c r="AK551" s="83"/>
      <c r="AL551" s="83"/>
      <c r="AM551" s="83"/>
      <c r="AN551" s="83"/>
      <c r="AO551" s="83"/>
      <c r="AP551" s="83"/>
      <c r="AQ551" s="83"/>
      <c r="AR551" s="83"/>
      <c r="AS551" s="55">
        <f>'Messages Dictionary'!I574</f>
        <v>0</v>
      </c>
    </row>
    <row r="552" spans="1:45" s="27" customFormat="1" ht="57" hidden="1" x14ac:dyDescent="0.2">
      <c r="A552" s="28">
        <v>5191</v>
      </c>
      <c r="B552" s="9" t="s">
        <v>501</v>
      </c>
      <c r="C552" s="9" t="s">
        <v>502</v>
      </c>
      <c r="D552" s="9" t="s">
        <v>828</v>
      </c>
      <c r="E552" s="9" t="s">
        <v>837</v>
      </c>
      <c r="F552" s="9" t="s">
        <v>199</v>
      </c>
      <c r="G552" s="9" t="s">
        <v>405</v>
      </c>
      <c r="H552" s="9" t="s">
        <v>831</v>
      </c>
      <c r="I552" s="55">
        <f>'Messages Dictionary'!I575</f>
        <v>0</v>
      </c>
      <c r="J552" s="10">
        <f>'Messages Dictionary'!J575</f>
        <v>0.5</v>
      </c>
      <c r="K552" s="10">
        <f t="shared" si="8"/>
        <v>0</v>
      </c>
      <c r="L552" s="82"/>
      <c r="M552" s="82"/>
      <c r="N552" s="83"/>
      <c r="O552" s="83"/>
      <c r="P552" s="83"/>
      <c r="Q552" s="83"/>
      <c r="R552" s="83"/>
      <c r="S552" s="83"/>
      <c r="T552" s="83"/>
      <c r="U552" s="83"/>
      <c r="V552" s="83"/>
      <c r="W552" s="83"/>
      <c r="X552" s="83"/>
      <c r="Y552" s="83"/>
      <c r="Z552" s="83"/>
      <c r="AA552" s="83"/>
      <c r="AB552" s="83"/>
      <c r="AC552" s="83"/>
      <c r="AD552" s="83"/>
      <c r="AE552" s="83"/>
      <c r="AF552" s="83"/>
      <c r="AG552" s="83"/>
      <c r="AH552" s="83"/>
      <c r="AI552" s="83"/>
      <c r="AJ552" s="83"/>
      <c r="AK552" s="83"/>
      <c r="AL552" s="83"/>
      <c r="AM552" s="83"/>
      <c r="AN552" s="83"/>
      <c r="AO552" s="83"/>
      <c r="AP552" s="83"/>
      <c r="AQ552" s="83"/>
      <c r="AR552" s="83"/>
      <c r="AS552" s="55">
        <f>'Messages Dictionary'!I575</f>
        <v>0</v>
      </c>
    </row>
    <row r="553" spans="1:45" s="27" customFormat="1" ht="57" hidden="1" x14ac:dyDescent="0.2">
      <c r="A553" s="28">
        <v>5192</v>
      </c>
      <c r="B553" s="9" t="s">
        <v>504</v>
      </c>
      <c r="C553" s="9" t="s">
        <v>505</v>
      </c>
      <c r="D553" s="9" t="s">
        <v>863</v>
      </c>
      <c r="E553" s="9" t="s">
        <v>35</v>
      </c>
      <c r="F553" s="9" t="s">
        <v>199</v>
      </c>
      <c r="G553" s="9" t="s">
        <v>405</v>
      </c>
      <c r="H553" s="9" t="s">
        <v>831</v>
      </c>
      <c r="I553" s="55">
        <f>'Messages Dictionary'!I576</f>
        <v>0</v>
      </c>
      <c r="J553" s="10">
        <f>'Messages Dictionary'!J576</f>
        <v>0.5</v>
      </c>
      <c r="K553" s="10">
        <f t="shared" si="8"/>
        <v>0</v>
      </c>
      <c r="L553" s="82"/>
      <c r="M553" s="82"/>
      <c r="N553" s="83"/>
      <c r="O553" s="83"/>
      <c r="P553" s="83"/>
      <c r="Q553" s="83"/>
      <c r="R553" s="83"/>
      <c r="S553" s="83"/>
      <c r="T553" s="83"/>
      <c r="U553" s="83"/>
      <c r="V553" s="83"/>
      <c r="W553" s="83"/>
      <c r="X553" s="83"/>
      <c r="Y553" s="83"/>
      <c r="Z553" s="83"/>
      <c r="AA553" s="83"/>
      <c r="AB553" s="83"/>
      <c r="AC553" s="83"/>
      <c r="AD553" s="83"/>
      <c r="AE553" s="83"/>
      <c r="AF553" s="83"/>
      <c r="AG553" s="83"/>
      <c r="AH553" s="83"/>
      <c r="AI553" s="83"/>
      <c r="AJ553" s="83"/>
      <c r="AK553" s="83"/>
      <c r="AL553" s="83"/>
      <c r="AM553" s="83"/>
      <c r="AN553" s="83"/>
      <c r="AO553" s="83"/>
      <c r="AP553" s="83"/>
      <c r="AQ553" s="83"/>
      <c r="AR553" s="83"/>
      <c r="AS553" s="55">
        <f>'Messages Dictionary'!I576</f>
        <v>0</v>
      </c>
    </row>
    <row r="554" spans="1:45" s="27" customFormat="1" ht="28.5" hidden="1" x14ac:dyDescent="0.2">
      <c r="A554" s="28">
        <v>5650</v>
      </c>
      <c r="B554" s="9" t="s">
        <v>506</v>
      </c>
      <c r="C554" s="9" t="s">
        <v>507</v>
      </c>
      <c r="D554" s="9" t="s">
        <v>234</v>
      </c>
      <c r="E554" s="9" t="s">
        <v>702</v>
      </c>
      <c r="F554" s="9" t="s">
        <v>199</v>
      </c>
      <c r="G554" s="9" t="s">
        <v>809</v>
      </c>
      <c r="H554" s="9" t="s">
        <v>831</v>
      </c>
      <c r="I554" s="55">
        <f>'Messages Dictionary'!I578</f>
        <v>0</v>
      </c>
      <c r="J554" s="10">
        <f>'Messages Dictionary'!J578</f>
        <v>0</v>
      </c>
      <c r="K554" s="10">
        <f t="shared" si="8"/>
        <v>0</v>
      </c>
      <c r="L554" s="82"/>
      <c r="M554" s="82"/>
      <c r="N554" s="83"/>
      <c r="O554" s="83"/>
      <c r="P554" s="83"/>
      <c r="Q554" s="83"/>
      <c r="R554" s="83"/>
      <c r="S554" s="83"/>
      <c r="T554" s="83"/>
      <c r="U554" s="83"/>
      <c r="V554" s="83"/>
      <c r="W554" s="83"/>
      <c r="X554" s="83"/>
      <c r="Y554" s="83"/>
      <c r="Z554" s="83"/>
      <c r="AA554" s="83"/>
      <c r="AB554" s="83"/>
      <c r="AC554" s="83"/>
      <c r="AD554" s="83"/>
      <c r="AE554" s="83"/>
      <c r="AF554" s="83"/>
      <c r="AG554" s="83"/>
      <c r="AH554" s="83"/>
      <c r="AI554" s="83"/>
      <c r="AJ554" s="83"/>
      <c r="AK554" s="83"/>
      <c r="AL554" s="83"/>
      <c r="AM554" s="83"/>
      <c r="AN554" s="83"/>
      <c r="AO554" s="83"/>
      <c r="AP554" s="83"/>
      <c r="AQ554" s="83"/>
      <c r="AR554" s="83"/>
      <c r="AS554" s="55">
        <f>'Messages Dictionary'!I578</f>
        <v>0</v>
      </c>
    </row>
    <row r="555" spans="1:45" s="27" customFormat="1" ht="28.5" hidden="1" x14ac:dyDescent="0.2">
      <c r="A555" s="28">
        <v>5651</v>
      </c>
      <c r="B555" s="9" t="s">
        <v>508</v>
      </c>
      <c r="C555" s="9" t="s">
        <v>509</v>
      </c>
      <c r="D555" s="9" t="s">
        <v>234</v>
      </c>
      <c r="E555" s="9" t="s">
        <v>702</v>
      </c>
      <c r="F555" s="9" t="s">
        <v>199</v>
      </c>
      <c r="G555" s="9" t="s">
        <v>809</v>
      </c>
      <c r="H555" s="9" t="s">
        <v>831</v>
      </c>
      <c r="I555" s="55">
        <f>'Messages Dictionary'!I579</f>
        <v>0</v>
      </c>
      <c r="J555" s="10">
        <f>'Messages Dictionary'!J579</f>
        <v>0</v>
      </c>
      <c r="K555" s="10">
        <f t="shared" si="8"/>
        <v>0</v>
      </c>
      <c r="L555" s="82"/>
      <c r="M555" s="82"/>
      <c r="N555" s="83"/>
      <c r="O555" s="83"/>
      <c r="P555" s="83"/>
      <c r="Q555" s="83"/>
      <c r="R555" s="83"/>
      <c r="S555" s="83"/>
      <c r="T555" s="83"/>
      <c r="U555" s="83"/>
      <c r="V555" s="83"/>
      <c r="W555" s="83"/>
      <c r="X555" s="83"/>
      <c r="Y555" s="83"/>
      <c r="Z555" s="83"/>
      <c r="AA555" s="83"/>
      <c r="AB555" s="83"/>
      <c r="AC555" s="83"/>
      <c r="AD555" s="83"/>
      <c r="AE555" s="83"/>
      <c r="AF555" s="83"/>
      <c r="AG555" s="83"/>
      <c r="AH555" s="83"/>
      <c r="AI555" s="83"/>
      <c r="AJ555" s="83"/>
      <c r="AK555" s="83"/>
      <c r="AL555" s="83"/>
      <c r="AM555" s="83"/>
      <c r="AN555" s="83"/>
      <c r="AO555" s="83"/>
      <c r="AP555" s="83"/>
      <c r="AQ555" s="83"/>
      <c r="AR555" s="83"/>
      <c r="AS555" s="55">
        <f>'Messages Dictionary'!I579</f>
        <v>0</v>
      </c>
    </row>
    <row r="556" spans="1:45" s="27" customFormat="1" ht="28.5" hidden="1" x14ac:dyDescent="0.2">
      <c r="A556" s="28">
        <v>5660</v>
      </c>
      <c r="B556" s="9" t="s">
        <v>510</v>
      </c>
      <c r="C556" s="9" t="s">
        <v>510</v>
      </c>
      <c r="D556" s="9" t="s">
        <v>234</v>
      </c>
      <c r="E556" s="9" t="s">
        <v>702</v>
      </c>
      <c r="F556" s="9" t="s">
        <v>199</v>
      </c>
      <c r="G556" s="9" t="s">
        <v>809</v>
      </c>
      <c r="H556" s="9" t="s">
        <v>831</v>
      </c>
      <c r="I556" s="55">
        <f>'Messages Dictionary'!I580</f>
        <v>0</v>
      </c>
      <c r="J556" s="10">
        <f>'Messages Dictionary'!J580</f>
        <v>0</v>
      </c>
      <c r="K556" s="10">
        <f t="shared" si="8"/>
        <v>0</v>
      </c>
      <c r="L556" s="82"/>
      <c r="M556" s="82"/>
      <c r="N556" s="83"/>
      <c r="O556" s="83"/>
      <c r="P556" s="83"/>
      <c r="Q556" s="83"/>
      <c r="R556" s="83"/>
      <c r="S556" s="83"/>
      <c r="T556" s="83"/>
      <c r="U556" s="83"/>
      <c r="V556" s="83"/>
      <c r="W556" s="83"/>
      <c r="X556" s="83"/>
      <c r="Y556" s="83"/>
      <c r="Z556" s="83"/>
      <c r="AA556" s="83"/>
      <c r="AB556" s="83"/>
      <c r="AC556" s="83"/>
      <c r="AD556" s="83"/>
      <c r="AE556" s="83"/>
      <c r="AF556" s="83"/>
      <c r="AG556" s="83"/>
      <c r="AH556" s="83"/>
      <c r="AI556" s="83"/>
      <c r="AJ556" s="83"/>
      <c r="AK556" s="83"/>
      <c r="AL556" s="83"/>
      <c r="AM556" s="83"/>
      <c r="AN556" s="83"/>
      <c r="AO556" s="83"/>
      <c r="AP556" s="83"/>
      <c r="AQ556" s="83"/>
      <c r="AR556" s="83"/>
      <c r="AS556" s="55">
        <f>'Messages Dictionary'!I580</f>
        <v>0</v>
      </c>
    </row>
    <row r="557" spans="1:45" s="27" customFormat="1" ht="28.5" hidden="1" x14ac:dyDescent="0.2">
      <c r="A557" s="28">
        <v>5700</v>
      </c>
      <c r="B557" s="9" t="s">
        <v>511</v>
      </c>
      <c r="C557" s="9" t="s">
        <v>512</v>
      </c>
      <c r="D557" s="9" t="s">
        <v>121</v>
      </c>
      <c r="E557" s="9" t="s">
        <v>122</v>
      </c>
      <c r="F557" s="9" t="s">
        <v>199</v>
      </c>
      <c r="G557" s="9" t="s">
        <v>809</v>
      </c>
      <c r="H557" s="9" t="s">
        <v>806</v>
      </c>
      <c r="I557" s="55">
        <f>'Messages Dictionary'!I581</f>
        <v>0</v>
      </c>
      <c r="J557" s="10">
        <f>'Messages Dictionary'!J581</f>
        <v>0</v>
      </c>
      <c r="K557" s="10">
        <f t="shared" si="8"/>
        <v>0</v>
      </c>
      <c r="L557" s="82"/>
      <c r="M557" s="82"/>
      <c r="N557" s="83"/>
      <c r="O557" s="83"/>
      <c r="P557" s="83"/>
      <c r="Q557" s="83"/>
      <c r="R557" s="83"/>
      <c r="S557" s="83"/>
      <c r="T557" s="83"/>
      <c r="U557" s="83"/>
      <c r="V557" s="83"/>
      <c r="W557" s="83"/>
      <c r="X557" s="83"/>
      <c r="Y557" s="83"/>
      <c r="Z557" s="83"/>
      <c r="AA557" s="83"/>
      <c r="AB557" s="83"/>
      <c r="AC557" s="83"/>
      <c r="AD557" s="83"/>
      <c r="AE557" s="83"/>
      <c r="AF557" s="83"/>
      <c r="AG557" s="83"/>
      <c r="AH557" s="83"/>
      <c r="AI557" s="83"/>
      <c r="AJ557" s="83"/>
      <c r="AK557" s="83"/>
      <c r="AL557" s="83"/>
      <c r="AM557" s="83"/>
      <c r="AN557" s="83"/>
      <c r="AO557" s="83"/>
      <c r="AP557" s="83"/>
      <c r="AQ557" s="83"/>
      <c r="AR557" s="83"/>
      <c r="AS557" s="55">
        <f>'Messages Dictionary'!I581</f>
        <v>0</v>
      </c>
    </row>
    <row r="558" spans="1:45" s="27" customFormat="1" ht="28.5" hidden="1" x14ac:dyDescent="0.2">
      <c r="A558" s="28">
        <v>5701</v>
      </c>
      <c r="B558" s="9" t="s">
        <v>513</v>
      </c>
      <c r="C558" s="9" t="s">
        <v>514</v>
      </c>
      <c r="D558" s="9" t="s">
        <v>234</v>
      </c>
      <c r="E558" s="9" t="s">
        <v>702</v>
      </c>
      <c r="F558" s="9" t="s">
        <v>199</v>
      </c>
      <c r="G558" s="9" t="s">
        <v>809</v>
      </c>
      <c r="H558" s="9" t="s">
        <v>831</v>
      </c>
      <c r="I558" s="55">
        <f>'Messages Dictionary'!I582</f>
        <v>0</v>
      </c>
      <c r="J558" s="10">
        <f>'Messages Dictionary'!J582</f>
        <v>0</v>
      </c>
      <c r="K558" s="10">
        <f t="shared" si="8"/>
        <v>0</v>
      </c>
      <c r="L558" s="82"/>
      <c r="M558" s="82"/>
      <c r="N558" s="83"/>
      <c r="O558" s="83"/>
      <c r="P558" s="83"/>
      <c r="Q558" s="83"/>
      <c r="R558" s="83"/>
      <c r="S558" s="83"/>
      <c r="T558" s="83"/>
      <c r="U558" s="83"/>
      <c r="V558" s="83"/>
      <c r="W558" s="83"/>
      <c r="X558" s="83"/>
      <c r="Y558" s="83"/>
      <c r="Z558" s="83"/>
      <c r="AA558" s="83"/>
      <c r="AB558" s="83"/>
      <c r="AC558" s="83"/>
      <c r="AD558" s="83"/>
      <c r="AE558" s="83"/>
      <c r="AF558" s="83"/>
      <c r="AG558" s="83"/>
      <c r="AH558" s="83"/>
      <c r="AI558" s="83"/>
      <c r="AJ558" s="83"/>
      <c r="AK558" s="83"/>
      <c r="AL558" s="83"/>
      <c r="AM558" s="83"/>
      <c r="AN558" s="83"/>
      <c r="AO558" s="83"/>
      <c r="AP558" s="83"/>
      <c r="AQ558" s="83"/>
      <c r="AR558" s="83"/>
      <c r="AS558" s="55">
        <f>'Messages Dictionary'!I582</f>
        <v>0</v>
      </c>
    </row>
    <row r="559" spans="1:45" s="27" customFormat="1" ht="42.75" hidden="1" x14ac:dyDescent="0.2">
      <c r="A559" s="28">
        <v>5702</v>
      </c>
      <c r="B559" s="9" t="s">
        <v>515</v>
      </c>
      <c r="C559" s="9" t="s">
        <v>517</v>
      </c>
      <c r="D559" s="9" t="s">
        <v>4</v>
      </c>
      <c r="E559" s="9" t="s">
        <v>14</v>
      </c>
      <c r="F559" s="9" t="s">
        <v>199</v>
      </c>
      <c r="G559" s="9" t="s">
        <v>412</v>
      </c>
      <c r="H559" s="9" t="s">
        <v>831</v>
      </c>
      <c r="I559" s="55">
        <f>'Messages Dictionary'!I583</f>
        <v>0</v>
      </c>
      <c r="J559" s="10">
        <f>'Messages Dictionary'!J583</f>
        <v>0.5</v>
      </c>
      <c r="K559" s="10">
        <f t="shared" si="8"/>
        <v>0</v>
      </c>
      <c r="L559" s="82"/>
      <c r="M559" s="82"/>
      <c r="N559" s="83"/>
      <c r="O559" s="83"/>
      <c r="P559" s="83"/>
      <c r="Q559" s="83"/>
      <c r="R559" s="83"/>
      <c r="S559" s="83"/>
      <c r="T559" s="83"/>
      <c r="U559" s="83"/>
      <c r="V559" s="83"/>
      <c r="W559" s="83"/>
      <c r="X559" s="83"/>
      <c r="Y559" s="83"/>
      <c r="Z559" s="83"/>
      <c r="AA559" s="83"/>
      <c r="AB559" s="83"/>
      <c r="AC559" s="83"/>
      <c r="AD559" s="83"/>
      <c r="AE559" s="83"/>
      <c r="AF559" s="83"/>
      <c r="AG559" s="83"/>
      <c r="AH559" s="83"/>
      <c r="AI559" s="83"/>
      <c r="AJ559" s="83"/>
      <c r="AK559" s="83"/>
      <c r="AL559" s="83"/>
      <c r="AM559" s="83"/>
      <c r="AN559" s="83"/>
      <c r="AO559" s="83"/>
      <c r="AP559" s="83"/>
      <c r="AQ559" s="83"/>
      <c r="AR559" s="83"/>
      <c r="AS559" s="55">
        <f>'Messages Dictionary'!I583</f>
        <v>0</v>
      </c>
    </row>
    <row r="560" spans="1:45" s="27" customFormat="1" ht="85.5" hidden="1" x14ac:dyDescent="0.2">
      <c r="A560" s="28">
        <v>5703</v>
      </c>
      <c r="B560" s="9" t="s">
        <v>518</v>
      </c>
      <c r="C560" s="9" t="s">
        <v>519</v>
      </c>
      <c r="D560" s="9" t="s">
        <v>404</v>
      </c>
      <c r="E560" s="9" t="s">
        <v>404</v>
      </c>
      <c r="F560" s="9" t="s">
        <v>199</v>
      </c>
      <c r="G560" s="9" t="s">
        <v>412</v>
      </c>
      <c r="H560" s="9" t="s">
        <v>831</v>
      </c>
      <c r="I560" s="55">
        <f>'Messages Dictionary'!I584</f>
        <v>0</v>
      </c>
      <c r="J560" s="10">
        <f>'Messages Dictionary'!J584</f>
        <v>0.5</v>
      </c>
      <c r="K560" s="10">
        <f t="shared" si="8"/>
        <v>0</v>
      </c>
      <c r="L560" s="82"/>
      <c r="M560" s="82"/>
      <c r="N560" s="83"/>
      <c r="O560" s="83"/>
      <c r="P560" s="83"/>
      <c r="Q560" s="83"/>
      <c r="R560" s="83"/>
      <c r="S560" s="83"/>
      <c r="T560" s="83"/>
      <c r="U560" s="83"/>
      <c r="V560" s="83"/>
      <c r="W560" s="83"/>
      <c r="X560" s="83"/>
      <c r="Y560" s="83"/>
      <c r="Z560" s="83"/>
      <c r="AA560" s="83"/>
      <c r="AB560" s="83"/>
      <c r="AC560" s="83"/>
      <c r="AD560" s="83"/>
      <c r="AE560" s="83"/>
      <c r="AF560" s="83"/>
      <c r="AG560" s="83"/>
      <c r="AH560" s="83"/>
      <c r="AI560" s="83"/>
      <c r="AJ560" s="83"/>
      <c r="AK560" s="83"/>
      <c r="AL560" s="83"/>
      <c r="AM560" s="83"/>
      <c r="AN560" s="83"/>
      <c r="AO560" s="83"/>
      <c r="AP560" s="83"/>
      <c r="AQ560" s="83"/>
      <c r="AR560" s="83"/>
      <c r="AS560" s="55">
        <f>'Messages Dictionary'!I584</f>
        <v>0</v>
      </c>
    </row>
    <row r="561" spans="1:45" s="27" customFormat="1" ht="28.5" hidden="1" x14ac:dyDescent="0.2">
      <c r="A561" s="28">
        <v>10000</v>
      </c>
      <c r="B561" s="9" t="s">
        <v>520</v>
      </c>
      <c r="C561" s="9" t="s">
        <v>520</v>
      </c>
      <c r="D561" s="9" t="s">
        <v>234</v>
      </c>
      <c r="E561" s="9" t="s">
        <v>494</v>
      </c>
      <c r="F561" s="9" t="s">
        <v>199</v>
      </c>
      <c r="G561" s="9" t="s">
        <v>809</v>
      </c>
      <c r="H561" s="9" t="s">
        <v>831</v>
      </c>
      <c r="I561" s="55">
        <f>'Messages Dictionary'!I585</f>
        <v>0</v>
      </c>
      <c r="J561" s="10">
        <f>'Messages Dictionary'!J585</f>
        <v>0</v>
      </c>
      <c r="K561" s="10">
        <f t="shared" si="8"/>
        <v>0</v>
      </c>
      <c r="L561" s="82"/>
      <c r="M561" s="82"/>
      <c r="N561" s="83"/>
      <c r="O561" s="83"/>
      <c r="P561" s="83"/>
      <c r="Q561" s="83"/>
      <c r="R561" s="83"/>
      <c r="S561" s="83"/>
      <c r="T561" s="83"/>
      <c r="U561" s="83"/>
      <c r="V561" s="83"/>
      <c r="W561" s="83"/>
      <c r="X561" s="83"/>
      <c r="Y561" s="83"/>
      <c r="Z561" s="83"/>
      <c r="AA561" s="83"/>
      <c r="AB561" s="83"/>
      <c r="AC561" s="83"/>
      <c r="AD561" s="83"/>
      <c r="AE561" s="83"/>
      <c r="AF561" s="83"/>
      <c r="AG561" s="83"/>
      <c r="AH561" s="83"/>
      <c r="AI561" s="83"/>
      <c r="AJ561" s="83"/>
      <c r="AK561" s="83"/>
      <c r="AL561" s="83"/>
      <c r="AM561" s="83"/>
      <c r="AN561" s="83"/>
      <c r="AO561" s="83"/>
      <c r="AP561" s="83"/>
      <c r="AQ561" s="83"/>
      <c r="AR561" s="83"/>
      <c r="AS561" s="55">
        <f>'Messages Dictionary'!I585</f>
        <v>0</v>
      </c>
    </row>
    <row r="562" spans="1:45" s="27" customFormat="1" hidden="1" x14ac:dyDescent="0.2">
      <c r="A562" s="28">
        <v>10002</v>
      </c>
      <c r="B562" s="9" t="s">
        <v>521</v>
      </c>
      <c r="C562" s="9" t="s">
        <v>521</v>
      </c>
      <c r="D562" s="9" t="s">
        <v>234</v>
      </c>
      <c r="E562" s="9" t="s">
        <v>494</v>
      </c>
      <c r="F562" s="9" t="s">
        <v>199</v>
      </c>
      <c r="G562" s="9" t="s">
        <v>809</v>
      </c>
      <c r="H562" s="9" t="s">
        <v>831</v>
      </c>
      <c r="I562" s="55">
        <f>'Messages Dictionary'!I586</f>
        <v>0</v>
      </c>
      <c r="J562" s="10">
        <f>'Messages Dictionary'!J586</f>
        <v>0</v>
      </c>
      <c r="K562" s="10">
        <f t="shared" si="8"/>
        <v>0</v>
      </c>
      <c r="L562" s="82"/>
      <c r="M562" s="82"/>
      <c r="N562" s="83"/>
      <c r="O562" s="83"/>
      <c r="P562" s="83"/>
      <c r="Q562" s="83"/>
      <c r="R562" s="83"/>
      <c r="S562" s="83"/>
      <c r="T562" s="83"/>
      <c r="U562" s="83"/>
      <c r="V562" s="83"/>
      <c r="W562" s="83"/>
      <c r="X562" s="83"/>
      <c r="Y562" s="83"/>
      <c r="Z562" s="83"/>
      <c r="AA562" s="83"/>
      <c r="AB562" s="83"/>
      <c r="AC562" s="83"/>
      <c r="AD562" s="83"/>
      <c r="AE562" s="83"/>
      <c r="AF562" s="83"/>
      <c r="AG562" s="83"/>
      <c r="AH562" s="83"/>
      <c r="AI562" s="83"/>
      <c r="AJ562" s="83"/>
      <c r="AK562" s="83"/>
      <c r="AL562" s="83"/>
      <c r="AM562" s="83"/>
      <c r="AN562" s="83"/>
      <c r="AO562" s="83"/>
      <c r="AP562" s="83"/>
      <c r="AQ562" s="83"/>
      <c r="AR562" s="83"/>
      <c r="AS562" s="55">
        <f>'Messages Dictionary'!I586</f>
        <v>0</v>
      </c>
    </row>
    <row r="563" spans="1:45" s="27" customFormat="1" ht="28.5" hidden="1" x14ac:dyDescent="0.2">
      <c r="A563" s="28">
        <v>10003</v>
      </c>
      <c r="B563" s="9" t="s">
        <v>522</v>
      </c>
      <c r="C563" s="9" t="s">
        <v>523</v>
      </c>
      <c r="D563" s="9" t="s">
        <v>234</v>
      </c>
      <c r="E563" s="9" t="s">
        <v>494</v>
      </c>
      <c r="F563" s="9" t="s">
        <v>199</v>
      </c>
      <c r="G563" s="9" t="s">
        <v>809</v>
      </c>
      <c r="H563" s="9" t="s">
        <v>831</v>
      </c>
      <c r="I563" s="55">
        <f>'Messages Dictionary'!I587</f>
        <v>0</v>
      </c>
      <c r="J563" s="10">
        <f>'Messages Dictionary'!J587</f>
        <v>0</v>
      </c>
      <c r="K563" s="10">
        <f t="shared" si="8"/>
        <v>0</v>
      </c>
      <c r="L563" s="82"/>
      <c r="M563" s="82"/>
      <c r="N563" s="83"/>
      <c r="O563" s="83"/>
      <c r="P563" s="83"/>
      <c r="Q563" s="83"/>
      <c r="R563" s="83"/>
      <c r="S563" s="83"/>
      <c r="T563" s="83"/>
      <c r="U563" s="83"/>
      <c r="V563" s="83"/>
      <c r="W563" s="83"/>
      <c r="X563" s="83"/>
      <c r="Y563" s="83"/>
      <c r="Z563" s="83"/>
      <c r="AA563" s="83"/>
      <c r="AB563" s="83"/>
      <c r="AC563" s="83"/>
      <c r="AD563" s="83"/>
      <c r="AE563" s="83"/>
      <c r="AF563" s="83"/>
      <c r="AG563" s="83"/>
      <c r="AH563" s="83"/>
      <c r="AI563" s="83"/>
      <c r="AJ563" s="83"/>
      <c r="AK563" s="83"/>
      <c r="AL563" s="83"/>
      <c r="AM563" s="83"/>
      <c r="AN563" s="83"/>
      <c r="AO563" s="83"/>
      <c r="AP563" s="83"/>
      <c r="AQ563" s="83"/>
      <c r="AR563" s="83"/>
      <c r="AS563" s="55">
        <f>'Messages Dictionary'!I587</f>
        <v>0</v>
      </c>
    </row>
    <row r="564" spans="1:45" s="27" customFormat="1" ht="28.5" hidden="1" x14ac:dyDescent="0.2">
      <c r="A564" s="28">
        <v>10004</v>
      </c>
      <c r="B564" s="9" t="s">
        <v>522</v>
      </c>
      <c r="C564" s="9" t="s">
        <v>524</v>
      </c>
      <c r="D564" s="9" t="s">
        <v>234</v>
      </c>
      <c r="E564" s="9" t="s">
        <v>494</v>
      </c>
      <c r="F564" s="9" t="s">
        <v>199</v>
      </c>
      <c r="G564" s="9" t="s">
        <v>809</v>
      </c>
      <c r="H564" s="9" t="s">
        <v>831</v>
      </c>
      <c r="I564" s="55">
        <f>'Messages Dictionary'!I588</f>
        <v>0</v>
      </c>
      <c r="J564" s="10">
        <f>'Messages Dictionary'!J588</f>
        <v>0</v>
      </c>
      <c r="K564" s="10">
        <f t="shared" si="8"/>
        <v>0</v>
      </c>
      <c r="L564" s="82"/>
      <c r="M564" s="82"/>
      <c r="N564" s="83"/>
      <c r="O564" s="83"/>
      <c r="P564" s="83"/>
      <c r="Q564" s="83"/>
      <c r="R564" s="83"/>
      <c r="S564" s="83"/>
      <c r="T564" s="83"/>
      <c r="U564" s="83"/>
      <c r="V564" s="83"/>
      <c r="W564" s="83"/>
      <c r="X564" s="83"/>
      <c r="Y564" s="83"/>
      <c r="Z564" s="83"/>
      <c r="AA564" s="83"/>
      <c r="AB564" s="83"/>
      <c r="AC564" s="83"/>
      <c r="AD564" s="83"/>
      <c r="AE564" s="83"/>
      <c r="AF564" s="83"/>
      <c r="AG564" s="83"/>
      <c r="AH564" s="83"/>
      <c r="AI564" s="83"/>
      <c r="AJ564" s="83"/>
      <c r="AK564" s="83"/>
      <c r="AL564" s="83"/>
      <c r="AM564" s="83"/>
      <c r="AN564" s="83"/>
      <c r="AO564" s="83"/>
      <c r="AP564" s="83"/>
      <c r="AQ564" s="83"/>
      <c r="AR564" s="83"/>
      <c r="AS564" s="55">
        <f>'Messages Dictionary'!I588</f>
        <v>0</v>
      </c>
    </row>
    <row r="565" spans="1:45" s="27" customFormat="1" ht="42.75" hidden="1" x14ac:dyDescent="0.2">
      <c r="A565" s="28">
        <v>10005</v>
      </c>
      <c r="B565" s="9" t="s">
        <v>527</v>
      </c>
      <c r="C565" s="9" t="s">
        <v>528</v>
      </c>
      <c r="D565" s="9" t="s">
        <v>234</v>
      </c>
      <c r="E565" s="9" t="s">
        <v>494</v>
      </c>
      <c r="F565" s="9" t="s">
        <v>199</v>
      </c>
      <c r="G565" s="9" t="s">
        <v>809</v>
      </c>
      <c r="H565" s="9" t="s">
        <v>831</v>
      </c>
      <c r="I565" s="55">
        <f>'Messages Dictionary'!I589</f>
        <v>0</v>
      </c>
      <c r="J565" s="10">
        <f>'Messages Dictionary'!J589</f>
        <v>0</v>
      </c>
      <c r="K565" s="10">
        <f t="shared" si="8"/>
        <v>0</v>
      </c>
      <c r="L565" s="82"/>
      <c r="M565" s="82"/>
      <c r="N565" s="83"/>
      <c r="O565" s="83"/>
      <c r="P565" s="83"/>
      <c r="Q565" s="83"/>
      <c r="R565" s="83"/>
      <c r="S565" s="83"/>
      <c r="T565" s="83"/>
      <c r="U565" s="83"/>
      <c r="V565" s="83"/>
      <c r="W565" s="83"/>
      <c r="X565" s="83"/>
      <c r="Y565" s="83"/>
      <c r="Z565" s="83"/>
      <c r="AA565" s="83"/>
      <c r="AB565" s="83"/>
      <c r="AC565" s="83"/>
      <c r="AD565" s="83"/>
      <c r="AE565" s="83"/>
      <c r="AF565" s="83"/>
      <c r="AG565" s="83"/>
      <c r="AH565" s="83"/>
      <c r="AI565" s="83"/>
      <c r="AJ565" s="83"/>
      <c r="AK565" s="83"/>
      <c r="AL565" s="83"/>
      <c r="AM565" s="83"/>
      <c r="AN565" s="83"/>
      <c r="AO565" s="83"/>
      <c r="AP565" s="83"/>
      <c r="AQ565" s="83"/>
      <c r="AR565" s="83"/>
      <c r="AS565" s="55">
        <f>'Messages Dictionary'!I589</f>
        <v>0</v>
      </c>
    </row>
    <row r="566" spans="1:45" s="27" customFormat="1" ht="42.75" hidden="1" x14ac:dyDescent="0.2">
      <c r="A566" s="28">
        <v>10006</v>
      </c>
      <c r="B566" s="9" t="s">
        <v>529</v>
      </c>
      <c r="C566" s="9" t="s">
        <v>530</v>
      </c>
      <c r="D566" s="9" t="s">
        <v>234</v>
      </c>
      <c r="E566" s="9" t="s">
        <v>494</v>
      </c>
      <c r="F566" s="9" t="s">
        <v>199</v>
      </c>
      <c r="G566" s="9" t="s">
        <v>809</v>
      </c>
      <c r="H566" s="9" t="s">
        <v>831</v>
      </c>
      <c r="I566" s="55">
        <f>'Messages Dictionary'!I590</f>
        <v>0</v>
      </c>
      <c r="J566" s="10">
        <f>'Messages Dictionary'!J590</f>
        <v>0</v>
      </c>
      <c r="K566" s="10">
        <f t="shared" si="8"/>
        <v>0</v>
      </c>
      <c r="L566" s="82"/>
      <c r="M566" s="82"/>
      <c r="N566" s="83"/>
      <c r="O566" s="83"/>
      <c r="P566" s="83"/>
      <c r="Q566" s="83"/>
      <c r="R566" s="83"/>
      <c r="S566" s="83"/>
      <c r="T566" s="83"/>
      <c r="U566" s="83"/>
      <c r="V566" s="83"/>
      <c r="W566" s="83"/>
      <c r="X566" s="83"/>
      <c r="Y566" s="83"/>
      <c r="Z566" s="83"/>
      <c r="AA566" s="83"/>
      <c r="AB566" s="83"/>
      <c r="AC566" s="83"/>
      <c r="AD566" s="83"/>
      <c r="AE566" s="83"/>
      <c r="AF566" s="83"/>
      <c r="AG566" s="83"/>
      <c r="AH566" s="83"/>
      <c r="AI566" s="83"/>
      <c r="AJ566" s="83"/>
      <c r="AK566" s="83"/>
      <c r="AL566" s="83"/>
      <c r="AM566" s="83"/>
      <c r="AN566" s="83"/>
      <c r="AO566" s="83"/>
      <c r="AP566" s="83"/>
      <c r="AQ566" s="83"/>
      <c r="AR566" s="83"/>
      <c r="AS566" s="55">
        <f>'Messages Dictionary'!I590</f>
        <v>0</v>
      </c>
    </row>
    <row r="567" spans="1:45" s="27" customFormat="1" ht="28.5" hidden="1" x14ac:dyDescent="0.2">
      <c r="A567" s="28">
        <v>10007</v>
      </c>
      <c r="B567" s="9" t="s">
        <v>522</v>
      </c>
      <c r="C567" s="9" t="s">
        <v>531</v>
      </c>
      <c r="D567" s="9" t="s">
        <v>234</v>
      </c>
      <c r="E567" s="9" t="s">
        <v>494</v>
      </c>
      <c r="F567" s="9" t="s">
        <v>199</v>
      </c>
      <c r="G567" s="9" t="s">
        <v>809</v>
      </c>
      <c r="H567" s="9" t="s">
        <v>831</v>
      </c>
      <c r="I567" s="55">
        <f>'Messages Dictionary'!I591</f>
        <v>0</v>
      </c>
      <c r="J567" s="10">
        <f>'Messages Dictionary'!J591</f>
        <v>0</v>
      </c>
      <c r="K567" s="10">
        <f t="shared" si="8"/>
        <v>0</v>
      </c>
      <c r="L567" s="82"/>
      <c r="M567" s="82"/>
      <c r="N567" s="83"/>
      <c r="O567" s="83"/>
      <c r="P567" s="83"/>
      <c r="Q567" s="83"/>
      <c r="R567" s="83"/>
      <c r="S567" s="83"/>
      <c r="T567" s="83"/>
      <c r="U567" s="83"/>
      <c r="V567" s="83"/>
      <c r="W567" s="83"/>
      <c r="X567" s="83"/>
      <c r="Y567" s="83"/>
      <c r="Z567" s="83"/>
      <c r="AA567" s="83"/>
      <c r="AB567" s="83"/>
      <c r="AC567" s="83"/>
      <c r="AD567" s="83"/>
      <c r="AE567" s="83"/>
      <c r="AF567" s="83"/>
      <c r="AG567" s="83"/>
      <c r="AH567" s="83"/>
      <c r="AI567" s="83"/>
      <c r="AJ567" s="83"/>
      <c r="AK567" s="83"/>
      <c r="AL567" s="83"/>
      <c r="AM567" s="83"/>
      <c r="AN567" s="83"/>
      <c r="AO567" s="83"/>
      <c r="AP567" s="83"/>
      <c r="AQ567" s="83"/>
      <c r="AR567" s="83"/>
      <c r="AS567" s="55">
        <f>'Messages Dictionary'!I591</f>
        <v>0</v>
      </c>
    </row>
    <row r="568" spans="1:45" s="27" customFormat="1" ht="57" hidden="1" x14ac:dyDescent="0.2">
      <c r="A568" s="28">
        <v>10008</v>
      </c>
      <c r="B568" s="9" t="s">
        <v>532</v>
      </c>
      <c r="C568" s="9" t="s">
        <v>533</v>
      </c>
      <c r="D568" s="9" t="s">
        <v>234</v>
      </c>
      <c r="E568" s="9" t="s">
        <v>494</v>
      </c>
      <c r="F568" s="9" t="s">
        <v>199</v>
      </c>
      <c r="G568" s="9" t="s">
        <v>809</v>
      </c>
      <c r="H568" s="9" t="s">
        <v>831</v>
      </c>
      <c r="I568" s="55">
        <f>'Messages Dictionary'!I592</f>
        <v>0</v>
      </c>
      <c r="J568" s="10">
        <f>'Messages Dictionary'!J592</f>
        <v>0</v>
      </c>
      <c r="K568" s="10">
        <f t="shared" si="8"/>
        <v>0</v>
      </c>
      <c r="L568" s="82"/>
      <c r="M568" s="82"/>
      <c r="N568" s="83"/>
      <c r="O568" s="83"/>
      <c r="P568" s="83"/>
      <c r="Q568" s="83"/>
      <c r="R568" s="83"/>
      <c r="S568" s="83"/>
      <c r="T568" s="83"/>
      <c r="U568" s="83"/>
      <c r="V568" s="83"/>
      <c r="W568" s="83"/>
      <c r="X568" s="83"/>
      <c r="Y568" s="83"/>
      <c r="Z568" s="83"/>
      <c r="AA568" s="83"/>
      <c r="AB568" s="83"/>
      <c r="AC568" s="83"/>
      <c r="AD568" s="83"/>
      <c r="AE568" s="83"/>
      <c r="AF568" s="83"/>
      <c r="AG568" s="83"/>
      <c r="AH568" s="83"/>
      <c r="AI568" s="83"/>
      <c r="AJ568" s="83"/>
      <c r="AK568" s="83"/>
      <c r="AL568" s="83"/>
      <c r="AM568" s="83"/>
      <c r="AN568" s="83"/>
      <c r="AO568" s="83"/>
      <c r="AP568" s="83"/>
      <c r="AQ568" s="83"/>
      <c r="AR568" s="83"/>
      <c r="AS568" s="55">
        <f>'Messages Dictionary'!I592</f>
        <v>0</v>
      </c>
    </row>
    <row r="569" spans="1:45" s="27" customFormat="1" ht="57" hidden="1" x14ac:dyDescent="0.2">
      <c r="A569" s="28">
        <v>10009</v>
      </c>
      <c r="B569" s="9" t="s">
        <v>534</v>
      </c>
      <c r="C569" s="9" t="s">
        <v>533</v>
      </c>
      <c r="D569" s="9" t="s">
        <v>234</v>
      </c>
      <c r="E569" s="9" t="s">
        <v>494</v>
      </c>
      <c r="F569" s="9" t="s">
        <v>199</v>
      </c>
      <c r="G569" s="9" t="s">
        <v>809</v>
      </c>
      <c r="H569" s="9" t="s">
        <v>831</v>
      </c>
      <c r="I569" s="55">
        <f>'Messages Dictionary'!I593</f>
        <v>0</v>
      </c>
      <c r="J569" s="10">
        <f>'Messages Dictionary'!J593</f>
        <v>0</v>
      </c>
      <c r="K569" s="10">
        <f t="shared" si="8"/>
        <v>0</v>
      </c>
      <c r="L569" s="82"/>
      <c r="M569" s="82"/>
      <c r="N569" s="83"/>
      <c r="O569" s="83"/>
      <c r="P569" s="83"/>
      <c r="Q569" s="83"/>
      <c r="R569" s="83"/>
      <c r="S569" s="83"/>
      <c r="T569" s="83"/>
      <c r="U569" s="83"/>
      <c r="V569" s="83"/>
      <c r="W569" s="83"/>
      <c r="X569" s="83"/>
      <c r="Y569" s="83"/>
      <c r="Z569" s="83"/>
      <c r="AA569" s="83"/>
      <c r="AB569" s="83"/>
      <c r="AC569" s="83"/>
      <c r="AD569" s="83"/>
      <c r="AE569" s="83"/>
      <c r="AF569" s="83"/>
      <c r="AG569" s="83"/>
      <c r="AH569" s="83"/>
      <c r="AI569" s="83"/>
      <c r="AJ569" s="83"/>
      <c r="AK569" s="83"/>
      <c r="AL569" s="83"/>
      <c r="AM569" s="83"/>
      <c r="AN569" s="83"/>
      <c r="AO569" s="83"/>
      <c r="AP569" s="83"/>
      <c r="AQ569" s="83"/>
      <c r="AR569" s="83"/>
      <c r="AS569" s="55">
        <f>'Messages Dictionary'!I593</f>
        <v>0</v>
      </c>
    </row>
    <row r="570" spans="1:45" s="27" customFormat="1" ht="71.25" hidden="1" x14ac:dyDescent="0.2">
      <c r="A570" s="28">
        <v>10010</v>
      </c>
      <c r="B570" s="9" t="s">
        <v>535</v>
      </c>
      <c r="C570" s="9" t="s">
        <v>74</v>
      </c>
      <c r="D570" s="9" t="s">
        <v>234</v>
      </c>
      <c r="E570" s="9" t="s">
        <v>494</v>
      </c>
      <c r="F570" s="9" t="s">
        <v>199</v>
      </c>
      <c r="G570" s="9" t="s">
        <v>809</v>
      </c>
      <c r="H570" s="9" t="s">
        <v>831</v>
      </c>
      <c r="I570" s="55">
        <f>'Messages Dictionary'!I594</f>
        <v>0</v>
      </c>
      <c r="J570" s="10">
        <f>'Messages Dictionary'!J594</f>
        <v>0</v>
      </c>
      <c r="K570" s="10">
        <f t="shared" si="8"/>
        <v>0</v>
      </c>
      <c r="L570" s="82"/>
      <c r="M570" s="82"/>
      <c r="N570" s="83"/>
      <c r="O570" s="83"/>
      <c r="P570" s="83"/>
      <c r="Q570" s="83"/>
      <c r="R570" s="83"/>
      <c r="S570" s="83"/>
      <c r="T570" s="83"/>
      <c r="U570" s="83"/>
      <c r="V570" s="83"/>
      <c r="W570" s="83"/>
      <c r="X570" s="83"/>
      <c r="Y570" s="83"/>
      <c r="Z570" s="83"/>
      <c r="AA570" s="83"/>
      <c r="AB570" s="83"/>
      <c r="AC570" s="83"/>
      <c r="AD570" s="83"/>
      <c r="AE570" s="83"/>
      <c r="AF570" s="83"/>
      <c r="AG570" s="83"/>
      <c r="AH570" s="83"/>
      <c r="AI570" s="83"/>
      <c r="AJ570" s="83"/>
      <c r="AK570" s="83"/>
      <c r="AL570" s="83"/>
      <c r="AM570" s="83"/>
      <c r="AN570" s="83"/>
      <c r="AO570" s="83"/>
      <c r="AP570" s="83"/>
      <c r="AQ570" s="83"/>
      <c r="AR570" s="83"/>
      <c r="AS570" s="55">
        <f>'Messages Dictionary'!I594</f>
        <v>0</v>
      </c>
    </row>
    <row r="571" spans="1:45" s="27" customFormat="1" ht="28.5" hidden="1" x14ac:dyDescent="0.2">
      <c r="A571" s="28" t="s">
        <v>202</v>
      </c>
      <c r="B571" s="9" t="s">
        <v>535</v>
      </c>
      <c r="C571" s="9" t="s">
        <v>75</v>
      </c>
      <c r="D571" s="9" t="s">
        <v>234</v>
      </c>
      <c r="E571" s="9" t="s">
        <v>494</v>
      </c>
      <c r="F571" s="9" t="s">
        <v>199</v>
      </c>
      <c r="G571" s="9" t="s">
        <v>809</v>
      </c>
      <c r="H571" s="9" t="s">
        <v>831</v>
      </c>
      <c r="I571" s="55">
        <f>'Messages Dictionary'!I595</f>
        <v>0</v>
      </c>
      <c r="J571" s="10">
        <f>'Messages Dictionary'!J595</f>
        <v>0</v>
      </c>
      <c r="K571" s="10">
        <f t="shared" si="8"/>
        <v>0</v>
      </c>
      <c r="L571" s="82"/>
      <c r="M571" s="82"/>
      <c r="N571" s="83"/>
      <c r="O571" s="83"/>
      <c r="P571" s="83"/>
      <c r="Q571" s="83"/>
      <c r="R571" s="83"/>
      <c r="S571" s="83"/>
      <c r="T571" s="83"/>
      <c r="U571" s="83"/>
      <c r="V571" s="83"/>
      <c r="W571" s="83"/>
      <c r="X571" s="83"/>
      <c r="Y571" s="83"/>
      <c r="Z571" s="83"/>
      <c r="AA571" s="83"/>
      <c r="AB571" s="83"/>
      <c r="AC571" s="83"/>
      <c r="AD571" s="83"/>
      <c r="AE571" s="83"/>
      <c r="AF571" s="83"/>
      <c r="AG571" s="83"/>
      <c r="AH571" s="83"/>
      <c r="AI571" s="83"/>
      <c r="AJ571" s="83"/>
      <c r="AK571" s="83"/>
      <c r="AL571" s="83"/>
      <c r="AM571" s="83"/>
      <c r="AN571" s="83"/>
      <c r="AO571" s="83"/>
      <c r="AP571" s="83"/>
      <c r="AQ571" s="83"/>
      <c r="AR571" s="83"/>
      <c r="AS571" s="55">
        <f>'Messages Dictionary'!I595</f>
        <v>0</v>
      </c>
    </row>
    <row r="572" spans="1:45" s="27" customFormat="1" ht="28.5" hidden="1" x14ac:dyDescent="0.2">
      <c r="A572" s="28" t="s">
        <v>203</v>
      </c>
      <c r="B572" s="9" t="s">
        <v>535</v>
      </c>
      <c r="C572" s="9" t="s">
        <v>76</v>
      </c>
      <c r="D572" s="9" t="s">
        <v>234</v>
      </c>
      <c r="E572" s="9" t="s">
        <v>494</v>
      </c>
      <c r="F572" s="9" t="s">
        <v>199</v>
      </c>
      <c r="G572" s="9" t="s">
        <v>809</v>
      </c>
      <c r="H572" s="9" t="s">
        <v>831</v>
      </c>
      <c r="I572" s="55">
        <f>'Messages Dictionary'!I596</f>
        <v>0</v>
      </c>
      <c r="J572" s="10">
        <f>'Messages Dictionary'!J596</f>
        <v>0</v>
      </c>
      <c r="K572" s="10">
        <f t="shared" si="8"/>
        <v>0</v>
      </c>
      <c r="L572" s="82"/>
      <c r="M572" s="82"/>
      <c r="N572" s="83"/>
      <c r="O572" s="83"/>
      <c r="P572" s="83"/>
      <c r="Q572" s="83"/>
      <c r="R572" s="83"/>
      <c r="S572" s="83"/>
      <c r="T572" s="83"/>
      <c r="U572" s="83"/>
      <c r="V572" s="83"/>
      <c r="W572" s="83"/>
      <c r="X572" s="83"/>
      <c r="Y572" s="83"/>
      <c r="Z572" s="83"/>
      <c r="AA572" s="83"/>
      <c r="AB572" s="83"/>
      <c r="AC572" s="83"/>
      <c r="AD572" s="83"/>
      <c r="AE572" s="83"/>
      <c r="AF572" s="83"/>
      <c r="AG572" s="83"/>
      <c r="AH572" s="83"/>
      <c r="AI572" s="83"/>
      <c r="AJ572" s="83"/>
      <c r="AK572" s="83"/>
      <c r="AL572" s="83"/>
      <c r="AM572" s="83"/>
      <c r="AN572" s="83"/>
      <c r="AO572" s="83"/>
      <c r="AP572" s="83"/>
      <c r="AQ572" s="83"/>
      <c r="AR572" s="83"/>
      <c r="AS572" s="55">
        <f>'Messages Dictionary'!I596</f>
        <v>0</v>
      </c>
    </row>
    <row r="573" spans="1:45" s="27" customFormat="1" ht="28.5" hidden="1" x14ac:dyDescent="0.2">
      <c r="A573" s="28" t="s">
        <v>204</v>
      </c>
      <c r="B573" s="9" t="s">
        <v>535</v>
      </c>
      <c r="C573" s="9" t="s">
        <v>77</v>
      </c>
      <c r="D573" s="9" t="s">
        <v>234</v>
      </c>
      <c r="E573" s="9" t="s">
        <v>494</v>
      </c>
      <c r="F573" s="9" t="s">
        <v>199</v>
      </c>
      <c r="G573" s="9" t="s">
        <v>809</v>
      </c>
      <c r="H573" s="9" t="s">
        <v>831</v>
      </c>
      <c r="I573" s="55">
        <f>'Messages Dictionary'!I597</f>
        <v>0</v>
      </c>
      <c r="J573" s="10">
        <f>'Messages Dictionary'!J597</f>
        <v>0</v>
      </c>
      <c r="K573" s="10">
        <f t="shared" si="8"/>
        <v>0</v>
      </c>
      <c r="L573" s="82"/>
      <c r="M573" s="82"/>
      <c r="N573" s="83"/>
      <c r="O573" s="83"/>
      <c r="P573" s="83"/>
      <c r="Q573" s="83"/>
      <c r="R573" s="83"/>
      <c r="S573" s="83"/>
      <c r="T573" s="83"/>
      <c r="U573" s="83"/>
      <c r="V573" s="83"/>
      <c r="W573" s="83"/>
      <c r="X573" s="83"/>
      <c r="Y573" s="83"/>
      <c r="Z573" s="83"/>
      <c r="AA573" s="83"/>
      <c r="AB573" s="83"/>
      <c r="AC573" s="83"/>
      <c r="AD573" s="83"/>
      <c r="AE573" s="83"/>
      <c r="AF573" s="83"/>
      <c r="AG573" s="83"/>
      <c r="AH573" s="83"/>
      <c r="AI573" s="83"/>
      <c r="AJ573" s="83"/>
      <c r="AK573" s="83"/>
      <c r="AL573" s="83"/>
      <c r="AM573" s="83"/>
      <c r="AN573" s="83"/>
      <c r="AO573" s="83"/>
      <c r="AP573" s="83"/>
      <c r="AQ573" s="83"/>
      <c r="AR573" s="83"/>
      <c r="AS573" s="55">
        <f>'Messages Dictionary'!I597</f>
        <v>0</v>
      </c>
    </row>
    <row r="574" spans="1:45" s="27" customFormat="1" ht="28.5" hidden="1" x14ac:dyDescent="0.2">
      <c r="A574" s="28" t="s">
        <v>205</v>
      </c>
      <c r="B574" s="9" t="s">
        <v>535</v>
      </c>
      <c r="C574" s="9" t="s">
        <v>78</v>
      </c>
      <c r="D574" s="9" t="s">
        <v>234</v>
      </c>
      <c r="E574" s="9" t="s">
        <v>494</v>
      </c>
      <c r="F574" s="9" t="s">
        <v>199</v>
      </c>
      <c r="G574" s="9" t="s">
        <v>809</v>
      </c>
      <c r="H574" s="9" t="s">
        <v>831</v>
      </c>
      <c r="I574" s="55">
        <f>'Messages Dictionary'!I598</f>
        <v>0</v>
      </c>
      <c r="J574" s="10">
        <f>'Messages Dictionary'!J598</f>
        <v>0</v>
      </c>
      <c r="K574" s="10">
        <f t="shared" si="8"/>
        <v>0</v>
      </c>
      <c r="L574" s="82"/>
      <c r="M574" s="82"/>
      <c r="N574" s="83"/>
      <c r="O574" s="83"/>
      <c r="P574" s="83"/>
      <c r="Q574" s="83"/>
      <c r="R574" s="83"/>
      <c r="S574" s="83"/>
      <c r="T574" s="83"/>
      <c r="U574" s="83"/>
      <c r="V574" s="83"/>
      <c r="W574" s="83"/>
      <c r="X574" s="83"/>
      <c r="Y574" s="83"/>
      <c r="Z574" s="83"/>
      <c r="AA574" s="83"/>
      <c r="AB574" s="83"/>
      <c r="AC574" s="83"/>
      <c r="AD574" s="83"/>
      <c r="AE574" s="83"/>
      <c r="AF574" s="83"/>
      <c r="AG574" s="83"/>
      <c r="AH574" s="83"/>
      <c r="AI574" s="83"/>
      <c r="AJ574" s="83"/>
      <c r="AK574" s="83"/>
      <c r="AL574" s="83"/>
      <c r="AM574" s="83"/>
      <c r="AN574" s="83"/>
      <c r="AO574" s="83"/>
      <c r="AP574" s="83"/>
      <c r="AQ574" s="83"/>
      <c r="AR574" s="83"/>
      <c r="AS574" s="55">
        <f>'Messages Dictionary'!I598</f>
        <v>0</v>
      </c>
    </row>
    <row r="575" spans="1:45" s="27" customFormat="1" ht="28.5" hidden="1" x14ac:dyDescent="0.2">
      <c r="A575" s="28" t="s">
        <v>206</v>
      </c>
      <c r="B575" s="9" t="s">
        <v>535</v>
      </c>
      <c r="C575" s="9" t="s">
        <v>79</v>
      </c>
      <c r="D575" s="9" t="s">
        <v>234</v>
      </c>
      <c r="E575" s="9" t="s">
        <v>494</v>
      </c>
      <c r="F575" s="9" t="s">
        <v>199</v>
      </c>
      <c r="G575" s="9" t="s">
        <v>809</v>
      </c>
      <c r="H575" s="9" t="s">
        <v>831</v>
      </c>
      <c r="I575" s="55">
        <f>'Messages Dictionary'!I599</f>
        <v>0</v>
      </c>
      <c r="J575" s="10">
        <f>'Messages Dictionary'!J599</f>
        <v>0</v>
      </c>
      <c r="K575" s="10">
        <f t="shared" si="8"/>
        <v>0</v>
      </c>
      <c r="L575" s="82"/>
      <c r="M575" s="82"/>
      <c r="N575" s="83"/>
      <c r="O575" s="83"/>
      <c r="P575" s="83"/>
      <c r="Q575" s="83"/>
      <c r="R575" s="83"/>
      <c r="S575" s="83"/>
      <c r="T575" s="83"/>
      <c r="U575" s="83"/>
      <c r="V575" s="83"/>
      <c r="W575" s="83"/>
      <c r="X575" s="83"/>
      <c r="Y575" s="83"/>
      <c r="Z575" s="83"/>
      <c r="AA575" s="83"/>
      <c r="AB575" s="83"/>
      <c r="AC575" s="83"/>
      <c r="AD575" s="83"/>
      <c r="AE575" s="83"/>
      <c r="AF575" s="83"/>
      <c r="AG575" s="83"/>
      <c r="AH575" s="83"/>
      <c r="AI575" s="83"/>
      <c r="AJ575" s="83"/>
      <c r="AK575" s="83"/>
      <c r="AL575" s="83"/>
      <c r="AM575" s="83"/>
      <c r="AN575" s="83"/>
      <c r="AO575" s="83"/>
      <c r="AP575" s="83"/>
      <c r="AQ575" s="83"/>
      <c r="AR575" s="83"/>
      <c r="AS575" s="55">
        <f>'Messages Dictionary'!I599</f>
        <v>0</v>
      </c>
    </row>
    <row r="576" spans="1:45" s="27" customFormat="1" ht="28.5" hidden="1" x14ac:dyDescent="0.2">
      <c r="A576" s="28" t="s">
        <v>207</v>
      </c>
      <c r="B576" s="9" t="s">
        <v>80</v>
      </c>
      <c r="C576" s="9" t="s">
        <v>81</v>
      </c>
      <c r="D576" s="9" t="s">
        <v>234</v>
      </c>
      <c r="E576" s="9" t="s">
        <v>494</v>
      </c>
      <c r="F576" s="9" t="s">
        <v>199</v>
      </c>
      <c r="G576" s="9" t="s">
        <v>809</v>
      </c>
      <c r="H576" s="9" t="s">
        <v>831</v>
      </c>
      <c r="I576" s="55">
        <f>'Messages Dictionary'!I600</f>
        <v>0</v>
      </c>
      <c r="J576" s="10">
        <f>'Messages Dictionary'!J600</f>
        <v>0</v>
      </c>
      <c r="K576" s="10">
        <f t="shared" si="8"/>
        <v>0</v>
      </c>
      <c r="L576" s="82"/>
      <c r="M576" s="82"/>
      <c r="N576" s="83"/>
      <c r="O576" s="83"/>
      <c r="P576" s="83"/>
      <c r="Q576" s="83"/>
      <c r="R576" s="83"/>
      <c r="S576" s="83"/>
      <c r="T576" s="83"/>
      <c r="U576" s="83"/>
      <c r="V576" s="83"/>
      <c r="W576" s="83"/>
      <c r="X576" s="83"/>
      <c r="Y576" s="83"/>
      <c r="Z576" s="83"/>
      <c r="AA576" s="83"/>
      <c r="AB576" s="83"/>
      <c r="AC576" s="83"/>
      <c r="AD576" s="83"/>
      <c r="AE576" s="83"/>
      <c r="AF576" s="83"/>
      <c r="AG576" s="83"/>
      <c r="AH576" s="83"/>
      <c r="AI576" s="83"/>
      <c r="AJ576" s="83"/>
      <c r="AK576" s="83"/>
      <c r="AL576" s="83"/>
      <c r="AM576" s="83"/>
      <c r="AN576" s="83"/>
      <c r="AO576" s="83"/>
      <c r="AP576" s="83"/>
      <c r="AQ576" s="83"/>
      <c r="AR576" s="83"/>
      <c r="AS576" s="55">
        <f>'Messages Dictionary'!I600</f>
        <v>0</v>
      </c>
    </row>
    <row r="577" spans="1:45" s="27" customFormat="1" ht="42.75" hidden="1" x14ac:dyDescent="0.2">
      <c r="A577" s="28" t="s">
        <v>208</v>
      </c>
      <c r="B577" s="9" t="s">
        <v>82</v>
      </c>
      <c r="C577" s="9" t="s">
        <v>296</v>
      </c>
      <c r="D577" s="9" t="s">
        <v>234</v>
      </c>
      <c r="E577" s="9" t="s">
        <v>494</v>
      </c>
      <c r="F577" s="9" t="s">
        <v>199</v>
      </c>
      <c r="G577" s="9" t="s">
        <v>809</v>
      </c>
      <c r="H577" s="9" t="s">
        <v>831</v>
      </c>
      <c r="I577" s="55">
        <f>'Messages Dictionary'!I601</f>
        <v>0</v>
      </c>
      <c r="J577" s="10">
        <f>'Messages Dictionary'!J601</f>
        <v>0</v>
      </c>
      <c r="K577" s="10">
        <f t="shared" si="8"/>
        <v>0</v>
      </c>
      <c r="L577" s="82"/>
      <c r="M577" s="82"/>
      <c r="N577" s="83"/>
      <c r="O577" s="83"/>
      <c r="P577" s="83"/>
      <c r="Q577" s="83"/>
      <c r="R577" s="83"/>
      <c r="S577" s="83"/>
      <c r="T577" s="83"/>
      <c r="U577" s="83"/>
      <c r="V577" s="83"/>
      <c r="W577" s="83"/>
      <c r="X577" s="83"/>
      <c r="Y577" s="83"/>
      <c r="Z577" s="83"/>
      <c r="AA577" s="83"/>
      <c r="AB577" s="83"/>
      <c r="AC577" s="83"/>
      <c r="AD577" s="83"/>
      <c r="AE577" s="83"/>
      <c r="AF577" s="83"/>
      <c r="AG577" s="83"/>
      <c r="AH577" s="83"/>
      <c r="AI577" s="83"/>
      <c r="AJ577" s="83"/>
      <c r="AK577" s="83"/>
      <c r="AL577" s="83"/>
      <c r="AM577" s="83"/>
      <c r="AN577" s="83"/>
      <c r="AO577" s="83"/>
      <c r="AP577" s="83"/>
      <c r="AQ577" s="83"/>
      <c r="AR577" s="83"/>
      <c r="AS577" s="55">
        <f>'Messages Dictionary'!I601</f>
        <v>0</v>
      </c>
    </row>
    <row r="578" spans="1:45" s="27" customFormat="1" ht="28.5" hidden="1" x14ac:dyDescent="0.2">
      <c r="A578" s="28" t="s">
        <v>209</v>
      </c>
      <c r="B578" s="9" t="s">
        <v>83</v>
      </c>
      <c r="C578" s="9" t="s">
        <v>84</v>
      </c>
      <c r="D578" s="9" t="s">
        <v>234</v>
      </c>
      <c r="E578" s="9" t="s">
        <v>494</v>
      </c>
      <c r="F578" s="9" t="s">
        <v>199</v>
      </c>
      <c r="G578" s="9" t="s">
        <v>809</v>
      </c>
      <c r="H578" s="9" t="s">
        <v>831</v>
      </c>
      <c r="I578" s="55">
        <f>'Messages Dictionary'!I602</f>
        <v>0</v>
      </c>
      <c r="J578" s="10">
        <f>'Messages Dictionary'!J602</f>
        <v>0</v>
      </c>
      <c r="K578" s="10">
        <f t="shared" ref="K578:K588" si="9">I578*J578</f>
        <v>0</v>
      </c>
      <c r="L578" s="82"/>
      <c r="M578" s="82"/>
      <c r="N578" s="83"/>
      <c r="O578" s="83"/>
      <c r="P578" s="83"/>
      <c r="Q578" s="83"/>
      <c r="R578" s="83"/>
      <c r="S578" s="83"/>
      <c r="T578" s="83"/>
      <c r="U578" s="83"/>
      <c r="V578" s="83"/>
      <c r="W578" s="83"/>
      <c r="X578" s="83"/>
      <c r="Y578" s="83"/>
      <c r="Z578" s="83"/>
      <c r="AA578" s="83"/>
      <c r="AB578" s="83"/>
      <c r="AC578" s="83"/>
      <c r="AD578" s="83"/>
      <c r="AE578" s="83"/>
      <c r="AF578" s="83"/>
      <c r="AG578" s="83"/>
      <c r="AH578" s="83"/>
      <c r="AI578" s="83"/>
      <c r="AJ578" s="83"/>
      <c r="AK578" s="83"/>
      <c r="AL578" s="83"/>
      <c r="AM578" s="83"/>
      <c r="AN578" s="83"/>
      <c r="AO578" s="83"/>
      <c r="AP578" s="83"/>
      <c r="AQ578" s="83"/>
      <c r="AR578" s="83"/>
      <c r="AS578" s="55">
        <f>'Messages Dictionary'!I602</f>
        <v>0</v>
      </c>
    </row>
    <row r="579" spans="1:45" s="27" customFormat="1" ht="42.75" hidden="1" x14ac:dyDescent="0.2">
      <c r="A579" s="28" t="s">
        <v>210</v>
      </c>
      <c r="B579" s="9" t="s">
        <v>306</v>
      </c>
      <c r="C579" s="9" t="s">
        <v>307</v>
      </c>
      <c r="D579" s="9" t="s">
        <v>234</v>
      </c>
      <c r="E579" s="9" t="s">
        <v>494</v>
      </c>
      <c r="F579" s="9" t="s">
        <v>199</v>
      </c>
      <c r="G579" s="9" t="s">
        <v>809</v>
      </c>
      <c r="H579" s="9" t="s">
        <v>831</v>
      </c>
      <c r="I579" s="55">
        <f>'Messages Dictionary'!I603</f>
        <v>0</v>
      </c>
      <c r="J579" s="10">
        <f>'Messages Dictionary'!J603</f>
        <v>0</v>
      </c>
      <c r="K579" s="10">
        <f t="shared" si="9"/>
        <v>0</v>
      </c>
      <c r="L579" s="82"/>
      <c r="M579" s="82"/>
      <c r="N579" s="83"/>
      <c r="O579" s="83"/>
      <c r="P579" s="83"/>
      <c r="Q579" s="83"/>
      <c r="R579" s="83"/>
      <c r="S579" s="83"/>
      <c r="T579" s="83"/>
      <c r="U579" s="83"/>
      <c r="V579" s="83"/>
      <c r="W579" s="83"/>
      <c r="X579" s="83"/>
      <c r="Y579" s="83"/>
      <c r="Z579" s="83"/>
      <c r="AA579" s="83"/>
      <c r="AB579" s="83"/>
      <c r="AC579" s="83"/>
      <c r="AD579" s="83"/>
      <c r="AE579" s="83"/>
      <c r="AF579" s="83"/>
      <c r="AG579" s="83"/>
      <c r="AH579" s="83"/>
      <c r="AI579" s="83"/>
      <c r="AJ579" s="83"/>
      <c r="AK579" s="83"/>
      <c r="AL579" s="83"/>
      <c r="AM579" s="83"/>
      <c r="AN579" s="83"/>
      <c r="AO579" s="83"/>
      <c r="AP579" s="83"/>
      <c r="AQ579" s="83"/>
      <c r="AR579" s="83"/>
      <c r="AS579" s="55">
        <f>'Messages Dictionary'!I603</f>
        <v>0</v>
      </c>
    </row>
    <row r="580" spans="1:45" s="27" customFormat="1" ht="42.75" hidden="1" x14ac:dyDescent="0.2">
      <c r="A580" s="28" t="s">
        <v>211</v>
      </c>
      <c r="B580" s="9" t="s">
        <v>85</v>
      </c>
      <c r="C580" s="9" t="s">
        <v>86</v>
      </c>
      <c r="D580" s="9" t="s">
        <v>234</v>
      </c>
      <c r="E580" s="9" t="s">
        <v>494</v>
      </c>
      <c r="F580" s="9" t="s">
        <v>199</v>
      </c>
      <c r="G580" s="9" t="s">
        <v>809</v>
      </c>
      <c r="H580" s="9" t="s">
        <v>831</v>
      </c>
      <c r="I580" s="55">
        <f>'Messages Dictionary'!I604</f>
        <v>0</v>
      </c>
      <c r="J580" s="10">
        <f>'Messages Dictionary'!J604</f>
        <v>0</v>
      </c>
      <c r="K580" s="10">
        <f t="shared" si="9"/>
        <v>0</v>
      </c>
      <c r="L580" s="82"/>
      <c r="M580" s="82"/>
      <c r="N580" s="83"/>
      <c r="O580" s="83"/>
      <c r="P580" s="83"/>
      <c r="Q580" s="83"/>
      <c r="R580" s="83"/>
      <c r="S580" s="83"/>
      <c r="T580" s="83"/>
      <c r="U580" s="83"/>
      <c r="V580" s="83"/>
      <c r="W580" s="83"/>
      <c r="X580" s="83"/>
      <c r="Y580" s="83"/>
      <c r="Z580" s="83"/>
      <c r="AA580" s="83"/>
      <c r="AB580" s="83"/>
      <c r="AC580" s="83"/>
      <c r="AD580" s="83"/>
      <c r="AE580" s="83"/>
      <c r="AF580" s="83"/>
      <c r="AG580" s="83"/>
      <c r="AH580" s="83"/>
      <c r="AI580" s="83"/>
      <c r="AJ580" s="83"/>
      <c r="AK580" s="83"/>
      <c r="AL580" s="83"/>
      <c r="AM580" s="83"/>
      <c r="AN580" s="83"/>
      <c r="AO580" s="83"/>
      <c r="AP580" s="83"/>
      <c r="AQ580" s="83"/>
      <c r="AR580" s="83"/>
      <c r="AS580" s="55">
        <f>'Messages Dictionary'!I604</f>
        <v>0</v>
      </c>
    </row>
    <row r="581" spans="1:45" s="27" customFormat="1" ht="57" hidden="1" x14ac:dyDescent="0.2">
      <c r="A581" s="28" t="s">
        <v>45</v>
      </c>
      <c r="B581" s="9" t="s">
        <v>87</v>
      </c>
      <c r="C581" s="9" t="s">
        <v>88</v>
      </c>
      <c r="D581" s="9" t="s">
        <v>234</v>
      </c>
      <c r="E581" s="9" t="s">
        <v>494</v>
      </c>
      <c r="F581" s="9" t="s">
        <v>199</v>
      </c>
      <c r="G581" s="9" t="s">
        <v>809</v>
      </c>
      <c r="H581" s="9" t="s">
        <v>831</v>
      </c>
      <c r="I581" s="55">
        <f>'Messages Dictionary'!I605</f>
        <v>0</v>
      </c>
      <c r="J581" s="10">
        <f>'Messages Dictionary'!J605</f>
        <v>0</v>
      </c>
      <c r="K581" s="10">
        <f t="shared" si="9"/>
        <v>0</v>
      </c>
      <c r="L581" s="82"/>
      <c r="M581" s="82"/>
      <c r="N581" s="83"/>
      <c r="O581" s="83"/>
      <c r="P581" s="83"/>
      <c r="Q581" s="83"/>
      <c r="R581" s="83"/>
      <c r="S581" s="83"/>
      <c r="T581" s="83"/>
      <c r="U581" s="83"/>
      <c r="V581" s="83"/>
      <c r="W581" s="83"/>
      <c r="X581" s="83"/>
      <c r="Y581" s="83"/>
      <c r="Z581" s="83"/>
      <c r="AA581" s="83"/>
      <c r="AB581" s="83"/>
      <c r="AC581" s="83"/>
      <c r="AD581" s="83"/>
      <c r="AE581" s="83"/>
      <c r="AF581" s="83"/>
      <c r="AG581" s="83"/>
      <c r="AH581" s="83"/>
      <c r="AI581" s="83"/>
      <c r="AJ581" s="83"/>
      <c r="AK581" s="83"/>
      <c r="AL581" s="83"/>
      <c r="AM581" s="83"/>
      <c r="AN581" s="83"/>
      <c r="AO581" s="83"/>
      <c r="AP581" s="83"/>
      <c r="AQ581" s="83"/>
      <c r="AR581" s="83"/>
      <c r="AS581" s="55">
        <f>'Messages Dictionary'!I605</f>
        <v>0</v>
      </c>
    </row>
    <row r="582" spans="1:45" s="27" customFormat="1" ht="28.5" hidden="1" x14ac:dyDescent="0.2">
      <c r="A582" s="28" t="s">
        <v>46</v>
      </c>
      <c r="B582" s="9" t="s">
        <v>520</v>
      </c>
      <c r="C582" s="9" t="s">
        <v>89</v>
      </c>
      <c r="D582" s="9" t="s">
        <v>234</v>
      </c>
      <c r="E582" s="9" t="s">
        <v>494</v>
      </c>
      <c r="F582" s="9" t="s">
        <v>199</v>
      </c>
      <c r="G582" s="9" t="s">
        <v>809</v>
      </c>
      <c r="H582" s="9" t="s">
        <v>831</v>
      </c>
      <c r="I582" s="55">
        <f>'Messages Dictionary'!I606</f>
        <v>0</v>
      </c>
      <c r="J582" s="10">
        <f>'Messages Dictionary'!J606</f>
        <v>0</v>
      </c>
      <c r="K582" s="10">
        <f t="shared" si="9"/>
        <v>0</v>
      </c>
      <c r="L582" s="82"/>
      <c r="M582" s="82"/>
      <c r="N582" s="83"/>
      <c r="O582" s="83"/>
      <c r="P582" s="83"/>
      <c r="Q582" s="83"/>
      <c r="R582" s="83"/>
      <c r="S582" s="83"/>
      <c r="T582" s="83"/>
      <c r="U582" s="83"/>
      <c r="V582" s="83"/>
      <c r="W582" s="83"/>
      <c r="X582" s="83"/>
      <c r="Y582" s="83"/>
      <c r="Z582" s="83"/>
      <c r="AA582" s="83"/>
      <c r="AB582" s="83"/>
      <c r="AC582" s="83"/>
      <c r="AD582" s="83"/>
      <c r="AE582" s="83"/>
      <c r="AF582" s="83"/>
      <c r="AG582" s="83"/>
      <c r="AH582" s="83"/>
      <c r="AI582" s="83"/>
      <c r="AJ582" s="83"/>
      <c r="AK582" s="83"/>
      <c r="AL582" s="83"/>
      <c r="AM582" s="83"/>
      <c r="AN582" s="83"/>
      <c r="AO582" s="83"/>
      <c r="AP582" s="83"/>
      <c r="AQ582" s="83"/>
      <c r="AR582" s="83"/>
      <c r="AS582" s="55">
        <f>'Messages Dictionary'!I606</f>
        <v>0</v>
      </c>
    </row>
    <row r="583" spans="1:45" s="27" customFormat="1" ht="28.5" hidden="1" x14ac:dyDescent="0.2">
      <c r="A583" s="28" t="s">
        <v>47</v>
      </c>
      <c r="B583" s="9" t="s">
        <v>522</v>
      </c>
      <c r="C583" s="9" t="s">
        <v>90</v>
      </c>
      <c r="D583" s="9" t="s">
        <v>234</v>
      </c>
      <c r="E583" s="9" t="s">
        <v>494</v>
      </c>
      <c r="F583" s="9" t="s">
        <v>199</v>
      </c>
      <c r="G583" s="9" t="s">
        <v>809</v>
      </c>
      <c r="H583" s="9" t="s">
        <v>831</v>
      </c>
      <c r="I583" s="55">
        <f>'Messages Dictionary'!I607</f>
        <v>0</v>
      </c>
      <c r="J583" s="10">
        <f>'Messages Dictionary'!J607</f>
        <v>0</v>
      </c>
      <c r="K583" s="10">
        <f t="shared" si="9"/>
        <v>0</v>
      </c>
      <c r="L583" s="82"/>
      <c r="M583" s="82"/>
      <c r="N583" s="83"/>
      <c r="O583" s="83"/>
      <c r="P583" s="83"/>
      <c r="Q583" s="83"/>
      <c r="R583" s="83"/>
      <c r="S583" s="83"/>
      <c r="T583" s="83"/>
      <c r="U583" s="83"/>
      <c r="V583" s="83"/>
      <c r="W583" s="83"/>
      <c r="X583" s="83"/>
      <c r="Y583" s="83"/>
      <c r="Z583" s="83"/>
      <c r="AA583" s="83"/>
      <c r="AB583" s="83"/>
      <c r="AC583" s="83"/>
      <c r="AD583" s="83"/>
      <c r="AE583" s="83"/>
      <c r="AF583" s="83"/>
      <c r="AG583" s="83"/>
      <c r="AH583" s="83"/>
      <c r="AI583" s="83"/>
      <c r="AJ583" s="83"/>
      <c r="AK583" s="83"/>
      <c r="AL583" s="83"/>
      <c r="AM583" s="83"/>
      <c r="AN583" s="83"/>
      <c r="AO583" s="83"/>
      <c r="AP583" s="83"/>
      <c r="AQ583" s="83"/>
      <c r="AR583" s="83"/>
      <c r="AS583" s="55">
        <f>'Messages Dictionary'!I607</f>
        <v>0</v>
      </c>
    </row>
    <row r="584" spans="1:45" s="27" customFormat="1" ht="28.5" hidden="1" x14ac:dyDescent="0.2">
      <c r="A584" s="28" t="s">
        <v>48</v>
      </c>
      <c r="B584" s="9" t="s">
        <v>535</v>
      </c>
      <c r="C584" s="9" t="s">
        <v>91</v>
      </c>
      <c r="D584" s="9" t="s">
        <v>234</v>
      </c>
      <c r="E584" s="9" t="s">
        <v>494</v>
      </c>
      <c r="F584" s="9" t="s">
        <v>199</v>
      </c>
      <c r="G584" s="9" t="s">
        <v>809</v>
      </c>
      <c r="H584" s="9" t="s">
        <v>831</v>
      </c>
      <c r="I584" s="55">
        <f>'Messages Dictionary'!I608</f>
        <v>0</v>
      </c>
      <c r="J584" s="10">
        <f>'Messages Dictionary'!J608</f>
        <v>0</v>
      </c>
      <c r="K584" s="10">
        <f t="shared" si="9"/>
        <v>0</v>
      </c>
      <c r="L584" s="82"/>
      <c r="M584" s="82"/>
      <c r="N584" s="83"/>
      <c r="O584" s="83"/>
      <c r="P584" s="83"/>
      <c r="Q584" s="83"/>
      <c r="R584" s="83"/>
      <c r="S584" s="83"/>
      <c r="T584" s="83"/>
      <c r="U584" s="83"/>
      <c r="V584" s="83"/>
      <c r="W584" s="83"/>
      <c r="X584" s="83"/>
      <c r="Y584" s="83"/>
      <c r="Z584" s="83"/>
      <c r="AA584" s="83"/>
      <c r="AB584" s="83"/>
      <c r="AC584" s="83"/>
      <c r="AD584" s="83"/>
      <c r="AE584" s="83"/>
      <c r="AF584" s="83"/>
      <c r="AG584" s="83"/>
      <c r="AH584" s="83"/>
      <c r="AI584" s="83"/>
      <c r="AJ584" s="83"/>
      <c r="AK584" s="83"/>
      <c r="AL584" s="83"/>
      <c r="AM584" s="83"/>
      <c r="AN584" s="83"/>
      <c r="AO584" s="83"/>
      <c r="AP584" s="83"/>
      <c r="AQ584" s="83"/>
      <c r="AR584" s="83"/>
      <c r="AS584" s="55">
        <f>'Messages Dictionary'!I608</f>
        <v>0</v>
      </c>
    </row>
    <row r="585" spans="1:45" s="27" customFormat="1" ht="42.75" hidden="1" x14ac:dyDescent="0.2">
      <c r="A585" s="28" t="s">
        <v>49</v>
      </c>
      <c r="B585" s="9" t="s">
        <v>92</v>
      </c>
      <c r="C585" s="9" t="s">
        <v>93</v>
      </c>
      <c r="D585" s="9" t="s">
        <v>234</v>
      </c>
      <c r="E585" s="9" t="s">
        <v>494</v>
      </c>
      <c r="F585" s="9" t="s">
        <v>199</v>
      </c>
      <c r="G585" s="9" t="s">
        <v>809</v>
      </c>
      <c r="H585" s="9" t="s">
        <v>831</v>
      </c>
      <c r="I585" s="55">
        <f>'Messages Dictionary'!I609</f>
        <v>0</v>
      </c>
      <c r="J585" s="10">
        <f>'Messages Dictionary'!J609</f>
        <v>0</v>
      </c>
      <c r="K585" s="10">
        <f t="shared" si="9"/>
        <v>0</v>
      </c>
      <c r="L585" s="82"/>
      <c r="M585" s="82"/>
      <c r="N585" s="83"/>
      <c r="O585" s="83"/>
      <c r="P585" s="83"/>
      <c r="Q585" s="83"/>
      <c r="R585" s="83"/>
      <c r="S585" s="83"/>
      <c r="T585" s="83"/>
      <c r="U585" s="83"/>
      <c r="V585" s="83"/>
      <c r="W585" s="83"/>
      <c r="X585" s="83"/>
      <c r="Y585" s="83"/>
      <c r="Z585" s="83"/>
      <c r="AA585" s="83"/>
      <c r="AB585" s="83"/>
      <c r="AC585" s="83"/>
      <c r="AD585" s="83"/>
      <c r="AE585" s="83"/>
      <c r="AF585" s="83"/>
      <c r="AG585" s="83"/>
      <c r="AH585" s="83"/>
      <c r="AI585" s="83"/>
      <c r="AJ585" s="83"/>
      <c r="AK585" s="83"/>
      <c r="AL585" s="83"/>
      <c r="AM585" s="83"/>
      <c r="AN585" s="83"/>
      <c r="AO585" s="83"/>
      <c r="AP585" s="83"/>
      <c r="AQ585" s="83"/>
      <c r="AR585" s="83"/>
      <c r="AS585" s="55">
        <f>'Messages Dictionary'!I609</f>
        <v>0</v>
      </c>
    </row>
    <row r="586" spans="1:45" s="27" customFormat="1" ht="28.5" hidden="1" x14ac:dyDescent="0.2">
      <c r="A586" s="28" t="s">
        <v>50</v>
      </c>
      <c r="B586" s="9" t="s">
        <v>520</v>
      </c>
      <c r="C586" s="9" t="s">
        <v>217</v>
      </c>
      <c r="D586" s="9" t="s">
        <v>234</v>
      </c>
      <c r="E586" s="9" t="s">
        <v>494</v>
      </c>
      <c r="F586" s="9" t="s">
        <v>199</v>
      </c>
      <c r="G586" s="9" t="s">
        <v>809</v>
      </c>
      <c r="H586" s="9" t="s">
        <v>831</v>
      </c>
      <c r="I586" s="55">
        <f>'Messages Dictionary'!I611</f>
        <v>0</v>
      </c>
      <c r="J586" s="10">
        <f>'Messages Dictionary'!J611</f>
        <v>0</v>
      </c>
      <c r="K586" s="10">
        <f t="shared" si="9"/>
        <v>0</v>
      </c>
      <c r="L586" s="82"/>
      <c r="M586" s="82"/>
      <c r="N586" s="83"/>
      <c r="O586" s="83"/>
      <c r="P586" s="83"/>
      <c r="Q586" s="83"/>
      <c r="R586" s="83"/>
      <c r="S586" s="83"/>
      <c r="T586" s="83"/>
      <c r="U586" s="83"/>
      <c r="V586" s="83"/>
      <c r="W586" s="83"/>
      <c r="X586" s="83"/>
      <c r="Y586" s="83"/>
      <c r="Z586" s="83"/>
      <c r="AA586" s="83"/>
      <c r="AB586" s="83"/>
      <c r="AC586" s="83"/>
      <c r="AD586" s="83"/>
      <c r="AE586" s="83"/>
      <c r="AF586" s="83"/>
      <c r="AG586" s="83"/>
      <c r="AH586" s="83"/>
      <c r="AI586" s="83"/>
      <c r="AJ586" s="83"/>
      <c r="AK586" s="83"/>
      <c r="AL586" s="83"/>
      <c r="AM586" s="83"/>
      <c r="AN586" s="83"/>
      <c r="AO586" s="83"/>
      <c r="AP586" s="83"/>
      <c r="AQ586" s="83"/>
      <c r="AR586" s="83"/>
      <c r="AS586" s="55">
        <f>'Messages Dictionary'!I611</f>
        <v>0</v>
      </c>
    </row>
    <row r="587" spans="1:45" s="27" customFormat="1" ht="42.75" hidden="1" x14ac:dyDescent="0.2">
      <c r="A587" s="28" t="s">
        <v>51</v>
      </c>
      <c r="B587" s="9" t="s">
        <v>107</v>
      </c>
      <c r="C587" s="9" t="s">
        <v>108</v>
      </c>
      <c r="D587" s="9" t="s">
        <v>234</v>
      </c>
      <c r="E587" s="9" t="s">
        <v>494</v>
      </c>
      <c r="F587" s="9" t="s">
        <v>199</v>
      </c>
      <c r="G587" s="9" t="s">
        <v>809</v>
      </c>
      <c r="H587" s="9" t="s">
        <v>831</v>
      </c>
      <c r="I587" s="55">
        <f>'Messages Dictionary'!I612</f>
        <v>0</v>
      </c>
      <c r="J587" s="10">
        <f>'Messages Dictionary'!J612</f>
        <v>0</v>
      </c>
      <c r="K587" s="10">
        <f t="shared" si="9"/>
        <v>0</v>
      </c>
      <c r="L587" s="82"/>
      <c r="M587" s="82"/>
      <c r="N587" s="83"/>
      <c r="O587" s="83"/>
      <c r="P587" s="83"/>
      <c r="Q587" s="83"/>
      <c r="R587" s="83"/>
      <c r="S587" s="83"/>
      <c r="T587" s="83"/>
      <c r="U587" s="83"/>
      <c r="V587" s="83"/>
      <c r="W587" s="83"/>
      <c r="X587" s="83"/>
      <c r="Y587" s="83"/>
      <c r="Z587" s="83"/>
      <c r="AA587" s="83"/>
      <c r="AB587" s="83"/>
      <c r="AC587" s="83"/>
      <c r="AD587" s="83"/>
      <c r="AE587" s="83"/>
      <c r="AF587" s="83"/>
      <c r="AG587" s="83"/>
      <c r="AH587" s="83"/>
      <c r="AI587" s="83"/>
      <c r="AJ587" s="83"/>
      <c r="AK587" s="83"/>
      <c r="AL587" s="83"/>
      <c r="AM587" s="83"/>
      <c r="AN587" s="83"/>
      <c r="AO587" s="83"/>
      <c r="AP587" s="83"/>
      <c r="AQ587" s="83"/>
      <c r="AR587" s="83"/>
      <c r="AS587" s="55">
        <f>'Messages Dictionary'!I612</f>
        <v>0</v>
      </c>
    </row>
    <row r="588" spans="1:45" s="27" customFormat="1" ht="28.5" hidden="1" x14ac:dyDescent="0.2">
      <c r="A588" s="28" t="s">
        <v>52</v>
      </c>
      <c r="B588" s="9" t="s">
        <v>535</v>
      </c>
      <c r="C588" s="9" t="s">
        <v>109</v>
      </c>
      <c r="D588" s="9" t="s">
        <v>234</v>
      </c>
      <c r="E588" s="9" t="s">
        <v>494</v>
      </c>
      <c r="F588" s="9" t="s">
        <v>199</v>
      </c>
      <c r="G588" s="9" t="s">
        <v>809</v>
      </c>
      <c r="H588" s="9" t="s">
        <v>831</v>
      </c>
      <c r="I588" s="55">
        <f>'Messages Dictionary'!I613</f>
        <v>0</v>
      </c>
      <c r="J588" s="10">
        <f>'Messages Dictionary'!J613</f>
        <v>0</v>
      </c>
      <c r="K588" s="10">
        <f t="shared" si="9"/>
        <v>0</v>
      </c>
      <c r="L588" s="82"/>
      <c r="M588" s="82"/>
      <c r="N588" s="83"/>
      <c r="O588" s="83"/>
      <c r="P588" s="83"/>
      <c r="Q588" s="83"/>
      <c r="R588" s="83"/>
      <c r="S588" s="83"/>
      <c r="T588" s="83"/>
      <c r="U588" s="83"/>
      <c r="V588" s="83"/>
      <c r="W588" s="83"/>
      <c r="X588" s="83"/>
      <c r="Y588" s="83"/>
      <c r="Z588" s="83"/>
      <c r="AA588" s="83"/>
      <c r="AB588" s="83"/>
      <c r="AC588" s="83"/>
      <c r="AD588" s="83"/>
      <c r="AE588" s="83"/>
      <c r="AF588" s="83"/>
      <c r="AG588" s="83"/>
      <c r="AH588" s="83"/>
      <c r="AI588" s="83"/>
      <c r="AJ588" s="83"/>
      <c r="AK588" s="83"/>
      <c r="AL588" s="83"/>
      <c r="AM588" s="83"/>
      <c r="AN588" s="83"/>
      <c r="AO588" s="83"/>
      <c r="AP588" s="83"/>
      <c r="AQ588" s="83"/>
      <c r="AR588" s="83"/>
      <c r="AS588" s="55">
        <f>'Messages Dictionary'!I613</f>
        <v>0</v>
      </c>
    </row>
    <row r="589" spans="1:45" s="27" customFormat="1" hidden="1" x14ac:dyDescent="0.2">
      <c r="A589" s="84"/>
      <c r="B589" s="17"/>
      <c r="C589" s="17"/>
      <c r="D589" s="29"/>
      <c r="E589" s="29"/>
      <c r="F589" s="29"/>
      <c r="G589" s="17"/>
      <c r="H589" s="17"/>
      <c r="I589" s="81"/>
      <c r="J589" s="85"/>
      <c r="K589" s="81"/>
      <c r="L589" s="29"/>
      <c r="M589" s="29"/>
      <c r="N589" s="29"/>
      <c r="O589" s="29"/>
      <c r="P589" s="29"/>
      <c r="Q589" s="29"/>
      <c r="R589" s="29"/>
      <c r="S589" s="29"/>
      <c r="T589" s="29"/>
      <c r="U589" s="29"/>
      <c r="V589" s="29"/>
      <c r="W589" s="29"/>
      <c r="X589" s="29"/>
      <c r="Y589" s="29"/>
      <c r="Z589" s="29"/>
      <c r="AA589" s="29"/>
      <c r="AB589" s="29"/>
      <c r="AC589" s="29"/>
      <c r="AD589" s="29"/>
      <c r="AE589" s="29"/>
      <c r="AF589" s="29"/>
      <c r="AG589" s="29"/>
      <c r="AH589" s="29"/>
      <c r="AI589" s="29"/>
      <c r="AJ589" s="29"/>
      <c r="AK589" s="29"/>
      <c r="AL589" s="29"/>
      <c r="AM589" s="29"/>
      <c r="AN589" s="29"/>
      <c r="AO589" s="29"/>
      <c r="AP589" s="29"/>
      <c r="AQ589" s="29"/>
      <c r="AR589" s="29"/>
      <c r="AS589" s="81"/>
    </row>
    <row r="590" spans="1:45" hidden="1" x14ac:dyDescent="0.2"/>
    <row r="591" spans="1:45" hidden="1" x14ac:dyDescent="0.2"/>
    <row r="592" spans="1:45" hidden="1" x14ac:dyDescent="0.2"/>
    <row r="593" spans="1:45" hidden="1" x14ac:dyDescent="0.2"/>
    <row r="594" spans="1:45" hidden="1" x14ac:dyDescent="0.2"/>
    <row r="595" spans="1:45" hidden="1" x14ac:dyDescent="0.2"/>
    <row r="596" spans="1:45" hidden="1" x14ac:dyDescent="0.2"/>
    <row r="597" spans="1:45" hidden="1" x14ac:dyDescent="0.2"/>
    <row r="598" spans="1:45" hidden="1" x14ac:dyDescent="0.2"/>
    <row r="599" spans="1:45" hidden="1" x14ac:dyDescent="0.2"/>
    <row r="600" spans="1:45" ht="30" hidden="1" x14ac:dyDescent="0.2">
      <c r="A600" s="6" t="s">
        <v>392</v>
      </c>
      <c r="B600" s="7" t="s">
        <v>622</v>
      </c>
      <c r="C600" s="7" t="s">
        <v>394</v>
      </c>
      <c r="D600" s="7" t="s">
        <v>395</v>
      </c>
      <c r="E600" s="7" t="s">
        <v>396</v>
      </c>
      <c r="F600" s="7" t="s">
        <v>391</v>
      </c>
      <c r="G600" s="7" t="s">
        <v>397</v>
      </c>
      <c r="H600" s="7" t="s">
        <v>398</v>
      </c>
      <c r="J600" s="21" t="str">
        <f>'Messages Dictionary'!J1</f>
        <v>Weight Index</v>
      </c>
      <c r="N600" s="189" t="s">
        <v>53</v>
      </c>
      <c r="O600" s="189">
        <v>2</v>
      </c>
      <c r="P600" s="189">
        <v>3</v>
      </c>
      <c r="Q600" s="189">
        <v>4</v>
      </c>
      <c r="R600" s="189">
        <v>5</v>
      </c>
      <c r="S600" s="189">
        <v>6</v>
      </c>
      <c r="T600" s="189">
        <v>7</v>
      </c>
      <c r="U600" s="189">
        <v>8</v>
      </c>
      <c r="V600" s="189">
        <v>9</v>
      </c>
      <c r="W600" s="189">
        <v>10</v>
      </c>
      <c r="X600" s="189">
        <v>11</v>
      </c>
      <c r="Y600" s="189">
        <v>12</v>
      </c>
      <c r="Z600" s="189">
        <v>13</v>
      </c>
      <c r="AA600" s="189">
        <v>14</v>
      </c>
      <c r="AB600" s="189">
        <v>15</v>
      </c>
      <c r="AC600" s="189">
        <v>16</v>
      </c>
      <c r="AD600" s="189">
        <v>17</v>
      </c>
      <c r="AE600" s="189">
        <v>18</v>
      </c>
      <c r="AF600" s="189">
        <v>19</v>
      </c>
      <c r="AG600" s="189">
        <v>20</v>
      </c>
      <c r="AH600" s="189">
        <v>21</v>
      </c>
      <c r="AI600" s="189">
        <v>22</v>
      </c>
      <c r="AJ600" s="189">
        <v>23</v>
      </c>
      <c r="AK600" s="189">
        <v>24</v>
      </c>
      <c r="AL600" s="189">
        <v>25</v>
      </c>
      <c r="AM600" s="189">
        <v>26</v>
      </c>
      <c r="AN600" s="189">
        <v>27</v>
      </c>
      <c r="AO600" s="189">
        <v>28</v>
      </c>
      <c r="AP600" s="189">
        <v>29</v>
      </c>
      <c r="AQ600" s="189">
        <v>30</v>
      </c>
      <c r="AR600" s="189" t="s">
        <v>54</v>
      </c>
      <c r="AS600" s="195" t="s">
        <v>197</v>
      </c>
    </row>
    <row r="601" spans="1:45" ht="42.75" hidden="1" x14ac:dyDescent="0.2">
      <c r="A601" s="65">
        <v>0</v>
      </c>
      <c r="B601" s="9" t="s">
        <v>402</v>
      </c>
      <c r="C601" s="9" t="s">
        <v>403</v>
      </c>
      <c r="D601" s="9" t="s">
        <v>404</v>
      </c>
      <c r="E601" s="9" t="s">
        <v>404</v>
      </c>
      <c r="F601" s="9" t="s">
        <v>198</v>
      </c>
      <c r="G601" s="9" t="s">
        <v>405</v>
      </c>
      <c r="H601" s="9" t="s">
        <v>406</v>
      </c>
      <c r="J601" s="10">
        <f>'Messages Dictionary'!J2</f>
        <v>0.25</v>
      </c>
      <c r="N601" s="89"/>
      <c r="O601" s="89"/>
      <c r="P601" s="89"/>
      <c r="Q601" s="89"/>
      <c r="R601" s="89"/>
      <c r="S601" s="89"/>
      <c r="T601" s="89"/>
      <c r="U601" s="89"/>
      <c r="V601" s="89"/>
      <c r="W601" s="89"/>
      <c r="X601" s="89"/>
      <c r="Y601" s="89"/>
      <c r="Z601" s="89"/>
      <c r="AA601" s="89"/>
      <c r="AB601" s="89"/>
      <c r="AC601" s="89"/>
      <c r="AD601" s="89"/>
      <c r="AE601" s="89"/>
      <c r="AF601" s="89"/>
      <c r="AG601" s="89"/>
      <c r="AH601" s="89"/>
      <c r="AI601" s="89"/>
      <c r="AJ601" s="89"/>
      <c r="AK601" s="89"/>
      <c r="AL601" s="89"/>
      <c r="AM601" s="89"/>
      <c r="AN601" s="89"/>
      <c r="AO601" s="89"/>
      <c r="AP601" s="89"/>
      <c r="AQ601" s="89"/>
      <c r="AR601" s="89"/>
      <c r="AS601" s="89">
        <f t="shared" ref="AS601:AS664" si="10">AS2*$J601</f>
        <v>0</v>
      </c>
    </row>
    <row r="602" spans="1:45" hidden="1" x14ac:dyDescent="0.2">
      <c r="A602" s="65">
        <v>5</v>
      </c>
      <c r="B602" s="9" t="s">
        <v>408</v>
      </c>
      <c r="C602" s="9" t="s">
        <v>409</v>
      </c>
      <c r="D602" s="9" t="s">
        <v>404</v>
      </c>
      <c r="E602" s="9" t="s">
        <v>404</v>
      </c>
      <c r="F602" s="9" t="s">
        <v>198</v>
      </c>
      <c r="G602" s="9" t="s">
        <v>405</v>
      </c>
      <c r="H602" s="9" t="s">
        <v>406</v>
      </c>
      <c r="J602" s="10">
        <f>'Messages Dictionary'!J3</f>
        <v>1</v>
      </c>
      <c r="N602" s="89"/>
      <c r="O602" s="89"/>
      <c r="P602" s="89"/>
      <c r="Q602" s="89"/>
      <c r="R602" s="89"/>
      <c r="S602" s="89"/>
      <c r="T602" s="89"/>
      <c r="U602" s="89"/>
      <c r="V602" s="89"/>
      <c r="W602" s="89"/>
      <c r="X602" s="89"/>
      <c r="Y602" s="89"/>
      <c r="Z602" s="89"/>
      <c r="AA602" s="89"/>
      <c r="AB602" s="89"/>
      <c r="AC602" s="89"/>
      <c r="AD602" s="89"/>
      <c r="AE602" s="89"/>
      <c r="AF602" s="89"/>
      <c r="AG602" s="89"/>
      <c r="AH602" s="89"/>
      <c r="AI602" s="89"/>
      <c r="AJ602" s="89"/>
      <c r="AK602" s="89"/>
      <c r="AL602" s="89"/>
      <c r="AM602" s="89"/>
      <c r="AN602" s="89"/>
      <c r="AO602" s="89"/>
      <c r="AP602" s="89"/>
      <c r="AQ602" s="89"/>
      <c r="AR602" s="89"/>
      <c r="AS602" s="89">
        <f t="shared" si="10"/>
        <v>0</v>
      </c>
    </row>
    <row r="603" spans="1:45" ht="28.5" hidden="1" x14ac:dyDescent="0.2">
      <c r="A603" s="65">
        <v>7</v>
      </c>
      <c r="B603" s="9" t="s">
        <v>627</v>
      </c>
      <c r="C603" s="9" t="s">
        <v>411</v>
      </c>
      <c r="D603" s="9" t="s">
        <v>404</v>
      </c>
      <c r="E603" s="9" t="s">
        <v>404</v>
      </c>
      <c r="F603" s="9" t="s">
        <v>199</v>
      </c>
      <c r="G603" s="9" t="s">
        <v>412</v>
      </c>
      <c r="H603" s="9" t="s">
        <v>831</v>
      </c>
      <c r="J603" s="10">
        <f>'Messages Dictionary'!J4</f>
        <v>0.5</v>
      </c>
      <c r="N603" s="89"/>
      <c r="O603" s="89"/>
      <c r="P603" s="89"/>
      <c r="Q603" s="89"/>
      <c r="R603" s="89"/>
      <c r="S603" s="89"/>
      <c r="T603" s="89"/>
      <c r="U603" s="89"/>
      <c r="V603" s="89"/>
      <c r="W603" s="89"/>
      <c r="X603" s="89"/>
      <c r="Y603" s="89"/>
      <c r="Z603" s="89"/>
      <c r="AA603" s="89"/>
      <c r="AB603" s="89"/>
      <c r="AC603" s="89"/>
      <c r="AD603" s="89"/>
      <c r="AE603" s="89"/>
      <c r="AF603" s="89"/>
      <c r="AG603" s="89"/>
      <c r="AH603" s="89"/>
      <c r="AI603" s="89"/>
      <c r="AJ603" s="89"/>
      <c r="AK603" s="89"/>
      <c r="AL603" s="89"/>
      <c r="AM603" s="89"/>
      <c r="AN603" s="89"/>
      <c r="AO603" s="89"/>
      <c r="AP603" s="89"/>
      <c r="AQ603" s="89"/>
      <c r="AR603" s="89"/>
      <c r="AS603" s="89">
        <f t="shared" si="10"/>
        <v>0</v>
      </c>
    </row>
    <row r="604" spans="1:45" ht="28.5" hidden="1" x14ac:dyDescent="0.2">
      <c r="A604" s="65">
        <v>8</v>
      </c>
      <c r="B604" s="9" t="s">
        <v>410</v>
      </c>
      <c r="C604" s="9" t="s">
        <v>411</v>
      </c>
      <c r="D604" s="9" t="s">
        <v>404</v>
      </c>
      <c r="E604" s="9" t="s">
        <v>404</v>
      </c>
      <c r="F604" s="9" t="s">
        <v>199</v>
      </c>
      <c r="G604" s="9" t="s">
        <v>412</v>
      </c>
      <c r="H604" s="9" t="s">
        <v>831</v>
      </c>
      <c r="J604" s="10">
        <f>'Messages Dictionary'!J5</f>
        <v>0.5</v>
      </c>
      <c r="N604" s="89"/>
      <c r="O604" s="89"/>
      <c r="P604" s="89"/>
      <c r="Q604" s="89"/>
      <c r="R604" s="89"/>
      <c r="S604" s="89"/>
      <c r="T604" s="89"/>
      <c r="U604" s="89"/>
      <c r="V604" s="89"/>
      <c r="W604" s="89"/>
      <c r="X604" s="89"/>
      <c r="Y604" s="89"/>
      <c r="Z604" s="89"/>
      <c r="AA604" s="89"/>
      <c r="AB604" s="89"/>
      <c r="AC604" s="89"/>
      <c r="AD604" s="89"/>
      <c r="AE604" s="89"/>
      <c r="AF604" s="89"/>
      <c r="AG604" s="89"/>
      <c r="AH604" s="89"/>
      <c r="AI604" s="89"/>
      <c r="AJ604" s="89"/>
      <c r="AK604" s="89"/>
      <c r="AL604" s="89"/>
      <c r="AM604" s="89"/>
      <c r="AN604" s="89"/>
      <c r="AO604" s="89"/>
      <c r="AP604" s="89"/>
      <c r="AQ604" s="89"/>
      <c r="AR604" s="89"/>
      <c r="AS604" s="89">
        <f t="shared" si="10"/>
        <v>0</v>
      </c>
    </row>
    <row r="605" spans="1:45" ht="28.5" hidden="1" x14ac:dyDescent="0.2">
      <c r="A605" s="65">
        <v>9</v>
      </c>
      <c r="B605" s="9" t="s">
        <v>413</v>
      </c>
      <c r="C605" s="9" t="s">
        <v>411</v>
      </c>
      <c r="D605" s="9" t="s">
        <v>404</v>
      </c>
      <c r="E605" s="9" t="s">
        <v>404</v>
      </c>
      <c r="F605" s="9" t="s">
        <v>199</v>
      </c>
      <c r="G605" s="9" t="s">
        <v>412</v>
      </c>
      <c r="H605" s="9" t="s">
        <v>831</v>
      </c>
      <c r="J605" s="10">
        <f>'Messages Dictionary'!J6</f>
        <v>0.5</v>
      </c>
      <c r="N605" s="89"/>
      <c r="O605" s="89"/>
      <c r="P605" s="89"/>
      <c r="Q605" s="89"/>
      <c r="R605" s="89"/>
      <c r="S605" s="89"/>
      <c r="T605" s="89"/>
      <c r="U605" s="89"/>
      <c r="V605" s="89"/>
      <c r="W605" s="89"/>
      <c r="X605" s="89"/>
      <c r="Y605" s="89"/>
      <c r="Z605" s="89"/>
      <c r="AA605" s="89"/>
      <c r="AB605" s="89"/>
      <c r="AC605" s="89"/>
      <c r="AD605" s="89"/>
      <c r="AE605" s="89"/>
      <c r="AF605" s="89"/>
      <c r="AG605" s="89"/>
      <c r="AH605" s="89"/>
      <c r="AI605" s="89"/>
      <c r="AJ605" s="89"/>
      <c r="AK605" s="89"/>
      <c r="AL605" s="89"/>
      <c r="AM605" s="89"/>
      <c r="AN605" s="89"/>
      <c r="AO605" s="89"/>
      <c r="AP605" s="89"/>
      <c r="AQ605" s="89"/>
      <c r="AR605" s="89"/>
      <c r="AS605" s="89">
        <f t="shared" si="10"/>
        <v>0</v>
      </c>
    </row>
    <row r="606" spans="1:45" ht="28.5" hidden="1" x14ac:dyDescent="0.2">
      <c r="A606" s="65">
        <v>10</v>
      </c>
      <c r="B606" s="9" t="s">
        <v>414</v>
      </c>
      <c r="C606" s="9" t="s">
        <v>415</v>
      </c>
      <c r="D606" s="9" t="s">
        <v>404</v>
      </c>
      <c r="E606" s="9" t="s">
        <v>404</v>
      </c>
      <c r="F606" s="9" t="s">
        <v>199</v>
      </c>
      <c r="G606" s="9" t="s">
        <v>412</v>
      </c>
      <c r="H606" s="9" t="s">
        <v>831</v>
      </c>
      <c r="J606" s="10">
        <f>'Messages Dictionary'!J7</f>
        <v>0.5</v>
      </c>
      <c r="N606" s="89"/>
      <c r="O606" s="89"/>
      <c r="P606" s="89"/>
      <c r="Q606" s="89"/>
      <c r="R606" s="89"/>
      <c r="S606" s="89"/>
      <c r="T606" s="89"/>
      <c r="U606" s="89"/>
      <c r="V606" s="89"/>
      <c r="W606" s="89"/>
      <c r="X606" s="89"/>
      <c r="Y606" s="89"/>
      <c r="Z606" s="89"/>
      <c r="AA606" s="89"/>
      <c r="AB606" s="89"/>
      <c r="AC606" s="89"/>
      <c r="AD606" s="89"/>
      <c r="AE606" s="89"/>
      <c r="AF606" s="89"/>
      <c r="AG606" s="89"/>
      <c r="AH606" s="89"/>
      <c r="AI606" s="89"/>
      <c r="AJ606" s="89"/>
      <c r="AK606" s="89"/>
      <c r="AL606" s="89"/>
      <c r="AM606" s="89"/>
      <c r="AN606" s="89"/>
      <c r="AO606" s="89"/>
      <c r="AP606" s="89"/>
      <c r="AQ606" s="89"/>
      <c r="AR606" s="89"/>
      <c r="AS606" s="89">
        <f t="shared" si="10"/>
        <v>0</v>
      </c>
    </row>
    <row r="607" spans="1:45" ht="28.5" hidden="1" x14ac:dyDescent="0.2">
      <c r="A607" s="65">
        <v>11</v>
      </c>
      <c r="B607" s="9" t="s">
        <v>417</v>
      </c>
      <c r="C607" s="9" t="s">
        <v>415</v>
      </c>
      <c r="D607" s="9" t="s">
        <v>404</v>
      </c>
      <c r="E607" s="9" t="s">
        <v>404</v>
      </c>
      <c r="F607" s="9" t="s">
        <v>199</v>
      </c>
      <c r="G607" s="9" t="s">
        <v>412</v>
      </c>
      <c r="H607" s="9" t="s">
        <v>831</v>
      </c>
      <c r="J607" s="10">
        <f>'Messages Dictionary'!J8</f>
        <v>0.5</v>
      </c>
      <c r="N607" s="89"/>
      <c r="O607" s="89"/>
      <c r="P607" s="89"/>
      <c r="Q607" s="89"/>
      <c r="R607" s="89"/>
      <c r="S607" s="89"/>
      <c r="T607" s="89"/>
      <c r="U607" s="89"/>
      <c r="V607" s="89"/>
      <c r="W607" s="89"/>
      <c r="X607" s="89"/>
      <c r="Y607" s="89"/>
      <c r="Z607" s="89"/>
      <c r="AA607" s="89"/>
      <c r="AB607" s="89"/>
      <c r="AC607" s="89"/>
      <c r="AD607" s="89"/>
      <c r="AE607" s="89"/>
      <c r="AF607" s="89"/>
      <c r="AG607" s="89"/>
      <c r="AH607" s="89"/>
      <c r="AI607" s="89"/>
      <c r="AJ607" s="89"/>
      <c r="AK607" s="89"/>
      <c r="AL607" s="89"/>
      <c r="AM607" s="89"/>
      <c r="AN607" s="89"/>
      <c r="AO607" s="89"/>
      <c r="AP607" s="89"/>
      <c r="AQ607" s="89"/>
      <c r="AR607" s="89"/>
      <c r="AS607" s="89">
        <f t="shared" si="10"/>
        <v>0</v>
      </c>
    </row>
    <row r="608" spans="1:45" ht="28.5" hidden="1" x14ac:dyDescent="0.2">
      <c r="A608" s="65">
        <v>12</v>
      </c>
      <c r="B608" s="9" t="s">
        <v>418</v>
      </c>
      <c r="C608" s="9" t="s">
        <v>411</v>
      </c>
      <c r="D608" s="9" t="s">
        <v>404</v>
      </c>
      <c r="E608" s="9" t="s">
        <v>404</v>
      </c>
      <c r="F608" s="9" t="s">
        <v>199</v>
      </c>
      <c r="G608" s="9" t="s">
        <v>412</v>
      </c>
      <c r="H608" s="9" t="s">
        <v>831</v>
      </c>
      <c r="J608" s="10">
        <f>'Messages Dictionary'!J9</f>
        <v>0.5</v>
      </c>
      <c r="N608" s="89"/>
      <c r="O608" s="89"/>
      <c r="P608" s="89"/>
      <c r="Q608" s="89"/>
      <c r="R608" s="89"/>
      <c r="S608" s="89"/>
      <c r="T608" s="89"/>
      <c r="U608" s="89"/>
      <c r="V608" s="89"/>
      <c r="W608" s="89"/>
      <c r="X608" s="89"/>
      <c r="Y608" s="89"/>
      <c r="Z608" s="89"/>
      <c r="AA608" s="89"/>
      <c r="AB608" s="89"/>
      <c r="AC608" s="89"/>
      <c r="AD608" s="89"/>
      <c r="AE608" s="89"/>
      <c r="AF608" s="89"/>
      <c r="AG608" s="89"/>
      <c r="AH608" s="89"/>
      <c r="AI608" s="89"/>
      <c r="AJ608" s="89"/>
      <c r="AK608" s="89"/>
      <c r="AL608" s="89"/>
      <c r="AM608" s="89"/>
      <c r="AN608" s="89"/>
      <c r="AO608" s="89"/>
      <c r="AP608" s="89"/>
      <c r="AQ608" s="89"/>
      <c r="AR608" s="89"/>
      <c r="AS608" s="89">
        <f t="shared" si="10"/>
        <v>0</v>
      </c>
    </row>
    <row r="609" spans="1:45" ht="28.5" hidden="1" x14ac:dyDescent="0.2">
      <c r="A609" s="65">
        <v>13</v>
      </c>
      <c r="B609" s="9" t="s">
        <v>420</v>
      </c>
      <c r="C609" s="9" t="s">
        <v>411</v>
      </c>
      <c r="D609" s="9" t="s">
        <v>404</v>
      </c>
      <c r="E609" s="9" t="s">
        <v>404</v>
      </c>
      <c r="F609" s="9" t="s">
        <v>199</v>
      </c>
      <c r="G609" s="9" t="s">
        <v>412</v>
      </c>
      <c r="H609" s="9" t="s">
        <v>831</v>
      </c>
      <c r="J609" s="10">
        <f>'Messages Dictionary'!J10</f>
        <v>0.5</v>
      </c>
      <c r="N609" s="89"/>
      <c r="O609" s="89"/>
      <c r="P609" s="89"/>
      <c r="Q609" s="89"/>
      <c r="R609" s="89"/>
      <c r="S609" s="89"/>
      <c r="T609" s="89"/>
      <c r="U609" s="89"/>
      <c r="V609" s="89"/>
      <c r="W609" s="89"/>
      <c r="X609" s="89"/>
      <c r="Y609" s="89"/>
      <c r="Z609" s="89"/>
      <c r="AA609" s="89"/>
      <c r="AB609" s="89"/>
      <c r="AC609" s="89"/>
      <c r="AD609" s="89"/>
      <c r="AE609" s="89"/>
      <c r="AF609" s="89"/>
      <c r="AG609" s="89"/>
      <c r="AH609" s="89"/>
      <c r="AI609" s="89"/>
      <c r="AJ609" s="89"/>
      <c r="AK609" s="89"/>
      <c r="AL609" s="89"/>
      <c r="AM609" s="89"/>
      <c r="AN609" s="89"/>
      <c r="AO609" s="89"/>
      <c r="AP609" s="89"/>
      <c r="AQ609" s="89"/>
      <c r="AR609" s="89"/>
      <c r="AS609" s="89">
        <f t="shared" si="10"/>
        <v>0</v>
      </c>
    </row>
    <row r="610" spans="1:45" ht="42.75" hidden="1" x14ac:dyDescent="0.2">
      <c r="A610" s="65">
        <v>14</v>
      </c>
      <c r="B610" s="9" t="s">
        <v>628</v>
      </c>
      <c r="C610" s="9" t="s">
        <v>422</v>
      </c>
      <c r="D610" s="9" t="s">
        <v>404</v>
      </c>
      <c r="E610" s="9" t="s">
        <v>404</v>
      </c>
      <c r="F610" s="9" t="s">
        <v>199</v>
      </c>
      <c r="G610" s="9" t="s">
        <v>412</v>
      </c>
      <c r="H610" s="9" t="s">
        <v>831</v>
      </c>
      <c r="J610" s="10">
        <f>'Messages Dictionary'!J11</f>
        <v>0.5</v>
      </c>
      <c r="N610" s="89"/>
      <c r="O610" s="89"/>
      <c r="P610" s="89"/>
      <c r="Q610" s="89"/>
      <c r="R610" s="89"/>
      <c r="S610" s="89"/>
      <c r="T610" s="89"/>
      <c r="U610" s="89"/>
      <c r="V610" s="89"/>
      <c r="W610" s="89"/>
      <c r="X610" s="89"/>
      <c r="Y610" s="89"/>
      <c r="Z610" s="89"/>
      <c r="AA610" s="89"/>
      <c r="AB610" s="89"/>
      <c r="AC610" s="89"/>
      <c r="AD610" s="89"/>
      <c r="AE610" s="89"/>
      <c r="AF610" s="89"/>
      <c r="AG610" s="89"/>
      <c r="AH610" s="89"/>
      <c r="AI610" s="89"/>
      <c r="AJ610" s="89"/>
      <c r="AK610" s="89"/>
      <c r="AL610" s="89"/>
      <c r="AM610" s="89"/>
      <c r="AN610" s="89"/>
      <c r="AO610" s="89"/>
      <c r="AP610" s="89"/>
      <c r="AQ610" s="89"/>
      <c r="AR610" s="89"/>
      <c r="AS610" s="89">
        <f t="shared" si="10"/>
        <v>0</v>
      </c>
    </row>
    <row r="611" spans="1:45" ht="42.75" hidden="1" x14ac:dyDescent="0.2">
      <c r="A611" s="65">
        <v>15</v>
      </c>
      <c r="B611" s="9" t="s">
        <v>421</v>
      </c>
      <c r="C611" s="9" t="s">
        <v>422</v>
      </c>
      <c r="D611" s="9" t="s">
        <v>404</v>
      </c>
      <c r="E611" s="9" t="s">
        <v>404</v>
      </c>
      <c r="F611" s="9" t="s">
        <v>199</v>
      </c>
      <c r="G611" s="9" t="s">
        <v>412</v>
      </c>
      <c r="H611" s="9" t="s">
        <v>831</v>
      </c>
      <c r="J611" s="10">
        <f>'Messages Dictionary'!J12</f>
        <v>0.5</v>
      </c>
      <c r="N611" s="89"/>
      <c r="O611" s="89"/>
      <c r="P611" s="89"/>
      <c r="Q611" s="89"/>
      <c r="R611" s="89"/>
      <c r="S611" s="89"/>
      <c r="T611" s="89"/>
      <c r="U611" s="89"/>
      <c r="V611" s="89"/>
      <c r="W611" s="89"/>
      <c r="X611" s="89"/>
      <c r="Y611" s="89"/>
      <c r="Z611" s="89"/>
      <c r="AA611" s="89"/>
      <c r="AB611" s="89"/>
      <c r="AC611" s="89"/>
      <c r="AD611" s="89"/>
      <c r="AE611" s="89"/>
      <c r="AF611" s="89"/>
      <c r="AG611" s="89"/>
      <c r="AH611" s="89"/>
      <c r="AI611" s="89"/>
      <c r="AJ611" s="89"/>
      <c r="AK611" s="89"/>
      <c r="AL611" s="89"/>
      <c r="AM611" s="89"/>
      <c r="AN611" s="89"/>
      <c r="AO611" s="89"/>
      <c r="AP611" s="89"/>
      <c r="AQ611" s="89"/>
      <c r="AR611" s="89"/>
      <c r="AS611" s="89">
        <f t="shared" si="10"/>
        <v>0</v>
      </c>
    </row>
    <row r="612" spans="1:45" ht="42.75" hidden="1" x14ac:dyDescent="0.2">
      <c r="A612" s="65">
        <v>16</v>
      </c>
      <c r="B612" s="9" t="s">
        <v>423</v>
      </c>
      <c r="C612" s="9" t="s">
        <v>422</v>
      </c>
      <c r="D612" s="9" t="s">
        <v>404</v>
      </c>
      <c r="E612" s="9" t="s">
        <v>404</v>
      </c>
      <c r="F612" s="9" t="s">
        <v>199</v>
      </c>
      <c r="G612" s="9" t="s">
        <v>412</v>
      </c>
      <c r="H612" s="9" t="s">
        <v>831</v>
      </c>
      <c r="J612" s="10">
        <f>'Messages Dictionary'!J13</f>
        <v>0.5</v>
      </c>
      <c r="N612" s="89"/>
      <c r="O612" s="89"/>
      <c r="P612" s="89"/>
      <c r="Q612" s="89"/>
      <c r="R612" s="89"/>
      <c r="S612" s="89"/>
      <c r="T612" s="89"/>
      <c r="U612" s="89"/>
      <c r="V612" s="89"/>
      <c r="W612" s="89"/>
      <c r="X612" s="89"/>
      <c r="Y612" s="89"/>
      <c r="Z612" s="89"/>
      <c r="AA612" s="89"/>
      <c r="AB612" s="89"/>
      <c r="AC612" s="89"/>
      <c r="AD612" s="89"/>
      <c r="AE612" s="89"/>
      <c r="AF612" s="89"/>
      <c r="AG612" s="89"/>
      <c r="AH612" s="89"/>
      <c r="AI612" s="89"/>
      <c r="AJ612" s="89"/>
      <c r="AK612" s="89"/>
      <c r="AL612" s="89"/>
      <c r="AM612" s="89"/>
      <c r="AN612" s="89"/>
      <c r="AO612" s="89"/>
      <c r="AP612" s="89"/>
      <c r="AQ612" s="89"/>
      <c r="AR612" s="89"/>
      <c r="AS612" s="89">
        <f t="shared" si="10"/>
        <v>0</v>
      </c>
    </row>
    <row r="613" spans="1:45" ht="42.75" hidden="1" x14ac:dyDescent="0.2">
      <c r="A613" s="65">
        <v>17</v>
      </c>
      <c r="B613" s="9" t="s">
        <v>424</v>
      </c>
      <c r="C613" s="9" t="s">
        <v>422</v>
      </c>
      <c r="D613" s="9" t="s">
        <v>404</v>
      </c>
      <c r="E613" s="9" t="s">
        <v>404</v>
      </c>
      <c r="F613" s="9" t="s">
        <v>199</v>
      </c>
      <c r="G613" s="9" t="s">
        <v>412</v>
      </c>
      <c r="H613" s="9" t="s">
        <v>831</v>
      </c>
      <c r="J613" s="10">
        <f>'Messages Dictionary'!J14</f>
        <v>0.5</v>
      </c>
      <c r="N613" s="89"/>
      <c r="O613" s="89"/>
      <c r="P613" s="89"/>
      <c r="Q613" s="89"/>
      <c r="R613" s="89"/>
      <c r="S613" s="89"/>
      <c r="T613" s="89"/>
      <c r="U613" s="89"/>
      <c r="V613" s="89"/>
      <c r="W613" s="89"/>
      <c r="X613" s="89"/>
      <c r="Y613" s="89"/>
      <c r="Z613" s="89"/>
      <c r="AA613" s="89"/>
      <c r="AB613" s="89"/>
      <c r="AC613" s="89"/>
      <c r="AD613" s="89"/>
      <c r="AE613" s="89"/>
      <c r="AF613" s="89"/>
      <c r="AG613" s="89"/>
      <c r="AH613" s="89"/>
      <c r="AI613" s="89"/>
      <c r="AJ613" s="89"/>
      <c r="AK613" s="89"/>
      <c r="AL613" s="89"/>
      <c r="AM613" s="89"/>
      <c r="AN613" s="89"/>
      <c r="AO613" s="89"/>
      <c r="AP613" s="89"/>
      <c r="AQ613" s="89"/>
      <c r="AR613" s="89"/>
      <c r="AS613" s="89">
        <f t="shared" si="10"/>
        <v>0</v>
      </c>
    </row>
    <row r="614" spans="1:45" ht="42.75" hidden="1" x14ac:dyDescent="0.2">
      <c r="A614" s="65">
        <v>18</v>
      </c>
      <c r="B614" s="9" t="s">
        <v>425</v>
      </c>
      <c r="C614" s="9" t="s">
        <v>422</v>
      </c>
      <c r="D614" s="9" t="s">
        <v>404</v>
      </c>
      <c r="E614" s="9" t="s">
        <v>404</v>
      </c>
      <c r="F614" s="9" t="s">
        <v>199</v>
      </c>
      <c r="G614" s="9" t="s">
        <v>412</v>
      </c>
      <c r="H614" s="9" t="s">
        <v>831</v>
      </c>
      <c r="J614" s="10">
        <f>'Messages Dictionary'!J15</f>
        <v>0.5</v>
      </c>
      <c r="N614" s="89"/>
      <c r="O614" s="89"/>
      <c r="P614" s="89"/>
      <c r="Q614" s="89"/>
      <c r="R614" s="89"/>
      <c r="S614" s="89"/>
      <c r="T614" s="89"/>
      <c r="U614" s="89"/>
      <c r="V614" s="89"/>
      <c r="W614" s="89"/>
      <c r="X614" s="89"/>
      <c r="Y614" s="89"/>
      <c r="Z614" s="89"/>
      <c r="AA614" s="89"/>
      <c r="AB614" s="89"/>
      <c r="AC614" s="89"/>
      <c r="AD614" s="89"/>
      <c r="AE614" s="89"/>
      <c r="AF614" s="89"/>
      <c r="AG614" s="89"/>
      <c r="AH614" s="89"/>
      <c r="AI614" s="89"/>
      <c r="AJ614" s="89"/>
      <c r="AK614" s="89"/>
      <c r="AL614" s="89"/>
      <c r="AM614" s="89"/>
      <c r="AN614" s="89"/>
      <c r="AO614" s="89"/>
      <c r="AP614" s="89"/>
      <c r="AQ614" s="89"/>
      <c r="AR614" s="89"/>
      <c r="AS614" s="89">
        <f t="shared" si="10"/>
        <v>0</v>
      </c>
    </row>
    <row r="615" spans="1:45" ht="42.75" hidden="1" x14ac:dyDescent="0.2">
      <c r="A615" s="65">
        <v>19</v>
      </c>
      <c r="B615" s="9" t="s">
        <v>427</v>
      </c>
      <c r="C615" s="9" t="s">
        <v>422</v>
      </c>
      <c r="D615" s="9" t="s">
        <v>404</v>
      </c>
      <c r="E615" s="9" t="s">
        <v>404</v>
      </c>
      <c r="F615" s="9" t="s">
        <v>199</v>
      </c>
      <c r="G615" s="9" t="s">
        <v>412</v>
      </c>
      <c r="H615" s="9" t="s">
        <v>831</v>
      </c>
      <c r="J615" s="10">
        <f>'Messages Dictionary'!J16</f>
        <v>0.5</v>
      </c>
      <c r="N615" s="89"/>
      <c r="O615" s="89"/>
      <c r="P615" s="89"/>
      <c r="Q615" s="89"/>
      <c r="R615" s="89"/>
      <c r="S615" s="89"/>
      <c r="T615" s="89"/>
      <c r="U615" s="89"/>
      <c r="V615" s="89"/>
      <c r="W615" s="89"/>
      <c r="X615" s="89"/>
      <c r="Y615" s="89"/>
      <c r="Z615" s="89"/>
      <c r="AA615" s="89"/>
      <c r="AB615" s="89"/>
      <c r="AC615" s="89"/>
      <c r="AD615" s="89"/>
      <c r="AE615" s="89"/>
      <c r="AF615" s="89"/>
      <c r="AG615" s="89"/>
      <c r="AH615" s="89"/>
      <c r="AI615" s="89"/>
      <c r="AJ615" s="89"/>
      <c r="AK615" s="89"/>
      <c r="AL615" s="89"/>
      <c r="AM615" s="89"/>
      <c r="AN615" s="89"/>
      <c r="AO615" s="89"/>
      <c r="AP615" s="89"/>
      <c r="AQ615" s="89"/>
      <c r="AR615" s="89"/>
      <c r="AS615" s="89">
        <f t="shared" si="10"/>
        <v>0</v>
      </c>
    </row>
    <row r="616" spans="1:45" ht="57" hidden="1" x14ac:dyDescent="0.2">
      <c r="A616" s="65">
        <v>20</v>
      </c>
      <c r="B616" s="9" t="s">
        <v>429</v>
      </c>
      <c r="C616" s="9" t="s">
        <v>430</v>
      </c>
      <c r="D616" s="9" t="s">
        <v>404</v>
      </c>
      <c r="E616" s="9" t="s">
        <v>404</v>
      </c>
      <c r="F616" s="9" t="s">
        <v>199</v>
      </c>
      <c r="G616" s="9" t="s">
        <v>405</v>
      </c>
      <c r="H616" s="9" t="s">
        <v>406</v>
      </c>
      <c r="J616" s="10">
        <f>'Messages Dictionary'!J17</f>
        <v>1</v>
      </c>
      <c r="N616" s="89"/>
      <c r="O616" s="89"/>
      <c r="P616" s="89"/>
      <c r="Q616" s="89"/>
      <c r="R616" s="89"/>
      <c r="S616" s="89"/>
      <c r="T616" s="89"/>
      <c r="U616" s="89"/>
      <c r="V616" s="89"/>
      <c r="W616" s="89"/>
      <c r="X616" s="89"/>
      <c r="Y616" s="89"/>
      <c r="Z616" s="89"/>
      <c r="AA616" s="89"/>
      <c r="AB616" s="89"/>
      <c r="AC616" s="89"/>
      <c r="AD616" s="89"/>
      <c r="AE616" s="89"/>
      <c r="AF616" s="89"/>
      <c r="AG616" s="89"/>
      <c r="AH616" s="89"/>
      <c r="AI616" s="89"/>
      <c r="AJ616" s="89"/>
      <c r="AK616" s="89"/>
      <c r="AL616" s="89"/>
      <c r="AM616" s="89"/>
      <c r="AN616" s="89"/>
      <c r="AO616" s="89"/>
      <c r="AP616" s="89"/>
      <c r="AQ616" s="89"/>
      <c r="AR616" s="89"/>
      <c r="AS616" s="89">
        <f t="shared" si="10"/>
        <v>0</v>
      </c>
    </row>
    <row r="617" spans="1:45" ht="42.75" hidden="1" x14ac:dyDescent="0.2">
      <c r="A617" s="65">
        <v>21</v>
      </c>
      <c r="B617" s="9" t="s">
        <v>432</v>
      </c>
      <c r="C617" s="9" t="s">
        <v>422</v>
      </c>
      <c r="D617" s="9" t="s">
        <v>404</v>
      </c>
      <c r="E617" s="9" t="s">
        <v>404</v>
      </c>
      <c r="F617" s="9" t="s">
        <v>199</v>
      </c>
      <c r="G617" s="9" t="s">
        <v>412</v>
      </c>
      <c r="H617" s="9" t="s">
        <v>831</v>
      </c>
      <c r="J617" s="10">
        <f>'Messages Dictionary'!J18</f>
        <v>0.5</v>
      </c>
      <c r="N617" s="89"/>
      <c r="O617" s="89"/>
      <c r="P617" s="89"/>
      <c r="Q617" s="89"/>
      <c r="R617" s="89"/>
      <c r="S617" s="89"/>
      <c r="T617" s="89"/>
      <c r="U617" s="89"/>
      <c r="V617" s="89"/>
      <c r="W617" s="89"/>
      <c r="X617" s="89"/>
      <c r="Y617" s="89"/>
      <c r="Z617" s="89"/>
      <c r="AA617" s="89"/>
      <c r="AB617" s="89"/>
      <c r="AC617" s="89"/>
      <c r="AD617" s="89"/>
      <c r="AE617" s="89"/>
      <c r="AF617" s="89"/>
      <c r="AG617" s="89"/>
      <c r="AH617" s="89"/>
      <c r="AI617" s="89"/>
      <c r="AJ617" s="89"/>
      <c r="AK617" s="89"/>
      <c r="AL617" s="89"/>
      <c r="AM617" s="89"/>
      <c r="AN617" s="89"/>
      <c r="AO617" s="89"/>
      <c r="AP617" s="89"/>
      <c r="AQ617" s="89"/>
      <c r="AR617" s="89"/>
      <c r="AS617" s="89">
        <f t="shared" si="10"/>
        <v>0</v>
      </c>
    </row>
    <row r="618" spans="1:45" ht="42.75" hidden="1" x14ac:dyDescent="0.2">
      <c r="A618" s="65">
        <v>22</v>
      </c>
      <c r="B618" s="9" t="s">
        <v>290</v>
      </c>
      <c r="C618" s="9" t="s">
        <v>422</v>
      </c>
      <c r="D618" s="9" t="s">
        <v>404</v>
      </c>
      <c r="E618" s="9" t="s">
        <v>404</v>
      </c>
      <c r="F618" s="9" t="s">
        <v>199</v>
      </c>
      <c r="G618" s="9" t="s">
        <v>412</v>
      </c>
      <c r="H618" s="9" t="s">
        <v>831</v>
      </c>
      <c r="J618" s="10">
        <f>'Messages Dictionary'!J19</f>
        <v>0.5</v>
      </c>
      <c r="N618" s="89"/>
      <c r="O618" s="89"/>
      <c r="P618" s="89"/>
      <c r="Q618" s="89"/>
      <c r="R618" s="89"/>
      <c r="S618" s="89"/>
      <c r="T618" s="89"/>
      <c r="U618" s="89"/>
      <c r="V618" s="89"/>
      <c r="W618" s="89"/>
      <c r="X618" s="89"/>
      <c r="Y618" s="89"/>
      <c r="Z618" s="89"/>
      <c r="AA618" s="89"/>
      <c r="AB618" s="89"/>
      <c r="AC618" s="89"/>
      <c r="AD618" s="89"/>
      <c r="AE618" s="89"/>
      <c r="AF618" s="89"/>
      <c r="AG618" s="89"/>
      <c r="AH618" s="89"/>
      <c r="AI618" s="89"/>
      <c r="AJ618" s="89"/>
      <c r="AK618" s="89"/>
      <c r="AL618" s="89"/>
      <c r="AM618" s="89"/>
      <c r="AN618" s="89"/>
      <c r="AO618" s="89"/>
      <c r="AP618" s="89"/>
      <c r="AQ618" s="89"/>
      <c r="AR618" s="89"/>
      <c r="AS618" s="89">
        <f t="shared" si="10"/>
        <v>0</v>
      </c>
    </row>
    <row r="619" spans="1:45" ht="28.5" hidden="1" x14ac:dyDescent="0.2">
      <c r="A619" s="65">
        <v>25</v>
      </c>
      <c r="B619" s="9" t="s">
        <v>421</v>
      </c>
      <c r="C619" s="9" t="s">
        <v>807</v>
      </c>
      <c r="D619" s="9" t="s">
        <v>404</v>
      </c>
      <c r="E619" s="9" t="s">
        <v>404</v>
      </c>
      <c r="F619" s="9" t="s">
        <v>199</v>
      </c>
      <c r="G619" s="9" t="s">
        <v>412</v>
      </c>
      <c r="H619" s="9" t="s">
        <v>831</v>
      </c>
      <c r="J619" s="10">
        <f>'Messages Dictionary'!J20</f>
        <v>0.5</v>
      </c>
      <c r="N619" s="89"/>
      <c r="O619" s="89"/>
      <c r="P619" s="89"/>
      <c r="Q619" s="89"/>
      <c r="R619" s="89"/>
      <c r="S619" s="89"/>
      <c r="T619" s="89"/>
      <c r="U619" s="89"/>
      <c r="V619" s="89"/>
      <c r="W619" s="89"/>
      <c r="X619" s="89"/>
      <c r="Y619" s="89"/>
      <c r="Z619" s="89"/>
      <c r="AA619" s="89"/>
      <c r="AB619" s="89"/>
      <c r="AC619" s="89"/>
      <c r="AD619" s="89"/>
      <c r="AE619" s="89"/>
      <c r="AF619" s="89"/>
      <c r="AG619" s="89"/>
      <c r="AH619" s="89"/>
      <c r="AI619" s="89"/>
      <c r="AJ619" s="89"/>
      <c r="AK619" s="89"/>
      <c r="AL619" s="89"/>
      <c r="AM619" s="89"/>
      <c r="AN619" s="89"/>
      <c r="AO619" s="89"/>
      <c r="AP619" s="89"/>
      <c r="AQ619" s="89"/>
      <c r="AR619" s="89"/>
      <c r="AS619" s="89">
        <f t="shared" si="10"/>
        <v>0</v>
      </c>
    </row>
    <row r="620" spans="1:45" ht="28.5" hidden="1" x14ac:dyDescent="0.2">
      <c r="A620" s="65">
        <v>30</v>
      </c>
      <c r="B620" s="9" t="s">
        <v>421</v>
      </c>
      <c r="C620" s="9" t="s">
        <v>808</v>
      </c>
      <c r="D620" s="9" t="s">
        <v>404</v>
      </c>
      <c r="E620" s="9" t="s">
        <v>404</v>
      </c>
      <c r="F620" s="9" t="s">
        <v>199</v>
      </c>
      <c r="G620" s="9" t="s">
        <v>412</v>
      </c>
      <c r="H620" s="9" t="s">
        <v>831</v>
      </c>
      <c r="J620" s="10">
        <f>'Messages Dictionary'!J21</f>
        <v>0.5</v>
      </c>
      <c r="N620" s="89"/>
      <c r="O620" s="89"/>
      <c r="P620" s="89"/>
      <c r="Q620" s="89"/>
      <c r="R620" s="89"/>
      <c r="S620" s="89"/>
      <c r="T620" s="89"/>
      <c r="U620" s="89"/>
      <c r="V620" s="89"/>
      <c r="W620" s="89"/>
      <c r="X620" s="89"/>
      <c r="Y620" s="89"/>
      <c r="Z620" s="89"/>
      <c r="AA620" s="89"/>
      <c r="AB620" s="89"/>
      <c r="AC620" s="89"/>
      <c r="AD620" s="89"/>
      <c r="AE620" s="89"/>
      <c r="AF620" s="89"/>
      <c r="AG620" s="89"/>
      <c r="AH620" s="89"/>
      <c r="AI620" s="89"/>
      <c r="AJ620" s="89"/>
      <c r="AK620" s="89"/>
      <c r="AL620" s="89"/>
      <c r="AM620" s="89"/>
      <c r="AN620" s="89"/>
      <c r="AO620" s="89"/>
      <c r="AP620" s="89"/>
      <c r="AQ620" s="89"/>
      <c r="AR620" s="89"/>
      <c r="AS620" s="89">
        <f t="shared" si="10"/>
        <v>0</v>
      </c>
    </row>
    <row r="621" spans="1:45" ht="28.5" hidden="1" x14ac:dyDescent="0.2">
      <c r="A621" s="65">
        <v>31</v>
      </c>
      <c r="B621" s="9" t="s">
        <v>423</v>
      </c>
      <c r="C621" s="9" t="s">
        <v>808</v>
      </c>
      <c r="D621" s="9" t="s">
        <v>404</v>
      </c>
      <c r="E621" s="9" t="s">
        <v>404</v>
      </c>
      <c r="F621" s="9" t="s">
        <v>199</v>
      </c>
      <c r="G621" s="9" t="s">
        <v>412</v>
      </c>
      <c r="H621" s="9" t="s">
        <v>831</v>
      </c>
      <c r="J621" s="10">
        <f>'Messages Dictionary'!J22</f>
        <v>0.5</v>
      </c>
      <c r="N621" s="89"/>
      <c r="O621" s="89"/>
      <c r="P621" s="89"/>
      <c r="Q621" s="89"/>
      <c r="R621" s="89"/>
      <c r="S621" s="89"/>
      <c r="T621" s="89"/>
      <c r="U621" s="89"/>
      <c r="V621" s="89"/>
      <c r="W621" s="89"/>
      <c r="X621" s="89"/>
      <c r="Y621" s="89"/>
      <c r="Z621" s="89"/>
      <c r="AA621" s="89"/>
      <c r="AB621" s="89"/>
      <c r="AC621" s="89"/>
      <c r="AD621" s="89"/>
      <c r="AE621" s="89"/>
      <c r="AF621" s="89"/>
      <c r="AG621" s="89"/>
      <c r="AH621" s="89"/>
      <c r="AI621" s="89"/>
      <c r="AJ621" s="89"/>
      <c r="AK621" s="89"/>
      <c r="AL621" s="89"/>
      <c r="AM621" s="89"/>
      <c r="AN621" s="89"/>
      <c r="AO621" s="89"/>
      <c r="AP621" s="89"/>
      <c r="AQ621" s="89"/>
      <c r="AR621" s="89"/>
      <c r="AS621" s="89">
        <f t="shared" si="10"/>
        <v>0</v>
      </c>
    </row>
    <row r="622" spans="1:45" ht="28.5" hidden="1" x14ac:dyDescent="0.2">
      <c r="A622" s="65">
        <v>32</v>
      </c>
      <c r="B622" s="9" t="s">
        <v>424</v>
      </c>
      <c r="C622" s="9" t="s">
        <v>808</v>
      </c>
      <c r="D622" s="9" t="s">
        <v>404</v>
      </c>
      <c r="E622" s="9" t="s">
        <v>404</v>
      </c>
      <c r="F622" s="9" t="s">
        <v>199</v>
      </c>
      <c r="G622" s="9" t="s">
        <v>412</v>
      </c>
      <c r="H622" s="9" t="s">
        <v>831</v>
      </c>
      <c r="J622" s="10">
        <f>'Messages Dictionary'!J23</f>
        <v>0.5</v>
      </c>
      <c r="N622" s="89"/>
      <c r="O622" s="89"/>
      <c r="P622" s="89"/>
      <c r="Q622" s="89"/>
      <c r="R622" s="89"/>
      <c r="S622" s="89"/>
      <c r="T622" s="89"/>
      <c r="U622" s="89"/>
      <c r="V622" s="89"/>
      <c r="W622" s="89"/>
      <c r="X622" s="89"/>
      <c r="Y622" s="89"/>
      <c r="Z622" s="89"/>
      <c r="AA622" s="89"/>
      <c r="AB622" s="89"/>
      <c r="AC622" s="89"/>
      <c r="AD622" s="89"/>
      <c r="AE622" s="89"/>
      <c r="AF622" s="89"/>
      <c r="AG622" s="89"/>
      <c r="AH622" s="89"/>
      <c r="AI622" s="89"/>
      <c r="AJ622" s="89"/>
      <c r="AK622" s="89"/>
      <c r="AL622" s="89"/>
      <c r="AM622" s="89"/>
      <c r="AN622" s="89"/>
      <c r="AO622" s="89"/>
      <c r="AP622" s="89"/>
      <c r="AQ622" s="89"/>
      <c r="AR622" s="89"/>
      <c r="AS622" s="89">
        <f t="shared" si="10"/>
        <v>0</v>
      </c>
    </row>
    <row r="623" spans="1:45" ht="28.5" hidden="1" x14ac:dyDescent="0.2">
      <c r="A623" s="65">
        <v>33</v>
      </c>
      <c r="B623" s="9" t="s">
        <v>425</v>
      </c>
      <c r="C623" s="9" t="s">
        <v>808</v>
      </c>
      <c r="D623" s="9" t="s">
        <v>404</v>
      </c>
      <c r="E623" s="9" t="s">
        <v>404</v>
      </c>
      <c r="F623" s="9" t="s">
        <v>199</v>
      </c>
      <c r="G623" s="9" t="s">
        <v>412</v>
      </c>
      <c r="H623" s="9" t="s">
        <v>831</v>
      </c>
      <c r="J623" s="10">
        <f>'Messages Dictionary'!J24</f>
        <v>0.5</v>
      </c>
      <c r="N623" s="89"/>
      <c r="O623" s="89"/>
      <c r="P623" s="89"/>
      <c r="Q623" s="89"/>
      <c r="R623" s="89"/>
      <c r="S623" s="89"/>
      <c r="T623" s="89"/>
      <c r="U623" s="89"/>
      <c r="V623" s="89"/>
      <c r="W623" s="89"/>
      <c r="X623" s="89"/>
      <c r="Y623" s="89"/>
      <c r="Z623" s="89"/>
      <c r="AA623" s="89"/>
      <c r="AB623" s="89"/>
      <c r="AC623" s="89"/>
      <c r="AD623" s="89"/>
      <c r="AE623" s="89"/>
      <c r="AF623" s="89"/>
      <c r="AG623" s="89"/>
      <c r="AH623" s="89"/>
      <c r="AI623" s="89"/>
      <c r="AJ623" s="89"/>
      <c r="AK623" s="89"/>
      <c r="AL623" s="89"/>
      <c r="AM623" s="89"/>
      <c r="AN623" s="89"/>
      <c r="AO623" s="89"/>
      <c r="AP623" s="89"/>
      <c r="AQ623" s="89"/>
      <c r="AR623" s="89"/>
      <c r="AS623" s="89">
        <f t="shared" si="10"/>
        <v>0</v>
      </c>
    </row>
    <row r="624" spans="1:45" ht="42.75" hidden="1" x14ac:dyDescent="0.2">
      <c r="A624" s="65">
        <v>35</v>
      </c>
      <c r="B624" s="9" t="s">
        <v>421</v>
      </c>
      <c r="C624" s="9" t="s">
        <v>810</v>
      </c>
      <c r="D624" s="9" t="s">
        <v>404</v>
      </c>
      <c r="E624" s="9" t="s">
        <v>404</v>
      </c>
      <c r="F624" s="9" t="s">
        <v>199</v>
      </c>
      <c r="G624" s="9" t="s">
        <v>405</v>
      </c>
      <c r="H624" s="9" t="s">
        <v>831</v>
      </c>
      <c r="J624" s="10">
        <f>'Messages Dictionary'!J26</f>
        <v>1</v>
      </c>
      <c r="N624" s="89"/>
      <c r="O624" s="89"/>
      <c r="P624" s="89"/>
      <c r="Q624" s="89"/>
      <c r="R624" s="89"/>
      <c r="S624" s="89"/>
      <c r="T624" s="89"/>
      <c r="U624" s="89"/>
      <c r="V624" s="89"/>
      <c r="W624" s="89"/>
      <c r="X624" s="89"/>
      <c r="Y624" s="89"/>
      <c r="Z624" s="89"/>
      <c r="AA624" s="89"/>
      <c r="AB624" s="89"/>
      <c r="AC624" s="89"/>
      <c r="AD624" s="89"/>
      <c r="AE624" s="89"/>
      <c r="AF624" s="89"/>
      <c r="AG624" s="89"/>
      <c r="AH624" s="89"/>
      <c r="AI624" s="89"/>
      <c r="AJ624" s="89"/>
      <c r="AK624" s="89"/>
      <c r="AL624" s="89"/>
      <c r="AM624" s="89"/>
      <c r="AN624" s="89"/>
      <c r="AO624" s="89"/>
      <c r="AP624" s="89"/>
      <c r="AQ624" s="89"/>
      <c r="AR624" s="89"/>
      <c r="AS624" s="89">
        <f t="shared" si="10"/>
        <v>0</v>
      </c>
    </row>
    <row r="625" spans="1:45" ht="42.75" hidden="1" x14ac:dyDescent="0.2">
      <c r="A625" s="65">
        <v>36</v>
      </c>
      <c r="B625" s="9" t="s">
        <v>423</v>
      </c>
      <c r="C625" s="9" t="s">
        <v>810</v>
      </c>
      <c r="D625" s="9" t="s">
        <v>404</v>
      </c>
      <c r="E625" s="9" t="s">
        <v>404</v>
      </c>
      <c r="F625" s="9" t="s">
        <v>199</v>
      </c>
      <c r="G625" s="9" t="s">
        <v>412</v>
      </c>
      <c r="H625" s="9" t="s">
        <v>831</v>
      </c>
      <c r="J625" s="10">
        <f>'Messages Dictionary'!J27</f>
        <v>0.5</v>
      </c>
      <c r="N625" s="89"/>
      <c r="O625" s="89"/>
      <c r="P625" s="89"/>
      <c r="Q625" s="89"/>
      <c r="R625" s="89"/>
      <c r="S625" s="89"/>
      <c r="T625" s="89"/>
      <c r="U625" s="89"/>
      <c r="V625" s="89"/>
      <c r="W625" s="89"/>
      <c r="X625" s="89"/>
      <c r="Y625" s="89"/>
      <c r="Z625" s="89"/>
      <c r="AA625" s="89"/>
      <c r="AB625" s="89"/>
      <c r="AC625" s="89"/>
      <c r="AD625" s="89"/>
      <c r="AE625" s="89"/>
      <c r="AF625" s="89"/>
      <c r="AG625" s="89"/>
      <c r="AH625" s="89"/>
      <c r="AI625" s="89"/>
      <c r="AJ625" s="89"/>
      <c r="AK625" s="89"/>
      <c r="AL625" s="89"/>
      <c r="AM625" s="89"/>
      <c r="AN625" s="89"/>
      <c r="AO625" s="89"/>
      <c r="AP625" s="89"/>
      <c r="AQ625" s="89"/>
      <c r="AR625" s="89"/>
      <c r="AS625" s="89">
        <f t="shared" si="10"/>
        <v>0</v>
      </c>
    </row>
    <row r="626" spans="1:45" ht="42.75" hidden="1" x14ac:dyDescent="0.2">
      <c r="A626" s="65">
        <v>37</v>
      </c>
      <c r="B626" s="9" t="s">
        <v>424</v>
      </c>
      <c r="C626" s="9" t="s">
        <v>810</v>
      </c>
      <c r="D626" s="9" t="s">
        <v>404</v>
      </c>
      <c r="E626" s="9" t="s">
        <v>404</v>
      </c>
      <c r="F626" s="9" t="s">
        <v>199</v>
      </c>
      <c r="G626" s="9" t="s">
        <v>412</v>
      </c>
      <c r="H626" s="9" t="s">
        <v>831</v>
      </c>
      <c r="J626" s="10">
        <f>'Messages Dictionary'!J28</f>
        <v>0.5</v>
      </c>
      <c r="N626" s="89"/>
      <c r="O626" s="89"/>
      <c r="P626" s="89"/>
      <c r="Q626" s="89"/>
      <c r="R626" s="89"/>
      <c r="S626" s="89"/>
      <c r="T626" s="89"/>
      <c r="U626" s="89"/>
      <c r="V626" s="89"/>
      <c r="W626" s="89"/>
      <c r="X626" s="89"/>
      <c r="Y626" s="89"/>
      <c r="Z626" s="89"/>
      <c r="AA626" s="89"/>
      <c r="AB626" s="89"/>
      <c r="AC626" s="89"/>
      <c r="AD626" s="89"/>
      <c r="AE626" s="89"/>
      <c r="AF626" s="89"/>
      <c r="AG626" s="89"/>
      <c r="AH626" s="89"/>
      <c r="AI626" s="89"/>
      <c r="AJ626" s="89"/>
      <c r="AK626" s="89"/>
      <c r="AL626" s="89"/>
      <c r="AM626" s="89"/>
      <c r="AN626" s="89"/>
      <c r="AO626" s="89"/>
      <c r="AP626" s="89"/>
      <c r="AQ626" s="89"/>
      <c r="AR626" s="89"/>
      <c r="AS626" s="89">
        <f t="shared" si="10"/>
        <v>0</v>
      </c>
    </row>
    <row r="627" spans="1:45" ht="42.75" hidden="1" x14ac:dyDescent="0.2">
      <c r="A627" s="65">
        <v>38</v>
      </c>
      <c r="B627" s="9" t="s">
        <v>425</v>
      </c>
      <c r="C627" s="9" t="s">
        <v>810</v>
      </c>
      <c r="D627" s="9" t="s">
        <v>404</v>
      </c>
      <c r="E627" s="9" t="s">
        <v>404</v>
      </c>
      <c r="F627" s="9" t="s">
        <v>199</v>
      </c>
      <c r="G627" s="9" t="s">
        <v>412</v>
      </c>
      <c r="H627" s="9" t="s">
        <v>831</v>
      </c>
      <c r="J627" s="10">
        <f>'Messages Dictionary'!J29</f>
        <v>0.5</v>
      </c>
      <c r="N627" s="89"/>
      <c r="O627" s="89"/>
      <c r="P627" s="89"/>
      <c r="Q627" s="89"/>
      <c r="R627" s="89"/>
      <c r="S627" s="89"/>
      <c r="T627" s="89"/>
      <c r="U627" s="89"/>
      <c r="V627" s="89"/>
      <c r="W627" s="89"/>
      <c r="X627" s="89"/>
      <c r="Y627" s="89"/>
      <c r="Z627" s="89"/>
      <c r="AA627" s="89"/>
      <c r="AB627" s="89"/>
      <c r="AC627" s="89"/>
      <c r="AD627" s="89"/>
      <c r="AE627" s="89"/>
      <c r="AF627" s="89"/>
      <c r="AG627" s="89"/>
      <c r="AH627" s="89"/>
      <c r="AI627" s="89"/>
      <c r="AJ627" s="89"/>
      <c r="AK627" s="89"/>
      <c r="AL627" s="89"/>
      <c r="AM627" s="89"/>
      <c r="AN627" s="89"/>
      <c r="AO627" s="89"/>
      <c r="AP627" s="89"/>
      <c r="AQ627" s="89"/>
      <c r="AR627" s="89"/>
      <c r="AS627" s="89">
        <f t="shared" si="10"/>
        <v>0</v>
      </c>
    </row>
    <row r="628" spans="1:45" ht="28.5" hidden="1" x14ac:dyDescent="0.2">
      <c r="A628" s="65">
        <v>40</v>
      </c>
      <c r="B628" s="9" t="s">
        <v>421</v>
      </c>
      <c r="C628" s="9" t="s">
        <v>811</v>
      </c>
      <c r="D628" s="9" t="s">
        <v>404</v>
      </c>
      <c r="E628" s="9" t="s">
        <v>404</v>
      </c>
      <c r="F628" s="9" t="s">
        <v>199</v>
      </c>
      <c r="G628" s="9" t="s">
        <v>412</v>
      </c>
      <c r="H628" s="9" t="s">
        <v>831</v>
      </c>
      <c r="J628" s="10">
        <f>'Messages Dictionary'!J31</f>
        <v>0.5</v>
      </c>
      <c r="N628" s="89"/>
      <c r="O628" s="89"/>
      <c r="P628" s="89"/>
      <c r="Q628" s="89"/>
      <c r="R628" s="89"/>
      <c r="S628" s="89"/>
      <c r="T628" s="89"/>
      <c r="U628" s="89"/>
      <c r="V628" s="89"/>
      <c r="W628" s="89"/>
      <c r="X628" s="89"/>
      <c r="Y628" s="89"/>
      <c r="Z628" s="89"/>
      <c r="AA628" s="89"/>
      <c r="AB628" s="89"/>
      <c r="AC628" s="89"/>
      <c r="AD628" s="89"/>
      <c r="AE628" s="89"/>
      <c r="AF628" s="89"/>
      <c r="AG628" s="89"/>
      <c r="AH628" s="89"/>
      <c r="AI628" s="89"/>
      <c r="AJ628" s="89"/>
      <c r="AK628" s="89"/>
      <c r="AL628" s="89"/>
      <c r="AM628" s="89"/>
      <c r="AN628" s="89"/>
      <c r="AO628" s="89"/>
      <c r="AP628" s="89"/>
      <c r="AQ628" s="89"/>
      <c r="AR628" s="89"/>
      <c r="AS628" s="89">
        <f t="shared" si="10"/>
        <v>0</v>
      </c>
    </row>
    <row r="629" spans="1:45" ht="28.5" hidden="1" x14ac:dyDescent="0.2">
      <c r="A629" s="65">
        <v>41</v>
      </c>
      <c r="B629" s="9" t="s">
        <v>423</v>
      </c>
      <c r="C629" s="9" t="s">
        <v>811</v>
      </c>
      <c r="D629" s="9" t="s">
        <v>404</v>
      </c>
      <c r="E629" s="9" t="s">
        <v>404</v>
      </c>
      <c r="F629" s="9" t="s">
        <v>199</v>
      </c>
      <c r="G629" s="9" t="s">
        <v>412</v>
      </c>
      <c r="H629" s="9" t="s">
        <v>831</v>
      </c>
      <c r="J629" s="10">
        <f>'Messages Dictionary'!J32</f>
        <v>0.5</v>
      </c>
      <c r="N629" s="89"/>
      <c r="O629" s="89"/>
      <c r="P629" s="89"/>
      <c r="Q629" s="89"/>
      <c r="R629" s="89"/>
      <c r="S629" s="89"/>
      <c r="T629" s="89"/>
      <c r="U629" s="89"/>
      <c r="V629" s="89"/>
      <c r="W629" s="89"/>
      <c r="X629" s="89"/>
      <c r="Y629" s="89"/>
      <c r="Z629" s="89"/>
      <c r="AA629" s="89"/>
      <c r="AB629" s="89"/>
      <c r="AC629" s="89"/>
      <c r="AD629" s="89"/>
      <c r="AE629" s="89"/>
      <c r="AF629" s="89"/>
      <c r="AG629" s="89"/>
      <c r="AH629" s="89"/>
      <c r="AI629" s="89"/>
      <c r="AJ629" s="89"/>
      <c r="AK629" s="89"/>
      <c r="AL629" s="89"/>
      <c r="AM629" s="89"/>
      <c r="AN629" s="89"/>
      <c r="AO629" s="89"/>
      <c r="AP629" s="89"/>
      <c r="AQ629" s="89"/>
      <c r="AR629" s="89"/>
      <c r="AS629" s="89">
        <f t="shared" si="10"/>
        <v>0</v>
      </c>
    </row>
    <row r="630" spans="1:45" ht="28.5" hidden="1" x14ac:dyDescent="0.2">
      <c r="A630" s="65">
        <v>42</v>
      </c>
      <c r="B630" s="9" t="s">
        <v>424</v>
      </c>
      <c r="C630" s="9" t="s">
        <v>811</v>
      </c>
      <c r="D630" s="9" t="s">
        <v>404</v>
      </c>
      <c r="E630" s="9" t="s">
        <v>404</v>
      </c>
      <c r="F630" s="9" t="s">
        <v>199</v>
      </c>
      <c r="G630" s="9" t="s">
        <v>412</v>
      </c>
      <c r="H630" s="9" t="s">
        <v>831</v>
      </c>
      <c r="J630" s="10">
        <f>'Messages Dictionary'!J33</f>
        <v>0.5</v>
      </c>
      <c r="N630" s="89"/>
      <c r="O630" s="89"/>
      <c r="P630" s="89"/>
      <c r="Q630" s="89"/>
      <c r="R630" s="89"/>
      <c r="S630" s="89"/>
      <c r="T630" s="89"/>
      <c r="U630" s="89"/>
      <c r="V630" s="89"/>
      <c r="W630" s="89"/>
      <c r="X630" s="89"/>
      <c r="Y630" s="89"/>
      <c r="Z630" s="89"/>
      <c r="AA630" s="89"/>
      <c r="AB630" s="89"/>
      <c r="AC630" s="89"/>
      <c r="AD630" s="89"/>
      <c r="AE630" s="89"/>
      <c r="AF630" s="89"/>
      <c r="AG630" s="89"/>
      <c r="AH630" s="89"/>
      <c r="AI630" s="89"/>
      <c r="AJ630" s="89"/>
      <c r="AK630" s="89"/>
      <c r="AL630" s="89"/>
      <c r="AM630" s="89"/>
      <c r="AN630" s="89"/>
      <c r="AO630" s="89"/>
      <c r="AP630" s="89"/>
      <c r="AQ630" s="89"/>
      <c r="AR630" s="89"/>
      <c r="AS630" s="89">
        <f t="shared" si="10"/>
        <v>0</v>
      </c>
    </row>
    <row r="631" spans="1:45" ht="28.5" hidden="1" x14ac:dyDescent="0.2">
      <c r="A631" s="65">
        <v>43</v>
      </c>
      <c r="B631" s="9" t="s">
        <v>425</v>
      </c>
      <c r="C631" s="9" t="s">
        <v>811</v>
      </c>
      <c r="D631" s="9" t="s">
        <v>404</v>
      </c>
      <c r="E631" s="9" t="s">
        <v>404</v>
      </c>
      <c r="F631" s="9" t="s">
        <v>199</v>
      </c>
      <c r="G631" s="9" t="s">
        <v>412</v>
      </c>
      <c r="H631" s="9" t="s">
        <v>831</v>
      </c>
      <c r="J631" s="10">
        <f>'Messages Dictionary'!J34</f>
        <v>0.5</v>
      </c>
      <c r="N631" s="89"/>
      <c r="O631" s="89"/>
      <c r="P631" s="89"/>
      <c r="Q631" s="89"/>
      <c r="R631" s="89"/>
      <c r="S631" s="89"/>
      <c r="T631" s="89"/>
      <c r="U631" s="89"/>
      <c r="V631" s="89"/>
      <c r="W631" s="89"/>
      <c r="X631" s="89"/>
      <c r="Y631" s="89"/>
      <c r="Z631" s="89"/>
      <c r="AA631" s="89"/>
      <c r="AB631" s="89"/>
      <c r="AC631" s="89"/>
      <c r="AD631" s="89"/>
      <c r="AE631" s="89"/>
      <c r="AF631" s="89"/>
      <c r="AG631" s="89"/>
      <c r="AH631" s="89"/>
      <c r="AI631" s="89"/>
      <c r="AJ631" s="89"/>
      <c r="AK631" s="89"/>
      <c r="AL631" s="89"/>
      <c r="AM631" s="89"/>
      <c r="AN631" s="89"/>
      <c r="AO631" s="89"/>
      <c r="AP631" s="89"/>
      <c r="AQ631" s="89"/>
      <c r="AR631" s="89"/>
      <c r="AS631" s="89">
        <f t="shared" si="10"/>
        <v>0</v>
      </c>
    </row>
    <row r="632" spans="1:45" ht="28.5" hidden="1" x14ac:dyDescent="0.2">
      <c r="A632" s="65">
        <v>45</v>
      </c>
      <c r="B632" s="9" t="s">
        <v>421</v>
      </c>
      <c r="C632" s="9" t="s">
        <v>812</v>
      </c>
      <c r="D632" s="9" t="s">
        <v>404</v>
      </c>
      <c r="E632" s="9" t="s">
        <v>404</v>
      </c>
      <c r="F632" s="9" t="s">
        <v>199</v>
      </c>
      <c r="G632" s="9" t="s">
        <v>412</v>
      </c>
      <c r="H632" s="9" t="s">
        <v>831</v>
      </c>
      <c r="J632" s="10">
        <f>'Messages Dictionary'!J36</f>
        <v>0.5</v>
      </c>
      <c r="N632" s="89"/>
      <c r="O632" s="89"/>
      <c r="P632" s="89"/>
      <c r="Q632" s="89"/>
      <c r="R632" s="89"/>
      <c r="S632" s="89"/>
      <c r="T632" s="89"/>
      <c r="U632" s="89"/>
      <c r="V632" s="89"/>
      <c r="W632" s="89"/>
      <c r="X632" s="89"/>
      <c r="Y632" s="89"/>
      <c r="Z632" s="89"/>
      <c r="AA632" s="89"/>
      <c r="AB632" s="89"/>
      <c r="AC632" s="89"/>
      <c r="AD632" s="89"/>
      <c r="AE632" s="89"/>
      <c r="AF632" s="89"/>
      <c r="AG632" s="89"/>
      <c r="AH632" s="89"/>
      <c r="AI632" s="89"/>
      <c r="AJ632" s="89"/>
      <c r="AK632" s="89"/>
      <c r="AL632" s="89"/>
      <c r="AM632" s="89"/>
      <c r="AN632" s="89"/>
      <c r="AO632" s="89"/>
      <c r="AP632" s="89"/>
      <c r="AQ632" s="89"/>
      <c r="AR632" s="89"/>
      <c r="AS632" s="89">
        <f t="shared" si="10"/>
        <v>0</v>
      </c>
    </row>
    <row r="633" spans="1:45" ht="28.5" hidden="1" x14ac:dyDescent="0.2">
      <c r="A633" s="65">
        <v>46</v>
      </c>
      <c r="B633" s="9" t="s">
        <v>423</v>
      </c>
      <c r="C633" s="9" t="s">
        <v>812</v>
      </c>
      <c r="D633" s="9" t="s">
        <v>404</v>
      </c>
      <c r="E633" s="9" t="s">
        <v>404</v>
      </c>
      <c r="F633" s="9" t="s">
        <v>199</v>
      </c>
      <c r="G633" s="9" t="s">
        <v>412</v>
      </c>
      <c r="H633" s="9" t="s">
        <v>831</v>
      </c>
      <c r="J633" s="10">
        <f>'Messages Dictionary'!J37</f>
        <v>0.5</v>
      </c>
      <c r="N633" s="89"/>
      <c r="O633" s="89"/>
      <c r="P633" s="89"/>
      <c r="Q633" s="89"/>
      <c r="R633" s="89"/>
      <c r="S633" s="89"/>
      <c r="T633" s="89"/>
      <c r="U633" s="89"/>
      <c r="V633" s="89"/>
      <c r="W633" s="89"/>
      <c r="X633" s="89"/>
      <c r="Y633" s="89"/>
      <c r="Z633" s="89"/>
      <c r="AA633" s="89"/>
      <c r="AB633" s="89"/>
      <c r="AC633" s="89"/>
      <c r="AD633" s="89"/>
      <c r="AE633" s="89"/>
      <c r="AF633" s="89"/>
      <c r="AG633" s="89"/>
      <c r="AH633" s="89"/>
      <c r="AI633" s="89"/>
      <c r="AJ633" s="89"/>
      <c r="AK633" s="89"/>
      <c r="AL633" s="89"/>
      <c r="AM633" s="89"/>
      <c r="AN633" s="89"/>
      <c r="AO633" s="89"/>
      <c r="AP633" s="89"/>
      <c r="AQ633" s="89"/>
      <c r="AR633" s="89"/>
      <c r="AS633" s="89">
        <f t="shared" si="10"/>
        <v>0</v>
      </c>
    </row>
    <row r="634" spans="1:45" ht="28.5" hidden="1" x14ac:dyDescent="0.2">
      <c r="A634" s="65">
        <v>47</v>
      </c>
      <c r="B634" s="9" t="s">
        <v>424</v>
      </c>
      <c r="C634" s="9" t="s">
        <v>812</v>
      </c>
      <c r="D634" s="9" t="s">
        <v>404</v>
      </c>
      <c r="E634" s="9" t="s">
        <v>404</v>
      </c>
      <c r="F634" s="9" t="s">
        <v>199</v>
      </c>
      <c r="G634" s="9" t="s">
        <v>412</v>
      </c>
      <c r="H634" s="9" t="s">
        <v>831</v>
      </c>
      <c r="J634" s="10">
        <f>'Messages Dictionary'!J38</f>
        <v>0.5</v>
      </c>
      <c r="N634" s="89"/>
      <c r="O634" s="89"/>
      <c r="P634" s="89"/>
      <c r="Q634" s="89"/>
      <c r="R634" s="89"/>
      <c r="S634" s="89"/>
      <c r="T634" s="89"/>
      <c r="U634" s="89"/>
      <c r="V634" s="89"/>
      <c r="W634" s="89"/>
      <c r="X634" s="89"/>
      <c r="Y634" s="89"/>
      <c r="Z634" s="89"/>
      <c r="AA634" s="89"/>
      <c r="AB634" s="89"/>
      <c r="AC634" s="89"/>
      <c r="AD634" s="89"/>
      <c r="AE634" s="89"/>
      <c r="AF634" s="89"/>
      <c r="AG634" s="89"/>
      <c r="AH634" s="89"/>
      <c r="AI634" s="89"/>
      <c r="AJ634" s="89"/>
      <c r="AK634" s="89"/>
      <c r="AL634" s="89"/>
      <c r="AM634" s="89"/>
      <c r="AN634" s="89"/>
      <c r="AO634" s="89"/>
      <c r="AP634" s="89"/>
      <c r="AQ634" s="89"/>
      <c r="AR634" s="89"/>
      <c r="AS634" s="89">
        <f t="shared" si="10"/>
        <v>0</v>
      </c>
    </row>
    <row r="635" spans="1:45" ht="28.5" hidden="1" x14ac:dyDescent="0.2">
      <c r="A635" s="65">
        <v>48</v>
      </c>
      <c r="B635" s="9" t="s">
        <v>425</v>
      </c>
      <c r="C635" s="9" t="s">
        <v>812</v>
      </c>
      <c r="D635" s="9" t="s">
        <v>404</v>
      </c>
      <c r="E635" s="9" t="s">
        <v>404</v>
      </c>
      <c r="F635" s="9" t="s">
        <v>199</v>
      </c>
      <c r="G635" s="9" t="s">
        <v>412</v>
      </c>
      <c r="H635" s="9" t="s">
        <v>831</v>
      </c>
      <c r="J635" s="10">
        <f>'Messages Dictionary'!J39</f>
        <v>0.5</v>
      </c>
      <c r="N635" s="89"/>
      <c r="O635" s="89"/>
      <c r="P635" s="89"/>
      <c r="Q635" s="89"/>
      <c r="R635" s="89"/>
      <c r="S635" s="89"/>
      <c r="T635" s="89"/>
      <c r="U635" s="89"/>
      <c r="V635" s="89"/>
      <c r="W635" s="89"/>
      <c r="X635" s="89"/>
      <c r="Y635" s="89"/>
      <c r="Z635" s="89"/>
      <c r="AA635" s="89"/>
      <c r="AB635" s="89"/>
      <c r="AC635" s="89"/>
      <c r="AD635" s="89"/>
      <c r="AE635" s="89"/>
      <c r="AF635" s="89"/>
      <c r="AG635" s="89"/>
      <c r="AH635" s="89"/>
      <c r="AI635" s="89"/>
      <c r="AJ635" s="89"/>
      <c r="AK635" s="89"/>
      <c r="AL635" s="89"/>
      <c r="AM635" s="89"/>
      <c r="AN635" s="89"/>
      <c r="AO635" s="89"/>
      <c r="AP635" s="89"/>
      <c r="AQ635" s="89"/>
      <c r="AR635" s="89"/>
      <c r="AS635" s="89">
        <f t="shared" si="10"/>
        <v>0</v>
      </c>
    </row>
    <row r="636" spans="1:45" ht="28.5" hidden="1" x14ac:dyDescent="0.2">
      <c r="A636" s="65">
        <v>50</v>
      </c>
      <c r="B636" s="9" t="s">
        <v>421</v>
      </c>
      <c r="C636" s="9" t="s">
        <v>813</v>
      </c>
      <c r="D636" s="9" t="s">
        <v>404</v>
      </c>
      <c r="E636" s="9" t="s">
        <v>404</v>
      </c>
      <c r="F636" s="9" t="s">
        <v>199</v>
      </c>
      <c r="G636" s="9" t="s">
        <v>412</v>
      </c>
      <c r="H636" s="9" t="s">
        <v>831</v>
      </c>
      <c r="J636" s="10">
        <f>'Messages Dictionary'!J41</f>
        <v>0.5</v>
      </c>
      <c r="N636" s="89"/>
      <c r="O636" s="89"/>
      <c r="P636" s="89"/>
      <c r="Q636" s="89"/>
      <c r="R636" s="89"/>
      <c r="S636" s="89"/>
      <c r="T636" s="89"/>
      <c r="U636" s="89"/>
      <c r="V636" s="89"/>
      <c r="W636" s="89"/>
      <c r="X636" s="89"/>
      <c r="Y636" s="89"/>
      <c r="Z636" s="89"/>
      <c r="AA636" s="89"/>
      <c r="AB636" s="89"/>
      <c r="AC636" s="89"/>
      <c r="AD636" s="89"/>
      <c r="AE636" s="89"/>
      <c r="AF636" s="89"/>
      <c r="AG636" s="89"/>
      <c r="AH636" s="89"/>
      <c r="AI636" s="89"/>
      <c r="AJ636" s="89"/>
      <c r="AK636" s="89"/>
      <c r="AL636" s="89"/>
      <c r="AM636" s="89"/>
      <c r="AN636" s="89"/>
      <c r="AO636" s="89"/>
      <c r="AP636" s="89"/>
      <c r="AQ636" s="89"/>
      <c r="AR636" s="89"/>
      <c r="AS636" s="89">
        <f t="shared" si="10"/>
        <v>0</v>
      </c>
    </row>
    <row r="637" spans="1:45" ht="28.5" hidden="1" x14ac:dyDescent="0.2">
      <c r="A637" s="65">
        <v>51</v>
      </c>
      <c r="B637" s="9" t="s">
        <v>423</v>
      </c>
      <c r="C637" s="9" t="s">
        <v>813</v>
      </c>
      <c r="D637" s="9" t="s">
        <v>404</v>
      </c>
      <c r="E637" s="9" t="s">
        <v>404</v>
      </c>
      <c r="F637" s="9" t="s">
        <v>199</v>
      </c>
      <c r="G637" s="9" t="s">
        <v>412</v>
      </c>
      <c r="H637" s="9" t="s">
        <v>831</v>
      </c>
      <c r="J637" s="10">
        <f>'Messages Dictionary'!J42</f>
        <v>0.5</v>
      </c>
      <c r="N637" s="89"/>
      <c r="O637" s="89"/>
      <c r="P637" s="89"/>
      <c r="Q637" s="89"/>
      <c r="R637" s="89"/>
      <c r="S637" s="89"/>
      <c r="T637" s="89"/>
      <c r="U637" s="89"/>
      <c r="V637" s="89"/>
      <c r="W637" s="89"/>
      <c r="X637" s="89"/>
      <c r="Y637" s="89"/>
      <c r="Z637" s="89"/>
      <c r="AA637" s="89"/>
      <c r="AB637" s="89"/>
      <c r="AC637" s="89"/>
      <c r="AD637" s="89"/>
      <c r="AE637" s="89"/>
      <c r="AF637" s="89"/>
      <c r="AG637" s="89"/>
      <c r="AH637" s="89"/>
      <c r="AI637" s="89"/>
      <c r="AJ637" s="89"/>
      <c r="AK637" s="89"/>
      <c r="AL637" s="89"/>
      <c r="AM637" s="89"/>
      <c r="AN637" s="89"/>
      <c r="AO637" s="89"/>
      <c r="AP637" s="89"/>
      <c r="AQ637" s="89"/>
      <c r="AR637" s="89"/>
      <c r="AS637" s="89">
        <f t="shared" si="10"/>
        <v>0</v>
      </c>
    </row>
    <row r="638" spans="1:45" ht="28.5" hidden="1" x14ac:dyDescent="0.2">
      <c r="A638" s="65">
        <v>52</v>
      </c>
      <c r="B638" s="9" t="s">
        <v>424</v>
      </c>
      <c r="C638" s="9" t="s">
        <v>813</v>
      </c>
      <c r="D638" s="9" t="s">
        <v>404</v>
      </c>
      <c r="E638" s="9" t="s">
        <v>404</v>
      </c>
      <c r="F638" s="9" t="s">
        <v>199</v>
      </c>
      <c r="G638" s="9" t="s">
        <v>412</v>
      </c>
      <c r="H638" s="9" t="s">
        <v>831</v>
      </c>
      <c r="J638" s="10">
        <f>'Messages Dictionary'!J43</f>
        <v>0.5</v>
      </c>
      <c r="N638" s="89"/>
      <c r="O638" s="89"/>
      <c r="P638" s="89"/>
      <c r="Q638" s="89"/>
      <c r="R638" s="89"/>
      <c r="S638" s="89"/>
      <c r="T638" s="89"/>
      <c r="U638" s="89"/>
      <c r="V638" s="89"/>
      <c r="W638" s="89"/>
      <c r="X638" s="89"/>
      <c r="Y638" s="89"/>
      <c r="Z638" s="89"/>
      <c r="AA638" s="89"/>
      <c r="AB638" s="89"/>
      <c r="AC638" s="89"/>
      <c r="AD638" s="89"/>
      <c r="AE638" s="89"/>
      <c r="AF638" s="89"/>
      <c r="AG638" s="89"/>
      <c r="AH638" s="89"/>
      <c r="AI638" s="89"/>
      <c r="AJ638" s="89"/>
      <c r="AK638" s="89"/>
      <c r="AL638" s="89"/>
      <c r="AM638" s="89"/>
      <c r="AN638" s="89"/>
      <c r="AO638" s="89"/>
      <c r="AP638" s="89"/>
      <c r="AQ638" s="89"/>
      <c r="AR638" s="89"/>
      <c r="AS638" s="89">
        <f t="shared" si="10"/>
        <v>0</v>
      </c>
    </row>
    <row r="639" spans="1:45" ht="28.5" hidden="1" x14ac:dyDescent="0.2">
      <c r="A639" s="65">
        <v>53</v>
      </c>
      <c r="B639" s="9" t="s">
        <v>425</v>
      </c>
      <c r="C639" s="9" t="s">
        <v>813</v>
      </c>
      <c r="D639" s="9" t="s">
        <v>404</v>
      </c>
      <c r="E639" s="9" t="s">
        <v>404</v>
      </c>
      <c r="F639" s="9" t="s">
        <v>199</v>
      </c>
      <c r="G639" s="9" t="s">
        <v>412</v>
      </c>
      <c r="H639" s="9" t="s">
        <v>831</v>
      </c>
      <c r="J639" s="10">
        <f>'Messages Dictionary'!J44</f>
        <v>0.5</v>
      </c>
      <c r="N639" s="89"/>
      <c r="O639" s="89"/>
      <c r="P639" s="89"/>
      <c r="Q639" s="89"/>
      <c r="R639" s="89"/>
      <c r="S639" s="89"/>
      <c r="T639" s="89"/>
      <c r="U639" s="89"/>
      <c r="V639" s="89"/>
      <c r="W639" s="89"/>
      <c r="X639" s="89"/>
      <c r="Y639" s="89"/>
      <c r="Z639" s="89"/>
      <c r="AA639" s="89"/>
      <c r="AB639" s="89"/>
      <c r="AC639" s="89"/>
      <c r="AD639" s="89"/>
      <c r="AE639" s="89"/>
      <c r="AF639" s="89"/>
      <c r="AG639" s="89"/>
      <c r="AH639" s="89"/>
      <c r="AI639" s="89"/>
      <c r="AJ639" s="89"/>
      <c r="AK639" s="89"/>
      <c r="AL639" s="89"/>
      <c r="AM639" s="89"/>
      <c r="AN639" s="89"/>
      <c r="AO639" s="89"/>
      <c r="AP639" s="89"/>
      <c r="AQ639" s="89"/>
      <c r="AR639" s="89"/>
      <c r="AS639" s="89">
        <f t="shared" si="10"/>
        <v>0</v>
      </c>
    </row>
    <row r="640" spans="1:45" ht="42.75" hidden="1" x14ac:dyDescent="0.2">
      <c r="A640" s="65">
        <v>56</v>
      </c>
      <c r="B640" s="9" t="s">
        <v>814</v>
      </c>
      <c r="C640" s="9" t="s">
        <v>815</v>
      </c>
      <c r="D640" s="9" t="s">
        <v>404</v>
      </c>
      <c r="E640" s="9" t="s">
        <v>404</v>
      </c>
      <c r="F640" s="9" t="s">
        <v>199</v>
      </c>
      <c r="G640" s="9" t="s">
        <v>809</v>
      </c>
      <c r="H640" s="9" t="s">
        <v>831</v>
      </c>
      <c r="J640" s="10">
        <f>'Messages Dictionary'!J46</f>
        <v>0.1</v>
      </c>
      <c r="N640" s="89"/>
      <c r="O640" s="89"/>
      <c r="P640" s="89"/>
      <c r="Q640" s="89"/>
      <c r="R640" s="89"/>
      <c r="S640" s="89"/>
      <c r="T640" s="89"/>
      <c r="U640" s="89"/>
      <c r="V640" s="89"/>
      <c r="W640" s="89"/>
      <c r="X640" s="89"/>
      <c r="Y640" s="89"/>
      <c r="Z640" s="89"/>
      <c r="AA640" s="89"/>
      <c r="AB640" s="89"/>
      <c r="AC640" s="89"/>
      <c r="AD640" s="89"/>
      <c r="AE640" s="89"/>
      <c r="AF640" s="89"/>
      <c r="AG640" s="89"/>
      <c r="AH640" s="89"/>
      <c r="AI640" s="89"/>
      <c r="AJ640" s="89"/>
      <c r="AK640" s="89"/>
      <c r="AL640" s="89"/>
      <c r="AM640" s="89"/>
      <c r="AN640" s="89"/>
      <c r="AO640" s="89"/>
      <c r="AP640" s="89"/>
      <c r="AQ640" s="89"/>
      <c r="AR640" s="89"/>
      <c r="AS640" s="89">
        <f t="shared" si="10"/>
        <v>0</v>
      </c>
    </row>
    <row r="641" spans="1:45" ht="28.5" hidden="1" x14ac:dyDescent="0.2">
      <c r="A641" s="65">
        <v>57</v>
      </c>
      <c r="B641" s="9" t="s">
        <v>425</v>
      </c>
      <c r="C641" s="9" t="s">
        <v>816</v>
      </c>
      <c r="D641" s="9" t="s">
        <v>404</v>
      </c>
      <c r="E641" s="9" t="s">
        <v>404</v>
      </c>
      <c r="F641" s="9" t="s">
        <v>199</v>
      </c>
      <c r="G641" s="9" t="s">
        <v>412</v>
      </c>
      <c r="H641" s="9" t="s">
        <v>831</v>
      </c>
      <c r="J641" s="10">
        <f>'Messages Dictionary'!J47</f>
        <v>0.5</v>
      </c>
      <c r="N641" s="89"/>
      <c r="O641" s="89"/>
      <c r="P641" s="89"/>
      <c r="Q641" s="89"/>
      <c r="R641" s="89"/>
      <c r="S641" s="89"/>
      <c r="T641" s="89"/>
      <c r="U641" s="89"/>
      <c r="V641" s="89"/>
      <c r="W641" s="89"/>
      <c r="X641" s="89"/>
      <c r="Y641" s="89"/>
      <c r="Z641" s="89"/>
      <c r="AA641" s="89"/>
      <c r="AB641" s="89"/>
      <c r="AC641" s="89"/>
      <c r="AD641" s="89"/>
      <c r="AE641" s="89"/>
      <c r="AF641" s="89"/>
      <c r="AG641" s="89"/>
      <c r="AH641" s="89"/>
      <c r="AI641" s="89"/>
      <c r="AJ641" s="89"/>
      <c r="AK641" s="89"/>
      <c r="AL641" s="89"/>
      <c r="AM641" s="89"/>
      <c r="AN641" s="89"/>
      <c r="AO641" s="89"/>
      <c r="AP641" s="89"/>
      <c r="AQ641" s="89"/>
      <c r="AR641" s="89"/>
      <c r="AS641" s="89">
        <f t="shared" si="10"/>
        <v>0</v>
      </c>
    </row>
    <row r="642" spans="1:45" ht="85.5" hidden="1" x14ac:dyDescent="0.2">
      <c r="A642" s="65">
        <v>58</v>
      </c>
      <c r="B642" s="9" t="s">
        <v>817</v>
      </c>
      <c r="C642" s="9" t="s">
        <v>818</v>
      </c>
      <c r="D642" s="9" t="s">
        <v>404</v>
      </c>
      <c r="E642" s="9" t="s">
        <v>404</v>
      </c>
      <c r="F642" s="9" t="s">
        <v>199</v>
      </c>
      <c r="G642" s="9" t="s">
        <v>412</v>
      </c>
      <c r="H642" s="9" t="s">
        <v>831</v>
      </c>
      <c r="J642" s="10">
        <f>'Messages Dictionary'!J48</f>
        <v>0.5</v>
      </c>
      <c r="N642" s="89"/>
      <c r="O642" s="89"/>
      <c r="P642" s="89"/>
      <c r="Q642" s="89"/>
      <c r="R642" s="89"/>
      <c r="S642" s="89"/>
      <c r="T642" s="89"/>
      <c r="U642" s="89"/>
      <c r="V642" s="89"/>
      <c r="W642" s="89"/>
      <c r="X642" s="89"/>
      <c r="Y642" s="89"/>
      <c r="Z642" s="89"/>
      <c r="AA642" s="89"/>
      <c r="AB642" s="89"/>
      <c r="AC642" s="89"/>
      <c r="AD642" s="89"/>
      <c r="AE642" s="89"/>
      <c r="AF642" s="89"/>
      <c r="AG642" s="89"/>
      <c r="AH642" s="89"/>
      <c r="AI642" s="89"/>
      <c r="AJ642" s="89"/>
      <c r="AK642" s="89"/>
      <c r="AL642" s="89"/>
      <c r="AM642" s="89"/>
      <c r="AN642" s="89"/>
      <c r="AO642" s="89"/>
      <c r="AP642" s="89"/>
      <c r="AQ642" s="89"/>
      <c r="AR642" s="89"/>
      <c r="AS642" s="89">
        <f t="shared" si="10"/>
        <v>0</v>
      </c>
    </row>
    <row r="643" spans="1:45" s="27" customFormat="1" ht="28.5" hidden="1" x14ac:dyDescent="0.2">
      <c r="A643" s="28">
        <v>59</v>
      </c>
      <c r="B643" s="9" t="s">
        <v>440</v>
      </c>
      <c r="C643" s="9" t="s">
        <v>441</v>
      </c>
      <c r="D643" s="9" t="s">
        <v>404</v>
      </c>
      <c r="E643" s="9" t="s">
        <v>404</v>
      </c>
      <c r="F643" s="9" t="s">
        <v>199</v>
      </c>
      <c r="G643" s="9" t="s">
        <v>412</v>
      </c>
      <c r="H643" s="9" t="s">
        <v>831</v>
      </c>
      <c r="I643" s="81"/>
      <c r="J643" s="10">
        <f>'Messages Dictionary'!J49</f>
        <v>0.5</v>
      </c>
      <c r="K643" s="81"/>
      <c r="L643" s="29"/>
      <c r="M643" s="29"/>
      <c r="N643" s="23"/>
      <c r="O643" s="23"/>
      <c r="P643" s="23"/>
      <c r="Q643" s="23"/>
      <c r="R643" s="23"/>
      <c r="S643" s="23"/>
      <c r="T643" s="23"/>
      <c r="U643" s="23"/>
      <c r="V643" s="23"/>
      <c r="W643" s="23"/>
      <c r="X643" s="23"/>
      <c r="Y643" s="23"/>
      <c r="Z643" s="23"/>
      <c r="AA643" s="23"/>
      <c r="AB643" s="23"/>
      <c r="AC643" s="23"/>
      <c r="AD643" s="23"/>
      <c r="AE643" s="23"/>
      <c r="AF643" s="23"/>
      <c r="AG643" s="23"/>
      <c r="AH643" s="23"/>
      <c r="AI643" s="23"/>
      <c r="AJ643" s="23"/>
      <c r="AK643" s="23"/>
      <c r="AL643" s="23"/>
      <c r="AM643" s="23"/>
      <c r="AN643" s="23"/>
      <c r="AO643" s="23"/>
      <c r="AP643" s="23"/>
      <c r="AQ643" s="23"/>
      <c r="AR643" s="23"/>
      <c r="AS643" s="23">
        <f t="shared" si="10"/>
        <v>0</v>
      </c>
    </row>
    <row r="644" spans="1:45" s="27" customFormat="1" ht="28.5" hidden="1" x14ac:dyDescent="0.2">
      <c r="A644" s="28">
        <v>60</v>
      </c>
      <c r="B644" s="9" t="s">
        <v>442</v>
      </c>
      <c r="C644" s="9" t="s">
        <v>443</v>
      </c>
      <c r="D644" s="9" t="s">
        <v>404</v>
      </c>
      <c r="E644" s="9" t="s">
        <v>404</v>
      </c>
      <c r="F644" s="9" t="s">
        <v>199</v>
      </c>
      <c r="G644" s="9" t="s">
        <v>412</v>
      </c>
      <c r="H644" s="9" t="s">
        <v>831</v>
      </c>
      <c r="I644" s="81"/>
      <c r="J644" s="10">
        <f>'Messages Dictionary'!J50</f>
        <v>0.5</v>
      </c>
      <c r="K644" s="81"/>
      <c r="L644" s="29"/>
      <c r="M644" s="29"/>
      <c r="N644" s="23"/>
      <c r="O644" s="23"/>
      <c r="P644" s="23"/>
      <c r="Q644" s="23"/>
      <c r="R644" s="23"/>
      <c r="S644" s="23"/>
      <c r="T644" s="23"/>
      <c r="U644" s="23"/>
      <c r="V644" s="23"/>
      <c r="W644" s="23"/>
      <c r="X644" s="23"/>
      <c r="Y644" s="23"/>
      <c r="Z644" s="23"/>
      <c r="AA644" s="23"/>
      <c r="AB644" s="23"/>
      <c r="AC644" s="23"/>
      <c r="AD644" s="23"/>
      <c r="AE644" s="23"/>
      <c r="AF644" s="23"/>
      <c r="AG644" s="23"/>
      <c r="AH644" s="23"/>
      <c r="AI644" s="23"/>
      <c r="AJ644" s="23"/>
      <c r="AK644" s="23"/>
      <c r="AL644" s="23"/>
      <c r="AM644" s="23"/>
      <c r="AN644" s="23"/>
      <c r="AO644" s="23"/>
      <c r="AP644" s="23"/>
      <c r="AQ644" s="23"/>
      <c r="AR644" s="23"/>
      <c r="AS644" s="23">
        <f t="shared" si="10"/>
        <v>0</v>
      </c>
    </row>
    <row r="645" spans="1:45" s="27" customFormat="1" ht="28.5" hidden="1" x14ac:dyDescent="0.2">
      <c r="A645" s="28">
        <v>61</v>
      </c>
      <c r="B645" s="9" t="s">
        <v>427</v>
      </c>
      <c r="C645" s="9" t="s">
        <v>808</v>
      </c>
      <c r="D645" s="9" t="s">
        <v>404</v>
      </c>
      <c r="E645" s="9" t="s">
        <v>404</v>
      </c>
      <c r="F645" s="9" t="s">
        <v>199</v>
      </c>
      <c r="G645" s="9" t="s">
        <v>412</v>
      </c>
      <c r="H645" s="9" t="s">
        <v>831</v>
      </c>
      <c r="I645" s="81"/>
      <c r="J645" s="10">
        <f>'Messages Dictionary'!J51</f>
        <v>0.5</v>
      </c>
      <c r="K645" s="81"/>
      <c r="L645" s="29"/>
      <c r="M645" s="29"/>
      <c r="N645" s="23"/>
      <c r="O645" s="23"/>
      <c r="P645" s="23"/>
      <c r="Q645" s="23"/>
      <c r="R645" s="23"/>
      <c r="S645" s="23"/>
      <c r="T645" s="23"/>
      <c r="U645" s="23"/>
      <c r="V645" s="23"/>
      <c r="W645" s="23"/>
      <c r="X645" s="23"/>
      <c r="Y645" s="23"/>
      <c r="Z645" s="23"/>
      <c r="AA645" s="23"/>
      <c r="AB645" s="23"/>
      <c r="AC645" s="23"/>
      <c r="AD645" s="23"/>
      <c r="AE645" s="23"/>
      <c r="AF645" s="23"/>
      <c r="AG645" s="23"/>
      <c r="AH645" s="23"/>
      <c r="AI645" s="23"/>
      <c r="AJ645" s="23"/>
      <c r="AK645" s="23"/>
      <c r="AL645" s="23"/>
      <c r="AM645" s="23"/>
      <c r="AN645" s="23"/>
      <c r="AO645" s="23"/>
      <c r="AP645" s="23"/>
      <c r="AQ645" s="23"/>
      <c r="AR645" s="23"/>
      <c r="AS645" s="23">
        <f t="shared" si="10"/>
        <v>0</v>
      </c>
    </row>
    <row r="646" spans="1:45" s="27" customFormat="1" ht="28.5" hidden="1" x14ac:dyDescent="0.2">
      <c r="A646" s="28">
        <v>62</v>
      </c>
      <c r="B646" s="9" t="s">
        <v>432</v>
      </c>
      <c r="C646" s="9" t="s">
        <v>808</v>
      </c>
      <c r="D646" s="9" t="s">
        <v>404</v>
      </c>
      <c r="E646" s="9" t="s">
        <v>404</v>
      </c>
      <c r="F646" s="9" t="s">
        <v>199</v>
      </c>
      <c r="G646" s="9" t="s">
        <v>412</v>
      </c>
      <c r="H646" s="9" t="s">
        <v>831</v>
      </c>
      <c r="I646" s="81"/>
      <c r="J646" s="10">
        <f>'Messages Dictionary'!J52</f>
        <v>0.5</v>
      </c>
      <c r="K646" s="81"/>
      <c r="L646" s="29"/>
      <c r="M646" s="29"/>
      <c r="N646" s="23"/>
      <c r="O646" s="23"/>
      <c r="P646" s="23"/>
      <c r="Q646" s="23"/>
      <c r="R646" s="23"/>
      <c r="S646" s="23"/>
      <c r="T646" s="23"/>
      <c r="U646" s="23"/>
      <c r="V646" s="23"/>
      <c r="W646" s="23"/>
      <c r="X646" s="23"/>
      <c r="Y646" s="23"/>
      <c r="Z646" s="23"/>
      <c r="AA646" s="23"/>
      <c r="AB646" s="23"/>
      <c r="AC646" s="23"/>
      <c r="AD646" s="23"/>
      <c r="AE646" s="23"/>
      <c r="AF646" s="23"/>
      <c r="AG646" s="23"/>
      <c r="AH646" s="23"/>
      <c r="AI646" s="23"/>
      <c r="AJ646" s="23"/>
      <c r="AK646" s="23"/>
      <c r="AL646" s="23"/>
      <c r="AM646" s="23"/>
      <c r="AN646" s="23"/>
      <c r="AO646" s="23"/>
      <c r="AP646" s="23"/>
      <c r="AQ646" s="23"/>
      <c r="AR646" s="23"/>
      <c r="AS646" s="23">
        <f t="shared" si="10"/>
        <v>0</v>
      </c>
    </row>
    <row r="647" spans="1:45" s="27" customFormat="1" ht="28.5" hidden="1" x14ac:dyDescent="0.2">
      <c r="A647" s="28">
        <v>63</v>
      </c>
      <c r="B647" s="9" t="s">
        <v>290</v>
      </c>
      <c r="C647" s="9" t="s">
        <v>808</v>
      </c>
      <c r="D647" s="9" t="s">
        <v>404</v>
      </c>
      <c r="E647" s="9" t="s">
        <v>404</v>
      </c>
      <c r="F647" s="9" t="s">
        <v>199</v>
      </c>
      <c r="G647" s="9" t="s">
        <v>412</v>
      </c>
      <c r="H647" s="9" t="s">
        <v>831</v>
      </c>
      <c r="I647" s="81"/>
      <c r="J647" s="10">
        <f>'Messages Dictionary'!J53</f>
        <v>0.5</v>
      </c>
      <c r="K647" s="81"/>
      <c r="L647" s="29"/>
      <c r="M647" s="29"/>
      <c r="N647" s="23"/>
      <c r="O647" s="23"/>
      <c r="P647" s="23"/>
      <c r="Q647" s="23"/>
      <c r="R647" s="23"/>
      <c r="S647" s="23"/>
      <c r="T647" s="23"/>
      <c r="U647" s="23"/>
      <c r="V647" s="23"/>
      <c r="W647" s="23"/>
      <c r="X647" s="23"/>
      <c r="Y647" s="23"/>
      <c r="Z647" s="23"/>
      <c r="AA647" s="23"/>
      <c r="AB647" s="23"/>
      <c r="AC647" s="23"/>
      <c r="AD647" s="23"/>
      <c r="AE647" s="23"/>
      <c r="AF647" s="23"/>
      <c r="AG647" s="23"/>
      <c r="AH647" s="23"/>
      <c r="AI647" s="23"/>
      <c r="AJ647" s="23"/>
      <c r="AK647" s="23"/>
      <c r="AL647" s="23"/>
      <c r="AM647" s="23"/>
      <c r="AN647" s="23"/>
      <c r="AO647" s="23"/>
      <c r="AP647" s="23"/>
      <c r="AQ647" s="23"/>
      <c r="AR647" s="23"/>
      <c r="AS647" s="23">
        <f t="shared" si="10"/>
        <v>0</v>
      </c>
    </row>
    <row r="648" spans="1:45" s="27" customFormat="1" ht="42.75" hidden="1" x14ac:dyDescent="0.2">
      <c r="A648" s="28">
        <v>65</v>
      </c>
      <c r="B648" s="9" t="s">
        <v>628</v>
      </c>
      <c r="C648" s="9" t="s">
        <v>810</v>
      </c>
      <c r="D648" s="9" t="s">
        <v>404</v>
      </c>
      <c r="E648" s="9" t="s">
        <v>404</v>
      </c>
      <c r="F648" s="9" t="s">
        <v>199</v>
      </c>
      <c r="G648" s="9" t="s">
        <v>412</v>
      </c>
      <c r="H648" s="9" t="s">
        <v>831</v>
      </c>
      <c r="I648" s="81"/>
      <c r="J648" s="10">
        <f>'Messages Dictionary'!J54</f>
        <v>0.5</v>
      </c>
      <c r="K648" s="81"/>
      <c r="L648" s="29"/>
      <c r="M648" s="29"/>
      <c r="N648" s="23"/>
      <c r="O648" s="23"/>
      <c r="P648" s="23"/>
      <c r="Q648" s="23"/>
      <c r="R648" s="23"/>
      <c r="S648" s="23"/>
      <c r="T648" s="23"/>
      <c r="U648" s="23"/>
      <c r="V648" s="23"/>
      <c r="W648" s="23"/>
      <c r="X648" s="23"/>
      <c r="Y648" s="23"/>
      <c r="Z648" s="23"/>
      <c r="AA648" s="23"/>
      <c r="AB648" s="23"/>
      <c r="AC648" s="23"/>
      <c r="AD648" s="23"/>
      <c r="AE648" s="23"/>
      <c r="AF648" s="23"/>
      <c r="AG648" s="23"/>
      <c r="AH648" s="23"/>
      <c r="AI648" s="23"/>
      <c r="AJ648" s="23"/>
      <c r="AK648" s="23"/>
      <c r="AL648" s="23"/>
      <c r="AM648" s="23"/>
      <c r="AN648" s="23"/>
      <c r="AO648" s="23"/>
      <c r="AP648" s="23"/>
      <c r="AQ648" s="23"/>
      <c r="AR648" s="23"/>
      <c r="AS648" s="23">
        <f t="shared" si="10"/>
        <v>0</v>
      </c>
    </row>
    <row r="649" spans="1:45" s="27" customFormat="1" ht="42.75" hidden="1" x14ac:dyDescent="0.2">
      <c r="A649" s="28">
        <v>66</v>
      </c>
      <c r="B649" s="9" t="s">
        <v>427</v>
      </c>
      <c r="C649" s="9" t="s">
        <v>810</v>
      </c>
      <c r="D649" s="9" t="s">
        <v>404</v>
      </c>
      <c r="E649" s="9" t="s">
        <v>404</v>
      </c>
      <c r="F649" s="9" t="s">
        <v>199</v>
      </c>
      <c r="G649" s="9" t="s">
        <v>412</v>
      </c>
      <c r="H649" s="9" t="s">
        <v>831</v>
      </c>
      <c r="I649" s="81"/>
      <c r="J649" s="10">
        <f>'Messages Dictionary'!J55</f>
        <v>0.5</v>
      </c>
      <c r="K649" s="81"/>
      <c r="L649" s="29"/>
      <c r="M649" s="29"/>
      <c r="N649" s="23"/>
      <c r="O649" s="23"/>
      <c r="P649" s="23"/>
      <c r="Q649" s="23"/>
      <c r="R649" s="23"/>
      <c r="S649" s="23"/>
      <c r="T649" s="23"/>
      <c r="U649" s="23"/>
      <c r="V649" s="23"/>
      <c r="W649" s="23"/>
      <c r="X649" s="23"/>
      <c r="Y649" s="23"/>
      <c r="Z649" s="23"/>
      <c r="AA649" s="23"/>
      <c r="AB649" s="23"/>
      <c r="AC649" s="23"/>
      <c r="AD649" s="23"/>
      <c r="AE649" s="23"/>
      <c r="AF649" s="23"/>
      <c r="AG649" s="23"/>
      <c r="AH649" s="23"/>
      <c r="AI649" s="23"/>
      <c r="AJ649" s="23"/>
      <c r="AK649" s="23"/>
      <c r="AL649" s="23"/>
      <c r="AM649" s="23"/>
      <c r="AN649" s="23"/>
      <c r="AO649" s="23"/>
      <c r="AP649" s="23"/>
      <c r="AQ649" s="23"/>
      <c r="AR649" s="23"/>
      <c r="AS649" s="23">
        <f t="shared" si="10"/>
        <v>0</v>
      </c>
    </row>
    <row r="650" spans="1:45" s="27" customFormat="1" ht="42.75" hidden="1" x14ac:dyDescent="0.2">
      <c r="A650" s="28">
        <v>67</v>
      </c>
      <c r="B650" s="9" t="s">
        <v>432</v>
      </c>
      <c r="C650" s="9" t="s">
        <v>810</v>
      </c>
      <c r="D650" s="9" t="s">
        <v>404</v>
      </c>
      <c r="E650" s="9" t="s">
        <v>404</v>
      </c>
      <c r="F650" s="9" t="s">
        <v>199</v>
      </c>
      <c r="G650" s="9" t="s">
        <v>412</v>
      </c>
      <c r="H650" s="9" t="s">
        <v>831</v>
      </c>
      <c r="I650" s="81"/>
      <c r="J650" s="10">
        <f>'Messages Dictionary'!J56</f>
        <v>0.5</v>
      </c>
      <c r="K650" s="81"/>
      <c r="L650" s="29"/>
      <c r="M650" s="29"/>
      <c r="N650" s="23"/>
      <c r="O650" s="23"/>
      <c r="P650" s="23"/>
      <c r="Q650" s="23"/>
      <c r="R650" s="23"/>
      <c r="S650" s="23"/>
      <c r="T650" s="23"/>
      <c r="U650" s="23"/>
      <c r="V650" s="23"/>
      <c r="W650" s="23"/>
      <c r="X650" s="23"/>
      <c r="Y650" s="23"/>
      <c r="Z650" s="23"/>
      <c r="AA650" s="23"/>
      <c r="AB650" s="23"/>
      <c r="AC650" s="23"/>
      <c r="AD650" s="23"/>
      <c r="AE650" s="23"/>
      <c r="AF650" s="23"/>
      <c r="AG650" s="23"/>
      <c r="AH650" s="23"/>
      <c r="AI650" s="23"/>
      <c r="AJ650" s="23"/>
      <c r="AK650" s="23"/>
      <c r="AL650" s="23"/>
      <c r="AM650" s="23"/>
      <c r="AN650" s="23"/>
      <c r="AO650" s="23"/>
      <c r="AP650" s="23"/>
      <c r="AQ650" s="23"/>
      <c r="AR650" s="23"/>
      <c r="AS650" s="23">
        <f t="shared" si="10"/>
        <v>0</v>
      </c>
    </row>
    <row r="651" spans="1:45" s="27" customFormat="1" ht="42.75" hidden="1" x14ac:dyDescent="0.2">
      <c r="A651" s="28">
        <v>68</v>
      </c>
      <c r="B651" s="9" t="s">
        <v>290</v>
      </c>
      <c r="C651" s="9" t="s">
        <v>810</v>
      </c>
      <c r="D651" s="9" t="s">
        <v>404</v>
      </c>
      <c r="E651" s="9" t="s">
        <v>404</v>
      </c>
      <c r="F651" s="9" t="s">
        <v>199</v>
      </c>
      <c r="G651" s="9" t="s">
        <v>412</v>
      </c>
      <c r="H651" s="9" t="s">
        <v>831</v>
      </c>
      <c r="I651" s="81"/>
      <c r="J651" s="10">
        <f>'Messages Dictionary'!J57</f>
        <v>0.5</v>
      </c>
      <c r="K651" s="81"/>
      <c r="L651" s="29"/>
      <c r="M651" s="29"/>
      <c r="N651" s="23"/>
      <c r="O651" s="23"/>
      <c r="P651" s="23"/>
      <c r="Q651" s="23"/>
      <c r="R651" s="23"/>
      <c r="S651" s="23"/>
      <c r="T651" s="23"/>
      <c r="U651" s="23"/>
      <c r="V651" s="23"/>
      <c r="W651" s="23"/>
      <c r="X651" s="23"/>
      <c r="Y651" s="23"/>
      <c r="Z651" s="23"/>
      <c r="AA651" s="23"/>
      <c r="AB651" s="23"/>
      <c r="AC651" s="23"/>
      <c r="AD651" s="23"/>
      <c r="AE651" s="23"/>
      <c r="AF651" s="23"/>
      <c r="AG651" s="23"/>
      <c r="AH651" s="23"/>
      <c r="AI651" s="23"/>
      <c r="AJ651" s="23"/>
      <c r="AK651" s="23"/>
      <c r="AL651" s="23"/>
      <c r="AM651" s="23"/>
      <c r="AN651" s="23"/>
      <c r="AO651" s="23"/>
      <c r="AP651" s="23"/>
      <c r="AQ651" s="23"/>
      <c r="AR651" s="23"/>
      <c r="AS651" s="23">
        <f t="shared" si="10"/>
        <v>0</v>
      </c>
    </row>
    <row r="652" spans="1:45" s="27" customFormat="1" ht="28.5" hidden="1" x14ac:dyDescent="0.2">
      <c r="A652" s="28">
        <v>70</v>
      </c>
      <c r="B652" s="9" t="s">
        <v>628</v>
      </c>
      <c r="C652" s="9" t="s">
        <v>629</v>
      </c>
      <c r="D652" s="9" t="s">
        <v>404</v>
      </c>
      <c r="E652" s="9" t="s">
        <v>404</v>
      </c>
      <c r="F652" s="9" t="s">
        <v>199</v>
      </c>
      <c r="G652" s="9" t="s">
        <v>412</v>
      </c>
      <c r="H652" s="9" t="s">
        <v>831</v>
      </c>
      <c r="I652" s="81"/>
      <c r="J652" s="10">
        <f>'Messages Dictionary'!J58</f>
        <v>0.5</v>
      </c>
      <c r="K652" s="81"/>
      <c r="L652" s="29"/>
      <c r="M652" s="29"/>
      <c r="N652" s="23"/>
      <c r="O652" s="23"/>
      <c r="P652" s="23"/>
      <c r="Q652" s="23"/>
      <c r="R652" s="23"/>
      <c r="S652" s="23"/>
      <c r="T652" s="23"/>
      <c r="U652" s="23"/>
      <c r="V652" s="23"/>
      <c r="W652" s="23"/>
      <c r="X652" s="23"/>
      <c r="Y652" s="23"/>
      <c r="Z652" s="23"/>
      <c r="AA652" s="23"/>
      <c r="AB652" s="23"/>
      <c r="AC652" s="23"/>
      <c r="AD652" s="23"/>
      <c r="AE652" s="23"/>
      <c r="AF652" s="23"/>
      <c r="AG652" s="23"/>
      <c r="AH652" s="23"/>
      <c r="AI652" s="23"/>
      <c r="AJ652" s="23"/>
      <c r="AK652" s="23"/>
      <c r="AL652" s="23"/>
      <c r="AM652" s="23"/>
      <c r="AN652" s="23"/>
      <c r="AO652" s="23"/>
      <c r="AP652" s="23"/>
      <c r="AQ652" s="23"/>
      <c r="AR652" s="23"/>
      <c r="AS652" s="23">
        <f t="shared" si="10"/>
        <v>0</v>
      </c>
    </row>
    <row r="653" spans="1:45" s="27" customFormat="1" ht="28.5" hidden="1" x14ac:dyDescent="0.2">
      <c r="A653" s="28">
        <v>71</v>
      </c>
      <c r="B653" s="9" t="s">
        <v>427</v>
      </c>
      <c r="C653" s="9" t="s">
        <v>811</v>
      </c>
      <c r="D653" s="9" t="s">
        <v>404</v>
      </c>
      <c r="E653" s="9" t="s">
        <v>404</v>
      </c>
      <c r="F653" s="9" t="s">
        <v>199</v>
      </c>
      <c r="G653" s="9" t="s">
        <v>412</v>
      </c>
      <c r="H653" s="9" t="s">
        <v>831</v>
      </c>
      <c r="I653" s="81"/>
      <c r="J653" s="10">
        <f>'Messages Dictionary'!J59</f>
        <v>0.5</v>
      </c>
      <c r="K653" s="81"/>
      <c r="L653" s="29"/>
      <c r="M653" s="29"/>
      <c r="N653" s="23"/>
      <c r="O653" s="23"/>
      <c r="P653" s="23"/>
      <c r="Q653" s="23"/>
      <c r="R653" s="23"/>
      <c r="S653" s="23"/>
      <c r="T653" s="23"/>
      <c r="U653" s="23"/>
      <c r="V653" s="23"/>
      <c r="W653" s="23"/>
      <c r="X653" s="23"/>
      <c r="Y653" s="23"/>
      <c r="Z653" s="23"/>
      <c r="AA653" s="23"/>
      <c r="AB653" s="23"/>
      <c r="AC653" s="23"/>
      <c r="AD653" s="23"/>
      <c r="AE653" s="23"/>
      <c r="AF653" s="23"/>
      <c r="AG653" s="23"/>
      <c r="AH653" s="23"/>
      <c r="AI653" s="23"/>
      <c r="AJ653" s="23"/>
      <c r="AK653" s="23"/>
      <c r="AL653" s="23"/>
      <c r="AM653" s="23"/>
      <c r="AN653" s="23"/>
      <c r="AO653" s="23"/>
      <c r="AP653" s="23"/>
      <c r="AQ653" s="23"/>
      <c r="AR653" s="23"/>
      <c r="AS653" s="23">
        <f t="shared" si="10"/>
        <v>0</v>
      </c>
    </row>
    <row r="654" spans="1:45" s="27" customFormat="1" ht="28.5" hidden="1" x14ac:dyDescent="0.2">
      <c r="A654" s="28">
        <v>72</v>
      </c>
      <c r="B654" s="9" t="s">
        <v>432</v>
      </c>
      <c r="C654" s="9" t="s">
        <v>811</v>
      </c>
      <c r="D654" s="9" t="s">
        <v>404</v>
      </c>
      <c r="E654" s="9" t="s">
        <v>404</v>
      </c>
      <c r="F654" s="9" t="s">
        <v>199</v>
      </c>
      <c r="G654" s="9" t="s">
        <v>412</v>
      </c>
      <c r="H654" s="9" t="s">
        <v>831</v>
      </c>
      <c r="I654" s="81"/>
      <c r="J654" s="10">
        <f>'Messages Dictionary'!J60</f>
        <v>0.5</v>
      </c>
      <c r="K654" s="81"/>
      <c r="L654" s="29"/>
      <c r="M654" s="29"/>
      <c r="N654" s="23"/>
      <c r="O654" s="23"/>
      <c r="P654" s="23"/>
      <c r="Q654" s="23"/>
      <c r="R654" s="23"/>
      <c r="S654" s="23"/>
      <c r="T654" s="23"/>
      <c r="U654" s="23"/>
      <c r="V654" s="23"/>
      <c r="W654" s="23"/>
      <c r="X654" s="23"/>
      <c r="Y654" s="23"/>
      <c r="Z654" s="23"/>
      <c r="AA654" s="23"/>
      <c r="AB654" s="23"/>
      <c r="AC654" s="23"/>
      <c r="AD654" s="23"/>
      <c r="AE654" s="23"/>
      <c r="AF654" s="23"/>
      <c r="AG654" s="23"/>
      <c r="AH654" s="23"/>
      <c r="AI654" s="23"/>
      <c r="AJ654" s="23"/>
      <c r="AK654" s="23"/>
      <c r="AL654" s="23"/>
      <c r="AM654" s="23"/>
      <c r="AN654" s="23"/>
      <c r="AO654" s="23"/>
      <c r="AP654" s="23"/>
      <c r="AQ654" s="23"/>
      <c r="AR654" s="23"/>
      <c r="AS654" s="23">
        <f t="shared" si="10"/>
        <v>0</v>
      </c>
    </row>
    <row r="655" spans="1:45" s="27" customFormat="1" ht="28.5" hidden="1" x14ac:dyDescent="0.2">
      <c r="A655" s="28">
        <v>73</v>
      </c>
      <c r="B655" s="9" t="s">
        <v>290</v>
      </c>
      <c r="C655" s="9" t="s">
        <v>811</v>
      </c>
      <c r="D655" s="9" t="s">
        <v>404</v>
      </c>
      <c r="E655" s="9" t="s">
        <v>404</v>
      </c>
      <c r="F655" s="9" t="s">
        <v>199</v>
      </c>
      <c r="G655" s="9" t="s">
        <v>412</v>
      </c>
      <c r="H655" s="9" t="s">
        <v>831</v>
      </c>
      <c r="I655" s="81"/>
      <c r="J655" s="10">
        <f>'Messages Dictionary'!J61</f>
        <v>0.5</v>
      </c>
      <c r="K655" s="81"/>
      <c r="L655" s="29"/>
      <c r="M655" s="29"/>
      <c r="N655" s="23"/>
      <c r="O655" s="23"/>
      <c r="P655" s="23"/>
      <c r="Q655" s="23"/>
      <c r="R655" s="23"/>
      <c r="S655" s="23"/>
      <c r="T655" s="23"/>
      <c r="U655" s="23"/>
      <c r="V655" s="23"/>
      <c r="W655" s="23"/>
      <c r="X655" s="23"/>
      <c r="Y655" s="23"/>
      <c r="Z655" s="23"/>
      <c r="AA655" s="23"/>
      <c r="AB655" s="23"/>
      <c r="AC655" s="23"/>
      <c r="AD655" s="23"/>
      <c r="AE655" s="23"/>
      <c r="AF655" s="23"/>
      <c r="AG655" s="23"/>
      <c r="AH655" s="23"/>
      <c r="AI655" s="23"/>
      <c r="AJ655" s="23"/>
      <c r="AK655" s="23"/>
      <c r="AL655" s="23"/>
      <c r="AM655" s="23"/>
      <c r="AN655" s="23"/>
      <c r="AO655" s="23"/>
      <c r="AP655" s="23"/>
      <c r="AQ655" s="23"/>
      <c r="AR655" s="23"/>
      <c r="AS655" s="23">
        <f t="shared" si="10"/>
        <v>0</v>
      </c>
    </row>
    <row r="656" spans="1:45" s="27" customFormat="1" ht="28.5" hidden="1" x14ac:dyDescent="0.2">
      <c r="A656" s="28">
        <v>75</v>
      </c>
      <c r="B656" s="9" t="s">
        <v>628</v>
      </c>
      <c r="C656" s="9" t="s">
        <v>812</v>
      </c>
      <c r="D656" s="9" t="s">
        <v>404</v>
      </c>
      <c r="E656" s="9" t="s">
        <v>404</v>
      </c>
      <c r="F656" s="9" t="s">
        <v>199</v>
      </c>
      <c r="G656" s="9" t="s">
        <v>412</v>
      </c>
      <c r="H656" s="9" t="s">
        <v>831</v>
      </c>
      <c r="I656" s="81"/>
      <c r="J656" s="10">
        <f>'Messages Dictionary'!J62</f>
        <v>0.5</v>
      </c>
      <c r="K656" s="81"/>
      <c r="L656" s="29"/>
      <c r="M656" s="29"/>
      <c r="N656" s="23"/>
      <c r="O656" s="23"/>
      <c r="P656" s="23"/>
      <c r="Q656" s="23"/>
      <c r="R656" s="23"/>
      <c r="S656" s="23"/>
      <c r="T656" s="23"/>
      <c r="U656" s="23"/>
      <c r="V656" s="23"/>
      <c r="W656" s="23"/>
      <c r="X656" s="23"/>
      <c r="Y656" s="23"/>
      <c r="Z656" s="23"/>
      <c r="AA656" s="23"/>
      <c r="AB656" s="23"/>
      <c r="AC656" s="23"/>
      <c r="AD656" s="23"/>
      <c r="AE656" s="23"/>
      <c r="AF656" s="23"/>
      <c r="AG656" s="23"/>
      <c r="AH656" s="23"/>
      <c r="AI656" s="23"/>
      <c r="AJ656" s="23"/>
      <c r="AK656" s="23"/>
      <c r="AL656" s="23"/>
      <c r="AM656" s="23"/>
      <c r="AN656" s="23"/>
      <c r="AO656" s="23"/>
      <c r="AP656" s="23"/>
      <c r="AQ656" s="23"/>
      <c r="AR656" s="23"/>
      <c r="AS656" s="23">
        <f t="shared" si="10"/>
        <v>0</v>
      </c>
    </row>
    <row r="657" spans="1:45" s="27" customFormat="1" ht="28.5" hidden="1" x14ac:dyDescent="0.2">
      <c r="A657" s="28">
        <v>76</v>
      </c>
      <c r="B657" s="9" t="s">
        <v>427</v>
      </c>
      <c r="C657" s="9" t="s">
        <v>812</v>
      </c>
      <c r="D657" s="9" t="s">
        <v>404</v>
      </c>
      <c r="E657" s="9" t="s">
        <v>404</v>
      </c>
      <c r="F657" s="9" t="s">
        <v>199</v>
      </c>
      <c r="G657" s="9" t="s">
        <v>412</v>
      </c>
      <c r="H657" s="9" t="s">
        <v>831</v>
      </c>
      <c r="I657" s="81"/>
      <c r="J657" s="10">
        <f>'Messages Dictionary'!J63</f>
        <v>0.5</v>
      </c>
      <c r="K657" s="81"/>
      <c r="L657" s="29"/>
      <c r="M657" s="29"/>
      <c r="N657" s="23"/>
      <c r="O657" s="23"/>
      <c r="P657" s="23"/>
      <c r="Q657" s="23"/>
      <c r="R657" s="23"/>
      <c r="S657" s="23"/>
      <c r="T657" s="23"/>
      <c r="U657" s="23"/>
      <c r="V657" s="23"/>
      <c r="W657" s="23"/>
      <c r="X657" s="23"/>
      <c r="Y657" s="23"/>
      <c r="Z657" s="23"/>
      <c r="AA657" s="23"/>
      <c r="AB657" s="23"/>
      <c r="AC657" s="23"/>
      <c r="AD657" s="23"/>
      <c r="AE657" s="23"/>
      <c r="AF657" s="23"/>
      <c r="AG657" s="23"/>
      <c r="AH657" s="23"/>
      <c r="AI657" s="23"/>
      <c r="AJ657" s="23"/>
      <c r="AK657" s="23"/>
      <c r="AL657" s="23"/>
      <c r="AM657" s="23"/>
      <c r="AN657" s="23"/>
      <c r="AO657" s="23"/>
      <c r="AP657" s="23"/>
      <c r="AQ657" s="23"/>
      <c r="AR657" s="23"/>
      <c r="AS657" s="23">
        <f t="shared" si="10"/>
        <v>0</v>
      </c>
    </row>
    <row r="658" spans="1:45" s="27" customFormat="1" ht="28.5" hidden="1" x14ac:dyDescent="0.2">
      <c r="A658" s="28">
        <v>77</v>
      </c>
      <c r="B658" s="9" t="s">
        <v>432</v>
      </c>
      <c r="C658" s="9" t="s">
        <v>812</v>
      </c>
      <c r="D658" s="9" t="s">
        <v>404</v>
      </c>
      <c r="E658" s="9" t="s">
        <v>404</v>
      </c>
      <c r="F658" s="9" t="s">
        <v>199</v>
      </c>
      <c r="G658" s="9" t="s">
        <v>412</v>
      </c>
      <c r="H658" s="9" t="s">
        <v>831</v>
      </c>
      <c r="I658" s="81"/>
      <c r="J658" s="10">
        <f>'Messages Dictionary'!J64</f>
        <v>0.5</v>
      </c>
      <c r="K658" s="81"/>
      <c r="L658" s="29"/>
      <c r="M658" s="29"/>
      <c r="N658" s="23"/>
      <c r="O658" s="23"/>
      <c r="P658" s="23"/>
      <c r="Q658" s="23"/>
      <c r="R658" s="23"/>
      <c r="S658" s="23"/>
      <c r="T658" s="23"/>
      <c r="U658" s="23"/>
      <c r="V658" s="23"/>
      <c r="W658" s="23"/>
      <c r="X658" s="23"/>
      <c r="Y658" s="23"/>
      <c r="Z658" s="23"/>
      <c r="AA658" s="23"/>
      <c r="AB658" s="23"/>
      <c r="AC658" s="23"/>
      <c r="AD658" s="23"/>
      <c r="AE658" s="23"/>
      <c r="AF658" s="23"/>
      <c r="AG658" s="23"/>
      <c r="AH658" s="23"/>
      <c r="AI658" s="23"/>
      <c r="AJ658" s="23"/>
      <c r="AK658" s="23"/>
      <c r="AL658" s="23"/>
      <c r="AM658" s="23"/>
      <c r="AN658" s="23"/>
      <c r="AO658" s="23"/>
      <c r="AP658" s="23"/>
      <c r="AQ658" s="23"/>
      <c r="AR658" s="23"/>
      <c r="AS658" s="23">
        <f t="shared" si="10"/>
        <v>0</v>
      </c>
    </row>
    <row r="659" spans="1:45" s="27" customFormat="1" ht="28.5" hidden="1" x14ac:dyDescent="0.2">
      <c r="A659" s="28">
        <v>78</v>
      </c>
      <c r="B659" s="9" t="s">
        <v>290</v>
      </c>
      <c r="C659" s="9" t="s">
        <v>812</v>
      </c>
      <c r="D659" s="9" t="s">
        <v>404</v>
      </c>
      <c r="E659" s="9" t="s">
        <v>404</v>
      </c>
      <c r="F659" s="9" t="s">
        <v>199</v>
      </c>
      <c r="G659" s="9" t="s">
        <v>412</v>
      </c>
      <c r="H659" s="9" t="s">
        <v>831</v>
      </c>
      <c r="I659" s="81"/>
      <c r="J659" s="10">
        <f>'Messages Dictionary'!J65</f>
        <v>0.5</v>
      </c>
      <c r="K659" s="81"/>
      <c r="L659" s="29"/>
      <c r="M659" s="29"/>
      <c r="N659" s="23"/>
      <c r="O659" s="23"/>
      <c r="P659" s="23"/>
      <c r="Q659" s="23"/>
      <c r="R659" s="23"/>
      <c r="S659" s="23"/>
      <c r="T659" s="23"/>
      <c r="U659" s="23"/>
      <c r="V659" s="23"/>
      <c r="W659" s="23"/>
      <c r="X659" s="23"/>
      <c r="Y659" s="23"/>
      <c r="Z659" s="23"/>
      <c r="AA659" s="23"/>
      <c r="AB659" s="23"/>
      <c r="AC659" s="23"/>
      <c r="AD659" s="23"/>
      <c r="AE659" s="23"/>
      <c r="AF659" s="23"/>
      <c r="AG659" s="23"/>
      <c r="AH659" s="23"/>
      <c r="AI659" s="23"/>
      <c r="AJ659" s="23"/>
      <c r="AK659" s="23"/>
      <c r="AL659" s="23"/>
      <c r="AM659" s="23"/>
      <c r="AN659" s="23"/>
      <c r="AO659" s="23"/>
      <c r="AP659" s="23"/>
      <c r="AQ659" s="23"/>
      <c r="AR659" s="23"/>
      <c r="AS659" s="23">
        <f t="shared" si="10"/>
        <v>0</v>
      </c>
    </row>
    <row r="660" spans="1:45" s="27" customFormat="1" ht="28.5" hidden="1" x14ac:dyDescent="0.2">
      <c r="A660" s="28">
        <v>80</v>
      </c>
      <c r="B660" s="9" t="s">
        <v>628</v>
      </c>
      <c r="C660" s="9" t="s">
        <v>813</v>
      </c>
      <c r="D660" s="9" t="s">
        <v>404</v>
      </c>
      <c r="E660" s="9" t="s">
        <v>404</v>
      </c>
      <c r="F660" s="9" t="s">
        <v>199</v>
      </c>
      <c r="G660" s="9" t="s">
        <v>412</v>
      </c>
      <c r="H660" s="9" t="s">
        <v>831</v>
      </c>
      <c r="I660" s="81"/>
      <c r="J660" s="10">
        <f>'Messages Dictionary'!J66</f>
        <v>0.5</v>
      </c>
      <c r="K660" s="81"/>
      <c r="L660" s="29"/>
      <c r="M660" s="29"/>
      <c r="N660" s="23"/>
      <c r="O660" s="23"/>
      <c r="P660" s="23"/>
      <c r="Q660" s="23"/>
      <c r="R660" s="23"/>
      <c r="S660" s="23"/>
      <c r="T660" s="23"/>
      <c r="U660" s="23"/>
      <c r="V660" s="23"/>
      <c r="W660" s="23"/>
      <c r="X660" s="23"/>
      <c r="Y660" s="23"/>
      <c r="Z660" s="23"/>
      <c r="AA660" s="23"/>
      <c r="AB660" s="23"/>
      <c r="AC660" s="23"/>
      <c r="AD660" s="23"/>
      <c r="AE660" s="23"/>
      <c r="AF660" s="23"/>
      <c r="AG660" s="23"/>
      <c r="AH660" s="23"/>
      <c r="AI660" s="23"/>
      <c r="AJ660" s="23"/>
      <c r="AK660" s="23"/>
      <c r="AL660" s="23"/>
      <c r="AM660" s="23"/>
      <c r="AN660" s="23"/>
      <c r="AO660" s="23"/>
      <c r="AP660" s="23"/>
      <c r="AQ660" s="23"/>
      <c r="AR660" s="23"/>
      <c r="AS660" s="23">
        <f t="shared" si="10"/>
        <v>0</v>
      </c>
    </row>
    <row r="661" spans="1:45" s="27" customFormat="1" ht="28.5" hidden="1" x14ac:dyDescent="0.2">
      <c r="A661" s="28">
        <v>81</v>
      </c>
      <c r="B661" s="9" t="s">
        <v>427</v>
      </c>
      <c r="C661" s="9" t="s">
        <v>813</v>
      </c>
      <c r="D661" s="9" t="s">
        <v>404</v>
      </c>
      <c r="E661" s="9" t="s">
        <v>404</v>
      </c>
      <c r="F661" s="9" t="s">
        <v>199</v>
      </c>
      <c r="G661" s="9" t="s">
        <v>412</v>
      </c>
      <c r="H661" s="9" t="s">
        <v>831</v>
      </c>
      <c r="I661" s="81"/>
      <c r="J661" s="10">
        <f>'Messages Dictionary'!J67</f>
        <v>0.5</v>
      </c>
      <c r="K661" s="81"/>
      <c r="L661" s="29"/>
      <c r="M661" s="29"/>
      <c r="N661" s="23"/>
      <c r="O661" s="23"/>
      <c r="P661" s="23"/>
      <c r="Q661" s="23"/>
      <c r="R661" s="23"/>
      <c r="S661" s="23"/>
      <c r="T661" s="23"/>
      <c r="U661" s="23"/>
      <c r="V661" s="23"/>
      <c r="W661" s="23"/>
      <c r="X661" s="23"/>
      <c r="Y661" s="23"/>
      <c r="Z661" s="23"/>
      <c r="AA661" s="23"/>
      <c r="AB661" s="23"/>
      <c r="AC661" s="23"/>
      <c r="AD661" s="23"/>
      <c r="AE661" s="23"/>
      <c r="AF661" s="23"/>
      <c r="AG661" s="23"/>
      <c r="AH661" s="23"/>
      <c r="AI661" s="23"/>
      <c r="AJ661" s="23"/>
      <c r="AK661" s="23"/>
      <c r="AL661" s="23"/>
      <c r="AM661" s="23"/>
      <c r="AN661" s="23"/>
      <c r="AO661" s="23"/>
      <c r="AP661" s="23"/>
      <c r="AQ661" s="23"/>
      <c r="AR661" s="23"/>
      <c r="AS661" s="23">
        <f t="shared" si="10"/>
        <v>0</v>
      </c>
    </row>
    <row r="662" spans="1:45" s="27" customFormat="1" ht="28.5" hidden="1" x14ac:dyDescent="0.2">
      <c r="A662" s="28">
        <v>82</v>
      </c>
      <c r="B662" s="9" t="s">
        <v>432</v>
      </c>
      <c r="C662" s="9" t="s">
        <v>813</v>
      </c>
      <c r="D662" s="9" t="s">
        <v>404</v>
      </c>
      <c r="E662" s="9" t="s">
        <v>404</v>
      </c>
      <c r="F662" s="9" t="s">
        <v>199</v>
      </c>
      <c r="G662" s="9" t="s">
        <v>412</v>
      </c>
      <c r="H662" s="9" t="s">
        <v>831</v>
      </c>
      <c r="I662" s="81"/>
      <c r="J662" s="10">
        <f>'Messages Dictionary'!J68</f>
        <v>0.5</v>
      </c>
      <c r="K662" s="81"/>
      <c r="L662" s="29"/>
      <c r="M662" s="29"/>
      <c r="N662" s="23"/>
      <c r="O662" s="23"/>
      <c r="P662" s="23"/>
      <c r="Q662" s="23"/>
      <c r="R662" s="23"/>
      <c r="S662" s="23"/>
      <c r="T662" s="23"/>
      <c r="U662" s="23"/>
      <c r="V662" s="23"/>
      <c r="W662" s="23"/>
      <c r="X662" s="23"/>
      <c r="Y662" s="23"/>
      <c r="Z662" s="23"/>
      <c r="AA662" s="23"/>
      <c r="AB662" s="23"/>
      <c r="AC662" s="23"/>
      <c r="AD662" s="23"/>
      <c r="AE662" s="23"/>
      <c r="AF662" s="23"/>
      <c r="AG662" s="23"/>
      <c r="AH662" s="23"/>
      <c r="AI662" s="23"/>
      <c r="AJ662" s="23"/>
      <c r="AK662" s="23"/>
      <c r="AL662" s="23"/>
      <c r="AM662" s="23"/>
      <c r="AN662" s="23"/>
      <c r="AO662" s="23"/>
      <c r="AP662" s="23"/>
      <c r="AQ662" s="23"/>
      <c r="AR662" s="23"/>
      <c r="AS662" s="23">
        <f t="shared" si="10"/>
        <v>0</v>
      </c>
    </row>
    <row r="663" spans="1:45" s="27" customFormat="1" ht="28.5" hidden="1" x14ac:dyDescent="0.2">
      <c r="A663" s="28">
        <v>83</v>
      </c>
      <c r="B663" s="9" t="s">
        <v>290</v>
      </c>
      <c r="C663" s="9" t="s">
        <v>813</v>
      </c>
      <c r="D663" s="9" t="s">
        <v>404</v>
      </c>
      <c r="E663" s="9" t="s">
        <v>404</v>
      </c>
      <c r="F663" s="9" t="s">
        <v>199</v>
      </c>
      <c r="G663" s="9" t="s">
        <v>412</v>
      </c>
      <c r="H663" s="9" t="s">
        <v>831</v>
      </c>
      <c r="I663" s="81"/>
      <c r="J663" s="10">
        <f>'Messages Dictionary'!J69</f>
        <v>0.5</v>
      </c>
      <c r="K663" s="81"/>
      <c r="L663" s="29"/>
      <c r="M663" s="29"/>
      <c r="N663" s="23"/>
      <c r="O663" s="23"/>
      <c r="P663" s="23"/>
      <c r="Q663" s="23"/>
      <c r="R663" s="23"/>
      <c r="S663" s="23"/>
      <c r="T663" s="23"/>
      <c r="U663" s="23"/>
      <c r="V663" s="23"/>
      <c r="W663" s="23"/>
      <c r="X663" s="23"/>
      <c r="Y663" s="23"/>
      <c r="Z663" s="23"/>
      <c r="AA663" s="23"/>
      <c r="AB663" s="23"/>
      <c r="AC663" s="23"/>
      <c r="AD663" s="23"/>
      <c r="AE663" s="23"/>
      <c r="AF663" s="23"/>
      <c r="AG663" s="23"/>
      <c r="AH663" s="23"/>
      <c r="AI663" s="23"/>
      <c r="AJ663" s="23"/>
      <c r="AK663" s="23"/>
      <c r="AL663" s="23"/>
      <c r="AM663" s="23"/>
      <c r="AN663" s="23"/>
      <c r="AO663" s="23"/>
      <c r="AP663" s="23"/>
      <c r="AQ663" s="23"/>
      <c r="AR663" s="23"/>
      <c r="AS663" s="23">
        <f t="shared" si="10"/>
        <v>0</v>
      </c>
    </row>
    <row r="664" spans="1:45" s="27" customFormat="1" ht="71.25" hidden="1" x14ac:dyDescent="0.2">
      <c r="A664" s="28">
        <v>84</v>
      </c>
      <c r="B664" s="9" t="s">
        <v>630</v>
      </c>
      <c r="C664" s="9" t="s">
        <v>631</v>
      </c>
      <c r="D664" s="9" t="s">
        <v>404</v>
      </c>
      <c r="E664" s="9" t="s">
        <v>404</v>
      </c>
      <c r="F664" s="9" t="s">
        <v>199</v>
      </c>
      <c r="G664" s="9" t="s">
        <v>412</v>
      </c>
      <c r="H664" s="9" t="s">
        <v>831</v>
      </c>
      <c r="I664" s="81"/>
      <c r="J664" s="10">
        <f>'Messages Dictionary'!J70</f>
        <v>0.5</v>
      </c>
      <c r="K664" s="81"/>
      <c r="L664" s="29"/>
      <c r="M664" s="29"/>
      <c r="N664" s="23"/>
      <c r="O664" s="23"/>
      <c r="P664" s="23"/>
      <c r="Q664" s="23"/>
      <c r="R664" s="23"/>
      <c r="S664" s="23"/>
      <c r="T664" s="23"/>
      <c r="U664" s="23"/>
      <c r="V664" s="23"/>
      <c r="W664" s="23"/>
      <c r="X664" s="23"/>
      <c r="Y664" s="23"/>
      <c r="Z664" s="23"/>
      <c r="AA664" s="23"/>
      <c r="AB664" s="23"/>
      <c r="AC664" s="23"/>
      <c r="AD664" s="23"/>
      <c r="AE664" s="23"/>
      <c r="AF664" s="23"/>
      <c r="AG664" s="23"/>
      <c r="AH664" s="23"/>
      <c r="AI664" s="23"/>
      <c r="AJ664" s="23"/>
      <c r="AK664" s="23"/>
      <c r="AL664" s="23"/>
      <c r="AM664" s="23"/>
      <c r="AN664" s="23"/>
      <c r="AO664" s="23"/>
      <c r="AP664" s="23"/>
      <c r="AQ664" s="23"/>
      <c r="AR664" s="23"/>
      <c r="AS664" s="23">
        <f t="shared" si="10"/>
        <v>0</v>
      </c>
    </row>
    <row r="665" spans="1:45" s="27" customFormat="1" ht="28.5" hidden="1" x14ac:dyDescent="0.2">
      <c r="A665" s="28">
        <v>85</v>
      </c>
      <c r="B665" s="9" t="s">
        <v>632</v>
      </c>
      <c r="C665" s="9" t="s">
        <v>633</v>
      </c>
      <c r="D665" s="9" t="s">
        <v>404</v>
      </c>
      <c r="E665" s="9" t="s">
        <v>404</v>
      </c>
      <c r="F665" s="9" t="s">
        <v>199</v>
      </c>
      <c r="G665" s="9" t="s">
        <v>412</v>
      </c>
      <c r="H665" s="9" t="s">
        <v>831</v>
      </c>
      <c r="I665" s="81"/>
      <c r="J665" s="10">
        <f>'Messages Dictionary'!J71</f>
        <v>0.5</v>
      </c>
      <c r="K665" s="81"/>
      <c r="L665" s="29"/>
      <c r="M665" s="29"/>
      <c r="N665" s="23"/>
      <c r="O665" s="23"/>
      <c r="P665" s="23"/>
      <c r="Q665" s="23"/>
      <c r="R665" s="23"/>
      <c r="S665" s="23"/>
      <c r="T665" s="23"/>
      <c r="U665" s="23"/>
      <c r="V665" s="23"/>
      <c r="W665" s="23"/>
      <c r="X665" s="23"/>
      <c r="Y665" s="23"/>
      <c r="Z665" s="23"/>
      <c r="AA665" s="23"/>
      <c r="AB665" s="23"/>
      <c r="AC665" s="23"/>
      <c r="AD665" s="23"/>
      <c r="AE665" s="23"/>
      <c r="AF665" s="23"/>
      <c r="AG665" s="23"/>
      <c r="AH665" s="23"/>
      <c r="AI665" s="23"/>
      <c r="AJ665" s="23"/>
      <c r="AK665" s="23"/>
      <c r="AL665" s="23"/>
      <c r="AM665" s="23"/>
      <c r="AN665" s="23"/>
      <c r="AO665" s="23"/>
      <c r="AP665" s="23"/>
      <c r="AQ665" s="23"/>
      <c r="AR665" s="23"/>
      <c r="AS665" s="23">
        <f t="shared" ref="AS665:AS728" si="11">AS66*$J665</f>
        <v>0</v>
      </c>
    </row>
    <row r="666" spans="1:45" s="27" customFormat="1" ht="28.5" hidden="1" x14ac:dyDescent="0.2">
      <c r="A666" s="28">
        <v>86</v>
      </c>
      <c r="B666" s="9" t="s">
        <v>634</v>
      </c>
      <c r="C666" s="9" t="s">
        <v>635</v>
      </c>
      <c r="D666" s="9" t="s">
        <v>404</v>
      </c>
      <c r="E666" s="9" t="s">
        <v>404</v>
      </c>
      <c r="F666" s="9" t="s">
        <v>199</v>
      </c>
      <c r="G666" s="9" t="s">
        <v>412</v>
      </c>
      <c r="H666" s="9" t="s">
        <v>831</v>
      </c>
      <c r="I666" s="81"/>
      <c r="J666" s="10">
        <f>'Messages Dictionary'!J72</f>
        <v>0.5</v>
      </c>
      <c r="K666" s="81"/>
      <c r="L666" s="29"/>
      <c r="M666" s="29"/>
      <c r="N666" s="23"/>
      <c r="O666" s="23"/>
      <c r="P666" s="23"/>
      <c r="Q666" s="23"/>
      <c r="R666" s="23"/>
      <c r="S666" s="23"/>
      <c r="T666" s="23"/>
      <c r="U666" s="23"/>
      <c r="V666" s="23"/>
      <c r="W666" s="23"/>
      <c r="X666" s="23"/>
      <c r="Y666" s="23"/>
      <c r="Z666" s="23"/>
      <c r="AA666" s="23"/>
      <c r="AB666" s="23"/>
      <c r="AC666" s="23"/>
      <c r="AD666" s="23"/>
      <c r="AE666" s="23"/>
      <c r="AF666" s="23"/>
      <c r="AG666" s="23"/>
      <c r="AH666" s="23"/>
      <c r="AI666" s="23"/>
      <c r="AJ666" s="23"/>
      <c r="AK666" s="23"/>
      <c r="AL666" s="23"/>
      <c r="AM666" s="23"/>
      <c r="AN666" s="23"/>
      <c r="AO666" s="23"/>
      <c r="AP666" s="23"/>
      <c r="AQ666" s="23"/>
      <c r="AR666" s="23"/>
      <c r="AS666" s="23">
        <f t="shared" si="11"/>
        <v>0</v>
      </c>
    </row>
    <row r="667" spans="1:45" s="27" customFormat="1" hidden="1" x14ac:dyDescent="0.2">
      <c r="A667" s="28">
        <v>1001</v>
      </c>
      <c r="B667" s="9" t="s">
        <v>819</v>
      </c>
      <c r="C667" s="9" t="s">
        <v>820</v>
      </c>
      <c r="D667" s="9" t="s">
        <v>821</v>
      </c>
      <c r="E667" s="9" t="s">
        <v>822</v>
      </c>
      <c r="F667" s="9" t="s">
        <v>198</v>
      </c>
      <c r="G667" s="9" t="s">
        <v>405</v>
      </c>
      <c r="H667" s="9" t="s">
        <v>426</v>
      </c>
      <c r="I667" s="81"/>
      <c r="J667" s="10">
        <f>'Messages Dictionary'!J73</f>
        <v>1</v>
      </c>
      <c r="K667" s="81"/>
      <c r="L667" s="29"/>
      <c r="M667" s="29"/>
      <c r="N667" s="23"/>
      <c r="O667" s="23"/>
      <c r="P667" s="23"/>
      <c r="Q667" s="23"/>
      <c r="R667" s="23"/>
      <c r="S667" s="23"/>
      <c r="T667" s="23"/>
      <c r="U667" s="23"/>
      <c r="V667" s="23"/>
      <c r="W667" s="23"/>
      <c r="X667" s="23"/>
      <c r="Y667" s="23"/>
      <c r="Z667" s="23"/>
      <c r="AA667" s="23"/>
      <c r="AB667" s="23"/>
      <c r="AC667" s="23"/>
      <c r="AD667" s="23"/>
      <c r="AE667" s="23"/>
      <c r="AF667" s="23"/>
      <c r="AG667" s="23"/>
      <c r="AH667" s="23"/>
      <c r="AI667" s="23"/>
      <c r="AJ667" s="23"/>
      <c r="AK667" s="23"/>
      <c r="AL667" s="23"/>
      <c r="AM667" s="23"/>
      <c r="AN667" s="23"/>
      <c r="AO667" s="23"/>
      <c r="AP667" s="23"/>
      <c r="AQ667" s="23"/>
      <c r="AR667" s="23"/>
      <c r="AS667" s="23">
        <f t="shared" si="11"/>
        <v>0</v>
      </c>
    </row>
    <row r="668" spans="1:45" s="27" customFormat="1" hidden="1" x14ac:dyDescent="0.2">
      <c r="A668" s="28">
        <v>1002</v>
      </c>
      <c r="B668" s="9" t="s">
        <v>819</v>
      </c>
      <c r="C668" s="9" t="s">
        <v>820</v>
      </c>
      <c r="D668" s="9" t="s">
        <v>821</v>
      </c>
      <c r="E668" s="9" t="s">
        <v>822</v>
      </c>
      <c r="F668" s="9" t="s">
        <v>199</v>
      </c>
      <c r="G668" s="9" t="s">
        <v>412</v>
      </c>
      <c r="H668" s="9" t="s">
        <v>831</v>
      </c>
      <c r="I668" s="81"/>
      <c r="J668" s="10">
        <f>'Messages Dictionary'!J74</f>
        <v>0.5</v>
      </c>
      <c r="K668" s="81"/>
      <c r="L668" s="29"/>
      <c r="M668" s="29"/>
      <c r="N668" s="23"/>
      <c r="O668" s="23"/>
      <c r="P668" s="23"/>
      <c r="Q668" s="23"/>
      <c r="R668" s="23"/>
      <c r="S668" s="23"/>
      <c r="T668" s="23"/>
      <c r="U668" s="23"/>
      <c r="V668" s="23"/>
      <c r="W668" s="23"/>
      <c r="X668" s="23"/>
      <c r="Y668" s="23"/>
      <c r="Z668" s="23"/>
      <c r="AA668" s="23"/>
      <c r="AB668" s="23"/>
      <c r="AC668" s="23"/>
      <c r="AD668" s="23"/>
      <c r="AE668" s="23"/>
      <c r="AF668" s="23"/>
      <c r="AG668" s="23"/>
      <c r="AH668" s="23"/>
      <c r="AI668" s="23"/>
      <c r="AJ668" s="23"/>
      <c r="AK668" s="23"/>
      <c r="AL668" s="23"/>
      <c r="AM668" s="23"/>
      <c r="AN668" s="23"/>
      <c r="AO668" s="23"/>
      <c r="AP668" s="23"/>
      <c r="AQ668" s="23"/>
      <c r="AR668" s="23"/>
      <c r="AS668" s="23">
        <f t="shared" si="11"/>
        <v>0</v>
      </c>
    </row>
    <row r="669" spans="1:45" s="27" customFormat="1" hidden="1" x14ac:dyDescent="0.2">
      <c r="A669" s="28">
        <v>1003</v>
      </c>
      <c r="B669" s="9" t="s">
        <v>819</v>
      </c>
      <c r="C669" s="9" t="s">
        <v>820</v>
      </c>
      <c r="D669" s="9" t="s">
        <v>821</v>
      </c>
      <c r="E669" s="9" t="s">
        <v>822</v>
      </c>
      <c r="F669" s="9" t="s">
        <v>199</v>
      </c>
      <c r="G669" s="9" t="s">
        <v>412</v>
      </c>
      <c r="H669" s="9" t="s">
        <v>831</v>
      </c>
      <c r="I669" s="81"/>
      <c r="J669" s="10">
        <f>'Messages Dictionary'!J75</f>
        <v>0.5</v>
      </c>
      <c r="K669" s="81"/>
      <c r="L669" s="29"/>
      <c r="M669" s="29"/>
      <c r="N669" s="23"/>
      <c r="O669" s="23"/>
      <c r="P669" s="23"/>
      <c r="Q669" s="23"/>
      <c r="R669" s="23"/>
      <c r="S669" s="23"/>
      <c r="T669" s="23"/>
      <c r="U669" s="23"/>
      <c r="V669" s="23"/>
      <c r="W669" s="23"/>
      <c r="X669" s="23"/>
      <c r="Y669" s="23"/>
      <c r="Z669" s="23"/>
      <c r="AA669" s="23"/>
      <c r="AB669" s="23"/>
      <c r="AC669" s="23"/>
      <c r="AD669" s="23"/>
      <c r="AE669" s="23"/>
      <c r="AF669" s="23"/>
      <c r="AG669" s="23"/>
      <c r="AH669" s="23"/>
      <c r="AI669" s="23"/>
      <c r="AJ669" s="23"/>
      <c r="AK669" s="23"/>
      <c r="AL669" s="23"/>
      <c r="AM669" s="23"/>
      <c r="AN669" s="23"/>
      <c r="AO669" s="23"/>
      <c r="AP669" s="23"/>
      <c r="AQ669" s="23"/>
      <c r="AR669" s="23"/>
      <c r="AS669" s="23">
        <f t="shared" si="11"/>
        <v>0</v>
      </c>
    </row>
    <row r="670" spans="1:45" s="27" customFormat="1" hidden="1" x14ac:dyDescent="0.2">
      <c r="A670" s="28">
        <v>1004</v>
      </c>
      <c r="B670" s="9" t="s">
        <v>819</v>
      </c>
      <c r="C670" s="9" t="s">
        <v>820</v>
      </c>
      <c r="D670" s="9" t="s">
        <v>821</v>
      </c>
      <c r="E670" s="9" t="s">
        <v>822</v>
      </c>
      <c r="F670" s="9" t="s">
        <v>199</v>
      </c>
      <c r="G670" s="9" t="s">
        <v>412</v>
      </c>
      <c r="H670" s="9" t="s">
        <v>831</v>
      </c>
      <c r="I670" s="81"/>
      <c r="J670" s="10">
        <f>'Messages Dictionary'!J76</f>
        <v>0.5</v>
      </c>
      <c r="K670" s="81"/>
      <c r="L670" s="29"/>
      <c r="M670" s="29"/>
      <c r="N670" s="23"/>
      <c r="O670" s="23"/>
      <c r="P670" s="23"/>
      <c r="Q670" s="23"/>
      <c r="R670" s="23"/>
      <c r="S670" s="23"/>
      <c r="T670" s="23"/>
      <c r="U670" s="23"/>
      <c r="V670" s="23"/>
      <c r="W670" s="23"/>
      <c r="X670" s="23"/>
      <c r="Y670" s="23"/>
      <c r="Z670" s="23"/>
      <c r="AA670" s="23"/>
      <c r="AB670" s="23"/>
      <c r="AC670" s="23"/>
      <c r="AD670" s="23"/>
      <c r="AE670" s="23"/>
      <c r="AF670" s="23"/>
      <c r="AG670" s="23"/>
      <c r="AH670" s="23"/>
      <c r="AI670" s="23"/>
      <c r="AJ670" s="23"/>
      <c r="AK670" s="23"/>
      <c r="AL670" s="23"/>
      <c r="AM670" s="23"/>
      <c r="AN670" s="23"/>
      <c r="AO670" s="23"/>
      <c r="AP670" s="23"/>
      <c r="AQ670" s="23"/>
      <c r="AR670" s="23"/>
      <c r="AS670" s="23">
        <f t="shared" si="11"/>
        <v>0</v>
      </c>
    </row>
    <row r="671" spans="1:45" s="27" customFormat="1" hidden="1" x14ac:dyDescent="0.2">
      <c r="A671" s="28">
        <v>1005</v>
      </c>
      <c r="B671" s="9" t="s">
        <v>819</v>
      </c>
      <c r="C671" s="9" t="s">
        <v>820</v>
      </c>
      <c r="D671" s="9" t="s">
        <v>821</v>
      </c>
      <c r="E671" s="9" t="s">
        <v>822</v>
      </c>
      <c r="F671" s="9" t="s">
        <v>199</v>
      </c>
      <c r="G671" s="9" t="s">
        <v>412</v>
      </c>
      <c r="H671" s="9" t="s">
        <v>831</v>
      </c>
      <c r="I671" s="81"/>
      <c r="J671" s="10">
        <f>'Messages Dictionary'!J77</f>
        <v>0.5</v>
      </c>
      <c r="K671" s="81"/>
      <c r="L671" s="29"/>
      <c r="M671" s="29"/>
      <c r="N671" s="23"/>
      <c r="O671" s="23"/>
      <c r="P671" s="23"/>
      <c r="Q671" s="23"/>
      <c r="R671" s="23"/>
      <c r="S671" s="23"/>
      <c r="T671" s="23"/>
      <c r="U671" s="23"/>
      <c r="V671" s="23"/>
      <c r="W671" s="23"/>
      <c r="X671" s="23"/>
      <c r="Y671" s="23"/>
      <c r="Z671" s="23"/>
      <c r="AA671" s="23"/>
      <c r="AB671" s="23"/>
      <c r="AC671" s="23"/>
      <c r="AD671" s="23"/>
      <c r="AE671" s="23"/>
      <c r="AF671" s="23"/>
      <c r="AG671" s="23"/>
      <c r="AH671" s="23"/>
      <c r="AI671" s="23"/>
      <c r="AJ671" s="23"/>
      <c r="AK671" s="23"/>
      <c r="AL671" s="23"/>
      <c r="AM671" s="23"/>
      <c r="AN671" s="23"/>
      <c r="AO671" s="23"/>
      <c r="AP671" s="23"/>
      <c r="AQ671" s="23"/>
      <c r="AR671" s="23"/>
      <c r="AS671" s="23">
        <f t="shared" si="11"/>
        <v>0</v>
      </c>
    </row>
    <row r="672" spans="1:45" s="27" customFormat="1" hidden="1" x14ac:dyDescent="0.2">
      <c r="A672" s="28">
        <v>1006</v>
      </c>
      <c r="B672" s="9" t="s">
        <v>819</v>
      </c>
      <c r="C672" s="9" t="s">
        <v>820</v>
      </c>
      <c r="D672" s="9" t="s">
        <v>821</v>
      </c>
      <c r="E672" s="9" t="s">
        <v>822</v>
      </c>
      <c r="F672" s="9" t="s">
        <v>199</v>
      </c>
      <c r="G672" s="9" t="s">
        <v>412</v>
      </c>
      <c r="H672" s="9" t="s">
        <v>831</v>
      </c>
      <c r="I672" s="81"/>
      <c r="J672" s="10">
        <f>'Messages Dictionary'!J78</f>
        <v>0.5</v>
      </c>
      <c r="K672" s="81"/>
      <c r="L672" s="29"/>
      <c r="M672" s="29"/>
      <c r="N672" s="23"/>
      <c r="O672" s="23"/>
      <c r="P672" s="23"/>
      <c r="Q672" s="23"/>
      <c r="R672" s="23"/>
      <c r="S672" s="23"/>
      <c r="T672" s="23"/>
      <c r="U672" s="23"/>
      <c r="V672" s="23"/>
      <c r="W672" s="23"/>
      <c r="X672" s="23"/>
      <c r="Y672" s="23"/>
      <c r="Z672" s="23"/>
      <c r="AA672" s="23"/>
      <c r="AB672" s="23"/>
      <c r="AC672" s="23"/>
      <c r="AD672" s="23"/>
      <c r="AE672" s="23"/>
      <c r="AF672" s="23"/>
      <c r="AG672" s="23"/>
      <c r="AH672" s="23"/>
      <c r="AI672" s="23"/>
      <c r="AJ672" s="23"/>
      <c r="AK672" s="23"/>
      <c r="AL672" s="23"/>
      <c r="AM672" s="23"/>
      <c r="AN672" s="23"/>
      <c r="AO672" s="23"/>
      <c r="AP672" s="23"/>
      <c r="AQ672" s="23"/>
      <c r="AR672" s="23"/>
      <c r="AS672" s="23">
        <f t="shared" si="11"/>
        <v>0</v>
      </c>
    </row>
    <row r="673" spans="1:45" s="27" customFormat="1" hidden="1" x14ac:dyDescent="0.2">
      <c r="A673" s="28">
        <v>1007</v>
      </c>
      <c r="B673" s="9" t="s">
        <v>819</v>
      </c>
      <c r="C673" s="9" t="s">
        <v>820</v>
      </c>
      <c r="D673" s="9" t="s">
        <v>821</v>
      </c>
      <c r="E673" s="9" t="s">
        <v>822</v>
      </c>
      <c r="F673" s="9" t="s">
        <v>199</v>
      </c>
      <c r="G673" s="9" t="s">
        <v>405</v>
      </c>
      <c r="H673" s="9" t="s">
        <v>426</v>
      </c>
      <c r="I673" s="81"/>
      <c r="J673" s="10">
        <f>'Messages Dictionary'!J79</f>
        <v>1</v>
      </c>
      <c r="K673" s="81"/>
      <c r="L673" s="29"/>
      <c r="M673" s="29"/>
      <c r="N673" s="23"/>
      <c r="O673" s="23"/>
      <c r="P673" s="23"/>
      <c r="Q673" s="23"/>
      <c r="R673" s="23"/>
      <c r="S673" s="23"/>
      <c r="T673" s="23"/>
      <c r="U673" s="23"/>
      <c r="V673" s="23"/>
      <c r="W673" s="23"/>
      <c r="X673" s="23"/>
      <c r="Y673" s="23"/>
      <c r="Z673" s="23"/>
      <c r="AA673" s="23"/>
      <c r="AB673" s="23"/>
      <c r="AC673" s="23"/>
      <c r="AD673" s="23"/>
      <c r="AE673" s="23"/>
      <c r="AF673" s="23"/>
      <c r="AG673" s="23"/>
      <c r="AH673" s="23"/>
      <c r="AI673" s="23"/>
      <c r="AJ673" s="23"/>
      <c r="AK673" s="23"/>
      <c r="AL673" s="23"/>
      <c r="AM673" s="23"/>
      <c r="AN673" s="23"/>
      <c r="AO673" s="23"/>
      <c r="AP673" s="23"/>
      <c r="AQ673" s="23"/>
      <c r="AR673" s="23"/>
      <c r="AS673" s="23">
        <f t="shared" si="11"/>
        <v>0</v>
      </c>
    </row>
    <row r="674" spans="1:45" s="27" customFormat="1" hidden="1" x14ac:dyDescent="0.2">
      <c r="A674" s="28">
        <v>1008</v>
      </c>
      <c r="B674" s="9" t="s">
        <v>819</v>
      </c>
      <c r="C674" s="9" t="s">
        <v>820</v>
      </c>
      <c r="D674" s="9" t="s">
        <v>821</v>
      </c>
      <c r="E674" s="9" t="s">
        <v>822</v>
      </c>
      <c r="F674" s="9" t="s">
        <v>199</v>
      </c>
      <c r="G674" s="9" t="s">
        <v>412</v>
      </c>
      <c r="H674" s="9" t="s">
        <v>831</v>
      </c>
      <c r="I674" s="81"/>
      <c r="J674" s="10">
        <f>'Messages Dictionary'!J80</f>
        <v>0.5</v>
      </c>
      <c r="K674" s="81"/>
      <c r="L674" s="29"/>
      <c r="M674" s="29"/>
      <c r="N674" s="23"/>
      <c r="O674" s="23"/>
      <c r="P674" s="23"/>
      <c r="Q674" s="23"/>
      <c r="R674" s="23"/>
      <c r="S674" s="23"/>
      <c r="T674" s="23"/>
      <c r="U674" s="23"/>
      <c r="V674" s="23"/>
      <c r="W674" s="23"/>
      <c r="X674" s="23"/>
      <c r="Y674" s="23"/>
      <c r="Z674" s="23"/>
      <c r="AA674" s="23"/>
      <c r="AB674" s="23"/>
      <c r="AC674" s="23"/>
      <c r="AD674" s="23"/>
      <c r="AE674" s="23"/>
      <c r="AF674" s="23"/>
      <c r="AG674" s="23"/>
      <c r="AH674" s="23"/>
      <c r="AI674" s="23"/>
      <c r="AJ674" s="23"/>
      <c r="AK674" s="23"/>
      <c r="AL674" s="23"/>
      <c r="AM674" s="23"/>
      <c r="AN674" s="23"/>
      <c r="AO674" s="23"/>
      <c r="AP674" s="23"/>
      <c r="AQ674" s="23"/>
      <c r="AR674" s="23"/>
      <c r="AS674" s="23">
        <f t="shared" si="11"/>
        <v>0</v>
      </c>
    </row>
    <row r="675" spans="1:45" s="27" customFormat="1" hidden="1" x14ac:dyDescent="0.2">
      <c r="A675" s="28">
        <v>1009</v>
      </c>
      <c r="B675" s="9" t="s">
        <v>819</v>
      </c>
      <c r="C675" s="9" t="s">
        <v>820</v>
      </c>
      <c r="D675" s="9" t="s">
        <v>821</v>
      </c>
      <c r="E675" s="9" t="s">
        <v>822</v>
      </c>
      <c r="F675" s="9" t="s">
        <v>199</v>
      </c>
      <c r="G675" s="9" t="s">
        <v>412</v>
      </c>
      <c r="H675" s="9" t="s">
        <v>831</v>
      </c>
      <c r="I675" s="81"/>
      <c r="J675" s="10">
        <f>'Messages Dictionary'!J81</f>
        <v>0.5</v>
      </c>
      <c r="K675" s="81"/>
      <c r="L675" s="29"/>
      <c r="M675" s="29"/>
      <c r="N675" s="23"/>
      <c r="O675" s="23"/>
      <c r="P675" s="23"/>
      <c r="Q675" s="23"/>
      <c r="R675" s="23"/>
      <c r="S675" s="23"/>
      <c r="T675" s="23"/>
      <c r="U675" s="23"/>
      <c r="V675" s="23"/>
      <c r="W675" s="23"/>
      <c r="X675" s="23"/>
      <c r="Y675" s="23"/>
      <c r="Z675" s="23"/>
      <c r="AA675" s="23"/>
      <c r="AB675" s="23"/>
      <c r="AC675" s="23"/>
      <c r="AD675" s="23"/>
      <c r="AE675" s="23"/>
      <c r="AF675" s="23"/>
      <c r="AG675" s="23"/>
      <c r="AH675" s="23"/>
      <c r="AI675" s="23"/>
      <c r="AJ675" s="23"/>
      <c r="AK675" s="23"/>
      <c r="AL675" s="23"/>
      <c r="AM675" s="23"/>
      <c r="AN675" s="23"/>
      <c r="AO675" s="23"/>
      <c r="AP675" s="23"/>
      <c r="AQ675" s="23"/>
      <c r="AR675" s="23"/>
      <c r="AS675" s="23">
        <f t="shared" si="11"/>
        <v>0</v>
      </c>
    </row>
    <row r="676" spans="1:45" s="27" customFormat="1" hidden="1" x14ac:dyDescent="0.2">
      <c r="A676" s="28">
        <v>1010</v>
      </c>
      <c r="B676" s="9" t="s">
        <v>819</v>
      </c>
      <c r="C676" s="9" t="s">
        <v>820</v>
      </c>
      <c r="D676" s="9" t="s">
        <v>821</v>
      </c>
      <c r="E676" s="9" t="s">
        <v>822</v>
      </c>
      <c r="F676" s="9" t="s">
        <v>199</v>
      </c>
      <c r="G676" s="9" t="s">
        <v>412</v>
      </c>
      <c r="H676" s="9" t="s">
        <v>831</v>
      </c>
      <c r="I676" s="81"/>
      <c r="J676" s="10">
        <f>'Messages Dictionary'!J82</f>
        <v>0.5</v>
      </c>
      <c r="K676" s="81"/>
      <c r="L676" s="29"/>
      <c r="M676" s="29"/>
      <c r="N676" s="23"/>
      <c r="O676" s="23"/>
      <c r="P676" s="23"/>
      <c r="Q676" s="23"/>
      <c r="R676" s="23"/>
      <c r="S676" s="23"/>
      <c r="T676" s="23"/>
      <c r="U676" s="23"/>
      <c r="V676" s="23"/>
      <c r="W676" s="23"/>
      <c r="X676" s="23"/>
      <c r="Y676" s="23"/>
      <c r="Z676" s="23"/>
      <c r="AA676" s="23"/>
      <c r="AB676" s="23"/>
      <c r="AC676" s="23"/>
      <c r="AD676" s="23"/>
      <c r="AE676" s="23"/>
      <c r="AF676" s="23"/>
      <c r="AG676" s="23"/>
      <c r="AH676" s="23"/>
      <c r="AI676" s="23"/>
      <c r="AJ676" s="23"/>
      <c r="AK676" s="23"/>
      <c r="AL676" s="23"/>
      <c r="AM676" s="23"/>
      <c r="AN676" s="23"/>
      <c r="AO676" s="23"/>
      <c r="AP676" s="23"/>
      <c r="AQ676" s="23"/>
      <c r="AR676" s="23"/>
      <c r="AS676" s="23">
        <f t="shared" si="11"/>
        <v>0</v>
      </c>
    </row>
    <row r="677" spans="1:45" s="27" customFormat="1" hidden="1" x14ac:dyDescent="0.2">
      <c r="A677" s="28">
        <v>1011</v>
      </c>
      <c r="B677" s="9" t="s">
        <v>819</v>
      </c>
      <c r="C677" s="9" t="s">
        <v>820</v>
      </c>
      <c r="D677" s="9" t="s">
        <v>821</v>
      </c>
      <c r="E677" s="9" t="s">
        <v>822</v>
      </c>
      <c r="F677" s="9" t="s">
        <v>199</v>
      </c>
      <c r="G677" s="9" t="s">
        <v>412</v>
      </c>
      <c r="H677" s="9" t="s">
        <v>831</v>
      </c>
      <c r="I677" s="81"/>
      <c r="J677" s="10">
        <f>'Messages Dictionary'!J83</f>
        <v>0.5</v>
      </c>
      <c r="K677" s="81"/>
      <c r="L677" s="29"/>
      <c r="M677" s="29"/>
      <c r="N677" s="23"/>
      <c r="O677" s="23"/>
      <c r="P677" s="23"/>
      <c r="Q677" s="23"/>
      <c r="R677" s="23"/>
      <c r="S677" s="23"/>
      <c r="T677" s="23"/>
      <c r="U677" s="23"/>
      <c r="V677" s="23"/>
      <c r="W677" s="23"/>
      <c r="X677" s="23"/>
      <c r="Y677" s="23"/>
      <c r="Z677" s="23"/>
      <c r="AA677" s="23"/>
      <c r="AB677" s="23"/>
      <c r="AC677" s="23"/>
      <c r="AD677" s="23"/>
      <c r="AE677" s="23"/>
      <c r="AF677" s="23"/>
      <c r="AG677" s="23"/>
      <c r="AH677" s="23"/>
      <c r="AI677" s="23"/>
      <c r="AJ677" s="23"/>
      <c r="AK677" s="23"/>
      <c r="AL677" s="23"/>
      <c r="AM677" s="23"/>
      <c r="AN677" s="23"/>
      <c r="AO677" s="23"/>
      <c r="AP677" s="23"/>
      <c r="AQ677" s="23"/>
      <c r="AR677" s="23"/>
      <c r="AS677" s="23">
        <f t="shared" si="11"/>
        <v>0</v>
      </c>
    </row>
    <row r="678" spans="1:45" s="27" customFormat="1" hidden="1" x14ac:dyDescent="0.2">
      <c r="A678" s="28">
        <v>1012</v>
      </c>
      <c r="B678" s="9" t="s">
        <v>819</v>
      </c>
      <c r="C678" s="9" t="s">
        <v>820</v>
      </c>
      <c r="D678" s="9" t="s">
        <v>821</v>
      </c>
      <c r="E678" s="9" t="s">
        <v>822</v>
      </c>
      <c r="F678" s="9" t="s">
        <v>199</v>
      </c>
      <c r="G678" s="9" t="s">
        <v>412</v>
      </c>
      <c r="H678" s="9" t="s">
        <v>831</v>
      </c>
      <c r="I678" s="81"/>
      <c r="J678" s="10">
        <f>'Messages Dictionary'!J84</f>
        <v>0.5</v>
      </c>
      <c r="K678" s="81"/>
      <c r="L678" s="29"/>
      <c r="M678" s="29"/>
      <c r="N678" s="23"/>
      <c r="O678" s="23"/>
      <c r="P678" s="23"/>
      <c r="Q678" s="23"/>
      <c r="R678" s="23"/>
      <c r="S678" s="23"/>
      <c r="T678" s="23"/>
      <c r="U678" s="23"/>
      <c r="V678" s="23"/>
      <c r="W678" s="23"/>
      <c r="X678" s="23"/>
      <c r="Y678" s="23"/>
      <c r="Z678" s="23"/>
      <c r="AA678" s="23"/>
      <c r="AB678" s="23"/>
      <c r="AC678" s="23"/>
      <c r="AD678" s="23"/>
      <c r="AE678" s="23"/>
      <c r="AF678" s="23"/>
      <c r="AG678" s="23"/>
      <c r="AH678" s="23"/>
      <c r="AI678" s="23"/>
      <c r="AJ678" s="23"/>
      <c r="AK678" s="23"/>
      <c r="AL678" s="23"/>
      <c r="AM678" s="23"/>
      <c r="AN678" s="23"/>
      <c r="AO678" s="23"/>
      <c r="AP678" s="23"/>
      <c r="AQ678" s="23"/>
      <c r="AR678" s="23"/>
      <c r="AS678" s="23">
        <f t="shared" si="11"/>
        <v>0</v>
      </c>
    </row>
    <row r="679" spans="1:45" s="27" customFormat="1" hidden="1" x14ac:dyDescent="0.2">
      <c r="A679" s="28">
        <v>1013</v>
      </c>
      <c r="B679" s="9" t="s">
        <v>819</v>
      </c>
      <c r="C679" s="9" t="s">
        <v>820</v>
      </c>
      <c r="D679" s="9" t="s">
        <v>821</v>
      </c>
      <c r="E679" s="9" t="s">
        <v>822</v>
      </c>
      <c r="F679" s="9" t="s">
        <v>199</v>
      </c>
      <c r="G679" s="9" t="s">
        <v>412</v>
      </c>
      <c r="H679" s="9" t="s">
        <v>831</v>
      </c>
      <c r="I679" s="81"/>
      <c r="J679" s="10">
        <f>'Messages Dictionary'!J85</f>
        <v>0.5</v>
      </c>
      <c r="K679" s="81"/>
      <c r="L679" s="29"/>
      <c r="M679" s="29"/>
      <c r="N679" s="23"/>
      <c r="O679" s="23"/>
      <c r="P679" s="23"/>
      <c r="Q679" s="23"/>
      <c r="R679" s="23"/>
      <c r="S679" s="23"/>
      <c r="T679" s="23"/>
      <c r="U679" s="23"/>
      <c r="V679" s="23"/>
      <c r="W679" s="23"/>
      <c r="X679" s="23"/>
      <c r="Y679" s="23"/>
      <c r="Z679" s="23"/>
      <c r="AA679" s="23"/>
      <c r="AB679" s="23"/>
      <c r="AC679" s="23"/>
      <c r="AD679" s="23"/>
      <c r="AE679" s="23"/>
      <c r="AF679" s="23"/>
      <c r="AG679" s="23"/>
      <c r="AH679" s="23"/>
      <c r="AI679" s="23"/>
      <c r="AJ679" s="23"/>
      <c r="AK679" s="23"/>
      <c r="AL679" s="23"/>
      <c r="AM679" s="23"/>
      <c r="AN679" s="23"/>
      <c r="AO679" s="23"/>
      <c r="AP679" s="23"/>
      <c r="AQ679" s="23"/>
      <c r="AR679" s="23"/>
      <c r="AS679" s="23">
        <f t="shared" si="11"/>
        <v>0</v>
      </c>
    </row>
    <row r="680" spans="1:45" s="27" customFormat="1" hidden="1" x14ac:dyDescent="0.2">
      <c r="A680" s="28">
        <v>1014</v>
      </c>
      <c r="B680" s="9" t="s">
        <v>819</v>
      </c>
      <c r="C680" s="9" t="s">
        <v>820</v>
      </c>
      <c r="D680" s="9" t="s">
        <v>821</v>
      </c>
      <c r="E680" s="9" t="s">
        <v>822</v>
      </c>
      <c r="F680" s="9" t="s">
        <v>199</v>
      </c>
      <c r="G680" s="9" t="s">
        <v>412</v>
      </c>
      <c r="H680" s="9" t="s">
        <v>831</v>
      </c>
      <c r="I680" s="81"/>
      <c r="J680" s="10">
        <f>'Messages Dictionary'!J86</f>
        <v>0.5</v>
      </c>
      <c r="K680" s="81"/>
      <c r="L680" s="29"/>
      <c r="M680" s="29"/>
      <c r="N680" s="23"/>
      <c r="O680" s="23"/>
      <c r="P680" s="23"/>
      <c r="Q680" s="23"/>
      <c r="R680" s="23"/>
      <c r="S680" s="23"/>
      <c r="T680" s="23"/>
      <c r="U680" s="23"/>
      <c r="V680" s="23"/>
      <c r="W680" s="23"/>
      <c r="X680" s="23"/>
      <c r="Y680" s="23"/>
      <c r="Z680" s="23"/>
      <c r="AA680" s="23"/>
      <c r="AB680" s="23"/>
      <c r="AC680" s="23"/>
      <c r="AD680" s="23"/>
      <c r="AE680" s="23"/>
      <c r="AF680" s="23"/>
      <c r="AG680" s="23"/>
      <c r="AH680" s="23"/>
      <c r="AI680" s="23"/>
      <c r="AJ680" s="23"/>
      <c r="AK680" s="23"/>
      <c r="AL680" s="23"/>
      <c r="AM680" s="23"/>
      <c r="AN680" s="23"/>
      <c r="AO680" s="23"/>
      <c r="AP680" s="23"/>
      <c r="AQ680" s="23"/>
      <c r="AR680" s="23"/>
      <c r="AS680" s="23">
        <f t="shared" si="11"/>
        <v>0</v>
      </c>
    </row>
    <row r="681" spans="1:45" s="27" customFormat="1" hidden="1" x14ac:dyDescent="0.2">
      <c r="A681" s="28">
        <v>1015</v>
      </c>
      <c r="B681" s="9" t="s">
        <v>819</v>
      </c>
      <c r="C681" s="9" t="s">
        <v>820</v>
      </c>
      <c r="D681" s="9" t="s">
        <v>821</v>
      </c>
      <c r="E681" s="9" t="s">
        <v>822</v>
      </c>
      <c r="F681" s="9" t="s">
        <v>199</v>
      </c>
      <c r="G681" s="9" t="s">
        <v>412</v>
      </c>
      <c r="H681" s="9" t="s">
        <v>831</v>
      </c>
      <c r="I681" s="81"/>
      <c r="J681" s="10">
        <f>'Messages Dictionary'!J87</f>
        <v>0.5</v>
      </c>
      <c r="K681" s="81"/>
      <c r="L681" s="29"/>
      <c r="M681" s="29"/>
      <c r="N681" s="23"/>
      <c r="O681" s="23"/>
      <c r="P681" s="23"/>
      <c r="Q681" s="23"/>
      <c r="R681" s="23"/>
      <c r="S681" s="23"/>
      <c r="T681" s="23"/>
      <c r="U681" s="23"/>
      <c r="V681" s="23"/>
      <c r="W681" s="23"/>
      <c r="X681" s="23"/>
      <c r="Y681" s="23"/>
      <c r="Z681" s="23"/>
      <c r="AA681" s="23"/>
      <c r="AB681" s="23"/>
      <c r="AC681" s="23"/>
      <c r="AD681" s="23"/>
      <c r="AE681" s="23"/>
      <c r="AF681" s="23"/>
      <c r="AG681" s="23"/>
      <c r="AH681" s="23"/>
      <c r="AI681" s="23"/>
      <c r="AJ681" s="23"/>
      <c r="AK681" s="23"/>
      <c r="AL681" s="23"/>
      <c r="AM681" s="23"/>
      <c r="AN681" s="23"/>
      <c r="AO681" s="23"/>
      <c r="AP681" s="23"/>
      <c r="AQ681" s="23"/>
      <c r="AR681" s="23"/>
      <c r="AS681" s="23">
        <f t="shared" si="11"/>
        <v>0</v>
      </c>
    </row>
    <row r="682" spans="1:45" s="27" customFormat="1" hidden="1" x14ac:dyDescent="0.2">
      <c r="A682" s="28">
        <v>1016</v>
      </c>
      <c r="B682" s="9" t="s">
        <v>819</v>
      </c>
      <c r="C682" s="9" t="s">
        <v>820</v>
      </c>
      <c r="D682" s="9" t="s">
        <v>821</v>
      </c>
      <c r="E682" s="9" t="s">
        <v>822</v>
      </c>
      <c r="F682" s="9" t="s">
        <v>199</v>
      </c>
      <c r="G682" s="9" t="s">
        <v>412</v>
      </c>
      <c r="H682" s="9" t="s">
        <v>831</v>
      </c>
      <c r="I682" s="81"/>
      <c r="J682" s="10">
        <f>'Messages Dictionary'!J88</f>
        <v>0.5</v>
      </c>
      <c r="K682" s="81"/>
      <c r="L682" s="29"/>
      <c r="M682" s="29"/>
      <c r="N682" s="23"/>
      <c r="O682" s="23"/>
      <c r="P682" s="23"/>
      <c r="Q682" s="23"/>
      <c r="R682" s="23"/>
      <c r="S682" s="23"/>
      <c r="T682" s="23"/>
      <c r="U682" s="23"/>
      <c r="V682" s="23"/>
      <c r="W682" s="23"/>
      <c r="X682" s="23"/>
      <c r="Y682" s="23"/>
      <c r="Z682" s="23"/>
      <c r="AA682" s="23"/>
      <c r="AB682" s="23"/>
      <c r="AC682" s="23"/>
      <c r="AD682" s="23"/>
      <c r="AE682" s="23"/>
      <c r="AF682" s="23"/>
      <c r="AG682" s="23"/>
      <c r="AH682" s="23"/>
      <c r="AI682" s="23"/>
      <c r="AJ682" s="23"/>
      <c r="AK682" s="23"/>
      <c r="AL682" s="23"/>
      <c r="AM682" s="23"/>
      <c r="AN682" s="23"/>
      <c r="AO682" s="23"/>
      <c r="AP682" s="23"/>
      <c r="AQ682" s="23"/>
      <c r="AR682" s="23"/>
      <c r="AS682" s="23">
        <f t="shared" si="11"/>
        <v>0</v>
      </c>
    </row>
    <row r="683" spans="1:45" s="27" customFormat="1" hidden="1" x14ac:dyDescent="0.2">
      <c r="A683" s="28">
        <v>1017</v>
      </c>
      <c r="B683" s="9" t="s">
        <v>819</v>
      </c>
      <c r="C683" s="9" t="s">
        <v>820</v>
      </c>
      <c r="D683" s="9" t="s">
        <v>821</v>
      </c>
      <c r="E683" s="9" t="s">
        <v>822</v>
      </c>
      <c r="F683" s="9" t="s">
        <v>199</v>
      </c>
      <c r="G683" s="9" t="s">
        <v>412</v>
      </c>
      <c r="H683" s="9" t="s">
        <v>831</v>
      </c>
      <c r="I683" s="81"/>
      <c r="J683" s="10">
        <f>'Messages Dictionary'!J89</f>
        <v>0.5</v>
      </c>
      <c r="K683" s="81"/>
      <c r="L683" s="29"/>
      <c r="M683" s="29"/>
      <c r="N683" s="23"/>
      <c r="O683" s="23"/>
      <c r="P683" s="23"/>
      <c r="Q683" s="23"/>
      <c r="R683" s="23"/>
      <c r="S683" s="23"/>
      <c r="T683" s="23"/>
      <c r="U683" s="23"/>
      <c r="V683" s="23"/>
      <c r="W683" s="23"/>
      <c r="X683" s="23"/>
      <c r="Y683" s="23"/>
      <c r="Z683" s="23"/>
      <c r="AA683" s="23"/>
      <c r="AB683" s="23"/>
      <c r="AC683" s="23"/>
      <c r="AD683" s="23"/>
      <c r="AE683" s="23"/>
      <c r="AF683" s="23"/>
      <c r="AG683" s="23"/>
      <c r="AH683" s="23"/>
      <c r="AI683" s="23"/>
      <c r="AJ683" s="23"/>
      <c r="AK683" s="23"/>
      <c r="AL683" s="23"/>
      <c r="AM683" s="23"/>
      <c r="AN683" s="23"/>
      <c r="AO683" s="23"/>
      <c r="AP683" s="23"/>
      <c r="AQ683" s="23"/>
      <c r="AR683" s="23"/>
      <c r="AS683" s="23">
        <f t="shared" si="11"/>
        <v>0</v>
      </c>
    </row>
    <row r="684" spans="1:45" s="27" customFormat="1" hidden="1" x14ac:dyDescent="0.2">
      <c r="A684" s="28">
        <v>1018</v>
      </c>
      <c r="B684" s="9" t="s">
        <v>819</v>
      </c>
      <c r="C684" s="9" t="s">
        <v>820</v>
      </c>
      <c r="D684" s="9" t="s">
        <v>821</v>
      </c>
      <c r="E684" s="9" t="s">
        <v>822</v>
      </c>
      <c r="F684" s="9" t="s">
        <v>199</v>
      </c>
      <c r="G684" s="9" t="s">
        <v>412</v>
      </c>
      <c r="H684" s="9" t="s">
        <v>831</v>
      </c>
      <c r="I684" s="81"/>
      <c r="J684" s="10">
        <f>'Messages Dictionary'!J90</f>
        <v>0.5</v>
      </c>
      <c r="K684" s="81"/>
      <c r="L684" s="29"/>
      <c r="M684" s="29"/>
      <c r="N684" s="23"/>
      <c r="O684" s="23"/>
      <c r="P684" s="23"/>
      <c r="Q684" s="23"/>
      <c r="R684" s="23"/>
      <c r="S684" s="23"/>
      <c r="T684" s="23"/>
      <c r="U684" s="23"/>
      <c r="V684" s="23"/>
      <c r="W684" s="23"/>
      <c r="X684" s="23"/>
      <c r="Y684" s="23"/>
      <c r="Z684" s="23"/>
      <c r="AA684" s="23"/>
      <c r="AB684" s="23"/>
      <c r="AC684" s="23"/>
      <c r="AD684" s="23"/>
      <c r="AE684" s="23"/>
      <c r="AF684" s="23"/>
      <c r="AG684" s="23"/>
      <c r="AH684" s="23"/>
      <c r="AI684" s="23"/>
      <c r="AJ684" s="23"/>
      <c r="AK684" s="23"/>
      <c r="AL684" s="23"/>
      <c r="AM684" s="23"/>
      <c r="AN684" s="23"/>
      <c r="AO684" s="23"/>
      <c r="AP684" s="23"/>
      <c r="AQ684" s="23"/>
      <c r="AR684" s="23"/>
      <c r="AS684" s="23">
        <f t="shared" si="11"/>
        <v>0</v>
      </c>
    </row>
    <row r="685" spans="1:45" s="27" customFormat="1" hidden="1" x14ac:dyDescent="0.2">
      <c r="A685" s="28">
        <v>1019</v>
      </c>
      <c r="B685" s="9" t="s">
        <v>819</v>
      </c>
      <c r="C685" s="9" t="s">
        <v>820</v>
      </c>
      <c r="D685" s="9" t="s">
        <v>821</v>
      </c>
      <c r="E685" s="9" t="s">
        <v>822</v>
      </c>
      <c r="F685" s="9" t="s">
        <v>199</v>
      </c>
      <c r="G685" s="9" t="s">
        <v>412</v>
      </c>
      <c r="H685" s="9" t="s">
        <v>831</v>
      </c>
      <c r="I685" s="81"/>
      <c r="J685" s="10">
        <f>'Messages Dictionary'!J91</f>
        <v>0.5</v>
      </c>
      <c r="K685" s="81"/>
      <c r="L685" s="29"/>
      <c r="M685" s="29"/>
      <c r="N685" s="23"/>
      <c r="O685" s="23"/>
      <c r="P685" s="23"/>
      <c r="Q685" s="23"/>
      <c r="R685" s="23"/>
      <c r="S685" s="23"/>
      <c r="T685" s="23"/>
      <c r="U685" s="23"/>
      <c r="V685" s="23"/>
      <c r="W685" s="23"/>
      <c r="X685" s="23"/>
      <c r="Y685" s="23"/>
      <c r="Z685" s="23"/>
      <c r="AA685" s="23"/>
      <c r="AB685" s="23"/>
      <c r="AC685" s="23"/>
      <c r="AD685" s="23"/>
      <c r="AE685" s="23"/>
      <c r="AF685" s="23"/>
      <c r="AG685" s="23"/>
      <c r="AH685" s="23"/>
      <c r="AI685" s="23"/>
      <c r="AJ685" s="23"/>
      <c r="AK685" s="23"/>
      <c r="AL685" s="23"/>
      <c r="AM685" s="23"/>
      <c r="AN685" s="23"/>
      <c r="AO685" s="23"/>
      <c r="AP685" s="23"/>
      <c r="AQ685" s="23"/>
      <c r="AR685" s="23"/>
      <c r="AS685" s="23">
        <f t="shared" si="11"/>
        <v>0</v>
      </c>
    </row>
    <row r="686" spans="1:45" s="27" customFormat="1" hidden="1" x14ac:dyDescent="0.2">
      <c r="A686" s="28">
        <v>1020</v>
      </c>
      <c r="B686" s="9" t="s">
        <v>819</v>
      </c>
      <c r="C686" s="9" t="s">
        <v>820</v>
      </c>
      <c r="D686" s="9" t="s">
        <v>821</v>
      </c>
      <c r="E686" s="9" t="s">
        <v>822</v>
      </c>
      <c r="F686" s="9" t="s">
        <v>199</v>
      </c>
      <c r="G686" s="9" t="s">
        <v>412</v>
      </c>
      <c r="H686" s="9" t="s">
        <v>831</v>
      </c>
      <c r="I686" s="81"/>
      <c r="J686" s="10">
        <f>'Messages Dictionary'!J92</f>
        <v>1</v>
      </c>
      <c r="K686" s="81"/>
      <c r="L686" s="29"/>
      <c r="M686" s="29"/>
      <c r="N686" s="23"/>
      <c r="O686" s="23"/>
      <c r="P686" s="23"/>
      <c r="Q686" s="23"/>
      <c r="R686" s="23"/>
      <c r="S686" s="23"/>
      <c r="T686" s="23"/>
      <c r="U686" s="23"/>
      <c r="V686" s="23"/>
      <c r="W686" s="23"/>
      <c r="X686" s="23"/>
      <c r="Y686" s="23"/>
      <c r="Z686" s="23"/>
      <c r="AA686" s="23"/>
      <c r="AB686" s="23"/>
      <c r="AC686" s="23"/>
      <c r="AD686" s="23"/>
      <c r="AE686" s="23"/>
      <c r="AF686" s="23"/>
      <c r="AG686" s="23"/>
      <c r="AH686" s="23"/>
      <c r="AI686" s="23"/>
      <c r="AJ686" s="23"/>
      <c r="AK686" s="23"/>
      <c r="AL686" s="23"/>
      <c r="AM686" s="23"/>
      <c r="AN686" s="23"/>
      <c r="AO686" s="23"/>
      <c r="AP686" s="23"/>
      <c r="AQ686" s="23"/>
      <c r="AR686" s="23"/>
      <c r="AS686" s="23">
        <f t="shared" si="11"/>
        <v>0</v>
      </c>
    </row>
    <row r="687" spans="1:45" s="27" customFormat="1" hidden="1" x14ac:dyDescent="0.2">
      <c r="A687" s="28">
        <v>1021</v>
      </c>
      <c r="B687" s="9" t="s">
        <v>819</v>
      </c>
      <c r="C687" s="9" t="s">
        <v>820</v>
      </c>
      <c r="D687" s="9" t="s">
        <v>821</v>
      </c>
      <c r="E687" s="9" t="s">
        <v>822</v>
      </c>
      <c r="F687" s="9" t="s">
        <v>199</v>
      </c>
      <c r="G687" s="9" t="s">
        <v>405</v>
      </c>
      <c r="H687" s="9" t="s">
        <v>426</v>
      </c>
      <c r="I687" s="81"/>
      <c r="J687" s="10">
        <f>'Messages Dictionary'!J93</f>
        <v>1</v>
      </c>
      <c r="K687" s="81"/>
      <c r="L687" s="29"/>
      <c r="M687" s="29"/>
      <c r="N687" s="23"/>
      <c r="O687" s="23"/>
      <c r="P687" s="23"/>
      <c r="Q687" s="23"/>
      <c r="R687" s="23"/>
      <c r="S687" s="23"/>
      <c r="T687" s="23"/>
      <c r="U687" s="23"/>
      <c r="V687" s="23"/>
      <c r="W687" s="23"/>
      <c r="X687" s="23"/>
      <c r="Y687" s="23"/>
      <c r="Z687" s="23"/>
      <c r="AA687" s="23"/>
      <c r="AB687" s="23"/>
      <c r="AC687" s="23"/>
      <c r="AD687" s="23"/>
      <c r="AE687" s="23"/>
      <c r="AF687" s="23"/>
      <c r="AG687" s="23"/>
      <c r="AH687" s="23"/>
      <c r="AI687" s="23"/>
      <c r="AJ687" s="23"/>
      <c r="AK687" s="23"/>
      <c r="AL687" s="23"/>
      <c r="AM687" s="23"/>
      <c r="AN687" s="23"/>
      <c r="AO687" s="23"/>
      <c r="AP687" s="23"/>
      <c r="AQ687" s="23"/>
      <c r="AR687" s="23"/>
      <c r="AS687" s="23">
        <f t="shared" si="11"/>
        <v>0</v>
      </c>
    </row>
    <row r="688" spans="1:45" s="27" customFormat="1" hidden="1" x14ac:dyDescent="0.2">
      <c r="A688" s="28">
        <v>1022</v>
      </c>
      <c r="B688" s="9" t="s">
        <v>819</v>
      </c>
      <c r="C688" s="9" t="s">
        <v>820</v>
      </c>
      <c r="D688" s="9" t="s">
        <v>821</v>
      </c>
      <c r="E688" s="9" t="s">
        <v>822</v>
      </c>
      <c r="F688" s="9" t="s">
        <v>198</v>
      </c>
      <c r="G688" s="9" t="s">
        <v>405</v>
      </c>
      <c r="H688" s="9" t="s">
        <v>426</v>
      </c>
      <c r="I688" s="81"/>
      <c r="J688" s="10">
        <f>'Messages Dictionary'!J94</f>
        <v>1</v>
      </c>
      <c r="K688" s="81"/>
      <c r="L688" s="29"/>
      <c r="M688" s="29"/>
      <c r="N688" s="23"/>
      <c r="O688" s="23"/>
      <c r="P688" s="23"/>
      <c r="Q688" s="23"/>
      <c r="R688" s="23"/>
      <c r="S688" s="23"/>
      <c r="T688" s="23"/>
      <c r="U688" s="23"/>
      <c r="V688" s="23"/>
      <c r="W688" s="23"/>
      <c r="X688" s="23"/>
      <c r="Y688" s="23"/>
      <c r="Z688" s="23"/>
      <c r="AA688" s="23"/>
      <c r="AB688" s="23"/>
      <c r="AC688" s="23"/>
      <c r="AD688" s="23"/>
      <c r="AE688" s="23"/>
      <c r="AF688" s="23"/>
      <c r="AG688" s="23"/>
      <c r="AH688" s="23"/>
      <c r="AI688" s="23"/>
      <c r="AJ688" s="23"/>
      <c r="AK688" s="23"/>
      <c r="AL688" s="23"/>
      <c r="AM688" s="23"/>
      <c r="AN688" s="23"/>
      <c r="AO688" s="23"/>
      <c r="AP688" s="23"/>
      <c r="AQ688" s="23"/>
      <c r="AR688" s="23"/>
      <c r="AS688" s="23">
        <f t="shared" si="11"/>
        <v>0</v>
      </c>
    </row>
    <row r="689" spans="1:45" s="27" customFormat="1" hidden="1" x14ac:dyDescent="0.2">
      <c r="A689" s="28">
        <v>1023</v>
      </c>
      <c r="B689" s="9" t="s">
        <v>819</v>
      </c>
      <c r="C689" s="9" t="s">
        <v>820</v>
      </c>
      <c r="D689" s="9" t="s">
        <v>821</v>
      </c>
      <c r="E689" s="9" t="s">
        <v>822</v>
      </c>
      <c r="F689" s="9" t="s">
        <v>199</v>
      </c>
      <c r="G689" s="9" t="s">
        <v>412</v>
      </c>
      <c r="H689" s="9" t="s">
        <v>831</v>
      </c>
      <c r="I689" s="81"/>
      <c r="J689" s="10">
        <f>'Messages Dictionary'!J95</f>
        <v>0.5</v>
      </c>
      <c r="K689" s="81"/>
      <c r="L689" s="29"/>
      <c r="M689" s="29"/>
      <c r="N689" s="23"/>
      <c r="O689" s="23"/>
      <c r="P689" s="23"/>
      <c r="Q689" s="23"/>
      <c r="R689" s="23"/>
      <c r="S689" s="23"/>
      <c r="T689" s="23"/>
      <c r="U689" s="23"/>
      <c r="V689" s="23"/>
      <c r="W689" s="23"/>
      <c r="X689" s="23"/>
      <c r="Y689" s="23"/>
      <c r="Z689" s="23"/>
      <c r="AA689" s="23"/>
      <c r="AB689" s="23"/>
      <c r="AC689" s="23"/>
      <c r="AD689" s="23"/>
      <c r="AE689" s="23"/>
      <c r="AF689" s="23"/>
      <c r="AG689" s="23"/>
      <c r="AH689" s="23"/>
      <c r="AI689" s="23"/>
      <c r="AJ689" s="23"/>
      <c r="AK689" s="23"/>
      <c r="AL689" s="23"/>
      <c r="AM689" s="23"/>
      <c r="AN689" s="23"/>
      <c r="AO689" s="23"/>
      <c r="AP689" s="23"/>
      <c r="AQ689" s="23"/>
      <c r="AR689" s="23"/>
      <c r="AS689" s="23">
        <f t="shared" si="11"/>
        <v>0</v>
      </c>
    </row>
    <row r="690" spans="1:45" s="27" customFormat="1" hidden="1" x14ac:dyDescent="0.2">
      <c r="A690" s="28">
        <v>1024</v>
      </c>
      <c r="B690" s="9" t="s">
        <v>819</v>
      </c>
      <c r="C690" s="9" t="s">
        <v>820</v>
      </c>
      <c r="D690" s="9" t="s">
        <v>821</v>
      </c>
      <c r="E690" s="9" t="s">
        <v>822</v>
      </c>
      <c r="F690" s="9" t="s">
        <v>199</v>
      </c>
      <c r="G690" s="9" t="s">
        <v>412</v>
      </c>
      <c r="H690" s="9" t="s">
        <v>831</v>
      </c>
      <c r="I690" s="81"/>
      <c r="J690" s="10">
        <f>'Messages Dictionary'!J96</f>
        <v>0.5</v>
      </c>
      <c r="K690" s="81"/>
      <c r="L690" s="29"/>
      <c r="M690" s="29"/>
      <c r="N690" s="23"/>
      <c r="O690" s="23"/>
      <c r="P690" s="23"/>
      <c r="Q690" s="23"/>
      <c r="R690" s="23"/>
      <c r="S690" s="23"/>
      <c r="T690" s="23"/>
      <c r="U690" s="23"/>
      <c r="V690" s="23"/>
      <c r="W690" s="23"/>
      <c r="X690" s="23"/>
      <c r="Y690" s="23"/>
      <c r="Z690" s="23"/>
      <c r="AA690" s="23"/>
      <c r="AB690" s="23"/>
      <c r="AC690" s="23"/>
      <c r="AD690" s="23"/>
      <c r="AE690" s="23"/>
      <c r="AF690" s="23"/>
      <c r="AG690" s="23"/>
      <c r="AH690" s="23"/>
      <c r="AI690" s="23"/>
      <c r="AJ690" s="23"/>
      <c r="AK690" s="23"/>
      <c r="AL690" s="23"/>
      <c r="AM690" s="23"/>
      <c r="AN690" s="23"/>
      <c r="AO690" s="23"/>
      <c r="AP690" s="23"/>
      <c r="AQ690" s="23"/>
      <c r="AR690" s="23"/>
      <c r="AS690" s="23">
        <f t="shared" si="11"/>
        <v>0</v>
      </c>
    </row>
    <row r="691" spans="1:45" s="27" customFormat="1" hidden="1" x14ac:dyDescent="0.2">
      <c r="A691" s="28">
        <v>1025</v>
      </c>
      <c r="B691" s="9" t="s">
        <v>819</v>
      </c>
      <c r="C691" s="9" t="s">
        <v>820</v>
      </c>
      <c r="D691" s="9" t="s">
        <v>821</v>
      </c>
      <c r="E691" s="9" t="s">
        <v>822</v>
      </c>
      <c r="F691" s="9" t="s">
        <v>199</v>
      </c>
      <c r="G691" s="9" t="s">
        <v>412</v>
      </c>
      <c r="H691" s="9" t="s">
        <v>831</v>
      </c>
      <c r="I691" s="81"/>
      <c r="J691" s="10">
        <f>'Messages Dictionary'!J97</f>
        <v>0.5</v>
      </c>
      <c r="K691" s="81"/>
      <c r="L691" s="29"/>
      <c r="M691" s="29"/>
      <c r="N691" s="23"/>
      <c r="O691" s="23"/>
      <c r="P691" s="23"/>
      <c r="Q691" s="23"/>
      <c r="R691" s="23"/>
      <c r="S691" s="23"/>
      <c r="T691" s="23"/>
      <c r="U691" s="23"/>
      <c r="V691" s="23"/>
      <c r="W691" s="23"/>
      <c r="X691" s="23"/>
      <c r="Y691" s="23"/>
      <c r="Z691" s="23"/>
      <c r="AA691" s="23"/>
      <c r="AB691" s="23"/>
      <c r="AC691" s="23"/>
      <c r="AD691" s="23"/>
      <c r="AE691" s="23"/>
      <c r="AF691" s="23"/>
      <c r="AG691" s="23"/>
      <c r="AH691" s="23"/>
      <c r="AI691" s="23"/>
      <c r="AJ691" s="23"/>
      <c r="AK691" s="23"/>
      <c r="AL691" s="23"/>
      <c r="AM691" s="23"/>
      <c r="AN691" s="23"/>
      <c r="AO691" s="23"/>
      <c r="AP691" s="23"/>
      <c r="AQ691" s="23"/>
      <c r="AR691" s="23"/>
      <c r="AS691" s="23">
        <f t="shared" si="11"/>
        <v>0</v>
      </c>
    </row>
    <row r="692" spans="1:45" s="27" customFormat="1" hidden="1" x14ac:dyDescent="0.2">
      <c r="A692" s="28">
        <v>1026</v>
      </c>
      <c r="B692" s="9" t="s">
        <v>819</v>
      </c>
      <c r="C692" s="9" t="s">
        <v>820</v>
      </c>
      <c r="D692" s="9" t="s">
        <v>821</v>
      </c>
      <c r="E692" s="9" t="s">
        <v>822</v>
      </c>
      <c r="F692" s="9" t="s">
        <v>199</v>
      </c>
      <c r="G692" s="9" t="s">
        <v>412</v>
      </c>
      <c r="H692" s="9" t="s">
        <v>831</v>
      </c>
      <c r="I692" s="81"/>
      <c r="J692" s="10">
        <f>'Messages Dictionary'!J98</f>
        <v>0.5</v>
      </c>
      <c r="K692" s="81"/>
      <c r="L692" s="29"/>
      <c r="M692" s="29"/>
      <c r="N692" s="23"/>
      <c r="O692" s="23"/>
      <c r="P692" s="23"/>
      <c r="Q692" s="23"/>
      <c r="R692" s="23"/>
      <c r="S692" s="23"/>
      <c r="T692" s="23"/>
      <c r="U692" s="23"/>
      <c r="V692" s="23"/>
      <c r="W692" s="23"/>
      <c r="X692" s="23"/>
      <c r="Y692" s="23"/>
      <c r="Z692" s="23"/>
      <c r="AA692" s="23"/>
      <c r="AB692" s="23"/>
      <c r="AC692" s="23"/>
      <c r="AD692" s="23"/>
      <c r="AE692" s="23"/>
      <c r="AF692" s="23"/>
      <c r="AG692" s="23"/>
      <c r="AH692" s="23"/>
      <c r="AI692" s="23"/>
      <c r="AJ692" s="23"/>
      <c r="AK692" s="23"/>
      <c r="AL692" s="23"/>
      <c r="AM692" s="23"/>
      <c r="AN692" s="23"/>
      <c r="AO692" s="23"/>
      <c r="AP692" s="23"/>
      <c r="AQ692" s="23"/>
      <c r="AR692" s="23"/>
      <c r="AS692" s="23">
        <f t="shared" si="11"/>
        <v>0</v>
      </c>
    </row>
    <row r="693" spans="1:45" s="27" customFormat="1" hidden="1" x14ac:dyDescent="0.2">
      <c r="A693" s="28">
        <v>1027</v>
      </c>
      <c r="B693" s="9" t="s">
        <v>819</v>
      </c>
      <c r="C693" s="9" t="s">
        <v>820</v>
      </c>
      <c r="D693" s="9" t="s">
        <v>821</v>
      </c>
      <c r="E693" s="9" t="s">
        <v>822</v>
      </c>
      <c r="F693" s="9" t="s">
        <v>199</v>
      </c>
      <c r="G693" s="9" t="s">
        <v>412</v>
      </c>
      <c r="H693" s="9" t="s">
        <v>831</v>
      </c>
      <c r="I693" s="81"/>
      <c r="J693" s="10">
        <f>'Messages Dictionary'!J99</f>
        <v>0.5</v>
      </c>
      <c r="K693" s="81"/>
      <c r="L693" s="29"/>
      <c r="M693" s="29"/>
      <c r="N693" s="23"/>
      <c r="O693" s="23"/>
      <c r="P693" s="23"/>
      <c r="Q693" s="23"/>
      <c r="R693" s="23"/>
      <c r="S693" s="23"/>
      <c r="T693" s="23"/>
      <c r="U693" s="23"/>
      <c r="V693" s="23"/>
      <c r="W693" s="23"/>
      <c r="X693" s="23"/>
      <c r="Y693" s="23"/>
      <c r="Z693" s="23"/>
      <c r="AA693" s="23"/>
      <c r="AB693" s="23"/>
      <c r="AC693" s="23"/>
      <c r="AD693" s="23"/>
      <c r="AE693" s="23"/>
      <c r="AF693" s="23"/>
      <c r="AG693" s="23"/>
      <c r="AH693" s="23"/>
      <c r="AI693" s="23"/>
      <c r="AJ693" s="23"/>
      <c r="AK693" s="23"/>
      <c r="AL693" s="23"/>
      <c r="AM693" s="23"/>
      <c r="AN693" s="23"/>
      <c r="AO693" s="23"/>
      <c r="AP693" s="23"/>
      <c r="AQ693" s="23"/>
      <c r="AR693" s="23"/>
      <c r="AS693" s="23">
        <f t="shared" si="11"/>
        <v>0</v>
      </c>
    </row>
    <row r="694" spans="1:45" s="27" customFormat="1" hidden="1" x14ac:dyDescent="0.2">
      <c r="A694" s="28">
        <v>1028</v>
      </c>
      <c r="B694" s="9" t="s">
        <v>819</v>
      </c>
      <c r="C694" s="9" t="s">
        <v>820</v>
      </c>
      <c r="D694" s="9" t="s">
        <v>821</v>
      </c>
      <c r="E694" s="9" t="s">
        <v>822</v>
      </c>
      <c r="F694" s="9" t="s">
        <v>199</v>
      </c>
      <c r="G694" s="9" t="s">
        <v>412</v>
      </c>
      <c r="H694" s="9" t="s">
        <v>831</v>
      </c>
      <c r="I694" s="81"/>
      <c r="J694" s="10">
        <f>'Messages Dictionary'!J100</f>
        <v>0.5</v>
      </c>
      <c r="K694" s="81"/>
      <c r="L694" s="29"/>
      <c r="M694" s="29"/>
      <c r="N694" s="23"/>
      <c r="O694" s="23"/>
      <c r="P694" s="23"/>
      <c r="Q694" s="23"/>
      <c r="R694" s="23"/>
      <c r="S694" s="23"/>
      <c r="T694" s="23"/>
      <c r="U694" s="23"/>
      <c r="V694" s="23"/>
      <c r="W694" s="23"/>
      <c r="X694" s="23"/>
      <c r="Y694" s="23"/>
      <c r="Z694" s="23"/>
      <c r="AA694" s="23"/>
      <c r="AB694" s="23"/>
      <c r="AC694" s="23"/>
      <c r="AD694" s="23"/>
      <c r="AE694" s="23"/>
      <c r="AF694" s="23"/>
      <c r="AG694" s="23"/>
      <c r="AH694" s="23"/>
      <c r="AI694" s="23"/>
      <c r="AJ694" s="23"/>
      <c r="AK694" s="23"/>
      <c r="AL694" s="23"/>
      <c r="AM694" s="23"/>
      <c r="AN694" s="23"/>
      <c r="AO694" s="23"/>
      <c r="AP694" s="23"/>
      <c r="AQ694" s="23"/>
      <c r="AR694" s="23"/>
      <c r="AS694" s="23">
        <f t="shared" si="11"/>
        <v>0</v>
      </c>
    </row>
    <row r="695" spans="1:45" s="27" customFormat="1" hidden="1" x14ac:dyDescent="0.2">
      <c r="A695" s="28">
        <v>1029</v>
      </c>
      <c r="B695" s="9" t="s">
        <v>819</v>
      </c>
      <c r="C695" s="9" t="s">
        <v>820</v>
      </c>
      <c r="D695" s="9" t="s">
        <v>821</v>
      </c>
      <c r="E695" s="9" t="s">
        <v>822</v>
      </c>
      <c r="F695" s="9" t="s">
        <v>199</v>
      </c>
      <c r="G695" s="9" t="s">
        <v>405</v>
      </c>
      <c r="H695" s="9" t="s">
        <v>426</v>
      </c>
      <c r="I695" s="81"/>
      <c r="J695" s="10">
        <f>'Messages Dictionary'!J101</f>
        <v>1</v>
      </c>
      <c r="K695" s="81"/>
      <c r="L695" s="29"/>
      <c r="M695" s="29"/>
      <c r="N695" s="23"/>
      <c r="O695" s="23"/>
      <c r="P695" s="23"/>
      <c r="Q695" s="23"/>
      <c r="R695" s="23"/>
      <c r="S695" s="23"/>
      <c r="T695" s="23"/>
      <c r="U695" s="23"/>
      <c r="V695" s="23"/>
      <c r="W695" s="23"/>
      <c r="X695" s="23"/>
      <c r="Y695" s="23"/>
      <c r="Z695" s="23"/>
      <c r="AA695" s="23"/>
      <c r="AB695" s="23"/>
      <c r="AC695" s="23"/>
      <c r="AD695" s="23"/>
      <c r="AE695" s="23"/>
      <c r="AF695" s="23"/>
      <c r="AG695" s="23"/>
      <c r="AH695" s="23"/>
      <c r="AI695" s="23"/>
      <c r="AJ695" s="23"/>
      <c r="AK695" s="23"/>
      <c r="AL695" s="23"/>
      <c r="AM695" s="23"/>
      <c r="AN695" s="23"/>
      <c r="AO695" s="23"/>
      <c r="AP695" s="23"/>
      <c r="AQ695" s="23"/>
      <c r="AR695" s="23"/>
      <c r="AS695" s="23">
        <f t="shared" si="11"/>
        <v>0</v>
      </c>
    </row>
    <row r="696" spans="1:45" s="27" customFormat="1" ht="28.5" hidden="1" x14ac:dyDescent="0.2">
      <c r="A696" s="28">
        <v>1031</v>
      </c>
      <c r="B696" s="9" t="s">
        <v>823</v>
      </c>
      <c r="C696" s="9" t="s">
        <v>824</v>
      </c>
      <c r="D696" s="9" t="s">
        <v>821</v>
      </c>
      <c r="E696" s="9" t="s">
        <v>825</v>
      </c>
      <c r="F696" s="9" t="s">
        <v>199</v>
      </c>
      <c r="G696" s="9" t="s">
        <v>412</v>
      </c>
      <c r="H696" s="9" t="s">
        <v>831</v>
      </c>
      <c r="I696" s="81"/>
      <c r="J696" s="10">
        <f>'Messages Dictionary'!J102</f>
        <v>0.5</v>
      </c>
      <c r="K696" s="81"/>
      <c r="L696" s="29"/>
      <c r="M696" s="29"/>
      <c r="N696" s="23"/>
      <c r="O696" s="23"/>
      <c r="P696" s="23"/>
      <c r="Q696" s="23"/>
      <c r="R696" s="23"/>
      <c r="S696" s="23"/>
      <c r="T696" s="23"/>
      <c r="U696" s="23"/>
      <c r="V696" s="23"/>
      <c r="W696" s="23"/>
      <c r="X696" s="23"/>
      <c r="Y696" s="23"/>
      <c r="Z696" s="23"/>
      <c r="AA696" s="23"/>
      <c r="AB696" s="23"/>
      <c r="AC696" s="23"/>
      <c r="AD696" s="23"/>
      <c r="AE696" s="23"/>
      <c r="AF696" s="23"/>
      <c r="AG696" s="23"/>
      <c r="AH696" s="23"/>
      <c r="AI696" s="23"/>
      <c r="AJ696" s="23"/>
      <c r="AK696" s="23"/>
      <c r="AL696" s="23"/>
      <c r="AM696" s="23"/>
      <c r="AN696" s="23"/>
      <c r="AO696" s="23"/>
      <c r="AP696" s="23"/>
      <c r="AQ696" s="23"/>
      <c r="AR696" s="23"/>
      <c r="AS696" s="23">
        <f t="shared" si="11"/>
        <v>0</v>
      </c>
    </row>
    <row r="697" spans="1:45" s="27" customFormat="1" ht="28.5" hidden="1" x14ac:dyDescent="0.2">
      <c r="A697" s="28">
        <v>1032</v>
      </c>
      <c r="B697" s="9" t="s">
        <v>823</v>
      </c>
      <c r="C697" s="9" t="s">
        <v>824</v>
      </c>
      <c r="D697" s="9" t="s">
        <v>821</v>
      </c>
      <c r="E697" s="9" t="s">
        <v>825</v>
      </c>
      <c r="F697" s="9" t="s">
        <v>199</v>
      </c>
      <c r="G697" s="9" t="s">
        <v>412</v>
      </c>
      <c r="H697" s="9" t="s">
        <v>831</v>
      </c>
      <c r="I697" s="81"/>
      <c r="J697" s="10">
        <f>'Messages Dictionary'!J103</f>
        <v>0.5</v>
      </c>
      <c r="K697" s="81"/>
      <c r="L697" s="29"/>
      <c r="M697" s="29"/>
      <c r="N697" s="23"/>
      <c r="O697" s="23"/>
      <c r="P697" s="23"/>
      <c r="Q697" s="23"/>
      <c r="R697" s="23"/>
      <c r="S697" s="23"/>
      <c r="T697" s="23"/>
      <c r="U697" s="23"/>
      <c r="V697" s="23"/>
      <c r="W697" s="23"/>
      <c r="X697" s="23"/>
      <c r="Y697" s="23"/>
      <c r="Z697" s="23"/>
      <c r="AA697" s="23"/>
      <c r="AB697" s="23"/>
      <c r="AC697" s="23"/>
      <c r="AD697" s="23"/>
      <c r="AE697" s="23"/>
      <c r="AF697" s="23"/>
      <c r="AG697" s="23"/>
      <c r="AH697" s="23"/>
      <c r="AI697" s="23"/>
      <c r="AJ697" s="23"/>
      <c r="AK697" s="23"/>
      <c r="AL697" s="23"/>
      <c r="AM697" s="23"/>
      <c r="AN697" s="23"/>
      <c r="AO697" s="23"/>
      <c r="AP697" s="23"/>
      <c r="AQ697" s="23"/>
      <c r="AR697" s="23"/>
      <c r="AS697" s="23">
        <f t="shared" si="11"/>
        <v>0</v>
      </c>
    </row>
    <row r="698" spans="1:45" s="27" customFormat="1" ht="28.5" hidden="1" x14ac:dyDescent="0.2">
      <c r="A698" s="28">
        <v>1033</v>
      </c>
      <c r="B698" s="9" t="s">
        <v>823</v>
      </c>
      <c r="C698" s="9" t="s">
        <v>824</v>
      </c>
      <c r="D698" s="9" t="s">
        <v>821</v>
      </c>
      <c r="E698" s="9" t="s">
        <v>825</v>
      </c>
      <c r="F698" s="9" t="s">
        <v>199</v>
      </c>
      <c r="G698" s="9" t="s">
        <v>412</v>
      </c>
      <c r="H698" s="9" t="s">
        <v>831</v>
      </c>
      <c r="I698" s="81"/>
      <c r="J698" s="10">
        <f>'Messages Dictionary'!J104</f>
        <v>0.5</v>
      </c>
      <c r="K698" s="81"/>
      <c r="L698" s="29"/>
      <c r="M698" s="29"/>
      <c r="N698" s="23"/>
      <c r="O698" s="23"/>
      <c r="P698" s="23"/>
      <c r="Q698" s="23"/>
      <c r="R698" s="23"/>
      <c r="S698" s="23"/>
      <c r="T698" s="23"/>
      <c r="U698" s="23"/>
      <c r="V698" s="23"/>
      <c r="W698" s="23"/>
      <c r="X698" s="23"/>
      <c r="Y698" s="23"/>
      <c r="Z698" s="23"/>
      <c r="AA698" s="23"/>
      <c r="AB698" s="23"/>
      <c r="AC698" s="23"/>
      <c r="AD698" s="23"/>
      <c r="AE698" s="23"/>
      <c r="AF698" s="23"/>
      <c r="AG698" s="23"/>
      <c r="AH698" s="23"/>
      <c r="AI698" s="23"/>
      <c r="AJ698" s="23"/>
      <c r="AK698" s="23"/>
      <c r="AL698" s="23"/>
      <c r="AM698" s="23"/>
      <c r="AN698" s="23"/>
      <c r="AO698" s="23"/>
      <c r="AP698" s="23"/>
      <c r="AQ698" s="23"/>
      <c r="AR698" s="23"/>
      <c r="AS698" s="23">
        <f t="shared" si="11"/>
        <v>0</v>
      </c>
    </row>
    <row r="699" spans="1:45" s="27" customFormat="1" ht="28.5" hidden="1" x14ac:dyDescent="0.2">
      <c r="A699" s="28">
        <v>1034</v>
      </c>
      <c r="B699" s="9" t="s">
        <v>823</v>
      </c>
      <c r="C699" s="9" t="s">
        <v>824</v>
      </c>
      <c r="D699" s="9" t="s">
        <v>821</v>
      </c>
      <c r="E699" s="9" t="s">
        <v>825</v>
      </c>
      <c r="F699" s="9" t="s">
        <v>199</v>
      </c>
      <c r="G699" s="9" t="s">
        <v>412</v>
      </c>
      <c r="H699" s="9" t="s">
        <v>831</v>
      </c>
      <c r="I699" s="81"/>
      <c r="J699" s="10">
        <f>'Messages Dictionary'!J105</f>
        <v>0.5</v>
      </c>
      <c r="K699" s="81"/>
      <c r="L699" s="29"/>
      <c r="M699" s="29"/>
      <c r="N699" s="23"/>
      <c r="O699" s="23"/>
      <c r="P699" s="23"/>
      <c r="Q699" s="23"/>
      <c r="R699" s="23"/>
      <c r="S699" s="23"/>
      <c r="T699" s="23"/>
      <c r="U699" s="23"/>
      <c r="V699" s="23"/>
      <c r="W699" s="23"/>
      <c r="X699" s="23"/>
      <c r="Y699" s="23"/>
      <c r="Z699" s="23"/>
      <c r="AA699" s="23"/>
      <c r="AB699" s="23"/>
      <c r="AC699" s="23"/>
      <c r="AD699" s="23"/>
      <c r="AE699" s="23"/>
      <c r="AF699" s="23"/>
      <c r="AG699" s="23"/>
      <c r="AH699" s="23"/>
      <c r="AI699" s="23"/>
      <c r="AJ699" s="23"/>
      <c r="AK699" s="23"/>
      <c r="AL699" s="23"/>
      <c r="AM699" s="23"/>
      <c r="AN699" s="23"/>
      <c r="AO699" s="23"/>
      <c r="AP699" s="23"/>
      <c r="AQ699" s="23"/>
      <c r="AR699" s="23"/>
      <c r="AS699" s="23">
        <f t="shared" si="11"/>
        <v>0</v>
      </c>
    </row>
    <row r="700" spans="1:45" s="27" customFormat="1" ht="28.5" hidden="1" x14ac:dyDescent="0.2">
      <c r="A700" s="28">
        <v>1035</v>
      </c>
      <c r="B700" s="9" t="s">
        <v>823</v>
      </c>
      <c r="C700" s="9" t="s">
        <v>824</v>
      </c>
      <c r="D700" s="9" t="s">
        <v>821</v>
      </c>
      <c r="E700" s="9" t="s">
        <v>825</v>
      </c>
      <c r="F700" s="9" t="s">
        <v>199</v>
      </c>
      <c r="G700" s="9" t="s">
        <v>412</v>
      </c>
      <c r="H700" s="9" t="s">
        <v>831</v>
      </c>
      <c r="I700" s="81"/>
      <c r="J700" s="10">
        <f>'Messages Dictionary'!J106</f>
        <v>1</v>
      </c>
      <c r="K700" s="81"/>
      <c r="L700" s="29"/>
      <c r="M700" s="29"/>
      <c r="N700" s="23"/>
      <c r="O700" s="23"/>
      <c r="P700" s="23"/>
      <c r="Q700" s="23"/>
      <c r="R700" s="23"/>
      <c r="S700" s="23"/>
      <c r="T700" s="23"/>
      <c r="U700" s="23"/>
      <c r="V700" s="23"/>
      <c r="W700" s="23"/>
      <c r="X700" s="23"/>
      <c r="Y700" s="23"/>
      <c r="Z700" s="23"/>
      <c r="AA700" s="23"/>
      <c r="AB700" s="23"/>
      <c r="AC700" s="23"/>
      <c r="AD700" s="23"/>
      <c r="AE700" s="23"/>
      <c r="AF700" s="23"/>
      <c r="AG700" s="23"/>
      <c r="AH700" s="23"/>
      <c r="AI700" s="23"/>
      <c r="AJ700" s="23"/>
      <c r="AK700" s="23"/>
      <c r="AL700" s="23"/>
      <c r="AM700" s="23"/>
      <c r="AN700" s="23"/>
      <c r="AO700" s="23"/>
      <c r="AP700" s="23"/>
      <c r="AQ700" s="23"/>
      <c r="AR700" s="23"/>
      <c r="AS700" s="23">
        <f t="shared" si="11"/>
        <v>0</v>
      </c>
    </row>
    <row r="701" spans="1:45" s="27" customFormat="1" ht="28.5" hidden="1" x14ac:dyDescent="0.2">
      <c r="A701" s="28">
        <v>1036</v>
      </c>
      <c r="B701" s="9" t="s">
        <v>823</v>
      </c>
      <c r="C701" s="9" t="s">
        <v>824</v>
      </c>
      <c r="D701" s="9" t="s">
        <v>821</v>
      </c>
      <c r="E701" s="9" t="s">
        <v>825</v>
      </c>
      <c r="F701" s="9" t="s">
        <v>199</v>
      </c>
      <c r="G701" s="9" t="s">
        <v>412</v>
      </c>
      <c r="H701" s="9" t="s">
        <v>831</v>
      </c>
      <c r="I701" s="81"/>
      <c r="J701" s="10">
        <f>'Messages Dictionary'!J107</f>
        <v>0.5</v>
      </c>
      <c r="K701" s="81"/>
      <c r="L701" s="29"/>
      <c r="M701" s="29"/>
      <c r="N701" s="23"/>
      <c r="O701" s="23"/>
      <c r="P701" s="23"/>
      <c r="Q701" s="23"/>
      <c r="R701" s="23"/>
      <c r="S701" s="23"/>
      <c r="T701" s="23"/>
      <c r="U701" s="23"/>
      <c r="V701" s="23"/>
      <c r="W701" s="23"/>
      <c r="X701" s="23"/>
      <c r="Y701" s="23"/>
      <c r="Z701" s="23"/>
      <c r="AA701" s="23"/>
      <c r="AB701" s="23"/>
      <c r="AC701" s="23"/>
      <c r="AD701" s="23"/>
      <c r="AE701" s="23"/>
      <c r="AF701" s="23"/>
      <c r="AG701" s="23"/>
      <c r="AH701" s="23"/>
      <c r="AI701" s="23"/>
      <c r="AJ701" s="23"/>
      <c r="AK701" s="23"/>
      <c r="AL701" s="23"/>
      <c r="AM701" s="23"/>
      <c r="AN701" s="23"/>
      <c r="AO701" s="23"/>
      <c r="AP701" s="23"/>
      <c r="AQ701" s="23"/>
      <c r="AR701" s="23"/>
      <c r="AS701" s="23">
        <f t="shared" si="11"/>
        <v>0</v>
      </c>
    </row>
    <row r="702" spans="1:45" s="27" customFormat="1" ht="28.5" hidden="1" x14ac:dyDescent="0.2">
      <c r="A702" s="28">
        <v>1037</v>
      </c>
      <c r="B702" s="9" t="s">
        <v>823</v>
      </c>
      <c r="C702" s="9" t="s">
        <v>824</v>
      </c>
      <c r="D702" s="9" t="s">
        <v>821</v>
      </c>
      <c r="E702" s="9" t="s">
        <v>825</v>
      </c>
      <c r="F702" s="9" t="s">
        <v>199</v>
      </c>
      <c r="G702" s="9" t="s">
        <v>412</v>
      </c>
      <c r="H702" s="9" t="s">
        <v>831</v>
      </c>
      <c r="I702" s="81"/>
      <c r="J702" s="10">
        <f>'Messages Dictionary'!J108</f>
        <v>0.5</v>
      </c>
      <c r="K702" s="81"/>
      <c r="L702" s="29"/>
      <c r="M702" s="29"/>
      <c r="N702" s="23"/>
      <c r="O702" s="23"/>
      <c r="P702" s="23"/>
      <c r="Q702" s="23"/>
      <c r="R702" s="23"/>
      <c r="S702" s="23"/>
      <c r="T702" s="23"/>
      <c r="U702" s="23"/>
      <c r="V702" s="23"/>
      <c r="W702" s="23"/>
      <c r="X702" s="23"/>
      <c r="Y702" s="23"/>
      <c r="Z702" s="23"/>
      <c r="AA702" s="23"/>
      <c r="AB702" s="23"/>
      <c r="AC702" s="23"/>
      <c r="AD702" s="23"/>
      <c r="AE702" s="23"/>
      <c r="AF702" s="23"/>
      <c r="AG702" s="23"/>
      <c r="AH702" s="23"/>
      <c r="AI702" s="23"/>
      <c r="AJ702" s="23"/>
      <c r="AK702" s="23"/>
      <c r="AL702" s="23"/>
      <c r="AM702" s="23"/>
      <c r="AN702" s="23"/>
      <c r="AO702" s="23"/>
      <c r="AP702" s="23"/>
      <c r="AQ702" s="23"/>
      <c r="AR702" s="23"/>
      <c r="AS702" s="23">
        <f t="shared" si="11"/>
        <v>0</v>
      </c>
    </row>
    <row r="703" spans="1:45" s="27" customFormat="1" ht="28.5" hidden="1" x14ac:dyDescent="0.2">
      <c r="A703" s="28">
        <v>1038</v>
      </c>
      <c r="B703" s="9" t="s">
        <v>823</v>
      </c>
      <c r="C703" s="9" t="s">
        <v>824</v>
      </c>
      <c r="D703" s="9" t="s">
        <v>821</v>
      </c>
      <c r="E703" s="9" t="s">
        <v>825</v>
      </c>
      <c r="F703" s="9" t="s">
        <v>199</v>
      </c>
      <c r="G703" s="9" t="s">
        <v>412</v>
      </c>
      <c r="H703" s="9" t="s">
        <v>831</v>
      </c>
      <c r="I703" s="81"/>
      <c r="J703" s="10">
        <f>'Messages Dictionary'!J109</f>
        <v>0.5</v>
      </c>
      <c r="K703" s="81"/>
      <c r="L703" s="29"/>
      <c r="M703" s="29"/>
      <c r="N703" s="23"/>
      <c r="O703" s="23"/>
      <c r="P703" s="23"/>
      <c r="Q703" s="23"/>
      <c r="R703" s="23"/>
      <c r="S703" s="23"/>
      <c r="T703" s="23"/>
      <c r="U703" s="23"/>
      <c r="V703" s="23"/>
      <c r="W703" s="23"/>
      <c r="X703" s="23"/>
      <c r="Y703" s="23"/>
      <c r="Z703" s="23"/>
      <c r="AA703" s="23"/>
      <c r="AB703" s="23"/>
      <c r="AC703" s="23"/>
      <c r="AD703" s="23"/>
      <c r="AE703" s="23"/>
      <c r="AF703" s="23"/>
      <c r="AG703" s="23"/>
      <c r="AH703" s="23"/>
      <c r="AI703" s="23"/>
      <c r="AJ703" s="23"/>
      <c r="AK703" s="23"/>
      <c r="AL703" s="23"/>
      <c r="AM703" s="23"/>
      <c r="AN703" s="23"/>
      <c r="AO703" s="23"/>
      <c r="AP703" s="23"/>
      <c r="AQ703" s="23"/>
      <c r="AR703" s="23"/>
      <c r="AS703" s="23">
        <f t="shared" si="11"/>
        <v>0</v>
      </c>
    </row>
    <row r="704" spans="1:45" s="27" customFormat="1" ht="28.5" hidden="1" x14ac:dyDescent="0.2">
      <c r="A704" s="28">
        <v>1039</v>
      </c>
      <c r="B704" s="9" t="s">
        <v>823</v>
      </c>
      <c r="C704" s="9" t="s">
        <v>824</v>
      </c>
      <c r="D704" s="9" t="s">
        <v>821</v>
      </c>
      <c r="E704" s="9" t="s">
        <v>825</v>
      </c>
      <c r="F704" s="9" t="s">
        <v>199</v>
      </c>
      <c r="G704" s="9" t="s">
        <v>412</v>
      </c>
      <c r="H704" s="9" t="s">
        <v>831</v>
      </c>
      <c r="I704" s="81"/>
      <c r="J704" s="10">
        <f>'Messages Dictionary'!J110</f>
        <v>1</v>
      </c>
      <c r="K704" s="81"/>
      <c r="L704" s="29"/>
      <c r="M704" s="29"/>
      <c r="N704" s="23"/>
      <c r="O704" s="23"/>
      <c r="P704" s="23"/>
      <c r="Q704" s="23"/>
      <c r="R704" s="23"/>
      <c r="S704" s="23"/>
      <c r="T704" s="23"/>
      <c r="U704" s="23"/>
      <c r="V704" s="23"/>
      <c r="W704" s="23"/>
      <c r="X704" s="23"/>
      <c r="Y704" s="23"/>
      <c r="Z704" s="23"/>
      <c r="AA704" s="23"/>
      <c r="AB704" s="23"/>
      <c r="AC704" s="23"/>
      <c r="AD704" s="23"/>
      <c r="AE704" s="23"/>
      <c r="AF704" s="23"/>
      <c r="AG704" s="23"/>
      <c r="AH704" s="23"/>
      <c r="AI704" s="23"/>
      <c r="AJ704" s="23"/>
      <c r="AK704" s="23"/>
      <c r="AL704" s="23"/>
      <c r="AM704" s="23"/>
      <c r="AN704" s="23"/>
      <c r="AO704" s="23"/>
      <c r="AP704" s="23"/>
      <c r="AQ704" s="23"/>
      <c r="AR704" s="23"/>
      <c r="AS704" s="23">
        <f t="shared" si="11"/>
        <v>0</v>
      </c>
    </row>
    <row r="705" spans="1:45" s="27" customFormat="1" ht="28.5" hidden="1" x14ac:dyDescent="0.2">
      <c r="A705" s="28">
        <v>1040</v>
      </c>
      <c r="B705" s="9" t="s">
        <v>823</v>
      </c>
      <c r="C705" s="9" t="s">
        <v>824</v>
      </c>
      <c r="D705" s="9" t="s">
        <v>821</v>
      </c>
      <c r="E705" s="9" t="s">
        <v>825</v>
      </c>
      <c r="F705" s="9" t="s">
        <v>199</v>
      </c>
      <c r="G705" s="9" t="s">
        <v>412</v>
      </c>
      <c r="H705" s="9" t="s">
        <v>831</v>
      </c>
      <c r="I705" s="81"/>
      <c r="J705" s="10">
        <f>'Messages Dictionary'!J111</f>
        <v>1</v>
      </c>
      <c r="K705" s="81"/>
      <c r="L705" s="29"/>
      <c r="M705" s="29"/>
      <c r="N705" s="23"/>
      <c r="O705" s="23"/>
      <c r="P705" s="23"/>
      <c r="Q705" s="23"/>
      <c r="R705" s="23"/>
      <c r="S705" s="23"/>
      <c r="T705" s="23"/>
      <c r="U705" s="23"/>
      <c r="V705" s="23"/>
      <c r="W705" s="23"/>
      <c r="X705" s="23"/>
      <c r="Y705" s="23"/>
      <c r="Z705" s="23"/>
      <c r="AA705" s="23"/>
      <c r="AB705" s="23"/>
      <c r="AC705" s="23"/>
      <c r="AD705" s="23"/>
      <c r="AE705" s="23"/>
      <c r="AF705" s="23"/>
      <c r="AG705" s="23"/>
      <c r="AH705" s="23"/>
      <c r="AI705" s="23"/>
      <c r="AJ705" s="23"/>
      <c r="AK705" s="23"/>
      <c r="AL705" s="23"/>
      <c r="AM705" s="23"/>
      <c r="AN705" s="23"/>
      <c r="AO705" s="23"/>
      <c r="AP705" s="23"/>
      <c r="AQ705" s="23"/>
      <c r="AR705" s="23"/>
      <c r="AS705" s="23">
        <f t="shared" si="11"/>
        <v>0</v>
      </c>
    </row>
    <row r="706" spans="1:45" s="27" customFormat="1" ht="28.5" hidden="1" x14ac:dyDescent="0.2">
      <c r="A706" s="28">
        <v>1041</v>
      </c>
      <c r="B706" s="9" t="s">
        <v>826</v>
      </c>
      <c r="C706" s="9" t="s">
        <v>827</v>
      </c>
      <c r="D706" s="9" t="s">
        <v>828</v>
      </c>
      <c r="E706" s="9" t="s">
        <v>829</v>
      </c>
      <c r="F706" s="9" t="s">
        <v>199</v>
      </c>
      <c r="G706" s="9" t="s">
        <v>412</v>
      </c>
      <c r="H706" s="9" t="s">
        <v>831</v>
      </c>
      <c r="I706" s="81"/>
      <c r="J706" s="10">
        <f>'Messages Dictionary'!J112</f>
        <v>1</v>
      </c>
      <c r="K706" s="81"/>
      <c r="L706" s="29"/>
      <c r="M706" s="29"/>
      <c r="N706" s="23"/>
      <c r="O706" s="23"/>
      <c r="P706" s="23"/>
      <c r="Q706" s="23"/>
      <c r="R706" s="23"/>
      <c r="S706" s="23"/>
      <c r="T706" s="23"/>
      <c r="U706" s="23"/>
      <c r="V706" s="23"/>
      <c r="W706" s="23"/>
      <c r="X706" s="23"/>
      <c r="Y706" s="23"/>
      <c r="Z706" s="23"/>
      <c r="AA706" s="23"/>
      <c r="AB706" s="23"/>
      <c r="AC706" s="23"/>
      <c r="AD706" s="23"/>
      <c r="AE706" s="23"/>
      <c r="AF706" s="23"/>
      <c r="AG706" s="23"/>
      <c r="AH706" s="23"/>
      <c r="AI706" s="23"/>
      <c r="AJ706" s="23"/>
      <c r="AK706" s="23"/>
      <c r="AL706" s="23"/>
      <c r="AM706" s="23"/>
      <c r="AN706" s="23"/>
      <c r="AO706" s="23"/>
      <c r="AP706" s="23"/>
      <c r="AQ706" s="23"/>
      <c r="AR706" s="23"/>
      <c r="AS706" s="23">
        <f t="shared" si="11"/>
        <v>0</v>
      </c>
    </row>
    <row r="707" spans="1:45" s="27" customFormat="1" ht="28.5" hidden="1" x14ac:dyDescent="0.2">
      <c r="A707" s="28">
        <v>1042</v>
      </c>
      <c r="B707" s="9" t="s">
        <v>826</v>
      </c>
      <c r="C707" s="9" t="s">
        <v>827</v>
      </c>
      <c r="D707" s="9" t="s">
        <v>828</v>
      </c>
      <c r="E707" s="9" t="s">
        <v>829</v>
      </c>
      <c r="F707" s="9" t="s">
        <v>199</v>
      </c>
      <c r="G707" s="9" t="s">
        <v>412</v>
      </c>
      <c r="H707" s="9" t="s">
        <v>831</v>
      </c>
      <c r="I707" s="81"/>
      <c r="J707" s="10">
        <f>'Messages Dictionary'!J113</f>
        <v>0.5</v>
      </c>
      <c r="K707" s="81"/>
      <c r="L707" s="29"/>
      <c r="M707" s="29"/>
      <c r="N707" s="23"/>
      <c r="O707" s="23"/>
      <c r="P707" s="23"/>
      <c r="Q707" s="23"/>
      <c r="R707" s="23"/>
      <c r="S707" s="23"/>
      <c r="T707" s="23"/>
      <c r="U707" s="23"/>
      <c r="V707" s="23"/>
      <c r="W707" s="23"/>
      <c r="X707" s="23"/>
      <c r="Y707" s="23"/>
      <c r="Z707" s="23"/>
      <c r="AA707" s="23"/>
      <c r="AB707" s="23"/>
      <c r="AC707" s="23"/>
      <c r="AD707" s="23"/>
      <c r="AE707" s="23"/>
      <c r="AF707" s="23"/>
      <c r="AG707" s="23"/>
      <c r="AH707" s="23"/>
      <c r="AI707" s="23"/>
      <c r="AJ707" s="23"/>
      <c r="AK707" s="23"/>
      <c r="AL707" s="23"/>
      <c r="AM707" s="23"/>
      <c r="AN707" s="23"/>
      <c r="AO707" s="23"/>
      <c r="AP707" s="23"/>
      <c r="AQ707" s="23"/>
      <c r="AR707" s="23"/>
      <c r="AS707" s="23">
        <f t="shared" si="11"/>
        <v>0</v>
      </c>
    </row>
    <row r="708" spans="1:45" s="27" customFormat="1" ht="28.5" hidden="1" x14ac:dyDescent="0.2">
      <c r="A708" s="28">
        <v>1043</v>
      </c>
      <c r="B708" s="9" t="s">
        <v>826</v>
      </c>
      <c r="C708" s="9" t="s">
        <v>827</v>
      </c>
      <c r="D708" s="9" t="s">
        <v>828</v>
      </c>
      <c r="E708" s="9" t="s">
        <v>829</v>
      </c>
      <c r="F708" s="9" t="s">
        <v>199</v>
      </c>
      <c r="G708" s="9" t="s">
        <v>412</v>
      </c>
      <c r="H708" s="9" t="s">
        <v>831</v>
      </c>
      <c r="I708" s="81"/>
      <c r="J708" s="10">
        <f>'Messages Dictionary'!J114</f>
        <v>0.5</v>
      </c>
      <c r="K708" s="81"/>
      <c r="L708" s="29"/>
      <c r="M708" s="29"/>
      <c r="N708" s="23"/>
      <c r="O708" s="23"/>
      <c r="P708" s="23"/>
      <c r="Q708" s="23"/>
      <c r="R708" s="23"/>
      <c r="S708" s="23"/>
      <c r="T708" s="23"/>
      <c r="U708" s="23"/>
      <c r="V708" s="23"/>
      <c r="W708" s="23"/>
      <c r="X708" s="23"/>
      <c r="Y708" s="23"/>
      <c r="Z708" s="23"/>
      <c r="AA708" s="23"/>
      <c r="AB708" s="23"/>
      <c r="AC708" s="23"/>
      <c r="AD708" s="23"/>
      <c r="AE708" s="23"/>
      <c r="AF708" s="23"/>
      <c r="AG708" s="23"/>
      <c r="AH708" s="23"/>
      <c r="AI708" s="23"/>
      <c r="AJ708" s="23"/>
      <c r="AK708" s="23"/>
      <c r="AL708" s="23"/>
      <c r="AM708" s="23"/>
      <c r="AN708" s="23"/>
      <c r="AO708" s="23"/>
      <c r="AP708" s="23"/>
      <c r="AQ708" s="23"/>
      <c r="AR708" s="23"/>
      <c r="AS708" s="23">
        <f t="shared" si="11"/>
        <v>0</v>
      </c>
    </row>
    <row r="709" spans="1:45" s="27" customFormat="1" ht="28.5" hidden="1" x14ac:dyDescent="0.2">
      <c r="A709" s="28">
        <v>1044</v>
      </c>
      <c r="B709" s="9" t="s">
        <v>826</v>
      </c>
      <c r="C709" s="9" t="s">
        <v>827</v>
      </c>
      <c r="D709" s="9" t="s">
        <v>828</v>
      </c>
      <c r="E709" s="9" t="s">
        <v>829</v>
      </c>
      <c r="F709" s="9" t="s">
        <v>199</v>
      </c>
      <c r="G709" s="9" t="s">
        <v>405</v>
      </c>
      <c r="H709" s="9" t="s">
        <v>428</v>
      </c>
      <c r="I709" s="81"/>
      <c r="J709" s="10">
        <f>'Messages Dictionary'!J115</f>
        <v>1</v>
      </c>
      <c r="K709" s="81"/>
      <c r="L709" s="29"/>
      <c r="M709" s="29"/>
      <c r="N709" s="23"/>
      <c r="O709" s="23"/>
      <c r="P709" s="23"/>
      <c r="Q709" s="23"/>
      <c r="R709" s="23"/>
      <c r="S709" s="23"/>
      <c r="T709" s="23"/>
      <c r="U709" s="23"/>
      <c r="V709" s="23"/>
      <c r="W709" s="23"/>
      <c r="X709" s="23"/>
      <c r="Y709" s="23"/>
      <c r="Z709" s="23"/>
      <c r="AA709" s="23"/>
      <c r="AB709" s="23"/>
      <c r="AC709" s="23"/>
      <c r="AD709" s="23"/>
      <c r="AE709" s="23"/>
      <c r="AF709" s="23"/>
      <c r="AG709" s="23"/>
      <c r="AH709" s="23"/>
      <c r="AI709" s="23"/>
      <c r="AJ709" s="23"/>
      <c r="AK709" s="23"/>
      <c r="AL709" s="23"/>
      <c r="AM709" s="23"/>
      <c r="AN709" s="23"/>
      <c r="AO709" s="23"/>
      <c r="AP709" s="23"/>
      <c r="AQ709" s="23"/>
      <c r="AR709" s="23"/>
      <c r="AS709" s="23">
        <f t="shared" si="11"/>
        <v>0</v>
      </c>
    </row>
    <row r="710" spans="1:45" s="27" customFormat="1" ht="28.5" hidden="1" x14ac:dyDescent="0.2">
      <c r="A710" s="28">
        <v>1045</v>
      </c>
      <c r="B710" s="9" t="s">
        <v>826</v>
      </c>
      <c r="C710" s="9" t="s">
        <v>827</v>
      </c>
      <c r="D710" s="9" t="s">
        <v>828</v>
      </c>
      <c r="E710" s="9" t="s">
        <v>829</v>
      </c>
      <c r="F710" s="9" t="s">
        <v>199</v>
      </c>
      <c r="G710" s="9" t="s">
        <v>412</v>
      </c>
      <c r="H710" s="9" t="s">
        <v>831</v>
      </c>
      <c r="I710" s="81"/>
      <c r="J710" s="10">
        <f>'Messages Dictionary'!J116</f>
        <v>1</v>
      </c>
      <c r="K710" s="81"/>
      <c r="L710" s="29"/>
      <c r="M710" s="29"/>
      <c r="N710" s="23"/>
      <c r="O710" s="23"/>
      <c r="P710" s="23"/>
      <c r="Q710" s="23"/>
      <c r="R710" s="23"/>
      <c r="S710" s="23"/>
      <c r="T710" s="23"/>
      <c r="U710" s="23"/>
      <c r="V710" s="23"/>
      <c r="W710" s="23"/>
      <c r="X710" s="23"/>
      <c r="Y710" s="23"/>
      <c r="Z710" s="23"/>
      <c r="AA710" s="23"/>
      <c r="AB710" s="23"/>
      <c r="AC710" s="23"/>
      <c r="AD710" s="23"/>
      <c r="AE710" s="23"/>
      <c r="AF710" s="23"/>
      <c r="AG710" s="23"/>
      <c r="AH710" s="23"/>
      <c r="AI710" s="23"/>
      <c r="AJ710" s="23"/>
      <c r="AK710" s="23"/>
      <c r="AL710" s="23"/>
      <c r="AM710" s="23"/>
      <c r="AN710" s="23"/>
      <c r="AO710" s="23"/>
      <c r="AP710" s="23"/>
      <c r="AQ710" s="23"/>
      <c r="AR710" s="23"/>
      <c r="AS710" s="23">
        <f t="shared" si="11"/>
        <v>0</v>
      </c>
    </row>
    <row r="711" spans="1:45" s="27" customFormat="1" ht="28.5" hidden="1" x14ac:dyDescent="0.2">
      <c r="A711" s="28">
        <v>1046</v>
      </c>
      <c r="B711" s="9" t="s">
        <v>826</v>
      </c>
      <c r="C711" s="9" t="s">
        <v>827</v>
      </c>
      <c r="D711" s="9" t="s">
        <v>828</v>
      </c>
      <c r="E711" s="9" t="s">
        <v>829</v>
      </c>
      <c r="F711" s="9" t="s">
        <v>199</v>
      </c>
      <c r="G711" s="9" t="s">
        <v>412</v>
      </c>
      <c r="H711" s="9" t="s">
        <v>831</v>
      </c>
      <c r="I711" s="81"/>
      <c r="J711" s="10">
        <f>'Messages Dictionary'!J117</f>
        <v>0.5</v>
      </c>
      <c r="K711" s="81"/>
      <c r="L711" s="29"/>
      <c r="M711" s="29"/>
      <c r="N711" s="23"/>
      <c r="O711" s="23"/>
      <c r="P711" s="23"/>
      <c r="Q711" s="23"/>
      <c r="R711" s="23"/>
      <c r="S711" s="23"/>
      <c r="T711" s="23"/>
      <c r="U711" s="23"/>
      <c r="V711" s="23"/>
      <c r="W711" s="23"/>
      <c r="X711" s="23"/>
      <c r="Y711" s="23"/>
      <c r="Z711" s="23"/>
      <c r="AA711" s="23"/>
      <c r="AB711" s="23"/>
      <c r="AC711" s="23"/>
      <c r="AD711" s="23"/>
      <c r="AE711" s="23"/>
      <c r="AF711" s="23"/>
      <c r="AG711" s="23"/>
      <c r="AH711" s="23"/>
      <c r="AI711" s="23"/>
      <c r="AJ711" s="23"/>
      <c r="AK711" s="23"/>
      <c r="AL711" s="23"/>
      <c r="AM711" s="23"/>
      <c r="AN711" s="23"/>
      <c r="AO711" s="23"/>
      <c r="AP711" s="23"/>
      <c r="AQ711" s="23"/>
      <c r="AR711" s="23"/>
      <c r="AS711" s="23">
        <f t="shared" si="11"/>
        <v>0</v>
      </c>
    </row>
    <row r="712" spans="1:45" s="27" customFormat="1" ht="42.75" hidden="1" x14ac:dyDescent="0.2">
      <c r="A712" s="28">
        <v>1047</v>
      </c>
      <c r="B712" s="9" t="s">
        <v>823</v>
      </c>
      <c r="C712" s="9" t="s">
        <v>830</v>
      </c>
      <c r="D712" s="9" t="s">
        <v>821</v>
      </c>
      <c r="E712" s="9" t="s">
        <v>825</v>
      </c>
      <c r="F712" s="9" t="s">
        <v>199</v>
      </c>
      <c r="G712" s="9" t="s">
        <v>412</v>
      </c>
      <c r="H712" s="9" t="s">
        <v>831</v>
      </c>
      <c r="I712" s="81"/>
      <c r="J712" s="10">
        <f>'Messages Dictionary'!J118</f>
        <v>0.5</v>
      </c>
      <c r="K712" s="81"/>
      <c r="L712" s="29"/>
      <c r="M712" s="29"/>
      <c r="N712" s="23"/>
      <c r="O712" s="23"/>
      <c r="P712" s="23"/>
      <c r="Q712" s="23"/>
      <c r="R712" s="23"/>
      <c r="S712" s="23"/>
      <c r="T712" s="23"/>
      <c r="U712" s="23"/>
      <c r="V712" s="23"/>
      <c r="W712" s="23"/>
      <c r="X712" s="23"/>
      <c r="Y712" s="23"/>
      <c r="Z712" s="23"/>
      <c r="AA712" s="23"/>
      <c r="AB712" s="23"/>
      <c r="AC712" s="23"/>
      <c r="AD712" s="23"/>
      <c r="AE712" s="23"/>
      <c r="AF712" s="23"/>
      <c r="AG712" s="23"/>
      <c r="AH712" s="23"/>
      <c r="AI712" s="23"/>
      <c r="AJ712" s="23"/>
      <c r="AK712" s="23"/>
      <c r="AL712" s="23"/>
      <c r="AM712" s="23"/>
      <c r="AN712" s="23"/>
      <c r="AO712" s="23"/>
      <c r="AP712" s="23"/>
      <c r="AQ712" s="23"/>
      <c r="AR712" s="23"/>
      <c r="AS712" s="23">
        <f t="shared" si="11"/>
        <v>0</v>
      </c>
    </row>
    <row r="713" spans="1:45" s="27" customFormat="1" ht="71.25" hidden="1" x14ac:dyDescent="0.2">
      <c r="A713" s="28">
        <v>1048</v>
      </c>
      <c r="B713" s="9" t="s">
        <v>823</v>
      </c>
      <c r="C713" s="9" t="s">
        <v>832</v>
      </c>
      <c r="D713" s="9" t="s">
        <v>821</v>
      </c>
      <c r="E713" s="9" t="s">
        <v>825</v>
      </c>
      <c r="F713" s="9" t="s">
        <v>199</v>
      </c>
      <c r="G713" s="9" t="s">
        <v>412</v>
      </c>
      <c r="H713" s="9" t="s">
        <v>831</v>
      </c>
      <c r="I713" s="81"/>
      <c r="J713" s="10">
        <f>'Messages Dictionary'!J119</f>
        <v>0.5</v>
      </c>
      <c r="K713" s="81"/>
      <c r="L713" s="29"/>
      <c r="M713" s="29"/>
      <c r="N713" s="23"/>
      <c r="O713" s="23"/>
      <c r="P713" s="23"/>
      <c r="Q713" s="23"/>
      <c r="R713" s="23"/>
      <c r="S713" s="23"/>
      <c r="T713" s="23"/>
      <c r="U713" s="23"/>
      <c r="V713" s="23"/>
      <c r="W713" s="23"/>
      <c r="X713" s="23"/>
      <c r="Y713" s="23"/>
      <c r="Z713" s="23"/>
      <c r="AA713" s="23"/>
      <c r="AB713" s="23"/>
      <c r="AC713" s="23"/>
      <c r="AD713" s="23"/>
      <c r="AE713" s="23"/>
      <c r="AF713" s="23"/>
      <c r="AG713" s="23"/>
      <c r="AH713" s="23"/>
      <c r="AI713" s="23"/>
      <c r="AJ713" s="23"/>
      <c r="AK713" s="23"/>
      <c r="AL713" s="23"/>
      <c r="AM713" s="23"/>
      <c r="AN713" s="23"/>
      <c r="AO713" s="23"/>
      <c r="AP713" s="23"/>
      <c r="AQ713" s="23"/>
      <c r="AR713" s="23"/>
      <c r="AS713" s="23">
        <f t="shared" si="11"/>
        <v>0</v>
      </c>
    </row>
    <row r="714" spans="1:45" s="27" customFormat="1" ht="57" hidden="1" x14ac:dyDescent="0.2">
      <c r="A714" s="28">
        <v>1049</v>
      </c>
      <c r="B714" s="9" t="s">
        <v>823</v>
      </c>
      <c r="C714" s="9" t="s">
        <v>833</v>
      </c>
      <c r="D714" s="9" t="s">
        <v>821</v>
      </c>
      <c r="E714" s="9" t="s">
        <v>825</v>
      </c>
      <c r="F714" s="9" t="s">
        <v>199</v>
      </c>
      <c r="G714" s="9" t="s">
        <v>412</v>
      </c>
      <c r="H714" s="9" t="s">
        <v>831</v>
      </c>
      <c r="I714" s="81"/>
      <c r="J714" s="10">
        <f>'Messages Dictionary'!J120</f>
        <v>0.5</v>
      </c>
      <c r="K714" s="81"/>
      <c r="L714" s="29"/>
      <c r="M714" s="29"/>
      <c r="N714" s="23"/>
      <c r="O714" s="23"/>
      <c r="P714" s="23"/>
      <c r="Q714" s="23"/>
      <c r="R714" s="23"/>
      <c r="S714" s="23"/>
      <c r="T714" s="23"/>
      <c r="U714" s="23"/>
      <c r="V714" s="23"/>
      <c r="W714" s="23"/>
      <c r="X714" s="23"/>
      <c r="Y714" s="23"/>
      <c r="Z714" s="23"/>
      <c r="AA714" s="23"/>
      <c r="AB714" s="23"/>
      <c r="AC714" s="23"/>
      <c r="AD714" s="23"/>
      <c r="AE714" s="23"/>
      <c r="AF714" s="23"/>
      <c r="AG714" s="23"/>
      <c r="AH714" s="23"/>
      <c r="AI714" s="23"/>
      <c r="AJ714" s="23"/>
      <c r="AK714" s="23"/>
      <c r="AL714" s="23"/>
      <c r="AM714" s="23"/>
      <c r="AN714" s="23"/>
      <c r="AO714" s="23"/>
      <c r="AP714" s="23"/>
      <c r="AQ714" s="23"/>
      <c r="AR714" s="23"/>
      <c r="AS714" s="23">
        <f t="shared" si="11"/>
        <v>0</v>
      </c>
    </row>
    <row r="715" spans="1:45" s="27" customFormat="1" ht="42.75" hidden="1" x14ac:dyDescent="0.2">
      <c r="A715" s="28">
        <v>1050</v>
      </c>
      <c r="B715" s="9" t="s">
        <v>823</v>
      </c>
      <c r="C715" s="9" t="s">
        <v>834</v>
      </c>
      <c r="D715" s="9" t="s">
        <v>821</v>
      </c>
      <c r="E715" s="9" t="s">
        <v>825</v>
      </c>
      <c r="F715" s="9" t="s">
        <v>199</v>
      </c>
      <c r="G715" s="9" t="s">
        <v>412</v>
      </c>
      <c r="H715" s="9" t="s">
        <v>831</v>
      </c>
      <c r="I715" s="81"/>
      <c r="J715" s="10">
        <f>'Messages Dictionary'!J121</f>
        <v>0.5</v>
      </c>
      <c r="K715" s="81"/>
      <c r="L715" s="29"/>
      <c r="M715" s="29"/>
      <c r="N715" s="23"/>
      <c r="O715" s="23"/>
      <c r="P715" s="23"/>
      <c r="Q715" s="23"/>
      <c r="R715" s="23"/>
      <c r="S715" s="23"/>
      <c r="T715" s="23"/>
      <c r="U715" s="23"/>
      <c r="V715" s="23"/>
      <c r="W715" s="23"/>
      <c r="X715" s="23"/>
      <c r="Y715" s="23"/>
      <c r="Z715" s="23"/>
      <c r="AA715" s="23"/>
      <c r="AB715" s="23"/>
      <c r="AC715" s="23"/>
      <c r="AD715" s="23"/>
      <c r="AE715" s="23"/>
      <c r="AF715" s="23"/>
      <c r="AG715" s="23"/>
      <c r="AH715" s="23"/>
      <c r="AI715" s="23"/>
      <c r="AJ715" s="23"/>
      <c r="AK715" s="23"/>
      <c r="AL715" s="23"/>
      <c r="AM715" s="23"/>
      <c r="AN715" s="23"/>
      <c r="AO715" s="23"/>
      <c r="AP715" s="23"/>
      <c r="AQ715" s="23"/>
      <c r="AR715" s="23"/>
      <c r="AS715" s="23">
        <f t="shared" si="11"/>
        <v>0</v>
      </c>
    </row>
    <row r="716" spans="1:45" s="27" customFormat="1" ht="28.5" hidden="1" x14ac:dyDescent="0.2">
      <c r="A716" s="28">
        <v>1100</v>
      </c>
      <c r="B716" s="9" t="s">
        <v>835</v>
      </c>
      <c r="C716" s="9" t="s">
        <v>836</v>
      </c>
      <c r="D716" s="9" t="s">
        <v>828</v>
      </c>
      <c r="E716" s="9" t="s">
        <v>837</v>
      </c>
      <c r="F716" s="9" t="s">
        <v>199</v>
      </c>
      <c r="G716" s="9" t="s">
        <v>412</v>
      </c>
      <c r="H716" s="9" t="s">
        <v>831</v>
      </c>
      <c r="I716" s="81"/>
      <c r="J716" s="10">
        <f>'Messages Dictionary'!J122</f>
        <v>0.5</v>
      </c>
      <c r="K716" s="81"/>
      <c r="L716" s="29"/>
      <c r="M716" s="29"/>
      <c r="N716" s="23"/>
      <c r="O716" s="23"/>
      <c r="P716" s="23"/>
      <c r="Q716" s="23"/>
      <c r="R716" s="23"/>
      <c r="S716" s="23"/>
      <c r="T716" s="23"/>
      <c r="U716" s="23"/>
      <c r="V716" s="23"/>
      <c r="W716" s="23"/>
      <c r="X716" s="23"/>
      <c r="Y716" s="23"/>
      <c r="Z716" s="23"/>
      <c r="AA716" s="23"/>
      <c r="AB716" s="23"/>
      <c r="AC716" s="23"/>
      <c r="AD716" s="23"/>
      <c r="AE716" s="23"/>
      <c r="AF716" s="23"/>
      <c r="AG716" s="23"/>
      <c r="AH716" s="23"/>
      <c r="AI716" s="23"/>
      <c r="AJ716" s="23"/>
      <c r="AK716" s="23"/>
      <c r="AL716" s="23"/>
      <c r="AM716" s="23"/>
      <c r="AN716" s="23"/>
      <c r="AO716" s="23"/>
      <c r="AP716" s="23"/>
      <c r="AQ716" s="23"/>
      <c r="AR716" s="23"/>
      <c r="AS716" s="23">
        <f t="shared" si="11"/>
        <v>0</v>
      </c>
    </row>
    <row r="717" spans="1:45" s="27" customFormat="1" ht="28.5" hidden="1" x14ac:dyDescent="0.2">
      <c r="A717" s="28">
        <v>1105</v>
      </c>
      <c r="B717" s="9" t="s">
        <v>838</v>
      </c>
      <c r="C717" s="9" t="s">
        <v>839</v>
      </c>
      <c r="D717" s="9" t="s">
        <v>821</v>
      </c>
      <c r="E717" s="9" t="s">
        <v>837</v>
      </c>
      <c r="F717" s="9" t="s">
        <v>199</v>
      </c>
      <c r="G717" s="9" t="s">
        <v>412</v>
      </c>
      <c r="H717" s="9" t="s">
        <v>831</v>
      </c>
      <c r="I717" s="81"/>
      <c r="J717" s="10">
        <f>'Messages Dictionary'!J123</f>
        <v>0.5</v>
      </c>
      <c r="K717" s="81"/>
      <c r="L717" s="29"/>
      <c r="M717" s="29"/>
      <c r="N717" s="23"/>
      <c r="O717" s="23"/>
      <c r="P717" s="23"/>
      <c r="Q717" s="23"/>
      <c r="R717" s="23"/>
      <c r="S717" s="23"/>
      <c r="T717" s="23"/>
      <c r="U717" s="23"/>
      <c r="V717" s="23"/>
      <c r="W717" s="23"/>
      <c r="X717" s="23"/>
      <c r="Y717" s="23"/>
      <c r="Z717" s="23"/>
      <c r="AA717" s="23"/>
      <c r="AB717" s="23"/>
      <c r="AC717" s="23"/>
      <c r="AD717" s="23"/>
      <c r="AE717" s="23"/>
      <c r="AF717" s="23"/>
      <c r="AG717" s="23"/>
      <c r="AH717" s="23"/>
      <c r="AI717" s="23"/>
      <c r="AJ717" s="23"/>
      <c r="AK717" s="23"/>
      <c r="AL717" s="23"/>
      <c r="AM717" s="23"/>
      <c r="AN717" s="23"/>
      <c r="AO717" s="23"/>
      <c r="AP717" s="23"/>
      <c r="AQ717" s="23"/>
      <c r="AR717" s="23"/>
      <c r="AS717" s="23">
        <f t="shared" si="11"/>
        <v>0</v>
      </c>
    </row>
    <row r="718" spans="1:45" s="27" customFormat="1" ht="42.75" hidden="1" x14ac:dyDescent="0.2">
      <c r="A718" s="28">
        <v>1110</v>
      </c>
      <c r="B718" s="9" t="s">
        <v>840</v>
      </c>
      <c r="C718" s="9" t="s">
        <v>841</v>
      </c>
      <c r="D718" s="9" t="s">
        <v>842</v>
      </c>
      <c r="E718" s="9" t="s">
        <v>842</v>
      </c>
      <c r="F718" s="9" t="s">
        <v>199</v>
      </c>
      <c r="G718" s="9" t="s">
        <v>809</v>
      </c>
      <c r="H718" s="9" t="s">
        <v>831</v>
      </c>
      <c r="I718" s="81"/>
      <c r="J718" s="10">
        <f>'Messages Dictionary'!J124</f>
        <v>0.5</v>
      </c>
      <c r="K718" s="81"/>
      <c r="L718" s="29"/>
      <c r="M718" s="29"/>
      <c r="N718" s="23"/>
      <c r="O718" s="23"/>
      <c r="P718" s="23"/>
      <c r="Q718" s="23"/>
      <c r="R718" s="23"/>
      <c r="S718" s="23"/>
      <c r="T718" s="23"/>
      <c r="U718" s="23"/>
      <c r="V718" s="23"/>
      <c r="W718" s="23"/>
      <c r="X718" s="23"/>
      <c r="Y718" s="23"/>
      <c r="Z718" s="23"/>
      <c r="AA718" s="23"/>
      <c r="AB718" s="23"/>
      <c r="AC718" s="23"/>
      <c r="AD718" s="23"/>
      <c r="AE718" s="23"/>
      <c r="AF718" s="23"/>
      <c r="AG718" s="23"/>
      <c r="AH718" s="23"/>
      <c r="AI718" s="23"/>
      <c r="AJ718" s="23"/>
      <c r="AK718" s="23"/>
      <c r="AL718" s="23"/>
      <c r="AM718" s="23"/>
      <c r="AN718" s="23"/>
      <c r="AO718" s="23"/>
      <c r="AP718" s="23"/>
      <c r="AQ718" s="23"/>
      <c r="AR718" s="23"/>
      <c r="AS718" s="23">
        <f t="shared" si="11"/>
        <v>0</v>
      </c>
    </row>
    <row r="719" spans="1:45" s="27" customFormat="1" ht="42.75" hidden="1" x14ac:dyDescent="0.2">
      <c r="A719" s="28">
        <v>1111</v>
      </c>
      <c r="B719" s="9" t="s">
        <v>843</v>
      </c>
      <c r="C719" s="9" t="s">
        <v>841</v>
      </c>
      <c r="D719" s="9" t="s">
        <v>842</v>
      </c>
      <c r="E719" s="9" t="s">
        <v>842</v>
      </c>
      <c r="F719" s="9" t="s">
        <v>199</v>
      </c>
      <c r="G719" s="9" t="s">
        <v>412</v>
      </c>
      <c r="H719" s="9" t="s">
        <v>831</v>
      </c>
      <c r="I719" s="81"/>
      <c r="J719" s="10">
        <f>'Messages Dictionary'!J125</f>
        <v>0.5</v>
      </c>
      <c r="K719" s="81"/>
      <c r="L719" s="29"/>
      <c r="M719" s="29"/>
      <c r="N719" s="23"/>
      <c r="O719" s="23"/>
      <c r="P719" s="23"/>
      <c r="Q719" s="23"/>
      <c r="R719" s="23"/>
      <c r="S719" s="23"/>
      <c r="T719" s="23"/>
      <c r="U719" s="23"/>
      <c r="V719" s="23"/>
      <c r="W719" s="23"/>
      <c r="X719" s="23"/>
      <c r="Y719" s="23"/>
      <c r="Z719" s="23"/>
      <c r="AA719" s="23"/>
      <c r="AB719" s="23"/>
      <c r="AC719" s="23"/>
      <c r="AD719" s="23"/>
      <c r="AE719" s="23"/>
      <c r="AF719" s="23"/>
      <c r="AG719" s="23"/>
      <c r="AH719" s="23"/>
      <c r="AI719" s="23"/>
      <c r="AJ719" s="23"/>
      <c r="AK719" s="23"/>
      <c r="AL719" s="23"/>
      <c r="AM719" s="23"/>
      <c r="AN719" s="23"/>
      <c r="AO719" s="23"/>
      <c r="AP719" s="23"/>
      <c r="AQ719" s="23"/>
      <c r="AR719" s="23"/>
      <c r="AS719" s="23">
        <f t="shared" si="11"/>
        <v>0</v>
      </c>
    </row>
    <row r="720" spans="1:45" s="27" customFormat="1" ht="42.75" hidden="1" x14ac:dyDescent="0.2">
      <c r="A720" s="28">
        <v>1115</v>
      </c>
      <c r="B720" s="9" t="s">
        <v>844</v>
      </c>
      <c r="C720" s="9" t="s">
        <v>845</v>
      </c>
      <c r="D720" s="9" t="s">
        <v>842</v>
      </c>
      <c r="E720" s="9" t="s">
        <v>842</v>
      </c>
      <c r="F720" s="9" t="s">
        <v>199</v>
      </c>
      <c r="G720" s="9" t="s">
        <v>412</v>
      </c>
      <c r="H720" s="9" t="s">
        <v>831</v>
      </c>
      <c r="I720" s="81"/>
      <c r="J720" s="10">
        <f>'Messages Dictionary'!J126</f>
        <v>0.5</v>
      </c>
      <c r="K720" s="81"/>
      <c r="L720" s="29"/>
      <c r="M720" s="29"/>
      <c r="N720" s="23"/>
      <c r="O720" s="23"/>
      <c r="P720" s="23"/>
      <c r="Q720" s="23"/>
      <c r="R720" s="23"/>
      <c r="S720" s="23"/>
      <c r="T720" s="23"/>
      <c r="U720" s="23"/>
      <c r="V720" s="23"/>
      <c r="W720" s="23"/>
      <c r="X720" s="23"/>
      <c r="Y720" s="23"/>
      <c r="Z720" s="23"/>
      <c r="AA720" s="23"/>
      <c r="AB720" s="23"/>
      <c r="AC720" s="23"/>
      <c r="AD720" s="23"/>
      <c r="AE720" s="23"/>
      <c r="AF720" s="23"/>
      <c r="AG720" s="23"/>
      <c r="AH720" s="23"/>
      <c r="AI720" s="23"/>
      <c r="AJ720" s="23"/>
      <c r="AK720" s="23"/>
      <c r="AL720" s="23"/>
      <c r="AM720" s="23"/>
      <c r="AN720" s="23"/>
      <c r="AO720" s="23"/>
      <c r="AP720" s="23"/>
      <c r="AQ720" s="23"/>
      <c r="AR720" s="23"/>
      <c r="AS720" s="23">
        <f t="shared" si="11"/>
        <v>0</v>
      </c>
    </row>
    <row r="721" spans="1:45" s="27" customFormat="1" ht="42.75" hidden="1" x14ac:dyDescent="0.2">
      <c r="A721" s="28">
        <v>1116</v>
      </c>
      <c r="B721" s="9" t="s">
        <v>846</v>
      </c>
      <c r="C721" s="9" t="s">
        <v>845</v>
      </c>
      <c r="D721" s="9" t="s">
        <v>842</v>
      </c>
      <c r="E721" s="9" t="s">
        <v>842</v>
      </c>
      <c r="F721" s="9" t="s">
        <v>199</v>
      </c>
      <c r="G721" s="9" t="s">
        <v>412</v>
      </c>
      <c r="H721" s="9" t="s">
        <v>831</v>
      </c>
      <c r="I721" s="81"/>
      <c r="J721" s="10">
        <f>'Messages Dictionary'!J127</f>
        <v>0.5</v>
      </c>
      <c r="K721" s="81"/>
      <c r="L721" s="29"/>
      <c r="M721" s="29"/>
      <c r="N721" s="23"/>
      <c r="O721" s="23"/>
      <c r="P721" s="23"/>
      <c r="Q721" s="23"/>
      <c r="R721" s="23"/>
      <c r="S721" s="23"/>
      <c r="T721" s="23"/>
      <c r="U721" s="23"/>
      <c r="V721" s="23"/>
      <c r="W721" s="23"/>
      <c r="X721" s="23"/>
      <c r="Y721" s="23"/>
      <c r="Z721" s="23"/>
      <c r="AA721" s="23"/>
      <c r="AB721" s="23"/>
      <c r="AC721" s="23"/>
      <c r="AD721" s="23"/>
      <c r="AE721" s="23"/>
      <c r="AF721" s="23"/>
      <c r="AG721" s="23"/>
      <c r="AH721" s="23"/>
      <c r="AI721" s="23"/>
      <c r="AJ721" s="23"/>
      <c r="AK721" s="23"/>
      <c r="AL721" s="23"/>
      <c r="AM721" s="23"/>
      <c r="AN721" s="23"/>
      <c r="AO721" s="23"/>
      <c r="AP721" s="23"/>
      <c r="AQ721" s="23"/>
      <c r="AR721" s="23"/>
      <c r="AS721" s="23">
        <f t="shared" si="11"/>
        <v>0</v>
      </c>
    </row>
    <row r="722" spans="1:45" s="27" customFormat="1" ht="42.75" hidden="1" x14ac:dyDescent="0.2">
      <c r="A722" s="28">
        <v>1117</v>
      </c>
      <c r="B722" s="9" t="s">
        <v>847</v>
      </c>
      <c r="C722" s="9" t="s">
        <v>845</v>
      </c>
      <c r="D722" s="9" t="s">
        <v>842</v>
      </c>
      <c r="E722" s="9" t="s">
        <v>842</v>
      </c>
      <c r="F722" s="9" t="s">
        <v>199</v>
      </c>
      <c r="G722" s="9" t="s">
        <v>412</v>
      </c>
      <c r="H722" s="9" t="s">
        <v>831</v>
      </c>
      <c r="I722" s="81"/>
      <c r="J722" s="10">
        <f>'Messages Dictionary'!J128</f>
        <v>0.5</v>
      </c>
      <c r="K722" s="81"/>
      <c r="L722" s="29"/>
      <c r="M722" s="29"/>
      <c r="N722" s="23"/>
      <c r="O722" s="23"/>
      <c r="P722" s="23"/>
      <c r="Q722" s="23"/>
      <c r="R722" s="23"/>
      <c r="S722" s="23"/>
      <c r="T722" s="23"/>
      <c r="U722" s="23"/>
      <c r="V722" s="23"/>
      <c r="W722" s="23"/>
      <c r="X722" s="23"/>
      <c r="Y722" s="23"/>
      <c r="Z722" s="23"/>
      <c r="AA722" s="23"/>
      <c r="AB722" s="23"/>
      <c r="AC722" s="23"/>
      <c r="AD722" s="23"/>
      <c r="AE722" s="23"/>
      <c r="AF722" s="23"/>
      <c r="AG722" s="23"/>
      <c r="AH722" s="23"/>
      <c r="AI722" s="23"/>
      <c r="AJ722" s="23"/>
      <c r="AK722" s="23"/>
      <c r="AL722" s="23"/>
      <c r="AM722" s="23"/>
      <c r="AN722" s="23"/>
      <c r="AO722" s="23"/>
      <c r="AP722" s="23"/>
      <c r="AQ722" s="23"/>
      <c r="AR722" s="23"/>
      <c r="AS722" s="23">
        <f t="shared" si="11"/>
        <v>0</v>
      </c>
    </row>
    <row r="723" spans="1:45" s="27" customFormat="1" ht="42.75" hidden="1" x14ac:dyDescent="0.2">
      <c r="A723" s="28">
        <v>1118</v>
      </c>
      <c r="B723" s="9" t="s">
        <v>848</v>
      </c>
      <c r="C723" s="9" t="s">
        <v>845</v>
      </c>
      <c r="D723" s="9" t="s">
        <v>842</v>
      </c>
      <c r="E723" s="9" t="s">
        <v>842</v>
      </c>
      <c r="F723" s="9" t="s">
        <v>199</v>
      </c>
      <c r="G723" s="9" t="s">
        <v>412</v>
      </c>
      <c r="H723" s="9" t="s">
        <v>831</v>
      </c>
      <c r="I723" s="81"/>
      <c r="J723" s="10">
        <f>'Messages Dictionary'!J129</f>
        <v>0.5</v>
      </c>
      <c r="K723" s="81"/>
      <c r="L723" s="29"/>
      <c r="M723" s="29"/>
      <c r="N723" s="23"/>
      <c r="O723" s="23"/>
      <c r="P723" s="23"/>
      <c r="Q723" s="23"/>
      <c r="R723" s="23"/>
      <c r="S723" s="23"/>
      <c r="T723" s="23"/>
      <c r="U723" s="23"/>
      <c r="V723" s="23"/>
      <c r="W723" s="23"/>
      <c r="X723" s="23"/>
      <c r="Y723" s="23"/>
      <c r="Z723" s="23"/>
      <c r="AA723" s="23"/>
      <c r="AB723" s="23"/>
      <c r="AC723" s="23"/>
      <c r="AD723" s="23"/>
      <c r="AE723" s="23"/>
      <c r="AF723" s="23"/>
      <c r="AG723" s="23"/>
      <c r="AH723" s="23"/>
      <c r="AI723" s="23"/>
      <c r="AJ723" s="23"/>
      <c r="AK723" s="23"/>
      <c r="AL723" s="23"/>
      <c r="AM723" s="23"/>
      <c r="AN723" s="23"/>
      <c r="AO723" s="23"/>
      <c r="AP723" s="23"/>
      <c r="AQ723" s="23"/>
      <c r="AR723" s="23"/>
      <c r="AS723" s="23">
        <f t="shared" si="11"/>
        <v>0</v>
      </c>
    </row>
    <row r="724" spans="1:45" s="27" customFormat="1" ht="42.75" hidden="1" x14ac:dyDescent="0.2">
      <c r="A724" s="28">
        <v>1120</v>
      </c>
      <c r="B724" s="9" t="s">
        <v>849</v>
      </c>
      <c r="C724" s="9" t="s">
        <v>850</v>
      </c>
      <c r="D724" s="9" t="s">
        <v>842</v>
      </c>
      <c r="E724" s="9" t="s">
        <v>842</v>
      </c>
      <c r="F724" s="9" t="s">
        <v>199</v>
      </c>
      <c r="G724" s="9" t="s">
        <v>412</v>
      </c>
      <c r="H724" s="9" t="s">
        <v>831</v>
      </c>
      <c r="I724" s="81"/>
      <c r="J724" s="10">
        <f>'Messages Dictionary'!J130</f>
        <v>0.5</v>
      </c>
      <c r="K724" s="81"/>
      <c r="L724" s="29"/>
      <c r="M724" s="29"/>
      <c r="N724" s="23"/>
      <c r="O724" s="23"/>
      <c r="P724" s="23"/>
      <c r="Q724" s="23"/>
      <c r="R724" s="23"/>
      <c r="S724" s="23"/>
      <c r="T724" s="23"/>
      <c r="U724" s="23"/>
      <c r="V724" s="23"/>
      <c r="W724" s="23"/>
      <c r="X724" s="23"/>
      <c r="Y724" s="23"/>
      <c r="Z724" s="23"/>
      <c r="AA724" s="23"/>
      <c r="AB724" s="23"/>
      <c r="AC724" s="23"/>
      <c r="AD724" s="23"/>
      <c r="AE724" s="23"/>
      <c r="AF724" s="23"/>
      <c r="AG724" s="23"/>
      <c r="AH724" s="23"/>
      <c r="AI724" s="23"/>
      <c r="AJ724" s="23"/>
      <c r="AK724" s="23"/>
      <c r="AL724" s="23"/>
      <c r="AM724" s="23"/>
      <c r="AN724" s="23"/>
      <c r="AO724" s="23"/>
      <c r="AP724" s="23"/>
      <c r="AQ724" s="23"/>
      <c r="AR724" s="23"/>
      <c r="AS724" s="23">
        <f t="shared" si="11"/>
        <v>0</v>
      </c>
    </row>
    <row r="725" spans="1:45" s="27" customFormat="1" ht="42.75" hidden="1" x14ac:dyDescent="0.2">
      <c r="A725" s="28">
        <v>1125</v>
      </c>
      <c r="B725" s="9" t="s">
        <v>851</v>
      </c>
      <c r="C725" s="9" t="s">
        <v>852</v>
      </c>
      <c r="D725" s="9" t="s">
        <v>842</v>
      </c>
      <c r="E725" s="9" t="s">
        <v>842</v>
      </c>
      <c r="F725" s="9" t="s">
        <v>199</v>
      </c>
      <c r="G725" s="9" t="s">
        <v>809</v>
      </c>
      <c r="H725" s="9" t="s">
        <v>831</v>
      </c>
      <c r="I725" s="81"/>
      <c r="J725" s="10">
        <f>'Messages Dictionary'!J131</f>
        <v>1</v>
      </c>
      <c r="K725" s="81"/>
      <c r="L725" s="29"/>
      <c r="M725" s="29"/>
      <c r="N725" s="23"/>
      <c r="O725" s="23"/>
      <c r="P725" s="23"/>
      <c r="Q725" s="23"/>
      <c r="R725" s="23"/>
      <c r="S725" s="23"/>
      <c r="T725" s="23"/>
      <c r="U725" s="23"/>
      <c r="V725" s="23"/>
      <c r="W725" s="23"/>
      <c r="X725" s="23"/>
      <c r="Y725" s="23"/>
      <c r="Z725" s="23"/>
      <c r="AA725" s="23"/>
      <c r="AB725" s="23"/>
      <c r="AC725" s="23"/>
      <c r="AD725" s="23"/>
      <c r="AE725" s="23"/>
      <c r="AF725" s="23"/>
      <c r="AG725" s="23"/>
      <c r="AH725" s="23"/>
      <c r="AI725" s="23"/>
      <c r="AJ725" s="23"/>
      <c r="AK725" s="23"/>
      <c r="AL725" s="23"/>
      <c r="AM725" s="23"/>
      <c r="AN725" s="23"/>
      <c r="AO725" s="23"/>
      <c r="AP725" s="23"/>
      <c r="AQ725" s="23"/>
      <c r="AR725" s="23"/>
      <c r="AS725" s="23">
        <f t="shared" si="11"/>
        <v>0</v>
      </c>
    </row>
    <row r="726" spans="1:45" s="27" customFormat="1" ht="42.75" hidden="1" x14ac:dyDescent="0.2">
      <c r="A726" s="28">
        <v>1130</v>
      </c>
      <c r="B726" s="9" t="s">
        <v>853</v>
      </c>
      <c r="C726" s="9" t="s">
        <v>854</v>
      </c>
      <c r="D726" s="9" t="s">
        <v>828</v>
      </c>
      <c r="E726" s="9" t="s">
        <v>837</v>
      </c>
      <c r="F726" s="9" t="s">
        <v>199</v>
      </c>
      <c r="G726" s="9" t="s">
        <v>412</v>
      </c>
      <c r="H726" s="9" t="s">
        <v>831</v>
      </c>
      <c r="I726" s="81"/>
      <c r="J726" s="10">
        <f>'Messages Dictionary'!J132</f>
        <v>1</v>
      </c>
      <c r="K726" s="81"/>
      <c r="L726" s="29"/>
      <c r="M726" s="29"/>
      <c r="N726" s="23"/>
      <c r="O726" s="23"/>
      <c r="P726" s="23"/>
      <c r="Q726" s="23"/>
      <c r="R726" s="23"/>
      <c r="S726" s="23"/>
      <c r="T726" s="23"/>
      <c r="U726" s="23"/>
      <c r="V726" s="23"/>
      <c r="W726" s="23"/>
      <c r="X726" s="23"/>
      <c r="Y726" s="23"/>
      <c r="Z726" s="23"/>
      <c r="AA726" s="23"/>
      <c r="AB726" s="23"/>
      <c r="AC726" s="23"/>
      <c r="AD726" s="23"/>
      <c r="AE726" s="23"/>
      <c r="AF726" s="23"/>
      <c r="AG726" s="23"/>
      <c r="AH726" s="23"/>
      <c r="AI726" s="23"/>
      <c r="AJ726" s="23"/>
      <c r="AK726" s="23"/>
      <c r="AL726" s="23"/>
      <c r="AM726" s="23"/>
      <c r="AN726" s="23"/>
      <c r="AO726" s="23"/>
      <c r="AP726" s="23"/>
      <c r="AQ726" s="23"/>
      <c r="AR726" s="23"/>
      <c r="AS726" s="23">
        <f t="shared" si="11"/>
        <v>0</v>
      </c>
    </row>
    <row r="727" spans="1:45" s="27" customFormat="1" ht="42.75" hidden="1" x14ac:dyDescent="0.2">
      <c r="A727" s="28">
        <v>1131</v>
      </c>
      <c r="B727" s="9" t="s">
        <v>636</v>
      </c>
      <c r="C727" s="9" t="s">
        <v>637</v>
      </c>
      <c r="D727" s="9" t="s">
        <v>821</v>
      </c>
      <c r="E727" s="9" t="s">
        <v>837</v>
      </c>
      <c r="F727" s="9" t="s">
        <v>199</v>
      </c>
      <c r="G727" s="9" t="s">
        <v>412</v>
      </c>
      <c r="H727" s="9" t="s">
        <v>831</v>
      </c>
      <c r="I727" s="81"/>
      <c r="J727" s="10">
        <f>'Messages Dictionary'!J133</f>
        <v>0.5</v>
      </c>
      <c r="K727" s="81"/>
      <c r="L727" s="29"/>
      <c r="M727" s="29"/>
      <c r="N727" s="23"/>
      <c r="O727" s="23"/>
      <c r="P727" s="23"/>
      <c r="Q727" s="23"/>
      <c r="R727" s="23"/>
      <c r="S727" s="23"/>
      <c r="T727" s="23"/>
      <c r="U727" s="23"/>
      <c r="V727" s="23"/>
      <c r="W727" s="23"/>
      <c r="X727" s="23"/>
      <c r="Y727" s="23"/>
      <c r="Z727" s="23"/>
      <c r="AA727" s="23"/>
      <c r="AB727" s="23"/>
      <c r="AC727" s="23"/>
      <c r="AD727" s="23"/>
      <c r="AE727" s="23"/>
      <c r="AF727" s="23"/>
      <c r="AG727" s="23"/>
      <c r="AH727" s="23"/>
      <c r="AI727" s="23"/>
      <c r="AJ727" s="23"/>
      <c r="AK727" s="23"/>
      <c r="AL727" s="23"/>
      <c r="AM727" s="23"/>
      <c r="AN727" s="23"/>
      <c r="AO727" s="23"/>
      <c r="AP727" s="23"/>
      <c r="AQ727" s="23"/>
      <c r="AR727" s="23"/>
      <c r="AS727" s="23">
        <f t="shared" si="11"/>
        <v>0</v>
      </c>
    </row>
    <row r="728" spans="1:45" s="27" customFormat="1" ht="42.75" hidden="1" x14ac:dyDescent="0.2">
      <c r="A728" s="28">
        <v>1132</v>
      </c>
      <c r="B728" s="9" t="s">
        <v>855</v>
      </c>
      <c r="C728" s="9" t="s">
        <v>856</v>
      </c>
      <c r="D728" s="9" t="s">
        <v>821</v>
      </c>
      <c r="E728" s="9" t="s">
        <v>837</v>
      </c>
      <c r="F728" s="9" t="s">
        <v>199</v>
      </c>
      <c r="G728" s="9" t="s">
        <v>412</v>
      </c>
      <c r="H728" s="9" t="s">
        <v>831</v>
      </c>
      <c r="I728" s="81"/>
      <c r="J728" s="10">
        <f>'Messages Dictionary'!J134</f>
        <v>0.5</v>
      </c>
      <c r="K728" s="81"/>
      <c r="L728" s="29"/>
      <c r="M728" s="29"/>
      <c r="N728" s="23"/>
      <c r="O728" s="23"/>
      <c r="P728" s="23"/>
      <c r="Q728" s="23"/>
      <c r="R728" s="23"/>
      <c r="S728" s="23"/>
      <c r="T728" s="23"/>
      <c r="U728" s="23"/>
      <c r="V728" s="23"/>
      <c r="W728" s="23"/>
      <c r="X728" s="23"/>
      <c r="Y728" s="23"/>
      <c r="Z728" s="23"/>
      <c r="AA728" s="23"/>
      <c r="AB728" s="23"/>
      <c r="AC728" s="23"/>
      <c r="AD728" s="23"/>
      <c r="AE728" s="23"/>
      <c r="AF728" s="23"/>
      <c r="AG728" s="23"/>
      <c r="AH728" s="23"/>
      <c r="AI728" s="23"/>
      <c r="AJ728" s="23"/>
      <c r="AK728" s="23"/>
      <c r="AL728" s="23"/>
      <c r="AM728" s="23"/>
      <c r="AN728" s="23"/>
      <c r="AO728" s="23"/>
      <c r="AP728" s="23"/>
      <c r="AQ728" s="23"/>
      <c r="AR728" s="23"/>
      <c r="AS728" s="23">
        <f t="shared" si="11"/>
        <v>0</v>
      </c>
    </row>
    <row r="729" spans="1:45" s="27" customFormat="1" ht="42.75" hidden="1" x14ac:dyDescent="0.2">
      <c r="A729" s="28">
        <v>1133</v>
      </c>
      <c r="B729" s="9" t="s">
        <v>857</v>
      </c>
      <c r="C729" s="9" t="s">
        <v>856</v>
      </c>
      <c r="D729" s="9" t="s">
        <v>821</v>
      </c>
      <c r="E729" s="9" t="s">
        <v>837</v>
      </c>
      <c r="F729" s="9" t="s">
        <v>199</v>
      </c>
      <c r="G729" s="9" t="s">
        <v>412</v>
      </c>
      <c r="H729" s="9" t="s">
        <v>831</v>
      </c>
      <c r="I729" s="81"/>
      <c r="J729" s="10">
        <f>'Messages Dictionary'!J135</f>
        <v>0.5</v>
      </c>
      <c r="K729" s="81"/>
      <c r="L729" s="29"/>
      <c r="M729" s="29"/>
      <c r="N729" s="23"/>
      <c r="O729" s="23"/>
      <c r="P729" s="23"/>
      <c r="Q729" s="23"/>
      <c r="R729" s="23"/>
      <c r="S729" s="23"/>
      <c r="T729" s="23"/>
      <c r="U729" s="23"/>
      <c r="V729" s="23"/>
      <c r="W729" s="23"/>
      <c r="X729" s="23"/>
      <c r="Y729" s="23"/>
      <c r="Z729" s="23"/>
      <c r="AA729" s="23"/>
      <c r="AB729" s="23"/>
      <c r="AC729" s="23"/>
      <c r="AD729" s="23"/>
      <c r="AE729" s="23"/>
      <c r="AF729" s="23"/>
      <c r="AG729" s="23"/>
      <c r="AH729" s="23"/>
      <c r="AI729" s="23"/>
      <c r="AJ729" s="23"/>
      <c r="AK729" s="23"/>
      <c r="AL729" s="23"/>
      <c r="AM729" s="23"/>
      <c r="AN729" s="23"/>
      <c r="AO729" s="23"/>
      <c r="AP729" s="23"/>
      <c r="AQ729" s="23"/>
      <c r="AR729" s="23"/>
      <c r="AS729" s="23">
        <f t="shared" ref="AS729:AS792" si="12">AS130*$J729</f>
        <v>0</v>
      </c>
    </row>
    <row r="730" spans="1:45" s="27" customFormat="1" ht="42.75" hidden="1" x14ac:dyDescent="0.2">
      <c r="A730" s="28">
        <v>1134</v>
      </c>
      <c r="B730" s="9" t="s">
        <v>858</v>
      </c>
      <c r="C730" s="9" t="s">
        <v>856</v>
      </c>
      <c r="D730" s="9" t="s">
        <v>821</v>
      </c>
      <c r="E730" s="9" t="s">
        <v>837</v>
      </c>
      <c r="F730" s="9" t="s">
        <v>199</v>
      </c>
      <c r="G730" s="9" t="s">
        <v>412</v>
      </c>
      <c r="H730" s="9" t="s">
        <v>831</v>
      </c>
      <c r="I730" s="81"/>
      <c r="J730" s="10">
        <f>'Messages Dictionary'!J136</f>
        <v>0.5</v>
      </c>
      <c r="K730" s="81"/>
      <c r="L730" s="29"/>
      <c r="M730" s="29"/>
      <c r="N730" s="23"/>
      <c r="O730" s="23"/>
      <c r="P730" s="23"/>
      <c r="Q730" s="23"/>
      <c r="R730" s="23"/>
      <c r="S730" s="23"/>
      <c r="T730" s="23"/>
      <c r="U730" s="23"/>
      <c r="V730" s="23"/>
      <c r="W730" s="23"/>
      <c r="X730" s="23"/>
      <c r="Y730" s="23"/>
      <c r="Z730" s="23"/>
      <c r="AA730" s="23"/>
      <c r="AB730" s="23"/>
      <c r="AC730" s="23"/>
      <c r="AD730" s="23"/>
      <c r="AE730" s="23"/>
      <c r="AF730" s="23"/>
      <c r="AG730" s="23"/>
      <c r="AH730" s="23"/>
      <c r="AI730" s="23"/>
      <c r="AJ730" s="23"/>
      <c r="AK730" s="23"/>
      <c r="AL730" s="23"/>
      <c r="AM730" s="23"/>
      <c r="AN730" s="23"/>
      <c r="AO730" s="23"/>
      <c r="AP730" s="23"/>
      <c r="AQ730" s="23"/>
      <c r="AR730" s="23"/>
      <c r="AS730" s="23">
        <f t="shared" si="12"/>
        <v>0</v>
      </c>
    </row>
    <row r="731" spans="1:45" s="27" customFormat="1" ht="42.75" hidden="1" x14ac:dyDescent="0.2">
      <c r="A731" s="28">
        <v>1135</v>
      </c>
      <c r="B731" s="9" t="s">
        <v>859</v>
      </c>
      <c r="C731" s="9" t="s">
        <v>856</v>
      </c>
      <c r="D731" s="9" t="s">
        <v>860</v>
      </c>
      <c r="E731" s="9" t="s">
        <v>861</v>
      </c>
      <c r="F731" s="9" t="s">
        <v>199</v>
      </c>
      <c r="G731" s="9" t="s">
        <v>412</v>
      </c>
      <c r="H731" s="9" t="s">
        <v>831</v>
      </c>
      <c r="I731" s="81"/>
      <c r="J731" s="10">
        <f>'Messages Dictionary'!J137</f>
        <v>0.5</v>
      </c>
      <c r="K731" s="81"/>
      <c r="L731" s="29"/>
      <c r="M731" s="29"/>
      <c r="N731" s="23"/>
      <c r="O731" s="23"/>
      <c r="P731" s="23"/>
      <c r="Q731" s="23"/>
      <c r="R731" s="23"/>
      <c r="S731" s="23"/>
      <c r="T731" s="23"/>
      <c r="U731" s="23"/>
      <c r="V731" s="23"/>
      <c r="W731" s="23"/>
      <c r="X731" s="23"/>
      <c r="Y731" s="23"/>
      <c r="Z731" s="23"/>
      <c r="AA731" s="23"/>
      <c r="AB731" s="23"/>
      <c r="AC731" s="23"/>
      <c r="AD731" s="23"/>
      <c r="AE731" s="23"/>
      <c r="AF731" s="23"/>
      <c r="AG731" s="23"/>
      <c r="AH731" s="23"/>
      <c r="AI731" s="23"/>
      <c r="AJ731" s="23"/>
      <c r="AK731" s="23"/>
      <c r="AL731" s="23"/>
      <c r="AM731" s="23"/>
      <c r="AN731" s="23"/>
      <c r="AO731" s="23"/>
      <c r="AP731" s="23"/>
      <c r="AQ731" s="23"/>
      <c r="AR731" s="23"/>
      <c r="AS731" s="23">
        <f t="shared" si="12"/>
        <v>0</v>
      </c>
    </row>
    <row r="732" spans="1:45" s="27" customFormat="1" ht="42.75" hidden="1" x14ac:dyDescent="0.2">
      <c r="A732" s="28">
        <v>1136</v>
      </c>
      <c r="B732" s="9" t="s">
        <v>862</v>
      </c>
      <c r="C732" s="9" t="s">
        <v>856</v>
      </c>
      <c r="D732" s="9" t="s">
        <v>863</v>
      </c>
      <c r="E732" s="9" t="s">
        <v>864</v>
      </c>
      <c r="F732" s="9" t="s">
        <v>199</v>
      </c>
      <c r="G732" s="9" t="s">
        <v>412</v>
      </c>
      <c r="H732" s="9" t="s">
        <v>831</v>
      </c>
      <c r="I732" s="81"/>
      <c r="J732" s="10">
        <f>'Messages Dictionary'!J138</f>
        <v>0.5</v>
      </c>
      <c r="K732" s="81"/>
      <c r="L732" s="29"/>
      <c r="M732" s="29"/>
      <c r="N732" s="23"/>
      <c r="O732" s="23"/>
      <c r="P732" s="23"/>
      <c r="Q732" s="23"/>
      <c r="R732" s="23"/>
      <c r="S732" s="23"/>
      <c r="T732" s="23"/>
      <c r="U732" s="23"/>
      <c r="V732" s="23"/>
      <c r="W732" s="23"/>
      <c r="X732" s="23"/>
      <c r="Y732" s="23"/>
      <c r="Z732" s="23"/>
      <c r="AA732" s="23"/>
      <c r="AB732" s="23"/>
      <c r="AC732" s="23"/>
      <c r="AD732" s="23"/>
      <c r="AE732" s="23"/>
      <c r="AF732" s="23"/>
      <c r="AG732" s="23"/>
      <c r="AH732" s="23"/>
      <c r="AI732" s="23"/>
      <c r="AJ732" s="23"/>
      <c r="AK732" s="23"/>
      <c r="AL732" s="23"/>
      <c r="AM732" s="23"/>
      <c r="AN732" s="23"/>
      <c r="AO732" s="23"/>
      <c r="AP732" s="23"/>
      <c r="AQ732" s="23"/>
      <c r="AR732" s="23"/>
      <c r="AS732" s="23">
        <f t="shared" si="12"/>
        <v>0</v>
      </c>
    </row>
    <row r="733" spans="1:45" s="27" customFormat="1" ht="42.75" hidden="1" x14ac:dyDescent="0.2">
      <c r="A733" s="28">
        <v>1137</v>
      </c>
      <c r="B733" s="9" t="s">
        <v>865</v>
      </c>
      <c r="C733" s="9" t="s">
        <v>856</v>
      </c>
      <c r="D733" s="9" t="s">
        <v>828</v>
      </c>
      <c r="E733" s="9" t="s">
        <v>837</v>
      </c>
      <c r="F733" s="9" t="s">
        <v>199</v>
      </c>
      <c r="G733" s="9" t="s">
        <v>412</v>
      </c>
      <c r="H733" s="9" t="s">
        <v>831</v>
      </c>
      <c r="I733" s="81"/>
      <c r="J733" s="10">
        <f>'Messages Dictionary'!J139</f>
        <v>0.5</v>
      </c>
      <c r="K733" s="81"/>
      <c r="L733" s="29"/>
      <c r="M733" s="29"/>
      <c r="N733" s="23"/>
      <c r="O733" s="23"/>
      <c r="P733" s="23"/>
      <c r="Q733" s="23"/>
      <c r="R733" s="23"/>
      <c r="S733" s="23"/>
      <c r="T733" s="23"/>
      <c r="U733" s="23"/>
      <c r="V733" s="23"/>
      <c r="W733" s="23"/>
      <c r="X733" s="23"/>
      <c r="Y733" s="23"/>
      <c r="Z733" s="23"/>
      <c r="AA733" s="23"/>
      <c r="AB733" s="23"/>
      <c r="AC733" s="23"/>
      <c r="AD733" s="23"/>
      <c r="AE733" s="23"/>
      <c r="AF733" s="23"/>
      <c r="AG733" s="23"/>
      <c r="AH733" s="23"/>
      <c r="AI733" s="23"/>
      <c r="AJ733" s="23"/>
      <c r="AK733" s="23"/>
      <c r="AL733" s="23"/>
      <c r="AM733" s="23"/>
      <c r="AN733" s="23"/>
      <c r="AO733" s="23"/>
      <c r="AP733" s="23"/>
      <c r="AQ733" s="23"/>
      <c r="AR733" s="23"/>
      <c r="AS733" s="23">
        <f t="shared" si="12"/>
        <v>0</v>
      </c>
    </row>
    <row r="734" spans="1:45" s="27" customFormat="1" ht="42.75" hidden="1" x14ac:dyDescent="0.2">
      <c r="A734" s="28">
        <v>1140</v>
      </c>
      <c r="B734" s="9" t="s">
        <v>859</v>
      </c>
      <c r="C734" s="9" t="s">
        <v>866</v>
      </c>
      <c r="D734" s="9" t="s">
        <v>860</v>
      </c>
      <c r="E734" s="9" t="s">
        <v>861</v>
      </c>
      <c r="F734" s="9" t="s">
        <v>199</v>
      </c>
      <c r="G734" s="9" t="s">
        <v>412</v>
      </c>
      <c r="H734" s="9" t="s">
        <v>831</v>
      </c>
      <c r="I734" s="81"/>
      <c r="J734" s="10">
        <f>'Messages Dictionary'!J142</f>
        <v>0.5</v>
      </c>
      <c r="K734" s="81"/>
      <c r="L734" s="29"/>
      <c r="M734" s="29"/>
      <c r="N734" s="23"/>
      <c r="O734" s="23"/>
      <c r="P734" s="23"/>
      <c r="Q734" s="23"/>
      <c r="R734" s="23"/>
      <c r="S734" s="23"/>
      <c r="T734" s="23"/>
      <c r="U734" s="23"/>
      <c r="V734" s="23"/>
      <c r="W734" s="23"/>
      <c r="X734" s="23"/>
      <c r="Y734" s="23"/>
      <c r="Z734" s="23"/>
      <c r="AA734" s="23"/>
      <c r="AB734" s="23"/>
      <c r="AC734" s="23"/>
      <c r="AD734" s="23"/>
      <c r="AE734" s="23"/>
      <c r="AF734" s="23"/>
      <c r="AG734" s="23"/>
      <c r="AH734" s="23"/>
      <c r="AI734" s="23"/>
      <c r="AJ734" s="23"/>
      <c r="AK734" s="23"/>
      <c r="AL734" s="23"/>
      <c r="AM734" s="23"/>
      <c r="AN734" s="23"/>
      <c r="AO734" s="23"/>
      <c r="AP734" s="23"/>
      <c r="AQ734" s="23"/>
      <c r="AR734" s="23"/>
      <c r="AS734" s="23">
        <f t="shared" si="12"/>
        <v>0</v>
      </c>
    </row>
    <row r="735" spans="1:45" s="27" customFormat="1" ht="42.75" hidden="1" x14ac:dyDescent="0.2">
      <c r="A735" s="28">
        <v>1141</v>
      </c>
      <c r="B735" s="9" t="s">
        <v>862</v>
      </c>
      <c r="C735" s="9" t="s">
        <v>866</v>
      </c>
      <c r="D735" s="9" t="s">
        <v>863</v>
      </c>
      <c r="E735" s="9" t="s">
        <v>864</v>
      </c>
      <c r="F735" s="9" t="s">
        <v>199</v>
      </c>
      <c r="G735" s="9" t="s">
        <v>412</v>
      </c>
      <c r="H735" s="9" t="s">
        <v>831</v>
      </c>
      <c r="I735" s="81"/>
      <c r="J735" s="10">
        <f>'Messages Dictionary'!J143</f>
        <v>0.5</v>
      </c>
      <c r="K735" s="81"/>
      <c r="L735" s="29"/>
      <c r="M735" s="29"/>
      <c r="N735" s="23"/>
      <c r="O735" s="23"/>
      <c r="P735" s="23"/>
      <c r="Q735" s="23"/>
      <c r="R735" s="23"/>
      <c r="S735" s="23"/>
      <c r="T735" s="23"/>
      <c r="U735" s="23"/>
      <c r="V735" s="23"/>
      <c r="W735" s="23"/>
      <c r="X735" s="23"/>
      <c r="Y735" s="23"/>
      <c r="Z735" s="23"/>
      <c r="AA735" s="23"/>
      <c r="AB735" s="23"/>
      <c r="AC735" s="23"/>
      <c r="AD735" s="23"/>
      <c r="AE735" s="23"/>
      <c r="AF735" s="23"/>
      <c r="AG735" s="23"/>
      <c r="AH735" s="23"/>
      <c r="AI735" s="23"/>
      <c r="AJ735" s="23"/>
      <c r="AK735" s="23"/>
      <c r="AL735" s="23"/>
      <c r="AM735" s="23"/>
      <c r="AN735" s="23"/>
      <c r="AO735" s="23"/>
      <c r="AP735" s="23"/>
      <c r="AQ735" s="23"/>
      <c r="AR735" s="23"/>
      <c r="AS735" s="23">
        <f t="shared" si="12"/>
        <v>0</v>
      </c>
    </row>
    <row r="736" spans="1:45" s="27" customFormat="1" ht="42.75" hidden="1" x14ac:dyDescent="0.2">
      <c r="A736" s="28">
        <v>1142</v>
      </c>
      <c r="B736" s="9" t="s">
        <v>865</v>
      </c>
      <c r="C736" s="9" t="s">
        <v>866</v>
      </c>
      <c r="D736" s="9" t="s">
        <v>828</v>
      </c>
      <c r="E736" s="9" t="s">
        <v>837</v>
      </c>
      <c r="F736" s="9" t="s">
        <v>199</v>
      </c>
      <c r="G736" s="9" t="s">
        <v>412</v>
      </c>
      <c r="H736" s="9" t="s">
        <v>831</v>
      </c>
      <c r="I736" s="81"/>
      <c r="J736" s="10">
        <f>'Messages Dictionary'!J144</f>
        <v>0.5</v>
      </c>
      <c r="K736" s="81"/>
      <c r="L736" s="29"/>
      <c r="M736" s="29"/>
      <c r="N736" s="23"/>
      <c r="O736" s="23"/>
      <c r="P736" s="23"/>
      <c r="Q736" s="23"/>
      <c r="R736" s="23"/>
      <c r="S736" s="23"/>
      <c r="T736" s="23"/>
      <c r="U736" s="23"/>
      <c r="V736" s="23"/>
      <c r="W736" s="23"/>
      <c r="X736" s="23"/>
      <c r="Y736" s="23"/>
      <c r="Z736" s="23"/>
      <c r="AA736" s="23"/>
      <c r="AB736" s="23"/>
      <c r="AC736" s="23"/>
      <c r="AD736" s="23"/>
      <c r="AE736" s="23"/>
      <c r="AF736" s="23"/>
      <c r="AG736" s="23"/>
      <c r="AH736" s="23"/>
      <c r="AI736" s="23"/>
      <c r="AJ736" s="23"/>
      <c r="AK736" s="23"/>
      <c r="AL736" s="23"/>
      <c r="AM736" s="23"/>
      <c r="AN736" s="23"/>
      <c r="AO736" s="23"/>
      <c r="AP736" s="23"/>
      <c r="AQ736" s="23"/>
      <c r="AR736" s="23"/>
      <c r="AS736" s="23">
        <f t="shared" si="12"/>
        <v>0</v>
      </c>
    </row>
    <row r="737" spans="1:45" s="27" customFormat="1" ht="42.75" hidden="1" x14ac:dyDescent="0.2">
      <c r="A737" s="28">
        <v>1143</v>
      </c>
      <c r="B737" s="9" t="s">
        <v>638</v>
      </c>
      <c r="C737" s="9" t="s">
        <v>866</v>
      </c>
      <c r="D737" s="9" t="s">
        <v>821</v>
      </c>
      <c r="E737" s="9" t="s">
        <v>837</v>
      </c>
      <c r="F737" s="9" t="s">
        <v>199</v>
      </c>
      <c r="G737" s="9" t="s">
        <v>412</v>
      </c>
      <c r="H737" s="9" t="s">
        <v>831</v>
      </c>
      <c r="I737" s="81"/>
      <c r="J737" s="10">
        <f>'Messages Dictionary'!J145</f>
        <v>0.5</v>
      </c>
      <c r="K737" s="81"/>
      <c r="L737" s="29"/>
      <c r="M737" s="29"/>
      <c r="N737" s="23"/>
      <c r="O737" s="23"/>
      <c r="P737" s="23"/>
      <c r="Q737" s="23"/>
      <c r="R737" s="23"/>
      <c r="S737" s="23"/>
      <c r="T737" s="23"/>
      <c r="U737" s="23"/>
      <c r="V737" s="23"/>
      <c r="W737" s="23"/>
      <c r="X737" s="23"/>
      <c r="Y737" s="23"/>
      <c r="Z737" s="23"/>
      <c r="AA737" s="23"/>
      <c r="AB737" s="23"/>
      <c r="AC737" s="23"/>
      <c r="AD737" s="23"/>
      <c r="AE737" s="23"/>
      <c r="AF737" s="23"/>
      <c r="AG737" s="23"/>
      <c r="AH737" s="23"/>
      <c r="AI737" s="23"/>
      <c r="AJ737" s="23"/>
      <c r="AK737" s="23"/>
      <c r="AL737" s="23"/>
      <c r="AM737" s="23"/>
      <c r="AN737" s="23"/>
      <c r="AO737" s="23"/>
      <c r="AP737" s="23"/>
      <c r="AQ737" s="23"/>
      <c r="AR737" s="23"/>
      <c r="AS737" s="23">
        <f t="shared" si="12"/>
        <v>0</v>
      </c>
    </row>
    <row r="738" spans="1:45" s="27" customFormat="1" ht="42.75" hidden="1" x14ac:dyDescent="0.2">
      <c r="A738" s="28">
        <v>1144</v>
      </c>
      <c r="B738" s="9" t="s">
        <v>855</v>
      </c>
      <c r="C738" s="9" t="s">
        <v>866</v>
      </c>
      <c r="D738" s="9" t="s">
        <v>821</v>
      </c>
      <c r="E738" s="9" t="s">
        <v>837</v>
      </c>
      <c r="F738" s="9" t="s">
        <v>199</v>
      </c>
      <c r="G738" s="9" t="s">
        <v>412</v>
      </c>
      <c r="H738" s="9" t="s">
        <v>831</v>
      </c>
      <c r="I738" s="81"/>
      <c r="J738" s="10">
        <f>'Messages Dictionary'!J146</f>
        <v>0.5</v>
      </c>
      <c r="K738" s="81"/>
      <c r="L738" s="29"/>
      <c r="M738" s="29"/>
      <c r="N738" s="23"/>
      <c r="O738" s="23"/>
      <c r="P738" s="23"/>
      <c r="Q738" s="23"/>
      <c r="R738" s="23"/>
      <c r="S738" s="23"/>
      <c r="T738" s="23"/>
      <c r="U738" s="23"/>
      <c r="V738" s="23"/>
      <c r="W738" s="23"/>
      <c r="X738" s="23"/>
      <c r="Y738" s="23"/>
      <c r="Z738" s="23"/>
      <c r="AA738" s="23"/>
      <c r="AB738" s="23"/>
      <c r="AC738" s="23"/>
      <c r="AD738" s="23"/>
      <c r="AE738" s="23"/>
      <c r="AF738" s="23"/>
      <c r="AG738" s="23"/>
      <c r="AH738" s="23"/>
      <c r="AI738" s="23"/>
      <c r="AJ738" s="23"/>
      <c r="AK738" s="23"/>
      <c r="AL738" s="23"/>
      <c r="AM738" s="23"/>
      <c r="AN738" s="23"/>
      <c r="AO738" s="23"/>
      <c r="AP738" s="23"/>
      <c r="AQ738" s="23"/>
      <c r="AR738" s="23"/>
      <c r="AS738" s="23">
        <f t="shared" si="12"/>
        <v>0</v>
      </c>
    </row>
    <row r="739" spans="1:45" s="27" customFormat="1" ht="42.75" hidden="1" x14ac:dyDescent="0.2">
      <c r="A739" s="28">
        <v>1145</v>
      </c>
      <c r="B739" s="9" t="s">
        <v>857</v>
      </c>
      <c r="C739" s="9" t="s">
        <v>866</v>
      </c>
      <c r="D739" s="9" t="s">
        <v>821</v>
      </c>
      <c r="E739" s="9" t="s">
        <v>837</v>
      </c>
      <c r="F739" s="9" t="s">
        <v>199</v>
      </c>
      <c r="G739" s="9" t="s">
        <v>412</v>
      </c>
      <c r="H739" s="9" t="s">
        <v>831</v>
      </c>
      <c r="I739" s="81"/>
      <c r="J739" s="10">
        <f>'Messages Dictionary'!J147</f>
        <v>0.5</v>
      </c>
      <c r="K739" s="81"/>
      <c r="L739" s="29"/>
      <c r="M739" s="29"/>
      <c r="N739" s="23"/>
      <c r="O739" s="23"/>
      <c r="P739" s="23"/>
      <c r="Q739" s="23"/>
      <c r="R739" s="23"/>
      <c r="S739" s="23"/>
      <c r="T739" s="23"/>
      <c r="U739" s="23"/>
      <c r="V739" s="23"/>
      <c r="W739" s="23"/>
      <c r="X739" s="23"/>
      <c r="Y739" s="23"/>
      <c r="Z739" s="23"/>
      <c r="AA739" s="23"/>
      <c r="AB739" s="23"/>
      <c r="AC739" s="23"/>
      <c r="AD739" s="23"/>
      <c r="AE739" s="23"/>
      <c r="AF739" s="23"/>
      <c r="AG739" s="23"/>
      <c r="AH739" s="23"/>
      <c r="AI739" s="23"/>
      <c r="AJ739" s="23"/>
      <c r="AK739" s="23"/>
      <c r="AL739" s="23"/>
      <c r="AM739" s="23"/>
      <c r="AN739" s="23"/>
      <c r="AO739" s="23"/>
      <c r="AP739" s="23"/>
      <c r="AQ739" s="23"/>
      <c r="AR739" s="23"/>
      <c r="AS739" s="23">
        <f t="shared" si="12"/>
        <v>0</v>
      </c>
    </row>
    <row r="740" spans="1:45" s="27" customFormat="1" ht="42.75" hidden="1" x14ac:dyDescent="0.2">
      <c r="A740" s="28">
        <v>1146</v>
      </c>
      <c r="B740" s="9" t="s">
        <v>858</v>
      </c>
      <c r="C740" s="9" t="s">
        <v>866</v>
      </c>
      <c r="D740" s="9" t="s">
        <v>821</v>
      </c>
      <c r="E740" s="9" t="s">
        <v>837</v>
      </c>
      <c r="F740" s="9" t="s">
        <v>199</v>
      </c>
      <c r="G740" s="9" t="s">
        <v>412</v>
      </c>
      <c r="H740" s="9" t="s">
        <v>831</v>
      </c>
      <c r="I740" s="81"/>
      <c r="J740" s="10">
        <f>'Messages Dictionary'!J148</f>
        <v>0.5</v>
      </c>
      <c r="K740" s="81"/>
      <c r="L740" s="29"/>
      <c r="M740" s="29"/>
      <c r="N740" s="23"/>
      <c r="O740" s="23"/>
      <c r="P740" s="23"/>
      <c r="Q740" s="23"/>
      <c r="R740" s="23"/>
      <c r="S740" s="23"/>
      <c r="T740" s="23"/>
      <c r="U740" s="23"/>
      <c r="V740" s="23"/>
      <c r="W740" s="23"/>
      <c r="X740" s="23"/>
      <c r="Y740" s="23"/>
      <c r="Z740" s="23"/>
      <c r="AA740" s="23"/>
      <c r="AB740" s="23"/>
      <c r="AC740" s="23"/>
      <c r="AD740" s="23"/>
      <c r="AE740" s="23"/>
      <c r="AF740" s="23"/>
      <c r="AG740" s="23"/>
      <c r="AH740" s="23"/>
      <c r="AI740" s="23"/>
      <c r="AJ740" s="23"/>
      <c r="AK740" s="23"/>
      <c r="AL740" s="23"/>
      <c r="AM740" s="23"/>
      <c r="AN740" s="23"/>
      <c r="AO740" s="23"/>
      <c r="AP740" s="23"/>
      <c r="AQ740" s="23"/>
      <c r="AR740" s="23"/>
      <c r="AS740" s="23">
        <f t="shared" si="12"/>
        <v>0</v>
      </c>
    </row>
    <row r="741" spans="1:45" s="27" customFormat="1" ht="28.5" hidden="1" x14ac:dyDescent="0.2">
      <c r="A741" s="28">
        <v>1151</v>
      </c>
      <c r="B741" s="9" t="s">
        <v>639</v>
      </c>
      <c r="C741" s="9" t="s">
        <v>868</v>
      </c>
      <c r="D741" s="9" t="s">
        <v>821</v>
      </c>
      <c r="E741" s="9" t="s">
        <v>837</v>
      </c>
      <c r="F741" s="9" t="s">
        <v>199</v>
      </c>
      <c r="G741" s="9" t="s">
        <v>412</v>
      </c>
      <c r="H741" s="9" t="s">
        <v>831</v>
      </c>
      <c r="I741" s="81"/>
      <c r="J741" s="10">
        <f>'Messages Dictionary'!J149</f>
        <v>0.5</v>
      </c>
      <c r="K741" s="81"/>
      <c r="L741" s="29"/>
      <c r="M741" s="29"/>
      <c r="N741" s="23"/>
      <c r="O741" s="23"/>
      <c r="P741" s="23"/>
      <c r="Q741" s="23"/>
      <c r="R741" s="23"/>
      <c r="S741" s="23"/>
      <c r="T741" s="23"/>
      <c r="U741" s="23"/>
      <c r="V741" s="23"/>
      <c r="W741" s="23"/>
      <c r="X741" s="23"/>
      <c r="Y741" s="23"/>
      <c r="Z741" s="23"/>
      <c r="AA741" s="23"/>
      <c r="AB741" s="23"/>
      <c r="AC741" s="23"/>
      <c r="AD741" s="23"/>
      <c r="AE741" s="23"/>
      <c r="AF741" s="23"/>
      <c r="AG741" s="23"/>
      <c r="AH741" s="23"/>
      <c r="AI741" s="23"/>
      <c r="AJ741" s="23"/>
      <c r="AK741" s="23"/>
      <c r="AL741" s="23"/>
      <c r="AM741" s="23"/>
      <c r="AN741" s="23"/>
      <c r="AO741" s="23"/>
      <c r="AP741" s="23"/>
      <c r="AQ741" s="23"/>
      <c r="AR741" s="23"/>
      <c r="AS741" s="23">
        <f t="shared" si="12"/>
        <v>0</v>
      </c>
    </row>
    <row r="742" spans="1:45" s="27" customFormat="1" ht="28.5" hidden="1" x14ac:dyDescent="0.2">
      <c r="A742" s="28">
        <v>1152</v>
      </c>
      <c r="B742" s="9" t="s">
        <v>867</v>
      </c>
      <c r="C742" s="9" t="s">
        <v>868</v>
      </c>
      <c r="D742" s="9" t="s">
        <v>821</v>
      </c>
      <c r="E742" s="9" t="s">
        <v>837</v>
      </c>
      <c r="F742" s="9" t="s">
        <v>199</v>
      </c>
      <c r="G742" s="9" t="s">
        <v>412</v>
      </c>
      <c r="H742" s="9" t="s">
        <v>831</v>
      </c>
      <c r="I742" s="81"/>
      <c r="J742" s="10">
        <f>'Messages Dictionary'!J150</f>
        <v>0.5</v>
      </c>
      <c r="K742" s="81"/>
      <c r="L742" s="29"/>
      <c r="M742" s="29"/>
      <c r="N742" s="23"/>
      <c r="O742" s="23"/>
      <c r="P742" s="23"/>
      <c r="Q742" s="23"/>
      <c r="R742" s="23"/>
      <c r="S742" s="23"/>
      <c r="T742" s="23"/>
      <c r="U742" s="23"/>
      <c r="V742" s="23"/>
      <c r="W742" s="23"/>
      <c r="X742" s="23"/>
      <c r="Y742" s="23"/>
      <c r="Z742" s="23"/>
      <c r="AA742" s="23"/>
      <c r="AB742" s="23"/>
      <c r="AC742" s="23"/>
      <c r="AD742" s="23"/>
      <c r="AE742" s="23"/>
      <c r="AF742" s="23"/>
      <c r="AG742" s="23"/>
      <c r="AH742" s="23"/>
      <c r="AI742" s="23"/>
      <c r="AJ742" s="23"/>
      <c r="AK742" s="23"/>
      <c r="AL742" s="23"/>
      <c r="AM742" s="23"/>
      <c r="AN742" s="23"/>
      <c r="AO742" s="23"/>
      <c r="AP742" s="23"/>
      <c r="AQ742" s="23"/>
      <c r="AR742" s="23"/>
      <c r="AS742" s="23">
        <f t="shared" si="12"/>
        <v>0</v>
      </c>
    </row>
    <row r="743" spans="1:45" s="27" customFormat="1" ht="28.5" hidden="1" x14ac:dyDescent="0.2">
      <c r="A743" s="28">
        <v>1153</v>
      </c>
      <c r="B743" s="9" t="s">
        <v>869</v>
      </c>
      <c r="C743" s="9" t="s">
        <v>868</v>
      </c>
      <c r="D743" s="9" t="s">
        <v>821</v>
      </c>
      <c r="E743" s="9" t="s">
        <v>837</v>
      </c>
      <c r="F743" s="9" t="s">
        <v>199</v>
      </c>
      <c r="G743" s="9" t="s">
        <v>412</v>
      </c>
      <c r="H743" s="9" t="s">
        <v>831</v>
      </c>
      <c r="I743" s="81"/>
      <c r="J743" s="10">
        <f>'Messages Dictionary'!J151</f>
        <v>0.5</v>
      </c>
      <c r="K743" s="81"/>
      <c r="L743" s="29"/>
      <c r="M743" s="29"/>
      <c r="N743" s="23"/>
      <c r="O743" s="23"/>
      <c r="P743" s="23"/>
      <c r="Q743" s="23"/>
      <c r="R743" s="23"/>
      <c r="S743" s="23"/>
      <c r="T743" s="23"/>
      <c r="U743" s="23"/>
      <c r="V743" s="23"/>
      <c r="W743" s="23"/>
      <c r="X743" s="23"/>
      <c r="Y743" s="23"/>
      <c r="Z743" s="23"/>
      <c r="AA743" s="23"/>
      <c r="AB743" s="23"/>
      <c r="AC743" s="23"/>
      <c r="AD743" s="23"/>
      <c r="AE743" s="23"/>
      <c r="AF743" s="23"/>
      <c r="AG743" s="23"/>
      <c r="AH743" s="23"/>
      <c r="AI743" s="23"/>
      <c r="AJ743" s="23"/>
      <c r="AK743" s="23"/>
      <c r="AL743" s="23"/>
      <c r="AM743" s="23"/>
      <c r="AN743" s="23"/>
      <c r="AO743" s="23"/>
      <c r="AP743" s="23"/>
      <c r="AQ743" s="23"/>
      <c r="AR743" s="23"/>
      <c r="AS743" s="23">
        <f t="shared" si="12"/>
        <v>0</v>
      </c>
    </row>
    <row r="744" spans="1:45" s="27" customFormat="1" ht="28.5" hidden="1" x14ac:dyDescent="0.2">
      <c r="A744" s="28">
        <v>1154</v>
      </c>
      <c r="B744" s="9" t="s">
        <v>870</v>
      </c>
      <c r="C744" s="9" t="s">
        <v>868</v>
      </c>
      <c r="D744" s="9" t="s">
        <v>821</v>
      </c>
      <c r="E744" s="9" t="s">
        <v>837</v>
      </c>
      <c r="F744" s="9" t="s">
        <v>199</v>
      </c>
      <c r="G744" s="9" t="s">
        <v>412</v>
      </c>
      <c r="H744" s="9" t="s">
        <v>831</v>
      </c>
      <c r="I744" s="81"/>
      <c r="J744" s="10">
        <f>'Messages Dictionary'!J152</f>
        <v>0.5</v>
      </c>
      <c r="K744" s="81"/>
      <c r="L744" s="29"/>
      <c r="M744" s="29"/>
      <c r="N744" s="23"/>
      <c r="O744" s="23"/>
      <c r="P744" s="23"/>
      <c r="Q744" s="23"/>
      <c r="R744" s="23"/>
      <c r="S744" s="23"/>
      <c r="T744" s="23"/>
      <c r="U744" s="23"/>
      <c r="V744" s="23"/>
      <c r="W744" s="23"/>
      <c r="X744" s="23"/>
      <c r="Y744" s="23"/>
      <c r="Z744" s="23"/>
      <c r="AA744" s="23"/>
      <c r="AB744" s="23"/>
      <c r="AC744" s="23"/>
      <c r="AD744" s="23"/>
      <c r="AE744" s="23"/>
      <c r="AF744" s="23"/>
      <c r="AG744" s="23"/>
      <c r="AH744" s="23"/>
      <c r="AI744" s="23"/>
      <c r="AJ744" s="23"/>
      <c r="AK744" s="23"/>
      <c r="AL744" s="23"/>
      <c r="AM744" s="23"/>
      <c r="AN744" s="23"/>
      <c r="AO744" s="23"/>
      <c r="AP744" s="23"/>
      <c r="AQ744" s="23"/>
      <c r="AR744" s="23"/>
      <c r="AS744" s="23">
        <f t="shared" si="12"/>
        <v>0</v>
      </c>
    </row>
    <row r="745" spans="1:45" s="27" customFormat="1" ht="28.5" hidden="1" x14ac:dyDescent="0.2">
      <c r="A745" s="28">
        <v>1155</v>
      </c>
      <c r="B745" s="9" t="s">
        <v>871</v>
      </c>
      <c r="C745" s="9" t="s">
        <v>868</v>
      </c>
      <c r="D745" s="9" t="s">
        <v>860</v>
      </c>
      <c r="E745" s="9" t="s">
        <v>861</v>
      </c>
      <c r="F745" s="9" t="s">
        <v>199</v>
      </c>
      <c r="G745" s="9" t="s">
        <v>412</v>
      </c>
      <c r="H745" s="9" t="s">
        <v>831</v>
      </c>
      <c r="I745" s="81"/>
      <c r="J745" s="10">
        <f>'Messages Dictionary'!J153</f>
        <v>0.5</v>
      </c>
      <c r="K745" s="81"/>
      <c r="L745" s="29"/>
      <c r="M745" s="29"/>
      <c r="N745" s="23"/>
      <c r="O745" s="23"/>
      <c r="P745" s="23"/>
      <c r="Q745" s="23"/>
      <c r="R745" s="23"/>
      <c r="S745" s="23"/>
      <c r="T745" s="23"/>
      <c r="U745" s="23"/>
      <c r="V745" s="23"/>
      <c r="W745" s="23"/>
      <c r="X745" s="23"/>
      <c r="Y745" s="23"/>
      <c r="Z745" s="23"/>
      <c r="AA745" s="23"/>
      <c r="AB745" s="23"/>
      <c r="AC745" s="23"/>
      <c r="AD745" s="23"/>
      <c r="AE745" s="23"/>
      <c r="AF745" s="23"/>
      <c r="AG745" s="23"/>
      <c r="AH745" s="23"/>
      <c r="AI745" s="23"/>
      <c r="AJ745" s="23"/>
      <c r="AK745" s="23"/>
      <c r="AL745" s="23"/>
      <c r="AM745" s="23"/>
      <c r="AN745" s="23"/>
      <c r="AO745" s="23"/>
      <c r="AP745" s="23"/>
      <c r="AQ745" s="23"/>
      <c r="AR745" s="23"/>
      <c r="AS745" s="23">
        <f t="shared" si="12"/>
        <v>0</v>
      </c>
    </row>
    <row r="746" spans="1:45" s="27" customFormat="1" ht="28.5" hidden="1" x14ac:dyDescent="0.2">
      <c r="A746" s="28">
        <v>1156</v>
      </c>
      <c r="B746" s="9" t="s">
        <v>872</v>
      </c>
      <c r="C746" s="9" t="s">
        <v>868</v>
      </c>
      <c r="D746" s="9" t="s">
        <v>863</v>
      </c>
      <c r="E746" s="9" t="s">
        <v>864</v>
      </c>
      <c r="F746" s="9" t="s">
        <v>199</v>
      </c>
      <c r="G746" s="9" t="s">
        <v>412</v>
      </c>
      <c r="H746" s="9" t="s">
        <v>831</v>
      </c>
      <c r="I746" s="81"/>
      <c r="J746" s="10">
        <f>'Messages Dictionary'!J154</f>
        <v>0.5</v>
      </c>
      <c r="K746" s="81"/>
      <c r="L746" s="29"/>
      <c r="M746" s="29"/>
      <c r="N746" s="23"/>
      <c r="O746" s="23"/>
      <c r="P746" s="23"/>
      <c r="Q746" s="23"/>
      <c r="R746" s="23"/>
      <c r="S746" s="23"/>
      <c r="T746" s="23"/>
      <c r="U746" s="23"/>
      <c r="V746" s="23"/>
      <c r="W746" s="23"/>
      <c r="X746" s="23"/>
      <c r="Y746" s="23"/>
      <c r="Z746" s="23"/>
      <c r="AA746" s="23"/>
      <c r="AB746" s="23"/>
      <c r="AC746" s="23"/>
      <c r="AD746" s="23"/>
      <c r="AE746" s="23"/>
      <c r="AF746" s="23"/>
      <c r="AG746" s="23"/>
      <c r="AH746" s="23"/>
      <c r="AI746" s="23"/>
      <c r="AJ746" s="23"/>
      <c r="AK746" s="23"/>
      <c r="AL746" s="23"/>
      <c r="AM746" s="23"/>
      <c r="AN746" s="23"/>
      <c r="AO746" s="23"/>
      <c r="AP746" s="23"/>
      <c r="AQ746" s="23"/>
      <c r="AR746" s="23"/>
      <c r="AS746" s="23">
        <f t="shared" si="12"/>
        <v>0</v>
      </c>
    </row>
    <row r="747" spans="1:45" s="27" customFormat="1" ht="28.5" hidden="1" x14ac:dyDescent="0.2">
      <c r="A747" s="28">
        <v>1157</v>
      </c>
      <c r="B747" s="9" t="s">
        <v>873</v>
      </c>
      <c r="C747" s="9" t="s">
        <v>868</v>
      </c>
      <c r="D747" s="9" t="s">
        <v>828</v>
      </c>
      <c r="E747" s="9" t="s">
        <v>837</v>
      </c>
      <c r="F747" s="9" t="s">
        <v>199</v>
      </c>
      <c r="G747" s="9" t="s">
        <v>412</v>
      </c>
      <c r="H747" s="9" t="s">
        <v>831</v>
      </c>
      <c r="I747" s="81"/>
      <c r="J747" s="10">
        <f>'Messages Dictionary'!J155</f>
        <v>0.5</v>
      </c>
      <c r="K747" s="81"/>
      <c r="L747" s="29"/>
      <c r="M747" s="29"/>
      <c r="N747" s="23"/>
      <c r="O747" s="23"/>
      <c r="P747" s="23"/>
      <c r="Q747" s="23"/>
      <c r="R747" s="23"/>
      <c r="S747" s="23"/>
      <c r="T747" s="23"/>
      <c r="U747" s="23"/>
      <c r="V747" s="23"/>
      <c r="W747" s="23"/>
      <c r="X747" s="23"/>
      <c r="Y747" s="23"/>
      <c r="Z747" s="23"/>
      <c r="AA747" s="23"/>
      <c r="AB747" s="23"/>
      <c r="AC747" s="23"/>
      <c r="AD747" s="23"/>
      <c r="AE747" s="23"/>
      <c r="AF747" s="23"/>
      <c r="AG747" s="23"/>
      <c r="AH747" s="23"/>
      <c r="AI747" s="23"/>
      <c r="AJ747" s="23"/>
      <c r="AK747" s="23"/>
      <c r="AL747" s="23"/>
      <c r="AM747" s="23"/>
      <c r="AN747" s="23"/>
      <c r="AO747" s="23"/>
      <c r="AP747" s="23"/>
      <c r="AQ747" s="23"/>
      <c r="AR747" s="23"/>
      <c r="AS747" s="23">
        <f t="shared" si="12"/>
        <v>0</v>
      </c>
    </row>
    <row r="748" spans="1:45" s="27" customFormat="1" ht="28.5" hidden="1" x14ac:dyDescent="0.2">
      <c r="A748" s="28">
        <v>1160</v>
      </c>
      <c r="B748" s="9" t="s">
        <v>874</v>
      </c>
      <c r="C748" s="9" t="s">
        <v>875</v>
      </c>
      <c r="D748" s="9" t="s">
        <v>821</v>
      </c>
      <c r="E748" s="9" t="s">
        <v>876</v>
      </c>
      <c r="F748" s="9" t="s">
        <v>199</v>
      </c>
      <c r="G748" s="9" t="s">
        <v>405</v>
      </c>
      <c r="H748" s="9" t="s">
        <v>431</v>
      </c>
      <c r="I748" s="81"/>
      <c r="J748" s="10">
        <f>'Messages Dictionary'!J157</f>
        <v>1</v>
      </c>
      <c r="K748" s="81"/>
      <c r="L748" s="29"/>
      <c r="M748" s="29"/>
      <c r="N748" s="23"/>
      <c r="O748" s="23"/>
      <c r="P748" s="23"/>
      <c r="Q748" s="23"/>
      <c r="R748" s="23"/>
      <c r="S748" s="23"/>
      <c r="T748" s="23"/>
      <c r="U748" s="23"/>
      <c r="V748" s="23"/>
      <c r="W748" s="23"/>
      <c r="X748" s="23"/>
      <c r="Y748" s="23"/>
      <c r="Z748" s="23"/>
      <c r="AA748" s="23"/>
      <c r="AB748" s="23"/>
      <c r="AC748" s="23"/>
      <c r="AD748" s="23"/>
      <c r="AE748" s="23"/>
      <c r="AF748" s="23"/>
      <c r="AG748" s="23"/>
      <c r="AH748" s="23"/>
      <c r="AI748" s="23"/>
      <c r="AJ748" s="23"/>
      <c r="AK748" s="23"/>
      <c r="AL748" s="23"/>
      <c r="AM748" s="23"/>
      <c r="AN748" s="23"/>
      <c r="AO748" s="23"/>
      <c r="AP748" s="23"/>
      <c r="AQ748" s="23"/>
      <c r="AR748" s="23"/>
      <c r="AS748" s="23">
        <f t="shared" si="12"/>
        <v>1</v>
      </c>
    </row>
    <row r="749" spans="1:45" s="27" customFormat="1" ht="28.5" hidden="1" x14ac:dyDescent="0.2">
      <c r="A749" s="28">
        <v>1161</v>
      </c>
      <c r="B749" s="9" t="s">
        <v>877</v>
      </c>
      <c r="C749" s="9" t="s">
        <v>877</v>
      </c>
      <c r="D749" s="9" t="s">
        <v>821</v>
      </c>
      <c r="E749" s="9" t="s">
        <v>876</v>
      </c>
      <c r="F749" s="9" t="s">
        <v>199</v>
      </c>
      <c r="G749" s="9" t="s">
        <v>405</v>
      </c>
      <c r="H749" s="9" t="s">
        <v>431</v>
      </c>
      <c r="I749" s="81"/>
      <c r="J749" s="10">
        <f>'Messages Dictionary'!J158</f>
        <v>1</v>
      </c>
      <c r="K749" s="81"/>
      <c r="L749" s="29"/>
      <c r="M749" s="29"/>
      <c r="N749" s="23"/>
      <c r="O749" s="23"/>
      <c r="P749" s="23"/>
      <c r="Q749" s="23"/>
      <c r="R749" s="23"/>
      <c r="S749" s="23"/>
      <c r="T749" s="23"/>
      <c r="U749" s="23"/>
      <c r="V749" s="23"/>
      <c r="W749" s="23"/>
      <c r="X749" s="23"/>
      <c r="Y749" s="23"/>
      <c r="Z749" s="23"/>
      <c r="AA749" s="23"/>
      <c r="AB749" s="23"/>
      <c r="AC749" s="23"/>
      <c r="AD749" s="23"/>
      <c r="AE749" s="23"/>
      <c r="AF749" s="23"/>
      <c r="AG749" s="23"/>
      <c r="AH749" s="23"/>
      <c r="AI749" s="23"/>
      <c r="AJ749" s="23"/>
      <c r="AK749" s="23"/>
      <c r="AL749" s="23"/>
      <c r="AM749" s="23"/>
      <c r="AN749" s="23"/>
      <c r="AO749" s="23"/>
      <c r="AP749" s="23"/>
      <c r="AQ749" s="23"/>
      <c r="AR749" s="23"/>
      <c r="AS749" s="23">
        <f t="shared" si="12"/>
        <v>0</v>
      </c>
    </row>
    <row r="750" spans="1:45" s="27" customFormat="1" ht="42.75" hidden="1" x14ac:dyDescent="0.2">
      <c r="A750" s="28">
        <v>1165</v>
      </c>
      <c r="B750" s="9" t="s">
        <v>878</v>
      </c>
      <c r="C750" s="9" t="s">
        <v>879</v>
      </c>
      <c r="D750" s="9" t="s">
        <v>821</v>
      </c>
      <c r="E750" s="9" t="s">
        <v>876</v>
      </c>
      <c r="F750" s="9" t="s">
        <v>199</v>
      </c>
      <c r="G750" s="9" t="s">
        <v>405</v>
      </c>
      <c r="H750" s="9" t="s">
        <v>431</v>
      </c>
      <c r="I750" s="81"/>
      <c r="J750" s="10">
        <f>'Messages Dictionary'!J159</f>
        <v>1</v>
      </c>
      <c r="K750" s="81"/>
      <c r="L750" s="29"/>
      <c r="M750" s="29"/>
      <c r="N750" s="23"/>
      <c r="O750" s="23"/>
      <c r="P750" s="23"/>
      <c r="Q750" s="23"/>
      <c r="R750" s="23"/>
      <c r="S750" s="23"/>
      <c r="T750" s="23"/>
      <c r="U750" s="23"/>
      <c r="V750" s="23"/>
      <c r="W750" s="23"/>
      <c r="X750" s="23"/>
      <c r="Y750" s="23"/>
      <c r="Z750" s="23"/>
      <c r="AA750" s="23"/>
      <c r="AB750" s="23"/>
      <c r="AC750" s="23"/>
      <c r="AD750" s="23"/>
      <c r="AE750" s="23"/>
      <c r="AF750" s="23"/>
      <c r="AG750" s="23"/>
      <c r="AH750" s="23"/>
      <c r="AI750" s="23"/>
      <c r="AJ750" s="23"/>
      <c r="AK750" s="23"/>
      <c r="AL750" s="23"/>
      <c r="AM750" s="23"/>
      <c r="AN750" s="23"/>
      <c r="AO750" s="23"/>
      <c r="AP750" s="23"/>
      <c r="AQ750" s="23"/>
      <c r="AR750" s="23"/>
      <c r="AS750" s="23">
        <f t="shared" si="12"/>
        <v>0</v>
      </c>
    </row>
    <row r="751" spans="1:45" s="27" customFormat="1" ht="57" hidden="1" x14ac:dyDescent="0.2">
      <c r="A751" s="28">
        <v>1166</v>
      </c>
      <c r="B751" s="9" t="s">
        <v>444</v>
      </c>
      <c r="C751" s="9" t="s">
        <v>445</v>
      </c>
      <c r="D751" s="9" t="s">
        <v>821</v>
      </c>
      <c r="E751" s="9" t="s">
        <v>876</v>
      </c>
      <c r="F751" s="9" t="s">
        <v>199</v>
      </c>
      <c r="G751" s="9" t="s">
        <v>405</v>
      </c>
      <c r="H751" s="9" t="s">
        <v>431</v>
      </c>
      <c r="I751" s="81"/>
      <c r="J751" s="10">
        <f>'Messages Dictionary'!J160</f>
        <v>0.5</v>
      </c>
      <c r="K751" s="81"/>
      <c r="L751" s="29"/>
      <c r="M751" s="29"/>
      <c r="N751" s="23"/>
      <c r="O751" s="23"/>
      <c r="P751" s="23"/>
      <c r="Q751" s="23"/>
      <c r="R751" s="23"/>
      <c r="S751" s="23"/>
      <c r="T751" s="23"/>
      <c r="U751" s="23"/>
      <c r="V751" s="23"/>
      <c r="W751" s="23"/>
      <c r="X751" s="23"/>
      <c r="Y751" s="23"/>
      <c r="Z751" s="23"/>
      <c r="AA751" s="23"/>
      <c r="AB751" s="23"/>
      <c r="AC751" s="23"/>
      <c r="AD751" s="23"/>
      <c r="AE751" s="23"/>
      <c r="AF751" s="23"/>
      <c r="AG751" s="23"/>
      <c r="AH751" s="23"/>
      <c r="AI751" s="23"/>
      <c r="AJ751" s="23"/>
      <c r="AK751" s="23"/>
      <c r="AL751" s="23"/>
      <c r="AM751" s="23"/>
      <c r="AN751" s="23"/>
      <c r="AO751" s="23"/>
      <c r="AP751" s="23"/>
      <c r="AQ751" s="23"/>
      <c r="AR751" s="23"/>
      <c r="AS751" s="23">
        <f t="shared" si="12"/>
        <v>0</v>
      </c>
    </row>
    <row r="752" spans="1:45" s="27" customFormat="1" ht="57" hidden="1" x14ac:dyDescent="0.2">
      <c r="A752" s="28">
        <v>1170</v>
      </c>
      <c r="B752" s="9" t="s">
        <v>880</v>
      </c>
      <c r="C752" s="9" t="s">
        <v>881</v>
      </c>
      <c r="D752" s="9" t="s">
        <v>404</v>
      </c>
      <c r="E752" s="9" t="s">
        <v>404</v>
      </c>
      <c r="F752" s="9" t="s">
        <v>199</v>
      </c>
      <c r="G752" s="9" t="s">
        <v>412</v>
      </c>
      <c r="H752" s="9" t="s">
        <v>831</v>
      </c>
      <c r="I752" s="81"/>
      <c r="J752" s="10">
        <f>'Messages Dictionary'!J161</f>
        <v>0.5</v>
      </c>
      <c r="K752" s="81"/>
      <c r="L752" s="29"/>
      <c r="M752" s="29"/>
      <c r="N752" s="23"/>
      <c r="O752" s="23"/>
      <c r="P752" s="23"/>
      <c r="Q752" s="23"/>
      <c r="R752" s="23"/>
      <c r="S752" s="23"/>
      <c r="T752" s="23"/>
      <c r="U752" s="23"/>
      <c r="V752" s="23"/>
      <c r="W752" s="23"/>
      <c r="X752" s="23"/>
      <c r="Y752" s="23"/>
      <c r="Z752" s="23"/>
      <c r="AA752" s="23"/>
      <c r="AB752" s="23"/>
      <c r="AC752" s="23"/>
      <c r="AD752" s="23"/>
      <c r="AE752" s="23"/>
      <c r="AF752" s="23"/>
      <c r="AG752" s="23"/>
      <c r="AH752" s="23"/>
      <c r="AI752" s="23"/>
      <c r="AJ752" s="23"/>
      <c r="AK752" s="23"/>
      <c r="AL752" s="23"/>
      <c r="AM752" s="23"/>
      <c r="AN752" s="23"/>
      <c r="AO752" s="23"/>
      <c r="AP752" s="23"/>
      <c r="AQ752" s="23"/>
      <c r="AR752" s="23"/>
      <c r="AS752" s="23">
        <f t="shared" si="12"/>
        <v>0</v>
      </c>
    </row>
    <row r="753" spans="1:45" s="27" customFormat="1" ht="42.75" hidden="1" x14ac:dyDescent="0.2">
      <c r="A753" s="28">
        <v>1175</v>
      </c>
      <c r="B753" s="9" t="s">
        <v>882</v>
      </c>
      <c r="C753" s="9" t="s">
        <v>883</v>
      </c>
      <c r="D753" s="9" t="s">
        <v>842</v>
      </c>
      <c r="E753" s="9" t="s">
        <v>842</v>
      </c>
      <c r="F753" s="9" t="s">
        <v>199</v>
      </c>
      <c r="G753" s="9" t="s">
        <v>412</v>
      </c>
      <c r="H753" s="9" t="s">
        <v>831</v>
      </c>
      <c r="I753" s="81"/>
      <c r="J753" s="10">
        <f>'Messages Dictionary'!J162</f>
        <v>0.5</v>
      </c>
      <c r="K753" s="81"/>
      <c r="L753" s="29"/>
      <c r="M753" s="29"/>
      <c r="N753" s="23"/>
      <c r="O753" s="23"/>
      <c r="P753" s="23"/>
      <c r="Q753" s="23"/>
      <c r="R753" s="23"/>
      <c r="S753" s="23"/>
      <c r="T753" s="23"/>
      <c r="U753" s="23"/>
      <c r="V753" s="23"/>
      <c r="W753" s="23"/>
      <c r="X753" s="23"/>
      <c r="Y753" s="23"/>
      <c r="Z753" s="23"/>
      <c r="AA753" s="23"/>
      <c r="AB753" s="23"/>
      <c r="AC753" s="23"/>
      <c r="AD753" s="23"/>
      <c r="AE753" s="23"/>
      <c r="AF753" s="23"/>
      <c r="AG753" s="23"/>
      <c r="AH753" s="23"/>
      <c r="AI753" s="23"/>
      <c r="AJ753" s="23"/>
      <c r="AK753" s="23"/>
      <c r="AL753" s="23"/>
      <c r="AM753" s="23"/>
      <c r="AN753" s="23"/>
      <c r="AO753" s="23"/>
      <c r="AP753" s="23"/>
      <c r="AQ753" s="23"/>
      <c r="AR753" s="23"/>
      <c r="AS753" s="23">
        <f t="shared" si="12"/>
        <v>0</v>
      </c>
    </row>
    <row r="754" spans="1:45" s="27" customFormat="1" ht="42.75" hidden="1" x14ac:dyDescent="0.2">
      <c r="A754" s="28">
        <v>1176</v>
      </c>
      <c r="B754" s="9" t="s">
        <v>884</v>
      </c>
      <c r="C754" s="9" t="s">
        <v>883</v>
      </c>
      <c r="D754" s="9" t="s">
        <v>842</v>
      </c>
      <c r="E754" s="9" t="s">
        <v>842</v>
      </c>
      <c r="F754" s="9" t="s">
        <v>199</v>
      </c>
      <c r="G754" s="9" t="s">
        <v>412</v>
      </c>
      <c r="H754" s="9" t="s">
        <v>831</v>
      </c>
      <c r="I754" s="81"/>
      <c r="J754" s="10">
        <f>'Messages Dictionary'!J163</f>
        <v>0.5</v>
      </c>
      <c r="K754" s="81"/>
      <c r="L754" s="29"/>
      <c r="M754" s="29"/>
      <c r="N754" s="23"/>
      <c r="O754" s="23"/>
      <c r="P754" s="23"/>
      <c r="Q754" s="23"/>
      <c r="R754" s="23"/>
      <c r="S754" s="23"/>
      <c r="T754" s="23"/>
      <c r="U754" s="23"/>
      <c r="V754" s="23"/>
      <c r="W754" s="23"/>
      <c r="X754" s="23"/>
      <c r="Y754" s="23"/>
      <c r="Z754" s="23"/>
      <c r="AA754" s="23"/>
      <c r="AB754" s="23"/>
      <c r="AC754" s="23"/>
      <c r="AD754" s="23"/>
      <c r="AE754" s="23"/>
      <c r="AF754" s="23"/>
      <c r="AG754" s="23"/>
      <c r="AH754" s="23"/>
      <c r="AI754" s="23"/>
      <c r="AJ754" s="23"/>
      <c r="AK754" s="23"/>
      <c r="AL754" s="23"/>
      <c r="AM754" s="23"/>
      <c r="AN754" s="23"/>
      <c r="AO754" s="23"/>
      <c r="AP754" s="23"/>
      <c r="AQ754" s="23"/>
      <c r="AR754" s="23"/>
      <c r="AS754" s="23">
        <f t="shared" si="12"/>
        <v>0</v>
      </c>
    </row>
    <row r="755" spans="1:45" s="27" customFormat="1" ht="42.75" hidden="1" x14ac:dyDescent="0.2">
      <c r="A755" s="28">
        <v>1177</v>
      </c>
      <c r="B755" s="9" t="s">
        <v>885</v>
      </c>
      <c r="C755" s="9" t="s">
        <v>883</v>
      </c>
      <c r="D755" s="9" t="s">
        <v>842</v>
      </c>
      <c r="E755" s="9" t="s">
        <v>842</v>
      </c>
      <c r="F755" s="9" t="s">
        <v>199</v>
      </c>
      <c r="G755" s="9" t="s">
        <v>412</v>
      </c>
      <c r="H755" s="9" t="s">
        <v>831</v>
      </c>
      <c r="I755" s="81"/>
      <c r="J755" s="10">
        <f>'Messages Dictionary'!J164</f>
        <v>0.5</v>
      </c>
      <c r="K755" s="81"/>
      <c r="L755" s="29"/>
      <c r="M755" s="29"/>
      <c r="N755" s="23"/>
      <c r="O755" s="23"/>
      <c r="P755" s="23"/>
      <c r="Q755" s="23"/>
      <c r="R755" s="23"/>
      <c r="S755" s="23"/>
      <c r="T755" s="23"/>
      <c r="U755" s="23"/>
      <c r="V755" s="23"/>
      <c r="W755" s="23"/>
      <c r="X755" s="23"/>
      <c r="Y755" s="23"/>
      <c r="Z755" s="23"/>
      <c r="AA755" s="23"/>
      <c r="AB755" s="23"/>
      <c r="AC755" s="23"/>
      <c r="AD755" s="23"/>
      <c r="AE755" s="23"/>
      <c r="AF755" s="23"/>
      <c r="AG755" s="23"/>
      <c r="AH755" s="23"/>
      <c r="AI755" s="23"/>
      <c r="AJ755" s="23"/>
      <c r="AK755" s="23"/>
      <c r="AL755" s="23"/>
      <c r="AM755" s="23"/>
      <c r="AN755" s="23"/>
      <c r="AO755" s="23"/>
      <c r="AP755" s="23"/>
      <c r="AQ755" s="23"/>
      <c r="AR755" s="23"/>
      <c r="AS755" s="23">
        <f t="shared" si="12"/>
        <v>0</v>
      </c>
    </row>
    <row r="756" spans="1:45" s="27" customFormat="1" ht="28.5" hidden="1" x14ac:dyDescent="0.2">
      <c r="A756" s="28">
        <v>1178</v>
      </c>
      <c r="B756" s="9" t="s">
        <v>886</v>
      </c>
      <c r="C756" s="9"/>
      <c r="D756" s="9" t="s">
        <v>842</v>
      </c>
      <c r="E756" s="9" t="s">
        <v>842</v>
      </c>
      <c r="F756" s="9" t="s">
        <v>199</v>
      </c>
      <c r="G756" s="9" t="s">
        <v>809</v>
      </c>
      <c r="H756" s="9" t="s">
        <v>831</v>
      </c>
      <c r="I756" s="81"/>
      <c r="J756" s="10">
        <f>'Messages Dictionary'!J165</f>
        <v>0</v>
      </c>
      <c r="K756" s="81"/>
      <c r="L756" s="29"/>
      <c r="M756" s="29"/>
      <c r="N756" s="23"/>
      <c r="O756" s="23"/>
      <c r="P756" s="23"/>
      <c r="Q756" s="23"/>
      <c r="R756" s="23"/>
      <c r="S756" s="23"/>
      <c r="T756" s="23"/>
      <c r="U756" s="23"/>
      <c r="V756" s="23"/>
      <c r="W756" s="23"/>
      <c r="X756" s="23"/>
      <c r="Y756" s="23"/>
      <c r="Z756" s="23"/>
      <c r="AA756" s="23"/>
      <c r="AB756" s="23"/>
      <c r="AC756" s="23"/>
      <c r="AD756" s="23"/>
      <c r="AE756" s="23"/>
      <c r="AF756" s="23"/>
      <c r="AG756" s="23"/>
      <c r="AH756" s="23"/>
      <c r="AI756" s="23"/>
      <c r="AJ756" s="23"/>
      <c r="AK756" s="23"/>
      <c r="AL756" s="23"/>
      <c r="AM756" s="23"/>
      <c r="AN756" s="23"/>
      <c r="AO756" s="23"/>
      <c r="AP756" s="23"/>
      <c r="AQ756" s="23"/>
      <c r="AR756" s="23"/>
      <c r="AS756" s="23">
        <f t="shared" si="12"/>
        <v>0</v>
      </c>
    </row>
    <row r="757" spans="1:45" s="27" customFormat="1" ht="42.75" hidden="1" x14ac:dyDescent="0.2">
      <c r="A757" s="28">
        <v>1180</v>
      </c>
      <c r="B757" s="9" t="s">
        <v>887</v>
      </c>
      <c r="C757" s="9" t="s">
        <v>888</v>
      </c>
      <c r="D757" s="9" t="s">
        <v>842</v>
      </c>
      <c r="E757" s="9" t="s">
        <v>842</v>
      </c>
      <c r="F757" s="9" t="s">
        <v>199</v>
      </c>
      <c r="G757" s="9" t="s">
        <v>405</v>
      </c>
      <c r="H757" s="9" t="s">
        <v>426</v>
      </c>
      <c r="I757" s="81"/>
      <c r="J757" s="10">
        <f>'Messages Dictionary'!J166</f>
        <v>1</v>
      </c>
      <c r="K757" s="81"/>
      <c r="L757" s="29"/>
      <c r="M757" s="29"/>
      <c r="N757" s="23"/>
      <c r="O757" s="23"/>
      <c r="P757" s="23"/>
      <c r="Q757" s="23"/>
      <c r="R757" s="23"/>
      <c r="S757" s="23"/>
      <c r="T757" s="23"/>
      <c r="U757" s="23"/>
      <c r="V757" s="23"/>
      <c r="W757" s="23"/>
      <c r="X757" s="23"/>
      <c r="Y757" s="23"/>
      <c r="Z757" s="23"/>
      <c r="AA757" s="23"/>
      <c r="AB757" s="23"/>
      <c r="AC757" s="23"/>
      <c r="AD757" s="23"/>
      <c r="AE757" s="23"/>
      <c r="AF757" s="23"/>
      <c r="AG757" s="23"/>
      <c r="AH757" s="23"/>
      <c r="AI757" s="23"/>
      <c r="AJ757" s="23"/>
      <c r="AK757" s="23"/>
      <c r="AL757" s="23"/>
      <c r="AM757" s="23"/>
      <c r="AN757" s="23"/>
      <c r="AO757" s="23"/>
      <c r="AP757" s="23"/>
      <c r="AQ757" s="23"/>
      <c r="AR757" s="23"/>
      <c r="AS757" s="23">
        <f t="shared" si="12"/>
        <v>0</v>
      </c>
    </row>
    <row r="758" spans="1:45" s="27" customFormat="1" ht="42.75" hidden="1" x14ac:dyDescent="0.2">
      <c r="A758" s="28">
        <v>1181</v>
      </c>
      <c r="B758" s="9" t="s">
        <v>889</v>
      </c>
      <c r="C758" s="9" t="s">
        <v>888</v>
      </c>
      <c r="D758" s="9" t="s">
        <v>842</v>
      </c>
      <c r="E758" s="9" t="s">
        <v>842</v>
      </c>
      <c r="F758" s="9" t="s">
        <v>199</v>
      </c>
      <c r="G758" s="9" t="s">
        <v>412</v>
      </c>
      <c r="H758" s="9" t="s">
        <v>831</v>
      </c>
      <c r="I758" s="81"/>
      <c r="J758" s="10">
        <f>'Messages Dictionary'!J167</f>
        <v>1</v>
      </c>
      <c r="K758" s="81"/>
      <c r="L758" s="29"/>
      <c r="M758" s="29"/>
      <c r="N758" s="23"/>
      <c r="O758" s="23"/>
      <c r="P758" s="23"/>
      <c r="Q758" s="23"/>
      <c r="R758" s="23"/>
      <c r="S758" s="23"/>
      <c r="T758" s="23"/>
      <c r="U758" s="23"/>
      <c r="V758" s="23"/>
      <c r="W758" s="23"/>
      <c r="X758" s="23"/>
      <c r="Y758" s="23"/>
      <c r="Z758" s="23"/>
      <c r="AA758" s="23"/>
      <c r="AB758" s="23"/>
      <c r="AC758" s="23"/>
      <c r="AD758" s="23"/>
      <c r="AE758" s="23"/>
      <c r="AF758" s="23"/>
      <c r="AG758" s="23"/>
      <c r="AH758" s="23"/>
      <c r="AI758" s="23"/>
      <c r="AJ758" s="23"/>
      <c r="AK758" s="23"/>
      <c r="AL758" s="23"/>
      <c r="AM758" s="23"/>
      <c r="AN758" s="23"/>
      <c r="AO758" s="23"/>
      <c r="AP758" s="23"/>
      <c r="AQ758" s="23"/>
      <c r="AR758" s="23"/>
      <c r="AS758" s="23">
        <f t="shared" si="12"/>
        <v>0</v>
      </c>
    </row>
    <row r="759" spans="1:45" s="27" customFormat="1" ht="42.75" hidden="1" x14ac:dyDescent="0.2">
      <c r="A759" s="28">
        <v>1182</v>
      </c>
      <c r="B759" s="9" t="s">
        <v>0</v>
      </c>
      <c r="C759" s="9" t="s">
        <v>888</v>
      </c>
      <c r="D759" s="9" t="s">
        <v>842</v>
      </c>
      <c r="E759" s="9" t="s">
        <v>842</v>
      </c>
      <c r="F759" s="9" t="s">
        <v>199</v>
      </c>
      <c r="G759" s="9" t="s">
        <v>412</v>
      </c>
      <c r="H759" s="9" t="s">
        <v>831</v>
      </c>
      <c r="I759" s="81"/>
      <c r="J759" s="10">
        <f>'Messages Dictionary'!J168</f>
        <v>1</v>
      </c>
      <c r="K759" s="81"/>
      <c r="L759" s="29"/>
      <c r="M759" s="29"/>
      <c r="N759" s="23"/>
      <c r="O759" s="23"/>
      <c r="P759" s="23"/>
      <c r="Q759" s="23"/>
      <c r="R759" s="23"/>
      <c r="S759" s="23"/>
      <c r="T759" s="23"/>
      <c r="U759" s="23"/>
      <c r="V759" s="23"/>
      <c r="W759" s="23"/>
      <c r="X759" s="23"/>
      <c r="Y759" s="23"/>
      <c r="Z759" s="23"/>
      <c r="AA759" s="23"/>
      <c r="AB759" s="23"/>
      <c r="AC759" s="23"/>
      <c r="AD759" s="23"/>
      <c r="AE759" s="23"/>
      <c r="AF759" s="23"/>
      <c r="AG759" s="23"/>
      <c r="AH759" s="23"/>
      <c r="AI759" s="23"/>
      <c r="AJ759" s="23"/>
      <c r="AK759" s="23"/>
      <c r="AL759" s="23"/>
      <c r="AM759" s="23"/>
      <c r="AN759" s="23"/>
      <c r="AO759" s="23"/>
      <c r="AP759" s="23"/>
      <c r="AQ759" s="23"/>
      <c r="AR759" s="23"/>
      <c r="AS759" s="23">
        <f t="shared" si="12"/>
        <v>0</v>
      </c>
    </row>
    <row r="760" spans="1:45" s="27" customFormat="1" ht="42.75" hidden="1" x14ac:dyDescent="0.2">
      <c r="A760" s="28">
        <v>1183</v>
      </c>
      <c r="B760" s="9" t="s">
        <v>1</v>
      </c>
      <c r="C760" s="9" t="s">
        <v>888</v>
      </c>
      <c r="D760" s="9" t="s">
        <v>842</v>
      </c>
      <c r="E760" s="9" t="s">
        <v>842</v>
      </c>
      <c r="F760" s="9" t="s">
        <v>199</v>
      </c>
      <c r="G760" s="9" t="s">
        <v>809</v>
      </c>
      <c r="H760" s="9" t="s">
        <v>831</v>
      </c>
      <c r="I760" s="81"/>
      <c r="J760" s="10">
        <f>'Messages Dictionary'!J169</f>
        <v>0</v>
      </c>
      <c r="K760" s="81"/>
      <c r="L760" s="29"/>
      <c r="M760" s="29"/>
      <c r="N760" s="23"/>
      <c r="O760" s="23"/>
      <c r="P760" s="23"/>
      <c r="Q760" s="23"/>
      <c r="R760" s="23"/>
      <c r="S760" s="23"/>
      <c r="T760" s="23"/>
      <c r="U760" s="23"/>
      <c r="V760" s="23"/>
      <c r="W760" s="23"/>
      <c r="X760" s="23"/>
      <c r="Y760" s="23"/>
      <c r="Z760" s="23"/>
      <c r="AA760" s="23"/>
      <c r="AB760" s="23"/>
      <c r="AC760" s="23"/>
      <c r="AD760" s="23"/>
      <c r="AE760" s="23"/>
      <c r="AF760" s="23"/>
      <c r="AG760" s="23"/>
      <c r="AH760" s="23"/>
      <c r="AI760" s="23"/>
      <c r="AJ760" s="23"/>
      <c r="AK760" s="23"/>
      <c r="AL760" s="23"/>
      <c r="AM760" s="23"/>
      <c r="AN760" s="23"/>
      <c r="AO760" s="23"/>
      <c r="AP760" s="23"/>
      <c r="AQ760" s="23"/>
      <c r="AR760" s="23"/>
      <c r="AS760" s="23">
        <f t="shared" si="12"/>
        <v>0</v>
      </c>
    </row>
    <row r="761" spans="1:45" s="27" customFormat="1" ht="28.5" hidden="1" x14ac:dyDescent="0.2">
      <c r="A761" s="28">
        <v>1185</v>
      </c>
      <c r="B761" s="9" t="s">
        <v>2</v>
      </c>
      <c r="C761" s="9" t="s">
        <v>3</v>
      </c>
      <c r="D761" s="9" t="s">
        <v>4</v>
      </c>
      <c r="E761" s="9" t="s">
        <v>5</v>
      </c>
      <c r="F761" s="9" t="s">
        <v>199</v>
      </c>
      <c r="G761" s="9" t="s">
        <v>412</v>
      </c>
      <c r="H761" s="9" t="s">
        <v>831</v>
      </c>
      <c r="I761" s="81"/>
      <c r="J761" s="10">
        <f>'Messages Dictionary'!J170</f>
        <v>0.5</v>
      </c>
      <c r="K761" s="81"/>
      <c r="L761" s="29"/>
      <c r="M761" s="29"/>
      <c r="N761" s="23"/>
      <c r="O761" s="23"/>
      <c r="P761" s="23"/>
      <c r="Q761" s="23"/>
      <c r="R761" s="23"/>
      <c r="S761" s="23"/>
      <c r="T761" s="23"/>
      <c r="U761" s="23"/>
      <c r="V761" s="23"/>
      <c r="W761" s="23"/>
      <c r="X761" s="23"/>
      <c r="Y761" s="23"/>
      <c r="Z761" s="23"/>
      <c r="AA761" s="23"/>
      <c r="AB761" s="23"/>
      <c r="AC761" s="23"/>
      <c r="AD761" s="23"/>
      <c r="AE761" s="23"/>
      <c r="AF761" s="23"/>
      <c r="AG761" s="23"/>
      <c r="AH761" s="23"/>
      <c r="AI761" s="23"/>
      <c r="AJ761" s="23"/>
      <c r="AK761" s="23"/>
      <c r="AL761" s="23"/>
      <c r="AM761" s="23"/>
      <c r="AN761" s="23"/>
      <c r="AO761" s="23"/>
      <c r="AP761" s="23"/>
      <c r="AQ761" s="23"/>
      <c r="AR761" s="23"/>
      <c r="AS761" s="23">
        <f t="shared" si="12"/>
        <v>0</v>
      </c>
    </row>
    <row r="762" spans="1:45" s="27" customFormat="1" ht="28.5" hidden="1" x14ac:dyDescent="0.2">
      <c r="A762" s="28">
        <v>1186</v>
      </c>
      <c r="B762" s="9" t="s">
        <v>6</v>
      </c>
      <c r="C762" s="9" t="s">
        <v>3</v>
      </c>
      <c r="D762" s="9" t="s">
        <v>4</v>
      </c>
      <c r="E762" s="9" t="s">
        <v>5</v>
      </c>
      <c r="F762" s="9" t="s">
        <v>199</v>
      </c>
      <c r="G762" s="9" t="s">
        <v>412</v>
      </c>
      <c r="H762" s="9" t="s">
        <v>831</v>
      </c>
      <c r="I762" s="81"/>
      <c r="J762" s="10">
        <f>'Messages Dictionary'!J171</f>
        <v>0.5</v>
      </c>
      <c r="K762" s="81"/>
      <c r="L762" s="29"/>
      <c r="M762" s="29"/>
      <c r="N762" s="23"/>
      <c r="O762" s="23"/>
      <c r="P762" s="23"/>
      <c r="Q762" s="23"/>
      <c r="R762" s="23"/>
      <c r="S762" s="23"/>
      <c r="T762" s="23"/>
      <c r="U762" s="23"/>
      <c r="V762" s="23"/>
      <c r="W762" s="23"/>
      <c r="X762" s="23"/>
      <c r="Y762" s="23"/>
      <c r="Z762" s="23"/>
      <c r="AA762" s="23"/>
      <c r="AB762" s="23"/>
      <c r="AC762" s="23"/>
      <c r="AD762" s="23"/>
      <c r="AE762" s="23"/>
      <c r="AF762" s="23"/>
      <c r="AG762" s="23"/>
      <c r="AH762" s="23"/>
      <c r="AI762" s="23"/>
      <c r="AJ762" s="23"/>
      <c r="AK762" s="23"/>
      <c r="AL762" s="23"/>
      <c r="AM762" s="23"/>
      <c r="AN762" s="23"/>
      <c r="AO762" s="23"/>
      <c r="AP762" s="23"/>
      <c r="AQ762" s="23"/>
      <c r="AR762" s="23"/>
      <c r="AS762" s="23">
        <f t="shared" si="12"/>
        <v>0</v>
      </c>
    </row>
    <row r="763" spans="1:45" s="27" customFormat="1" ht="28.5" hidden="1" x14ac:dyDescent="0.2">
      <c r="A763" s="28">
        <v>1187</v>
      </c>
      <c r="B763" s="9" t="s">
        <v>7</v>
      </c>
      <c r="C763" s="9" t="s">
        <v>3</v>
      </c>
      <c r="D763" s="9" t="s">
        <v>4</v>
      </c>
      <c r="E763" s="9" t="s">
        <v>5</v>
      </c>
      <c r="F763" s="9" t="s">
        <v>199</v>
      </c>
      <c r="G763" s="9" t="s">
        <v>412</v>
      </c>
      <c r="H763" s="9" t="s">
        <v>831</v>
      </c>
      <c r="I763" s="81"/>
      <c r="J763" s="10">
        <f>'Messages Dictionary'!J172</f>
        <v>0.5</v>
      </c>
      <c r="K763" s="81"/>
      <c r="L763" s="29"/>
      <c r="M763" s="29"/>
      <c r="N763" s="23"/>
      <c r="O763" s="23"/>
      <c r="P763" s="23"/>
      <c r="Q763" s="23"/>
      <c r="R763" s="23"/>
      <c r="S763" s="23"/>
      <c r="T763" s="23"/>
      <c r="U763" s="23"/>
      <c r="V763" s="23"/>
      <c r="W763" s="23"/>
      <c r="X763" s="23"/>
      <c r="Y763" s="23"/>
      <c r="Z763" s="23"/>
      <c r="AA763" s="23"/>
      <c r="AB763" s="23"/>
      <c r="AC763" s="23"/>
      <c r="AD763" s="23"/>
      <c r="AE763" s="23"/>
      <c r="AF763" s="23"/>
      <c r="AG763" s="23"/>
      <c r="AH763" s="23"/>
      <c r="AI763" s="23"/>
      <c r="AJ763" s="23"/>
      <c r="AK763" s="23"/>
      <c r="AL763" s="23"/>
      <c r="AM763" s="23"/>
      <c r="AN763" s="23"/>
      <c r="AO763" s="23"/>
      <c r="AP763" s="23"/>
      <c r="AQ763" s="23"/>
      <c r="AR763" s="23"/>
      <c r="AS763" s="23">
        <f t="shared" si="12"/>
        <v>0</v>
      </c>
    </row>
    <row r="764" spans="1:45" s="27" customFormat="1" ht="28.5" hidden="1" x14ac:dyDescent="0.2">
      <c r="A764" s="28">
        <v>1188</v>
      </c>
      <c r="B764" s="9" t="s">
        <v>8</v>
      </c>
      <c r="C764" s="9" t="s">
        <v>3</v>
      </c>
      <c r="D764" s="9" t="s">
        <v>4</v>
      </c>
      <c r="E764" s="9" t="s">
        <v>5</v>
      </c>
      <c r="F764" s="9" t="s">
        <v>199</v>
      </c>
      <c r="G764" s="9" t="s">
        <v>412</v>
      </c>
      <c r="H764" s="9" t="s">
        <v>831</v>
      </c>
      <c r="I764" s="81"/>
      <c r="J764" s="10">
        <f>'Messages Dictionary'!J173</f>
        <v>0.5</v>
      </c>
      <c r="K764" s="81"/>
      <c r="L764" s="29"/>
      <c r="M764" s="29"/>
      <c r="N764" s="23"/>
      <c r="O764" s="23"/>
      <c r="P764" s="23"/>
      <c r="Q764" s="23"/>
      <c r="R764" s="23"/>
      <c r="S764" s="23"/>
      <c r="T764" s="23"/>
      <c r="U764" s="23"/>
      <c r="V764" s="23"/>
      <c r="W764" s="23"/>
      <c r="X764" s="23"/>
      <c r="Y764" s="23"/>
      <c r="Z764" s="23"/>
      <c r="AA764" s="23"/>
      <c r="AB764" s="23"/>
      <c r="AC764" s="23"/>
      <c r="AD764" s="23"/>
      <c r="AE764" s="23"/>
      <c r="AF764" s="23"/>
      <c r="AG764" s="23"/>
      <c r="AH764" s="23"/>
      <c r="AI764" s="23"/>
      <c r="AJ764" s="23"/>
      <c r="AK764" s="23"/>
      <c r="AL764" s="23"/>
      <c r="AM764" s="23"/>
      <c r="AN764" s="23"/>
      <c r="AO764" s="23"/>
      <c r="AP764" s="23"/>
      <c r="AQ764" s="23"/>
      <c r="AR764" s="23"/>
      <c r="AS764" s="23">
        <f t="shared" si="12"/>
        <v>0</v>
      </c>
    </row>
    <row r="765" spans="1:45" s="27" customFormat="1" ht="28.5" hidden="1" x14ac:dyDescent="0.2">
      <c r="A765" s="28">
        <v>1190</v>
      </c>
      <c r="B765" s="9" t="s">
        <v>9</v>
      </c>
      <c r="C765" s="9" t="s">
        <v>10</v>
      </c>
      <c r="D765" s="9" t="s">
        <v>4</v>
      </c>
      <c r="E765" s="9" t="s">
        <v>5</v>
      </c>
      <c r="F765" s="9" t="s">
        <v>199</v>
      </c>
      <c r="G765" s="9" t="s">
        <v>405</v>
      </c>
      <c r="H765" s="9" t="s">
        <v>426</v>
      </c>
      <c r="I765" s="81"/>
      <c r="J765" s="10">
        <f>'Messages Dictionary'!J174</f>
        <v>1</v>
      </c>
      <c r="K765" s="81"/>
      <c r="L765" s="29"/>
      <c r="M765" s="29"/>
      <c r="N765" s="23"/>
      <c r="O765" s="23"/>
      <c r="P765" s="23"/>
      <c r="Q765" s="23"/>
      <c r="R765" s="23"/>
      <c r="S765" s="23"/>
      <c r="T765" s="23"/>
      <c r="U765" s="23"/>
      <c r="V765" s="23"/>
      <c r="W765" s="23"/>
      <c r="X765" s="23"/>
      <c r="Y765" s="23"/>
      <c r="Z765" s="23"/>
      <c r="AA765" s="23"/>
      <c r="AB765" s="23"/>
      <c r="AC765" s="23"/>
      <c r="AD765" s="23"/>
      <c r="AE765" s="23"/>
      <c r="AF765" s="23"/>
      <c r="AG765" s="23"/>
      <c r="AH765" s="23"/>
      <c r="AI765" s="23"/>
      <c r="AJ765" s="23"/>
      <c r="AK765" s="23"/>
      <c r="AL765" s="23"/>
      <c r="AM765" s="23"/>
      <c r="AN765" s="23"/>
      <c r="AO765" s="23"/>
      <c r="AP765" s="23"/>
      <c r="AQ765" s="23"/>
      <c r="AR765" s="23"/>
      <c r="AS765" s="23">
        <f t="shared" si="12"/>
        <v>0</v>
      </c>
    </row>
    <row r="766" spans="1:45" s="27" customFormat="1" ht="28.5" hidden="1" x14ac:dyDescent="0.2">
      <c r="A766" s="28">
        <v>1191</v>
      </c>
      <c r="B766" s="9" t="s">
        <v>11</v>
      </c>
      <c r="C766" s="9" t="s">
        <v>10</v>
      </c>
      <c r="D766" s="9" t="s">
        <v>4</v>
      </c>
      <c r="E766" s="9" t="s">
        <v>5</v>
      </c>
      <c r="F766" s="9" t="s">
        <v>199</v>
      </c>
      <c r="G766" s="9" t="s">
        <v>412</v>
      </c>
      <c r="H766" s="9" t="s">
        <v>831</v>
      </c>
      <c r="I766" s="81"/>
      <c r="J766" s="10">
        <f>'Messages Dictionary'!J175</f>
        <v>0.5</v>
      </c>
      <c r="K766" s="81"/>
      <c r="L766" s="29"/>
      <c r="M766" s="29"/>
      <c r="N766" s="23"/>
      <c r="O766" s="23"/>
      <c r="P766" s="23"/>
      <c r="Q766" s="23"/>
      <c r="R766" s="23"/>
      <c r="S766" s="23"/>
      <c r="T766" s="23"/>
      <c r="U766" s="23"/>
      <c r="V766" s="23"/>
      <c r="W766" s="23"/>
      <c r="X766" s="23"/>
      <c r="Y766" s="23"/>
      <c r="Z766" s="23"/>
      <c r="AA766" s="23"/>
      <c r="AB766" s="23"/>
      <c r="AC766" s="23"/>
      <c r="AD766" s="23"/>
      <c r="AE766" s="23"/>
      <c r="AF766" s="23"/>
      <c r="AG766" s="23"/>
      <c r="AH766" s="23"/>
      <c r="AI766" s="23"/>
      <c r="AJ766" s="23"/>
      <c r="AK766" s="23"/>
      <c r="AL766" s="23"/>
      <c r="AM766" s="23"/>
      <c r="AN766" s="23"/>
      <c r="AO766" s="23"/>
      <c r="AP766" s="23"/>
      <c r="AQ766" s="23"/>
      <c r="AR766" s="23"/>
      <c r="AS766" s="23">
        <f t="shared" si="12"/>
        <v>0</v>
      </c>
    </row>
    <row r="767" spans="1:45" s="27" customFormat="1" ht="28.5" hidden="1" x14ac:dyDescent="0.2">
      <c r="A767" s="28">
        <v>1200</v>
      </c>
      <c r="B767" s="9" t="s">
        <v>12</v>
      </c>
      <c r="C767" s="9" t="s">
        <v>10</v>
      </c>
      <c r="D767" s="9" t="s">
        <v>4</v>
      </c>
      <c r="E767" s="9" t="s">
        <v>5</v>
      </c>
      <c r="F767" s="9" t="s">
        <v>199</v>
      </c>
      <c r="G767" s="9" t="s">
        <v>412</v>
      </c>
      <c r="H767" s="9" t="s">
        <v>831</v>
      </c>
      <c r="I767" s="81"/>
      <c r="J767" s="10">
        <f>'Messages Dictionary'!J176</f>
        <v>1</v>
      </c>
      <c r="K767" s="81"/>
      <c r="L767" s="29"/>
      <c r="M767" s="29"/>
      <c r="N767" s="23"/>
      <c r="O767" s="23"/>
      <c r="P767" s="23"/>
      <c r="Q767" s="23"/>
      <c r="R767" s="23"/>
      <c r="S767" s="23"/>
      <c r="T767" s="23"/>
      <c r="U767" s="23"/>
      <c r="V767" s="23"/>
      <c r="W767" s="23"/>
      <c r="X767" s="23"/>
      <c r="Y767" s="23"/>
      <c r="Z767" s="23"/>
      <c r="AA767" s="23"/>
      <c r="AB767" s="23"/>
      <c r="AC767" s="23"/>
      <c r="AD767" s="23"/>
      <c r="AE767" s="23"/>
      <c r="AF767" s="23"/>
      <c r="AG767" s="23"/>
      <c r="AH767" s="23"/>
      <c r="AI767" s="23"/>
      <c r="AJ767" s="23"/>
      <c r="AK767" s="23"/>
      <c r="AL767" s="23"/>
      <c r="AM767" s="23"/>
      <c r="AN767" s="23"/>
      <c r="AO767" s="23"/>
      <c r="AP767" s="23"/>
      <c r="AQ767" s="23"/>
      <c r="AR767" s="23"/>
      <c r="AS767" s="23">
        <f t="shared" si="12"/>
        <v>0</v>
      </c>
    </row>
    <row r="768" spans="1:45" s="27" customFormat="1" ht="28.5" hidden="1" x14ac:dyDescent="0.2">
      <c r="A768" s="28">
        <v>1201</v>
      </c>
      <c r="B768" s="9" t="s">
        <v>13</v>
      </c>
      <c r="C768" s="9" t="s">
        <v>10</v>
      </c>
      <c r="D768" s="9" t="s">
        <v>4</v>
      </c>
      <c r="E768" s="9" t="s">
        <v>14</v>
      </c>
      <c r="F768" s="9" t="s">
        <v>199</v>
      </c>
      <c r="G768" s="9" t="s">
        <v>412</v>
      </c>
      <c r="H768" s="9" t="s">
        <v>831</v>
      </c>
      <c r="I768" s="81"/>
      <c r="J768" s="10">
        <f>'Messages Dictionary'!J177</f>
        <v>1</v>
      </c>
      <c r="K768" s="81"/>
      <c r="L768" s="29"/>
      <c r="M768" s="29"/>
      <c r="N768" s="23"/>
      <c r="O768" s="23"/>
      <c r="P768" s="23"/>
      <c r="Q768" s="23"/>
      <c r="R768" s="23"/>
      <c r="S768" s="23"/>
      <c r="T768" s="23"/>
      <c r="U768" s="23"/>
      <c r="V768" s="23"/>
      <c r="W768" s="23"/>
      <c r="X768" s="23"/>
      <c r="Y768" s="23"/>
      <c r="Z768" s="23"/>
      <c r="AA768" s="23"/>
      <c r="AB768" s="23"/>
      <c r="AC768" s="23"/>
      <c r="AD768" s="23"/>
      <c r="AE768" s="23"/>
      <c r="AF768" s="23"/>
      <c r="AG768" s="23"/>
      <c r="AH768" s="23"/>
      <c r="AI768" s="23"/>
      <c r="AJ768" s="23"/>
      <c r="AK768" s="23"/>
      <c r="AL768" s="23"/>
      <c r="AM768" s="23"/>
      <c r="AN768" s="23"/>
      <c r="AO768" s="23"/>
      <c r="AP768" s="23"/>
      <c r="AQ768" s="23"/>
      <c r="AR768" s="23"/>
      <c r="AS768" s="23">
        <f t="shared" si="12"/>
        <v>0</v>
      </c>
    </row>
    <row r="769" spans="1:45" s="27" customFormat="1" ht="28.5" hidden="1" x14ac:dyDescent="0.2">
      <c r="A769" s="28">
        <v>1202</v>
      </c>
      <c r="B769" s="9" t="s">
        <v>15</v>
      </c>
      <c r="C769" s="9" t="s">
        <v>10</v>
      </c>
      <c r="D769" s="9" t="s">
        <v>4</v>
      </c>
      <c r="E769" s="9" t="s">
        <v>14</v>
      </c>
      <c r="F769" s="9" t="s">
        <v>199</v>
      </c>
      <c r="G769" s="9" t="s">
        <v>412</v>
      </c>
      <c r="H769" s="9" t="s">
        <v>831</v>
      </c>
      <c r="I769" s="81"/>
      <c r="J769" s="10">
        <f>'Messages Dictionary'!J178</f>
        <v>1</v>
      </c>
      <c r="K769" s="81"/>
      <c r="L769" s="29"/>
      <c r="M769" s="29"/>
      <c r="N769" s="23"/>
      <c r="O769" s="23"/>
      <c r="P769" s="23"/>
      <c r="Q769" s="23"/>
      <c r="R769" s="23"/>
      <c r="S769" s="23"/>
      <c r="T769" s="23"/>
      <c r="U769" s="23"/>
      <c r="V769" s="23"/>
      <c r="W769" s="23"/>
      <c r="X769" s="23"/>
      <c r="Y769" s="23"/>
      <c r="Z769" s="23"/>
      <c r="AA769" s="23"/>
      <c r="AB769" s="23"/>
      <c r="AC769" s="23"/>
      <c r="AD769" s="23"/>
      <c r="AE769" s="23"/>
      <c r="AF769" s="23"/>
      <c r="AG769" s="23"/>
      <c r="AH769" s="23"/>
      <c r="AI769" s="23"/>
      <c r="AJ769" s="23"/>
      <c r="AK769" s="23"/>
      <c r="AL769" s="23"/>
      <c r="AM769" s="23"/>
      <c r="AN769" s="23"/>
      <c r="AO769" s="23"/>
      <c r="AP769" s="23"/>
      <c r="AQ769" s="23"/>
      <c r="AR769" s="23"/>
      <c r="AS769" s="23">
        <f t="shared" si="12"/>
        <v>0</v>
      </c>
    </row>
    <row r="770" spans="1:45" s="27" customFormat="1" ht="28.5" hidden="1" x14ac:dyDescent="0.2">
      <c r="A770" s="28">
        <v>1203</v>
      </c>
      <c r="B770" s="9" t="s">
        <v>16</v>
      </c>
      <c r="C770" s="9" t="s">
        <v>10</v>
      </c>
      <c r="D770" s="9" t="s">
        <v>4</v>
      </c>
      <c r="E770" s="9" t="s">
        <v>14</v>
      </c>
      <c r="F770" s="9" t="s">
        <v>199</v>
      </c>
      <c r="G770" s="9" t="s">
        <v>412</v>
      </c>
      <c r="H770" s="9" t="s">
        <v>831</v>
      </c>
      <c r="I770" s="81"/>
      <c r="J770" s="10">
        <f>'Messages Dictionary'!J179</f>
        <v>0.5</v>
      </c>
      <c r="K770" s="81"/>
      <c r="L770" s="29"/>
      <c r="M770" s="29"/>
      <c r="N770" s="23"/>
      <c r="O770" s="23"/>
      <c r="P770" s="23"/>
      <c r="Q770" s="23"/>
      <c r="R770" s="23"/>
      <c r="S770" s="23"/>
      <c r="T770" s="23"/>
      <c r="U770" s="23"/>
      <c r="V770" s="23"/>
      <c r="W770" s="23"/>
      <c r="X770" s="23"/>
      <c r="Y770" s="23"/>
      <c r="Z770" s="23"/>
      <c r="AA770" s="23"/>
      <c r="AB770" s="23"/>
      <c r="AC770" s="23"/>
      <c r="AD770" s="23"/>
      <c r="AE770" s="23"/>
      <c r="AF770" s="23"/>
      <c r="AG770" s="23"/>
      <c r="AH770" s="23"/>
      <c r="AI770" s="23"/>
      <c r="AJ770" s="23"/>
      <c r="AK770" s="23"/>
      <c r="AL770" s="23"/>
      <c r="AM770" s="23"/>
      <c r="AN770" s="23"/>
      <c r="AO770" s="23"/>
      <c r="AP770" s="23"/>
      <c r="AQ770" s="23"/>
      <c r="AR770" s="23"/>
      <c r="AS770" s="23">
        <f t="shared" si="12"/>
        <v>0</v>
      </c>
    </row>
    <row r="771" spans="1:45" s="27" customFormat="1" ht="28.5" hidden="1" x14ac:dyDescent="0.2">
      <c r="A771" s="28">
        <v>1205</v>
      </c>
      <c r="B771" s="9" t="s">
        <v>17</v>
      </c>
      <c r="C771" s="9" t="s">
        <v>10</v>
      </c>
      <c r="D771" s="9" t="s">
        <v>4</v>
      </c>
      <c r="E771" s="9" t="s">
        <v>18</v>
      </c>
      <c r="F771" s="9" t="s">
        <v>199</v>
      </c>
      <c r="G771" s="9" t="s">
        <v>412</v>
      </c>
      <c r="H771" s="9" t="s">
        <v>831</v>
      </c>
      <c r="I771" s="81"/>
      <c r="J771" s="10">
        <f>'Messages Dictionary'!J180</f>
        <v>1</v>
      </c>
      <c r="K771" s="81"/>
      <c r="L771" s="29"/>
      <c r="M771" s="29"/>
      <c r="N771" s="23"/>
      <c r="O771" s="23"/>
      <c r="P771" s="23"/>
      <c r="Q771" s="23"/>
      <c r="R771" s="23"/>
      <c r="S771" s="23"/>
      <c r="T771" s="23"/>
      <c r="U771" s="23"/>
      <c r="V771" s="23"/>
      <c r="W771" s="23"/>
      <c r="X771" s="23"/>
      <c r="Y771" s="23"/>
      <c r="Z771" s="23"/>
      <c r="AA771" s="23"/>
      <c r="AB771" s="23"/>
      <c r="AC771" s="23"/>
      <c r="AD771" s="23"/>
      <c r="AE771" s="23"/>
      <c r="AF771" s="23"/>
      <c r="AG771" s="23"/>
      <c r="AH771" s="23"/>
      <c r="AI771" s="23"/>
      <c r="AJ771" s="23"/>
      <c r="AK771" s="23"/>
      <c r="AL771" s="23"/>
      <c r="AM771" s="23"/>
      <c r="AN771" s="23"/>
      <c r="AO771" s="23"/>
      <c r="AP771" s="23"/>
      <c r="AQ771" s="23"/>
      <c r="AR771" s="23"/>
      <c r="AS771" s="23">
        <f t="shared" si="12"/>
        <v>0</v>
      </c>
    </row>
    <row r="772" spans="1:45" s="27" customFormat="1" ht="28.5" hidden="1" x14ac:dyDescent="0.2">
      <c r="A772" s="28">
        <v>1206</v>
      </c>
      <c r="B772" s="9" t="s">
        <v>19</v>
      </c>
      <c r="C772" s="9" t="s">
        <v>20</v>
      </c>
      <c r="D772" s="9" t="s">
        <v>404</v>
      </c>
      <c r="E772" s="9" t="s">
        <v>404</v>
      </c>
      <c r="F772" s="9" t="s">
        <v>199</v>
      </c>
      <c r="G772" s="9" t="s">
        <v>412</v>
      </c>
      <c r="H772" s="9" t="s">
        <v>831</v>
      </c>
      <c r="I772" s="81"/>
      <c r="J772" s="10">
        <f>'Messages Dictionary'!J181</f>
        <v>0.5</v>
      </c>
      <c r="K772" s="81"/>
      <c r="L772" s="29"/>
      <c r="M772" s="29"/>
      <c r="N772" s="23"/>
      <c r="O772" s="23"/>
      <c r="P772" s="23"/>
      <c r="Q772" s="23"/>
      <c r="R772" s="23"/>
      <c r="S772" s="23"/>
      <c r="T772" s="23"/>
      <c r="U772" s="23"/>
      <c r="V772" s="23"/>
      <c r="W772" s="23"/>
      <c r="X772" s="23"/>
      <c r="Y772" s="23"/>
      <c r="Z772" s="23"/>
      <c r="AA772" s="23"/>
      <c r="AB772" s="23"/>
      <c r="AC772" s="23"/>
      <c r="AD772" s="23"/>
      <c r="AE772" s="23"/>
      <c r="AF772" s="23"/>
      <c r="AG772" s="23"/>
      <c r="AH772" s="23"/>
      <c r="AI772" s="23"/>
      <c r="AJ772" s="23"/>
      <c r="AK772" s="23"/>
      <c r="AL772" s="23"/>
      <c r="AM772" s="23"/>
      <c r="AN772" s="23"/>
      <c r="AO772" s="23"/>
      <c r="AP772" s="23"/>
      <c r="AQ772" s="23"/>
      <c r="AR772" s="23"/>
      <c r="AS772" s="23">
        <f t="shared" si="12"/>
        <v>0</v>
      </c>
    </row>
    <row r="773" spans="1:45" s="27" customFormat="1" ht="28.5" hidden="1" x14ac:dyDescent="0.2">
      <c r="A773" s="28">
        <v>1207</v>
      </c>
      <c r="B773" s="9" t="s">
        <v>21</v>
      </c>
      <c r="C773" s="9" t="s">
        <v>22</v>
      </c>
      <c r="D773" s="9" t="s">
        <v>404</v>
      </c>
      <c r="E773" s="9" t="s">
        <v>404</v>
      </c>
      <c r="F773" s="9" t="s">
        <v>199</v>
      </c>
      <c r="G773" s="9" t="s">
        <v>412</v>
      </c>
      <c r="H773" s="9" t="s">
        <v>831</v>
      </c>
      <c r="I773" s="81"/>
      <c r="J773" s="10">
        <f>'Messages Dictionary'!J182</f>
        <v>0.5</v>
      </c>
      <c r="K773" s="81"/>
      <c r="L773" s="29"/>
      <c r="M773" s="29"/>
      <c r="N773" s="23"/>
      <c r="O773" s="23"/>
      <c r="P773" s="23"/>
      <c r="Q773" s="23"/>
      <c r="R773" s="23"/>
      <c r="S773" s="23"/>
      <c r="T773" s="23"/>
      <c r="U773" s="23"/>
      <c r="V773" s="23"/>
      <c r="W773" s="23"/>
      <c r="X773" s="23"/>
      <c r="Y773" s="23"/>
      <c r="Z773" s="23"/>
      <c r="AA773" s="23"/>
      <c r="AB773" s="23"/>
      <c r="AC773" s="23"/>
      <c r="AD773" s="23"/>
      <c r="AE773" s="23"/>
      <c r="AF773" s="23"/>
      <c r="AG773" s="23"/>
      <c r="AH773" s="23"/>
      <c r="AI773" s="23"/>
      <c r="AJ773" s="23"/>
      <c r="AK773" s="23"/>
      <c r="AL773" s="23"/>
      <c r="AM773" s="23"/>
      <c r="AN773" s="23"/>
      <c r="AO773" s="23"/>
      <c r="AP773" s="23"/>
      <c r="AQ773" s="23"/>
      <c r="AR773" s="23"/>
      <c r="AS773" s="23">
        <f t="shared" si="12"/>
        <v>0</v>
      </c>
    </row>
    <row r="774" spans="1:45" s="27" customFormat="1" ht="28.5" hidden="1" x14ac:dyDescent="0.2">
      <c r="A774" s="28">
        <v>1208</v>
      </c>
      <c r="B774" s="9" t="s">
        <v>23</v>
      </c>
      <c r="C774" s="9" t="s">
        <v>10</v>
      </c>
      <c r="D774" s="9" t="s">
        <v>4</v>
      </c>
      <c r="E774" s="9" t="s">
        <v>24</v>
      </c>
      <c r="F774" s="9" t="s">
        <v>199</v>
      </c>
      <c r="G774" s="9" t="s">
        <v>412</v>
      </c>
      <c r="H774" s="9" t="s">
        <v>831</v>
      </c>
      <c r="I774" s="81"/>
      <c r="J774" s="10">
        <f>'Messages Dictionary'!J183</f>
        <v>1</v>
      </c>
      <c r="K774" s="81"/>
      <c r="L774" s="29"/>
      <c r="M774" s="29"/>
      <c r="N774" s="23"/>
      <c r="O774" s="23"/>
      <c r="P774" s="23"/>
      <c r="Q774" s="23"/>
      <c r="R774" s="23"/>
      <c r="S774" s="23"/>
      <c r="T774" s="23"/>
      <c r="U774" s="23"/>
      <c r="V774" s="23"/>
      <c r="W774" s="23"/>
      <c r="X774" s="23"/>
      <c r="Y774" s="23"/>
      <c r="Z774" s="23"/>
      <c r="AA774" s="23"/>
      <c r="AB774" s="23"/>
      <c r="AC774" s="23"/>
      <c r="AD774" s="23"/>
      <c r="AE774" s="23"/>
      <c r="AF774" s="23"/>
      <c r="AG774" s="23"/>
      <c r="AH774" s="23"/>
      <c r="AI774" s="23"/>
      <c r="AJ774" s="23"/>
      <c r="AK774" s="23"/>
      <c r="AL774" s="23"/>
      <c r="AM774" s="23"/>
      <c r="AN774" s="23"/>
      <c r="AO774" s="23"/>
      <c r="AP774" s="23"/>
      <c r="AQ774" s="23"/>
      <c r="AR774" s="23"/>
      <c r="AS774" s="23">
        <f t="shared" si="12"/>
        <v>0</v>
      </c>
    </row>
    <row r="775" spans="1:45" s="27" customFormat="1" ht="42.75" hidden="1" x14ac:dyDescent="0.2">
      <c r="A775" s="28">
        <v>1209</v>
      </c>
      <c r="B775" s="9" t="s">
        <v>25</v>
      </c>
      <c r="C775" s="9" t="s">
        <v>26</v>
      </c>
      <c r="D775" s="9" t="s">
        <v>821</v>
      </c>
      <c r="E775" s="9" t="s">
        <v>27</v>
      </c>
      <c r="F775" s="9" t="s">
        <v>199</v>
      </c>
      <c r="G775" s="9" t="s">
        <v>412</v>
      </c>
      <c r="H775" s="9" t="s">
        <v>831</v>
      </c>
      <c r="I775" s="81"/>
      <c r="J775" s="10">
        <f>'Messages Dictionary'!J184</f>
        <v>0.5</v>
      </c>
      <c r="K775" s="81"/>
      <c r="L775" s="29"/>
      <c r="M775" s="29"/>
      <c r="N775" s="23"/>
      <c r="O775" s="23"/>
      <c r="P775" s="23"/>
      <c r="Q775" s="23"/>
      <c r="R775" s="23"/>
      <c r="S775" s="23"/>
      <c r="T775" s="23"/>
      <c r="U775" s="23"/>
      <c r="V775" s="23"/>
      <c r="W775" s="23"/>
      <c r="X775" s="23"/>
      <c r="Y775" s="23"/>
      <c r="Z775" s="23"/>
      <c r="AA775" s="23"/>
      <c r="AB775" s="23"/>
      <c r="AC775" s="23"/>
      <c r="AD775" s="23"/>
      <c r="AE775" s="23"/>
      <c r="AF775" s="23"/>
      <c r="AG775" s="23"/>
      <c r="AH775" s="23"/>
      <c r="AI775" s="23"/>
      <c r="AJ775" s="23"/>
      <c r="AK775" s="23"/>
      <c r="AL775" s="23"/>
      <c r="AM775" s="23"/>
      <c r="AN775" s="23"/>
      <c r="AO775" s="23"/>
      <c r="AP775" s="23"/>
      <c r="AQ775" s="23"/>
      <c r="AR775" s="23"/>
      <c r="AS775" s="23">
        <f t="shared" si="12"/>
        <v>0</v>
      </c>
    </row>
    <row r="776" spans="1:45" s="27" customFormat="1" ht="28.5" hidden="1" x14ac:dyDescent="0.2">
      <c r="A776" s="28">
        <v>1210</v>
      </c>
      <c r="B776" s="9" t="s">
        <v>28</v>
      </c>
      <c r="C776" s="9" t="s">
        <v>29</v>
      </c>
      <c r="D776" s="9" t="s">
        <v>860</v>
      </c>
      <c r="E776" s="9" t="s">
        <v>30</v>
      </c>
      <c r="F776" s="9" t="s">
        <v>199</v>
      </c>
      <c r="G776" s="9" t="s">
        <v>412</v>
      </c>
      <c r="H776" s="9" t="s">
        <v>831</v>
      </c>
      <c r="I776" s="81"/>
      <c r="J776" s="10">
        <f>'Messages Dictionary'!J185</f>
        <v>1</v>
      </c>
      <c r="K776" s="81"/>
      <c r="L776" s="29"/>
      <c r="M776" s="29"/>
      <c r="N776" s="23"/>
      <c r="O776" s="23"/>
      <c r="P776" s="23"/>
      <c r="Q776" s="23"/>
      <c r="R776" s="23"/>
      <c r="S776" s="23"/>
      <c r="T776" s="23"/>
      <c r="U776" s="23"/>
      <c r="V776" s="23"/>
      <c r="W776" s="23"/>
      <c r="X776" s="23"/>
      <c r="Y776" s="23"/>
      <c r="Z776" s="23"/>
      <c r="AA776" s="23"/>
      <c r="AB776" s="23"/>
      <c r="AC776" s="23"/>
      <c r="AD776" s="23"/>
      <c r="AE776" s="23"/>
      <c r="AF776" s="23"/>
      <c r="AG776" s="23"/>
      <c r="AH776" s="23"/>
      <c r="AI776" s="23"/>
      <c r="AJ776" s="23"/>
      <c r="AK776" s="23"/>
      <c r="AL776" s="23"/>
      <c r="AM776" s="23"/>
      <c r="AN776" s="23"/>
      <c r="AO776" s="23"/>
      <c r="AP776" s="23"/>
      <c r="AQ776" s="23"/>
      <c r="AR776" s="23"/>
      <c r="AS776" s="23">
        <f t="shared" si="12"/>
        <v>0</v>
      </c>
    </row>
    <row r="777" spans="1:45" s="27" customFormat="1" ht="28.5" hidden="1" x14ac:dyDescent="0.2">
      <c r="A777" s="28">
        <v>1215</v>
      </c>
      <c r="B777" s="9" t="s">
        <v>31</v>
      </c>
      <c r="C777" s="9" t="s">
        <v>32</v>
      </c>
      <c r="D777" s="9" t="s">
        <v>4</v>
      </c>
      <c r="E777" s="9" t="s">
        <v>18</v>
      </c>
      <c r="F777" s="9" t="s">
        <v>198</v>
      </c>
      <c r="G777" s="9" t="s">
        <v>405</v>
      </c>
      <c r="H777" s="9" t="s">
        <v>426</v>
      </c>
      <c r="I777" s="81"/>
      <c r="J777" s="10">
        <f>'Messages Dictionary'!J186</f>
        <v>1</v>
      </c>
      <c r="K777" s="81"/>
      <c r="L777" s="29"/>
      <c r="M777" s="29"/>
      <c r="N777" s="23"/>
      <c r="O777" s="23"/>
      <c r="P777" s="23"/>
      <c r="Q777" s="23"/>
      <c r="R777" s="23"/>
      <c r="S777" s="23"/>
      <c r="T777" s="23"/>
      <c r="U777" s="23"/>
      <c r="V777" s="23"/>
      <c r="W777" s="23"/>
      <c r="X777" s="23"/>
      <c r="Y777" s="23"/>
      <c r="Z777" s="23"/>
      <c r="AA777" s="23"/>
      <c r="AB777" s="23"/>
      <c r="AC777" s="23"/>
      <c r="AD777" s="23"/>
      <c r="AE777" s="23"/>
      <c r="AF777" s="23"/>
      <c r="AG777" s="23"/>
      <c r="AH777" s="23"/>
      <c r="AI777" s="23"/>
      <c r="AJ777" s="23"/>
      <c r="AK777" s="23"/>
      <c r="AL777" s="23"/>
      <c r="AM777" s="23"/>
      <c r="AN777" s="23"/>
      <c r="AO777" s="23"/>
      <c r="AP777" s="23"/>
      <c r="AQ777" s="23"/>
      <c r="AR777" s="23"/>
      <c r="AS777" s="23">
        <f t="shared" si="12"/>
        <v>0</v>
      </c>
    </row>
    <row r="778" spans="1:45" s="27" customFormat="1" ht="28.5" hidden="1" x14ac:dyDescent="0.2">
      <c r="A778" s="28">
        <v>1220</v>
      </c>
      <c r="B778" s="9" t="s">
        <v>33</v>
      </c>
      <c r="C778" s="9" t="s">
        <v>34</v>
      </c>
      <c r="D778" s="9" t="s">
        <v>863</v>
      </c>
      <c r="E778" s="9" t="s">
        <v>35</v>
      </c>
      <c r="F778" s="9" t="s">
        <v>199</v>
      </c>
      <c r="G778" s="9" t="s">
        <v>412</v>
      </c>
      <c r="H778" s="9" t="s">
        <v>831</v>
      </c>
      <c r="I778" s="81"/>
      <c r="J778" s="10">
        <f>'Messages Dictionary'!J187</f>
        <v>1</v>
      </c>
      <c r="K778" s="81"/>
      <c r="L778" s="29"/>
      <c r="M778" s="29"/>
      <c r="N778" s="23"/>
      <c r="O778" s="23"/>
      <c r="P778" s="23"/>
      <c r="Q778" s="23"/>
      <c r="R778" s="23"/>
      <c r="S778" s="23"/>
      <c r="T778" s="23"/>
      <c r="U778" s="23"/>
      <c r="V778" s="23"/>
      <c r="W778" s="23"/>
      <c r="X778" s="23"/>
      <c r="Y778" s="23"/>
      <c r="Z778" s="23"/>
      <c r="AA778" s="23"/>
      <c r="AB778" s="23"/>
      <c r="AC778" s="23"/>
      <c r="AD778" s="23"/>
      <c r="AE778" s="23"/>
      <c r="AF778" s="23"/>
      <c r="AG778" s="23"/>
      <c r="AH778" s="23"/>
      <c r="AI778" s="23"/>
      <c r="AJ778" s="23"/>
      <c r="AK778" s="23"/>
      <c r="AL778" s="23"/>
      <c r="AM778" s="23"/>
      <c r="AN778" s="23"/>
      <c r="AO778" s="23"/>
      <c r="AP778" s="23"/>
      <c r="AQ778" s="23"/>
      <c r="AR778" s="23"/>
      <c r="AS778" s="23">
        <f t="shared" si="12"/>
        <v>0</v>
      </c>
    </row>
    <row r="779" spans="1:45" s="27" customFormat="1" ht="42.75" hidden="1" x14ac:dyDescent="0.2">
      <c r="A779" s="28">
        <v>1221</v>
      </c>
      <c r="B779" s="9" t="s">
        <v>36</v>
      </c>
      <c r="C779" s="9" t="s">
        <v>37</v>
      </c>
      <c r="D779" s="9" t="s">
        <v>863</v>
      </c>
      <c r="E779" s="9" t="s">
        <v>35</v>
      </c>
      <c r="F779" s="9" t="s">
        <v>199</v>
      </c>
      <c r="G779" s="9" t="s">
        <v>412</v>
      </c>
      <c r="H779" s="9" t="s">
        <v>831</v>
      </c>
      <c r="I779" s="81"/>
      <c r="J779" s="10">
        <f>'Messages Dictionary'!J188</f>
        <v>0.5</v>
      </c>
      <c r="K779" s="81"/>
      <c r="L779" s="29"/>
      <c r="M779" s="29"/>
      <c r="N779" s="23"/>
      <c r="O779" s="23"/>
      <c r="P779" s="23"/>
      <c r="Q779" s="23"/>
      <c r="R779" s="23"/>
      <c r="S779" s="23"/>
      <c r="T779" s="23"/>
      <c r="U779" s="23"/>
      <c r="V779" s="23"/>
      <c r="W779" s="23"/>
      <c r="X779" s="23"/>
      <c r="Y779" s="23"/>
      <c r="Z779" s="23"/>
      <c r="AA779" s="23"/>
      <c r="AB779" s="23"/>
      <c r="AC779" s="23"/>
      <c r="AD779" s="23"/>
      <c r="AE779" s="23"/>
      <c r="AF779" s="23"/>
      <c r="AG779" s="23"/>
      <c r="AH779" s="23"/>
      <c r="AI779" s="23"/>
      <c r="AJ779" s="23"/>
      <c r="AK779" s="23"/>
      <c r="AL779" s="23"/>
      <c r="AM779" s="23"/>
      <c r="AN779" s="23"/>
      <c r="AO779" s="23"/>
      <c r="AP779" s="23"/>
      <c r="AQ779" s="23"/>
      <c r="AR779" s="23"/>
      <c r="AS779" s="23">
        <f t="shared" si="12"/>
        <v>0</v>
      </c>
    </row>
    <row r="780" spans="1:45" s="27" customFormat="1" hidden="1" x14ac:dyDescent="0.2">
      <c r="A780" s="28">
        <v>1236</v>
      </c>
      <c r="B780" s="9" t="s">
        <v>38</v>
      </c>
      <c r="C780" s="9" t="s">
        <v>39</v>
      </c>
      <c r="D780" s="9" t="s">
        <v>860</v>
      </c>
      <c r="E780" s="9" t="s">
        <v>40</v>
      </c>
      <c r="F780" s="9" t="s">
        <v>199</v>
      </c>
      <c r="G780" s="9" t="s">
        <v>412</v>
      </c>
      <c r="H780" s="9" t="s">
        <v>831</v>
      </c>
      <c r="I780" s="81"/>
      <c r="J780" s="10">
        <f>'Messages Dictionary'!J189</f>
        <v>0.5</v>
      </c>
      <c r="K780" s="81"/>
      <c r="L780" s="29"/>
      <c r="M780" s="29"/>
      <c r="N780" s="23"/>
      <c r="O780" s="23"/>
      <c r="P780" s="23"/>
      <c r="Q780" s="23"/>
      <c r="R780" s="23"/>
      <c r="S780" s="23"/>
      <c r="T780" s="23"/>
      <c r="U780" s="23"/>
      <c r="V780" s="23"/>
      <c r="W780" s="23"/>
      <c r="X780" s="23"/>
      <c r="Y780" s="23"/>
      <c r="Z780" s="23"/>
      <c r="AA780" s="23"/>
      <c r="AB780" s="23"/>
      <c r="AC780" s="23"/>
      <c r="AD780" s="23"/>
      <c r="AE780" s="23"/>
      <c r="AF780" s="23"/>
      <c r="AG780" s="23"/>
      <c r="AH780" s="23"/>
      <c r="AI780" s="23"/>
      <c r="AJ780" s="23"/>
      <c r="AK780" s="23"/>
      <c r="AL780" s="23"/>
      <c r="AM780" s="23"/>
      <c r="AN780" s="23"/>
      <c r="AO780" s="23"/>
      <c r="AP780" s="23"/>
      <c r="AQ780" s="23"/>
      <c r="AR780" s="23"/>
      <c r="AS780" s="23">
        <f t="shared" si="12"/>
        <v>0</v>
      </c>
    </row>
    <row r="781" spans="1:45" s="27" customFormat="1" hidden="1" x14ac:dyDescent="0.2">
      <c r="A781" s="28">
        <v>1237</v>
      </c>
      <c r="B781" s="9" t="s">
        <v>41</v>
      </c>
      <c r="C781" s="9" t="s">
        <v>42</v>
      </c>
      <c r="D781" s="9" t="s">
        <v>860</v>
      </c>
      <c r="E781" s="9" t="s">
        <v>40</v>
      </c>
      <c r="F781" s="9" t="s">
        <v>199</v>
      </c>
      <c r="G781" s="9" t="s">
        <v>412</v>
      </c>
      <c r="H781" s="9" t="s">
        <v>831</v>
      </c>
      <c r="I781" s="81"/>
      <c r="J781" s="10">
        <f>'Messages Dictionary'!J190</f>
        <v>0.5</v>
      </c>
      <c r="K781" s="81"/>
      <c r="L781" s="29"/>
      <c r="M781" s="29"/>
      <c r="N781" s="23"/>
      <c r="O781" s="23"/>
      <c r="P781" s="23"/>
      <c r="Q781" s="23"/>
      <c r="R781" s="23"/>
      <c r="S781" s="23"/>
      <c r="T781" s="23"/>
      <c r="U781" s="23"/>
      <c r="V781" s="23"/>
      <c r="W781" s="23"/>
      <c r="X781" s="23"/>
      <c r="Y781" s="23"/>
      <c r="Z781" s="23"/>
      <c r="AA781" s="23"/>
      <c r="AB781" s="23"/>
      <c r="AC781" s="23"/>
      <c r="AD781" s="23"/>
      <c r="AE781" s="23"/>
      <c r="AF781" s="23"/>
      <c r="AG781" s="23"/>
      <c r="AH781" s="23"/>
      <c r="AI781" s="23"/>
      <c r="AJ781" s="23"/>
      <c r="AK781" s="23"/>
      <c r="AL781" s="23"/>
      <c r="AM781" s="23"/>
      <c r="AN781" s="23"/>
      <c r="AO781" s="23"/>
      <c r="AP781" s="23"/>
      <c r="AQ781" s="23"/>
      <c r="AR781" s="23"/>
      <c r="AS781" s="23">
        <f t="shared" si="12"/>
        <v>0</v>
      </c>
    </row>
    <row r="782" spans="1:45" s="27" customFormat="1" ht="28.5" hidden="1" x14ac:dyDescent="0.2">
      <c r="A782" s="28">
        <v>1238</v>
      </c>
      <c r="B782" s="9" t="s">
        <v>43</v>
      </c>
      <c r="C782" s="9" t="s">
        <v>44</v>
      </c>
      <c r="D782" s="9" t="s">
        <v>860</v>
      </c>
      <c r="E782" s="9" t="s">
        <v>40</v>
      </c>
      <c r="F782" s="9" t="s">
        <v>199</v>
      </c>
      <c r="G782" s="9" t="s">
        <v>412</v>
      </c>
      <c r="H782" s="9" t="s">
        <v>831</v>
      </c>
      <c r="I782" s="81"/>
      <c r="J782" s="10">
        <f>'Messages Dictionary'!J191</f>
        <v>0.5</v>
      </c>
      <c r="K782" s="81"/>
      <c r="L782" s="29"/>
      <c r="M782" s="29"/>
      <c r="N782" s="23"/>
      <c r="O782" s="23"/>
      <c r="P782" s="23"/>
      <c r="Q782" s="23"/>
      <c r="R782" s="23"/>
      <c r="S782" s="23"/>
      <c r="T782" s="23"/>
      <c r="U782" s="23"/>
      <c r="V782" s="23"/>
      <c r="W782" s="23"/>
      <c r="X782" s="23"/>
      <c r="Y782" s="23"/>
      <c r="Z782" s="23"/>
      <c r="AA782" s="23"/>
      <c r="AB782" s="23"/>
      <c r="AC782" s="23"/>
      <c r="AD782" s="23"/>
      <c r="AE782" s="23"/>
      <c r="AF782" s="23"/>
      <c r="AG782" s="23"/>
      <c r="AH782" s="23"/>
      <c r="AI782" s="23"/>
      <c r="AJ782" s="23"/>
      <c r="AK782" s="23"/>
      <c r="AL782" s="23"/>
      <c r="AM782" s="23"/>
      <c r="AN782" s="23"/>
      <c r="AO782" s="23"/>
      <c r="AP782" s="23"/>
      <c r="AQ782" s="23"/>
      <c r="AR782" s="23"/>
      <c r="AS782" s="23">
        <f t="shared" si="12"/>
        <v>0</v>
      </c>
    </row>
    <row r="783" spans="1:45" s="27" customFormat="1" hidden="1" x14ac:dyDescent="0.2">
      <c r="A783" s="28">
        <v>1239</v>
      </c>
      <c r="B783" s="9" t="s">
        <v>799</v>
      </c>
      <c r="C783" s="9" t="s">
        <v>311</v>
      </c>
      <c r="D783" s="9" t="s">
        <v>860</v>
      </c>
      <c r="E783" s="9" t="s">
        <v>40</v>
      </c>
      <c r="F783" s="9" t="s">
        <v>198</v>
      </c>
      <c r="G783" s="9" t="s">
        <v>405</v>
      </c>
      <c r="H783" s="9" t="s">
        <v>536</v>
      </c>
      <c r="I783" s="81"/>
      <c r="J783" s="10">
        <f>'Messages Dictionary'!J192</f>
        <v>1</v>
      </c>
      <c r="K783" s="81"/>
      <c r="L783" s="29"/>
      <c r="M783" s="29"/>
      <c r="N783" s="23"/>
      <c r="O783" s="23"/>
      <c r="P783" s="23"/>
      <c r="Q783" s="23"/>
      <c r="R783" s="23"/>
      <c r="S783" s="23"/>
      <c r="T783" s="23"/>
      <c r="U783" s="23"/>
      <c r="V783" s="23"/>
      <c r="W783" s="23"/>
      <c r="X783" s="23"/>
      <c r="Y783" s="23"/>
      <c r="Z783" s="23"/>
      <c r="AA783" s="23"/>
      <c r="AB783" s="23"/>
      <c r="AC783" s="23"/>
      <c r="AD783" s="23"/>
      <c r="AE783" s="23"/>
      <c r="AF783" s="23"/>
      <c r="AG783" s="23"/>
      <c r="AH783" s="23"/>
      <c r="AI783" s="23"/>
      <c r="AJ783" s="23"/>
      <c r="AK783" s="23"/>
      <c r="AL783" s="23"/>
      <c r="AM783" s="23"/>
      <c r="AN783" s="23"/>
      <c r="AO783" s="23"/>
      <c r="AP783" s="23"/>
      <c r="AQ783" s="23"/>
      <c r="AR783" s="23"/>
      <c r="AS783" s="23">
        <f t="shared" si="12"/>
        <v>0</v>
      </c>
    </row>
    <row r="784" spans="1:45" s="27" customFormat="1" ht="28.5" hidden="1" x14ac:dyDescent="0.2">
      <c r="A784" s="28">
        <v>1240</v>
      </c>
      <c r="B784" s="9" t="s">
        <v>312</v>
      </c>
      <c r="C784" s="9" t="s">
        <v>313</v>
      </c>
      <c r="D784" s="9" t="s">
        <v>4</v>
      </c>
      <c r="E784" s="9" t="s">
        <v>5</v>
      </c>
      <c r="F784" s="9" t="s">
        <v>199</v>
      </c>
      <c r="G784" s="9" t="s">
        <v>405</v>
      </c>
      <c r="H784" s="9" t="s">
        <v>426</v>
      </c>
      <c r="I784" s="81"/>
      <c r="J784" s="10">
        <f>'Messages Dictionary'!J193</f>
        <v>1</v>
      </c>
      <c r="K784" s="81"/>
      <c r="L784" s="29"/>
      <c r="M784" s="29"/>
      <c r="N784" s="23"/>
      <c r="O784" s="23"/>
      <c r="P784" s="23"/>
      <c r="Q784" s="23"/>
      <c r="R784" s="23"/>
      <c r="S784" s="23"/>
      <c r="T784" s="23"/>
      <c r="U784" s="23"/>
      <c r="V784" s="23"/>
      <c r="W784" s="23"/>
      <c r="X784" s="23"/>
      <c r="Y784" s="23"/>
      <c r="Z784" s="23"/>
      <c r="AA784" s="23"/>
      <c r="AB784" s="23"/>
      <c r="AC784" s="23"/>
      <c r="AD784" s="23"/>
      <c r="AE784" s="23"/>
      <c r="AF784" s="23"/>
      <c r="AG784" s="23"/>
      <c r="AH784" s="23"/>
      <c r="AI784" s="23"/>
      <c r="AJ784" s="23"/>
      <c r="AK784" s="23"/>
      <c r="AL784" s="23"/>
      <c r="AM784" s="23"/>
      <c r="AN784" s="23"/>
      <c r="AO784" s="23"/>
      <c r="AP784" s="23"/>
      <c r="AQ784" s="23"/>
      <c r="AR784" s="23"/>
      <c r="AS784" s="23">
        <f t="shared" si="12"/>
        <v>0</v>
      </c>
    </row>
    <row r="785" spans="1:45" s="27" customFormat="1" ht="28.5" hidden="1" x14ac:dyDescent="0.2">
      <c r="A785" s="28">
        <v>1241</v>
      </c>
      <c r="B785" s="9" t="s">
        <v>640</v>
      </c>
      <c r="C785" s="9" t="s">
        <v>641</v>
      </c>
      <c r="D785" s="9" t="s">
        <v>4</v>
      </c>
      <c r="E785" s="9" t="s">
        <v>5</v>
      </c>
      <c r="F785" s="9" t="s">
        <v>199</v>
      </c>
      <c r="G785" s="9" t="s">
        <v>412</v>
      </c>
      <c r="H785" s="9" t="s">
        <v>831</v>
      </c>
      <c r="I785" s="81"/>
      <c r="J785" s="10">
        <f>'Messages Dictionary'!J194</f>
        <v>0.5</v>
      </c>
      <c r="K785" s="81"/>
      <c r="L785" s="29"/>
      <c r="M785" s="29"/>
      <c r="N785" s="23"/>
      <c r="O785" s="23"/>
      <c r="P785" s="23"/>
      <c r="Q785" s="23"/>
      <c r="R785" s="23"/>
      <c r="S785" s="23"/>
      <c r="T785" s="23"/>
      <c r="U785" s="23"/>
      <c r="V785" s="23"/>
      <c r="W785" s="23"/>
      <c r="X785" s="23"/>
      <c r="Y785" s="23"/>
      <c r="Z785" s="23"/>
      <c r="AA785" s="23"/>
      <c r="AB785" s="23"/>
      <c r="AC785" s="23"/>
      <c r="AD785" s="23"/>
      <c r="AE785" s="23"/>
      <c r="AF785" s="23"/>
      <c r="AG785" s="23"/>
      <c r="AH785" s="23"/>
      <c r="AI785" s="23"/>
      <c r="AJ785" s="23"/>
      <c r="AK785" s="23"/>
      <c r="AL785" s="23"/>
      <c r="AM785" s="23"/>
      <c r="AN785" s="23"/>
      <c r="AO785" s="23"/>
      <c r="AP785" s="23"/>
      <c r="AQ785" s="23"/>
      <c r="AR785" s="23"/>
      <c r="AS785" s="23">
        <f t="shared" si="12"/>
        <v>0</v>
      </c>
    </row>
    <row r="786" spans="1:45" s="27" customFormat="1" ht="28.5" hidden="1" x14ac:dyDescent="0.2">
      <c r="A786" s="28">
        <v>1243</v>
      </c>
      <c r="B786" s="9" t="s">
        <v>314</v>
      </c>
      <c r="C786" s="9" t="s">
        <v>315</v>
      </c>
      <c r="D786" s="9" t="s">
        <v>860</v>
      </c>
      <c r="E786" s="9" t="s">
        <v>316</v>
      </c>
      <c r="F786" s="9" t="s">
        <v>199</v>
      </c>
      <c r="G786" s="9" t="s">
        <v>412</v>
      </c>
      <c r="H786" s="9" t="s">
        <v>831</v>
      </c>
      <c r="I786" s="81"/>
      <c r="J786" s="10">
        <f>'Messages Dictionary'!J195</f>
        <v>0.5</v>
      </c>
      <c r="K786" s="81"/>
      <c r="L786" s="29"/>
      <c r="M786" s="29"/>
      <c r="N786" s="23"/>
      <c r="O786" s="23"/>
      <c r="P786" s="23"/>
      <c r="Q786" s="23"/>
      <c r="R786" s="23"/>
      <c r="S786" s="23"/>
      <c r="T786" s="23"/>
      <c r="U786" s="23"/>
      <c r="V786" s="23"/>
      <c r="W786" s="23"/>
      <c r="X786" s="23"/>
      <c r="Y786" s="23"/>
      <c r="Z786" s="23"/>
      <c r="AA786" s="23"/>
      <c r="AB786" s="23"/>
      <c r="AC786" s="23"/>
      <c r="AD786" s="23"/>
      <c r="AE786" s="23"/>
      <c r="AF786" s="23"/>
      <c r="AG786" s="23"/>
      <c r="AH786" s="23"/>
      <c r="AI786" s="23"/>
      <c r="AJ786" s="23"/>
      <c r="AK786" s="23"/>
      <c r="AL786" s="23"/>
      <c r="AM786" s="23"/>
      <c r="AN786" s="23"/>
      <c r="AO786" s="23"/>
      <c r="AP786" s="23"/>
      <c r="AQ786" s="23"/>
      <c r="AR786" s="23"/>
      <c r="AS786" s="23">
        <f t="shared" si="12"/>
        <v>0</v>
      </c>
    </row>
    <row r="787" spans="1:45" s="27" customFormat="1" ht="28.5" hidden="1" x14ac:dyDescent="0.2">
      <c r="A787" s="28">
        <v>1244</v>
      </c>
      <c r="B787" s="9" t="s">
        <v>314</v>
      </c>
      <c r="C787" s="9" t="s">
        <v>315</v>
      </c>
      <c r="D787" s="9" t="s">
        <v>860</v>
      </c>
      <c r="E787" s="9" t="s">
        <v>316</v>
      </c>
      <c r="F787" s="9" t="s">
        <v>199</v>
      </c>
      <c r="G787" s="9" t="s">
        <v>412</v>
      </c>
      <c r="H787" s="9" t="s">
        <v>831</v>
      </c>
      <c r="I787" s="81"/>
      <c r="J787" s="10">
        <f>'Messages Dictionary'!J196</f>
        <v>0.5</v>
      </c>
      <c r="K787" s="81"/>
      <c r="L787" s="29"/>
      <c r="M787" s="29"/>
      <c r="N787" s="23"/>
      <c r="O787" s="23"/>
      <c r="P787" s="23"/>
      <c r="Q787" s="23"/>
      <c r="R787" s="23"/>
      <c r="S787" s="23"/>
      <c r="T787" s="23"/>
      <c r="U787" s="23"/>
      <c r="V787" s="23"/>
      <c r="W787" s="23"/>
      <c r="X787" s="23"/>
      <c r="Y787" s="23"/>
      <c r="Z787" s="23"/>
      <c r="AA787" s="23"/>
      <c r="AB787" s="23"/>
      <c r="AC787" s="23"/>
      <c r="AD787" s="23"/>
      <c r="AE787" s="23"/>
      <c r="AF787" s="23"/>
      <c r="AG787" s="23"/>
      <c r="AH787" s="23"/>
      <c r="AI787" s="23"/>
      <c r="AJ787" s="23"/>
      <c r="AK787" s="23"/>
      <c r="AL787" s="23"/>
      <c r="AM787" s="23"/>
      <c r="AN787" s="23"/>
      <c r="AO787" s="23"/>
      <c r="AP787" s="23"/>
      <c r="AQ787" s="23"/>
      <c r="AR787" s="23"/>
      <c r="AS787" s="23">
        <f t="shared" si="12"/>
        <v>0</v>
      </c>
    </row>
    <row r="788" spans="1:45" s="27" customFormat="1" ht="28.5" hidden="1" x14ac:dyDescent="0.2">
      <c r="A788" s="28">
        <v>1245</v>
      </c>
      <c r="B788" s="9" t="s">
        <v>314</v>
      </c>
      <c r="C788" s="9" t="s">
        <v>315</v>
      </c>
      <c r="D788" s="9" t="s">
        <v>860</v>
      </c>
      <c r="E788" s="9" t="s">
        <v>316</v>
      </c>
      <c r="F788" s="9" t="s">
        <v>199</v>
      </c>
      <c r="G788" s="9" t="s">
        <v>405</v>
      </c>
      <c r="H788" s="9" t="s">
        <v>536</v>
      </c>
      <c r="I788" s="81"/>
      <c r="J788" s="10">
        <f>'Messages Dictionary'!J197</f>
        <v>1</v>
      </c>
      <c r="K788" s="81"/>
      <c r="L788" s="29"/>
      <c r="M788" s="29"/>
      <c r="N788" s="23"/>
      <c r="O788" s="23"/>
      <c r="P788" s="23"/>
      <c r="Q788" s="23"/>
      <c r="R788" s="23"/>
      <c r="S788" s="23"/>
      <c r="T788" s="23"/>
      <c r="U788" s="23"/>
      <c r="V788" s="23"/>
      <c r="W788" s="23"/>
      <c r="X788" s="23"/>
      <c r="Y788" s="23"/>
      <c r="Z788" s="23"/>
      <c r="AA788" s="23"/>
      <c r="AB788" s="23"/>
      <c r="AC788" s="23"/>
      <c r="AD788" s="23"/>
      <c r="AE788" s="23"/>
      <c r="AF788" s="23"/>
      <c r="AG788" s="23"/>
      <c r="AH788" s="23"/>
      <c r="AI788" s="23"/>
      <c r="AJ788" s="23"/>
      <c r="AK788" s="23"/>
      <c r="AL788" s="23"/>
      <c r="AM788" s="23"/>
      <c r="AN788" s="23"/>
      <c r="AO788" s="23"/>
      <c r="AP788" s="23"/>
      <c r="AQ788" s="23"/>
      <c r="AR788" s="23"/>
      <c r="AS788" s="23">
        <f t="shared" si="12"/>
        <v>0</v>
      </c>
    </row>
    <row r="789" spans="1:45" s="27" customFormat="1" ht="28.5" hidden="1" x14ac:dyDescent="0.2">
      <c r="A789" s="28">
        <v>1246</v>
      </c>
      <c r="B789" s="9" t="s">
        <v>314</v>
      </c>
      <c r="C789" s="9" t="s">
        <v>315</v>
      </c>
      <c r="D789" s="9" t="s">
        <v>860</v>
      </c>
      <c r="E789" s="9" t="s">
        <v>316</v>
      </c>
      <c r="F789" s="9" t="s">
        <v>199</v>
      </c>
      <c r="G789" s="9" t="s">
        <v>405</v>
      </c>
      <c r="H789" s="9" t="s">
        <v>536</v>
      </c>
      <c r="I789" s="81"/>
      <c r="J789" s="10">
        <f>'Messages Dictionary'!J198</f>
        <v>1</v>
      </c>
      <c r="K789" s="81"/>
      <c r="L789" s="29"/>
      <c r="M789" s="29"/>
      <c r="N789" s="23"/>
      <c r="O789" s="23"/>
      <c r="P789" s="23"/>
      <c r="Q789" s="23"/>
      <c r="R789" s="23"/>
      <c r="S789" s="23"/>
      <c r="T789" s="23"/>
      <c r="U789" s="23"/>
      <c r="V789" s="23"/>
      <c r="W789" s="23"/>
      <c r="X789" s="23"/>
      <c r="Y789" s="23"/>
      <c r="Z789" s="23"/>
      <c r="AA789" s="23"/>
      <c r="AB789" s="23"/>
      <c r="AC789" s="23"/>
      <c r="AD789" s="23"/>
      <c r="AE789" s="23"/>
      <c r="AF789" s="23"/>
      <c r="AG789" s="23"/>
      <c r="AH789" s="23"/>
      <c r="AI789" s="23"/>
      <c r="AJ789" s="23"/>
      <c r="AK789" s="23"/>
      <c r="AL789" s="23"/>
      <c r="AM789" s="23"/>
      <c r="AN789" s="23"/>
      <c r="AO789" s="23"/>
      <c r="AP789" s="23"/>
      <c r="AQ789" s="23"/>
      <c r="AR789" s="23"/>
      <c r="AS789" s="23">
        <f t="shared" si="12"/>
        <v>0</v>
      </c>
    </row>
    <row r="790" spans="1:45" s="27" customFormat="1" ht="28.5" hidden="1" x14ac:dyDescent="0.2">
      <c r="A790" s="28">
        <v>1247</v>
      </c>
      <c r="B790" s="9" t="s">
        <v>314</v>
      </c>
      <c r="C790" s="9" t="s">
        <v>315</v>
      </c>
      <c r="D790" s="9" t="s">
        <v>860</v>
      </c>
      <c r="E790" s="9" t="s">
        <v>316</v>
      </c>
      <c r="F790" s="9" t="s">
        <v>199</v>
      </c>
      <c r="G790" s="9" t="s">
        <v>405</v>
      </c>
      <c r="H790" s="9" t="s">
        <v>536</v>
      </c>
      <c r="I790" s="81"/>
      <c r="J790" s="10">
        <f>'Messages Dictionary'!J199</f>
        <v>1</v>
      </c>
      <c r="K790" s="81"/>
      <c r="L790" s="29"/>
      <c r="M790" s="29"/>
      <c r="N790" s="23"/>
      <c r="O790" s="23"/>
      <c r="P790" s="23"/>
      <c r="Q790" s="23"/>
      <c r="R790" s="23"/>
      <c r="S790" s="23"/>
      <c r="T790" s="23"/>
      <c r="U790" s="23"/>
      <c r="V790" s="23"/>
      <c r="W790" s="23"/>
      <c r="X790" s="23"/>
      <c r="Y790" s="23"/>
      <c r="Z790" s="23"/>
      <c r="AA790" s="23"/>
      <c r="AB790" s="23"/>
      <c r="AC790" s="23"/>
      <c r="AD790" s="23"/>
      <c r="AE790" s="23"/>
      <c r="AF790" s="23"/>
      <c r="AG790" s="23"/>
      <c r="AH790" s="23"/>
      <c r="AI790" s="23"/>
      <c r="AJ790" s="23"/>
      <c r="AK790" s="23"/>
      <c r="AL790" s="23"/>
      <c r="AM790" s="23"/>
      <c r="AN790" s="23"/>
      <c r="AO790" s="23"/>
      <c r="AP790" s="23"/>
      <c r="AQ790" s="23"/>
      <c r="AR790" s="23"/>
      <c r="AS790" s="23">
        <f t="shared" si="12"/>
        <v>0</v>
      </c>
    </row>
    <row r="791" spans="1:45" s="27" customFormat="1" ht="28.5" hidden="1" x14ac:dyDescent="0.2">
      <c r="A791" s="28">
        <v>1248</v>
      </c>
      <c r="B791" s="9" t="s">
        <v>314</v>
      </c>
      <c r="C791" s="9" t="s">
        <v>315</v>
      </c>
      <c r="D791" s="9" t="s">
        <v>860</v>
      </c>
      <c r="E791" s="9" t="s">
        <v>316</v>
      </c>
      <c r="F791" s="9" t="s">
        <v>198</v>
      </c>
      <c r="G791" s="9" t="s">
        <v>405</v>
      </c>
      <c r="H791" s="9" t="s">
        <v>536</v>
      </c>
      <c r="I791" s="81"/>
      <c r="J791" s="10">
        <f>'Messages Dictionary'!J200</f>
        <v>1</v>
      </c>
      <c r="K791" s="81"/>
      <c r="L791" s="29"/>
      <c r="M791" s="29"/>
      <c r="N791" s="23"/>
      <c r="O791" s="23"/>
      <c r="P791" s="23"/>
      <c r="Q791" s="23"/>
      <c r="R791" s="23"/>
      <c r="S791" s="23"/>
      <c r="T791" s="23"/>
      <c r="U791" s="23"/>
      <c r="V791" s="23"/>
      <c r="W791" s="23"/>
      <c r="X791" s="23"/>
      <c r="Y791" s="23"/>
      <c r="Z791" s="23"/>
      <c r="AA791" s="23"/>
      <c r="AB791" s="23"/>
      <c r="AC791" s="23"/>
      <c r="AD791" s="23"/>
      <c r="AE791" s="23"/>
      <c r="AF791" s="23"/>
      <c r="AG791" s="23"/>
      <c r="AH791" s="23"/>
      <c r="AI791" s="23"/>
      <c r="AJ791" s="23"/>
      <c r="AK791" s="23"/>
      <c r="AL791" s="23"/>
      <c r="AM791" s="23"/>
      <c r="AN791" s="23"/>
      <c r="AO791" s="23"/>
      <c r="AP791" s="23"/>
      <c r="AQ791" s="23"/>
      <c r="AR791" s="23"/>
      <c r="AS791" s="23">
        <f t="shared" si="12"/>
        <v>0</v>
      </c>
    </row>
    <row r="792" spans="1:45" s="27" customFormat="1" ht="28.5" hidden="1" x14ac:dyDescent="0.2">
      <c r="A792" s="28">
        <v>1249</v>
      </c>
      <c r="B792" s="9" t="s">
        <v>314</v>
      </c>
      <c r="C792" s="9" t="s">
        <v>315</v>
      </c>
      <c r="D792" s="9" t="s">
        <v>860</v>
      </c>
      <c r="E792" s="9" t="s">
        <v>316</v>
      </c>
      <c r="F792" s="9" t="s">
        <v>199</v>
      </c>
      <c r="G792" s="9" t="s">
        <v>412</v>
      </c>
      <c r="H792" s="9" t="s">
        <v>831</v>
      </c>
      <c r="I792" s="81"/>
      <c r="J792" s="10">
        <f>'Messages Dictionary'!J201</f>
        <v>0.5</v>
      </c>
      <c r="K792" s="81"/>
      <c r="L792" s="29"/>
      <c r="M792" s="29"/>
      <c r="N792" s="23"/>
      <c r="O792" s="23"/>
      <c r="P792" s="23"/>
      <c r="Q792" s="23"/>
      <c r="R792" s="23"/>
      <c r="S792" s="23"/>
      <c r="T792" s="23"/>
      <c r="U792" s="23"/>
      <c r="V792" s="23"/>
      <c r="W792" s="23"/>
      <c r="X792" s="23"/>
      <c r="Y792" s="23"/>
      <c r="Z792" s="23"/>
      <c r="AA792" s="23"/>
      <c r="AB792" s="23"/>
      <c r="AC792" s="23"/>
      <c r="AD792" s="23"/>
      <c r="AE792" s="23"/>
      <c r="AF792" s="23"/>
      <c r="AG792" s="23"/>
      <c r="AH792" s="23"/>
      <c r="AI792" s="23"/>
      <c r="AJ792" s="23"/>
      <c r="AK792" s="23"/>
      <c r="AL792" s="23"/>
      <c r="AM792" s="23"/>
      <c r="AN792" s="23"/>
      <c r="AO792" s="23"/>
      <c r="AP792" s="23"/>
      <c r="AQ792" s="23"/>
      <c r="AR792" s="23"/>
      <c r="AS792" s="23">
        <f t="shared" si="12"/>
        <v>0</v>
      </c>
    </row>
    <row r="793" spans="1:45" s="27" customFormat="1" ht="28.5" hidden="1" x14ac:dyDescent="0.2">
      <c r="A793" s="28">
        <v>1250</v>
      </c>
      <c r="B793" s="9" t="s">
        <v>314</v>
      </c>
      <c r="C793" s="9" t="s">
        <v>315</v>
      </c>
      <c r="D793" s="9" t="s">
        <v>860</v>
      </c>
      <c r="E793" s="9" t="s">
        <v>316</v>
      </c>
      <c r="F793" s="9" t="s">
        <v>199</v>
      </c>
      <c r="G793" s="9" t="s">
        <v>412</v>
      </c>
      <c r="H793" s="9" t="s">
        <v>831</v>
      </c>
      <c r="I793" s="81"/>
      <c r="J793" s="10">
        <f>'Messages Dictionary'!J202</f>
        <v>1</v>
      </c>
      <c r="K793" s="81"/>
      <c r="L793" s="29"/>
      <c r="M793" s="29"/>
      <c r="N793" s="23"/>
      <c r="O793" s="23"/>
      <c r="P793" s="23"/>
      <c r="Q793" s="23"/>
      <c r="R793" s="23"/>
      <c r="S793" s="23"/>
      <c r="T793" s="23"/>
      <c r="U793" s="23"/>
      <c r="V793" s="23"/>
      <c r="W793" s="23"/>
      <c r="X793" s="23"/>
      <c r="Y793" s="23"/>
      <c r="Z793" s="23"/>
      <c r="AA793" s="23"/>
      <c r="AB793" s="23"/>
      <c r="AC793" s="23"/>
      <c r="AD793" s="23"/>
      <c r="AE793" s="23"/>
      <c r="AF793" s="23"/>
      <c r="AG793" s="23"/>
      <c r="AH793" s="23"/>
      <c r="AI793" s="23"/>
      <c r="AJ793" s="23"/>
      <c r="AK793" s="23"/>
      <c r="AL793" s="23"/>
      <c r="AM793" s="23"/>
      <c r="AN793" s="23"/>
      <c r="AO793" s="23"/>
      <c r="AP793" s="23"/>
      <c r="AQ793" s="23"/>
      <c r="AR793" s="23"/>
      <c r="AS793" s="23">
        <f t="shared" ref="AS793:AS799" si="13">AS194*$J793</f>
        <v>0</v>
      </c>
    </row>
    <row r="794" spans="1:45" s="27" customFormat="1" ht="28.5" hidden="1" x14ac:dyDescent="0.2">
      <c r="A794" s="28">
        <v>1251</v>
      </c>
      <c r="B794" s="9" t="s">
        <v>314</v>
      </c>
      <c r="C794" s="9" t="s">
        <v>315</v>
      </c>
      <c r="D794" s="9" t="s">
        <v>860</v>
      </c>
      <c r="E794" s="9" t="s">
        <v>316</v>
      </c>
      <c r="F794" s="9" t="s">
        <v>199</v>
      </c>
      <c r="G794" s="9" t="s">
        <v>412</v>
      </c>
      <c r="H794" s="9" t="s">
        <v>831</v>
      </c>
      <c r="I794" s="81"/>
      <c r="J794" s="10">
        <f>'Messages Dictionary'!J203</f>
        <v>0.5</v>
      </c>
      <c r="K794" s="81"/>
      <c r="L794" s="29"/>
      <c r="M794" s="29"/>
      <c r="N794" s="23"/>
      <c r="O794" s="23"/>
      <c r="P794" s="23"/>
      <c r="Q794" s="23"/>
      <c r="R794" s="23"/>
      <c r="S794" s="23"/>
      <c r="T794" s="23"/>
      <c r="U794" s="23"/>
      <c r="V794" s="23"/>
      <c r="W794" s="23"/>
      <c r="X794" s="23"/>
      <c r="Y794" s="23"/>
      <c r="Z794" s="23"/>
      <c r="AA794" s="23"/>
      <c r="AB794" s="23"/>
      <c r="AC794" s="23"/>
      <c r="AD794" s="23"/>
      <c r="AE794" s="23"/>
      <c r="AF794" s="23"/>
      <c r="AG794" s="23"/>
      <c r="AH794" s="23"/>
      <c r="AI794" s="23"/>
      <c r="AJ794" s="23"/>
      <c r="AK794" s="23"/>
      <c r="AL794" s="23"/>
      <c r="AM794" s="23"/>
      <c r="AN794" s="23"/>
      <c r="AO794" s="23"/>
      <c r="AP794" s="23"/>
      <c r="AQ794" s="23"/>
      <c r="AR794" s="23"/>
      <c r="AS794" s="23">
        <f t="shared" si="13"/>
        <v>0</v>
      </c>
    </row>
    <row r="795" spans="1:45" s="27" customFormat="1" ht="28.5" hidden="1" x14ac:dyDescent="0.2">
      <c r="A795" s="28">
        <v>1252</v>
      </c>
      <c r="B795" s="9" t="s">
        <v>314</v>
      </c>
      <c r="C795" s="9" t="s">
        <v>315</v>
      </c>
      <c r="D795" s="9" t="s">
        <v>860</v>
      </c>
      <c r="E795" s="9" t="s">
        <v>316</v>
      </c>
      <c r="F795" s="9" t="s">
        <v>199</v>
      </c>
      <c r="G795" s="9" t="s">
        <v>412</v>
      </c>
      <c r="H795" s="9" t="s">
        <v>831</v>
      </c>
      <c r="I795" s="81"/>
      <c r="J795" s="10">
        <f>'Messages Dictionary'!J204</f>
        <v>0.5</v>
      </c>
      <c r="K795" s="81"/>
      <c r="L795" s="29"/>
      <c r="M795" s="29"/>
      <c r="N795" s="23"/>
      <c r="O795" s="23"/>
      <c r="P795" s="23"/>
      <c r="Q795" s="23"/>
      <c r="R795" s="23"/>
      <c r="S795" s="23"/>
      <c r="T795" s="23"/>
      <c r="U795" s="23"/>
      <c r="V795" s="23"/>
      <c r="W795" s="23"/>
      <c r="X795" s="23"/>
      <c r="Y795" s="23"/>
      <c r="Z795" s="23"/>
      <c r="AA795" s="23"/>
      <c r="AB795" s="23"/>
      <c r="AC795" s="23"/>
      <c r="AD795" s="23"/>
      <c r="AE795" s="23"/>
      <c r="AF795" s="23"/>
      <c r="AG795" s="23"/>
      <c r="AH795" s="23"/>
      <c r="AI795" s="23"/>
      <c r="AJ795" s="23"/>
      <c r="AK795" s="23"/>
      <c r="AL795" s="23"/>
      <c r="AM795" s="23"/>
      <c r="AN795" s="23"/>
      <c r="AO795" s="23"/>
      <c r="AP795" s="23"/>
      <c r="AQ795" s="23"/>
      <c r="AR795" s="23"/>
      <c r="AS795" s="23">
        <f t="shared" si="13"/>
        <v>0</v>
      </c>
    </row>
    <row r="796" spans="1:45" s="27" customFormat="1" ht="28.5" hidden="1" x14ac:dyDescent="0.2">
      <c r="A796" s="28">
        <v>1253</v>
      </c>
      <c r="B796" s="9" t="s">
        <v>314</v>
      </c>
      <c r="C796" s="9" t="s">
        <v>315</v>
      </c>
      <c r="D796" s="9" t="s">
        <v>860</v>
      </c>
      <c r="E796" s="9" t="s">
        <v>316</v>
      </c>
      <c r="F796" s="9" t="s">
        <v>199</v>
      </c>
      <c r="G796" s="9" t="s">
        <v>405</v>
      </c>
      <c r="H796" s="9" t="s">
        <v>536</v>
      </c>
      <c r="I796" s="81"/>
      <c r="J796" s="10">
        <f>'Messages Dictionary'!J205</f>
        <v>1</v>
      </c>
      <c r="K796" s="81"/>
      <c r="L796" s="29"/>
      <c r="M796" s="29"/>
      <c r="N796" s="23"/>
      <c r="O796" s="23"/>
      <c r="P796" s="23"/>
      <c r="Q796" s="23"/>
      <c r="R796" s="23"/>
      <c r="S796" s="23"/>
      <c r="T796" s="23"/>
      <c r="U796" s="23"/>
      <c r="V796" s="23"/>
      <c r="W796" s="23"/>
      <c r="X796" s="23"/>
      <c r="Y796" s="23"/>
      <c r="Z796" s="23"/>
      <c r="AA796" s="23"/>
      <c r="AB796" s="23"/>
      <c r="AC796" s="23"/>
      <c r="AD796" s="23"/>
      <c r="AE796" s="23"/>
      <c r="AF796" s="23"/>
      <c r="AG796" s="23"/>
      <c r="AH796" s="23"/>
      <c r="AI796" s="23"/>
      <c r="AJ796" s="23"/>
      <c r="AK796" s="23"/>
      <c r="AL796" s="23"/>
      <c r="AM796" s="23"/>
      <c r="AN796" s="23"/>
      <c r="AO796" s="23"/>
      <c r="AP796" s="23"/>
      <c r="AQ796" s="23"/>
      <c r="AR796" s="23"/>
      <c r="AS796" s="23">
        <f t="shared" si="13"/>
        <v>0</v>
      </c>
    </row>
    <row r="797" spans="1:45" s="27" customFormat="1" ht="57" hidden="1" x14ac:dyDescent="0.2">
      <c r="A797" s="28">
        <v>1254</v>
      </c>
      <c r="B797" s="9" t="s">
        <v>642</v>
      </c>
      <c r="C797" s="9" t="s">
        <v>645</v>
      </c>
      <c r="D797" s="9" t="s">
        <v>860</v>
      </c>
      <c r="E797" s="9" t="s">
        <v>30</v>
      </c>
      <c r="F797" s="9" t="s">
        <v>199</v>
      </c>
      <c r="G797" s="9" t="s">
        <v>405</v>
      </c>
      <c r="H797" s="9" t="s">
        <v>646</v>
      </c>
      <c r="I797" s="81"/>
      <c r="J797" s="10">
        <f>'Messages Dictionary'!J206</f>
        <v>0.5</v>
      </c>
      <c r="K797" s="81"/>
      <c r="L797" s="29"/>
      <c r="M797" s="29"/>
      <c r="N797" s="23"/>
      <c r="O797" s="23"/>
      <c r="P797" s="23"/>
      <c r="Q797" s="23"/>
      <c r="R797" s="23"/>
      <c r="S797" s="23"/>
      <c r="T797" s="23"/>
      <c r="U797" s="23"/>
      <c r="V797" s="23"/>
      <c r="W797" s="23"/>
      <c r="X797" s="23"/>
      <c r="Y797" s="23"/>
      <c r="Z797" s="23"/>
      <c r="AA797" s="23"/>
      <c r="AB797" s="23"/>
      <c r="AC797" s="23"/>
      <c r="AD797" s="23"/>
      <c r="AE797" s="23"/>
      <c r="AF797" s="23"/>
      <c r="AG797" s="23"/>
      <c r="AH797" s="23"/>
      <c r="AI797" s="23"/>
      <c r="AJ797" s="23"/>
      <c r="AK797" s="23"/>
      <c r="AL797" s="23"/>
      <c r="AM797" s="23"/>
      <c r="AN797" s="23"/>
      <c r="AO797" s="23"/>
      <c r="AP797" s="23"/>
      <c r="AQ797" s="23"/>
      <c r="AR797" s="23"/>
      <c r="AS797" s="23">
        <f t="shared" si="13"/>
        <v>0</v>
      </c>
    </row>
    <row r="798" spans="1:45" s="27" customFormat="1" ht="42.75" hidden="1" x14ac:dyDescent="0.2">
      <c r="A798" s="28">
        <v>1255</v>
      </c>
      <c r="B798" s="9" t="s">
        <v>317</v>
      </c>
      <c r="C798" s="9" t="s">
        <v>318</v>
      </c>
      <c r="D798" s="9" t="s">
        <v>863</v>
      </c>
      <c r="E798" s="9" t="s">
        <v>319</v>
      </c>
      <c r="F798" s="9" t="s">
        <v>198</v>
      </c>
      <c r="G798" s="9" t="s">
        <v>405</v>
      </c>
      <c r="H798" s="9" t="s">
        <v>426</v>
      </c>
      <c r="I798" s="81"/>
      <c r="J798" s="10">
        <f>'Messages Dictionary'!J207</f>
        <v>0.25</v>
      </c>
      <c r="K798" s="81"/>
      <c r="L798" s="29"/>
      <c r="M798" s="29"/>
      <c r="N798" s="23"/>
      <c r="O798" s="23"/>
      <c r="P798" s="23"/>
      <c r="Q798" s="23"/>
      <c r="R798" s="23"/>
      <c r="S798" s="23"/>
      <c r="T798" s="23"/>
      <c r="U798" s="23"/>
      <c r="V798" s="23"/>
      <c r="W798" s="23"/>
      <c r="X798" s="23"/>
      <c r="Y798" s="23"/>
      <c r="Z798" s="23"/>
      <c r="AA798" s="23"/>
      <c r="AB798" s="23"/>
      <c r="AC798" s="23"/>
      <c r="AD798" s="23"/>
      <c r="AE798" s="23"/>
      <c r="AF798" s="23"/>
      <c r="AG798" s="23"/>
      <c r="AH798" s="23"/>
      <c r="AI798" s="23"/>
      <c r="AJ798" s="23"/>
      <c r="AK798" s="23"/>
      <c r="AL798" s="23"/>
      <c r="AM798" s="23"/>
      <c r="AN798" s="23"/>
      <c r="AO798" s="23"/>
      <c r="AP798" s="23"/>
      <c r="AQ798" s="23"/>
      <c r="AR798" s="23"/>
      <c r="AS798" s="23">
        <f t="shared" si="13"/>
        <v>0.25</v>
      </c>
    </row>
    <row r="799" spans="1:45" s="27" customFormat="1" ht="42.75" hidden="1" x14ac:dyDescent="0.2">
      <c r="A799" s="28">
        <v>1256</v>
      </c>
      <c r="B799" s="9" t="s">
        <v>317</v>
      </c>
      <c r="C799" s="9" t="s">
        <v>318</v>
      </c>
      <c r="D799" s="9" t="s">
        <v>863</v>
      </c>
      <c r="E799" s="9" t="s">
        <v>319</v>
      </c>
      <c r="F799" s="9" t="s">
        <v>199</v>
      </c>
      <c r="G799" s="9" t="s">
        <v>412</v>
      </c>
      <c r="H799" s="9" t="s">
        <v>831</v>
      </c>
      <c r="I799" s="81"/>
      <c r="J799" s="10">
        <f>'Messages Dictionary'!J208</f>
        <v>1</v>
      </c>
      <c r="K799" s="81"/>
      <c r="L799" s="29"/>
      <c r="M799" s="29"/>
      <c r="N799" s="23"/>
      <c r="O799" s="23"/>
      <c r="P799" s="23"/>
      <c r="Q799" s="23"/>
      <c r="R799" s="23"/>
      <c r="S799" s="23"/>
      <c r="T799" s="23"/>
      <c r="U799" s="23"/>
      <c r="V799" s="23"/>
      <c r="W799" s="23"/>
      <c r="X799" s="23"/>
      <c r="Y799" s="23"/>
      <c r="Z799" s="23"/>
      <c r="AA799" s="23"/>
      <c r="AB799" s="23"/>
      <c r="AC799" s="23"/>
      <c r="AD799" s="23"/>
      <c r="AE799" s="23"/>
      <c r="AF799" s="23"/>
      <c r="AG799" s="23"/>
      <c r="AH799" s="23"/>
      <c r="AI799" s="23"/>
      <c r="AJ799" s="23"/>
      <c r="AK799" s="23"/>
      <c r="AL799" s="23"/>
      <c r="AM799" s="23"/>
      <c r="AN799" s="23"/>
      <c r="AO799" s="23"/>
      <c r="AP799" s="23"/>
      <c r="AQ799" s="23"/>
      <c r="AR799" s="23"/>
      <c r="AS799" s="23">
        <f t="shared" si="13"/>
        <v>0</v>
      </c>
    </row>
    <row r="800" spans="1:45" s="27" customFormat="1" ht="42.75" hidden="1" x14ac:dyDescent="0.2">
      <c r="A800" s="28">
        <v>1257</v>
      </c>
      <c r="B800" s="9" t="s">
        <v>317</v>
      </c>
      <c r="C800" s="9" t="s">
        <v>318</v>
      </c>
      <c r="D800" s="9" t="s">
        <v>863</v>
      </c>
      <c r="E800" s="9" t="s">
        <v>319</v>
      </c>
      <c r="F800" s="9" t="s">
        <v>198</v>
      </c>
      <c r="G800" s="9" t="s">
        <v>809</v>
      </c>
      <c r="H800" s="9" t="s">
        <v>831</v>
      </c>
      <c r="I800" s="81"/>
      <c r="J800" s="10">
        <f>'Messages Dictionary'!J209</f>
        <v>0.25</v>
      </c>
      <c r="K800" s="81"/>
      <c r="L800" s="29"/>
      <c r="M800" s="29"/>
      <c r="N800" s="23"/>
      <c r="O800" s="23"/>
      <c r="P800" s="23"/>
      <c r="Q800" s="23"/>
      <c r="R800" s="23"/>
      <c r="S800" s="23"/>
      <c r="T800" s="23"/>
      <c r="U800" s="23"/>
      <c r="V800" s="23"/>
      <c r="W800" s="23"/>
      <c r="X800" s="23"/>
      <c r="Y800" s="23"/>
      <c r="Z800" s="23"/>
      <c r="AA800" s="23"/>
      <c r="AB800" s="23"/>
      <c r="AC800" s="23"/>
      <c r="AD800" s="23"/>
      <c r="AE800" s="23"/>
      <c r="AF800" s="23"/>
      <c r="AG800" s="23"/>
      <c r="AH800" s="23"/>
      <c r="AI800" s="23"/>
      <c r="AJ800" s="23"/>
      <c r="AK800" s="23"/>
      <c r="AL800" s="23"/>
      <c r="AM800" s="23"/>
      <c r="AN800" s="23"/>
      <c r="AO800" s="23"/>
      <c r="AP800" s="23"/>
      <c r="AQ800" s="23"/>
      <c r="AR800" s="23"/>
      <c r="AS800" s="23">
        <f>AS201*$J800</f>
        <v>0</v>
      </c>
    </row>
    <row r="801" spans="1:45" s="27" customFormat="1" ht="42.75" hidden="1" x14ac:dyDescent="0.2">
      <c r="A801" s="28">
        <v>1258</v>
      </c>
      <c r="B801" s="9" t="s">
        <v>317</v>
      </c>
      <c r="C801" s="9" t="s">
        <v>318</v>
      </c>
      <c r="D801" s="9" t="s">
        <v>863</v>
      </c>
      <c r="E801" s="9" t="s">
        <v>319</v>
      </c>
      <c r="F801" s="9" t="s">
        <v>199</v>
      </c>
      <c r="G801" s="9" t="s">
        <v>412</v>
      </c>
      <c r="H801" s="9" t="s">
        <v>831</v>
      </c>
      <c r="I801" s="81"/>
      <c r="J801" s="10">
        <f>'Messages Dictionary'!J210</f>
        <v>0.5</v>
      </c>
      <c r="K801" s="81"/>
      <c r="L801" s="29"/>
      <c r="M801" s="29"/>
      <c r="N801" s="23"/>
      <c r="O801" s="23"/>
      <c r="P801" s="23"/>
      <c r="Q801" s="23"/>
      <c r="R801" s="23"/>
      <c r="S801" s="23"/>
      <c r="T801" s="23"/>
      <c r="U801" s="23"/>
      <c r="V801" s="23"/>
      <c r="W801" s="23"/>
      <c r="X801" s="23"/>
      <c r="Y801" s="23"/>
      <c r="Z801" s="23"/>
      <c r="AA801" s="23"/>
      <c r="AB801" s="23"/>
      <c r="AC801" s="23"/>
      <c r="AD801" s="23"/>
      <c r="AE801" s="23"/>
      <c r="AF801" s="23"/>
      <c r="AG801" s="23"/>
      <c r="AH801" s="23"/>
      <c r="AI801" s="23"/>
      <c r="AJ801" s="23"/>
      <c r="AK801" s="23"/>
      <c r="AL801" s="23"/>
      <c r="AM801" s="23"/>
      <c r="AN801" s="23"/>
      <c r="AO801" s="23"/>
      <c r="AP801" s="23"/>
      <c r="AQ801" s="23"/>
      <c r="AR801" s="23"/>
      <c r="AS801" s="23">
        <f>AS202*$J801</f>
        <v>0</v>
      </c>
    </row>
    <row r="802" spans="1:45" s="27" customFormat="1" ht="42.75" hidden="1" x14ac:dyDescent="0.2">
      <c r="A802" s="28">
        <v>1259</v>
      </c>
      <c r="B802" s="9" t="s">
        <v>317</v>
      </c>
      <c r="C802" s="9" t="s">
        <v>318</v>
      </c>
      <c r="D802" s="9" t="s">
        <v>863</v>
      </c>
      <c r="E802" s="9" t="s">
        <v>319</v>
      </c>
      <c r="F802" s="9" t="s">
        <v>198</v>
      </c>
      <c r="G802" s="9" t="s">
        <v>809</v>
      </c>
      <c r="H802" s="9" t="s">
        <v>831</v>
      </c>
      <c r="I802" s="81"/>
      <c r="J802" s="10">
        <f>'Messages Dictionary'!J211</f>
        <v>0.25</v>
      </c>
      <c r="K802" s="81"/>
      <c r="L802" s="29"/>
      <c r="M802" s="29"/>
      <c r="N802" s="23"/>
      <c r="O802" s="23"/>
      <c r="P802" s="23"/>
      <c r="Q802" s="23"/>
      <c r="R802" s="23"/>
      <c r="S802" s="23"/>
      <c r="T802" s="23"/>
      <c r="U802" s="23"/>
      <c r="V802" s="23"/>
      <c r="W802" s="23"/>
      <c r="X802" s="23"/>
      <c r="Y802" s="23"/>
      <c r="Z802" s="23"/>
      <c r="AA802" s="23"/>
      <c r="AB802" s="23"/>
      <c r="AC802" s="23"/>
      <c r="AD802" s="23"/>
      <c r="AE802" s="23"/>
      <c r="AF802" s="23"/>
      <c r="AG802" s="23"/>
      <c r="AH802" s="23"/>
      <c r="AI802" s="23"/>
      <c r="AJ802" s="23"/>
      <c r="AK802" s="23"/>
      <c r="AL802" s="23"/>
      <c r="AM802" s="23"/>
      <c r="AN802" s="23"/>
      <c r="AO802" s="23"/>
      <c r="AP802" s="23"/>
      <c r="AQ802" s="23"/>
      <c r="AR802" s="23"/>
      <c r="AS802" s="23">
        <f t="shared" ref="AS802:AS865" si="14">AS203*$J802</f>
        <v>0</v>
      </c>
    </row>
    <row r="803" spans="1:45" s="27" customFormat="1" ht="42.75" hidden="1" x14ac:dyDescent="0.2">
      <c r="A803" s="28">
        <v>1260</v>
      </c>
      <c r="B803" s="9" t="s">
        <v>317</v>
      </c>
      <c r="C803" s="9" t="s">
        <v>318</v>
      </c>
      <c r="D803" s="9" t="s">
        <v>863</v>
      </c>
      <c r="E803" s="9" t="s">
        <v>319</v>
      </c>
      <c r="F803" s="9" t="s">
        <v>199</v>
      </c>
      <c r="G803" s="9" t="s">
        <v>412</v>
      </c>
      <c r="H803" s="9" t="s">
        <v>831</v>
      </c>
      <c r="I803" s="81"/>
      <c r="J803" s="10">
        <f>'Messages Dictionary'!J212</f>
        <v>0.5</v>
      </c>
      <c r="K803" s="81"/>
      <c r="L803" s="29"/>
      <c r="M803" s="29"/>
      <c r="N803" s="23"/>
      <c r="O803" s="23"/>
      <c r="P803" s="23"/>
      <c r="Q803" s="23"/>
      <c r="R803" s="23"/>
      <c r="S803" s="23"/>
      <c r="T803" s="23"/>
      <c r="U803" s="23"/>
      <c r="V803" s="23"/>
      <c r="W803" s="23"/>
      <c r="X803" s="23"/>
      <c r="Y803" s="23"/>
      <c r="Z803" s="23"/>
      <c r="AA803" s="23"/>
      <c r="AB803" s="23"/>
      <c r="AC803" s="23"/>
      <c r="AD803" s="23"/>
      <c r="AE803" s="23"/>
      <c r="AF803" s="23"/>
      <c r="AG803" s="23"/>
      <c r="AH803" s="23"/>
      <c r="AI803" s="23"/>
      <c r="AJ803" s="23"/>
      <c r="AK803" s="23"/>
      <c r="AL803" s="23"/>
      <c r="AM803" s="23"/>
      <c r="AN803" s="23"/>
      <c r="AO803" s="23"/>
      <c r="AP803" s="23"/>
      <c r="AQ803" s="23"/>
      <c r="AR803" s="23"/>
      <c r="AS803" s="23">
        <f t="shared" si="14"/>
        <v>0</v>
      </c>
    </row>
    <row r="804" spans="1:45" s="27" customFormat="1" ht="42.75" hidden="1" x14ac:dyDescent="0.2">
      <c r="A804" s="28">
        <v>1261</v>
      </c>
      <c r="B804" s="9" t="s">
        <v>320</v>
      </c>
      <c r="C804" s="9" t="s">
        <v>321</v>
      </c>
      <c r="D804" s="9" t="s">
        <v>828</v>
      </c>
      <c r="E804" s="9" t="s">
        <v>829</v>
      </c>
      <c r="F804" s="9" t="s">
        <v>199</v>
      </c>
      <c r="G804" s="9" t="s">
        <v>412</v>
      </c>
      <c r="H804" s="9" t="s">
        <v>831</v>
      </c>
      <c r="I804" s="81"/>
      <c r="J804" s="10">
        <f>'Messages Dictionary'!J213</f>
        <v>1</v>
      </c>
      <c r="K804" s="81"/>
      <c r="L804" s="29"/>
      <c r="M804" s="29"/>
      <c r="N804" s="23"/>
      <c r="O804" s="23"/>
      <c r="P804" s="23"/>
      <c r="Q804" s="23"/>
      <c r="R804" s="23"/>
      <c r="S804" s="23"/>
      <c r="T804" s="23"/>
      <c r="U804" s="23"/>
      <c r="V804" s="23"/>
      <c r="W804" s="23"/>
      <c r="X804" s="23"/>
      <c r="Y804" s="23"/>
      <c r="Z804" s="23"/>
      <c r="AA804" s="23"/>
      <c r="AB804" s="23"/>
      <c r="AC804" s="23"/>
      <c r="AD804" s="23"/>
      <c r="AE804" s="23"/>
      <c r="AF804" s="23"/>
      <c r="AG804" s="23"/>
      <c r="AH804" s="23"/>
      <c r="AI804" s="23"/>
      <c r="AJ804" s="23"/>
      <c r="AK804" s="23"/>
      <c r="AL804" s="23"/>
      <c r="AM804" s="23"/>
      <c r="AN804" s="23"/>
      <c r="AO804" s="23"/>
      <c r="AP804" s="23"/>
      <c r="AQ804" s="23"/>
      <c r="AR804" s="23"/>
      <c r="AS804" s="23">
        <f t="shared" si="14"/>
        <v>0</v>
      </c>
    </row>
    <row r="805" spans="1:45" s="27" customFormat="1" hidden="1" x14ac:dyDescent="0.2">
      <c r="A805" s="28">
        <v>1262</v>
      </c>
      <c r="B805" s="9" t="s">
        <v>322</v>
      </c>
      <c r="C805" s="9" t="s">
        <v>323</v>
      </c>
      <c r="D805" s="9" t="s">
        <v>404</v>
      </c>
      <c r="E805" s="9" t="s">
        <v>404</v>
      </c>
      <c r="F805" s="9" t="s">
        <v>199</v>
      </c>
      <c r="G805" s="9" t="s">
        <v>412</v>
      </c>
      <c r="H805" s="9" t="s">
        <v>831</v>
      </c>
      <c r="I805" s="81"/>
      <c r="J805" s="10">
        <f>'Messages Dictionary'!J214</f>
        <v>0.5</v>
      </c>
      <c r="K805" s="81"/>
      <c r="L805" s="29"/>
      <c r="M805" s="29"/>
      <c r="N805" s="23"/>
      <c r="O805" s="23"/>
      <c r="P805" s="23"/>
      <c r="Q805" s="23"/>
      <c r="R805" s="23"/>
      <c r="S805" s="23"/>
      <c r="T805" s="23"/>
      <c r="U805" s="23"/>
      <c r="V805" s="23"/>
      <c r="W805" s="23"/>
      <c r="X805" s="23"/>
      <c r="Y805" s="23"/>
      <c r="Z805" s="23"/>
      <c r="AA805" s="23"/>
      <c r="AB805" s="23"/>
      <c r="AC805" s="23"/>
      <c r="AD805" s="23"/>
      <c r="AE805" s="23"/>
      <c r="AF805" s="23"/>
      <c r="AG805" s="23"/>
      <c r="AH805" s="23"/>
      <c r="AI805" s="23"/>
      <c r="AJ805" s="23"/>
      <c r="AK805" s="23"/>
      <c r="AL805" s="23"/>
      <c r="AM805" s="23"/>
      <c r="AN805" s="23"/>
      <c r="AO805" s="23"/>
      <c r="AP805" s="23"/>
      <c r="AQ805" s="23"/>
      <c r="AR805" s="23"/>
      <c r="AS805" s="23">
        <f t="shared" si="14"/>
        <v>0</v>
      </c>
    </row>
    <row r="806" spans="1:45" s="27" customFormat="1" ht="42.75" hidden="1" x14ac:dyDescent="0.2">
      <c r="A806" s="28">
        <v>1263</v>
      </c>
      <c r="B806" s="9" t="s">
        <v>324</v>
      </c>
      <c r="C806" s="9" t="s">
        <v>325</v>
      </c>
      <c r="D806" s="9" t="s">
        <v>860</v>
      </c>
      <c r="E806" s="9" t="s">
        <v>30</v>
      </c>
      <c r="F806" s="9" t="s">
        <v>199</v>
      </c>
      <c r="G806" s="9" t="s">
        <v>412</v>
      </c>
      <c r="H806" s="9" t="s">
        <v>831</v>
      </c>
      <c r="I806" s="81"/>
      <c r="J806" s="10">
        <f>'Messages Dictionary'!J215</f>
        <v>0.5</v>
      </c>
      <c r="K806" s="81"/>
      <c r="L806" s="29"/>
      <c r="M806" s="29"/>
      <c r="N806" s="23"/>
      <c r="O806" s="23"/>
      <c r="P806" s="23"/>
      <c r="Q806" s="23"/>
      <c r="R806" s="23"/>
      <c r="S806" s="23"/>
      <c r="T806" s="23"/>
      <c r="U806" s="23"/>
      <c r="V806" s="23"/>
      <c r="W806" s="23"/>
      <c r="X806" s="23"/>
      <c r="Y806" s="23"/>
      <c r="Z806" s="23"/>
      <c r="AA806" s="23"/>
      <c r="AB806" s="23"/>
      <c r="AC806" s="23"/>
      <c r="AD806" s="23"/>
      <c r="AE806" s="23"/>
      <c r="AF806" s="23"/>
      <c r="AG806" s="23"/>
      <c r="AH806" s="23"/>
      <c r="AI806" s="23"/>
      <c r="AJ806" s="23"/>
      <c r="AK806" s="23"/>
      <c r="AL806" s="23"/>
      <c r="AM806" s="23"/>
      <c r="AN806" s="23"/>
      <c r="AO806" s="23"/>
      <c r="AP806" s="23"/>
      <c r="AQ806" s="23"/>
      <c r="AR806" s="23"/>
      <c r="AS806" s="23">
        <f t="shared" si="14"/>
        <v>0</v>
      </c>
    </row>
    <row r="807" spans="1:45" s="27" customFormat="1" ht="28.5" hidden="1" x14ac:dyDescent="0.2">
      <c r="A807" s="28">
        <v>1264</v>
      </c>
      <c r="B807" s="9" t="s">
        <v>844</v>
      </c>
      <c r="C807" s="9" t="s">
        <v>326</v>
      </c>
      <c r="D807" s="9" t="s">
        <v>842</v>
      </c>
      <c r="E807" s="9" t="s">
        <v>842</v>
      </c>
      <c r="F807" s="9" t="s">
        <v>199</v>
      </c>
      <c r="G807" s="9" t="s">
        <v>809</v>
      </c>
      <c r="H807" s="9" t="s">
        <v>831</v>
      </c>
      <c r="I807" s="81"/>
      <c r="J807" s="10">
        <f>'Messages Dictionary'!J216</f>
        <v>0</v>
      </c>
      <c r="K807" s="81"/>
      <c r="L807" s="29"/>
      <c r="M807" s="29"/>
      <c r="N807" s="23"/>
      <c r="O807" s="23"/>
      <c r="P807" s="23"/>
      <c r="Q807" s="23"/>
      <c r="R807" s="23"/>
      <c r="S807" s="23"/>
      <c r="T807" s="23"/>
      <c r="U807" s="23"/>
      <c r="V807" s="23"/>
      <c r="W807" s="23"/>
      <c r="X807" s="23"/>
      <c r="Y807" s="23"/>
      <c r="Z807" s="23"/>
      <c r="AA807" s="23"/>
      <c r="AB807" s="23"/>
      <c r="AC807" s="23"/>
      <c r="AD807" s="23"/>
      <c r="AE807" s="23"/>
      <c r="AF807" s="23"/>
      <c r="AG807" s="23"/>
      <c r="AH807" s="23"/>
      <c r="AI807" s="23"/>
      <c r="AJ807" s="23"/>
      <c r="AK807" s="23"/>
      <c r="AL807" s="23"/>
      <c r="AM807" s="23"/>
      <c r="AN807" s="23"/>
      <c r="AO807" s="23"/>
      <c r="AP807" s="23"/>
      <c r="AQ807" s="23"/>
      <c r="AR807" s="23"/>
      <c r="AS807" s="23">
        <f t="shared" si="14"/>
        <v>0</v>
      </c>
    </row>
    <row r="808" spans="1:45" s="27" customFormat="1" ht="28.5" hidden="1" x14ac:dyDescent="0.2">
      <c r="A808" s="28">
        <v>1265</v>
      </c>
      <c r="B808" s="9" t="s">
        <v>846</v>
      </c>
      <c r="C808" s="9" t="s">
        <v>326</v>
      </c>
      <c r="D808" s="9" t="s">
        <v>842</v>
      </c>
      <c r="E808" s="9" t="s">
        <v>842</v>
      </c>
      <c r="F808" s="9" t="s">
        <v>199</v>
      </c>
      <c r="G808" s="9" t="s">
        <v>809</v>
      </c>
      <c r="H808" s="9" t="s">
        <v>831</v>
      </c>
      <c r="I808" s="81"/>
      <c r="J808" s="10">
        <f>'Messages Dictionary'!J217</f>
        <v>0</v>
      </c>
      <c r="K808" s="81"/>
      <c r="L808" s="29"/>
      <c r="M808" s="29"/>
      <c r="N808" s="23"/>
      <c r="O808" s="23"/>
      <c r="P808" s="23"/>
      <c r="Q808" s="23"/>
      <c r="R808" s="23"/>
      <c r="S808" s="23"/>
      <c r="T808" s="23"/>
      <c r="U808" s="23"/>
      <c r="V808" s="23"/>
      <c r="W808" s="23"/>
      <c r="X808" s="23"/>
      <c r="Y808" s="23"/>
      <c r="Z808" s="23"/>
      <c r="AA808" s="23"/>
      <c r="AB808" s="23"/>
      <c r="AC808" s="23"/>
      <c r="AD808" s="23"/>
      <c r="AE808" s="23"/>
      <c r="AF808" s="23"/>
      <c r="AG808" s="23"/>
      <c r="AH808" s="23"/>
      <c r="AI808" s="23"/>
      <c r="AJ808" s="23"/>
      <c r="AK808" s="23"/>
      <c r="AL808" s="23"/>
      <c r="AM808" s="23"/>
      <c r="AN808" s="23"/>
      <c r="AO808" s="23"/>
      <c r="AP808" s="23"/>
      <c r="AQ808" s="23"/>
      <c r="AR808" s="23"/>
      <c r="AS808" s="23">
        <f t="shared" si="14"/>
        <v>0</v>
      </c>
    </row>
    <row r="809" spans="1:45" s="27" customFormat="1" ht="28.5" hidden="1" x14ac:dyDescent="0.2">
      <c r="A809" s="28">
        <v>1266</v>
      </c>
      <c r="B809" s="9" t="s">
        <v>847</v>
      </c>
      <c r="C809" s="9" t="s">
        <v>326</v>
      </c>
      <c r="D809" s="9" t="s">
        <v>842</v>
      </c>
      <c r="E809" s="9" t="s">
        <v>842</v>
      </c>
      <c r="F809" s="9" t="s">
        <v>199</v>
      </c>
      <c r="G809" s="9" t="s">
        <v>809</v>
      </c>
      <c r="H809" s="9" t="s">
        <v>831</v>
      </c>
      <c r="I809" s="81"/>
      <c r="J809" s="10">
        <f>'Messages Dictionary'!J218</f>
        <v>0</v>
      </c>
      <c r="K809" s="81"/>
      <c r="L809" s="29"/>
      <c r="M809" s="29"/>
      <c r="N809" s="23"/>
      <c r="O809" s="23"/>
      <c r="P809" s="23"/>
      <c r="Q809" s="23"/>
      <c r="R809" s="23"/>
      <c r="S809" s="23"/>
      <c r="T809" s="23"/>
      <c r="U809" s="23"/>
      <c r="V809" s="23"/>
      <c r="W809" s="23"/>
      <c r="X809" s="23"/>
      <c r="Y809" s="23"/>
      <c r="Z809" s="23"/>
      <c r="AA809" s="23"/>
      <c r="AB809" s="23"/>
      <c r="AC809" s="23"/>
      <c r="AD809" s="23"/>
      <c r="AE809" s="23"/>
      <c r="AF809" s="23"/>
      <c r="AG809" s="23"/>
      <c r="AH809" s="23"/>
      <c r="AI809" s="23"/>
      <c r="AJ809" s="23"/>
      <c r="AK809" s="23"/>
      <c r="AL809" s="23"/>
      <c r="AM809" s="23"/>
      <c r="AN809" s="23"/>
      <c r="AO809" s="23"/>
      <c r="AP809" s="23"/>
      <c r="AQ809" s="23"/>
      <c r="AR809" s="23"/>
      <c r="AS809" s="23">
        <f t="shared" si="14"/>
        <v>0</v>
      </c>
    </row>
    <row r="810" spans="1:45" s="27" customFormat="1" ht="28.5" hidden="1" x14ac:dyDescent="0.2">
      <c r="A810" s="28">
        <v>1267</v>
      </c>
      <c r="B810" s="9" t="s">
        <v>848</v>
      </c>
      <c r="C810" s="9" t="s">
        <v>326</v>
      </c>
      <c r="D810" s="9" t="s">
        <v>842</v>
      </c>
      <c r="E810" s="9" t="s">
        <v>842</v>
      </c>
      <c r="F810" s="9" t="s">
        <v>200</v>
      </c>
      <c r="G810" s="9" t="s">
        <v>809</v>
      </c>
      <c r="H810" s="9" t="s">
        <v>831</v>
      </c>
      <c r="I810" s="81"/>
      <c r="J810" s="10">
        <f>'Messages Dictionary'!J219</f>
        <v>0</v>
      </c>
      <c r="K810" s="81"/>
      <c r="L810" s="29"/>
      <c r="M810" s="29"/>
      <c r="N810" s="23"/>
      <c r="O810" s="23"/>
      <c r="P810" s="23"/>
      <c r="Q810" s="23"/>
      <c r="R810" s="23"/>
      <c r="S810" s="23"/>
      <c r="T810" s="23"/>
      <c r="U810" s="23"/>
      <c r="V810" s="23"/>
      <c r="W810" s="23"/>
      <c r="X810" s="23"/>
      <c r="Y810" s="23"/>
      <c r="Z810" s="23"/>
      <c r="AA810" s="23"/>
      <c r="AB810" s="23"/>
      <c r="AC810" s="23"/>
      <c r="AD810" s="23"/>
      <c r="AE810" s="23"/>
      <c r="AF810" s="23"/>
      <c r="AG810" s="23"/>
      <c r="AH810" s="23"/>
      <c r="AI810" s="23"/>
      <c r="AJ810" s="23"/>
      <c r="AK810" s="23"/>
      <c r="AL810" s="23"/>
      <c r="AM810" s="23"/>
      <c r="AN810" s="23"/>
      <c r="AO810" s="23"/>
      <c r="AP810" s="23"/>
      <c r="AQ810" s="23"/>
      <c r="AR810" s="23"/>
      <c r="AS810" s="23">
        <f t="shared" si="14"/>
        <v>0</v>
      </c>
    </row>
    <row r="811" spans="1:45" s="27" customFormat="1" ht="28.5" hidden="1" x14ac:dyDescent="0.2">
      <c r="A811" s="28">
        <v>1268</v>
      </c>
      <c r="B811" s="9" t="s">
        <v>840</v>
      </c>
      <c r="C811" s="9" t="s">
        <v>328</v>
      </c>
      <c r="D811" s="9" t="s">
        <v>842</v>
      </c>
      <c r="E811" s="9" t="s">
        <v>842</v>
      </c>
      <c r="F811" s="9" t="s">
        <v>200</v>
      </c>
      <c r="G811" s="9" t="s">
        <v>809</v>
      </c>
      <c r="H811" s="9" t="s">
        <v>831</v>
      </c>
      <c r="I811" s="81"/>
      <c r="J811" s="10">
        <f>'Messages Dictionary'!J220</f>
        <v>0</v>
      </c>
      <c r="K811" s="81"/>
      <c r="L811" s="29"/>
      <c r="M811" s="29"/>
      <c r="N811" s="23"/>
      <c r="O811" s="23"/>
      <c r="P811" s="23"/>
      <c r="Q811" s="23"/>
      <c r="R811" s="23"/>
      <c r="S811" s="23"/>
      <c r="T811" s="23"/>
      <c r="U811" s="23"/>
      <c r="V811" s="23"/>
      <c r="W811" s="23"/>
      <c r="X811" s="23"/>
      <c r="Y811" s="23"/>
      <c r="Z811" s="23"/>
      <c r="AA811" s="23"/>
      <c r="AB811" s="23"/>
      <c r="AC811" s="23"/>
      <c r="AD811" s="23"/>
      <c r="AE811" s="23"/>
      <c r="AF811" s="23"/>
      <c r="AG811" s="23"/>
      <c r="AH811" s="23"/>
      <c r="AI811" s="23"/>
      <c r="AJ811" s="23"/>
      <c r="AK811" s="23"/>
      <c r="AL811" s="23"/>
      <c r="AM811" s="23"/>
      <c r="AN811" s="23"/>
      <c r="AO811" s="23"/>
      <c r="AP811" s="23"/>
      <c r="AQ811" s="23"/>
      <c r="AR811" s="23"/>
      <c r="AS811" s="23">
        <f t="shared" si="14"/>
        <v>0</v>
      </c>
    </row>
    <row r="812" spans="1:45" s="27" customFormat="1" ht="28.5" hidden="1" x14ac:dyDescent="0.2">
      <c r="A812" s="28">
        <v>1269</v>
      </c>
      <c r="B812" s="9" t="s">
        <v>843</v>
      </c>
      <c r="C812" s="9" t="s">
        <v>328</v>
      </c>
      <c r="D812" s="9" t="s">
        <v>842</v>
      </c>
      <c r="E812" s="9" t="s">
        <v>842</v>
      </c>
      <c r="F812" s="9" t="s">
        <v>200</v>
      </c>
      <c r="G812" s="9" t="s">
        <v>809</v>
      </c>
      <c r="H812" s="9" t="s">
        <v>831</v>
      </c>
      <c r="I812" s="81"/>
      <c r="J812" s="10">
        <f>'Messages Dictionary'!J221</f>
        <v>0</v>
      </c>
      <c r="K812" s="81"/>
      <c r="L812" s="29"/>
      <c r="M812" s="29"/>
      <c r="N812" s="23"/>
      <c r="O812" s="23"/>
      <c r="P812" s="23"/>
      <c r="Q812" s="23"/>
      <c r="R812" s="23"/>
      <c r="S812" s="23"/>
      <c r="T812" s="23"/>
      <c r="U812" s="23"/>
      <c r="V812" s="23"/>
      <c r="W812" s="23"/>
      <c r="X812" s="23"/>
      <c r="Y812" s="23"/>
      <c r="Z812" s="23"/>
      <c r="AA812" s="23"/>
      <c r="AB812" s="23"/>
      <c r="AC812" s="23"/>
      <c r="AD812" s="23"/>
      <c r="AE812" s="23"/>
      <c r="AF812" s="23"/>
      <c r="AG812" s="23"/>
      <c r="AH812" s="23"/>
      <c r="AI812" s="23"/>
      <c r="AJ812" s="23"/>
      <c r="AK812" s="23"/>
      <c r="AL812" s="23"/>
      <c r="AM812" s="23"/>
      <c r="AN812" s="23"/>
      <c r="AO812" s="23"/>
      <c r="AP812" s="23"/>
      <c r="AQ812" s="23"/>
      <c r="AR812" s="23"/>
      <c r="AS812" s="23">
        <f t="shared" si="14"/>
        <v>0</v>
      </c>
    </row>
    <row r="813" spans="1:45" s="27" customFormat="1" ht="42.75" hidden="1" x14ac:dyDescent="0.2">
      <c r="A813" s="28">
        <v>1270</v>
      </c>
      <c r="B813" s="9" t="s">
        <v>329</v>
      </c>
      <c r="C813" s="9" t="s">
        <v>330</v>
      </c>
      <c r="D813" s="9" t="s">
        <v>842</v>
      </c>
      <c r="E813" s="9" t="s">
        <v>842</v>
      </c>
      <c r="F813" s="9" t="s">
        <v>199</v>
      </c>
      <c r="G813" s="9" t="s">
        <v>809</v>
      </c>
      <c r="H813" s="9" t="s">
        <v>831</v>
      </c>
      <c r="I813" s="81"/>
      <c r="J813" s="10">
        <f>'Messages Dictionary'!J222</f>
        <v>1</v>
      </c>
      <c r="K813" s="81"/>
      <c r="L813" s="29"/>
      <c r="M813" s="29"/>
      <c r="N813" s="23"/>
      <c r="O813" s="23"/>
      <c r="P813" s="23"/>
      <c r="Q813" s="23"/>
      <c r="R813" s="23"/>
      <c r="S813" s="23"/>
      <c r="T813" s="23"/>
      <c r="U813" s="23"/>
      <c r="V813" s="23"/>
      <c r="W813" s="23"/>
      <c r="X813" s="23"/>
      <c r="Y813" s="23"/>
      <c r="Z813" s="23"/>
      <c r="AA813" s="23"/>
      <c r="AB813" s="23"/>
      <c r="AC813" s="23"/>
      <c r="AD813" s="23"/>
      <c r="AE813" s="23"/>
      <c r="AF813" s="23"/>
      <c r="AG813" s="23"/>
      <c r="AH813" s="23"/>
      <c r="AI813" s="23"/>
      <c r="AJ813" s="23"/>
      <c r="AK813" s="23"/>
      <c r="AL813" s="23"/>
      <c r="AM813" s="23"/>
      <c r="AN813" s="23"/>
      <c r="AO813" s="23"/>
      <c r="AP813" s="23"/>
      <c r="AQ813" s="23"/>
      <c r="AR813" s="23"/>
      <c r="AS813" s="23">
        <f t="shared" si="14"/>
        <v>0</v>
      </c>
    </row>
    <row r="814" spans="1:45" s="27" customFormat="1" ht="42.75" hidden="1" x14ac:dyDescent="0.2">
      <c r="A814" s="28">
        <v>1271</v>
      </c>
      <c r="B814" s="9" t="s">
        <v>65</v>
      </c>
      <c r="C814" s="9" t="s">
        <v>66</v>
      </c>
      <c r="D814" s="9" t="s">
        <v>842</v>
      </c>
      <c r="E814" s="9" t="s">
        <v>842</v>
      </c>
      <c r="F814" s="9" t="s">
        <v>199</v>
      </c>
      <c r="G814" s="9" t="s">
        <v>405</v>
      </c>
      <c r="H814" s="9" t="s">
        <v>426</v>
      </c>
      <c r="I814" s="81"/>
      <c r="J814" s="10">
        <f>'Messages Dictionary'!J223</f>
        <v>1</v>
      </c>
      <c r="K814" s="81"/>
      <c r="L814" s="29"/>
      <c r="M814" s="29"/>
      <c r="N814" s="23"/>
      <c r="O814" s="23"/>
      <c r="P814" s="23"/>
      <c r="Q814" s="23"/>
      <c r="R814" s="23"/>
      <c r="S814" s="23"/>
      <c r="T814" s="23"/>
      <c r="U814" s="23"/>
      <c r="V814" s="23"/>
      <c r="W814" s="23"/>
      <c r="X814" s="23"/>
      <c r="Y814" s="23"/>
      <c r="Z814" s="23"/>
      <c r="AA814" s="23"/>
      <c r="AB814" s="23"/>
      <c r="AC814" s="23"/>
      <c r="AD814" s="23"/>
      <c r="AE814" s="23"/>
      <c r="AF814" s="23"/>
      <c r="AG814" s="23"/>
      <c r="AH814" s="23"/>
      <c r="AI814" s="23"/>
      <c r="AJ814" s="23"/>
      <c r="AK814" s="23"/>
      <c r="AL814" s="23"/>
      <c r="AM814" s="23"/>
      <c r="AN814" s="23"/>
      <c r="AO814" s="23"/>
      <c r="AP814" s="23"/>
      <c r="AQ814" s="23"/>
      <c r="AR814" s="23"/>
      <c r="AS814" s="23">
        <f t="shared" si="14"/>
        <v>0</v>
      </c>
    </row>
    <row r="815" spans="1:45" s="27" customFormat="1" ht="42.75" hidden="1" x14ac:dyDescent="0.2">
      <c r="A815" s="28">
        <v>1272</v>
      </c>
      <c r="B815" s="9" t="s">
        <v>67</v>
      </c>
      <c r="C815" s="9" t="s">
        <v>66</v>
      </c>
      <c r="D815" s="9" t="s">
        <v>842</v>
      </c>
      <c r="E815" s="9" t="s">
        <v>842</v>
      </c>
      <c r="F815" s="9" t="s">
        <v>199</v>
      </c>
      <c r="G815" s="9" t="s">
        <v>405</v>
      </c>
      <c r="H815" s="9" t="s">
        <v>426</v>
      </c>
      <c r="I815" s="81"/>
      <c r="J815" s="10">
        <f>'Messages Dictionary'!J224</f>
        <v>1</v>
      </c>
      <c r="K815" s="81"/>
      <c r="L815" s="29"/>
      <c r="M815" s="29"/>
      <c r="N815" s="23"/>
      <c r="O815" s="23"/>
      <c r="P815" s="23"/>
      <c r="Q815" s="23"/>
      <c r="R815" s="23"/>
      <c r="S815" s="23"/>
      <c r="T815" s="23"/>
      <c r="U815" s="23"/>
      <c r="V815" s="23"/>
      <c r="W815" s="23"/>
      <c r="X815" s="23"/>
      <c r="Y815" s="23"/>
      <c r="Z815" s="23"/>
      <c r="AA815" s="23"/>
      <c r="AB815" s="23"/>
      <c r="AC815" s="23"/>
      <c r="AD815" s="23"/>
      <c r="AE815" s="23"/>
      <c r="AF815" s="23"/>
      <c r="AG815" s="23"/>
      <c r="AH815" s="23"/>
      <c r="AI815" s="23"/>
      <c r="AJ815" s="23"/>
      <c r="AK815" s="23"/>
      <c r="AL815" s="23"/>
      <c r="AM815" s="23"/>
      <c r="AN815" s="23"/>
      <c r="AO815" s="23"/>
      <c r="AP815" s="23"/>
      <c r="AQ815" s="23"/>
      <c r="AR815" s="23"/>
      <c r="AS815" s="23">
        <f t="shared" si="14"/>
        <v>0</v>
      </c>
    </row>
    <row r="816" spans="1:45" s="27" customFormat="1" ht="42.75" hidden="1" x14ac:dyDescent="0.2">
      <c r="A816" s="28">
        <v>1273</v>
      </c>
      <c r="B816" s="9" t="s">
        <v>68</v>
      </c>
      <c r="C816" s="9" t="s">
        <v>69</v>
      </c>
      <c r="D816" s="9" t="s">
        <v>842</v>
      </c>
      <c r="E816" s="9" t="s">
        <v>842</v>
      </c>
      <c r="F816" s="9" t="s">
        <v>199</v>
      </c>
      <c r="G816" s="9" t="s">
        <v>405</v>
      </c>
      <c r="H816" s="9" t="s">
        <v>426</v>
      </c>
      <c r="I816" s="81"/>
      <c r="J816" s="10">
        <f>'Messages Dictionary'!J225</f>
        <v>1</v>
      </c>
      <c r="K816" s="81"/>
      <c r="L816" s="29"/>
      <c r="M816" s="29"/>
      <c r="N816" s="23"/>
      <c r="O816" s="23"/>
      <c r="P816" s="23"/>
      <c r="Q816" s="23"/>
      <c r="R816" s="23"/>
      <c r="S816" s="23"/>
      <c r="T816" s="23"/>
      <c r="U816" s="23"/>
      <c r="V816" s="23"/>
      <c r="W816" s="23"/>
      <c r="X816" s="23"/>
      <c r="Y816" s="23"/>
      <c r="Z816" s="23"/>
      <c r="AA816" s="23"/>
      <c r="AB816" s="23"/>
      <c r="AC816" s="23"/>
      <c r="AD816" s="23"/>
      <c r="AE816" s="23"/>
      <c r="AF816" s="23"/>
      <c r="AG816" s="23"/>
      <c r="AH816" s="23"/>
      <c r="AI816" s="23"/>
      <c r="AJ816" s="23"/>
      <c r="AK816" s="23"/>
      <c r="AL816" s="23"/>
      <c r="AM816" s="23"/>
      <c r="AN816" s="23"/>
      <c r="AO816" s="23"/>
      <c r="AP816" s="23"/>
      <c r="AQ816" s="23"/>
      <c r="AR816" s="23"/>
      <c r="AS816" s="23">
        <f t="shared" si="14"/>
        <v>0</v>
      </c>
    </row>
    <row r="817" spans="1:45" s="27" customFormat="1" ht="42.75" hidden="1" x14ac:dyDescent="0.2">
      <c r="A817" s="28">
        <v>1274</v>
      </c>
      <c r="B817" s="9" t="s">
        <v>70</v>
      </c>
      <c r="C817" s="9" t="s">
        <v>69</v>
      </c>
      <c r="D817" s="9" t="s">
        <v>842</v>
      </c>
      <c r="E817" s="9" t="s">
        <v>842</v>
      </c>
      <c r="F817" s="9" t="s">
        <v>199</v>
      </c>
      <c r="G817" s="9" t="s">
        <v>405</v>
      </c>
      <c r="H817" s="9" t="s">
        <v>426</v>
      </c>
      <c r="I817" s="81"/>
      <c r="J817" s="10">
        <f>'Messages Dictionary'!J226</f>
        <v>1</v>
      </c>
      <c r="K817" s="81"/>
      <c r="L817" s="29"/>
      <c r="M817" s="29"/>
      <c r="N817" s="23"/>
      <c r="O817" s="23"/>
      <c r="P817" s="23"/>
      <c r="Q817" s="23"/>
      <c r="R817" s="23"/>
      <c r="S817" s="23"/>
      <c r="T817" s="23"/>
      <c r="U817" s="23"/>
      <c r="V817" s="23"/>
      <c r="W817" s="23"/>
      <c r="X817" s="23"/>
      <c r="Y817" s="23"/>
      <c r="Z817" s="23"/>
      <c r="AA817" s="23"/>
      <c r="AB817" s="23"/>
      <c r="AC817" s="23"/>
      <c r="AD817" s="23"/>
      <c r="AE817" s="23"/>
      <c r="AF817" s="23"/>
      <c r="AG817" s="23"/>
      <c r="AH817" s="23"/>
      <c r="AI817" s="23"/>
      <c r="AJ817" s="23"/>
      <c r="AK817" s="23"/>
      <c r="AL817" s="23"/>
      <c r="AM817" s="23"/>
      <c r="AN817" s="23"/>
      <c r="AO817" s="23"/>
      <c r="AP817" s="23"/>
      <c r="AQ817" s="23"/>
      <c r="AR817" s="23"/>
      <c r="AS817" s="23">
        <f t="shared" si="14"/>
        <v>0</v>
      </c>
    </row>
    <row r="818" spans="1:45" s="27" customFormat="1" ht="42.75" hidden="1" x14ac:dyDescent="0.2">
      <c r="A818" s="28">
        <v>1275</v>
      </c>
      <c r="B818" s="9" t="s">
        <v>71</v>
      </c>
      <c r="C818" s="9" t="s">
        <v>69</v>
      </c>
      <c r="D818" s="9" t="s">
        <v>842</v>
      </c>
      <c r="E818" s="9" t="s">
        <v>842</v>
      </c>
      <c r="F818" s="9" t="s">
        <v>199</v>
      </c>
      <c r="G818" s="9" t="s">
        <v>405</v>
      </c>
      <c r="H818" s="9" t="s">
        <v>426</v>
      </c>
      <c r="I818" s="81"/>
      <c r="J818" s="10">
        <f>'Messages Dictionary'!J227</f>
        <v>1</v>
      </c>
      <c r="K818" s="81"/>
      <c r="L818" s="29"/>
      <c r="M818" s="29"/>
      <c r="N818" s="23"/>
      <c r="O818" s="23"/>
      <c r="P818" s="23"/>
      <c r="Q818" s="23"/>
      <c r="R818" s="23"/>
      <c r="S818" s="23"/>
      <c r="T818" s="23"/>
      <c r="U818" s="23"/>
      <c r="V818" s="23"/>
      <c r="W818" s="23"/>
      <c r="X818" s="23"/>
      <c r="Y818" s="23"/>
      <c r="Z818" s="23"/>
      <c r="AA818" s="23"/>
      <c r="AB818" s="23"/>
      <c r="AC818" s="23"/>
      <c r="AD818" s="23"/>
      <c r="AE818" s="23"/>
      <c r="AF818" s="23"/>
      <c r="AG818" s="23"/>
      <c r="AH818" s="23"/>
      <c r="AI818" s="23"/>
      <c r="AJ818" s="23"/>
      <c r="AK818" s="23"/>
      <c r="AL818" s="23"/>
      <c r="AM818" s="23"/>
      <c r="AN818" s="23"/>
      <c r="AO818" s="23"/>
      <c r="AP818" s="23"/>
      <c r="AQ818" s="23"/>
      <c r="AR818" s="23"/>
      <c r="AS818" s="23">
        <f t="shared" si="14"/>
        <v>0</v>
      </c>
    </row>
    <row r="819" spans="1:45" s="27" customFormat="1" ht="42.75" hidden="1" x14ac:dyDescent="0.2">
      <c r="A819" s="28">
        <v>1276</v>
      </c>
      <c r="B819" s="9" t="s">
        <v>72</v>
      </c>
      <c r="C819" s="9" t="s">
        <v>73</v>
      </c>
      <c r="D819" s="9" t="s">
        <v>842</v>
      </c>
      <c r="E819" s="9" t="s">
        <v>842</v>
      </c>
      <c r="F819" s="9" t="s">
        <v>200</v>
      </c>
      <c r="G819" s="9" t="s">
        <v>809</v>
      </c>
      <c r="H819" s="9" t="s">
        <v>831</v>
      </c>
      <c r="I819" s="81"/>
      <c r="J819" s="10">
        <f>'Messages Dictionary'!J228</f>
        <v>0</v>
      </c>
      <c r="K819" s="81"/>
      <c r="L819" s="29"/>
      <c r="M819" s="29"/>
      <c r="N819" s="23"/>
      <c r="O819" s="23"/>
      <c r="P819" s="23"/>
      <c r="Q819" s="23"/>
      <c r="R819" s="23"/>
      <c r="S819" s="23"/>
      <c r="T819" s="23"/>
      <c r="U819" s="23"/>
      <c r="V819" s="23"/>
      <c r="W819" s="23"/>
      <c r="X819" s="23"/>
      <c r="Y819" s="23"/>
      <c r="Z819" s="23"/>
      <c r="AA819" s="23"/>
      <c r="AB819" s="23"/>
      <c r="AC819" s="23"/>
      <c r="AD819" s="23"/>
      <c r="AE819" s="23"/>
      <c r="AF819" s="23"/>
      <c r="AG819" s="23"/>
      <c r="AH819" s="23"/>
      <c r="AI819" s="23"/>
      <c r="AJ819" s="23"/>
      <c r="AK819" s="23"/>
      <c r="AL819" s="23"/>
      <c r="AM819" s="23"/>
      <c r="AN819" s="23"/>
      <c r="AO819" s="23"/>
      <c r="AP819" s="23"/>
      <c r="AQ819" s="23"/>
      <c r="AR819" s="23"/>
      <c r="AS819" s="23">
        <f t="shared" si="14"/>
        <v>0</v>
      </c>
    </row>
    <row r="820" spans="1:45" s="27" customFormat="1" ht="42.75" hidden="1" x14ac:dyDescent="0.2">
      <c r="A820" s="28">
        <v>1277</v>
      </c>
      <c r="B820" s="9" t="s">
        <v>433</v>
      </c>
      <c r="C820" s="9" t="s">
        <v>434</v>
      </c>
      <c r="D820" s="9" t="s">
        <v>842</v>
      </c>
      <c r="E820" s="9" t="s">
        <v>842</v>
      </c>
      <c r="F820" s="9" t="s">
        <v>200</v>
      </c>
      <c r="G820" s="9" t="s">
        <v>809</v>
      </c>
      <c r="H820" s="9" t="s">
        <v>831</v>
      </c>
      <c r="I820" s="81"/>
      <c r="J820" s="10">
        <f>'Messages Dictionary'!J229</f>
        <v>0</v>
      </c>
      <c r="K820" s="81"/>
      <c r="L820" s="29"/>
      <c r="M820" s="29"/>
      <c r="N820" s="23"/>
      <c r="O820" s="23"/>
      <c r="P820" s="23"/>
      <c r="Q820" s="23"/>
      <c r="R820" s="23"/>
      <c r="S820" s="23"/>
      <c r="T820" s="23"/>
      <c r="U820" s="23"/>
      <c r="V820" s="23"/>
      <c r="W820" s="23"/>
      <c r="X820" s="23"/>
      <c r="Y820" s="23"/>
      <c r="Z820" s="23"/>
      <c r="AA820" s="23"/>
      <c r="AB820" s="23"/>
      <c r="AC820" s="23"/>
      <c r="AD820" s="23"/>
      <c r="AE820" s="23"/>
      <c r="AF820" s="23"/>
      <c r="AG820" s="23"/>
      <c r="AH820" s="23"/>
      <c r="AI820" s="23"/>
      <c r="AJ820" s="23"/>
      <c r="AK820" s="23"/>
      <c r="AL820" s="23"/>
      <c r="AM820" s="23"/>
      <c r="AN820" s="23"/>
      <c r="AO820" s="23"/>
      <c r="AP820" s="23"/>
      <c r="AQ820" s="23"/>
      <c r="AR820" s="23"/>
      <c r="AS820" s="23">
        <f t="shared" si="14"/>
        <v>0</v>
      </c>
    </row>
    <row r="821" spans="1:45" s="27" customFormat="1" ht="42.75" hidden="1" x14ac:dyDescent="0.2">
      <c r="A821" s="28">
        <v>1278</v>
      </c>
      <c r="B821" s="9" t="s">
        <v>435</v>
      </c>
      <c r="C821" s="9" t="s">
        <v>436</v>
      </c>
      <c r="D821" s="9" t="s">
        <v>828</v>
      </c>
      <c r="E821" s="9" t="s">
        <v>829</v>
      </c>
      <c r="F821" s="9" t="s">
        <v>199</v>
      </c>
      <c r="G821" s="9" t="s">
        <v>405</v>
      </c>
      <c r="H821" s="9" t="s">
        <v>428</v>
      </c>
      <c r="I821" s="81"/>
      <c r="J821" s="10">
        <f>'Messages Dictionary'!J230</f>
        <v>1</v>
      </c>
      <c r="K821" s="81"/>
      <c r="L821" s="29"/>
      <c r="M821" s="29"/>
      <c r="N821" s="23"/>
      <c r="O821" s="23"/>
      <c r="P821" s="23"/>
      <c r="Q821" s="23"/>
      <c r="R821" s="23"/>
      <c r="S821" s="23"/>
      <c r="T821" s="23"/>
      <c r="U821" s="23"/>
      <c r="V821" s="23"/>
      <c r="W821" s="23"/>
      <c r="X821" s="23"/>
      <c r="Y821" s="23"/>
      <c r="Z821" s="23"/>
      <c r="AA821" s="23"/>
      <c r="AB821" s="23"/>
      <c r="AC821" s="23"/>
      <c r="AD821" s="23"/>
      <c r="AE821" s="23"/>
      <c r="AF821" s="23"/>
      <c r="AG821" s="23"/>
      <c r="AH821" s="23"/>
      <c r="AI821" s="23"/>
      <c r="AJ821" s="23"/>
      <c r="AK821" s="23"/>
      <c r="AL821" s="23"/>
      <c r="AM821" s="23"/>
      <c r="AN821" s="23"/>
      <c r="AO821" s="23"/>
      <c r="AP821" s="23"/>
      <c r="AQ821" s="23"/>
      <c r="AR821" s="23"/>
      <c r="AS821" s="23">
        <f t="shared" si="14"/>
        <v>0</v>
      </c>
    </row>
    <row r="822" spans="1:45" s="27" customFormat="1" ht="28.5" hidden="1" x14ac:dyDescent="0.2">
      <c r="A822" s="28">
        <v>1279</v>
      </c>
      <c r="B822" s="9" t="s">
        <v>437</v>
      </c>
      <c r="C822" s="9" t="s">
        <v>438</v>
      </c>
      <c r="D822" s="9" t="s">
        <v>828</v>
      </c>
      <c r="E822" s="9" t="s">
        <v>829</v>
      </c>
      <c r="F822" s="9" t="s">
        <v>199</v>
      </c>
      <c r="G822" s="9" t="s">
        <v>405</v>
      </c>
      <c r="H822" s="9" t="s">
        <v>428</v>
      </c>
      <c r="I822" s="81"/>
      <c r="J822" s="10">
        <f>'Messages Dictionary'!J231</f>
        <v>1</v>
      </c>
      <c r="K822" s="81"/>
      <c r="L822" s="29"/>
      <c r="M822" s="29"/>
      <c r="N822" s="23"/>
      <c r="O822" s="23"/>
      <c r="P822" s="23"/>
      <c r="Q822" s="23"/>
      <c r="R822" s="23"/>
      <c r="S822" s="23"/>
      <c r="T822" s="23"/>
      <c r="U822" s="23"/>
      <c r="V822" s="23"/>
      <c r="W822" s="23"/>
      <c r="X822" s="23"/>
      <c r="Y822" s="23"/>
      <c r="Z822" s="23"/>
      <c r="AA822" s="23"/>
      <c r="AB822" s="23"/>
      <c r="AC822" s="23"/>
      <c r="AD822" s="23"/>
      <c r="AE822" s="23"/>
      <c r="AF822" s="23"/>
      <c r="AG822" s="23"/>
      <c r="AH822" s="23"/>
      <c r="AI822" s="23"/>
      <c r="AJ822" s="23"/>
      <c r="AK822" s="23"/>
      <c r="AL822" s="23"/>
      <c r="AM822" s="23"/>
      <c r="AN822" s="23"/>
      <c r="AO822" s="23"/>
      <c r="AP822" s="23"/>
      <c r="AQ822" s="23"/>
      <c r="AR822" s="23"/>
      <c r="AS822" s="23">
        <f t="shared" si="14"/>
        <v>0</v>
      </c>
    </row>
    <row r="823" spans="1:45" s="27" customFormat="1" ht="28.5" hidden="1" x14ac:dyDescent="0.2">
      <c r="A823" s="28">
        <v>1280</v>
      </c>
      <c r="B823" s="9" t="s">
        <v>439</v>
      </c>
      <c r="C823" s="9" t="s">
        <v>110</v>
      </c>
      <c r="D823" s="9" t="s">
        <v>828</v>
      </c>
      <c r="E823" s="9" t="s">
        <v>829</v>
      </c>
      <c r="F823" s="9" t="s">
        <v>199</v>
      </c>
      <c r="G823" s="9" t="s">
        <v>405</v>
      </c>
      <c r="H823" s="9" t="s">
        <v>428</v>
      </c>
      <c r="I823" s="81"/>
      <c r="J823" s="10">
        <f>'Messages Dictionary'!J232</f>
        <v>1</v>
      </c>
      <c r="K823" s="81"/>
      <c r="L823" s="29"/>
      <c r="M823" s="29"/>
      <c r="N823" s="23"/>
      <c r="O823" s="23"/>
      <c r="P823" s="23"/>
      <c r="Q823" s="23"/>
      <c r="R823" s="23"/>
      <c r="S823" s="23"/>
      <c r="T823" s="23"/>
      <c r="U823" s="23"/>
      <c r="V823" s="23"/>
      <c r="W823" s="23"/>
      <c r="X823" s="23"/>
      <c r="Y823" s="23"/>
      <c r="Z823" s="23"/>
      <c r="AA823" s="23"/>
      <c r="AB823" s="23"/>
      <c r="AC823" s="23"/>
      <c r="AD823" s="23"/>
      <c r="AE823" s="23"/>
      <c r="AF823" s="23"/>
      <c r="AG823" s="23"/>
      <c r="AH823" s="23"/>
      <c r="AI823" s="23"/>
      <c r="AJ823" s="23"/>
      <c r="AK823" s="23"/>
      <c r="AL823" s="23"/>
      <c r="AM823" s="23"/>
      <c r="AN823" s="23"/>
      <c r="AO823" s="23"/>
      <c r="AP823" s="23"/>
      <c r="AQ823" s="23"/>
      <c r="AR823" s="23"/>
      <c r="AS823" s="23">
        <f t="shared" si="14"/>
        <v>0</v>
      </c>
    </row>
    <row r="824" spans="1:45" s="27" customFormat="1" ht="28.5" hidden="1" x14ac:dyDescent="0.2">
      <c r="A824" s="28">
        <v>1281</v>
      </c>
      <c r="B824" s="9" t="s">
        <v>111</v>
      </c>
      <c r="C824" s="9" t="s">
        <v>112</v>
      </c>
      <c r="D824" s="9" t="s">
        <v>828</v>
      </c>
      <c r="E824" s="9" t="s">
        <v>829</v>
      </c>
      <c r="F824" s="9" t="s">
        <v>199</v>
      </c>
      <c r="G824" s="9" t="s">
        <v>412</v>
      </c>
      <c r="H824" s="9" t="s">
        <v>831</v>
      </c>
      <c r="I824" s="81"/>
      <c r="J824" s="10">
        <f>'Messages Dictionary'!J233</f>
        <v>1</v>
      </c>
      <c r="K824" s="81"/>
      <c r="L824" s="29"/>
      <c r="M824" s="29"/>
      <c r="N824" s="23"/>
      <c r="O824" s="23"/>
      <c r="P824" s="23"/>
      <c r="Q824" s="23"/>
      <c r="R824" s="23"/>
      <c r="S824" s="23"/>
      <c r="T824" s="23"/>
      <c r="U824" s="23"/>
      <c r="V824" s="23"/>
      <c r="W824" s="23"/>
      <c r="X824" s="23"/>
      <c r="Y824" s="23"/>
      <c r="Z824" s="23"/>
      <c r="AA824" s="23"/>
      <c r="AB824" s="23"/>
      <c r="AC824" s="23"/>
      <c r="AD824" s="23"/>
      <c r="AE824" s="23"/>
      <c r="AF824" s="23"/>
      <c r="AG824" s="23"/>
      <c r="AH824" s="23"/>
      <c r="AI824" s="23"/>
      <c r="AJ824" s="23"/>
      <c r="AK824" s="23"/>
      <c r="AL824" s="23"/>
      <c r="AM824" s="23"/>
      <c r="AN824" s="23"/>
      <c r="AO824" s="23"/>
      <c r="AP824" s="23"/>
      <c r="AQ824" s="23"/>
      <c r="AR824" s="23"/>
      <c r="AS824" s="23">
        <f t="shared" si="14"/>
        <v>0</v>
      </c>
    </row>
    <row r="825" spans="1:45" s="27" customFormat="1" ht="28.5" hidden="1" x14ac:dyDescent="0.2">
      <c r="A825" s="28">
        <v>1282</v>
      </c>
      <c r="B825" s="9" t="s">
        <v>113</v>
      </c>
      <c r="C825" s="9" t="s">
        <v>114</v>
      </c>
      <c r="D825" s="9" t="s">
        <v>4</v>
      </c>
      <c r="E825" s="9" t="s">
        <v>14</v>
      </c>
      <c r="F825" s="9" t="s">
        <v>199</v>
      </c>
      <c r="G825" s="9" t="s">
        <v>412</v>
      </c>
      <c r="H825" s="9" t="s">
        <v>831</v>
      </c>
      <c r="I825" s="81"/>
      <c r="J825" s="10">
        <f>'Messages Dictionary'!J234</f>
        <v>1</v>
      </c>
      <c r="K825" s="81"/>
      <c r="L825" s="29"/>
      <c r="M825" s="29"/>
      <c r="N825" s="23"/>
      <c r="O825" s="23"/>
      <c r="P825" s="23"/>
      <c r="Q825" s="23"/>
      <c r="R825" s="23"/>
      <c r="S825" s="23"/>
      <c r="T825" s="23"/>
      <c r="U825" s="23"/>
      <c r="V825" s="23"/>
      <c r="W825" s="23"/>
      <c r="X825" s="23"/>
      <c r="Y825" s="23"/>
      <c r="Z825" s="23"/>
      <c r="AA825" s="23"/>
      <c r="AB825" s="23"/>
      <c r="AC825" s="23"/>
      <c r="AD825" s="23"/>
      <c r="AE825" s="23"/>
      <c r="AF825" s="23"/>
      <c r="AG825" s="23"/>
      <c r="AH825" s="23"/>
      <c r="AI825" s="23"/>
      <c r="AJ825" s="23"/>
      <c r="AK825" s="23"/>
      <c r="AL825" s="23"/>
      <c r="AM825" s="23"/>
      <c r="AN825" s="23"/>
      <c r="AO825" s="23"/>
      <c r="AP825" s="23"/>
      <c r="AQ825" s="23"/>
      <c r="AR825" s="23"/>
      <c r="AS825" s="23">
        <f t="shared" si="14"/>
        <v>0</v>
      </c>
    </row>
    <row r="826" spans="1:45" s="27" customFormat="1" ht="42.75" hidden="1" x14ac:dyDescent="0.2">
      <c r="A826" s="28">
        <v>1283</v>
      </c>
      <c r="B826" s="9" t="s">
        <v>115</v>
      </c>
      <c r="C826" s="9" t="s">
        <v>116</v>
      </c>
      <c r="D826" s="9" t="s">
        <v>404</v>
      </c>
      <c r="E826" s="9" t="s">
        <v>404</v>
      </c>
      <c r="F826" s="9" t="s">
        <v>199</v>
      </c>
      <c r="G826" s="9" t="s">
        <v>412</v>
      </c>
      <c r="H826" s="9" t="s">
        <v>831</v>
      </c>
      <c r="I826" s="81"/>
      <c r="J826" s="10">
        <f>'Messages Dictionary'!J235</f>
        <v>0.5</v>
      </c>
      <c r="K826" s="81"/>
      <c r="L826" s="29"/>
      <c r="M826" s="29"/>
      <c r="N826" s="23"/>
      <c r="O826" s="23"/>
      <c r="P826" s="23"/>
      <c r="Q826" s="23"/>
      <c r="R826" s="23"/>
      <c r="S826" s="23"/>
      <c r="T826" s="23"/>
      <c r="U826" s="23"/>
      <c r="V826" s="23"/>
      <c r="W826" s="23"/>
      <c r="X826" s="23"/>
      <c r="Y826" s="23"/>
      <c r="Z826" s="23"/>
      <c r="AA826" s="23"/>
      <c r="AB826" s="23"/>
      <c r="AC826" s="23"/>
      <c r="AD826" s="23"/>
      <c r="AE826" s="23"/>
      <c r="AF826" s="23"/>
      <c r="AG826" s="23"/>
      <c r="AH826" s="23"/>
      <c r="AI826" s="23"/>
      <c r="AJ826" s="23"/>
      <c r="AK826" s="23"/>
      <c r="AL826" s="23"/>
      <c r="AM826" s="23"/>
      <c r="AN826" s="23"/>
      <c r="AO826" s="23"/>
      <c r="AP826" s="23"/>
      <c r="AQ826" s="23"/>
      <c r="AR826" s="23"/>
      <c r="AS826" s="23">
        <f t="shared" si="14"/>
        <v>0</v>
      </c>
    </row>
    <row r="827" spans="1:45" s="27" customFormat="1" ht="71.25" hidden="1" x14ac:dyDescent="0.2">
      <c r="A827" s="28">
        <v>1284</v>
      </c>
      <c r="B827" s="9" t="s">
        <v>117</v>
      </c>
      <c r="C827" s="9" t="s">
        <v>118</v>
      </c>
      <c r="D827" s="9" t="s">
        <v>828</v>
      </c>
      <c r="E827" s="9" t="s">
        <v>829</v>
      </c>
      <c r="F827" s="9" t="s">
        <v>199</v>
      </c>
      <c r="G827" s="9" t="s">
        <v>405</v>
      </c>
      <c r="H827" s="9" t="s">
        <v>428</v>
      </c>
      <c r="I827" s="81"/>
      <c r="J827" s="10">
        <f>'Messages Dictionary'!J236</f>
        <v>1</v>
      </c>
      <c r="K827" s="81"/>
      <c r="L827" s="29"/>
      <c r="M827" s="29"/>
      <c r="N827" s="23"/>
      <c r="O827" s="23"/>
      <c r="P827" s="23"/>
      <c r="Q827" s="23"/>
      <c r="R827" s="23"/>
      <c r="S827" s="23"/>
      <c r="T827" s="23"/>
      <c r="U827" s="23"/>
      <c r="V827" s="23"/>
      <c r="W827" s="23"/>
      <c r="X827" s="23"/>
      <c r="Y827" s="23"/>
      <c r="Z827" s="23"/>
      <c r="AA827" s="23"/>
      <c r="AB827" s="23"/>
      <c r="AC827" s="23"/>
      <c r="AD827" s="23"/>
      <c r="AE827" s="23"/>
      <c r="AF827" s="23"/>
      <c r="AG827" s="23"/>
      <c r="AH827" s="23"/>
      <c r="AI827" s="23"/>
      <c r="AJ827" s="23"/>
      <c r="AK827" s="23"/>
      <c r="AL827" s="23"/>
      <c r="AM827" s="23"/>
      <c r="AN827" s="23"/>
      <c r="AO827" s="23"/>
      <c r="AP827" s="23"/>
      <c r="AQ827" s="23"/>
      <c r="AR827" s="23"/>
      <c r="AS827" s="23">
        <f t="shared" si="14"/>
        <v>0</v>
      </c>
    </row>
    <row r="828" spans="1:45" s="27" customFormat="1" ht="28.5" hidden="1" x14ac:dyDescent="0.2">
      <c r="A828" s="28">
        <v>1285</v>
      </c>
      <c r="B828" s="9" t="s">
        <v>119</v>
      </c>
      <c r="C828" s="9" t="s">
        <v>120</v>
      </c>
      <c r="D828" s="9" t="s">
        <v>121</v>
      </c>
      <c r="E828" s="9" t="s">
        <v>122</v>
      </c>
      <c r="F828" s="9" t="s">
        <v>198</v>
      </c>
      <c r="G828" s="9" t="s">
        <v>809</v>
      </c>
      <c r="H828" s="9" t="s">
        <v>831</v>
      </c>
      <c r="I828" s="81"/>
      <c r="J828" s="10">
        <f>'Messages Dictionary'!J237</f>
        <v>0</v>
      </c>
      <c r="K828" s="81"/>
      <c r="L828" s="29"/>
      <c r="M828" s="29"/>
      <c r="N828" s="23"/>
      <c r="O828" s="23"/>
      <c r="P828" s="23"/>
      <c r="Q828" s="23"/>
      <c r="R828" s="23"/>
      <c r="S828" s="23"/>
      <c r="T828" s="23"/>
      <c r="U828" s="23"/>
      <c r="V828" s="23"/>
      <c r="W828" s="23"/>
      <c r="X828" s="23"/>
      <c r="Y828" s="23"/>
      <c r="Z828" s="23"/>
      <c r="AA828" s="23"/>
      <c r="AB828" s="23"/>
      <c r="AC828" s="23"/>
      <c r="AD828" s="23"/>
      <c r="AE828" s="23"/>
      <c r="AF828" s="23"/>
      <c r="AG828" s="23"/>
      <c r="AH828" s="23"/>
      <c r="AI828" s="23"/>
      <c r="AJ828" s="23"/>
      <c r="AK828" s="23"/>
      <c r="AL828" s="23"/>
      <c r="AM828" s="23"/>
      <c r="AN828" s="23"/>
      <c r="AO828" s="23"/>
      <c r="AP828" s="23"/>
      <c r="AQ828" s="23"/>
      <c r="AR828" s="23"/>
      <c r="AS828" s="23">
        <f t="shared" si="14"/>
        <v>0</v>
      </c>
    </row>
    <row r="829" spans="1:45" s="27" customFormat="1" ht="28.5" hidden="1" x14ac:dyDescent="0.2">
      <c r="A829" s="28">
        <v>1286</v>
      </c>
      <c r="B829" s="9" t="s">
        <v>123</v>
      </c>
      <c r="C829" s="9" t="s">
        <v>124</v>
      </c>
      <c r="D829" s="9" t="s">
        <v>404</v>
      </c>
      <c r="E829" s="9" t="s">
        <v>404</v>
      </c>
      <c r="F829" s="9" t="s">
        <v>198</v>
      </c>
      <c r="G829" s="9" t="s">
        <v>809</v>
      </c>
      <c r="H829" s="9" t="s">
        <v>831</v>
      </c>
      <c r="I829" s="81"/>
      <c r="J829" s="10">
        <f>'Messages Dictionary'!J238</f>
        <v>0</v>
      </c>
      <c r="K829" s="81"/>
      <c r="L829" s="29"/>
      <c r="M829" s="29"/>
      <c r="N829" s="23"/>
      <c r="O829" s="23"/>
      <c r="P829" s="23"/>
      <c r="Q829" s="23"/>
      <c r="R829" s="23"/>
      <c r="S829" s="23"/>
      <c r="T829" s="23"/>
      <c r="U829" s="23"/>
      <c r="V829" s="23"/>
      <c r="W829" s="23"/>
      <c r="X829" s="23"/>
      <c r="Y829" s="23"/>
      <c r="Z829" s="23"/>
      <c r="AA829" s="23"/>
      <c r="AB829" s="23"/>
      <c r="AC829" s="23"/>
      <c r="AD829" s="23"/>
      <c r="AE829" s="23"/>
      <c r="AF829" s="23"/>
      <c r="AG829" s="23"/>
      <c r="AH829" s="23"/>
      <c r="AI829" s="23"/>
      <c r="AJ829" s="23"/>
      <c r="AK829" s="23"/>
      <c r="AL829" s="23"/>
      <c r="AM829" s="23"/>
      <c r="AN829" s="23"/>
      <c r="AO829" s="23"/>
      <c r="AP829" s="23"/>
      <c r="AQ829" s="23"/>
      <c r="AR829" s="23"/>
      <c r="AS829" s="23">
        <f t="shared" si="14"/>
        <v>0</v>
      </c>
    </row>
    <row r="830" spans="1:45" s="27" customFormat="1" ht="28.5" hidden="1" x14ac:dyDescent="0.2">
      <c r="A830" s="28">
        <v>1292</v>
      </c>
      <c r="B830" s="9" t="s">
        <v>446</v>
      </c>
      <c r="C830" s="9" t="s">
        <v>447</v>
      </c>
      <c r="D830" s="9" t="s">
        <v>121</v>
      </c>
      <c r="E830" s="9" t="s">
        <v>122</v>
      </c>
      <c r="F830" s="9" t="s">
        <v>199</v>
      </c>
      <c r="G830" s="9" t="s">
        <v>405</v>
      </c>
      <c r="H830" s="9" t="s">
        <v>431</v>
      </c>
      <c r="I830" s="81"/>
      <c r="J830" s="10">
        <f>'Messages Dictionary'!J239</f>
        <v>0.5</v>
      </c>
      <c r="K830" s="81"/>
      <c r="L830" s="29"/>
      <c r="M830" s="29"/>
      <c r="N830" s="23"/>
      <c r="O830" s="23"/>
      <c r="P830" s="23"/>
      <c r="Q830" s="23"/>
      <c r="R830" s="23"/>
      <c r="S830" s="23"/>
      <c r="T830" s="23"/>
      <c r="U830" s="23"/>
      <c r="V830" s="23"/>
      <c r="W830" s="23"/>
      <c r="X830" s="23"/>
      <c r="Y830" s="23"/>
      <c r="Z830" s="23"/>
      <c r="AA830" s="23"/>
      <c r="AB830" s="23"/>
      <c r="AC830" s="23"/>
      <c r="AD830" s="23"/>
      <c r="AE830" s="23"/>
      <c r="AF830" s="23"/>
      <c r="AG830" s="23"/>
      <c r="AH830" s="23"/>
      <c r="AI830" s="23"/>
      <c r="AJ830" s="23"/>
      <c r="AK830" s="23"/>
      <c r="AL830" s="23"/>
      <c r="AM830" s="23"/>
      <c r="AN830" s="23"/>
      <c r="AO830" s="23"/>
      <c r="AP830" s="23"/>
      <c r="AQ830" s="23"/>
      <c r="AR830" s="23"/>
      <c r="AS830" s="23">
        <f t="shared" si="14"/>
        <v>0</v>
      </c>
    </row>
    <row r="831" spans="1:45" s="27" customFormat="1" ht="42.75" hidden="1" x14ac:dyDescent="0.2">
      <c r="A831" s="28">
        <v>1293</v>
      </c>
      <c r="B831" s="9" t="s">
        <v>128</v>
      </c>
      <c r="C831" s="9" t="s">
        <v>129</v>
      </c>
      <c r="D831" s="9" t="s">
        <v>121</v>
      </c>
      <c r="E831" s="9" t="s">
        <v>122</v>
      </c>
      <c r="F831" s="9" t="s">
        <v>199</v>
      </c>
      <c r="G831" s="9" t="s">
        <v>405</v>
      </c>
      <c r="H831" s="9" t="s">
        <v>431</v>
      </c>
      <c r="I831" s="81"/>
      <c r="J831" s="10">
        <f>'Messages Dictionary'!J240</f>
        <v>0.1</v>
      </c>
      <c r="K831" s="81"/>
      <c r="L831" s="29"/>
      <c r="M831" s="29"/>
      <c r="N831" s="23"/>
      <c r="O831" s="23"/>
      <c r="P831" s="23"/>
      <c r="Q831" s="23"/>
      <c r="R831" s="23"/>
      <c r="S831" s="23"/>
      <c r="T831" s="23"/>
      <c r="U831" s="23"/>
      <c r="V831" s="23"/>
      <c r="W831" s="23"/>
      <c r="X831" s="23"/>
      <c r="Y831" s="23"/>
      <c r="Z831" s="23"/>
      <c r="AA831" s="23"/>
      <c r="AB831" s="23"/>
      <c r="AC831" s="23"/>
      <c r="AD831" s="23"/>
      <c r="AE831" s="23"/>
      <c r="AF831" s="23"/>
      <c r="AG831" s="23"/>
      <c r="AH831" s="23"/>
      <c r="AI831" s="23"/>
      <c r="AJ831" s="23"/>
      <c r="AK831" s="23"/>
      <c r="AL831" s="23"/>
      <c r="AM831" s="23"/>
      <c r="AN831" s="23"/>
      <c r="AO831" s="23"/>
      <c r="AP831" s="23"/>
      <c r="AQ831" s="23"/>
      <c r="AR831" s="23"/>
      <c r="AS831" s="23">
        <f t="shared" si="14"/>
        <v>0</v>
      </c>
    </row>
    <row r="832" spans="1:45" s="27" customFormat="1" ht="28.5" hidden="1" x14ac:dyDescent="0.2">
      <c r="A832" s="28">
        <v>1294</v>
      </c>
      <c r="B832" s="9" t="s">
        <v>130</v>
      </c>
      <c r="C832" s="9" t="s">
        <v>131</v>
      </c>
      <c r="D832" s="9" t="s">
        <v>121</v>
      </c>
      <c r="E832" s="9" t="s">
        <v>122</v>
      </c>
      <c r="F832" s="9" t="s">
        <v>199</v>
      </c>
      <c r="G832" s="9" t="s">
        <v>405</v>
      </c>
      <c r="H832" s="9" t="s">
        <v>431</v>
      </c>
      <c r="I832" s="81"/>
      <c r="J832" s="10">
        <f>'Messages Dictionary'!J241</f>
        <v>1</v>
      </c>
      <c r="K832" s="81"/>
      <c r="L832" s="29"/>
      <c r="M832" s="29"/>
      <c r="N832" s="23"/>
      <c r="O832" s="23"/>
      <c r="P832" s="23"/>
      <c r="Q832" s="23"/>
      <c r="R832" s="23"/>
      <c r="S832" s="23"/>
      <c r="T832" s="23"/>
      <c r="U832" s="23"/>
      <c r="V832" s="23"/>
      <c r="W832" s="23"/>
      <c r="X832" s="23"/>
      <c r="Y832" s="23"/>
      <c r="Z832" s="23"/>
      <c r="AA832" s="23"/>
      <c r="AB832" s="23"/>
      <c r="AC832" s="23"/>
      <c r="AD832" s="23"/>
      <c r="AE832" s="23"/>
      <c r="AF832" s="23"/>
      <c r="AG832" s="23"/>
      <c r="AH832" s="23"/>
      <c r="AI832" s="23"/>
      <c r="AJ832" s="23"/>
      <c r="AK832" s="23"/>
      <c r="AL832" s="23"/>
      <c r="AM832" s="23"/>
      <c r="AN832" s="23"/>
      <c r="AO832" s="23"/>
      <c r="AP832" s="23"/>
      <c r="AQ832" s="23"/>
      <c r="AR832" s="23"/>
      <c r="AS832" s="23">
        <f t="shared" si="14"/>
        <v>4</v>
      </c>
    </row>
    <row r="833" spans="1:45" s="27" customFormat="1" ht="57" hidden="1" x14ac:dyDescent="0.2">
      <c r="A833" s="28">
        <v>1295</v>
      </c>
      <c r="B833" s="9" t="s">
        <v>132</v>
      </c>
      <c r="C833" s="9" t="s">
        <v>133</v>
      </c>
      <c r="D833" s="9" t="s">
        <v>828</v>
      </c>
      <c r="E833" s="9" t="s">
        <v>829</v>
      </c>
      <c r="F833" s="9" t="s">
        <v>199</v>
      </c>
      <c r="G833" s="9" t="s">
        <v>412</v>
      </c>
      <c r="H833" s="9" t="s">
        <v>831</v>
      </c>
      <c r="I833" s="81"/>
      <c r="J833" s="10">
        <f>'Messages Dictionary'!J242</f>
        <v>0.5</v>
      </c>
      <c r="K833" s="81"/>
      <c r="L833" s="29"/>
      <c r="M833" s="29"/>
      <c r="N833" s="23"/>
      <c r="O833" s="23"/>
      <c r="P833" s="23"/>
      <c r="Q833" s="23"/>
      <c r="R833" s="23"/>
      <c r="S833" s="23"/>
      <c r="T833" s="23"/>
      <c r="U833" s="23"/>
      <c r="V833" s="23"/>
      <c r="W833" s="23"/>
      <c r="X833" s="23"/>
      <c r="Y833" s="23"/>
      <c r="Z833" s="23"/>
      <c r="AA833" s="23"/>
      <c r="AB833" s="23"/>
      <c r="AC833" s="23"/>
      <c r="AD833" s="23"/>
      <c r="AE833" s="23"/>
      <c r="AF833" s="23"/>
      <c r="AG833" s="23"/>
      <c r="AH833" s="23"/>
      <c r="AI833" s="23"/>
      <c r="AJ833" s="23"/>
      <c r="AK833" s="23"/>
      <c r="AL833" s="23"/>
      <c r="AM833" s="23"/>
      <c r="AN833" s="23"/>
      <c r="AO833" s="23"/>
      <c r="AP833" s="23"/>
      <c r="AQ833" s="23"/>
      <c r="AR833" s="23"/>
      <c r="AS833" s="23">
        <f t="shared" si="14"/>
        <v>0</v>
      </c>
    </row>
    <row r="834" spans="1:45" s="27" customFormat="1" ht="28.5" hidden="1" x14ac:dyDescent="0.2">
      <c r="A834" s="28">
        <v>1296</v>
      </c>
      <c r="B834" s="9" t="s">
        <v>134</v>
      </c>
      <c r="C834" s="9" t="s">
        <v>135</v>
      </c>
      <c r="D834" s="9" t="s">
        <v>863</v>
      </c>
      <c r="E834" s="9" t="s">
        <v>319</v>
      </c>
      <c r="F834" s="9" t="s">
        <v>199</v>
      </c>
      <c r="G834" s="9" t="s">
        <v>412</v>
      </c>
      <c r="H834" s="9" t="s">
        <v>831</v>
      </c>
      <c r="I834" s="81"/>
      <c r="J834" s="10">
        <f>'Messages Dictionary'!J243</f>
        <v>0.5</v>
      </c>
      <c r="K834" s="81"/>
      <c r="L834" s="29"/>
      <c r="M834" s="29"/>
      <c r="N834" s="23"/>
      <c r="O834" s="23"/>
      <c r="P834" s="23"/>
      <c r="Q834" s="23"/>
      <c r="R834" s="23"/>
      <c r="S834" s="23"/>
      <c r="T834" s="23"/>
      <c r="U834" s="23"/>
      <c r="V834" s="23"/>
      <c r="W834" s="23"/>
      <c r="X834" s="23"/>
      <c r="Y834" s="23"/>
      <c r="Z834" s="23"/>
      <c r="AA834" s="23"/>
      <c r="AB834" s="23"/>
      <c r="AC834" s="23"/>
      <c r="AD834" s="23"/>
      <c r="AE834" s="23"/>
      <c r="AF834" s="23"/>
      <c r="AG834" s="23"/>
      <c r="AH834" s="23"/>
      <c r="AI834" s="23"/>
      <c r="AJ834" s="23"/>
      <c r="AK834" s="23"/>
      <c r="AL834" s="23"/>
      <c r="AM834" s="23"/>
      <c r="AN834" s="23"/>
      <c r="AO834" s="23"/>
      <c r="AP834" s="23"/>
      <c r="AQ834" s="23"/>
      <c r="AR834" s="23"/>
      <c r="AS834" s="23">
        <f t="shared" si="14"/>
        <v>0</v>
      </c>
    </row>
    <row r="835" spans="1:45" s="27" customFormat="1" ht="28.5" hidden="1" x14ac:dyDescent="0.2">
      <c r="A835" s="28">
        <v>1297</v>
      </c>
      <c r="B835" s="9" t="s">
        <v>136</v>
      </c>
      <c r="C835" s="9" t="s">
        <v>137</v>
      </c>
      <c r="D835" s="9" t="s">
        <v>404</v>
      </c>
      <c r="E835" s="9" t="s">
        <v>404</v>
      </c>
      <c r="F835" s="9" t="s">
        <v>199</v>
      </c>
      <c r="G835" s="9" t="s">
        <v>412</v>
      </c>
      <c r="H835" s="9" t="s">
        <v>831</v>
      </c>
      <c r="I835" s="81"/>
      <c r="J835" s="10">
        <f>'Messages Dictionary'!J244</f>
        <v>0.5</v>
      </c>
      <c r="K835" s="81"/>
      <c r="L835" s="29"/>
      <c r="M835" s="29"/>
      <c r="N835" s="23"/>
      <c r="O835" s="23"/>
      <c r="P835" s="23"/>
      <c r="Q835" s="23"/>
      <c r="R835" s="23"/>
      <c r="S835" s="23"/>
      <c r="T835" s="23"/>
      <c r="U835" s="23"/>
      <c r="V835" s="23"/>
      <c r="W835" s="23"/>
      <c r="X835" s="23"/>
      <c r="Y835" s="23"/>
      <c r="Z835" s="23"/>
      <c r="AA835" s="23"/>
      <c r="AB835" s="23"/>
      <c r="AC835" s="23"/>
      <c r="AD835" s="23"/>
      <c r="AE835" s="23"/>
      <c r="AF835" s="23"/>
      <c r="AG835" s="23"/>
      <c r="AH835" s="23"/>
      <c r="AI835" s="23"/>
      <c r="AJ835" s="23"/>
      <c r="AK835" s="23"/>
      <c r="AL835" s="23"/>
      <c r="AM835" s="23"/>
      <c r="AN835" s="23"/>
      <c r="AO835" s="23"/>
      <c r="AP835" s="23"/>
      <c r="AQ835" s="23"/>
      <c r="AR835" s="23"/>
      <c r="AS835" s="23">
        <f t="shared" si="14"/>
        <v>0</v>
      </c>
    </row>
    <row r="836" spans="1:45" s="27" customFormat="1" ht="85.5" hidden="1" x14ac:dyDescent="0.2">
      <c r="A836" s="28">
        <v>1313</v>
      </c>
      <c r="B836" s="9" t="s">
        <v>138</v>
      </c>
      <c r="C836" s="9" t="s">
        <v>537</v>
      </c>
      <c r="D836" s="9" t="s">
        <v>860</v>
      </c>
      <c r="E836" s="9" t="s">
        <v>316</v>
      </c>
      <c r="F836" s="9" t="s">
        <v>199</v>
      </c>
      <c r="G836" s="9" t="s">
        <v>412</v>
      </c>
      <c r="H836" s="9" t="s">
        <v>831</v>
      </c>
      <c r="I836" s="81"/>
      <c r="J836" s="10">
        <f>'Messages Dictionary'!J245</f>
        <v>1</v>
      </c>
      <c r="K836" s="81"/>
      <c r="L836" s="29"/>
      <c r="M836" s="29"/>
      <c r="N836" s="23"/>
      <c r="O836" s="23"/>
      <c r="P836" s="23"/>
      <c r="Q836" s="23"/>
      <c r="R836" s="23"/>
      <c r="S836" s="23"/>
      <c r="T836" s="23"/>
      <c r="U836" s="23"/>
      <c r="V836" s="23"/>
      <c r="W836" s="23"/>
      <c r="X836" s="23"/>
      <c r="Y836" s="23"/>
      <c r="Z836" s="23"/>
      <c r="AA836" s="23"/>
      <c r="AB836" s="23"/>
      <c r="AC836" s="23"/>
      <c r="AD836" s="23"/>
      <c r="AE836" s="23"/>
      <c r="AF836" s="23"/>
      <c r="AG836" s="23"/>
      <c r="AH836" s="23"/>
      <c r="AI836" s="23"/>
      <c r="AJ836" s="23"/>
      <c r="AK836" s="23"/>
      <c r="AL836" s="23"/>
      <c r="AM836" s="23"/>
      <c r="AN836" s="23"/>
      <c r="AO836" s="23"/>
      <c r="AP836" s="23"/>
      <c r="AQ836" s="23"/>
      <c r="AR836" s="23"/>
      <c r="AS836" s="23">
        <f t="shared" si="14"/>
        <v>0</v>
      </c>
    </row>
    <row r="837" spans="1:45" s="27" customFormat="1" ht="85.5" hidden="1" x14ac:dyDescent="0.2">
      <c r="A837" s="28">
        <v>1314</v>
      </c>
      <c r="B837" s="9" t="s">
        <v>538</v>
      </c>
      <c r="C837" s="9" t="s">
        <v>539</v>
      </c>
      <c r="D837" s="9" t="s">
        <v>860</v>
      </c>
      <c r="E837" s="9" t="s">
        <v>316</v>
      </c>
      <c r="F837" s="9" t="s">
        <v>199</v>
      </c>
      <c r="G837" s="9" t="s">
        <v>405</v>
      </c>
      <c r="H837" s="9" t="s">
        <v>536</v>
      </c>
      <c r="I837" s="81"/>
      <c r="J837" s="10">
        <f>'Messages Dictionary'!J246</f>
        <v>1</v>
      </c>
      <c r="K837" s="81"/>
      <c r="L837" s="29"/>
      <c r="M837" s="29"/>
      <c r="N837" s="23"/>
      <c r="O837" s="23"/>
      <c r="P837" s="23"/>
      <c r="Q837" s="23"/>
      <c r="R837" s="23"/>
      <c r="S837" s="23"/>
      <c r="T837" s="23"/>
      <c r="U837" s="23"/>
      <c r="V837" s="23"/>
      <c r="W837" s="23"/>
      <c r="X837" s="23"/>
      <c r="Y837" s="23"/>
      <c r="Z837" s="23"/>
      <c r="AA837" s="23"/>
      <c r="AB837" s="23"/>
      <c r="AC837" s="23"/>
      <c r="AD837" s="23"/>
      <c r="AE837" s="23"/>
      <c r="AF837" s="23"/>
      <c r="AG837" s="23"/>
      <c r="AH837" s="23"/>
      <c r="AI837" s="23"/>
      <c r="AJ837" s="23"/>
      <c r="AK837" s="23"/>
      <c r="AL837" s="23"/>
      <c r="AM837" s="23"/>
      <c r="AN837" s="23"/>
      <c r="AO837" s="23"/>
      <c r="AP837" s="23"/>
      <c r="AQ837" s="23"/>
      <c r="AR837" s="23"/>
      <c r="AS837" s="23">
        <f t="shared" si="14"/>
        <v>0</v>
      </c>
    </row>
    <row r="838" spans="1:45" s="27" customFormat="1" ht="71.25" hidden="1" x14ac:dyDescent="0.2">
      <c r="A838" s="28">
        <v>1315</v>
      </c>
      <c r="B838" s="9" t="s">
        <v>540</v>
      </c>
      <c r="C838" s="9" t="s">
        <v>541</v>
      </c>
      <c r="D838" s="9" t="s">
        <v>860</v>
      </c>
      <c r="E838" s="9" t="s">
        <v>40</v>
      </c>
      <c r="F838" s="9" t="s">
        <v>199</v>
      </c>
      <c r="G838" s="9" t="s">
        <v>405</v>
      </c>
      <c r="H838" s="9" t="s">
        <v>536</v>
      </c>
      <c r="I838" s="81"/>
      <c r="J838" s="10">
        <f>'Messages Dictionary'!J247</f>
        <v>1</v>
      </c>
      <c r="K838" s="81"/>
      <c r="L838" s="29"/>
      <c r="M838" s="29"/>
      <c r="N838" s="23"/>
      <c r="O838" s="23"/>
      <c r="P838" s="23"/>
      <c r="Q838" s="23"/>
      <c r="R838" s="23"/>
      <c r="S838" s="23"/>
      <c r="T838" s="23"/>
      <c r="U838" s="23"/>
      <c r="V838" s="23"/>
      <c r="W838" s="23"/>
      <c r="X838" s="23"/>
      <c r="Y838" s="23"/>
      <c r="Z838" s="23"/>
      <c r="AA838" s="23"/>
      <c r="AB838" s="23"/>
      <c r="AC838" s="23"/>
      <c r="AD838" s="23"/>
      <c r="AE838" s="23"/>
      <c r="AF838" s="23"/>
      <c r="AG838" s="23"/>
      <c r="AH838" s="23"/>
      <c r="AI838" s="23"/>
      <c r="AJ838" s="23"/>
      <c r="AK838" s="23"/>
      <c r="AL838" s="23"/>
      <c r="AM838" s="23"/>
      <c r="AN838" s="23"/>
      <c r="AO838" s="23"/>
      <c r="AP838" s="23"/>
      <c r="AQ838" s="23"/>
      <c r="AR838" s="23"/>
      <c r="AS838" s="23">
        <f t="shared" si="14"/>
        <v>0</v>
      </c>
    </row>
    <row r="839" spans="1:45" s="27" customFormat="1" ht="71.25" hidden="1" x14ac:dyDescent="0.2">
      <c r="A839" s="28">
        <v>1316</v>
      </c>
      <c r="B839" s="9" t="s">
        <v>542</v>
      </c>
      <c r="C839" s="9" t="s">
        <v>543</v>
      </c>
      <c r="D839" s="9" t="s">
        <v>860</v>
      </c>
      <c r="E839" s="9" t="s">
        <v>40</v>
      </c>
      <c r="F839" s="9" t="s">
        <v>199</v>
      </c>
      <c r="G839" s="9" t="s">
        <v>405</v>
      </c>
      <c r="H839" s="9" t="s">
        <v>536</v>
      </c>
      <c r="I839" s="81"/>
      <c r="J839" s="10">
        <f>'Messages Dictionary'!J248</f>
        <v>1</v>
      </c>
      <c r="K839" s="81"/>
      <c r="L839" s="29"/>
      <c r="M839" s="29"/>
      <c r="N839" s="23"/>
      <c r="O839" s="23"/>
      <c r="P839" s="23"/>
      <c r="Q839" s="23"/>
      <c r="R839" s="23"/>
      <c r="S839" s="23"/>
      <c r="T839" s="23"/>
      <c r="U839" s="23"/>
      <c r="V839" s="23"/>
      <c r="W839" s="23"/>
      <c r="X839" s="23"/>
      <c r="Y839" s="23"/>
      <c r="Z839" s="23"/>
      <c r="AA839" s="23"/>
      <c r="AB839" s="23"/>
      <c r="AC839" s="23"/>
      <c r="AD839" s="23"/>
      <c r="AE839" s="23"/>
      <c r="AF839" s="23"/>
      <c r="AG839" s="23"/>
      <c r="AH839" s="23"/>
      <c r="AI839" s="23"/>
      <c r="AJ839" s="23"/>
      <c r="AK839" s="23"/>
      <c r="AL839" s="23"/>
      <c r="AM839" s="23"/>
      <c r="AN839" s="23"/>
      <c r="AO839" s="23"/>
      <c r="AP839" s="23"/>
      <c r="AQ839" s="23"/>
      <c r="AR839" s="23"/>
      <c r="AS839" s="23">
        <f t="shared" si="14"/>
        <v>0</v>
      </c>
    </row>
    <row r="840" spans="1:45" s="27" customFormat="1" ht="57" hidden="1" x14ac:dyDescent="0.2">
      <c r="A840" s="28">
        <v>1317</v>
      </c>
      <c r="B840" s="9" t="s">
        <v>544</v>
      </c>
      <c r="C840" s="9" t="s">
        <v>545</v>
      </c>
      <c r="D840" s="9" t="s">
        <v>860</v>
      </c>
      <c r="E840" s="9" t="s">
        <v>316</v>
      </c>
      <c r="F840" s="9" t="s">
        <v>198</v>
      </c>
      <c r="G840" s="9" t="s">
        <v>405</v>
      </c>
      <c r="H840" s="9" t="s">
        <v>536</v>
      </c>
      <c r="I840" s="81"/>
      <c r="J840" s="10">
        <f>'Messages Dictionary'!J249</f>
        <v>1</v>
      </c>
      <c r="K840" s="81"/>
      <c r="L840" s="29"/>
      <c r="M840" s="29"/>
      <c r="N840" s="23"/>
      <c r="O840" s="23"/>
      <c r="P840" s="23"/>
      <c r="Q840" s="23"/>
      <c r="R840" s="23"/>
      <c r="S840" s="23"/>
      <c r="T840" s="23"/>
      <c r="U840" s="23"/>
      <c r="V840" s="23"/>
      <c r="W840" s="23"/>
      <c r="X840" s="23"/>
      <c r="Y840" s="23"/>
      <c r="Z840" s="23"/>
      <c r="AA840" s="23"/>
      <c r="AB840" s="23"/>
      <c r="AC840" s="23"/>
      <c r="AD840" s="23"/>
      <c r="AE840" s="23"/>
      <c r="AF840" s="23"/>
      <c r="AG840" s="23"/>
      <c r="AH840" s="23"/>
      <c r="AI840" s="23"/>
      <c r="AJ840" s="23"/>
      <c r="AK840" s="23"/>
      <c r="AL840" s="23"/>
      <c r="AM840" s="23"/>
      <c r="AN840" s="23"/>
      <c r="AO840" s="23"/>
      <c r="AP840" s="23"/>
      <c r="AQ840" s="23"/>
      <c r="AR840" s="23"/>
      <c r="AS840" s="23">
        <f t="shared" si="14"/>
        <v>0</v>
      </c>
    </row>
    <row r="841" spans="1:45" s="27" customFormat="1" ht="28.5" hidden="1" x14ac:dyDescent="0.2">
      <c r="A841" s="28">
        <v>1318</v>
      </c>
      <c r="B841" s="9" t="s">
        <v>546</v>
      </c>
      <c r="C841" s="9" t="s">
        <v>547</v>
      </c>
      <c r="D841" s="9" t="s">
        <v>860</v>
      </c>
      <c r="E841" s="9" t="s">
        <v>316</v>
      </c>
      <c r="F841" s="9" t="s">
        <v>199</v>
      </c>
      <c r="G841" s="9" t="s">
        <v>412</v>
      </c>
      <c r="H841" s="9" t="s">
        <v>831</v>
      </c>
      <c r="I841" s="81"/>
      <c r="J841" s="10">
        <f>'Messages Dictionary'!J250</f>
        <v>0.5</v>
      </c>
      <c r="K841" s="81"/>
      <c r="L841" s="29"/>
      <c r="M841" s="29"/>
      <c r="N841" s="23"/>
      <c r="O841" s="23"/>
      <c r="P841" s="23"/>
      <c r="Q841" s="23"/>
      <c r="R841" s="23"/>
      <c r="S841" s="23"/>
      <c r="T841" s="23"/>
      <c r="U841" s="23"/>
      <c r="V841" s="23"/>
      <c r="W841" s="23"/>
      <c r="X841" s="23"/>
      <c r="Y841" s="23"/>
      <c r="Z841" s="23"/>
      <c r="AA841" s="23"/>
      <c r="AB841" s="23"/>
      <c r="AC841" s="23"/>
      <c r="AD841" s="23"/>
      <c r="AE841" s="23"/>
      <c r="AF841" s="23"/>
      <c r="AG841" s="23"/>
      <c r="AH841" s="23"/>
      <c r="AI841" s="23"/>
      <c r="AJ841" s="23"/>
      <c r="AK841" s="23"/>
      <c r="AL841" s="23"/>
      <c r="AM841" s="23"/>
      <c r="AN841" s="23"/>
      <c r="AO841" s="23"/>
      <c r="AP841" s="23"/>
      <c r="AQ841" s="23"/>
      <c r="AR841" s="23"/>
      <c r="AS841" s="23">
        <f t="shared" si="14"/>
        <v>0</v>
      </c>
    </row>
    <row r="842" spans="1:45" s="27" customFormat="1" ht="28.5" hidden="1" x14ac:dyDescent="0.2">
      <c r="A842" s="28">
        <v>1319</v>
      </c>
      <c r="B842" s="9" t="s">
        <v>548</v>
      </c>
      <c r="C842" s="9" t="s">
        <v>549</v>
      </c>
      <c r="D842" s="9" t="s">
        <v>860</v>
      </c>
      <c r="E842" s="9" t="s">
        <v>316</v>
      </c>
      <c r="F842" s="9" t="s">
        <v>199</v>
      </c>
      <c r="G842" s="9" t="s">
        <v>412</v>
      </c>
      <c r="H842" s="9" t="s">
        <v>831</v>
      </c>
      <c r="I842" s="81"/>
      <c r="J842" s="10">
        <f>'Messages Dictionary'!J251</f>
        <v>0.5</v>
      </c>
      <c r="K842" s="81"/>
      <c r="L842" s="29"/>
      <c r="M842" s="29"/>
      <c r="N842" s="23"/>
      <c r="O842" s="23"/>
      <c r="P842" s="23"/>
      <c r="Q842" s="23"/>
      <c r="R842" s="23"/>
      <c r="S842" s="23"/>
      <c r="T842" s="23"/>
      <c r="U842" s="23"/>
      <c r="V842" s="23"/>
      <c r="W842" s="23"/>
      <c r="X842" s="23"/>
      <c r="Y842" s="23"/>
      <c r="Z842" s="23"/>
      <c r="AA842" s="23"/>
      <c r="AB842" s="23"/>
      <c r="AC842" s="23"/>
      <c r="AD842" s="23"/>
      <c r="AE842" s="23"/>
      <c r="AF842" s="23"/>
      <c r="AG842" s="23"/>
      <c r="AH842" s="23"/>
      <c r="AI842" s="23"/>
      <c r="AJ842" s="23"/>
      <c r="AK842" s="23"/>
      <c r="AL842" s="23"/>
      <c r="AM842" s="23"/>
      <c r="AN842" s="23"/>
      <c r="AO842" s="23"/>
      <c r="AP842" s="23"/>
      <c r="AQ842" s="23"/>
      <c r="AR842" s="23"/>
      <c r="AS842" s="23">
        <f t="shared" si="14"/>
        <v>0</v>
      </c>
    </row>
    <row r="843" spans="1:45" s="27" customFormat="1" ht="42.75" hidden="1" x14ac:dyDescent="0.2">
      <c r="A843" s="28">
        <v>1320</v>
      </c>
      <c r="B843" s="9" t="s">
        <v>550</v>
      </c>
      <c r="C843" s="9" t="s">
        <v>552</v>
      </c>
      <c r="D843" s="9" t="s">
        <v>860</v>
      </c>
      <c r="E843" s="9" t="s">
        <v>316</v>
      </c>
      <c r="F843" s="9" t="s">
        <v>199</v>
      </c>
      <c r="G843" s="9" t="s">
        <v>412</v>
      </c>
      <c r="H843" s="9" t="s">
        <v>831</v>
      </c>
      <c r="I843" s="81"/>
      <c r="J843" s="10">
        <f>'Messages Dictionary'!J252</f>
        <v>0.5</v>
      </c>
      <c r="K843" s="81"/>
      <c r="L843" s="29"/>
      <c r="M843" s="29"/>
      <c r="N843" s="23"/>
      <c r="O843" s="23"/>
      <c r="P843" s="23"/>
      <c r="Q843" s="23"/>
      <c r="R843" s="23"/>
      <c r="S843" s="23"/>
      <c r="T843" s="23"/>
      <c r="U843" s="23"/>
      <c r="V843" s="23"/>
      <c r="W843" s="23"/>
      <c r="X843" s="23"/>
      <c r="Y843" s="23"/>
      <c r="Z843" s="23"/>
      <c r="AA843" s="23"/>
      <c r="AB843" s="23"/>
      <c r="AC843" s="23"/>
      <c r="AD843" s="23"/>
      <c r="AE843" s="23"/>
      <c r="AF843" s="23"/>
      <c r="AG843" s="23"/>
      <c r="AH843" s="23"/>
      <c r="AI843" s="23"/>
      <c r="AJ843" s="23"/>
      <c r="AK843" s="23"/>
      <c r="AL843" s="23"/>
      <c r="AM843" s="23"/>
      <c r="AN843" s="23"/>
      <c r="AO843" s="23"/>
      <c r="AP843" s="23"/>
      <c r="AQ843" s="23"/>
      <c r="AR843" s="23"/>
      <c r="AS843" s="23">
        <f t="shared" si="14"/>
        <v>0</v>
      </c>
    </row>
    <row r="844" spans="1:45" s="27" customFormat="1" ht="57" hidden="1" x14ac:dyDescent="0.2">
      <c r="A844" s="28">
        <v>1321</v>
      </c>
      <c r="B844" s="9" t="s">
        <v>553</v>
      </c>
      <c r="C844" s="9" t="s">
        <v>554</v>
      </c>
      <c r="D844" s="9" t="s">
        <v>860</v>
      </c>
      <c r="E844" s="9" t="s">
        <v>316</v>
      </c>
      <c r="F844" s="9" t="s">
        <v>199</v>
      </c>
      <c r="G844" s="9" t="s">
        <v>405</v>
      </c>
      <c r="H844" s="9" t="s">
        <v>536</v>
      </c>
      <c r="I844" s="81"/>
      <c r="J844" s="10">
        <f>'Messages Dictionary'!J253</f>
        <v>1</v>
      </c>
      <c r="K844" s="81"/>
      <c r="L844" s="29"/>
      <c r="M844" s="29"/>
      <c r="N844" s="23"/>
      <c r="O844" s="23"/>
      <c r="P844" s="23"/>
      <c r="Q844" s="23"/>
      <c r="R844" s="23"/>
      <c r="S844" s="23"/>
      <c r="T844" s="23"/>
      <c r="U844" s="23"/>
      <c r="V844" s="23"/>
      <c r="W844" s="23"/>
      <c r="X844" s="23"/>
      <c r="Y844" s="23"/>
      <c r="Z844" s="23"/>
      <c r="AA844" s="23"/>
      <c r="AB844" s="23"/>
      <c r="AC844" s="23"/>
      <c r="AD844" s="23"/>
      <c r="AE844" s="23"/>
      <c r="AF844" s="23"/>
      <c r="AG844" s="23"/>
      <c r="AH844" s="23"/>
      <c r="AI844" s="23"/>
      <c r="AJ844" s="23"/>
      <c r="AK844" s="23"/>
      <c r="AL844" s="23"/>
      <c r="AM844" s="23"/>
      <c r="AN844" s="23"/>
      <c r="AO844" s="23"/>
      <c r="AP844" s="23"/>
      <c r="AQ844" s="23"/>
      <c r="AR844" s="23"/>
      <c r="AS844" s="23">
        <f t="shared" si="14"/>
        <v>0</v>
      </c>
    </row>
    <row r="845" spans="1:45" s="27" customFormat="1" ht="42.75" hidden="1" x14ac:dyDescent="0.2">
      <c r="A845" s="28">
        <v>1322</v>
      </c>
      <c r="B845" s="9" t="s">
        <v>555</v>
      </c>
      <c r="C845" s="9" t="s">
        <v>556</v>
      </c>
      <c r="D845" s="9" t="s">
        <v>860</v>
      </c>
      <c r="E845" s="9" t="s">
        <v>316</v>
      </c>
      <c r="F845" s="9" t="s">
        <v>199</v>
      </c>
      <c r="G845" s="9" t="s">
        <v>412</v>
      </c>
      <c r="H845" s="9" t="s">
        <v>831</v>
      </c>
      <c r="I845" s="81"/>
      <c r="J845" s="10">
        <f>'Messages Dictionary'!J254</f>
        <v>0.5</v>
      </c>
      <c r="K845" s="81"/>
      <c r="L845" s="29"/>
      <c r="M845" s="29"/>
      <c r="N845" s="23"/>
      <c r="O845" s="23"/>
      <c r="P845" s="23"/>
      <c r="Q845" s="23"/>
      <c r="R845" s="23"/>
      <c r="S845" s="23"/>
      <c r="T845" s="23"/>
      <c r="U845" s="23"/>
      <c r="V845" s="23"/>
      <c r="W845" s="23"/>
      <c r="X845" s="23"/>
      <c r="Y845" s="23"/>
      <c r="Z845" s="23"/>
      <c r="AA845" s="23"/>
      <c r="AB845" s="23"/>
      <c r="AC845" s="23"/>
      <c r="AD845" s="23"/>
      <c r="AE845" s="23"/>
      <c r="AF845" s="23"/>
      <c r="AG845" s="23"/>
      <c r="AH845" s="23"/>
      <c r="AI845" s="23"/>
      <c r="AJ845" s="23"/>
      <c r="AK845" s="23"/>
      <c r="AL845" s="23"/>
      <c r="AM845" s="23"/>
      <c r="AN845" s="23"/>
      <c r="AO845" s="23"/>
      <c r="AP845" s="23"/>
      <c r="AQ845" s="23"/>
      <c r="AR845" s="23"/>
      <c r="AS845" s="23">
        <f t="shared" si="14"/>
        <v>0</v>
      </c>
    </row>
    <row r="846" spans="1:45" s="27" customFormat="1" ht="28.5" hidden="1" x14ac:dyDescent="0.2">
      <c r="A846" s="28">
        <v>1323</v>
      </c>
      <c r="B846" s="9" t="s">
        <v>557</v>
      </c>
      <c r="C846" s="9" t="s">
        <v>558</v>
      </c>
      <c r="D846" s="9" t="s">
        <v>860</v>
      </c>
      <c r="E846" s="9" t="s">
        <v>316</v>
      </c>
      <c r="F846" s="9" t="s">
        <v>199</v>
      </c>
      <c r="G846" s="9" t="s">
        <v>412</v>
      </c>
      <c r="H846" s="9" t="s">
        <v>831</v>
      </c>
      <c r="I846" s="81"/>
      <c r="J846" s="10">
        <f>'Messages Dictionary'!J255</f>
        <v>0.5</v>
      </c>
      <c r="K846" s="81"/>
      <c r="L846" s="29"/>
      <c r="M846" s="29"/>
      <c r="N846" s="23"/>
      <c r="O846" s="23"/>
      <c r="P846" s="23"/>
      <c r="Q846" s="23"/>
      <c r="R846" s="23"/>
      <c r="S846" s="23"/>
      <c r="T846" s="23"/>
      <c r="U846" s="23"/>
      <c r="V846" s="23"/>
      <c r="W846" s="23"/>
      <c r="X846" s="23"/>
      <c r="Y846" s="23"/>
      <c r="Z846" s="23"/>
      <c r="AA846" s="23"/>
      <c r="AB846" s="23"/>
      <c r="AC846" s="23"/>
      <c r="AD846" s="23"/>
      <c r="AE846" s="23"/>
      <c r="AF846" s="23"/>
      <c r="AG846" s="23"/>
      <c r="AH846" s="23"/>
      <c r="AI846" s="23"/>
      <c r="AJ846" s="23"/>
      <c r="AK846" s="23"/>
      <c r="AL846" s="23"/>
      <c r="AM846" s="23"/>
      <c r="AN846" s="23"/>
      <c r="AO846" s="23"/>
      <c r="AP846" s="23"/>
      <c r="AQ846" s="23"/>
      <c r="AR846" s="23"/>
      <c r="AS846" s="23">
        <f t="shared" si="14"/>
        <v>0</v>
      </c>
    </row>
    <row r="847" spans="1:45" s="27" customFormat="1" ht="28.5" hidden="1" x14ac:dyDescent="0.2">
      <c r="A847" s="28">
        <v>1324</v>
      </c>
      <c r="B847" s="9" t="s">
        <v>559</v>
      </c>
      <c r="C847" s="9" t="s">
        <v>560</v>
      </c>
      <c r="D847" s="9" t="s">
        <v>860</v>
      </c>
      <c r="E847" s="9" t="s">
        <v>316</v>
      </c>
      <c r="F847" s="9" t="s">
        <v>199</v>
      </c>
      <c r="G847" s="9" t="s">
        <v>412</v>
      </c>
      <c r="H847" s="9" t="s">
        <v>831</v>
      </c>
      <c r="I847" s="81"/>
      <c r="J847" s="10">
        <f>'Messages Dictionary'!J256</f>
        <v>0.5</v>
      </c>
      <c r="K847" s="81"/>
      <c r="L847" s="29"/>
      <c r="M847" s="29"/>
      <c r="N847" s="23"/>
      <c r="O847" s="23"/>
      <c r="P847" s="23"/>
      <c r="Q847" s="23"/>
      <c r="R847" s="23"/>
      <c r="S847" s="23"/>
      <c r="T847" s="23"/>
      <c r="U847" s="23"/>
      <c r="V847" s="23"/>
      <c r="W847" s="23"/>
      <c r="X847" s="23"/>
      <c r="Y847" s="23"/>
      <c r="Z847" s="23"/>
      <c r="AA847" s="23"/>
      <c r="AB847" s="23"/>
      <c r="AC847" s="23"/>
      <c r="AD847" s="23"/>
      <c r="AE847" s="23"/>
      <c r="AF847" s="23"/>
      <c r="AG847" s="23"/>
      <c r="AH847" s="23"/>
      <c r="AI847" s="23"/>
      <c r="AJ847" s="23"/>
      <c r="AK847" s="23"/>
      <c r="AL847" s="23"/>
      <c r="AM847" s="23"/>
      <c r="AN847" s="23"/>
      <c r="AO847" s="23"/>
      <c r="AP847" s="23"/>
      <c r="AQ847" s="23"/>
      <c r="AR847" s="23"/>
      <c r="AS847" s="23">
        <f t="shared" si="14"/>
        <v>0</v>
      </c>
    </row>
    <row r="848" spans="1:45" s="27" customFormat="1" ht="28.5" hidden="1" x14ac:dyDescent="0.2">
      <c r="A848" s="28">
        <v>1325</v>
      </c>
      <c r="B848" s="9" t="s">
        <v>561</v>
      </c>
      <c r="C848" s="9" t="s">
        <v>562</v>
      </c>
      <c r="D848" s="9" t="s">
        <v>860</v>
      </c>
      <c r="E848" s="9" t="s">
        <v>316</v>
      </c>
      <c r="F848" s="9" t="s">
        <v>199</v>
      </c>
      <c r="G848" s="9" t="s">
        <v>412</v>
      </c>
      <c r="H848" s="9" t="s">
        <v>831</v>
      </c>
      <c r="I848" s="81"/>
      <c r="J848" s="10">
        <f>'Messages Dictionary'!J257</f>
        <v>0.5</v>
      </c>
      <c r="K848" s="81"/>
      <c r="L848" s="29"/>
      <c r="M848" s="29"/>
      <c r="N848" s="23"/>
      <c r="O848" s="23"/>
      <c r="P848" s="23"/>
      <c r="Q848" s="23"/>
      <c r="R848" s="23"/>
      <c r="S848" s="23"/>
      <c r="T848" s="23"/>
      <c r="U848" s="23"/>
      <c r="V848" s="23"/>
      <c r="W848" s="23"/>
      <c r="X848" s="23"/>
      <c r="Y848" s="23"/>
      <c r="Z848" s="23"/>
      <c r="AA848" s="23"/>
      <c r="AB848" s="23"/>
      <c r="AC848" s="23"/>
      <c r="AD848" s="23"/>
      <c r="AE848" s="23"/>
      <c r="AF848" s="23"/>
      <c r="AG848" s="23"/>
      <c r="AH848" s="23"/>
      <c r="AI848" s="23"/>
      <c r="AJ848" s="23"/>
      <c r="AK848" s="23"/>
      <c r="AL848" s="23"/>
      <c r="AM848" s="23"/>
      <c r="AN848" s="23"/>
      <c r="AO848" s="23"/>
      <c r="AP848" s="23"/>
      <c r="AQ848" s="23"/>
      <c r="AR848" s="23"/>
      <c r="AS848" s="23">
        <f t="shared" si="14"/>
        <v>0</v>
      </c>
    </row>
    <row r="849" spans="1:45" s="27" customFormat="1" ht="28.5" hidden="1" x14ac:dyDescent="0.2">
      <c r="A849" s="28">
        <v>1326</v>
      </c>
      <c r="B849" s="9" t="s">
        <v>563</v>
      </c>
      <c r="C849" s="9" t="s">
        <v>565</v>
      </c>
      <c r="D849" s="9" t="s">
        <v>860</v>
      </c>
      <c r="E849" s="9" t="s">
        <v>316</v>
      </c>
      <c r="F849" s="9" t="s">
        <v>199</v>
      </c>
      <c r="G849" s="9" t="s">
        <v>412</v>
      </c>
      <c r="H849" s="9" t="s">
        <v>831</v>
      </c>
      <c r="I849" s="81"/>
      <c r="J849" s="10">
        <f>'Messages Dictionary'!J258</f>
        <v>0.5</v>
      </c>
      <c r="K849" s="81"/>
      <c r="L849" s="29"/>
      <c r="M849" s="29"/>
      <c r="N849" s="23"/>
      <c r="O849" s="23"/>
      <c r="P849" s="23"/>
      <c r="Q849" s="23"/>
      <c r="R849" s="23"/>
      <c r="S849" s="23"/>
      <c r="T849" s="23"/>
      <c r="U849" s="23"/>
      <c r="V849" s="23"/>
      <c r="W849" s="23"/>
      <c r="X849" s="23"/>
      <c r="Y849" s="23"/>
      <c r="Z849" s="23"/>
      <c r="AA849" s="23"/>
      <c r="AB849" s="23"/>
      <c r="AC849" s="23"/>
      <c r="AD849" s="23"/>
      <c r="AE849" s="23"/>
      <c r="AF849" s="23"/>
      <c r="AG849" s="23"/>
      <c r="AH849" s="23"/>
      <c r="AI849" s="23"/>
      <c r="AJ849" s="23"/>
      <c r="AK849" s="23"/>
      <c r="AL849" s="23"/>
      <c r="AM849" s="23"/>
      <c r="AN849" s="23"/>
      <c r="AO849" s="23"/>
      <c r="AP849" s="23"/>
      <c r="AQ849" s="23"/>
      <c r="AR849" s="23"/>
      <c r="AS849" s="23">
        <f t="shared" si="14"/>
        <v>0</v>
      </c>
    </row>
    <row r="850" spans="1:45" s="27" customFormat="1" ht="42.75" hidden="1" x14ac:dyDescent="0.2">
      <c r="A850" s="28">
        <v>1327</v>
      </c>
      <c r="B850" s="9" t="s">
        <v>566</v>
      </c>
      <c r="C850" s="9" t="s">
        <v>567</v>
      </c>
      <c r="D850" s="9" t="s">
        <v>860</v>
      </c>
      <c r="E850" s="9" t="s">
        <v>316</v>
      </c>
      <c r="F850" s="9" t="s">
        <v>199</v>
      </c>
      <c r="G850" s="9" t="s">
        <v>412</v>
      </c>
      <c r="H850" s="9" t="s">
        <v>831</v>
      </c>
      <c r="I850" s="81"/>
      <c r="J850" s="10">
        <f>'Messages Dictionary'!J259</f>
        <v>0.5</v>
      </c>
      <c r="K850" s="81"/>
      <c r="L850" s="29"/>
      <c r="M850" s="29"/>
      <c r="N850" s="23"/>
      <c r="O850" s="23"/>
      <c r="P850" s="23"/>
      <c r="Q850" s="23"/>
      <c r="R850" s="23"/>
      <c r="S850" s="23"/>
      <c r="T850" s="23"/>
      <c r="U850" s="23"/>
      <c r="V850" s="23"/>
      <c r="W850" s="23"/>
      <c r="X850" s="23"/>
      <c r="Y850" s="23"/>
      <c r="Z850" s="23"/>
      <c r="AA850" s="23"/>
      <c r="AB850" s="23"/>
      <c r="AC850" s="23"/>
      <c r="AD850" s="23"/>
      <c r="AE850" s="23"/>
      <c r="AF850" s="23"/>
      <c r="AG850" s="23"/>
      <c r="AH850" s="23"/>
      <c r="AI850" s="23"/>
      <c r="AJ850" s="23"/>
      <c r="AK850" s="23"/>
      <c r="AL850" s="23"/>
      <c r="AM850" s="23"/>
      <c r="AN850" s="23"/>
      <c r="AO850" s="23"/>
      <c r="AP850" s="23"/>
      <c r="AQ850" s="23"/>
      <c r="AR850" s="23"/>
      <c r="AS850" s="23">
        <f t="shared" si="14"/>
        <v>0</v>
      </c>
    </row>
    <row r="851" spans="1:45" s="27" customFormat="1" ht="42.75" hidden="1" x14ac:dyDescent="0.2">
      <c r="A851" s="28">
        <v>1328</v>
      </c>
      <c r="B851" s="9" t="s">
        <v>566</v>
      </c>
      <c r="C851" s="9" t="s">
        <v>567</v>
      </c>
      <c r="D851" s="9" t="s">
        <v>860</v>
      </c>
      <c r="E851" s="9" t="s">
        <v>316</v>
      </c>
      <c r="F851" s="9" t="s">
        <v>199</v>
      </c>
      <c r="G851" s="9" t="s">
        <v>405</v>
      </c>
      <c r="H851" s="9" t="s">
        <v>536</v>
      </c>
      <c r="I851" s="81"/>
      <c r="J851" s="10">
        <f>'Messages Dictionary'!J260</f>
        <v>1</v>
      </c>
      <c r="K851" s="81"/>
      <c r="L851" s="29"/>
      <c r="M851" s="29"/>
      <c r="N851" s="23"/>
      <c r="O851" s="23"/>
      <c r="P851" s="23"/>
      <c r="Q851" s="23"/>
      <c r="R851" s="23"/>
      <c r="S851" s="23"/>
      <c r="T851" s="23"/>
      <c r="U851" s="23"/>
      <c r="V851" s="23"/>
      <c r="W851" s="23"/>
      <c r="X851" s="23"/>
      <c r="Y851" s="23"/>
      <c r="Z851" s="23"/>
      <c r="AA851" s="23"/>
      <c r="AB851" s="23"/>
      <c r="AC851" s="23"/>
      <c r="AD851" s="23"/>
      <c r="AE851" s="23"/>
      <c r="AF851" s="23"/>
      <c r="AG851" s="23"/>
      <c r="AH851" s="23"/>
      <c r="AI851" s="23"/>
      <c r="AJ851" s="23"/>
      <c r="AK851" s="23"/>
      <c r="AL851" s="23"/>
      <c r="AM851" s="23"/>
      <c r="AN851" s="23"/>
      <c r="AO851" s="23"/>
      <c r="AP851" s="23"/>
      <c r="AQ851" s="23"/>
      <c r="AR851" s="23"/>
      <c r="AS851" s="23">
        <f t="shared" si="14"/>
        <v>0</v>
      </c>
    </row>
    <row r="852" spans="1:45" s="27" customFormat="1" ht="28.5" hidden="1" x14ac:dyDescent="0.2">
      <c r="A852" s="28">
        <v>1329</v>
      </c>
      <c r="B852" s="9" t="s">
        <v>568</v>
      </c>
      <c r="C852" s="9" t="s">
        <v>569</v>
      </c>
      <c r="D852" s="9" t="s">
        <v>860</v>
      </c>
      <c r="E852" s="9" t="s">
        <v>316</v>
      </c>
      <c r="F852" s="9" t="s">
        <v>199</v>
      </c>
      <c r="G852" s="9" t="s">
        <v>412</v>
      </c>
      <c r="H852" s="9" t="s">
        <v>831</v>
      </c>
      <c r="I852" s="81"/>
      <c r="J852" s="10">
        <f>'Messages Dictionary'!J261</f>
        <v>1</v>
      </c>
      <c r="K852" s="81"/>
      <c r="L852" s="29"/>
      <c r="M852" s="29"/>
      <c r="N852" s="23"/>
      <c r="O852" s="23"/>
      <c r="P852" s="23"/>
      <c r="Q852" s="23"/>
      <c r="R852" s="23"/>
      <c r="S852" s="23"/>
      <c r="T852" s="23"/>
      <c r="U852" s="23"/>
      <c r="V852" s="23"/>
      <c r="W852" s="23"/>
      <c r="X852" s="23"/>
      <c r="Y852" s="23"/>
      <c r="Z852" s="23"/>
      <c r="AA852" s="23"/>
      <c r="AB852" s="23"/>
      <c r="AC852" s="23"/>
      <c r="AD852" s="23"/>
      <c r="AE852" s="23"/>
      <c r="AF852" s="23"/>
      <c r="AG852" s="23"/>
      <c r="AH852" s="23"/>
      <c r="AI852" s="23"/>
      <c r="AJ852" s="23"/>
      <c r="AK852" s="23"/>
      <c r="AL852" s="23"/>
      <c r="AM852" s="23"/>
      <c r="AN852" s="23"/>
      <c r="AO852" s="23"/>
      <c r="AP852" s="23"/>
      <c r="AQ852" s="23"/>
      <c r="AR852" s="23"/>
      <c r="AS852" s="23">
        <f t="shared" si="14"/>
        <v>0</v>
      </c>
    </row>
    <row r="853" spans="1:45" s="27" customFormat="1" ht="71.25" hidden="1" x14ac:dyDescent="0.2">
      <c r="A853" s="28">
        <v>1330</v>
      </c>
      <c r="B853" s="9" t="s">
        <v>570</v>
      </c>
      <c r="C853" s="9" t="s">
        <v>571</v>
      </c>
      <c r="D853" s="9" t="s">
        <v>860</v>
      </c>
      <c r="E853" s="9" t="s">
        <v>316</v>
      </c>
      <c r="F853" s="9" t="s">
        <v>199</v>
      </c>
      <c r="G853" s="9" t="s">
        <v>412</v>
      </c>
      <c r="H853" s="9" t="s">
        <v>831</v>
      </c>
      <c r="I853" s="81"/>
      <c r="J853" s="10">
        <f>'Messages Dictionary'!J262</f>
        <v>1</v>
      </c>
      <c r="K853" s="81"/>
      <c r="L853" s="29"/>
      <c r="M853" s="29"/>
      <c r="N853" s="23"/>
      <c r="O853" s="23"/>
      <c r="P853" s="23"/>
      <c r="Q853" s="23"/>
      <c r="R853" s="23"/>
      <c r="S853" s="23"/>
      <c r="T853" s="23"/>
      <c r="U853" s="23"/>
      <c r="V853" s="23"/>
      <c r="W853" s="23"/>
      <c r="X853" s="23"/>
      <c r="Y853" s="23"/>
      <c r="Z853" s="23"/>
      <c r="AA853" s="23"/>
      <c r="AB853" s="23"/>
      <c r="AC853" s="23"/>
      <c r="AD853" s="23"/>
      <c r="AE853" s="23"/>
      <c r="AF853" s="23"/>
      <c r="AG853" s="23"/>
      <c r="AH853" s="23"/>
      <c r="AI853" s="23"/>
      <c r="AJ853" s="23"/>
      <c r="AK853" s="23"/>
      <c r="AL853" s="23"/>
      <c r="AM853" s="23"/>
      <c r="AN853" s="23"/>
      <c r="AO853" s="23"/>
      <c r="AP853" s="23"/>
      <c r="AQ853" s="23"/>
      <c r="AR853" s="23"/>
      <c r="AS853" s="23">
        <f t="shared" si="14"/>
        <v>0</v>
      </c>
    </row>
    <row r="854" spans="1:45" s="27" customFormat="1" ht="99.75" hidden="1" x14ac:dyDescent="0.2">
      <c r="A854" s="28">
        <v>1331</v>
      </c>
      <c r="B854" s="9" t="s">
        <v>572</v>
      </c>
      <c r="C854" s="9" t="s">
        <v>105</v>
      </c>
      <c r="D854" s="9" t="s">
        <v>860</v>
      </c>
      <c r="E854" s="9" t="s">
        <v>316</v>
      </c>
      <c r="F854" s="9" t="s">
        <v>199</v>
      </c>
      <c r="G854" s="9" t="s">
        <v>412</v>
      </c>
      <c r="H854" s="9" t="s">
        <v>831</v>
      </c>
      <c r="I854" s="81"/>
      <c r="J854" s="10">
        <f>'Messages Dictionary'!J263</f>
        <v>0.5</v>
      </c>
      <c r="K854" s="81"/>
      <c r="L854" s="29"/>
      <c r="M854" s="29"/>
      <c r="N854" s="23"/>
      <c r="O854" s="23"/>
      <c r="P854" s="23"/>
      <c r="Q854" s="23"/>
      <c r="R854" s="23"/>
      <c r="S854" s="23"/>
      <c r="T854" s="23"/>
      <c r="U854" s="23"/>
      <c r="V854" s="23"/>
      <c r="W854" s="23"/>
      <c r="X854" s="23"/>
      <c r="Y854" s="23"/>
      <c r="Z854" s="23"/>
      <c r="AA854" s="23"/>
      <c r="AB854" s="23"/>
      <c r="AC854" s="23"/>
      <c r="AD854" s="23"/>
      <c r="AE854" s="23"/>
      <c r="AF854" s="23"/>
      <c r="AG854" s="23"/>
      <c r="AH854" s="23"/>
      <c r="AI854" s="23"/>
      <c r="AJ854" s="23"/>
      <c r="AK854" s="23"/>
      <c r="AL854" s="23"/>
      <c r="AM854" s="23"/>
      <c r="AN854" s="23"/>
      <c r="AO854" s="23"/>
      <c r="AP854" s="23"/>
      <c r="AQ854" s="23"/>
      <c r="AR854" s="23"/>
      <c r="AS854" s="23">
        <f t="shared" si="14"/>
        <v>0</v>
      </c>
    </row>
    <row r="855" spans="1:45" s="27" customFormat="1" ht="28.5" hidden="1" x14ac:dyDescent="0.2">
      <c r="A855" s="28">
        <v>1332</v>
      </c>
      <c r="B855" s="9" t="s">
        <v>106</v>
      </c>
      <c r="C855" s="9" t="s">
        <v>139</v>
      </c>
      <c r="D855" s="9" t="s">
        <v>860</v>
      </c>
      <c r="E855" s="9" t="s">
        <v>316</v>
      </c>
      <c r="F855" s="9" t="s">
        <v>199</v>
      </c>
      <c r="G855" s="9" t="s">
        <v>405</v>
      </c>
      <c r="H855" s="9" t="s">
        <v>536</v>
      </c>
      <c r="I855" s="81"/>
      <c r="J855" s="10">
        <f>'Messages Dictionary'!J264</f>
        <v>1</v>
      </c>
      <c r="K855" s="81"/>
      <c r="L855" s="29"/>
      <c r="M855" s="29"/>
      <c r="N855" s="23"/>
      <c r="O855" s="23"/>
      <c r="P855" s="23"/>
      <c r="Q855" s="23"/>
      <c r="R855" s="23"/>
      <c r="S855" s="23"/>
      <c r="T855" s="23"/>
      <c r="U855" s="23"/>
      <c r="V855" s="23"/>
      <c r="W855" s="23"/>
      <c r="X855" s="23"/>
      <c r="Y855" s="23"/>
      <c r="Z855" s="23"/>
      <c r="AA855" s="23"/>
      <c r="AB855" s="23"/>
      <c r="AC855" s="23"/>
      <c r="AD855" s="23"/>
      <c r="AE855" s="23"/>
      <c r="AF855" s="23"/>
      <c r="AG855" s="23"/>
      <c r="AH855" s="23"/>
      <c r="AI855" s="23"/>
      <c r="AJ855" s="23"/>
      <c r="AK855" s="23"/>
      <c r="AL855" s="23"/>
      <c r="AM855" s="23"/>
      <c r="AN855" s="23"/>
      <c r="AO855" s="23"/>
      <c r="AP855" s="23"/>
      <c r="AQ855" s="23"/>
      <c r="AR855" s="23"/>
      <c r="AS855" s="23">
        <f t="shared" si="14"/>
        <v>0</v>
      </c>
    </row>
    <row r="856" spans="1:45" s="27" customFormat="1" ht="28.5" hidden="1" x14ac:dyDescent="0.2">
      <c r="A856" s="28">
        <v>1333</v>
      </c>
      <c r="B856" s="9" t="s">
        <v>140</v>
      </c>
      <c r="C856" s="9" t="s">
        <v>141</v>
      </c>
      <c r="D856" s="9" t="s">
        <v>860</v>
      </c>
      <c r="E856" s="9" t="s">
        <v>316</v>
      </c>
      <c r="F856" s="9" t="s">
        <v>199</v>
      </c>
      <c r="G856" s="9" t="s">
        <v>405</v>
      </c>
      <c r="H856" s="9" t="s">
        <v>536</v>
      </c>
      <c r="I856" s="81"/>
      <c r="J856" s="10">
        <f>'Messages Dictionary'!J265</f>
        <v>1</v>
      </c>
      <c r="K856" s="81"/>
      <c r="L856" s="29"/>
      <c r="M856" s="29"/>
      <c r="N856" s="23"/>
      <c r="O856" s="23"/>
      <c r="P856" s="23"/>
      <c r="Q856" s="23"/>
      <c r="R856" s="23"/>
      <c r="S856" s="23"/>
      <c r="T856" s="23"/>
      <c r="U856" s="23"/>
      <c r="V856" s="23"/>
      <c r="W856" s="23"/>
      <c r="X856" s="23"/>
      <c r="Y856" s="23"/>
      <c r="Z856" s="23"/>
      <c r="AA856" s="23"/>
      <c r="AB856" s="23"/>
      <c r="AC856" s="23"/>
      <c r="AD856" s="23"/>
      <c r="AE856" s="23"/>
      <c r="AF856" s="23"/>
      <c r="AG856" s="23"/>
      <c r="AH856" s="23"/>
      <c r="AI856" s="23"/>
      <c r="AJ856" s="23"/>
      <c r="AK856" s="23"/>
      <c r="AL856" s="23"/>
      <c r="AM856" s="23"/>
      <c r="AN856" s="23"/>
      <c r="AO856" s="23"/>
      <c r="AP856" s="23"/>
      <c r="AQ856" s="23"/>
      <c r="AR856" s="23"/>
      <c r="AS856" s="23">
        <f t="shared" si="14"/>
        <v>0</v>
      </c>
    </row>
    <row r="857" spans="1:45" s="27" customFormat="1" ht="57" hidden="1" x14ac:dyDescent="0.2">
      <c r="A857" s="28">
        <v>1334</v>
      </c>
      <c r="B857" s="9" t="s">
        <v>142</v>
      </c>
      <c r="C857" s="9" t="s">
        <v>143</v>
      </c>
      <c r="D857" s="9" t="s">
        <v>860</v>
      </c>
      <c r="E857" s="9" t="s">
        <v>30</v>
      </c>
      <c r="F857" s="9" t="s">
        <v>199</v>
      </c>
      <c r="G857" s="9" t="s">
        <v>405</v>
      </c>
      <c r="H857" s="9" t="s">
        <v>646</v>
      </c>
      <c r="I857" s="81"/>
      <c r="J857" s="10">
        <f>'Messages Dictionary'!J266</f>
        <v>1</v>
      </c>
      <c r="K857" s="81"/>
      <c r="L857" s="29"/>
      <c r="M857" s="29"/>
      <c r="N857" s="23"/>
      <c r="O857" s="23"/>
      <c r="P857" s="23"/>
      <c r="Q857" s="23"/>
      <c r="R857" s="23"/>
      <c r="S857" s="23"/>
      <c r="T857" s="23"/>
      <c r="U857" s="23"/>
      <c r="V857" s="23"/>
      <c r="W857" s="23"/>
      <c r="X857" s="23"/>
      <c r="Y857" s="23"/>
      <c r="Z857" s="23"/>
      <c r="AA857" s="23"/>
      <c r="AB857" s="23"/>
      <c r="AC857" s="23"/>
      <c r="AD857" s="23"/>
      <c r="AE857" s="23"/>
      <c r="AF857" s="23"/>
      <c r="AG857" s="23"/>
      <c r="AH857" s="23"/>
      <c r="AI857" s="23"/>
      <c r="AJ857" s="23"/>
      <c r="AK857" s="23"/>
      <c r="AL857" s="23"/>
      <c r="AM857" s="23"/>
      <c r="AN857" s="23"/>
      <c r="AO857" s="23"/>
      <c r="AP857" s="23"/>
      <c r="AQ857" s="23"/>
      <c r="AR857" s="23"/>
      <c r="AS857" s="23">
        <f t="shared" si="14"/>
        <v>0</v>
      </c>
    </row>
    <row r="858" spans="1:45" s="27" customFormat="1" ht="57" hidden="1" x14ac:dyDescent="0.2">
      <c r="A858" s="28">
        <v>1335</v>
      </c>
      <c r="B858" s="9" t="s">
        <v>144</v>
      </c>
      <c r="C858" s="9" t="s">
        <v>145</v>
      </c>
      <c r="D858" s="9" t="s">
        <v>860</v>
      </c>
      <c r="E858" s="9" t="s">
        <v>30</v>
      </c>
      <c r="F858" s="9" t="s">
        <v>199</v>
      </c>
      <c r="G858" s="9" t="s">
        <v>412</v>
      </c>
      <c r="H858" s="9" t="s">
        <v>831</v>
      </c>
      <c r="I858" s="81"/>
      <c r="J858" s="10">
        <f>'Messages Dictionary'!J267</f>
        <v>0.5</v>
      </c>
      <c r="K858" s="81"/>
      <c r="L858" s="29"/>
      <c r="M858" s="29"/>
      <c r="N858" s="23"/>
      <c r="O858" s="23"/>
      <c r="P858" s="23"/>
      <c r="Q858" s="23"/>
      <c r="R858" s="23"/>
      <c r="S858" s="23"/>
      <c r="T858" s="23"/>
      <c r="U858" s="23"/>
      <c r="V858" s="23"/>
      <c r="W858" s="23"/>
      <c r="X858" s="23"/>
      <c r="Y858" s="23"/>
      <c r="Z858" s="23"/>
      <c r="AA858" s="23"/>
      <c r="AB858" s="23"/>
      <c r="AC858" s="23"/>
      <c r="AD858" s="23"/>
      <c r="AE858" s="23"/>
      <c r="AF858" s="23"/>
      <c r="AG858" s="23"/>
      <c r="AH858" s="23"/>
      <c r="AI858" s="23"/>
      <c r="AJ858" s="23"/>
      <c r="AK858" s="23"/>
      <c r="AL858" s="23"/>
      <c r="AM858" s="23"/>
      <c r="AN858" s="23"/>
      <c r="AO858" s="23"/>
      <c r="AP858" s="23"/>
      <c r="AQ858" s="23"/>
      <c r="AR858" s="23"/>
      <c r="AS858" s="23">
        <f t="shared" si="14"/>
        <v>0</v>
      </c>
    </row>
    <row r="859" spans="1:45" s="27" customFormat="1" ht="42.75" hidden="1" x14ac:dyDescent="0.2">
      <c r="A859" s="28">
        <v>1336</v>
      </c>
      <c r="B859" s="9" t="s">
        <v>448</v>
      </c>
      <c r="C859" s="9" t="s">
        <v>449</v>
      </c>
      <c r="D859" s="9" t="s">
        <v>121</v>
      </c>
      <c r="E859" s="9" t="s">
        <v>186</v>
      </c>
      <c r="F859" s="9" t="s">
        <v>199</v>
      </c>
      <c r="G859" s="9" t="s">
        <v>405</v>
      </c>
      <c r="H859" s="9" t="s">
        <v>806</v>
      </c>
      <c r="I859" s="81"/>
      <c r="J859" s="10">
        <f>'Messages Dictionary'!J268</f>
        <v>0.1</v>
      </c>
      <c r="K859" s="81"/>
      <c r="L859" s="29"/>
      <c r="M859" s="29"/>
      <c r="N859" s="23"/>
      <c r="O859" s="23"/>
      <c r="P859" s="23"/>
      <c r="Q859" s="23"/>
      <c r="R859" s="23"/>
      <c r="S859" s="23"/>
      <c r="T859" s="23"/>
      <c r="U859" s="23"/>
      <c r="V859" s="23"/>
      <c r="W859" s="23"/>
      <c r="X859" s="23"/>
      <c r="Y859" s="23"/>
      <c r="Z859" s="23"/>
      <c r="AA859" s="23"/>
      <c r="AB859" s="23"/>
      <c r="AC859" s="23"/>
      <c r="AD859" s="23"/>
      <c r="AE859" s="23"/>
      <c r="AF859" s="23"/>
      <c r="AG859" s="23"/>
      <c r="AH859" s="23"/>
      <c r="AI859" s="23"/>
      <c r="AJ859" s="23"/>
      <c r="AK859" s="23"/>
      <c r="AL859" s="23"/>
      <c r="AM859" s="23"/>
      <c r="AN859" s="23"/>
      <c r="AO859" s="23"/>
      <c r="AP859" s="23"/>
      <c r="AQ859" s="23"/>
      <c r="AR859" s="23"/>
      <c r="AS859" s="23">
        <f t="shared" si="14"/>
        <v>0</v>
      </c>
    </row>
    <row r="860" spans="1:45" s="27" customFormat="1" ht="28.5" hidden="1" x14ac:dyDescent="0.2">
      <c r="A860" s="28">
        <v>1341</v>
      </c>
      <c r="B860" s="9" t="s">
        <v>146</v>
      </c>
      <c r="C860" s="9" t="s">
        <v>146</v>
      </c>
      <c r="D860" s="9" t="s">
        <v>821</v>
      </c>
      <c r="E860" s="9" t="s">
        <v>27</v>
      </c>
      <c r="F860" s="9" t="s">
        <v>199</v>
      </c>
      <c r="G860" s="9" t="s">
        <v>412</v>
      </c>
      <c r="H860" s="9" t="s">
        <v>831</v>
      </c>
      <c r="I860" s="81"/>
      <c r="J860" s="10">
        <f>'Messages Dictionary'!J269</f>
        <v>0.5</v>
      </c>
      <c r="K860" s="81"/>
      <c r="L860" s="29"/>
      <c r="M860" s="29"/>
      <c r="N860" s="23"/>
      <c r="O860" s="23"/>
      <c r="P860" s="23"/>
      <c r="Q860" s="23"/>
      <c r="R860" s="23"/>
      <c r="S860" s="23"/>
      <c r="T860" s="23"/>
      <c r="U860" s="23"/>
      <c r="V860" s="23"/>
      <c r="W860" s="23"/>
      <c r="X860" s="23"/>
      <c r="Y860" s="23"/>
      <c r="Z860" s="23"/>
      <c r="AA860" s="23"/>
      <c r="AB860" s="23"/>
      <c r="AC860" s="23"/>
      <c r="AD860" s="23"/>
      <c r="AE860" s="23"/>
      <c r="AF860" s="23"/>
      <c r="AG860" s="23"/>
      <c r="AH860" s="23"/>
      <c r="AI860" s="23"/>
      <c r="AJ860" s="23"/>
      <c r="AK860" s="23"/>
      <c r="AL860" s="23"/>
      <c r="AM860" s="23"/>
      <c r="AN860" s="23"/>
      <c r="AO860" s="23"/>
      <c r="AP860" s="23"/>
      <c r="AQ860" s="23"/>
      <c r="AR860" s="23"/>
      <c r="AS860" s="23">
        <f t="shared" si="14"/>
        <v>0</v>
      </c>
    </row>
    <row r="861" spans="1:45" s="27" customFormat="1" ht="28.5" hidden="1" x14ac:dyDescent="0.2">
      <c r="A861" s="28">
        <v>1342</v>
      </c>
      <c r="B861" s="9" t="s">
        <v>146</v>
      </c>
      <c r="C861" s="9" t="s">
        <v>146</v>
      </c>
      <c r="D861" s="9" t="s">
        <v>821</v>
      </c>
      <c r="E861" s="9" t="s">
        <v>27</v>
      </c>
      <c r="F861" s="9" t="s">
        <v>199</v>
      </c>
      <c r="G861" s="9" t="s">
        <v>412</v>
      </c>
      <c r="H861" s="9" t="s">
        <v>831</v>
      </c>
      <c r="I861" s="81"/>
      <c r="J861" s="10">
        <f>'Messages Dictionary'!J270</f>
        <v>0.5</v>
      </c>
      <c r="K861" s="81"/>
      <c r="L861" s="29"/>
      <c r="M861" s="29"/>
      <c r="N861" s="23"/>
      <c r="O861" s="23"/>
      <c r="P861" s="23"/>
      <c r="Q861" s="23"/>
      <c r="R861" s="23"/>
      <c r="S861" s="23"/>
      <c r="T861" s="23"/>
      <c r="U861" s="23"/>
      <c r="V861" s="23"/>
      <c r="W861" s="23"/>
      <c r="X861" s="23"/>
      <c r="Y861" s="23"/>
      <c r="Z861" s="23"/>
      <c r="AA861" s="23"/>
      <c r="AB861" s="23"/>
      <c r="AC861" s="23"/>
      <c r="AD861" s="23"/>
      <c r="AE861" s="23"/>
      <c r="AF861" s="23"/>
      <c r="AG861" s="23"/>
      <c r="AH861" s="23"/>
      <c r="AI861" s="23"/>
      <c r="AJ861" s="23"/>
      <c r="AK861" s="23"/>
      <c r="AL861" s="23"/>
      <c r="AM861" s="23"/>
      <c r="AN861" s="23"/>
      <c r="AO861" s="23"/>
      <c r="AP861" s="23"/>
      <c r="AQ861" s="23"/>
      <c r="AR861" s="23"/>
      <c r="AS861" s="23">
        <f t="shared" si="14"/>
        <v>0</v>
      </c>
    </row>
    <row r="862" spans="1:45" s="27" customFormat="1" ht="28.5" hidden="1" x14ac:dyDescent="0.2">
      <c r="A862" s="28">
        <v>1343</v>
      </c>
      <c r="B862" s="9" t="s">
        <v>146</v>
      </c>
      <c r="C862" s="9" t="s">
        <v>146</v>
      </c>
      <c r="D862" s="9" t="s">
        <v>821</v>
      </c>
      <c r="E862" s="9" t="s">
        <v>27</v>
      </c>
      <c r="F862" s="9" t="s">
        <v>199</v>
      </c>
      <c r="G862" s="9" t="s">
        <v>412</v>
      </c>
      <c r="H862" s="9" t="s">
        <v>831</v>
      </c>
      <c r="I862" s="81"/>
      <c r="J862" s="10">
        <f>'Messages Dictionary'!J271</f>
        <v>0.5</v>
      </c>
      <c r="K862" s="81"/>
      <c r="L862" s="29"/>
      <c r="M862" s="29"/>
      <c r="N862" s="23"/>
      <c r="O862" s="23"/>
      <c r="P862" s="23"/>
      <c r="Q862" s="23"/>
      <c r="R862" s="23"/>
      <c r="S862" s="23"/>
      <c r="T862" s="23"/>
      <c r="U862" s="23"/>
      <c r="V862" s="23"/>
      <c r="W862" s="23"/>
      <c r="X862" s="23"/>
      <c r="Y862" s="23"/>
      <c r="Z862" s="23"/>
      <c r="AA862" s="23"/>
      <c r="AB862" s="23"/>
      <c r="AC862" s="23"/>
      <c r="AD862" s="23"/>
      <c r="AE862" s="23"/>
      <c r="AF862" s="23"/>
      <c r="AG862" s="23"/>
      <c r="AH862" s="23"/>
      <c r="AI862" s="23"/>
      <c r="AJ862" s="23"/>
      <c r="AK862" s="23"/>
      <c r="AL862" s="23"/>
      <c r="AM862" s="23"/>
      <c r="AN862" s="23"/>
      <c r="AO862" s="23"/>
      <c r="AP862" s="23"/>
      <c r="AQ862" s="23"/>
      <c r="AR862" s="23"/>
      <c r="AS862" s="23">
        <f t="shared" si="14"/>
        <v>0</v>
      </c>
    </row>
    <row r="863" spans="1:45" s="27" customFormat="1" ht="28.5" hidden="1" x14ac:dyDescent="0.2">
      <c r="A863" s="28">
        <v>1344</v>
      </c>
      <c r="B863" s="9" t="s">
        <v>147</v>
      </c>
      <c r="C863" s="9" t="s">
        <v>147</v>
      </c>
      <c r="D863" s="9" t="s">
        <v>821</v>
      </c>
      <c r="E863" s="9" t="s">
        <v>27</v>
      </c>
      <c r="F863" s="9" t="s">
        <v>199</v>
      </c>
      <c r="G863" s="9" t="s">
        <v>412</v>
      </c>
      <c r="H863" s="9" t="s">
        <v>831</v>
      </c>
      <c r="I863" s="81"/>
      <c r="J863" s="10">
        <f>'Messages Dictionary'!J272</f>
        <v>0.5</v>
      </c>
      <c r="K863" s="81"/>
      <c r="L863" s="29"/>
      <c r="M863" s="29"/>
      <c r="N863" s="23"/>
      <c r="O863" s="23"/>
      <c r="P863" s="23"/>
      <c r="Q863" s="23"/>
      <c r="R863" s="23"/>
      <c r="S863" s="23"/>
      <c r="T863" s="23"/>
      <c r="U863" s="23"/>
      <c r="V863" s="23"/>
      <c r="W863" s="23"/>
      <c r="X863" s="23"/>
      <c r="Y863" s="23"/>
      <c r="Z863" s="23"/>
      <c r="AA863" s="23"/>
      <c r="AB863" s="23"/>
      <c r="AC863" s="23"/>
      <c r="AD863" s="23"/>
      <c r="AE863" s="23"/>
      <c r="AF863" s="23"/>
      <c r="AG863" s="23"/>
      <c r="AH863" s="23"/>
      <c r="AI863" s="23"/>
      <c r="AJ863" s="23"/>
      <c r="AK863" s="23"/>
      <c r="AL863" s="23"/>
      <c r="AM863" s="23"/>
      <c r="AN863" s="23"/>
      <c r="AO863" s="23"/>
      <c r="AP863" s="23"/>
      <c r="AQ863" s="23"/>
      <c r="AR863" s="23"/>
      <c r="AS863" s="23">
        <f t="shared" si="14"/>
        <v>0</v>
      </c>
    </row>
    <row r="864" spans="1:45" s="27" customFormat="1" ht="28.5" hidden="1" x14ac:dyDescent="0.2">
      <c r="A864" s="28">
        <v>1345</v>
      </c>
      <c r="B864" s="9" t="s">
        <v>147</v>
      </c>
      <c r="C864" s="9" t="s">
        <v>147</v>
      </c>
      <c r="D864" s="9" t="s">
        <v>821</v>
      </c>
      <c r="E864" s="9" t="s">
        <v>27</v>
      </c>
      <c r="F864" s="9" t="s">
        <v>199</v>
      </c>
      <c r="G864" s="9" t="s">
        <v>412</v>
      </c>
      <c r="H864" s="9" t="s">
        <v>831</v>
      </c>
      <c r="I864" s="81"/>
      <c r="J864" s="10">
        <f>'Messages Dictionary'!J273</f>
        <v>0.5</v>
      </c>
      <c r="K864" s="81"/>
      <c r="L864" s="29"/>
      <c r="M864" s="29"/>
      <c r="N864" s="23"/>
      <c r="O864" s="23"/>
      <c r="P864" s="23"/>
      <c r="Q864" s="23"/>
      <c r="R864" s="23"/>
      <c r="S864" s="23"/>
      <c r="T864" s="23"/>
      <c r="U864" s="23"/>
      <c r="V864" s="23"/>
      <c r="W864" s="23"/>
      <c r="X864" s="23"/>
      <c r="Y864" s="23"/>
      <c r="Z864" s="23"/>
      <c r="AA864" s="23"/>
      <c r="AB864" s="23"/>
      <c r="AC864" s="23"/>
      <c r="AD864" s="23"/>
      <c r="AE864" s="23"/>
      <c r="AF864" s="23"/>
      <c r="AG864" s="23"/>
      <c r="AH864" s="23"/>
      <c r="AI864" s="23"/>
      <c r="AJ864" s="23"/>
      <c r="AK864" s="23"/>
      <c r="AL864" s="23"/>
      <c r="AM864" s="23"/>
      <c r="AN864" s="23"/>
      <c r="AO864" s="23"/>
      <c r="AP864" s="23"/>
      <c r="AQ864" s="23"/>
      <c r="AR864" s="23"/>
      <c r="AS864" s="23">
        <f t="shared" si="14"/>
        <v>0</v>
      </c>
    </row>
    <row r="865" spans="1:45" s="27" customFormat="1" ht="28.5" hidden="1" x14ac:dyDescent="0.2">
      <c r="A865" s="28">
        <v>1346</v>
      </c>
      <c r="B865" s="9" t="s">
        <v>147</v>
      </c>
      <c r="C865" s="9" t="s">
        <v>147</v>
      </c>
      <c r="D865" s="9" t="s">
        <v>821</v>
      </c>
      <c r="E865" s="9" t="s">
        <v>27</v>
      </c>
      <c r="F865" s="9" t="s">
        <v>199</v>
      </c>
      <c r="G865" s="9" t="s">
        <v>412</v>
      </c>
      <c r="H865" s="9" t="s">
        <v>831</v>
      </c>
      <c r="I865" s="81"/>
      <c r="J865" s="10">
        <f>'Messages Dictionary'!J274</f>
        <v>0.5</v>
      </c>
      <c r="K865" s="81"/>
      <c r="L865" s="29"/>
      <c r="M865" s="29"/>
      <c r="N865" s="23"/>
      <c r="O865" s="23"/>
      <c r="P865" s="23"/>
      <c r="Q865" s="23"/>
      <c r="R865" s="23"/>
      <c r="S865" s="23"/>
      <c r="T865" s="23"/>
      <c r="U865" s="23"/>
      <c r="V865" s="23"/>
      <c r="W865" s="23"/>
      <c r="X865" s="23"/>
      <c r="Y865" s="23"/>
      <c r="Z865" s="23"/>
      <c r="AA865" s="23"/>
      <c r="AB865" s="23"/>
      <c r="AC865" s="23"/>
      <c r="AD865" s="23"/>
      <c r="AE865" s="23"/>
      <c r="AF865" s="23"/>
      <c r="AG865" s="23"/>
      <c r="AH865" s="23"/>
      <c r="AI865" s="23"/>
      <c r="AJ865" s="23"/>
      <c r="AK865" s="23"/>
      <c r="AL865" s="23"/>
      <c r="AM865" s="23"/>
      <c r="AN865" s="23"/>
      <c r="AO865" s="23"/>
      <c r="AP865" s="23"/>
      <c r="AQ865" s="23"/>
      <c r="AR865" s="23"/>
      <c r="AS865" s="23">
        <f t="shared" si="14"/>
        <v>0</v>
      </c>
    </row>
    <row r="866" spans="1:45" s="27" customFormat="1" ht="28.5" hidden="1" x14ac:dyDescent="0.2">
      <c r="A866" s="28">
        <v>1347</v>
      </c>
      <c r="B866" s="9" t="s">
        <v>148</v>
      </c>
      <c r="C866" s="9" t="s">
        <v>148</v>
      </c>
      <c r="D866" s="9" t="s">
        <v>821</v>
      </c>
      <c r="E866" s="9" t="s">
        <v>27</v>
      </c>
      <c r="F866" s="9" t="s">
        <v>199</v>
      </c>
      <c r="G866" s="9" t="s">
        <v>412</v>
      </c>
      <c r="H866" s="9" t="s">
        <v>831</v>
      </c>
      <c r="I866" s="81"/>
      <c r="J866" s="10">
        <f>'Messages Dictionary'!J275</f>
        <v>0.5</v>
      </c>
      <c r="K866" s="81"/>
      <c r="L866" s="29"/>
      <c r="M866" s="29"/>
      <c r="N866" s="23"/>
      <c r="O866" s="23"/>
      <c r="P866" s="23"/>
      <c r="Q866" s="23"/>
      <c r="R866" s="23"/>
      <c r="S866" s="23"/>
      <c r="T866" s="23"/>
      <c r="U866" s="23"/>
      <c r="V866" s="23"/>
      <c r="W866" s="23"/>
      <c r="X866" s="23"/>
      <c r="Y866" s="23"/>
      <c r="Z866" s="23"/>
      <c r="AA866" s="23"/>
      <c r="AB866" s="23"/>
      <c r="AC866" s="23"/>
      <c r="AD866" s="23"/>
      <c r="AE866" s="23"/>
      <c r="AF866" s="23"/>
      <c r="AG866" s="23"/>
      <c r="AH866" s="23"/>
      <c r="AI866" s="23"/>
      <c r="AJ866" s="23"/>
      <c r="AK866" s="23"/>
      <c r="AL866" s="23"/>
      <c r="AM866" s="23"/>
      <c r="AN866" s="23"/>
      <c r="AO866" s="23"/>
      <c r="AP866" s="23"/>
      <c r="AQ866" s="23"/>
      <c r="AR866" s="23"/>
      <c r="AS866" s="23">
        <f t="shared" ref="AS866:AS929" si="15">AS267*$J866</f>
        <v>0</v>
      </c>
    </row>
    <row r="867" spans="1:45" s="27" customFormat="1" ht="28.5" hidden="1" x14ac:dyDescent="0.2">
      <c r="A867" s="28">
        <v>1348</v>
      </c>
      <c r="B867" s="9" t="s">
        <v>148</v>
      </c>
      <c r="C867" s="9" t="s">
        <v>148</v>
      </c>
      <c r="D867" s="9" t="s">
        <v>821</v>
      </c>
      <c r="E867" s="9" t="s">
        <v>27</v>
      </c>
      <c r="F867" s="9" t="s">
        <v>199</v>
      </c>
      <c r="G867" s="9" t="s">
        <v>412</v>
      </c>
      <c r="H867" s="9" t="s">
        <v>831</v>
      </c>
      <c r="I867" s="81"/>
      <c r="J867" s="10">
        <f>'Messages Dictionary'!J276</f>
        <v>0.5</v>
      </c>
      <c r="K867" s="81"/>
      <c r="L867" s="29"/>
      <c r="M867" s="29"/>
      <c r="N867" s="23"/>
      <c r="O867" s="23"/>
      <c r="P867" s="23"/>
      <c r="Q867" s="23"/>
      <c r="R867" s="23"/>
      <c r="S867" s="23"/>
      <c r="T867" s="23"/>
      <c r="U867" s="23"/>
      <c r="V867" s="23"/>
      <c r="W867" s="23"/>
      <c r="X867" s="23"/>
      <c r="Y867" s="23"/>
      <c r="Z867" s="23"/>
      <c r="AA867" s="23"/>
      <c r="AB867" s="23"/>
      <c r="AC867" s="23"/>
      <c r="AD867" s="23"/>
      <c r="AE867" s="23"/>
      <c r="AF867" s="23"/>
      <c r="AG867" s="23"/>
      <c r="AH867" s="23"/>
      <c r="AI867" s="23"/>
      <c r="AJ867" s="23"/>
      <c r="AK867" s="23"/>
      <c r="AL867" s="23"/>
      <c r="AM867" s="23"/>
      <c r="AN867" s="23"/>
      <c r="AO867" s="23"/>
      <c r="AP867" s="23"/>
      <c r="AQ867" s="23"/>
      <c r="AR867" s="23"/>
      <c r="AS867" s="23">
        <f t="shared" si="15"/>
        <v>0</v>
      </c>
    </row>
    <row r="868" spans="1:45" s="27" customFormat="1" ht="28.5" hidden="1" x14ac:dyDescent="0.2">
      <c r="A868" s="28">
        <v>1349</v>
      </c>
      <c r="B868" s="9" t="s">
        <v>148</v>
      </c>
      <c r="C868" s="9" t="s">
        <v>148</v>
      </c>
      <c r="D868" s="9" t="s">
        <v>821</v>
      </c>
      <c r="E868" s="9" t="s">
        <v>27</v>
      </c>
      <c r="F868" s="9" t="s">
        <v>199</v>
      </c>
      <c r="G868" s="9" t="s">
        <v>412</v>
      </c>
      <c r="H868" s="9" t="s">
        <v>831</v>
      </c>
      <c r="I868" s="81"/>
      <c r="J868" s="10">
        <f>'Messages Dictionary'!J277</f>
        <v>0.5</v>
      </c>
      <c r="K868" s="81"/>
      <c r="L868" s="29"/>
      <c r="M868" s="29"/>
      <c r="N868" s="23"/>
      <c r="O868" s="23"/>
      <c r="P868" s="23"/>
      <c r="Q868" s="23"/>
      <c r="R868" s="23"/>
      <c r="S868" s="23"/>
      <c r="T868" s="23"/>
      <c r="U868" s="23"/>
      <c r="V868" s="23"/>
      <c r="W868" s="23"/>
      <c r="X868" s="23"/>
      <c r="Y868" s="23"/>
      <c r="Z868" s="23"/>
      <c r="AA868" s="23"/>
      <c r="AB868" s="23"/>
      <c r="AC868" s="23"/>
      <c r="AD868" s="23"/>
      <c r="AE868" s="23"/>
      <c r="AF868" s="23"/>
      <c r="AG868" s="23"/>
      <c r="AH868" s="23"/>
      <c r="AI868" s="23"/>
      <c r="AJ868" s="23"/>
      <c r="AK868" s="23"/>
      <c r="AL868" s="23"/>
      <c r="AM868" s="23"/>
      <c r="AN868" s="23"/>
      <c r="AO868" s="23"/>
      <c r="AP868" s="23"/>
      <c r="AQ868" s="23"/>
      <c r="AR868" s="23"/>
      <c r="AS868" s="23">
        <f t="shared" si="15"/>
        <v>0</v>
      </c>
    </row>
    <row r="869" spans="1:45" s="27" customFormat="1" ht="28.5" hidden="1" x14ac:dyDescent="0.2">
      <c r="A869" s="28">
        <v>1350</v>
      </c>
      <c r="B869" s="9" t="s">
        <v>149</v>
      </c>
      <c r="C869" s="9" t="s">
        <v>149</v>
      </c>
      <c r="D869" s="9" t="s">
        <v>821</v>
      </c>
      <c r="E869" s="9" t="s">
        <v>27</v>
      </c>
      <c r="F869" s="9" t="s">
        <v>199</v>
      </c>
      <c r="G869" s="9" t="s">
        <v>412</v>
      </c>
      <c r="H869" s="9" t="s">
        <v>831</v>
      </c>
      <c r="I869" s="81"/>
      <c r="J869" s="10">
        <f>'Messages Dictionary'!J278</f>
        <v>0.5</v>
      </c>
      <c r="K869" s="81"/>
      <c r="L869" s="29"/>
      <c r="M869" s="29"/>
      <c r="N869" s="23"/>
      <c r="O869" s="23"/>
      <c r="P869" s="23"/>
      <c r="Q869" s="23"/>
      <c r="R869" s="23"/>
      <c r="S869" s="23"/>
      <c r="T869" s="23"/>
      <c r="U869" s="23"/>
      <c r="V869" s="23"/>
      <c r="W869" s="23"/>
      <c r="X869" s="23"/>
      <c r="Y869" s="23"/>
      <c r="Z869" s="23"/>
      <c r="AA869" s="23"/>
      <c r="AB869" s="23"/>
      <c r="AC869" s="23"/>
      <c r="AD869" s="23"/>
      <c r="AE869" s="23"/>
      <c r="AF869" s="23"/>
      <c r="AG869" s="23"/>
      <c r="AH869" s="23"/>
      <c r="AI869" s="23"/>
      <c r="AJ869" s="23"/>
      <c r="AK869" s="23"/>
      <c r="AL869" s="23"/>
      <c r="AM869" s="23"/>
      <c r="AN869" s="23"/>
      <c r="AO869" s="23"/>
      <c r="AP869" s="23"/>
      <c r="AQ869" s="23"/>
      <c r="AR869" s="23"/>
      <c r="AS869" s="23">
        <f t="shared" si="15"/>
        <v>0</v>
      </c>
    </row>
    <row r="870" spans="1:45" s="27" customFormat="1" ht="28.5" hidden="1" x14ac:dyDescent="0.2">
      <c r="A870" s="28">
        <v>1351</v>
      </c>
      <c r="B870" s="9" t="s">
        <v>149</v>
      </c>
      <c r="C870" s="9" t="s">
        <v>149</v>
      </c>
      <c r="D870" s="9" t="s">
        <v>821</v>
      </c>
      <c r="E870" s="9" t="s">
        <v>27</v>
      </c>
      <c r="F870" s="9" t="s">
        <v>199</v>
      </c>
      <c r="G870" s="9" t="s">
        <v>412</v>
      </c>
      <c r="H870" s="9" t="s">
        <v>831</v>
      </c>
      <c r="I870" s="81"/>
      <c r="J870" s="10">
        <f>'Messages Dictionary'!J279</f>
        <v>0.5</v>
      </c>
      <c r="K870" s="81"/>
      <c r="L870" s="29"/>
      <c r="M870" s="29"/>
      <c r="N870" s="23"/>
      <c r="O870" s="23"/>
      <c r="P870" s="23"/>
      <c r="Q870" s="23"/>
      <c r="R870" s="23"/>
      <c r="S870" s="23"/>
      <c r="T870" s="23"/>
      <c r="U870" s="23"/>
      <c r="V870" s="23"/>
      <c r="W870" s="23"/>
      <c r="X870" s="23"/>
      <c r="Y870" s="23"/>
      <c r="Z870" s="23"/>
      <c r="AA870" s="23"/>
      <c r="AB870" s="23"/>
      <c r="AC870" s="23"/>
      <c r="AD870" s="23"/>
      <c r="AE870" s="23"/>
      <c r="AF870" s="23"/>
      <c r="AG870" s="23"/>
      <c r="AH870" s="23"/>
      <c r="AI870" s="23"/>
      <c r="AJ870" s="23"/>
      <c r="AK870" s="23"/>
      <c r="AL870" s="23"/>
      <c r="AM870" s="23"/>
      <c r="AN870" s="23"/>
      <c r="AO870" s="23"/>
      <c r="AP870" s="23"/>
      <c r="AQ870" s="23"/>
      <c r="AR870" s="23"/>
      <c r="AS870" s="23">
        <f t="shared" si="15"/>
        <v>0</v>
      </c>
    </row>
    <row r="871" spans="1:45" s="27" customFormat="1" ht="28.5" hidden="1" x14ac:dyDescent="0.2">
      <c r="A871" s="28">
        <v>1352</v>
      </c>
      <c r="B871" s="9" t="s">
        <v>149</v>
      </c>
      <c r="C871" s="9" t="s">
        <v>149</v>
      </c>
      <c r="D871" s="9" t="s">
        <v>821</v>
      </c>
      <c r="E871" s="9" t="s">
        <v>27</v>
      </c>
      <c r="F871" s="9" t="s">
        <v>199</v>
      </c>
      <c r="G871" s="9" t="s">
        <v>412</v>
      </c>
      <c r="H871" s="9" t="s">
        <v>831</v>
      </c>
      <c r="I871" s="81"/>
      <c r="J871" s="10">
        <f>'Messages Dictionary'!J280</f>
        <v>0.5</v>
      </c>
      <c r="K871" s="81"/>
      <c r="L871" s="29"/>
      <c r="M871" s="29"/>
      <c r="N871" s="23"/>
      <c r="O871" s="23"/>
      <c r="P871" s="23"/>
      <c r="Q871" s="23"/>
      <c r="R871" s="23"/>
      <c r="S871" s="23"/>
      <c r="T871" s="23"/>
      <c r="U871" s="23"/>
      <c r="V871" s="23"/>
      <c r="W871" s="23"/>
      <c r="X871" s="23"/>
      <c r="Y871" s="23"/>
      <c r="Z871" s="23"/>
      <c r="AA871" s="23"/>
      <c r="AB871" s="23"/>
      <c r="AC871" s="23"/>
      <c r="AD871" s="23"/>
      <c r="AE871" s="23"/>
      <c r="AF871" s="23"/>
      <c r="AG871" s="23"/>
      <c r="AH871" s="23"/>
      <c r="AI871" s="23"/>
      <c r="AJ871" s="23"/>
      <c r="AK871" s="23"/>
      <c r="AL871" s="23"/>
      <c r="AM871" s="23"/>
      <c r="AN871" s="23"/>
      <c r="AO871" s="23"/>
      <c r="AP871" s="23"/>
      <c r="AQ871" s="23"/>
      <c r="AR871" s="23"/>
      <c r="AS871" s="23">
        <f t="shared" si="15"/>
        <v>0</v>
      </c>
    </row>
    <row r="872" spans="1:45" s="27" customFormat="1" ht="28.5" hidden="1" x14ac:dyDescent="0.2">
      <c r="A872" s="28">
        <v>1353</v>
      </c>
      <c r="B872" s="9" t="s">
        <v>150</v>
      </c>
      <c r="C872" s="9" t="s">
        <v>150</v>
      </c>
      <c r="D872" s="9" t="s">
        <v>821</v>
      </c>
      <c r="E872" s="9" t="s">
        <v>27</v>
      </c>
      <c r="F872" s="9" t="s">
        <v>199</v>
      </c>
      <c r="G872" s="9" t="s">
        <v>412</v>
      </c>
      <c r="H872" s="9" t="s">
        <v>831</v>
      </c>
      <c r="I872" s="81"/>
      <c r="J872" s="10">
        <f>'Messages Dictionary'!J281</f>
        <v>0.5</v>
      </c>
      <c r="K872" s="81"/>
      <c r="L872" s="29"/>
      <c r="M872" s="29"/>
      <c r="N872" s="23"/>
      <c r="O872" s="23"/>
      <c r="P872" s="23"/>
      <c r="Q872" s="23"/>
      <c r="R872" s="23"/>
      <c r="S872" s="23"/>
      <c r="T872" s="23"/>
      <c r="U872" s="23"/>
      <c r="V872" s="23"/>
      <c r="W872" s="23"/>
      <c r="X872" s="23"/>
      <c r="Y872" s="23"/>
      <c r="Z872" s="23"/>
      <c r="AA872" s="23"/>
      <c r="AB872" s="23"/>
      <c r="AC872" s="23"/>
      <c r="AD872" s="23"/>
      <c r="AE872" s="23"/>
      <c r="AF872" s="23"/>
      <c r="AG872" s="23"/>
      <c r="AH872" s="23"/>
      <c r="AI872" s="23"/>
      <c r="AJ872" s="23"/>
      <c r="AK872" s="23"/>
      <c r="AL872" s="23"/>
      <c r="AM872" s="23"/>
      <c r="AN872" s="23"/>
      <c r="AO872" s="23"/>
      <c r="AP872" s="23"/>
      <c r="AQ872" s="23"/>
      <c r="AR872" s="23"/>
      <c r="AS872" s="23">
        <f t="shared" si="15"/>
        <v>0</v>
      </c>
    </row>
    <row r="873" spans="1:45" s="27" customFormat="1" ht="28.5" hidden="1" x14ac:dyDescent="0.2">
      <c r="A873" s="28">
        <v>1354</v>
      </c>
      <c r="B873" s="9" t="s">
        <v>150</v>
      </c>
      <c r="C873" s="9" t="s">
        <v>150</v>
      </c>
      <c r="D873" s="9" t="s">
        <v>821</v>
      </c>
      <c r="E873" s="9" t="s">
        <v>27</v>
      </c>
      <c r="F873" s="9" t="s">
        <v>199</v>
      </c>
      <c r="G873" s="9" t="s">
        <v>412</v>
      </c>
      <c r="H873" s="9" t="s">
        <v>831</v>
      </c>
      <c r="I873" s="81"/>
      <c r="J873" s="10">
        <f>'Messages Dictionary'!J282</f>
        <v>0.5</v>
      </c>
      <c r="K873" s="81"/>
      <c r="L873" s="29"/>
      <c r="M873" s="29"/>
      <c r="N873" s="23"/>
      <c r="O873" s="23"/>
      <c r="P873" s="23"/>
      <c r="Q873" s="23"/>
      <c r="R873" s="23"/>
      <c r="S873" s="23"/>
      <c r="T873" s="23"/>
      <c r="U873" s="23"/>
      <c r="V873" s="23"/>
      <c r="W873" s="23"/>
      <c r="X873" s="23"/>
      <c r="Y873" s="23"/>
      <c r="Z873" s="23"/>
      <c r="AA873" s="23"/>
      <c r="AB873" s="23"/>
      <c r="AC873" s="23"/>
      <c r="AD873" s="23"/>
      <c r="AE873" s="23"/>
      <c r="AF873" s="23"/>
      <c r="AG873" s="23"/>
      <c r="AH873" s="23"/>
      <c r="AI873" s="23"/>
      <c r="AJ873" s="23"/>
      <c r="AK873" s="23"/>
      <c r="AL873" s="23"/>
      <c r="AM873" s="23"/>
      <c r="AN873" s="23"/>
      <c r="AO873" s="23"/>
      <c r="AP873" s="23"/>
      <c r="AQ873" s="23"/>
      <c r="AR873" s="23"/>
      <c r="AS873" s="23">
        <f t="shared" si="15"/>
        <v>0</v>
      </c>
    </row>
    <row r="874" spans="1:45" s="27" customFormat="1" ht="28.5" hidden="1" x14ac:dyDescent="0.2">
      <c r="A874" s="28">
        <v>1355</v>
      </c>
      <c r="B874" s="9" t="s">
        <v>150</v>
      </c>
      <c r="C874" s="9" t="s">
        <v>150</v>
      </c>
      <c r="D874" s="9" t="s">
        <v>821</v>
      </c>
      <c r="E874" s="9" t="s">
        <v>27</v>
      </c>
      <c r="F874" s="9" t="s">
        <v>199</v>
      </c>
      <c r="G874" s="9" t="s">
        <v>412</v>
      </c>
      <c r="H874" s="9" t="s">
        <v>831</v>
      </c>
      <c r="I874" s="81"/>
      <c r="J874" s="10">
        <f>'Messages Dictionary'!J283</f>
        <v>0.5</v>
      </c>
      <c r="K874" s="81"/>
      <c r="L874" s="29"/>
      <c r="M874" s="29"/>
      <c r="N874" s="23"/>
      <c r="O874" s="23"/>
      <c r="P874" s="23"/>
      <c r="Q874" s="23"/>
      <c r="R874" s="23"/>
      <c r="S874" s="23"/>
      <c r="T874" s="23"/>
      <c r="U874" s="23"/>
      <c r="V874" s="23"/>
      <c r="W874" s="23"/>
      <c r="X874" s="23"/>
      <c r="Y874" s="23"/>
      <c r="Z874" s="23"/>
      <c r="AA874" s="23"/>
      <c r="AB874" s="23"/>
      <c r="AC874" s="23"/>
      <c r="AD874" s="23"/>
      <c r="AE874" s="23"/>
      <c r="AF874" s="23"/>
      <c r="AG874" s="23"/>
      <c r="AH874" s="23"/>
      <c r="AI874" s="23"/>
      <c r="AJ874" s="23"/>
      <c r="AK874" s="23"/>
      <c r="AL874" s="23"/>
      <c r="AM874" s="23"/>
      <c r="AN874" s="23"/>
      <c r="AO874" s="23"/>
      <c r="AP874" s="23"/>
      <c r="AQ874" s="23"/>
      <c r="AR874" s="23"/>
      <c r="AS874" s="23">
        <f t="shared" si="15"/>
        <v>0</v>
      </c>
    </row>
    <row r="875" spans="1:45" s="27" customFormat="1" ht="28.5" hidden="1" x14ac:dyDescent="0.2">
      <c r="A875" s="28">
        <v>1356</v>
      </c>
      <c r="B875" s="9" t="s">
        <v>151</v>
      </c>
      <c r="C875" s="9" t="s">
        <v>151</v>
      </c>
      <c r="D875" s="9" t="s">
        <v>821</v>
      </c>
      <c r="E875" s="9" t="s">
        <v>27</v>
      </c>
      <c r="F875" s="9" t="s">
        <v>199</v>
      </c>
      <c r="G875" s="9" t="s">
        <v>412</v>
      </c>
      <c r="H875" s="9" t="s">
        <v>831</v>
      </c>
      <c r="I875" s="81"/>
      <c r="J875" s="10">
        <f>'Messages Dictionary'!J284</f>
        <v>0.5</v>
      </c>
      <c r="K875" s="81"/>
      <c r="L875" s="29"/>
      <c r="M875" s="29"/>
      <c r="N875" s="23"/>
      <c r="O875" s="23"/>
      <c r="P875" s="23"/>
      <c r="Q875" s="23"/>
      <c r="R875" s="23"/>
      <c r="S875" s="23"/>
      <c r="T875" s="23"/>
      <c r="U875" s="23"/>
      <c r="V875" s="23"/>
      <c r="W875" s="23"/>
      <c r="X875" s="23"/>
      <c r="Y875" s="23"/>
      <c r="Z875" s="23"/>
      <c r="AA875" s="23"/>
      <c r="AB875" s="23"/>
      <c r="AC875" s="23"/>
      <c r="AD875" s="23"/>
      <c r="AE875" s="23"/>
      <c r="AF875" s="23"/>
      <c r="AG875" s="23"/>
      <c r="AH875" s="23"/>
      <c r="AI875" s="23"/>
      <c r="AJ875" s="23"/>
      <c r="AK875" s="23"/>
      <c r="AL875" s="23"/>
      <c r="AM875" s="23"/>
      <c r="AN875" s="23"/>
      <c r="AO875" s="23"/>
      <c r="AP875" s="23"/>
      <c r="AQ875" s="23"/>
      <c r="AR875" s="23"/>
      <c r="AS875" s="23">
        <f t="shared" si="15"/>
        <v>0</v>
      </c>
    </row>
    <row r="876" spans="1:45" s="27" customFormat="1" ht="28.5" hidden="1" x14ac:dyDescent="0.2">
      <c r="A876" s="28">
        <v>1357</v>
      </c>
      <c r="B876" s="9" t="s">
        <v>151</v>
      </c>
      <c r="C876" s="9" t="s">
        <v>151</v>
      </c>
      <c r="D876" s="9" t="s">
        <v>821</v>
      </c>
      <c r="E876" s="9" t="s">
        <v>27</v>
      </c>
      <c r="F876" s="9" t="s">
        <v>199</v>
      </c>
      <c r="G876" s="9" t="s">
        <v>412</v>
      </c>
      <c r="H876" s="9" t="s">
        <v>831</v>
      </c>
      <c r="I876" s="81"/>
      <c r="J876" s="10">
        <f>'Messages Dictionary'!J285</f>
        <v>0.5</v>
      </c>
      <c r="K876" s="81"/>
      <c r="L876" s="29"/>
      <c r="M876" s="29"/>
      <c r="N876" s="23"/>
      <c r="O876" s="23"/>
      <c r="P876" s="23"/>
      <c r="Q876" s="23"/>
      <c r="R876" s="23"/>
      <c r="S876" s="23"/>
      <c r="T876" s="23"/>
      <c r="U876" s="23"/>
      <c r="V876" s="23"/>
      <c r="W876" s="23"/>
      <c r="X876" s="23"/>
      <c r="Y876" s="23"/>
      <c r="Z876" s="23"/>
      <c r="AA876" s="23"/>
      <c r="AB876" s="23"/>
      <c r="AC876" s="23"/>
      <c r="AD876" s="23"/>
      <c r="AE876" s="23"/>
      <c r="AF876" s="23"/>
      <c r="AG876" s="23"/>
      <c r="AH876" s="23"/>
      <c r="AI876" s="23"/>
      <c r="AJ876" s="23"/>
      <c r="AK876" s="23"/>
      <c r="AL876" s="23"/>
      <c r="AM876" s="23"/>
      <c r="AN876" s="23"/>
      <c r="AO876" s="23"/>
      <c r="AP876" s="23"/>
      <c r="AQ876" s="23"/>
      <c r="AR876" s="23"/>
      <c r="AS876" s="23">
        <f t="shared" si="15"/>
        <v>0</v>
      </c>
    </row>
    <row r="877" spans="1:45" s="27" customFormat="1" ht="28.5" hidden="1" x14ac:dyDescent="0.2">
      <c r="A877" s="28">
        <v>1358</v>
      </c>
      <c r="B877" s="9" t="s">
        <v>151</v>
      </c>
      <c r="C877" s="9" t="s">
        <v>151</v>
      </c>
      <c r="D877" s="9" t="s">
        <v>821</v>
      </c>
      <c r="E877" s="9" t="s">
        <v>27</v>
      </c>
      <c r="F877" s="9" t="s">
        <v>199</v>
      </c>
      <c r="G877" s="9" t="s">
        <v>412</v>
      </c>
      <c r="H877" s="9" t="s">
        <v>831</v>
      </c>
      <c r="I877" s="81"/>
      <c r="J877" s="10">
        <f>'Messages Dictionary'!J286</f>
        <v>0.5</v>
      </c>
      <c r="K877" s="81"/>
      <c r="L877" s="29"/>
      <c r="M877" s="29"/>
      <c r="N877" s="23"/>
      <c r="O877" s="23"/>
      <c r="P877" s="23"/>
      <c r="Q877" s="23"/>
      <c r="R877" s="23"/>
      <c r="S877" s="23"/>
      <c r="T877" s="23"/>
      <c r="U877" s="23"/>
      <c r="V877" s="23"/>
      <c r="W877" s="23"/>
      <c r="X877" s="23"/>
      <c r="Y877" s="23"/>
      <c r="Z877" s="23"/>
      <c r="AA877" s="23"/>
      <c r="AB877" s="23"/>
      <c r="AC877" s="23"/>
      <c r="AD877" s="23"/>
      <c r="AE877" s="23"/>
      <c r="AF877" s="23"/>
      <c r="AG877" s="23"/>
      <c r="AH877" s="23"/>
      <c r="AI877" s="23"/>
      <c r="AJ877" s="23"/>
      <c r="AK877" s="23"/>
      <c r="AL877" s="23"/>
      <c r="AM877" s="23"/>
      <c r="AN877" s="23"/>
      <c r="AO877" s="23"/>
      <c r="AP877" s="23"/>
      <c r="AQ877" s="23"/>
      <c r="AR877" s="23"/>
      <c r="AS877" s="23">
        <f t="shared" si="15"/>
        <v>0</v>
      </c>
    </row>
    <row r="878" spans="1:45" s="27" customFormat="1" ht="28.5" hidden="1" x14ac:dyDescent="0.2">
      <c r="A878" s="28">
        <v>1359</v>
      </c>
      <c r="B878" s="9" t="s">
        <v>152</v>
      </c>
      <c r="C878" s="9" t="s">
        <v>152</v>
      </c>
      <c r="D878" s="9" t="s">
        <v>821</v>
      </c>
      <c r="E878" s="9" t="s">
        <v>27</v>
      </c>
      <c r="F878" s="9" t="s">
        <v>199</v>
      </c>
      <c r="G878" s="9" t="s">
        <v>412</v>
      </c>
      <c r="H878" s="9" t="s">
        <v>831</v>
      </c>
      <c r="I878" s="81"/>
      <c r="J878" s="10">
        <f>'Messages Dictionary'!J287</f>
        <v>0.5</v>
      </c>
      <c r="K878" s="81"/>
      <c r="L878" s="29"/>
      <c r="M878" s="29"/>
      <c r="N878" s="23"/>
      <c r="O878" s="23"/>
      <c r="P878" s="23"/>
      <c r="Q878" s="23"/>
      <c r="R878" s="23"/>
      <c r="S878" s="23"/>
      <c r="T878" s="23"/>
      <c r="U878" s="23"/>
      <c r="V878" s="23"/>
      <c r="W878" s="23"/>
      <c r="X878" s="23"/>
      <c r="Y878" s="23"/>
      <c r="Z878" s="23"/>
      <c r="AA878" s="23"/>
      <c r="AB878" s="23"/>
      <c r="AC878" s="23"/>
      <c r="AD878" s="23"/>
      <c r="AE878" s="23"/>
      <c r="AF878" s="23"/>
      <c r="AG878" s="23"/>
      <c r="AH878" s="23"/>
      <c r="AI878" s="23"/>
      <c r="AJ878" s="23"/>
      <c r="AK878" s="23"/>
      <c r="AL878" s="23"/>
      <c r="AM878" s="23"/>
      <c r="AN878" s="23"/>
      <c r="AO878" s="23"/>
      <c r="AP878" s="23"/>
      <c r="AQ878" s="23"/>
      <c r="AR878" s="23"/>
      <c r="AS878" s="23">
        <f t="shared" si="15"/>
        <v>0</v>
      </c>
    </row>
    <row r="879" spans="1:45" s="27" customFormat="1" ht="28.5" hidden="1" x14ac:dyDescent="0.2">
      <c r="A879" s="28">
        <v>1360</v>
      </c>
      <c r="B879" s="9" t="s">
        <v>152</v>
      </c>
      <c r="C879" s="9" t="s">
        <v>152</v>
      </c>
      <c r="D879" s="9" t="s">
        <v>821</v>
      </c>
      <c r="E879" s="9" t="s">
        <v>27</v>
      </c>
      <c r="F879" s="9" t="s">
        <v>199</v>
      </c>
      <c r="G879" s="9" t="s">
        <v>412</v>
      </c>
      <c r="H879" s="9" t="s">
        <v>831</v>
      </c>
      <c r="I879" s="81"/>
      <c r="J879" s="10">
        <f>'Messages Dictionary'!J288</f>
        <v>0.5</v>
      </c>
      <c r="K879" s="81"/>
      <c r="L879" s="29"/>
      <c r="M879" s="29"/>
      <c r="N879" s="23"/>
      <c r="O879" s="23"/>
      <c r="P879" s="23"/>
      <c r="Q879" s="23"/>
      <c r="R879" s="23"/>
      <c r="S879" s="23"/>
      <c r="T879" s="23"/>
      <c r="U879" s="23"/>
      <c r="V879" s="23"/>
      <c r="W879" s="23"/>
      <c r="X879" s="23"/>
      <c r="Y879" s="23"/>
      <c r="Z879" s="23"/>
      <c r="AA879" s="23"/>
      <c r="AB879" s="23"/>
      <c r="AC879" s="23"/>
      <c r="AD879" s="23"/>
      <c r="AE879" s="23"/>
      <c r="AF879" s="23"/>
      <c r="AG879" s="23"/>
      <c r="AH879" s="23"/>
      <c r="AI879" s="23"/>
      <c r="AJ879" s="23"/>
      <c r="AK879" s="23"/>
      <c r="AL879" s="23"/>
      <c r="AM879" s="23"/>
      <c r="AN879" s="23"/>
      <c r="AO879" s="23"/>
      <c r="AP879" s="23"/>
      <c r="AQ879" s="23"/>
      <c r="AR879" s="23"/>
      <c r="AS879" s="23">
        <f t="shared" si="15"/>
        <v>0</v>
      </c>
    </row>
    <row r="880" spans="1:45" s="27" customFormat="1" ht="28.5" hidden="1" x14ac:dyDescent="0.2">
      <c r="A880" s="28">
        <v>1361</v>
      </c>
      <c r="B880" s="9" t="s">
        <v>152</v>
      </c>
      <c r="C880" s="9" t="s">
        <v>152</v>
      </c>
      <c r="D880" s="9" t="s">
        <v>821</v>
      </c>
      <c r="E880" s="9" t="s">
        <v>27</v>
      </c>
      <c r="F880" s="9" t="s">
        <v>199</v>
      </c>
      <c r="G880" s="9" t="s">
        <v>412</v>
      </c>
      <c r="H880" s="9" t="s">
        <v>831</v>
      </c>
      <c r="I880" s="81"/>
      <c r="J880" s="10">
        <f>'Messages Dictionary'!J289</f>
        <v>0.5</v>
      </c>
      <c r="K880" s="81"/>
      <c r="L880" s="29"/>
      <c r="M880" s="29"/>
      <c r="N880" s="23"/>
      <c r="O880" s="23"/>
      <c r="P880" s="23"/>
      <c r="Q880" s="23"/>
      <c r="R880" s="23"/>
      <c r="S880" s="23"/>
      <c r="T880" s="23"/>
      <c r="U880" s="23"/>
      <c r="V880" s="23"/>
      <c r="W880" s="23"/>
      <c r="X880" s="23"/>
      <c r="Y880" s="23"/>
      <c r="Z880" s="23"/>
      <c r="AA880" s="23"/>
      <c r="AB880" s="23"/>
      <c r="AC880" s="23"/>
      <c r="AD880" s="23"/>
      <c r="AE880" s="23"/>
      <c r="AF880" s="23"/>
      <c r="AG880" s="23"/>
      <c r="AH880" s="23"/>
      <c r="AI880" s="23"/>
      <c r="AJ880" s="23"/>
      <c r="AK880" s="23"/>
      <c r="AL880" s="23"/>
      <c r="AM880" s="23"/>
      <c r="AN880" s="23"/>
      <c r="AO880" s="23"/>
      <c r="AP880" s="23"/>
      <c r="AQ880" s="23"/>
      <c r="AR880" s="23"/>
      <c r="AS880" s="23">
        <f t="shared" si="15"/>
        <v>0</v>
      </c>
    </row>
    <row r="881" spans="1:45" s="27" customFormat="1" ht="28.5" hidden="1" x14ac:dyDescent="0.2">
      <c r="A881" s="28">
        <v>1362</v>
      </c>
      <c r="B881" s="9" t="s">
        <v>153</v>
      </c>
      <c r="C881" s="9" t="s">
        <v>153</v>
      </c>
      <c r="D881" s="9" t="s">
        <v>821</v>
      </c>
      <c r="E881" s="9" t="s">
        <v>27</v>
      </c>
      <c r="F881" s="9" t="s">
        <v>199</v>
      </c>
      <c r="G881" s="9" t="s">
        <v>412</v>
      </c>
      <c r="H881" s="9" t="s">
        <v>831</v>
      </c>
      <c r="I881" s="81"/>
      <c r="J881" s="10">
        <f>'Messages Dictionary'!J290</f>
        <v>0.5</v>
      </c>
      <c r="K881" s="81"/>
      <c r="L881" s="29"/>
      <c r="M881" s="29"/>
      <c r="N881" s="23"/>
      <c r="O881" s="23"/>
      <c r="P881" s="23"/>
      <c r="Q881" s="23"/>
      <c r="R881" s="23"/>
      <c r="S881" s="23"/>
      <c r="T881" s="23"/>
      <c r="U881" s="23"/>
      <c r="V881" s="23"/>
      <c r="W881" s="23"/>
      <c r="X881" s="23"/>
      <c r="Y881" s="23"/>
      <c r="Z881" s="23"/>
      <c r="AA881" s="23"/>
      <c r="AB881" s="23"/>
      <c r="AC881" s="23"/>
      <c r="AD881" s="23"/>
      <c r="AE881" s="23"/>
      <c r="AF881" s="23"/>
      <c r="AG881" s="23"/>
      <c r="AH881" s="23"/>
      <c r="AI881" s="23"/>
      <c r="AJ881" s="23"/>
      <c r="AK881" s="23"/>
      <c r="AL881" s="23"/>
      <c r="AM881" s="23"/>
      <c r="AN881" s="23"/>
      <c r="AO881" s="23"/>
      <c r="AP881" s="23"/>
      <c r="AQ881" s="23"/>
      <c r="AR881" s="23"/>
      <c r="AS881" s="23">
        <f t="shared" si="15"/>
        <v>0</v>
      </c>
    </row>
    <row r="882" spans="1:45" s="27" customFormat="1" ht="28.5" hidden="1" x14ac:dyDescent="0.2">
      <c r="A882" s="28">
        <v>1363</v>
      </c>
      <c r="B882" s="9" t="s">
        <v>153</v>
      </c>
      <c r="C882" s="9" t="s">
        <v>153</v>
      </c>
      <c r="D882" s="9" t="s">
        <v>821</v>
      </c>
      <c r="E882" s="9" t="s">
        <v>27</v>
      </c>
      <c r="F882" s="9" t="s">
        <v>199</v>
      </c>
      <c r="G882" s="9" t="s">
        <v>412</v>
      </c>
      <c r="H882" s="9" t="s">
        <v>831</v>
      </c>
      <c r="I882" s="81"/>
      <c r="J882" s="10">
        <f>'Messages Dictionary'!J291</f>
        <v>0.5</v>
      </c>
      <c r="K882" s="81"/>
      <c r="L882" s="29"/>
      <c r="M882" s="29"/>
      <c r="N882" s="23"/>
      <c r="O882" s="23"/>
      <c r="P882" s="23"/>
      <c r="Q882" s="23"/>
      <c r="R882" s="23"/>
      <c r="S882" s="23"/>
      <c r="T882" s="23"/>
      <c r="U882" s="23"/>
      <c r="V882" s="23"/>
      <c r="W882" s="23"/>
      <c r="X882" s="23"/>
      <c r="Y882" s="23"/>
      <c r="Z882" s="23"/>
      <c r="AA882" s="23"/>
      <c r="AB882" s="23"/>
      <c r="AC882" s="23"/>
      <c r="AD882" s="23"/>
      <c r="AE882" s="23"/>
      <c r="AF882" s="23"/>
      <c r="AG882" s="23"/>
      <c r="AH882" s="23"/>
      <c r="AI882" s="23"/>
      <c r="AJ882" s="23"/>
      <c r="AK882" s="23"/>
      <c r="AL882" s="23"/>
      <c r="AM882" s="23"/>
      <c r="AN882" s="23"/>
      <c r="AO882" s="23"/>
      <c r="AP882" s="23"/>
      <c r="AQ882" s="23"/>
      <c r="AR882" s="23"/>
      <c r="AS882" s="23">
        <f t="shared" si="15"/>
        <v>0</v>
      </c>
    </row>
    <row r="883" spans="1:45" s="27" customFormat="1" ht="28.5" hidden="1" x14ac:dyDescent="0.2">
      <c r="A883" s="28">
        <v>1364</v>
      </c>
      <c r="B883" s="9" t="s">
        <v>153</v>
      </c>
      <c r="C883" s="9" t="s">
        <v>153</v>
      </c>
      <c r="D883" s="9" t="s">
        <v>821</v>
      </c>
      <c r="E883" s="9" t="s">
        <v>27</v>
      </c>
      <c r="F883" s="9" t="s">
        <v>199</v>
      </c>
      <c r="G883" s="9" t="s">
        <v>412</v>
      </c>
      <c r="H883" s="9" t="s">
        <v>831</v>
      </c>
      <c r="I883" s="81"/>
      <c r="J883" s="10">
        <f>'Messages Dictionary'!J292</f>
        <v>0.5</v>
      </c>
      <c r="K883" s="81"/>
      <c r="L883" s="29"/>
      <c r="M883" s="29"/>
      <c r="N883" s="23"/>
      <c r="O883" s="23"/>
      <c r="P883" s="23"/>
      <c r="Q883" s="23"/>
      <c r="R883" s="23"/>
      <c r="S883" s="23"/>
      <c r="T883" s="23"/>
      <c r="U883" s="23"/>
      <c r="V883" s="23"/>
      <c r="W883" s="23"/>
      <c r="X883" s="23"/>
      <c r="Y883" s="23"/>
      <c r="Z883" s="23"/>
      <c r="AA883" s="23"/>
      <c r="AB883" s="23"/>
      <c r="AC883" s="23"/>
      <c r="AD883" s="23"/>
      <c r="AE883" s="23"/>
      <c r="AF883" s="23"/>
      <c r="AG883" s="23"/>
      <c r="AH883" s="23"/>
      <c r="AI883" s="23"/>
      <c r="AJ883" s="23"/>
      <c r="AK883" s="23"/>
      <c r="AL883" s="23"/>
      <c r="AM883" s="23"/>
      <c r="AN883" s="23"/>
      <c r="AO883" s="23"/>
      <c r="AP883" s="23"/>
      <c r="AQ883" s="23"/>
      <c r="AR883" s="23"/>
      <c r="AS883" s="23">
        <f t="shared" si="15"/>
        <v>0</v>
      </c>
    </row>
    <row r="884" spans="1:45" s="27" customFormat="1" ht="28.5" hidden="1" x14ac:dyDescent="0.2">
      <c r="A884" s="28">
        <v>1365</v>
      </c>
      <c r="B884" s="9" t="s">
        <v>154</v>
      </c>
      <c r="C884" s="9" t="s">
        <v>154</v>
      </c>
      <c r="D884" s="9" t="s">
        <v>821</v>
      </c>
      <c r="E884" s="9" t="s">
        <v>27</v>
      </c>
      <c r="F884" s="9" t="s">
        <v>199</v>
      </c>
      <c r="G884" s="9" t="s">
        <v>405</v>
      </c>
      <c r="H884" s="9" t="s">
        <v>426</v>
      </c>
      <c r="I884" s="81"/>
      <c r="J884" s="10">
        <f>'Messages Dictionary'!J293</f>
        <v>1</v>
      </c>
      <c r="K884" s="81"/>
      <c r="L884" s="29"/>
      <c r="M884" s="29"/>
      <c r="N884" s="23"/>
      <c r="O884" s="23"/>
      <c r="P884" s="23"/>
      <c r="Q884" s="23"/>
      <c r="R884" s="23"/>
      <c r="S884" s="23"/>
      <c r="T884" s="23"/>
      <c r="U884" s="23"/>
      <c r="V884" s="23"/>
      <c r="W884" s="23"/>
      <c r="X884" s="23"/>
      <c r="Y884" s="23"/>
      <c r="Z884" s="23"/>
      <c r="AA884" s="23"/>
      <c r="AB884" s="23"/>
      <c r="AC884" s="23"/>
      <c r="AD884" s="23"/>
      <c r="AE884" s="23"/>
      <c r="AF884" s="23"/>
      <c r="AG884" s="23"/>
      <c r="AH884" s="23"/>
      <c r="AI884" s="23"/>
      <c r="AJ884" s="23"/>
      <c r="AK884" s="23"/>
      <c r="AL884" s="23"/>
      <c r="AM884" s="23"/>
      <c r="AN884" s="23"/>
      <c r="AO884" s="23"/>
      <c r="AP884" s="23"/>
      <c r="AQ884" s="23"/>
      <c r="AR884" s="23"/>
      <c r="AS884" s="23">
        <f t="shared" si="15"/>
        <v>0</v>
      </c>
    </row>
    <row r="885" spans="1:45" s="27" customFormat="1" ht="28.5" hidden="1" x14ac:dyDescent="0.2">
      <c r="A885" s="28">
        <v>1366</v>
      </c>
      <c r="B885" s="9" t="s">
        <v>154</v>
      </c>
      <c r="C885" s="9" t="s">
        <v>154</v>
      </c>
      <c r="D885" s="9" t="s">
        <v>821</v>
      </c>
      <c r="E885" s="9" t="s">
        <v>27</v>
      </c>
      <c r="F885" s="9" t="s">
        <v>199</v>
      </c>
      <c r="G885" s="9" t="s">
        <v>405</v>
      </c>
      <c r="H885" s="9" t="s">
        <v>426</v>
      </c>
      <c r="I885" s="81"/>
      <c r="J885" s="10">
        <f>'Messages Dictionary'!J294</f>
        <v>1</v>
      </c>
      <c r="K885" s="81"/>
      <c r="L885" s="29"/>
      <c r="M885" s="29"/>
      <c r="N885" s="23"/>
      <c r="O885" s="23"/>
      <c r="P885" s="23"/>
      <c r="Q885" s="23"/>
      <c r="R885" s="23"/>
      <c r="S885" s="23"/>
      <c r="T885" s="23"/>
      <c r="U885" s="23"/>
      <c r="V885" s="23"/>
      <c r="W885" s="23"/>
      <c r="X885" s="23"/>
      <c r="Y885" s="23"/>
      <c r="Z885" s="23"/>
      <c r="AA885" s="23"/>
      <c r="AB885" s="23"/>
      <c r="AC885" s="23"/>
      <c r="AD885" s="23"/>
      <c r="AE885" s="23"/>
      <c r="AF885" s="23"/>
      <c r="AG885" s="23"/>
      <c r="AH885" s="23"/>
      <c r="AI885" s="23"/>
      <c r="AJ885" s="23"/>
      <c r="AK885" s="23"/>
      <c r="AL885" s="23"/>
      <c r="AM885" s="23"/>
      <c r="AN885" s="23"/>
      <c r="AO885" s="23"/>
      <c r="AP885" s="23"/>
      <c r="AQ885" s="23"/>
      <c r="AR885" s="23"/>
      <c r="AS885" s="23">
        <f t="shared" si="15"/>
        <v>0</v>
      </c>
    </row>
    <row r="886" spans="1:45" s="27" customFormat="1" ht="28.5" hidden="1" x14ac:dyDescent="0.2">
      <c r="A886" s="28">
        <v>1367</v>
      </c>
      <c r="B886" s="9" t="s">
        <v>154</v>
      </c>
      <c r="C886" s="9" t="s">
        <v>154</v>
      </c>
      <c r="D886" s="9" t="s">
        <v>821</v>
      </c>
      <c r="E886" s="9" t="s">
        <v>27</v>
      </c>
      <c r="F886" s="9" t="s">
        <v>199</v>
      </c>
      <c r="G886" s="9" t="s">
        <v>405</v>
      </c>
      <c r="H886" s="9" t="s">
        <v>426</v>
      </c>
      <c r="I886" s="81"/>
      <c r="J886" s="10">
        <f>'Messages Dictionary'!J295</f>
        <v>1</v>
      </c>
      <c r="K886" s="81"/>
      <c r="L886" s="29"/>
      <c r="M886" s="29"/>
      <c r="N886" s="23"/>
      <c r="O886" s="23"/>
      <c r="P886" s="23"/>
      <c r="Q886" s="23"/>
      <c r="R886" s="23"/>
      <c r="S886" s="23"/>
      <c r="T886" s="23"/>
      <c r="U886" s="23"/>
      <c r="V886" s="23"/>
      <c r="W886" s="23"/>
      <c r="X886" s="23"/>
      <c r="Y886" s="23"/>
      <c r="Z886" s="23"/>
      <c r="AA886" s="23"/>
      <c r="AB886" s="23"/>
      <c r="AC886" s="23"/>
      <c r="AD886" s="23"/>
      <c r="AE886" s="23"/>
      <c r="AF886" s="23"/>
      <c r="AG886" s="23"/>
      <c r="AH886" s="23"/>
      <c r="AI886" s="23"/>
      <c r="AJ886" s="23"/>
      <c r="AK886" s="23"/>
      <c r="AL886" s="23"/>
      <c r="AM886" s="23"/>
      <c r="AN886" s="23"/>
      <c r="AO886" s="23"/>
      <c r="AP886" s="23"/>
      <c r="AQ886" s="23"/>
      <c r="AR886" s="23"/>
      <c r="AS886" s="23">
        <f t="shared" si="15"/>
        <v>0</v>
      </c>
    </row>
    <row r="887" spans="1:45" s="27" customFormat="1" ht="28.5" hidden="1" x14ac:dyDescent="0.2">
      <c r="A887" s="28">
        <v>1368</v>
      </c>
      <c r="B887" s="9" t="s">
        <v>155</v>
      </c>
      <c r="C887" s="9" t="s">
        <v>155</v>
      </c>
      <c r="D887" s="9" t="s">
        <v>821</v>
      </c>
      <c r="E887" s="9" t="s">
        <v>27</v>
      </c>
      <c r="F887" s="9" t="s">
        <v>199</v>
      </c>
      <c r="G887" s="9" t="s">
        <v>412</v>
      </c>
      <c r="H887" s="9" t="s">
        <v>831</v>
      </c>
      <c r="I887" s="81"/>
      <c r="J887" s="10">
        <f>'Messages Dictionary'!J296</f>
        <v>0.5</v>
      </c>
      <c r="K887" s="81"/>
      <c r="L887" s="29"/>
      <c r="M887" s="29"/>
      <c r="N887" s="23"/>
      <c r="O887" s="23"/>
      <c r="P887" s="23"/>
      <c r="Q887" s="23"/>
      <c r="R887" s="23"/>
      <c r="S887" s="23"/>
      <c r="T887" s="23"/>
      <c r="U887" s="23"/>
      <c r="V887" s="23"/>
      <c r="W887" s="23"/>
      <c r="X887" s="23"/>
      <c r="Y887" s="23"/>
      <c r="Z887" s="23"/>
      <c r="AA887" s="23"/>
      <c r="AB887" s="23"/>
      <c r="AC887" s="23"/>
      <c r="AD887" s="23"/>
      <c r="AE887" s="23"/>
      <c r="AF887" s="23"/>
      <c r="AG887" s="23"/>
      <c r="AH887" s="23"/>
      <c r="AI887" s="23"/>
      <c r="AJ887" s="23"/>
      <c r="AK887" s="23"/>
      <c r="AL887" s="23"/>
      <c r="AM887" s="23"/>
      <c r="AN887" s="23"/>
      <c r="AO887" s="23"/>
      <c r="AP887" s="23"/>
      <c r="AQ887" s="23"/>
      <c r="AR887" s="23"/>
      <c r="AS887" s="23">
        <f t="shared" si="15"/>
        <v>0</v>
      </c>
    </row>
    <row r="888" spans="1:45" s="27" customFormat="1" ht="28.5" hidden="1" x14ac:dyDescent="0.2">
      <c r="A888" s="28">
        <v>1369</v>
      </c>
      <c r="B888" s="9" t="s">
        <v>155</v>
      </c>
      <c r="C888" s="9" t="s">
        <v>155</v>
      </c>
      <c r="D888" s="9" t="s">
        <v>821</v>
      </c>
      <c r="E888" s="9" t="s">
        <v>27</v>
      </c>
      <c r="F888" s="9" t="s">
        <v>199</v>
      </c>
      <c r="G888" s="9" t="s">
        <v>412</v>
      </c>
      <c r="H888" s="9" t="s">
        <v>831</v>
      </c>
      <c r="I888" s="81"/>
      <c r="J888" s="10">
        <f>'Messages Dictionary'!J297</f>
        <v>0.5</v>
      </c>
      <c r="K888" s="81"/>
      <c r="L888" s="29"/>
      <c r="M888" s="29"/>
      <c r="N888" s="23"/>
      <c r="O888" s="23"/>
      <c r="P888" s="23"/>
      <c r="Q888" s="23"/>
      <c r="R888" s="23"/>
      <c r="S888" s="23"/>
      <c r="T888" s="23"/>
      <c r="U888" s="23"/>
      <c r="V888" s="23"/>
      <c r="W888" s="23"/>
      <c r="X888" s="23"/>
      <c r="Y888" s="23"/>
      <c r="Z888" s="23"/>
      <c r="AA888" s="23"/>
      <c r="AB888" s="23"/>
      <c r="AC888" s="23"/>
      <c r="AD888" s="23"/>
      <c r="AE888" s="23"/>
      <c r="AF888" s="23"/>
      <c r="AG888" s="23"/>
      <c r="AH888" s="23"/>
      <c r="AI888" s="23"/>
      <c r="AJ888" s="23"/>
      <c r="AK888" s="23"/>
      <c r="AL888" s="23"/>
      <c r="AM888" s="23"/>
      <c r="AN888" s="23"/>
      <c r="AO888" s="23"/>
      <c r="AP888" s="23"/>
      <c r="AQ888" s="23"/>
      <c r="AR888" s="23"/>
      <c r="AS888" s="23">
        <f t="shared" si="15"/>
        <v>0</v>
      </c>
    </row>
    <row r="889" spans="1:45" s="27" customFormat="1" ht="28.5" hidden="1" x14ac:dyDescent="0.2">
      <c r="A889" s="28">
        <v>1370</v>
      </c>
      <c r="B889" s="9" t="s">
        <v>155</v>
      </c>
      <c r="C889" s="9" t="s">
        <v>155</v>
      </c>
      <c r="D889" s="9" t="s">
        <v>821</v>
      </c>
      <c r="E889" s="9" t="s">
        <v>27</v>
      </c>
      <c r="F889" s="9" t="s">
        <v>199</v>
      </c>
      <c r="G889" s="9" t="s">
        <v>412</v>
      </c>
      <c r="H889" s="9" t="s">
        <v>831</v>
      </c>
      <c r="I889" s="81"/>
      <c r="J889" s="10">
        <f>'Messages Dictionary'!J298</f>
        <v>0.5</v>
      </c>
      <c r="K889" s="81"/>
      <c r="L889" s="29"/>
      <c r="M889" s="29"/>
      <c r="N889" s="23"/>
      <c r="O889" s="23"/>
      <c r="P889" s="23"/>
      <c r="Q889" s="23"/>
      <c r="R889" s="23"/>
      <c r="S889" s="23"/>
      <c r="T889" s="23"/>
      <c r="U889" s="23"/>
      <c r="V889" s="23"/>
      <c r="W889" s="23"/>
      <c r="X889" s="23"/>
      <c r="Y889" s="23"/>
      <c r="Z889" s="23"/>
      <c r="AA889" s="23"/>
      <c r="AB889" s="23"/>
      <c r="AC889" s="23"/>
      <c r="AD889" s="23"/>
      <c r="AE889" s="23"/>
      <c r="AF889" s="23"/>
      <c r="AG889" s="23"/>
      <c r="AH889" s="23"/>
      <c r="AI889" s="23"/>
      <c r="AJ889" s="23"/>
      <c r="AK889" s="23"/>
      <c r="AL889" s="23"/>
      <c r="AM889" s="23"/>
      <c r="AN889" s="23"/>
      <c r="AO889" s="23"/>
      <c r="AP889" s="23"/>
      <c r="AQ889" s="23"/>
      <c r="AR889" s="23"/>
      <c r="AS889" s="23">
        <f t="shared" si="15"/>
        <v>0</v>
      </c>
    </row>
    <row r="890" spans="1:45" s="27" customFormat="1" hidden="1" x14ac:dyDescent="0.2">
      <c r="A890" s="28">
        <v>1371</v>
      </c>
      <c r="B890" s="9" t="s">
        <v>156</v>
      </c>
      <c r="C890" s="9" t="s">
        <v>156</v>
      </c>
      <c r="D890" s="9" t="s">
        <v>821</v>
      </c>
      <c r="E890" s="9" t="s">
        <v>27</v>
      </c>
      <c r="F890" s="9" t="s">
        <v>199</v>
      </c>
      <c r="G890" s="9" t="s">
        <v>412</v>
      </c>
      <c r="H890" s="9" t="s">
        <v>831</v>
      </c>
      <c r="I890" s="81"/>
      <c r="J890" s="10">
        <f>'Messages Dictionary'!J299</f>
        <v>0.5</v>
      </c>
      <c r="K890" s="81"/>
      <c r="L890" s="29"/>
      <c r="M890" s="29"/>
      <c r="N890" s="23"/>
      <c r="O890" s="23"/>
      <c r="P890" s="23"/>
      <c r="Q890" s="23"/>
      <c r="R890" s="23"/>
      <c r="S890" s="23"/>
      <c r="T890" s="23"/>
      <c r="U890" s="23"/>
      <c r="V890" s="23"/>
      <c r="W890" s="23"/>
      <c r="X890" s="23"/>
      <c r="Y890" s="23"/>
      <c r="Z890" s="23"/>
      <c r="AA890" s="23"/>
      <c r="AB890" s="23"/>
      <c r="AC890" s="23"/>
      <c r="AD890" s="23"/>
      <c r="AE890" s="23"/>
      <c r="AF890" s="23"/>
      <c r="AG890" s="23"/>
      <c r="AH890" s="23"/>
      <c r="AI890" s="23"/>
      <c r="AJ890" s="23"/>
      <c r="AK890" s="23"/>
      <c r="AL890" s="23"/>
      <c r="AM890" s="23"/>
      <c r="AN890" s="23"/>
      <c r="AO890" s="23"/>
      <c r="AP890" s="23"/>
      <c r="AQ890" s="23"/>
      <c r="AR890" s="23"/>
      <c r="AS890" s="23">
        <f t="shared" si="15"/>
        <v>0</v>
      </c>
    </row>
    <row r="891" spans="1:45" s="27" customFormat="1" hidden="1" x14ac:dyDescent="0.2">
      <c r="A891" s="28">
        <v>1372</v>
      </c>
      <c r="B891" s="9" t="s">
        <v>156</v>
      </c>
      <c r="C891" s="9" t="s">
        <v>156</v>
      </c>
      <c r="D891" s="9" t="s">
        <v>821</v>
      </c>
      <c r="E891" s="9" t="s">
        <v>27</v>
      </c>
      <c r="F891" s="9" t="s">
        <v>199</v>
      </c>
      <c r="G891" s="9" t="s">
        <v>412</v>
      </c>
      <c r="H891" s="9" t="s">
        <v>831</v>
      </c>
      <c r="I891" s="81"/>
      <c r="J891" s="10">
        <f>'Messages Dictionary'!J300</f>
        <v>0.5</v>
      </c>
      <c r="K891" s="81"/>
      <c r="L891" s="29"/>
      <c r="M891" s="29"/>
      <c r="N891" s="23"/>
      <c r="O891" s="23"/>
      <c r="P891" s="23"/>
      <c r="Q891" s="23"/>
      <c r="R891" s="23"/>
      <c r="S891" s="23"/>
      <c r="T891" s="23"/>
      <c r="U891" s="23"/>
      <c r="V891" s="23"/>
      <c r="W891" s="23"/>
      <c r="X891" s="23"/>
      <c r="Y891" s="23"/>
      <c r="Z891" s="23"/>
      <c r="AA891" s="23"/>
      <c r="AB891" s="23"/>
      <c r="AC891" s="23"/>
      <c r="AD891" s="23"/>
      <c r="AE891" s="23"/>
      <c r="AF891" s="23"/>
      <c r="AG891" s="23"/>
      <c r="AH891" s="23"/>
      <c r="AI891" s="23"/>
      <c r="AJ891" s="23"/>
      <c r="AK891" s="23"/>
      <c r="AL891" s="23"/>
      <c r="AM891" s="23"/>
      <c r="AN891" s="23"/>
      <c r="AO891" s="23"/>
      <c r="AP891" s="23"/>
      <c r="AQ891" s="23"/>
      <c r="AR891" s="23"/>
      <c r="AS891" s="23">
        <f t="shared" si="15"/>
        <v>0</v>
      </c>
    </row>
    <row r="892" spans="1:45" s="27" customFormat="1" hidden="1" x14ac:dyDescent="0.2">
      <c r="A892" s="28">
        <v>1373</v>
      </c>
      <c r="B892" s="9" t="s">
        <v>156</v>
      </c>
      <c r="C892" s="9" t="s">
        <v>156</v>
      </c>
      <c r="D892" s="9" t="s">
        <v>821</v>
      </c>
      <c r="E892" s="9" t="s">
        <v>27</v>
      </c>
      <c r="F892" s="9" t="s">
        <v>199</v>
      </c>
      <c r="G892" s="9" t="s">
        <v>412</v>
      </c>
      <c r="H892" s="9" t="s">
        <v>831</v>
      </c>
      <c r="I892" s="81"/>
      <c r="J892" s="10">
        <f>'Messages Dictionary'!J301</f>
        <v>0.5</v>
      </c>
      <c r="K892" s="81"/>
      <c r="L892" s="29"/>
      <c r="M892" s="29"/>
      <c r="N892" s="23"/>
      <c r="O892" s="23"/>
      <c r="P892" s="23"/>
      <c r="Q892" s="23"/>
      <c r="R892" s="23"/>
      <c r="S892" s="23"/>
      <c r="T892" s="23"/>
      <c r="U892" s="23"/>
      <c r="V892" s="23"/>
      <c r="W892" s="23"/>
      <c r="X892" s="23"/>
      <c r="Y892" s="23"/>
      <c r="Z892" s="23"/>
      <c r="AA892" s="23"/>
      <c r="AB892" s="23"/>
      <c r="AC892" s="23"/>
      <c r="AD892" s="23"/>
      <c r="AE892" s="23"/>
      <c r="AF892" s="23"/>
      <c r="AG892" s="23"/>
      <c r="AH892" s="23"/>
      <c r="AI892" s="23"/>
      <c r="AJ892" s="23"/>
      <c r="AK892" s="23"/>
      <c r="AL892" s="23"/>
      <c r="AM892" s="23"/>
      <c r="AN892" s="23"/>
      <c r="AO892" s="23"/>
      <c r="AP892" s="23"/>
      <c r="AQ892" s="23"/>
      <c r="AR892" s="23"/>
      <c r="AS892" s="23">
        <f t="shared" si="15"/>
        <v>0</v>
      </c>
    </row>
    <row r="893" spans="1:45" s="27" customFormat="1" ht="28.5" hidden="1" x14ac:dyDescent="0.2">
      <c r="A893" s="28">
        <v>1374</v>
      </c>
      <c r="B893" s="9" t="s">
        <v>157</v>
      </c>
      <c r="C893" s="9" t="s">
        <v>157</v>
      </c>
      <c r="D893" s="9" t="s">
        <v>821</v>
      </c>
      <c r="E893" s="9" t="s">
        <v>27</v>
      </c>
      <c r="F893" s="9" t="s">
        <v>199</v>
      </c>
      <c r="G893" s="9" t="s">
        <v>412</v>
      </c>
      <c r="H893" s="9" t="s">
        <v>831</v>
      </c>
      <c r="I893" s="81"/>
      <c r="J893" s="10">
        <f>'Messages Dictionary'!J302</f>
        <v>0.5</v>
      </c>
      <c r="K893" s="81"/>
      <c r="L893" s="29"/>
      <c r="M893" s="29"/>
      <c r="N893" s="23"/>
      <c r="O893" s="23"/>
      <c r="P893" s="23"/>
      <c r="Q893" s="23"/>
      <c r="R893" s="23"/>
      <c r="S893" s="23"/>
      <c r="T893" s="23"/>
      <c r="U893" s="23"/>
      <c r="V893" s="23"/>
      <c r="W893" s="23"/>
      <c r="X893" s="23"/>
      <c r="Y893" s="23"/>
      <c r="Z893" s="23"/>
      <c r="AA893" s="23"/>
      <c r="AB893" s="23"/>
      <c r="AC893" s="23"/>
      <c r="AD893" s="23"/>
      <c r="AE893" s="23"/>
      <c r="AF893" s="23"/>
      <c r="AG893" s="23"/>
      <c r="AH893" s="23"/>
      <c r="AI893" s="23"/>
      <c r="AJ893" s="23"/>
      <c r="AK893" s="23"/>
      <c r="AL893" s="23"/>
      <c r="AM893" s="23"/>
      <c r="AN893" s="23"/>
      <c r="AO893" s="23"/>
      <c r="AP893" s="23"/>
      <c r="AQ893" s="23"/>
      <c r="AR893" s="23"/>
      <c r="AS893" s="23">
        <f t="shared" si="15"/>
        <v>0</v>
      </c>
    </row>
    <row r="894" spans="1:45" s="27" customFormat="1" ht="28.5" hidden="1" x14ac:dyDescent="0.2">
      <c r="A894" s="28">
        <v>1375</v>
      </c>
      <c r="B894" s="9" t="s">
        <v>157</v>
      </c>
      <c r="C894" s="9" t="s">
        <v>157</v>
      </c>
      <c r="D894" s="9" t="s">
        <v>821</v>
      </c>
      <c r="E894" s="9" t="s">
        <v>27</v>
      </c>
      <c r="F894" s="9" t="s">
        <v>199</v>
      </c>
      <c r="G894" s="9" t="s">
        <v>412</v>
      </c>
      <c r="H894" s="9" t="s">
        <v>831</v>
      </c>
      <c r="I894" s="81"/>
      <c r="J894" s="10">
        <f>'Messages Dictionary'!J303</f>
        <v>1</v>
      </c>
      <c r="K894" s="81"/>
      <c r="L894" s="29"/>
      <c r="M894" s="29"/>
      <c r="N894" s="23"/>
      <c r="O894" s="23"/>
      <c r="P894" s="23"/>
      <c r="Q894" s="23"/>
      <c r="R894" s="23"/>
      <c r="S894" s="23"/>
      <c r="T894" s="23"/>
      <c r="U894" s="23"/>
      <c r="V894" s="23"/>
      <c r="W894" s="23"/>
      <c r="X894" s="23"/>
      <c r="Y894" s="23"/>
      <c r="Z894" s="23"/>
      <c r="AA894" s="23"/>
      <c r="AB894" s="23"/>
      <c r="AC894" s="23"/>
      <c r="AD894" s="23"/>
      <c r="AE894" s="23"/>
      <c r="AF894" s="23"/>
      <c r="AG894" s="23"/>
      <c r="AH894" s="23"/>
      <c r="AI894" s="23"/>
      <c r="AJ894" s="23"/>
      <c r="AK894" s="23"/>
      <c r="AL894" s="23"/>
      <c r="AM894" s="23"/>
      <c r="AN894" s="23"/>
      <c r="AO894" s="23"/>
      <c r="AP894" s="23"/>
      <c r="AQ894" s="23"/>
      <c r="AR894" s="23"/>
      <c r="AS894" s="23">
        <f t="shared" si="15"/>
        <v>0</v>
      </c>
    </row>
    <row r="895" spans="1:45" s="27" customFormat="1" ht="28.5" hidden="1" x14ac:dyDescent="0.2">
      <c r="A895" s="28">
        <v>1376</v>
      </c>
      <c r="B895" s="9" t="s">
        <v>157</v>
      </c>
      <c r="C895" s="9" t="s">
        <v>157</v>
      </c>
      <c r="D895" s="9" t="s">
        <v>821</v>
      </c>
      <c r="E895" s="9" t="s">
        <v>27</v>
      </c>
      <c r="F895" s="9" t="s">
        <v>199</v>
      </c>
      <c r="G895" s="9" t="s">
        <v>412</v>
      </c>
      <c r="H895" s="9" t="s">
        <v>831</v>
      </c>
      <c r="I895" s="81"/>
      <c r="J895" s="10">
        <f>'Messages Dictionary'!J304</f>
        <v>1</v>
      </c>
      <c r="K895" s="81"/>
      <c r="L895" s="29"/>
      <c r="M895" s="29"/>
      <c r="N895" s="23"/>
      <c r="O895" s="23"/>
      <c r="P895" s="23"/>
      <c r="Q895" s="23"/>
      <c r="R895" s="23"/>
      <c r="S895" s="23"/>
      <c r="T895" s="23"/>
      <c r="U895" s="23"/>
      <c r="V895" s="23"/>
      <c r="W895" s="23"/>
      <c r="X895" s="23"/>
      <c r="Y895" s="23"/>
      <c r="Z895" s="23"/>
      <c r="AA895" s="23"/>
      <c r="AB895" s="23"/>
      <c r="AC895" s="23"/>
      <c r="AD895" s="23"/>
      <c r="AE895" s="23"/>
      <c r="AF895" s="23"/>
      <c r="AG895" s="23"/>
      <c r="AH895" s="23"/>
      <c r="AI895" s="23"/>
      <c r="AJ895" s="23"/>
      <c r="AK895" s="23"/>
      <c r="AL895" s="23"/>
      <c r="AM895" s="23"/>
      <c r="AN895" s="23"/>
      <c r="AO895" s="23"/>
      <c r="AP895" s="23"/>
      <c r="AQ895" s="23"/>
      <c r="AR895" s="23"/>
      <c r="AS895" s="23">
        <f t="shared" si="15"/>
        <v>0</v>
      </c>
    </row>
    <row r="896" spans="1:45" s="27" customFormat="1" ht="28.5" hidden="1" x14ac:dyDescent="0.2">
      <c r="A896" s="28">
        <v>1377</v>
      </c>
      <c r="B896" s="9" t="s">
        <v>158</v>
      </c>
      <c r="C896" s="9" t="s">
        <v>158</v>
      </c>
      <c r="D896" s="9" t="s">
        <v>821</v>
      </c>
      <c r="E896" s="9" t="s">
        <v>27</v>
      </c>
      <c r="F896" s="9" t="s">
        <v>199</v>
      </c>
      <c r="G896" s="9" t="s">
        <v>412</v>
      </c>
      <c r="H896" s="9" t="s">
        <v>831</v>
      </c>
      <c r="I896" s="81"/>
      <c r="J896" s="10">
        <f>'Messages Dictionary'!J305</f>
        <v>0.5</v>
      </c>
      <c r="K896" s="81"/>
      <c r="L896" s="29"/>
      <c r="M896" s="29"/>
      <c r="N896" s="23"/>
      <c r="O896" s="23"/>
      <c r="P896" s="23"/>
      <c r="Q896" s="23"/>
      <c r="R896" s="23"/>
      <c r="S896" s="23"/>
      <c r="T896" s="23"/>
      <c r="U896" s="23"/>
      <c r="V896" s="23"/>
      <c r="W896" s="23"/>
      <c r="X896" s="23"/>
      <c r="Y896" s="23"/>
      <c r="Z896" s="23"/>
      <c r="AA896" s="23"/>
      <c r="AB896" s="23"/>
      <c r="AC896" s="23"/>
      <c r="AD896" s="23"/>
      <c r="AE896" s="23"/>
      <c r="AF896" s="23"/>
      <c r="AG896" s="23"/>
      <c r="AH896" s="23"/>
      <c r="AI896" s="23"/>
      <c r="AJ896" s="23"/>
      <c r="AK896" s="23"/>
      <c r="AL896" s="23"/>
      <c r="AM896" s="23"/>
      <c r="AN896" s="23"/>
      <c r="AO896" s="23"/>
      <c r="AP896" s="23"/>
      <c r="AQ896" s="23"/>
      <c r="AR896" s="23"/>
      <c r="AS896" s="23">
        <f t="shared" si="15"/>
        <v>0</v>
      </c>
    </row>
    <row r="897" spans="1:45" s="27" customFormat="1" ht="28.5" hidden="1" x14ac:dyDescent="0.2">
      <c r="A897" s="28">
        <v>1378</v>
      </c>
      <c r="B897" s="9" t="s">
        <v>158</v>
      </c>
      <c r="C897" s="9" t="s">
        <v>158</v>
      </c>
      <c r="D897" s="9" t="s">
        <v>821</v>
      </c>
      <c r="E897" s="9" t="s">
        <v>27</v>
      </c>
      <c r="F897" s="9" t="s">
        <v>199</v>
      </c>
      <c r="G897" s="9" t="s">
        <v>412</v>
      </c>
      <c r="H897" s="9" t="s">
        <v>831</v>
      </c>
      <c r="I897" s="81"/>
      <c r="J897" s="10">
        <f>'Messages Dictionary'!J306</f>
        <v>0.5</v>
      </c>
      <c r="K897" s="81"/>
      <c r="L897" s="29"/>
      <c r="M897" s="29"/>
      <c r="N897" s="23"/>
      <c r="O897" s="23"/>
      <c r="P897" s="23"/>
      <c r="Q897" s="23"/>
      <c r="R897" s="23"/>
      <c r="S897" s="23"/>
      <c r="T897" s="23"/>
      <c r="U897" s="23"/>
      <c r="V897" s="23"/>
      <c r="W897" s="23"/>
      <c r="X897" s="23"/>
      <c r="Y897" s="23"/>
      <c r="Z897" s="23"/>
      <c r="AA897" s="23"/>
      <c r="AB897" s="23"/>
      <c r="AC897" s="23"/>
      <c r="AD897" s="23"/>
      <c r="AE897" s="23"/>
      <c r="AF897" s="23"/>
      <c r="AG897" s="23"/>
      <c r="AH897" s="23"/>
      <c r="AI897" s="23"/>
      <c r="AJ897" s="23"/>
      <c r="AK897" s="23"/>
      <c r="AL897" s="23"/>
      <c r="AM897" s="23"/>
      <c r="AN897" s="23"/>
      <c r="AO897" s="23"/>
      <c r="AP897" s="23"/>
      <c r="AQ897" s="23"/>
      <c r="AR897" s="23"/>
      <c r="AS897" s="23">
        <f t="shared" si="15"/>
        <v>0</v>
      </c>
    </row>
    <row r="898" spans="1:45" s="27" customFormat="1" ht="28.5" hidden="1" x14ac:dyDescent="0.2">
      <c r="A898" s="28">
        <v>1379</v>
      </c>
      <c r="B898" s="9" t="s">
        <v>158</v>
      </c>
      <c r="C898" s="9" t="s">
        <v>158</v>
      </c>
      <c r="D898" s="9" t="s">
        <v>821</v>
      </c>
      <c r="E898" s="9" t="s">
        <v>27</v>
      </c>
      <c r="F898" s="9" t="s">
        <v>199</v>
      </c>
      <c r="G898" s="9" t="s">
        <v>412</v>
      </c>
      <c r="H898" s="9" t="s">
        <v>831</v>
      </c>
      <c r="I898" s="81"/>
      <c r="J898" s="10">
        <f>'Messages Dictionary'!J307</f>
        <v>0.5</v>
      </c>
      <c r="K898" s="81"/>
      <c r="L898" s="29"/>
      <c r="M898" s="29"/>
      <c r="N898" s="23"/>
      <c r="O898" s="23"/>
      <c r="P898" s="23"/>
      <c r="Q898" s="23"/>
      <c r="R898" s="23"/>
      <c r="S898" s="23"/>
      <c r="T898" s="23"/>
      <c r="U898" s="23"/>
      <c r="V898" s="23"/>
      <c r="W898" s="23"/>
      <c r="X898" s="23"/>
      <c r="Y898" s="23"/>
      <c r="Z898" s="23"/>
      <c r="AA898" s="23"/>
      <c r="AB898" s="23"/>
      <c r="AC898" s="23"/>
      <c r="AD898" s="23"/>
      <c r="AE898" s="23"/>
      <c r="AF898" s="23"/>
      <c r="AG898" s="23"/>
      <c r="AH898" s="23"/>
      <c r="AI898" s="23"/>
      <c r="AJ898" s="23"/>
      <c r="AK898" s="23"/>
      <c r="AL898" s="23"/>
      <c r="AM898" s="23"/>
      <c r="AN898" s="23"/>
      <c r="AO898" s="23"/>
      <c r="AP898" s="23"/>
      <c r="AQ898" s="23"/>
      <c r="AR898" s="23"/>
      <c r="AS898" s="23">
        <f t="shared" si="15"/>
        <v>0</v>
      </c>
    </row>
    <row r="899" spans="1:45" s="27" customFormat="1" ht="28.5" hidden="1" x14ac:dyDescent="0.2">
      <c r="A899" s="28">
        <v>1380</v>
      </c>
      <c r="B899" s="9" t="s">
        <v>159</v>
      </c>
      <c r="C899" s="9" t="s">
        <v>159</v>
      </c>
      <c r="D899" s="9" t="s">
        <v>821</v>
      </c>
      <c r="E899" s="9" t="s">
        <v>27</v>
      </c>
      <c r="F899" s="9" t="s">
        <v>199</v>
      </c>
      <c r="G899" s="9" t="s">
        <v>412</v>
      </c>
      <c r="H899" s="9" t="s">
        <v>831</v>
      </c>
      <c r="I899" s="81"/>
      <c r="J899" s="10">
        <f>'Messages Dictionary'!J308</f>
        <v>0.5</v>
      </c>
      <c r="K899" s="81"/>
      <c r="L899" s="29"/>
      <c r="M899" s="29"/>
      <c r="N899" s="23"/>
      <c r="O899" s="23"/>
      <c r="P899" s="23"/>
      <c r="Q899" s="23"/>
      <c r="R899" s="23"/>
      <c r="S899" s="23"/>
      <c r="T899" s="23"/>
      <c r="U899" s="23"/>
      <c r="V899" s="23"/>
      <c r="W899" s="23"/>
      <c r="X899" s="23"/>
      <c r="Y899" s="23"/>
      <c r="Z899" s="23"/>
      <c r="AA899" s="23"/>
      <c r="AB899" s="23"/>
      <c r="AC899" s="23"/>
      <c r="AD899" s="23"/>
      <c r="AE899" s="23"/>
      <c r="AF899" s="23"/>
      <c r="AG899" s="23"/>
      <c r="AH899" s="23"/>
      <c r="AI899" s="23"/>
      <c r="AJ899" s="23"/>
      <c r="AK899" s="23"/>
      <c r="AL899" s="23"/>
      <c r="AM899" s="23"/>
      <c r="AN899" s="23"/>
      <c r="AO899" s="23"/>
      <c r="AP899" s="23"/>
      <c r="AQ899" s="23"/>
      <c r="AR899" s="23"/>
      <c r="AS899" s="23">
        <f t="shared" si="15"/>
        <v>0</v>
      </c>
    </row>
    <row r="900" spans="1:45" s="27" customFormat="1" ht="42.75" hidden="1" x14ac:dyDescent="0.2">
      <c r="A900" s="28">
        <v>1381</v>
      </c>
      <c r="B900" s="9" t="s">
        <v>160</v>
      </c>
      <c r="C900" s="9" t="s">
        <v>160</v>
      </c>
      <c r="D900" s="9" t="s">
        <v>821</v>
      </c>
      <c r="E900" s="9" t="s">
        <v>27</v>
      </c>
      <c r="F900" s="9" t="s">
        <v>199</v>
      </c>
      <c r="G900" s="9" t="s">
        <v>412</v>
      </c>
      <c r="H900" s="9" t="s">
        <v>831</v>
      </c>
      <c r="I900" s="81"/>
      <c r="J900" s="10">
        <f>'Messages Dictionary'!J309</f>
        <v>0.5</v>
      </c>
      <c r="K900" s="81"/>
      <c r="L900" s="29"/>
      <c r="M900" s="29"/>
      <c r="N900" s="23"/>
      <c r="O900" s="23"/>
      <c r="P900" s="23"/>
      <c r="Q900" s="23"/>
      <c r="R900" s="23"/>
      <c r="S900" s="23"/>
      <c r="T900" s="23"/>
      <c r="U900" s="23"/>
      <c r="V900" s="23"/>
      <c r="W900" s="23"/>
      <c r="X900" s="23"/>
      <c r="Y900" s="23"/>
      <c r="Z900" s="23"/>
      <c r="AA900" s="23"/>
      <c r="AB900" s="23"/>
      <c r="AC900" s="23"/>
      <c r="AD900" s="23"/>
      <c r="AE900" s="23"/>
      <c r="AF900" s="23"/>
      <c r="AG900" s="23"/>
      <c r="AH900" s="23"/>
      <c r="AI900" s="23"/>
      <c r="AJ900" s="23"/>
      <c r="AK900" s="23"/>
      <c r="AL900" s="23"/>
      <c r="AM900" s="23"/>
      <c r="AN900" s="23"/>
      <c r="AO900" s="23"/>
      <c r="AP900" s="23"/>
      <c r="AQ900" s="23"/>
      <c r="AR900" s="23"/>
      <c r="AS900" s="23">
        <f t="shared" si="15"/>
        <v>0</v>
      </c>
    </row>
    <row r="901" spans="1:45" s="27" customFormat="1" ht="28.5" hidden="1" x14ac:dyDescent="0.2">
      <c r="A901" s="28">
        <v>1382</v>
      </c>
      <c r="B901" s="9" t="s">
        <v>161</v>
      </c>
      <c r="C901" s="9" t="s">
        <v>161</v>
      </c>
      <c r="D901" s="9" t="s">
        <v>121</v>
      </c>
      <c r="E901" s="9" t="s">
        <v>837</v>
      </c>
      <c r="F901" s="9" t="s">
        <v>199</v>
      </c>
      <c r="G901" s="9" t="s">
        <v>412</v>
      </c>
      <c r="H901" s="9" t="s">
        <v>831</v>
      </c>
      <c r="I901" s="81"/>
      <c r="J901" s="10">
        <f>'Messages Dictionary'!J310</f>
        <v>0.5</v>
      </c>
      <c r="K901" s="81"/>
      <c r="L901" s="29"/>
      <c r="M901" s="29"/>
      <c r="N901" s="23"/>
      <c r="O901" s="23"/>
      <c r="P901" s="23"/>
      <c r="Q901" s="23"/>
      <c r="R901" s="23"/>
      <c r="S901" s="23"/>
      <c r="T901" s="23"/>
      <c r="U901" s="23"/>
      <c r="V901" s="23"/>
      <c r="W901" s="23"/>
      <c r="X901" s="23"/>
      <c r="Y901" s="23"/>
      <c r="Z901" s="23"/>
      <c r="AA901" s="23"/>
      <c r="AB901" s="23"/>
      <c r="AC901" s="23"/>
      <c r="AD901" s="23"/>
      <c r="AE901" s="23"/>
      <c r="AF901" s="23"/>
      <c r="AG901" s="23"/>
      <c r="AH901" s="23"/>
      <c r="AI901" s="23"/>
      <c r="AJ901" s="23"/>
      <c r="AK901" s="23"/>
      <c r="AL901" s="23"/>
      <c r="AM901" s="23"/>
      <c r="AN901" s="23"/>
      <c r="AO901" s="23"/>
      <c r="AP901" s="23"/>
      <c r="AQ901" s="23"/>
      <c r="AR901" s="23"/>
      <c r="AS901" s="23">
        <f t="shared" si="15"/>
        <v>0</v>
      </c>
    </row>
    <row r="902" spans="1:45" s="27" customFormat="1" ht="28.5" hidden="1" x14ac:dyDescent="0.2">
      <c r="A902" s="28">
        <v>1383</v>
      </c>
      <c r="B902" s="9" t="s">
        <v>162</v>
      </c>
      <c r="C902" s="9" t="s">
        <v>162</v>
      </c>
      <c r="D902" s="9" t="s">
        <v>821</v>
      </c>
      <c r="E902" s="9" t="s">
        <v>27</v>
      </c>
      <c r="F902" s="9" t="s">
        <v>199</v>
      </c>
      <c r="G902" s="9" t="s">
        <v>412</v>
      </c>
      <c r="H902" s="9" t="s">
        <v>831</v>
      </c>
      <c r="I902" s="81"/>
      <c r="J902" s="10">
        <f>'Messages Dictionary'!J311</f>
        <v>0.5</v>
      </c>
      <c r="K902" s="81"/>
      <c r="L902" s="29"/>
      <c r="M902" s="29"/>
      <c r="N902" s="23"/>
      <c r="O902" s="23"/>
      <c r="P902" s="23"/>
      <c r="Q902" s="23"/>
      <c r="R902" s="23"/>
      <c r="S902" s="23"/>
      <c r="T902" s="23"/>
      <c r="U902" s="23"/>
      <c r="V902" s="23"/>
      <c r="W902" s="23"/>
      <c r="X902" s="23"/>
      <c r="Y902" s="23"/>
      <c r="Z902" s="23"/>
      <c r="AA902" s="23"/>
      <c r="AB902" s="23"/>
      <c r="AC902" s="23"/>
      <c r="AD902" s="23"/>
      <c r="AE902" s="23"/>
      <c r="AF902" s="23"/>
      <c r="AG902" s="23"/>
      <c r="AH902" s="23"/>
      <c r="AI902" s="23"/>
      <c r="AJ902" s="23"/>
      <c r="AK902" s="23"/>
      <c r="AL902" s="23"/>
      <c r="AM902" s="23"/>
      <c r="AN902" s="23"/>
      <c r="AO902" s="23"/>
      <c r="AP902" s="23"/>
      <c r="AQ902" s="23"/>
      <c r="AR902" s="23"/>
      <c r="AS902" s="23">
        <f t="shared" si="15"/>
        <v>0</v>
      </c>
    </row>
    <row r="903" spans="1:45" s="27" customFormat="1" hidden="1" x14ac:dyDescent="0.2">
      <c r="A903" s="28">
        <v>1384</v>
      </c>
      <c r="B903" s="9" t="s">
        <v>163</v>
      </c>
      <c r="C903" s="9" t="s">
        <v>163</v>
      </c>
      <c r="D903" s="9" t="s">
        <v>821</v>
      </c>
      <c r="E903" s="9" t="s">
        <v>27</v>
      </c>
      <c r="F903" s="9" t="s">
        <v>199</v>
      </c>
      <c r="G903" s="9" t="s">
        <v>412</v>
      </c>
      <c r="H903" s="9" t="s">
        <v>831</v>
      </c>
      <c r="I903" s="81"/>
      <c r="J903" s="10">
        <f>'Messages Dictionary'!J312</f>
        <v>0.5</v>
      </c>
      <c r="K903" s="81"/>
      <c r="L903" s="29"/>
      <c r="M903" s="29"/>
      <c r="N903" s="23"/>
      <c r="O903" s="23"/>
      <c r="P903" s="23"/>
      <c r="Q903" s="23"/>
      <c r="R903" s="23"/>
      <c r="S903" s="23"/>
      <c r="T903" s="23"/>
      <c r="U903" s="23"/>
      <c r="V903" s="23"/>
      <c r="W903" s="23"/>
      <c r="X903" s="23"/>
      <c r="Y903" s="23"/>
      <c r="Z903" s="23"/>
      <c r="AA903" s="23"/>
      <c r="AB903" s="23"/>
      <c r="AC903" s="23"/>
      <c r="AD903" s="23"/>
      <c r="AE903" s="23"/>
      <c r="AF903" s="23"/>
      <c r="AG903" s="23"/>
      <c r="AH903" s="23"/>
      <c r="AI903" s="23"/>
      <c r="AJ903" s="23"/>
      <c r="AK903" s="23"/>
      <c r="AL903" s="23"/>
      <c r="AM903" s="23"/>
      <c r="AN903" s="23"/>
      <c r="AO903" s="23"/>
      <c r="AP903" s="23"/>
      <c r="AQ903" s="23"/>
      <c r="AR903" s="23"/>
      <c r="AS903" s="23">
        <f t="shared" si="15"/>
        <v>0</v>
      </c>
    </row>
    <row r="904" spans="1:45" s="27" customFormat="1" hidden="1" x14ac:dyDescent="0.2">
      <c r="A904" s="28">
        <v>1385</v>
      </c>
      <c r="B904" s="9" t="s">
        <v>164</v>
      </c>
      <c r="C904" s="9" t="s">
        <v>164</v>
      </c>
      <c r="D904" s="9" t="s">
        <v>821</v>
      </c>
      <c r="E904" s="9" t="s">
        <v>825</v>
      </c>
      <c r="F904" s="9" t="s">
        <v>199</v>
      </c>
      <c r="G904" s="9" t="s">
        <v>412</v>
      </c>
      <c r="H904" s="9" t="s">
        <v>831</v>
      </c>
      <c r="I904" s="81"/>
      <c r="J904" s="10">
        <f>'Messages Dictionary'!J313</f>
        <v>0.5</v>
      </c>
      <c r="K904" s="81"/>
      <c r="L904" s="29"/>
      <c r="M904" s="29"/>
      <c r="N904" s="23"/>
      <c r="O904" s="23"/>
      <c r="P904" s="23"/>
      <c r="Q904" s="23"/>
      <c r="R904" s="23"/>
      <c r="S904" s="23"/>
      <c r="T904" s="23"/>
      <c r="U904" s="23"/>
      <c r="V904" s="23"/>
      <c r="W904" s="23"/>
      <c r="X904" s="23"/>
      <c r="Y904" s="23"/>
      <c r="Z904" s="23"/>
      <c r="AA904" s="23"/>
      <c r="AB904" s="23"/>
      <c r="AC904" s="23"/>
      <c r="AD904" s="23"/>
      <c r="AE904" s="23"/>
      <c r="AF904" s="23"/>
      <c r="AG904" s="23"/>
      <c r="AH904" s="23"/>
      <c r="AI904" s="23"/>
      <c r="AJ904" s="23"/>
      <c r="AK904" s="23"/>
      <c r="AL904" s="23"/>
      <c r="AM904" s="23"/>
      <c r="AN904" s="23"/>
      <c r="AO904" s="23"/>
      <c r="AP904" s="23"/>
      <c r="AQ904" s="23"/>
      <c r="AR904" s="23"/>
      <c r="AS904" s="23">
        <f t="shared" si="15"/>
        <v>0</v>
      </c>
    </row>
    <row r="905" spans="1:45" s="27" customFormat="1" hidden="1" x14ac:dyDescent="0.2">
      <c r="A905" s="28">
        <v>1386</v>
      </c>
      <c r="B905" s="9" t="s">
        <v>164</v>
      </c>
      <c r="C905" s="9" t="s">
        <v>164</v>
      </c>
      <c r="D905" s="9" t="s">
        <v>821</v>
      </c>
      <c r="E905" s="9" t="s">
        <v>825</v>
      </c>
      <c r="F905" s="9" t="s">
        <v>199</v>
      </c>
      <c r="G905" s="9" t="s">
        <v>412</v>
      </c>
      <c r="H905" s="9" t="s">
        <v>831</v>
      </c>
      <c r="I905" s="81"/>
      <c r="J905" s="10">
        <f>'Messages Dictionary'!J314</f>
        <v>0.5</v>
      </c>
      <c r="K905" s="81"/>
      <c r="L905" s="29"/>
      <c r="M905" s="29"/>
      <c r="N905" s="23"/>
      <c r="O905" s="23"/>
      <c r="P905" s="23"/>
      <c r="Q905" s="23"/>
      <c r="R905" s="23"/>
      <c r="S905" s="23"/>
      <c r="T905" s="23"/>
      <c r="U905" s="23"/>
      <c r="V905" s="23"/>
      <c r="W905" s="23"/>
      <c r="X905" s="23"/>
      <c r="Y905" s="23"/>
      <c r="Z905" s="23"/>
      <c r="AA905" s="23"/>
      <c r="AB905" s="23"/>
      <c r="AC905" s="23"/>
      <c r="AD905" s="23"/>
      <c r="AE905" s="23"/>
      <c r="AF905" s="23"/>
      <c r="AG905" s="23"/>
      <c r="AH905" s="23"/>
      <c r="AI905" s="23"/>
      <c r="AJ905" s="23"/>
      <c r="AK905" s="23"/>
      <c r="AL905" s="23"/>
      <c r="AM905" s="23"/>
      <c r="AN905" s="23"/>
      <c r="AO905" s="23"/>
      <c r="AP905" s="23"/>
      <c r="AQ905" s="23"/>
      <c r="AR905" s="23"/>
      <c r="AS905" s="23">
        <f t="shared" si="15"/>
        <v>0</v>
      </c>
    </row>
    <row r="906" spans="1:45" s="27" customFormat="1" ht="28.5" hidden="1" x14ac:dyDescent="0.2">
      <c r="A906" s="28">
        <v>1387</v>
      </c>
      <c r="B906" s="9" t="s">
        <v>165</v>
      </c>
      <c r="C906" s="9" t="s">
        <v>165</v>
      </c>
      <c r="D906" s="9" t="s">
        <v>821</v>
      </c>
      <c r="E906" s="9" t="s">
        <v>825</v>
      </c>
      <c r="F906" s="9" t="s">
        <v>199</v>
      </c>
      <c r="G906" s="9" t="s">
        <v>412</v>
      </c>
      <c r="H906" s="9" t="s">
        <v>831</v>
      </c>
      <c r="I906" s="81"/>
      <c r="J906" s="10">
        <f>'Messages Dictionary'!J315</f>
        <v>0.5</v>
      </c>
      <c r="K906" s="81"/>
      <c r="L906" s="29"/>
      <c r="M906" s="29"/>
      <c r="N906" s="23"/>
      <c r="O906" s="23"/>
      <c r="P906" s="23"/>
      <c r="Q906" s="23"/>
      <c r="R906" s="23"/>
      <c r="S906" s="23"/>
      <c r="T906" s="23"/>
      <c r="U906" s="23"/>
      <c r="V906" s="23"/>
      <c r="W906" s="23"/>
      <c r="X906" s="23"/>
      <c r="Y906" s="23"/>
      <c r="Z906" s="23"/>
      <c r="AA906" s="23"/>
      <c r="AB906" s="23"/>
      <c r="AC906" s="23"/>
      <c r="AD906" s="23"/>
      <c r="AE906" s="23"/>
      <c r="AF906" s="23"/>
      <c r="AG906" s="23"/>
      <c r="AH906" s="23"/>
      <c r="AI906" s="23"/>
      <c r="AJ906" s="23"/>
      <c r="AK906" s="23"/>
      <c r="AL906" s="23"/>
      <c r="AM906" s="23"/>
      <c r="AN906" s="23"/>
      <c r="AO906" s="23"/>
      <c r="AP906" s="23"/>
      <c r="AQ906" s="23"/>
      <c r="AR906" s="23"/>
      <c r="AS906" s="23">
        <f t="shared" si="15"/>
        <v>0</v>
      </c>
    </row>
    <row r="907" spans="1:45" s="27" customFormat="1" hidden="1" x14ac:dyDescent="0.2">
      <c r="A907" s="28">
        <v>1388</v>
      </c>
      <c r="B907" s="9" t="s">
        <v>166</v>
      </c>
      <c r="C907" s="9" t="s">
        <v>166</v>
      </c>
      <c r="D907" s="9" t="s">
        <v>821</v>
      </c>
      <c r="E907" s="9" t="s">
        <v>825</v>
      </c>
      <c r="F907" s="9" t="s">
        <v>199</v>
      </c>
      <c r="G907" s="9" t="s">
        <v>412</v>
      </c>
      <c r="H907" s="9" t="s">
        <v>831</v>
      </c>
      <c r="I907" s="81"/>
      <c r="J907" s="10">
        <f>'Messages Dictionary'!J316</f>
        <v>0.5</v>
      </c>
      <c r="K907" s="81"/>
      <c r="L907" s="29"/>
      <c r="M907" s="29"/>
      <c r="N907" s="23"/>
      <c r="O907" s="23"/>
      <c r="P907" s="23"/>
      <c r="Q907" s="23"/>
      <c r="R907" s="23"/>
      <c r="S907" s="23"/>
      <c r="T907" s="23"/>
      <c r="U907" s="23"/>
      <c r="V907" s="23"/>
      <c r="W907" s="23"/>
      <c r="X907" s="23"/>
      <c r="Y907" s="23"/>
      <c r="Z907" s="23"/>
      <c r="AA907" s="23"/>
      <c r="AB907" s="23"/>
      <c r="AC907" s="23"/>
      <c r="AD907" s="23"/>
      <c r="AE907" s="23"/>
      <c r="AF907" s="23"/>
      <c r="AG907" s="23"/>
      <c r="AH907" s="23"/>
      <c r="AI907" s="23"/>
      <c r="AJ907" s="23"/>
      <c r="AK907" s="23"/>
      <c r="AL907" s="23"/>
      <c r="AM907" s="23"/>
      <c r="AN907" s="23"/>
      <c r="AO907" s="23"/>
      <c r="AP907" s="23"/>
      <c r="AQ907" s="23"/>
      <c r="AR907" s="23"/>
      <c r="AS907" s="23">
        <f t="shared" si="15"/>
        <v>0</v>
      </c>
    </row>
    <row r="908" spans="1:45" s="27" customFormat="1" ht="28.5" hidden="1" x14ac:dyDescent="0.2">
      <c r="A908" s="28">
        <v>1389</v>
      </c>
      <c r="B908" s="9" t="s">
        <v>167</v>
      </c>
      <c r="C908" s="9" t="s">
        <v>167</v>
      </c>
      <c r="D908" s="9" t="s">
        <v>821</v>
      </c>
      <c r="E908" s="9" t="s">
        <v>825</v>
      </c>
      <c r="F908" s="9" t="s">
        <v>199</v>
      </c>
      <c r="G908" s="9" t="s">
        <v>412</v>
      </c>
      <c r="H908" s="9" t="s">
        <v>831</v>
      </c>
      <c r="I908" s="81"/>
      <c r="J908" s="10">
        <f>'Messages Dictionary'!J317</f>
        <v>0.5</v>
      </c>
      <c r="K908" s="81"/>
      <c r="L908" s="29"/>
      <c r="M908" s="29"/>
      <c r="N908" s="23"/>
      <c r="O908" s="23"/>
      <c r="P908" s="23"/>
      <c r="Q908" s="23"/>
      <c r="R908" s="23"/>
      <c r="S908" s="23"/>
      <c r="T908" s="23"/>
      <c r="U908" s="23"/>
      <c r="V908" s="23"/>
      <c r="W908" s="23"/>
      <c r="X908" s="23"/>
      <c r="Y908" s="23"/>
      <c r="Z908" s="23"/>
      <c r="AA908" s="23"/>
      <c r="AB908" s="23"/>
      <c r="AC908" s="23"/>
      <c r="AD908" s="23"/>
      <c r="AE908" s="23"/>
      <c r="AF908" s="23"/>
      <c r="AG908" s="23"/>
      <c r="AH908" s="23"/>
      <c r="AI908" s="23"/>
      <c r="AJ908" s="23"/>
      <c r="AK908" s="23"/>
      <c r="AL908" s="23"/>
      <c r="AM908" s="23"/>
      <c r="AN908" s="23"/>
      <c r="AO908" s="23"/>
      <c r="AP908" s="23"/>
      <c r="AQ908" s="23"/>
      <c r="AR908" s="23"/>
      <c r="AS908" s="23">
        <f t="shared" si="15"/>
        <v>0</v>
      </c>
    </row>
    <row r="909" spans="1:45" s="27" customFormat="1" ht="28.5" hidden="1" x14ac:dyDescent="0.2">
      <c r="A909" s="28">
        <v>1390</v>
      </c>
      <c r="B909" s="9" t="s">
        <v>168</v>
      </c>
      <c r="C909" s="9" t="s">
        <v>168</v>
      </c>
      <c r="D909" s="9" t="s">
        <v>821</v>
      </c>
      <c r="E909" s="9" t="s">
        <v>825</v>
      </c>
      <c r="F909" s="9" t="s">
        <v>199</v>
      </c>
      <c r="G909" s="9" t="s">
        <v>412</v>
      </c>
      <c r="H909" s="9" t="s">
        <v>831</v>
      </c>
      <c r="I909" s="81"/>
      <c r="J909" s="10">
        <f>'Messages Dictionary'!J318</f>
        <v>0.5</v>
      </c>
      <c r="K909" s="81"/>
      <c r="L909" s="29"/>
      <c r="M909" s="29"/>
      <c r="N909" s="23"/>
      <c r="O909" s="23"/>
      <c r="P909" s="23"/>
      <c r="Q909" s="23"/>
      <c r="R909" s="23"/>
      <c r="S909" s="23"/>
      <c r="T909" s="23"/>
      <c r="U909" s="23"/>
      <c r="V909" s="23"/>
      <c r="W909" s="23"/>
      <c r="X909" s="23"/>
      <c r="Y909" s="23"/>
      <c r="Z909" s="23"/>
      <c r="AA909" s="23"/>
      <c r="AB909" s="23"/>
      <c r="AC909" s="23"/>
      <c r="AD909" s="23"/>
      <c r="AE909" s="23"/>
      <c r="AF909" s="23"/>
      <c r="AG909" s="23"/>
      <c r="AH909" s="23"/>
      <c r="AI909" s="23"/>
      <c r="AJ909" s="23"/>
      <c r="AK909" s="23"/>
      <c r="AL909" s="23"/>
      <c r="AM909" s="23"/>
      <c r="AN909" s="23"/>
      <c r="AO909" s="23"/>
      <c r="AP909" s="23"/>
      <c r="AQ909" s="23"/>
      <c r="AR909" s="23"/>
      <c r="AS909" s="23">
        <f t="shared" si="15"/>
        <v>0</v>
      </c>
    </row>
    <row r="910" spans="1:45" s="27" customFormat="1" hidden="1" x14ac:dyDescent="0.2">
      <c r="A910" s="28">
        <v>1391</v>
      </c>
      <c r="B910" s="9" t="s">
        <v>169</v>
      </c>
      <c r="C910" s="9" t="s">
        <v>169</v>
      </c>
      <c r="D910" s="9" t="s">
        <v>821</v>
      </c>
      <c r="E910" s="9" t="s">
        <v>825</v>
      </c>
      <c r="F910" s="9" t="s">
        <v>199</v>
      </c>
      <c r="G910" s="9" t="s">
        <v>412</v>
      </c>
      <c r="H910" s="9" t="s">
        <v>831</v>
      </c>
      <c r="I910" s="81"/>
      <c r="J910" s="10">
        <f>'Messages Dictionary'!J319</f>
        <v>0.5</v>
      </c>
      <c r="K910" s="81"/>
      <c r="L910" s="29"/>
      <c r="M910" s="29"/>
      <c r="N910" s="23"/>
      <c r="O910" s="23"/>
      <c r="P910" s="23"/>
      <c r="Q910" s="23"/>
      <c r="R910" s="23"/>
      <c r="S910" s="23"/>
      <c r="T910" s="23"/>
      <c r="U910" s="23"/>
      <c r="V910" s="23"/>
      <c r="W910" s="23"/>
      <c r="X910" s="23"/>
      <c r="Y910" s="23"/>
      <c r="Z910" s="23"/>
      <c r="AA910" s="23"/>
      <c r="AB910" s="23"/>
      <c r="AC910" s="23"/>
      <c r="AD910" s="23"/>
      <c r="AE910" s="23"/>
      <c r="AF910" s="23"/>
      <c r="AG910" s="23"/>
      <c r="AH910" s="23"/>
      <c r="AI910" s="23"/>
      <c r="AJ910" s="23"/>
      <c r="AK910" s="23"/>
      <c r="AL910" s="23"/>
      <c r="AM910" s="23"/>
      <c r="AN910" s="23"/>
      <c r="AO910" s="23"/>
      <c r="AP910" s="23"/>
      <c r="AQ910" s="23"/>
      <c r="AR910" s="23"/>
      <c r="AS910" s="23">
        <f t="shared" si="15"/>
        <v>0</v>
      </c>
    </row>
    <row r="911" spans="1:45" s="27" customFormat="1" hidden="1" x14ac:dyDescent="0.2">
      <c r="A911" s="28">
        <v>1392</v>
      </c>
      <c r="B911" s="9" t="s">
        <v>170</v>
      </c>
      <c r="C911" s="9" t="s">
        <v>170</v>
      </c>
      <c r="D911" s="9" t="s">
        <v>821</v>
      </c>
      <c r="E911" s="9" t="s">
        <v>825</v>
      </c>
      <c r="F911" s="9" t="s">
        <v>199</v>
      </c>
      <c r="G911" s="9" t="s">
        <v>412</v>
      </c>
      <c r="H911" s="9" t="s">
        <v>831</v>
      </c>
      <c r="I911" s="81"/>
      <c r="J911" s="10">
        <f>'Messages Dictionary'!J320</f>
        <v>1</v>
      </c>
      <c r="K911" s="81"/>
      <c r="L911" s="29"/>
      <c r="M911" s="29"/>
      <c r="N911" s="23"/>
      <c r="O911" s="23"/>
      <c r="P911" s="23"/>
      <c r="Q911" s="23"/>
      <c r="R911" s="23"/>
      <c r="S911" s="23"/>
      <c r="T911" s="23"/>
      <c r="U911" s="23"/>
      <c r="V911" s="23"/>
      <c r="W911" s="23"/>
      <c r="X911" s="23"/>
      <c r="Y911" s="23"/>
      <c r="Z911" s="23"/>
      <c r="AA911" s="23"/>
      <c r="AB911" s="23"/>
      <c r="AC911" s="23"/>
      <c r="AD911" s="23"/>
      <c r="AE911" s="23"/>
      <c r="AF911" s="23"/>
      <c r="AG911" s="23"/>
      <c r="AH911" s="23"/>
      <c r="AI911" s="23"/>
      <c r="AJ911" s="23"/>
      <c r="AK911" s="23"/>
      <c r="AL911" s="23"/>
      <c r="AM911" s="23"/>
      <c r="AN911" s="23"/>
      <c r="AO911" s="23"/>
      <c r="AP911" s="23"/>
      <c r="AQ911" s="23"/>
      <c r="AR911" s="23"/>
      <c r="AS911" s="23">
        <f t="shared" si="15"/>
        <v>0</v>
      </c>
    </row>
    <row r="912" spans="1:45" s="27" customFormat="1" hidden="1" x14ac:dyDescent="0.2">
      <c r="A912" s="28">
        <v>1393</v>
      </c>
      <c r="B912" s="9" t="s">
        <v>171</v>
      </c>
      <c r="C912" s="9" t="s">
        <v>171</v>
      </c>
      <c r="D912" s="9" t="s">
        <v>821</v>
      </c>
      <c r="E912" s="9" t="s">
        <v>825</v>
      </c>
      <c r="F912" s="9" t="s">
        <v>199</v>
      </c>
      <c r="G912" s="9" t="s">
        <v>412</v>
      </c>
      <c r="H912" s="9" t="s">
        <v>831</v>
      </c>
      <c r="I912" s="81"/>
      <c r="J912" s="10">
        <f>'Messages Dictionary'!J321</f>
        <v>0.5</v>
      </c>
      <c r="K912" s="81"/>
      <c r="L912" s="29"/>
      <c r="M912" s="29"/>
      <c r="N912" s="23"/>
      <c r="O912" s="23"/>
      <c r="P912" s="23"/>
      <c r="Q912" s="23"/>
      <c r="R912" s="23"/>
      <c r="S912" s="23"/>
      <c r="T912" s="23"/>
      <c r="U912" s="23"/>
      <c r="V912" s="23"/>
      <c r="W912" s="23"/>
      <c r="X912" s="23"/>
      <c r="Y912" s="23"/>
      <c r="Z912" s="23"/>
      <c r="AA912" s="23"/>
      <c r="AB912" s="23"/>
      <c r="AC912" s="23"/>
      <c r="AD912" s="23"/>
      <c r="AE912" s="23"/>
      <c r="AF912" s="23"/>
      <c r="AG912" s="23"/>
      <c r="AH912" s="23"/>
      <c r="AI912" s="23"/>
      <c r="AJ912" s="23"/>
      <c r="AK912" s="23"/>
      <c r="AL912" s="23"/>
      <c r="AM912" s="23"/>
      <c r="AN912" s="23"/>
      <c r="AO912" s="23"/>
      <c r="AP912" s="23"/>
      <c r="AQ912" s="23"/>
      <c r="AR912" s="23"/>
      <c r="AS912" s="23">
        <f t="shared" si="15"/>
        <v>0</v>
      </c>
    </row>
    <row r="913" spans="1:45" s="27" customFormat="1" hidden="1" x14ac:dyDescent="0.2">
      <c r="A913" s="28">
        <v>1394</v>
      </c>
      <c r="B913" s="9" t="s">
        <v>172</v>
      </c>
      <c r="C913" s="9" t="s">
        <v>172</v>
      </c>
      <c r="D913" s="9" t="s">
        <v>821</v>
      </c>
      <c r="E913" s="9" t="s">
        <v>825</v>
      </c>
      <c r="F913" s="9" t="s">
        <v>199</v>
      </c>
      <c r="G913" s="9" t="s">
        <v>412</v>
      </c>
      <c r="H913" s="9" t="s">
        <v>831</v>
      </c>
      <c r="I913" s="81"/>
      <c r="J913" s="10">
        <f>'Messages Dictionary'!J322</f>
        <v>0.5</v>
      </c>
      <c r="K913" s="81"/>
      <c r="L913" s="29"/>
      <c r="M913" s="29"/>
      <c r="N913" s="23"/>
      <c r="O913" s="23"/>
      <c r="P913" s="23"/>
      <c r="Q913" s="23"/>
      <c r="R913" s="23"/>
      <c r="S913" s="23"/>
      <c r="T913" s="23"/>
      <c r="U913" s="23"/>
      <c r="V913" s="23"/>
      <c r="W913" s="23"/>
      <c r="X913" s="23"/>
      <c r="Y913" s="23"/>
      <c r="Z913" s="23"/>
      <c r="AA913" s="23"/>
      <c r="AB913" s="23"/>
      <c r="AC913" s="23"/>
      <c r="AD913" s="23"/>
      <c r="AE913" s="23"/>
      <c r="AF913" s="23"/>
      <c r="AG913" s="23"/>
      <c r="AH913" s="23"/>
      <c r="AI913" s="23"/>
      <c r="AJ913" s="23"/>
      <c r="AK913" s="23"/>
      <c r="AL913" s="23"/>
      <c r="AM913" s="23"/>
      <c r="AN913" s="23"/>
      <c r="AO913" s="23"/>
      <c r="AP913" s="23"/>
      <c r="AQ913" s="23"/>
      <c r="AR913" s="23"/>
      <c r="AS913" s="23">
        <f t="shared" si="15"/>
        <v>0</v>
      </c>
    </row>
    <row r="914" spans="1:45" s="27" customFormat="1" ht="28.5" hidden="1" x14ac:dyDescent="0.2">
      <c r="A914" s="28">
        <v>1395</v>
      </c>
      <c r="B914" s="9" t="s">
        <v>173</v>
      </c>
      <c r="C914" s="9" t="s">
        <v>173</v>
      </c>
      <c r="D914" s="9" t="s">
        <v>821</v>
      </c>
      <c r="E914" s="9" t="s">
        <v>825</v>
      </c>
      <c r="F914" s="9" t="s">
        <v>199</v>
      </c>
      <c r="G914" s="9" t="s">
        <v>412</v>
      </c>
      <c r="H914" s="9" t="s">
        <v>831</v>
      </c>
      <c r="I914" s="81"/>
      <c r="J914" s="10">
        <f>'Messages Dictionary'!J323</f>
        <v>0.5</v>
      </c>
      <c r="K914" s="81"/>
      <c r="L914" s="29"/>
      <c r="M914" s="29"/>
      <c r="N914" s="23"/>
      <c r="O914" s="23"/>
      <c r="P914" s="23"/>
      <c r="Q914" s="23"/>
      <c r="R914" s="23"/>
      <c r="S914" s="23"/>
      <c r="T914" s="23"/>
      <c r="U914" s="23"/>
      <c r="V914" s="23"/>
      <c r="W914" s="23"/>
      <c r="X914" s="23"/>
      <c r="Y914" s="23"/>
      <c r="Z914" s="23"/>
      <c r="AA914" s="23"/>
      <c r="AB914" s="23"/>
      <c r="AC914" s="23"/>
      <c r="AD914" s="23"/>
      <c r="AE914" s="23"/>
      <c r="AF914" s="23"/>
      <c r="AG914" s="23"/>
      <c r="AH914" s="23"/>
      <c r="AI914" s="23"/>
      <c r="AJ914" s="23"/>
      <c r="AK914" s="23"/>
      <c r="AL914" s="23"/>
      <c r="AM914" s="23"/>
      <c r="AN914" s="23"/>
      <c r="AO914" s="23"/>
      <c r="AP914" s="23"/>
      <c r="AQ914" s="23"/>
      <c r="AR914" s="23"/>
      <c r="AS914" s="23">
        <f t="shared" si="15"/>
        <v>0</v>
      </c>
    </row>
    <row r="915" spans="1:45" s="27" customFormat="1" ht="28.5" hidden="1" x14ac:dyDescent="0.2">
      <c r="A915" s="28">
        <v>1396</v>
      </c>
      <c r="B915" s="9" t="s">
        <v>174</v>
      </c>
      <c r="C915" s="9" t="s">
        <v>174</v>
      </c>
      <c r="D915" s="9" t="s">
        <v>821</v>
      </c>
      <c r="E915" s="9" t="s">
        <v>825</v>
      </c>
      <c r="F915" s="9" t="s">
        <v>199</v>
      </c>
      <c r="G915" s="9" t="s">
        <v>412</v>
      </c>
      <c r="H915" s="9" t="s">
        <v>831</v>
      </c>
      <c r="I915" s="81"/>
      <c r="J915" s="10">
        <f>'Messages Dictionary'!J324</f>
        <v>0.5</v>
      </c>
      <c r="K915" s="81"/>
      <c r="L915" s="29"/>
      <c r="M915" s="29"/>
      <c r="N915" s="23"/>
      <c r="O915" s="23"/>
      <c r="P915" s="23"/>
      <c r="Q915" s="23"/>
      <c r="R915" s="23"/>
      <c r="S915" s="23"/>
      <c r="T915" s="23"/>
      <c r="U915" s="23"/>
      <c r="V915" s="23"/>
      <c r="W915" s="23"/>
      <c r="X915" s="23"/>
      <c r="Y915" s="23"/>
      <c r="Z915" s="23"/>
      <c r="AA915" s="23"/>
      <c r="AB915" s="23"/>
      <c r="AC915" s="23"/>
      <c r="AD915" s="23"/>
      <c r="AE915" s="23"/>
      <c r="AF915" s="23"/>
      <c r="AG915" s="23"/>
      <c r="AH915" s="23"/>
      <c r="AI915" s="23"/>
      <c r="AJ915" s="23"/>
      <c r="AK915" s="23"/>
      <c r="AL915" s="23"/>
      <c r="AM915" s="23"/>
      <c r="AN915" s="23"/>
      <c r="AO915" s="23"/>
      <c r="AP915" s="23"/>
      <c r="AQ915" s="23"/>
      <c r="AR915" s="23"/>
      <c r="AS915" s="23">
        <f t="shared" si="15"/>
        <v>0</v>
      </c>
    </row>
    <row r="916" spans="1:45" s="27" customFormat="1" hidden="1" x14ac:dyDescent="0.2">
      <c r="A916" s="28">
        <v>1397</v>
      </c>
      <c r="B916" s="9" t="s">
        <v>175</v>
      </c>
      <c r="C916" s="9" t="s">
        <v>175</v>
      </c>
      <c r="D916" s="9" t="s">
        <v>821</v>
      </c>
      <c r="E916" s="9" t="s">
        <v>825</v>
      </c>
      <c r="F916" s="9" t="s">
        <v>199</v>
      </c>
      <c r="G916" s="9" t="s">
        <v>412</v>
      </c>
      <c r="H916" s="9" t="s">
        <v>831</v>
      </c>
      <c r="I916" s="81"/>
      <c r="J916" s="10">
        <f>'Messages Dictionary'!J325</f>
        <v>0.5</v>
      </c>
      <c r="K916" s="81"/>
      <c r="L916" s="29"/>
      <c r="M916" s="29"/>
      <c r="N916" s="23"/>
      <c r="O916" s="23"/>
      <c r="P916" s="23"/>
      <c r="Q916" s="23"/>
      <c r="R916" s="23"/>
      <c r="S916" s="23"/>
      <c r="T916" s="23"/>
      <c r="U916" s="23"/>
      <c r="V916" s="23"/>
      <c r="W916" s="23"/>
      <c r="X916" s="23"/>
      <c r="Y916" s="23"/>
      <c r="Z916" s="23"/>
      <c r="AA916" s="23"/>
      <c r="AB916" s="23"/>
      <c r="AC916" s="23"/>
      <c r="AD916" s="23"/>
      <c r="AE916" s="23"/>
      <c r="AF916" s="23"/>
      <c r="AG916" s="23"/>
      <c r="AH916" s="23"/>
      <c r="AI916" s="23"/>
      <c r="AJ916" s="23"/>
      <c r="AK916" s="23"/>
      <c r="AL916" s="23"/>
      <c r="AM916" s="23"/>
      <c r="AN916" s="23"/>
      <c r="AO916" s="23"/>
      <c r="AP916" s="23"/>
      <c r="AQ916" s="23"/>
      <c r="AR916" s="23"/>
      <c r="AS916" s="23">
        <f t="shared" si="15"/>
        <v>0</v>
      </c>
    </row>
    <row r="917" spans="1:45" s="27" customFormat="1" hidden="1" x14ac:dyDescent="0.2">
      <c r="A917" s="28">
        <v>1398</v>
      </c>
      <c r="B917" s="9" t="s">
        <v>176</v>
      </c>
      <c r="C917" s="9" t="s">
        <v>176</v>
      </c>
      <c r="D917" s="9" t="s">
        <v>821</v>
      </c>
      <c r="E917" s="9" t="s">
        <v>27</v>
      </c>
      <c r="F917" s="9" t="s">
        <v>199</v>
      </c>
      <c r="G917" s="9" t="s">
        <v>412</v>
      </c>
      <c r="H917" s="9" t="s">
        <v>831</v>
      </c>
      <c r="I917" s="81"/>
      <c r="J917" s="10">
        <f>'Messages Dictionary'!J326</f>
        <v>0.5</v>
      </c>
      <c r="K917" s="81"/>
      <c r="L917" s="29"/>
      <c r="M917" s="29"/>
      <c r="N917" s="23"/>
      <c r="O917" s="23"/>
      <c r="P917" s="23"/>
      <c r="Q917" s="23"/>
      <c r="R917" s="23"/>
      <c r="S917" s="23"/>
      <c r="T917" s="23"/>
      <c r="U917" s="23"/>
      <c r="V917" s="23"/>
      <c r="W917" s="23"/>
      <c r="X917" s="23"/>
      <c r="Y917" s="23"/>
      <c r="Z917" s="23"/>
      <c r="AA917" s="23"/>
      <c r="AB917" s="23"/>
      <c r="AC917" s="23"/>
      <c r="AD917" s="23"/>
      <c r="AE917" s="23"/>
      <c r="AF917" s="23"/>
      <c r="AG917" s="23"/>
      <c r="AH917" s="23"/>
      <c r="AI917" s="23"/>
      <c r="AJ917" s="23"/>
      <c r="AK917" s="23"/>
      <c r="AL917" s="23"/>
      <c r="AM917" s="23"/>
      <c r="AN917" s="23"/>
      <c r="AO917" s="23"/>
      <c r="AP917" s="23"/>
      <c r="AQ917" s="23"/>
      <c r="AR917" s="23"/>
      <c r="AS917" s="23">
        <f t="shared" si="15"/>
        <v>0</v>
      </c>
    </row>
    <row r="918" spans="1:45" s="27" customFormat="1" hidden="1" x14ac:dyDescent="0.2">
      <c r="A918" s="28">
        <v>1399</v>
      </c>
      <c r="B918" s="9" t="s">
        <v>176</v>
      </c>
      <c r="C918" s="9" t="s">
        <v>176</v>
      </c>
      <c r="D918" s="9" t="s">
        <v>821</v>
      </c>
      <c r="E918" s="9" t="s">
        <v>27</v>
      </c>
      <c r="F918" s="9" t="s">
        <v>199</v>
      </c>
      <c r="G918" s="9" t="s">
        <v>412</v>
      </c>
      <c r="H918" s="9" t="s">
        <v>831</v>
      </c>
      <c r="I918" s="81"/>
      <c r="J918" s="10">
        <f>'Messages Dictionary'!J327</f>
        <v>0.5</v>
      </c>
      <c r="K918" s="81"/>
      <c r="L918" s="29"/>
      <c r="M918" s="29"/>
      <c r="N918" s="23"/>
      <c r="O918" s="23"/>
      <c r="P918" s="23"/>
      <c r="Q918" s="23"/>
      <c r="R918" s="23"/>
      <c r="S918" s="23"/>
      <c r="T918" s="23"/>
      <c r="U918" s="23"/>
      <c r="V918" s="23"/>
      <c r="W918" s="23"/>
      <c r="X918" s="23"/>
      <c r="Y918" s="23"/>
      <c r="Z918" s="23"/>
      <c r="AA918" s="23"/>
      <c r="AB918" s="23"/>
      <c r="AC918" s="23"/>
      <c r="AD918" s="23"/>
      <c r="AE918" s="23"/>
      <c r="AF918" s="23"/>
      <c r="AG918" s="23"/>
      <c r="AH918" s="23"/>
      <c r="AI918" s="23"/>
      <c r="AJ918" s="23"/>
      <c r="AK918" s="23"/>
      <c r="AL918" s="23"/>
      <c r="AM918" s="23"/>
      <c r="AN918" s="23"/>
      <c r="AO918" s="23"/>
      <c r="AP918" s="23"/>
      <c r="AQ918" s="23"/>
      <c r="AR918" s="23"/>
      <c r="AS918" s="23">
        <f t="shared" si="15"/>
        <v>0</v>
      </c>
    </row>
    <row r="919" spans="1:45" s="27" customFormat="1" hidden="1" x14ac:dyDescent="0.2">
      <c r="A919" s="28">
        <v>1400</v>
      </c>
      <c r="B919" s="9" t="s">
        <v>176</v>
      </c>
      <c r="C919" s="9" t="s">
        <v>176</v>
      </c>
      <c r="D919" s="9" t="s">
        <v>821</v>
      </c>
      <c r="E919" s="9" t="s">
        <v>27</v>
      </c>
      <c r="F919" s="9" t="s">
        <v>199</v>
      </c>
      <c r="G919" s="9" t="s">
        <v>412</v>
      </c>
      <c r="H919" s="9" t="s">
        <v>831</v>
      </c>
      <c r="I919" s="81"/>
      <c r="J919" s="10">
        <f>'Messages Dictionary'!J328</f>
        <v>0.5</v>
      </c>
      <c r="K919" s="81"/>
      <c r="L919" s="29"/>
      <c r="M919" s="29"/>
      <c r="N919" s="23"/>
      <c r="O919" s="23"/>
      <c r="P919" s="23"/>
      <c r="Q919" s="23"/>
      <c r="R919" s="23"/>
      <c r="S919" s="23"/>
      <c r="T919" s="23"/>
      <c r="U919" s="23"/>
      <c r="V919" s="23"/>
      <c r="W919" s="23"/>
      <c r="X919" s="23"/>
      <c r="Y919" s="23"/>
      <c r="Z919" s="23"/>
      <c r="AA919" s="23"/>
      <c r="AB919" s="23"/>
      <c r="AC919" s="23"/>
      <c r="AD919" s="23"/>
      <c r="AE919" s="23"/>
      <c r="AF919" s="23"/>
      <c r="AG919" s="23"/>
      <c r="AH919" s="23"/>
      <c r="AI919" s="23"/>
      <c r="AJ919" s="23"/>
      <c r="AK919" s="23"/>
      <c r="AL919" s="23"/>
      <c r="AM919" s="23"/>
      <c r="AN919" s="23"/>
      <c r="AO919" s="23"/>
      <c r="AP919" s="23"/>
      <c r="AQ919" s="23"/>
      <c r="AR919" s="23"/>
      <c r="AS919" s="23">
        <f t="shared" si="15"/>
        <v>0</v>
      </c>
    </row>
    <row r="920" spans="1:45" s="27" customFormat="1" hidden="1" x14ac:dyDescent="0.2">
      <c r="A920" s="28">
        <v>1401</v>
      </c>
      <c r="B920" s="9" t="s">
        <v>176</v>
      </c>
      <c r="C920" s="9" t="s">
        <v>176</v>
      </c>
      <c r="D920" s="9" t="s">
        <v>821</v>
      </c>
      <c r="E920" s="9" t="s">
        <v>27</v>
      </c>
      <c r="F920" s="9" t="s">
        <v>199</v>
      </c>
      <c r="G920" s="9" t="s">
        <v>412</v>
      </c>
      <c r="H920" s="9" t="s">
        <v>831</v>
      </c>
      <c r="I920" s="81"/>
      <c r="J920" s="10">
        <f>'Messages Dictionary'!J329</f>
        <v>0.5</v>
      </c>
      <c r="K920" s="81"/>
      <c r="L920" s="29"/>
      <c r="M920" s="29"/>
      <c r="N920" s="23"/>
      <c r="O920" s="23"/>
      <c r="P920" s="23"/>
      <c r="Q920" s="23"/>
      <c r="R920" s="23"/>
      <c r="S920" s="23"/>
      <c r="T920" s="23"/>
      <c r="U920" s="23"/>
      <c r="V920" s="23"/>
      <c r="W920" s="23"/>
      <c r="X920" s="23"/>
      <c r="Y920" s="23"/>
      <c r="Z920" s="23"/>
      <c r="AA920" s="23"/>
      <c r="AB920" s="23"/>
      <c r="AC920" s="23"/>
      <c r="AD920" s="23"/>
      <c r="AE920" s="23"/>
      <c r="AF920" s="23"/>
      <c r="AG920" s="23"/>
      <c r="AH920" s="23"/>
      <c r="AI920" s="23"/>
      <c r="AJ920" s="23"/>
      <c r="AK920" s="23"/>
      <c r="AL920" s="23"/>
      <c r="AM920" s="23"/>
      <c r="AN920" s="23"/>
      <c r="AO920" s="23"/>
      <c r="AP920" s="23"/>
      <c r="AQ920" s="23"/>
      <c r="AR920" s="23"/>
      <c r="AS920" s="23">
        <f t="shared" si="15"/>
        <v>0</v>
      </c>
    </row>
    <row r="921" spans="1:45" s="27" customFormat="1" hidden="1" x14ac:dyDescent="0.2">
      <c r="A921" s="28">
        <v>1402</v>
      </c>
      <c r="B921" s="9" t="s">
        <v>176</v>
      </c>
      <c r="C921" s="9" t="s">
        <v>176</v>
      </c>
      <c r="D921" s="9" t="s">
        <v>821</v>
      </c>
      <c r="E921" s="9" t="s">
        <v>27</v>
      </c>
      <c r="F921" s="9" t="s">
        <v>199</v>
      </c>
      <c r="G921" s="9" t="s">
        <v>412</v>
      </c>
      <c r="H921" s="9" t="s">
        <v>831</v>
      </c>
      <c r="I921" s="81"/>
      <c r="J921" s="10">
        <f>'Messages Dictionary'!J330</f>
        <v>0.5</v>
      </c>
      <c r="K921" s="81"/>
      <c r="L921" s="29"/>
      <c r="M921" s="29"/>
      <c r="N921" s="23"/>
      <c r="O921" s="23"/>
      <c r="P921" s="23"/>
      <c r="Q921" s="23"/>
      <c r="R921" s="23"/>
      <c r="S921" s="23"/>
      <c r="T921" s="23"/>
      <c r="U921" s="23"/>
      <c r="V921" s="23"/>
      <c r="W921" s="23"/>
      <c r="X921" s="23"/>
      <c r="Y921" s="23"/>
      <c r="Z921" s="23"/>
      <c r="AA921" s="23"/>
      <c r="AB921" s="23"/>
      <c r="AC921" s="23"/>
      <c r="AD921" s="23"/>
      <c r="AE921" s="23"/>
      <c r="AF921" s="23"/>
      <c r="AG921" s="23"/>
      <c r="AH921" s="23"/>
      <c r="AI921" s="23"/>
      <c r="AJ921" s="23"/>
      <c r="AK921" s="23"/>
      <c r="AL921" s="23"/>
      <c r="AM921" s="23"/>
      <c r="AN921" s="23"/>
      <c r="AO921" s="23"/>
      <c r="AP921" s="23"/>
      <c r="AQ921" s="23"/>
      <c r="AR921" s="23"/>
      <c r="AS921" s="23">
        <f t="shared" si="15"/>
        <v>0</v>
      </c>
    </row>
    <row r="922" spans="1:45" s="27" customFormat="1" hidden="1" x14ac:dyDescent="0.2">
      <c r="A922" s="28">
        <v>1403</v>
      </c>
      <c r="B922" s="9" t="s">
        <v>176</v>
      </c>
      <c r="C922" s="9" t="s">
        <v>176</v>
      </c>
      <c r="D922" s="9" t="s">
        <v>821</v>
      </c>
      <c r="E922" s="9" t="s">
        <v>27</v>
      </c>
      <c r="F922" s="9" t="s">
        <v>199</v>
      </c>
      <c r="G922" s="9" t="s">
        <v>412</v>
      </c>
      <c r="H922" s="9" t="s">
        <v>831</v>
      </c>
      <c r="I922" s="81"/>
      <c r="J922" s="10">
        <f>'Messages Dictionary'!J331</f>
        <v>0.5</v>
      </c>
      <c r="K922" s="81"/>
      <c r="L922" s="29"/>
      <c r="M922" s="29"/>
      <c r="N922" s="23"/>
      <c r="O922" s="23"/>
      <c r="P922" s="23"/>
      <c r="Q922" s="23"/>
      <c r="R922" s="23"/>
      <c r="S922" s="23"/>
      <c r="T922" s="23"/>
      <c r="U922" s="23"/>
      <c r="V922" s="23"/>
      <c r="W922" s="23"/>
      <c r="X922" s="23"/>
      <c r="Y922" s="23"/>
      <c r="Z922" s="23"/>
      <c r="AA922" s="23"/>
      <c r="AB922" s="23"/>
      <c r="AC922" s="23"/>
      <c r="AD922" s="23"/>
      <c r="AE922" s="23"/>
      <c r="AF922" s="23"/>
      <c r="AG922" s="23"/>
      <c r="AH922" s="23"/>
      <c r="AI922" s="23"/>
      <c r="AJ922" s="23"/>
      <c r="AK922" s="23"/>
      <c r="AL922" s="23"/>
      <c r="AM922" s="23"/>
      <c r="AN922" s="23"/>
      <c r="AO922" s="23"/>
      <c r="AP922" s="23"/>
      <c r="AQ922" s="23"/>
      <c r="AR922" s="23"/>
      <c r="AS922" s="23">
        <f t="shared" si="15"/>
        <v>0</v>
      </c>
    </row>
    <row r="923" spans="1:45" s="27" customFormat="1" hidden="1" x14ac:dyDescent="0.2">
      <c r="A923" s="28">
        <v>1404</v>
      </c>
      <c r="B923" s="9" t="s">
        <v>176</v>
      </c>
      <c r="C923" s="9" t="s">
        <v>176</v>
      </c>
      <c r="D923" s="9" t="s">
        <v>821</v>
      </c>
      <c r="E923" s="9" t="s">
        <v>27</v>
      </c>
      <c r="F923" s="9" t="s">
        <v>199</v>
      </c>
      <c r="G923" s="9" t="s">
        <v>412</v>
      </c>
      <c r="H923" s="9" t="s">
        <v>831</v>
      </c>
      <c r="I923" s="81"/>
      <c r="J923" s="10">
        <f>'Messages Dictionary'!J332</f>
        <v>0.5</v>
      </c>
      <c r="K923" s="81"/>
      <c r="L923" s="29"/>
      <c r="M923" s="29"/>
      <c r="N923" s="23"/>
      <c r="O923" s="23"/>
      <c r="P923" s="23"/>
      <c r="Q923" s="23"/>
      <c r="R923" s="23"/>
      <c r="S923" s="23"/>
      <c r="T923" s="23"/>
      <c r="U923" s="23"/>
      <c r="V923" s="23"/>
      <c r="W923" s="23"/>
      <c r="X923" s="23"/>
      <c r="Y923" s="23"/>
      <c r="Z923" s="23"/>
      <c r="AA923" s="23"/>
      <c r="AB923" s="23"/>
      <c r="AC923" s="23"/>
      <c r="AD923" s="23"/>
      <c r="AE923" s="23"/>
      <c r="AF923" s="23"/>
      <c r="AG923" s="23"/>
      <c r="AH923" s="23"/>
      <c r="AI923" s="23"/>
      <c r="AJ923" s="23"/>
      <c r="AK923" s="23"/>
      <c r="AL923" s="23"/>
      <c r="AM923" s="23"/>
      <c r="AN923" s="23"/>
      <c r="AO923" s="23"/>
      <c r="AP923" s="23"/>
      <c r="AQ923" s="23"/>
      <c r="AR923" s="23"/>
      <c r="AS923" s="23">
        <f t="shared" si="15"/>
        <v>0</v>
      </c>
    </row>
    <row r="924" spans="1:45" s="27" customFormat="1" hidden="1" x14ac:dyDescent="0.2">
      <c r="A924" s="28">
        <v>1405</v>
      </c>
      <c r="B924" s="9" t="s">
        <v>176</v>
      </c>
      <c r="C924" s="9" t="s">
        <v>176</v>
      </c>
      <c r="D924" s="9" t="s">
        <v>821</v>
      </c>
      <c r="E924" s="9" t="s">
        <v>27</v>
      </c>
      <c r="F924" s="9" t="s">
        <v>199</v>
      </c>
      <c r="G924" s="9" t="s">
        <v>412</v>
      </c>
      <c r="H924" s="9" t="s">
        <v>831</v>
      </c>
      <c r="I924" s="81"/>
      <c r="J924" s="10">
        <f>'Messages Dictionary'!J333</f>
        <v>0.5</v>
      </c>
      <c r="K924" s="81"/>
      <c r="L924" s="29"/>
      <c r="M924" s="29"/>
      <c r="N924" s="23"/>
      <c r="O924" s="23"/>
      <c r="P924" s="23"/>
      <c r="Q924" s="23"/>
      <c r="R924" s="23"/>
      <c r="S924" s="23"/>
      <c r="T924" s="23"/>
      <c r="U924" s="23"/>
      <c r="V924" s="23"/>
      <c r="W924" s="23"/>
      <c r="X924" s="23"/>
      <c r="Y924" s="23"/>
      <c r="Z924" s="23"/>
      <c r="AA924" s="23"/>
      <c r="AB924" s="23"/>
      <c r="AC924" s="23"/>
      <c r="AD924" s="23"/>
      <c r="AE924" s="23"/>
      <c r="AF924" s="23"/>
      <c r="AG924" s="23"/>
      <c r="AH924" s="23"/>
      <c r="AI924" s="23"/>
      <c r="AJ924" s="23"/>
      <c r="AK924" s="23"/>
      <c r="AL924" s="23"/>
      <c r="AM924" s="23"/>
      <c r="AN924" s="23"/>
      <c r="AO924" s="23"/>
      <c r="AP924" s="23"/>
      <c r="AQ924" s="23"/>
      <c r="AR924" s="23"/>
      <c r="AS924" s="23">
        <f t="shared" si="15"/>
        <v>0</v>
      </c>
    </row>
    <row r="925" spans="1:45" s="27" customFormat="1" hidden="1" x14ac:dyDescent="0.2">
      <c r="A925" s="28">
        <v>1406</v>
      </c>
      <c r="B925" s="9" t="s">
        <v>176</v>
      </c>
      <c r="C925" s="9" t="s">
        <v>176</v>
      </c>
      <c r="D925" s="9" t="s">
        <v>821</v>
      </c>
      <c r="E925" s="9" t="s">
        <v>27</v>
      </c>
      <c r="F925" s="9" t="s">
        <v>199</v>
      </c>
      <c r="G925" s="9" t="s">
        <v>412</v>
      </c>
      <c r="H925" s="9" t="s">
        <v>831</v>
      </c>
      <c r="I925" s="81"/>
      <c r="J925" s="10">
        <f>'Messages Dictionary'!J334</f>
        <v>0.5</v>
      </c>
      <c r="K925" s="81"/>
      <c r="L925" s="29"/>
      <c r="M925" s="29"/>
      <c r="N925" s="23"/>
      <c r="O925" s="23"/>
      <c r="P925" s="23"/>
      <c r="Q925" s="23"/>
      <c r="R925" s="23"/>
      <c r="S925" s="23"/>
      <c r="T925" s="23"/>
      <c r="U925" s="23"/>
      <c r="V925" s="23"/>
      <c r="W925" s="23"/>
      <c r="X925" s="23"/>
      <c r="Y925" s="23"/>
      <c r="Z925" s="23"/>
      <c r="AA925" s="23"/>
      <c r="AB925" s="23"/>
      <c r="AC925" s="23"/>
      <c r="AD925" s="23"/>
      <c r="AE925" s="23"/>
      <c r="AF925" s="23"/>
      <c r="AG925" s="23"/>
      <c r="AH925" s="23"/>
      <c r="AI925" s="23"/>
      <c r="AJ925" s="23"/>
      <c r="AK925" s="23"/>
      <c r="AL925" s="23"/>
      <c r="AM925" s="23"/>
      <c r="AN925" s="23"/>
      <c r="AO925" s="23"/>
      <c r="AP925" s="23"/>
      <c r="AQ925" s="23"/>
      <c r="AR925" s="23"/>
      <c r="AS925" s="23">
        <f t="shared" si="15"/>
        <v>0</v>
      </c>
    </row>
    <row r="926" spans="1:45" s="27" customFormat="1" hidden="1" x14ac:dyDescent="0.2">
      <c r="A926" s="28">
        <v>1407</v>
      </c>
      <c r="B926" s="9" t="s">
        <v>176</v>
      </c>
      <c r="C926" s="9" t="s">
        <v>176</v>
      </c>
      <c r="D926" s="9" t="s">
        <v>821</v>
      </c>
      <c r="E926" s="9" t="s">
        <v>27</v>
      </c>
      <c r="F926" s="9" t="s">
        <v>199</v>
      </c>
      <c r="G926" s="9" t="s">
        <v>412</v>
      </c>
      <c r="H926" s="9" t="s">
        <v>831</v>
      </c>
      <c r="I926" s="81"/>
      <c r="J926" s="10">
        <f>'Messages Dictionary'!J335</f>
        <v>0.5</v>
      </c>
      <c r="K926" s="81"/>
      <c r="L926" s="29"/>
      <c r="M926" s="29"/>
      <c r="N926" s="23"/>
      <c r="O926" s="23"/>
      <c r="P926" s="23"/>
      <c r="Q926" s="23"/>
      <c r="R926" s="23"/>
      <c r="S926" s="23"/>
      <c r="T926" s="23"/>
      <c r="U926" s="23"/>
      <c r="V926" s="23"/>
      <c r="W926" s="23"/>
      <c r="X926" s="23"/>
      <c r="Y926" s="23"/>
      <c r="Z926" s="23"/>
      <c r="AA926" s="23"/>
      <c r="AB926" s="23"/>
      <c r="AC926" s="23"/>
      <c r="AD926" s="23"/>
      <c r="AE926" s="23"/>
      <c r="AF926" s="23"/>
      <c r="AG926" s="23"/>
      <c r="AH926" s="23"/>
      <c r="AI926" s="23"/>
      <c r="AJ926" s="23"/>
      <c r="AK926" s="23"/>
      <c r="AL926" s="23"/>
      <c r="AM926" s="23"/>
      <c r="AN926" s="23"/>
      <c r="AO926" s="23"/>
      <c r="AP926" s="23"/>
      <c r="AQ926" s="23"/>
      <c r="AR926" s="23"/>
      <c r="AS926" s="23">
        <f t="shared" si="15"/>
        <v>0</v>
      </c>
    </row>
    <row r="927" spans="1:45" s="27" customFormat="1" hidden="1" x14ac:dyDescent="0.2">
      <c r="A927" s="28">
        <v>1408</v>
      </c>
      <c r="B927" s="9" t="s">
        <v>176</v>
      </c>
      <c r="C927" s="9" t="s">
        <v>176</v>
      </c>
      <c r="D927" s="9" t="s">
        <v>821</v>
      </c>
      <c r="E927" s="9" t="s">
        <v>27</v>
      </c>
      <c r="F927" s="9" t="s">
        <v>199</v>
      </c>
      <c r="G927" s="9" t="s">
        <v>412</v>
      </c>
      <c r="H927" s="9" t="s">
        <v>831</v>
      </c>
      <c r="I927" s="81"/>
      <c r="J927" s="10">
        <f>'Messages Dictionary'!J336</f>
        <v>0.5</v>
      </c>
      <c r="K927" s="81"/>
      <c r="L927" s="29"/>
      <c r="M927" s="29"/>
      <c r="N927" s="23"/>
      <c r="O927" s="23"/>
      <c r="P927" s="23"/>
      <c r="Q927" s="23"/>
      <c r="R927" s="23"/>
      <c r="S927" s="23"/>
      <c r="T927" s="23"/>
      <c r="U927" s="23"/>
      <c r="V927" s="23"/>
      <c r="W927" s="23"/>
      <c r="X927" s="23"/>
      <c r="Y927" s="23"/>
      <c r="Z927" s="23"/>
      <c r="AA927" s="23"/>
      <c r="AB927" s="23"/>
      <c r="AC927" s="23"/>
      <c r="AD927" s="23"/>
      <c r="AE927" s="23"/>
      <c r="AF927" s="23"/>
      <c r="AG927" s="23"/>
      <c r="AH927" s="23"/>
      <c r="AI927" s="23"/>
      <c r="AJ927" s="23"/>
      <c r="AK927" s="23"/>
      <c r="AL927" s="23"/>
      <c r="AM927" s="23"/>
      <c r="AN927" s="23"/>
      <c r="AO927" s="23"/>
      <c r="AP927" s="23"/>
      <c r="AQ927" s="23"/>
      <c r="AR927" s="23"/>
      <c r="AS927" s="23">
        <f t="shared" si="15"/>
        <v>0</v>
      </c>
    </row>
    <row r="928" spans="1:45" s="27" customFormat="1" hidden="1" x14ac:dyDescent="0.2">
      <c r="A928" s="28">
        <v>1409</v>
      </c>
      <c r="B928" s="9" t="s">
        <v>176</v>
      </c>
      <c r="C928" s="9" t="s">
        <v>176</v>
      </c>
      <c r="D928" s="9" t="s">
        <v>821</v>
      </c>
      <c r="E928" s="9" t="s">
        <v>27</v>
      </c>
      <c r="F928" s="9" t="s">
        <v>199</v>
      </c>
      <c r="G928" s="9" t="s">
        <v>412</v>
      </c>
      <c r="H928" s="9" t="s">
        <v>831</v>
      </c>
      <c r="I928" s="81"/>
      <c r="J928" s="10">
        <f>'Messages Dictionary'!J337</f>
        <v>0.5</v>
      </c>
      <c r="K928" s="81"/>
      <c r="L928" s="29"/>
      <c r="M928" s="29"/>
      <c r="N928" s="23"/>
      <c r="O928" s="23"/>
      <c r="P928" s="23"/>
      <c r="Q928" s="23"/>
      <c r="R928" s="23"/>
      <c r="S928" s="23"/>
      <c r="T928" s="23"/>
      <c r="U928" s="23"/>
      <c r="V928" s="23"/>
      <c r="W928" s="23"/>
      <c r="X928" s="23"/>
      <c r="Y928" s="23"/>
      <c r="Z928" s="23"/>
      <c r="AA928" s="23"/>
      <c r="AB928" s="23"/>
      <c r="AC928" s="23"/>
      <c r="AD928" s="23"/>
      <c r="AE928" s="23"/>
      <c r="AF928" s="23"/>
      <c r="AG928" s="23"/>
      <c r="AH928" s="23"/>
      <c r="AI928" s="23"/>
      <c r="AJ928" s="23"/>
      <c r="AK928" s="23"/>
      <c r="AL928" s="23"/>
      <c r="AM928" s="23"/>
      <c r="AN928" s="23"/>
      <c r="AO928" s="23"/>
      <c r="AP928" s="23"/>
      <c r="AQ928" s="23"/>
      <c r="AR928" s="23"/>
      <c r="AS928" s="23">
        <f t="shared" si="15"/>
        <v>0</v>
      </c>
    </row>
    <row r="929" spans="1:45" s="27" customFormat="1" hidden="1" x14ac:dyDescent="0.2">
      <c r="A929" s="28">
        <v>1410</v>
      </c>
      <c r="B929" s="9" t="s">
        <v>176</v>
      </c>
      <c r="C929" s="9" t="s">
        <v>176</v>
      </c>
      <c r="D929" s="9" t="s">
        <v>821</v>
      </c>
      <c r="E929" s="9" t="s">
        <v>27</v>
      </c>
      <c r="F929" s="9" t="s">
        <v>199</v>
      </c>
      <c r="G929" s="9" t="s">
        <v>412</v>
      </c>
      <c r="H929" s="9" t="s">
        <v>831</v>
      </c>
      <c r="I929" s="81"/>
      <c r="J929" s="10">
        <f>'Messages Dictionary'!J338</f>
        <v>0.5</v>
      </c>
      <c r="K929" s="81"/>
      <c r="L929" s="29"/>
      <c r="M929" s="29"/>
      <c r="N929" s="23"/>
      <c r="O929" s="23"/>
      <c r="P929" s="23"/>
      <c r="Q929" s="23"/>
      <c r="R929" s="23"/>
      <c r="S929" s="23"/>
      <c r="T929" s="23"/>
      <c r="U929" s="23"/>
      <c r="V929" s="23"/>
      <c r="W929" s="23"/>
      <c r="X929" s="23"/>
      <c r="Y929" s="23"/>
      <c r="Z929" s="23"/>
      <c r="AA929" s="23"/>
      <c r="AB929" s="23"/>
      <c r="AC929" s="23"/>
      <c r="AD929" s="23"/>
      <c r="AE929" s="23"/>
      <c r="AF929" s="23"/>
      <c r="AG929" s="23"/>
      <c r="AH929" s="23"/>
      <c r="AI929" s="23"/>
      <c r="AJ929" s="23"/>
      <c r="AK929" s="23"/>
      <c r="AL929" s="23"/>
      <c r="AM929" s="23"/>
      <c r="AN929" s="23"/>
      <c r="AO929" s="23"/>
      <c r="AP929" s="23"/>
      <c r="AQ929" s="23"/>
      <c r="AR929" s="23"/>
      <c r="AS929" s="23">
        <f t="shared" si="15"/>
        <v>0</v>
      </c>
    </row>
    <row r="930" spans="1:45" s="27" customFormat="1" hidden="1" x14ac:dyDescent="0.2">
      <c r="A930" s="28">
        <v>1411</v>
      </c>
      <c r="B930" s="9" t="s">
        <v>176</v>
      </c>
      <c r="C930" s="9" t="s">
        <v>176</v>
      </c>
      <c r="D930" s="9" t="s">
        <v>821</v>
      </c>
      <c r="E930" s="9" t="s">
        <v>27</v>
      </c>
      <c r="F930" s="9" t="s">
        <v>199</v>
      </c>
      <c r="G930" s="9" t="s">
        <v>412</v>
      </c>
      <c r="H930" s="9" t="s">
        <v>831</v>
      </c>
      <c r="I930" s="81"/>
      <c r="J930" s="10">
        <f>'Messages Dictionary'!J339</f>
        <v>0.5</v>
      </c>
      <c r="K930" s="81"/>
      <c r="L930" s="29"/>
      <c r="M930" s="29"/>
      <c r="N930" s="23"/>
      <c r="O930" s="23"/>
      <c r="P930" s="23"/>
      <c r="Q930" s="23"/>
      <c r="R930" s="23"/>
      <c r="S930" s="23"/>
      <c r="T930" s="23"/>
      <c r="U930" s="23"/>
      <c r="V930" s="23"/>
      <c r="W930" s="23"/>
      <c r="X930" s="23"/>
      <c r="Y930" s="23"/>
      <c r="Z930" s="23"/>
      <c r="AA930" s="23"/>
      <c r="AB930" s="23"/>
      <c r="AC930" s="23"/>
      <c r="AD930" s="23"/>
      <c r="AE930" s="23"/>
      <c r="AF930" s="23"/>
      <c r="AG930" s="23"/>
      <c r="AH930" s="23"/>
      <c r="AI930" s="23"/>
      <c r="AJ930" s="23"/>
      <c r="AK930" s="23"/>
      <c r="AL930" s="23"/>
      <c r="AM930" s="23"/>
      <c r="AN930" s="23"/>
      <c r="AO930" s="23"/>
      <c r="AP930" s="23"/>
      <c r="AQ930" s="23"/>
      <c r="AR930" s="23"/>
      <c r="AS930" s="23">
        <f t="shared" ref="AS930:AS993" si="16">AS331*$J930</f>
        <v>0</v>
      </c>
    </row>
    <row r="931" spans="1:45" s="27" customFormat="1" hidden="1" x14ac:dyDescent="0.2">
      <c r="A931" s="28">
        <v>1412</v>
      </c>
      <c r="B931" s="9" t="s">
        <v>176</v>
      </c>
      <c r="C931" s="9" t="s">
        <v>176</v>
      </c>
      <c r="D931" s="9" t="s">
        <v>821</v>
      </c>
      <c r="E931" s="9" t="s">
        <v>27</v>
      </c>
      <c r="F931" s="9" t="s">
        <v>199</v>
      </c>
      <c r="G931" s="9" t="s">
        <v>412</v>
      </c>
      <c r="H931" s="9" t="s">
        <v>831</v>
      </c>
      <c r="I931" s="81"/>
      <c r="J931" s="10">
        <f>'Messages Dictionary'!J340</f>
        <v>0.5</v>
      </c>
      <c r="K931" s="81"/>
      <c r="L931" s="29"/>
      <c r="M931" s="29"/>
      <c r="N931" s="23"/>
      <c r="O931" s="23"/>
      <c r="P931" s="23"/>
      <c r="Q931" s="23"/>
      <c r="R931" s="23"/>
      <c r="S931" s="23"/>
      <c r="T931" s="23"/>
      <c r="U931" s="23"/>
      <c r="V931" s="23"/>
      <c r="W931" s="23"/>
      <c r="X931" s="23"/>
      <c r="Y931" s="23"/>
      <c r="Z931" s="23"/>
      <c r="AA931" s="23"/>
      <c r="AB931" s="23"/>
      <c r="AC931" s="23"/>
      <c r="AD931" s="23"/>
      <c r="AE931" s="23"/>
      <c r="AF931" s="23"/>
      <c r="AG931" s="23"/>
      <c r="AH931" s="23"/>
      <c r="AI931" s="23"/>
      <c r="AJ931" s="23"/>
      <c r="AK931" s="23"/>
      <c r="AL931" s="23"/>
      <c r="AM931" s="23"/>
      <c r="AN931" s="23"/>
      <c r="AO931" s="23"/>
      <c r="AP931" s="23"/>
      <c r="AQ931" s="23"/>
      <c r="AR931" s="23"/>
      <c r="AS931" s="23">
        <f t="shared" si="16"/>
        <v>0</v>
      </c>
    </row>
    <row r="932" spans="1:45" s="27" customFormat="1" hidden="1" x14ac:dyDescent="0.2">
      <c r="A932" s="28">
        <v>1413</v>
      </c>
      <c r="B932" s="9" t="s">
        <v>176</v>
      </c>
      <c r="C932" s="9" t="s">
        <v>176</v>
      </c>
      <c r="D932" s="9" t="s">
        <v>821</v>
      </c>
      <c r="E932" s="9" t="s">
        <v>27</v>
      </c>
      <c r="F932" s="9" t="s">
        <v>199</v>
      </c>
      <c r="G932" s="9" t="s">
        <v>412</v>
      </c>
      <c r="H932" s="9" t="s">
        <v>831</v>
      </c>
      <c r="I932" s="81"/>
      <c r="J932" s="10">
        <f>'Messages Dictionary'!J341</f>
        <v>0.5</v>
      </c>
      <c r="K932" s="81"/>
      <c r="L932" s="29"/>
      <c r="M932" s="29"/>
      <c r="N932" s="23"/>
      <c r="O932" s="23"/>
      <c r="P932" s="23"/>
      <c r="Q932" s="23"/>
      <c r="R932" s="23"/>
      <c r="S932" s="23"/>
      <c r="T932" s="23"/>
      <c r="U932" s="23"/>
      <c r="V932" s="23"/>
      <c r="W932" s="23"/>
      <c r="X932" s="23"/>
      <c r="Y932" s="23"/>
      <c r="Z932" s="23"/>
      <c r="AA932" s="23"/>
      <c r="AB932" s="23"/>
      <c r="AC932" s="23"/>
      <c r="AD932" s="23"/>
      <c r="AE932" s="23"/>
      <c r="AF932" s="23"/>
      <c r="AG932" s="23"/>
      <c r="AH932" s="23"/>
      <c r="AI932" s="23"/>
      <c r="AJ932" s="23"/>
      <c r="AK932" s="23"/>
      <c r="AL932" s="23"/>
      <c r="AM932" s="23"/>
      <c r="AN932" s="23"/>
      <c r="AO932" s="23"/>
      <c r="AP932" s="23"/>
      <c r="AQ932" s="23"/>
      <c r="AR932" s="23"/>
      <c r="AS932" s="23">
        <f t="shared" si="16"/>
        <v>0</v>
      </c>
    </row>
    <row r="933" spans="1:45" s="27" customFormat="1" hidden="1" x14ac:dyDescent="0.2">
      <c r="A933" s="28">
        <v>1414</v>
      </c>
      <c r="B933" s="9" t="s">
        <v>177</v>
      </c>
      <c r="C933" s="9" t="s">
        <v>177</v>
      </c>
      <c r="D933" s="9" t="s">
        <v>821</v>
      </c>
      <c r="E933" s="9" t="s">
        <v>27</v>
      </c>
      <c r="F933" s="9" t="s">
        <v>199</v>
      </c>
      <c r="G933" s="9" t="s">
        <v>412</v>
      </c>
      <c r="H933" s="9" t="s">
        <v>831</v>
      </c>
      <c r="I933" s="81"/>
      <c r="J933" s="10">
        <f>'Messages Dictionary'!J342</f>
        <v>0.5</v>
      </c>
      <c r="K933" s="81"/>
      <c r="L933" s="29"/>
      <c r="M933" s="29"/>
      <c r="N933" s="23"/>
      <c r="O933" s="23"/>
      <c r="P933" s="23"/>
      <c r="Q933" s="23"/>
      <c r="R933" s="23"/>
      <c r="S933" s="23"/>
      <c r="T933" s="23"/>
      <c r="U933" s="23"/>
      <c r="V933" s="23"/>
      <c r="W933" s="23"/>
      <c r="X933" s="23"/>
      <c r="Y933" s="23"/>
      <c r="Z933" s="23"/>
      <c r="AA933" s="23"/>
      <c r="AB933" s="23"/>
      <c r="AC933" s="23"/>
      <c r="AD933" s="23"/>
      <c r="AE933" s="23"/>
      <c r="AF933" s="23"/>
      <c r="AG933" s="23"/>
      <c r="AH933" s="23"/>
      <c r="AI933" s="23"/>
      <c r="AJ933" s="23"/>
      <c r="AK933" s="23"/>
      <c r="AL933" s="23"/>
      <c r="AM933" s="23"/>
      <c r="AN933" s="23"/>
      <c r="AO933" s="23"/>
      <c r="AP933" s="23"/>
      <c r="AQ933" s="23"/>
      <c r="AR933" s="23"/>
      <c r="AS933" s="23">
        <f t="shared" si="16"/>
        <v>0</v>
      </c>
    </row>
    <row r="934" spans="1:45" s="27" customFormat="1" ht="28.5" hidden="1" x14ac:dyDescent="0.2">
      <c r="A934" s="28">
        <v>1415</v>
      </c>
      <c r="B934" s="9" t="s">
        <v>178</v>
      </c>
      <c r="C934" s="9" t="s">
        <v>178</v>
      </c>
      <c r="D934" s="9" t="s">
        <v>821</v>
      </c>
      <c r="E934" s="9" t="s">
        <v>27</v>
      </c>
      <c r="F934" s="9" t="s">
        <v>199</v>
      </c>
      <c r="G934" s="9" t="s">
        <v>405</v>
      </c>
      <c r="H934" s="9" t="s">
        <v>426</v>
      </c>
      <c r="I934" s="81"/>
      <c r="J934" s="10">
        <f>'Messages Dictionary'!J343</f>
        <v>1</v>
      </c>
      <c r="K934" s="81"/>
      <c r="L934" s="29"/>
      <c r="M934" s="29"/>
      <c r="N934" s="23"/>
      <c r="O934" s="23"/>
      <c r="P934" s="23"/>
      <c r="Q934" s="23"/>
      <c r="R934" s="23"/>
      <c r="S934" s="23"/>
      <c r="T934" s="23"/>
      <c r="U934" s="23"/>
      <c r="V934" s="23"/>
      <c r="W934" s="23"/>
      <c r="X934" s="23"/>
      <c r="Y934" s="23"/>
      <c r="Z934" s="23"/>
      <c r="AA934" s="23"/>
      <c r="AB934" s="23"/>
      <c r="AC934" s="23"/>
      <c r="AD934" s="23"/>
      <c r="AE934" s="23"/>
      <c r="AF934" s="23"/>
      <c r="AG934" s="23"/>
      <c r="AH934" s="23"/>
      <c r="AI934" s="23"/>
      <c r="AJ934" s="23"/>
      <c r="AK934" s="23"/>
      <c r="AL934" s="23"/>
      <c r="AM934" s="23"/>
      <c r="AN934" s="23"/>
      <c r="AO934" s="23"/>
      <c r="AP934" s="23"/>
      <c r="AQ934" s="23"/>
      <c r="AR934" s="23"/>
      <c r="AS934" s="23">
        <f t="shared" si="16"/>
        <v>0</v>
      </c>
    </row>
    <row r="935" spans="1:45" s="27" customFormat="1" ht="42.75" hidden="1" x14ac:dyDescent="0.2">
      <c r="A935" s="28">
        <v>1416</v>
      </c>
      <c r="B935" s="9" t="s">
        <v>179</v>
      </c>
      <c r="C935" s="9" t="s">
        <v>180</v>
      </c>
      <c r="D935" s="9" t="s">
        <v>821</v>
      </c>
      <c r="E935" s="9" t="s">
        <v>27</v>
      </c>
      <c r="F935" s="9" t="s">
        <v>199</v>
      </c>
      <c r="G935" s="9" t="s">
        <v>405</v>
      </c>
      <c r="H935" s="9" t="s">
        <v>426</v>
      </c>
      <c r="I935" s="81"/>
      <c r="J935" s="10">
        <f>'Messages Dictionary'!J344</f>
        <v>1</v>
      </c>
      <c r="K935" s="81"/>
      <c r="L935" s="29"/>
      <c r="M935" s="29"/>
      <c r="N935" s="23"/>
      <c r="O935" s="23"/>
      <c r="P935" s="23"/>
      <c r="Q935" s="23"/>
      <c r="R935" s="23"/>
      <c r="S935" s="23"/>
      <c r="T935" s="23"/>
      <c r="U935" s="23"/>
      <c r="V935" s="23"/>
      <c r="W935" s="23"/>
      <c r="X935" s="23"/>
      <c r="Y935" s="23"/>
      <c r="Z935" s="23"/>
      <c r="AA935" s="23"/>
      <c r="AB935" s="23"/>
      <c r="AC935" s="23"/>
      <c r="AD935" s="23"/>
      <c r="AE935" s="23"/>
      <c r="AF935" s="23"/>
      <c r="AG935" s="23"/>
      <c r="AH935" s="23"/>
      <c r="AI935" s="23"/>
      <c r="AJ935" s="23"/>
      <c r="AK935" s="23"/>
      <c r="AL935" s="23"/>
      <c r="AM935" s="23"/>
      <c r="AN935" s="23"/>
      <c r="AO935" s="23"/>
      <c r="AP935" s="23"/>
      <c r="AQ935" s="23"/>
      <c r="AR935" s="23"/>
      <c r="AS935" s="23">
        <f t="shared" si="16"/>
        <v>0</v>
      </c>
    </row>
    <row r="936" spans="1:45" s="27" customFormat="1" ht="42.75" hidden="1" x14ac:dyDescent="0.2">
      <c r="A936" s="28">
        <v>1417</v>
      </c>
      <c r="B936" s="9" t="s">
        <v>181</v>
      </c>
      <c r="C936" s="9" t="s">
        <v>182</v>
      </c>
      <c r="D936" s="9" t="s">
        <v>821</v>
      </c>
      <c r="E936" s="9" t="s">
        <v>404</v>
      </c>
      <c r="F936" s="9" t="s">
        <v>199</v>
      </c>
      <c r="G936" s="9" t="s">
        <v>412</v>
      </c>
      <c r="H936" s="9" t="s">
        <v>831</v>
      </c>
      <c r="I936" s="81"/>
      <c r="J936" s="10">
        <f>'Messages Dictionary'!J345</f>
        <v>0.5</v>
      </c>
      <c r="K936" s="81"/>
      <c r="L936" s="29"/>
      <c r="M936" s="29"/>
      <c r="N936" s="23"/>
      <c r="O936" s="23"/>
      <c r="P936" s="23"/>
      <c r="Q936" s="23"/>
      <c r="R936" s="23"/>
      <c r="S936" s="23"/>
      <c r="T936" s="23"/>
      <c r="U936" s="23"/>
      <c r="V936" s="23"/>
      <c r="W936" s="23"/>
      <c r="X936" s="23"/>
      <c r="Y936" s="23"/>
      <c r="Z936" s="23"/>
      <c r="AA936" s="23"/>
      <c r="AB936" s="23"/>
      <c r="AC936" s="23"/>
      <c r="AD936" s="23"/>
      <c r="AE936" s="23"/>
      <c r="AF936" s="23"/>
      <c r="AG936" s="23"/>
      <c r="AH936" s="23"/>
      <c r="AI936" s="23"/>
      <c r="AJ936" s="23"/>
      <c r="AK936" s="23"/>
      <c r="AL936" s="23"/>
      <c r="AM936" s="23"/>
      <c r="AN936" s="23"/>
      <c r="AO936" s="23"/>
      <c r="AP936" s="23"/>
      <c r="AQ936" s="23"/>
      <c r="AR936" s="23"/>
      <c r="AS936" s="23">
        <f t="shared" si="16"/>
        <v>0</v>
      </c>
    </row>
    <row r="937" spans="1:45" s="27" customFormat="1" ht="42.75" hidden="1" x14ac:dyDescent="0.2">
      <c r="A937" s="28">
        <v>1418</v>
      </c>
      <c r="B937" s="9" t="s">
        <v>181</v>
      </c>
      <c r="C937" s="9" t="s">
        <v>183</v>
      </c>
      <c r="D937" s="9" t="s">
        <v>821</v>
      </c>
      <c r="E937" s="9" t="s">
        <v>404</v>
      </c>
      <c r="F937" s="9" t="s">
        <v>199</v>
      </c>
      <c r="G937" s="9" t="s">
        <v>412</v>
      </c>
      <c r="H937" s="9" t="s">
        <v>831</v>
      </c>
      <c r="I937" s="81"/>
      <c r="J937" s="10">
        <f>'Messages Dictionary'!J346</f>
        <v>1</v>
      </c>
      <c r="K937" s="81"/>
      <c r="L937" s="29"/>
      <c r="M937" s="29"/>
      <c r="N937" s="23"/>
      <c r="O937" s="23"/>
      <c r="P937" s="23"/>
      <c r="Q937" s="23"/>
      <c r="R937" s="23"/>
      <c r="S937" s="23"/>
      <c r="T937" s="23"/>
      <c r="U937" s="23"/>
      <c r="V937" s="23"/>
      <c r="W937" s="23"/>
      <c r="X937" s="23"/>
      <c r="Y937" s="23"/>
      <c r="Z937" s="23"/>
      <c r="AA937" s="23"/>
      <c r="AB937" s="23"/>
      <c r="AC937" s="23"/>
      <c r="AD937" s="23"/>
      <c r="AE937" s="23"/>
      <c r="AF937" s="23"/>
      <c r="AG937" s="23"/>
      <c r="AH937" s="23"/>
      <c r="AI937" s="23"/>
      <c r="AJ937" s="23"/>
      <c r="AK937" s="23"/>
      <c r="AL937" s="23"/>
      <c r="AM937" s="23"/>
      <c r="AN937" s="23"/>
      <c r="AO937" s="23"/>
      <c r="AP937" s="23"/>
      <c r="AQ937" s="23"/>
      <c r="AR937" s="23"/>
      <c r="AS937" s="23">
        <f t="shared" si="16"/>
        <v>0</v>
      </c>
    </row>
    <row r="938" spans="1:45" s="27" customFormat="1" ht="42.75" hidden="1" x14ac:dyDescent="0.2">
      <c r="A938" s="28">
        <v>1419</v>
      </c>
      <c r="B938" s="9" t="s">
        <v>184</v>
      </c>
      <c r="C938" s="9" t="s">
        <v>185</v>
      </c>
      <c r="D938" s="9" t="s">
        <v>121</v>
      </c>
      <c r="E938" s="9" t="s">
        <v>186</v>
      </c>
      <c r="F938" s="9" t="s">
        <v>198</v>
      </c>
      <c r="G938" s="9" t="s">
        <v>405</v>
      </c>
      <c r="H938" s="9" t="s">
        <v>806</v>
      </c>
      <c r="I938" s="81"/>
      <c r="J938" s="10">
        <f>'Messages Dictionary'!J347</f>
        <v>0.1</v>
      </c>
      <c r="K938" s="81"/>
      <c r="L938" s="29"/>
      <c r="M938" s="29"/>
      <c r="N938" s="23"/>
      <c r="O938" s="23"/>
      <c r="P938" s="23"/>
      <c r="Q938" s="23"/>
      <c r="R938" s="23"/>
      <c r="S938" s="23"/>
      <c r="T938" s="23"/>
      <c r="U938" s="23"/>
      <c r="V938" s="23"/>
      <c r="W938" s="23"/>
      <c r="X938" s="23"/>
      <c r="Y938" s="23"/>
      <c r="Z938" s="23"/>
      <c r="AA938" s="23"/>
      <c r="AB938" s="23"/>
      <c r="AC938" s="23"/>
      <c r="AD938" s="23"/>
      <c r="AE938" s="23"/>
      <c r="AF938" s="23"/>
      <c r="AG938" s="23"/>
      <c r="AH938" s="23"/>
      <c r="AI938" s="23"/>
      <c r="AJ938" s="23"/>
      <c r="AK938" s="23"/>
      <c r="AL938" s="23"/>
      <c r="AM938" s="23"/>
      <c r="AN938" s="23"/>
      <c r="AO938" s="23"/>
      <c r="AP938" s="23"/>
      <c r="AQ938" s="23"/>
      <c r="AR938" s="23"/>
      <c r="AS938" s="23">
        <f t="shared" si="16"/>
        <v>0</v>
      </c>
    </row>
    <row r="939" spans="1:45" s="27" customFormat="1" ht="57" hidden="1" x14ac:dyDescent="0.2">
      <c r="A939" s="28">
        <v>1420</v>
      </c>
      <c r="B939" s="9" t="s">
        <v>187</v>
      </c>
      <c r="C939" s="9" t="s">
        <v>185</v>
      </c>
      <c r="D939" s="9" t="s">
        <v>121</v>
      </c>
      <c r="E939" s="9" t="s">
        <v>186</v>
      </c>
      <c r="F939" s="9" t="s">
        <v>199</v>
      </c>
      <c r="G939" s="9" t="s">
        <v>405</v>
      </c>
      <c r="H939" s="9" t="s">
        <v>806</v>
      </c>
      <c r="I939" s="81"/>
      <c r="J939" s="10">
        <f>'Messages Dictionary'!J348</f>
        <v>0.1</v>
      </c>
      <c r="K939" s="81"/>
      <c r="L939" s="29"/>
      <c r="M939" s="29"/>
      <c r="N939" s="23"/>
      <c r="O939" s="23"/>
      <c r="P939" s="23"/>
      <c r="Q939" s="23"/>
      <c r="R939" s="23"/>
      <c r="S939" s="23"/>
      <c r="T939" s="23"/>
      <c r="U939" s="23"/>
      <c r="V939" s="23"/>
      <c r="W939" s="23"/>
      <c r="X939" s="23"/>
      <c r="Y939" s="23"/>
      <c r="Z939" s="23"/>
      <c r="AA939" s="23"/>
      <c r="AB939" s="23"/>
      <c r="AC939" s="23"/>
      <c r="AD939" s="23"/>
      <c r="AE939" s="23"/>
      <c r="AF939" s="23"/>
      <c r="AG939" s="23"/>
      <c r="AH939" s="23"/>
      <c r="AI939" s="23"/>
      <c r="AJ939" s="23"/>
      <c r="AK939" s="23"/>
      <c r="AL939" s="23"/>
      <c r="AM939" s="23"/>
      <c r="AN939" s="23"/>
      <c r="AO939" s="23"/>
      <c r="AP939" s="23"/>
      <c r="AQ939" s="23"/>
      <c r="AR939" s="23"/>
      <c r="AS939" s="23">
        <f t="shared" si="16"/>
        <v>0</v>
      </c>
    </row>
    <row r="940" spans="1:45" s="27" customFormat="1" ht="42.75" hidden="1" x14ac:dyDescent="0.2">
      <c r="A940" s="28">
        <v>1421</v>
      </c>
      <c r="B940" s="9" t="s">
        <v>188</v>
      </c>
      <c r="C940" s="9" t="s">
        <v>185</v>
      </c>
      <c r="D940" s="9" t="s">
        <v>121</v>
      </c>
      <c r="E940" s="9" t="s">
        <v>186</v>
      </c>
      <c r="F940" s="9" t="s">
        <v>199</v>
      </c>
      <c r="G940" s="9" t="s">
        <v>405</v>
      </c>
      <c r="H940" s="9" t="s">
        <v>806</v>
      </c>
      <c r="I940" s="81"/>
      <c r="J940" s="10">
        <f>'Messages Dictionary'!J349</f>
        <v>0.1</v>
      </c>
      <c r="K940" s="81"/>
      <c r="L940" s="29"/>
      <c r="M940" s="29"/>
      <c r="N940" s="23"/>
      <c r="O940" s="23"/>
      <c r="P940" s="23"/>
      <c r="Q940" s="23"/>
      <c r="R940" s="23"/>
      <c r="S940" s="23"/>
      <c r="T940" s="23"/>
      <c r="U940" s="23"/>
      <c r="V940" s="23"/>
      <c r="W940" s="23"/>
      <c r="X940" s="23"/>
      <c r="Y940" s="23"/>
      <c r="Z940" s="23"/>
      <c r="AA940" s="23"/>
      <c r="AB940" s="23"/>
      <c r="AC940" s="23"/>
      <c r="AD940" s="23"/>
      <c r="AE940" s="23"/>
      <c r="AF940" s="23"/>
      <c r="AG940" s="23"/>
      <c r="AH940" s="23"/>
      <c r="AI940" s="23"/>
      <c r="AJ940" s="23"/>
      <c r="AK940" s="23"/>
      <c r="AL940" s="23"/>
      <c r="AM940" s="23"/>
      <c r="AN940" s="23"/>
      <c r="AO940" s="23"/>
      <c r="AP940" s="23"/>
      <c r="AQ940" s="23"/>
      <c r="AR940" s="23"/>
      <c r="AS940" s="23">
        <f t="shared" si="16"/>
        <v>0</v>
      </c>
    </row>
    <row r="941" spans="1:45" s="27" customFormat="1" ht="57" hidden="1" x14ac:dyDescent="0.2">
      <c r="A941" s="28">
        <v>1422</v>
      </c>
      <c r="B941" s="9" t="s">
        <v>189</v>
      </c>
      <c r="C941" s="9" t="s">
        <v>190</v>
      </c>
      <c r="D941" s="9" t="s">
        <v>121</v>
      </c>
      <c r="E941" s="9" t="s">
        <v>186</v>
      </c>
      <c r="F941" s="9" t="s">
        <v>199</v>
      </c>
      <c r="G941" s="9" t="s">
        <v>405</v>
      </c>
      <c r="H941" s="9" t="s">
        <v>806</v>
      </c>
      <c r="I941" s="81"/>
      <c r="J941" s="10">
        <f>'Messages Dictionary'!J350</f>
        <v>0.1</v>
      </c>
      <c r="K941" s="81"/>
      <c r="L941" s="29"/>
      <c r="M941" s="29"/>
      <c r="N941" s="23"/>
      <c r="O941" s="23"/>
      <c r="P941" s="23"/>
      <c r="Q941" s="23"/>
      <c r="R941" s="23"/>
      <c r="S941" s="23"/>
      <c r="T941" s="23"/>
      <c r="U941" s="23"/>
      <c r="V941" s="23"/>
      <c r="W941" s="23"/>
      <c r="X941" s="23"/>
      <c r="Y941" s="23"/>
      <c r="Z941" s="23"/>
      <c r="AA941" s="23"/>
      <c r="AB941" s="23"/>
      <c r="AC941" s="23"/>
      <c r="AD941" s="23"/>
      <c r="AE941" s="23"/>
      <c r="AF941" s="23"/>
      <c r="AG941" s="23"/>
      <c r="AH941" s="23"/>
      <c r="AI941" s="23"/>
      <c r="AJ941" s="23"/>
      <c r="AK941" s="23"/>
      <c r="AL941" s="23"/>
      <c r="AM941" s="23"/>
      <c r="AN941" s="23"/>
      <c r="AO941" s="23"/>
      <c r="AP941" s="23"/>
      <c r="AQ941" s="23"/>
      <c r="AR941" s="23"/>
      <c r="AS941" s="23">
        <f t="shared" si="16"/>
        <v>0</v>
      </c>
    </row>
    <row r="942" spans="1:45" s="27" customFormat="1" ht="57" hidden="1" x14ac:dyDescent="0.2">
      <c r="A942" s="28">
        <v>1423</v>
      </c>
      <c r="B942" s="9" t="s">
        <v>191</v>
      </c>
      <c r="C942" s="9" t="s">
        <v>190</v>
      </c>
      <c r="D942" s="9" t="s">
        <v>121</v>
      </c>
      <c r="E942" s="9" t="s">
        <v>186</v>
      </c>
      <c r="F942" s="9" t="s">
        <v>199</v>
      </c>
      <c r="G942" s="9" t="s">
        <v>405</v>
      </c>
      <c r="H942" s="9" t="s">
        <v>806</v>
      </c>
      <c r="I942" s="81"/>
      <c r="J942" s="10">
        <f>'Messages Dictionary'!J351</f>
        <v>0.1</v>
      </c>
      <c r="K942" s="81"/>
      <c r="L942" s="29"/>
      <c r="M942" s="29"/>
      <c r="N942" s="23"/>
      <c r="O942" s="23"/>
      <c r="P942" s="23"/>
      <c r="Q942" s="23"/>
      <c r="R942" s="23"/>
      <c r="S942" s="23"/>
      <c r="T942" s="23"/>
      <c r="U942" s="23"/>
      <c r="V942" s="23"/>
      <c r="W942" s="23"/>
      <c r="X942" s="23"/>
      <c r="Y942" s="23"/>
      <c r="Z942" s="23"/>
      <c r="AA942" s="23"/>
      <c r="AB942" s="23"/>
      <c r="AC942" s="23"/>
      <c r="AD942" s="23"/>
      <c r="AE942" s="23"/>
      <c r="AF942" s="23"/>
      <c r="AG942" s="23"/>
      <c r="AH942" s="23"/>
      <c r="AI942" s="23"/>
      <c r="AJ942" s="23"/>
      <c r="AK942" s="23"/>
      <c r="AL942" s="23"/>
      <c r="AM942" s="23"/>
      <c r="AN942" s="23"/>
      <c r="AO942" s="23"/>
      <c r="AP942" s="23"/>
      <c r="AQ942" s="23"/>
      <c r="AR942" s="23"/>
      <c r="AS942" s="23">
        <f t="shared" si="16"/>
        <v>0</v>
      </c>
    </row>
    <row r="943" spans="1:45" s="27" customFormat="1" ht="57" hidden="1" x14ac:dyDescent="0.2">
      <c r="A943" s="28">
        <v>1424</v>
      </c>
      <c r="B943" s="9" t="s">
        <v>192</v>
      </c>
      <c r="C943" s="9" t="s">
        <v>190</v>
      </c>
      <c r="D943" s="9" t="s">
        <v>121</v>
      </c>
      <c r="E943" s="9" t="s">
        <v>186</v>
      </c>
      <c r="F943" s="9" t="s">
        <v>199</v>
      </c>
      <c r="G943" s="9" t="s">
        <v>405</v>
      </c>
      <c r="H943" s="9" t="s">
        <v>806</v>
      </c>
      <c r="I943" s="81"/>
      <c r="J943" s="10">
        <f>'Messages Dictionary'!J352</f>
        <v>0.1</v>
      </c>
      <c r="K943" s="81"/>
      <c r="L943" s="29"/>
      <c r="M943" s="29"/>
      <c r="N943" s="23"/>
      <c r="O943" s="23"/>
      <c r="P943" s="23"/>
      <c r="Q943" s="23"/>
      <c r="R943" s="23"/>
      <c r="S943" s="23"/>
      <c r="T943" s="23"/>
      <c r="U943" s="23"/>
      <c r="V943" s="23"/>
      <c r="W943" s="23"/>
      <c r="X943" s="23"/>
      <c r="Y943" s="23"/>
      <c r="Z943" s="23"/>
      <c r="AA943" s="23"/>
      <c r="AB943" s="23"/>
      <c r="AC943" s="23"/>
      <c r="AD943" s="23"/>
      <c r="AE943" s="23"/>
      <c r="AF943" s="23"/>
      <c r="AG943" s="23"/>
      <c r="AH943" s="23"/>
      <c r="AI943" s="23"/>
      <c r="AJ943" s="23"/>
      <c r="AK943" s="23"/>
      <c r="AL943" s="23"/>
      <c r="AM943" s="23"/>
      <c r="AN943" s="23"/>
      <c r="AO943" s="23"/>
      <c r="AP943" s="23"/>
      <c r="AQ943" s="23"/>
      <c r="AR943" s="23"/>
      <c r="AS943" s="23">
        <f t="shared" si="16"/>
        <v>0</v>
      </c>
    </row>
    <row r="944" spans="1:45" s="27" customFormat="1" ht="57" hidden="1" x14ac:dyDescent="0.2">
      <c r="A944" s="28">
        <v>1425</v>
      </c>
      <c r="B944" s="9" t="s">
        <v>193</v>
      </c>
      <c r="C944" s="9" t="s">
        <v>194</v>
      </c>
      <c r="D944" s="9" t="s">
        <v>121</v>
      </c>
      <c r="E944" s="9" t="s">
        <v>186</v>
      </c>
      <c r="F944" s="9" t="s">
        <v>199</v>
      </c>
      <c r="G944" s="9" t="s">
        <v>405</v>
      </c>
      <c r="H944" s="9" t="s">
        <v>806</v>
      </c>
      <c r="I944" s="81"/>
      <c r="J944" s="10">
        <f>'Messages Dictionary'!J353</f>
        <v>0.1</v>
      </c>
      <c r="K944" s="81"/>
      <c r="L944" s="29"/>
      <c r="M944" s="29"/>
      <c r="N944" s="23"/>
      <c r="O944" s="23"/>
      <c r="P944" s="23"/>
      <c r="Q944" s="23"/>
      <c r="R944" s="23"/>
      <c r="S944" s="23"/>
      <c r="T944" s="23"/>
      <c r="U944" s="23"/>
      <c r="V944" s="23"/>
      <c r="W944" s="23"/>
      <c r="X944" s="23"/>
      <c r="Y944" s="23"/>
      <c r="Z944" s="23"/>
      <c r="AA944" s="23"/>
      <c r="AB944" s="23"/>
      <c r="AC944" s="23"/>
      <c r="AD944" s="23"/>
      <c r="AE944" s="23"/>
      <c r="AF944" s="23"/>
      <c r="AG944" s="23"/>
      <c r="AH944" s="23"/>
      <c r="AI944" s="23"/>
      <c r="AJ944" s="23"/>
      <c r="AK944" s="23"/>
      <c r="AL944" s="23"/>
      <c r="AM944" s="23"/>
      <c r="AN944" s="23"/>
      <c r="AO944" s="23"/>
      <c r="AP944" s="23"/>
      <c r="AQ944" s="23"/>
      <c r="AR944" s="23"/>
      <c r="AS944" s="23">
        <f t="shared" si="16"/>
        <v>0</v>
      </c>
    </row>
    <row r="945" spans="1:45" s="27" customFormat="1" ht="57" hidden="1" x14ac:dyDescent="0.2">
      <c r="A945" s="28">
        <v>1426</v>
      </c>
      <c r="B945" s="9" t="s">
        <v>61</v>
      </c>
      <c r="C945" s="9" t="s">
        <v>194</v>
      </c>
      <c r="D945" s="9" t="s">
        <v>121</v>
      </c>
      <c r="E945" s="9" t="s">
        <v>186</v>
      </c>
      <c r="F945" s="9" t="s">
        <v>199</v>
      </c>
      <c r="G945" s="9" t="s">
        <v>405</v>
      </c>
      <c r="H945" s="9" t="s">
        <v>806</v>
      </c>
      <c r="I945" s="81"/>
      <c r="J945" s="10">
        <f>'Messages Dictionary'!J354</f>
        <v>0.1</v>
      </c>
      <c r="K945" s="81"/>
      <c r="L945" s="29"/>
      <c r="M945" s="29"/>
      <c r="N945" s="23"/>
      <c r="O945" s="23"/>
      <c r="P945" s="23"/>
      <c r="Q945" s="23"/>
      <c r="R945" s="23"/>
      <c r="S945" s="23"/>
      <c r="T945" s="23"/>
      <c r="U945" s="23"/>
      <c r="V945" s="23"/>
      <c r="W945" s="23"/>
      <c r="X945" s="23"/>
      <c r="Y945" s="23"/>
      <c r="Z945" s="23"/>
      <c r="AA945" s="23"/>
      <c r="AB945" s="23"/>
      <c r="AC945" s="23"/>
      <c r="AD945" s="23"/>
      <c r="AE945" s="23"/>
      <c r="AF945" s="23"/>
      <c r="AG945" s="23"/>
      <c r="AH945" s="23"/>
      <c r="AI945" s="23"/>
      <c r="AJ945" s="23"/>
      <c r="AK945" s="23"/>
      <c r="AL945" s="23"/>
      <c r="AM945" s="23"/>
      <c r="AN945" s="23"/>
      <c r="AO945" s="23"/>
      <c r="AP945" s="23"/>
      <c r="AQ945" s="23"/>
      <c r="AR945" s="23"/>
      <c r="AS945" s="23">
        <f t="shared" si="16"/>
        <v>0</v>
      </c>
    </row>
    <row r="946" spans="1:45" s="27" customFormat="1" ht="57" hidden="1" x14ac:dyDescent="0.2">
      <c r="A946" s="28">
        <v>1427</v>
      </c>
      <c r="B946" s="9" t="s">
        <v>62</v>
      </c>
      <c r="C946" s="9" t="s">
        <v>194</v>
      </c>
      <c r="D946" s="9" t="s">
        <v>121</v>
      </c>
      <c r="E946" s="9" t="s">
        <v>186</v>
      </c>
      <c r="F946" s="9" t="s">
        <v>199</v>
      </c>
      <c r="G946" s="9" t="s">
        <v>405</v>
      </c>
      <c r="H946" s="9" t="s">
        <v>806</v>
      </c>
      <c r="I946" s="81"/>
      <c r="J946" s="10">
        <f>'Messages Dictionary'!J355</f>
        <v>0.1</v>
      </c>
      <c r="K946" s="81"/>
      <c r="L946" s="29"/>
      <c r="M946" s="29"/>
      <c r="N946" s="23"/>
      <c r="O946" s="23"/>
      <c r="P946" s="23"/>
      <c r="Q946" s="23"/>
      <c r="R946" s="23"/>
      <c r="S946" s="23"/>
      <c r="T946" s="23"/>
      <c r="U946" s="23"/>
      <c r="V946" s="23"/>
      <c r="W946" s="23"/>
      <c r="X946" s="23"/>
      <c r="Y946" s="23"/>
      <c r="Z946" s="23"/>
      <c r="AA946" s="23"/>
      <c r="AB946" s="23"/>
      <c r="AC946" s="23"/>
      <c r="AD946" s="23"/>
      <c r="AE946" s="23"/>
      <c r="AF946" s="23"/>
      <c r="AG946" s="23"/>
      <c r="AH946" s="23"/>
      <c r="AI946" s="23"/>
      <c r="AJ946" s="23"/>
      <c r="AK946" s="23"/>
      <c r="AL946" s="23"/>
      <c r="AM946" s="23"/>
      <c r="AN946" s="23"/>
      <c r="AO946" s="23"/>
      <c r="AP946" s="23"/>
      <c r="AQ946" s="23"/>
      <c r="AR946" s="23"/>
      <c r="AS946" s="23">
        <f t="shared" si="16"/>
        <v>0</v>
      </c>
    </row>
    <row r="947" spans="1:45" s="27" customFormat="1" ht="57" hidden="1" x14ac:dyDescent="0.2">
      <c r="A947" s="28">
        <v>1428</v>
      </c>
      <c r="B947" s="9" t="s">
        <v>63</v>
      </c>
      <c r="C947" s="9" t="s">
        <v>64</v>
      </c>
      <c r="D947" s="9" t="s">
        <v>121</v>
      </c>
      <c r="E947" s="9" t="s">
        <v>186</v>
      </c>
      <c r="F947" s="9" t="s">
        <v>199</v>
      </c>
      <c r="G947" s="9" t="s">
        <v>405</v>
      </c>
      <c r="H947" s="9" t="s">
        <v>806</v>
      </c>
      <c r="I947" s="81"/>
      <c r="J947" s="10">
        <f>'Messages Dictionary'!J356</f>
        <v>0.1</v>
      </c>
      <c r="K947" s="81"/>
      <c r="L947" s="29"/>
      <c r="M947" s="29"/>
      <c r="N947" s="23"/>
      <c r="O947" s="23"/>
      <c r="P947" s="23"/>
      <c r="Q947" s="23"/>
      <c r="R947" s="23"/>
      <c r="S947" s="23"/>
      <c r="T947" s="23"/>
      <c r="U947" s="23"/>
      <c r="V947" s="23"/>
      <c r="W947" s="23"/>
      <c r="X947" s="23"/>
      <c r="Y947" s="23"/>
      <c r="Z947" s="23"/>
      <c r="AA947" s="23"/>
      <c r="AB947" s="23"/>
      <c r="AC947" s="23"/>
      <c r="AD947" s="23"/>
      <c r="AE947" s="23"/>
      <c r="AF947" s="23"/>
      <c r="AG947" s="23"/>
      <c r="AH947" s="23"/>
      <c r="AI947" s="23"/>
      <c r="AJ947" s="23"/>
      <c r="AK947" s="23"/>
      <c r="AL947" s="23"/>
      <c r="AM947" s="23"/>
      <c r="AN947" s="23"/>
      <c r="AO947" s="23"/>
      <c r="AP947" s="23"/>
      <c r="AQ947" s="23"/>
      <c r="AR947" s="23"/>
      <c r="AS947" s="23">
        <f t="shared" si="16"/>
        <v>0</v>
      </c>
    </row>
    <row r="948" spans="1:45" s="27" customFormat="1" ht="57" hidden="1" x14ac:dyDescent="0.2">
      <c r="A948" s="28">
        <v>1429</v>
      </c>
      <c r="B948" s="9" t="s">
        <v>775</v>
      </c>
      <c r="C948" s="9" t="s">
        <v>64</v>
      </c>
      <c r="D948" s="9" t="s">
        <v>121</v>
      </c>
      <c r="E948" s="9" t="s">
        <v>186</v>
      </c>
      <c r="F948" s="9" t="s">
        <v>199</v>
      </c>
      <c r="G948" s="9" t="s">
        <v>405</v>
      </c>
      <c r="H948" s="9" t="s">
        <v>806</v>
      </c>
      <c r="I948" s="81"/>
      <c r="J948" s="10">
        <f>'Messages Dictionary'!J357</f>
        <v>0.1</v>
      </c>
      <c r="K948" s="81"/>
      <c r="L948" s="29"/>
      <c r="M948" s="29"/>
      <c r="N948" s="23"/>
      <c r="O948" s="23"/>
      <c r="P948" s="23"/>
      <c r="Q948" s="23"/>
      <c r="R948" s="23"/>
      <c r="S948" s="23"/>
      <c r="T948" s="23"/>
      <c r="U948" s="23"/>
      <c r="V948" s="23"/>
      <c r="W948" s="23"/>
      <c r="X948" s="23"/>
      <c r="Y948" s="23"/>
      <c r="Z948" s="23"/>
      <c r="AA948" s="23"/>
      <c r="AB948" s="23"/>
      <c r="AC948" s="23"/>
      <c r="AD948" s="23"/>
      <c r="AE948" s="23"/>
      <c r="AF948" s="23"/>
      <c r="AG948" s="23"/>
      <c r="AH948" s="23"/>
      <c r="AI948" s="23"/>
      <c r="AJ948" s="23"/>
      <c r="AK948" s="23"/>
      <c r="AL948" s="23"/>
      <c r="AM948" s="23"/>
      <c r="AN948" s="23"/>
      <c r="AO948" s="23"/>
      <c r="AP948" s="23"/>
      <c r="AQ948" s="23"/>
      <c r="AR948" s="23"/>
      <c r="AS948" s="23">
        <f t="shared" si="16"/>
        <v>0</v>
      </c>
    </row>
    <row r="949" spans="1:45" s="27" customFormat="1" ht="57" hidden="1" x14ac:dyDescent="0.2">
      <c r="A949" s="28">
        <v>1430</v>
      </c>
      <c r="B949" s="9" t="s">
        <v>776</v>
      </c>
      <c r="C949" s="9" t="s">
        <v>64</v>
      </c>
      <c r="D949" s="9" t="s">
        <v>121</v>
      </c>
      <c r="E949" s="9" t="s">
        <v>186</v>
      </c>
      <c r="F949" s="9" t="s">
        <v>199</v>
      </c>
      <c r="G949" s="9" t="s">
        <v>405</v>
      </c>
      <c r="H949" s="9" t="s">
        <v>806</v>
      </c>
      <c r="I949" s="81"/>
      <c r="J949" s="10">
        <f>'Messages Dictionary'!J358</f>
        <v>0.1</v>
      </c>
      <c r="K949" s="81"/>
      <c r="L949" s="29"/>
      <c r="M949" s="29"/>
      <c r="N949" s="23"/>
      <c r="O949" s="23"/>
      <c r="P949" s="23"/>
      <c r="Q949" s="23"/>
      <c r="R949" s="23"/>
      <c r="S949" s="23"/>
      <c r="T949" s="23"/>
      <c r="U949" s="23"/>
      <c r="V949" s="23"/>
      <c r="W949" s="23"/>
      <c r="X949" s="23"/>
      <c r="Y949" s="23"/>
      <c r="Z949" s="23"/>
      <c r="AA949" s="23"/>
      <c r="AB949" s="23"/>
      <c r="AC949" s="23"/>
      <c r="AD949" s="23"/>
      <c r="AE949" s="23"/>
      <c r="AF949" s="23"/>
      <c r="AG949" s="23"/>
      <c r="AH949" s="23"/>
      <c r="AI949" s="23"/>
      <c r="AJ949" s="23"/>
      <c r="AK949" s="23"/>
      <c r="AL949" s="23"/>
      <c r="AM949" s="23"/>
      <c r="AN949" s="23"/>
      <c r="AO949" s="23"/>
      <c r="AP949" s="23"/>
      <c r="AQ949" s="23"/>
      <c r="AR949" s="23"/>
      <c r="AS949" s="23">
        <f t="shared" si="16"/>
        <v>0</v>
      </c>
    </row>
    <row r="950" spans="1:45" s="27" customFormat="1" ht="42.75" hidden="1" x14ac:dyDescent="0.2">
      <c r="A950" s="28">
        <v>1431</v>
      </c>
      <c r="B950" s="9" t="s">
        <v>450</v>
      </c>
      <c r="C950" s="9" t="s">
        <v>185</v>
      </c>
      <c r="D950" s="9" t="s">
        <v>121</v>
      </c>
      <c r="E950" s="9" t="s">
        <v>186</v>
      </c>
      <c r="F950" s="9" t="s">
        <v>199</v>
      </c>
      <c r="G950" s="9" t="s">
        <v>405</v>
      </c>
      <c r="H950" s="9" t="s">
        <v>806</v>
      </c>
      <c r="I950" s="81"/>
      <c r="J950" s="10">
        <f>'Messages Dictionary'!J359</f>
        <v>0.1</v>
      </c>
      <c r="K950" s="81"/>
      <c r="L950" s="29"/>
      <c r="M950" s="29"/>
      <c r="N950" s="23"/>
      <c r="O950" s="23"/>
      <c r="P950" s="23"/>
      <c r="Q950" s="23"/>
      <c r="R950" s="23"/>
      <c r="S950" s="23"/>
      <c r="T950" s="23"/>
      <c r="U950" s="23"/>
      <c r="V950" s="23"/>
      <c r="W950" s="23"/>
      <c r="X950" s="23"/>
      <c r="Y950" s="23"/>
      <c r="Z950" s="23"/>
      <c r="AA950" s="23"/>
      <c r="AB950" s="23"/>
      <c r="AC950" s="23"/>
      <c r="AD950" s="23"/>
      <c r="AE950" s="23"/>
      <c r="AF950" s="23"/>
      <c r="AG950" s="23"/>
      <c r="AH950" s="23"/>
      <c r="AI950" s="23"/>
      <c r="AJ950" s="23"/>
      <c r="AK950" s="23"/>
      <c r="AL950" s="23"/>
      <c r="AM950" s="23"/>
      <c r="AN950" s="23"/>
      <c r="AO950" s="23"/>
      <c r="AP950" s="23"/>
      <c r="AQ950" s="23"/>
      <c r="AR950" s="23"/>
      <c r="AS950" s="23">
        <f t="shared" si="16"/>
        <v>0</v>
      </c>
    </row>
    <row r="951" spans="1:45" s="27" customFormat="1" ht="42.75" hidden="1" x14ac:dyDescent="0.2">
      <c r="A951" s="28">
        <v>1432</v>
      </c>
      <c r="B951" s="9" t="s">
        <v>451</v>
      </c>
      <c r="C951" s="9" t="s">
        <v>185</v>
      </c>
      <c r="D951" s="9" t="s">
        <v>121</v>
      </c>
      <c r="E951" s="9" t="s">
        <v>186</v>
      </c>
      <c r="F951" s="9" t="s">
        <v>199</v>
      </c>
      <c r="G951" s="9" t="s">
        <v>405</v>
      </c>
      <c r="H951" s="9" t="s">
        <v>806</v>
      </c>
      <c r="I951" s="81"/>
      <c r="J951" s="10">
        <f>'Messages Dictionary'!J360</f>
        <v>0.1</v>
      </c>
      <c r="K951" s="81"/>
      <c r="L951" s="29"/>
      <c r="M951" s="29"/>
      <c r="N951" s="23"/>
      <c r="O951" s="23"/>
      <c r="P951" s="23"/>
      <c r="Q951" s="23"/>
      <c r="R951" s="23"/>
      <c r="S951" s="23"/>
      <c r="T951" s="23"/>
      <c r="U951" s="23"/>
      <c r="V951" s="23"/>
      <c r="W951" s="23"/>
      <c r="X951" s="23"/>
      <c r="Y951" s="23"/>
      <c r="Z951" s="23"/>
      <c r="AA951" s="23"/>
      <c r="AB951" s="23"/>
      <c r="AC951" s="23"/>
      <c r="AD951" s="23"/>
      <c r="AE951" s="23"/>
      <c r="AF951" s="23"/>
      <c r="AG951" s="23"/>
      <c r="AH951" s="23"/>
      <c r="AI951" s="23"/>
      <c r="AJ951" s="23"/>
      <c r="AK951" s="23"/>
      <c r="AL951" s="23"/>
      <c r="AM951" s="23"/>
      <c r="AN951" s="23"/>
      <c r="AO951" s="23"/>
      <c r="AP951" s="23"/>
      <c r="AQ951" s="23"/>
      <c r="AR951" s="23"/>
      <c r="AS951" s="23">
        <f t="shared" si="16"/>
        <v>0</v>
      </c>
    </row>
    <row r="952" spans="1:45" s="27" customFormat="1" ht="42.75" hidden="1" x14ac:dyDescent="0.2">
      <c r="A952" s="28">
        <v>1433</v>
      </c>
      <c r="B952" s="9" t="s">
        <v>452</v>
      </c>
      <c r="C952" s="9" t="s">
        <v>453</v>
      </c>
      <c r="D952" s="9" t="s">
        <v>121</v>
      </c>
      <c r="E952" s="9" t="s">
        <v>186</v>
      </c>
      <c r="F952" s="9" t="s">
        <v>199</v>
      </c>
      <c r="G952" s="9" t="s">
        <v>405</v>
      </c>
      <c r="H952" s="9" t="s">
        <v>806</v>
      </c>
      <c r="I952" s="81"/>
      <c r="J952" s="10">
        <f>'Messages Dictionary'!J361</f>
        <v>0.1</v>
      </c>
      <c r="K952" s="81"/>
      <c r="L952" s="29"/>
      <c r="M952" s="29"/>
      <c r="N952" s="23"/>
      <c r="O952" s="23"/>
      <c r="P952" s="23"/>
      <c r="Q952" s="23"/>
      <c r="R952" s="23"/>
      <c r="S952" s="23"/>
      <c r="T952" s="23"/>
      <c r="U952" s="23"/>
      <c r="V952" s="23"/>
      <c r="W952" s="23"/>
      <c r="X952" s="23"/>
      <c r="Y952" s="23"/>
      <c r="Z952" s="23"/>
      <c r="AA952" s="23"/>
      <c r="AB952" s="23"/>
      <c r="AC952" s="23"/>
      <c r="AD952" s="23"/>
      <c r="AE952" s="23"/>
      <c r="AF952" s="23"/>
      <c r="AG952" s="23"/>
      <c r="AH952" s="23"/>
      <c r="AI952" s="23"/>
      <c r="AJ952" s="23"/>
      <c r="AK952" s="23"/>
      <c r="AL952" s="23"/>
      <c r="AM952" s="23"/>
      <c r="AN952" s="23"/>
      <c r="AO952" s="23"/>
      <c r="AP952" s="23"/>
      <c r="AQ952" s="23"/>
      <c r="AR952" s="23"/>
      <c r="AS952" s="23">
        <f t="shared" si="16"/>
        <v>0</v>
      </c>
    </row>
    <row r="953" spans="1:45" s="27" customFormat="1" ht="57" hidden="1" x14ac:dyDescent="0.2">
      <c r="A953" s="28">
        <v>1434</v>
      </c>
      <c r="B953" s="9" t="s">
        <v>454</v>
      </c>
      <c r="C953" s="9" t="s">
        <v>455</v>
      </c>
      <c r="D953" s="9" t="s">
        <v>121</v>
      </c>
      <c r="E953" s="9" t="s">
        <v>186</v>
      </c>
      <c r="F953" s="9" t="s">
        <v>199</v>
      </c>
      <c r="G953" s="9" t="s">
        <v>405</v>
      </c>
      <c r="H953" s="9" t="s">
        <v>806</v>
      </c>
      <c r="I953" s="81"/>
      <c r="J953" s="10">
        <f>'Messages Dictionary'!J362</f>
        <v>0.1</v>
      </c>
      <c r="K953" s="81"/>
      <c r="L953" s="29"/>
      <c r="M953" s="29"/>
      <c r="N953" s="23"/>
      <c r="O953" s="23"/>
      <c r="P953" s="23"/>
      <c r="Q953" s="23"/>
      <c r="R953" s="23"/>
      <c r="S953" s="23"/>
      <c r="T953" s="23"/>
      <c r="U953" s="23"/>
      <c r="V953" s="23"/>
      <c r="W953" s="23"/>
      <c r="X953" s="23"/>
      <c r="Y953" s="23"/>
      <c r="Z953" s="23"/>
      <c r="AA953" s="23"/>
      <c r="AB953" s="23"/>
      <c r="AC953" s="23"/>
      <c r="AD953" s="23"/>
      <c r="AE953" s="23"/>
      <c r="AF953" s="23"/>
      <c r="AG953" s="23"/>
      <c r="AH953" s="23"/>
      <c r="AI953" s="23"/>
      <c r="AJ953" s="23"/>
      <c r="AK953" s="23"/>
      <c r="AL953" s="23"/>
      <c r="AM953" s="23"/>
      <c r="AN953" s="23"/>
      <c r="AO953" s="23"/>
      <c r="AP953" s="23"/>
      <c r="AQ953" s="23"/>
      <c r="AR953" s="23"/>
      <c r="AS953" s="23">
        <f t="shared" si="16"/>
        <v>0</v>
      </c>
    </row>
    <row r="954" spans="1:45" s="27" customFormat="1" ht="42.75" hidden="1" x14ac:dyDescent="0.2">
      <c r="A954" s="28">
        <v>1435</v>
      </c>
      <c r="B954" s="9" t="s">
        <v>456</v>
      </c>
      <c r="C954" s="9" t="s">
        <v>457</v>
      </c>
      <c r="D954" s="9" t="s">
        <v>121</v>
      </c>
      <c r="E954" s="9" t="s">
        <v>186</v>
      </c>
      <c r="F954" s="9" t="s">
        <v>199</v>
      </c>
      <c r="G954" s="9" t="s">
        <v>405</v>
      </c>
      <c r="H954" s="9" t="s">
        <v>806</v>
      </c>
      <c r="I954" s="81"/>
      <c r="J954" s="10">
        <f>'Messages Dictionary'!J363</f>
        <v>0.1</v>
      </c>
      <c r="K954" s="81"/>
      <c r="L954" s="29"/>
      <c r="M954" s="29"/>
      <c r="N954" s="23"/>
      <c r="O954" s="23"/>
      <c r="P954" s="23"/>
      <c r="Q954" s="23"/>
      <c r="R954" s="23"/>
      <c r="S954" s="23"/>
      <c r="T954" s="23"/>
      <c r="U954" s="23"/>
      <c r="V954" s="23"/>
      <c r="W954" s="23"/>
      <c r="X954" s="23"/>
      <c r="Y954" s="23"/>
      <c r="Z954" s="23"/>
      <c r="AA954" s="23"/>
      <c r="AB954" s="23"/>
      <c r="AC954" s="23"/>
      <c r="AD954" s="23"/>
      <c r="AE954" s="23"/>
      <c r="AF954" s="23"/>
      <c r="AG954" s="23"/>
      <c r="AH954" s="23"/>
      <c r="AI954" s="23"/>
      <c r="AJ954" s="23"/>
      <c r="AK954" s="23"/>
      <c r="AL954" s="23"/>
      <c r="AM954" s="23"/>
      <c r="AN954" s="23"/>
      <c r="AO954" s="23"/>
      <c r="AP954" s="23"/>
      <c r="AQ954" s="23"/>
      <c r="AR954" s="23"/>
      <c r="AS954" s="23">
        <f t="shared" si="16"/>
        <v>0</v>
      </c>
    </row>
    <row r="955" spans="1:45" s="27" customFormat="1" ht="42.75" hidden="1" x14ac:dyDescent="0.2">
      <c r="A955" s="28">
        <v>1436</v>
      </c>
      <c r="B955" s="9" t="s">
        <v>458</v>
      </c>
      <c r="C955" s="9" t="s">
        <v>190</v>
      </c>
      <c r="D955" s="9" t="s">
        <v>121</v>
      </c>
      <c r="E955" s="9" t="s">
        <v>186</v>
      </c>
      <c r="F955" s="9" t="s">
        <v>199</v>
      </c>
      <c r="G955" s="9" t="s">
        <v>405</v>
      </c>
      <c r="H955" s="9" t="s">
        <v>806</v>
      </c>
      <c r="I955" s="81"/>
      <c r="J955" s="10">
        <f>'Messages Dictionary'!J364</f>
        <v>0.1</v>
      </c>
      <c r="K955" s="81"/>
      <c r="L955" s="29"/>
      <c r="M955" s="29"/>
      <c r="N955" s="23"/>
      <c r="O955" s="23"/>
      <c r="P955" s="23"/>
      <c r="Q955" s="23"/>
      <c r="R955" s="23"/>
      <c r="S955" s="23"/>
      <c r="T955" s="23"/>
      <c r="U955" s="23"/>
      <c r="V955" s="23"/>
      <c r="W955" s="23"/>
      <c r="X955" s="23"/>
      <c r="Y955" s="23"/>
      <c r="Z955" s="23"/>
      <c r="AA955" s="23"/>
      <c r="AB955" s="23"/>
      <c r="AC955" s="23"/>
      <c r="AD955" s="23"/>
      <c r="AE955" s="23"/>
      <c r="AF955" s="23"/>
      <c r="AG955" s="23"/>
      <c r="AH955" s="23"/>
      <c r="AI955" s="23"/>
      <c r="AJ955" s="23"/>
      <c r="AK955" s="23"/>
      <c r="AL955" s="23"/>
      <c r="AM955" s="23"/>
      <c r="AN955" s="23"/>
      <c r="AO955" s="23"/>
      <c r="AP955" s="23"/>
      <c r="AQ955" s="23"/>
      <c r="AR955" s="23"/>
      <c r="AS955" s="23">
        <f t="shared" si="16"/>
        <v>0</v>
      </c>
    </row>
    <row r="956" spans="1:45" s="27" customFormat="1" ht="42.75" hidden="1" x14ac:dyDescent="0.2">
      <c r="A956" s="28">
        <v>1437</v>
      </c>
      <c r="B956" s="9" t="s">
        <v>459</v>
      </c>
      <c r="C956" s="9" t="s">
        <v>460</v>
      </c>
      <c r="D956" s="9" t="s">
        <v>121</v>
      </c>
      <c r="E956" s="9" t="s">
        <v>186</v>
      </c>
      <c r="F956" s="9" t="s">
        <v>199</v>
      </c>
      <c r="G956" s="9" t="s">
        <v>405</v>
      </c>
      <c r="H956" s="9" t="s">
        <v>806</v>
      </c>
      <c r="I956" s="81"/>
      <c r="J956" s="10">
        <f>'Messages Dictionary'!J365</f>
        <v>0.1</v>
      </c>
      <c r="K956" s="81"/>
      <c r="L956" s="29"/>
      <c r="M956" s="29"/>
      <c r="N956" s="23"/>
      <c r="O956" s="23"/>
      <c r="P956" s="23"/>
      <c r="Q956" s="23"/>
      <c r="R956" s="23"/>
      <c r="S956" s="23"/>
      <c r="T956" s="23"/>
      <c r="U956" s="23"/>
      <c r="V956" s="23"/>
      <c r="W956" s="23"/>
      <c r="X956" s="23"/>
      <c r="Y956" s="23"/>
      <c r="Z956" s="23"/>
      <c r="AA956" s="23"/>
      <c r="AB956" s="23"/>
      <c r="AC956" s="23"/>
      <c r="AD956" s="23"/>
      <c r="AE956" s="23"/>
      <c r="AF956" s="23"/>
      <c r="AG956" s="23"/>
      <c r="AH956" s="23"/>
      <c r="AI956" s="23"/>
      <c r="AJ956" s="23"/>
      <c r="AK956" s="23"/>
      <c r="AL956" s="23"/>
      <c r="AM956" s="23"/>
      <c r="AN956" s="23"/>
      <c r="AO956" s="23"/>
      <c r="AP956" s="23"/>
      <c r="AQ956" s="23"/>
      <c r="AR956" s="23"/>
      <c r="AS956" s="23">
        <f t="shared" si="16"/>
        <v>0</v>
      </c>
    </row>
    <row r="957" spans="1:45" s="27" customFormat="1" ht="57" hidden="1" x14ac:dyDescent="0.2">
      <c r="A957" s="28">
        <v>1438</v>
      </c>
      <c r="B957" s="9" t="s">
        <v>461</v>
      </c>
      <c r="C957" s="9" t="s">
        <v>462</v>
      </c>
      <c r="D957" s="9" t="s">
        <v>121</v>
      </c>
      <c r="E957" s="9" t="s">
        <v>186</v>
      </c>
      <c r="F957" s="9" t="s">
        <v>199</v>
      </c>
      <c r="G957" s="9" t="s">
        <v>405</v>
      </c>
      <c r="H957" s="9" t="s">
        <v>806</v>
      </c>
      <c r="I957" s="81"/>
      <c r="J957" s="10">
        <f>'Messages Dictionary'!J366</f>
        <v>0.1</v>
      </c>
      <c r="K957" s="81"/>
      <c r="L957" s="29"/>
      <c r="M957" s="29"/>
      <c r="N957" s="23"/>
      <c r="O957" s="23"/>
      <c r="P957" s="23"/>
      <c r="Q957" s="23"/>
      <c r="R957" s="23"/>
      <c r="S957" s="23"/>
      <c r="T957" s="23"/>
      <c r="U957" s="23"/>
      <c r="V957" s="23"/>
      <c r="W957" s="23"/>
      <c r="X957" s="23"/>
      <c r="Y957" s="23"/>
      <c r="Z957" s="23"/>
      <c r="AA957" s="23"/>
      <c r="AB957" s="23"/>
      <c r="AC957" s="23"/>
      <c r="AD957" s="23"/>
      <c r="AE957" s="23"/>
      <c r="AF957" s="23"/>
      <c r="AG957" s="23"/>
      <c r="AH957" s="23"/>
      <c r="AI957" s="23"/>
      <c r="AJ957" s="23"/>
      <c r="AK957" s="23"/>
      <c r="AL957" s="23"/>
      <c r="AM957" s="23"/>
      <c r="AN957" s="23"/>
      <c r="AO957" s="23"/>
      <c r="AP957" s="23"/>
      <c r="AQ957" s="23"/>
      <c r="AR957" s="23"/>
      <c r="AS957" s="23">
        <f t="shared" si="16"/>
        <v>0</v>
      </c>
    </row>
    <row r="958" spans="1:45" s="27" customFormat="1" hidden="1" x14ac:dyDescent="0.2">
      <c r="A958" s="28">
        <v>2000</v>
      </c>
      <c r="B958" s="9" t="s">
        <v>777</v>
      </c>
      <c r="C958" s="9" t="s">
        <v>778</v>
      </c>
      <c r="D958" s="9" t="s">
        <v>4</v>
      </c>
      <c r="E958" s="9" t="s">
        <v>14</v>
      </c>
      <c r="F958" s="9" t="s">
        <v>198</v>
      </c>
      <c r="G958" s="9" t="s">
        <v>809</v>
      </c>
      <c r="H958" s="9" t="s">
        <v>831</v>
      </c>
      <c r="I958" s="81"/>
      <c r="J958" s="10">
        <f>'Messages Dictionary'!J369</f>
        <v>0</v>
      </c>
      <c r="K958" s="81"/>
      <c r="L958" s="29"/>
      <c r="M958" s="29"/>
      <c r="N958" s="23"/>
      <c r="O958" s="23"/>
      <c r="P958" s="23"/>
      <c r="Q958" s="23"/>
      <c r="R958" s="23"/>
      <c r="S958" s="23"/>
      <c r="T958" s="23"/>
      <c r="U958" s="23"/>
      <c r="V958" s="23"/>
      <c r="W958" s="23"/>
      <c r="X958" s="23"/>
      <c r="Y958" s="23"/>
      <c r="Z958" s="23"/>
      <c r="AA958" s="23"/>
      <c r="AB958" s="23"/>
      <c r="AC958" s="23"/>
      <c r="AD958" s="23"/>
      <c r="AE958" s="23"/>
      <c r="AF958" s="23"/>
      <c r="AG958" s="23"/>
      <c r="AH958" s="23"/>
      <c r="AI958" s="23"/>
      <c r="AJ958" s="23"/>
      <c r="AK958" s="23"/>
      <c r="AL958" s="23"/>
      <c r="AM958" s="23"/>
      <c r="AN958" s="23"/>
      <c r="AO958" s="23"/>
      <c r="AP958" s="23"/>
      <c r="AQ958" s="23"/>
      <c r="AR958" s="23"/>
      <c r="AS958" s="23">
        <f t="shared" si="16"/>
        <v>0</v>
      </c>
    </row>
    <row r="959" spans="1:45" s="27" customFormat="1" ht="28.5" hidden="1" x14ac:dyDescent="0.2">
      <c r="A959" s="28">
        <v>2005</v>
      </c>
      <c r="B959" s="9" t="s">
        <v>779</v>
      </c>
      <c r="C959" s="9" t="s">
        <v>780</v>
      </c>
      <c r="D959" s="9" t="s">
        <v>4</v>
      </c>
      <c r="E959" s="9" t="s">
        <v>18</v>
      </c>
      <c r="F959" s="9" t="s">
        <v>198</v>
      </c>
      <c r="G959" s="9" t="s">
        <v>809</v>
      </c>
      <c r="H959" s="9" t="s">
        <v>831</v>
      </c>
      <c r="I959" s="81"/>
      <c r="J959" s="10">
        <f>'Messages Dictionary'!J370</f>
        <v>0</v>
      </c>
      <c r="K959" s="81"/>
      <c r="L959" s="29"/>
      <c r="M959" s="29"/>
      <c r="N959" s="23"/>
      <c r="O959" s="23"/>
      <c r="P959" s="23"/>
      <c r="Q959" s="23"/>
      <c r="R959" s="23"/>
      <c r="S959" s="23"/>
      <c r="T959" s="23"/>
      <c r="U959" s="23"/>
      <c r="V959" s="23"/>
      <c r="W959" s="23"/>
      <c r="X959" s="23"/>
      <c r="Y959" s="23"/>
      <c r="Z959" s="23"/>
      <c r="AA959" s="23"/>
      <c r="AB959" s="23"/>
      <c r="AC959" s="23"/>
      <c r="AD959" s="23"/>
      <c r="AE959" s="23"/>
      <c r="AF959" s="23"/>
      <c r="AG959" s="23"/>
      <c r="AH959" s="23"/>
      <c r="AI959" s="23"/>
      <c r="AJ959" s="23"/>
      <c r="AK959" s="23"/>
      <c r="AL959" s="23"/>
      <c r="AM959" s="23"/>
      <c r="AN959" s="23"/>
      <c r="AO959" s="23"/>
      <c r="AP959" s="23"/>
      <c r="AQ959" s="23"/>
      <c r="AR959" s="23"/>
      <c r="AS959" s="23">
        <f t="shared" si="16"/>
        <v>0</v>
      </c>
    </row>
    <row r="960" spans="1:45" s="27" customFormat="1" ht="57" hidden="1" x14ac:dyDescent="0.2">
      <c r="A960" s="28">
        <v>2006</v>
      </c>
      <c r="B960" s="9" t="s">
        <v>647</v>
      </c>
      <c r="C960" s="9" t="s">
        <v>647</v>
      </c>
      <c r="D960" s="9" t="s">
        <v>4</v>
      </c>
      <c r="E960" s="9" t="s">
        <v>18</v>
      </c>
      <c r="F960" s="9" t="s">
        <v>199</v>
      </c>
      <c r="G960" s="9" t="s">
        <v>405</v>
      </c>
      <c r="H960" s="9" t="s">
        <v>648</v>
      </c>
      <c r="I960" s="81"/>
      <c r="J960" s="10">
        <f>'Messages Dictionary'!J371</f>
        <v>1</v>
      </c>
      <c r="K960" s="81"/>
      <c r="L960" s="29"/>
      <c r="M960" s="29"/>
      <c r="N960" s="23"/>
      <c r="O960" s="23"/>
      <c r="P960" s="23"/>
      <c r="Q960" s="23"/>
      <c r="R960" s="23"/>
      <c r="S960" s="23"/>
      <c r="T960" s="23"/>
      <c r="U960" s="23"/>
      <c r="V960" s="23"/>
      <c r="W960" s="23"/>
      <c r="X960" s="23"/>
      <c r="Y960" s="23"/>
      <c r="Z960" s="23"/>
      <c r="AA960" s="23"/>
      <c r="AB960" s="23"/>
      <c r="AC960" s="23"/>
      <c r="AD960" s="23"/>
      <c r="AE960" s="23"/>
      <c r="AF960" s="23"/>
      <c r="AG960" s="23"/>
      <c r="AH960" s="23"/>
      <c r="AI960" s="23"/>
      <c r="AJ960" s="23"/>
      <c r="AK960" s="23"/>
      <c r="AL960" s="23"/>
      <c r="AM960" s="23"/>
      <c r="AN960" s="23"/>
      <c r="AO960" s="23"/>
      <c r="AP960" s="23"/>
      <c r="AQ960" s="23"/>
      <c r="AR960" s="23"/>
      <c r="AS960" s="23">
        <f t="shared" si="16"/>
        <v>0</v>
      </c>
    </row>
    <row r="961" spans="1:45" s="27" customFormat="1" ht="28.5" hidden="1" x14ac:dyDescent="0.2">
      <c r="A961" s="28">
        <v>2010</v>
      </c>
      <c r="B961" s="9" t="s">
        <v>781</v>
      </c>
      <c r="C961" s="9" t="s">
        <v>782</v>
      </c>
      <c r="D961" s="9" t="s">
        <v>863</v>
      </c>
      <c r="E961" s="9" t="s">
        <v>319</v>
      </c>
      <c r="F961" s="9" t="s">
        <v>198</v>
      </c>
      <c r="G961" s="9" t="s">
        <v>809</v>
      </c>
      <c r="H961" s="9" t="s">
        <v>831</v>
      </c>
      <c r="I961" s="81"/>
      <c r="J961" s="10">
        <f>'Messages Dictionary'!J372</f>
        <v>0</v>
      </c>
      <c r="K961" s="81"/>
      <c r="L961" s="29"/>
      <c r="M961" s="29"/>
      <c r="N961" s="23"/>
      <c r="O961" s="23"/>
      <c r="P961" s="23"/>
      <c r="Q961" s="23"/>
      <c r="R961" s="23"/>
      <c r="S961" s="23"/>
      <c r="T961" s="23"/>
      <c r="U961" s="23"/>
      <c r="V961" s="23"/>
      <c r="W961" s="23"/>
      <c r="X961" s="23"/>
      <c r="Y961" s="23"/>
      <c r="Z961" s="23"/>
      <c r="AA961" s="23"/>
      <c r="AB961" s="23"/>
      <c r="AC961" s="23"/>
      <c r="AD961" s="23"/>
      <c r="AE961" s="23"/>
      <c r="AF961" s="23"/>
      <c r="AG961" s="23"/>
      <c r="AH961" s="23"/>
      <c r="AI961" s="23"/>
      <c r="AJ961" s="23"/>
      <c r="AK961" s="23"/>
      <c r="AL961" s="23"/>
      <c r="AM961" s="23"/>
      <c r="AN961" s="23"/>
      <c r="AO961" s="23"/>
      <c r="AP961" s="23"/>
      <c r="AQ961" s="23"/>
      <c r="AR961" s="23"/>
      <c r="AS961" s="23">
        <f t="shared" si="16"/>
        <v>0</v>
      </c>
    </row>
    <row r="962" spans="1:45" s="27" customFormat="1" hidden="1" x14ac:dyDescent="0.2">
      <c r="A962" s="28">
        <v>2015</v>
      </c>
      <c r="B962" s="9" t="s">
        <v>783</v>
      </c>
      <c r="C962" s="9" t="s">
        <v>784</v>
      </c>
      <c r="D962" s="9" t="s">
        <v>4</v>
      </c>
      <c r="E962" s="9" t="s">
        <v>5</v>
      </c>
      <c r="F962" s="9" t="s">
        <v>198</v>
      </c>
      <c r="G962" s="9" t="s">
        <v>809</v>
      </c>
      <c r="H962" s="9" t="s">
        <v>831</v>
      </c>
      <c r="I962" s="81"/>
      <c r="J962" s="10">
        <f>'Messages Dictionary'!J373</f>
        <v>0</v>
      </c>
      <c r="K962" s="81"/>
      <c r="L962" s="29"/>
      <c r="M962" s="29"/>
      <c r="N962" s="23"/>
      <c r="O962" s="23"/>
      <c r="P962" s="23"/>
      <c r="Q962" s="23"/>
      <c r="R962" s="23"/>
      <c r="S962" s="23"/>
      <c r="T962" s="23"/>
      <c r="U962" s="23"/>
      <c r="V962" s="23"/>
      <c r="W962" s="23"/>
      <c r="X962" s="23"/>
      <c r="Y962" s="23"/>
      <c r="Z962" s="23"/>
      <c r="AA962" s="23"/>
      <c r="AB962" s="23"/>
      <c r="AC962" s="23"/>
      <c r="AD962" s="23"/>
      <c r="AE962" s="23"/>
      <c r="AF962" s="23"/>
      <c r="AG962" s="23"/>
      <c r="AH962" s="23"/>
      <c r="AI962" s="23"/>
      <c r="AJ962" s="23"/>
      <c r="AK962" s="23"/>
      <c r="AL962" s="23"/>
      <c r="AM962" s="23"/>
      <c r="AN962" s="23"/>
      <c r="AO962" s="23"/>
      <c r="AP962" s="23"/>
      <c r="AQ962" s="23"/>
      <c r="AR962" s="23"/>
      <c r="AS962" s="23">
        <f t="shared" si="16"/>
        <v>0</v>
      </c>
    </row>
    <row r="963" spans="1:45" s="27" customFormat="1" ht="28.5" hidden="1" x14ac:dyDescent="0.2">
      <c r="A963" s="28">
        <v>2020</v>
      </c>
      <c r="B963" s="9" t="s">
        <v>785</v>
      </c>
      <c r="C963" s="9" t="s">
        <v>786</v>
      </c>
      <c r="D963" s="9" t="s">
        <v>860</v>
      </c>
      <c r="E963" s="9" t="s">
        <v>40</v>
      </c>
      <c r="F963" s="9" t="s">
        <v>198</v>
      </c>
      <c r="G963" s="9" t="s">
        <v>809</v>
      </c>
      <c r="H963" s="9" t="s">
        <v>831</v>
      </c>
      <c r="I963" s="81"/>
      <c r="J963" s="10">
        <f>'Messages Dictionary'!J374</f>
        <v>0</v>
      </c>
      <c r="K963" s="81"/>
      <c r="L963" s="29"/>
      <c r="M963" s="29"/>
      <c r="N963" s="23"/>
      <c r="O963" s="23"/>
      <c r="P963" s="23"/>
      <c r="Q963" s="23"/>
      <c r="R963" s="23"/>
      <c r="S963" s="23"/>
      <c r="T963" s="23"/>
      <c r="U963" s="23"/>
      <c r="V963" s="23"/>
      <c r="W963" s="23"/>
      <c r="X963" s="23"/>
      <c r="Y963" s="23"/>
      <c r="Z963" s="23"/>
      <c r="AA963" s="23"/>
      <c r="AB963" s="23"/>
      <c r="AC963" s="23"/>
      <c r="AD963" s="23"/>
      <c r="AE963" s="23"/>
      <c r="AF963" s="23"/>
      <c r="AG963" s="23"/>
      <c r="AH963" s="23"/>
      <c r="AI963" s="23"/>
      <c r="AJ963" s="23"/>
      <c r="AK963" s="23"/>
      <c r="AL963" s="23"/>
      <c r="AM963" s="23"/>
      <c r="AN963" s="23"/>
      <c r="AO963" s="23"/>
      <c r="AP963" s="23"/>
      <c r="AQ963" s="23"/>
      <c r="AR963" s="23"/>
      <c r="AS963" s="23">
        <f t="shared" si="16"/>
        <v>0</v>
      </c>
    </row>
    <row r="964" spans="1:45" s="27" customFormat="1" ht="28.5" hidden="1" x14ac:dyDescent="0.2">
      <c r="A964" s="28">
        <v>2025</v>
      </c>
      <c r="B964" s="9" t="s">
        <v>787</v>
      </c>
      <c r="C964" s="9" t="s">
        <v>789</v>
      </c>
      <c r="D964" s="9" t="s">
        <v>860</v>
      </c>
      <c r="E964" s="9" t="s">
        <v>30</v>
      </c>
      <c r="F964" s="9" t="s">
        <v>199</v>
      </c>
      <c r="G964" s="9" t="s">
        <v>809</v>
      </c>
      <c r="H964" s="9" t="s">
        <v>831</v>
      </c>
      <c r="I964" s="81"/>
      <c r="J964" s="10">
        <f>'Messages Dictionary'!J375</f>
        <v>0</v>
      </c>
      <c r="K964" s="81"/>
      <c r="L964" s="29"/>
      <c r="M964" s="29"/>
      <c r="N964" s="23"/>
      <c r="O964" s="23"/>
      <c r="P964" s="23"/>
      <c r="Q964" s="23"/>
      <c r="R964" s="23"/>
      <c r="S964" s="23"/>
      <c r="T964" s="23"/>
      <c r="U964" s="23"/>
      <c r="V964" s="23"/>
      <c r="W964" s="23"/>
      <c r="X964" s="23"/>
      <c r="Y964" s="23"/>
      <c r="Z964" s="23"/>
      <c r="AA964" s="23"/>
      <c r="AB964" s="23"/>
      <c r="AC964" s="23"/>
      <c r="AD964" s="23"/>
      <c r="AE964" s="23"/>
      <c r="AF964" s="23"/>
      <c r="AG964" s="23"/>
      <c r="AH964" s="23"/>
      <c r="AI964" s="23"/>
      <c r="AJ964" s="23"/>
      <c r="AK964" s="23"/>
      <c r="AL964" s="23"/>
      <c r="AM964" s="23"/>
      <c r="AN964" s="23"/>
      <c r="AO964" s="23"/>
      <c r="AP964" s="23"/>
      <c r="AQ964" s="23"/>
      <c r="AR964" s="23"/>
      <c r="AS964" s="23">
        <f t="shared" si="16"/>
        <v>0</v>
      </c>
    </row>
    <row r="965" spans="1:45" s="27" customFormat="1" ht="28.5" hidden="1" x14ac:dyDescent="0.2">
      <c r="A965" s="28">
        <v>2030</v>
      </c>
      <c r="B965" s="9" t="s">
        <v>790</v>
      </c>
      <c r="C965" s="9" t="s">
        <v>791</v>
      </c>
      <c r="D965" s="9" t="s">
        <v>860</v>
      </c>
      <c r="E965" s="9" t="s">
        <v>30</v>
      </c>
      <c r="F965" s="9" t="s">
        <v>198</v>
      </c>
      <c r="G965" s="9" t="s">
        <v>809</v>
      </c>
      <c r="H965" s="9" t="s">
        <v>831</v>
      </c>
      <c r="I965" s="81"/>
      <c r="J965" s="10">
        <f>'Messages Dictionary'!J376</f>
        <v>0</v>
      </c>
      <c r="K965" s="81"/>
      <c r="L965" s="29"/>
      <c r="M965" s="29"/>
      <c r="N965" s="23"/>
      <c r="O965" s="23"/>
      <c r="P965" s="23"/>
      <c r="Q965" s="23"/>
      <c r="R965" s="23"/>
      <c r="S965" s="23"/>
      <c r="T965" s="23"/>
      <c r="U965" s="23"/>
      <c r="V965" s="23"/>
      <c r="W965" s="23"/>
      <c r="X965" s="23"/>
      <c r="Y965" s="23"/>
      <c r="Z965" s="23"/>
      <c r="AA965" s="23"/>
      <c r="AB965" s="23"/>
      <c r="AC965" s="23"/>
      <c r="AD965" s="23"/>
      <c r="AE965" s="23"/>
      <c r="AF965" s="23"/>
      <c r="AG965" s="23"/>
      <c r="AH965" s="23"/>
      <c r="AI965" s="23"/>
      <c r="AJ965" s="23"/>
      <c r="AK965" s="23"/>
      <c r="AL965" s="23"/>
      <c r="AM965" s="23"/>
      <c r="AN965" s="23"/>
      <c r="AO965" s="23"/>
      <c r="AP965" s="23"/>
      <c r="AQ965" s="23"/>
      <c r="AR965" s="23"/>
      <c r="AS965" s="23">
        <f t="shared" si="16"/>
        <v>0</v>
      </c>
    </row>
    <row r="966" spans="1:45" s="27" customFormat="1" ht="28.5" hidden="1" x14ac:dyDescent="0.2">
      <c r="A966" s="28">
        <v>2035</v>
      </c>
      <c r="B966" s="9" t="s">
        <v>792</v>
      </c>
      <c r="C966" s="9" t="s">
        <v>793</v>
      </c>
      <c r="D966" s="9" t="s">
        <v>860</v>
      </c>
      <c r="E966" s="9" t="s">
        <v>316</v>
      </c>
      <c r="F966" s="9" t="s">
        <v>199</v>
      </c>
      <c r="G966" s="9" t="s">
        <v>405</v>
      </c>
      <c r="H966" s="9" t="s">
        <v>536</v>
      </c>
      <c r="I966" s="81"/>
      <c r="J966" s="10">
        <f>'Messages Dictionary'!J377</f>
        <v>1</v>
      </c>
      <c r="K966" s="81"/>
      <c r="L966" s="29"/>
      <c r="M966" s="29"/>
      <c r="N966" s="23"/>
      <c r="O966" s="23"/>
      <c r="P966" s="23"/>
      <c r="Q966" s="23"/>
      <c r="R966" s="23"/>
      <c r="S966" s="23"/>
      <c r="T966" s="23"/>
      <c r="U966" s="23"/>
      <c r="V966" s="23"/>
      <c r="W966" s="23"/>
      <c r="X966" s="23"/>
      <c r="Y966" s="23"/>
      <c r="Z966" s="23"/>
      <c r="AA966" s="23"/>
      <c r="AB966" s="23"/>
      <c r="AC966" s="23"/>
      <c r="AD966" s="23"/>
      <c r="AE966" s="23"/>
      <c r="AF966" s="23"/>
      <c r="AG966" s="23"/>
      <c r="AH966" s="23"/>
      <c r="AI966" s="23"/>
      <c r="AJ966" s="23"/>
      <c r="AK966" s="23"/>
      <c r="AL966" s="23"/>
      <c r="AM966" s="23"/>
      <c r="AN966" s="23"/>
      <c r="AO966" s="23"/>
      <c r="AP966" s="23"/>
      <c r="AQ966" s="23"/>
      <c r="AR966" s="23"/>
      <c r="AS966" s="23">
        <f t="shared" si="16"/>
        <v>0</v>
      </c>
    </row>
    <row r="967" spans="1:45" s="27" customFormat="1" ht="28.5" hidden="1" x14ac:dyDescent="0.2">
      <c r="A967" s="28">
        <v>2040</v>
      </c>
      <c r="B967" s="9" t="s">
        <v>794</v>
      </c>
      <c r="C967" s="9" t="s">
        <v>795</v>
      </c>
      <c r="D967" s="9" t="s">
        <v>860</v>
      </c>
      <c r="E967" s="9" t="s">
        <v>316</v>
      </c>
      <c r="F967" s="9" t="s">
        <v>198</v>
      </c>
      <c r="G967" s="9" t="s">
        <v>405</v>
      </c>
      <c r="H967" s="9" t="s">
        <v>536</v>
      </c>
      <c r="I967" s="81"/>
      <c r="J967" s="10">
        <f>'Messages Dictionary'!J378</f>
        <v>1</v>
      </c>
      <c r="K967" s="81"/>
      <c r="L967" s="29"/>
      <c r="M967" s="29"/>
      <c r="N967" s="23"/>
      <c r="O967" s="23"/>
      <c r="P967" s="23"/>
      <c r="Q967" s="23"/>
      <c r="R967" s="23"/>
      <c r="S967" s="23"/>
      <c r="T967" s="23"/>
      <c r="U967" s="23"/>
      <c r="V967" s="23"/>
      <c r="W967" s="23"/>
      <c r="X967" s="23"/>
      <c r="Y967" s="23"/>
      <c r="Z967" s="23"/>
      <c r="AA967" s="23"/>
      <c r="AB967" s="23"/>
      <c r="AC967" s="23"/>
      <c r="AD967" s="23"/>
      <c r="AE967" s="23"/>
      <c r="AF967" s="23"/>
      <c r="AG967" s="23"/>
      <c r="AH967" s="23"/>
      <c r="AI967" s="23"/>
      <c r="AJ967" s="23"/>
      <c r="AK967" s="23"/>
      <c r="AL967" s="23"/>
      <c r="AM967" s="23"/>
      <c r="AN967" s="23"/>
      <c r="AO967" s="23"/>
      <c r="AP967" s="23"/>
      <c r="AQ967" s="23"/>
      <c r="AR967" s="23"/>
      <c r="AS967" s="23">
        <f t="shared" si="16"/>
        <v>0</v>
      </c>
    </row>
    <row r="968" spans="1:45" s="27" customFormat="1" ht="28.5" hidden="1" x14ac:dyDescent="0.2">
      <c r="A968" s="28">
        <v>2045</v>
      </c>
      <c r="B968" s="9" t="s">
        <v>796</v>
      </c>
      <c r="C968" s="9" t="s">
        <v>797</v>
      </c>
      <c r="D968" s="9" t="s">
        <v>860</v>
      </c>
      <c r="E968" s="9" t="s">
        <v>316</v>
      </c>
      <c r="F968" s="9" t="s">
        <v>199</v>
      </c>
      <c r="G968" s="9" t="s">
        <v>405</v>
      </c>
      <c r="H968" s="9" t="s">
        <v>536</v>
      </c>
      <c r="I968" s="81"/>
      <c r="J968" s="10">
        <f>'Messages Dictionary'!J379</f>
        <v>1</v>
      </c>
      <c r="K968" s="81"/>
      <c r="L968" s="29"/>
      <c r="M968" s="29"/>
      <c r="N968" s="23"/>
      <c r="O968" s="23"/>
      <c r="P968" s="23"/>
      <c r="Q968" s="23"/>
      <c r="R968" s="23"/>
      <c r="S968" s="23"/>
      <c r="T968" s="23"/>
      <c r="U968" s="23"/>
      <c r="V968" s="23"/>
      <c r="W968" s="23"/>
      <c r="X968" s="23"/>
      <c r="Y968" s="23"/>
      <c r="Z968" s="23"/>
      <c r="AA968" s="23"/>
      <c r="AB968" s="23"/>
      <c r="AC968" s="23"/>
      <c r="AD968" s="23"/>
      <c r="AE968" s="23"/>
      <c r="AF968" s="23"/>
      <c r="AG968" s="23"/>
      <c r="AH968" s="23"/>
      <c r="AI968" s="23"/>
      <c r="AJ968" s="23"/>
      <c r="AK968" s="23"/>
      <c r="AL968" s="23"/>
      <c r="AM968" s="23"/>
      <c r="AN968" s="23"/>
      <c r="AO968" s="23"/>
      <c r="AP968" s="23"/>
      <c r="AQ968" s="23"/>
      <c r="AR968" s="23"/>
      <c r="AS968" s="23">
        <f t="shared" si="16"/>
        <v>0</v>
      </c>
    </row>
    <row r="969" spans="1:45" s="27" customFormat="1" ht="71.25" hidden="1" x14ac:dyDescent="0.2">
      <c r="A969" s="28">
        <v>2046</v>
      </c>
      <c r="B969" s="9" t="s">
        <v>649</v>
      </c>
      <c r="C969" s="9" t="s">
        <v>650</v>
      </c>
      <c r="D969" s="9" t="s">
        <v>4</v>
      </c>
      <c r="E969" s="9" t="s">
        <v>5</v>
      </c>
      <c r="F969" s="9" t="s">
        <v>199</v>
      </c>
      <c r="G969" s="9" t="s">
        <v>405</v>
      </c>
      <c r="H969" s="9" t="s">
        <v>651</v>
      </c>
      <c r="I969" s="81"/>
      <c r="J969" s="10">
        <f>'Messages Dictionary'!J380</f>
        <v>0.5</v>
      </c>
      <c r="K969" s="81"/>
      <c r="L969" s="29"/>
      <c r="M969" s="29"/>
      <c r="N969" s="23"/>
      <c r="O969" s="23"/>
      <c r="P969" s="23"/>
      <c r="Q969" s="23"/>
      <c r="R969" s="23"/>
      <c r="S969" s="23"/>
      <c r="T969" s="23"/>
      <c r="U969" s="23"/>
      <c r="V969" s="23"/>
      <c r="W969" s="23"/>
      <c r="X969" s="23"/>
      <c r="Y969" s="23"/>
      <c r="Z969" s="23"/>
      <c r="AA969" s="23"/>
      <c r="AB969" s="23"/>
      <c r="AC969" s="23"/>
      <c r="AD969" s="23"/>
      <c r="AE969" s="23"/>
      <c r="AF969" s="23"/>
      <c r="AG969" s="23"/>
      <c r="AH969" s="23"/>
      <c r="AI969" s="23"/>
      <c r="AJ969" s="23"/>
      <c r="AK969" s="23"/>
      <c r="AL969" s="23"/>
      <c r="AM969" s="23"/>
      <c r="AN969" s="23"/>
      <c r="AO969" s="23"/>
      <c r="AP969" s="23"/>
      <c r="AQ969" s="23"/>
      <c r="AR969" s="23"/>
      <c r="AS969" s="23">
        <f t="shared" si="16"/>
        <v>0</v>
      </c>
    </row>
    <row r="970" spans="1:45" s="27" customFormat="1" ht="42.75" hidden="1" x14ac:dyDescent="0.2">
      <c r="A970" s="28">
        <v>2055</v>
      </c>
      <c r="B970" s="9" t="s">
        <v>798</v>
      </c>
      <c r="C970" s="9" t="s">
        <v>800</v>
      </c>
      <c r="D970" s="9" t="s">
        <v>121</v>
      </c>
      <c r="E970" s="9" t="s">
        <v>122</v>
      </c>
      <c r="F970" s="9" t="s">
        <v>198</v>
      </c>
      <c r="G970" s="9" t="s">
        <v>809</v>
      </c>
      <c r="H970" s="9" t="s">
        <v>831</v>
      </c>
      <c r="I970" s="81"/>
      <c r="J970" s="10">
        <f>'Messages Dictionary'!J381</f>
        <v>0</v>
      </c>
      <c r="K970" s="81"/>
      <c r="L970" s="29"/>
      <c r="M970" s="29"/>
      <c r="N970" s="23"/>
      <c r="O970" s="23"/>
      <c r="P970" s="23"/>
      <c r="Q970" s="23"/>
      <c r="R970" s="23"/>
      <c r="S970" s="23"/>
      <c r="T970" s="23"/>
      <c r="U970" s="23"/>
      <c r="V970" s="23"/>
      <c r="W970" s="23"/>
      <c r="X970" s="23"/>
      <c r="Y970" s="23"/>
      <c r="Z970" s="23"/>
      <c r="AA970" s="23"/>
      <c r="AB970" s="23"/>
      <c r="AC970" s="23"/>
      <c r="AD970" s="23"/>
      <c r="AE970" s="23"/>
      <c r="AF970" s="23"/>
      <c r="AG970" s="23"/>
      <c r="AH970" s="23"/>
      <c r="AI970" s="23"/>
      <c r="AJ970" s="23"/>
      <c r="AK970" s="23"/>
      <c r="AL970" s="23"/>
      <c r="AM970" s="23"/>
      <c r="AN970" s="23"/>
      <c r="AO970" s="23"/>
      <c r="AP970" s="23"/>
      <c r="AQ970" s="23"/>
      <c r="AR970" s="23"/>
      <c r="AS970" s="23">
        <f t="shared" si="16"/>
        <v>0</v>
      </c>
    </row>
    <row r="971" spans="1:45" s="27" customFormat="1" ht="28.5" hidden="1" x14ac:dyDescent="0.2">
      <c r="A971" s="28">
        <v>2074</v>
      </c>
      <c r="B971" s="9" t="s">
        <v>463</v>
      </c>
      <c r="C971" s="9" t="s">
        <v>464</v>
      </c>
      <c r="D971" s="9" t="s">
        <v>121</v>
      </c>
      <c r="E971" s="9" t="s">
        <v>122</v>
      </c>
      <c r="F971" s="9" t="s">
        <v>199</v>
      </c>
      <c r="G971" s="9" t="s">
        <v>809</v>
      </c>
      <c r="H971" s="9" t="s">
        <v>831</v>
      </c>
      <c r="I971" s="81"/>
      <c r="J971" s="10">
        <f>'Messages Dictionary'!J382</f>
        <v>0</v>
      </c>
      <c r="K971" s="81"/>
      <c r="L971" s="29"/>
      <c r="M971" s="29"/>
      <c r="N971" s="23"/>
      <c r="O971" s="23"/>
      <c r="P971" s="23"/>
      <c r="Q971" s="23"/>
      <c r="R971" s="23"/>
      <c r="S971" s="23"/>
      <c r="T971" s="23"/>
      <c r="U971" s="23"/>
      <c r="V971" s="23"/>
      <c r="W971" s="23"/>
      <c r="X971" s="23"/>
      <c r="Y971" s="23"/>
      <c r="Z971" s="23"/>
      <c r="AA971" s="23"/>
      <c r="AB971" s="23"/>
      <c r="AC971" s="23"/>
      <c r="AD971" s="23"/>
      <c r="AE971" s="23"/>
      <c r="AF971" s="23"/>
      <c r="AG971" s="23"/>
      <c r="AH971" s="23"/>
      <c r="AI971" s="23"/>
      <c r="AJ971" s="23"/>
      <c r="AK971" s="23"/>
      <c r="AL971" s="23"/>
      <c r="AM971" s="23"/>
      <c r="AN971" s="23"/>
      <c r="AO971" s="23"/>
      <c r="AP971" s="23"/>
      <c r="AQ971" s="23"/>
      <c r="AR971" s="23"/>
      <c r="AS971" s="23">
        <f t="shared" si="16"/>
        <v>0</v>
      </c>
    </row>
    <row r="972" spans="1:45" s="27" customFormat="1" ht="42.75" hidden="1" x14ac:dyDescent="0.2">
      <c r="A972" s="28">
        <v>2075</v>
      </c>
      <c r="B972" s="9" t="s">
        <v>801</v>
      </c>
      <c r="C972" s="9" t="s">
        <v>802</v>
      </c>
      <c r="D972" s="9" t="s">
        <v>121</v>
      </c>
      <c r="E972" s="9" t="s">
        <v>122</v>
      </c>
      <c r="F972" s="9" t="s">
        <v>198</v>
      </c>
      <c r="G972" s="9" t="s">
        <v>809</v>
      </c>
      <c r="H972" s="9" t="s">
        <v>831</v>
      </c>
      <c r="I972" s="81"/>
      <c r="J972" s="10">
        <f>'Messages Dictionary'!J383</f>
        <v>0.1</v>
      </c>
      <c r="K972" s="81"/>
      <c r="L972" s="29"/>
      <c r="M972" s="29"/>
      <c r="N972" s="23"/>
      <c r="O972" s="23"/>
      <c r="P972" s="23"/>
      <c r="Q972" s="23"/>
      <c r="R972" s="23"/>
      <c r="S972" s="23"/>
      <c r="T972" s="23"/>
      <c r="U972" s="23"/>
      <c r="V972" s="23"/>
      <c r="W972" s="23"/>
      <c r="X972" s="23"/>
      <c r="Y972" s="23"/>
      <c r="Z972" s="23"/>
      <c r="AA972" s="23"/>
      <c r="AB972" s="23"/>
      <c r="AC972" s="23"/>
      <c r="AD972" s="23"/>
      <c r="AE972" s="23"/>
      <c r="AF972" s="23"/>
      <c r="AG972" s="23"/>
      <c r="AH972" s="23"/>
      <c r="AI972" s="23"/>
      <c r="AJ972" s="23"/>
      <c r="AK972" s="23"/>
      <c r="AL972" s="23"/>
      <c r="AM972" s="23"/>
      <c r="AN972" s="23"/>
      <c r="AO972" s="23"/>
      <c r="AP972" s="23"/>
      <c r="AQ972" s="23"/>
      <c r="AR972" s="23"/>
      <c r="AS972" s="23">
        <f t="shared" si="16"/>
        <v>0</v>
      </c>
    </row>
    <row r="973" spans="1:45" s="27" customFormat="1" ht="71.25" hidden="1" x14ac:dyDescent="0.2">
      <c r="A973" s="28">
        <v>2076</v>
      </c>
      <c r="B973" s="9" t="s">
        <v>652</v>
      </c>
      <c r="C973" s="9" t="s">
        <v>653</v>
      </c>
      <c r="D973" s="9" t="s">
        <v>4</v>
      </c>
      <c r="E973" s="9" t="s">
        <v>5</v>
      </c>
      <c r="F973" s="9" t="s">
        <v>199</v>
      </c>
      <c r="G973" s="9" t="s">
        <v>405</v>
      </c>
      <c r="H973" s="9" t="s">
        <v>651</v>
      </c>
      <c r="I973" s="81"/>
      <c r="J973" s="10">
        <f>'Messages Dictionary'!J384</f>
        <v>0.5</v>
      </c>
      <c r="K973" s="81"/>
      <c r="L973" s="29"/>
      <c r="M973" s="29"/>
      <c r="N973" s="23"/>
      <c r="O973" s="23"/>
      <c r="P973" s="23"/>
      <c r="Q973" s="23"/>
      <c r="R973" s="23"/>
      <c r="S973" s="23"/>
      <c r="T973" s="23"/>
      <c r="U973" s="23"/>
      <c r="V973" s="23"/>
      <c r="W973" s="23"/>
      <c r="X973" s="23"/>
      <c r="Y973" s="23"/>
      <c r="Z973" s="23"/>
      <c r="AA973" s="23"/>
      <c r="AB973" s="23"/>
      <c r="AC973" s="23"/>
      <c r="AD973" s="23"/>
      <c r="AE973" s="23"/>
      <c r="AF973" s="23"/>
      <c r="AG973" s="23"/>
      <c r="AH973" s="23"/>
      <c r="AI973" s="23"/>
      <c r="AJ973" s="23"/>
      <c r="AK973" s="23"/>
      <c r="AL973" s="23"/>
      <c r="AM973" s="23"/>
      <c r="AN973" s="23"/>
      <c r="AO973" s="23"/>
      <c r="AP973" s="23"/>
      <c r="AQ973" s="23"/>
      <c r="AR973" s="23"/>
      <c r="AS973" s="23">
        <f t="shared" si="16"/>
        <v>3</v>
      </c>
    </row>
    <row r="974" spans="1:45" s="27" customFormat="1" ht="28.5" hidden="1" x14ac:dyDescent="0.2">
      <c r="A974" s="28">
        <v>2077</v>
      </c>
      <c r="B974" s="9" t="s">
        <v>465</v>
      </c>
      <c r="C974" s="9" t="s">
        <v>466</v>
      </c>
      <c r="D974" s="9" t="s">
        <v>121</v>
      </c>
      <c r="E974" s="9" t="s">
        <v>122</v>
      </c>
      <c r="F974" s="9" t="s">
        <v>199</v>
      </c>
      <c r="G974" s="9" t="s">
        <v>809</v>
      </c>
      <c r="H974" s="9" t="s">
        <v>831</v>
      </c>
      <c r="I974" s="81"/>
      <c r="J974" s="10">
        <f>'Messages Dictionary'!J385</f>
        <v>0</v>
      </c>
      <c r="K974" s="81"/>
      <c r="L974" s="29"/>
      <c r="M974" s="29"/>
      <c r="N974" s="23"/>
      <c r="O974" s="23"/>
      <c r="P974" s="23"/>
      <c r="Q974" s="23"/>
      <c r="R974" s="23"/>
      <c r="S974" s="23"/>
      <c r="T974" s="23"/>
      <c r="U974" s="23"/>
      <c r="V974" s="23"/>
      <c r="W974" s="23"/>
      <c r="X974" s="23"/>
      <c r="Y974" s="23"/>
      <c r="Z974" s="23"/>
      <c r="AA974" s="23"/>
      <c r="AB974" s="23"/>
      <c r="AC974" s="23"/>
      <c r="AD974" s="23"/>
      <c r="AE974" s="23"/>
      <c r="AF974" s="23"/>
      <c r="AG974" s="23"/>
      <c r="AH974" s="23"/>
      <c r="AI974" s="23"/>
      <c r="AJ974" s="23"/>
      <c r="AK974" s="23"/>
      <c r="AL974" s="23"/>
      <c r="AM974" s="23"/>
      <c r="AN974" s="23"/>
      <c r="AO974" s="23"/>
      <c r="AP974" s="23"/>
      <c r="AQ974" s="23"/>
      <c r="AR974" s="23"/>
      <c r="AS974" s="23">
        <f t="shared" si="16"/>
        <v>0</v>
      </c>
    </row>
    <row r="975" spans="1:45" s="27" customFormat="1" ht="42.75" hidden="1" x14ac:dyDescent="0.2">
      <c r="A975" s="28">
        <v>2080</v>
      </c>
      <c r="B975" s="9" t="s">
        <v>803</v>
      </c>
      <c r="C975" s="9" t="s">
        <v>218</v>
      </c>
      <c r="D975" s="9" t="s">
        <v>404</v>
      </c>
      <c r="E975" s="9" t="s">
        <v>404</v>
      </c>
      <c r="F975" s="9" t="s">
        <v>199</v>
      </c>
      <c r="G975" s="9" t="s">
        <v>405</v>
      </c>
      <c r="H975" s="9" t="s">
        <v>406</v>
      </c>
      <c r="I975" s="81"/>
      <c r="J975" s="10">
        <f>'Messages Dictionary'!J386</f>
        <v>1</v>
      </c>
      <c r="K975" s="81"/>
      <c r="L975" s="29"/>
      <c r="M975" s="29"/>
      <c r="N975" s="23"/>
      <c r="O975" s="23"/>
      <c r="P975" s="23"/>
      <c r="Q975" s="23"/>
      <c r="R975" s="23"/>
      <c r="S975" s="23"/>
      <c r="T975" s="23"/>
      <c r="U975" s="23"/>
      <c r="V975" s="23"/>
      <c r="W975" s="23"/>
      <c r="X975" s="23"/>
      <c r="Y975" s="23"/>
      <c r="Z975" s="23"/>
      <c r="AA975" s="23"/>
      <c r="AB975" s="23"/>
      <c r="AC975" s="23"/>
      <c r="AD975" s="23"/>
      <c r="AE975" s="23"/>
      <c r="AF975" s="23"/>
      <c r="AG975" s="23"/>
      <c r="AH975" s="23"/>
      <c r="AI975" s="23"/>
      <c r="AJ975" s="23"/>
      <c r="AK975" s="23"/>
      <c r="AL975" s="23"/>
      <c r="AM975" s="23"/>
      <c r="AN975" s="23"/>
      <c r="AO975" s="23"/>
      <c r="AP975" s="23"/>
      <c r="AQ975" s="23"/>
      <c r="AR975" s="23"/>
      <c r="AS975" s="23">
        <f t="shared" si="16"/>
        <v>0</v>
      </c>
    </row>
    <row r="976" spans="1:45" s="27" customFormat="1" ht="42.75" hidden="1" x14ac:dyDescent="0.2">
      <c r="A976" s="28">
        <v>2081</v>
      </c>
      <c r="B976" s="9" t="s">
        <v>219</v>
      </c>
      <c r="C976" s="9" t="s">
        <v>220</v>
      </c>
      <c r="D976" s="9" t="s">
        <v>863</v>
      </c>
      <c r="E976" s="9" t="s">
        <v>319</v>
      </c>
      <c r="F976" s="9" t="s">
        <v>198</v>
      </c>
      <c r="G976" s="9" t="s">
        <v>809</v>
      </c>
      <c r="H976" s="9" t="s">
        <v>831</v>
      </c>
      <c r="I976" s="81"/>
      <c r="J976" s="10">
        <f>'Messages Dictionary'!J387</f>
        <v>0</v>
      </c>
      <c r="K976" s="81"/>
      <c r="L976" s="29"/>
      <c r="M976" s="29"/>
      <c r="N976" s="23"/>
      <c r="O976" s="23"/>
      <c r="P976" s="23"/>
      <c r="Q976" s="23"/>
      <c r="R976" s="23"/>
      <c r="S976" s="23"/>
      <c r="T976" s="23"/>
      <c r="U976" s="23"/>
      <c r="V976" s="23"/>
      <c r="W976" s="23"/>
      <c r="X976" s="23"/>
      <c r="Y976" s="23"/>
      <c r="Z976" s="23"/>
      <c r="AA976" s="23"/>
      <c r="AB976" s="23"/>
      <c r="AC976" s="23"/>
      <c r="AD976" s="23"/>
      <c r="AE976" s="23"/>
      <c r="AF976" s="23"/>
      <c r="AG976" s="23"/>
      <c r="AH976" s="23"/>
      <c r="AI976" s="23"/>
      <c r="AJ976" s="23"/>
      <c r="AK976" s="23"/>
      <c r="AL976" s="23"/>
      <c r="AM976" s="23"/>
      <c r="AN976" s="23"/>
      <c r="AO976" s="23"/>
      <c r="AP976" s="23"/>
      <c r="AQ976" s="23"/>
      <c r="AR976" s="23"/>
      <c r="AS976" s="23">
        <f t="shared" si="16"/>
        <v>0</v>
      </c>
    </row>
    <row r="977" spans="1:45" s="27" customFormat="1" ht="42.75" hidden="1" x14ac:dyDescent="0.2">
      <c r="A977" s="28">
        <v>2082</v>
      </c>
      <c r="B977" s="9" t="s">
        <v>221</v>
      </c>
      <c r="C977" s="9" t="s">
        <v>678</v>
      </c>
      <c r="D977" s="9" t="s">
        <v>828</v>
      </c>
      <c r="E977" s="9" t="s">
        <v>829</v>
      </c>
      <c r="F977" s="9" t="s">
        <v>199</v>
      </c>
      <c r="G977" s="9" t="s">
        <v>405</v>
      </c>
      <c r="H977" s="9" t="s">
        <v>428</v>
      </c>
      <c r="I977" s="81"/>
      <c r="J977" s="10">
        <f>'Messages Dictionary'!J388</f>
        <v>1</v>
      </c>
      <c r="K977" s="81"/>
      <c r="L977" s="29"/>
      <c r="M977" s="29"/>
      <c r="N977" s="23"/>
      <c r="O977" s="23"/>
      <c r="P977" s="23"/>
      <c r="Q977" s="23"/>
      <c r="R977" s="23"/>
      <c r="S977" s="23"/>
      <c r="T977" s="23"/>
      <c r="U977" s="23"/>
      <c r="V977" s="23"/>
      <c r="W977" s="23"/>
      <c r="X977" s="23"/>
      <c r="Y977" s="23"/>
      <c r="Z977" s="23"/>
      <c r="AA977" s="23"/>
      <c r="AB977" s="23"/>
      <c r="AC977" s="23"/>
      <c r="AD977" s="23"/>
      <c r="AE977" s="23"/>
      <c r="AF977" s="23"/>
      <c r="AG977" s="23"/>
      <c r="AH977" s="23"/>
      <c r="AI977" s="23"/>
      <c r="AJ977" s="23"/>
      <c r="AK977" s="23"/>
      <c r="AL977" s="23"/>
      <c r="AM977" s="23"/>
      <c r="AN977" s="23"/>
      <c r="AO977" s="23"/>
      <c r="AP977" s="23"/>
      <c r="AQ977" s="23"/>
      <c r="AR977" s="23"/>
      <c r="AS977" s="23">
        <f t="shared" si="16"/>
        <v>0</v>
      </c>
    </row>
    <row r="978" spans="1:45" s="27" customFormat="1" ht="28.5" hidden="1" x14ac:dyDescent="0.2">
      <c r="A978" s="28">
        <v>2083</v>
      </c>
      <c r="B978" s="9" t="s">
        <v>679</v>
      </c>
      <c r="C978" s="9" t="s">
        <v>680</v>
      </c>
      <c r="D978" s="9" t="s">
        <v>121</v>
      </c>
      <c r="E978" s="9" t="s">
        <v>122</v>
      </c>
      <c r="F978" s="9" t="s">
        <v>198</v>
      </c>
      <c r="G978" s="9" t="s">
        <v>809</v>
      </c>
      <c r="H978" s="9" t="s">
        <v>831</v>
      </c>
      <c r="I978" s="81"/>
      <c r="J978" s="10">
        <f>'Messages Dictionary'!J389</f>
        <v>0</v>
      </c>
      <c r="K978" s="81"/>
      <c r="L978" s="29"/>
      <c r="M978" s="29"/>
      <c r="N978" s="23"/>
      <c r="O978" s="23"/>
      <c r="P978" s="23"/>
      <c r="Q978" s="23"/>
      <c r="R978" s="23"/>
      <c r="S978" s="23"/>
      <c r="T978" s="23"/>
      <c r="U978" s="23"/>
      <c r="V978" s="23"/>
      <c r="W978" s="23"/>
      <c r="X978" s="23"/>
      <c r="Y978" s="23"/>
      <c r="Z978" s="23"/>
      <c r="AA978" s="23"/>
      <c r="AB978" s="23"/>
      <c r="AC978" s="23"/>
      <c r="AD978" s="23"/>
      <c r="AE978" s="23"/>
      <c r="AF978" s="23"/>
      <c r="AG978" s="23"/>
      <c r="AH978" s="23"/>
      <c r="AI978" s="23"/>
      <c r="AJ978" s="23"/>
      <c r="AK978" s="23"/>
      <c r="AL978" s="23"/>
      <c r="AM978" s="23"/>
      <c r="AN978" s="23"/>
      <c r="AO978" s="23"/>
      <c r="AP978" s="23"/>
      <c r="AQ978" s="23"/>
      <c r="AR978" s="23"/>
      <c r="AS978" s="23">
        <f t="shared" si="16"/>
        <v>0</v>
      </c>
    </row>
    <row r="979" spans="1:45" s="27" customFormat="1" ht="71.25" hidden="1" x14ac:dyDescent="0.2">
      <c r="A979" s="28">
        <v>2084</v>
      </c>
      <c r="B979" s="9" t="s">
        <v>681</v>
      </c>
      <c r="C979" s="9" t="s">
        <v>682</v>
      </c>
      <c r="D979" s="9" t="s">
        <v>828</v>
      </c>
      <c r="E979" s="9" t="s">
        <v>829</v>
      </c>
      <c r="F979" s="9" t="s">
        <v>199</v>
      </c>
      <c r="G979" s="9" t="s">
        <v>412</v>
      </c>
      <c r="H979" s="9" t="s">
        <v>831</v>
      </c>
      <c r="I979" s="81"/>
      <c r="J979" s="10">
        <f>'Messages Dictionary'!J390</f>
        <v>0.5</v>
      </c>
      <c r="K979" s="81"/>
      <c r="L979" s="29"/>
      <c r="M979" s="29"/>
      <c r="N979" s="23"/>
      <c r="O979" s="23"/>
      <c r="P979" s="23"/>
      <c r="Q979" s="23"/>
      <c r="R979" s="23"/>
      <c r="S979" s="23"/>
      <c r="T979" s="23"/>
      <c r="U979" s="23"/>
      <c r="V979" s="23"/>
      <c r="W979" s="23"/>
      <c r="X979" s="23"/>
      <c r="Y979" s="23"/>
      <c r="Z979" s="23"/>
      <c r="AA979" s="23"/>
      <c r="AB979" s="23"/>
      <c r="AC979" s="23"/>
      <c r="AD979" s="23"/>
      <c r="AE979" s="23"/>
      <c r="AF979" s="23"/>
      <c r="AG979" s="23"/>
      <c r="AH979" s="23"/>
      <c r="AI979" s="23"/>
      <c r="AJ979" s="23"/>
      <c r="AK979" s="23"/>
      <c r="AL979" s="23"/>
      <c r="AM979" s="23"/>
      <c r="AN979" s="23"/>
      <c r="AO979" s="23"/>
      <c r="AP979" s="23"/>
      <c r="AQ979" s="23"/>
      <c r="AR979" s="23"/>
      <c r="AS979" s="23">
        <f t="shared" si="16"/>
        <v>0</v>
      </c>
    </row>
    <row r="980" spans="1:45" s="27" customFormat="1" ht="57" hidden="1" x14ac:dyDescent="0.2">
      <c r="A980" s="28">
        <v>2085</v>
      </c>
      <c r="B980" s="9" t="s">
        <v>683</v>
      </c>
      <c r="C980" s="9" t="s">
        <v>229</v>
      </c>
      <c r="D980" s="9" t="s">
        <v>828</v>
      </c>
      <c r="E980" s="9" t="s">
        <v>829</v>
      </c>
      <c r="F980" s="9" t="s">
        <v>199</v>
      </c>
      <c r="G980" s="9" t="s">
        <v>405</v>
      </c>
      <c r="H980" s="9" t="s">
        <v>428</v>
      </c>
      <c r="I980" s="81"/>
      <c r="J980" s="10">
        <f>'Messages Dictionary'!J391</f>
        <v>1</v>
      </c>
      <c r="K980" s="81"/>
      <c r="L980" s="29"/>
      <c r="M980" s="29"/>
      <c r="N980" s="23"/>
      <c r="O980" s="23"/>
      <c r="P980" s="23"/>
      <c r="Q980" s="23"/>
      <c r="R980" s="23"/>
      <c r="S980" s="23"/>
      <c r="T980" s="23"/>
      <c r="U980" s="23"/>
      <c r="V980" s="23"/>
      <c r="W980" s="23"/>
      <c r="X980" s="23"/>
      <c r="Y980" s="23"/>
      <c r="Z980" s="23"/>
      <c r="AA980" s="23"/>
      <c r="AB980" s="23"/>
      <c r="AC980" s="23"/>
      <c r="AD980" s="23"/>
      <c r="AE980" s="23"/>
      <c r="AF980" s="23"/>
      <c r="AG980" s="23"/>
      <c r="AH980" s="23"/>
      <c r="AI980" s="23"/>
      <c r="AJ980" s="23"/>
      <c r="AK980" s="23"/>
      <c r="AL980" s="23"/>
      <c r="AM980" s="23"/>
      <c r="AN980" s="23"/>
      <c r="AO980" s="23"/>
      <c r="AP980" s="23"/>
      <c r="AQ980" s="23"/>
      <c r="AR980" s="23"/>
      <c r="AS980" s="23">
        <f t="shared" si="16"/>
        <v>0</v>
      </c>
    </row>
    <row r="981" spans="1:45" s="27" customFormat="1" ht="42.75" hidden="1" x14ac:dyDescent="0.2">
      <c r="A981" s="28">
        <v>2086</v>
      </c>
      <c r="B981" s="9" t="s">
        <v>230</v>
      </c>
      <c r="C981" s="9" t="s">
        <v>231</v>
      </c>
      <c r="D981" s="9" t="s">
        <v>234</v>
      </c>
      <c r="E981" s="9" t="s">
        <v>235</v>
      </c>
      <c r="F981" s="9" t="s">
        <v>198</v>
      </c>
      <c r="G981" s="9" t="s">
        <v>809</v>
      </c>
      <c r="H981" s="9" t="s">
        <v>831</v>
      </c>
      <c r="I981" s="81"/>
      <c r="J981" s="10">
        <f>'Messages Dictionary'!J392</f>
        <v>0</v>
      </c>
      <c r="K981" s="81"/>
      <c r="L981" s="29"/>
      <c r="M981" s="29"/>
      <c r="N981" s="23"/>
      <c r="O981" s="23"/>
      <c r="P981" s="23"/>
      <c r="Q981" s="23"/>
      <c r="R981" s="23"/>
      <c r="S981" s="23"/>
      <c r="T981" s="23"/>
      <c r="U981" s="23"/>
      <c r="V981" s="23"/>
      <c r="W981" s="23"/>
      <c r="X981" s="23"/>
      <c r="Y981" s="23"/>
      <c r="Z981" s="23"/>
      <c r="AA981" s="23"/>
      <c r="AB981" s="23"/>
      <c r="AC981" s="23"/>
      <c r="AD981" s="23"/>
      <c r="AE981" s="23"/>
      <c r="AF981" s="23"/>
      <c r="AG981" s="23"/>
      <c r="AH981" s="23"/>
      <c r="AI981" s="23"/>
      <c r="AJ981" s="23"/>
      <c r="AK981" s="23"/>
      <c r="AL981" s="23"/>
      <c r="AM981" s="23"/>
      <c r="AN981" s="23"/>
      <c r="AO981" s="23"/>
      <c r="AP981" s="23"/>
      <c r="AQ981" s="23"/>
      <c r="AR981" s="23"/>
      <c r="AS981" s="23">
        <f t="shared" si="16"/>
        <v>0</v>
      </c>
    </row>
    <row r="982" spans="1:45" s="27" customFormat="1" ht="28.5" hidden="1" x14ac:dyDescent="0.2">
      <c r="A982" s="28">
        <v>2087</v>
      </c>
      <c r="B982" s="9" t="s">
        <v>236</v>
      </c>
      <c r="C982" s="9" t="s">
        <v>237</v>
      </c>
      <c r="D982" s="9" t="s">
        <v>404</v>
      </c>
      <c r="E982" s="9" t="s">
        <v>404</v>
      </c>
      <c r="F982" s="9" t="s">
        <v>199</v>
      </c>
      <c r="G982" s="9" t="s">
        <v>412</v>
      </c>
      <c r="H982" s="9" t="s">
        <v>831</v>
      </c>
      <c r="I982" s="81"/>
      <c r="J982" s="10">
        <f>'Messages Dictionary'!J393</f>
        <v>0.5</v>
      </c>
      <c r="K982" s="81"/>
      <c r="L982" s="29"/>
      <c r="M982" s="29"/>
      <c r="N982" s="23"/>
      <c r="O982" s="23"/>
      <c r="P982" s="23"/>
      <c r="Q982" s="23"/>
      <c r="R982" s="23"/>
      <c r="S982" s="23"/>
      <c r="T982" s="23"/>
      <c r="U982" s="23"/>
      <c r="V982" s="23"/>
      <c r="W982" s="23"/>
      <c r="X982" s="23"/>
      <c r="Y982" s="23"/>
      <c r="Z982" s="23"/>
      <c r="AA982" s="23"/>
      <c r="AB982" s="23"/>
      <c r="AC982" s="23"/>
      <c r="AD982" s="23"/>
      <c r="AE982" s="23"/>
      <c r="AF982" s="23"/>
      <c r="AG982" s="23"/>
      <c r="AH982" s="23"/>
      <c r="AI982" s="23"/>
      <c r="AJ982" s="23"/>
      <c r="AK982" s="23"/>
      <c r="AL982" s="23"/>
      <c r="AM982" s="23"/>
      <c r="AN982" s="23"/>
      <c r="AO982" s="23"/>
      <c r="AP982" s="23"/>
      <c r="AQ982" s="23"/>
      <c r="AR982" s="23"/>
      <c r="AS982" s="23">
        <f t="shared" si="16"/>
        <v>0</v>
      </c>
    </row>
    <row r="983" spans="1:45" s="27" customFormat="1" hidden="1" x14ac:dyDescent="0.2">
      <c r="A983" s="28">
        <v>2091</v>
      </c>
      <c r="B983" s="9" t="s">
        <v>238</v>
      </c>
      <c r="C983" s="9" t="s">
        <v>238</v>
      </c>
      <c r="D983" s="9" t="s">
        <v>821</v>
      </c>
      <c r="E983" s="9" t="s">
        <v>27</v>
      </c>
      <c r="F983" s="9" t="s">
        <v>199</v>
      </c>
      <c r="G983" s="9" t="s">
        <v>809</v>
      </c>
      <c r="H983" s="9" t="s">
        <v>831</v>
      </c>
      <c r="I983" s="81"/>
      <c r="J983" s="10">
        <f>'Messages Dictionary'!J394</f>
        <v>1</v>
      </c>
      <c r="K983" s="81"/>
      <c r="L983" s="29"/>
      <c r="M983" s="29"/>
      <c r="N983" s="23"/>
      <c r="O983" s="23"/>
      <c r="P983" s="23"/>
      <c r="Q983" s="23"/>
      <c r="R983" s="23"/>
      <c r="S983" s="23"/>
      <c r="T983" s="23"/>
      <c r="U983" s="23"/>
      <c r="V983" s="23"/>
      <c r="W983" s="23"/>
      <c r="X983" s="23"/>
      <c r="Y983" s="23"/>
      <c r="Z983" s="23"/>
      <c r="AA983" s="23"/>
      <c r="AB983" s="23"/>
      <c r="AC983" s="23"/>
      <c r="AD983" s="23"/>
      <c r="AE983" s="23"/>
      <c r="AF983" s="23"/>
      <c r="AG983" s="23"/>
      <c r="AH983" s="23"/>
      <c r="AI983" s="23"/>
      <c r="AJ983" s="23"/>
      <c r="AK983" s="23"/>
      <c r="AL983" s="23"/>
      <c r="AM983" s="23"/>
      <c r="AN983" s="23"/>
      <c r="AO983" s="23"/>
      <c r="AP983" s="23"/>
      <c r="AQ983" s="23"/>
      <c r="AR983" s="23"/>
      <c r="AS983" s="23">
        <f t="shared" si="16"/>
        <v>0</v>
      </c>
    </row>
    <row r="984" spans="1:45" s="27" customFormat="1" ht="28.5" hidden="1" x14ac:dyDescent="0.2">
      <c r="A984" s="28">
        <v>2092</v>
      </c>
      <c r="B984" s="9" t="s">
        <v>697</v>
      </c>
      <c r="C984" s="9" t="s">
        <v>697</v>
      </c>
      <c r="D984" s="9" t="s">
        <v>4</v>
      </c>
      <c r="E984" s="9" t="s">
        <v>24</v>
      </c>
      <c r="F984" s="9" t="s">
        <v>199</v>
      </c>
      <c r="G984" s="9" t="s">
        <v>412</v>
      </c>
      <c r="H984" s="9" t="s">
        <v>831</v>
      </c>
      <c r="I984" s="81"/>
      <c r="J984" s="10">
        <f>'Messages Dictionary'!J395</f>
        <v>0.5</v>
      </c>
      <c r="K984" s="81"/>
      <c r="L984" s="29"/>
      <c r="M984" s="29"/>
      <c r="N984" s="23"/>
      <c r="O984" s="23"/>
      <c r="P984" s="23"/>
      <c r="Q984" s="23"/>
      <c r="R984" s="23"/>
      <c r="S984" s="23"/>
      <c r="T984" s="23"/>
      <c r="U984" s="23"/>
      <c r="V984" s="23"/>
      <c r="W984" s="23"/>
      <c r="X984" s="23"/>
      <c r="Y984" s="23"/>
      <c r="Z984" s="23"/>
      <c r="AA984" s="23"/>
      <c r="AB984" s="23"/>
      <c r="AC984" s="23"/>
      <c r="AD984" s="23"/>
      <c r="AE984" s="23"/>
      <c r="AF984" s="23"/>
      <c r="AG984" s="23"/>
      <c r="AH984" s="23"/>
      <c r="AI984" s="23"/>
      <c r="AJ984" s="23"/>
      <c r="AK984" s="23"/>
      <c r="AL984" s="23"/>
      <c r="AM984" s="23"/>
      <c r="AN984" s="23"/>
      <c r="AO984" s="23"/>
      <c r="AP984" s="23"/>
      <c r="AQ984" s="23"/>
      <c r="AR984" s="23"/>
      <c r="AS984" s="23">
        <f t="shared" si="16"/>
        <v>0</v>
      </c>
    </row>
    <row r="985" spans="1:45" s="27" customFormat="1" ht="28.5" hidden="1" x14ac:dyDescent="0.2">
      <c r="A985" s="28">
        <v>3001</v>
      </c>
      <c r="B985" s="9" t="s">
        <v>698</v>
      </c>
      <c r="C985" s="9" t="s">
        <v>699</v>
      </c>
      <c r="D985" s="9" t="s">
        <v>121</v>
      </c>
      <c r="E985" s="9" t="s">
        <v>122</v>
      </c>
      <c r="F985" s="9" t="s">
        <v>200</v>
      </c>
      <c r="G985" s="9" t="s">
        <v>809</v>
      </c>
      <c r="H985" s="9" t="s">
        <v>831</v>
      </c>
      <c r="I985" s="81"/>
      <c r="J985" s="10">
        <f>'Messages Dictionary'!J398</f>
        <v>0</v>
      </c>
      <c r="K985" s="81"/>
      <c r="L985" s="29"/>
      <c r="M985" s="29"/>
      <c r="N985" s="23"/>
      <c r="O985" s="23"/>
      <c r="P985" s="23"/>
      <c r="Q985" s="23"/>
      <c r="R985" s="23"/>
      <c r="S985" s="23"/>
      <c r="T985" s="23"/>
      <c r="U985" s="23"/>
      <c r="V985" s="23"/>
      <c r="W985" s="23"/>
      <c r="X985" s="23"/>
      <c r="Y985" s="23"/>
      <c r="Z985" s="23"/>
      <c r="AA985" s="23"/>
      <c r="AB985" s="23"/>
      <c r="AC985" s="23"/>
      <c r="AD985" s="23"/>
      <c r="AE985" s="23"/>
      <c r="AF985" s="23"/>
      <c r="AG985" s="23"/>
      <c r="AH985" s="23"/>
      <c r="AI985" s="23"/>
      <c r="AJ985" s="23"/>
      <c r="AK985" s="23"/>
      <c r="AL985" s="23"/>
      <c r="AM985" s="23"/>
      <c r="AN985" s="23"/>
      <c r="AO985" s="23"/>
      <c r="AP985" s="23"/>
      <c r="AQ985" s="23"/>
      <c r="AR985" s="23"/>
      <c r="AS985" s="23">
        <f t="shared" si="16"/>
        <v>0</v>
      </c>
    </row>
    <row r="986" spans="1:45" s="27" customFormat="1" ht="28.5" hidden="1" x14ac:dyDescent="0.2">
      <c r="A986" s="28">
        <v>3002</v>
      </c>
      <c r="B986" s="9" t="s">
        <v>700</v>
      </c>
      <c r="C986" s="9" t="s">
        <v>701</v>
      </c>
      <c r="D986" s="9" t="s">
        <v>234</v>
      </c>
      <c r="E986" s="9" t="s">
        <v>702</v>
      </c>
      <c r="F986" s="9" t="s">
        <v>200</v>
      </c>
      <c r="G986" s="9" t="s">
        <v>809</v>
      </c>
      <c r="H986" s="9" t="s">
        <v>831</v>
      </c>
      <c r="I986" s="81"/>
      <c r="J986" s="10">
        <f>'Messages Dictionary'!J399</f>
        <v>0</v>
      </c>
      <c r="K986" s="81"/>
      <c r="L986" s="29"/>
      <c r="M986" s="29"/>
      <c r="N986" s="23"/>
      <c r="O986" s="23"/>
      <c r="P986" s="23"/>
      <c r="Q986" s="23"/>
      <c r="R986" s="23"/>
      <c r="S986" s="23"/>
      <c r="T986" s="23"/>
      <c r="U986" s="23"/>
      <c r="V986" s="23"/>
      <c r="W986" s="23"/>
      <c r="X986" s="23"/>
      <c r="Y986" s="23"/>
      <c r="Z986" s="23"/>
      <c r="AA986" s="23"/>
      <c r="AB986" s="23"/>
      <c r="AC986" s="23"/>
      <c r="AD986" s="23"/>
      <c r="AE986" s="23"/>
      <c r="AF986" s="23"/>
      <c r="AG986" s="23"/>
      <c r="AH986" s="23"/>
      <c r="AI986" s="23"/>
      <c r="AJ986" s="23"/>
      <c r="AK986" s="23"/>
      <c r="AL986" s="23"/>
      <c r="AM986" s="23"/>
      <c r="AN986" s="23"/>
      <c r="AO986" s="23"/>
      <c r="AP986" s="23"/>
      <c r="AQ986" s="23"/>
      <c r="AR986" s="23"/>
      <c r="AS986" s="23">
        <f t="shared" si="16"/>
        <v>0</v>
      </c>
    </row>
    <row r="987" spans="1:45" s="27" customFormat="1" ht="42.75" hidden="1" x14ac:dyDescent="0.2">
      <c r="A987" s="28">
        <v>3003</v>
      </c>
      <c r="B987" s="9" t="s">
        <v>244</v>
      </c>
      <c r="C987" s="9" t="s">
        <v>245</v>
      </c>
      <c r="D987" s="9" t="s">
        <v>234</v>
      </c>
      <c r="E987" s="9" t="s">
        <v>702</v>
      </c>
      <c r="F987" s="9" t="s">
        <v>200</v>
      </c>
      <c r="G987" s="9" t="s">
        <v>809</v>
      </c>
      <c r="H987" s="9" t="s">
        <v>831</v>
      </c>
      <c r="I987" s="81"/>
      <c r="J987" s="10">
        <f>'Messages Dictionary'!J400</f>
        <v>0</v>
      </c>
      <c r="K987" s="81"/>
      <c r="L987" s="29"/>
      <c r="M987" s="29"/>
      <c r="N987" s="23"/>
      <c r="O987" s="23"/>
      <c r="P987" s="23"/>
      <c r="Q987" s="23"/>
      <c r="R987" s="23"/>
      <c r="S987" s="23"/>
      <c r="T987" s="23"/>
      <c r="U987" s="23"/>
      <c r="V987" s="23"/>
      <c r="W987" s="23"/>
      <c r="X987" s="23"/>
      <c r="Y987" s="23"/>
      <c r="Z987" s="23"/>
      <c r="AA987" s="23"/>
      <c r="AB987" s="23"/>
      <c r="AC987" s="23"/>
      <c r="AD987" s="23"/>
      <c r="AE987" s="23"/>
      <c r="AF987" s="23"/>
      <c r="AG987" s="23"/>
      <c r="AH987" s="23"/>
      <c r="AI987" s="23"/>
      <c r="AJ987" s="23"/>
      <c r="AK987" s="23"/>
      <c r="AL987" s="23"/>
      <c r="AM987" s="23"/>
      <c r="AN987" s="23"/>
      <c r="AO987" s="23"/>
      <c r="AP987" s="23"/>
      <c r="AQ987" s="23"/>
      <c r="AR987" s="23"/>
      <c r="AS987" s="23">
        <f t="shared" si="16"/>
        <v>0</v>
      </c>
    </row>
    <row r="988" spans="1:45" s="27" customFormat="1" ht="57" hidden="1" x14ac:dyDescent="0.2">
      <c r="A988" s="28">
        <v>3004</v>
      </c>
      <c r="B988" s="9" t="s">
        <v>246</v>
      </c>
      <c r="C988" s="9" t="s">
        <v>247</v>
      </c>
      <c r="D988" s="9" t="s">
        <v>234</v>
      </c>
      <c r="E988" s="9" t="s">
        <v>702</v>
      </c>
      <c r="F988" s="9" t="s">
        <v>198</v>
      </c>
      <c r="G988" s="9" t="s">
        <v>809</v>
      </c>
      <c r="H988" s="9" t="s">
        <v>831</v>
      </c>
      <c r="I988" s="81"/>
      <c r="J988" s="10">
        <f>'Messages Dictionary'!J401</f>
        <v>0</v>
      </c>
      <c r="K988" s="81"/>
      <c r="L988" s="29"/>
      <c r="M988" s="29"/>
      <c r="N988" s="23"/>
      <c r="O988" s="23"/>
      <c r="P988" s="23"/>
      <c r="Q988" s="23"/>
      <c r="R988" s="23"/>
      <c r="S988" s="23"/>
      <c r="T988" s="23"/>
      <c r="U988" s="23"/>
      <c r="V988" s="23"/>
      <c r="W988" s="23"/>
      <c r="X988" s="23"/>
      <c r="Y988" s="23"/>
      <c r="Z988" s="23"/>
      <c r="AA988" s="23"/>
      <c r="AB988" s="23"/>
      <c r="AC988" s="23"/>
      <c r="AD988" s="23"/>
      <c r="AE988" s="23"/>
      <c r="AF988" s="23"/>
      <c r="AG988" s="23"/>
      <c r="AH988" s="23"/>
      <c r="AI988" s="23"/>
      <c r="AJ988" s="23"/>
      <c r="AK988" s="23"/>
      <c r="AL988" s="23"/>
      <c r="AM988" s="23"/>
      <c r="AN988" s="23"/>
      <c r="AO988" s="23"/>
      <c r="AP988" s="23"/>
      <c r="AQ988" s="23"/>
      <c r="AR988" s="23"/>
      <c r="AS988" s="23">
        <f t="shared" si="16"/>
        <v>0</v>
      </c>
    </row>
    <row r="989" spans="1:45" s="27" customFormat="1" ht="57" hidden="1" x14ac:dyDescent="0.2">
      <c r="A989" s="28">
        <v>3005</v>
      </c>
      <c r="B989" s="9" t="s">
        <v>248</v>
      </c>
      <c r="C989" s="9" t="s">
        <v>249</v>
      </c>
      <c r="D989" s="9" t="s">
        <v>234</v>
      </c>
      <c r="E989" s="9" t="s">
        <v>702</v>
      </c>
      <c r="F989" s="9" t="s">
        <v>199</v>
      </c>
      <c r="G989" s="9" t="s">
        <v>809</v>
      </c>
      <c r="H989" s="9" t="s">
        <v>831</v>
      </c>
      <c r="I989" s="81"/>
      <c r="J989" s="10">
        <f>'Messages Dictionary'!J402</f>
        <v>0</v>
      </c>
      <c r="K989" s="81"/>
      <c r="L989" s="29"/>
      <c r="M989" s="29"/>
      <c r="N989" s="23"/>
      <c r="O989" s="23"/>
      <c r="P989" s="23"/>
      <c r="Q989" s="23"/>
      <c r="R989" s="23"/>
      <c r="S989" s="23"/>
      <c r="T989" s="23"/>
      <c r="U989" s="23"/>
      <c r="V989" s="23"/>
      <c r="W989" s="23"/>
      <c r="X989" s="23"/>
      <c r="Y989" s="23"/>
      <c r="Z989" s="23"/>
      <c r="AA989" s="23"/>
      <c r="AB989" s="23"/>
      <c r="AC989" s="23"/>
      <c r="AD989" s="23"/>
      <c r="AE989" s="23"/>
      <c r="AF989" s="23"/>
      <c r="AG989" s="23"/>
      <c r="AH989" s="23"/>
      <c r="AI989" s="23"/>
      <c r="AJ989" s="23"/>
      <c r="AK989" s="23"/>
      <c r="AL989" s="23"/>
      <c r="AM989" s="23"/>
      <c r="AN989" s="23"/>
      <c r="AO989" s="23"/>
      <c r="AP989" s="23"/>
      <c r="AQ989" s="23"/>
      <c r="AR989" s="23"/>
      <c r="AS989" s="23">
        <f t="shared" si="16"/>
        <v>0</v>
      </c>
    </row>
    <row r="990" spans="1:45" s="27" customFormat="1" ht="57" hidden="1" x14ac:dyDescent="0.2">
      <c r="A990" s="28">
        <v>3006</v>
      </c>
      <c r="B990" s="9" t="s">
        <v>250</v>
      </c>
      <c r="C990" s="9" t="s">
        <v>251</v>
      </c>
      <c r="D990" s="9" t="s">
        <v>234</v>
      </c>
      <c r="E990" s="9" t="s">
        <v>702</v>
      </c>
      <c r="F990" s="9" t="s">
        <v>199</v>
      </c>
      <c r="G990" s="9" t="s">
        <v>809</v>
      </c>
      <c r="H990" s="9" t="s">
        <v>831</v>
      </c>
      <c r="I990" s="81"/>
      <c r="J990" s="10">
        <f>'Messages Dictionary'!J403</f>
        <v>0</v>
      </c>
      <c r="K990" s="81"/>
      <c r="L990" s="29"/>
      <c r="M990" s="29"/>
      <c r="N990" s="23"/>
      <c r="O990" s="23"/>
      <c r="P990" s="23"/>
      <c r="Q990" s="23"/>
      <c r="R990" s="23"/>
      <c r="S990" s="23"/>
      <c r="T990" s="23"/>
      <c r="U990" s="23"/>
      <c r="V990" s="23"/>
      <c r="W990" s="23"/>
      <c r="X990" s="23"/>
      <c r="Y990" s="23"/>
      <c r="Z990" s="23"/>
      <c r="AA990" s="23"/>
      <c r="AB990" s="23"/>
      <c r="AC990" s="23"/>
      <c r="AD990" s="23"/>
      <c r="AE990" s="23"/>
      <c r="AF990" s="23"/>
      <c r="AG990" s="23"/>
      <c r="AH990" s="23"/>
      <c r="AI990" s="23"/>
      <c r="AJ990" s="23"/>
      <c r="AK990" s="23"/>
      <c r="AL990" s="23"/>
      <c r="AM990" s="23"/>
      <c r="AN990" s="23"/>
      <c r="AO990" s="23"/>
      <c r="AP990" s="23"/>
      <c r="AQ990" s="23"/>
      <c r="AR990" s="23"/>
      <c r="AS990" s="23">
        <f t="shared" si="16"/>
        <v>0</v>
      </c>
    </row>
    <row r="991" spans="1:45" s="27" customFormat="1" ht="71.25" hidden="1" x14ac:dyDescent="0.2">
      <c r="A991" s="28">
        <v>3007</v>
      </c>
      <c r="B991" s="9" t="s">
        <v>252</v>
      </c>
      <c r="C991" s="9" t="s">
        <v>253</v>
      </c>
      <c r="D991" s="9" t="s">
        <v>234</v>
      </c>
      <c r="E991" s="9" t="s">
        <v>702</v>
      </c>
      <c r="F991" s="9" t="s">
        <v>198</v>
      </c>
      <c r="G991" s="9" t="s">
        <v>809</v>
      </c>
      <c r="H991" s="9" t="s">
        <v>831</v>
      </c>
      <c r="I991" s="81"/>
      <c r="J991" s="10">
        <f>'Messages Dictionary'!J404</f>
        <v>0</v>
      </c>
      <c r="K991" s="81"/>
      <c r="L991" s="29"/>
      <c r="M991" s="29"/>
      <c r="N991" s="23"/>
      <c r="O991" s="23"/>
      <c r="P991" s="23"/>
      <c r="Q991" s="23"/>
      <c r="R991" s="23"/>
      <c r="S991" s="23"/>
      <c r="T991" s="23"/>
      <c r="U991" s="23"/>
      <c r="V991" s="23"/>
      <c r="W991" s="23"/>
      <c r="X991" s="23"/>
      <c r="Y991" s="23"/>
      <c r="Z991" s="23"/>
      <c r="AA991" s="23"/>
      <c r="AB991" s="23"/>
      <c r="AC991" s="23"/>
      <c r="AD991" s="23"/>
      <c r="AE991" s="23"/>
      <c r="AF991" s="23"/>
      <c r="AG991" s="23"/>
      <c r="AH991" s="23"/>
      <c r="AI991" s="23"/>
      <c r="AJ991" s="23"/>
      <c r="AK991" s="23"/>
      <c r="AL991" s="23"/>
      <c r="AM991" s="23"/>
      <c r="AN991" s="23"/>
      <c r="AO991" s="23"/>
      <c r="AP991" s="23"/>
      <c r="AQ991" s="23"/>
      <c r="AR991" s="23"/>
      <c r="AS991" s="23">
        <f t="shared" si="16"/>
        <v>0</v>
      </c>
    </row>
    <row r="992" spans="1:45" s="27" customFormat="1" ht="57" hidden="1" x14ac:dyDescent="0.2">
      <c r="A992" s="28">
        <v>3008</v>
      </c>
      <c r="B992" s="9" t="s">
        <v>254</v>
      </c>
      <c r="C992" s="9" t="s">
        <v>255</v>
      </c>
      <c r="D992" s="9" t="s">
        <v>234</v>
      </c>
      <c r="E992" s="9" t="s">
        <v>702</v>
      </c>
      <c r="F992" s="9" t="s">
        <v>199</v>
      </c>
      <c r="G992" s="9" t="s">
        <v>809</v>
      </c>
      <c r="H992" s="9" t="s">
        <v>831</v>
      </c>
      <c r="I992" s="81"/>
      <c r="J992" s="10">
        <f>'Messages Dictionary'!J405</f>
        <v>0</v>
      </c>
      <c r="K992" s="81"/>
      <c r="L992" s="29"/>
      <c r="M992" s="29"/>
      <c r="N992" s="23"/>
      <c r="O992" s="23"/>
      <c r="P992" s="23"/>
      <c r="Q992" s="23"/>
      <c r="R992" s="23"/>
      <c r="S992" s="23"/>
      <c r="T992" s="23"/>
      <c r="U992" s="23"/>
      <c r="V992" s="23"/>
      <c r="W992" s="23"/>
      <c r="X992" s="23"/>
      <c r="Y992" s="23"/>
      <c r="Z992" s="23"/>
      <c r="AA992" s="23"/>
      <c r="AB992" s="23"/>
      <c r="AC992" s="23"/>
      <c r="AD992" s="23"/>
      <c r="AE992" s="23"/>
      <c r="AF992" s="23"/>
      <c r="AG992" s="23"/>
      <c r="AH992" s="23"/>
      <c r="AI992" s="23"/>
      <c r="AJ992" s="23"/>
      <c r="AK992" s="23"/>
      <c r="AL992" s="23"/>
      <c r="AM992" s="23"/>
      <c r="AN992" s="23"/>
      <c r="AO992" s="23"/>
      <c r="AP992" s="23"/>
      <c r="AQ992" s="23"/>
      <c r="AR992" s="23"/>
      <c r="AS992" s="23">
        <f t="shared" si="16"/>
        <v>0</v>
      </c>
    </row>
    <row r="993" spans="1:45" s="27" customFormat="1" ht="57" hidden="1" x14ac:dyDescent="0.2">
      <c r="A993" s="28">
        <v>3009</v>
      </c>
      <c r="B993" s="9" t="s">
        <v>256</v>
      </c>
      <c r="C993" s="9" t="s">
        <v>257</v>
      </c>
      <c r="D993" s="9" t="s">
        <v>234</v>
      </c>
      <c r="E993" s="9" t="s">
        <v>702</v>
      </c>
      <c r="F993" s="9" t="s">
        <v>199</v>
      </c>
      <c r="G993" s="9" t="s">
        <v>809</v>
      </c>
      <c r="H993" s="9" t="s">
        <v>831</v>
      </c>
      <c r="I993" s="81"/>
      <c r="J993" s="10">
        <f>'Messages Dictionary'!J406</f>
        <v>0</v>
      </c>
      <c r="K993" s="81"/>
      <c r="L993" s="29"/>
      <c r="M993" s="29"/>
      <c r="N993" s="23"/>
      <c r="O993" s="23"/>
      <c r="P993" s="23"/>
      <c r="Q993" s="23"/>
      <c r="R993" s="23"/>
      <c r="S993" s="23"/>
      <c r="T993" s="23"/>
      <c r="U993" s="23"/>
      <c r="V993" s="23"/>
      <c r="W993" s="23"/>
      <c r="X993" s="23"/>
      <c r="Y993" s="23"/>
      <c r="Z993" s="23"/>
      <c r="AA993" s="23"/>
      <c r="AB993" s="23"/>
      <c r="AC993" s="23"/>
      <c r="AD993" s="23"/>
      <c r="AE993" s="23"/>
      <c r="AF993" s="23"/>
      <c r="AG993" s="23"/>
      <c r="AH993" s="23"/>
      <c r="AI993" s="23"/>
      <c r="AJ993" s="23"/>
      <c r="AK993" s="23"/>
      <c r="AL993" s="23"/>
      <c r="AM993" s="23"/>
      <c r="AN993" s="23"/>
      <c r="AO993" s="23"/>
      <c r="AP993" s="23"/>
      <c r="AQ993" s="23"/>
      <c r="AR993" s="23"/>
      <c r="AS993" s="23">
        <f t="shared" si="16"/>
        <v>0</v>
      </c>
    </row>
    <row r="994" spans="1:45" s="27" customFormat="1" ht="57" hidden="1" x14ac:dyDescent="0.2">
      <c r="A994" s="28">
        <v>3010</v>
      </c>
      <c r="B994" s="9" t="s">
        <v>256</v>
      </c>
      <c r="C994" s="9" t="s">
        <v>257</v>
      </c>
      <c r="D994" s="9" t="s">
        <v>234</v>
      </c>
      <c r="E994" s="9" t="s">
        <v>702</v>
      </c>
      <c r="F994" s="9" t="s">
        <v>199</v>
      </c>
      <c r="G994" s="9" t="s">
        <v>809</v>
      </c>
      <c r="H994" s="9" t="s">
        <v>831</v>
      </c>
      <c r="I994" s="81"/>
      <c r="J994" s="10">
        <f>'Messages Dictionary'!J407</f>
        <v>0</v>
      </c>
      <c r="K994" s="81"/>
      <c r="L994" s="29"/>
      <c r="M994" s="29"/>
      <c r="N994" s="23"/>
      <c r="O994" s="23"/>
      <c r="P994" s="23"/>
      <c r="Q994" s="23"/>
      <c r="R994" s="23"/>
      <c r="S994" s="23"/>
      <c r="T994" s="23"/>
      <c r="U994" s="23"/>
      <c r="V994" s="23"/>
      <c r="W994" s="23"/>
      <c r="X994" s="23"/>
      <c r="Y994" s="23"/>
      <c r="Z994" s="23"/>
      <c r="AA994" s="23"/>
      <c r="AB994" s="23"/>
      <c r="AC994" s="23"/>
      <c r="AD994" s="23"/>
      <c r="AE994" s="23"/>
      <c r="AF994" s="23"/>
      <c r="AG994" s="23"/>
      <c r="AH994" s="23"/>
      <c r="AI994" s="23"/>
      <c r="AJ994" s="23"/>
      <c r="AK994" s="23"/>
      <c r="AL994" s="23"/>
      <c r="AM994" s="23"/>
      <c r="AN994" s="23"/>
      <c r="AO994" s="23"/>
      <c r="AP994" s="23"/>
      <c r="AQ994" s="23"/>
      <c r="AR994" s="23"/>
      <c r="AS994" s="23">
        <f t="shared" ref="AS994:AS1057" si="17">AS395*$J994</f>
        <v>0</v>
      </c>
    </row>
    <row r="995" spans="1:45" s="27" customFormat="1" ht="57" hidden="1" x14ac:dyDescent="0.2">
      <c r="A995" s="28">
        <v>3011</v>
      </c>
      <c r="B995" s="9" t="s">
        <v>256</v>
      </c>
      <c r="C995" s="9" t="s">
        <v>257</v>
      </c>
      <c r="D995" s="9" t="s">
        <v>234</v>
      </c>
      <c r="E995" s="9" t="s">
        <v>702</v>
      </c>
      <c r="F995" s="9" t="s">
        <v>199</v>
      </c>
      <c r="G995" s="9" t="s">
        <v>809</v>
      </c>
      <c r="H995" s="9" t="s">
        <v>831</v>
      </c>
      <c r="I995" s="81"/>
      <c r="J995" s="10">
        <f>'Messages Dictionary'!J408</f>
        <v>0</v>
      </c>
      <c r="K995" s="81"/>
      <c r="L995" s="29"/>
      <c r="M995" s="29"/>
      <c r="N995" s="23"/>
      <c r="O995" s="23"/>
      <c r="P995" s="23"/>
      <c r="Q995" s="23"/>
      <c r="R995" s="23"/>
      <c r="S995" s="23"/>
      <c r="T995" s="23"/>
      <c r="U995" s="23"/>
      <c r="V995" s="23"/>
      <c r="W995" s="23"/>
      <c r="X995" s="23"/>
      <c r="Y995" s="23"/>
      <c r="Z995" s="23"/>
      <c r="AA995" s="23"/>
      <c r="AB995" s="23"/>
      <c r="AC995" s="23"/>
      <c r="AD995" s="23"/>
      <c r="AE995" s="23"/>
      <c r="AF995" s="23"/>
      <c r="AG995" s="23"/>
      <c r="AH995" s="23"/>
      <c r="AI995" s="23"/>
      <c r="AJ995" s="23"/>
      <c r="AK995" s="23"/>
      <c r="AL995" s="23"/>
      <c r="AM995" s="23"/>
      <c r="AN995" s="23"/>
      <c r="AO995" s="23"/>
      <c r="AP995" s="23"/>
      <c r="AQ995" s="23"/>
      <c r="AR995" s="23"/>
      <c r="AS995" s="23">
        <f t="shared" si="17"/>
        <v>0</v>
      </c>
    </row>
    <row r="996" spans="1:45" s="27" customFormat="1" ht="57" hidden="1" x14ac:dyDescent="0.2">
      <c r="A996" s="28">
        <v>3012</v>
      </c>
      <c r="B996" s="9" t="s">
        <v>258</v>
      </c>
      <c r="C996" s="9" t="s">
        <v>257</v>
      </c>
      <c r="D996" s="9" t="s">
        <v>234</v>
      </c>
      <c r="E996" s="9" t="s">
        <v>702</v>
      </c>
      <c r="F996" s="9" t="s">
        <v>199</v>
      </c>
      <c r="G996" s="9" t="s">
        <v>809</v>
      </c>
      <c r="H996" s="9" t="s">
        <v>831</v>
      </c>
      <c r="I996" s="81"/>
      <c r="J996" s="10">
        <f>'Messages Dictionary'!J409</f>
        <v>0</v>
      </c>
      <c r="K996" s="81"/>
      <c r="L996" s="29"/>
      <c r="M996" s="29"/>
      <c r="N996" s="23"/>
      <c r="O996" s="23"/>
      <c r="P996" s="23"/>
      <c r="Q996" s="23"/>
      <c r="R996" s="23"/>
      <c r="S996" s="23"/>
      <c r="T996" s="23"/>
      <c r="U996" s="23"/>
      <c r="V996" s="23"/>
      <c r="W996" s="23"/>
      <c r="X996" s="23"/>
      <c r="Y996" s="23"/>
      <c r="Z996" s="23"/>
      <c r="AA996" s="23"/>
      <c r="AB996" s="23"/>
      <c r="AC996" s="23"/>
      <c r="AD996" s="23"/>
      <c r="AE996" s="23"/>
      <c r="AF996" s="23"/>
      <c r="AG996" s="23"/>
      <c r="AH996" s="23"/>
      <c r="AI996" s="23"/>
      <c r="AJ996" s="23"/>
      <c r="AK996" s="23"/>
      <c r="AL996" s="23"/>
      <c r="AM996" s="23"/>
      <c r="AN996" s="23"/>
      <c r="AO996" s="23"/>
      <c r="AP996" s="23"/>
      <c r="AQ996" s="23"/>
      <c r="AR996" s="23"/>
      <c r="AS996" s="23">
        <f t="shared" si="17"/>
        <v>0</v>
      </c>
    </row>
    <row r="997" spans="1:45" s="27" customFormat="1" ht="57" hidden="1" x14ac:dyDescent="0.2">
      <c r="A997" s="28">
        <v>3013</v>
      </c>
      <c r="B997" s="9" t="s">
        <v>256</v>
      </c>
      <c r="C997" s="9" t="s">
        <v>257</v>
      </c>
      <c r="D997" s="9" t="s">
        <v>234</v>
      </c>
      <c r="E997" s="9" t="s">
        <v>702</v>
      </c>
      <c r="F997" s="9" t="s">
        <v>198</v>
      </c>
      <c r="G997" s="9" t="s">
        <v>809</v>
      </c>
      <c r="H997" s="9" t="s">
        <v>831</v>
      </c>
      <c r="I997" s="81"/>
      <c r="J997" s="10">
        <f>'Messages Dictionary'!J410</f>
        <v>0</v>
      </c>
      <c r="K997" s="81"/>
      <c r="L997" s="29"/>
      <c r="M997" s="29"/>
      <c r="N997" s="23"/>
      <c r="O997" s="23"/>
      <c r="P997" s="23"/>
      <c r="Q997" s="23"/>
      <c r="R997" s="23"/>
      <c r="S997" s="23"/>
      <c r="T997" s="23"/>
      <c r="U997" s="23"/>
      <c r="V997" s="23"/>
      <c r="W997" s="23"/>
      <c r="X997" s="23"/>
      <c r="Y997" s="23"/>
      <c r="Z997" s="23"/>
      <c r="AA997" s="23"/>
      <c r="AB997" s="23"/>
      <c r="AC997" s="23"/>
      <c r="AD997" s="23"/>
      <c r="AE997" s="23"/>
      <c r="AF997" s="23"/>
      <c r="AG997" s="23"/>
      <c r="AH997" s="23"/>
      <c r="AI997" s="23"/>
      <c r="AJ997" s="23"/>
      <c r="AK997" s="23"/>
      <c r="AL997" s="23"/>
      <c r="AM997" s="23"/>
      <c r="AN997" s="23"/>
      <c r="AO997" s="23"/>
      <c r="AP997" s="23"/>
      <c r="AQ997" s="23"/>
      <c r="AR997" s="23"/>
      <c r="AS997" s="23">
        <f t="shared" si="17"/>
        <v>0</v>
      </c>
    </row>
    <row r="998" spans="1:45" s="27" customFormat="1" ht="57" hidden="1" x14ac:dyDescent="0.2">
      <c r="A998" s="28">
        <v>3014</v>
      </c>
      <c r="B998" s="9" t="s">
        <v>256</v>
      </c>
      <c r="C998" s="9" t="s">
        <v>257</v>
      </c>
      <c r="D998" s="9" t="s">
        <v>234</v>
      </c>
      <c r="E998" s="9" t="s">
        <v>702</v>
      </c>
      <c r="F998" s="9" t="s">
        <v>198</v>
      </c>
      <c r="G998" s="9" t="s">
        <v>809</v>
      </c>
      <c r="H998" s="9" t="s">
        <v>831</v>
      </c>
      <c r="I998" s="81"/>
      <c r="J998" s="10">
        <f>'Messages Dictionary'!J411</f>
        <v>0</v>
      </c>
      <c r="K998" s="81"/>
      <c r="L998" s="29"/>
      <c r="M998" s="29"/>
      <c r="N998" s="23"/>
      <c r="O998" s="23"/>
      <c r="P998" s="23"/>
      <c r="Q998" s="23"/>
      <c r="R998" s="23"/>
      <c r="S998" s="23"/>
      <c r="T998" s="23"/>
      <c r="U998" s="23"/>
      <c r="V998" s="23"/>
      <c r="W998" s="23"/>
      <c r="X998" s="23"/>
      <c r="Y998" s="23"/>
      <c r="Z998" s="23"/>
      <c r="AA998" s="23"/>
      <c r="AB998" s="23"/>
      <c r="AC998" s="23"/>
      <c r="AD998" s="23"/>
      <c r="AE998" s="23"/>
      <c r="AF998" s="23"/>
      <c r="AG998" s="23"/>
      <c r="AH998" s="23"/>
      <c r="AI998" s="23"/>
      <c r="AJ998" s="23"/>
      <c r="AK998" s="23"/>
      <c r="AL998" s="23"/>
      <c r="AM998" s="23"/>
      <c r="AN998" s="23"/>
      <c r="AO998" s="23"/>
      <c r="AP998" s="23"/>
      <c r="AQ998" s="23"/>
      <c r="AR998" s="23"/>
      <c r="AS998" s="23">
        <f t="shared" si="17"/>
        <v>0</v>
      </c>
    </row>
    <row r="999" spans="1:45" s="27" customFormat="1" ht="57" hidden="1" x14ac:dyDescent="0.2">
      <c r="A999" s="28">
        <v>3015</v>
      </c>
      <c r="B999" s="9" t="s">
        <v>256</v>
      </c>
      <c r="C999" s="9" t="s">
        <v>257</v>
      </c>
      <c r="D999" s="9" t="s">
        <v>234</v>
      </c>
      <c r="E999" s="9" t="s">
        <v>702</v>
      </c>
      <c r="F999" s="9" t="s">
        <v>199</v>
      </c>
      <c r="G999" s="9" t="s">
        <v>809</v>
      </c>
      <c r="H999" s="9" t="s">
        <v>831</v>
      </c>
      <c r="I999" s="81"/>
      <c r="J999" s="10">
        <f>'Messages Dictionary'!J412</f>
        <v>0</v>
      </c>
      <c r="K999" s="81"/>
      <c r="L999" s="29"/>
      <c r="M999" s="29"/>
      <c r="N999" s="23"/>
      <c r="O999" s="23"/>
      <c r="P999" s="23"/>
      <c r="Q999" s="23"/>
      <c r="R999" s="23"/>
      <c r="S999" s="23"/>
      <c r="T999" s="23"/>
      <c r="U999" s="23"/>
      <c r="V999" s="23"/>
      <c r="W999" s="23"/>
      <c r="X999" s="23"/>
      <c r="Y999" s="23"/>
      <c r="Z999" s="23"/>
      <c r="AA999" s="23"/>
      <c r="AB999" s="23"/>
      <c r="AC999" s="23"/>
      <c r="AD999" s="23"/>
      <c r="AE999" s="23"/>
      <c r="AF999" s="23"/>
      <c r="AG999" s="23"/>
      <c r="AH999" s="23"/>
      <c r="AI999" s="23"/>
      <c r="AJ999" s="23"/>
      <c r="AK999" s="23"/>
      <c r="AL999" s="23"/>
      <c r="AM999" s="23"/>
      <c r="AN999" s="23"/>
      <c r="AO999" s="23"/>
      <c r="AP999" s="23"/>
      <c r="AQ999" s="23"/>
      <c r="AR999" s="23"/>
      <c r="AS999" s="23">
        <f t="shared" si="17"/>
        <v>0</v>
      </c>
    </row>
    <row r="1000" spans="1:45" s="27" customFormat="1" ht="57" hidden="1" x14ac:dyDescent="0.2">
      <c r="A1000" s="28">
        <v>3016</v>
      </c>
      <c r="B1000" s="9" t="s">
        <v>256</v>
      </c>
      <c r="C1000" s="9" t="s">
        <v>257</v>
      </c>
      <c r="D1000" s="9" t="s">
        <v>234</v>
      </c>
      <c r="E1000" s="9" t="s">
        <v>702</v>
      </c>
      <c r="F1000" s="9" t="s">
        <v>199</v>
      </c>
      <c r="G1000" s="9" t="s">
        <v>809</v>
      </c>
      <c r="H1000" s="9" t="s">
        <v>831</v>
      </c>
      <c r="I1000" s="81"/>
      <c r="J1000" s="10">
        <f>'Messages Dictionary'!J413</f>
        <v>0</v>
      </c>
      <c r="K1000" s="81"/>
      <c r="L1000" s="29"/>
      <c r="M1000" s="29"/>
      <c r="N1000" s="23"/>
      <c r="O1000" s="23"/>
      <c r="P1000" s="23"/>
      <c r="Q1000" s="23"/>
      <c r="R1000" s="23"/>
      <c r="S1000" s="23"/>
      <c r="T1000" s="23"/>
      <c r="U1000" s="23"/>
      <c r="V1000" s="23"/>
      <c r="W1000" s="23"/>
      <c r="X1000" s="23"/>
      <c r="Y1000" s="23"/>
      <c r="Z1000" s="23"/>
      <c r="AA1000" s="23"/>
      <c r="AB1000" s="23"/>
      <c r="AC1000" s="23"/>
      <c r="AD1000" s="23"/>
      <c r="AE1000" s="23"/>
      <c r="AF1000" s="23"/>
      <c r="AG1000" s="23"/>
      <c r="AH1000" s="23"/>
      <c r="AI1000" s="23"/>
      <c r="AJ1000" s="23"/>
      <c r="AK1000" s="23"/>
      <c r="AL1000" s="23"/>
      <c r="AM1000" s="23"/>
      <c r="AN1000" s="23"/>
      <c r="AO1000" s="23"/>
      <c r="AP1000" s="23"/>
      <c r="AQ1000" s="23"/>
      <c r="AR1000" s="23"/>
      <c r="AS1000" s="23">
        <f t="shared" si="17"/>
        <v>0</v>
      </c>
    </row>
    <row r="1001" spans="1:45" s="27" customFormat="1" ht="57" hidden="1" x14ac:dyDescent="0.2">
      <c r="A1001" s="28">
        <v>3017</v>
      </c>
      <c r="B1001" s="9" t="s">
        <v>256</v>
      </c>
      <c r="C1001" s="9" t="s">
        <v>257</v>
      </c>
      <c r="D1001" s="9" t="s">
        <v>234</v>
      </c>
      <c r="E1001" s="9" t="s">
        <v>702</v>
      </c>
      <c r="F1001" s="9" t="s">
        <v>199</v>
      </c>
      <c r="G1001" s="9" t="s">
        <v>809</v>
      </c>
      <c r="H1001" s="9" t="s">
        <v>831</v>
      </c>
      <c r="I1001" s="81"/>
      <c r="J1001" s="10">
        <f>'Messages Dictionary'!J414</f>
        <v>0</v>
      </c>
      <c r="K1001" s="81"/>
      <c r="L1001" s="29"/>
      <c r="M1001" s="29"/>
      <c r="N1001" s="23"/>
      <c r="O1001" s="23"/>
      <c r="P1001" s="23"/>
      <c r="Q1001" s="23"/>
      <c r="R1001" s="23"/>
      <c r="S1001" s="23"/>
      <c r="T1001" s="23"/>
      <c r="U1001" s="23"/>
      <c r="V1001" s="23"/>
      <c r="W1001" s="23"/>
      <c r="X1001" s="23"/>
      <c r="Y1001" s="23"/>
      <c r="Z1001" s="23"/>
      <c r="AA1001" s="23"/>
      <c r="AB1001" s="23"/>
      <c r="AC1001" s="23"/>
      <c r="AD1001" s="23"/>
      <c r="AE1001" s="23"/>
      <c r="AF1001" s="23"/>
      <c r="AG1001" s="23"/>
      <c r="AH1001" s="23"/>
      <c r="AI1001" s="23"/>
      <c r="AJ1001" s="23"/>
      <c r="AK1001" s="23"/>
      <c r="AL1001" s="23"/>
      <c r="AM1001" s="23"/>
      <c r="AN1001" s="23"/>
      <c r="AO1001" s="23"/>
      <c r="AP1001" s="23"/>
      <c r="AQ1001" s="23"/>
      <c r="AR1001" s="23"/>
      <c r="AS1001" s="23">
        <f t="shared" si="17"/>
        <v>0</v>
      </c>
    </row>
    <row r="1002" spans="1:45" s="27" customFormat="1" ht="57" hidden="1" x14ac:dyDescent="0.2">
      <c r="A1002" s="28">
        <v>3018</v>
      </c>
      <c r="B1002" s="9" t="s">
        <v>256</v>
      </c>
      <c r="C1002" s="9" t="s">
        <v>257</v>
      </c>
      <c r="D1002" s="9" t="s">
        <v>234</v>
      </c>
      <c r="E1002" s="9" t="s">
        <v>702</v>
      </c>
      <c r="F1002" s="9" t="s">
        <v>198</v>
      </c>
      <c r="G1002" s="9" t="s">
        <v>809</v>
      </c>
      <c r="H1002" s="9" t="s">
        <v>831</v>
      </c>
      <c r="I1002" s="81"/>
      <c r="J1002" s="10">
        <f>'Messages Dictionary'!J415</f>
        <v>0</v>
      </c>
      <c r="K1002" s="81"/>
      <c r="L1002" s="29"/>
      <c r="M1002" s="29"/>
      <c r="N1002" s="23"/>
      <c r="O1002" s="23"/>
      <c r="P1002" s="23"/>
      <c r="Q1002" s="23"/>
      <c r="R1002" s="23"/>
      <c r="S1002" s="23"/>
      <c r="T1002" s="23"/>
      <c r="U1002" s="23"/>
      <c r="V1002" s="23"/>
      <c r="W1002" s="23"/>
      <c r="X1002" s="23"/>
      <c r="Y1002" s="23"/>
      <c r="Z1002" s="23"/>
      <c r="AA1002" s="23"/>
      <c r="AB1002" s="23"/>
      <c r="AC1002" s="23"/>
      <c r="AD1002" s="23"/>
      <c r="AE1002" s="23"/>
      <c r="AF1002" s="23"/>
      <c r="AG1002" s="23"/>
      <c r="AH1002" s="23"/>
      <c r="AI1002" s="23"/>
      <c r="AJ1002" s="23"/>
      <c r="AK1002" s="23"/>
      <c r="AL1002" s="23"/>
      <c r="AM1002" s="23"/>
      <c r="AN1002" s="23"/>
      <c r="AO1002" s="23"/>
      <c r="AP1002" s="23"/>
      <c r="AQ1002" s="23"/>
      <c r="AR1002" s="23"/>
      <c r="AS1002" s="23">
        <f t="shared" si="17"/>
        <v>0</v>
      </c>
    </row>
    <row r="1003" spans="1:45" s="27" customFormat="1" ht="57" hidden="1" x14ac:dyDescent="0.2">
      <c r="A1003" s="28">
        <v>3019</v>
      </c>
      <c r="B1003" s="9" t="s">
        <v>256</v>
      </c>
      <c r="C1003" s="9" t="s">
        <v>257</v>
      </c>
      <c r="D1003" s="9" t="s">
        <v>234</v>
      </c>
      <c r="E1003" s="9" t="s">
        <v>702</v>
      </c>
      <c r="F1003" s="9" t="s">
        <v>199</v>
      </c>
      <c r="G1003" s="9" t="s">
        <v>809</v>
      </c>
      <c r="H1003" s="9" t="s">
        <v>831</v>
      </c>
      <c r="I1003" s="81"/>
      <c r="J1003" s="10">
        <f>'Messages Dictionary'!J416</f>
        <v>0</v>
      </c>
      <c r="K1003" s="81"/>
      <c r="L1003" s="29"/>
      <c r="M1003" s="29"/>
      <c r="N1003" s="23"/>
      <c r="O1003" s="23"/>
      <c r="P1003" s="23"/>
      <c r="Q1003" s="23"/>
      <c r="R1003" s="23"/>
      <c r="S1003" s="23"/>
      <c r="T1003" s="23"/>
      <c r="U1003" s="23"/>
      <c r="V1003" s="23"/>
      <c r="W1003" s="23"/>
      <c r="X1003" s="23"/>
      <c r="Y1003" s="23"/>
      <c r="Z1003" s="23"/>
      <c r="AA1003" s="23"/>
      <c r="AB1003" s="23"/>
      <c r="AC1003" s="23"/>
      <c r="AD1003" s="23"/>
      <c r="AE1003" s="23"/>
      <c r="AF1003" s="23"/>
      <c r="AG1003" s="23"/>
      <c r="AH1003" s="23"/>
      <c r="AI1003" s="23"/>
      <c r="AJ1003" s="23"/>
      <c r="AK1003" s="23"/>
      <c r="AL1003" s="23"/>
      <c r="AM1003" s="23"/>
      <c r="AN1003" s="23"/>
      <c r="AO1003" s="23"/>
      <c r="AP1003" s="23"/>
      <c r="AQ1003" s="23"/>
      <c r="AR1003" s="23"/>
      <c r="AS1003" s="23">
        <f t="shared" si="17"/>
        <v>0</v>
      </c>
    </row>
    <row r="1004" spans="1:45" s="27" customFormat="1" ht="57" hidden="1" x14ac:dyDescent="0.2">
      <c r="A1004" s="28">
        <v>3020</v>
      </c>
      <c r="B1004" s="9" t="s">
        <v>256</v>
      </c>
      <c r="C1004" s="9" t="s">
        <v>257</v>
      </c>
      <c r="D1004" s="9" t="s">
        <v>234</v>
      </c>
      <c r="E1004" s="9" t="s">
        <v>702</v>
      </c>
      <c r="F1004" s="9" t="s">
        <v>198</v>
      </c>
      <c r="G1004" s="9" t="s">
        <v>809</v>
      </c>
      <c r="H1004" s="9" t="s">
        <v>831</v>
      </c>
      <c r="I1004" s="81"/>
      <c r="J1004" s="10">
        <f>'Messages Dictionary'!J417</f>
        <v>0</v>
      </c>
      <c r="K1004" s="81"/>
      <c r="L1004" s="29"/>
      <c r="M1004" s="29"/>
      <c r="N1004" s="23"/>
      <c r="O1004" s="23"/>
      <c r="P1004" s="23"/>
      <c r="Q1004" s="23"/>
      <c r="R1004" s="23"/>
      <c r="S1004" s="23"/>
      <c r="T1004" s="23"/>
      <c r="U1004" s="23"/>
      <c r="V1004" s="23"/>
      <c r="W1004" s="23"/>
      <c r="X1004" s="23"/>
      <c r="Y1004" s="23"/>
      <c r="Z1004" s="23"/>
      <c r="AA1004" s="23"/>
      <c r="AB1004" s="23"/>
      <c r="AC1004" s="23"/>
      <c r="AD1004" s="23"/>
      <c r="AE1004" s="23"/>
      <c r="AF1004" s="23"/>
      <c r="AG1004" s="23"/>
      <c r="AH1004" s="23"/>
      <c r="AI1004" s="23"/>
      <c r="AJ1004" s="23"/>
      <c r="AK1004" s="23"/>
      <c r="AL1004" s="23"/>
      <c r="AM1004" s="23"/>
      <c r="AN1004" s="23"/>
      <c r="AO1004" s="23"/>
      <c r="AP1004" s="23"/>
      <c r="AQ1004" s="23"/>
      <c r="AR1004" s="23"/>
      <c r="AS1004" s="23">
        <f t="shared" si="17"/>
        <v>0</v>
      </c>
    </row>
    <row r="1005" spans="1:45" s="27" customFormat="1" ht="57" hidden="1" x14ac:dyDescent="0.2">
      <c r="A1005" s="28">
        <v>3021</v>
      </c>
      <c r="B1005" s="9" t="s">
        <v>256</v>
      </c>
      <c r="C1005" s="9" t="s">
        <v>259</v>
      </c>
      <c r="D1005" s="9" t="s">
        <v>234</v>
      </c>
      <c r="E1005" s="9" t="s">
        <v>702</v>
      </c>
      <c r="F1005" s="9" t="s">
        <v>199</v>
      </c>
      <c r="G1005" s="9" t="s">
        <v>809</v>
      </c>
      <c r="H1005" s="9" t="s">
        <v>831</v>
      </c>
      <c r="I1005" s="81"/>
      <c r="J1005" s="10">
        <f>'Messages Dictionary'!J418</f>
        <v>0</v>
      </c>
      <c r="K1005" s="81"/>
      <c r="L1005" s="29"/>
      <c r="M1005" s="29"/>
      <c r="N1005" s="23"/>
      <c r="O1005" s="23"/>
      <c r="P1005" s="23"/>
      <c r="Q1005" s="23"/>
      <c r="R1005" s="23"/>
      <c r="S1005" s="23"/>
      <c r="T1005" s="23"/>
      <c r="U1005" s="23"/>
      <c r="V1005" s="23"/>
      <c r="W1005" s="23"/>
      <c r="X1005" s="23"/>
      <c r="Y1005" s="23"/>
      <c r="Z1005" s="23"/>
      <c r="AA1005" s="23"/>
      <c r="AB1005" s="23"/>
      <c r="AC1005" s="23"/>
      <c r="AD1005" s="23"/>
      <c r="AE1005" s="23"/>
      <c r="AF1005" s="23"/>
      <c r="AG1005" s="23"/>
      <c r="AH1005" s="23"/>
      <c r="AI1005" s="23"/>
      <c r="AJ1005" s="23"/>
      <c r="AK1005" s="23"/>
      <c r="AL1005" s="23"/>
      <c r="AM1005" s="23"/>
      <c r="AN1005" s="23"/>
      <c r="AO1005" s="23"/>
      <c r="AP1005" s="23"/>
      <c r="AQ1005" s="23"/>
      <c r="AR1005" s="23"/>
      <c r="AS1005" s="23">
        <f t="shared" si="17"/>
        <v>0</v>
      </c>
    </row>
    <row r="1006" spans="1:45" s="27" customFormat="1" ht="42.75" hidden="1" x14ac:dyDescent="0.2">
      <c r="A1006" s="28">
        <v>3022</v>
      </c>
      <c r="B1006" s="9" t="s">
        <v>260</v>
      </c>
      <c r="C1006" s="9" t="s">
        <v>262</v>
      </c>
      <c r="D1006" s="9" t="s">
        <v>234</v>
      </c>
      <c r="E1006" s="9" t="s">
        <v>263</v>
      </c>
      <c r="F1006" s="9" t="s">
        <v>200</v>
      </c>
      <c r="G1006" s="9" t="s">
        <v>809</v>
      </c>
      <c r="H1006" s="9" t="s">
        <v>831</v>
      </c>
      <c r="I1006" s="81"/>
      <c r="J1006" s="10">
        <f>'Messages Dictionary'!J419</f>
        <v>0</v>
      </c>
      <c r="K1006" s="81"/>
      <c r="L1006" s="29"/>
      <c r="M1006" s="29"/>
      <c r="N1006" s="23"/>
      <c r="O1006" s="23"/>
      <c r="P1006" s="23"/>
      <c r="Q1006" s="23"/>
      <c r="R1006" s="23"/>
      <c r="S1006" s="23"/>
      <c r="T1006" s="23"/>
      <c r="U1006" s="23"/>
      <c r="V1006" s="23"/>
      <c r="W1006" s="23"/>
      <c r="X1006" s="23"/>
      <c r="Y1006" s="23"/>
      <c r="Z1006" s="23"/>
      <c r="AA1006" s="23"/>
      <c r="AB1006" s="23"/>
      <c r="AC1006" s="23"/>
      <c r="AD1006" s="23"/>
      <c r="AE1006" s="23"/>
      <c r="AF1006" s="23"/>
      <c r="AG1006" s="23"/>
      <c r="AH1006" s="23"/>
      <c r="AI1006" s="23"/>
      <c r="AJ1006" s="23"/>
      <c r="AK1006" s="23"/>
      <c r="AL1006" s="23"/>
      <c r="AM1006" s="23"/>
      <c r="AN1006" s="23"/>
      <c r="AO1006" s="23"/>
      <c r="AP1006" s="23"/>
      <c r="AQ1006" s="23"/>
      <c r="AR1006" s="23"/>
      <c r="AS1006" s="23">
        <f t="shared" si="17"/>
        <v>0</v>
      </c>
    </row>
    <row r="1007" spans="1:45" s="27" customFormat="1" ht="28.5" hidden="1" x14ac:dyDescent="0.2">
      <c r="A1007" s="28">
        <v>3023</v>
      </c>
      <c r="B1007" s="9" t="s">
        <v>264</v>
      </c>
      <c r="C1007" s="9" t="s">
        <v>265</v>
      </c>
      <c r="D1007" s="9" t="s">
        <v>863</v>
      </c>
      <c r="E1007" s="9" t="s">
        <v>319</v>
      </c>
      <c r="F1007" s="9" t="s">
        <v>200</v>
      </c>
      <c r="G1007" s="9" t="s">
        <v>809</v>
      </c>
      <c r="H1007" s="9" t="s">
        <v>831</v>
      </c>
      <c r="I1007" s="81"/>
      <c r="J1007" s="10">
        <f>'Messages Dictionary'!J420</f>
        <v>0</v>
      </c>
      <c r="K1007" s="81"/>
      <c r="L1007" s="29"/>
      <c r="M1007" s="29"/>
      <c r="N1007" s="23"/>
      <c r="O1007" s="23"/>
      <c r="P1007" s="23"/>
      <c r="Q1007" s="23"/>
      <c r="R1007" s="23"/>
      <c r="S1007" s="23"/>
      <c r="T1007" s="23"/>
      <c r="U1007" s="23"/>
      <c r="V1007" s="23"/>
      <c r="W1007" s="23"/>
      <c r="X1007" s="23"/>
      <c r="Y1007" s="23"/>
      <c r="Z1007" s="23"/>
      <c r="AA1007" s="23"/>
      <c r="AB1007" s="23"/>
      <c r="AC1007" s="23"/>
      <c r="AD1007" s="23"/>
      <c r="AE1007" s="23"/>
      <c r="AF1007" s="23"/>
      <c r="AG1007" s="23"/>
      <c r="AH1007" s="23"/>
      <c r="AI1007" s="23"/>
      <c r="AJ1007" s="23"/>
      <c r="AK1007" s="23"/>
      <c r="AL1007" s="23"/>
      <c r="AM1007" s="23"/>
      <c r="AN1007" s="23"/>
      <c r="AO1007" s="23"/>
      <c r="AP1007" s="23"/>
      <c r="AQ1007" s="23"/>
      <c r="AR1007" s="23"/>
      <c r="AS1007" s="23">
        <f t="shared" si="17"/>
        <v>0</v>
      </c>
    </row>
    <row r="1008" spans="1:45" s="27" customFormat="1" ht="42.75" hidden="1" x14ac:dyDescent="0.2">
      <c r="A1008" s="28">
        <v>3024</v>
      </c>
      <c r="B1008" s="9" t="s">
        <v>266</v>
      </c>
      <c r="C1008" s="9" t="s">
        <v>267</v>
      </c>
      <c r="D1008" s="9" t="s">
        <v>234</v>
      </c>
      <c r="E1008" s="9" t="s">
        <v>702</v>
      </c>
      <c r="F1008" s="9" t="s">
        <v>200</v>
      </c>
      <c r="G1008" s="9" t="s">
        <v>809</v>
      </c>
      <c r="H1008" s="9" t="s">
        <v>831</v>
      </c>
      <c r="I1008" s="81"/>
      <c r="J1008" s="10">
        <f>'Messages Dictionary'!J421</f>
        <v>0</v>
      </c>
      <c r="K1008" s="81"/>
      <c r="L1008" s="29"/>
      <c r="M1008" s="29"/>
      <c r="N1008" s="23"/>
      <c r="O1008" s="23"/>
      <c r="P1008" s="23"/>
      <c r="Q1008" s="23"/>
      <c r="R1008" s="23"/>
      <c r="S1008" s="23"/>
      <c r="T1008" s="23"/>
      <c r="U1008" s="23"/>
      <c r="V1008" s="23"/>
      <c r="W1008" s="23"/>
      <c r="X1008" s="23"/>
      <c r="Y1008" s="23"/>
      <c r="Z1008" s="23"/>
      <c r="AA1008" s="23"/>
      <c r="AB1008" s="23"/>
      <c r="AC1008" s="23"/>
      <c r="AD1008" s="23"/>
      <c r="AE1008" s="23"/>
      <c r="AF1008" s="23"/>
      <c r="AG1008" s="23"/>
      <c r="AH1008" s="23"/>
      <c r="AI1008" s="23"/>
      <c r="AJ1008" s="23"/>
      <c r="AK1008" s="23"/>
      <c r="AL1008" s="23"/>
      <c r="AM1008" s="23"/>
      <c r="AN1008" s="23"/>
      <c r="AO1008" s="23"/>
      <c r="AP1008" s="23"/>
      <c r="AQ1008" s="23"/>
      <c r="AR1008" s="23"/>
      <c r="AS1008" s="23">
        <f t="shared" si="17"/>
        <v>0</v>
      </c>
    </row>
    <row r="1009" spans="1:45" s="27" customFormat="1" ht="42.75" hidden="1" x14ac:dyDescent="0.2">
      <c r="A1009" s="28">
        <v>3025</v>
      </c>
      <c r="B1009" s="9" t="s">
        <v>268</v>
      </c>
      <c r="C1009" s="9" t="s">
        <v>269</v>
      </c>
      <c r="D1009" s="9" t="s">
        <v>234</v>
      </c>
      <c r="E1009" s="9" t="s">
        <v>702</v>
      </c>
      <c r="F1009" s="9" t="s">
        <v>199</v>
      </c>
      <c r="G1009" s="9" t="s">
        <v>809</v>
      </c>
      <c r="H1009" s="9" t="s">
        <v>831</v>
      </c>
      <c r="I1009" s="81"/>
      <c r="J1009" s="10">
        <f>'Messages Dictionary'!J422</f>
        <v>0</v>
      </c>
      <c r="K1009" s="81"/>
      <c r="L1009" s="29"/>
      <c r="M1009" s="29"/>
      <c r="N1009" s="23"/>
      <c r="O1009" s="23"/>
      <c r="P1009" s="23"/>
      <c r="Q1009" s="23"/>
      <c r="R1009" s="23"/>
      <c r="S1009" s="23"/>
      <c r="T1009" s="23"/>
      <c r="U1009" s="23"/>
      <c r="V1009" s="23"/>
      <c r="W1009" s="23"/>
      <c r="X1009" s="23"/>
      <c r="Y1009" s="23"/>
      <c r="Z1009" s="23"/>
      <c r="AA1009" s="23"/>
      <c r="AB1009" s="23"/>
      <c r="AC1009" s="23"/>
      <c r="AD1009" s="23"/>
      <c r="AE1009" s="23"/>
      <c r="AF1009" s="23"/>
      <c r="AG1009" s="23"/>
      <c r="AH1009" s="23"/>
      <c r="AI1009" s="23"/>
      <c r="AJ1009" s="23"/>
      <c r="AK1009" s="23"/>
      <c r="AL1009" s="23"/>
      <c r="AM1009" s="23"/>
      <c r="AN1009" s="23"/>
      <c r="AO1009" s="23"/>
      <c r="AP1009" s="23"/>
      <c r="AQ1009" s="23"/>
      <c r="AR1009" s="23"/>
      <c r="AS1009" s="23">
        <f t="shared" si="17"/>
        <v>0</v>
      </c>
    </row>
    <row r="1010" spans="1:45" s="27" customFormat="1" ht="28.5" hidden="1" x14ac:dyDescent="0.2">
      <c r="A1010" s="28">
        <v>3026</v>
      </c>
      <c r="B1010" s="9" t="s">
        <v>270</v>
      </c>
      <c r="C1010" s="9" t="s">
        <v>271</v>
      </c>
      <c r="D1010" s="9" t="s">
        <v>234</v>
      </c>
      <c r="E1010" s="9" t="s">
        <v>702</v>
      </c>
      <c r="F1010" s="9" t="s">
        <v>199</v>
      </c>
      <c r="G1010" s="9" t="s">
        <v>809</v>
      </c>
      <c r="H1010" s="9" t="s">
        <v>831</v>
      </c>
      <c r="I1010" s="81"/>
      <c r="J1010" s="10">
        <f>'Messages Dictionary'!J423</f>
        <v>0</v>
      </c>
      <c r="K1010" s="81"/>
      <c r="L1010" s="29"/>
      <c r="M1010" s="29"/>
      <c r="N1010" s="23"/>
      <c r="O1010" s="23"/>
      <c r="P1010" s="23"/>
      <c r="Q1010" s="23"/>
      <c r="R1010" s="23"/>
      <c r="S1010" s="23"/>
      <c r="T1010" s="23"/>
      <c r="U1010" s="23"/>
      <c r="V1010" s="23"/>
      <c r="W1010" s="23"/>
      <c r="X1010" s="23"/>
      <c r="Y1010" s="23"/>
      <c r="Z1010" s="23"/>
      <c r="AA1010" s="23"/>
      <c r="AB1010" s="23"/>
      <c r="AC1010" s="23"/>
      <c r="AD1010" s="23"/>
      <c r="AE1010" s="23"/>
      <c r="AF1010" s="23"/>
      <c r="AG1010" s="23"/>
      <c r="AH1010" s="23"/>
      <c r="AI1010" s="23"/>
      <c r="AJ1010" s="23"/>
      <c r="AK1010" s="23"/>
      <c r="AL1010" s="23"/>
      <c r="AM1010" s="23"/>
      <c r="AN1010" s="23"/>
      <c r="AO1010" s="23"/>
      <c r="AP1010" s="23"/>
      <c r="AQ1010" s="23"/>
      <c r="AR1010" s="23"/>
      <c r="AS1010" s="23">
        <f t="shared" si="17"/>
        <v>0</v>
      </c>
    </row>
    <row r="1011" spans="1:45" s="27" customFormat="1" ht="28.5" hidden="1" x14ac:dyDescent="0.2">
      <c r="A1011" s="28">
        <v>3027</v>
      </c>
      <c r="B1011" s="9" t="s">
        <v>654</v>
      </c>
      <c r="C1011" s="9" t="s">
        <v>655</v>
      </c>
      <c r="D1011" s="9" t="s">
        <v>234</v>
      </c>
      <c r="E1011" s="9" t="s">
        <v>656</v>
      </c>
      <c r="F1011" s="9" t="s">
        <v>199</v>
      </c>
      <c r="G1011" s="9" t="s">
        <v>809</v>
      </c>
      <c r="H1011" s="9" t="s">
        <v>831</v>
      </c>
      <c r="I1011" s="81"/>
      <c r="J1011" s="10">
        <f>'Messages Dictionary'!J424</f>
        <v>0</v>
      </c>
      <c r="K1011" s="81"/>
      <c r="L1011" s="29"/>
      <c r="M1011" s="29"/>
      <c r="N1011" s="23"/>
      <c r="O1011" s="23"/>
      <c r="P1011" s="23"/>
      <c r="Q1011" s="23"/>
      <c r="R1011" s="23"/>
      <c r="S1011" s="23"/>
      <c r="T1011" s="23"/>
      <c r="U1011" s="23"/>
      <c r="V1011" s="23"/>
      <c r="W1011" s="23"/>
      <c r="X1011" s="23"/>
      <c r="Y1011" s="23"/>
      <c r="Z1011" s="23"/>
      <c r="AA1011" s="23"/>
      <c r="AB1011" s="23"/>
      <c r="AC1011" s="23"/>
      <c r="AD1011" s="23"/>
      <c r="AE1011" s="23"/>
      <c r="AF1011" s="23"/>
      <c r="AG1011" s="23"/>
      <c r="AH1011" s="23"/>
      <c r="AI1011" s="23"/>
      <c r="AJ1011" s="23"/>
      <c r="AK1011" s="23"/>
      <c r="AL1011" s="23"/>
      <c r="AM1011" s="23"/>
      <c r="AN1011" s="23"/>
      <c r="AO1011" s="23"/>
      <c r="AP1011" s="23"/>
      <c r="AQ1011" s="23"/>
      <c r="AR1011" s="23"/>
      <c r="AS1011" s="23">
        <f t="shared" si="17"/>
        <v>0</v>
      </c>
    </row>
    <row r="1012" spans="1:45" s="27" customFormat="1" ht="28.5" hidden="1" x14ac:dyDescent="0.2">
      <c r="A1012" s="28">
        <v>3028</v>
      </c>
      <c r="B1012" s="9" t="s">
        <v>657</v>
      </c>
      <c r="C1012" s="9" t="s">
        <v>658</v>
      </c>
      <c r="D1012" s="9" t="s">
        <v>234</v>
      </c>
      <c r="E1012" s="9" t="s">
        <v>656</v>
      </c>
      <c r="F1012" s="9" t="s">
        <v>201</v>
      </c>
      <c r="G1012" s="9" t="s">
        <v>809</v>
      </c>
      <c r="H1012" s="9" t="s">
        <v>831</v>
      </c>
      <c r="I1012" s="81"/>
      <c r="J1012" s="10">
        <f>'Messages Dictionary'!J425</f>
        <v>0</v>
      </c>
      <c r="K1012" s="81"/>
      <c r="L1012" s="29"/>
      <c r="M1012" s="29"/>
      <c r="N1012" s="23"/>
      <c r="O1012" s="23"/>
      <c r="P1012" s="23"/>
      <c r="Q1012" s="23"/>
      <c r="R1012" s="23"/>
      <c r="S1012" s="23"/>
      <c r="T1012" s="23"/>
      <c r="U1012" s="23"/>
      <c r="V1012" s="23"/>
      <c r="W1012" s="23"/>
      <c r="X1012" s="23"/>
      <c r="Y1012" s="23"/>
      <c r="Z1012" s="23"/>
      <c r="AA1012" s="23"/>
      <c r="AB1012" s="23"/>
      <c r="AC1012" s="23"/>
      <c r="AD1012" s="23"/>
      <c r="AE1012" s="23"/>
      <c r="AF1012" s="23"/>
      <c r="AG1012" s="23"/>
      <c r="AH1012" s="23"/>
      <c r="AI1012" s="23"/>
      <c r="AJ1012" s="23"/>
      <c r="AK1012" s="23"/>
      <c r="AL1012" s="23"/>
      <c r="AM1012" s="23"/>
      <c r="AN1012" s="23"/>
      <c r="AO1012" s="23"/>
      <c r="AP1012" s="23"/>
      <c r="AQ1012" s="23"/>
      <c r="AR1012" s="23"/>
      <c r="AS1012" s="23">
        <f t="shared" si="17"/>
        <v>0</v>
      </c>
    </row>
    <row r="1013" spans="1:45" s="27" customFormat="1" ht="28.5" hidden="1" x14ac:dyDescent="0.2">
      <c r="A1013" s="28">
        <v>3029</v>
      </c>
      <c r="B1013" s="9" t="s">
        <v>659</v>
      </c>
      <c r="C1013" s="9" t="s">
        <v>660</v>
      </c>
      <c r="D1013" s="9" t="s">
        <v>234</v>
      </c>
      <c r="E1013" s="9" t="s">
        <v>656</v>
      </c>
      <c r="F1013" s="9" t="s">
        <v>199</v>
      </c>
      <c r="G1013" s="9" t="s">
        <v>809</v>
      </c>
      <c r="H1013" s="9" t="s">
        <v>831</v>
      </c>
      <c r="I1013" s="81"/>
      <c r="J1013" s="10">
        <f>'Messages Dictionary'!J426</f>
        <v>0</v>
      </c>
      <c r="K1013" s="81"/>
      <c r="L1013" s="29"/>
      <c r="M1013" s="29"/>
      <c r="N1013" s="23"/>
      <c r="O1013" s="23"/>
      <c r="P1013" s="23"/>
      <c r="Q1013" s="23"/>
      <c r="R1013" s="23"/>
      <c r="S1013" s="23"/>
      <c r="T1013" s="23"/>
      <c r="U1013" s="23"/>
      <c r="V1013" s="23"/>
      <c r="W1013" s="23"/>
      <c r="X1013" s="23"/>
      <c r="Y1013" s="23"/>
      <c r="Z1013" s="23"/>
      <c r="AA1013" s="23"/>
      <c r="AB1013" s="23"/>
      <c r="AC1013" s="23"/>
      <c r="AD1013" s="23"/>
      <c r="AE1013" s="23"/>
      <c r="AF1013" s="23"/>
      <c r="AG1013" s="23"/>
      <c r="AH1013" s="23"/>
      <c r="AI1013" s="23"/>
      <c r="AJ1013" s="23"/>
      <c r="AK1013" s="23"/>
      <c r="AL1013" s="23"/>
      <c r="AM1013" s="23"/>
      <c r="AN1013" s="23"/>
      <c r="AO1013" s="23"/>
      <c r="AP1013" s="23"/>
      <c r="AQ1013" s="23"/>
      <c r="AR1013" s="23"/>
      <c r="AS1013" s="23">
        <f t="shared" si="17"/>
        <v>0</v>
      </c>
    </row>
    <row r="1014" spans="1:45" s="27" customFormat="1" ht="42.75" hidden="1" x14ac:dyDescent="0.2">
      <c r="A1014" s="28">
        <v>3030</v>
      </c>
      <c r="B1014" s="9" t="s">
        <v>661</v>
      </c>
      <c r="C1014" s="9" t="s">
        <v>662</v>
      </c>
      <c r="D1014" s="9" t="s">
        <v>234</v>
      </c>
      <c r="E1014" s="9" t="s">
        <v>656</v>
      </c>
      <c r="F1014" s="9" t="s">
        <v>199</v>
      </c>
      <c r="G1014" s="9" t="s">
        <v>809</v>
      </c>
      <c r="H1014" s="9" t="s">
        <v>831</v>
      </c>
      <c r="I1014" s="81"/>
      <c r="J1014" s="10">
        <f>'Messages Dictionary'!J427</f>
        <v>0</v>
      </c>
      <c r="K1014" s="81"/>
      <c r="L1014" s="29"/>
      <c r="M1014" s="29"/>
      <c r="N1014" s="23"/>
      <c r="O1014" s="23"/>
      <c r="P1014" s="23"/>
      <c r="Q1014" s="23"/>
      <c r="R1014" s="23"/>
      <c r="S1014" s="23"/>
      <c r="T1014" s="23"/>
      <c r="U1014" s="23"/>
      <c r="V1014" s="23"/>
      <c r="W1014" s="23"/>
      <c r="X1014" s="23"/>
      <c r="Y1014" s="23"/>
      <c r="Z1014" s="23"/>
      <c r="AA1014" s="23"/>
      <c r="AB1014" s="23"/>
      <c r="AC1014" s="23"/>
      <c r="AD1014" s="23"/>
      <c r="AE1014" s="23"/>
      <c r="AF1014" s="23"/>
      <c r="AG1014" s="23"/>
      <c r="AH1014" s="23"/>
      <c r="AI1014" s="23"/>
      <c r="AJ1014" s="23"/>
      <c r="AK1014" s="23"/>
      <c r="AL1014" s="23"/>
      <c r="AM1014" s="23"/>
      <c r="AN1014" s="23"/>
      <c r="AO1014" s="23"/>
      <c r="AP1014" s="23"/>
      <c r="AQ1014" s="23"/>
      <c r="AR1014" s="23"/>
      <c r="AS1014" s="23">
        <f t="shared" si="17"/>
        <v>0</v>
      </c>
    </row>
    <row r="1015" spans="1:45" s="27" customFormat="1" ht="57" hidden="1" x14ac:dyDescent="0.2">
      <c r="A1015" s="28">
        <v>3031</v>
      </c>
      <c r="B1015" s="9" t="s">
        <v>272</v>
      </c>
      <c r="C1015" s="9" t="s">
        <v>273</v>
      </c>
      <c r="D1015" s="9" t="s">
        <v>234</v>
      </c>
      <c r="E1015" s="9" t="s">
        <v>263</v>
      </c>
      <c r="F1015" s="9" t="s">
        <v>199</v>
      </c>
      <c r="G1015" s="9" t="s">
        <v>412</v>
      </c>
      <c r="H1015" s="9" t="s">
        <v>831</v>
      </c>
      <c r="I1015" s="81"/>
      <c r="J1015" s="10">
        <f>'Messages Dictionary'!J428</f>
        <v>0</v>
      </c>
      <c r="K1015" s="81"/>
      <c r="L1015" s="29"/>
      <c r="M1015" s="29"/>
      <c r="N1015" s="23"/>
      <c r="O1015" s="23"/>
      <c r="P1015" s="23"/>
      <c r="Q1015" s="23"/>
      <c r="R1015" s="23"/>
      <c r="S1015" s="23"/>
      <c r="T1015" s="23"/>
      <c r="U1015" s="23"/>
      <c r="V1015" s="23"/>
      <c r="W1015" s="23"/>
      <c r="X1015" s="23"/>
      <c r="Y1015" s="23"/>
      <c r="Z1015" s="23"/>
      <c r="AA1015" s="23"/>
      <c r="AB1015" s="23"/>
      <c r="AC1015" s="23"/>
      <c r="AD1015" s="23"/>
      <c r="AE1015" s="23"/>
      <c r="AF1015" s="23"/>
      <c r="AG1015" s="23"/>
      <c r="AH1015" s="23"/>
      <c r="AI1015" s="23"/>
      <c r="AJ1015" s="23"/>
      <c r="AK1015" s="23"/>
      <c r="AL1015" s="23"/>
      <c r="AM1015" s="23"/>
      <c r="AN1015" s="23"/>
      <c r="AO1015" s="23"/>
      <c r="AP1015" s="23"/>
      <c r="AQ1015" s="23"/>
      <c r="AR1015" s="23"/>
      <c r="AS1015" s="23">
        <f t="shared" si="17"/>
        <v>0</v>
      </c>
    </row>
    <row r="1016" spans="1:45" s="27" customFormat="1" ht="57" hidden="1" x14ac:dyDescent="0.2">
      <c r="A1016" s="28">
        <v>3032</v>
      </c>
      <c r="B1016" s="9" t="s">
        <v>276</v>
      </c>
      <c r="C1016" s="9" t="s">
        <v>273</v>
      </c>
      <c r="D1016" s="9" t="s">
        <v>234</v>
      </c>
      <c r="E1016" s="9" t="s">
        <v>263</v>
      </c>
      <c r="F1016" s="9" t="s">
        <v>199</v>
      </c>
      <c r="G1016" s="9" t="s">
        <v>412</v>
      </c>
      <c r="H1016" s="9" t="s">
        <v>831</v>
      </c>
      <c r="I1016" s="81"/>
      <c r="J1016" s="10">
        <f>'Messages Dictionary'!J429</f>
        <v>0</v>
      </c>
      <c r="K1016" s="81"/>
      <c r="L1016" s="29"/>
      <c r="M1016" s="29"/>
      <c r="N1016" s="23"/>
      <c r="O1016" s="23"/>
      <c r="P1016" s="23"/>
      <c r="Q1016" s="23"/>
      <c r="R1016" s="23"/>
      <c r="S1016" s="23"/>
      <c r="T1016" s="23"/>
      <c r="U1016" s="23"/>
      <c r="V1016" s="23"/>
      <c r="W1016" s="23"/>
      <c r="X1016" s="23"/>
      <c r="Y1016" s="23"/>
      <c r="Z1016" s="23"/>
      <c r="AA1016" s="23"/>
      <c r="AB1016" s="23"/>
      <c r="AC1016" s="23"/>
      <c r="AD1016" s="23"/>
      <c r="AE1016" s="23"/>
      <c r="AF1016" s="23"/>
      <c r="AG1016" s="23"/>
      <c r="AH1016" s="23"/>
      <c r="AI1016" s="23"/>
      <c r="AJ1016" s="23"/>
      <c r="AK1016" s="23"/>
      <c r="AL1016" s="23"/>
      <c r="AM1016" s="23"/>
      <c r="AN1016" s="23"/>
      <c r="AO1016" s="23"/>
      <c r="AP1016" s="23"/>
      <c r="AQ1016" s="23"/>
      <c r="AR1016" s="23"/>
      <c r="AS1016" s="23">
        <f t="shared" si="17"/>
        <v>0</v>
      </c>
    </row>
    <row r="1017" spans="1:45" s="27" customFormat="1" ht="28.5" hidden="1" x14ac:dyDescent="0.2">
      <c r="A1017" s="28">
        <v>3033</v>
      </c>
      <c r="B1017" s="9" t="s">
        <v>277</v>
      </c>
      <c r="C1017" s="9" t="s">
        <v>278</v>
      </c>
      <c r="D1017" s="9" t="s">
        <v>234</v>
      </c>
      <c r="E1017" s="9" t="s">
        <v>263</v>
      </c>
      <c r="F1017" s="9" t="s">
        <v>199</v>
      </c>
      <c r="G1017" s="9" t="s">
        <v>809</v>
      </c>
      <c r="H1017" s="9" t="s">
        <v>831</v>
      </c>
      <c r="I1017" s="81"/>
      <c r="J1017" s="10">
        <f>'Messages Dictionary'!J430</f>
        <v>0</v>
      </c>
      <c r="K1017" s="81"/>
      <c r="L1017" s="29"/>
      <c r="M1017" s="29"/>
      <c r="N1017" s="23"/>
      <c r="O1017" s="23"/>
      <c r="P1017" s="23"/>
      <c r="Q1017" s="23"/>
      <c r="R1017" s="23"/>
      <c r="S1017" s="23"/>
      <c r="T1017" s="23"/>
      <c r="U1017" s="23"/>
      <c r="V1017" s="23"/>
      <c r="W1017" s="23"/>
      <c r="X1017" s="23"/>
      <c r="Y1017" s="23"/>
      <c r="Z1017" s="23"/>
      <c r="AA1017" s="23"/>
      <c r="AB1017" s="23"/>
      <c r="AC1017" s="23"/>
      <c r="AD1017" s="23"/>
      <c r="AE1017" s="23"/>
      <c r="AF1017" s="23"/>
      <c r="AG1017" s="23"/>
      <c r="AH1017" s="23"/>
      <c r="AI1017" s="23"/>
      <c r="AJ1017" s="23"/>
      <c r="AK1017" s="23"/>
      <c r="AL1017" s="23"/>
      <c r="AM1017" s="23"/>
      <c r="AN1017" s="23"/>
      <c r="AO1017" s="23"/>
      <c r="AP1017" s="23"/>
      <c r="AQ1017" s="23"/>
      <c r="AR1017" s="23"/>
      <c r="AS1017" s="23">
        <f t="shared" si="17"/>
        <v>0</v>
      </c>
    </row>
    <row r="1018" spans="1:45" s="27" customFormat="1" ht="85.5" hidden="1" x14ac:dyDescent="0.2">
      <c r="A1018" s="28">
        <v>3034</v>
      </c>
      <c r="B1018" s="9" t="s">
        <v>279</v>
      </c>
      <c r="C1018" s="9" t="s">
        <v>281</v>
      </c>
      <c r="D1018" s="9" t="s">
        <v>234</v>
      </c>
      <c r="E1018" s="9" t="s">
        <v>263</v>
      </c>
      <c r="F1018" s="9" t="s">
        <v>199</v>
      </c>
      <c r="G1018" s="9" t="s">
        <v>412</v>
      </c>
      <c r="H1018" s="9" t="s">
        <v>831</v>
      </c>
      <c r="I1018" s="81"/>
      <c r="J1018" s="10">
        <f>'Messages Dictionary'!J431</f>
        <v>0</v>
      </c>
      <c r="K1018" s="81"/>
      <c r="L1018" s="29"/>
      <c r="M1018" s="29"/>
      <c r="N1018" s="23"/>
      <c r="O1018" s="23"/>
      <c r="P1018" s="23"/>
      <c r="Q1018" s="23"/>
      <c r="R1018" s="23"/>
      <c r="S1018" s="23"/>
      <c r="T1018" s="23"/>
      <c r="U1018" s="23"/>
      <c r="V1018" s="23"/>
      <c r="W1018" s="23"/>
      <c r="X1018" s="23"/>
      <c r="Y1018" s="23"/>
      <c r="Z1018" s="23"/>
      <c r="AA1018" s="23"/>
      <c r="AB1018" s="23"/>
      <c r="AC1018" s="23"/>
      <c r="AD1018" s="23"/>
      <c r="AE1018" s="23"/>
      <c r="AF1018" s="23"/>
      <c r="AG1018" s="23"/>
      <c r="AH1018" s="23"/>
      <c r="AI1018" s="23"/>
      <c r="AJ1018" s="23"/>
      <c r="AK1018" s="23"/>
      <c r="AL1018" s="23"/>
      <c r="AM1018" s="23"/>
      <c r="AN1018" s="23"/>
      <c r="AO1018" s="23"/>
      <c r="AP1018" s="23"/>
      <c r="AQ1018" s="23"/>
      <c r="AR1018" s="23"/>
      <c r="AS1018" s="23">
        <f t="shared" si="17"/>
        <v>0</v>
      </c>
    </row>
    <row r="1019" spans="1:45" s="27" customFormat="1" ht="85.5" hidden="1" x14ac:dyDescent="0.2">
      <c r="A1019" s="28">
        <v>3035</v>
      </c>
      <c r="B1019" s="9" t="s">
        <v>282</v>
      </c>
      <c r="C1019" s="9" t="s">
        <v>283</v>
      </c>
      <c r="D1019" s="9" t="s">
        <v>234</v>
      </c>
      <c r="E1019" s="9" t="s">
        <v>263</v>
      </c>
      <c r="F1019" s="9" t="s">
        <v>199</v>
      </c>
      <c r="G1019" s="9" t="s">
        <v>412</v>
      </c>
      <c r="H1019" s="9" t="s">
        <v>831</v>
      </c>
      <c r="I1019" s="81"/>
      <c r="J1019" s="10">
        <f>'Messages Dictionary'!J432</f>
        <v>0</v>
      </c>
      <c r="K1019" s="81"/>
      <c r="L1019" s="29"/>
      <c r="M1019" s="29"/>
      <c r="N1019" s="23"/>
      <c r="O1019" s="23"/>
      <c r="P1019" s="23"/>
      <c r="Q1019" s="23"/>
      <c r="R1019" s="23"/>
      <c r="S1019" s="23"/>
      <c r="T1019" s="23"/>
      <c r="U1019" s="23"/>
      <c r="V1019" s="23"/>
      <c r="W1019" s="23"/>
      <c r="X1019" s="23"/>
      <c r="Y1019" s="23"/>
      <c r="Z1019" s="23"/>
      <c r="AA1019" s="23"/>
      <c r="AB1019" s="23"/>
      <c r="AC1019" s="23"/>
      <c r="AD1019" s="23"/>
      <c r="AE1019" s="23"/>
      <c r="AF1019" s="23"/>
      <c r="AG1019" s="23"/>
      <c r="AH1019" s="23"/>
      <c r="AI1019" s="23"/>
      <c r="AJ1019" s="23"/>
      <c r="AK1019" s="23"/>
      <c r="AL1019" s="23"/>
      <c r="AM1019" s="23"/>
      <c r="AN1019" s="23"/>
      <c r="AO1019" s="23"/>
      <c r="AP1019" s="23"/>
      <c r="AQ1019" s="23"/>
      <c r="AR1019" s="23"/>
      <c r="AS1019" s="23">
        <f t="shared" si="17"/>
        <v>0</v>
      </c>
    </row>
    <row r="1020" spans="1:45" s="27" customFormat="1" ht="28.5" hidden="1" x14ac:dyDescent="0.2">
      <c r="A1020" s="28">
        <v>3036</v>
      </c>
      <c r="B1020" s="9" t="s">
        <v>284</v>
      </c>
      <c r="C1020" s="9" t="s">
        <v>286</v>
      </c>
      <c r="D1020" s="9" t="s">
        <v>234</v>
      </c>
      <c r="E1020" s="9" t="s">
        <v>263</v>
      </c>
      <c r="F1020" s="9" t="s">
        <v>199</v>
      </c>
      <c r="G1020" s="9" t="s">
        <v>809</v>
      </c>
      <c r="H1020" s="9" t="s">
        <v>831</v>
      </c>
      <c r="I1020" s="81"/>
      <c r="J1020" s="10">
        <f>'Messages Dictionary'!J433</f>
        <v>0</v>
      </c>
      <c r="K1020" s="81"/>
      <c r="L1020" s="29"/>
      <c r="M1020" s="29"/>
      <c r="N1020" s="23"/>
      <c r="O1020" s="23"/>
      <c r="P1020" s="23"/>
      <c r="Q1020" s="23"/>
      <c r="R1020" s="23"/>
      <c r="S1020" s="23"/>
      <c r="T1020" s="23"/>
      <c r="U1020" s="23"/>
      <c r="V1020" s="23"/>
      <c r="W1020" s="23"/>
      <c r="X1020" s="23"/>
      <c r="Y1020" s="23"/>
      <c r="Z1020" s="23"/>
      <c r="AA1020" s="23"/>
      <c r="AB1020" s="23"/>
      <c r="AC1020" s="23"/>
      <c r="AD1020" s="23"/>
      <c r="AE1020" s="23"/>
      <c r="AF1020" s="23"/>
      <c r="AG1020" s="23"/>
      <c r="AH1020" s="23"/>
      <c r="AI1020" s="23"/>
      <c r="AJ1020" s="23"/>
      <c r="AK1020" s="23"/>
      <c r="AL1020" s="23"/>
      <c r="AM1020" s="23"/>
      <c r="AN1020" s="23"/>
      <c r="AO1020" s="23"/>
      <c r="AP1020" s="23"/>
      <c r="AQ1020" s="23"/>
      <c r="AR1020" s="23"/>
      <c r="AS1020" s="23">
        <f t="shared" si="17"/>
        <v>0</v>
      </c>
    </row>
    <row r="1021" spans="1:45" s="27" customFormat="1" ht="28.5" hidden="1" x14ac:dyDescent="0.2">
      <c r="A1021" s="28">
        <v>3037</v>
      </c>
      <c r="B1021" s="9" t="s">
        <v>287</v>
      </c>
      <c r="C1021" s="9" t="s">
        <v>288</v>
      </c>
      <c r="D1021" s="9" t="s">
        <v>234</v>
      </c>
      <c r="E1021" s="9" t="s">
        <v>263</v>
      </c>
      <c r="F1021" s="9" t="s">
        <v>200</v>
      </c>
      <c r="G1021" s="9" t="s">
        <v>809</v>
      </c>
      <c r="H1021" s="9" t="s">
        <v>831</v>
      </c>
      <c r="I1021" s="81"/>
      <c r="J1021" s="10">
        <f>'Messages Dictionary'!J434</f>
        <v>0</v>
      </c>
      <c r="K1021" s="81"/>
      <c r="L1021" s="29"/>
      <c r="M1021" s="29"/>
      <c r="N1021" s="23"/>
      <c r="O1021" s="23"/>
      <c r="P1021" s="23"/>
      <c r="Q1021" s="23"/>
      <c r="R1021" s="23"/>
      <c r="S1021" s="23"/>
      <c r="T1021" s="23"/>
      <c r="U1021" s="23"/>
      <c r="V1021" s="23"/>
      <c r="W1021" s="23"/>
      <c r="X1021" s="23"/>
      <c r="Y1021" s="23"/>
      <c r="Z1021" s="23"/>
      <c r="AA1021" s="23"/>
      <c r="AB1021" s="23"/>
      <c r="AC1021" s="23"/>
      <c r="AD1021" s="23"/>
      <c r="AE1021" s="23"/>
      <c r="AF1021" s="23"/>
      <c r="AG1021" s="23"/>
      <c r="AH1021" s="23"/>
      <c r="AI1021" s="23"/>
      <c r="AJ1021" s="23"/>
      <c r="AK1021" s="23"/>
      <c r="AL1021" s="23"/>
      <c r="AM1021" s="23"/>
      <c r="AN1021" s="23"/>
      <c r="AO1021" s="23"/>
      <c r="AP1021" s="23"/>
      <c r="AQ1021" s="23"/>
      <c r="AR1021" s="23"/>
      <c r="AS1021" s="23">
        <f t="shared" si="17"/>
        <v>0</v>
      </c>
    </row>
    <row r="1022" spans="1:45" s="27" customFormat="1" ht="42.75" hidden="1" x14ac:dyDescent="0.2">
      <c r="A1022" s="28">
        <v>3038</v>
      </c>
      <c r="B1022" s="9" t="s">
        <v>291</v>
      </c>
      <c r="C1022" s="9" t="s">
        <v>292</v>
      </c>
      <c r="D1022" s="9" t="s">
        <v>234</v>
      </c>
      <c r="E1022" s="9" t="s">
        <v>263</v>
      </c>
      <c r="F1022" s="9" t="s">
        <v>199</v>
      </c>
      <c r="G1022" s="9" t="s">
        <v>412</v>
      </c>
      <c r="H1022" s="9" t="s">
        <v>831</v>
      </c>
      <c r="I1022" s="81"/>
      <c r="J1022" s="10">
        <f>'Messages Dictionary'!J435</f>
        <v>0</v>
      </c>
      <c r="K1022" s="81"/>
      <c r="L1022" s="29"/>
      <c r="M1022" s="29"/>
      <c r="N1022" s="23"/>
      <c r="O1022" s="23"/>
      <c r="P1022" s="23"/>
      <c r="Q1022" s="23"/>
      <c r="R1022" s="23"/>
      <c r="S1022" s="23"/>
      <c r="T1022" s="23"/>
      <c r="U1022" s="23"/>
      <c r="V1022" s="23"/>
      <c r="W1022" s="23"/>
      <c r="X1022" s="23"/>
      <c r="Y1022" s="23"/>
      <c r="Z1022" s="23"/>
      <c r="AA1022" s="23"/>
      <c r="AB1022" s="23"/>
      <c r="AC1022" s="23"/>
      <c r="AD1022" s="23"/>
      <c r="AE1022" s="23"/>
      <c r="AF1022" s="23"/>
      <c r="AG1022" s="23"/>
      <c r="AH1022" s="23"/>
      <c r="AI1022" s="23"/>
      <c r="AJ1022" s="23"/>
      <c r="AK1022" s="23"/>
      <c r="AL1022" s="23"/>
      <c r="AM1022" s="23"/>
      <c r="AN1022" s="23"/>
      <c r="AO1022" s="23"/>
      <c r="AP1022" s="23"/>
      <c r="AQ1022" s="23"/>
      <c r="AR1022" s="23"/>
      <c r="AS1022" s="23">
        <f t="shared" si="17"/>
        <v>0</v>
      </c>
    </row>
    <row r="1023" spans="1:45" s="27" customFormat="1" ht="28.5" hidden="1" x14ac:dyDescent="0.2">
      <c r="A1023" s="28">
        <v>3039</v>
      </c>
      <c r="B1023" s="9" t="s">
        <v>293</v>
      </c>
      <c r="C1023" s="9" t="s">
        <v>294</v>
      </c>
      <c r="D1023" s="9" t="s">
        <v>234</v>
      </c>
      <c r="E1023" s="9" t="s">
        <v>263</v>
      </c>
      <c r="F1023" s="9" t="s">
        <v>199</v>
      </c>
      <c r="G1023" s="9" t="s">
        <v>412</v>
      </c>
      <c r="H1023" s="9" t="s">
        <v>831</v>
      </c>
      <c r="I1023" s="81"/>
      <c r="J1023" s="10">
        <f>'Messages Dictionary'!J436</f>
        <v>0</v>
      </c>
      <c r="K1023" s="81"/>
      <c r="L1023" s="29"/>
      <c r="M1023" s="29"/>
      <c r="N1023" s="23"/>
      <c r="O1023" s="23"/>
      <c r="P1023" s="23"/>
      <c r="Q1023" s="23"/>
      <c r="R1023" s="23"/>
      <c r="S1023" s="23"/>
      <c r="T1023" s="23"/>
      <c r="U1023" s="23"/>
      <c r="V1023" s="23"/>
      <c r="W1023" s="23"/>
      <c r="X1023" s="23"/>
      <c r="Y1023" s="23"/>
      <c r="Z1023" s="23"/>
      <c r="AA1023" s="23"/>
      <c r="AB1023" s="23"/>
      <c r="AC1023" s="23"/>
      <c r="AD1023" s="23"/>
      <c r="AE1023" s="23"/>
      <c r="AF1023" s="23"/>
      <c r="AG1023" s="23"/>
      <c r="AH1023" s="23"/>
      <c r="AI1023" s="23"/>
      <c r="AJ1023" s="23"/>
      <c r="AK1023" s="23"/>
      <c r="AL1023" s="23"/>
      <c r="AM1023" s="23"/>
      <c r="AN1023" s="23"/>
      <c r="AO1023" s="23"/>
      <c r="AP1023" s="23"/>
      <c r="AQ1023" s="23"/>
      <c r="AR1023" s="23"/>
      <c r="AS1023" s="23">
        <f t="shared" si="17"/>
        <v>0</v>
      </c>
    </row>
    <row r="1024" spans="1:45" s="27" customFormat="1" ht="42.75" hidden="1" x14ac:dyDescent="0.2">
      <c r="A1024" s="28">
        <v>3040</v>
      </c>
      <c r="B1024" s="9" t="s">
        <v>295</v>
      </c>
      <c r="C1024" s="9" t="s">
        <v>296</v>
      </c>
      <c r="D1024" s="9" t="s">
        <v>234</v>
      </c>
      <c r="E1024" s="9" t="s">
        <v>263</v>
      </c>
      <c r="F1024" s="9" t="s">
        <v>199</v>
      </c>
      <c r="G1024" s="9" t="s">
        <v>809</v>
      </c>
      <c r="H1024" s="9" t="s">
        <v>831</v>
      </c>
      <c r="I1024" s="81"/>
      <c r="J1024" s="10">
        <f>'Messages Dictionary'!J437</f>
        <v>0</v>
      </c>
      <c r="K1024" s="81"/>
      <c r="L1024" s="29"/>
      <c r="M1024" s="29"/>
      <c r="N1024" s="23"/>
      <c r="O1024" s="23"/>
      <c r="P1024" s="23"/>
      <c r="Q1024" s="23"/>
      <c r="R1024" s="23"/>
      <c r="S1024" s="23"/>
      <c r="T1024" s="23"/>
      <c r="U1024" s="23"/>
      <c r="V1024" s="23"/>
      <c r="W1024" s="23"/>
      <c r="X1024" s="23"/>
      <c r="Y1024" s="23"/>
      <c r="Z1024" s="23"/>
      <c r="AA1024" s="23"/>
      <c r="AB1024" s="23"/>
      <c r="AC1024" s="23"/>
      <c r="AD1024" s="23"/>
      <c r="AE1024" s="23"/>
      <c r="AF1024" s="23"/>
      <c r="AG1024" s="23"/>
      <c r="AH1024" s="23"/>
      <c r="AI1024" s="23"/>
      <c r="AJ1024" s="23"/>
      <c r="AK1024" s="23"/>
      <c r="AL1024" s="23"/>
      <c r="AM1024" s="23"/>
      <c r="AN1024" s="23"/>
      <c r="AO1024" s="23"/>
      <c r="AP1024" s="23"/>
      <c r="AQ1024" s="23"/>
      <c r="AR1024" s="23"/>
      <c r="AS1024" s="23">
        <f t="shared" si="17"/>
        <v>0</v>
      </c>
    </row>
    <row r="1025" spans="1:45" s="27" customFormat="1" ht="42.75" hidden="1" x14ac:dyDescent="0.2">
      <c r="A1025" s="28">
        <v>3041</v>
      </c>
      <c r="B1025" s="9" t="s">
        <v>297</v>
      </c>
      <c r="C1025" s="9" t="s">
        <v>300</v>
      </c>
      <c r="D1025" s="9" t="s">
        <v>234</v>
      </c>
      <c r="E1025" s="9" t="s">
        <v>263</v>
      </c>
      <c r="F1025" s="9" t="s">
        <v>198</v>
      </c>
      <c r="G1025" s="9" t="s">
        <v>809</v>
      </c>
      <c r="H1025" s="9" t="s">
        <v>831</v>
      </c>
      <c r="I1025" s="81"/>
      <c r="J1025" s="10">
        <f>'Messages Dictionary'!J438</f>
        <v>0</v>
      </c>
      <c r="K1025" s="81"/>
      <c r="L1025" s="29"/>
      <c r="M1025" s="29"/>
      <c r="N1025" s="23"/>
      <c r="O1025" s="23"/>
      <c r="P1025" s="23"/>
      <c r="Q1025" s="23"/>
      <c r="R1025" s="23"/>
      <c r="S1025" s="23"/>
      <c r="T1025" s="23"/>
      <c r="U1025" s="23"/>
      <c r="V1025" s="23"/>
      <c r="W1025" s="23"/>
      <c r="X1025" s="23"/>
      <c r="Y1025" s="23"/>
      <c r="Z1025" s="23"/>
      <c r="AA1025" s="23"/>
      <c r="AB1025" s="23"/>
      <c r="AC1025" s="23"/>
      <c r="AD1025" s="23"/>
      <c r="AE1025" s="23"/>
      <c r="AF1025" s="23"/>
      <c r="AG1025" s="23"/>
      <c r="AH1025" s="23"/>
      <c r="AI1025" s="23"/>
      <c r="AJ1025" s="23"/>
      <c r="AK1025" s="23"/>
      <c r="AL1025" s="23"/>
      <c r="AM1025" s="23"/>
      <c r="AN1025" s="23"/>
      <c r="AO1025" s="23"/>
      <c r="AP1025" s="23"/>
      <c r="AQ1025" s="23"/>
      <c r="AR1025" s="23"/>
      <c r="AS1025" s="23">
        <f t="shared" si="17"/>
        <v>0</v>
      </c>
    </row>
    <row r="1026" spans="1:45" s="27" customFormat="1" ht="42.75" hidden="1" x14ac:dyDescent="0.2">
      <c r="A1026" s="28">
        <v>3042</v>
      </c>
      <c r="B1026" s="9" t="s">
        <v>301</v>
      </c>
      <c r="C1026" s="9" t="s">
        <v>301</v>
      </c>
      <c r="D1026" s="9" t="s">
        <v>234</v>
      </c>
      <c r="E1026" s="9" t="s">
        <v>263</v>
      </c>
      <c r="F1026" s="9" t="s">
        <v>198</v>
      </c>
      <c r="G1026" s="9" t="s">
        <v>809</v>
      </c>
      <c r="H1026" s="9" t="s">
        <v>831</v>
      </c>
      <c r="I1026" s="81"/>
      <c r="J1026" s="10">
        <f>'Messages Dictionary'!J439</f>
        <v>0</v>
      </c>
      <c r="K1026" s="81"/>
      <c r="L1026" s="29"/>
      <c r="M1026" s="29"/>
      <c r="N1026" s="23"/>
      <c r="O1026" s="23"/>
      <c r="P1026" s="23"/>
      <c r="Q1026" s="23"/>
      <c r="R1026" s="23"/>
      <c r="S1026" s="23"/>
      <c r="T1026" s="23"/>
      <c r="U1026" s="23"/>
      <c r="V1026" s="23"/>
      <c r="W1026" s="23"/>
      <c r="X1026" s="23"/>
      <c r="Y1026" s="23"/>
      <c r="Z1026" s="23"/>
      <c r="AA1026" s="23"/>
      <c r="AB1026" s="23"/>
      <c r="AC1026" s="23"/>
      <c r="AD1026" s="23"/>
      <c r="AE1026" s="23"/>
      <c r="AF1026" s="23"/>
      <c r="AG1026" s="23"/>
      <c r="AH1026" s="23"/>
      <c r="AI1026" s="23"/>
      <c r="AJ1026" s="23"/>
      <c r="AK1026" s="23"/>
      <c r="AL1026" s="23"/>
      <c r="AM1026" s="23"/>
      <c r="AN1026" s="23"/>
      <c r="AO1026" s="23"/>
      <c r="AP1026" s="23"/>
      <c r="AQ1026" s="23"/>
      <c r="AR1026" s="23"/>
      <c r="AS1026" s="23">
        <f t="shared" si="17"/>
        <v>0</v>
      </c>
    </row>
    <row r="1027" spans="1:45" s="27" customFormat="1" ht="42.75" hidden="1" x14ac:dyDescent="0.2">
      <c r="A1027" s="28">
        <v>3043</v>
      </c>
      <c r="B1027" s="9" t="s">
        <v>302</v>
      </c>
      <c r="C1027" s="9" t="s">
        <v>303</v>
      </c>
      <c r="D1027" s="9" t="s">
        <v>234</v>
      </c>
      <c r="E1027" s="9" t="s">
        <v>263</v>
      </c>
      <c r="F1027" s="9" t="s">
        <v>199</v>
      </c>
      <c r="G1027" s="9" t="s">
        <v>412</v>
      </c>
      <c r="H1027" s="9" t="s">
        <v>831</v>
      </c>
      <c r="I1027" s="81"/>
      <c r="J1027" s="10">
        <f>'Messages Dictionary'!J440</f>
        <v>0</v>
      </c>
      <c r="K1027" s="81"/>
      <c r="L1027" s="29"/>
      <c r="M1027" s="29"/>
      <c r="N1027" s="23"/>
      <c r="O1027" s="23"/>
      <c r="P1027" s="23"/>
      <c r="Q1027" s="23"/>
      <c r="R1027" s="23"/>
      <c r="S1027" s="23"/>
      <c r="T1027" s="23"/>
      <c r="U1027" s="23"/>
      <c r="V1027" s="23"/>
      <c r="W1027" s="23"/>
      <c r="X1027" s="23"/>
      <c r="Y1027" s="23"/>
      <c r="Z1027" s="23"/>
      <c r="AA1027" s="23"/>
      <c r="AB1027" s="23"/>
      <c r="AC1027" s="23"/>
      <c r="AD1027" s="23"/>
      <c r="AE1027" s="23"/>
      <c r="AF1027" s="23"/>
      <c r="AG1027" s="23"/>
      <c r="AH1027" s="23"/>
      <c r="AI1027" s="23"/>
      <c r="AJ1027" s="23"/>
      <c r="AK1027" s="23"/>
      <c r="AL1027" s="23"/>
      <c r="AM1027" s="23"/>
      <c r="AN1027" s="23"/>
      <c r="AO1027" s="23"/>
      <c r="AP1027" s="23"/>
      <c r="AQ1027" s="23"/>
      <c r="AR1027" s="23"/>
      <c r="AS1027" s="23">
        <f t="shared" si="17"/>
        <v>0</v>
      </c>
    </row>
    <row r="1028" spans="1:45" s="27" customFormat="1" ht="28.5" hidden="1" x14ac:dyDescent="0.2">
      <c r="A1028" s="28">
        <v>3044</v>
      </c>
      <c r="B1028" s="9" t="s">
        <v>304</v>
      </c>
      <c r="C1028" s="9" t="s">
        <v>305</v>
      </c>
      <c r="D1028" s="9" t="s">
        <v>234</v>
      </c>
      <c r="E1028" s="9" t="s">
        <v>263</v>
      </c>
      <c r="F1028" s="9" t="s">
        <v>199</v>
      </c>
      <c r="G1028" s="9" t="s">
        <v>412</v>
      </c>
      <c r="H1028" s="9" t="s">
        <v>831</v>
      </c>
      <c r="I1028" s="81"/>
      <c r="J1028" s="10">
        <f>'Messages Dictionary'!J441</f>
        <v>0</v>
      </c>
      <c r="K1028" s="81"/>
      <c r="L1028" s="29"/>
      <c r="M1028" s="29"/>
      <c r="N1028" s="23"/>
      <c r="O1028" s="23"/>
      <c r="P1028" s="23"/>
      <c r="Q1028" s="23"/>
      <c r="R1028" s="23"/>
      <c r="S1028" s="23"/>
      <c r="T1028" s="23"/>
      <c r="U1028" s="23"/>
      <c r="V1028" s="23"/>
      <c r="W1028" s="23"/>
      <c r="X1028" s="23"/>
      <c r="Y1028" s="23"/>
      <c r="Z1028" s="23"/>
      <c r="AA1028" s="23"/>
      <c r="AB1028" s="23"/>
      <c r="AC1028" s="23"/>
      <c r="AD1028" s="23"/>
      <c r="AE1028" s="23"/>
      <c r="AF1028" s="23"/>
      <c r="AG1028" s="23"/>
      <c r="AH1028" s="23"/>
      <c r="AI1028" s="23"/>
      <c r="AJ1028" s="23"/>
      <c r="AK1028" s="23"/>
      <c r="AL1028" s="23"/>
      <c r="AM1028" s="23"/>
      <c r="AN1028" s="23"/>
      <c r="AO1028" s="23"/>
      <c r="AP1028" s="23"/>
      <c r="AQ1028" s="23"/>
      <c r="AR1028" s="23"/>
      <c r="AS1028" s="23">
        <f t="shared" si="17"/>
        <v>0</v>
      </c>
    </row>
    <row r="1029" spans="1:45" s="27" customFormat="1" ht="42.75" hidden="1" x14ac:dyDescent="0.2">
      <c r="A1029" s="28">
        <v>3045</v>
      </c>
      <c r="B1029" s="9" t="s">
        <v>306</v>
      </c>
      <c r="C1029" s="9" t="s">
        <v>307</v>
      </c>
      <c r="D1029" s="9" t="s">
        <v>234</v>
      </c>
      <c r="E1029" s="9" t="s">
        <v>263</v>
      </c>
      <c r="F1029" s="9" t="s">
        <v>199</v>
      </c>
      <c r="G1029" s="9" t="s">
        <v>412</v>
      </c>
      <c r="H1029" s="9" t="s">
        <v>831</v>
      </c>
      <c r="I1029" s="81"/>
      <c r="J1029" s="10">
        <f>'Messages Dictionary'!J442</f>
        <v>0</v>
      </c>
      <c r="K1029" s="81"/>
      <c r="L1029" s="29"/>
      <c r="M1029" s="29"/>
      <c r="N1029" s="23"/>
      <c r="O1029" s="23"/>
      <c r="P1029" s="23"/>
      <c r="Q1029" s="23"/>
      <c r="R1029" s="23"/>
      <c r="S1029" s="23"/>
      <c r="T1029" s="23"/>
      <c r="U1029" s="23"/>
      <c r="V1029" s="23"/>
      <c r="W1029" s="23"/>
      <c r="X1029" s="23"/>
      <c r="Y1029" s="23"/>
      <c r="Z1029" s="23"/>
      <c r="AA1029" s="23"/>
      <c r="AB1029" s="23"/>
      <c r="AC1029" s="23"/>
      <c r="AD1029" s="23"/>
      <c r="AE1029" s="23"/>
      <c r="AF1029" s="23"/>
      <c r="AG1029" s="23"/>
      <c r="AH1029" s="23"/>
      <c r="AI1029" s="23"/>
      <c r="AJ1029" s="23"/>
      <c r="AK1029" s="23"/>
      <c r="AL1029" s="23"/>
      <c r="AM1029" s="23"/>
      <c r="AN1029" s="23"/>
      <c r="AO1029" s="23"/>
      <c r="AP1029" s="23"/>
      <c r="AQ1029" s="23"/>
      <c r="AR1029" s="23"/>
      <c r="AS1029" s="23">
        <f t="shared" si="17"/>
        <v>0</v>
      </c>
    </row>
    <row r="1030" spans="1:45" s="27" customFormat="1" ht="28.5" hidden="1" x14ac:dyDescent="0.2">
      <c r="A1030" s="28">
        <v>3046</v>
      </c>
      <c r="B1030" s="9" t="s">
        <v>663</v>
      </c>
      <c r="C1030" s="9" t="s">
        <v>664</v>
      </c>
      <c r="D1030" s="9" t="s">
        <v>404</v>
      </c>
      <c r="E1030" s="9" t="s">
        <v>404</v>
      </c>
      <c r="F1030" s="9" t="s">
        <v>201</v>
      </c>
      <c r="G1030" s="9" t="s">
        <v>809</v>
      </c>
      <c r="H1030" s="9" t="s">
        <v>831</v>
      </c>
      <c r="I1030" s="81"/>
      <c r="J1030" s="10">
        <f>'Messages Dictionary'!J443</f>
        <v>0</v>
      </c>
      <c r="K1030" s="81"/>
      <c r="L1030" s="29"/>
      <c r="M1030" s="29"/>
      <c r="N1030" s="23"/>
      <c r="O1030" s="23"/>
      <c r="P1030" s="23"/>
      <c r="Q1030" s="23"/>
      <c r="R1030" s="23"/>
      <c r="S1030" s="23"/>
      <c r="T1030" s="23"/>
      <c r="U1030" s="23"/>
      <c r="V1030" s="23"/>
      <c r="W1030" s="23"/>
      <c r="X1030" s="23"/>
      <c r="Y1030" s="23"/>
      <c r="Z1030" s="23"/>
      <c r="AA1030" s="23"/>
      <c r="AB1030" s="23"/>
      <c r="AC1030" s="23"/>
      <c r="AD1030" s="23"/>
      <c r="AE1030" s="23"/>
      <c r="AF1030" s="23"/>
      <c r="AG1030" s="23"/>
      <c r="AH1030" s="23"/>
      <c r="AI1030" s="23"/>
      <c r="AJ1030" s="23"/>
      <c r="AK1030" s="23"/>
      <c r="AL1030" s="23"/>
      <c r="AM1030" s="23"/>
      <c r="AN1030" s="23"/>
      <c r="AO1030" s="23"/>
      <c r="AP1030" s="23"/>
      <c r="AQ1030" s="23"/>
      <c r="AR1030" s="23"/>
      <c r="AS1030" s="23">
        <f t="shared" si="17"/>
        <v>0</v>
      </c>
    </row>
    <row r="1031" spans="1:45" s="27" customFormat="1" ht="57" hidden="1" x14ac:dyDescent="0.2">
      <c r="A1031" s="28">
        <v>3047</v>
      </c>
      <c r="B1031" s="9" t="s">
        <v>308</v>
      </c>
      <c r="C1031" s="9" t="s">
        <v>309</v>
      </c>
      <c r="D1031" s="9" t="s">
        <v>234</v>
      </c>
      <c r="E1031" s="9" t="s">
        <v>235</v>
      </c>
      <c r="F1031" s="9" t="s">
        <v>200</v>
      </c>
      <c r="G1031" s="9" t="s">
        <v>809</v>
      </c>
      <c r="H1031" s="9" t="s">
        <v>831</v>
      </c>
      <c r="I1031" s="81"/>
      <c r="J1031" s="10">
        <f>'Messages Dictionary'!J444</f>
        <v>0</v>
      </c>
      <c r="K1031" s="81"/>
      <c r="L1031" s="29"/>
      <c r="M1031" s="29"/>
      <c r="N1031" s="23"/>
      <c r="O1031" s="23"/>
      <c r="P1031" s="23"/>
      <c r="Q1031" s="23"/>
      <c r="R1031" s="23"/>
      <c r="S1031" s="23"/>
      <c r="T1031" s="23"/>
      <c r="U1031" s="23"/>
      <c r="V1031" s="23"/>
      <c r="W1031" s="23"/>
      <c r="X1031" s="23"/>
      <c r="Y1031" s="23"/>
      <c r="Z1031" s="23"/>
      <c r="AA1031" s="23"/>
      <c r="AB1031" s="23"/>
      <c r="AC1031" s="23"/>
      <c r="AD1031" s="23"/>
      <c r="AE1031" s="23"/>
      <c r="AF1031" s="23"/>
      <c r="AG1031" s="23"/>
      <c r="AH1031" s="23"/>
      <c r="AI1031" s="23"/>
      <c r="AJ1031" s="23"/>
      <c r="AK1031" s="23"/>
      <c r="AL1031" s="23"/>
      <c r="AM1031" s="23"/>
      <c r="AN1031" s="23"/>
      <c r="AO1031" s="23"/>
      <c r="AP1031" s="23"/>
      <c r="AQ1031" s="23"/>
      <c r="AR1031" s="23"/>
      <c r="AS1031" s="23">
        <f t="shared" si="17"/>
        <v>0</v>
      </c>
    </row>
    <row r="1032" spans="1:45" s="27" customFormat="1" ht="42.75" hidden="1" x14ac:dyDescent="0.2">
      <c r="A1032" s="28">
        <v>3048</v>
      </c>
      <c r="B1032" s="9" t="s">
        <v>665</v>
      </c>
      <c r="C1032" s="9" t="s">
        <v>666</v>
      </c>
      <c r="D1032" s="9" t="s">
        <v>234</v>
      </c>
      <c r="E1032" s="9" t="s">
        <v>235</v>
      </c>
      <c r="F1032" s="9" t="s">
        <v>199</v>
      </c>
      <c r="G1032" s="9" t="s">
        <v>809</v>
      </c>
      <c r="H1032" s="9" t="s">
        <v>831</v>
      </c>
      <c r="I1032" s="81"/>
      <c r="J1032" s="10">
        <f>'Messages Dictionary'!J445</f>
        <v>0</v>
      </c>
      <c r="K1032" s="81"/>
      <c r="L1032" s="29"/>
      <c r="M1032" s="29"/>
      <c r="N1032" s="23"/>
      <c r="O1032" s="23"/>
      <c r="P1032" s="23"/>
      <c r="Q1032" s="23"/>
      <c r="R1032" s="23"/>
      <c r="S1032" s="23"/>
      <c r="T1032" s="23"/>
      <c r="U1032" s="23"/>
      <c r="V1032" s="23"/>
      <c r="W1032" s="23"/>
      <c r="X1032" s="23"/>
      <c r="Y1032" s="23"/>
      <c r="Z1032" s="23"/>
      <c r="AA1032" s="23"/>
      <c r="AB1032" s="23"/>
      <c r="AC1032" s="23"/>
      <c r="AD1032" s="23"/>
      <c r="AE1032" s="23"/>
      <c r="AF1032" s="23"/>
      <c r="AG1032" s="23"/>
      <c r="AH1032" s="23"/>
      <c r="AI1032" s="23"/>
      <c r="AJ1032" s="23"/>
      <c r="AK1032" s="23"/>
      <c r="AL1032" s="23"/>
      <c r="AM1032" s="23"/>
      <c r="AN1032" s="23"/>
      <c r="AO1032" s="23"/>
      <c r="AP1032" s="23"/>
      <c r="AQ1032" s="23"/>
      <c r="AR1032" s="23"/>
      <c r="AS1032" s="23">
        <f t="shared" si="17"/>
        <v>0</v>
      </c>
    </row>
    <row r="1033" spans="1:45" s="27" customFormat="1" ht="42.75" hidden="1" x14ac:dyDescent="0.2">
      <c r="A1033" s="28">
        <v>3049</v>
      </c>
      <c r="B1033" s="9" t="s">
        <v>667</v>
      </c>
      <c r="C1033" s="9" t="s">
        <v>668</v>
      </c>
      <c r="D1033" s="9" t="s">
        <v>234</v>
      </c>
      <c r="E1033" s="9" t="s">
        <v>235</v>
      </c>
      <c r="F1033" s="9" t="s">
        <v>199</v>
      </c>
      <c r="G1033" s="9" t="s">
        <v>809</v>
      </c>
      <c r="H1033" s="9" t="s">
        <v>831</v>
      </c>
      <c r="I1033" s="81"/>
      <c r="J1033" s="10">
        <f>'Messages Dictionary'!J446</f>
        <v>0</v>
      </c>
      <c r="K1033" s="81"/>
      <c r="L1033" s="29"/>
      <c r="M1033" s="29"/>
      <c r="N1033" s="23"/>
      <c r="O1033" s="23"/>
      <c r="P1033" s="23"/>
      <c r="Q1033" s="23"/>
      <c r="R1033" s="23"/>
      <c r="S1033" s="23"/>
      <c r="T1033" s="23"/>
      <c r="U1033" s="23"/>
      <c r="V1033" s="23"/>
      <c r="W1033" s="23"/>
      <c r="X1033" s="23"/>
      <c r="Y1033" s="23"/>
      <c r="Z1033" s="23"/>
      <c r="AA1033" s="23"/>
      <c r="AB1033" s="23"/>
      <c r="AC1033" s="23"/>
      <c r="AD1033" s="23"/>
      <c r="AE1033" s="23"/>
      <c r="AF1033" s="23"/>
      <c r="AG1033" s="23"/>
      <c r="AH1033" s="23"/>
      <c r="AI1033" s="23"/>
      <c r="AJ1033" s="23"/>
      <c r="AK1033" s="23"/>
      <c r="AL1033" s="23"/>
      <c r="AM1033" s="23"/>
      <c r="AN1033" s="23"/>
      <c r="AO1033" s="23"/>
      <c r="AP1033" s="23"/>
      <c r="AQ1033" s="23"/>
      <c r="AR1033" s="23"/>
      <c r="AS1033" s="23">
        <f t="shared" si="17"/>
        <v>0</v>
      </c>
    </row>
    <row r="1034" spans="1:45" s="27" customFormat="1" ht="42.75" hidden="1" x14ac:dyDescent="0.2">
      <c r="A1034" s="28">
        <v>3050</v>
      </c>
      <c r="B1034" s="9" t="s">
        <v>669</v>
      </c>
      <c r="C1034" s="9" t="s">
        <v>670</v>
      </c>
      <c r="D1034" s="9" t="s">
        <v>234</v>
      </c>
      <c r="E1034" s="9" t="s">
        <v>235</v>
      </c>
      <c r="F1034" s="9" t="s">
        <v>201</v>
      </c>
      <c r="G1034" s="9" t="s">
        <v>809</v>
      </c>
      <c r="H1034" s="9" t="s">
        <v>831</v>
      </c>
      <c r="I1034" s="81"/>
      <c r="J1034" s="10">
        <f>'Messages Dictionary'!J447</f>
        <v>0</v>
      </c>
      <c r="K1034" s="81"/>
      <c r="L1034" s="29"/>
      <c r="M1034" s="29"/>
      <c r="N1034" s="23"/>
      <c r="O1034" s="23"/>
      <c r="P1034" s="23"/>
      <c r="Q1034" s="23"/>
      <c r="R1034" s="23"/>
      <c r="S1034" s="23"/>
      <c r="T1034" s="23"/>
      <c r="U1034" s="23"/>
      <c r="V1034" s="23"/>
      <c r="W1034" s="23"/>
      <c r="X1034" s="23"/>
      <c r="Y1034" s="23"/>
      <c r="Z1034" s="23"/>
      <c r="AA1034" s="23"/>
      <c r="AB1034" s="23"/>
      <c r="AC1034" s="23"/>
      <c r="AD1034" s="23"/>
      <c r="AE1034" s="23"/>
      <c r="AF1034" s="23"/>
      <c r="AG1034" s="23"/>
      <c r="AH1034" s="23"/>
      <c r="AI1034" s="23"/>
      <c r="AJ1034" s="23"/>
      <c r="AK1034" s="23"/>
      <c r="AL1034" s="23"/>
      <c r="AM1034" s="23"/>
      <c r="AN1034" s="23"/>
      <c r="AO1034" s="23"/>
      <c r="AP1034" s="23"/>
      <c r="AQ1034" s="23"/>
      <c r="AR1034" s="23"/>
      <c r="AS1034" s="23">
        <f t="shared" si="17"/>
        <v>0</v>
      </c>
    </row>
    <row r="1035" spans="1:45" s="27" customFormat="1" ht="57" hidden="1" x14ac:dyDescent="0.2">
      <c r="A1035" s="28">
        <v>3051</v>
      </c>
      <c r="B1035" s="9" t="s">
        <v>671</v>
      </c>
      <c r="C1035" s="9" t="s">
        <v>672</v>
      </c>
      <c r="D1035" s="9" t="s">
        <v>234</v>
      </c>
      <c r="E1035" s="9" t="s">
        <v>235</v>
      </c>
      <c r="F1035" s="9" t="s">
        <v>201</v>
      </c>
      <c r="G1035" s="9" t="s">
        <v>809</v>
      </c>
      <c r="H1035" s="9" t="s">
        <v>831</v>
      </c>
      <c r="I1035" s="81"/>
      <c r="J1035" s="10">
        <f>'Messages Dictionary'!J448</f>
        <v>0</v>
      </c>
      <c r="K1035" s="81"/>
      <c r="L1035" s="29"/>
      <c r="M1035" s="29"/>
      <c r="N1035" s="23"/>
      <c r="O1035" s="23"/>
      <c r="P1035" s="23"/>
      <c r="Q1035" s="23"/>
      <c r="R1035" s="23"/>
      <c r="S1035" s="23"/>
      <c r="T1035" s="23"/>
      <c r="U1035" s="23"/>
      <c r="V1035" s="23"/>
      <c r="W1035" s="23"/>
      <c r="X1035" s="23"/>
      <c r="Y1035" s="23"/>
      <c r="Z1035" s="23"/>
      <c r="AA1035" s="23"/>
      <c r="AB1035" s="23"/>
      <c r="AC1035" s="23"/>
      <c r="AD1035" s="23"/>
      <c r="AE1035" s="23"/>
      <c r="AF1035" s="23"/>
      <c r="AG1035" s="23"/>
      <c r="AH1035" s="23"/>
      <c r="AI1035" s="23"/>
      <c r="AJ1035" s="23"/>
      <c r="AK1035" s="23"/>
      <c r="AL1035" s="23"/>
      <c r="AM1035" s="23"/>
      <c r="AN1035" s="23"/>
      <c r="AO1035" s="23"/>
      <c r="AP1035" s="23"/>
      <c r="AQ1035" s="23"/>
      <c r="AR1035" s="23"/>
      <c r="AS1035" s="23">
        <f t="shared" si="17"/>
        <v>0</v>
      </c>
    </row>
    <row r="1036" spans="1:45" s="27" customFormat="1" ht="42.75" hidden="1" x14ac:dyDescent="0.2">
      <c r="A1036" s="28">
        <v>3052</v>
      </c>
      <c r="B1036" s="9" t="s">
        <v>673</v>
      </c>
      <c r="C1036" s="9" t="s">
        <v>674</v>
      </c>
      <c r="D1036" s="9" t="s">
        <v>234</v>
      </c>
      <c r="E1036" s="9" t="s">
        <v>235</v>
      </c>
      <c r="F1036" s="9" t="s">
        <v>201</v>
      </c>
      <c r="G1036" s="9" t="s">
        <v>809</v>
      </c>
      <c r="H1036" s="9" t="s">
        <v>831</v>
      </c>
      <c r="I1036" s="81"/>
      <c r="J1036" s="10">
        <f>'Messages Dictionary'!J449</f>
        <v>0</v>
      </c>
      <c r="K1036" s="81"/>
      <c r="L1036" s="29"/>
      <c r="M1036" s="29"/>
      <c r="N1036" s="23"/>
      <c r="O1036" s="23"/>
      <c r="P1036" s="23"/>
      <c r="Q1036" s="23"/>
      <c r="R1036" s="23"/>
      <c r="S1036" s="23"/>
      <c r="T1036" s="23"/>
      <c r="U1036" s="23"/>
      <c r="V1036" s="23"/>
      <c r="W1036" s="23"/>
      <c r="X1036" s="23"/>
      <c r="Y1036" s="23"/>
      <c r="Z1036" s="23"/>
      <c r="AA1036" s="23"/>
      <c r="AB1036" s="23"/>
      <c r="AC1036" s="23"/>
      <c r="AD1036" s="23"/>
      <c r="AE1036" s="23"/>
      <c r="AF1036" s="23"/>
      <c r="AG1036" s="23"/>
      <c r="AH1036" s="23"/>
      <c r="AI1036" s="23"/>
      <c r="AJ1036" s="23"/>
      <c r="AK1036" s="23"/>
      <c r="AL1036" s="23"/>
      <c r="AM1036" s="23"/>
      <c r="AN1036" s="23"/>
      <c r="AO1036" s="23"/>
      <c r="AP1036" s="23"/>
      <c r="AQ1036" s="23"/>
      <c r="AR1036" s="23"/>
      <c r="AS1036" s="23">
        <f t="shared" si="17"/>
        <v>0</v>
      </c>
    </row>
    <row r="1037" spans="1:45" s="27" customFormat="1" ht="28.5" hidden="1" x14ac:dyDescent="0.2">
      <c r="A1037" s="28">
        <v>3053</v>
      </c>
      <c r="B1037" s="9" t="s">
        <v>310</v>
      </c>
      <c r="C1037" s="9" t="s">
        <v>684</v>
      </c>
      <c r="D1037" s="9" t="s">
        <v>234</v>
      </c>
      <c r="E1037" s="9" t="s">
        <v>702</v>
      </c>
      <c r="F1037" s="9" t="s">
        <v>199</v>
      </c>
      <c r="G1037" s="9" t="s">
        <v>809</v>
      </c>
      <c r="H1037" s="9" t="s">
        <v>831</v>
      </c>
      <c r="I1037" s="81"/>
      <c r="J1037" s="10">
        <f>'Messages Dictionary'!J450</f>
        <v>0</v>
      </c>
      <c r="K1037" s="81"/>
      <c r="L1037" s="29"/>
      <c r="M1037" s="29"/>
      <c r="N1037" s="23"/>
      <c r="O1037" s="23"/>
      <c r="P1037" s="23"/>
      <c r="Q1037" s="23"/>
      <c r="R1037" s="23"/>
      <c r="S1037" s="23"/>
      <c r="T1037" s="23"/>
      <c r="U1037" s="23"/>
      <c r="V1037" s="23"/>
      <c r="W1037" s="23"/>
      <c r="X1037" s="23"/>
      <c r="Y1037" s="23"/>
      <c r="Z1037" s="23"/>
      <c r="AA1037" s="23"/>
      <c r="AB1037" s="23"/>
      <c r="AC1037" s="23"/>
      <c r="AD1037" s="23"/>
      <c r="AE1037" s="23"/>
      <c r="AF1037" s="23"/>
      <c r="AG1037" s="23"/>
      <c r="AH1037" s="23"/>
      <c r="AI1037" s="23"/>
      <c r="AJ1037" s="23"/>
      <c r="AK1037" s="23"/>
      <c r="AL1037" s="23"/>
      <c r="AM1037" s="23"/>
      <c r="AN1037" s="23"/>
      <c r="AO1037" s="23"/>
      <c r="AP1037" s="23"/>
      <c r="AQ1037" s="23"/>
      <c r="AR1037" s="23"/>
      <c r="AS1037" s="23">
        <f t="shared" si="17"/>
        <v>0</v>
      </c>
    </row>
    <row r="1038" spans="1:45" s="27" customFormat="1" ht="28.5" hidden="1" x14ac:dyDescent="0.2">
      <c r="A1038" s="28">
        <v>3054</v>
      </c>
      <c r="B1038" s="9" t="s">
        <v>685</v>
      </c>
      <c r="C1038" s="9" t="s">
        <v>686</v>
      </c>
      <c r="D1038" s="9" t="s">
        <v>234</v>
      </c>
      <c r="E1038" s="9" t="s">
        <v>702</v>
      </c>
      <c r="F1038" s="9" t="s">
        <v>199</v>
      </c>
      <c r="G1038" s="9" t="s">
        <v>809</v>
      </c>
      <c r="H1038" s="9" t="s">
        <v>831</v>
      </c>
      <c r="I1038" s="81"/>
      <c r="J1038" s="10">
        <f>'Messages Dictionary'!J451</f>
        <v>0</v>
      </c>
      <c r="K1038" s="81"/>
      <c r="L1038" s="29"/>
      <c r="M1038" s="29"/>
      <c r="N1038" s="23"/>
      <c r="O1038" s="23"/>
      <c r="P1038" s="23"/>
      <c r="Q1038" s="23"/>
      <c r="R1038" s="23"/>
      <c r="S1038" s="23"/>
      <c r="T1038" s="23"/>
      <c r="U1038" s="23"/>
      <c r="V1038" s="23"/>
      <c r="W1038" s="23"/>
      <c r="X1038" s="23"/>
      <c r="Y1038" s="23"/>
      <c r="Z1038" s="23"/>
      <c r="AA1038" s="23"/>
      <c r="AB1038" s="23"/>
      <c r="AC1038" s="23"/>
      <c r="AD1038" s="23"/>
      <c r="AE1038" s="23"/>
      <c r="AF1038" s="23"/>
      <c r="AG1038" s="23"/>
      <c r="AH1038" s="23"/>
      <c r="AI1038" s="23"/>
      <c r="AJ1038" s="23"/>
      <c r="AK1038" s="23"/>
      <c r="AL1038" s="23"/>
      <c r="AM1038" s="23"/>
      <c r="AN1038" s="23"/>
      <c r="AO1038" s="23"/>
      <c r="AP1038" s="23"/>
      <c r="AQ1038" s="23"/>
      <c r="AR1038" s="23"/>
      <c r="AS1038" s="23">
        <f t="shared" si="17"/>
        <v>0</v>
      </c>
    </row>
    <row r="1039" spans="1:45" s="27" customFormat="1" ht="28.5" hidden="1" x14ac:dyDescent="0.2">
      <c r="A1039" s="28">
        <v>3055</v>
      </c>
      <c r="B1039" s="9" t="s">
        <v>687</v>
      </c>
      <c r="C1039" s="9" t="s">
        <v>688</v>
      </c>
      <c r="D1039" s="9" t="s">
        <v>234</v>
      </c>
      <c r="E1039" s="9" t="s">
        <v>702</v>
      </c>
      <c r="F1039" s="9" t="s">
        <v>199</v>
      </c>
      <c r="G1039" s="9" t="s">
        <v>809</v>
      </c>
      <c r="H1039" s="9" t="s">
        <v>831</v>
      </c>
      <c r="I1039" s="81"/>
      <c r="J1039" s="10">
        <f>'Messages Dictionary'!J452</f>
        <v>0</v>
      </c>
      <c r="K1039" s="81"/>
      <c r="L1039" s="29"/>
      <c r="M1039" s="29"/>
      <c r="N1039" s="23"/>
      <c r="O1039" s="23"/>
      <c r="P1039" s="23"/>
      <c r="Q1039" s="23"/>
      <c r="R1039" s="23"/>
      <c r="S1039" s="23"/>
      <c r="T1039" s="23"/>
      <c r="U1039" s="23"/>
      <c r="V1039" s="23"/>
      <c r="W1039" s="23"/>
      <c r="X1039" s="23"/>
      <c r="Y1039" s="23"/>
      <c r="Z1039" s="23"/>
      <c r="AA1039" s="23"/>
      <c r="AB1039" s="23"/>
      <c r="AC1039" s="23"/>
      <c r="AD1039" s="23"/>
      <c r="AE1039" s="23"/>
      <c r="AF1039" s="23"/>
      <c r="AG1039" s="23"/>
      <c r="AH1039" s="23"/>
      <c r="AI1039" s="23"/>
      <c r="AJ1039" s="23"/>
      <c r="AK1039" s="23"/>
      <c r="AL1039" s="23"/>
      <c r="AM1039" s="23"/>
      <c r="AN1039" s="23"/>
      <c r="AO1039" s="23"/>
      <c r="AP1039" s="23"/>
      <c r="AQ1039" s="23"/>
      <c r="AR1039" s="23"/>
      <c r="AS1039" s="23">
        <f t="shared" si="17"/>
        <v>0</v>
      </c>
    </row>
    <row r="1040" spans="1:45" s="27" customFormat="1" ht="42.75" hidden="1" x14ac:dyDescent="0.2">
      <c r="A1040" s="28">
        <v>3056</v>
      </c>
      <c r="B1040" s="9" t="s">
        <v>693</v>
      </c>
      <c r="C1040" s="9" t="s">
        <v>694</v>
      </c>
      <c r="D1040" s="9" t="s">
        <v>234</v>
      </c>
      <c r="E1040" s="9" t="s">
        <v>702</v>
      </c>
      <c r="F1040" s="9" t="s">
        <v>200</v>
      </c>
      <c r="G1040" s="9" t="s">
        <v>809</v>
      </c>
      <c r="H1040" s="9" t="s">
        <v>831</v>
      </c>
      <c r="I1040" s="81"/>
      <c r="J1040" s="10">
        <f>'Messages Dictionary'!J453</f>
        <v>0</v>
      </c>
      <c r="K1040" s="81"/>
      <c r="L1040" s="29"/>
      <c r="M1040" s="29"/>
      <c r="N1040" s="23"/>
      <c r="O1040" s="23"/>
      <c r="P1040" s="23"/>
      <c r="Q1040" s="23"/>
      <c r="R1040" s="23"/>
      <c r="S1040" s="23"/>
      <c r="T1040" s="23"/>
      <c r="U1040" s="23"/>
      <c r="V1040" s="23"/>
      <c r="W1040" s="23"/>
      <c r="X1040" s="23"/>
      <c r="Y1040" s="23"/>
      <c r="Z1040" s="23"/>
      <c r="AA1040" s="23"/>
      <c r="AB1040" s="23"/>
      <c r="AC1040" s="23"/>
      <c r="AD1040" s="23"/>
      <c r="AE1040" s="23"/>
      <c r="AF1040" s="23"/>
      <c r="AG1040" s="23"/>
      <c r="AH1040" s="23"/>
      <c r="AI1040" s="23"/>
      <c r="AJ1040" s="23"/>
      <c r="AK1040" s="23"/>
      <c r="AL1040" s="23"/>
      <c r="AM1040" s="23"/>
      <c r="AN1040" s="23"/>
      <c r="AO1040" s="23"/>
      <c r="AP1040" s="23"/>
      <c r="AQ1040" s="23"/>
      <c r="AR1040" s="23"/>
      <c r="AS1040" s="23">
        <f t="shared" si="17"/>
        <v>0</v>
      </c>
    </row>
    <row r="1041" spans="1:45" s="27" customFormat="1" ht="28.5" hidden="1" x14ac:dyDescent="0.2">
      <c r="A1041" s="28">
        <v>3057</v>
      </c>
      <c r="B1041" s="9" t="s">
        <v>675</v>
      </c>
      <c r="C1041" s="9" t="s">
        <v>676</v>
      </c>
      <c r="D1041" s="9" t="s">
        <v>234</v>
      </c>
      <c r="E1041" s="9" t="s">
        <v>677</v>
      </c>
      <c r="F1041" s="9" t="s">
        <v>199</v>
      </c>
      <c r="G1041" s="9" t="s">
        <v>809</v>
      </c>
      <c r="H1041" s="9" t="s">
        <v>831</v>
      </c>
      <c r="I1041" s="81"/>
      <c r="J1041" s="10">
        <f>'Messages Dictionary'!J454</f>
        <v>0</v>
      </c>
      <c r="K1041" s="81"/>
      <c r="L1041" s="29"/>
      <c r="M1041" s="29"/>
      <c r="N1041" s="23"/>
      <c r="O1041" s="23"/>
      <c r="P1041" s="23"/>
      <c r="Q1041" s="23"/>
      <c r="R1041" s="23"/>
      <c r="S1041" s="23"/>
      <c r="T1041" s="23"/>
      <c r="U1041" s="23"/>
      <c r="V1041" s="23"/>
      <c r="W1041" s="23"/>
      <c r="X1041" s="23"/>
      <c r="Y1041" s="23"/>
      <c r="Z1041" s="23"/>
      <c r="AA1041" s="23"/>
      <c r="AB1041" s="23"/>
      <c r="AC1041" s="23"/>
      <c r="AD1041" s="23"/>
      <c r="AE1041" s="23"/>
      <c r="AF1041" s="23"/>
      <c r="AG1041" s="23"/>
      <c r="AH1041" s="23"/>
      <c r="AI1041" s="23"/>
      <c r="AJ1041" s="23"/>
      <c r="AK1041" s="23"/>
      <c r="AL1041" s="23"/>
      <c r="AM1041" s="23"/>
      <c r="AN1041" s="23"/>
      <c r="AO1041" s="23"/>
      <c r="AP1041" s="23"/>
      <c r="AQ1041" s="23"/>
      <c r="AR1041" s="23"/>
      <c r="AS1041" s="23">
        <f t="shared" si="17"/>
        <v>0</v>
      </c>
    </row>
    <row r="1042" spans="1:45" s="27" customFormat="1" ht="28.5" hidden="1" x14ac:dyDescent="0.2">
      <c r="A1042" s="28">
        <v>3058</v>
      </c>
      <c r="B1042" s="9" t="s">
        <v>212</v>
      </c>
      <c r="C1042" s="9" t="s">
        <v>213</v>
      </c>
      <c r="D1042" s="9" t="s">
        <v>234</v>
      </c>
      <c r="E1042" s="9" t="s">
        <v>677</v>
      </c>
      <c r="F1042" s="9" t="s">
        <v>201</v>
      </c>
      <c r="G1042" s="9" t="s">
        <v>809</v>
      </c>
      <c r="H1042" s="9" t="s">
        <v>831</v>
      </c>
      <c r="I1042" s="81"/>
      <c r="J1042" s="10">
        <f>'Messages Dictionary'!J455</f>
        <v>0</v>
      </c>
      <c r="K1042" s="81"/>
      <c r="L1042" s="29"/>
      <c r="M1042" s="29"/>
      <c r="N1042" s="23"/>
      <c r="O1042" s="23"/>
      <c r="P1042" s="23"/>
      <c r="Q1042" s="23"/>
      <c r="R1042" s="23"/>
      <c r="S1042" s="23"/>
      <c r="T1042" s="23"/>
      <c r="U1042" s="23"/>
      <c r="V1042" s="23"/>
      <c r="W1042" s="23"/>
      <c r="X1042" s="23"/>
      <c r="Y1042" s="23"/>
      <c r="Z1042" s="23"/>
      <c r="AA1042" s="23"/>
      <c r="AB1042" s="23"/>
      <c r="AC1042" s="23"/>
      <c r="AD1042" s="23"/>
      <c r="AE1042" s="23"/>
      <c r="AF1042" s="23"/>
      <c r="AG1042" s="23"/>
      <c r="AH1042" s="23"/>
      <c r="AI1042" s="23"/>
      <c r="AJ1042" s="23"/>
      <c r="AK1042" s="23"/>
      <c r="AL1042" s="23"/>
      <c r="AM1042" s="23"/>
      <c r="AN1042" s="23"/>
      <c r="AO1042" s="23"/>
      <c r="AP1042" s="23"/>
      <c r="AQ1042" s="23"/>
      <c r="AR1042" s="23"/>
      <c r="AS1042" s="23">
        <f t="shared" si="17"/>
        <v>0</v>
      </c>
    </row>
    <row r="1043" spans="1:45" s="27" customFormat="1" ht="28.5" hidden="1" x14ac:dyDescent="0.2">
      <c r="A1043" s="28">
        <v>3059</v>
      </c>
      <c r="B1043" s="9" t="s">
        <v>214</v>
      </c>
      <c r="C1043" s="9" t="s">
        <v>215</v>
      </c>
      <c r="D1043" s="9" t="s">
        <v>234</v>
      </c>
      <c r="E1043" s="9" t="s">
        <v>677</v>
      </c>
      <c r="F1043" s="9" t="s">
        <v>199</v>
      </c>
      <c r="G1043" s="9" t="s">
        <v>809</v>
      </c>
      <c r="H1043" s="9" t="s">
        <v>831</v>
      </c>
      <c r="I1043" s="81"/>
      <c r="J1043" s="10">
        <f>'Messages Dictionary'!J456</f>
        <v>0</v>
      </c>
      <c r="K1043" s="81"/>
      <c r="L1043" s="29"/>
      <c r="M1043" s="29"/>
      <c r="N1043" s="23"/>
      <c r="O1043" s="23"/>
      <c r="P1043" s="23"/>
      <c r="Q1043" s="23"/>
      <c r="R1043" s="23"/>
      <c r="S1043" s="23"/>
      <c r="T1043" s="23"/>
      <c r="U1043" s="23"/>
      <c r="V1043" s="23"/>
      <c r="W1043" s="23"/>
      <c r="X1043" s="23"/>
      <c r="Y1043" s="23"/>
      <c r="Z1043" s="23"/>
      <c r="AA1043" s="23"/>
      <c r="AB1043" s="23"/>
      <c r="AC1043" s="23"/>
      <c r="AD1043" s="23"/>
      <c r="AE1043" s="23"/>
      <c r="AF1043" s="23"/>
      <c r="AG1043" s="23"/>
      <c r="AH1043" s="23"/>
      <c r="AI1043" s="23"/>
      <c r="AJ1043" s="23"/>
      <c r="AK1043" s="23"/>
      <c r="AL1043" s="23"/>
      <c r="AM1043" s="23"/>
      <c r="AN1043" s="23"/>
      <c r="AO1043" s="23"/>
      <c r="AP1043" s="23"/>
      <c r="AQ1043" s="23"/>
      <c r="AR1043" s="23"/>
      <c r="AS1043" s="23">
        <f t="shared" si="17"/>
        <v>0</v>
      </c>
    </row>
    <row r="1044" spans="1:45" s="27" customFormat="1" ht="28.5" hidden="1" x14ac:dyDescent="0.2">
      <c r="A1044" s="28">
        <v>3060</v>
      </c>
      <c r="B1044" s="9" t="s">
        <v>216</v>
      </c>
      <c r="C1044" s="9" t="s">
        <v>94</v>
      </c>
      <c r="D1044" s="9" t="s">
        <v>234</v>
      </c>
      <c r="E1044" s="9" t="s">
        <v>677</v>
      </c>
      <c r="F1044" s="9" t="s">
        <v>199</v>
      </c>
      <c r="G1044" s="9" t="s">
        <v>809</v>
      </c>
      <c r="H1044" s="9" t="s">
        <v>831</v>
      </c>
      <c r="I1044" s="81"/>
      <c r="J1044" s="10">
        <f>'Messages Dictionary'!J457</f>
        <v>0</v>
      </c>
      <c r="K1044" s="81"/>
      <c r="L1044" s="29"/>
      <c r="M1044" s="29"/>
      <c r="N1044" s="23"/>
      <c r="O1044" s="23"/>
      <c r="P1044" s="23"/>
      <c r="Q1044" s="23"/>
      <c r="R1044" s="23"/>
      <c r="S1044" s="23"/>
      <c r="T1044" s="23"/>
      <c r="U1044" s="23"/>
      <c r="V1044" s="23"/>
      <c r="W1044" s="23"/>
      <c r="X1044" s="23"/>
      <c r="Y1044" s="23"/>
      <c r="Z1044" s="23"/>
      <c r="AA1044" s="23"/>
      <c r="AB1044" s="23"/>
      <c r="AC1044" s="23"/>
      <c r="AD1044" s="23"/>
      <c r="AE1044" s="23"/>
      <c r="AF1044" s="23"/>
      <c r="AG1044" s="23"/>
      <c r="AH1044" s="23"/>
      <c r="AI1044" s="23"/>
      <c r="AJ1044" s="23"/>
      <c r="AK1044" s="23"/>
      <c r="AL1044" s="23"/>
      <c r="AM1044" s="23"/>
      <c r="AN1044" s="23"/>
      <c r="AO1044" s="23"/>
      <c r="AP1044" s="23"/>
      <c r="AQ1044" s="23"/>
      <c r="AR1044" s="23"/>
      <c r="AS1044" s="23">
        <f t="shared" si="17"/>
        <v>0</v>
      </c>
    </row>
    <row r="1045" spans="1:45" s="27" customFormat="1" ht="28.5" hidden="1" x14ac:dyDescent="0.2">
      <c r="A1045" s="28">
        <v>3061</v>
      </c>
      <c r="B1045" s="9" t="s">
        <v>95</v>
      </c>
      <c r="C1045" s="9" t="s">
        <v>96</v>
      </c>
      <c r="D1045" s="9" t="s">
        <v>234</v>
      </c>
      <c r="E1045" s="9" t="s">
        <v>677</v>
      </c>
      <c r="F1045" s="9" t="s">
        <v>201</v>
      </c>
      <c r="G1045" s="9" t="s">
        <v>809</v>
      </c>
      <c r="H1045" s="9" t="s">
        <v>831</v>
      </c>
      <c r="I1045" s="81"/>
      <c r="J1045" s="10">
        <f>'Messages Dictionary'!J458</f>
        <v>0</v>
      </c>
      <c r="K1045" s="81"/>
      <c r="L1045" s="29"/>
      <c r="M1045" s="29"/>
      <c r="N1045" s="23"/>
      <c r="O1045" s="23"/>
      <c r="P1045" s="23"/>
      <c r="Q1045" s="23"/>
      <c r="R1045" s="23"/>
      <c r="S1045" s="23"/>
      <c r="T1045" s="23"/>
      <c r="U1045" s="23"/>
      <c r="V1045" s="23"/>
      <c r="W1045" s="23"/>
      <c r="X1045" s="23"/>
      <c r="Y1045" s="23"/>
      <c r="Z1045" s="23"/>
      <c r="AA1045" s="23"/>
      <c r="AB1045" s="23"/>
      <c r="AC1045" s="23"/>
      <c r="AD1045" s="23"/>
      <c r="AE1045" s="23"/>
      <c r="AF1045" s="23"/>
      <c r="AG1045" s="23"/>
      <c r="AH1045" s="23"/>
      <c r="AI1045" s="23"/>
      <c r="AJ1045" s="23"/>
      <c r="AK1045" s="23"/>
      <c r="AL1045" s="23"/>
      <c r="AM1045" s="23"/>
      <c r="AN1045" s="23"/>
      <c r="AO1045" s="23"/>
      <c r="AP1045" s="23"/>
      <c r="AQ1045" s="23"/>
      <c r="AR1045" s="23"/>
      <c r="AS1045" s="23">
        <f t="shared" si="17"/>
        <v>0</v>
      </c>
    </row>
    <row r="1046" spans="1:45" s="27" customFormat="1" ht="28.5" hidden="1" x14ac:dyDescent="0.2">
      <c r="A1046" s="28">
        <v>3062</v>
      </c>
      <c r="B1046" s="9" t="s">
        <v>97</v>
      </c>
      <c r="C1046" s="9" t="s">
        <v>98</v>
      </c>
      <c r="D1046" s="9" t="s">
        <v>234</v>
      </c>
      <c r="E1046" s="9" t="s">
        <v>677</v>
      </c>
      <c r="F1046" s="9" t="s">
        <v>199</v>
      </c>
      <c r="G1046" s="9" t="s">
        <v>809</v>
      </c>
      <c r="H1046" s="9" t="s">
        <v>831</v>
      </c>
      <c r="I1046" s="81"/>
      <c r="J1046" s="10">
        <f>'Messages Dictionary'!J459</f>
        <v>0</v>
      </c>
      <c r="K1046" s="81"/>
      <c r="L1046" s="29"/>
      <c r="M1046" s="29"/>
      <c r="N1046" s="23"/>
      <c r="O1046" s="23"/>
      <c r="P1046" s="23"/>
      <c r="Q1046" s="23"/>
      <c r="R1046" s="23"/>
      <c r="S1046" s="23"/>
      <c r="T1046" s="23"/>
      <c r="U1046" s="23"/>
      <c r="V1046" s="23"/>
      <c r="W1046" s="23"/>
      <c r="X1046" s="23"/>
      <c r="Y1046" s="23"/>
      <c r="Z1046" s="23"/>
      <c r="AA1046" s="23"/>
      <c r="AB1046" s="23"/>
      <c r="AC1046" s="23"/>
      <c r="AD1046" s="23"/>
      <c r="AE1046" s="23"/>
      <c r="AF1046" s="23"/>
      <c r="AG1046" s="23"/>
      <c r="AH1046" s="23"/>
      <c r="AI1046" s="23"/>
      <c r="AJ1046" s="23"/>
      <c r="AK1046" s="23"/>
      <c r="AL1046" s="23"/>
      <c r="AM1046" s="23"/>
      <c r="AN1046" s="23"/>
      <c r="AO1046" s="23"/>
      <c r="AP1046" s="23"/>
      <c r="AQ1046" s="23"/>
      <c r="AR1046" s="23"/>
      <c r="AS1046" s="23">
        <f t="shared" si="17"/>
        <v>0</v>
      </c>
    </row>
    <row r="1047" spans="1:45" s="27" customFormat="1" ht="28.5" hidden="1" x14ac:dyDescent="0.2">
      <c r="A1047" s="28">
        <v>3063</v>
      </c>
      <c r="B1047" s="9" t="s">
        <v>99</v>
      </c>
      <c r="C1047" s="9" t="s">
        <v>100</v>
      </c>
      <c r="D1047" s="9" t="s">
        <v>234</v>
      </c>
      <c r="E1047" s="9" t="s">
        <v>702</v>
      </c>
      <c r="F1047" s="9" t="s">
        <v>201</v>
      </c>
      <c r="G1047" s="9" t="s">
        <v>809</v>
      </c>
      <c r="H1047" s="9" t="s">
        <v>831</v>
      </c>
      <c r="I1047" s="81"/>
      <c r="J1047" s="10">
        <f>'Messages Dictionary'!J460</f>
        <v>0</v>
      </c>
      <c r="K1047" s="81"/>
      <c r="L1047" s="29"/>
      <c r="M1047" s="29"/>
      <c r="N1047" s="23"/>
      <c r="O1047" s="23"/>
      <c r="P1047" s="23"/>
      <c r="Q1047" s="23"/>
      <c r="R1047" s="23"/>
      <c r="S1047" s="23"/>
      <c r="T1047" s="23"/>
      <c r="U1047" s="23"/>
      <c r="V1047" s="23"/>
      <c r="W1047" s="23"/>
      <c r="X1047" s="23"/>
      <c r="Y1047" s="23"/>
      <c r="Z1047" s="23"/>
      <c r="AA1047" s="23"/>
      <c r="AB1047" s="23"/>
      <c r="AC1047" s="23"/>
      <c r="AD1047" s="23"/>
      <c r="AE1047" s="23"/>
      <c r="AF1047" s="23"/>
      <c r="AG1047" s="23"/>
      <c r="AH1047" s="23"/>
      <c r="AI1047" s="23"/>
      <c r="AJ1047" s="23"/>
      <c r="AK1047" s="23"/>
      <c r="AL1047" s="23"/>
      <c r="AM1047" s="23"/>
      <c r="AN1047" s="23"/>
      <c r="AO1047" s="23"/>
      <c r="AP1047" s="23"/>
      <c r="AQ1047" s="23"/>
      <c r="AR1047" s="23"/>
      <c r="AS1047" s="23">
        <f t="shared" si="17"/>
        <v>0</v>
      </c>
    </row>
    <row r="1048" spans="1:45" s="27" customFormat="1" ht="28.5" hidden="1" x14ac:dyDescent="0.2">
      <c r="A1048" s="28">
        <v>3064</v>
      </c>
      <c r="B1048" s="9" t="s">
        <v>101</v>
      </c>
      <c r="C1048" s="9" t="s">
        <v>102</v>
      </c>
      <c r="D1048" s="9" t="s">
        <v>234</v>
      </c>
      <c r="E1048" s="9" t="s">
        <v>702</v>
      </c>
      <c r="F1048" s="9" t="s">
        <v>199</v>
      </c>
      <c r="G1048" s="9" t="s">
        <v>809</v>
      </c>
      <c r="H1048" s="9" t="s">
        <v>831</v>
      </c>
      <c r="I1048" s="81"/>
      <c r="J1048" s="10">
        <f>'Messages Dictionary'!J461</f>
        <v>0</v>
      </c>
      <c r="K1048" s="81"/>
      <c r="L1048" s="29"/>
      <c r="M1048" s="29"/>
      <c r="N1048" s="23"/>
      <c r="O1048" s="23"/>
      <c r="P1048" s="23"/>
      <c r="Q1048" s="23"/>
      <c r="R1048" s="23"/>
      <c r="S1048" s="23"/>
      <c r="T1048" s="23"/>
      <c r="U1048" s="23"/>
      <c r="V1048" s="23"/>
      <c r="W1048" s="23"/>
      <c r="X1048" s="23"/>
      <c r="Y1048" s="23"/>
      <c r="Z1048" s="23"/>
      <c r="AA1048" s="23"/>
      <c r="AB1048" s="23"/>
      <c r="AC1048" s="23"/>
      <c r="AD1048" s="23"/>
      <c r="AE1048" s="23"/>
      <c r="AF1048" s="23"/>
      <c r="AG1048" s="23"/>
      <c r="AH1048" s="23"/>
      <c r="AI1048" s="23"/>
      <c r="AJ1048" s="23"/>
      <c r="AK1048" s="23"/>
      <c r="AL1048" s="23"/>
      <c r="AM1048" s="23"/>
      <c r="AN1048" s="23"/>
      <c r="AO1048" s="23"/>
      <c r="AP1048" s="23"/>
      <c r="AQ1048" s="23"/>
      <c r="AR1048" s="23"/>
      <c r="AS1048" s="23">
        <f t="shared" si="17"/>
        <v>0</v>
      </c>
    </row>
    <row r="1049" spans="1:45" s="27" customFormat="1" ht="42.75" hidden="1" x14ac:dyDescent="0.2">
      <c r="A1049" s="28">
        <v>3065</v>
      </c>
      <c r="B1049" s="9" t="s">
        <v>103</v>
      </c>
      <c r="C1049" s="9" t="s">
        <v>104</v>
      </c>
      <c r="D1049" s="9" t="s">
        <v>234</v>
      </c>
      <c r="E1049" s="9" t="s">
        <v>702</v>
      </c>
      <c r="F1049" s="9" t="s">
        <v>199</v>
      </c>
      <c r="G1049" s="9" t="s">
        <v>809</v>
      </c>
      <c r="H1049" s="9" t="s">
        <v>831</v>
      </c>
      <c r="I1049" s="81"/>
      <c r="J1049" s="10">
        <f>'Messages Dictionary'!J462</f>
        <v>0</v>
      </c>
      <c r="K1049" s="81"/>
      <c r="L1049" s="29"/>
      <c r="M1049" s="29"/>
      <c r="N1049" s="23"/>
      <c r="O1049" s="23"/>
      <c r="P1049" s="23"/>
      <c r="Q1049" s="23"/>
      <c r="R1049" s="23"/>
      <c r="S1049" s="23"/>
      <c r="T1049" s="23"/>
      <c r="U1049" s="23"/>
      <c r="V1049" s="23"/>
      <c r="W1049" s="23"/>
      <c r="X1049" s="23"/>
      <c r="Y1049" s="23"/>
      <c r="Z1049" s="23"/>
      <c r="AA1049" s="23"/>
      <c r="AB1049" s="23"/>
      <c r="AC1049" s="23"/>
      <c r="AD1049" s="23"/>
      <c r="AE1049" s="23"/>
      <c r="AF1049" s="23"/>
      <c r="AG1049" s="23"/>
      <c r="AH1049" s="23"/>
      <c r="AI1049" s="23"/>
      <c r="AJ1049" s="23"/>
      <c r="AK1049" s="23"/>
      <c r="AL1049" s="23"/>
      <c r="AM1049" s="23"/>
      <c r="AN1049" s="23"/>
      <c r="AO1049" s="23"/>
      <c r="AP1049" s="23"/>
      <c r="AQ1049" s="23"/>
      <c r="AR1049" s="23"/>
      <c r="AS1049" s="23">
        <f t="shared" si="17"/>
        <v>0</v>
      </c>
    </row>
    <row r="1050" spans="1:45" s="27" customFormat="1" ht="42.75" hidden="1" x14ac:dyDescent="0.2">
      <c r="A1050" s="28">
        <v>3066</v>
      </c>
      <c r="B1050" s="9" t="s">
        <v>709</v>
      </c>
      <c r="C1050" s="9" t="s">
        <v>710</v>
      </c>
      <c r="D1050" s="9" t="s">
        <v>234</v>
      </c>
      <c r="E1050" s="9" t="s">
        <v>702</v>
      </c>
      <c r="F1050" s="9" t="s">
        <v>199</v>
      </c>
      <c r="G1050" s="9" t="s">
        <v>809</v>
      </c>
      <c r="H1050" s="9" t="s">
        <v>831</v>
      </c>
      <c r="I1050" s="81"/>
      <c r="J1050" s="10">
        <f>'Messages Dictionary'!J463</f>
        <v>0</v>
      </c>
      <c r="K1050" s="81"/>
      <c r="L1050" s="29"/>
      <c r="M1050" s="29"/>
      <c r="N1050" s="23"/>
      <c r="O1050" s="23"/>
      <c r="P1050" s="23"/>
      <c r="Q1050" s="23"/>
      <c r="R1050" s="23"/>
      <c r="S1050" s="23"/>
      <c r="T1050" s="23"/>
      <c r="U1050" s="23"/>
      <c r="V1050" s="23"/>
      <c r="W1050" s="23"/>
      <c r="X1050" s="23"/>
      <c r="Y1050" s="23"/>
      <c r="Z1050" s="23"/>
      <c r="AA1050" s="23"/>
      <c r="AB1050" s="23"/>
      <c r="AC1050" s="23"/>
      <c r="AD1050" s="23"/>
      <c r="AE1050" s="23"/>
      <c r="AF1050" s="23"/>
      <c r="AG1050" s="23"/>
      <c r="AH1050" s="23"/>
      <c r="AI1050" s="23"/>
      <c r="AJ1050" s="23"/>
      <c r="AK1050" s="23"/>
      <c r="AL1050" s="23"/>
      <c r="AM1050" s="23"/>
      <c r="AN1050" s="23"/>
      <c r="AO1050" s="23"/>
      <c r="AP1050" s="23"/>
      <c r="AQ1050" s="23"/>
      <c r="AR1050" s="23"/>
      <c r="AS1050" s="23">
        <f t="shared" si="17"/>
        <v>0</v>
      </c>
    </row>
    <row r="1051" spans="1:45" s="27" customFormat="1" ht="57" hidden="1" x14ac:dyDescent="0.2">
      <c r="A1051" s="28">
        <v>3067</v>
      </c>
      <c r="B1051" s="9" t="s">
        <v>239</v>
      </c>
      <c r="C1051" s="9" t="s">
        <v>240</v>
      </c>
      <c r="D1051" s="9" t="s">
        <v>234</v>
      </c>
      <c r="E1051" s="9" t="s">
        <v>702</v>
      </c>
      <c r="F1051" s="9" t="s">
        <v>199</v>
      </c>
      <c r="G1051" s="9" t="s">
        <v>809</v>
      </c>
      <c r="H1051" s="9" t="s">
        <v>831</v>
      </c>
      <c r="I1051" s="81"/>
      <c r="J1051" s="10">
        <f>'Messages Dictionary'!J464</f>
        <v>0</v>
      </c>
      <c r="K1051" s="81"/>
      <c r="L1051" s="29"/>
      <c r="M1051" s="29"/>
      <c r="N1051" s="23"/>
      <c r="O1051" s="23"/>
      <c r="P1051" s="23"/>
      <c r="Q1051" s="23"/>
      <c r="R1051" s="23"/>
      <c r="S1051" s="23"/>
      <c r="T1051" s="23"/>
      <c r="U1051" s="23"/>
      <c r="V1051" s="23"/>
      <c r="W1051" s="23"/>
      <c r="X1051" s="23"/>
      <c r="Y1051" s="23"/>
      <c r="Z1051" s="23"/>
      <c r="AA1051" s="23"/>
      <c r="AB1051" s="23"/>
      <c r="AC1051" s="23"/>
      <c r="AD1051" s="23"/>
      <c r="AE1051" s="23"/>
      <c r="AF1051" s="23"/>
      <c r="AG1051" s="23"/>
      <c r="AH1051" s="23"/>
      <c r="AI1051" s="23"/>
      <c r="AJ1051" s="23"/>
      <c r="AK1051" s="23"/>
      <c r="AL1051" s="23"/>
      <c r="AM1051" s="23"/>
      <c r="AN1051" s="23"/>
      <c r="AO1051" s="23"/>
      <c r="AP1051" s="23"/>
      <c r="AQ1051" s="23"/>
      <c r="AR1051" s="23"/>
      <c r="AS1051" s="23">
        <f t="shared" si="17"/>
        <v>0</v>
      </c>
    </row>
    <row r="1052" spans="1:45" s="27" customFormat="1" ht="42.75" hidden="1" x14ac:dyDescent="0.2">
      <c r="A1052" s="28">
        <v>3068</v>
      </c>
      <c r="B1052" s="9" t="s">
        <v>241</v>
      </c>
      <c r="C1052" s="9" t="s">
        <v>243</v>
      </c>
      <c r="D1052" s="9" t="s">
        <v>234</v>
      </c>
      <c r="E1052" s="9" t="s">
        <v>702</v>
      </c>
      <c r="F1052" s="9" t="s">
        <v>201</v>
      </c>
      <c r="G1052" s="9" t="s">
        <v>809</v>
      </c>
      <c r="H1052" s="9" t="s">
        <v>831</v>
      </c>
      <c r="I1052" s="81"/>
      <c r="J1052" s="10">
        <f>'Messages Dictionary'!J465</f>
        <v>0</v>
      </c>
      <c r="K1052" s="81"/>
      <c r="L1052" s="29"/>
      <c r="M1052" s="29"/>
      <c r="N1052" s="23"/>
      <c r="O1052" s="23"/>
      <c r="P1052" s="23"/>
      <c r="Q1052" s="23"/>
      <c r="R1052" s="23"/>
      <c r="S1052" s="23"/>
      <c r="T1052" s="23"/>
      <c r="U1052" s="23"/>
      <c r="V1052" s="23"/>
      <c r="W1052" s="23"/>
      <c r="X1052" s="23"/>
      <c r="Y1052" s="23"/>
      <c r="Z1052" s="23"/>
      <c r="AA1052" s="23"/>
      <c r="AB1052" s="23"/>
      <c r="AC1052" s="23"/>
      <c r="AD1052" s="23"/>
      <c r="AE1052" s="23"/>
      <c r="AF1052" s="23"/>
      <c r="AG1052" s="23"/>
      <c r="AH1052" s="23"/>
      <c r="AI1052" s="23"/>
      <c r="AJ1052" s="23"/>
      <c r="AK1052" s="23"/>
      <c r="AL1052" s="23"/>
      <c r="AM1052" s="23"/>
      <c r="AN1052" s="23"/>
      <c r="AO1052" s="23"/>
      <c r="AP1052" s="23"/>
      <c r="AQ1052" s="23"/>
      <c r="AR1052" s="23"/>
      <c r="AS1052" s="23">
        <f t="shared" si="17"/>
        <v>0</v>
      </c>
    </row>
    <row r="1053" spans="1:45" s="27" customFormat="1" ht="42.75" hidden="1" x14ac:dyDescent="0.2">
      <c r="A1053" s="28">
        <v>3069</v>
      </c>
      <c r="B1053" s="9" t="s">
        <v>711</v>
      </c>
      <c r="C1053" s="9" t="s">
        <v>712</v>
      </c>
      <c r="D1053" s="9" t="s">
        <v>234</v>
      </c>
      <c r="E1053" s="9" t="s">
        <v>702</v>
      </c>
      <c r="F1053" s="9" t="s">
        <v>199</v>
      </c>
      <c r="G1053" s="9" t="s">
        <v>809</v>
      </c>
      <c r="H1053" s="9" t="s">
        <v>831</v>
      </c>
      <c r="I1053" s="81"/>
      <c r="J1053" s="10">
        <f>'Messages Dictionary'!J466</f>
        <v>0</v>
      </c>
      <c r="K1053" s="81"/>
      <c r="L1053" s="29"/>
      <c r="M1053" s="29"/>
      <c r="N1053" s="23"/>
      <c r="O1053" s="23"/>
      <c r="P1053" s="23"/>
      <c r="Q1053" s="23"/>
      <c r="R1053" s="23"/>
      <c r="S1053" s="23"/>
      <c r="T1053" s="23"/>
      <c r="U1053" s="23"/>
      <c r="V1053" s="23"/>
      <c r="W1053" s="23"/>
      <c r="X1053" s="23"/>
      <c r="Y1053" s="23"/>
      <c r="Z1053" s="23"/>
      <c r="AA1053" s="23"/>
      <c r="AB1053" s="23"/>
      <c r="AC1053" s="23"/>
      <c r="AD1053" s="23"/>
      <c r="AE1053" s="23"/>
      <c r="AF1053" s="23"/>
      <c r="AG1053" s="23"/>
      <c r="AH1053" s="23"/>
      <c r="AI1053" s="23"/>
      <c r="AJ1053" s="23"/>
      <c r="AK1053" s="23"/>
      <c r="AL1053" s="23"/>
      <c r="AM1053" s="23"/>
      <c r="AN1053" s="23"/>
      <c r="AO1053" s="23"/>
      <c r="AP1053" s="23"/>
      <c r="AQ1053" s="23"/>
      <c r="AR1053" s="23"/>
      <c r="AS1053" s="23">
        <f t="shared" si="17"/>
        <v>0</v>
      </c>
    </row>
    <row r="1054" spans="1:45" s="27" customFormat="1" ht="42.75" hidden="1" x14ac:dyDescent="0.2">
      <c r="A1054" s="28">
        <v>3070</v>
      </c>
      <c r="B1054" s="9" t="s">
        <v>713</v>
      </c>
      <c r="C1054" s="9" t="s">
        <v>714</v>
      </c>
      <c r="D1054" s="9" t="s">
        <v>234</v>
      </c>
      <c r="E1054" s="9" t="s">
        <v>702</v>
      </c>
      <c r="F1054" s="9" t="s">
        <v>201</v>
      </c>
      <c r="G1054" s="9" t="s">
        <v>809</v>
      </c>
      <c r="H1054" s="9" t="s">
        <v>831</v>
      </c>
      <c r="I1054" s="81"/>
      <c r="J1054" s="10">
        <f>'Messages Dictionary'!J467</f>
        <v>0</v>
      </c>
      <c r="K1054" s="81"/>
      <c r="L1054" s="29"/>
      <c r="M1054" s="29"/>
      <c r="N1054" s="23"/>
      <c r="O1054" s="23"/>
      <c r="P1054" s="23"/>
      <c r="Q1054" s="23"/>
      <c r="R1054" s="23"/>
      <c r="S1054" s="23"/>
      <c r="T1054" s="23"/>
      <c r="U1054" s="23"/>
      <c r="V1054" s="23"/>
      <c r="W1054" s="23"/>
      <c r="X1054" s="23"/>
      <c r="Y1054" s="23"/>
      <c r="Z1054" s="23"/>
      <c r="AA1054" s="23"/>
      <c r="AB1054" s="23"/>
      <c r="AC1054" s="23"/>
      <c r="AD1054" s="23"/>
      <c r="AE1054" s="23"/>
      <c r="AF1054" s="23"/>
      <c r="AG1054" s="23"/>
      <c r="AH1054" s="23"/>
      <c r="AI1054" s="23"/>
      <c r="AJ1054" s="23"/>
      <c r="AK1054" s="23"/>
      <c r="AL1054" s="23"/>
      <c r="AM1054" s="23"/>
      <c r="AN1054" s="23"/>
      <c r="AO1054" s="23"/>
      <c r="AP1054" s="23"/>
      <c r="AQ1054" s="23"/>
      <c r="AR1054" s="23"/>
      <c r="AS1054" s="23">
        <f t="shared" si="17"/>
        <v>0</v>
      </c>
    </row>
    <row r="1055" spans="1:45" s="27" customFormat="1" ht="42.75" hidden="1" x14ac:dyDescent="0.2">
      <c r="A1055" s="28">
        <v>3071</v>
      </c>
      <c r="B1055" s="9" t="s">
        <v>715</v>
      </c>
      <c r="C1055" s="9" t="s">
        <v>716</v>
      </c>
      <c r="D1055" s="9" t="s">
        <v>234</v>
      </c>
      <c r="E1055" s="9" t="s">
        <v>702</v>
      </c>
      <c r="F1055" s="9" t="s">
        <v>201</v>
      </c>
      <c r="G1055" s="9" t="s">
        <v>809</v>
      </c>
      <c r="H1055" s="9" t="s">
        <v>831</v>
      </c>
      <c r="I1055" s="81"/>
      <c r="J1055" s="10">
        <f>'Messages Dictionary'!J468</f>
        <v>0</v>
      </c>
      <c r="K1055" s="81"/>
      <c r="L1055" s="29"/>
      <c r="M1055" s="29"/>
      <c r="N1055" s="23"/>
      <c r="O1055" s="23"/>
      <c r="P1055" s="23"/>
      <c r="Q1055" s="23"/>
      <c r="R1055" s="23"/>
      <c r="S1055" s="23"/>
      <c r="T1055" s="23"/>
      <c r="U1055" s="23"/>
      <c r="V1055" s="23"/>
      <c r="W1055" s="23"/>
      <c r="X1055" s="23"/>
      <c r="Y1055" s="23"/>
      <c r="Z1055" s="23"/>
      <c r="AA1055" s="23"/>
      <c r="AB1055" s="23"/>
      <c r="AC1055" s="23"/>
      <c r="AD1055" s="23"/>
      <c r="AE1055" s="23"/>
      <c r="AF1055" s="23"/>
      <c r="AG1055" s="23"/>
      <c r="AH1055" s="23"/>
      <c r="AI1055" s="23"/>
      <c r="AJ1055" s="23"/>
      <c r="AK1055" s="23"/>
      <c r="AL1055" s="23"/>
      <c r="AM1055" s="23"/>
      <c r="AN1055" s="23"/>
      <c r="AO1055" s="23"/>
      <c r="AP1055" s="23"/>
      <c r="AQ1055" s="23"/>
      <c r="AR1055" s="23"/>
      <c r="AS1055" s="23">
        <f t="shared" si="17"/>
        <v>0</v>
      </c>
    </row>
    <row r="1056" spans="1:45" s="27" customFormat="1" ht="28.5" hidden="1" x14ac:dyDescent="0.2">
      <c r="A1056" s="28">
        <v>3072</v>
      </c>
      <c r="B1056" s="9" t="s">
        <v>717</v>
      </c>
      <c r="C1056" s="9" t="s">
        <v>718</v>
      </c>
      <c r="D1056" s="9" t="s">
        <v>234</v>
      </c>
      <c r="E1056" s="9" t="s">
        <v>702</v>
      </c>
      <c r="F1056" s="9" t="s">
        <v>201</v>
      </c>
      <c r="G1056" s="9" t="s">
        <v>809</v>
      </c>
      <c r="H1056" s="9" t="s">
        <v>831</v>
      </c>
      <c r="I1056" s="81"/>
      <c r="J1056" s="10">
        <f>'Messages Dictionary'!J469</f>
        <v>0</v>
      </c>
      <c r="K1056" s="81"/>
      <c r="L1056" s="29"/>
      <c r="M1056" s="29"/>
      <c r="N1056" s="23"/>
      <c r="O1056" s="23"/>
      <c r="P1056" s="23"/>
      <c r="Q1056" s="23"/>
      <c r="R1056" s="23"/>
      <c r="S1056" s="23"/>
      <c r="T1056" s="23"/>
      <c r="U1056" s="23"/>
      <c r="V1056" s="23"/>
      <c r="W1056" s="23"/>
      <c r="X1056" s="23"/>
      <c r="Y1056" s="23"/>
      <c r="Z1056" s="23"/>
      <c r="AA1056" s="23"/>
      <c r="AB1056" s="23"/>
      <c r="AC1056" s="23"/>
      <c r="AD1056" s="23"/>
      <c r="AE1056" s="23"/>
      <c r="AF1056" s="23"/>
      <c r="AG1056" s="23"/>
      <c r="AH1056" s="23"/>
      <c r="AI1056" s="23"/>
      <c r="AJ1056" s="23"/>
      <c r="AK1056" s="23"/>
      <c r="AL1056" s="23"/>
      <c r="AM1056" s="23"/>
      <c r="AN1056" s="23"/>
      <c r="AO1056" s="23"/>
      <c r="AP1056" s="23"/>
      <c r="AQ1056" s="23"/>
      <c r="AR1056" s="23"/>
      <c r="AS1056" s="23">
        <f t="shared" si="17"/>
        <v>0</v>
      </c>
    </row>
    <row r="1057" spans="1:45" s="27" customFormat="1" ht="28.5" hidden="1" x14ac:dyDescent="0.2">
      <c r="A1057" s="28">
        <v>3073</v>
      </c>
      <c r="B1057" s="9" t="s">
        <v>719</v>
      </c>
      <c r="C1057" s="9" t="s">
        <v>720</v>
      </c>
      <c r="D1057" s="9" t="s">
        <v>234</v>
      </c>
      <c r="E1057" s="9" t="s">
        <v>677</v>
      </c>
      <c r="F1057" s="9" t="s">
        <v>199</v>
      </c>
      <c r="G1057" s="9" t="s">
        <v>809</v>
      </c>
      <c r="H1057" s="9" t="s">
        <v>831</v>
      </c>
      <c r="I1057" s="81"/>
      <c r="J1057" s="10">
        <f>'Messages Dictionary'!J470</f>
        <v>0</v>
      </c>
      <c r="K1057" s="81"/>
      <c r="L1057" s="29"/>
      <c r="M1057" s="29"/>
      <c r="N1057" s="23"/>
      <c r="O1057" s="23"/>
      <c r="P1057" s="23"/>
      <c r="Q1057" s="23"/>
      <c r="R1057" s="23"/>
      <c r="S1057" s="23"/>
      <c r="T1057" s="23"/>
      <c r="U1057" s="23"/>
      <c r="V1057" s="23"/>
      <c r="W1057" s="23"/>
      <c r="X1057" s="23"/>
      <c r="Y1057" s="23"/>
      <c r="Z1057" s="23"/>
      <c r="AA1057" s="23"/>
      <c r="AB1057" s="23"/>
      <c r="AC1057" s="23"/>
      <c r="AD1057" s="23"/>
      <c r="AE1057" s="23"/>
      <c r="AF1057" s="23"/>
      <c r="AG1057" s="23"/>
      <c r="AH1057" s="23"/>
      <c r="AI1057" s="23"/>
      <c r="AJ1057" s="23"/>
      <c r="AK1057" s="23"/>
      <c r="AL1057" s="23"/>
      <c r="AM1057" s="23"/>
      <c r="AN1057" s="23"/>
      <c r="AO1057" s="23"/>
      <c r="AP1057" s="23"/>
      <c r="AQ1057" s="23"/>
      <c r="AR1057" s="23"/>
      <c r="AS1057" s="23">
        <f t="shared" si="17"/>
        <v>0</v>
      </c>
    </row>
    <row r="1058" spans="1:45" s="27" customFormat="1" ht="28.5" hidden="1" x14ac:dyDescent="0.2">
      <c r="A1058" s="28">
        <v>3074</v>
      </c>
      <c r="B1058" s="9" t="s">
        <v>721</v>
      </c>
      <c r="C1058" s="9" t="s">
        <v>722</v>
      </c>
      <c r="D1058" s="9" t="s">
        <v>234</v>
      </c>
      <c r="E1058" s="9" t="s">
        <v>677</v>
      </c>
      <c r="F1058" s="9" t="s">
        <v>199</v>
      </c>
      <c r="G1058" s="9" t="s">
        <v>809</v>
      </c>
      <c r="H1058" s="9" t="s">
        <v>831</v>
      </c>
      <c r="I1058" s="81"/>
      <c r="J1058" s="10">
        <f>'Messages Dictionary'!J471</f>
        <v>0</v>
      </c>
      <c r="K1058" s="81"/>
      <c r="L1058" s="29"/>
      <c r="M1058" s="29"/>
      <c r="N1058" s="23"/>
      <c r="O1058" s="23"/>
      <c r="P1058" s="23"/>
      <c r="Q1058" s="23"/>
      <c r="R1058" s="23"/>
      <c r="S1058" s="23"/>
      <c r="T1058" s="23"/>
      <c r="U1058" s="23"/>
      <c r="V1058" s="23"/>
      <c r="W1058" s="23"/>
      <c r="X1058" s="23"/>
      <c r="Y1058" s="23"/>
      <c r="Z1058" s="23"/>
      <c r="AA1058" s="23"/>
      <c r="AB1058" s="23"/>
      <c r="AC1058" s="23"/>
      <c r="AD1058" s="23"/>
      <c r="AE1058" s="23"/>
      <c r="AF1058" s="23"/>
      <c r="AG1058" s="23"/>
      <c r="AH1058" s="23"/>
      <c r="AI1058" s="23"/>
      <c r="AJ1058" s="23"/>
      <c r="AK1058" s="23"/>
      <c r="AL1058" s="23"/>
      <c r="AM1058" s="23"/>
      <c r="AN1058" s="23"/>
      <c r="AO1058" s="23"/>
      <c r="AP1058" s="23"/>
      <c r="AQ1058" s="23"/>
      <c r="AR1058" s="23"/>
      <c r="AS1058" s="23">
        <f>AS459*$J1058</f>
        <v>0</v>
      </c>
    </row>
    <row r="1059" spans="1:45" s="27" customFormat="1" ht="28.5" hidden="1" x14ac:dyDescent="0.2">
      <c r="A1059" s="28">
        <v>3075</v>
      </c>
      <c r="B1059" s="9" t="s">
        <v>723</v>
      </c>
      <c r="C1059" s="9" t="s">
        <v>724</v>
      </c>
      <c r="D1059" s="9" t="s">
        <v>234</v>
      </c>
      <c r="E1059" s="9" t="s">
        <v>263</v>
      </c>
      <c r="F1059" s="9" t="s">
        <v>199</v>
      </c>
      <c r="G1059" s="9" t="s">
        <v>809</v>
      </c>
      <c r="H1059" s="9" t="s">
        <v>831</v>
      </c>
      <c r="I1059" s="81"/>
      <c r="J1059" s="10">
        <f>'Messages Dictionary'!J472</f>
        <v>0</v>
      </c>
      <c r="K1059" s="81"/>
      <c r="L1059" s="29"/>
      <c r="M1059" s="29"/>
      <c r="N1059" s="23"/>
      <c r="O1059" s="23"/>
      <c r="P1059" s="23"/>
      <c r="Q1059" s="23"/>
      <c r="R1059" s="23"/>
      <c r="S1059" s="23"/>
      <c r="T1059" s="23"/>
      <c r="U1059" s="23"/>
      <c r="V1059" s="23"/>
      <c r="W1059" s="23"/>
      <c r="X1059" s="23"/>
      <c r="Y1059" s="23"/>
      <c r="Z1059" s="23"/>
      <c r="AA1059" s="23"/>
      <c r="AB1059" s="23"/>
      <c r="AC1059" s="23"/>
      <c r="AD1059" s="23"/>
      <c r="AE1059" s="23"/>
      <c r="AF1059" s="23"/>
      <c r="AG1059" s="23"/>
      <c r="AH1059" s="23"/>
      <c r="AI1059" s="23"/>
      <c r="AJ1059" s="23"/>
      <c r="AK1059" s="23"/>
      <c r="AL1059" s="23"/>
      <c r="AM1059" s="23"/>
      <c r="AN1059" s="23"/>
      <c r="AO1059" s="23"/>
      <c r="AP1059" s="23"/>
      <c r="AQ1059" s="23"/>
      <c r="AR1059" s="23"/>
      <c r="AS1059" s="23">
        <f t="shared" ref="AS1059:AS1122" si="18">AS460*$J1059</f>
        <v>0</v>
      </c>
    </row>
    <row r="1060" spans="1:45" s="27" customFormat="1" ht="42.75" hidden="1" x14ac:dyDescent="0.2">
      <c r="A1060" s="28">
        <v>3076</v>
      </c>
      <c r="B1060" s="9" t="s">
        <v>725</v>
      </c>
      <c r="C1060" s="9" t="s">
        <v>726</v>
      </c>
      <c r="D1060" s="9" t="s">
        <v>234</v>
      </c>
      <c r="E1060" s="9" t="s">
        <v>656</v>
      </c>
      <c r="F1060" s="9" t="s">
        <v>201</v>
      </c>
      <c r="G1060" s="9" t="s">
        <v>809</v>
      </c>
      <c r="H1060" s="9" t="s">
        <v>831</v>
      </c>
      <c r="I1060" s="81"/>
      <c r="J1060" s="10">
        <f>'Messages Dictionary'!J473</f>
        <v>0</v>
      </c>
      <c r="K1060" s="81"/>
      <c r="L1060" s="29"/>
      <c r="M1060" s="29"/>
      <c r="N1060" s="23"/>
      <c r="O1060" s="23"/>
      <c r="P1060" s="23"/>
      <c r="Q1060" s="23"/>
      <c r="R1060" s="23"/>
      <c r="S1060" s="23"/>
      <c r="T1060" s="23"/>
      <c r="U1060" s="23"/>
      <c r="V1060" s="23"/>
      <c r="W1060" s="23"/>
      <c r="X1060" s="23"/>
      <c r="Y1060" s="23"/>
      <c r="Z1060" s="23"/>
      <c r="AA1060" s="23"/>
      <c r="AB1060" s="23"/>
      <c r="AC1060" s="23"/>
      <c r="AD1060" s="23"/>
      <c r="AE1060" s="23"/>
      <c r="AF1060" s="23"/>
      <c r="AG1060" s="23"/>
      <c r="AH1060" s="23"/>
      <c r="AI1060" s="23"/>
      <c r="AJ1060" s="23"/>
      <c r="AK1060" s="23"/>
      <c r="AL1060" s="23"/>
      <c r="AM1060" s="23"/>
      <c r="AN1060" s="23"/>
      <c r="AO1060" s="23"/>
      <c r="AP1060" s="23"/>
      <c r="AQ1060" s="23"/>
      <c r="AR1060" s="23"/>
      <c r="AS1060" s="23">
        <f t="shared" si="18"/>
        <v>0</v>
      </c>
    </row>
    <row r="1061" spans="1:45" s="27" customFormat="1" ht="42.75" hidden="1" x14ac:dyDescent="0.2">
      <c r="A1061" s="28">
        <v>3077</v>
      </c>
      <c r="B1061" s="9" t="s">
        <v>727</v>
      </c>
      <c r="C1061" s="9" t="s">
        <v>728</v>
      </c>
      <c r="D1061" s="9" t="s">
        <v>234</v>
      </c>
      <c r="E1061" s="9" t="s">
        <v>656</v>
      </c>
      <c r="F1061" s="9" t="s">
        <v>199</v>
      </c>
      <c r="G1061" s="9" t="s">
        <v>809</v>
      </c>
      <c r="H1061" s="9" t="s">
        <v>831</v>
      </c>
      <c r="I1061" s="81"/>
      <c r="J1061" s="10">
        <f>'Messages Dictionary'!J474</f>
        <v>0</v>
      </c>
      <c r="K1061" s="81"/>
      <c r="L1061" s="29"/>
      <c r="M1061" s="29"/>
      <c r="N1061" s="23"/>
      <c r="O1061" s="23"/>
      <c r="P1061" s="23"/>
      <c r="Q1061" s="23"/>
      <c r="R1061" s="23"/>
      <c r="S1061" s="23"/>
      <c r="T1061" s="23"/>
      <c r="U1061" s="23"/>
      <c r="V1061" s="23"/>
      <c r="W1061" s="23"/>
      <c r="X1061" s="23"/>
      <c r="Y1061" s="23"/>
      <c r="Z1061" s="23"/>
      <c r="AA1061" s="23"/>
      <c r="AB1061" s="23"/>
      <c r="AC1061" s="23"/>
      <c r="AD1061" s="23"/>
      <c r="AE1061" s="23"/>
      <c r="AF1061" s="23"/>
      <c r="AG1061" s="23"/>
      <c r="AH1061" s="23"/>
      <c r="AI1061" s="23"/>
      <c r="AJ1061" s="23"/>
      <c r="AK1061" s="23"/>
      <c r="AL1061" s="23"/>
      <c r="AM1061" s="23"/>
      <c r="AN1061" s="23"/>
      <c r="AO1061" s="23"/>
      <c r="AP1061" s="23"/>
      <c r="AQ1061" s="23"/>
      <c r="AR1061" s="23"/>
      <c r="AS1061" s="23">
        <f t="shared" si="18"/>
        <v>0</v>
      </c>
    </row>
    <row r="1062" spans="1:45" s="27" customFormat="1" ht="42.75" hidden="1" x14ac:dyDescent="0.2">
      <c r="A1062" s="28">
        <v>3078</v>
      </c>
      <c r="B1062" s="9" t="s">
        <v>729</v>
      </c>
      <c r="C1062" s="9" t="s">
        <v>730</v>
      </c>
      <c r="D1062" s="9" t="s">
        <v>234</v>
      </c>
      <c r="E1062" s="9" t="s">
        <v>656</v>
      </c>
      <c r="F1062" s="9" t="s">
        <v>201</v>
      </c>
      <c r="G1062" s="9" t="s">
        <v>809</v>
      </c>
      <c r="H1062" s="9" t="s">
        <v>831</v>
      </c>
      <c r="I1062" s="81"/>
      <c r="J1062" s="10">
        <f>'Messages Dictionary'!J475</f>
        <v>0</v>
      </c>
      <c r="K1062" s="81"/>
      <c r="L1062" s="29"/>
      <c r="M1062" s="29"/>
      <c r="N1062" s="23"/>
      <c r="O1062" s="23"/>
      <c r="P1062" s="23"/>
      <c r="Q1062" s="23"/>
      <c r="R1062" s="23"/>
      <c r="S1062" s="23"/>
      <c r="T1062" s="23"/>
      <c r="U1062" s="23"/>
      <c r="V1062" s="23"/>
      <c r="W1062" s="23"/>
      <c r="X1062" s="23"/>
      <c r="Y1062" s="23"/>
      <c r="Z1062" s="23"/>
      <c r="AA1062" s="23"/>
      <c r="AB1062" s="23"/>
      <c r="AC1062" s="23"/>
      <c r="AD1062" s="23"/>
      <c r="AE1062" s="23"/>
      <c r="AF1062" s="23"/>
      <c r="AG1062" s="23"/>
      <c r="AH1062" s="23"/>
      <c r="AI1062" s="23"/>
      <c r="AJ1062" s="23"/>
      <c r="AK1062" s="23"/>
      <c r="AL1062" s="23"/>
      <c r="AM1062" s="23"/>
      <c r="AN1062" s="23"/>
      <c r="AO1062" s="23"/>
      <c r="AP1062" s="23"/>
      <c r="AQ1062" s="23"/>
      <c r="AR1062" s="23"/>
      <c r="AS1062" s="23">
        <f t="shared" si="18"/>
        <v>0</v>
      </c>
    </row>
    <row r="1063" spans="1:45" s="27" customFormat="1" ht="42.75" hidden="1" x14ac:dyDescent="0.2">
      <c r="A1063" s="28">
        <v>3079</v>
      </c>
      <c r="B1063" s="9" t="s">
        <v>731</v>
      </c>
      <c r="C1063" s="9" t="s">
        <v>732</v>
      </c>
      <c r="D1063" s="9" t="s">
        <v>234</v>
      </c>
      <c r="E1063" s="9" t="s">
        <v>656</v>
      </c>
      <c r="F1063" s="9" t="s">
        <v>201</v>
      </c>
      <c r="G1063" s="9" t="s">
        <v>809</v>
      </c>
      <c r="H1063" s="9" t="s">
        <v>831</v>
      </c>
      <c r="I1063" s="81"/>
      <c r="J1063" s="10">
        <f>'Messages Dictionary'!J476</f>
        <v>0</v>
      </c>
      <c r="K1063" s="81"/>
      <c r="L1063" s="29"/>
      <c r="M1063" s="29"/>
      <c r="N1063" s="23"/>
      <c r="O1063" s="23"/>
      <c r="P1063" s="23"/>
      <c r="Q1063" s="23"/>
      <c r="R1063" s="23"/>
      <c r="S1063" s="23"/>
      <c r="T1063" s="23"/>
      <c r="U1063" s="23"/>
      <c r="V1063" s="23"/>
      <c r="W1063" s="23"/>
      <c r="X1063" s="23"/>
      <c r="Y1063" s="23"/>
      <c r="Z1063" s="23"/>
      <c r="AA1063" s="23"/>
      <c r="AB1063" s="23"/>
      <c r="AC1063" s="23"/>
      <c r="AD1063" s="23"/>
      <c r="AE1063" s="23"/>
      <c r="AF1063" s="23"/>
      <c r="AG1063" s="23"/>
      <c r="AH1063" s="23"/>
      <c r="AI1063" s="23"/>
      <c r="AJ1063" s="23"/>
      <c r="AK1063" s="23"/>
      <c r="AL1063" s="23"/>
      <c r="AM1063" s="23"/>
      <c r="AN1063" s="23"/>
      <c r="AO1063" s="23"/>
      <c r="AP1063" s="23"/>
      <c r="AQ1063" s="23"/>
      <c r="AR1063" s="23"/>
      <c r="AS1063" s="23">
        <f t="shared" si="18"/>
        <v>0</v>
      </c>
    </row>
    <row r="1064" spans="1:45" s="27" customFormat="1" ht="42.75" hidden="1" x14ac:dyDescent="0.2">
      <c r="A1064" s="28">
        <v>3080</v>
      </c>
      <c r="B1064" s="9" t="s">
        <v>733</v>
      </c>
      <c r="C1064" s="9" t="s">
        <v>734</v>
      </c>
      <c r="D1064" s="9" t="s">
        <v>234</v>
      </c>
      <c r="E1064" s="9" t="s">
        <v>656</v>
      </c>
      <c r="F1064" s="9" t="s">
        <v>199</v>
      </c>
      <c r="G1064" s="9" t="s">
        <v>809</v>
      </c>
      <c r="H1064" s="9" t="s">
        <v>831</v>
      </c>
      <c r="I1064" s="81"/>
      <c r="J1064" s="10">
        <f>'Messages Dictionary'!J477</f>
        <v>0</v>
      </c>
      <c r="K1064" s="81"/>
      <c r="L1064" s="29"/>
      <c r="M1064" s="29"/>
      <c r="N1064" s="23"/>
      <c r="O1064" s="23"/>
      <c r="P1064" s="23"/>
      <c r="Q1064" s="23"/>
      <c r="R1064" s="23"/>
      <c r="S1064" s="23"/>
      <c r="T1064" s="23"/>
      <c r="U1064" s="23"/>
      <c r="V1064" s="23"/>
      <c r="W1064" s="23"/>
      <c r="X1064" s="23"/>
      <c r="Y1064" s="23"/>
      <c r="Z1064" s="23"/>
      <c r="AA1064" s="23"/>
      <c r="AB1064" s="23"/>
      <c r="AC1064" s="23"/>
      <c r="AD1064" s="23"/>
      <c r="AE1064" s="23"/>
      <c r="AF1064" s="23"/>
      <c r="AG1064" s="23"/>
      <c r="AH1064" s="23"/>
      <c r="AI1064" s="23"/>
      <c r="AJ1064" s="23"/>
      <c r="AK1064" s="23"/>
      <c r="AL1064" s="23"/>
      <c r="AM1064" s="23"/>
      <c r="AN1064" s="23"/>
      <c r="AO1064" s="23"/>
      <c r="AP1064" s="23"/>
      <c r="AQ1064" s="23"/>
      <c r="AR1064" s="23"/>
      <c r="AS1064" s="23">
        <f t="shared" si="18"/>
        <v>0</v>
      </c>
    </row>
    <row r="1065" spans="1:45" s="27" customFormat="1" ht="42.75" hidden="1" x14ac:dyDescent="0.2">
      <c r="A1065" s="28">
        <v>3081</v>
      </c>
      <c r="B1065" s="9" t="s">
        <v>735</v>
      </c>
      <c r="C1065" s="9" t="s">
        <v>736</v>
      </c>
      <c r="D1065" s="9" t="s">
        <v>234</v>
      </c>
      <c r="E1065" s="9" t="s">
        <v>656</v>
      </c>
      <c r="F1065" s="9" t="s">
        <v>199</v>
      </c>
      <c r="G1065" s="9" t="s">
        <v>809</v>
      </c>
      <c r="H1065" s="9" t="s">
        <v>831</v>
      </c>
      <c r="I1065" s="81"/>
      <c r="J1065" s="10">
        <f>'Messages Dictionary'!J478</f>
        <v>0</v>
      </c>
      <c r="K1065" s="81"/>
      <c r="L1065" s="29"/>
      <c r="M1065" s="29"/>
      <c r="N1065" s="23"/>
      <c r="O1065" s="23"/>
      <c r="P1065" s="23"/>
      <c r="Q1065" s="23"/>
      <c r="R1065" s="23"/>
      <c r="S1065" s="23"/>
      <c r="T1065" s="23"/>
      <c r="U1065" s="23"/>
      <c r="V1065" s="23"/>
      <c r="W1065" s="23"/>
      <c r="X1065" s="23"/>
      <c r="Y1065" s="23"/>
      <c r="Z1065" s="23"/>
      <c r="AA1065" s="23"/>
      <c r="AB1065" s="23"/>
      <c r="AC1065" s="23"/>
      <c r="AD1065" s="23"/>
      <c r="AE1065" s="23"/>
      <c r="AF1065" s="23"/>
      <c r="AG1065" s="23"/>
      <c r="AH1065" s="23"/>
      <c r="AI1065" s="23"/>
      <c r="AJ1065" s="23"/>
      <c r="AK1065" s="23"/>
      <c r="AL1065" s="23"/>
      <c r="AM1065" s="23"/>
      <c r="AN1065" s="23"/>
      <c r="AO1065" s="23"/>
      <c r="AP1065" s="23"/>
      <c r="AQ1065" s="23"/>
      <c r="AR1065" s="23"/>
      <c r="AS1065" s="23">
        <f t="shared" si="18"/>
        <v>0</v>
      </c>
    </row>
    <row r="1066" spans="1:45" s="27" customFormat="1" ht="42.75" hidden="1" x14ac:dyDescent="0.2">
      <c r="A1066" s="28">
        <v>3082</v>
      </c>
      <c r="B1066" s="9" t="s">
        <v>737</v>
      </c>
      <c r="C1066" s="9" t="s">
        <v>738</v>
      </c>
      <c r="D1066" s="9" t="s">
        <v>234</v>
      </c>
      <c r="E1066" s="9" t="s">
        <v>656</v>
      </c>
      <c r="F1066" s="9" t="s">
        <v>199</v>
      </c>
      <c r="G1066" s="9" t="s">
        <v>809</v>
      </c>
      <c r="H1066" s="9" t="s">
        <v>831</v>
      </c>
      <c r="I1066" s="81"/>
      <c r="J1066" s="10">
        <f>'Messages Dictionary'!J479</f>
        <v>0</v>
      </c>
      <c r="K1066" s="81"/>
      <c r="L1066" s="29"/>
      <c r="M1066" s="29"/>
      <c r="N1066" s="23"/>
      <c r="O1066" s="23"/>
      <c r="P1066" s="23"/>
      <c r="Q1066" s="23"/>
      <c r="R1066" s="23"/>
      <c r="S1066" s="23"/>
      <c r="T1066" s="23"/>
      <c r="U1066" s="23"/>
      <c r="V1066" s="23"/>
      <c r="W1066" s="23"/>
      <c r="X1066" s="23"/>
      <c r="Y1066" s="23"/>
      <c r="Z1066" s="23"/>
      <c r="AA1066" s="23"/>
      <c r="AB1066" s="23"/>
      <c r="AC1066" s="23"/>
      <c r="AD1066" s="23"/>
      <c r="AE1066" s="23"/>
      <c r="AF1066" s="23"/>
      <c r="AG1066" s="23"/>
      <c r="AH1066" s="23"/>
      <c r="AI1066" s="23"/>
      <c r="AJ1066" s="23"/>
      <c r="AK1066" s="23"/>
      <c r="AL1066" s="23"/>
      <c r="AM1066" s="23"/>
      <c r="AN1066" s="23"/>
      <c r="AO1066" s="23"/>
      <c r="AP1066" s="23"/>
      <c r="AQ1066" s="23"/>
      <c r="AR1066" s="23"/>
      <c r="AS1066" s="23">
        <f t="shared" si="18"/>
        <v>0</v>
      </c>
    </row>
    <row r="1067" spans="1:45" s="27" customFormat="1" ht="42.75" hidden="1" x14ac:dyDescent="0.2">
      <c r="A1067" s="28">
        <v>3083</v>
      </c>
      <c r="B1067" s="9" t="s">
        <v>739</v>
      </c>
      <c r="C1067" s="9" t="s">
        <v>741</v>
      </c>
      <c r="D1067" s="9" t="s">
        <v>234</v>
      </c>
      <c r="E1067" s="9" t="s">
        <v>656</v>
      </c>
      <c r="F1067" s="9" t="s">
        <v>199</v>
      </c>
      <c r="G1067" s="9" t="s">
        <v>809</v>
      </c>
      <c r="H1067" s="9" t="s">
        <v>831</v>
      </c>
      <c r="I1067" s="81"/>
      <c r="J1067" s="10">
        <f>'Messages Dictionary'!J480</f>
        <v>0</v>
      </c>
      <c r="K1067" s="81"/>
      <c r="L1067" s="29"/>
      <c r="M1067" s="29"/>
      <c r="N1067" s="23"/>
      <c r="O1067" s="23"/>
      <c r="P1067" s="23"/>
      <c r="Q1067" s="23"/>
      <c r="R1067" s="23"/>
      <c r="S1067" s="23"/>
      <c r="T1067" s="23"/>
      <c r="U1067" s="23"/>
      <c r="V1067" s="23"/>
      <c r="W1067" s="23"/>
      <c r="X1067" s="23"/>
      <c r="Y1067" s="23"/>
      <c r="Z1067" s="23"/>
      <c r="AA1067" s="23"/>
      <c r="AB1067" s="23"/>
      <c r="AC1067" s="23"/>
      <c r="AD1067" s="23"/>
      <c r="AE1067" s="23"/>
      <c r="AF1067" s="23"/>
      <c r="AG1067" s="23"/>
      <c r="AH1067" s="23"/>
      <c r="AI1067" s="23"/>
      <c r="AJ1067" s="23"/>
      <c r="AK1067" s="23"/>
      <c r="AL1067" s="23"/>
      <c r="AM1067" s="23"/>
      <c r="AN1067" s="23"/>
      <c r="AO1067" s="23"/>
      <c r="AP1067" s="23"/>
      <c r="AQ1067" s="23"/>
      <c r="AR1067" s="23"/>
      <c r="AS1067" s="23">
        <f t="shared" si="18"/>
        <v>0</v>
      </c>
    </row>
    <row r="1068" spans="1:45" s="27" customFormat="1" ht="42.75" hidden="1" x14ac:dyDescent="0.2">
      <c r="A1068" s="28">
        <v>3084</v>
      </c>
      <c r="B1068" s="9" t="s">
        <v>695</v>
      </c>
      <c r="C1068" s="9" t="s">
        <v>222</v>
      </c>
      <c r="D1068" s="9" t="s">
        <v>234</v>
      </c>
      <c r="E1068" s="9" t="s">
        <v>702</v>
      </c>
      <c r="F1068" s="9" t="s">
        <v>198</v>
      </c>
      <c r="G1068" s="9" t="s">
        <v>809</v>
      </c>
      <c r="H1068" s="9" t="s">
        <v>831</v>
      </c>
      <c r="I1068" s="81"/>
      <c r="J1068" s="10">
        <f>'Messages Dictionary'!J481</f>
        <v>0</v>
      </c>
      <c r="K1068" s="81"/>
      <c r="L1068" s="29"/>
      <c r="M1068" s="29"/>
      <c r="N1068" s="23"/>
      <c r="O1068" s="23"/>
      <c r="P1068" s="23"/>
      <c r="Q1068" s="23"/>
      <c r="R1068" s="23"/>
      <c r="S1068" s="23"/>
      <c r="T1068" s="23"/>
      <c r="U1068" s="23"/>
      <c r="V1068" s="23"/>
      <c r="W1068" s="23"/>
      <c r="X1068" s="23"/>
      <c r="Y1068" s="23"/>
      <c r="Z1068" s="23"/>
      <c r="AA1068" s="23"/>
      <c r="AB1068" s="23"/>
      <c r="AC1068" s="23"/>
      <c r="AD1068" s="23"/>
      <c r="AE1068" s="23"/>
      <c r="AF1068" s="23"/>
      <c r="AG1068" s="23"/>
      <c r="AH1068" s="23"/>
      <c r="AI1068" s="23"/>
      <c r="AJ1068" s="23"/>
      <c r="AK1068" s="23"/>
      <c r="AL1068" s="23"/>
      <c r="AM1068" s="23"/>
      <c r="AN1068" s="23"/>
      <c r="AO1068" s="23"/>
      <c r="AP1068" s="23"/>
      <c r="AQ1068" s="23"/>
      <c r="AR1068" s="23"/>
      <c r="AS1068" s="23">
        <f t="shared" si="18"/>
        <v>0</v>
      </c>
    </row>
    <row r="1069" spans="1:45" s="27" customFormat="1" ht="42.75" hidden="1" x14ac:dyDescent="0.2">
      <c r="A1069" s="28">
        <v>3085</v>
      </c>
      <c r="B1069" s="9" t="s">
        <v>223</v>
      </c>
      <c r="C1069" s="9" t="s">
        <v>224</v>
      </c>
      <c r="D1069" s="9" t="s">
        <v>234</v>
      </c>
      <c r="E1069" s="9" t="s">
        <v>702</v>
      </c>
      <c r="F1069" s="9" t="s">
        <v>198</v>
      </c>
      <c r="G1069" s="9" t="s">
        <v>809</v>
      </c>
      <c r="H1069" s="9" t="s">
        <v>831</v>
      </c>
      <c r="I1069" s="81"/>
      <c r="J1069" s="10">
        <f>'Messages Dictionary'!J482</f>
        <v>0</v>
      </c>
      <c r="K1069" s="81"/>
      <c r="L1069" s="29"/>
      <c r="M1069" s="29"/>
      <c r="N1069" s="23"/>
      <c r="O1069" s="23"/>
      <c r="P1069" s="23"/>
      <c r="Q1069" s="23"/>
      <c r="R1069" s="23"/>
      <c r="S1069" s="23"/>
      <c r="T1069" s="23"/>
      <c r="U1069" s="23"/>
      <c r="V1069" s="23"/>
      <c r="W1069" s="23"/>
      <c r="X1069" s="23"/>
      <c r="Y1069" s="23"/>
      <c r="Z1069" s="23"/>
      <c r="AA1069" s="23"/>
      <c r="AB1069" s="23"/>
      <c r="AC1069" s="23"/>
      <c r="AD1069" s="23"/>
      <c r="AE1069" s="23"/>
      <c r="AF1069" s="23"/>
      <c r="AG1069" s="23"/>
      <c r="AH1069" s="23"/>
      <c r="AI1069" s="23"/>
      <c r="AJ1069" s="23"/>
      <c r="AK1069" s="23"/>
      <c r="AL1069" s="23"/>
      <c r="AM1069" s="23"/>
      <c r="AN1069" s="23"/>
      <c r="AO1069" s="23"/>
      <c r="AP1069" s="23"/>
      <c r="AQ1069" s="23"/>
      <c r="AR1069" s="23"/>
      <c r="AS1069" s="23">
        <f t="shared" si="18"/>
        <v>0</v>
      </c>
    </row>
    <row r="1070" spans="1:45" s="27" customFormat="1" ht="57" hidden="1" x14ac:dyDescent="0.2">
      <c r="A1070" s="28">
        <v>3086</v>
      </c>
      <c r="B1070" s="9" t="s">
        <v>225</v>
      </c>
      <c r="C1070" s="9" t="s">
        <v>226</v>
      </c>
      <c r="D1070" s="9" t="s">
        <v>234</v>
      </c>
      <c r="E1070" s="9" t="s">
        <v>702</v>
      </c>
      <c r="F1070" s="9" t="s">
        <v>199</v>
      </c>
      <c r="G1070" s="9" t="s">
        <v>809</v>
      </c>
      <c r="H1070" s="9" t="s">
        <v>831</v>
      </c>
      <c r="I1070" s="81"/>
      <c r="J1070" s="10">
        <f>'Messages Dictionary'!J483</f>
        <v>0</v>
      </c>
      <c r="K1070" s="81"/>
      <c r="L1070" s="29"/>
      <c r="M1070" s="29"/>
      <c r="N1070" s="23"/>
      <c r="O1070" s="23"/>
      <c r="P1070" s="23"/>
      <c r="Q1070" s="23"/>
      <c r="R1070" s="23"/>
      <c r="S1070" s="23"/>
      <c r="T1070" s="23"/>
      <c r="U1070" s="23"/>
      <c r="V1070" s="23"/>
      <c r="W1070" s="23"/>
      <c r="X1070" s="23"/>
      <c r="Y1070" s="23"/>
      <c r="Z1070" s="23"/>
      <c r="AA1070" s="23"/>
      <c r="AB1070" s="23"/>
      <c r="AC1070" s="23"/>
      <c r="AD1070" s="23"/>
      <c r="AE1070" s="23"/>
      <c r="AF1070" s="23"/>
      <c r="AG1070" s="23"/>
      <c r="AH1070" s="23"/>
      <c r="AI1070" s="23"/>
      <c r="AJ1070" s="23"/>
      <c r="AK1070" s="23"/>
      <c r="AL1070" s="23"/>
      <c r="AM1070" s="23"/>
      <c r="AN1070" s="23"/>
      <c r="AO1070" s="23"/>
      <c r="AP1070" s="23"/>
      <c r="AQ1070" s="23"/>
      <c r="AR1070" s="23"/>
      <c r="AS1070" s="23">
        <f t="shared" si="18"/>
        <v>0</v>
      </c>
    </row>
    <row r="1071" spans="1:45" s="27" customFormat="1" ht="28.5" hidden="1" x14ac:dyDescent="0.2">
      <c r="A1071" s="28">
        <v>3087</v>
      </c>
      <c r="B1071" s="9" t="s">
        <v>227</v>
      </c>
      <c r="C1071" s="9" t="s">
        <v>228</v>
      </c>
      <c r="D1071" s="9" t="s">
        <v>234</v>
      </c>
      <c r="E1071" s="9" t="s">
        <v>702</v>
      </c>
      <c r="F1071" s="9" t="s">
        <v>199</v>
      </c>
      <c r="G1071" s="9" t="s">
        <v>809</v>
      </c>
      <c r="H1071" s="9" t="s">
        <v>831</v>
      </c>
      <c r="I1071" s="81"/>
      <c r="J1071" s="10">
        <f>'Messages Dictionary'!J484</f>
        <v>0</v>
      </c>
      <c r="K1071" s="81"/>
      <c r="L1071" s="29"/>
      <c r="M1071" s="29"/>
      <c r="N1071" s="23"/>
      <c r="O1071" s="23"/>
      <c r="P1071" s="23"/>
      <c r="Q1071" s="23"/>
      <c r="R1071" s="23"/>
      <c r="S1071" s="23"/>
      <c r="T1071" s="23"/>
      <c r="U1071" s="23"/>
      <c r="V1071" s="23"/>
      <c r="W1071" s="23"/>
      <c r="X1071" s="23"/>
      <c r="Y1071" s="23"/>
      <c r="Z1071" s="23"/>
      <c r="AA1071" s="23"/>
      <c r="AB1071" s="23"/>
      <c r="AC1071" s="23"/>
      <c r="AD1071" s="23"/>
      <c r="AE1071" s="23"/>
      <c r="AF1071" s="23"/>
      <c r="AG1071" s="23"/>
      <c r="AH1071" s="23"/>
      <c r="AI1071" s="23"/>
      <c r="AJ1071" s="23"/>
      <c r="AK1071" s="23"/>
      <c r="AL1071" s="23"/>
      <c r="AM1071" s="23"/>
      <c r="AN1071" s="23"/>
      <c r="AO1071" s="23"/>
      <c r="AP1071" s="23"/>
      <c r="AQ1071" s="23"/>
      <c r="AR1071" s="23"/>
      <c r="AS1071" s="23">
        <f t="shared" si="18"/>
        <v>0</v>
      </c>
    </row>
    <row r="1072" spans="1:45" s="27" customFormat="1" ht="28.5" hidden="1" x14ac:dyDescent="0.2">
      <c r="A1072" s="28">
        <v>3088</v>
      </c>
      <c r="B1072" s="9" t="s">
        <v>703</v>
      </c>
      <c r="C1072" s="9" t="s">
        <v>704</v>
      </c>
      <c r="D1072" s="9" t="s">
        <v>234</v>
      </c>
      <c r="E1072" s="9" t="s">
        <v>702</v>
      </c>
      <c r="F1072" s="9" t="s">
        <v>198</v>
      </c>
      <c r="G1072" s="9" t="s">
        <v>809</v>
      </c>
      <c r="H1072" s="9" t="s">
        <v>831</v>
      </c>
      <c r="I1072" s="81"/>
      <c r="J1072" s="10">
        <f>'Messages Dictionary'!J485</f>
        <v>0</v>
      </c>
      <c r="K1072" s="81"/>
      <c r="L1072" s="29"/>
      <c r="M1072" s="29"/>
      <c r="N1072" s="23"/>
      <c r="O1072" s="23"/>
      <c r="P1072" s="23"/>
      <c r="Q1072" s="23"/>
      <c r="R1072" s="23"/>
      <c r="S1072" s="23"/>
      <c r="T1072" s="23"/>
      <c r="U1072" s="23"/>
      <c r="V1072" s="23"/>
      <c r="W1072" s="23"/>
      <c r="X1072" s="23"/>
      <c r="Y1072" s="23"/>
      <c r="Z1072" s="23"/>
      <c r="AA1072" s="23"/>
      <c r="AB1072" s="23"/>
      <c r="AC1072" s="23"/>
      <c r="AD1072" s="23"/>
      <c r="AE1072" s="23"/>
      <c r="AF1072" s="23"/>
      <c r="AG1072" s="23"/>
      <c r="AH1072" s="23"/>
      <c r="AI1072" s="23"/>
      <c r="AJ1072" s="23"/>
      <c r="AK1072" s="23"/>
      <c r="AL1072" s="23"/>
      <c r="AM1072" s="23"/>
      <c r="AN1072" s="23"/>
      <c r="AO1072" s="23"/>
      <c r="AP1072" s="23"/>
      <c r="AQ1072" s="23"/>
      <c r="AR1072" s="23"/>
      <c r="AS1072" s="23">
        <f t="shared" si="18"/>
        <v>0</v>
      </c>
    </row>
    <row r="1073" spans="1:45" s="27" customFormat="1" ht="57" hidden="1" x14ac:dyDescent="0.2">
      <c r="A1073" s="28">
        <v>3089</v>
      </c>
      <c r="B1073" s="9" t="s">
        <v>705</v>
      </c>
      <c r="C1073" s="9" t="s">
        <v>706</v>
      </c>
      <c r="D1073" s="9" t="s">
        <v>234</v>
      </c>
      <c r="E1073" s="9" t="s">
        <v>235</v>
      </c>
      <c r="F1073" s="9" t="s">
        <v>200</v>
      </c>
      <c r="G1073" s="9" t="s">
        <v>809</v>
      </c>
      <c r="H1073" s="9" t="s">
        <v>831</v>
      </c>
      <c r="I1073" s="81"/>
      <c r="J1073" s="10">
        <f>'Messages Dictionary'!J486</f>
        <v>0</v>
      </c>
      <c r="K1073" s="81"/>
      <c r="L1073" s="29"/>
      <c r="M1073" s="29"/>
      <c r="N1073" s="23"/>
      <c r="O1073" s="23"/>
      <c r="P1073" s="23"/>
      <c r="Q1073" s="23"/>
      <c r="R1073" s="23"/>
      <c r="S1073" s="23"/>
      <c r="T1073" s="23"/>
      <c r="U1073" s="23"/>
      <c r="V1073" s="23"/>
      <c r="W1073" s="23"/>
      <c r="X1073" s="23"/>
      <c r="Y1073" s="23"/>
      <c r="Z1073" s="23"/>
      <c r="AA1073" s="23"/>
      <c r="AB1073" s="23"/>
      <c r="AC1073" s="23"/>
      <c r="AD1073" s="23"/>
      <c r="AE1073" s="23"/>
      <c r="AF1073" s="23"/>
      <c r="AG1073" s="23"/>
      <c r="AH1073" s="23"/>
      <c r="AI1073" s="23"/>
      <c r="AJ1073" s="23"/>
      <c r="AK1073" s="23"/>
      <c r="AL1073" s="23"/>
      <c r="AM1073" s="23"/>
      <c r="AN1073" s="23"/>
      <c r="AO1073" s="23"/>
      <c r="AP1073" s="23"/>
      <c r="AQ1073" s="23"/>
      <c r="AR1073" s="23"/>
      <c r="AS1073" s="23">
        <f t="shared" si="18"/>
        <v>0</v>
      </c>
    </row>
    <row r="1074" spans="1:45" s="27" customFormat="1" ht="28.5" hidden="1" x14ac:dyDescent="0.2">
      <c r="A1074" s="28">
        <v>3090</v>
      </c>
      <c r="B1074" s="9" t="s">
        <v>707</v>
      </c>
      <c r="C1074" s="9" t="s">
        <v>708</v>
      </c>
      <c r="D1074" s="9" t="s">
        <v>234</v>
      </c>
      <c r="E1074" s="9" t="s">
        <v>702</v>
      </c>
      <c r="F1074" s="9" t="s">
        <v>199</v>
      </c>
      <c r="G1074" s="9" t="s">
        <v>809</v>
      </c>
      <c r="H1074" s="9" t="s">
        <v>831</v>
      </c>
      <c r="I1074" s="81"/>
      <c r="J1074" s="10">
        <f>'Messages Dictionary'!J487</f>
        <v>0</v>
      </c>
      <c r="K1074" s="81"/>
      <c r="L1074" s="29"/>
      <c r="M1074" s="29"/>
      <c r="N1074" s="23"/>
      <c r="O1074" s="23"/>
      <c r="P1074" s="23"/>
      <c r="Q1074" s="23"/>
      <c r="R1074" s="23"/>
      <c r="S1074" s="23"/>
      <c r="T1074" s="23"/>
      <c r="U1074" s="23"/>
      <c r="V1074" s="23"/>
      <c r="W1074" s="23"/>
      <c r="X1074" s="23"/>
      <c r="Y1074" s="23"/>
      <c r="Z1074" s="23"/>
      <c r="AA1074" s="23"/>
      <c r="AB1074" s="23"/>
      <c r="AC1074" s="23"/>
      <c r="AD1074" s="23"/>
      <c r="AE1074" s="23"/>
      <c r="AF1074" s="23"/>
      <c r="AG1074" s="23"/>
      <c r="AH1074" s="23"/>
      <c r="AI1074" s="23"/>
      <c r="AJ1074" s="23"/>
      <c r="AK1074" s="23"/>
      <c r="AL1074" s="23"/>
      <c r="AM1074" s="23"/>
      <c r="AN1074" s="23"/>
      <c r="AO1074" s="23"/>
      <c r="AP1074" s="23"/>
      <c r="AQ1074" s="23"/>
      <c r="AR1074" s="23"/>
      <c r="AS1074" s="23">
        <f t="shared" si="18"/>
        <v>0</v>
      </c>
    </row>
    <row r="1075" spans="1:45" s="27" customFormat="1" ht="28.5" hidden="1" x14ac:dyDescent="0.2">
      <c r="A1075" s="28">
        <v>3091</v>
      </c>
      <c r="B1075" s="9" t="s">
        <v>574</v>
      </c>
      <c r="C1075" s="9" t="s">
        <v>575</v>
      </c>
      <c r="D1075" s="9" t="s">
        <v>234</v>
      </c>
      <c r="E1075" s="9" t="s">
        <v>702</v>
      </c>
      <c r="F1075" s="9" t="s">
        <v>199</v>
      </c>
      <c r="G1075" s="9" t="s">
        <v>809</v>
      </c>
      <c r="H1075" s="9" t="s">
        <v>831</v>
      </c>
      <c r="I1075" s="81"/>
      <c r="J1075" s="10">
        <f>'Messages Dictionary'!J488</f>
        <v>0</v>
      </c>
      <c r="K1075" s="81"/>
      <c r="L1075" s="29"/>
      <c r="M1075" s="29"/>
      <c r="N1075" s="23"/>
      <c r="O1075" s="23"/>
      <c r="P1075" s="23"/>
      <c r="Q1075" s="23"/>
      <c r="R1075" s="23"/>
      <c r="S1075" s="23"/>
      <c r="T1075" s="23"/>
      <c r="U1075" s="23"/>
      <c r="V1075" s="23"/>
      <c r="W1075" s="23"/>
      <c r="X1075" s="23"/>
      <c r="Y1075" s="23"/>
      <c r="Z1075" s="23"/>
      <c r="AA1075" s="23"/>
      <c r="AB1075" s="23"/>
      <c r="AC1075" s="23"/>
      <c r="AD1075" s="23"/>
      <c r="AE1075" s="23"/>
      <c r="AF1075" s="23"/>
      <c r="AG1075" s="23"/>
      <c r="AH1075" s="23"/>
      <c r="AI1075" s="23"/>
      <c r="AJ1075" s="23"/>
      <c r="AK1075" s="23"/>
      <c r="AL1075" s="23"/>
      <c r="AM1075" s="23"/>
      <c r="AN1075" s="23"/>
      <c r="AO1075" s="23"/>
      <c r="AP1075" s="23"/>
      <c r="AQ1075" s="23"/>
      <c r="AR1075" s="23"/>
      <c r="AS1075" s="23">
        <f t="shared" si="18"/>
        <v>0</v>
      </c>
    </row>
    <row r="1076" spans="1:45" s="27" customFormat="1" ht="28.5" hidden="1" x14ac:dyDescent="0.2">
      <c r="A1076" s="28">
        <v>3092</v>
      </c>
      <c r="B1076" s="9" t="s">
        <v>576</v>
      </c>
      <c r="C1076" s="9" t="s">
        <v>577</v>
      </c>
      <c r="D1076" s="9" t="s">
        <v>234</v>
      </c>
      <c r="E1076" s="9" t="s">
        <v>702</v>
      </c>
      <c r="F1076" s="9" t="s">
        <v>199</v>
      </c>
      <c r="G1076" s="9" t="s">
        <v>809</v>
      </c>
      <c r="H1076" s="9" t="s">
        <v>831</v>
      </c>
      <c r="I1076" s="81"/>
      <c r="J1076" s="10">
        <f>'Messages Dictionary'!J489</f>
        <v>0</v>
      </c>
      <c r="K1076" s="81"/>
      <c r="L1076" s="29"/>
      <c r="M1076" s="29"/>
      <c r="N1076" s="23"/>
      <c r="O1076" s="23"/>
      <c r="P1076" s="23"/>
      <c r="Q1076" s="23"/>
      <c r="R1076" s="23"/>
      <c r="S1076" s="23"/>
      <c r="T1076" s="23"/>
      <c r="U1076" s="23"/>
      <c r="V1076" s="23"/>
      <c r="W1076" s="23"/>
      <c r="X1076" s="23"/>
      <c r="Y1076" s="23"/>
      <c r="Z1076" s="23"/>
      <c r="AA1076" s="23"/>
      <c r="AB1076" s="23"/>
      <c r="AC1076" s="23"/>
      <c r="AD1076" s="23"/>
      <c r="AE1076" s="23"/>
      <c r="AF1076" s="23"/>
      <c r="AG1076" s="23"/>
      <c r="AH1076" s="23"/>
      <c r="AI1076" s="23"/>
      <c r="AJ1076" s="23"/>
      <c r="AK1076" s="23"/>
      <c r="AL1076" s="23"/>
      <c r="AM1076" s="23"/>
      <c r="AN1076" s="23"/>
      <c r="AO1076" s="23"/>
      <c r="AP1076" s="23"/>
      <c r="AQ1076" s="23"/>
      <c r="AR1076" s="23"/>
      <c r="AS1076" s="23">
        <f t="shared" si="18"/>
        <v>0</v>
      </c>
    </row>
    <row r="1077" spans="1:45" s="27" customFormat="1" ht="28.5" hidden="1" x14ac:dyDescent="0.2">
      <c r="A1077" s="28">
        <v>3093</v>
      </c>
      <c r="B1077" s="9" t="s">
        <v>578</v>
      </c>
      <c r="C1077" s="9" t="s">
        <v>579</v>
      </c>
      <c r="D1077" s="9" t="s">
        <v>234</v>
      </c>
      <c r="E1077" s="9" t="s">
        <v>702</v>
      </c>
      <c r="F1077" s="9" t="s">
        <v>199</v>
      </c>
      <c r="G1077" s="9" t="s">
        <v>809</v>
      </c>
      <c r="H1077" s="9" t="s">
        <v>831</v>
      </c>
      <c r="I1077" s="81"/>
      <c r="J1077" s="10">
        <f>'Messages Dictionary'!J490</f>
        <v>0</v>
      </c>
      <c r="K1077" s="81"/>
      <c r="L1077" s="29"/>
      <c r="M1077" s="29"/>
      <c r="N1077" s="23"/>
      <c r="O1077" s="23"/>
      <c r="P1077" s="23"/>
      <c r="Q1077" s="23"/>
      <c r="R1077" s="23"/>
      <c r="S1077" s="23"/>
      <c r="T1077" s="23"/>
      <c r="U1077" s="23"/>
      <c r="V1077" s="23"/>
      <c r="W1077" s="23"/>
      <c r="X1077" s="23"/>
      <c r="Y1077" s="23"/>
      <c r="Z1077" s="23"/>
      <c r="AA1077" s="23"/>
      <c r="AB1077" s="23"/>
      <c r="AC1077" s="23"/>
      <c r="AD1077" s="23"/>
      <c r="AE1077" s="23"/>
      <c r="AF1077" s="23"/>
      <c r="AG1077" s="23"/>
      <c r="AH1077" s="23"/>
      <c r="AI1077" s="23"/>
      <c r="AJ1077" s="23"/>
      <c r="AK1077" s="23"/>
      <c r="AL1077" s="23"/>
      <c r="AM1077" s="23"/>
      <c r="AN1077" s="23"/>
      <c r="AO1077" s="23"/>
      <c r="AP1077" s="23"/>
      <c r="AQ1077" s="23"/>
      <c r="AR1077" s="23"/>
      <c r="AS1077" s="23">
        <f t="shared" si="18"/>
        <v>0</v>
      </c>
    </row>
    <row r="1078" spans="1:45" s="27" customFormat="1" ht="28.5" hidden="1" x14ac:dyDescent="0.2">
      <c r="A1078" s="28">
        <v>3094</v>
      </c>
      <c r="B1078" s="9" t="s">
        <v>580</v>
      </c>
      <c r="C1078" s="9" t="s">
        <v>581</v>
      </c>
      <c r="D1078" s="9" t="s">
        <v>234</v>
      </c>
      <c r="E1078" s="9" t="s">
        <v>702</v>
      </c>
      <c r="F1078" s="9" t="s">
        <v>199</v>
      </c>
      <c r="G1078" s="9" t="s">
        <v>809</v>
      </c>
      <c r="H1078" s="9" t="s">
        <v>831</v>
      </c>
      <c r="I1078" s="81"/>
      <c r="J1078" s="10">
        <f>'Messages Dictionary'!J491</f>
        <v>0</v>
      </c>
      <c r="K1078" s="81"/>
      <c r="L1078" s="29"/>
      <c r="M1078" s="29"/>
      <c r="N1078" s="23"/>
      <c r="O1078" s="23"/>
      <c r="P1078" s="23"/>
      <c r="Q1078" s="23"/>
      <c r="R1078" s="23"/>
      <c r="S1078" s="23"/>
      <c r="T1078" s="23"/>
      <c r="U1078" s="23"/>
      <c r="V1078" s="23"/>
      <c r="W1078" s="23"/>
      <c r="X1078" s="23"/>
      <c r="Y1078" s="23"/>
      <c r="Z1078" s="23"/>
      <c r="AA1078" s="23"/>
      <c r="AB1078" s="23"/>
      <c r="AC1078" s="23"/>
      <c r="AD1078" s="23"/>
      <c r="AE1078" s="23"/>
      <c r="AF1078" s="23"/>
      <c r="AG1078" s="23"/>
      <c r="AH1078" s="23"/>
      <c r="AI1078" s="23"/>
      <c r="AJ1078" s="23"/>
      <c r="AK1078" s="23"/>
      <c r="AL1078" s="23"/>
      <c r="AM1078" s="23"/>
      <c r="AN1078" s="23"/>
      <c r="AO1078" s="23"/>
      <c r="AP1078" s="23"/>
      <c r="AQ1078" s="23"/>
      <c r="AR1078" s="23"/>
      <c r="AS1078" s="23">
        <f t="shared" si="18"/>
        <v>0</v>
      </c>
    </row>
    <row r="1079" spans="1:45" s="27" customFormat="1" ht="42.75" hidden="1" x14ac:dyDescent="0.2">
      <c r="A1079" s="28">
        <v>3095</v>
      </c>
      <c r="B1079" s="9" t="s">
        <v>582</v>
      </c>
      <c r="C1079" s="9" t="s">
        <v>583</v>
      </c>
      <c r="D1079" s="9" t="s">
        <v>234</v>
      </c>
      <c r="E1079" s="9" t="s">
        <v>702</v>
      </c>
      <c r="F1079" s="9" t="s">
        <v>199</v>
      </c>
      <c r="G1079" s="9" t="s">
        <v>809</v>
      </c>
      <c r="H1079" s="9" t="s">
        <v>831</v>
      </c>
      <c r="I1079" s="81"/>
      <c r="J1079" s="10">
        <f>'Messages Dictionary'!J492</f>
        <v>0</v>
      </c>
      <c r="K1079" s="81"/>
      <c r="L1079" s="29"/>
      <c r="M1079" s="29"/>
      <c r="N1079" s="23"/>
      <c r="O1079" s="23"/>
      <c r="P1079" s="23"/>
      <c r="Q1079" s="23"/>
      <c r="R1079" s="23"/>
      <c r="S1079" s="23"/>
      <c r="T1079" s="23"/>
      <c r="U1079" s="23"/>
      <c r="V1079" s="23"/>
      <c r="W1079" s="23"/>
      <c r="X1079" s="23"/>
      <c r="Y1079" s="23"/>
      <c r="Z1079" s="23"/>
      <c r="AA1079" s="23"/>
      <c r="AB1079" s="23"/>
      <c r="AC1079" s="23"/>
      <c r="AD1079" s="23"/>
      <c r="AE1079" s="23"/>
      <c r="AF1079" s="23"/>
      <c r="AG1079" s="23"/>
      <c r="AH1079" s="23"/>
      <c r="AI1079" s="23"/>
      <c r="AJ1079" s="23"/>
      <c r="AK1079" s="23"/>
      <c r="AL1079" s="23"/>
      <c r="AM1079" s="23"/>
      <c r="AN1079" s="23"/>
      <c r="AO1079" s="23"/>
      <c r="AP1079" s="23"/>
      <c r="AQ1079" s="23"/>
      <c r="AR1079" s="23"/>
      <c r="AS1079" s="23">
        <f t="shared" si="18"/>
        <v>0</v>
      </c>
    </row>
    <row r="1080" spans="1:45" s="27" customFormat="1" ht="42.75" hidden="1" x14ac:dyDescent="0.2">
      <c r="A1080" s="28">
        <v>3096</v>
      </c>
      <c r="B1080" s="9" t="s">
        <v>584</v>
      </c>
      <c r="C1080" s="9" t="s">
        <v>585</v>
      </c>
      <c r="D1080" s="9" t="s">
        <v>234</v>
      </c>
      <c r="E1080" s="9" t="s">
        <v>702</v>
      </c>
      <c r="F1080" s="9" t="s">
        <v>199</v>
      </c>
      <c r="G1080" s="9" t="s">
        <v>809</v>
      </c>
      <c r="H1080" s="9" t="s">
        <v>831</v>
      </c>
      <c r="I1080" s="81"/>
      <c r="J1080" s="10">
        <f>'Messages Dictionary'!J493</f>
        <v>0</v>
      </c>
      <c r="K1080" s="81"/>
      <c r="L1080" s="29"/>
      <c r="M1080" s="29"/>
      <c r="N1080" s="23"/>
      <c r="O1080" s="23"/>
      <c r="P1080" s="23"/>
      <c r="Q1080" s="23"/>
      <c r="R1080" s="23"/>
      <c r="S1080" s="23"/>
      <c r="T1080" s="23"/>
      <c r="U1080" s="23"/>
      <c r="V1080" s="23"/>
      <c r="W1080" s="23"/>
      <c r="X1080" s="23"/>
      <c r="Y1080" s="23"/>
      <c r="Z1080" s="23"/>
      <c r="AA1080" s="23"/>
      <c r="AB1080" s="23"/>
      <c r="AC1080" s="23"/>
      <c r="AD1080" s="23"/>
      <c r="AE1080" s="23"/>
      <c r="AF1080" s="23"/>
      <c r="AG1080" s="23"/>
      <c r="AH1080" s="23"/>
      <c r="AI1080" s="23"/>
      <c r="AJ1080" s="23"/>
      <c r="AK1080" s="23"/>
      <c r="AL1080" s="23"/>
      <c r="AM1080" s="23"/>
      <c r="AN1080" s="23"/>
      <c r="AO1080" s="23"/>
      <c r="AP1080" s="23"/>
      <c r="AQ1080" s="23"/>
      <c r="AR1080" s="23"/>
      <c r="AS1080" s="23">
        <f t="shared" si="18"/>
        <v>0</v>
      </c>
    </row>
    <row r="1081" spans="1:45" s="27" customFormat="1" ht="42.75" hidden="1" x14ac:dyDescent="0.2">
      <c r="A1081" s="28">
        <v>3098</v>
      </c>
      <c r="B1081" s="9" t="s">
        <v>586</v>
      </c>
      <c r="C1081" s="9" t="s">
        <v>587</v>
      </c>
      <c r="D1081" s="9" t="s">
        <v>234</v>
      </c>
      <c r="E1081" s="9" t="s">
        <v>702</v>
      </c>
      <c r="F1081" s="9" t="s">
        <v>199</v>
      </c>
      <c r="G1081" s="9" t="s">
        <v>809</v>
      </c>
      <c r="H1081" s="9" t="s">
        <v>831</v>
      </c>
      <c r="I1081" s="81"/>
      <c r="J1081" s="10">
        <f>'Messages Dictionary'!J495</f>
        <v>0</v>
      </c>
      <c r="K1081" s="81"/>
      <c r="L1081" s="29"/>
      <c r="M1081" s="29"/>
      <c r="N1081" s="23"/>
      <c r="O1081" s="23"/>
      <c r="P1081" s="23"/>
      <c r="Q1081" s="23"/>
      <c r="R1081" s="23"/>
      <c r="S1081" s="23"/>
      <c r="T1081" s="23"/>
      <c r="U1081" s="23"/>
      <c r="V1081" s="23"/>
      <c r="W1081" s="23"/>
      <c r="X1081" s="23"/>
      <c r="Y1081" s="23"/>
      <c r="Z1081" s="23"/>
      <c r="AA1081" s="23"/>
      <c r="AB1081" s="23"/>
      <c r="AC1081" s="23"/>
      <c r="AD1081" s="23"/>
      <c r="AE1081" s="23"/>
      <c r="AF1081" s="23"/>
      <c r="AG1081" s="23"/>
      <c r="AH1081" s="23"/>
      <c r="AI1081" s="23"/>
      <c r="AJ1081" s="23"/>
      <c r="AK1081" s="23"/>
      <c r="AL1081" s="23"/>
      <c r="AM1081" s="23"/>
      <c r="AN1081" s="23"/>
      <c r="AO1081" s="23"/>
      <c r="AP1081" s="23"/>
      <c r="AQ1081" s="23"/>
      <c r="AR1081" s="23"/>
      <c r="AS1081" s="23">
        <f t="shared" si="18"/>
        <v>0</v>
      </c>
    </row>
    <row r="1082" spans="1:45" s="27" customFormat="1" ht="42.75" hidden="1" x14ac:dyDescent="0.2">
      <c r="A1082" s="28">
        <v>3099</v>
      </c>
      <c r="B1082" s="9" t="s">
        <v>588</v>
      </c>
      <c r="C1082" s="9" t="s">
        <v>589</v>
      </c>
      <c r="D1082" s="9" t="s">
        <v>234</v>
      </c>
      <c r="E1082" s="9" t="s">
        <v>702</v>
      </c>
      <c r="F1082" s="9" t="s">
        <v>200</v>
      </c>
      <c r="G1082" s="9" t="s">
        <v>809</v>
      </c>
      <c r="H1082" s="9" t="s">
        <v>831</v>
      </c>
      <c r="I1082" s="81"/>
      <c r="J1082" s="10">
        <f>'Messages Dictionary'!J496</f>
        <v>0</v>
      </c>
      <c r="K1082" s="81"/>
      <c r="L1082" s="29"/>
      <c r="M1082" s="29"/>
      <c r="N1082" s="23"/>
      <c r="O1082" s="23"/>
      <c r="P1082" s="23"/>
      <c r="Q1082" s="23"/>
      <c r="R1082" s="23"/>
      <c r="S1082" s="23"/>
      <c r="T1082" s="23"/>
      <c r="U1082" s="23"/>
      <c r="V1082" s="23"/>
      <c r="W1082" s="23"/>
      <c r="X1082" s="23"/>
      <c r="Y1082" s="23"/>
      <c r="Z1082" s="23"/>
      <c r="AA1082" s="23"/>
      <c r="AB1082" s="23"/>
      <c r="AC1082" s="23"/>
      <c r="AD1082" s="23"/>
      <c r="AE1082" s="23"/>
      <c r="AF1082" s="23"/>
      <c r="AG1082" s="23"/>
      <c r="AH1082" s="23"/>
      <c r="AI1082" s="23"/>
      <c r="AJ1082" s="23"/>
      <c r="AK1082" s="23"/>
      <c r="AL1082" s="23"/>
      <c r="AM1082" s="23"/>
      <c r="AN1082" s="23"/>
      <c r="AO1082" s="23"/>
      <c r="AP1082" s="23"/>
      <c r="AQ1082" s="23"/>
      <c r="AR1082" s="23"/>
      <c r="AS1082" s="23">
        <f t="shared" si="18"/>
        <v>0</v>
      </c>
    </row>
    <row r="1083" spans="1:45" s="27" customFormat="1" ht="28.5" hidden="1" x14ac:dyDescent="0.2">
      <c r="A1083" s="28">
        <v>3100</v>
      </c>
      <c r="B1083" s="9" t="s">
        <v>742</v>
      </c>
      <c r="C1083" s="9" t="s">
        <v>743</v>
      </c>
      <c r="D1083" s="9" t="s">
        <v>234</v>
      </c>
      <c r="E1083" s="9" t="s">
        <v>677</v>
      </c>
      <c r="F1083" s="9" t="s">
        <v>199</v>
      </c>
      <c r="G1083" s="9" t="s">
        <v>809</v>
      </c>
      <c r="H1083" s="9" t="s">
        <v>831</v>
      </c>
      <c r="I1083" s="81"/>
      <c r="J1083" s="10">
        <f>'Messages Dictionary'!J497</f>
        <v>0</v>
      </c>
      <c r="K1083" s="81"/>
      <c r="L1083" s="29"/>
      <c r="M1083" s="29"/>
      <c r="N1083" s="23"/>
      <c r="O1083" s="23"/>
      <c r="P1083" s="23"/>
      <c r="Q1083" s="23"/>
      <c r="R1083" s="23"/>
      <c r="S1083" s="23"/>
      <c r="T1083" s="23"/>
      <c r="U1083" s="23"/>
      <c r="V1083" s="23"/>
      <c r="W1083" s="23"/>
      <c r="X1083" s="23"/>
      <c r="Y1083" s="23"/>
      <c r="Z1083" s="23"/>
      <c r="AA1083" s="23"/>
      <c r="AB1083" s="23"/>
      <c r="AC1083" s="23"/>
      <c r="AD1083" s="23"/>
      <c r="AE1083" s="23"/>
      <c r="AF1083" s="23"/>
      <c r="AG1083" s="23"/>
      <c r="AH1083" s="23"/>
      <c r="AI1083" s="23"/>
      <c r="AJ1083" s="23"/>
      <c r="AK1083" s="23"/>
      <c r="AL1083" s="23"/>
      <c r="AM1083" s="23"/>
      <c r="AN1083" s="23"/>
      <c r="AO1083" s="23"/>
      <c r="AP1083" s="23"/>
      <c r="AQ1083" s="23"/>
      <c r="AR1083" s="23"/>
      <c r="AS1083" s="23">
        <f t="shared" si="18"/>
        <v>0</v>
      </c>
    </row>
    <row r="1084" spans="1:45" s="27" customFormat="1" ht="28.5" hidden="1" x14ac:dyDescent="0.2">
      <c r="A1084" s="28">
        <v>3101</v>
      </c>
      <c r="B1084" s="9" t="s">
        <v>744</v>
      </c>
      <c r="C1084" s="9" t="s">
        <v>745</v>
      </c>
      <c r="D1084" s="9" t="s">
        <v>234</v>
      </c>
      <c r="E1084" s="9" t="s">
        <v>677</v>
      </c>
      <c r="F1084" s="9" t="s">
        <v>199</v>
      </c>
      <c r="G1084" s="9" t="s">
        <v>809</v>
      </c>
      <c r="H1084" s="9" t="s">
        <v>831</v>
      </c>
      <c r="I1084" s="81"/>
      <c r="J1084" s="10">
        <f>'Messages Dictionary'!J498</f>
        <v>0</v>
      </c>
      <c r="K1084" s="81"/>
      <c r="L1084" s="29"/>
      <c r="M1084" s="29"/>
      <c r="N1084" s="23"/>
      <c r="O1084" s="23"/>
      <c r="P1084" s="23"/>
      <c r="Q1084" s="23"/>
      <c r="R1084" s="23"/>
      <c r="S1084" s="23"/>
      <c r="T1084" s="23"/>
      <c r="U1084" s="23"/>
      <c r="V1084" s="23"/>
      <c r="W1084" s="23"/>
      <c r="X1084" s="23"/>
      <c r="Y1084" s="23"/>
      <c r="Z1084" s="23"/>
      <c r="AA1084" s="23"/>
      <c r="AB1084" s="23"/>
      <c r="AC1084" s="23"/>
      <c r="AD1084" s="23"/>
      <c r="AE1084" s="23"/>
      <c r="AF1084" s="23"/>
      <c r="AG1084" s="23"/>
      <c r="AH1084" s="23"/>
      <c r="AI1084" s="23"/>
      <c r="AJ1084" s="23"/>
      <c r="AK1084" s="23"/>
      <c r="AL1084" s="23"/>
      <c r="AM1084" s="23"/>
      <c r="AN1084" s="23"/>
      <c r="AO1084" s="23"/>
      <c r="AP1084" s="23"/>
      <c r="AQ1084" s="23"/>
      <c r="AR1084" s="23"/>
      <c r="AS1084" s="23">
        <f t="shared" si="18"/>
        <v>0</v>
      </c>
    </row>
    <row r="1085" spans="1:45" s="27" customFormat="1" ht="28.5" hidden="1" x14ac:dyDescent="0.2">
      <c r="A1085" s="28">
        <v>3102</v>
      </c>
      <c r="B1085" s="9" t="s">
        <v>746</v>
      </c>
      <c r="C1085" s="9" t="s">
        <v>745</v>
      </c>
      <c r="D1085" s="9" t="s">
        <v>234</v>
      </c>
      <c r="E1085" s="9" t="s">
        <v>677</v>
      </c>
      <c r="F1085" s="9" t="s">
        <v>199</v>
      </c>
      <c r="G1085" s="9" t="s">
        <v>809</v>
      </c>
      <c r="H1085" s="9" t="s">
        <v>831</v>
      </c>
      <c r="I1085" s="81"/>
      <c r="J1085" s="10">
        <f>'Messages Dictionary'!J499</f>
        <v>0</v>
      </c>
      <c r="K1085" s="81"/>
      <c r="L1085" s="29"/>
      <c r="M1085" s="29"/>
      <c r="N1085" s="23"/>
      <c r="O1085" s="23"/>
      <c r="P1085" s="23"/>
      <c r="Q1085" s="23"/>
      <c r="R1085" s="23"/>
      <c r="S1085" s="23"/>
      <c r="T1085" s="23"/>
      <c r="U1085" s="23"/>
      <c r="V1085" s="23"/>
      <c r="W1085" s="23"/>
      <c r="X1085" s="23"/>
      <c r="Y1085" s="23"/>
      <c r="Z1085" s="23"/>
      <c r="AA1085" s="23"/>
      <c r="AB1085" s="23"/>
      <c r="AC1085" s="23"/>
      <c r="AD1085" s="23"/>
      <c r="AE1085" s="23"/>
      <c r="AF1085" s="23"/>
      <c r="AG1085" s="23"/>
      <c r="AH1085" s="23"/>
      <c r="AI1085" s="23"/>
      <c r="AJ1085" s="23"/>
      <c r="AK1085" s="23"/>
      <c r="AL1085" s="23"/>
      <c r="AM1085" s="23"/>
      <c r="AN1085" s="23"/>
      <c r="AO1085" s="23"/>
      <c r="AP1085" s="23"/>
      <c r="AQ1085" s="23"/>
      <c r="AR1085" s="23"/>
      <c r="AS1085" s="23">
        <f t="shared" si="18"/>
        <v>0</v>
      </c>
    </row>
    <row r="1086" spans="1:45" s="27" customFormat="1" ht="28.5" hidden="1" x14ac:dyDescent="0.2">
      <c r="A1086" s="28">
        <v>3103</v>
      </c>
      <c r="B1086" s="9" t="s">
        <v>748</v>
      </c>
      <c r="C1086" s="9" t="s">
        <v>749</v>
      </c>
      <c r="D1086" s="9" t="s">
        <v>234</v>
      </c>
      <c r="E1086" s="9" t="s">
        <v>677</v>
      </c>
      <c r="F1086" s="9" t="s">
        <v>199</v>
      </c>
      <c r="G1086" s="9" t="s">
        <v>809</v>
      </c>
      <c r="H1086" s="9" t="s">
        <v>831</v>
      </c>
      <c r="I1086" s="81"/>
      <c r="J1086" s="10">
        <f>'Messages Dictionary'!J500</f>
        <v>0</v>
      </c>
      <c r="K1086" s="81"/>
      <c r="L1086" s="29"/>
      <c r="M1086" s="29"/>
      <c r="N1086" s="23"/>
      <c r="O1086" s="23"/>
      <c r="P1086" s="23"/>
      <c r="Q1086" s="23"/>
      <c r="R1086" s="23"/>
      <c r="S1086" s="23"/>
      <c r="T1086" s="23"/>
      <c r="U1086" s="23"/>
      <c r="V1086" s="23"/>
      <c r="W1086" s="23"/>
      <c r="X1086" s="23"/>
      <c r="Y1086" s="23"/>
      <c r="Z1086" s="23"/>
      <c r="AA1086" s="23"/>
      <c r="AB1086" s="23"/>
      <c r="AC1086" s="23"/>
      <c r="AD1086" s="23"/>
      <c r="AE1086" s="23"/>
      <c r="AF1086" s="23"/>
      <c r="AG1086" s="23"/>
      <c r="AH1086" s="23"/>
      <c r="AI1086" s="23"/>
      <c r="AJ1086" s="23"/>
      <c r="AK1086" s="23"/>
      <c r="AL1086" s="23"/>
      <c r="AM1086" s="23"/>
      <c r="AN1086" s="23"/>
      <c r="AO1086" s="23"/>
      <c r="AP1086" s="23"/>
      <c r="AQ1086" s="23"/>
      <c r="AR1086" s="23"/>
      <c r="AS1086" s="23">
        <f t="shared" si="18"/>
        <v>0</v>
      </c>
    </row>
    <row r="1087" spans="1:45" s="27" customFormat="1" ht="42.75" hidden="1" x14ac:dyDescent="0.2">
      <c r="A1087" s="28">
        <v>3104</v>
      </c>
      <c r="B1087" s="9" t="s">
        <v>750</v>
      </c>
      <c r="C1087" s="9" t="s">
        <v>751</v>
      </c>
      <c r="D1087" s="9" t="s">
        <v>234</v>
      </c>
      <c r="E1087" s="9" t="s">
        <v>677</v>
      </c>
      <c r="F1087" s="9" t="s">
        <v>199</v>
      </c>
      <c r="G1087" s="9" t="s">
        <v>809</v>
      </c>
      <c r="H1087" s="9" t="s">
        <v>831</v>
      </c>
      <c r="I1087" s="81"/>
      <c r="J1087" s="10">
        <f>'Messages Dictionary'!J501</f>
        <v>0</v>
      </c>
      <c r="K1087" s="81"/>
      <c r="L1087" s="29"/>
      <c r="M1087" s="29"/>
      <c r="N1087" s="23"/>
      <c r="O1087" s="23"/>
      <c r="P1087" s="23"/>
      <c r="Q1087" s="23"/>
      <c r="R1087" s="23"/>
      <c r="S1087" s="23"/>
      <c r="T1087" s="23"/>
      <c r="U1087" s="23"/>
      <c r="V1087" s="23"/>
      <c r="W1087" s="23"/>
      <c r="X1087" s="23"/>
      <c r="Y1087" s="23"/>
      <c r="Z1087" s="23"/>
      <c r="AA1087" s="23"/>
      <c r="AB1087" s="23"/>
      <c r="AC1087" s="23"/>
      <c r="AD1087" s="23"/>
      <c r="AE1087" s="23"/>
      <c r="AF1087" s="23"/>
      <c r="AG1087" s="23"/>
      <c r="AH1087" s="23"/>
      <c r="AI1087" s="23"/>
      <c r="AJ1087" s="23"/>
      <c r="AK1087" s="23"/>
      <c r="AL1087" s="23"/>
      <c r="AM1087" s="23"/>
      <c r="AN1087" s="23"/>
      <c r="AO1087" s="23"/>
      <c r="AP1087" s="23"/>
      <c r="AQ1087" s="23"/>
      <c r="AR1087" s="23"/>
      <c r="AS1087" s="23">
        <f t="shared" si="18"/>
        <v>0</v>
      </c>
    </row>
    <row r="1088" spans="1:45" s="27" customFormat="1" ht="42.75" hidden="1" x14ac:dyDescent="0.2">
      <c r="A1088" s="28">
        <v>3105</v>
      </c>
      <c r="B1088" s="9" t="s">
        <v>752</v>
      </c>
      <c r="C1088" s="9" t="s">
        <v>753</v>
      </c>
      <c r="D1088" s="9" t="s">
        <v>234</v>
      </c>
      <c r="E1088" s="9" t="s">
        <v>677</v>
      </c>
      <c r="F1088" s="9" t="s">
        <v>199</v>
      </c>
      <c r="G1088" s="9" t="s">
        <v>809</v>
      </c>
      <c r="H1088" s="9" t="s">
        <v>831</v>
      </c>
      <c r="I1088" s="81"/>
      <c r="J1088" s="10">
        <f>'Messages Dictionary'!J502</f>
        <v>0</v>
      </c>
      <c r="K1088" s="81"/>
      <c r="L1088" s="29"/>
      <c r="M1088" s="29"/>
      <c r="N1088" s="23"/>
      <c r="O1088" s="23"/>
      <c r="P1088" s="23"/>
      <c r="Q1088" s="23"/>
      <c r="R1088" s="23"/>
      <c r="S1088" s="23"/>
      <c r="T1088" s="23"/>
      <c r="U1088" s="23"/>
      <c r="V1088" s="23"/>
      <c r="W1088" s="23"/>
      <c r="X1088" s="23"/>
      <c r="Y1088" s="23"/>
      <c r="Z1088" s="23"/>
      <c r="AA1088" s="23"/>
      <c r="AB1088" s="23"/>
      <c r="AC1088" s="23"/>
      <c r="AD1088" s="23"/>
      <c r="AE1088" s="23"/>
      <c r="AF1088" s="23"/>
      <c r="AG1088" s="23"/>
      <c r="AH1088" s="23"/>
      <c r="AI1088" s="23"/>
      <c r="AJ1088" s="23"/>
      <c r="AK1088" s="23"/>
      <c r="AL1088" s="23"/>
      <c r="AM1088" s="23"/>
      <c r="AN1088" s="23"/>
      <c r="AO1088" s="23"/>
      <c r="AP1088" s="23"/>
      <c r="AQ1088" s="23"/>
      <c r="AR1088" s="23"/>
      <c r="AS1088" s="23">
        <f t="shared" si="18"/>
        <v>0</v>
      </c>
    </row>
    <row r="1089" spans="1:45" s="27" customFormat="1" ht="28.5" hidden="1" x14ac:dyDescent="0.2">
      <c r="A1089" s="28">
        <v>3106</v>
      </c>
      <c r="B1089" s="9" t="s">
        <v>467</v>
      </c>
      <c r="C1089" s="9" t="s">
        <v>468</v>
      </c>
      <c r="D1089" s="9" t="s">
        <v>234</v>
      </c>
      <c r="E1089" s="9" t="s">
        <v>677</v>
      </c>
      <c r="F1089" s="9" t="s">
        <v>201</v>
      </c>
      <c r="G1089" s="9" t="s">
        <v>809</v>
      </c>
      <c r="H1089" s="9" t="s">
        <v>831</v>
      </c>
      <c r="I1089" s="81"/>
      <c r="J1089" s="10">
        <f>'Messages Dictionary'!J503</f>
        <v>0</v>
      </c>
      <c r="K1089" s="81"/>
      <c r="L1089" s="29"/>
      <c r="M1089" s="29"/>
      <c r="N1089" s="23"/>
      <c r="O1089" s="23"/>
      <c r="P1089" s="23"/>
      <c r="Q1089" s="23"/>
      <c r="R1089" s="23"/>
      <c r="S1089" s="23"/>
      <c r="T1089" s="23"/>
      <c r="U1089" s="23"/>
      <c r="V1089" s="23"/>
      <c r="W1089" s="23"/>
      <c r="X1089" s="23"/>
      <c r="Y1089" s="23"/>
      <c r="Z1089" s="23"/>
      <c r="AA1089" s="23"/>
      <c r="AB1089" s="23"/>
      <c r="AC1089" s="23"/>
      <c r="AD1089" s="23"/>
      <c r="AE1089" s="23"/>
      <c r="AF1089" s="23"/>
      <c r="AG1089" s="23"/>
      <c r="AH1089" s="23"/>
      <c r="AI1089" s="23"/>
      <c r="AJ1089" s="23"/>
      <c r="AK1089" s="23"/>
      <c r="AL1089" s="23"/>
      <c r="AM1089" s="23"/>
      <c r="AN1089" s="23"/>
      <c r="AO1089" s="23"/>
      <c r="AP1089" s="23"/>
      <c r="AQ1089" s="23"/>
      <c r="AR1089" s="23"/>
      <c r="AS1089" s="23">
        <f t="shared" si="18"/>
        <v>0</v>
      </c>
    </row>
    <row r="1090" spans="1:45" s="27" customFormat="1" ht="28.5" hidden="1" x14ac:dyDescent="0.2">
      <c r="A1090" s="28">
        <v>3107</v>
      </c>
      <c r="B1090" s="9" t="s">
        <v>469</v>
      </c>
      <c r="C1090" s="9" t="s">
        <v>470</v>
      </c>
      <c r="D1090" s="9" t="s">
        <v>234</v>
      </c>
      <c r="E1090" s="9" t="s">
        <v>677</v>
      </c>
      <c r="F1090" s="9" t="s">
        <v>201</v>
      </c>
      <c r="G1090" s="9" t="s">
        <v>809</v>
      </c>
      <c r="H1090" s="9" t="s">
        <v>831</v>
      </c>
      <c r="I1090" s="81"/>
      <c r="J1090" s="10">
        <f>'Messages Dictionary'!J504</f>
        <v>0</v>
      </c>
      <c r="K1090" s="81"/>
      <c r="L1090" s="29"/>
      <c r="M1090" s="29"/>
      <c r="N1090" s="23"/>
      <c r="O1090" s="23"/>
      <c r="P1090" s="23"/>
      <c r="Q1090" s="23"/>
      <c r="R1090" s="23"/>
      <c r="S1090" s="23"/>
      <c r="T1090" s="23"/>
      <c r="U1090" s="23"/>
      <c r="V1090" s="23"/>
      <c r="W1090" s="23"/>
      <c r="X1090" s="23"/>
      <c r="Y1090" s="23"/>
      <c r="Z1090" s="23"/>
      <c r="AA1090" s="23"/>
      <c r="AB1090" s="23"/>
      <c r="AC1090" s="23"/>
      <c r="AD1090" s="23"/>
      <c r="AE1090" s="23"/>
      <c r="AF1090" s="23"/>
      <c r="AG1090" s="23"/>
      <c r="AH1090" s="23"/>
      <c r="AI1090" s="23"/>
      <c r="AJ1090" s="23"/>
      <c r="AK1090" s="23"/>
      <c r="AL1090" s="23"/>
      <c r="AM1090" s="23"/>
      <c r="AN1090" s="23"/>
      <c r="AO1090" s="23"/>
      <c r="AP1090" s="23"/>
      <c r="AQ1090" s="23"/>
      <c r="AR1090" s="23"/>
      <c r="AS1090" s="23">
        <f t="shared" si="18"/>
        <v>0</v>
      </c>
    </row>
    <row r="1091" spans="1:45" s="27" customFormat="1" hidden="1" x14ac:dyDescent="0.2">
      <c r="A1091" s="28">
        <v>3108</v>
      </c>
      <c r="B1091" s="9" t="s">
        <v>471</v>
      </c>
      <c r="C1091" s="9" t="s">
        <v>472</v>
      </c>
      <c r="D1091" s="9" t="s">
        <v>234</v>
      </c>
      <c r="E1091" s="9" t="s">
        <v>677</v>
      </c>
      <c r="F1091" s="9" t="s">
        <v>201</v>
      </c>
      <c r="G1091" s="9" t="s">
        <v>809</v>
      </c>
      <c r="H1091" s="9" t="s">
        <v>831</v>
      </c>
      <c r="I1091" s="81"/>
      <c r="J1091" s="10">
        <f>'Messages Dictionary'!J505</f>
        <v>0</v>
      </c>
      <c r="K1091" s="81"/>
      <c r="L1091" s="29"/>
      <c r="M1091" s="29"/>
      <c r="N1091" s="23"/>
      <c r="O1091" s="23"/>
      <c r="P1091" s="23"/>
      <c r="Q1091" s="23"/>
      <c r="R1091" s="23"/>
      <c r="S1091" s="23"/>
      <c r="T1091" s="23"/>
      <c r="U1091" s="23"/>
      <c r="V1091" s="23"/>
      <c r="W1091" s="23"/>
      <c r="X1091" s="23"/>
      <c r="Y1091" s="23"/>
      <c r="Z1091" s="23"/>
      <c r="AA1091" s="23"/>
      <c r="AB1091" s="23"/>
      <c r="AC1091" s="23"/>
      <c r="AD1091" s="23"/>
      <c r="AE1091" s="23"/>
      <c r="AF1091" s="23"/>
      <c r="AG1091" s="23"/>
      <c r="AH1091" s="23"/>
      <c r="AI1091" s="23"/>
      <c r="AJ1091" s="23"/>
      <c r="AK1091" s="23"/>
      <c r="AL1091" s="23"/>
      <c r="AM1091" s="23"/>
      <c r="AN1091" s="23"/>
      <c r="AO1091" s="23"/>
      <c r="AP1091" s="23"/>
      <c r="AQ1091" s="23"/>
      <c r="AR1091" s="23"/>
      <c r="AS1091" s="23">
        <f t="shared" si="18"/>
        <v>0</v>
      </c>
    </row>
    <row r="1092" spans="1:45" s="27" customFormat="1" ht="42.75" hidden="1" x14ac:dyDescent="0.2">
      <c r="A1092" s="28">
        <v>3109</v>
      </c>
      <c r="B1092" s="9" t="s">
        <v>473</v>
      </c>
      <c r="C1092" s="9" t="s">
        <v>474</v>
      </c>
      <c r="D1092" s="9" t="s">
        <v>234</v>
      </c>
      <c r="E1092" s="9" t="s">
        <v>677</v>
      </c>
      <c r="F1092" s="9" t="s">
        <v>201</v>
      </c>
      <c r="G1092" s="9" t="s">
        <v>809</v>
      </c>
      <c r="H1092" s="9" t="s">
        <v>831</v>
      </c>
      <c r="I1092" s="81"/>
      <c r="J1092" s="10">
        <f>'Messages Dictionary'!J506</f>
        <v>0</v>
      </c>
      <c r="K1092" s="81"/>
      <c r="L1092" s="29"/>
      <c r="M1092" s="29"/>
      <c r="N1092" s="23"/>
      <c r="O1092" s="23"/>
      <c r="P1092" s="23"/>
      <c r="Q1092" s="23"/>
      <c r="R1092" s="23"/>
      <c r="S1092" s="23"/>
      <c r="T1092" s="23"/>
      <c r="U1092" s="23"/>
      <c r="V1092" s="23"/>
      <c r="W1092" s="23"/>
      <c r="X1092" s="23"/>
      <c r="Y1092" s="23"/>
      <c r="Z1092" s="23"/>
      <c r="AA1092" s="23"/>
      <c r="AB1092" s="23"/>
      <c r="AC1092" s="23"/>
      <c r="AD1092" s="23"/>
      <c r="AE1092" s="23"/>
      <c r="AF1092" s="23"/>
      <c r="AG1092" s="23"/>
      <c r="AH1092" s="23"/>
      <c r="AI1092" s="23"/>
      <c r="AJ1092" s="23"/>
      <c r="AK1092" s="23"/>
      <c r="AL1092" s="23"/>
      <c r="AM1092" s="23"/>
      <c r="AN1092" s="23"/>
      <c r="AO1092" s="23"/>
      <c r="AP1092" s="23"/>
      <c r="AQ1092" s="23"/>
      <c r="AR1092" s="23"/>
      <c r="AS1092" s="23">
        <f t="shared" si="18"/>
        <v>0</v>
      </c>
    </row>
    <row r="1093" spans="1:45" s="27" customFormat="1" ht="28.5" hidden="1" x14ac:dyDescent="0.2">
      <c r="A1093" s="28">
        <v>3110</v>
      </c>
      <c r="B1093" s="9" t="s">
        <v>754</v>
      </c>
      <c r="C1093" s="9" t="s">
        <v>755</v>
      </c>
      <c r="D1093" s="9" t="s">
        <v>234</v>
      </c>
      <c r="E1093" s="9" t="s">
        <v>677</v>
      </c>
      <c r="F1093" s="9" t="s">
        <v>199</v>
      </c>
      <c r="G1093" s="9" t="s">
        <v>809</v>
      </c>
      <c r="H1093" s="9" t="s">
        <v>831</v>
      </c>
      <c r="I1093" s="81"/>
      <c r="J1093" s="10">
        <f>'Messages Dictionary'!J507</f>
        <v>0</v>
      </c>
      <c r="K1093" s="81"/>
      <c r="L1093" s="29"/>
      <c r="M1093" s="29"/>
      <c r="N1093" s="23"/>
      <c r="O1093" s="23"/>
      <c r="P1093" s="23"/>
      <c r="Q1093" s="23"/>
      <c r="R1093" s="23"/>
      <c r="S1093" s="23"/>
      <c r="T1093" s="23"/>
      <c r="U1093" s="23"/>
      <c r="V1093" s="23"/>
      <c r="W1093" s="23"/>
      <c r="X1093" s="23"/>
      <c r="Y1093" s="23"/>
      <c r="Z1093" s="23"/>
      <c r="AA1093" s="23"/>
      <c r="AB1093" s="23"/>
      <c r="AC1093" s="23"/>
      <c r="AD1093" s="23"/>
      <c r="AE1093" s="23"/>
      <c r="AF1093" s="23"/>
      <c r="AG1093" s="23"/>
      <c r="AH1093" s="23"/>
      <c r="AI1093" s="23"/>
      <c r="AJ1093" s="23"/>
      <c r="AK1093" s="23"/>
      <c r="AL1093" s="23"/>
      <c r="AM1093" s="23"/>
      <c r="AN1093" s="23"/>
      <c r="AO1093" s="23"/>
      <c r="AP1093" s="23"/>
      <c r="AQ1093" s="23"/>
      <c r="AR1093" s="23"/>
      <c r="AS1093" s="23">
        <f t="shared" si="18"/>
        <v>0</v>
      </c>
    </row>
    <row r="1094" spans="1:45" s="27" customFormat="1" ht="28.5" hidden="1" x14ac:dyDescent="0.2">
      <c r="A1094" s="28">
        <v>3111</v>
      </c>
      <c r="B1094" s="9" t="s">
        <v>756</v>
      </c>
      <c r="C1094" s="9" t="s">
        <v>757</v>
      </c>
      <c r="D1094" s="9" t="s">
        <v>234</v>
      </c>
      <c r="E1094" s="9" t="s">
        <v>677</v>
      </c>
      <c r="F1094" s="9" t="s">
        <v>199</v>
      </c>
      <c r="G1094" s="9" t="s">
        <v>809</v>
      </c>
      <c r="H1094" s="9" t="s">
        <v>831</v>
      </c>
      <c r="I1094" s="81"/>
      <c r="J1094" s="10">
        <f>'Messages Dictionary'!J508</f>
        <v>0</v>
      </c>
      <c r="K1094" s="81"/>
      <c r="L1094" s="29"/>
      <c r="M1094" s="29"/>
      <c r="N1094" s="23"/>
      <c r="O1094" s="23"/>
      <c r="P1094" s="23"/>
      <c r="Q1094" s="23"/>
      <c r="R1094" s="23"/>
      <c r="S1094" s="23"/>
      <c r="T1094" s="23"/>
      <c r="U1094" s="23"/>
      <c r="V1094" s="23"/>
      <c r="W1094" s="23"/>
      <c r="X1094" s="23"/>
      <c r="Y1094" s="23"/>
      <c r="Z1094" s="23"/>
      <c r="AA1094" s="23"/>
      <c r="AB1094" s="23"/>
      <c r="AC1094" s="23"/>
      <c r="AD1094" s="23"/>
      <c r="AE1094" s="23"/>
      <c r="AF1094" s="23"/>
      <c r="AG1094" s="23"/>
      <c r="AH1094" s="23"/>
      <c r="AI1094" s="23"/>
      <c r="AJ1094" s="23"/>
      <c r="AK1094" s="23"/>
      <c r="AL1094" s="23"/>
      <c r="AM1094" s="23"/>
      <c r="AN1094" s="23"/>
      <c r="AO1094" s="23"/>
      <c r="AP1094" s="23"/>
      <c r="AQ1094" s="23"/>
      <c r="AR1094" s="23"/>
      <c r="AS1094" s="23">
        <f t="shared" si="18"/>
        <v>0</v>
      </c>
    </row>
    <row r="1095" spans="1:45" s="27" customFormat="1" ht="28.5" hidden="1" x14ac:dyDescent="0.2">
      <c r="A1095" s="28">
        <v>3112</v>
      </c>
      <c r="B1095" s="9" t="s">
        <v>758</v>
      </c>
      <c r="C1095" s="9" t="s">
        <v>759</v>
      </c>
      <c r="D1095" s="9" t="s">
        <v>234</v>
      </c>
      <c r="E1095" s="9" t="s">
        <v>677</v>
      </c>
      <c r="F1095" s="9" t="s">
        <v>199</v>
      </c>
      <c r="G1095" s="9" t="s">
        <v>809</v>
      </c>
      <c r="H1095" s="9" t="s">
        <v>831</v>
      </c>
      <c r="I1095" s="81"/>
      <c r="J1095" s="10">
        <f>'Messages Dictionary'!J509</f>
        <v>0</v>
      </c>
      <c r="K1095" s="81"/>
      <c r="L1095" s="29"/>
      <c r="M1095" s="29"/>
      <c r="N1095" s="23"/>
      <c r="O1095" s="23"/>
      <c r="P1095" s="23"/>
      <c r="Q1095" s="23"/>
      <c r="R1095" s="23"/>
      <c r="S1095" s="23"/>
      <c r="T1095" s="23"/>
      <c r="U1095" s="23"/>
      <c r="V1095" s="23"/>
      <c r="W1095" s="23"/>
      <c r="X1095" s="23"/>
      <c r="Y1095" s="23"/>
      <c r="Z1095" s="23"/>
      <c r="AA1095" s="23"/>
      <c r="AB1095" s="23"/>
      <c r="AC1095" s="23"/>
      <c r="AD1095" s="23"/>
      <c r="AE1095" s="23"/>
      <c r="AF1095" s="23"/>
      <c r="AG1095" s="23"/>
      <c r="AH1095" s="23"/>
      <c r="AI1095" s="23"/>
      <c r="AJ1095" s="23"/>
      <c r="AK1095" s="23"/>
      <c r="AL1095" s="23"/>
      <c r="AM1095" s="23"/>
      <c r="AN1095" s="23"/>
      <c r="AO1095" s="23"/>
      <c r="AP1095" s="23"/>
      <c r="AQ1095" s="23"/>
      <c r="AR1095" s="23"/>
      <c r="AS1095" s="23">
        <f t="shared" si="18"/>
        <v>0</v>
      </c>
    </row>
    <row r="1096" spans="1:45" s="27" customFormat="1" ht="28.5" hidden="1" x14ac:dyDescent="0.2">
      <c r="A1096" s="28">
        <v>3120</v>
      </c>
      <c r="B1096" s="9" t="s">
        <v>760</v>
      </c>
      <c r="C1096" s="9" t="s">
        <v>760</v>
      </c>
      <c r="D1096" s="9" t="s">
        <v>234</v>
      </c>
      <c r="E1096" s="9" t="s">
        <v>677</v>
      </c>
      <c r="F1096" s="9" t="s">
        <v>199</v>
      </c>
      <c r="G1096" s="9" t="s">
        <v>809</v>
      </c>
      <c r="H1096" s="9" t="s">
        <v>831</v>
      </c>
      <c r="I1096" s="81"/>
      <c r="J1096" s="10">
        <f>'Messages Dictionary'!J510</f>
        <v>0</v>
      </c>
      <c r="K1096" s="81"/>
      <c r="L1096" s="29"/>
      <c r="M1096" s="29"/>
      <c r="N1096" s="23"/>
      <c r="O1096" s="23"/>
      <c r="P1096" s="23"/>
      <c r="Q1096" s="23"/>
      <c r="R1096" s="23"/>
      <c r="S1096" s="23"/>
      <c r="T1096" s="23"/>
      <c r="U1096" s="23"/>
      <c r="V1096" s="23"/>
      <c r="W1096" s="23"/>
      <c r="X1096" s="23"/>
      <c r="Y1096" s="23"/>
      <c r="Z1096" s="23"/>
      <c r="AA1096" s="23"/>
      <c r="AB1096" s="23"/>
      <c r="AC1096" s="23"/>
      <c r="AD1096" s="23"/>
      <c r="AE1096" s="23"/>
      <c r="AF1096" s="23"/>
      <c r="AG1096" s="23"/>
      <c r="AH1096" s="23"/>
      <c r="AI1096" s="23"/>
      <c r="AJ1096" s="23"/>
      <c r="AK1096" s="23"/>
      <c r="AL1096" s="23"/>
      <c r="AM1096" s="23"/>
      <c r="AN1096" s="23"/>
      <c r="AO1096" s="23"/>
      <c r="AP1096" s="23"/>
      <c r="AQ1096" s="23"/>
      <c r="AR1096" s="23"/>
      <c r="AS1096" s="23">
        <f t="shared" si="18"/>
        <v>0</v>
      </c>
    </row>
    <row r="1097" spans="1:45" s="27" customFormat="1" ht="28.5" hidden="1" x14ac:dyDescent="0.2">
      <c r="A1097" s="28">
        <v>3130</v>
      </c>
      <c r="B1097" s="9" t="s">
        <v>761</v>
      </c>
      <c r="C1097" s="9" t="s">
        <v>762</v>
      </c>
      <c r="D1097" s="9" t="s">
        <v>234</v>
      </c>
      <c r="E1097" s="9" t="s">
        <v>677</v>
      </c>
      <c r="F1097" s="9" t="s">
        <v>199</v>
      </c>
      <c r="G1097" s="9" t="s">
        <v>809</v>
      </c>
      <c r="H1097" s="9" t="s">
        <v>831</v>
      </c>
      <c r="I1097" s="81"/>
      <c r="J1097" s="10">
        <f>'Messages Dictionary'!J511</f>
        <v>0</v>
      </c>
      <c r="K1097" s="81"/>
      <c r="L1097" s="29"/>
      <c r="M1097" s="29"/>
      <c r="N1097" s="23"/>
      <c r="O1097" s="23"/>
      <c r="P1097" s="23"/>
      <c r="Q1097" s="23"/>
      <c r="R1097" s="23"/>
      <c r="S1097" s="23"/>
      <c r="T1097" s="23"/>
      <c r="U1097" s="23"/>
      <c r="V1097" s="23"/>
      <c r="W1097" s="23"/>
      <c r="X1097" s="23"/>
      <c r="Y1097" s="23"/>
      <c r="Z1097" s="23"/>
      <c r="AA1097" s="23"/>
      <c r="AB1097" s="23"/>
      <c r="AC1097" s="23"/>
      <c r="AD1097" s="23"/>
      <c r="AE1097" s="23"/>
      <c r="AF1097" s="23"/>
      <c r="AG1097" s="23"/>
      <c r="AH1097" s="23"/>
      <c r="AI1097" s="23"/>
      <c r="AJ1097" s="23"/>
      <c r="AK1097" s="23"/>
      <c r="AL1097" s="23"/>
      <c r="AM1097" s="23"/>
      <c r="AN1097" s="23"/>
      <c r="AO1097" s="23"/>
      <c r="AP1097" s="23"/>
      <c r="AQ1097" s="23"/>
      <c r="AR1097" s="23"/>
      <c r="AS1097" s="23">
        <f t="shared" si="18"/>
        <v>0</v>
      </c>
    </row>
    <row r="1098" spans="1:45" s="27" customFormat="1" ht="28.5" hidden="1" x14ac:dyDescent="0.2">
      <c r="A1098" s="28">
        <v>3131</v>
      </c>
      <c r="B1098" s="9" t="s">
        <v>763</v>
      </c>
      <c r="C1098" s="9" t="s">
        <v>764</v>
      </c>
      <c r="D1098" s="9" t="s">
        <v>234</v>
      </c>
      <c r="E1098" s="9" t="s">
        <v>677</v>
      </c>
      <c r="F1098" s="9" t="s">
        <v>199</v>
      </c>
      <c r="G1098" s="9" t="s">
        <v>809</v>
      </c>
      <c r="H1098" s="9" t="s">
        <v>831</v>
      </c>
      <c r="I1098" s="81"/>
      <c r="J1098" s="10">
        <f>'Messages Dictionary'!J512</f>
        <v>0</v>
      </c>
      <c r="K1098" s="81"/>
      <c r="L1098" s="29"/>
      <c r="M1098" s="29"/>
      <c r="N1098" s="23"/>
      <c r="O1098" s="23"/>
      <c r="P1098" s="23"/>
      <c r="Q1098" s="23"/>
      <c r="R1098" s="23"/>
      <c r="S1098" s="23"/>
      <c r="T1098" s="23"/>
      <c r="U1098" s="23"/>
      <c r="V1098" s="23"/>
      <c r="W1098" s="23"/>
      <c r="X1098" s="23"/>
      <c r="Y1098" s="23"/>
      <c r="Z1098" s="23"/>
      <c r="AA1098" s="23"/>
      <c r="AB1098" s="23"/>
      <c r="AC1098" s="23"/>
      <c r="AD1098" s="23"/>
      <c r="AE1098" s="23"/>
      <c r="AF1098" s="23"/>
      <c r="AG1098" s="23"/>
      <c r="AH1098" s="23"/>
      <c r="AI1098" s="23"/>
      <c r="AJ1098" s="23"/>
      <c r="AK1098" s="23"/>
      <c r="AL1098" s="23"/>
      <c r="AM1098" s="23"/>
      <c r="AN1098" s="23"/>
      <c r="AO1098" s="23"/>
      <c r="AP1098" s="23"/>
      <c r="AQ1098" s="23"/>
      <c r="AR1098" s="23"/>
      <c r="AS1098" s="23">
        <f t="shared" si="18"/>
        <v>0</v>
      </c>
    </row>
    <row r="1099" spans="1:45" s="27" customFormat="1" ht="28.5" hidden="1" x14ac:dyDescent="0.2">
      <c r="A1099" s="28">
        <v>3132</v>
      </c>
      <c r="B1099" s="9" t="s">
        <v>765</v>
      </c>
      <c r="C1099" s="9" t="s">
        <v>766</v>
      </c>
      <c r="D1099" s="9" t="s">
        <v>234</v>
      </c>
      <c r="E1099" s="9" t="s">
        <v>677</v>
      </c>
      <c r="F1099" s="9" t="s">
        <v>199</v>
      </c>
      <c r="G1099" s="9" t="s">
        <v>809</v>
      </c>
      <c r="H1099" s="9" t="s">
        <v>831</v>
      </c>
      <c r="I1099" s="81"/>
      <c r="J1099" s="10">
        <f>'Messages Dictionary'!J513</f>
        <v>0</v>
      </c>
      <c r="K1099" s="81"/>
      <c r="L1099" s="29"/>
      <c r="M1099" s="29"/>
      <c r="N1099" s="23"/>
      <c r="O1099" s="23"/>
      <c r="P1099" s="23"/>
      <c r="Q1099" s="23"/>
      <c r="R1099" s="23"/>
      <c r="S1099" s="23"/>
      <c r="T1099" s="23"/>
      <c r="U1099" s="23"/>
      <c r="V1099" s="23"/>
      <c r="W1099" s="23"/>
      <c r="X1099" s="23"/>
      <c r="Y1099" s="23"/>
      <c r="Z1099" s="23"/>
      <c r="AA1099" s="23"/>
      <c r="AB1099" s="23"/>
      <c r="AC1099" s="23"/>
      <c r="AD1099" s="23"/>
      <c r="AE1099" s="23"/>
      <c r="AF1099" s="23"/>
      <c r="AG1099" s="23"/>
      <c r="AH1099" s="23"/>
      <c r="AI1099" s="23"/>
      <c r="AJ1099" s="23"/>
      <c r="AK1099" s="23"/>
      <c r="AL1099" s="23"/>
      <c r="AM1099" s="23"/>
      <c r="AN1099" s="23"/>
      <c r="AO1099" s="23"/>
      <c r="AP1099" s="23"/>
      <c r="AQ1099" s="23"/>
      <c r="AR1099" s="23"/>
      <c r="AS1099" s="23">
        <f t="shared" si="18"/>
        <v>0</v>
      </c>
    </row>
    <row r="1100" spans="1:45" s="27" customFormat="1" ht="28.5" hidden="1" x14ac:dyDescent="0.2">
      <c r="A1100" s="28">
        <v>3140</v>
      </c>
      <c r="B1100" s="9" t="s">
        <v>767</v>
      </c>
      <c r="C1100" s="9" t="s">
        <v>768</v>
      </c>
      <c r="D1100" s="9" t="s">
        <v>234</v>
      </c>
      <c r="E1100" s="9" t="s">
        <v>677</v>
      </c>
      <c r="F1100" s="9" t="s">
        <v>199</v>
      </c>
      <c r="G1100" s="9" t="s">
        <v>809</v>
      </c>
      <c r="H1100" s="9" t="s">
        <v>831</v>
      </c>
      <c r="I1100" s="81"/>
      <c r="J1100" s="10">
        <f>'Messages Dictionary'!J514</f>
        <v>0</v>
      </c>
      <c r="K1100" s="81"/>
      <c r="L1100" s="29"/>
      <c r="M1100" s="29"/>
      <c r="N1100" s="23"/>
      <c r="O1100" s="23"/>
      <c r="P1100" s="23"/>
      <c r="Q1100" s="23"/>
      <c r="R1100" s="23"/>
      <c r="S1100" s="23"/>
      <c r="T1100" s="23"/>
      <c r="U1100" s="23"/>
      <c r="V1100" s="23"/>
      <c r="W1100" s="23"/>
      <c r="X1100" s="23"/>
      <c r="Y1100" s="23"/>
      <c r="Z1100" s="23"/>
      <c r="AA1100" s="23"/>
      <c r="AB1100" s="23"/>
      <c r="AC1100" s="23"/>
      <c r="AD1100" s="23"/>
      <c r="AE1100" s="23"/>
      <c r="AF1100" s="23"/>
      <c r="AG1100" s="23"/>
      <c r="AH1100" s="23"/>
      <c r="AI1100" s="23"/>
      <c r="AJ1100" s="23"/>
      <c r="AK1100" s="23"/>
      <c r="AL1100" s="23"/>
      <c r="AM1100" s="23"/>
      <c r="AN1100" s="23"/>
      <c r="AO1100" s="23"/>
      <c r="AP1100" s="23"/>
      <c r="AQ1100" s="23"/>
      <c r="AR1100" s="23"/>
      <c r="AS1100" s="23">
        <f t="shared" si="18"/>
        <v>0</v>
      </c>
    </row>
    <row r="1101" spans="1:45" s="27" customFormat="1" ht="28.5" hidden="1" x14ac:dyDescent="0.2">
      <c r="A1101" s="28">
        <v>3141</v>
      </c>
      <c r="B1101" s="9" t="s">
        <v>769</v>
      </c>
      <c r="C1101" s="9" t="s">
        <v>770</v>
      </c>
      <c r="D1101" s="9" t="s">
        <v>234</v>
      </c>
      <c r="E1101" s="9" t="s">
        <v>677</v>
      </c>
      <c r="F1101" s="9" t="s">
        <v>199</v>
      </c>
      <c r="G1101" s="9" t="s">
        <v>809</v>
      </c>
      <c r="H1101" s="9" t="s">
        <v>831</v>
      </c>
      <c r="I1101" s="81"/>
      <c r="J1101" s="10">
        <f>'Messages Dictionary'!J515</f>
        <v>0</v>
      </c>
      <c r="K1101" s="81"/>
      <c r="L1101" s="29"/>
      <c r="M1101" s="29"/>
      <c r="N1101" s="23"/>
      <c r="O1101" s="23"/>
      <c r="P1101" s="23"/>
      <c r="Q1101" s="23"/>
      <c r="R1101" s="23"/>
      <c r="S1101" s="23"/>
      <c r="T1101" s="23"/>
      <c r="U1101" s="23"/>
      <c r="V1101" s="23"/>
      <c r="W1101" s="23"/>
      <c r="X1101" s="23"/>
      <c r="Y1101" s="23"/>
      <c r="Z1101" s="23"/>
      <c r="AA1101" s="23"/>
      <c r="AB1101" s="23"/>
      <c r="AC1101" s="23"/>
      <c r="AD1101" s="23"/>
      <c r="AE1101" s="23"/>
      <c r="AF1101" s="23"/>
      <c r="AG1101" s="23"/>
      <c r="AH1101" s="23"/>
      <c r="AI1101" s="23"/>
      <c r="AJ1101" s="23"/>
      <c r="AK1101" s="23"/>
      <c r="AL1101" s="23"/>
      <c r="AM1101" s="23"/>
      <c r="AN1101" s="23"/>
      <c r="AO1101" s="23"/>
      <c r="AP1101" s="23"/>
      <c r="AQ1101" s="23"/>
      <c r="AR1101" s="23"/>
      <c r="AS1101" s="23">
        <f t="shared" si="18"/>
        <v>0</v>
      </c>
    </row>
    <row r="1102" spans="1:45" s="27" customFormat="1" ht="28.5" hidden="1" x14ac:dyDescent="0.2">
      <c r="A1102" s="28">
        <v>3142</v>
      </c>
      <c r="B1102" s="9" t="s">
        <v>771</v>
      </c>
      <c r="C1102" s="9" t="s">
        <v>772</v>
      </c>
      <c r="D1102" s="9" t="s">
        <v>234</v>
      </c>
      <c r="E1102" s="9" t="s">
        <v>677</v>
      </c>
      <c r="F1102" s="9" t="s">
        <v>199</v>
      </c>
      <c r="G1102" s="9" t="s">
        <v>809</v>
      </c>
      <c r="H1102" s="9" t="s">
        <v>831</v>
      </c>
      <c r="I1102" s="81"/>
      <c r="J1102" s="10">
        <f>'Messages Dictionary'!J516</f>
        <v>0</v>
      </c>
      <c r="K1102" s="81"/>
      <c r="L1102" s="29"/>
      <c r="M1102" s="29"/>
      <c r="N1102" s="23"/>
      <c r="O1102" s="23"/>
      <c r="P1102" s="23"/>
      <c r="Q1102" s="23"/>
      <c r="R1102" s="23"/>
      <c r="S1102" s="23"/>
      <c r="T1102" s="23"/>
      <c r="U1102" s="23"/>
      <c r="V1102" s="23"/>
      <c r="W1102" s="23"/>
      <c r="X1102" s="23"/>
      <c r="Y1102" s="23"/>
      <c r="Z1102" s="23"/>
      <c r="AA1102" s="23"/>
      <c r="AB1102" s="23"/>
      <c r="AC1102" s="23"/>
      <c r="AD1102" s="23"/>
      <c r="AE1102" s="23"/>
      <c r="AF1102" s="23"/>
      <c r="AG1102" s="23"/>
      <c r="AH1102" s="23"/>
      <c r="AI1102" s="23"/>
      <c r="AJ1102" s="23"/>
      <c r="AK1102" s="23"/>
      <c r="AL1102" s="23"/>
      <c r="AM1102" s="23"/>
      <c r="AN1102" s="23"/>
      <c r="AO1102" s="23"/>
      <c r="AP1102" s="23"/>
      <c r="AQ1102" s="23"/>
      <c r="AR1102" s="23"/>
      <c r="AS1102" s="23">
        <f t="shared" si="18"/>
        <v>0</v>
      </c>
    </row>
    <row r="1103" spans="1:45" s="27" customFormat="1" ht="28.5" hidden="1" x14ac:dyDescent="0.2">
      <c r="A1103" s="28">
        <v>3145</v>
      </c>
      <c r="B1103" s="9" t="s">
        <v>773</v>
      </c>
      <c r="C1103" s="9" t="s">
        <v>774</v>
      </c>
      <c r="D1103" s="9" t="s">
        <v>234</v>
      </c>
      <c r="E1103" s="9" t="s">
        <v>656</v>
      </c>
      <c r="F1103" s="9" t="s">
        <v>199</v>
      </c>
      <c r="G1103" s="9" t="s">
        <v>809</v>
      </c>
      <c r="H1103" s="9" t="s">
        <v>831</v>
      </c>
      <c r="I1103" s="81"/>
      <c r="J1103" s="10">
        <f>'Messages Dictionary'!J517</f>
        <v>0</v>
      </c>
      <c r="K1103" s="81"/>
      <c r="L1103" s="29"/>
      <c r="M1103" s="29"/>
      <c r="N1103" s="23"/>
      <c r="O1103" s="23"/>
      <c r="P1103" s="23"/>
      <c r="Q1103" s="23"/>
      <c r="R1103" s="23"/>
      <c r="S1103" s="23"/>
      <c r="T1103" s="23"/>
      <c r="U1103" s="23"/>
      <c r="V1103" s="23"/>
      <c r="W1103" s="23"/>
      <c r="X1103" s="23"/>
      <c r="Y1103" s="23"/>
      <c r="Z1103" s="23"/>
      <c r="AA1103" s="23"/>
      <c r="AB1103" s="23"/>
      <c r="AC1103" s="23"/>
      <c r="AD1103" s="23"/>
      <c r="AE1103" s="23"/>
      <c r="AF1103" s="23"/>
      <c r="AG1103" s="23"/>
      <c r="AH1103" s="23"/>
      <c r="AI1103" s="23"/>
      <c r="AJ1103" s="23"/>
      <c r="AK1103" s="23"/>
      <c r="AL1103" s="23"/>
      <c r="AM1103" s="23"/>
      <c r="AN1103" s="23"/>
      <c r="AO1103" s="23"/>
      <c r="AP1103" s="23"/>
      <c r="AQ1103" s="23"/>
      <c r="AR1103" s="23"/>
      <c r="AS1103" s="23">
        <f t="shared" si="18"/>
        <v>0</v>
      </c>
    </row>
    <row r="1104" spans="1:45" s="27" customFormat="1" ht="28.5" hidden="1" x14ac:dyDescent="0.2">
      <c r="A1104" s="28">
        <v>3146</v>
      </c>
      <c r="B1104" s="9" t="s">
        <v>689</v>
      </c>
      <c r="C1104" s="9" t="s">
        <v>690</v>
      </c>
      <c r="D1104" s="9" t="s">
        <v>234</v>
      </c>
      <c r="E1104" s="9" t="s">
        <v>656</v>
      </c>
      <c r="F1104" s="9" t="s">
        <v>199</v>
      </c>
      <c r="G1104" s="9" t="s">
        <v>809</v>
      </c>
      <c r="H1104" s="9" t="s">
        <v>831</v>
      </c>
      <c r="I1104" s="81"/>
      <c r="J1104" s="10">
        <f>'Messages Dictionary'!J518</f>
        <v>0</v>
      </c>
      <c r="K1104" s="81"/>
      <c r="L1104" s="29"/>
      <c r="M1104" s="29"/>
      <c r="N1104" s="23"/>
      <c r="O1104" s="23"/>
      <c r="P1104" s="23"/>
      <c r="Q1104" s="23"/>
      <c r="R1104" s="23"/>
      <c r="S1104" s="23"/>
      <c r="T1104" s="23"/>
      <c r="U1104" s="23"/>
      <c r="V1104" s="23"/>
      <c r="W1104" s="23"/>
      <c r="X1104" s="23"/>
      <c r="Y1104" s="23"/>
      <c r="Z1104" s="23"/>
      <c r="AA1104" s="23"/>
      <c r="AB1104" s="23"/>
      <c r="AC1104" s="23"/>
      <c r="AD1104" s="23"/>
      <c r="AE1104" s="23"/>
      <c r="AF1104" s="23"/>
      <c r="AG1104" s="23"/>
      <c r="AH1104" s="23"/>
      <c r="AI1104" s="23"/>
      <c r="AJ1104" s="23"/>
      <c r="AK1104" s="23"/>
      <c r="AL1104" s="23"/>
      <c r="AM1104" s="23"/>
      <c r="AN1104" s="23"/>
      <c r="AO1104" s="23"/>
      <c r="AP1104" s="23"/>
      <c r="AQ1104" s="23"/>
      <c r="AR1104" s="23"/>
      <c r="AS1104" s="23">
        <f t="shared" si="18"/>
        <v>0</v>
      </c>
    </row>
    <row r="1105" spans="1:45" s="27" customFormat="1" ht="28.5" hidden="1" x14ac:dyDescent="0.2">
      <c r="A1105" s="28">
        <v>3147</v>
      </c>
      <c r="B1105" s="9" t="s">
        <v>691</v>
      </c>
      <c r="C1105" s="9" t="s">
        <v>692</v>
      </c>
      <c r="D1105" s="9" t="s">
        <v>234</v>
      </c>
      <c r="E1105" s="9" t="s">
        <v>656</v>
      </c>
      <c r="F1105" s="9" t="s">
        <v>199</v>
      </c>
      <c r="G1105" s="9" t="s">
        <v>809</v>
      </c>
      <c r="H1105" s="9" t="s">
        <v>831</v>
      </c>
      <c r="I1105" s="81"/>
      <c r="J1105" s="10">
        <f>'Messages Dictionary'!J519</f>
        <v>0</v>
      </c>
      <c r="K1105" s="81"/>
      <c r="L1105" s="29"/>
      <c r="M1105" s="29"/>
      <c r="N1105" s="23"/>
      <c r="O1105" s="23"/>
      <c r="P1105" s="23"/>
      <c r="Q1105" s="23"/>
      <c r="R1105" s="23"/>
      <c r="S1105" s="23"/>
      <c r="T1105" s="23"/>
      <c r="U1105" s="23"/>
      <c r="V1105" s="23"/>
      <c r="W1105" s="23"/>
      <c r="X1105" s="23"/>
      <c r="Y1105" s="23"/>
      <c r="Z1105" s="23"/>
      <c r="AA1105" s="23"/>
      <c r="AB1105" s="23"/>
      <c r="AC1105" s="23"/>
      <c r="AD1105" s="23"/>
      <c r="AE1105" s="23"/>
      <c r="AF1105" s="23"/>
      <c r="AG1105" s="23"/>
      <c r="AH1105" s="23"/>
      <c r="AI1105" s="23"/>
      <c r="AJ1105" s="23"/>
      <c r="AK1105" s="23"/>
      <c r="AL1105" s="23"/>
      <c r="AM1105" s="23"/>
      <c r="AN1105" s="23"/>
      <c r="AO1105" s="23"/>
      <c r="AP1105" s="23"/>
      <c r="AQ1105" s="23"/>
      <c r="AR1105" s="23"/>
      <c r="AS1105" s="23">
        <f t="shared" si="18"/>
        <v>0</v>
      </c>
    </row>
    <row r="1106" spans="1:45" s="27" customFormat="1" ht="42.75" hidden="1" x14ac:dyDescent="0.2">
      <c r="A1106" s="28">
        <v>3161</v>
      </c>
      <c r="B1106" s="9" t="s">
        <v>331</v>
      </c>
      <c r="C1106" s="9" t="s">
        <v>332</v>
      </c>
      <c r="D1106" s="9" t="s">
        <v>234</v>
      </c>
      <c r="E1106" s="9" t="s">
        <v>677</v>
      </c>
      <c r="F1106" s="9" t="s">
        <v>199</v>
      </c>
      <c r="G1106" s="9" t="s">
        <v>809</v>
      </c>
      <c r="H1106" s="9" t="s">
        <v>831</v>
      </c>
      <c r="I1106" s="81"/>
      <c r="J1106" s="10">
        <f>'Messages Dictionary'!J520</f>
        <v>0</v>
      </c>
      <c r="K1106" s="81"/>
      <c r="L1106" s="29"/>
      <c r="M1106" s="29"/>
      <c r="N1106" s="23"/>
      <c r="O1106" s="23"/>
      <c r="P1106" s="23"/>
      <c r="Q1106" s="23"/>
      <c r="R1106" s="23"/>
      <c r="S1106" s="23"/>
      <c r="T1106" s="23"/>
      <c r="U1106" s="23"/>
      <c r="V1106" s="23"/>
      <c r="W1106" s="23"/>
      <c r="X1106" s="23"/>
      <c r="Y1106" s="23"/>
      <c r="Z1106" s="23"/>
      <c r="AA1106" s="23"/>
      <c r="AB1106" s="23"/>
      <c r="AC1106" s="23"/>
      <c r="AD1106" s="23"/>
      <c r="AE1106" s="23"/>
      <c r="AF1106" s="23"/>
      <c r="AG1106" s="23"/>
      <c r="AH1106" s="23"/>
      <c r="AI1106" s="23"/>
      <c r="AJ1106" s="23"/>
      <c r="AK1106" s="23"/>
      <c r="AL1106" s="23"/>
      <c r="AM1106" s="23"/>
      <c r="AN1106" s="23"/>
      <c r="AO1106" s="23"/>
      <c r="AP1106" s="23"/>
      <c r="AQ1106" s="23"/>
      <c r="AR1106" s="23"/>
      <c r="AS1106" s="23">
        <f t="shared" si="18"/>
        <v>0</v>
      </c>
    </row>
    <row r="1107" spans="1:45" s="27" customFormat="1" ht="42.75" hidden="1" x14ac:dyDescent="0.2">
      <c r="A1107" s="28">
        <v>3164</v>
      </c>
      <c r="B1107" s="9" t="s">
        <v>333</v>
      </c>
      <c r="C1107" s="9" t="s">
        <v>335</v>
      </c>
      <c r="D1107" s="9" t="s">
        <v>234</v>
      </c>
      <c r="E1107" s="9" t="s">
        <v>677</v>
      </c>
      <c r="F1107" s="9" t="s">
        <v>199</v>
      </c>
      <c r="G1107" s="9" t="s">
        <v>809</v>
      </c>
      <c r="H1107" s="9" t="s">
        <v>831</v>
      </c>
      <c r="I1107" s="81"/>
      <c r="J1107" s="10">
        <f>'Messages Dictionary'!J521</f>
        <v>0</v>
      </c>
      <c r="K1107" s="81"/>
      <c r="L1107" s="29"/>
      <c r="M1107" s="29"/>
      <c r="N1107" s="23"/>
      <c r="O1107" s="23"/>
      <c r="P1107" s="23"/>
      <c r="Q1107" s="23"/>
      <c r="R1107" s="23"/>
      <c r="S1107" s="23"/>
      <c r="T1107" s="23"/>
      <c r="U1107" s="23"/>
      <c r="V1107" s="23"/>
      <c r="W1107" s="23"/>
      <c r="X1107" s="23"/>
      <c r="Y1107" s="23"/>
      <c r="Z1107" s="23"/>
      <c r="AA1107" s="23"/>
      <c r="AB1107" s="23"/>
      <c r="AC1107" s="23"/>
      <c r="AD1107" s="23"/>
      <c r="AE1107" s="23"/>
      <c r="AF1107" s="23"/>
      <c r="AG1107" s="23"/>
      <c r="AH1107" s="23"/>
      <c r="AI1107" s="23"/>
      <c r="AJ1107" s="23"/>
      <c r="AK1107" s="23"/>
      <c r="AL1107" s="23"/>
      <c r="AM1107" s="23"/>
      <c r="AN1107" s="23"/>
      <c r="AO1107" s="23"/>
      <c r="AP1107" s="23"/>
      <c r="AQ1107" s="23"/>
      <c r="AR1107" s="23"/>
      <c r="AS1107" s="23">
        <f t="shared" si="18"/>
        <v>0</v>
      </c>
    </row>
    <row r="1108" spans="1:45" s="27" customFormat="1" ht="42.75" hidden="1" x14ac:dyDescent="0.2">
      <c r="A1108" s="28">
        <v>3165</v>
      </c>
      <c r="B1108" s="9" t="s">
        <v>336</v>
      </c>
      <c r="C1108" s="9" t="s">
        <v>368</v>
      </c>
      <c r="D1108" s="9" t="s">
        <v>234</v>
      </c>
      <c r="E1108" s="9" t="s">
        <v>677</v>
      </c>
      <c r="F1108" s="9" t="s">
        <v>199</v>
      </c>
      <c r="G1108" s="9" t="s">
        <v>809</v>
      </c>
      <c r="H1108" s="9" t="s">
        <v>831</v>
      </c>
      <c r="I1108" s="81"/>
      <c r="J1108" s="10">
        <f>'Messages Dictionary'!J522</f>
        <v>0</v>
      </c>
      <c r="K1108" s="81"/>
      <c r="L1108" s="29"/>
      <c r="M1108" s="29"/>
      <c r="N1108" s="23"/>
      <c r="O1108" s="23"/>
      <c r="P1108" s="23"/>
      <c r="Q1108" s="23"/>
      <c r="R1108" s="23"/>
      <c r="S1108" s="23"/>
      <c r="T1108" s="23"/>
      <c r="U1108" s="23"/>
      <c r="V1108" s="23"/>
      <c r="W1108" s="23"/>
      <c r="X1108" s="23"/>
      <c r="Y1108" s="23"/>
      <c r="Z1108" s="23"/>
      <c r="AA1108" s="23"/>
      <c r="AB1108" s="23"/>
      <c r="AC1108" s="23"/>
      <c r="AD1108" s="23"/>
      <c r="AE1108" s="23"/>
      <c r="AF1108" s="23"/>
      <c r="AG1108" s="23"/>
      <c r="AH1108" s="23"/>
      <c r="AI1108" s="23"/>
      <c r="AJ1108" s="23"/>
      <c r="AK1108" s="23"/>
      <c r="AL1108" s="23"/>
      <c r="AM1108" s="23"/>
      <c r="AN1108" s="23"/>
      <c r="AO1108" s="23"/>
      <c r="AP1108" s="23"/>
      <c r="AQ1108" s="23"/>
      <c r="AR1108" s="23"/>
      <c r="AS1108" s="23">
        <f t="shared" si="18"/>
        <v>0</v>
      </c>
    </row>
    <row r="1109" spans="1:45" s="27" customFormat="1" ht="42.75" hidden="1" x14ac:dyDescent="0.2">
      <c r="A1109" s="28">
        <v>3166</v>
      </c>
      <c r="B1109" s="9" t="s">
        <v>369</v>
      </c>
      <c r="C1109" s="9" t="s">
        <v>370</v>
      </c>
      <c r="D1109" s="9" t="s">
        <v>234</v>
      </c>
      <c r="E1109" s="9" t="s">
        <v>677</v>
      </c>
      <c r="F1109" s="9" t="s">
        <v>199</v>
      </c>
      <c r="G1109" s="9" t="s">
        <v>809</v>
      </c>
      <c r="H1109" s="9" t="s">
        <v>831</v>
      </c>
      <c r="I1109" s="81"/>
      <c r="J1109" s="10">
        <f>'Messages Dictionary'!J523</f>
        <v>0</v>
      </c>
      <c r="K1109" s="81"/>
      <c r="L1109" s="29"/>
      <c r="M1109" s="29"/>
      <c r="N1109" s="23"/>
      <c r="O1109" s="23"/>
      <c r="P1109" s="23"/>
      <c r="Q1109" s="23"/>
      <c r="R1109" s="23"/>
      <c r="S1109" s="23"/>
      <c r="T1109" s="23"/>
      <c r="U1109" s="23"/>
      <c r="V1109" s="23"/>
      <c r="W1109" s="23"/>
      <c r="X1109" s="23"/>
      <c r="Y1109" s="23"/>
      <c r="Z1109" s="23"/>
      <c r="AA1109" s="23"/>
      <c r="AB1109" s="23"/>
      <c r="AC1109" s="23"/>
      <c r="AD1109" s="23"/>
      <c r="AE1109" s="23"/>
      <c r="AF1109" s="23"/>
      <c r="AG1109" s="23"/>
      <c r="AH1109" s="23"/>
      <c r="AI1109" s="23"/>
      <c r="AJ1109" s="23"/>
      <c r="AK1109" s="23"/>
      <c r="AL1109" s="23"/>
      <c r="AM1109" s="23"/>
      <c r="AN1109" s="23"/>
      <c r="AO1109" s="23"/>
      <c r="AP1109" s="23"/>
      <c r="AQ1109" s="23"/>
      <c r="AR1109" s="23"/>
      <c r="AS1109" s="23">
        <f t="shared" si="18"/>
        <v>0</v>
      </c>
    </row>
    <row r="1110" spans="1:45" s="27" customFormat="1" ht="28.5" hidden="1" x14ac:dyDescent="0.2">
      <c r="A1110" s="28">
        <v>3167</v>
      </c>
      <c r="B1110" s="9" t="s">
        <v>371</v>
      </c>
      <c r="C1110" s="9" t="s">
        <v>372</v>
      </c>
      <c r="D1110" s="9" t="s">
        <v>234</v>
      </c>
      <c r="E1110" s="9" t="s">
        <v>677</v>
      </c>
      <c r="F1110" s="9" t="s">
        <v>199</v>
      </c>
      <c r="G1110" s="9" t="s">
        <v>809</v>
      </c>
      <c r="H1110" s="9" t="s">
        <v>831</v>
      </c>
      <c r="I1110" s="81"/>
      <c r="J1110" s="10">
        <f>'Messages Dictionary'!J524</f>
        <v>0</v>
      </c>
      <c r="K1110" s="81"/>
      <c r="L1110" s="29"/>
      <c r="M1110" s="29"/>
      <c r="N1110" s="23"/>
      <c r="O1110" s="23"/>
      <c r="P1110" s="23"/>
      <c r="Q1110" s="23"/>
      <c r="R1110" s="23"/>
      <c r="S1110" s="23"/>
      <c r="T1110" s="23"/>
      <c r="U1110" s="23"/>
      <c r="V1110" s="23"/>
      <c r="W1110" s="23"/>
      <c r="X1110" s="23"/>
      <c r="Y1110" s="23"/>
      <c r="Z1110" s="23"/>
      <c r="AA1110" s="23"/>
      <c r="AB1110" s="23"/>
      <c r="AC1110" s="23"/>
      <c r="AD1110" s="23"/>
      <c r="AE1110" s="23"/>
      <c r="AF1110" s="23"/>
      <c r="AG1110" s="23"/>
      <c r="AH1110" s="23"/>
      <c r="AI1110" s="23"/>
      <c r="AJ1110" s="23"/>
      <c r="AK1110" s="23"/>
      <c r="AL1110" s="23"/>
      <c r="AM1110" s="23"/>
      <c r="AN1110" s="23"/>
      <c r="AO1110" s="23"/>
      <c r="AP1110" s="23"/>
      <c r="AQ1110" s="23"/>
      <c r="AR1110" s="23"/>
      <c r="AS1110" s="23">
        <f t="shared" si="18"/>
        <v>0</v>
      </c>
    </row>
    <row r="1111" spans="1:45" s="27" customFormat="1" ht="28.5" hidden="1" x14ac:dyDescent="0.2">
      <c r="A1111" s="28">
        <v>3168</v>
      </c>
      <c r="B1111" s="9" t="s">
        <v>373</v>
      </c>
      <c r="C1111" s="9" t="s">
        <v>374</v>
      </c>
      <c r="D1111" s="9" t="s">
        <v>234</v>
      </c>
      <c r="E1111" s="9" t="s">
        <v>677</v>
      </c>
      <c r="F1111" s="9" t="s">
        <v>199</v>
      </c>
      <c r="G1111" s="9" t="s">
        <v>809</v>
      </c>
      <c r="H1111" s="9" t="s">
        <v>831</v>
      </c>
      <c r="I1111" s="81"/>
      <c r="J1111" s="10">
        <f>'Messages Dictionary'!J525</f>
        <v>0</v>
      </c>
      <c r="K1111" s="81"/>
      <c r="L1111" s="29"/>
      <c r="M1111" s="29"/>
      <c r="N1111" s="23"/>
      <c r="O1111" s="23"/>
      <c r="P1111" s="23"/>
      <c r="Q1111" s="23"/>
      <c r="R1111" s="23"/>
      <c r="S1111" s="23"/>
      <c r="T1111" s="23"/>
      <c r="U1111" s="23"/>
      <c r="V1111" s="23"/>
      <c r="W1111" s="23"/>
      <c r="X1111" s="23"/>
      <c r="Y1111" s="23"/>
      <c r="Z1111" s="23"/>
      <c r="AA1111" s="23"/>
      <c r="AB1111" s="23"/>
      <c r="AC1111" s="23"/>
      <c r="AD1111" s="23"/>
      <c r="AE1111" s="23"/>
      <c r="AF1111" s="23"/>
      <c r="AG1111" s="23"/>
      <c r="AH1111" s="23"/>
      <c r="AI1111" s="23"/>
      <c r="AJ1111" s="23"/>
      <c r="AK1111" s="23"/>
      <c r="AL1111" s="23"/>
      <c r="AM1111" s="23"/>
      <c r="AN1111" s="23"/>
      <c r="AO1111" s="23"/>
      <c r="AP1111" s="23"/>
      <c r="AQ1111" s="23"/>
      <c r="AR1111" s="23"/>
      <c r="AS1111" s="23">
        <f t="shared" si="18"/>
        <v>0</v>
      </c>
    </row>
    <row r="1112" spans="1:45" s="27" customFormat="1" ht="28.5" hidden="1" x14ac:dyDescent="0.2">
      <c r="A1112" s="28">
        <v>3169</v>
      </c>
      <c r="B1112" s="9" t="s">
        <v>375</v>
      </c>
      <c r="C1112" s="9" t="s">
        <v>376</v>
      </c>
      <c r="D1112" s="9" t="s">
        <v>234</v>
      </c>
      <c r="E1112" s="9" t="s">
        <v>677</v>
      </c>
      <c r="F1112" s="9" t="s">
        <v>199</v>
      </c>
      <c r="G1112" s="9" t="s">
        <v>809</v>
      </c>
      <c r="H1112" s="9" t="s">
        <v>831</v>
      </c>
      <c r="I1112" s="81"/>
      <c r="J1112" s="10">
        <f>'Messages Dictionary'!J526</f>
        <v>0</v>
      </c>
      <c r="K1112" s="81"/>
      <c r="L1112" s="29"/>
      <c r="M1112" s="29"/>
      <c r="N1112" s="23"/>
      <c r="O1112" s="23"/>
      <c r="P1112" s="23"/>
      <c r="Q1112" s="23"/>
      <c r="R1112" s="23"/>
      <c r="S1112" s="23"/>
      <c r="T1112" s="23"/>
      <c r="U1112" s="23"/>
      <c r="V1112" s="23"/>
      <c r="W1112" s="23"/>
      <c r="X1112" s="23"/>
      <c r="Y1112" s="23"/>
      <c r="Z1112" s="23"/>
      <c r="AA1112" s="23"/>
      <c r="AB1112" s="23"/>
      <c r="AC1112" s="23"/>
      <c r="AD1112" s="23"/>
      <c r="AE1112" s="23"/>
      <c r="AF1112" s="23"/>
      <c r="AG1112" s="23"/>
      <c r="AH1112" s="23"/>
      <c r="AI1112" s="23"/>
      <c r="AJ1112" s="23"/>
      <c r="AK1112" s="23"/>
      <c r="AL1112" s="23"/>
      <c r="AM1112" s="23"/>
      <c r="AN1112" s="23"/>
      <c r="AO1112" s="23"/>
      <c r="AP1112" s="23"/>
      <c r="AQ1112" s="23"/>
      <c r="AR1112" s="23"/>
      <c r="AS1112" s="23">
        <f t="shared" si="18"/>
        <v>0</v>
      </c>
    </row>
    <row r="1113" spans="1:45" s="27" customFormat="1" hidden="1" x14ac:dyDescent="0.2">
      <c r="A1113" s="28">
        <v>3180</v>
      </c>
      <c r="B1113" s="9" t="s">
        <v>475</v>
      </c>
      <c r="C1113" s="9" t="s">
        <v>476</v>
      </c>
      <c r="D1113" s="9" t="s">
        <v>234</v>
      </c>
      <c r="E1113" s="9" t="s">
        <v>677</v>
      </c>
      <c r="F1113" s="9" t="s">
        <v>199</v>
      </c>
      <c r="G1113" s="9" t="s">
        <v>809</v>
      </c>
      <c r="H1113" s="9" t="s">
        <v>831</v>
      </c>
      <c r="I1113" s="81"/>
      <c r="J1113" s="10">
        <f>'Messages Dictionary'!J527</f>
        <v>0</v>
      </c>
      <c r="K1113" s="81"/>
      <c r="L1113" s="29"/>
      <c r="M1113" s="29"/>
      <c r="N1113" s="23"/>
      <c r="O1113" s="23"/>
      <c r="P1113" s="23"/>
      <c r="Q1113" s="23"/>
      <c r="R1113" s="23"/>
      <c r="S1113" s="23"/>
      <c r="T1113" s="23"/>
      <c r="U1113" s="23"/>
      <c r="V1113" s="23"/>
      <c r="W1113" s="23"/>
      <c r="X1113" s="23"/>
      <c r="Y1113" s="23"/>
      <c r="Z1113" s="23"/>
      <c r="AA1113" s="23"/>
      <c r="AB1113" s="23"/>
      <c r="AC1113" s="23"/>
      <c r="AD1113" s="23"/>
      <c r="AE1113" s="23"/>
      <c r="AF1113" s="23"/>
      <c r="AG1113" s="23"/>
      <c r="AH1113" s="23"/>
      <c r="AI1113" s="23"/>
      <c r="AJ1113" s="23"/>
      <c r="AK1113" s="23"/>
      <c r="AL1113" s="23"/>
      <c r="AM1113" s="23"/>
      <c r="AN1113" s="23"/>
      <c r="AO1113" s="23"/>
      <c r="AP1113" s="23"/>
      <c r="AQ1113" s="23"/>
      <c r="AR1113" s="23"/>
      <c r="AS1113" s="23">
        <f t="shared" si="18"/>
        <v>0</v>
      </c>
    </row>
    <row r="1114" spans="1:45" s="27" customFormat="1" hidden="1" x14ac:dyDescent="0.2">
      <c r="A1114" s="28">
        <v>3181</v>
      </c>
      <c r="B1114" s="9" t="s">
        <v>477</v>
      </c>
      <c r="C1114" s="9" t="s">
        <v>478</v>
      </c>
      <c r="D1114" s="9" t="s">
        <v>234</v>
      </c>
      <c r="E1114" s="9" t="s">
        <v>677</v>
      </c>
      <c r="F1114" s="9" t="s">
        <v>199</v>
      </c>
      <c r="G1114" s="9" t="s">
        <v>809</v>
      </c>
      <c r="H1114" s="9" t="s">
        <v>831</v>
      </c>
      <c r="I1114" s="81"/>
      <c r="J1114" s="10">
        <f>'Messages Dictionary'!J528</f>
        <v>0</v>
      </c>
      <c r="K1114" s="81"/>
      <c r="L1114" s="29"/>
      <c r="M1114" s="29"/>
      <c r="N1114" s="23"/>
      <c r="O1114" s="23"/>
      <c r="P1114" s="23"/>
      <c r="Q1114" s="23"/>
      <c r="R1114" s="23"/>
      <c r="S1114" s="23"/>
      <c r="T1114" s="23"/>
      <c r="U1114" s="23"/>
      <c r="V1114" s="23"/>
      <c r="W1114" s="23"/>
      <c r="X1114" s="23"/>
      <c r="Y1114" s="23"/>
      <c r="Z1114" s="23"/>
      <c r="AA1114" s="23"/>
      <c r="AB1114" s="23"/>
      <c r="AC1114" s="23"/>
      <c r="AD1114" s="23"/>
      <c r="AE1114" s="23"/>
      <c r="AF1114" s="23"/>
      <c r="AG1114" s="23"/>
      <c r="AH1114" s="23"/>
      <c r="AI1114" s="23"/>
      <c r="AJ1114" s="23"/>
      <c r="AK1114" s="23"/>
      <c r="AL1114" s="23"/>
      <c r="AM1114" s="23"/>
      <c r="AN1114" s="23"/>
      <c r="AO1114" s="23"/>
      <c r="AP1114" s="23"/>
      <c r="AQ1114" s="23"/>
      <c r="AR1114" s="23"/>
      <c r="AS1114" s="23">
        <f t="shared" si="18"/>
        <v>0</v>
      </c>
    </row>
    <row r="1115" spans="1:45" s="27" customFormat="1" ht="57" hidden="1" x14ac:dyDescent="0.2">
      <c r="A1115" s="28">
        <v>3182</v>
      </c>
      <c r="B1115" s="9" t="s">
        <v>479</v>
      </c>
      <c r="C1115" s="9" t="s">
        <v>480</v>
      </c>
      <c r="D1115" s="9" t="s">
        <v>234</v>
      </c>
      <c r="E1115" s="9" t="s">
        <v>677</v>
      </c>
      <c r="F1115" s="9" t="s">
        <v>199</v>
      </c>
      <c r="G1115" s="9" t="s">
        <v>809</v>
      </c>
      <c r="H1115" s="9" t="s">
        <v>831</v>
      </c>
      <c r="I1115" s="81"/>
      <c r="J1115" s="10">
        <f>'Messages Dictionary'!J529</f>
        <v>0</v>
      </c>
      <c r="K1115" s="81"/>
      <c r="L1115" s="29"/>
      <c r="M1115" s="29"/>
      <c r="N1115" s="23"/>
      <c r="O1115" s="23"/>
      <c r="P1115" s="23"/>
      <c r="Q1115" s="23"/>
      <c r="R1115" s="23"/>
      <c r="S1115" s="23"/>
      <c r="T1115" s="23"/>
      <c r="U1115" s="23"/>
      <c r="V1115" s="23"/>
      <c r="W1115" s="23"/>
      <c r="X1115" s="23"/>
      <c r="Y1115" s="23"/>
      <c r="Z1115" s="23"/>
      <c r="AA1115" s="23"/>
      <c r="AB1115" s="23"/>
      <c r="AC1115" s="23"/>
      <c r="AD1115" s="23"/>
      <c r="AE1115" s="23"/>
      <c r="AF1115" s="23"/>
      <c r="AG1115" s="23"/>
      <c r="AH1115" s="23"/>
      <c r="AI1115" s="23"/>
      <c r="AJ1115" s="23"/>
      <c r="AK1115" s="23"/>
      <c r="AL1115" s="23"/>
      <c r="AM1115" s="23"/>
      <c r="AN1115" s="23"/>
      <c r="AO1115" s="23"/>
      <c r="AP1115" s="23"/>
      <c r="AQ1115" s="23"/>
      <c r="AR1115" s="23"/>
      <c r="AS1115" s="23">
        <f t="shared" si="18"/>
        <v>0</v>
      </c>
    </row>
    <row r="1116" spans="1:45" s="27" customFormat="1" ht="42.75" hidden="1" x14ac:dyDescent="0.2">
      <c r="A1116" s="28">
        <v>3183</v>
      </c>
      <c r="B1116" s="9" t="s">
        <v>481</v>
      </c>
      <c r="C1116" s="9" t="s">
        <v>482</v>
      </c>
      <c r="D1116" s="9" t="s">
        <v>234</v>
      </c>
      <c r="E1116" s="9" t="s">
        <v>677</v>
      </c>
      <c r="F1116" s="9" t="s">
        <v>199</v>
      </c>
      <c r="G1116" s="9" t="s">
        <v>809</v>
      </c>
      <c r="H1116" s="9" t="s">
        <v>831</v>
      </c>
      <c r="I1116" s="81"/>
      <c r="J1116" s="10">
        <f>'Messages Dictionary'!J530</f>
        <v>0</v>
      </c>
      <c r="K1116" s="81"/>
      <c r="L1116" s="29"/>
      <c r="M1116" s="29"/>
      <c r="N1116" s="23"/>
      <c r="O1116" s="23"/>
      <c r="P1116" s="23"/>
      <c r="Q1116" s="23"/>
      <c r="R1116" s="23"/>
      <c r="S1116" s="23"/>
      <c r="T1116" s="23"/>
      <c r="U1116" s="23"/>
      <c r="V1116" s="23"/>
      <c r="W1116" s="23"/>
      <c r="X1116" s="23"/>
      <c r="Y1116" s="23"/>
      <c r="Z1116" s="23"/>
      <c r="AA1116" s="23"/>
      <c r="AB1116" s="23"/>
      <c r="AC1116" s="23"/>
      <c r="AD1116" s="23"/>
      <c r="AE1116" s="23"/>
      <c r="AF1116" s="23"/>
      <c r="AG1116" s="23"/>
      <c r="AH1116" s="23"/>
      <c r="AI1116" s="23"/>
      <c r="AJ1116" s="23"/>
      <c r="AK1116" s="23"/>
      <c r="AL1116" s="23"/>
      <c r="AM1116" s="23"/>
      <c r="AN1116" s="23"/>
      <c r="AO1116" s="23"/>
      <c r="AP1116" s="23"/>
      <c r="AQ1116" s="23"/>
      <c r="AR1116" s="23"/>
      <c r="AS1116" s="23">
        <f>AS517*$J1116</f>
        <v>0</v>
      </c>
    </row>
    <row r="1117" spans="1:45" s="27" customFormat="1" ht="42.75" hidden="1" x14ac:dyDescent="0.2">
      <c r="A1117" s="28">
        <v>3184</v>
      </c>
      <c r="B1117" s="9" t="s">
        <v>483</v>
      </c>
      <c r="C1117" s="9" t="s">
        <v>484</v>
      </c>
      <c r="D1117" s="9" t="s">
        <v>234</v>
      </c>
      <c r="E1117" s="9" t="s">
        <v>677</v>
      </c>
      <c r="F1117" s="9" t="s">
        <v>199</v>
      </c>
      <c r="G1117" s="9" t="s">
        <v>809</v>
      </c>
      <c r="H1117" s="9" t="s">
        <v>831</v>
      </c>
      <c r="I1117" s="81"/>
      <c r="J1117" s="10">
        <f>'Messages Dictionary'!J531</f>
        <v>0</v>
      </c>
      <c r="K1117" s="81"/>
      <c r="L1117" s="29"/>
      <c r="M1117" s="29"/>
      <c r="N1117" s="23"/>
      <c r="O1117" s="23"/>
      <c r="P1117" s="23"/>
      <c r="Q1117" s="23"/>
      <c r="R1117" s="23"/>
      <c r="S1117" s="23"/>
      <c r="T1117" s="23"/>
      <c r="U1117" s="23"/>
      <c r="V1117" s="23"/>
      <c r="W1117" s="23"/>
      <c r="X1117" s="23"/>
      <c r="Y1117" s="23"/>
      <c r="Z1117" s="23"/>
      <c r="AA1117" s="23"/>
      <c r="AB1117" s="23"/>
      <c r="AC1117" s="23"/>
      <c r="AD1117" s="23"/>
      <c r="AE1117" s="23"/>
      <c r="AF1117" s="23"/>
      <c r="AG1117" s="23"/>
      <c r="AH1117" s="23"/>
      <c r="AI1117" s="23"/>
      <c r="AJ1117" s="23"/>
      <c r="AK1117" s="23"/>
      <c r="AL1117" s="23"/>
      <c r="AM1117" s="23"/>
      <c r="AN1117" s="23"/>
      <c r="AO1117" s="23"/>
      <c r="AP1117" s="23"/>
      <c r="AQ1117" s="23"/>
      <c r="AR1117" s="23"/>
      <c r="AS1117" s="23">
        <f t="shared" si="18"/>
        <v>0</v>
      </c>
    </row>
    <row r="1118" spans="1:45" s="27" customFormat="1" ht="42.75" hidden="1" x14ac:dyDescent="0.2">
      <c r="A1118" s="28">
        <v>3185</v>
      </c>
      <c r="B1118" s="9" t="s">
        <v>485</v>
      </c>
      <c r="C1118" s="9" t="s">
        <v>486</v>
      </c>
      <c r="D1118" s="9" t="s">
        <v>234</v>
      </c>
      <c r="E1118" s="9" t="s">
        <v>677</v>
      </c>
      <c r="F1118" s="9" t="s">
        <v>199</v>
      </c>
      <c r="G1118" s="9" t="s">
        <v>809</v>
      </c>
      <c r="H1118" s="9" t="s">
        <v>831</v>
      </c>
      <c r="I1118" s="81"/>
      <c r="J1118" s="10">
        <f>'Messages Dictionary'!J532</f>
        <v>0</v>
      </c>
      <c r="K1118" s="81"/>
      <c r="L1118" s="29"/>
      <c r="M1118" s="29"/>
      <c r="N1118" s="23"/>
      <c r="O1118" s="23"/>
      <c r="P1118" s="23"/>
      <c r="Q1118" s="23"/>
      <c r="R1118" s="23"/>
      <c r="S1118" s="23"/>
      <c r="T1118" s="23"/>
      <c r="U1118" s="23"/>
      <c r="V1118" s="23"/>
      <c r="W1118" s="23"/>
      <c r="X1118" s="23"/>
      <c r="Y1118" s="23"/>
      <c r="Z1118" s="23"/>
      <c r="AA1118" s="23"/>
      <c r="AB1118" s="23"/>
      <c r="AC1118" s="23"/>
      <c r="AD1118" s="23"/>
      <c r="AE1118" s="23"/>
      <c r="AF1118" s="23"/>
      <c r="AG1118" s="23"/>
      <c r="AH1118" s="23"/>
      <c r="AI1118" s="23"/>
      <c r="AJ1118" s="23"/>
      <c r="AK1118" s="23"/>
      <c r="AL1118" s="23"/>
      <c r="AM1118" s="23"/>
      <c r="AN1118" s="23"/>
      <c r="AO1118" s="23"/>
      <c r="AP1118" s="23"/>
      <c r="AQ1118" s="23"/>
      <c r="AR1118" s="23"/>
      <c r="AS1118" s="23">
        <f t="shared" si="18"/>
        <v>0</v>
      </c>
    </row>
    <row r="1119" spans="1:45" s="27" customFormat="1" ht="28.5" hidden="1" x14ac:dyDescent="0.2">
      <c r="A1119" s="28">
        <v>3200</v>
      </c>
      <c r="B1119" s="9" t="s">
        <v>590</v>
      </c>
      <c r="C1119" s="9" t="s">
        <v>591</v>
      </c>
      <c r="D1119" s="9" t="s">
        <v>234</v>
      </c>
      <c r="E1119" s="9" t="s">
        <v>263</v>
      </c>
      <c r="F1119" s="9" t="s">
        <v>199</v>
      </c>
      <c r="G1119" s="9" t="s">
        <v>412</v>
      </c>
      <c r="H1119" s="9" t="s">
        <v>831</v>
      </c>
      <c r="I1119" s="81"/>
      <c r="J1119" s="10">
        <f>'Messages Dictionary'!J535</f>
        <v>0</v>
      </c>
      <c r="K1119" s="81"/>
      <c r="L1119" s="29"/>
      <c r="M1119" s="29"/>
      <c r="N1119" s="23"/>
      <c r="O1119" s="23"/>
      <c r="P1119" s="23"/>
      <c r="Q1119" s="23"/>
      <c r="R1119" s="23"/>
      <c r="S1119" s="23"/>
      <c r="T1119" s="23"/>
      <c r="U1119" s="23"/>
      <c r="V1119" s="23"/>
      <c r="W1119" s="23"/>
      <c r="X1119" s="23"/>
      <c r="Y1119" s="23"/>
      <c r="Z1119" s="23"/>
      <c r="AA1119" s="23"/>
      <c r="AB1119" s="23"/>
      <c r="AC1119" s="23"/>
      <c r="AD1119" s="23"/>
      <c r="AE1119" s="23"/>
      <c r="AF1119" s="23"/>
      <c r="AG1119" s="23"/>
      <c r="AH1119" s="23"/>
      <c r="AI1119" s="23"/>
      <c r="AJ1119" s="23"/>
      <c r="AK1119" s="23"/>
      <c r="AL1119" s="23"/>
      <c r="AM1119" s="23"/>
      <c r="AN1119" s="23"/>
      <c r="AO1119" s="23"/>
      <c r="AP1119" s="23"/>
      <c r="AQ1119" s="23"/>
      <c r="AR1119" s="23"/>
      <c r="AS1119" s="23">
        <f t="shared" si="18"/>
        <v>0</v>
      </c>
    </row>
    <row r="1120" spans="1:45" s="27" customFormat="1" ht="42.75" hidden="1" x14ac:dyDescent="0.2">
      <c r="A1120" s="28">
        <v>3201</v>
      </c>
      <c r="B1120" s="9" t="s">
        <v>592</v>
      </c>
      <c r="C1120" s="9" t="s">
        <v>593</v>
      </c>
      <c r="D1120" s="9" t="s">
        <v>234</v>
      </c>
      <c r="E1120" s="9" t="s">
        <v>263</v>
      </c>
      <c r="F1120" s="9" t="s">
        <v>199</v>
      </c>
      <c r="G1120" s="9" t="s">
        <v>412</v>
      </c>
      <c r="H1120" s="9" t="s">
        <v>831</v>
      </c>
      <c r="I1120" s="81"/>
      <c r="J1120" s="10">
        <f>'Messages Dictionary'!J536</f>
        <v>0</v>
      </c>
      <c r="K1120" s="81"/>
      <c r="L1120" s="29"/>
      <c r="M1120" s="29"/>
      <c r="N1120" s="23"/>
      <c r="O1120" s="23"/>
      <c r="P1120" s="23"/>
      <c r="Q1120" s="23"/>
      <c r="R1120" s="23"/>
      <c r="S1120" s="23"/>
      <c r="T1120" s="23"/>
      <c r="U1120" s="23"/>
      <c r="V1120" s="23"/>
      <c r="W1120" s="23"/>
      <c r="X1120" s="23"/>
      <c r="Y1120" s="23"/>
      <c r="Z1120" s="23"/>
      <c r="AA1120" s="23"/>
      <c r="AB1120" s="23"/>
      <c r="AC1120" s="23"/>
      <c r="AD1120" s="23"/>
      <c r="AE1120" s="23"/>
      <c r="AF1120" s="23"/>
      <c r="AG1120" s="23"/>
      <c r="AH1120" s="23"/>
      <c r="AI1120" s="23"/>
      <c r="AJ1120" s="23"/>
      <c r="AK1120" s="23"/>
      <c r="AL1120" s="23"/>
      <c r="AM1120" s="23"/>
      <c r="AN1120" s="23"/>
      <c r="AO1120" s="23"/>
      <c r="AP1120" s="23"/>
      <c r="AQ1120" s="23"/>
      <c r="AR1120" s="23"/>
      <c r="AS1120" s="23">
        <f t="shared" si="18"/>
        <v>0</v>
      </c>
    </row>
    <row r="1121" spans="1:45" s="27" customFormat="1" ht="28.5" hidden="1" x14ac:dyDescent="0.2">
      <c r="A1121" s="28">
        <v>3202</v>
      </c>
      <c r="B1121" s="9" t="s">
        <v>594</v>
      </c>
      <c r="C1121" s="9" t="s">
        <v>595</v>
      </c>
      <c r="D1121" s="9" t="s">
        <v>234</v>
      </c>
      <c r="E1121" s="9" t="s">
        <v>263</v>
      </c>
      <c r="F1121" s="9" t="s">
        <v>199</v>
      </c>
      <c r="G1121" s="9" t="s">
        <v>412</v>
      </c>
      <c r="H1121" s="9" t="s">
        <v>831</v>
      </c>
      <c r="I1121" s="81"/>
      <c r="J1121" s="10">
        <f>'Messages Dictionary'!J537</f>
        <v>0</v>
      </c>
      <c r="K1121" s="81"/>
      <c r="L1121" s="29"/>
      <c r="M1121" s="29"/>
      <c r="N1121" s="23"/>
      <c r="O1121" s="23"/>
      <c r="P1121" s="23"/>
      <c r="Q1121" s="23"/>
      <c r="R1121" s="23"/>
      <c r="S1121" s="23"/>
      <c r="T1121" s="23"/>
      <c r="U1121" s="23"/>
      <c r="V1121" s="23"/>
      <c r="W1121" s="23"/>
      <c r="X1121" s="23"/>
      <c r="Y1121" s="23"/>
      <c r="Z1121" s="23"/>
      <c r="AA1121" s="23"/>
      <c r="AB1121" s="23"/>
      <c r="AC1121" s="23"/>
      <c r="AD1121" s="23"/>
      <c r="AE1121" s="23"/>
      <c r="AF1121" s="23"/>
      <c r="AG1121" s="23"/>
      <c r="AH1121" s="23"/>
      <c r="AI1121" s="23"/>
      <c r="AJ1121" s="23"/>
      <c r="AK1121" s="23"/>
      <c r="AL1121" s="23"/>
      <c r="AM1121" s="23"/>
      <c r="AN1121" s="23"/>
      <c r="AO1121" s="23"/>
      <c r="AP1121" s="23"/>
      <c r="AQ1121" s="23"/>
      <c r="AR1121" s="23"/>
      <c r="AS1121" s="23">
        <f t="shared" si="18"/>
        <v>0</v>
      </c>
    </row>
    <row r="1122" spans="1:45" s="27" customFormat="1" hidden="1" x14ac:dyDescent="0.2">
      <c r="A1122" s="28">
        <v>3211</v>
      </c>
      <c r="B1122" s="9" t="s">
        <v>596</v>
      </c>
      <c r="C1122" s="9" t="s">
        <v>597</v>
      </c>
      <c r="D1122" s="9" t="s">
        <v>404</v>
      </c>
      <c r="E1122" s="9" t="s">
        <v>404</v>
      </c>
      <c r="F1122" s="9" t="s">
        <v>199</v>
      </c>
      <c r="G1122" s="9" t="s">
        <v>809</v>
      </c>
      <c r="H1122" s="9" t="s">
        <v>831</v>
      </c>
      <c r="I1122" s="81"/>
      <c r="J1122" s="10">
        <f>'Messages Dictionary'!J538</f>
        <v>0</v>
      </c>
      <c r="K1122" s="81"/>
      <c r="L1122" s="29"/>
      <c r="M1122" s="29"/>
      <c r="N1122" s="23"/>
      <c r="O1122" s="23"/>
      <c r="P1122" s="23"/>
      <c r="Q1122" s="23"/>
      <c r="R1122" s="23"/>
      <c r="S1122" s="23"/>
      <c r="T1122" s="23"/>
      <c r="U1122" s="23"/>
      <c r="V1122" s="23"/>
      <c r="W1122" s="23"/>
      <c r="X1122" s="23"/>
      <c r="Y1122" s="23"/>
      <c r="Z1122" s="23"/>
      <c r="AA1122" s="23"/>
      <c r="AB1122" s="23"/>
      <c r="AC1122" s="23"/>
      <c r="AD1122" s="23"/>
      <c r="AE1122" s="23"/>
      <c r="AF1122" s="23"/>
      <c r="AG1122" s="23"/>
      <c r="AH1122" s="23"/>
      <c r="AI1122" s="23"/>
      <c r="AJ1122" s="23"/>
      <c r="AK1122" s="23"/>
      <c r="AL1122" s="23"/>
      <c r="AM1122" s="23"/>
      <c r="AN1122" s="23"/>
      <c r="AO1122" s="23"/>
      <c r="AP1122" s="23"/>
      <c r="AQ1122" s="23"/>
      <c r="AR1122" s="23"/>
      <c r="AS1122" s="23">
        <f t="shared" si="18"/>
        <v>0</v>
      </c>
    </row>
    <row r="1123" spans="1:45" s="27" customFormat="1" ht="42.75" hidden="1" x14ac:dyDescent="0.2">
      <c r="A1123" s="28">
        <v>3212</v>
      </c>
      <c r="B1123" s="9" t="s">
        <v>377</v>
      </c>
      <c r="C1123" s="9" t="s">
        <v>378</v>
      </c>
      <c r="D1123" s="9" t="s">
        <v>404</v>
      </c>
      <c r="E1123" s="9" t="s">
        <v>404</v>
      </c>
      <c r="F1123" s="9" t="s">
        <v>199</v>
      </c>
      <c r="G1123" s="9" t="s">
        <v>809</v>
      </c>
      <c r="H1123" s="9" t="s">
        <v>831</v>
      </c>
      <c r="I1123" s="81"/>
      <c r="J1123" s="10">
        <f>'Messages Dictionary'!J539</f>
        <v>0.5</v>
      </c>
      <c r="K1123" s="81"/>
      <c r="L1123" s="29"/>
      <c r="M1123" s="29"/>
      <c r="N1123" s="23"/>
      <c r="O1123" s="23"/>
      <c r="P1123" s="23"/>
      <c r="Q1123" s="23"/>
      <c r="R1123" s="23"/>
      <c r="S1123" s="23"/>
      <c r="T1123" s="23"/>
      <c r="U1123" s="23"/>
      <c r="V1123" s="23"/>
      <c r="W1123" s="23"/>
      <c r="X1123" s="23"/>
      <c r="Y1123" s="23"/>
      <c r="Z1123" s="23"/>
      <c r="AA1123" s="23"/>
      <c r="AB1123" s="23"/>
      <c r="AC1123" s="23"/>
      <c r="AD1123" s="23"/>
      <c r="AE1123" s="23"/>
      <c r="AF1123" s="23"/>
      <c r="AG1123" s="23"/>
      <c r="AH1123" s="23"/>
      <c r="AI1123" s="23"/>
      <c r="AJ1123" s="23"/>
      <c r="AK1123" s="23"/>
      <c r="AL1123" s="23"/>
      <c r="AM1123" s="23"/>
      <c r="AN1123" s="23"/>
      <c r="AO1123" s="23"/>
      <c r="AP1123" s="23"/>
      <c r="AQ1123" s="23"/>
      <c r="AR1123" s="23"/>
      <c r="AS1123" s="23">
        <f t="shared" ref="AS1123:AS1186" si="19">AS524*$J1123</f>
        <v>0</v>
      </c>
    </row>
    <row r="1124" spans="1:45" s="27" customFormat="1" ht="71.25" hidden="1" x14ac:dyDescent="0.2">
      <c r="A1124" s="28">
        <v>3213</v>
      </c>
      <c r="B1124" s="9" t="s">
        <v>379</v>
      </c>
      <c r="C1124" s="9" t="s">
        <v>380</v>
      </c>
      <c r="D1124" s="9" t="s">
        <v>404</v>
      </c>
      <c r="E1124" s="9" t="s">
        <v>404</v>
      </c>
      <c r="F1124" s="9" t="s">
        <v>199</v>
      </c>
      <c r="G1124" s="9" t="s">
        <v>809</v>
      </c>
      <c r="H1124" s="9" t="s">
        <v>831</v>
      </c>
      <c r="I1124" s="81"/>
      <c r="J1124" s="10">
        <f>'Messages Dictionary'!J540</f>
        <v>0.5</v>
      </c>
      <c r="K1124" s="81"/>
      <c r="L1124" s="29"/>
      <c r="M1124" s="29"/>
      <c r="N1124" s="23"/>
      <c r="O1124" s="23"/>
      <c r="P1124" s="23"/>
      <c r="Q1124" s="23"/>
      <c r="R1124" s="23"/>
      <c r="S1124" s="23"/>
      <c r="T1124" s="23"/>
      <c r="U1124" s="23"/>
      <c r="V1124" s="23"/>
      <c r="W1124" s="23"/>
      <c r="X1124" s="23"/>
      <c r="Y1124" s="23"/>
      <c r="Z1124" s="23"/>
      <c r="AA1124" s="23"/>
      <c r="AB1124" s="23"/>
      <c r="AC1124" s="23"/>
      <c r="AD1124" s="23"/>
      <c r="AE1124" s="23"/>
      <c r="AF1124" s="23"/>
      <c r="AG1124" s="23"/>
      <c r="AH1124" s="23"/>
      <c r="AI1124" s="23"/>
      <c r="AJ1124" s="23"/>
      <c r="AK1124" s="23"/>
      <c r="AL1124" s="23"/>
      <c r="AM1124" s="23"/>
      <c r="AN1124" s="23"/>
      <c r="AO1124" s="23"/>
      <c r="AP1124" s="23"/>
      <c r="AQ1124" s="23"/>
      <c r="AR1124" s="23"/>
      <c r="AS1124" s="23">
        <f t="shared" si="19"/>
        <v>0</v>
      </c>
    </row>
    <row r="1125" spans="1:45" s="27" customFormat="1" ht="42.75" hidden="1" x14ac:dyDescent="0.2">
      <c r="A1125" s="28">
        <v>3214</v>
      </c>
      <c r="B1125" s="9" t="s">
        <v>487</v>
      </c>
      <c r="C1125" s="9" t="s">
        <v>488</v>
      </c>
      <c r="D1125" s="9" t="s">
        <v>404</v>
      </c>
      <c r="E1125" s="9" t="s">
        <v>404</v>
      </c>
      <c r="F1125" s="9" t="s">
        <v>199</v>
      </c>
      <c r="G1125" s="9" t="s">
        <v>809</v>
      </c>
      <c r="H1125" s="9" t="s">
        <v>831</v>
      </c>
      <c r="I1125" s="81"/>
      <c r="J1125" s="10">
        <f>'Messages Dictionary'!J541</f>
        <v>0.5</v>
      </c>
      <c r="K1125" s="81"/>
      <c r="L1125" s="29"/>
      <c r="M1125" s="29"/>
      <c r="N1125" s="23"/>
      <c r="O1125" s="23"/>
      <c r="P1125" s="23"/>
      <c r="Q1125" s="23"/>
      <c r="R1125" s="23"/>
      <c r="S1125" s="23"/>
      <c r="T1125" s="23"/>
      <c r="U1125" s="23"/>
      <c r="V1125" s="23"/>
      <c r="W1125" s="23"/>
      <c r="X1125" s="23"/>
      <c r="Y1125" s="23"/>
      <c r="Z1125" s="23"/>
      <c r="AA1125" s="23"/>
      <c r="AB1125" s="23"/>
      <c r="AC1125" s="23"/>
      <c r="AD1125" s="23"/>
      <c r="AE1125" s="23"/>
      <c r="AF1125" s="23"/>
      <c r="AG1125" s="23"/>
      <c r="AH1125" s="23"/>
      <c r="AI1125" s="23"/>
      <c r="AJ1125" s="23"/>
      <c r="AK1125" s="23"/>
      <c r="AL1125" s="23"/>
      <c r="AM1125" s="23"/>
      <c r="AN1125" s="23"/>
      <c r="AO1125" s="23"/>
      <c r="AP1125" s="23"/>
      <c r="AQ1125" s="23"/>
      <c r="AR1125" s="23"/>
      <c r="AS1125" s="23">
        <f t="shared" si="19"/>
        <v>0</v>
      </c>
    </row>
    <row r="1126" spans="1:45" s="27" customFormat="1" ht="42.75" hidden="1" x14ac:dyDescent="0.2">
      <c r="A1126" s="28">
        <v>3215</v>
      </c>
      <c r="B1126" s="9" t="s">
        <v>489</v>
      </c>
      <c r="C1126" s="9" t="s">
        <v>490</v>
      </c>
      <c r="D1126" s="9" t="s">
        <v>234</v>
      </c>
      <c r="E1126" s="9" t="s">
        <v>702</v>
      </c>
      <c r="F1126" s="9" t="s">
        <v>199</v>
      </c>
      <c r="G1126" s="9" t="s">
        <v>809</v>
      </c>
      <c r="H1126" s="9" t="s">
        <v>831</v>
      </c>
      <c r="I1126" s="81"/>
      <c r="J1126" s="10">
        <f>'Messages Dictionary'!J542</f>
        <v>0</v>
      </c>
      <c r="K1126" s="81"/>
      <c r="L1126" s="29"/>
      <c r="M1126" s="29"/>
      <c r="N1126" s="23"/>
      <c r="O1126" s="23"/>
      <c r="P1126" s="23"/>
      <c r="Q1126" s="23"/>
      <c r="R1126" s="23"/>
      <c r="S1126" s="23"/>
      <c r="T1126" s="23"/>
      <c r="U1126" s="23"/>
      <c r="V1126" s="23"/>
      <c r="W1126" s="23"/>
      <c r="X1126" s="23"/>
      <c r="Y1126" s="23"/>
      <c r="Z1126" s="23"/>
      <c r="AA1126" s="23"/>
      <c r="AB1126" s="23"/>
      <c r="AC1126" s="23"/>
      <c r="AD1126" s="23"/>
      <c r="AE1126" s="23"/>
      <c r="AF1126" s="23"/>
      <c r="AG1126" s="23"/>
      <c r="AH1126" s="23"/>
      <c r="AI1126" s="23"/>
      <c r="AJ1126" s="23"/>
      <c r="AK1126" s="23"/>
      <c r="AL1126" s="23"/>
      <c r="AM1126" s="23"/>
      <c r="AN1126" s="23"/>
      <c r="AO1126" s="23"/>
      <c r="AP1126" s="23"/>
      <c r="AQ1126" s="23"/>
      <c r="AR1126" s="23"/>
      <c r="AS1126" s="23">
        <f t="shared" si="19"/>
        <v>0</v>
      </c>
    </row>
    <row r="1127" spans="1:45" s="27" customFormat="1" ht="42.75" hidden="1" x14ac:dyDescent="0.2">
      <c r="A1127" s="28">
        <v>4000</v>
      </c>
      <c r="B1127" s="9" t="s">
        <v>598</v>
      </c>
      <c r="C1127" s="9" t="s">
        <v>599</v>
      </c>
      <c r="D1127" s="9" t="s">
        <v>863</v>
      </c>
      <c r="E1127" s="9" t="s">
        <v>319</v>
      </c>
      <c r="F1127" s="9" t="s">
        <v>200</v>
      </c>
      <c r="G1127" s="9" t="s">
        <v>809</v>
      </c>
      <c r="H1127" s="9" t="s">
        <v>831</v>
      </c>
      <c r="I1127" s="81"/>
      <c r="J1127" s="10">
        <f>'Messages Dictionary'!J545</f>
        <v>0.1</v>
      </c>
      <c r="K1127" s="81"/>
      <c r="L1127" s="29"/>
      <c r="M1127" s="29"/>
      <c r="N1127" s="23"/>
      <c r="O1127" s="23"/>
      <c r="P1127" s="23"/>
      <c r="Q1127" s="23"/>
      <c r="R1127" s="23"/>
      <c r="S1127" s="23"/>
      <c r="T1127" s="23"/>
      <c r="U1127" s="23"/>
      <c r="V1127" s="23"/>
      <c r="W1127" s="23"/>
      <c r="X1127" s="23"/>
      <c r="Y1127" s="23"/>
      <c r="Z1127" s="23"/>
      <c r="AA1127" s="23"/>
      <c r="AB1127" s="23"/>
      <c r="AC1127" s="23"/>
      <c r="AD1127" s="23"/>
      <c r="AE1127" s="23"/>
      <c r="AF1127" s="23"/>
      <c r="AG1127" s="23"/>
      <c r="AH1127" s="23"/>
      <c r="AI1127" s="23"/>
      <c r="AJ1127" s="23"/>
      <c r="AK1127" s="23"/>
      <c r="AL1127" s="23"/>
      <c r="AM1127" s="23"/>
      <c r="AN1127" s="23"/>
      <c r="AO1127" s="23"/>
      <c r="AP1127" s="23"/>
      <c r="AQ1127" s="23"/>
      <c r="AR1127" s="23"/>
      <c r="AS1127" s="23">
        <f t="shared" si="19"/>
        <v>0</v>
      </c>
    </row>
    <row r="1128" spans="1:45" s="27" customFormat="1" ht="28.5" hidden="1" x14ac:dyDescent="0.2">
      <c r="A1128" s="28">
        <v>4004</v>
      </c>
      <c r="B1128" s="9" t="s">
        <v>491</v>
      </c>
      <c r="C1128" s="9" t="s">
        <v>492</v>
      </c>
      <c r="D1128" s="9" t="s">
        <v>863</v>
      </c>
      <c r="E1128" s="9" t="s">
        <v>319</v>
      </c>
      <c r="F1128" s="9" t="s">
        <v>199</v>
      </c>
      <c r="G1128" s="9" t="s">
        <v>412</v>
      </c>
      <c r="H1128" s="9" t="s">
        <v>831</v>
      </c>
      <c r="I1128" s="81"/>
      <c r="J1128" s="10">
        <f>'Messages Dictionary'!J546</f>
        <v>0.5</v>
      </c>
      <c r="K1128" s="81"/>
      <c r="L1128" s="29"/>
      <c r="M1128" s="29"/>
      <c r="N1128" s="23"/>
      <c r="O1128" s="23"/>
      <c r="P1128" s="23"/>
      <c r="Q1128" s="23"/>
      <c r="R1128" s="23"/>
      <c r="S1128" s="23"/>
      <c r="T1128" s="23"/>
      <c r="U1128" s="23"/>
      <c r="V1128" s="23"/>
      <c r="W1128" s="23"/>
      <c r="X1128" s="23"/>
      <c r="Y1128" s="23"/>
      <c r="Z1128" s="23"/>
      <c r="AA1128" s="23"/>
      <c r="AB1128" s="23"/>
      <c r="AC1128" s="23"/>
      <c r="AD1128" s="23"/>
      <c r="AE1128" s="23"/>
      <c r="AF1128" s="23"/>
      <c r="AG1128" s="23"/>
      <c r="AH1128" s="23"/>
      <c r="AI1128" s="23"/>
      <c r="AJ1128" s="23"/>
      <c r="AK1128" s="23"/>
      <c r="AL1128" s="23"/>
      <c r="AM1128" s="23"/>
      <c r="AN1128" s="23"/>
      <c r="AO1128" s="23"/>
      <c r="AP1128" s="23"/>
      <c r="AQ1128" s="23"/>
      <c r="AR1128" s="23"/>
      <c r="AS1128" s="23">
        <f t="shared" si="19"/>
        <v>0</v>
      </c>
    </row>
    <row r="1129" spans="1:45" s="27" customFormat="1" hidden="1" x14ac:dyDescent="0.2">
      <c r="A1129" s="28">
        <v>4005</v>
      </c>
      <c r="B1129" s="9" t="s">
        <v>600</v>
      </c>
      <c r="C1129" s="9" t="s">
        <v>601</v>
      </c>
      <c r="D1129" s="9" t="s">
        <v>863</v>
      </c>
      <c r="E1129" s="9" t="s">
        <v>319</v>
      </c>
      <c r="F1129" s="9" t="s">
        <v>200</v>
      </c>
      <c r="G1129" s="9" t="s">
        <v>809</v>
      </c>
      <c r="H1129" s="9" t="s">
        <v>831</v>
      </c>
      <c r="I1129" s="81"/>
      <c r="J1129" s="10">
        <f>'Messages Dictionary'!J547</f>
        <v>0.3</v>
      </c>
      <c r="K1129" s="81"/>
      <c r="L1129" s="29"/>
      <c r="M1129" s="29"/>
      <c r="N1129" s="23"/>
      <c r="O1129" s="23"/>
      <c r="P1129" s="23"/>
      <c r="Q1129" s="23"/>
      <c r="R1129" s="23"/>
      <c r="S1129" s="23"/>
      <c r="T1129" s="23"/>
      <c r="U1129" s="23"/>
      <c r="V1129" s="23"/>
      <c r="W1129" s="23"/>
      <c r="X1129" s="23"/>
      <c r="Y1129" s="23"/>
      <c r="Z1129" s="23"/>
      <c r="AA1129" s="23"/>
      <c r="AB1129" s="23"/>
      <c r="AC1129" s="23"/>
      <c r="AD1129" s="23"/>
      <c r="AE1129" s="23"/>
      <c r="AF1129" s="23"/>
      <c r="AG1129" s="23"/>
      <c r="AH1129" s="23"/>
      <c r="AI1129" s="23"/>
      <c r="AJ1129" s="23"/>
      <c r="AK1129" s="23"/>
      <c r="AL1129" s="23"/>
      <c r="AM1129" s="23"/>
      <c r="AN1129" s="23"/>
      <c r="AO1129" s="23"/>
      <c r="AP1129" s="23"/>
      <c r="AQ1129" s="23"/>
      <c r="AR1129" s="23"/>
      <c r="AS1129" s="23">
        <f t="shared" si="19"/>
        <v>0</v>
      </c>
    </row>
    <row r="1130" spans="1:45" s="27" customFormat="1" hidden="1" x14ac:dyDescent="0.2">
      <c r="A1130" s="28">
        <v>4006</v>
      </c>
      <c r="B1130" s="9" t="s">
        <v>602</v>
      </c>
      <c r="C1130" s="9" t="s">
        <v>602</v>
      </c>
      <c r="D1130" s="9" t="s">
        <v>863</v>
      </c>
      <c r="E1130" s="9" t="s">
        <v>319</v>
      </c>
      <c r="F1130" s="9" t="s">
        <v>199</v>
      </c>
      <c r="G1130" s="9" t="s">
        <v>809</v>
      </c>
      <c r="H1130" s="9" t="s">
        <v>831</v>
      </c>
      <c r="I1130" s="81"/>
      <c r="J1130" s="10">
        <f>'Messages Dictionary'!J548</f>
        <v>0</v>
      </c>
      <c r="K1130" s="81"/>
      <c r="L1130" s="29"/>
      <c r="M1130" s="29"/>
      <c r="N1130" s="23"/>
      <c r="O1130" s="23"/>
      <c r="P1130" s="23"/>
      <c r="Q1130" s="23"/>
      <c r="R1130" s="23"/>
      <c r="S1130" s="23"/>
      <c r="T1130" s="23"/>
      <c r="U1130" s="23"/>
      <c r="V1130" s="23"/>
      <c r="W1130" s="23"/>
      <c r="X1130" s="23"/>
      <c r="Y1130" s="23"/>
      <c r="Z1130" s="23"/>
      <c r="AA1130" s="23"/>
      <c r="AB1130" s="23"/>
      <c r="AC1130" s="23"/>
      <c r="AD1130" s="23"/>
      <c r="AE1130" s="23"/>
      <c r="AF1130" s="23"/>
      <c r="AG1130" s="23"/>
      <c r="AH1130" s="23"/>
      <c r="AI1130" s="23"/>
      <c r="AJ1130" s="23"/>
      <c r="AK1130" s="23"/>
      <c r="AL1130" s="23"/>
      <c r="AM1130" s="23"/>
      <c r="AN1130" s="23"/>
      <c r="AO1130" s="23"/>
      <c r="AP1130" s="23"/>
      <c r="AQ1130" s="23"/>
      <c r="AR1130" s="23"/>
      <c r="AS1130" s="23">
        <f t="shared" si="19"/>
        <v>0</v>
      </c>
    </row>
    <row r="1131" spans="1:45" s="27" customFormat="1" ht="42.75" hidden="1" x14ac:dyDescent="0.2">
      <c r="A1131" s="28">
        <v>4007</v>
      </c>
      <c r="B1131" s="9" t="s">
        <v>603</v>
      </c>
      <c r="C1131" s="9" t="s">
        <v>604</v>
      </c>
      <c r="D1131" s="9" t="s">
        <v>821</v>
      </c>
      <c r="E1131" s="9" t="s">
        <v>27</v>
      </c>
      <c r="F1131" s="9" t="s">
        <v>199</v>
      </c>
      <c r="G1131" s="9" t="s">
        <v>809</v>
      </c>
      <c r="H1131" s="9" t="s">
        <v>831</v>
      </c>
      <c r="I1131" s="81"/>
      <c r="J1131" s="10">
        <f>'Messages Dictionary'!J549</f>
        <v>0</v>
      </c>
      <c r="K1131" s="81"/>
      <c r="L1131" s="29"/>
      <c r="M1131" s="29"/>
      <c r="N1131" s="23"/>
      <c r="O1131" s="23"/>
      <c r="P1131" s="23"/>
      <c r="Q1131" s="23"/>
      <c r="R1131" s="23"/>
      <c r="S1131" s="23"/>
      <c r="T1131" s="23"/>
      <c r="U1131" s="23"/>
      <c r="V1131" s="23"/>
      <c r="W1131" s="23"/>
      <c r="X1131" s="23"/>
      <c r="Y1131" s="23"/>
      <c r="Z1131" s="23"/>
      <c r="AA1131" s="23"/>
      <c r="AB1131" s="23"/>
      <c r="AC1131" s="23"/>
      <c r="AD1131" s="23"/>
      <c r="AE1131" s="23"/>
      <c r="AF1131" s="23"/>
      <c r="AG1131" s="23"/>
      <c r="AH1131" s="23"/>
      <c r="AI1131" s="23"/>
      <c r="AJ1131" s="23"/>
      <c r="AK1131" s="23"/>
      <c r="AL1131" s="23"/>
      <c r="AM1131" s="23"/>
      <c r="AN1131" s="23"/>
      <c r="AO1131" s="23"/>
      <c r="AP1131" s="23"/>
      <c r="AQ1131" s="23"/>
      <c r="AR1131" s="23"/>
      <c r="AS1131" s="23">
        <f t="shared" si="19"/>
        <v>0</v>
      </c>
    </row>
    <row r="1132" spans="1:45" s="27" customFormat="1" ht="28.5" hidden="1" x14ac:dyDescent="0.2">
      <c r="A1132" s="28">
        <v>4015</v>
      </c>
      <c r="B1132" s="9" t="s">
        <v>605</v>
      </c>
      <c r="C1132" s="9" t="s">
        <v>606</v>
      </c>
      <c r="D1132" s="9" t="s">
        <v>863</v>
      </c>
      <c r="E1132" s="9" t="s">
        <v>319</v>
      </c>
      <c r="F1132" s="9" t="s">
        <v>199</v>
      </c>
      <c r="G1132" s="9" t="s">
        <v>412</v>
      </c>
      <c r="H1132" s="9" t="s">
        <v>831</v>
      </c>
      <c r="I1132" s="81"/>
      <c r="J1132" s="10">
        <f>'Messages Dictionary'!J550</f>
        <v>0.5</v>
      </c>
      <c r="K1132" s="81"/>
      <c r="L1132" s="29"/>
      <c r="M1132" s="29"/>
      <c r="N1132" s="23"/>
      <c r="O1132" s="23"/>
      <c r="P1132" s="23"/>
      <c r="Q1132" s="23"/>
      <c r="R1132" s="23"/>
      <c r="S1132" s="23"/>
      <c r="T1132" s="23"/>
      <c r="U1132" s="23"/>
      <c r="V1132" s="23"/>
      <c r="W1132" s="23"/>
      <c r="X1132" s="23"/>
      <c r="Y1132" s="23"/>
      <c r="Z1132" s="23"/>
      <c r="AA1132" s="23"/>
      <c r="AB1132" s="23"/>
      <c r="AC1132" s="23"/>
      <c r="AD1132" s="23"/>
      <c r="AE1132" s="23"/>
      <c r="AF1132" s="23"/>
      <c r="AG1132" s="23"/>
      <c r="AH1132" s="23"/>
      <c r="AI1132" s="23"/>
      <c r="AJ1132" s="23"/>
      <c r="AK1132" s="23"/>
      <c r="AL1132" s="23"/>
      <c r="AM1132" s="23"/>
      <c r="AN1132" s="23"/>
      <c r="AO1132" s="23"/>
      <c r="AP1132" s="23"/>
      <c r="AQ1132" s="23"/>
      <c r="AR1132" s="23"/>
      <c r="AS1132" s="23">
        <f t="shared" si="19"/>
        <v>0</v>
      </c>
    </row>
    <row r="1133" spans="1:45" s="27" customFormat="1" ht="28.5" hidden="1" x14ac:dyDescent="0.2">
      <c r="A1133" s="28">
        <v>4020</v>
      </c>
      <c r="B1133" s="9" t="s">
        <v>607</v>
      </c>
      <c r="C1133" s="9" t="s">
        <v>608</v>
      </c>
      <c r="D1133" s="9" t="s">
        <v>863</v>
      </c>
      <c r="E1133" s="9" t="s">
        <v>319</v>
      </c>
      <c r="F1133" s="9" t="s">
        <v>199</v>
      </c>
      <c r="G1133" s="9" t="s">
        <v>412</v>
      </c>
      <c r="H1133" s="9" t="s">
        <v>831</v>
      </c>
      <c r="I1133" s="81"/>
      <c r="J1133" s="10">
        <f>'Messages Dictionary'!J551</f>
        <v>1</v>
      </c>
      <c r="K1133" s="81"/>
      <c r="L1133" s="29"/>
      <c r="M1133" s="29"/>
      <c r="N1133" s="23"/>
      <c r="O1133" s="23"/>
      <c r="P1133" s="23"/>
      <c r="Q1133" s="23"/>
      <c r="R1133" s="23"/>
      <c r="S1133" s="23"/>
      <c r="T1133" s="23"/>
      <c r="U1133" s="23"/>
      <c r="V1133" s="23"/>
      <c r="W1133" s="23"/>
      <c r="X1133" s="23"/>
      <c r="Y1133" s="23"/>
      <c r="Z1133" s="23"/>
      <c r="AA1133" s="23"/>
      <c r="AB1133" s="23"/>
      <c r="AC1133" s="23"/>
      <c r="AD1133" s="23"/>
      <c r="AE1133" s="23"/>
      <c r="AF1133" s="23"/>
      <c r="AG1133" s="23"/>
      <c r="AH1133" s="23"/>
      <c r="AI1133" s="23"/>
      <c r="AJ1133" s="23"/>
      <c r="AK1133" s="23"/>
      <c r="AL1133" s="23"/>
      <c r="AM1133" s="23"/>
      <c r="AN1133" s="23"/>
      <c r="AO1133" s="23"/>
      <c r="AP1133" s="23"/>
      <c r="AQ1133" s="23"/>
      <c r="AR1133" s="23"/>
      <c r="AS1133" s="23">
        <f t="shared" si="19"/>
        <v>0</v>
      </c>
    </row>
    <row r="1134" spans="1:45" s="27" customFormat="1" ht="28.5" hidden="1" x14ac:dyDescent="0.2">
      <c r="A1134" s="28">
        <v>4025</v>
      </c>
      <c r="B1134" s="9" t="s">
        <v>609</v>
      </c>
      <c r="C1134" s="9" t="s">
        <v>610</v>
      </c>
      <c r="D1134" s="9" t="s">
        <v>4</v>
      </c>
      <c r="E1134" s="9" t="s">
        <v>5</v>
      </c>
      <c r="F1134" s="9" t="s">
        <v>200</v>
      </c>
      <c r="G1134" s="9" t="s">
        <v>809</v>
      </c>
      <c r="H1134" s="9" t="s">
        <v>831</v>
      </c>
      <c r="I1134" s="81"/>
      <c r="J1134" s="10">
        <f>'Messages Dictionary'!J552</f>
        <v>0</v>
      </c>
      <c r="K1134" s="81"/>
      <c r="L1134" s="29"/>
      <c r="M1134" s="29"/>
      <c r="N1134" s="23"/>
      <c r="O1134" s="23"/>
      <c r="P1134" s="23"/>
      <c r="Q1134" s="23"/>
      <c r="R1134" s="23"/>
      <c r="S1134" s="23"/>
      <c r="T1134" s="23"/>
      <c r="U1134" s="23"/>
      <c r="V1134" s="23"/>
      <c r="W1134" s="23"/>
      <c r="X1134" s="23"/>
      <c r="Y1134" s="23"/>
      <c r="Z1134" s="23"/>
      <c r="AA1134" s="23"/>
      <c r="AB1134" s="23"/>
      <c r="AC1134" s="23"/>
      <c r="AD1134" s="23"/>
      <c r="AE1134" s="23"/>
      <c r="AF1134" s="23"/>
      <c r="AG1134" s="23"/>
      <c r="AH1134" s="23"/>
      <c r="AI1134" s="23"/>
      <c r="AJ1134" s="23"/>
      <c r="AK1134" s="23"/>
      <c r="AL1134" s="23"/>
      <c r="AM1134" s="23"/>
      <c r="AN1134" s="23"/>
      <c r="AO1134" s="23"/>
      <c r="AP1134" s="23"/>
      <c r="AQ1134" s="23"/>
      <c r="AR1134" s="23"/>
      <c r="AS1134" s="23">
        <f t="shared" si="19"/>
        <v>0</v>
      </c>
    </row>
    <row r="1135" spans="1:45" s="27" customFormat="1" hidden="1" x14ac:dyDescent="0.2">
      <c r="A1135" s="28">
        <v>4030</v>
      </c>
      <c r="B1135" s="9" t="s">
        <v>611</v>
      </c>
      <c r="C1135" s="9" t="s">
        <v>612</v>
      </c>
      <c r="D1135" s="9" t="s">
        <v>4</v>
      </c>
      <c r="E1135" s="9" t="s">
        <v>14</v>
      </c>
      <c r="F1135" s="9" t="s">
        <v>200</v>
      </c>
      <c r="G1135" s="9" t="s">
        <v>809</v>
      </c>
      <c r="H1135" s="9" t="s">
        <v>831</v>
      </c>
      <c r="I1135" s="81"/>
      <c r="J1135" s="10">
        <f>'Messages Dictionary'!J553</f>
        <v>0</v>
      </c>
      <c r="K1135" s="81"/>
      <c r="L1135" s="29"/>
      <c r="M1135" s="29"/>
      <c r="N1135" s="23"/>
      <c r="O1135" s="23"/>
      <c r="P1135" s="23"/>
      <c r="Q1135" s="23"/>
      <c r="R1135" s="23"/>
      <c r="S1135" s="23"/>
      <c r="T1135" s="23"/>
      <c r="U1135" s="23"/>
      <c r="V1135" s="23"/>
      <c r="W1135" s="23"/>
      <c r="X1135" s="23"/>
      <c r="Y1135" s="23"/>
      <c r="Z1135" s="23"/>
      <c r="AA1135" s="23"/>
      <c r="AB1135" s="23"/>
      <c r="AC1135" s="23"/>
      <c r="AD1135" s="23"/>
      <c r="AE1135" s="23"/>
      <c r="AF1135" s="23"/>
      <c r="AG1135" s="23"/>
      <c r="AH1135" s="23"/>
      <c r="AI1135" s="23"/>
      <c r="AJ1135" s="23"/>
      <c r="AK1135" s="23"/>
      <c r="AL1135" s="23"/>
      <c r="AM1135" s="23"/>
      <c r="AN1135" s="23"/>
      <c r="AO1135" s="23"/>
      <c r="AP1135" s="23"/>
      <c r="AQ1135" s="23"/>
      <c r="AR1135" s="23"/>
      <c r="AS1135" s="23">
        <f t="shared" si="19"/>
        <v>0</v>
      </c>
    </row>
    <row r="1136" spans="1:45" s="27" customFormat="1" ht="28.5" hidden="1" x14ac:dyDescent="0.2">
      <c r="A1136" s="28">
        <v>4035</v>
      </c>
      <c r="B1136" s="9" t="s">
        <v>613</v>
      </c>
      <c r="C1136" s="9" t="s">
        <v>614</v>
      </c>
      <c r="D1136" s="9" t="s">
        <v>860</v>
      </c>
      <c r="E1136" s="9" t="s">
        <v>40</v>
      </c>
      <c r="F1136" s="9" t="s">
        <v>200</v>
      </c>
      <c r="G1136" s="9" t="s">
        <v>809</v>
      </c>
      <c r="H1136" s="9" t="s">
        <v>831</v>
      </c>
      <c r="I1136" s="81"/>
      <c r="J1136" s="10">
        <f>'Messages Dictionary'!J554</f>
        <v>0</v>
      </c>
      <c r="K1136" s="81"/>
      <c r="L1136" s="29"/>
      <c r="M1136" s="29"/>
      <c r="N1136" s="23"/>
      <c r="O1136" s="23"/>
      <c r="P1136" s="23"/>
      <c r="Q1136" s="23"/>
      <c r="R1136" s="23"/>
      <c r="S1136" s="23"/>
      <c r="T1136" s="23"/>
      <c r="U1136" s="23"/>
      <c r="V1136" s="23"/>
      <c r="W1136" s="23"/>
      <c r="X1136" s="23"/>
      <c r="Y1136" s="23"/>
      <c r="Z1136" s="23"/>
      <c r="AA1136" s="23"/>
      <c r="AB1136" s="23"/>
      <c r="AC1136" s="23"/>
      <c r="AD1136" s="23"/>
      <c r="AE1136" s="23"/>
      <c r="AF1136" s="23"/>
      <c r="AG1136" s="23"/>
      <c r="AH1136" s="23"/>
      <c r="AI1136" s="23"/>
      <c r="AJ1136" s="23"/>
      <c r="AK1136" s="23"/>
      <c r="AL1136" s="23"/>
      <c r="AM1136" s="23"/>
      <c r="AN1136" s="23"/>
      <c r="AO1136" s="23"/>
      <c r="AP1136" s="23"/>
      <c r="AQ1136" s="23"/>
      <c r="AR1136" s="23"/>
      <c r="AS1136" s="23">
        <f t="shared" si="19"/>
        <v>0</v>
      </c>
    </row>
    <row r="1137" spans="1:45" s="27" customFormat="1" ht="28.5" hidden="1" x14ac:dyDescent="0.2">
      <c r="A1137" s="28">
        <v>4040</v>
      </c>
      <c r="B1137" s="9" t="s">
        <v>615</v>
      </c>
      <c r="C1137" s="9" t="s">
        <v>616</v>
      </c>
      <c r="D1137" s="9" t="s">
        <v>860</v>
      </c>
      <c r="E1137" s="9" t="s">
        <v>30</v>
      </c>
      <c r="F1137" s="9" t="s">
        <v>200</v>
      </c>
      <c r="G1137" s="9" t="s">
        <v>809</v>
      </c>
      <c r="H1137" s="9" t="s">
        <v>831</v>
      </c>
      <c r="I1137" s="81"/>
      <c r="J1137" s="10">
        <f>'Messages Dictionary'!J555</f>
        <v>0</v>
      </c>
      <c r="K1137" s="81"/>
      <c r="L1137" s="29"/>
      <c r="M1137" s="29"/>
      <c r="N1137" s="23"/>
      <c r="O1137" s="23"/>
      <c r="P1137" s="23"/>
      <c r="Q1137" s="23"/>
      <c r="R1137" s="23"/>
      <c r="S1137" s="23"/>
      <c r="T1137" s="23"/>
      <c r="U1137" s="23"/>
      <c r="V1137" s="23"/>
      <c r="W1137" s="23"/>
      <c r="X1137" s="23"/>
      <c r="Y1137" s="23"/>
      <c r="Z1137" s="23"/>
      <c r="AA1137" s="23"/>
      <c r="AB1137" s="23"/>
      <c r="AC1137" s="23"/>
      <c r="AD1137" s="23"/>
      <c r="AE1137" s="23"/>
      <c r="AF1137" s="23"/>
      <c r="AG1137" s="23"/>
      <c r="AH1137" s="23"/>
      <c r="AI1137" s="23"/>
      <c r="AJ1137" s="23"/>
      <c r="AK1137" s="23"/>
      <c r="AL1137" s="23"/>
      <c r="AM1137" s="23"/>
      <c r="AN1137" s="23"/>
      <c r="AO1137" s="23"/>
      <c r="AP1137" s="23"/>
      <c r="AQ1137" s="23"/>
      <c r="AR1137" s="23"/>
      <c r="AS1137" s="23">
        <f t="shared" si="19"/>
        <v>0</v>
      </c>
    </row>
    <row r="1138" spans="1:45" s="27" customFormat="1" ht="28.5" hidden="1" x14ac:dyDescent="0.2">
      <c r="A1138" s="28">
        <v>4050</v>
      </c>
      <c r="B1138" s="9" t="s">
        <v>617</v>
      </c>
      <c r="C1138" s="9" t="s">
        <v>618</v>
      </c>
      <c r="D1138" s="9" t="s">
        <v>4</v>
      </c>
      <c r="E1138" s="9" t="s">
        <v>18</v>
      </c>
      <c r="F1138" s="9" t="s">
        <v>200</v>
      </c>
      <c r="G1138" s="9" t="s">
        <v>809</v>
      </c>
      <c r="H1138" s="9" t="s">
        <v>831</v>
      </c>
      <c r="I1138" s="81"/>
      <c r="J1138" s="10">
        <f>'Messages Dictionary'!J556</f>
        <v>0</v>
      </c>
      <c r="K1138" s="81"/>
      <c r="L1138" s="29"/>
      <c r="M1138" s="29"/>
      <c r="N1138" s="23"/>
      <c r="O1138" s="23"/>
      <c r="P1138" s="23"/>
      <c r="Q1138" s="23"/>
      <c r="R1138" s="23"/>
      <c r="S1138" s="23"/>
      <c r="T1138" s="23"/>
      <c r="U1138" s="23"/>
      <c r="V1138" s="23"/>
      <c r="W1138" s="23"/>
      <c r="X1138" s="23"/>
      <c r="Y1138" s="23"/>
      <c r="Z1138" s="23"/>
      <c r="AA1138" s="23"/>
      <c r="AB1138" s="23"/>
      <c r="AC1138" s="23"/>
      <c r="AD1138" s="23"/>
      <c r="AE1138" s="23"/>
      <c r="AF1138" s="23"/>
      <c r="AG1138" s="23"/>
      <c r="AH1138" s="23"/>
      <c r="AI1138" s="23"/>
      <c r="AJ1138" s="23"/>
      <c r="AK1138" s="23"/>
      <c r="AL1138" s="23"/>
      <c r="AM1138" s="23"/>
      <c r="AN1138" s="23"/>
      <c r="AO1138" s="23"/>
      <c r="AP1138" s="23"/>
      <c r="AQ1138" s="23"/>
      <c r="AR1138" s="23"/>
      <c r="AS1138" s="23">
        <f t="shared" si="19"/>
        <v>0</v>
      </c>
    </row>
    <row r="1139" spans="1:45" s="27" customFormat="1" ht="28.5" hidden="1" x14ac:dyDescent="0.2">
      <c r="A1139" s="28">
        <v>4051</v>
      </c>
      <c r="B1139" s="9" t="s">
        <v>381</v>
      </c>
      <c r="C1139" s="9" t="s">
        <v>381</v>
      </c>
      <c r="D1139" s="9" t="s">
        <v>828</v>
      </c>
      <c r="E1139" s="9" t="s">
        <v>829</v>
      </c>
      <c r="F1139" s="9" t="s">
        <v>199</v>
      </c>
      <c r="G1139" s="9" t="s">
        <v>809</v>
      </c>
      <c r="H1139" s="9" t="s">
        <v>831</v>
      </c>
      <c r="I1139" s="81"/>
      <c r="J1139" s="10">
        <f>'Messages Dictionary'!J557</f>
        <v>0</v>
      </c>
      <c r="K1139" s="81"/>
      <c r="L1139" s="29"/>
      <c r="M1139" s="29"/>
      <c r="N1139" s="23"/>
      <c r="O1139" s="23"/>
      <c r="P1139" s="23"/>
      <c r="Q1139" s="23"/>
      <c r="R1139" s="23"/>
      <c r="S1139" s="23"/>
      <c r="T1139" s="23"/>
      <c r="U1139" s="23"/>
      <c r="V1139" s="23"/>
      <c r="W1139" s="23"/>
      <c r="X1139" s="23"/>
      <c r="Y1139" s="23"/>
      <c r="Z1139" s="23"/>
      <c r="AA1139" s="23"/>
      <c r="AB1139" s="23"/>
      <c r="AC1139" s="23"/>
      <c r="AD1139" s="23"/>
      <c r="AE1139" s="23"/>
      <c r="AF1139" s="23"/>
      <c r="AG1139" s="23"/>
      <c r="AH1139" s="23"/>
      <c r="AI1139" s="23"/>
      <c r="AJ1139" s="23"/>
      <c r="AK1139" s="23"/>
      <c r="AL1139" s="23"/>
      <c r="AM1139" s="23"/>
      <c r="AN1139" s="23"/>
      <c r="AO1139" s="23"/>
      <c r="AP1139" s="23"/>
      <c r="AQ1139" s="23"/>
      <c r="AR1139" s="23"/>
      <c r="AS1139" s="23">
        <f t="shared" si="19"/>
        <v>0</v>
      </c>
    </row>
    <row r="1140" spans="1:45" s="27" customFormat="1" ht="42.75" hidden="1" x14ac:dyDescent="0.2">
      <c r="A1140" s="28">
        <v>4052</v>
      </c>
      <c r="B1140" s="9" t="s">
        <v>382</v>
      </c>
      <c r="C1140" s="9" t="s">
        <v>382</v>
      </c>
      <c r="D1140" s="9" t="s">
        <v>828</v>
      </c>
      <c r="E1140" s="9" t="s">
        <v>829</v>
      </c>
      <c r="F1140" s="9" t="s">
        <v>199</v>
      </c>
      <c r="G1140" s="9" t="s">
        <v>809</v>
      </c>
      <c r="H1140" s="9" t="s">
        <v>831</v>
      </c>
      <c r="I1140" s="81"/>
      <c r="J1140" s="10">
        <f>'Messages Dictionary'!J558</f>
        <v>0</v>
      </c>
      <c r="K1140" s="81"/>
      <c r="L1140" s="29"/>
      <c r="M1140" s="29"/>
      <c r="N1140" s="23"/>
      <c r="O1140" s="23"/>
      <c r="P1140" s="23"/>
      <c r="Q1140" s="23"/>
      <c r="R1140" s="23"/>
      <c r="S1140" s="23"/>
      <c r="T1140" s="23"/>
      <c r="U1140" s="23"/>
      <c r="V1140" s="23"/>
      <c r="W1140" s="23"/>
      <c r="X1140" s="23"/>
      <c r="Y1140" s="23"/>
      <c r="Z1140" s="23"/>
      <c r="AA1140" s="23"/>
      <c r="AB1140" s="23"/>
      <c r="AC1140" s="23"/>
      <c r="AD1140" s="23"/>
      <c r="AE1140" s="23"/>
      <c r="AF1140" s="23"/>
      <c r="AG1140" s="23"/>
      <c r="AH1140" s="23"/>
      <c r="AI1140" s="23"/>
      <c r="AJ1140" s="23"/>
      <c r="AK1140" s="23"/>
      <c r="AL1140" s="23"/>
      <c r="AM1140" s="23"/>
      <c r="AN1140" s="23"/>
      <c r="AO1140" s="23"/>
      <c r="AP1140" s="23"/>
      <c r="AQ1140" s="23"/>
      <c r="AR1140" s="23"/>
      <c r="AS1140" s="23">
        <f t="shared" si="19"/>
        <v>0</v>
      </c>
    </row>
    <row r="1141" spans="1:45" s="27" customFormat="1" ht="42.75" hidden="1" x14ac:dyDescent="0.2">
      <c r="A1141" s="28">
        <v>4053</v>
      </c>
      <c r="B1141" s="9" t="s">
        <v>383</v>
      </c>
      <c r="C1141" s="9" t="s">
        <v>384</v>
      </c>
      <c r="D1141" s="9" t="s">
        <v>821</v>
      </c>
      <c r="E1141" s="9" t="s">
        <v>876</v>
      </c>
      <c r="F1141" s="9" t="s">
        <v>199</v>
      </c>
      <c r="G1141" s="9" t="s">
        <v>809</v>
      </c>
      <c r="H1141" s="9" t="s">
        <v>831</v>
      </c>
      <c r="I1141" s="81"/>
      <c r="J1141" s="10">
        <f>'Messages Dictionary'!J559</f>
        <v>0</v>
      </c>
      <c r="K1141" s="81"/>
      <c r="L1141" s="29"/>
      <c r="M1141" s="29"/>
      <c r="N1141" s="23"/>
      <c r="O1141" s="23"/>
      <c r="P1141" s="23"/>
      <c r="Q1141" s="23"/>
      <c r="R1141" s="23"/>
      <c r="S1141" s="23"/>
      <c r="T1141" s="23"/>
      <c r="U1141" s="23"/>
      <c r="V1141" s="23"/>
      <c r="W1141" s="23"/>
      <c r="X1141" s="23"/>
      <c r="Y1141" s="23"/>
      <c r="Z1141" s="23"/>
      <c r="AA1141" s="23"/>
      <c r="AB1141" s="23"/>
      <c r="AC1141" s="23"/>
      <c r="AD1141" s="23"/>
      <c r="AE1141" s="23"/>
      <c r="AF1141" s="23"/>
      <c r="AG1141" s="23"/>
      <c r="AH1141" s="23"/>
      <c r="AI1141" s="23"/>
      <c r="AJ1141" s="23"/>
      <c r="AK1141" s="23"/>
      <c r="AL1141" s="23"/>
      <c r="AM1141" s="23"/>
      <c r="AN1141" s="23"/>
      <c r="AO1141" s="23"/>
      <c r="AP1141" s="23"/>
      <c r="AQ1141" s="23"/>
      <c r="AR1141" s="23"/>
      <c r="AS1141" s="23">
        <f t="shared" si="19"/>
        <v>0</v>
      </c>
    </row>
    <row r="1142" spans="1:45" s="27" customFormat="1" ht="42.75" hidden="1" x14ac:dyDescent="0.2">
      <c r="A1142" s="28">
        <v>4054</v>
      </c>
      <c r="B1142" s="9" t="s">
        <v>619</v>
      </c>
      <c r="C1142" s="9" t="s">
        <v>619</v>
      </c>
      <c r="D1142" s="9" t="s">
        <v>821</v>
      </c>
      <c r="E1142" s="9" t="s">
        <v>27</v>
      </c>
      <c r="F1142" s="9" t="s">
        <v>199</v>
      </c>
      <c r="G1142" s="9" t="s">
        <v>412</v>
      </c>
      <c r="H1142" s="9" t="s">
        <v>831</v>
      </c>
      <c r="I1142" s="81"/>
      <c r="J1142" s="10">
        <f>'Messages Dictionary'!J560</f>
        <v>0.5</v>
      </c>
      <c r="K1142" s="81"/>
      <c r="L1142" s="29"/>
      <c r="M1142" s="29"/>
      <c r="N1142" s="23"/>
      <c r="O1142" s="23"/>
      <c r="P1142" s="23"/>
      <c r="Q1142" s="23"/>
      <c r="R1142" s="23"/>
      <c r="S1142" s="23"/>
      <c r="T1142" s="23"/>
      <c r="U1142" s="23"/>
      <c r="V1142" s="23"/>
      <c r="W1142" s="23"/>
      <c r="X1142" s="23"/>
      <c r="Y1142" s="23"/>
      <c r="Z1142" s="23"/>
      <c r="AA1142" s="23"/>
      <c r="AB1142" s="23"/>
      <c r="AC1142" s="23"/>
      <c r="AD1142" s="23"/>
      <c r="AE1142" s="23"/>
      <c r="AF1142" s="23"/>
      <c r="AG1142" s="23"/>
      <c r="AH1142" s="23"/>
      <c r="AI1142" s="23"/>
      <c r="AJ1142" s="23"/>
      <c r="AK1142" s="23"/>
      <c r="AL1142" s="23"/>
      <c r="AM1142" s="23"/>
      <c r="AN1142" s="23"/>
      <c r="AO1142" s="23"/>
      <c r="AP1142" s="23"/>
      <c r="AQ1142" s="23"/>
      <c r="AR1142" s="23"/>
      <c r="AS1142" s="23">
        <f t="shared" si="19"/>
        <v>0</v>
      </c>
    </row>
    <row r="1143" spans="1:45" s="27" customFormat="1" ht="42.75" hidden="1" x14ac:dyDescent="0.2">
      <c r="A1143" s="28">
        <v>4055</v>
      </c>
      <c r="B1143" s="9" t="s">
        <v>620</v>
      </c>
      <c r="C1143" s="9" t="s">
        <v>620</v>
      </c>
      <c r="D1143" s="9" t="s">
        <v>821</v>
      </c>
      <c r="E1143" s="9" t="s">
        <v>27</v>
      </c>
      <c r="F1143" s="9" t="s">
        <v>199</v>
      </c>
      <c r="G1143" s="9" t="s">
        <v>412</v>
      </c>
      <c r="H1143" s="9" t="s">
        <v>831</v>
      </c>
      <c r="I1143" s="81"/>
      <c r="J1143" s="10">
        <f>'Messages Dictionary'!J561</f>
        <v>0.5</v>
      </c>
      <c r="K1143" s="81"/>
      <c r="L1143" s="29"/>
      <c r="M1143" s="29"/>
      <c r="N1143" s="23"/>
      <c r="O1143" s="23"/>
      <c r="P1143" s="23"/>
      <c r="Q1143" s="23"/>
      <c r="R1143" s="23"/>
      <c r="S1143" s="23"/>
      <c r="T1143" s="23"/>
      <c r="U1143" s="23"/>
      <c r="V1143" s="23"/>
      <c r="W1143" s="23"/>
      <c r="X1143" s="23"/>
      <c r="Y1143" s="23"/>
      <c r="Z1143" s="23"/>
      <c r="AA1143" s="23"/>
      <c r="AB1143" s="23"/>
      <c r="AC1143" s="23"/>
      <c r="AD1143" s="23"/>
      <c r="AE1143" s="23"/>
      <c r="AF1143" s="23"/>
      <c r="AG1143" s="23"/>
      <c r="AH1143" s="23"/>
      <c r="AI1143" s="23"/>
      <c r="AJ1143" s="23"/>
      <c r="AK1143" s="23"/>
      <c r="AL1143" s="23"/>
      <c r="AM1143" s="23"/>
      <c r="AN1143" s="23"/>
      <c r="AO1143" s="23"/>
      <c r="AP1143" s="23"/>
      <c r="AQ1143" s="23"/>
      <c r="AR1143" s="23"/>
      <c r="AS1143" s="23">
        <f t="shared" si="19"/>
        <v>0</v>
      </c>
    </row>
    <row r="1144" spans="1:45" s="27" customFormat="1" hidden="1" x14ac:dyDescent="0.2">
      <c r="A1144" s="28">
        <v>4056</v>
      </c>
      <c r="B1144" s="9" t="s">
        <v>385</v>
      </c>
      <c r="C1144" s="9" t="s">
        <v>386</v>
      </c>
      <c r="D1144" s="9" t="s">
        <v>4</v>
      </c>
      <c r="E1144" s="9" t="s">
        <v>18</v>
      </c>
      <c r="F1144" s="9" t="s">
        <v>199</v>
      </c>
      <c r="G1144" s="9" t="s">
        <v>809</v>
      </c>
      <c r="H1144" s="9" t="s">
        <v>831</v>
      </c>
      <c r="I1144" s="81"/>
      <c r="J1144" s="10">
        <f>'Messages Dictionary'!J562</f>
        <v>0</v>
      </c>
      <c r="K1144" s="81"/>
      <c r="L1144" s="29"/>
      <c r="M1144" s="29"/>
      <c r="N1144" s="23"/>
      <c r="O1144" s="23"/>
      <c r="P1144" s="23"/>
      <c r="Q1144" s="23"/>
      <c r="R1144" s="23"/>
      <c r="S1144" s="23"/>
      <c r="T1144" s="23"/>
      <c r="U1144" s="23"/>
      <c r="V1144" s="23"/>
      <c r="W1144" s="23"/>
      <c r="X1144" s="23"/>
      <c r="Y1144" s="23"/>
      <c r="Z1144" s="23"/>
      <c r="AA1144" s="23"/>
      <c r="AB1144" s="23"/>
      <c r="AC1144" s="23"/>
      <c r="AD1144" s="23"/>
      <c r="AE1144" s="23"/>
      <c r="AF1144" s="23"/>
      <c r="AG1144" s="23"/>
      <c r="AH1144" s="23"/>
      <c r="AI1144" s="23"/>
      <c r="AJ1144" s="23"/>
      <c r="AK1144" s="23"/>
      <c r="AL1144" s="23"/>
      <c r="AM1144" s="23"/>
      <c r="AN1144" s="23"/>
      <c r="AO1144" s="23"/>
      <c r="AP1144" s="23"/>
      <c r="AQ1144" s="23"/>
      <c r="AR1144" s="23"/>
      <c r="AS1144" s="23">
        <f t="shared" si="19"/>
        <v>0</v>
      </c>
    </row>
    <row r="1145" spans="1:45" s="27" customFormat="1" ht="42.75" hidden="1" x14ac:dyDescent="0.2">
      <c r="A1145" s="28">
        <v>4057</v>
      </c>
      <c r="B1145" s="9" t="s">
        <v>387</v>
      </c>
      <c r="C1145" s="9" t="s">
        <v>388</v>
      </c>
      <c r="D1145" s="9" t="s">
        <v>404</v>
      </c>
      <c r="E1145" s="9" t="s">
        <v>404</v>
      </c>
      <c r="F1145" s="9" t="s">
        <v>199</v>
      </c>
      <c r="G1145" s="9" t="s">
        <v>412</v>
      </c>
      <c r="H1145" s="9" t="s">
        <v>831</v>
      </c>
      <c r="I1145" s="81"/>
      <c r="J1145" s="10">
        <f>'Messages Dictionary'!J563</f>
        <v>0.5</v>
      </c>
      <c r="K1145" s="81"/>
      <c r="L1145" s="29"/>
      <c r="M1145" s="29"/>
      <c r="N1145" s="23"/>
      <c r="O1145" s="23"/>
      <c r="P1145" s="23"/>
      <c r="Q1145" s="23"/>
      <c r="R1145" s="23"/>
      <c r="S1145" s="23"/>
      <c r="T1145" s="23"/>
      <c r="U1145" s="23"/>
      <c r="V1145" s="23"/>
      <c r="W1145" s="23"/>
      <c r="X1145" s="23"/>
      <c r="Y1145" s="23"/>
      <c r="Z1145" s="23"/>
      <c r="AA1145" s="23"/>
      <c r="AB1145" s="23"/>
      <c r="AC1145" s="23"/>
      <c r="AD1145" s="23"/>
      <c r="AE1145" s="23"/>
      <c r="AF1145" s="23"/>
      <c r="AG1145" s="23"/>
      <c r="AH1145" s="23"/>
      <c r="AI1145" s="23"/>
      <c r="AJ1145" s="23"/>
      <c r="AK1145" s="23"/>
      <c r="AL1145" s="23"/>
      <c r="AM1145" s="23"/>
      <c r="AN1145" s="23"/>
      <c r="AO1145" s="23"/>
      <c r="AP1145" s="23"/>
      <c r="AQ1145" s="23"/>
      <c r="AR1145" s="23"/>
      <c r="AS1145" s="23">
        <f t="shared" si="19"/>
        <v>0</v>
      </c>
    </row>
    <row r="1146" spans="1:45" s="27" customFormat="1" ht="28.5" hidden="1" x14ac:dyDescent="0.2">
      <c r="A1146" s="28">
        <v>4058</v>
      </c>
      <c r="B1146" s="9" t="s">
        <v>389</v>
      </c>
      <c r="C1146" s="9" t="s">
        <v>390</v>
      </c>
      <c r="D1146" s="9" t="s">
        <v>404</v>
      </c>
      <c r="E1146" s="9" t="s">
        <v>404</v>
      </c>
      <c r="F1146" s="9" t="s">
        <v>199</v>
      </c>
      <c r="G1146" s="9" t="s">
        <v>412</v>
      </c>
      <c r="H1146" s="9" t="s">
        <v>831</v>
      </c>
      <c r="I1146" s="81"/>
      <c r="J1146" s="10">
        <f>'Messages Dictionary'!J564</f>
        <v>0.5</v>
      </c>
      <c r="K1146" s="81"/>
      <c r="L1146" s="29"/>
      <c r="M1146" s="29"/>
      <c r="N1146" s="23"/>
      <c r="O1146" s="23"/>
      <c r="P1146" s="23"/>
      <c r="Q1146" s="23"/>
      <c r="R1146" s="23"/>
      <c r="S1146" s="23"/>
      <c r="T1146" s="23"/>
      <c r="U1146" s="23"/>
      <c r="V1146" s="23"/>
      <c r="W1146" s="23"/>
      <c r="X1146" s="23"/>
      <c r="Y1146" s="23"/>
      <c r="Z1146" s="23"/>
      <c r="AA1146" s="23"/>
      <c r="AB1146" s="23"/>
      <c r="AC1146" s="23"/>
      <c r="AD1146" s="23"/>
      <c r="AE1146" s="23"/>
      <c r="AF1146" s="23"/>
      <c r="AG1146" s="23"/>
      <c r="AH1146" s="23"/>
      <c r="AI1146" s="23"/>
      <c r="AJ1146" s="23"/>
      <c r="AK1146" s="23"/>
      <c r="AL1146" s="23"/>
      <c r="AM1146" s="23"/>
      <c r="AN1146" s="23"/>
      <c r="AO1146" s="23"/>
      <c r="AP1146" s="23"/>
      <c r="AQ1146" s="23"/>
      <c r="AR1146" s="23"/>
      <c r="AS1146" s="23">
        <f t="shared" si="19"/>
        <v>0</v>
      </c>
    </row>
    <row r="1147" spans="1:45" s="27" customFormat="1" ht="28.5" hidden="1" x14ac:dyDescent="0.2">
      <c r="A1147" s="28">
        <v>4059</v>
      </c>
      <c r="B1147" s="9" t="s">
        <v>493</v>
      </c>
      <c r="C1147" s="9" t="s">
        <v>493</v>
      </c>
      <c r="D1147" s="9" t="s">
        <v>234</v>
      </c>
      <c r="E1147" s="9" t="s">
        <v>494</v>
      </c>
      <c r="F1147" s="9" t="s">
        <v>199</v>
      </c>
      <c r="G1147" s="9" t="s">
        <v>412</v>
      </c>
      <c r="H1147" s="9" t="s">
        <v>831</v>
      </c>
      <c r="I1147" s="81"/>
      <c r="J1147" s="10">
        <f>'Messages Dictionary'!J565</f>
        <v>0</v>
      </c>
      <c r="K1147" s="81"/>
      <c r="L1147" s="29"/>
      <c r="M1147" s="29"/>
      <c r="N1147" s="23"/>
      <c r="O1147" s="23"/>
      <c r="P1147" s="23"/>
      <c r="Q1147" s="23"/>
      <c r="R1147" s="23"/>
      <c r="S1147" s="23"/>
      <c r="T1147" s="23"/>
      <c r="U1147" s="23"/>
      <c r="V1147" s="23"/>
      <c r="W1147" s="23"/>
      <c r="X1147" s="23"/>
      <c r="Y1147" s="23"/>
      <c r="Z1147" s="23"/>
      <c r="AA1147" s="23"/>
      <c r="AB1147" s="23"/>
      <c r="AC1147" s="23"/>
      <c r="AD1147" s="23"/>
      <c r="AE1147" s="23"/>
      <c r="AF1147" s="23"/>
      <c r="AG1147" s="23"/>
      <c r="AH1147" s="23"/>
      <c r="AI1147" s="23"/>
      <c r="AJ1147" s="23"/>
      <c r="AK1147" s="23"/>
      <c r="AL1147" s="23"/>
      <c r="AM1147" s="23"/>
      <c r="AN1147" s="23"/>
      <c r="AO1147" s="23"/>
      <c r="AP1147" s="23"/>
      <c r="AQ1147" s="23"/>
      <c r="AR1147" s="23"/>
      <c r="AS1147" s="23">
        <f t="shared" si="19"/>
        <v>0</v>
      </c>
    </row>
    <row r="1148" spans="1:45" s="27" customFormat="1" ht="28.5" hidden="1" x14ac:dyDescent="0.2">
      <c r="A1148" s="28">
        <v>5000</v>
      </c>
      <c r="B1148" s="9" t="s">
        <v>495</v>
      </c>
      <c r="C1148" s="9" t="s">
        <v>496</v>
      </c>
      <c r="D1148" s="9" t="s">
        <v>121</v>
      </c>
      <c r="E1148" s="9" t="s">
        <v>186</v>
      </c>
      <c r="F1148" s="9" t="s">
        <v>199</v>
      </c>
      <c r="G1148" s="9" t="s">
        <v>809</v>
      </c>
      <c r="H1148" s="9" t="s">
        <v>806</v>
      </c>
      <c r="I1148" s="81"/>
      <c r="J1148" s="10">
        <f>'Messages Dictionary'!J570</f>
        <v>0.5</v>
      </c>
      <c r="K1148" s="81"/>
      <c r="L1148" s="29"/>
      <c r="M1148" s="29"/>
      <c r="N1148" s="23"/>
      <c r="O1148" s="23"/>
      <c r="P1148" s="23"/>
      <c r="Q1148" s="23"/>
      <c r="R1148" s="23"/>
      <c r="S1148" s="23"/>
      <c r="T1148" s="23"/>
      <c r="U1148" s="23"/>
      <c r="V1148" s="23"/>
      <c r="W1148" s="23"/>
      <c r="X1148" s="23"/>
      <c r="Y1148" s="23"/>
      <c r="Z1148" s="23"/>
      <c r="AA1148" s="23"/>
      <c r="AB1148" s="23"/>
      <c r="AC1148" s="23"/>
      <c r="AD1148" s="23"/>
      <c r="AE1148" s="23"/>
      <c r="AF1148" s="23"/>
      <c r="AG1148" s="23"/>
      <c r="AH1148" s="23"/>
      <c r="AI1148" s="23"/>
      <c r="AJ1148" s="23"/>
      <c r="AK1148" s="23"/>
      <c r="AL1148" s="23"/>
      <c r="AM1148" s="23"/>
      <c r="AN1148" s="23"/>
      <c r="AO1148" s="23"/>
      <c r="AP1148" s="23"/>
      <c r="AQ1148" s="23"/>
      <c r="AR1148" s="23"/>
      <c r="AS1148" s="23">
        <f t="shared" si="19"/>
        <v>0</v>
      </c>
    </row>
    <row r="1149" spans="1:45" s="27" customFormat="1" ht="42.75" hidden="1" x14ac:dyDescent="0.2">
      <c r="A1149" s="28">
        <v>5002</v>
      </c>
      <c r="B1149" s="9" t="s">
        <v>497</v>
      </c>
      <c r="C1149" s="9" t="s">
        <v>498</v>
      </c>
      <c r="D1149" s="9" t="s">
        <v>828</v>
      </c>
      <c r="E1149" s="9" t="s">
        <v>837</v>
      </c>
      <c r="F1149" s="9" t="s">
        <v>199</v>
      </c>
      <c r="G1149" s="9" t="s">
        <v>412</v>
      </c>
      <c r="H1149" s="9" t="s">
        <v>831</v>
      </c>
      <c r="I1149" s="81"/>
      <c r="J1149" s="10">
        <f>'Messages Dictionary'!J571</f>
        <v>0.5</v>
      </c>
      <c r="K1149" s="81"/>
      <c r="L1149" s="29"/>
      <c r="M1149" s="29"/>
      <c r="N1149" s="23"/>
      <c r="O1149" s="23"/>
      <c r="P1149" s="23"/>
      <c r="Q1149" s="23"/>
      <c r="R1149" s="23"/>
      <c r="S1149" s="23"/>
      <c r="T1149" s="23"/>
      <c r="U1149" s="23"/>
      <c r="V1149" s="23"/>
      <c r="W1149" s="23"/>
      <c r="X1149" s="23"/>
      <c r="Y1149" s="23"/>
      <c r="Z1149" s="23"/>
      <c r="AA1149" s="23"/>
      <c r="AB1149" s="23"/>
      <c r="AC1149" s="23"/>
      <c r="AD1149" s="23"/>
      <c r="AE1149" s="23"/>
      <c r="AF1149" s="23"/>
      <c r="AG1149" s="23"/>
      <c r="AH1149" s="23"/>
      <c r="AI1149" s="23"/>
      <c r="AJ1149" s="23"/>
      <c r="AK1149" s="23"/>
      <c r="AL1149" s="23"/>
      <c r="AM1149" s="23"/>
      <c r="AN1149" s="23"/>
      <c r="AO1149" s="23"/>
      <c r="AP1149" s="23"/>
      <c r="AQ1149" s="23"/>
      <c r="AR1149" s="23"/>
      <c r="AS1149" s="23">
        <f t="shared" si="19"/>
        <v>0</v>
      </c>
    </row>
    <row r="1150" spans="1:45" s="27" customFormat="1" ht="71.25" hidden="1" x14ac:dyDescent="0.2">
      <c r="A1150" s="28">
        <v>5190</v>
      </c>
      <c r="B1150" s="9" t="s">
        <v>499</v>
      </c>
      <c r="C1150" s="9" t="s">
        <v>500</v>
      </c>
      <c r="D1150" s="9" t="s">
        <v>842</v>
      </c>
      <c r="E1150" s="9" t="s">
        <v>842</v>
      </c>
      <c r="F1150" s="9" t="s">
        <v>199</v>
      </c>
      <c r="G1150" s="9" t="s">
        <v>405</v>
      </c>
      <c r="H1150" s="9" t="s">
        <v>831</v>
      </c>
      <c r="I1150" s="81"/>
      <c r="J1150" s="10">
        <f>'Messages Dictionary'!J574</f>
        <v>0.5</v>
      </c>
      <c r="K1150" s="81"/>
      <c r="L1150" s="29"/>
      <c r="M1150" s="29"/>
      <c r="N1150" s="23"/>
      <c r="O1150" s="23"/>
      <c r="P1150" s="23"/>
      <c r="Q1150" s="23"/>
      <c r="R1150" s="23"/>
      <c r="S1150" s="23"/>
      <c r="T1150" s="23"/>
      <c r="U1150" s="23"/>
      <c r="V1150" s="23"/>
      <c r="W1150" s="23"/>
      <c r="X1150" s="23"/>
      <c r="Y1150" s="23"/>
      <c r="Z1150" s="23"/>
      <c r="AA1150" s="23"/>
      <c r="AB1150" s="23"/>
      <c r="AC1150" s="23"/>
      <c r="AD1150" s="23"/>
      <c r="AE1150" s="23"/>
      <c r="AF1150" s="23"/>
      <c r="AG1150" s="23"/>
      <c r="AH1150" s="23"/>
      <c r="AI1150" s="23"/>
      <c r="AJ1150" s="23"/>
      <c r="AK1150" s="23"/>
      <c r="AL1150" s="23"/>
      <c r="AM1150" s="23"/>
      <c r="AN1150" s="23"/>
      <c r="AO1150" s="23"/>
      <c r="AP1150" s="23"/>
      <c r="AQ1150" s="23"/>
      <c r="AR1150" s="23"/>
      <c r="AS1150" s="23">
        <f t="shared" si="19"/>
        <v>0</v>
      </c>
    </row>
    <row r="1151" spans="1:45" s="27" customFormat="1" ht="57" hidden="1" x14ac:dyDescent="0.2">
      <c r="A1151" s="28">
        <v>5191</v>
      </c>
      <c r="B1151" s="9" t="s">
        <v>501</v>
      </c>
      <c r="C1151" s="9" t="s">
        <v>502</v>
      </c>
      <c r="D1151" s="9" t="s">
        <v>828</v>
      </c>
      <c r="E1151" s="9" t="s">
        <v>837</v>
      </c>
      <c r="F1151" s="9" t="s">
        <v>199</v>
      </c>
      <c r="G1151" s="9" t="s">
        <v>405</v>
      </c>
      <c r="H1151" s="9" t="s">
        <v>831</v>
      </c>
      <c r="I1151" s="81"/>
      <c r="J1151" s="10">
        <f>'Messages Dictionary'!J575</f>
        <v>0.5</v>
      </c>
      <c r="K1151" s="81"/>
      <c r="L1151" s="29"/>
      <c r="M1151" s="29"/>
      <c r="N1151" s="23"/>
      <c r="O1151" s="23"/>
      <c r="P1151" s="23"/>
      <c r="Q1151" s="23"/>
      <c r="R1151" s="23"/>
      <c r="S1151" s="23"/>
      <c r="T1151" s="23"/>
      <c r="U1151" s="23"/>
      <c r="V1151" s="23"/>
      <c r="W1151" s="23"/>
      <c r="X1151" s="23"/>
      <c r="Y1151" s="23"/>
      <c r="Z1151" s="23"/>
      <c r="AA1151" s="23"/>
      <c r="AB1151" s="23"/>
      <c r="AC1151" s="23"/>
      <c r="AD1151" s="23"/>
      <c r="AE1151" s="23"/>
      <c r="AF1151" s="23"/>
      <c r="AG1151" s="23"/>
      <c r="AH1151" s="23"/>
      <c r="AI1151" s="23"/>
      <c r="AJ1151" s="23"/>
      <c r="AK1151" s="23"/>
      <c r="AL1151" s="23"/>
      <c r="AM1151" s="23"/>
      <c r="AN1151" s="23"/>
      <c r="AO1151" s="23"/>
      <c r="AP1151" s="23"/>
      <c r="AQ1151" s="23"/>
      <c r="AR1151" s="23"/>
      <c r="AS1151" s="23">
        <f t="shared" si="19"/>
        <v>0</v>
      </c>
    </row>
    <row r="1152" spans="1:45" s="27" customFormat="1" ht="57" hidden="1" x14ac:dyDescent="0.2">
      <c r="A1152" s="28">
        <v>5192</v>
      </c>
      <c r="B1152" s="9" t="s">
        <v>504</v>
      </c>
      <c r="C1152" s="9" t="s">
        <v>505</v>
      </c>
      <c r="D1152" s="9" t="s">
        <v>863</v>
      </c>
      <c r="E1152" s="9" t="s">
        <v>35</v>
      </c>
      <c r="F1152" s="9" t="s">
        <v>199</v>
      </c>
      <c r="G1152" s="9" t="s">
        <v>405</v>
      </c>
      <c r="H1152" s="9" t="s">
        <v>831</v>
      </c>
      <c r="I1152" s="81"/>
      <c r="J1152" s="10">
        <f>'Messages Dictionary'!J576</f>
        <v>0.5</v>
      </c>
      <c r="K1152" s="81"/>
      <c r="L1152" s="29"/>
      <c r="M1152" s="29"/>
      <c r="N1152" s="23"/>
      <c r="O1152" s="23"/>
      <c r="P1152" s="23"/>
      <c r="Q1152" s="23"/>
      <c r="R1152" s="23"/>
      <c r="S1152" s="23"/>
      <c r="T1152" s="23"/>
      <c r="U1152" s="23"/>
      <c r="V1152" s="23"/>
      <c r="W1152" s="23"/>
      <c r="X1152" s="23"/>
      <c r="Y1152" s="23"/>
      <c r="Z1152" s="23"/>
      <c r="AA1152" s="23"/>
      <c r="AB1152" s="23"/>
      <c r="AC1152" s="23"/>
      <c r="AD1152" s="23"/>
      <c r="AE1152" s="23"/>
      <c r="AF1152" s="23"/>
      <c r="AG1152" s="23"/>
      <c r="AH1152" s="23"/>
      <c r="AI1152" s="23"/>
      <c r="AJ1152" s="23"/>
      <c r="AK1152" s="23"/>
      <c r="AL1152" s="23"/>
      <c r="AM1152" s="23"/>
      <c r="AN1152" s="23"/>
      <c r="AO1152" s="23"/>
      <c r="AP1152" s="23"/>
      <c r="AQ1152" s="23"/>
      <c r="AR1152" s="23"/>
      <c r="AS1152" s="23">
        <f t="shared" si="19"/>
        <v>0</v>
      </c>
    </row>
    <row r="1153" spans="1:45" s="27" customFormat="1" ht="28.5" hidden="1" x14ac:dyDescent="0.2">
      <c r="A1153" s="28">
        <v>5650</v>
      </c>
      <c r="B1153" s="9" t="s">
        <v>506</v>
      </c>
      <c r="C1153" s="9" t="s">
        <v>507</v>
      </c>
      <c r="D1153" s="9" t="s">
        <v>234</v>
      </c>
      <c r="E1153" s="9" t="s">
        <v>702</v>
      </c>
      <c r="F1153" s="9" t="s">
        <v>199</v>
      </c>
      <c r="G1153" s="9" t="s">
        <v>809</v>
      </c>
      <c r="H1153" s="9" t="s">
        <v>831</v>
      </c>
      <c r="I1153" s="81"/>
      <c r="J1153" s="10">
        <f>'Messages Dictionary'!J578</f>
        <v>0</v>
      </c>
      <c r="K1153" s="81"/>
      <c r="L1153" s="29"/>
      <c r="M1153" s="29"/>
      <c r="N1153" s="23"/>
      <c r="O1153" s="23"/>
      <c r="P1153" s="23"/>
      <c r="Q1153" s="23"/>
      <c r="R1153" s="23"/>
      <c r="S1153" s="23"/>
      <c r="T1153" s="23"/>
      <c r="U1153" s="23"/>
      <c r="V1153" s="23"/>
      <c r="W1153" s="23"/>
      <c r="X1153" s="23"/>
      <c r="Y1153" s="23"/>
      <c r="Z1153" s="23"/>
      <c r="AA1153" s="23"/>
      <c r="AB1153" s="23"/>
      <c r="AC1153" s="23"/>
      <c r="AD1153" s="23"/>
      <c r="AE1153" s="23"/>
      <c r="AF1153" s="23"/>
      <c r="AG1153" s="23"/>
      <c r="AH1153" s="23"/>
      <c r="AI1153" s="23"/>
      <c r="AJ1153" s="23"/>
      <c r="AK1153" s="23"/>
      <c r="AL1153" s="23"/>
      <c r="AM1153" s="23"/>
      <c r="AN1153" s="23"/>
      <c r="AO1153" s="23"/>
      <c r="AP1153" s="23"/>
      <c r="AQ1153" s="23"/>
      <c r="AR1153" s="23"/>
      <c r="AS1153" s="23">
        <f t="shared" si="19"/>
        <v>0</v>
      </c>
    </row>
    <row r="1154" spans="1:45" s="27" customFormat="1" ht="28.5" hidden="1" x14ac:dyDescent="0.2">
      <c r="A1154" s="28">
        <v>5651</v>
      </c>
      <c r="B1154" s="9" t="s">
        <v>508</v>
      </c>
      <c r="C1154" s="9" t="s">
        <v>509</v>
      </c>
      <c r="D1154" s="9" t="s">
        <v>234</v>
      </c>
      <c r="E1154" s="9" t="s">
        <v>702</v>
      </c>
      <c r="F1154" s="9" t="s">
        <v>199</v>
      </c>
      <c r="G1154" s="9" t="s">
        <v>809</v>
      </c>
      <c r="H1154" s="9" t="s">
        <v>831</v>
      </c>
      <c r="I1154" s="81"/>
      <c r="J1154" s="10">
        <f>'Messages Dictionary'!J579</f>
        <v>0</v>
      </c>
      <c r="K1154" s="81"/>
      <c r="L1154" s="29"/>
      <c r="M1154" s="29"/>
      <c r="N1154" s="23"/>
      <c r="O1154" s="23"/>
      <c r="P1154" s="23"/>
      <c r="Q1154" s="23"/>
      <c r="R1154" s="23"/>
      <c r="S1154" s="23"/>
      <c r="T1154" s="23"/>
      <c r="U1154" s="23"/>
      <c r="V1154" s="23"/>
      <c r="W1154" s="23"/>
      <c r="X1154" s="23"/>
      <c r="Y1154" s="23"/>
      <c r="Z1154" s="23"/>
      <c r="AA1154" s="23"/>
      <c r="AB1154" s="23"/>
      <c r="AC1154" s="23"/>
      <c r="AD1154" s="23"/>
      <c r="AE1154" s="23"/>
      <c r="AF1154" s="23"/>
      <c r="AG1154" s="23"/>
      <c r="AH1154" s="23"/>
      <c r="AI1154" s="23"/>
      <c r="AJ1154" s="23"/>
      <c r="AK1154" s="23"/>
      <c r="AL1154" s="23"/>
      <c r="AM1154" s="23"/>
      <c r="AN1154" s="23"/>
      <c r="AO1154" s="23"/>
      <c r="AP1154" s="23"/>
      <c r="AQ1154" s="23"/>
      <c r="AR1154" s="23"/>
      <c r="AS1154" s="23">
        <f t="shared" si="19"/>
        <v>0</v>
      </c>
    </row>
    <row r="1155" spans="1:45" s="27" customFormat="1" ht="28.5" hidden="1" x14ac:dyDescent="0.2">
      <c r="A1155" s="28">
        <v>5660</v>
      </c>
      <c r="B1155" s="9" t="s">
        <v>510</v>
      </c>
      <c r="C1155" s="9" t="s">
        <v>510</v>
      </c>
      <c r="D1155" s="9" t="s">
        <v>234</v>
      </c>
      <c r="E1155" s="9" t="s">
        <v>702</v>
      </c>
      <c r="F1155" s="9" t="s">
        <v>199</v>
      </c>
      <c r="G1155" s="9" t="s">
        <v>809</v>
      </c>
      <c r="H1155" s="9" t="s">
        <v>831</v>
      </c>
      <c r="I1155" s="81"/>
      <c r="J1155" s="10">
        <f>'Messages Dictionary'!J580</f>
        <v>0</v>
      </c>
      <c r="K1155" s="81"/>
      <c r="L1155" s="29"/>
      <c r="M1155" s="29"/>
      <c r="N1155" s="23"/>
      <c r="O1155" s="23"/>
      <c r="P1155" s="23"/>
      <c r="Q1155" s="23"/>
      <c r="R1155" s="23"/>
      <c r="S1155" s="23"/>
      <c r="T1155" s="23"/>
      <c r="U1155" s="23"/>
      <c r="V1155" s="23"/>
      <c r="W1155" s="23"/>
      <c r="X1155" s="23"/>
      <c r="Y1155" s="23"/>
      <c r="Z1155" s="23"/>
      <c r="AA1155" s="23"/>
      <c r="AB1155" s="23"/>
      <c r="AC1155" s="23"/>
      <c r="AD1155" s="23"/>
      <c r="AE1155" s="23"/>
      <c r="AF1155" s="23"/>
      <c r="AG1155" s="23"/>
      <c r="AH1155" s="23"/>
      <c r="AI1155" s="23"/>
      <c r="AJ1155" s="23"/>
      <c r="AK1155" s="23"/>
      <c r="AL1155" s="23"/>
      <c r="AM1155" s="23"/>
      <c r="AN1155" s="23"/>
      <c r="AO1155" s="23"/>
      <c r="AP1155" s="23"/>
      <c r="AQ1155" s="23"/>
      <c r="AR1155" s="23"/>
      <c r="AS1155" s="23">
        <f t="shared" si="19"/>
        <v>0</v>
      </c>
    </row>
    <row r="1156" spans="1:45" s="27" customFormat="1" ht="28.5" hidden="1" x14ac:dyDescent="0.2">
      <c r="A1156" s="28">
        <v>5700</v>
      </c>
      <c r="B1156" s="9" t="s">
        <v>511</v>
      </c>
      <c r="C1156" s="9" t="s">
        <v>512</v>
      </c>
      <c r="D1156" s="9" t="s">
        <v>121</v>
      </c>
      <c r="E1156" s="9" t="s">
        <v>122</v>
      </c>
      <c r="F1156" s="9" t="s">
        <v>199</v>
      </c>
      <c r="G1156" s="9" t="s">
        <v>809</v>
      </c>
      <c r="H1156" s="9" t="s">
        <v>806</v>
      </c>
      <c r="I1156" s="81"/>
      <c r="J1156" s="10">
        <f>'Messages Dictionary'!J581</f>
        <v>0</v>
      </c>
      <c r="K1156" s="81"/>
      <c r="L1156" s="29"/>
      <c r="M1156" s="29"/>
      <c r="N1156" s="23"/>
      <c r="O1156" s="23"/>
      <c r="P1156" s="23"/>
      <c r="Q1156" s="23"/>
      <c r="R1156" s="23"/>
      <c r="S1156" s="23"/>
      <c r="T1156" s="23"/>
      <c r="U1156" s="23"/>
      <c r="V1156" s="23"/>
      <c r="W1156" s="23"/>
      <c r="X1156" s="23"/>
      <c r="Y1156" s="23"/>
      <c r="Z1156" s="23"/>
      <c r="AA1156" s="23"/>
      <c r="AB1156" s="23"/>
      <c r="AC1156" s="23"/>
      <c r="AD1156" s="23"/>
      <c r="AE1156" s="23"/>
      <c r="AF1156" s="23"/>
      <c r="AG1156" s="23"/>
      <c r="AH1156" s="23"/>
      <c r="AI1156" s="23"/>
      <c r="AJ1156" s="23"/>
      <c r="AK1156" s="23"/>
      <c r="AL1156" s="23"/>
      <c r="AM1156" s="23"/>
      <c r="AN1156" s="23"/>
      <c r="AO1156" s="23"/>
      <c r="AP1156" s="23"/>
      <c r="AQ1156" s="23"/>
      <c r="AR1156" s="23"/>
      <c r="AS1156" s="23">
        <f t="shared" si="19"/>
        <v>0</v>
      </c>
    </row>
    <row r="1157" spans="1:45" s="27" customFormat="1" ht="28.5" hidden="1" x14ac:dyDescent="0.2">
      <c r="A1157" s="28">
        <v>5701</v>
      </c>
      <c r="B1157" s="9" t="s">
        <v>513</v>
      </c>
      <c r="C1157" s="9" t="s">
        <v>514</v>
      </c>
      <c r="D1157" s="9" t="s">
        <v>234</v>
      </c>
      <c r="E1157" s="9" t="s">
        <v>702</v>
      </c>
      <c r="F1157" s="9" t="s">
        <v>199</v>
      </c>
      <c r="G1157" s="9" t="s">
        <v>809</v>
      </c>
      <c r="H1157" s="9" t="s">
        <v>831</v>
      </c>
      <c r="I1157" s="81"/>
      <c r="J1157" s="10">
        <f>'Messages Dictionary'!J582</f>
        <v>0</v>
      </c>
      <c r="K1157" s="81"/>
      <c r="L1157" s="29"/>
      <c r="M1157" s="29"/>
      <c r="N1157" s="23"/>
      <c r="O1157" s="23"/>
      <c r="P1157" s="23"/>
      <c r="Q1157" s="23"/>
      <c r="R1157" s="23"/>
      <c r="S1157" s="23"/>
      <c r="T1157" s="23"/>
      <c r="U1157" s="23"/>
      <c r="V1157" s="23"/>
      <c r="W1157" s="23"/>
      <c r="X1157" s="23"/>
      <c r="Y1157" s="23"/>
      <c r="Z1157" s="23"/>
      <c r="AA1157" s="23"/>
      <c r="AB1157" s="23"/>
      <c r="AC1157" s="23"/>
      <c r="AD1157" s="23"/>
      <c r="AE1157" s="23"/>
      <c r="AF1157" s="23"/>
      <c r="AG1157" s="23"/>
      <c r="AH1157" s="23"/>
      <c r="AI1157" s="23"/>
      <c r="AJ1157" s="23"/>
      <c r="AK1157" s="23"/>
      <c r="AL1157" s="23"/>
      <c r="AM1157" s="23"/>
      <c r="AN1157" s="23"/>
      <c r="AO1157" s="23"/>
      <c r="AP1157" s="23"/>
      <c r="AQ1157" s="23"/>
      <c r="AR1157" s="23"/>
      <c r="AS1157" s="23">
        <f t="shared" si="19"/>
        <v>0</v>
      </c>
    </row>
    <row r="1158" spans="1:45" s="27" customFormat="1" ht="42.75" hidden="1" x14ac:dyDescent="0.2">
      <c r="A1158" s="28">
        <v>5702</v>
      </c>
      <c r="B1158" s="9" t="s">
        <v>515</v>
      </c>
      <c r="C1158" s="9" t="s">
        <v>517</v>
      </c>
      <c r="D1158" s="9" t="s">
        <v>4</v>
      </c>
      <c r="E1158" s="9" t="s">
        <v>14</v>
      </c>
      <c r="F1158" s="9" t="s">
        <v>199</v>
      </c>
      <c r="G1158" s="9" t="s">
        <v>412</v>
      </c>
      <c r="H1158" s="9" t="s">
        <v>831</v>
      </c>
      <c r="I1158" s="81"/>
      <c r="J1158" s="10">
        <f>'Messages Dictionary'!J583</f>
        <v>0.5</v>
      </c>
      <c r="K1158" s="81"/>
      <c r="L1158" s="29"/>
      <c r="M1158" s="29"/>
      <c r="N1158" s="23"/>
      <c r="O1158" s="23"/>
      <c r="P1158" s="23"/>
      <c r="Q1158" s="23"/>
      <c r="R1158" s="23"/>
      <c r="S1158" s="23"/>
      <c r="T1158" s="23"/>
      <c r="U1158" s="23"/>
      <c r="V1158" s="23"/>
      <c r="W1158" s="23"/>
      <c r="X1158" s="23"/>
      <c r="Y1158" s="23"/>
      <c r="Z1158" s="23"/>
      <c r="AA1158" s="23"/>
      <c r="AB1158" s="23"/>
      <c r="AC1158" s="23"/>
      <c r="AD1158" s="23"/>
      <c r="AE1158" s="23"/>
      <c r="AF1158" s="23"/>
      <c r="AG1158" s="23"/>
      <c r="AH1158" s="23"/>
      <c r="AI1158" s="23"/>
      <c r="AJ1158" s="23"/>
      <c r="AK1158" s="23"/>
      <c r="AL1158" s="23"/>
      <c r="AM1158" s="23"/>
      <c r="AN1158" s="23"/>
      <c r="AO1158" s="23"/>
      <c r="AP1158" s="23"/>
      <c r="AQ1158" s="23"/>
      <c r="AR1158" s="23"/>
      <c r="AS1158" s="23">
        <f t="shared" si="19"/>
        <v>0</v>
      </c>
    </row>
    <row r="1159" spans="1:45" s="27" customFormat="1" ht="85.5" hidden="1" x14ac:dyDescent="0.2">
      <c r="A1159" s="28">
        <v>5703</v>
      </c>
      <c r="B1159" s="9" t="s">
        <v>518</v>
      </c>
      <c r="C1159" s="9" t="s">
        <v>519</v>
      </c>
      <c r="D1159" s="9" t="s">
        <v>404</v>
      </c>
      <c r="E1159" s="9" t="s">
        <v>404</v>
      </c>
      <c r="F1159" s="9" t="s">
        <v>199</v>
      </c>
      <c r="G1159" s="9" t="s">
        <v>412</v>
      </c>
      <c r="H1159" s="9" t="s">
        <v>831</v>
      </c>
      <c r="I1159" s="81"/>
      <c r="J1159" s="10">
        <f>'Messages Dictionary'!J584</f>
        <v>0.5</v>
      </c>
      <c r="K1159" s="81"/>
      <c r="L1159" s="29"/>
      <c r="M1159" s="29"/>
      <c r="N1159" s="23"/>
      <c r="O1159" s="23"/>
      <c r="P1159" s="23"/>
      <c r="Q1159" s="23"/>
      <c r="R1159" s="23"/>
      <c r="S1159" s="23"/>
      <c r="T1159" s="23"/>
      <c r="U1159" s="23"/>
      <c r="V1159" s="23"/>
      <c r="W1159" s="23"/>
      <c r="X1159" s="23"/>
      <c r="Y1159" s="23"/>
      <c r="Z1159" s="23"/>
      <c r="AA1159" s="23"/>
      <c r="AB1159" s="23"/>
      <c r="AC1159" s="23"/>
      <c r="AD1159" s="23"/>
      <c r="AE1159" s="23"/>
      <c r="AF1159" s="23"/>
      <c r="AG1159" s="23"/>
      <c r="AH1159" s="23"/>
      <c r="AI1159" s="23"/>
      <c r="AJ1159" s="23"/>
      <c r="AK1159" s="23"/>
      <c r="AL1159" s="23"/>
      <c r="AM1159" s="23"/>
      <c r="AN1159" s="23"/>
      <c r="AO1159" s="23"/>
      <c r="AP1159" s="23"/>
      <c r="AQ1159" s="23"/>
      <c r="AR1159" s="23"/>
      <c r="AS1159" s="23">
        <f t="shared" si="19"/>
        <v>0</v>
      </c>
    </row>
    <row r="1160" spans="1:45" s="27" customFormat="1" ht="28.5" hidden="1" x14ac:dyDescent="0.2">
      <c r="A1160" s="28">
        <v>10000</v>
      </c>
      <c r="B1160" s="9" t="s">
        <v>520</v>
      </c>
      <c r="C1160" s="9" t="s">
        <v>520</v>
      </c>
      <c r="D1160" s="9" t="s">
        <v>234</v>
      </c>
      <c r="E1160" s="9" t="s">
        <v>494</v>
      </c>
      <c r="F1160" s="9" t="s">
        <v>199</v>
      </c>
      <c r="G1160" s="9" t="s">
        <v>809</v>
      </c>
      <c r="H1160" s="9" t="s">
        <v>831</v>
      </c>
      <c r="I1160" s="81"/>
      <c r="J1160" s="10">
        <f>'Messages Dictionary'!J585</f>
        <v>0</v>
      </c>
      <c r="K1160" s="81"/>
      <c r="L1160" s="29"/>
      <c r="M1160" s="29"/>
      <c r="N1160" s="23"/>
      <c r="O1160" s="23"/>
      <c r="P1160" s="23"/>
      <c r="Q1160" s="23"/>
      <c r="R1160" s="23"/>
      <c r="S1160" s="23"/>
      <c r="T1160" s="23"/>
      <c r="U1160" s="23"/>
      <c r="V1160" s="23"/>
      <c r="W1160" s="23"/>
      <c r="X1160" s="23"/>
      <c r="Y1160" s="23"/>
      <c r="Z1160" s="23"/>
      <c r="AA1160" s="23"/>
      <c r="AB1160" s="23"/>
      <c r="AC1160" s="23"/>
      <c r="AD1160" s="23"/>
      <c r="AE1160" s="23"/>
      <c r="AF1160" s="23"/>
      <c r="AG1160" s="23"/>
      <c r="AH1160" s="23"/>
      <c r="AI1160" s="23"/>
      <c r="AJ1160" s="23"/>
      <c r="AK1160" s="23"/>
      <c r="AL1160" s="23"/>
      <c r="AM1160" s="23"/>
      <c r="AN1160" s="23"/>
      <c r="AO1160" s="23"/>
      <c r="AP1160" s="23"/>
      <c r="AQ1160" s="23"/>
      <c r="AR1160" s="23"/>
      <c r="AS1160" s="23">
        <f t="shared" si="19"/>
        <v>0</v>
      </c>
    </row>
    <row r="1161" spans="1:45" s="27" customFormat="1" hidden="1" x14ac:dyDescent="0.2">
      <c r="A1161" s="28">
        <v>10002</v>
      </c>
      <c r="B1161" s="9" t="s">
        <v>521</v>
      </c>
      <c r="C1161" s="9" t="s">
        <v>521</v>
      </c>
      <c r="D1161" s="9" t="s">
        <v>234</v>
      </c>
      <c r="E1161" s="9" t="s">
        <v>494</v>
      </c>
      <c r="F1161" s="9" t="s">
        <v>199</v>
      </c>
      <c r="G1161" s="9" t="s">
        <v>809</v>
      </c>
      <c r="H1161" s="9" t="s">
        <v>831</v>
      </c>
      <c r="I1161" s="81"/>
      <c r="J1161" s="10">
        <f>'Messages Dictionary'!J586</f>
        <v>0</v>
      </c>
      <c r="K1161" s="81"/>
      <c r="L1161" s="29"/>
      <c r="M1161" s="29"/>
      <c r="N1161" s="23"/>
      <c r="O1161" s="23"/>
      <c r="P1161" s="23"/>
      <c r="Q1161" s="23"/>
      <c r="R1161" s="23"/>
      <c r="S1161" s="23"/>
      <c r="T1161" s="23"/>
      <c r="U1161" s="23"/>
      <c r="V1161" s="23"/>
      <c r="W1161" s="23"/>
      <c r="X1161" s="23"/>
      <c r="Y1161" s="23"/>
      <c r="Z1161" s="23"/>
      <c r="AA1161" s="23"/>
      <c r="AB1161" s="23"/>
      <c r="AC1161" s="23"/>
      <c r="AD1161" s="23"/>
      <c r="AE1161" s="23"/>
      <c r="AF1161" s="23"/>
      <c r="AG1161" s="23"/>
      <c r="AH1161" s="23"/>
      <c r="AI1161" s="23"/>
      <c r="AJ1161" s="23"/>
      <c r="AK1161" s="23"/>
      <c r="AL1161" s="23"/>
      <c r="AM1161" s="23"/>
      <c r="AN1161" s="23"/>
      <c r="AO1161" s="23"/>
      <c r="AP1161" s="23"/>
      <c r="AQ1161" s="23"/>
      <c r="AR1161" s="23"/>
      <c r="AS1161" s="23">
        <f t="shared" si="19"/>
        <v>0</v>
      </c>
    </row>
    <row r="1162" spans="1:45" s="27" customFormat="1" ht="28.5" hidden="1" x14ac:dyDescent="0.2">
      <c r="A1162" s="28">
        <v>10003</v>
      </c>
      <c r="B1162" s="9" t="s">
        <v>522</v>
      </c>
      <c r="C1162" s="9" t="s">
        <v>523</v>
      </c>
      <c r="D1162" s="9" t="s">
        <v>234</v>
      </c>
      <c r="E1162" s="9" t="s">
        <v>494</v>
      </c>
      <c r="F1162" s="9" t="s">
        <v>199</v>
      </c>
      <c r="G1162" s="9" t="s">
        <v>809</v>
      </c>
      <c r="H1162" s="9" t="s">
        <v>831</v>
      </c>
      <c r="I1162" s="81"/>
      <c r="J1162" s="10">
        <f>'Messages Dictionary'!J587</f>
        <v>0</v>
      </c>
      <c r="K1162" s="81"/>
      <c r="L1162" s="29"/>
      <c r="M1162" s="29"/>
      <c r="N1162" s="23"/>
      <c r="O1162" s="23"/>
      <c r="P1162" s="23"/>
      <c r="Q1162" s="23"/>
      <c r="R1162" s="23"/>
      <c r="S1162" s="23"/>
      <c r="T1162" s="23"/>
      <c r="U1162" s="23"/>
      <c r="V1162" s="23"/>
      <c r="W1162" s="23"/>
      <c r="X1162" s="23"/>
      <c r="Y1162" s="23"/>
      <c r="Z1162" s="23"/>
      <c r="AA1162" s="23"/>
      <c r="AB1162" s="23"/>
      <c r="AC1162" s="23"/>
      <c r="AD1162" s="23"/>
      <c r="AE1162" s="23"/>
      <c r="AF1162" s="23"/>
      <c r="AG1162" s="23"/>
      <c r="AH1162" s="23"/>
      <c r="AI1162" s="23"/>
      <c r="AJ1162" s="23"/>
      <c r="AK1162" s="23"/>
      <c r="AL1162" s="23"/>
      <c r="AM1162" s="23"/>
      <c r="AN1162" s="23"/>
      <c r="AO1162" s="23"/>
      <c r="AP1162" s="23"/>
      <c r="AQ1162" s="23"/>
      <c r="AR1162" s="23"/>
      <c r="AS1162" s="23">
        <f t="shared" si="19"/>
        <v>0</v>
      </c>
    </row>
    <row r="1163" spans="1:45" s="27" customFormat="1" ht="28.5" hidden="1" x14ac:dyDescent="0.2">
      <c r="A1163" s="28">
        <v>10004</v>
      </c>
      <c r="B1163" s="9" t="s">
        <v>522</v>
      </c>
      <c r="C1163" s="9" t="s">
        <v>524</v>
      </c>
      <c r="D1163" s="9" t="s">
        <v>234</v>
      </c>
      <c r="E1163" s="9" t="s">
        <v>494</v>
      </c>
      <c r="F1163" s="9" t="s">
        <v>199</v>
      </c>
      <c r="G1163" s="9" t="s">
        <v>809</v>
      </c>
      <c r="H1163" s="9" t="s">
        <v>831</v>
      </c>
      <c r="I1163" s="81"/>
      <c r="J1163" s="10">
        <f>'Messages Dictionary'!J588</f>
        <v>0</v>
      </c>
      <c r="K1163" s="81"/>
      <c r="L1163" s="29"/>
      <c r="M1163" s="29"/>
      <c r="N1163" s="23"/>
      <c r="O1163" s="23"/>
      <c r="P1163" s="23"/>
      <c r="Q1163" s="23"/>
      <c r="R1163" s="23"/>
      <c r="S1163" s="23"/>
      <c r="T1163" s="23"/>
      <c r="U1163" s="23"/>
      <c r="V1163" s="23"/>
      <c r="W1163" s="23"/>
      <c r="X1163" s="23"/>
      <c r="Y1163" s="23"/>
      <c r="Z1163" s="23"/>
      <c r="AA1163" s="23"/>
      <c r="AB1163" s="23"/>
      <c r="AC1163" s="23"/>
      <c r="AD1163" s="23"/>
      <c r="AE1163" s="23"/>
      <c r="AF1163" s="23"/>
      <c r="AG1163" s="23"/>
      <c r="AH1163" s="23"/>
      <c r="AI1163" s="23"/>
      <c r="AJ1163" s="23"/>
      <c r="AK1163" s="23"/>
      <c r="AL1163" s="23"/>
      <c r="AM1163" s="23"/>
      <c r="AN1163" s="23"/>
      <c r="AO1163" s="23"/>
      <c r="AP1163" s="23"/>
      <c r="AQ1163" s="23"/>
      <c r="AR1163" s="23"/>
      <c r="AS1163" s="23">
        <f t="shared" si="19"/>
        <v>0</v>
      </c>
    </row>
    <row r="1164" spans="1:45" s="27" customFormat="1" ht="42.75" hidden="1" x14ac:dyDescent="0.2">
      <c r="A1164" s="28">
        <v>10005</v>
      </c>
      <c r="B1164" s="9" t="s">
        <v>527</v>
      </c>
      <c r="C1164" s="9" t="s">
        <v>528</v>
      </c>
      <c r="D1164" s="9" t="s">
        <v>234</v>
      </c>
      <c r="E1164" s="9" t="s">
        <v>494</v>
      </c>
      <c r="F1164" s="9" t="s">
        <v>199</v>
      </c>
      <c r="G1164" s="9" t="s">
        <v>809</v>
      </c>
      <c r="H1164" s="9" t="s">
        <v>831</v>
      </c>
      <c r="I1164" s="81"/>
      <c r="J1164" s="10">
        <f>'Messages Dictionary'!J589</f>
        <v>0</v>
      </c>
      <c r="K1164" s="81"/>
      <c r="L1164" s="29"/>
      <c r="M1164" s="29"/>
      <c r="N1164" s="23"/>
      <c r="O1164" s="23"/>
      <c r="P1164" s="23"/>
      <c r="Q1164" s="23"/>
      <c r="R1164" s="23"/>
      <c r="S1164" s="23"/>
      <c r="T1164" s="23"/>
      <c r="U1164" s="23"/>
      <c r="V1164" s="23"/>
      <c r="W1164" s="23"/>
      <c r="X1164" s="23"/>
      <c r="Y1164" s="23"/>
      <c r="Z1164" s="23"/>
      <c r="AA1164" s="23"/>
      <c r="AB1164" s="23"/>
      <c r="AC1164" s="23"/>
      <c r="AD1164" s="23"/>
      <c r="AE1164" s="23"/>
      <c r="AF1164" s="23"/>
      <c r="AG1164" s="23"/>
      <c r="AH1164" s="23"/>
      <c r="AI1164" s="23"/>
      <c r="AJ1164" s="23"/>
      <c r="AK1164" s="23"/>
      <c r="AL1164" s="23"/>
      <c r="AM1164" s="23"/>
      <c r="AN1164" s="23"/>
      <c r="AO1164" s="23"/>
      <c r="AP1164" s="23"/>
      <c r="AQ1164" s="23"/>
      <c r="AR1164" s="23"/>
      <c r="AS1164" s="23">
        <f t="shared" si="19"/>
        <v>0</v>
      </c>
    </row>
    <row r="1165" spans="1:45" s="27" customFormat="1" ht="42.75" hidden="1" x14ac:dyDescent="0.2">
      <c r="A1165" s="28">
        <v>10006</v>
      </c>
      <c r="B1165" s="9" t="s">
        <v>529</v>
      </c>
      <c r="C1165" s="9" t="s">
        <v>530</v>
      </c>
      <c r="D1165" s="9" t="s">
        <v>234</v>
      </c>
      <c r="E1165" s="9" t="s">
        <v>494</v>
      </c>
      <c r="F1165" s="9" t="s">
        <v>199</v>
      </c>
      <c r="G1165" s="9" t="s">
        <v>809</v>
      </c>
      <c r="H1165" s="9" t="s">
        <v>831</v>
      </c>
      <c r="I1165" s="81"/>
      <c r="J1165" s="10">
        <f>'Messages Dictionary'!J590</f>
        <v>0</v>
      </c>
      <c r="K1165" s="81"/>
      <c r="L1165" s="29"/>
      <c r="M1165" s="29"/>
      <c r="N1165" s="23"/>
      <c r="O1165" s="23"/>
      <c r="P1165" s="23"/>
      <c r="Q1165" s="23"/>
      <c r="R1165" s="23"/>
      <c r="S1165" s="23"/>
      <c r="T1165" s="23"/>
      <c r="U1165" s="23"/>
      <c r="V1165" s="23"/>
      <c r="W1165" s="23"/>
      <c r="X1165" s="23"/>
      <c r="Y1165" s="23"/>
      <c r="Z1165" s="23"/>
      <c r="AA1165" s="23"/>
      <c r="AB1165" s="23"/>
      <c r="AC1165" s="23"/>
      <c r="AD1165" s="23"/>
      <c r="AE1165" s="23"/>
      <c r="AF1165" s="23"/>
      <c r="AG1165" s="23"/>
      <c r="AH1165" s="23"/>
      <c r="AI1165" s="23"/>
      <c r="AJ1165" s="23"/>
      <c r="AK1165" s="23"/>
      <c r="AL1165" s="23"/>
      <c r="AM1165" s="23"/>
      <c r="AN1165" s="23"/>
      <c r="AO1165" s="23"/>
      <c r="AP1165" s="23"/>
      <c r="AQ1165" s="23"/>
      <c r="AR1165" s="23"/>
      <c r="AS1165" s="23">
        <f t="shared" si="19"/>
        <v>0</v>
      </c>
    </row>
    <row r="1166" spans="1:45" s="27" customFormat="1" ht="28.5" hidden="1" x14ac:dyDescent="0.2">
      <c r="A1166" s="28">
        <v>10007</v>
      </c>
      <c r="B1166" s="9" t="s">
        <v>522</v>
      </c>
      <c r="C1166" s="9" t="s">
        <v>531</v>
      </c>
      <c r="D1166" s="9" t="s">
        <v>234</v>
      </c>
      <c r="E1166" s="9" t="s">
        <v>494</v>
      </c>
      <c r="F1166" s="9" t="s">
        <v>199</v>
      </c>
      <c r="G1166" s="9" t="s">
        <v>809</v>
      </c>
      <c r="H1166" s="9" t="s">
        <v>831</v>
      </c>
      <c r="I1166" s="81"/>
      <c r="J1166" s="10">
        <f>'Messages Dictionary'!J591</f>
        <v>0</v>
      </c>
      <c r="K1166" s="81"/>
      <c r="L1166" s="29"/>
      <c r="M1166" s="29"/>
      <c r="N1166" s="23"/>
      <c r="O1166" s="23"/>
      <c r="P1166" s="23"/>
      <c r="Q1166" s="23"/>
      <c r="R1166" s="23"/>
      <c r="S1166" s="23"/>
      <c r="T1166" s="23"/>
      <c r="U1166" s="23"/>
      <c r="V1166" s="23"/>
      <c r="W1166" s="23"/>
      <c r="X1166" s="23"/>
      <c r="Y1166" s="23"/>
      <c r="Z1166" s="23"/>
      <c r="AA1166" s="23"/>
      <c r="AB1166" s="23"/>
      <c r="AC1166" s="23"/>
      <c r="AD1166" s="23"/>
      <c r="AE1166" s="23"/>
      <c r="AF1166" s="23"/>
      <c r="AG1166" s="23"/>
      <c r="AH1166" s="23"/>
      <c r="AI1166" s="23"/>
      <c r="AJ1166" s="23"/>
      <c r="AK1166" s="23"/>
      <c r="AL1166" s="23"/>
      <c r="AM1166" s="23"/>
      <c r="AN1166" s="23"/>
      <c r="AO1166" s="23"/>
      <c r="AP1166" s="23"/>
      <c r="AQ1166" s="23"/>
      <c r="AR1166" s="23"/>
      <c r="AS1166" s="23">
        <f t="shared" si="19"/>
        <v>0</v>
      </c>
    </row>
    <row r="1167" spans="1:45" s="27" customFormat="1" ht="57" hidden="1" x14ac:dyDescent="0.2">
      <c r="A1167" s="28">
        <v>10008</v>
      </c>
      <c r="B1167" s="9" t="s">
        <v>532</v>
      </c>
      <c r="C1167" s="9" t="s">
        <v>533</v>
      </c>
      <c r="D1167" s="9" t="s">
        <v>234</v>
      </c>
      <c r="E1167" s="9" t="s">
        <v>494</v>
      </c>
      <c r="F1167" s="9" t="s">
        <v>199</v>
      </c>
      <c r="G1167" s="9" t="s">
        <v>809</v>
      </c>
      <c r="H1167" s="9" t="s">
        <v>831</v>
      </c>
      <c r="I1167" s="81"/>
      <c r="J1167" s="10">
        <f>'Messages Dictionary'!J592</f>
        <v>0</v>
      </c>
      <c r="K1167" s="81"/>
      <c r="L1167" s="29"/>
      <c r="M1167" s="29"/>
      <c r="N1167" s="23"/>
      <c r="O1167" s="23"/>
      <c r="P1167" s="23"/>
      <c r="Q1167" s="23"/>
      <c r="R1167" s="23"/>
      <c r="S1167" s="23"/>
      <c r="T1167" s="23"/>
      <c r="U1167" s="23"/>
      <c r="V1167" s="23"/>
      <c r="W1167" s="23"/>
      <c r="X1167" s="23"/>
      <c r="Y1167" s="23"/>
      <c r="Z1167" s="23"/>
      <c r="AA1167" s="23"/>
      <c r="AB1167" s="23"/>
      <c r="AC1167" s="23"/>
      <c r="AD1167" s="23"/>
      <c r="AE1167" s="23"/>
      <c r="AF1167" s="23"/>
      <c r="AG1167" s="23"/>
      <c r="AH1167" s="23"/>
      <c r="AI1167" s="23"/>
      <c r="AJ1167" s="23"/>
      <c r="AK1167" s="23"/>
      <c r="AL1167" s="23"/>
      <c r="AM1167" s="23"/>
      <c r="AN1167" s="23"/>
      <c r="AO1167" s="23"/>
      <c r="AP1167" s="23"/>
      <c r="AQ1167" s="23"/>
      <c r="AR1167" s="23"/>
      <c r="AS1167" s="23">
        <f t="shared" si="19"/>
        <v>0</v>
      </c>
    </row>
    <row r="1168" spans="1:45" s="27" customFormat="1" ht="57" hidden="1" x14ac:dyDescent="0.2">
      <c r="A1168" s="28">
        <v>10009</v>
      </c>
      <c r="B1168" s="9" t="s">
        <v>534</v>
      </c>
      <c r="C1168" s="9" t="s">
        <v>533</v>
      </c>
      <c r="D1168" s="9" t="s">
        <v>234</v>
      </c>
      <c r="E1168" s="9" t="s">
        <v>494</v>
      </c>
      <c r="F1168" s="9" t="s">
        <v>199</v>
      </c>
      <c r="G1168" s="9" t="s">
        <v>809</v>
      </c>
      <c r="H1168" s="9" t="s">
        <v>831</v>
      </c>
      <c r="I1168" s="81"/>
      <c r="J1168" s="10">
        <f>'Messages Dictionary'!J593</f>
        <v>0</v>
      </c>
      <c r="K1168" s="81"/>
      <c r="L1168" s="29"/>
      <c r="M1168" s="29"/>
      <c r="N1168" s="23"/>
      <c r="O1168" s="23"/>
      <c r="P1168" s="23"/>
      <c r="Q1168" s="23"/>
      <c r="R1168" s="23"/>
      <c r="S1168" s="23"/>
      <c r="T1168" s="23"/>
      <c r="U1168" s="23"/>
      <c r="V1168" s="23"/>
      <c r="W1168" s="23"/>
      <c r="X1168" s="23"/>
      <c r="Y1168" s="23"/>
      <c r="Z1168" s="23"/>
      <c r="AA1168" s="23"/>
      <c r="AB1168" s="23"/>
      <c r="AC1168" s="23"/>
      <c r="AD1168" s="23"/>
      <c r="AE1168" s="23"/>
      <c r="AF1168" s="23"/>
      <c r="AG1168" s="23"/>
      <c r="AH1168" s="23"/>
      <c r="AI1168" s="23"/>
      <c r="AJ1168" s="23"/>
      <c r="AK1168" s="23"/>
      <c r="AL1168" s="23"/>
      <c r="AM1168" s="23"/>
      <c r="AN1168" s="23"/>
      <c r="AO1168" s="23"/>
      <c r="AP1168" s="23"/>
      <c r="AQ1168" s="23"/>
      <c r="AR1168" s="23"/>
      <c r="AS1168" s="23">
        <f t="shared" si="19"/>
        <v>0</v>
      </c>
    </row>
    <row r="1169" spans="1:45" s="27" customFormat="1" ht="71.25" hidden="1" x14ac:dyDescent="0.2">
      <c r="A1169" s="28">
        <v>10010</v>
      </c>
      <c r="B1169" s="9" t="s">
        <v>535</v>
      </c>
      <c r="C1169" s="9" t="s">
        <v>74</v>
      </c>
      <c r="D1169" s="9" t="s">
        <v>234</v>
      </c>
      <c r="E1169" s="9" t="s">
        <v>494</v>
      </c>
      <c r="F1169" s="9" t="s">
        <v>199</v>
      </c>
      <c r="G1169" s="9" t="s">
        <v>809</v>
      </c>
      <c r="H1169" s="9" t="s">
        <v>831</v>
      </c>
      <c r="I1169" s="81"/>
      <c r="J1169" s="10">
        <f>'Messages Dictionary'!J594</f>
        <v>0</v>
      </c>
      <c r="K1169" s="81"/>
      <c r="L1169" s="29"/>
      <c r="M1169" s="29"/>
      <c r="N1169" s="23"/>
      <c r="O1169" s="23"/>
      <c r="P1169" s="23"/>
      <c r="Q1169" s="23"/>
      <c r="R1169" s="23"/>
      <c r="S1169" s="23"/>
      <c r="T1169" s="23"/>
      <c r="U1169" s="23"/>
      <c r="V1169" s="23"/>
      <c r="W1169" s="23"/>
      <c r="X1169" s="23"/>
      <c r="Y1169" s="23"/>
      <c r="Z1169" s="23"/>
      <c r="AA1169" s="23"/>
      <c r="AB1169" s="23"/>
      <c r="AC1169" s="23"/>
      <c r="AD1169" s="23"/>
      <c r="AE1169" s="23"/>
      <c r="AF1169" s="23"/>
      <c r="AG1169" s="23"/>
      <c r="AH1169" s="23"/>
      <c r="AI1169" s="23"/>
      <c r="AJ1169" s="23"/>
      <c r="AK1169" s="23"/>
      <c r="AL1169" s="23"/>
      <c r="AM1169" s="23"/>
      <c r="AN1169" s="23"/>
      <c r="AO1169" s="23"/>
      <c r="AP1169" s="23"/>
      <c r="AQ1169" s="23"/>
      <c r="AR1169" s="23"/>
      <c r="AS1169" s="23">
        <f t="shared" si="19"/>
        <v>0</v>
      </c>
    </row>
    <row r="1170" spans="1:45" s="27" customFormat="1" ht="28.5" hidden="1" x14ac:dyDescent="0.2">
      <c r="A1170" s="28" t="s">
        <v>202</v>
      </c>
      <c r="B1170" s="9" t="s">
        <v>535</v>
      </c>
      <c r="C1170" s="9" t="s">
        <v>75</v>
      </c>
      <c r="D1170" s="9" t="s">
        <v>234</v>
      </c>
      <c r="E1170" s="9" t="s">
        <v>494</v>
      </c>
      <c r="F1170" s="9" t="s">
        <v>199</v>
      </c>
      <c r="G1170" s="9" t="s">
        <v>809</v>
      </c>
      <c r="H1170" s="9" t="s">
        <v>831</v>
      </c>
      <c r="I1170" s="81"/>
      <c r="J1170" s="10">
        <f>'Messages Dictionary'!J595</f>
        <v>0</v>
      </c>
      <c r="K1170" s="81"/>
      <c r="L1170" s="29"/>
      <c r="M1170" s="29"/>
      <c r="N1170" s="23"/>
      <c r="O1170" s="23"/>
      <c r="P1170" s="23"/>
      <c r="Q1170" s="23"/>
      <c r="R1170" s="23"/>
      <c r="S1170" s="23"/>
      <c r="T1170" s="23"/>
      <c r="U1170" s="23"/>
      <c r="V1170" s="23"/>
      <c r="W1170" s="23"/>
      <c r="X1170" s="23"/>
      <c r="Y1170" s="23"/>
      <c r="Z1170" s="23"/>
      <c r="AA1170" s="23"/>
      <c r="AB1170" s="23"/>
      <c r="AC1170" s="23"/>
      <c r="AD1170" s="23"/>
      <c r="AE1170" s="23"/>
      <c r="AF1170" s="23"/>
      <c r="AG1170" s="23"/>
      <c r="AH1170" s="23"/>
      <c r="AI1170" s="23"/>
      <c r="AJ1170" s="23"/>
      <c r="AK1170" s="23"/>
      <c r="AL1170" s="23"/>
      <c r="AM1170" s="23"/>
      <c r="AN1170" s="23"/>
      <c r="AO1170" s="23"/>
      <c r="AP1170" s="23"/>
      <c r="AQ1170" s="23"/>
      <c r="AR1170" s="23"/>
      <c r="AS1170" s="23">
        <f t="shared" si="19"/>
        <v>0</v>
      </c>
    </row>
    <row r="1171" spans="1:45" s="27" customFormat="1" ht="28.5" hidden="1" x14ac:dyDescent="0.2">
      <c r="A1171" s="28" t="s">
        <v>203</v>
      </c>
      <c r="B1171" s="9" t="s">
        <v>535</v>
      </c>
      <c r="C1171" s="9" t="s">
        <v>76</v>
      </c>
      <c r="D1171" s="9" t="s">
        <v>234</v>
      </c>
      <c r="E1171" s="9" t="s">
        <v>494</v>
      </c>
      <c r="F1171" s="9" t="s">
        <v>199</v>
      </c>
      <c r="G1171" s="9" t="s">
        <v>809</v>
      </c>
      <c r="H1171" s="9" t="s">
        <v>831</v>
      </c>
      <c r="I1171" s="81"/>
      <c r="J1171" s="10">
        <f>'Messages Dictionary'!J596</f>
        <v>0</v>
      </c>
      <c r="K1171" s="81"/>
      <c r="L1171" s="29"/>
      <c r="M1171" s="29"/>
      <c r="N1171" s="23"/>
      <c r="O1171" s="23"/>
      <c r="P1171" s="23"/>
      <c r="Q1171" s="23"/>
      <c r="R1171" s="23"/>
      <c r="S1171" s="23"/>
      <c r="T1171" s="23"/>
      <c r="U1171" s="23"/>
      <c r="V1171" s="23"/>
      <c r="W1171" s="23"/>
      <c r="X1171" s="23"/>
      <c r="Y1171" s="23"/>
      <c r="Z1171" s="23"/>
      <c r="AA1171" s="23"/>
      <c r="AB1171" s="23"/>
      <c r="AC1171" s="23"/>
      <c r="AD1171" s="23"/>
      <c r="AE1171" s="23"/>
      <c r="AF1171" s="23"/>
      <c r="AG1171" s="23"/>
      <c r="AH1171" s="23"/>
      <c r="AI1171" s="23"/>
      <c r="AJ1171" s="23"/>
      <c r="AK1171" s="23"/>
      <c r="AL1171" s="23"/>
      <c r="AM1171" s="23"/>
      <c r="AN1171" s="23"/>
      <c r="AO1171" s="23"/>
      <c r="AP1171" s="23"/>
      <c r="AQ1171" s="23"/>
      <c r="AR1171" s="23"/>
      <c r="AS1171" s="23">
        <f t="shared" si="19"/>
        <v>0</v>
      </c>
    </row>
    <row r="1172" spans="1:45" s="27" customFormat="1" ht="28.5" hidden="1" x14ac:dyDescent="0.2">
      <c r="A1172" s="28" t="s">
        <v>204</v>
      </c>
      <c r="B1172" s="9" t="s">
        <v>535</v>
      </c>
      <c r="C1172" s="9" t="s">
        <v>77</v>
      </c>
      <c r="D1172" s="9" t="s">
        <v>234</v>
      </c>
      <c r="E1172" s="9" t="s">
        <v>494</v>
      </c>
      <c r="F1172" s="9" t="s">
        <v>199</v>
      </c>
      <c r="G1172" s="9" t="s">
        <v>809</v>
      </c>
      <c r="H1172" s="9" t="s">
        <v>831</v>
      </c>
      <c r="I1172" s="81"/>
      <c r="J1172" s="10">
        <f>'Messages Dictionary'!J597</f>
        <v>0</v>
      </c>
      <c r="K1172" s="81"/>
      <c r="L1172" s="29"/>
      <c r="M1172" s="29"/>
      <c r="N1172" s="23"/>
      <c r="O1172" s="23"/>
      <c r="P1172" s="23"/>
      <c r="Q1172" s="23"/>
      <c r="R1172" s="23"/>
      <c r="S1172" s="23"/>
      <c r="T1172" s="23"/>
      <c r="U1172" s="23"/>
      <c r="V1172" s="23"/>
      <c r="W1172" s="23"/>
      <c r="X1172" s="23"/>
      <c r="Y1172" s="23"/>
      <c r="Z1172" s="23"/>
      <c r="AA1172" s="23"/>
      <c r="AB1172" s="23"/>
      <c r="AC1172" s="23"/>
      <c r="AD1172" s="23"/>
      <c r="AE1172" s="23"/>
      <c r="AF1172" s="23"/>
      <c r="AG1172" s="23"/>
      <c r="AH1172" s="23"/>
      <c r="AI1172" s="23"/>
      <c r="AJ1172" s="23"/>
      <c r="AK1172" s="23"/>
      <c r="AL1172" s="23"/>
      <c r="AM1172" s="23"/>
      <c r="AN1172" s="23"/>
      <c r="AO1172" s="23"/>
      <c r="AP1172" s="23"/>
      <c r="AQ1172" s="23"/>
      <c r="AR1172" s="23"/>
      <c r="AS1172" s="23">
        <f t="shared" si="19"/>
        <v>0</v>
      </c>
    </row>
    <row r="1173" spans="1:45" s="27" customFormat="1" ht="28.5" hidden="1" x14ac:dyDescent="0.2">
      <c r="A1173" s="28" t="s">
        <v>205</v>
      </c>
      <c r="B1173" s="9" t="s">
        <v>535</v>
      </c>
      <c r="C1173" s="9" t="s">
        <v>78</v>
      </c>
      <c r="D1173" s="9" t="s">
        <v>234</v>
      </c>
      <c r="E1173" s="9" t="s">
        <v>494</v>
      </c>
      <c r="F1173" s="9" t="s">
        <v>199</v>
      </c>
      <c r="G1173" s="9" t="s">
        <v>809</v>
      </c>
      <c r="H1173" s="9" t="s">
        <v>831</v>
      </c>
      <c r="I1173" s="81"/>
      <c r="J1173" s="10">
        <f>'Messages Dictionary'!J598</f>
        <v>0</v>
      </c>
      <c r="K1173" s="81"/>
      <c r="L1173" s="29"/>
      <c r="M1173" s="29"/>
      <c r="N1173" s="23"/>
      <c r="O1173" s="23"/>
      <c r="P1173" s="23"/>
      <c r="Q1173" s="23"/>
      <c r="R1173" s="23"/>
      <c r="S1173" s="23"/>
      <c r="T1173" s="23"/>
      <c r="U1173" s="23"/>
      <c r="V1173" s="23"/>
      <c r="W1173" s="23"/>
      <c r="X1173" s="23"/>
      <c r="Y1173" s="23"/>
      <c r="Z1173" s="23"/>
      <c r="AA1173" s="23"/>
      <c r="AB1173" s="23"/>
      <c r="AC1173" s="23"/>
      <c r="AD1173" s="23"/>
      <c r="AE1173" s="23"/>
      <c r="AF1173" s="23"/>
      <c r="AG1173" s="23"/>
      <c r="AH1173" s="23"/>
      <c r="AI1173" s="23"/>
      <c r="AJ1173" s="23"/>
      <c r="AK1173" s="23"/>
      <c r="AL1173" s="23"/>
      <c r="AM1173" s="23"/>
      <c r="AN1173" s="23"/>
      <c r="AO1173" s="23"/>
      <c r="AP1173" s="23"/>
      <c r="AQ1173" s="23"/>
      <c r="AR1173" s="23"/>
      <c r="AS1173" s="23">
        <f t="shared" si="19"/>
        <v>0</v>
      </c>
    </row>
    <row r="1174" spans="1:45" s="27" customFormat="1" ht="28.5" hidden="1" x14ac:dyDescent="0.2">
      <c r="A1174" s="28" t="s">
        <v>206</v>
      </c>
      <c r="B1174" s="9" t="s">
        <v>535</v>
      </c>
      <c r="C1174" s="9" t="s">
        <v>79</v>
      </c>
      <c r="D1174" s="9" t="s">
        <v>234</v>
      </c>
      <c r="E1174" s="9" t="s">
        <v>494</v>
      </c>
      <c r="F1174" s="9" t="s">
        <v>199</v>
      </c>
      <c r="G1174" s="9" t="s">
        <v>809</v>
      </c>
      <c r="H1174" s="9" t="s">
        <v>831</v>
      </c>
      <c r="I1174" s="81"/>
      <c r="J1174" s="10">
        <f>'Messages Dictionary'!J599</f>
        <v>0</v>
      </c>
      <c r="K1174" s="81"/>
      <c r="L1174" s="29"/>
      <c r="M1174" s="29"/>
      <c r="N1174" s="23"/>
      <c r="O1174" s="23"/>
      <c r="P1174" s="23"/>
      <c r="Q1174" s="23"/>
      <c r="R1174" s="23"/>
      <c r="S1174" s="23"/>
      <c r="T1174" s="23"/>
      <c r="U1174" s="23"/>
      <c r="V1174" s="23"/>
      <c r="W1174" s="23"/>
      <c r="X1174" s="23"/>
      <c r="Y1174" s="23"/>
      <c r="Z1174" s="23"/>
      <c r="AA1174" s="23"/>
      <c r="AB1174" s="23"/>
      <c r="AC1174" s="23"/>
      <c r="AD1174" s="23"/>
      <c r="AE1174" s="23"/>
      <c r="AF1174" s="23"/>
      <c r="AG1174" s="23"/>
      <c r="AH1174" s="23"/>
      <c r="AI1174" s="23"/>
      <c r="AJ1174" s="23"/>
      <c r="AK1174" s="23"/>
      <c r="AL1174" s="23"/>
      <c r="AM1174" s="23"/>
      <c r="AN1174" s="23"/>
      <c r="AO1174" s="23"/>
      <c r="AP1174" s="23"/>
      <c r="AQ1174" s="23"/>
      <c r="AR1174" s="23"/>
      <c r="AS1174" s="23">
        <f t="shared" si="19"/>
        <v>0</v>
      </c>
    </row>
    <row r="1175" spans="1:45" s="27" customFormat="1" ht="28.5" hidden="1" x14ac:dyDescent="0.2">
      <c r="A1175" s="28" t="s">
        <v>207</v>
      </c>
      <c r="B1175" s="9" t="s">
        <v>80</v>
      </c>
      <c r="C1175" s="9" t="s">
        <v>81</v>
      </c>
      <c r="D1175" s="9" t="s">
        <v>234</v>
      </c>
      <c r="E1175" s="9" t="s">
        <v>494</v>
      </c>
      <c r="F1175" s="9" t="s">
        <v>199</v>
      </c>
      <c r="G1175" s="9" t="s">
        <v>809</v>
      </c>
      <c r="H1175" s="9" t="s">
        <v>831</v>
      </c>
      <c r="I1175" s="81"/>
      <c r="J1175" s="10">
        <f>'Messages Dictionary'!J600</f>
        <v>0</v>
      </c>
      <c r="K1175" s="81"/>
      <c r="L1175" s="29"/>
      <c r="M1175" s="29"/>
      <c r="N1175" s="23"/>
      <c r="O1175" s="23"/>
      <c r="P1175" s="23"/>
      <c r="Q1175" s="23"/>
      <c r="R1175" s="23"/>
      <c r="S1175" s="23"/>
      <c r="T1175" s="23"/>
      <c r="U1175" s="23"/>
      <c r="V1175" s="23"/>
      <c r="W1175" s="23"/>
      <c r="X1175" s="23"/>
      <c r="Y1175" s="23"/>
      <c r="Z1175" s="23"/>
      <c r="AA1175" s="23"/>
      <c r="AB1175" s="23"/>
      <c r="AC1175" s="23"/>
      <c r="AD1175" s="23"/>
      <c r="AE1175" s="23"/>
      <c r="AF1175" s="23"/>
      <c r="AG1175" s="23"/>
      <c r="AH1175" s="23"/>
      <c r="AI1175" s="23"/>
      <c r="AJ1175" s="23"/>
      <c r="AK1175" s="23"/>
      <c r="AL1175" s="23"/>
      <c r="AM1175" s="23"/>
      <c r="AN1175" s="23"/>
      <c r="AO1175" s="23"/>
      <c r="AP1175" s="23"/>
      <c r="AQ1175" s="23"/>
      <c r="AR1175" s="23"/>
      <c r="AS1175" s="23">
        <f t="shared" si="19"/>
        <v>0</v>
      </c>
    </row>
    <row r="1176" spans="1:45" s="27" customFormat="1" ht="42.75" hidden="1" x14ac:dyDescent="0.2">
      <c r="A1176" s="28" t="s">
        <v>208</v>
      </c>
      <c r="B1176" s="9" t="s">
        <v>82</v>
      </c>
      <c r="C1176" s="9" t="s">
        <v>296</v>
      </c>
      <c r="D1176" s="9" t="s">
        <v>234</v>
      </c>
      <c r="E1176" s="9" t="s">
        <v>494</v>
      </c>
      <c r="F1176" s="9" t="s">
        <v>199</v>
      </c>
      <c r="G1176" s="9" t="s">
        <v>809</v>
      </c>
      <c r="H1176" s="9" t="s">
        <v>831</v>
      </c>
      <c r="I1176" s="81"/>
      <c r="J1176" s="10">
        <f>'Messages Dictionary'!J601</f>
        <v>0</v>
      </c>
      <c r="K1176" s="81"/>
      <c r="L1176" s="29"/>
      <c r="M1176" s="29"/>
      <c r="N1176" s="23"/>
      <c r="O1176" s="23"/>
      <c r="P1176" s="23"/>
      <c r="Q1176" s="23"/>
      <c r="R1176" s="23"/>
      <c r="S1176" s="23"/>
      <c r="T1176" s="23"/>
      <c r="U1176" s="23"/>
      <c r="V1176" s="23"/>
      <c r="W1176" s="23"/>
      <c r="X1176" s="23"/>
      <c r="Y1176" s="23"/>
      <c r="Z1176" s="23"/>
      <c r="AA1176" s="23"/>
      <c r="AB1176" s="23"/>
      <c r="AC1176" s="23"/>
      <c r="AD1176" s="23"/>
      <c r="AE1176" s="23"/>
      <c r="AF1176" s="23"/>
      <c r="AG1176" s="23"/>
      <c r="AH1176" s="23"/>
      <c r="AI1176" s="23"/>
      <c r="AJ1176" s="23"/>
      <c r="AK1176" s="23"/>
      <c r="AL1176" s="23"/>
      <c r="AM1176" s="23"/>
      <c r="AN1176" s="23"/>
      <c r="AO1176" s="23"/>
      <c r="AP1176" s="23"/>
      <c r="AQ1176" s="23"/>
      <c r="AR1176" s="23"/>
      <c r="AS1176" s="23">
        <f t="shared" si="19"/>
        <v>0</v>
      </c>
    </row>
    <row r="1177" spans="1:45" s="27" customFormat="1" ht="28.5" hidden="1" x14ac:dyDescent="0.2">
      <c r="A1177" s="28" t="s">
        <v>209</v>
      </c>
      <c r="B1177" s="9" t="s">
        <v>83</v>
      </c>
      <c r="C1177" s="9" t="s">
        <v>84</v>
      </c>
      <c r="D1177" s="9" t="s">
        <v>234</v>
      </c>
      <c r="E1177" s="9" t="s">
        <v>494</v>
      </c>
      <c r="F1177" s="9" t="s">
        <v>199</v>
      </c>
      <c r="G1177" s="9" t="s">
        <v>809</v>
      </c>
      <c r="H1177" s="9" t="s">
        <v>831</v>
      </c>
      <c r="I1177" s="81"/>
      <c r="J1177" s="10">
        <f>'Messages Dictionary'!J602</f>
        <v>0</v>
      </c>
      <c r="K1177" s="81"/>
      <c r="L1177" s="29"/>
      <c r="M1177" s="29"/>
      <c r="N1177" s="23"/>
      <c r="O1177" s="23"/>
      <c r="P1177" s="23"/>
      <c r="Q1177" s="23"/>
      <c r="R1177" s="23"/>
      <c r="S1177" s="23"/>
      <c r="T1177" s="23"/>
      <c r="U1177" s="23"/>
      <c r="V1177" s="23"/>
      <c r="W1177" s="23"/>
      <c r="X1177" s="23"/>
      <c r="Y1177" s="23"/>
      <c r="Z1177" s="23"/>
      <c r="AA1177" s="23"/>
      <c r="AB1177" s="23"/>
      <c r="AC1177" s="23"/>
      <c r="AD1177" s="23"/>
      <c r="AE1177" s="23"/>
      <c r="AF1177" s="23"/>
      <c r="AG1177" s="23"/>
      <c r="AH1177" s="23"/>
      <c r="AI1177" s="23"/>
      <c r="AJ1177" s="23"/>
      <c r="AK1177" s="23"/>
      <c r="AL1177" s="23"/>
      <c r="AM1177" s="23"/>
      <c r="AN1177" s="23"/>
      <c r="AO1177" s="23"/>
      <c r="AP1177" s="23"/>
      <c r="AQ1177" s="23"/>
      <c r="AR1177" s="23"/>
      <c r="AS1177" s="23">
        <f t="shared" si="19"/>
        <v>0</v>
      </c>
    </row>
    <row r="1178" spans="1:45" s="27" customFormat="1" ht="42.75" hidden="1" x14ac:dyDescent="0.2">
      <c r="A1178" s="28" t="s">
        <v>210</v>
      </c>
      <c r="B1178" s="9" t="s">
        <v>306</v>
      </c>
      <c r="C1178" s="9" t="s">
        <v>307</v>
      </c>
      <c r="D1178" s="9" t="s">
        <v>234</v>
      </c>
      <c r="E1178" s="9" t="s">
        <v>494</v>
      </c>
      <c r="F1178" s="9" t="s">
        <v>199</v>
      </c>
      <c r="G1178" s="9" t="s">
        <v>809</v>
      </c>
      <c r="H1178" s="9" t="s">
        <v>831</v>
      </c>
      <c r="I1178" s="81"/>
      <c r="J1178" s="10">
        <f>'Messages Dictionary'!J603</f>
        <v>0</v>
      </c>
      <c r="K1178" s="81"/>
      <c r="L1178" s="29"/>
      <c r="M1178" s="29"/>
      <c r="N1178" s="23"/>
      <c r="O1178" s="23"/>
      <c r="P1178" s="23"/>
      <c r="Q1178" s="23"/>
      <c r="R1178" s="23"/>
      <c r="S1178" s="23"/>
      <c r="T1178" s="23"/>
      <c r="U1178" s="23"/>
      <c r="V1178" s="23"/>
      <c r="W1178" s="23"/>
      <c r="X1178" s="23"/>
      <c r="Y1178" s="23"/>
      <c r="Z1178" s="23"/>
      <c r="AA1178" s="23"/>
      <c r="AB1178" s="23"/>
      <c r="AC1178" s="23"/>
      <c r="AD1178" s="23"/>
      <c r="AE1178" s="23"/>
      <c r="AF1178" s="23"/>
      <c r="AG1178" s="23"/>
      <c r="AH1178" s="23"/>
      <c r="AI1178" s="23"/>
      <c r="AJ1178" s="23"/>
      <c r="AK1178" s="23"/>
      <c r="AL1178" s="23"/>
      <c r="AM1178" s="23"/>
      <c r="AN1178" s="23"/>
      <c r="AO1178" s="23"/>
      <c r="AP1178" s="23"/>
      <c r="AQ1178" s="23"/>
      <c r="AR1178" s="23"/>
      <c r="AS1178" s="23">
        <f t="shared" si="19"/>
        <v>0</v>
      </c>
    </row>
    <row r="1179" spans="1:45" s="27" customFormat="1" ht="42.75" hidden="1" x14ac:dyDescent="0.2">
      <c r="A1179" s="28" t="s">
        <v>211</v>
      </c>
      <c r="B1179" s="9" t="s">
        <v>85</v>
      </c>
      <c r="C1179" s="9" t="s">
        <v>86</v>
      </c>
      <c r="D1179" s="9" t="s">
        <v>234</v>
      </c>
      <c r="E1179" s="9" t="s">
        <v>494</v>
      </c>
      <c r="F1179" s="9" t="s">
        <v>199</v>
      </c>
      <c r="G1179" s="9" t="s">
        <v>809</v>
      </c>
      <c r="H1179" s="9" t="s">
        <v>831</v>
      </c>
      <c r="I1179" s="81"/>
      <c r="J1179" s="10">
        <f>'Messages Dictionary'!J604</f>
        <v>0</v>
      </c>
      <c r="K1179" s="81"/>
      <c r="L1179" s="29"/>
      <c r="M1179" s="29"/>
      <c r="N1179" s="23"/>
      <c r="O1179" s="23"/>
      <c r="P1179" s="23"/>
      <c r="Q1179" s="23"/>
      <c r="R1179" s="23"/>
      <c r="S1179" s="23"/>
      <c r="T1179" s="23"/>
      <c r="U1179" s="23"/>
      <c r="V1179" s="23"/>
      <c r="W1179" s="23"/>
      <c r="X1179" s="23"/>
      <c r="Y1179" s="23"/>
      <c r="Z1179" s="23"/>
      <c r="AA1179" s="23"/>
      <c r="AB1179" s="23"/>
      <c r="AC1179" s="23"/>
      <c r="AD1179" s="23"/>
      <c r="AE1179" s="23"/>
      <c r="AF1179" s="23"/>
      <c r="AG1179" s="23"/>
      <c r="AH1179" s="23"/>
      <c r="AI1179" s="23"/>
      <c r="AJ1179" s="23"/>
      <c r="AK1179" s="23"/>
      <c r="AL1179" s="23"/>
      <c r="AM1179" s="23"/>
      <c r="AN1179" s="23"/>
      <c r="AO1179" s="23"/>
      <c r="AP1179" s="23"/>
      <c r="AQ1179" s="23"/>
      <c r="AR1179" s="23"/>
      <c r="AS1179" s="23">
        <f t="shared" si="19"/>
        <v>0</v>
      </c>
    </row>
    <row r="1180" spans="1:45" s="27" customFormat="1" ht="57" hidden="1" x14ac:dyDescent="0.2">
      <c r="A1180" s="28" t="s">
        <v>45</v>
      </c>
      <c r="B1180" s="9" t="s">
        <v>87</v>
      </c>
      <c r="C1180" s="9" t="s">
        <v>88</v>
      </c>
      <c r="D1180" s="9" t="s">
        <v>234</v>
      </c>
      <c r="E1180" s="9" t="s">
        <v>494</v>
      </c>
      <c r="F1180" s="9" t="s">
        <v>199</v>
      </c>
      <c r="G1180" s="9" t="s">
        <v>809</v>
      </c>
      <c r="H1180" s="9" t="s">
        <v>831</v>
      </c>
      <c r="I1180" s="81"/>
      <c r="J1180" s="10">
        <f>'Messages Dictionary'!J605</f>
        <v>0</v>
      </c>
      <c r="K1180" s="81"/>
      <c r="L1180" s="29"/>
      <c r="M1180" s="29"/>
      <c r="N1180" s="23"/>
      <c r="O1180" s="23"/>
      <c r="P1180" s="23"/>
      <c r="Q1180" s="23"/>
      <c r="R1180" s="23"/>
      <c r="S1180" s="23"/>
      <c r="T1180" s="23"/>
      <c r="U1180" s="23"/>
      <c r="V1180" s="23"/>
      <c r="W1180" s="23"/>
      <c r="X1180" s="23"/>
      <c r="Y1180" s="23"/>
      <c r="Z1180" s="23"/>
      <c r="AA1180" s="23"/>
      <c r="AB1180" s="23"/>
      <c r="AC1180" s="23"/>
      <c r="AD1180" s="23"/>
      <c r="AE1180" s="23"/>
      <c r="AF1180" s="23"/>
      <c r="AG1180" s="23"/>
      <c r="AH1180" s="23"/>
      <c r="AI1180" s="23"/>
      <c r="AJ1180" s="23"/>
      <c r="AK1180" s="23"/>
      <c r="AL1180" s="23"/>
      <c r="AM1180" s="23"/>
      <c r="AN1180" s="23"/>
      <c r="AO1180" s="23"/>
      <c r="AP1180" s="23"/>
      <c r="AQ1180" s="23"/>
      <c r="AR1180" s="23"/>
      <c r="AS1180" s="23">
        <f t="shared" si="19"/>
        <v>0</v>
      </c>
    </row>
    <row r="1181" spans="1:45" s="27" customFormat="1" ht="28.5" hidden="1" x14ac:dyDescent="0.2">
      <c r="A1181" s="28" t="s">
        <v>46</v>
      </c>
      <c r="B1181" s="9" t="s">
        <v>520</v>
      </c>
      <c r="C1181" s="9" t="s">
        <v>89</v>
      </c>
      <c r="D1181" s="9" t="s">
        <v>234</v>
      </c>
      <c r="E1181" s="9" t="s">
        <v>494</v>
      </c>
      <c r="F1181" s="9" t="s">
        <v>199</v>
      </c>
      <c r="G1181" s="9" t="s">
        <v>809</v>
      </c>
      <c r="H1181" s="9" t="s">
        <v>831</v>
      </c>
      <c r="I1181" s="81"/>
      <c r="J1181" s="10">
        <f>'Messages Dictionary'!J606</f>
        <v>0</v>
      </c>
      <c r="K1181" s="81"/>
      <c r="L1181" s="29"/>
      <c r="M1181" s="29"/>
      <c r="N1181" s="23"/>
      <c r="O1181" s="23"/>
      <c r="P1181" s="23"/>
      <c r="Q1181" s="23"/>
      <c r="R1181" s="23"/>
      <c r="S1181" s="23"/>
      <c r="T1181" s="23"/>
      <c r="U1181" s="23"/>
      <c r="V1181" s="23"/>
      <c r="W1181" s="23"/>
      <c r="X1181" s="23"/>
      <c r="Y1181" s="23"/>
      <c r="Z1181" s="23"/>
      <c r="AA1181" s="23"/>
      <c r="AB1181" s="23"/>
      <c r="AC1181" s="23"/>
      <c r="AD1181" s="23"/>
      <c r="AE1181" s="23"/>
      <c r="AF1181" s="23"/>
      <c r="AG1181" s="23"/>
      <c r="AH1181" s="23"/>
      <c r="AI1181" s="23"/>
      <c r="AJ1181" s="23"/>
      <c r="AK1181" s="23"/>
      <c r="AL1181" s="23"/>
      <c r="AM1181" s="23"/>
      <c r="AN1181" s="23"/>
      <c r="AO1181" s="23"/>
      <c r="AP1181" s="23"/>
      <c r="AQ1181" s="23"/>
      <c r="AR1181" s="23"/>
      <c r="AS1181" s="23">
        <f t="shared" si="19"/>
        <v>0</v>
      </c>
    </row>
    <row r="1182" spans="1:45" s="27" customFormat="1" ht="28.5" hidden="1" x14ac:dyDescent="0.2">
      <c r="A1182" s="28" t="s">
        <v>47</v>
      </c>
      <c r="B1182" s="9" t="s">
        <v>522</v>
      </c>
      <c r="C1182" s="9" t="s">
        <v>90</v>
      </c>
      <c r="D1182" s="9" t="s">
        <v>234</v>
      </c>
      <c r="E1182" s="9" t="s">
        <v>494</v>
      </c>
      <c r="F1182" s="9" t="s">
        <v>199</v>
      </c>
      <c r="G1182" s="9" t="s">
        <v>809</v>
      </c>
      <c r="H1182" s="9" t="s">
        <v>831</v>
      </c>
      <c r="I1182" s="81"/>
      <c r="J1182" s="10">
        <f>'Messages Dictionary'!J607</f>
        <v>0</v>
      </c>
      <c r="K1182" s="81"/>
      <c r="L1182" s="29"/>
      <c r="M1182" s="29"/>
      <c r="N1182" s="23"/>
      <c r="O1182" s="23"/>
      <c r="P1182" s="23"/>
      <c r="Q1182" s="23"/>
      <c r="R1182" s="23"/>
      <c r="S1182" s="23"/>
      <c r="T1182" s="23"/>
      <c r="U1182" s="23"/>
      <c r="V1182" s="23"/>
      <c r="W1182" s="23"/>
      <c r="X1182" s="23"/>
      <c r="Y1182" s="23"/>
      <c r="Z1182" s="23"/>
      <c r="AA1182" s="23"/>
      <c r="AB1182" s="23"/>
      <c r="AC1182" s="23"/>
      <c r="AD1182" s="23"/>
      <c r="AE1182" s="23"/>
      <c r="AF1182" s="23"/>
      <c r="AG1182" s="23"/>
      <c r="AH1182" s="23"/>
      <c r="AI1182" s="23"/>
      <c r="AJ1182" s="23"/>
      <c r="AK1182" s="23"/>
      <c r="AL1182" s="23"/>
      <c r="AM1182" s="23"/>
      <c r="AN1182" s="23"/>
      <c r="AO1182" s="23"/>
      <c r="AP1182" s="23"/>
      <c r="AQ1182" s="23"/>
      <c r="AR1182" s="23"/>
      <c r="AS1182" s="23">
        <f t="shared" si="19"/>
        <v>0</v>
      </c>
    </row>
    <row r="1183" spans="1:45" s="27" customFormat="1" ht="28.5" hidden="1" x14ac:dyDescent="0.2">
      <c r="A1183" s="28" t="s">
        <v>48</v>
      </c>
      <c r="B1183" s="9" t="s">
        <v>535</v>
      </c>
      <c r="C1183" s="9" t="s">
        <v>91</v>
      </c>
      <c r="D1183" s="9" t="s">
        <v>234</v>
      </c>
      <c r="E1183" s="9" t="s">
        <v>494</v>
      </c>
      <c r="F1183" s="9" t="s">
        <v>199</v>
      </c>
      <c r="G1183" s="9" t="s">
        <v>809</v>
      </c>
      <c r="H1183" s="9" t="s">
        <v>831</v>
      </c>
      <c r="I1183" s="81"/>
      <c r="J1183" s="10">
        <f>'Messages Dictionary'!J608</f>
        <v>0</v>
      </c>
      <c r="K1183" s="81"/>
      <c r="L1183" s="29"/>
      <c r="M1183" s="29"/>
      <c r="N1183" s="23"/>
      <c r="O1183" s="23"/>
      <c r="P1183" s="23"/>
      <c r="Q1183" s="23"/>
      <c r="R1183" s="23"/>
      <c r="S1183" s="23"/>
      <c r="T1183" s="23"/>
      <c r="U1183" s="23"/>
      <c r="V1183" s="23"/>
      <c r="W1183" s="23"/>
      <c r="X1183" s="23"/>
      <c r="Y1183" s="23"/>
      <c r="Z1183" s="23"/>
      <c r="AA1183" s="23"/>
      <c r="AB1183" s="23"/>
      <c r="AC1183" s="23"/>
      <c r="AD1183" s="23"/>
      <c r="AE1183" s="23"/>
      <c r="AF1183" s="23"/>
      <c r="AG1183" s="23"/>
      <c r="AH1183" s="23"/>
      <c r="AI1183" s="23"/>
      <c r="AJ1183" s="23"/>
      <c r="AK1183" s="23"/>
      <c r="AL1183" s="23"/>
      <c r="AM1183" s="23"/>
      <c r="AN1183" s="23"/>
      <c r="AO1183" s="23"/>
      <c r="AP1183" s="23"/>
      <c r="AQ1183" s="23"/>
      <c r="AR1183" s="23"/>
      <c r="AS1183" s="23">
        <f t="shared" si="19"/>
        <v>0</v>
      </c>
    </row>
    <row r="1184" spans="1:45" s="27" customFormat="1" ht="42.75" hidden="1" x14ac:dyDescent="0.2">
      <c r="A1184" s="28" t="s">
        <v>49</v>
      </c>
      <c r="B1184" s="9" t="s">
        <v>92</v>
      </c>
      <c r="C1184" s="9" t="s">
        <v>93</v>
      </c>
      <c r="D1184" s="9" t="s">
        <v>234</v>
      </c>
      <c r="E1184" s="9" t="s">
        <v>494</v>
      </c>
      <c r="F1184" s="9" t="s">
        <v>199</v>
      </c>
      <c r="G1184" s="9" t="s">
        <v>809</v>
      </c>
      <c r="H1184" s="9" t="s">
        <v>831</v>
      </c>
      <c r="I1184" s="81"/>
      <c r="J1184" s="10">
        <f>'Messages Dictionary'!J609</f>
        <v>0</v>
      </c>
      <c r="K1184" s="81"/>
      <c r="L1184" s="29"/>
      <c r="M1184" s="29"/>
      <c r="N1184" s="23"/>
      <c r="O1184" s="23"/>
      <c r="P1184" s="23"/>
      <c r="Q1184" s="23"/>
      <c r="R1184" s="23"/>
      <c r="S1184" s="23"/>
      <c r="T1184" s="23"/>
      <c r="U1184" s="23"/>
      <c r="V1184" s="23"/>
      <c r="W1184" s="23"/>
      <c r="X1184" s="23"/>
      <c r="Y1184" s="23"/>
      <c r="Z1184" s="23"/>
      <c r="AA1184" s="23"/>
      <c r="AB1184" s="23"/>
      <c r="AC1184" s="23"/>
      <c r="AD1184" s="23"/>
      <c r="AE1184" s="23"/>
      <c r="AF1184" s="23"/>
      <c r="AG1184" s="23"/>
      <c r="AH1184" s="23"/>
      <c r="AI1184" s="23"/>
      <c r="AJ1184" s="23"/>
      <c r="AK1184" s="23"/>
      <c r="AL1184" s="23"/>
      <c r="AM1184" s="23"/>
      <c r="AN1184" s="23"/>
      <c r="AO1184" s="23"/>
      <c r="AP1184" s="23"/>
      <c r="AQ1184" s="23"/>
      <c r="AR1184" s="23"/>
      <c r="AS1184" s="23">
        <f t="shared" si="19"/>
        <v>0</v>
      </c>
    </row>
    <row r="1185" spans="1:45" s="27" customFormat="1" ht="28.5" hidden="1" x14ac:dyDescent="0.2">
      <c r="A1185" s="28" t="s">
        <v>50</v>
      </c>
      <c r="B1185" s="9" t="s">
        <v>520</v>
      </c>
      <c r="C1185" s="9" t="s">
        <v>217</v>
      </c>
      <c r="D1185" s="9" t="s">
        <v>234</v>
      </c>
      <c r="E1185" s="9" t="s">
        <v>494</v>
      </c>
      <c r="F1185" s="9" t="s">
        <v>199</v>
      </c>
      <c r="G1185" s="9" t="s">
        <v>809</v>
      </c>
      <c r="H1185" s="9" t="s">
        <v>831</v>
      </c>
      <c r="I1185" s="81"/>
      <c r="J1185" s="10">
        <f>'Messages Dictionary'!J611</f>
        <v>0</v>
      </c>
      <c r="K1185" s="81"/>
      <c r="L1185" s="29"/>
      <c r="M1185" s="29"/>
      <c r="N1185" s="23"/>
      <c r="O1185" s="23"/>
      <c r="P1185" s="23"/>
      <c r="Q1185" s="23"/>
      <c r="R1185" s="23"/>
      <c r="S1185" s="23"/>
      <c r="T1185" s="23"/>
      <c r="U1185" s="23"/>
      <c r="V1185" s="23"/>
      <c r="W1185" s="23"/>
      <c r="X1185" s="23"/>
      <c r="Y1185" s="23"/>
      <c r="Z1185" s="23"/>
      <c r="AA1185" s="23"/>
      <c r="AB1185" s="23"/>
      <c r="AC1185" s="23"/>
      <c r="AD1185" s="23"/>
      <c r="AE1185" s="23"/>
      <c r="AF1185" s="23"/>
      <c r="AG1185" s="23"/>
      <c r="AH1185" s="23"/>
      <c r="AI1185" s="23"/>
      <c r="AJ1185" s="23"/>
      <c r="AK1185" s="23"/>
      <c r="AL1185" s="23"/>
      <c r="AM1185" s="23"/>
      <c r="AN1185" s="23"/>
      <c r="AO1185" s="23"/>
      <c r="AP1185" s="23"/>
      <c r="AQ1185" s="23"/>
      <c r="AR1185" s="23"/>
      <c r="AS1185" s="23">
        <f t="shared" si="19"/>
        <v>0</v>
      </c>
    </row>
    <row r="1186" spans="1:45" s="27" customFormat="1" ht="42.75" hidden="1" x14ac:dyDescent="0.2">
      <c r="A1186" s="28" t="s">
        <v>51</v>
      </c>
      <c r="B1186" s="9" t="s">
        <v>107</v>
      </c>
      <c r="C1186" s="9" t="s">
        <v>108</v>
      </c>
      <c r="D1186" s="9" t="s">
        <v>234</v>
      </c>
      <c r="E1186" s="9" t="s">
        <v>494</v>
      </c>
      <c r="F1186" s="9" t="s">
        <v>199</v>
      </c>
      <c r="G1186" s="9" t="s">
        <v>809</v>
      </c>
      <c r="H1186" s="9" t="s">
        <v>831</v>
      </c>
      <c r="I1186" s="81"/>
      <c r="J1186" s="10">
        <f>'Messages Dictionary'!J612</f>
        <v>0</v>
      </c>
      <c r="K1186" s="81"/>
      <c r="L1186" s="29"/>
      <c r="M1186" s="29"/>
      <c r="N1186" s="23"/>
      <c r="O1186" s="23"/>
      <c r="P1186" s="23"/>
      <c r="Q1186" s="23"/>
      <c r="R1186" s="23"/>
      <c r="S1186" s="23"/>
      <c r="T1186" s="23"/>
      <c r="U1186" s="23"/>
      <c r="V1186" s="23"/>
      <c r="W1186" s="23"/>
      <c r="X1186" s="23"/>
      <c r="Y1186" s="23"/>
      <c r="Z1186" s="23"/>
      <c r="AA1186" s="23"/>
      <c r="AB1186" s="23"/>
      <c r="AC1186" s="23"/>
      <c r="AD1186" s="23"/>
      <c r="AE1186" s="23"/>
      <c r="AF1186" s="23"/>
      <c r="AG1186" s="23"/>
      <c r="AH1186" s="23"/>
      <c r="AI1186" s="23"/>
      <c r="AJ1186" s="23"/>
      <c r="AK1186" s="23"/>
      <c r="AL1186" s="23"/>
      <c r="AM1186" s="23"/>
      <c r="AN1186" s="23"/>
      <c r="AO1186" s="23"/>
      <c r="AP1186" s="23"/>
      <c r="AQ1186" s="23"/>
      <c r="AR1186" s="23"/>
      <c r="AS1186" s="23">
        <f t="shared" si="19"/>
        <v>0</v>
      </c>
    </row>
    <row r="1187" spans="1:45" s="27" customFormat="1" ht="28.5" hidden="1" x14ac:dyDescent="0.2">
      <c r="A1187" s="28" t="s">
        <v>52</v>
      </c>
      <c r="B1187" s="9" t="s">
        <v>535</v>
      </c>
      <c r="C1187" s="9" t="s">
        <v>109</v>
      </c>
      <c r="D1187" s="9" t="s">
        <v>234</v>
      </c>
      <c r="E1187" s="9" t="s">
        <v>494</v>
      </c>
      <c r="F1187" s="9" t="s">
        <v>199</v>
      </c>
      <c r="G1187" s="9" t="s">
        <v>809</v>
      </c>
      <c r="H1187" s="9" t="s">
        <v>831</v>
      </c>
      <c r="I1187" s="81"/>
      <c r="J1187" s="10">
        <f>'Messages Dictionary'!J613</f>
        <v>0</v>
      </c>
      <c r="K1187" s="81"/>
      <c r="L1187" s="29"/>
      <c r="M1187" s="29"/>
      <c r="N1187" s="23"/>
      <c r="O1187" s="23"/>
      <c r="P1187" s="23"/>
      <c r="Q1187" s="23"/>
      <c r="R1187" s="23"/>
      <c r="S1187" s="23"/>
      <c r="T1187" s="23"/>
      <c r="U1187" s="23"/>
      <c r="V1187" s="23"/>
      <c r="W1187" s="23"/>
      <c r="X1187" s="23"/>
      <c r="Y1187" s="23"/>
      <c r="Z1187" s="23"/>
      <c r="AA1187" s="23"/>
      <c r="AB1187" s="23"/>
      <c r="AC1187" s="23"/>
      <c r="AD1187" s="23"/>
      <c r="AE1187" s="23"/>
      <c r="AF1187" s="23"/>
      <c r="AG1187" s="23"/>
      <c r="AH1187" s="23"/>
      <c r="AI1187" s="23"/>
      <c r="AJ1187" s="23"/>
      <c r="AK1187" s="23"/>
      <c r="AL1187" s="23"/>
      <c r="AM1187" s="23"/>
      <c r="AN1187" s="23"/>
      <c r="AO1187" s="23"/>
      <c r="AP1187" s="23"/>
      <c r="AQ1187" s="23"/>
      <c r="AR1187" s="23"/>
      <c r="AS1187" s="23">
        <f>AS588*$J1187</f>
        <v>0</v>
      </c>
    </row>
    <row r="1188" spans="1:45" s="27" customFormat="1" hidden="1" x14ac:dyDescent="0.2">
      <c r="A1188" s="73"/>
      <c r="B1188" s="30"/>
      <c r="C1188" s="30"/>
      <c r="D1188" s="30"/>
      <c r="E1188" s="30"/>
      <c r="F1188" s="30"/>
      <c r="G1188" s="30"/>
      <c r="H1188" s="30"/>
      <c r="I1188" s="81"/>
      <c r="J1188" s="74"/>
      <c r="K1188" s="81"/>
      <c r="L1188" s="29"/>
      <c r="M1188" s="29"/>
      <c r="N1188" s="81"/>
      <c r="O1188" s="81"/>
      <c r="P1188" s="81"/>
      <c r="Q1188" s="81"/>
      <c r="R1188" s="81"/>
      <c r="S1188" s="81"/>
      <c r="T1188" s="81"/>
      <c r="U1188" s="81"/>
      <c r="V1188" s="81"/>
      <c r="W1188" s="81"/>
      <c r="X1188" s="81"/>
      <c r="Y1188" s="81"/>
      <c r="Z1188" s="81"/>
      <c r="AA1188" s="81"/>
      <c r="AB1188" s="81"/>
      <c r="AC1188" s="81"/>
      <c r="AD1188" s="81"/>
      <c r="AE1188" s="81"/>
      <c r="AF1188" s="81"/>
      <c r="AG1188" s="81"/>
      <c r="AH1188" s="81"/>
      <c r="AI1188" s="81"/>
      <c r="AJ1188" s="81"/>
      <c r="AK1188" s="81"/>
      <c r="AL1188" s="81"/>
      <c r="AM1188" s="81"/>
      <c r="AN1188" s="81"/>
      <c r="AO1188" s="81"/>
      <c r="AP1188" s="81"/>
      <c r="AQ1188" s="81"/>
      <c r="AR1188" s="81"/>
      <c r="AS1188" s="81"/>
    </row>
    <row r="1189" spans="1:45" s="27" customFormat="1" hidden="1" x14ac:dyDescent="0.2">
      <c r="A1189" s="73"/>
      <c r="B1189" s="30"/>
      <c r="C1189" s="30"/>
      <c r="D1189" s="30"/>
      <c r="E1189" s="30"/>
      <c r="F1189" s="30"/>
      <c r="G1189" s="30"/>
      <c r="H1189" s="30"/>
      <c r="I1189" s="81"/>
      <c r="J1189" s="74"/>
      <c r="K1189" s="81"/>
      <c r="L1189" s="29"/>
      <c r="M1189" s="29"/>
      <c r="N1189" s="81"/>
      <c r="O1189" s="81"/>
      <c r="P1189" s="81"/>
      <c r="Q1189" s="81"/>
      <c r="R1189" s="81"/>
      <c r="S1189" s="81"/>
      <c r="T1189" s="81"/>
      <c r="U1189" s="81"/>
      <c r="V1189" s="81"/>
      <c r="W1189" s="81"/>
      <c r="X1189" s="81"/>
      <c r="Y1189" s="81"/>
      <c r="Z1189" s="81"/>
      <c r="AA1189" s="81"/>
      <c r="AB1189" s="81"/>
      <c r="AC1189" s="81"/>
      <c r="AD1189" s="81"/>
      <c r="AE1189" s="81"/>
      <c r="AF1189" s="81"/>
      <c r="AG1189" s="81"/>
      <c r="AH1189" s="81"/>
      <c r="AI1189" s="81"/>
      <c r="AJ1189" s="81"/>
      <c r="AK1189" s="81"/>
      <c r="AL1189" s="81"/>
      <c r="AM1189" s="81"/>
      <c r="AN1189" s="81"/>
      <c r="AO1189" s="81"/>
      <c r="AP1189" s="81"/>
      <c r="AQ1189" s="81"/>
      <c r="AR1189" s="81"/>
      <c r="AS1189" s="81"/>
    </row>
    <row r="1190" spans="1:45" s="27" customFormat="1" hidden="1" x14ac:dyDescent="0.2">
      <c r="A1190" s="73"/>
      <c r="B1190" s="30"/>
      <c r="C1190" s="30"/>
      <c r="D1190" s="30"/>
      <c r="E1190" s="30"/>
      <c r="F1190" s="30"/>
      <c r="G1190" s="30"/>
      <c r="H1190" s="30"/>
      <c r="I1190" s="81"/>
      <c r="J1190" s="74"/>
      <c r="K1190" s="81"/>
      <c r="L1190" s="29"/>
      <c r="M1190" s="29"/>
      <c r="N1190" s="81"/>
      <c r="O1190" s="81"/>
      <c r="P1190" s="81"/>
      <c r="Q1190" s="81"/>
      <c r="R1190" s="81"/>
      <c r="S1190" s="81"/>
      <c r="T1190" s="81"/>
      <c r="U1190" s="81"/>
      <c r="V1190" s="81"/>
      <c r="W1190" s="81"/>
      <c r="X1190" s="81"/>
      <c r="Y1190" s="81"/>
      <c r="Z1190" s="81"/>
      <c r="AA1190" s="81"/>
      <c r="AB1190" s="81"/>
      <c r="AC1190" s="81"/>
      <c r="AD1190" s="81"/>
      <c r="AE1190" s="81"/>
      <c r="AF1190" s="81"/>
      <c r="AG1190" s="81"/>
      <c r="AH1190" s="81"/>
      <c r="AI1190" s="81"/>
      <c r="AJ1190" s="81"/>
      <c r="AK1190" s="81"/>
      <c r="AL1190" s="81"/>
      <c r="AM1190" s="81"/>
      <c r="AN1190" s="81"/>
      <c r="AO1190" s="81"/>
      <c r="AP1190" s="81"/>
      <c r="AQ1190" s="81"/>
      <c r="AR1190" s="81"/>
      <c r="AS1190" s="81"/>
    </row>
    <row r="1191" spans="1:45" s="27" customFormat="1" hidden="1" x14ac:dyDescent="0.2">
      <c r="A1191" s="73"/>
      <c r="B1191" s="30"/>
      <c r="C1191" s="30"/>
      <c r="D1191" s="30"/>
      <c r="E1191" s="30"/>
      <c r="F1191" s="30"/>
      <c r="G1191" s="30"/>
      <c r="H1191" s="30"/>
      <c r="I1191" s="81"/>
      <c r="J1191" s="74"/>
      <c r="K1191" s="81"/>
      <c r="L1191" s="29"/>
      <c r="M1191" s="29"/>
      <c r="N1191" s="81"/>
      <c r="O1191" s="81"/>
      <c r="P1191" s="81"/>
      <c r="Q1191" s="81"/>
      <c r="R1191" s="81"/>
      <c r="S1191" s="81"/>
      <c r="T1191" s="81"/>
      <c r="U1191" s="81"/>
      <c r="V1191" s="81"/>
      <c r="W1191" s="81"/>
      <c r="X1191" s="81"/>
      <c r="Y1191" s="81"/>
      <c r="Z1191" s="81"/>
      <c r="AA1191" s="81"/>
      <c r="AB1191" s="81"/>
      <c r="AC1191" s="81"/>
      <c r="AD1191" s="81"/>
      <c r="AE1191" s="81"/>
      <c r="AF1191" s="81"/>
      <c r="AG1191" s="81"/>
      <c r="AH1191" s="81"/>
      <c r="AI1191" s="81"/>
      <c r="AJ1191" s="81"/>
      <c r="AK1191" s="81"/>
      <c r="AL1191" s="81"/>
      <c r="AM1191" s="81"/>
      <c r="AN1191" s="81"/>
      <c r="AO1191" s="81"/>
      <c r="AP1191" s="81"/>
      <c r="AQ1191" s="81"/>
      <c r="AR1191" s="81"/>
      <c r="AS1191" s="81"/>
    </row>
    <row r="1192" spans="1:45" s="27" customFormat="1" hidden="1" x14ac:dyDescent="0.2">
      <c r="A1192" s="73"/>
      <c r="B1192" s="30"/>
      <c r="C1192" s="30"/>
      <c r="D1192" s="30"/>
      <c r="E1192" s="30"/>
      <c r="F1192" s="30"/>
      <c r="G1192" s="30"/>
      <c r="H1192" s="30"/>
      <c r="I1192" s="81"/>
      <c r="J1192" s="74"/>
      <c r="K1192" s="81"/>
      <c r="L1192" s="29"/>
      <c r="M1192" s="29"/>
      <c r="N1192" s="81"/>
      <c r="O1192" s="81"/>
      <c r="P1192" s="81"/>
      <c r="Q1192" s="81"/>
      <c r="R1192" s="81"/>
      <c r="S1192" s="81"/>
      <c r="T1192" s="81"/>
      <c r="U1192" s="81"/>
      <c r="V1192" s="81"/>
      <c r="W1192" s="81"/>
      <c r="X1192" s="81"/>
      <c r="Y1192" s="81"/>
      <c r="Z1192" s="81"/>
      <c r="AA1192" s="81"/>
      <c r="AB1192" s="81"/>
      <c r="AC1192" s="81"/>
      <c r="AD1192" s="81"/>
      <c r="AE1192" s="81"/>
      <c r="AF1192" s="81"/>
      <c r="AG1192" s="81"/>
      <c r="AH1192" s="81"/>
      <c r="AI1192" s="81"/>
      <c r="AJ1192" s="81"/>
      <c r="AK1192" s="81"/>
      <c r="AL1192" s="81"/>
      <c r="AM1192" s="81"/>
      <c r="AN1192" s="81"/>
      <c r="AO1192" s="81"/>
      <c r="AP1192" s="81"/>
      <c r="AQ1192" s="81"/>
      <c r="AR1192" s="81"/>
      <c r="AS1192" s="81"/>
    </row>
    <row r="1193" spans="1:45" s="27" customFormat="1" hidden="1" x14ac:dyDescent="0.2">
      <c r="A1193" s="73"/>
      <c r="B1193" s="30"/>
      <c r="C1193" s="30"/>
      <c r="D1193" s="30"/>
      <c r="E1193" s="30"/>
      <c r="F1193" s="30"/>
      <c r="G1193" s="30"/>
      <c r="H1193" s="30"/>
      <c r="I1193" s="81"/>
      <c r="J1193" s="74"/>
      <c r="K1193" s="81"/>
      <c r="L1193" s="29"/>
      <c r="M1193" s="29"/>
      <c r="N1193" s="81"/>
      <c r="O1193" s="81"/>
      <c r="P1193" s="81"/>
      <c r="Q1193" s="81"/>
      <c r="R1193" s="81"/>
      <c r="S1193" s="81"/>
      <c r="T1193" s="81"/>
      <c r="U1193" s="81"/>
      <c r="V1193" s="81"/>
      <c r="W1193" s="81"/>
      <c r="X1193" s="81"/>
      <c r="Y1193" s="81"/>
      <c r="Z1193" s="81"/>
      <c r="AA1193" s="81"/>
      <c r="AB1193" s="81"/>
      <c r="AC1193" s="81"/>
      <c r="AD1193" s="81"/>
      <c r="AE1193" s="81"/>
      <c r="AF1193" s="81"/>
      <c r="AG1193" s="81"/>
      <c r="AH1193" s="81"/>
      <c r="AI1193" s="81"/>
      <c r="AJ1193" s="81"/>
      <c r="AK1193" s="81"/>
      <c r="AL1193" s="81"/>
      <c r="AM1193" s="81"/>
      <c r="AN1193" s="81"/>
      <c r="AO1193" s="81"/>
      <c r="AP1193" s="81"/>
      <c r="AQ1193" s="81"/>
      <c r="AR1193" s="81"/>
      <c r="AS1193" s="81"/>
    </row>
    <row r="1194" spans="1:45" s="27" customFormat="1" hidden="1" x14ac:dyDescent="0.2">
      <c r="A1194" s="73"/>
      <c r="B1194" s="30"/>
      <c r="C1194" s="30"/>
      <c r="D1194" s="30"/>
      <c r="E1194" s="30"/>
      <c r="F1194" s="30"/>
      <c r="G1194" s="30"/>
      <c r="H1194" s="30"/>
      <c r="I1194" s="81"/>
      <c r="J1194" s="74"/>
      <c r="K1194" s="81"/>
      <c r="L1194" s="29"/>
      <c r="M1194" s="29"/>
      <c r="N1194" s="81"/>
      <c r="O1194" s="81"/>
      <c r="P1194" s="81"/>
      <c r="Q1194" s="81"/>
      <c r="R1194" s="81"/>
      <c r="S1194" s="81"/>
      <c r="T1194" s="81"/>
      <c r="U1194" s="81"/>
      <c r="V1194" s="81"/>
      <c r="W1194" s="81"/>
      <c r="X1194" s="81"/>
      <c r="Y1194" s="81"/>
      <c r="Z1194" s="81"/>
      <c r="AA1194" s="81"/>
      <c r="AB1194" s="81"/>
      <c r="AC1194" s="81"/>
      <c r="AD1194" s="81"/>
      <c r="AE1194" s="81"/>
      <c r="AF1194" s="81"/>
      <c r="AG1194" s="81"/>
      <c r="AH1194" s="81"/>
      <c r="AI1194" s="81"/>
      <c r="AJ1194" s="81"/>
      <c r="AK1194" s="81"/>
      <c r="AL1194" s="81"/>
      <c r="AM1194" s="81"/>
      <c r="AN1194" s="81"/>
      <c r="AO1194" s="81"/>
      <c r="AP1194" s="81"/>
      <c r="AQ1194" s="81"/>
      <c r="AR1194" s="81"/>
      <c r="AS1194" s="81"/>
    </row>
    <row r="1195" spans="1:45" s="27" customFormat="1" hidden="1" x14ac:dyDescent="0.2">
      <c r="A1195" s="73"/>
      <c r="B1195" s="30"/>
      <c r="C1195" s="30"/>
      <c r="D1195" s="30"/>
      <c r="E1195" s="30"/>
      <c r="F1195" s="30"/>
      <c r="G1195" s="30"/>
      <c r="H1195" s="30"/>
      <c r="I1195" s="81"/>
      <c r="J1195" s="74"/>
      <c r="K1195" s="81"/>
      <c r="L1195" s="29"/>
      <c r="M1195" s="29"/>
      <c r="N1195" s="81"/>
      <c r="O1195" s="81"/>
      <c r="P1195" s="81"/>
      <c r="Q1195" s="81"/>
      <c r="R1195" s="81"/>
      <c r="S1195" s="81"/>
      <c r="T1195" s="81"/>
      <c r="U1195" s="81"/>
      <c r="V1195" s="81"/>
      <c r="W1195" s="81"/>
      <c r="X1195" s="81"/>
      <c r="Y1195" s="81"/>
      <c r="Z1195" s="81"/>
      <c r="AA1195" s="81"/>
      <c r="AB1195" s="81"/>
      <c r="AC1195" s="81"/>
      <c r="AD1195" s="81"/>
      <c r="AE1195" s="81"/>
      <c r="AF1195" s="81"/>
      <c r="AG1195" s="81"/>
      <c r="AH1195" s="81"/>
      <c r="AI1195" s="81"/>
      <c r="AJ1195" s="81"/>
      <c r="AK1195" s="81"/>
      <c r="AL1195" s="81"/>
      <c r="AM1195" s="81"/>
      <c r="AN1195" s="81"/>
      <c r="AO1195" s="81"/>
      <c r="AP1195" s="81"/>
      <c r="AQ1195" s="81"/>
      <c r="AR1195" s="81"/>
      <c r="AS1195" s="81"/>
    </row>
    <row r="1196" spans="1:45" s="27" customFormat="1" hidden="1" x14ac:dyDescent="0.2">
      <c r="A1196" s="73"/>
      <c r="B1196" s="30"/>
      <c r="C1196" s="30"/>
      <c r="D1196" s="30"/>
      <c r="E1196" s="30"/>
      <c r="F1196" s="30"/>
      <c r="G1196" s="30"/>
      <c r="H1196" s="30"/>
      <c r="I1196" s="81"/>
      <c r="J1196" s="74"/>
      <c r="K1196" s="81"/>
      <c r="L1196" s="29"/>
      <c r="M1196" s="29"/>
      <c r="N1196" s="81"/>
      <c r="O1196" s="81"/>
      <c r="P1196" s="81"/>
      <c r="Q1196" s="81"/>
      <c r="R1196" s="81"/>
      <c r="S1196" s="81"/>
      <c r="T1196" s="81"/>
      <c r="U1196" s="81"/>
      <c r="V1196" s="81"/>
      <c r="W1196" s="81"/>
      <c r="X1196" s="81"/>
      <c r="Y1196" s="81"/>
      <c r="Z1196" s="81"/>
      <c r="AA1196" s="81"/>
      <c r="AB1196" s="81"/>
      <c r="AC1196" s="81"/>
      <c r="AD1196" s="81"/>
      <c r="AE1196" s="81"/>
      <c r="AF1196" s="81"/>
      <c r="AG1196" s="81"/>
      <c r="AH1196" s="81"/>
      <c r="AI1196" s="81"/>
      <c r="AJ1196" s="81"/>
      <c r="AK1196" s="81"/>
      <c r="AL1196" s="81"/>
      <c r="AM1196" s="81"/>
      <c r="AN1196" s="81"/>
      <c r="AO1196" s="81"/>
      <c r="AP1196" s="81"/>
      <c r="AQ1196" s="81"/>
      <c r="AR1196" s="81"/>
      <c r="AS1196" s="81"/>
    </row>
    <row r="1197" spans="1:45" s="27" customFormat="1" hidden="1" x14ac:dyDescent="0.2">
      <c r="A1197" s="73"/>
      <c r="B1197" s="30"/>
      <c r="C1197" s="30"/>
      <c r="D1197" s="30"/>
      <c r="E1197" s="30"/>
      <c r="F1197" s="30"/>
      <c r="G1197" s="30"/>
      <c r="H1197" s="30"/>
      <c r="I1197" s="81"/>
      <c r="J1197" s="74"/>
      <c r="K1197" s="81"/>
      <c r="L1197" s="29"/>
      <c r="M1197" s="29"/>
      <c r="N1197" s="81"/>
      <c r="O1197" s="81"/>
      <c r="P1197" s="81"/>
      <c r="Q1197" s="81"/>
      <c r="R1197" s="81"/>
      <c r="S1197" s="81"/>
      <c r="T1197" s="81"/>
      <c r="U1197" s="81"/>
      <c r="V1197" s="81"/>
      <c r="W1197" s="81"/>
      <c r="X1197" s="81"/>
      <c r="Y1197" s="81"/>
      <c r="Z1197" s="81"/>
      <c r="AA1197" s="81"/>
      <c r="AB1197" s="81"/>
      <c r="AC1197" s="81"/>
      <c r="AD1197" s="81"/>
      <c r="AE1197" s="81"/>
      <c r="AF1197" s="81"/>
      <c r="AG1197" s="81"/>
      <c r="AH1197" s="81"/>
      <c r="AI1197" s="81"/>
      <c r="AJ1197" s="81"/>
      <c r="AK1197" s="81"/>
      <c r="AL1197" s="81"/>
      <c r="AM1197" s="81"/>
      <c r="AN1197" s="81"/>
      <c r="AO1197" s="81"/>
      <c r="AP1197" s="81"/>
      <c r="AQ1197" s="81"/>
      <c r="AR1197" s="81"/>
      <c r="AS1197" s="81"/>
    </row>
    <row r="1198" spans="1:45" s="27" customFormat="1" hidden="1" x14ac:dyDescent="0.2">
      <c r="A1198" s="73"/>
      <c r="B1198" s="30"/>
      <c r="C1198" s="30"/>
      <c r="D1198" s="30"/>
      <c r="E1198" s="30"/>
      <c r="F1198" s="30"/>
      <c r="G1198" s="30"/>
      <c r="H1198" s="30"/>
      <c r="I1198" s="81"/>
      <c r="J1198" s="74"/>
      <c r="K1198" s="81"/>
      <c r="L1198" s="29"/>
      <c r="M1198" s="29"/>
      <c r="O1198" s="81"/>
      <c r="P1198" s="81"/>
      <c r="Q1198" s="81"/>
      <c r="R1198" s="81"/>
      <c r="S1198" s="81"/>
      <c r="T1198" s="81"/>
      <c r="U1198" s="81"/>
      <c r="V1198" s="81"/>
      <c r="W1198" s="81"/>
      <c r="X1198" s="81"/>
      <c r="Y1198" s="81"/>
      <c r="Z1198" s="81"/>
      <c r="AA1198" s="81"/>
      <c r="AB1198" s="81"/>
      <c r="AC1198" s="81"/>
      <c r="AD1198" s="81"/>
      <c r="AE1198" s="81"/>
      <c r="AF1198" s="81"/>
      <c r="AG1198" s="81"/>
      <c r="AH1198" s="81"/>
      <c r="AI1198" s="81"/>
      <c r="AJ1198" s="81"/>
      <c r="AK1198" s="81"/>
      <c r="AL1198" s="81"/>
      <c r="AM1198" s="81"/>
      <c r="AN1198" s="81"/>
      <c r="AO1198" s="81"/>
      <c r="AP1198" s="81"/>
      <c r="AQ1198" s="81"/>
      <c r="AR1198" s="81"/>
      <c r="AS1198" s="81"/>
    </row>
    <row r="1200" spans="1:45" s="75" customFormat="1" ht="26.25" thickBot="1" x14ac:dyDescent="0.25">
      <c r="B1200" s="189" t="s">
        <v>395</v>
      </c>
      <c r="C1200" s="76"/>
      <c r="G1200" s="76"/>
      <c r="H1200" s="76"/>
      <c r="I1200" s="58"/>
      <c r="K1200" s="58"/>
      <c r="L1200" s="204" t="s">
        <v>891</v>
      </c>
      <c r="M1200" s="204" t="s">
        <v>905</v>
      </c>
      <c r="N1200" s="205">
        <v>0</v>
      </c>
      <c r="O1200" s="205">
        <v>-1</v>
      </c>
      <c r="P1200" s="205">
        <v>-2</v>
      </c>
      <c r="Q1200" s="205">
        <v>-3</v>
      </c>
      <c r="R1200" s="205">
        <v>-4</v>
      </c>
      <c r="S1200" s="205">
        <v>-5</v>
      </c>
      <c r="T1200" s="205">
        <v>-6</v>
      </c>
      <c r="U1200" s="205">
        <v>-7</v>
      </c>
      <c r="V1200" s="205">
        <v>-8</v>
      </c>
      <c r="W1200" s="205">
        <v>-9</v>
      </c>
      <c r="X1200" s="205">
        <v>-10</v>
      </c>
      <c r="Y1200" s="205">
        <v>-11</v>
      </c>
      <c r="Z1200" s="205">
        <v>-12</v>
      </c>
      <c r="AA1200" s="205">
        <v>-13</v>
      </c>
      <c r="AB1200" s="205">
        <v>-14</v>
      </c>
      <c r="AC1200" s="205">
        <v>-15</v>
      </c>
      <c r="AD1200" s="205">
        <v>-16</v>
      </c>
      <c r="AE1200" s="205">
        <v>-17</v>
      </c>
      <c r="AF1200" s="205">
        <v>-18</v>
      </c>
      <c r="AG1200" s="205">
        <v>-19</v>
      </c>
      <c r="AH1200" s="205">
        <v>-20</v>
      </c>
      <c r="AI1200" s="205">
        <v>-21</v>
      </c>
      <c r="AJ1200" s="205">
        <v>-22</v>
      </c>
      <c r="AK1200" s="205">
        <v>-23</v>
      </c>
      <c r="AL1200" s="205">
        <v>-24</v>
      </c>
      <c r="AM1200" s="205">
        <v>-25</v>
      </c>
      <c r="AN1200" s="205">
        <v>-26</v>
      </c>
      <c r="AO1200" s="205">
        <v>-27</v>
      </c>
      <c r="AP1200" s="205">
        <v>-28</v>
      </c>
      <c r="AQ1200" s="205">
        <v>-29</v>
      </c>
      <c r="AR1200" s="206">
        <v>-30</v>
      </c>
      <c r="AS1200" s="193" t="s">
        <v>904</v>
      </c>
    </row>
    <row r="1201" spans="1:45" ht="15" thickTop="1" x14ac:dyDescent="0.2">
      <c r="B1201" s="188" t="s">
        <v>894</v>
      </c>
      <c r="L1201" s="239">
        <f>'Final Table'!I4</f>
        <v>3</v>
      </c>
      <c r="M1201" s="239">
        <v>2</v>
      </c>
      <c r="N1201" s="207">
        <f>SUMIFS('LOGBOOK VIEWER'!$K$7:$K$10010,'LOGBOOK VIEWER'!$H$7:$H$10010,"Arms",'LOGBOOK VIEWER'!$D$7:$D$10010,'LOGBOOK VIEWER'!$G$5)</f>
        <v>0</v>
      </c>
      <c r="O1201" s="207">
        <f>SUMIFS('LOGBOOK VIEWER'!$K$7:$K$10010,'LOGBOOK VIEWER'!$H$7:$H$10010,"Arms",'LOGBOOK VIEWER'!$D$7:$D$10010,'LOGBOOK VIEWER'!$G$5-1)</f>
        <v>0</v>
      </c>
      <c r="P1201" s="207">
        <f>SUMIFS('LOGBOOK VIEWER'!$K$7:$K$10010,'LOGBOOK VIEWER'!$H$7:$H$10010,"Arms",'LOGBOOK VIEWER'!$D$7:$D$10010,'LOGBOOK VIEWER'!$G$5-2)</f>
        <v>0</v>
      </c>
      <c r="Q1201" s="207">
        <f>SUMIFS('LOGBOOK VIEWER'!$K$7:$K$10010,'LOGBOOK VIEWER'!$H$7:$H$10010,"Arms",'LOGBOOK VIEWER'!$D$7:$D$10010,'LOGBOOK VIEWER'!$G$5-3)</f>
        <v>0</v>
      </c>
      <c r="R1201" s="207">
        <f>SUMIFS('LOGBOOK VIEWER'!$K$7:$K$10010,'LOGBOOK VIEWER'!$H$7:$H$10010,"Arms",'LOGBOOK VIEWER'!$D$7:$D$10010,'LOGBOOK VIEWER'!$G$5-4)</f>
        <v>0</v>
      </c>
      <c r="S1201" s="207">
        <f>SUMIFS('LOGBOOK VIEWER'!$K$7:$K$10010,'LOGBOOK VIEWER'!$H$7:$H$10010,"Arms",'LOGBOOK VIEWER'!$D$7:$D$10010,'LOGBOOK VIEWER'!$G$5-5)</f>
        <v>0</v>
      </c>
      <c r="T1201" s="207">
        <f>SUMIFS('LOGBOOK VIEWER'!$K$7:$K$10010,'LOGBOOK VIEWER'!$H$7:$H$10010,"Arms",'LOGBOOK VIEWER'!$D$7:$D$10010,'LOGBOOK VIEWER'!$G$5-6)</f>
        <v>0</v>
      </c>
      <c r="U1201" s="207">
        <f>SUMIFS('LOGBOOK VIEWER'!$K$7:$K$10010,'LOGBOOK VIEWER'!$H$7:$H$10010,"Arms",'LOGBOOK VIEWER'!$D$7:$D$10010,'LOGBOOK VIEWER'!$G$5-7)</f>
        <v>0</v>
      </c>
      <c r="V1201" s="207">
        <f>SUMIFS('LOGBOOK VIEWER'!$K$7:$K$10010,'LOGBOOK VIEWER'!$H$7:$H$10010,"Arms",'LOGBOOK VIEWER'!$D$7:$D$10010,'LOGBOOK VIEWER'!$G$5-8)</f>
        <v>0</v>
      </c>
      <c r="W1201" s="207">
        <f>SUMIFS('LOGBOOK VIEWER'!$K$7:$K$10010,'LOGBOOK VIEWER'!$H$7:$H$10010,"Arms",'LOGBOOK VIEWER'!$D$7:$D$10010,'LOGBOOK VIEWER'!$G$5-9)</f>
        <v>0</v>
      </c>
      <c r="X1201" s="207">
        <f>SUMIFS('LOGBOOK VIEWER'!$K$7:$K$10010,'LOGBOOK VIEWER'!$H$7:$H$10010,"Arms",'LOGBOOK VIEWER'!$D$7:$D$10010,'LOGBOOK VIEWER'!$G$5-10)</f>
        <v>0</v>
      </c>
      <c r="Y1201" s="207">
        <f>SUMIFS('LOGBOOK VIEWER'!$K$7:$K$10010,'LOGBOOK VIEWER'!$H$7:$H$10010,"Arms",'LOGBOOK VIEWER'!$D$7:$D$10010,'LOGBOOK VIEWER'!$G$5-11)</f>
        <v>0</v>
      </c>
      <c r="Z1201" s="207">
        <f>SUMIFS('LOGBOOK VIEWER'!$K$7:$K$10010,'LOGBOOK VIEWER'!$H$7:$H$10010,"Arms",'LOGBOOK VIEWER'!$D$7:$D$10010,'LOGBOOK VIEWER'!$G$5-12)</f>
        <v>0</v>
      </c>
      <c r="AA1201" s="207">
        <f>SUMIFS('LOGBOOK VIEWER'!$K$7:$K$10010,'LOGBOOK VIEWER'!$H$7:$H$10010,"Arms",'LOGBOOK VIEWER'!$D$7:$D$10010,'LOGBOOK VIEWER'!$G$5-13)</f>
        <v>0</v>
      </c>
      <c r="AB1201" s="207">
        <f>SUMIFS('LOGBOOK VIEWER'!$K$7:$K$10010,'LOGBOOK VIEWER'!$H$7:$H$10010,"Arms",'LOGBOOK VIEWER'!$D$7:$D$10010,'LOGBOOK VIEWER'!$G$5-14)</f>
        <v>0</v>
      </c>
      <c r="AC1201" s="207">
        <f>SUMIFS('LOGBOOK VIEWER'!$K$7:$K$10010,'LOGBOOK VIEWER'!$H$7:$H$10010,"Arms",'LOGBOOK VIEWER'!$D$7:$D$10010,'LOGBOOK VIEWER'!$G$5-15)</f>
        <v>0</v>
      </c>
      <c r="AD1201" s="207">
        <f>SUMIFS('LOGBOOK VIEWER'!$K$7:$K$10010,'LOGBOOK VIEWER'!$H$7:$H$10010,"Arms",'LOGBOOK VIEWER'!$D$7:$D$10010,'LOGBOOK VIEWER'!$G$5-16)</f>
        <v>0</v>
      </c>
      <c r="AE1201" s="207">
        <f>SUMIFS('LOGBOOK VIEWER'!$K$7:$K$10010,'LOGBOOK VIEWER'!$H$7:$H$10010,"Arms",'LOGBOOK VIEWER'!$D$7:$D$10010,'LOGBOOK VIEWER'!$G$5-17)</f>
        <v>0</v>
      </c>
      <c r="AF1201" s="207">
        <f>SUMIFS('LOGBOOK VIEWER'!$K$7:$K$10010,'LOGBOOK VIEWER'!$H$7:$H$10010,"Arms",'LOGBOOK VIEWER'!$D$7:$D$10010,'LOGBOOK VIEWER'!$G$5-18)</f>
        <v>0</v>
      </c>
      <c r="AG1201" s="207">
        <f>SUMIFS('LOGBOOK VIEWER'!$K$7:$K$10010,'LOGBOOK VIEWER'!$H$7:$H$10010,"Arms",'LOGBOOK VIEWER'!$D$7:$D$10010,'LOGBOOK VIEWER'!$G$5-19)</f>
        <v>0</v>
      </c>
      <c r="AH1201" s="207">
        <f>SUMIFS('LOGBOOK VIEWER'!$K$7:$K$10010,'LOGBOOK VIEWER'!$H$7:$H$10010,"Arms",'LOGBOOK VIEWER'!$D$7:$D$10010,'LOGBOOK VIEWER'!$G$5-20)</f>
        <v>0</v>
      </c>
      <c r="AI1201" s="207">
        <f>SUMIFS('LOGBOOK VIEWER'!$K$7:$K$10010,'LOGBOOK VIEWER'!$H$7:$H$10010,"Arms",'LOGBOOK VIEWER'!$D$7:$D$10010,'LOGBOOK VIEWER'!$G$5-21)</f>
        <v>0</v>
      </c>
      <c r="AJ1201" s="207">
        <f>SUMIFS('LOGBOOK VIEWER'!$K$7:$K$10010,'LOGBOOK VIEWER'!$H$7:$H$10010,"Arms",'LOGBOOK VIEWER'!$D$7:$D$10010,'LOGBOOK VIEWER'!$G$5-22)</f>
        <v>0</v>
      </c>
      <c r="AK1201" s="207">
        <f>SUMIFS('LOGBOOK VIEWER'!$K$7:$K$10010,'LOGBOOK VIEWER'!$H$7:$H$10010,"Arms",'LOGBOOK VIEWER'!$D$7:$D$10010,'LOGBOOK VIEWER'!$G$5-23)</f>
        <v>0</v>
      </c>
      <c r="AL1201" s="207">
        <f>SUMIFS('LOGBOOK VIEWER'!$K$7:$K$10010,'LOGBOOK VIEWER'!$H$7:$H$10010,"Arms",'LOGBOOK VIEWER'!$D$7:$D$10010,'LOGBOOK VIEWER'!$G$5-24)</f>
        <v>0</v>
      </c>
      <c r="AM1201" s="207">
        <f>SUMIFS('LOGBOOK VIEWER'!$K$7:$K$10010,'LOGBOOK VIEWER'!$H$7:$H$10010,"Arms",'LOGBOOK VIEWER'!$D$7:$D$10010,'LOGBOOK VIEWER'!$G$5-25)</f>
        <v>0</v>
      </c>
      <c r="AN1201" s="207">
        <f>SUMIFS('LOGBOOK VIEWER'!$K$7:$K$10010,'LOGBOOK VIEWER'!$H$7:$H$10010,"Arms",'LOGBOOK VIEWER'!$D$7:$D$10010,'LOGBOOK VIEWER'!$G$5-26)</f>
        <v>0</v>
      </c>
      <c r="AO1201" s="207">
        <f>SUMIFS('LOGBOOK VIEWER'!$K$7:$K$10010,'LOGBOOK VIEWER'!$H$7:$H$10010,"Arms",'LOGBOOK VIEWER'!$D$7:$D$10010,'LOGBOOK VIEWER'!$G$5-27)</f>
        <v>0</v>
      </c>
      <c r="AP1201" s="207">
        <f>SUMIFS('LOGBOOK VIEWER'!$K$7:$K$10010,'LOGBOOK VIEWER'!$H$7:$H$10010,"Arms",'LOGBOOK VIEWER'!$D$7:$D$10010,'LOGBOOK VIEWER'!$G$5-28)</f>
        <v>0</v>
      </c>
      <c r="AQ1201" s="207">
        <f>SUMIFS('LOGBOOK VIEWER'!$K$7:$K$10010,'LOGBOOK VIEWER'!$H$7:$H$10010,"Arms",'LOGBOOK VIEWER'!$D$7:$D$10010,'LOGBOOK VIEWER'!$G$5-29)</f>
        <v>0</v>
      </c>
      <c r="AR1201" s="207">
        <f>SUMIFS('LOGBOOK VIEWER'!$K$7:$K$10010,'LOGBOOK VIEWER'!$H$7:$H$10010,"Arms",'LOGBOOK VIEWER'!$D$7:$D$10010,'LOGBOOK VIEWER'!$G$5-30)</f>
        <v>0</v>
      </c>
      <c r="AS1201" s="207">
        <f>SUM(N1201:AR1201)</f>
        <v>0</v>
      </c>
    </row>
    <row r="1202" spans="1:45" x14ac:dyDescent="0.2">
      <c r="B1202" s="188" t="s">
        <v>895</v>
      </c>
      <c r="L1202" s="240">
        <f>'Final Table'!I6</f>
        <v>5</v>
      </c>
      <c r="M1202" s="240">
        <v>3</v>
      </c>
      <c r="N1202" s="207">
        <f>SUMIFS('LOGBOOK VIEWER'!$K$7:$K$10010,'LOGBOOK VIEWER'!$H$7:$H$10010,"Barcode/Racks",'LOGBOOK VIEWER'!$D$7:$D$10010,'LOGBOOK VIEWER'!$G$5)</f>
        <v>0</v>
      </c>
      <c r="O1202" s="207">
        <f>SUMIFS('LOGBOOK VIEWER'!$K$7:$K$10010,'LOGBOOK VIEWER'!$H$7:$H$10010,"Barcode/Racks",'LOGBOOK VIEWER'!$D$7:$D$10010,'LOGBOOK VIEWER'!$G$5-1)</f>
        <v>0</v>
      </c>
      <c r="P1202" s="207">
        <f>SUMIFS('LOGBOOK VIEWER'!$K$7:$K$10010,'LOGBOOK VIEWER'!$H$7:$H$10010,"Barcode/Racks",'LOGBOOK VIEWER'!$D$7:$D$10010,'LOGBOOK VIEWER'!$G$5-2)</f>
        <v>0</v>
      </c>
      <c r="Q1202" s="207">
        <f>SUMIFS('LOGBOOK VIEWER'!$K$7:$K$10010,'LOGBOOK VIEWER'!$H$7:$H$10010,"Barcode/Racks",'LOGBOOK VIEWER'!$D$7:$D$10010,'LOGBOOK VIEWER'!$G$5-3)</f>
        <v>0</v>
      </c>
      <c r="R1202" s="207">
        <f>SUMIFS('LOGBOOK VIEWER'!$K$7:$K$10010,'LOGBOOK VIEWER'!$H$7:$H$10010,"Barcode/Racks",'LOGBOOK VIEWER'!$D$7:$D$10010,'LOGBOOK VIEWER'!$G$5-4)</f>
        <v>0</v>
      </c>
      <c r="S1202" s="207">
        <f>SUMIFS('LOGBOOK VIEWER'!$K$7:$K$10010,'LOGBOOK VIEWER'!$H$7:$H$10010,"Barcode/Racks",'LOGBOOK VIEWER'!$D$7:$D$10010,'LOGBOOK VIEWER'!$G$5-5)</f>
        <v>0</v>
      </c>
      <c r="T1202" s="207">
        <f>SUMIFS('LOGBOOK VIEWER'!$K$7:$K$10010,'LOGBOOK VIEWER'!$H$7:$H$10010,"Barcode/Racks",'LOGBOOK VIEWER'!$D$7:$D$10010,'LOGBOOK VIEWER'!$G$5-6)</f>
        <v>0</v>
      </c>
      <c r="U1202" s="207">
        <f>SUMIFS('LOGBOOK VIEWER'!$K$7:$K$10010,'LOGBOOK VIEWER'!$H$7:$H$10010,"Barcode/Racks",'LOGBOOK VIEWER'!$D$7:$D$10010,'LOGBOOK VIEWER'!$G$5-7)</f>
        <v>0</v>
      </c>
      <c r="V1202" s="207">
        <f>SUMIFS('LOGBOOK VIEWER'!$K$7:$K$10010,'LOGBOOK VIEWER'!$H$7:$H$10010,"Barcode/Racks",'LOGBOOK VIEWER'!$D$7:$D$10010,'LOGBOOK VIEWER'!$G$5-8)</f>
        <v>0</v>
      </c>
      <c r="W1202" s="207">
        <f>SUMIFS('LOGBOOK VIEWER'!$K$7:$K$10010,'LOGBOOK VIEWER'!$H$7:$H$10010,"Barcode/Racks",'LOGBOOK VIEWER'!$D$7:$D$10010,'LOGBOOK VIEWER'!$G$5-9)</f>
        <v>0</v>
      </c>
      <c r="X1202" s="207">
        <f>SUMIFS('LOGBOOK VIEWER'!$K$7:$K$10010,'LOGBOOK VIEWER'!$H$7:$H$10010,"Barcode/Racks",'LOGBOOK VIEWER'!$D$7:$D$10010,'LOGBOOK VIEWER'!$G$5-10)</f>
        <v>0</v>
      </c>
      <c r="Y1202" s="207">
        <f>SUMIFS('LOGBOOK VIEWER'!$K$7:$K$10010,'LOGBOOK VIEWER'!$H$7:$H$10010,"Barcode/Racks",'LOGBOOK VIEWER'!$D$7:$D$10010,'LOGBOOK VIEWER'!$G$5-11)</f>
        <v>0</v>
      </c>
      <c r="Z1202" s="207">
        <f>SUMIFS('LOGBOOK VIEWER'!$K$7:$K$10010,'LOGBOOK VIEWER'!$H$7:$H$10010,"Barcode/Racks",'LOGBOOK VIEWER'!$D$7:$D$10010,'LOGBOOK VIEWER'!$G$5-12)</f>
        <v>0</v>
      </c>
      <c r="AA1202" s="207">
        <f>SUMIFS('LOGBOOK VIEWER'!$K$7:$K$10010,'LOGBOOK VIEWER'!$H$7:$H$10010,"Barcode/Racks",'LOGBOOK VIEWER'!$D$7:$D$10010,'LOGBOOK VIEWER'!$G$5-13)</f>
        <v>0</v>
      </c>
      <c r="AB1202" s="207">
        <f>SUMIFS('LOGBOOK VIEWER'!$K$7:$K$10010,'LOGBOOK VIEWER'!$H$7:$H$10010,"Barcode/Racks",'LOGBOOK VIEWER'!$D$7:$D$10010,'LOGBOOK VIEWER'!$G$5-14)</f>
        <v>0</v>
      </c>
      <c r="AC1202" s="207">
        <f>SUMIFS('LOGBOOK VIEWER'!$K$7:$K$10010,'LOGBOOK VIEWER'!$H$7:$H$10010,"Barcode/Racks",'LOGBOOK VIEWER'!$D$7:$D$10010,'LOGBOOK VIEWER'!$G$5-15)</f>
        <v>0</v>
      </c>
      <c r="AD1202" s="207">
        <f>SUMIFS('LOGBOOK VIEWER'!$K$7:$K$10010,'LOGBOOK VIEWER'!$H$7:$H$10010,"Barcode/Racks",'LOGBOOK VIEWER'!$D$7:$D$10010,'LOGBOOK VIEWER'!$G$5-16)</f>
        <v>0</v>
      </c>
      <c r="AE1202" s="207">
        <f>SUMIFS('LOGBOOK VIEWER'!$K$7:$K$10010,'LOGBOOK VIEWER'!$H$7:$H$10010,"Barcode/Racks",'LOGBOOK VIEWER'!$D$7:$D$10010,'LOGBOOK VIEWER'!$G$5-17)</f>
        <v>0</v>
      </c>
      <c r="AF1202" s="207">
        <f>SUMIFS('LOGBOOK VIEWER'!$K$7:$K$10010,'LOGBOOK VIEWER'!$H$7:$H$10010,"Barcode/Racks",'LOGBOOK VIEWER'!$D$7:$D$10010,'LOGBOOK VIEWER'!$G$5-18)</f>
        <v>0</v>
      </c>
      <c r="AG1202" s="207">
        <f>SUMIFS('LOGBOOK VIEWER'!$K$7:$K$10010,'LOGBOOK VIEWER'!$H$7:$H$10010,"Barcode/Racks",'LOGBOOK VIEWER'!$D$7:$D$10010,'LOGBOOK VIEWER'!$G$5-19)</f>
        <v>0</v>
      </c>
      <c r="AH1202" s="207">
        <f>SUMIFS('LOGBOOK VIEWER'!$K$7:$K$10010,'LOGBOOK VIEWER'!$H$7:$H$10010,"Barcode/Racks",'LOGBOOK VIEWER'!$D$7:$D$10010,'LOGBOOK VIEWER'!$G$5-20)</f>
        <v>0</v>
      </c>
      <c r="AI1202" s="207">
        <f>SUMIFS('LOGBOOK VIEWER'!$K$7:$K$10010,'LOGBOOK VIEWER'!$H$7:$H$10010,"Barcode/Racks",'LOGBOOK VIEWER'!$D$7:$D$10010,'LOGBOOK VIEWER'!$G$5-21)</f>
        <v>0</v>
      </c>
      <c r="AJ1202" s="207">
        <f>SUMIFS('LOGBOOK VIEWER'!$K$7:$K$10010,'LOGBOOK VIEWER'!$H$7:$H$10010,"Barcode/Racks",'LOGBOOK VIEWER'!$D$7:$D$10010,'LOGBOOK VIEWER'!$G$5-22)</f>
        <v>0</v>
      </c>
      <c r="AK1202" s="207">
        <f>SUMIFS('LOGBOOK VIEWER'!$K$7:$K$10010,'LOGBOOK VIEWER'!$H$7:$H$10010,"Barcode/Racks",'LOGBOOK VIEWER'!$D$7:$D$10010,'LOGBOOK VIEWER'!$G$5-23)</f>
        <v>0</v>
      </c>
      <c r="AL1202" s="207">
        <f>SUMIFS('LOGBOOK VIEWER'!$K$7:$K$10010,'LOGBOOK VIEWER'!$H$7:$H$10010,"Barcode/Racks",'LOGBOOK VIEWER'!$D$7:$D$10010,'LOGBOOK VIEWER'!$G$5-24)</f>
        <v>0</v>
      </c>
      <c r="AM1202" s="207">
        <f>SUMIFS('LOGBOOK VIEWER'!$K$7:$K$10010,'LOGBOOK VIEWER'!$H$7:$H$10010,"Barcode/Racks",'LOGBOOK VIEWER'!$D$7:$D$10010,'LOGBOOK VIEWER'!$G$5-25)</f>
        <v>0</v>
      </c>
      <c r="AN1202" s="207">
        <f>SUMIFS('LOGBOOK VIEWER'!$K$7:$K$10010,'LOGBOOK VIEWER'!$H$7:$H$10010,"Barcode/Racks",'LOGBOOK VIEWER'!$D$7:$D$10010,'LOGBOOK VIEWER'!$G$5-26)</f>
        <v>0</v>
      </c>
      <c r="AO1202" s="207">
        <f>SUMIFS('LOGBOOK VIEWER'!$K$7:$K$10010,'LOGBOOK VIEWER'!$H$7:$H$10010,"Barcode/Racks",'LOGBOOK VIEWER'!$D$7:$D$10010,'LOGBOOK VIEWER'!$G$5-27)</f>
        <v>0</v>
      </c>
      <c r="AP1202" s="207">
        <f>SUMIFS('LOGBOOK VIEWER'!$K$7:$K$10010,'LOGBOOK VIEWER'!$H$7:$H$10010,"Barcode/Racks",'LOGBOOK VIEWER'!$D$7:$D$10010,'LOGBOOK VIEWER'!$G$5-28)</f>
        <v>0</v>
      </c>
      <c r="AQ1202" s="207">
        <f>SUMIFS('LOGBOOK VIEWER'!$K$7:$K$10010,'LOGBOOK VIEWER'!$H$7:$H$10010,"Barcode/Racks",'LOGBOOK VIEWER'!$D$7:$D$10010,'LOGBOOK VIEWER'!$G$5-29)</f>
        <v>0</v>
      </c>
      <c r="AR1202" s="207">
        <f>SUMIFS('LOGBOOK VIEWER'!$K$7:$K$10010,'LOGBOOK VIEWER'!$H$7:$H$10010,"Barcode/Racks",'LOGBOOK VIEWER'!$D$7:$D$10010,'LOGBOOK VIEWER'!$G$5-30)</f>
        <v>0</v>
      </c>
      <c r="AS1202" s="207">
        <f t="shared" ref="AS1202:AS1209" si="20">SUM(N1202:AR1202)</f>
        <v>0</v>
      </c>
    </row>
    <row r="1203" spans="1:45" x14ac:dyDescent="0.2">
      <c r="B1203" s="188" t="s">
        <v>896</v>
      </c>
      <c r="L1203" s="240">
        <f>'Final Table'!I8</f>
        <v>5</v>
      </c>
      <c r="M1203" s="240">
        <v>3</v>
      </c>
      <c r="N1203" s="207">
        <f>SUMIFS('LOGBOOK VIEWER'!$K$7:$K$10010,'LOGBOOK VIEWER'!$H$7:$H$10010,"Cuvettes Movement",'LOGBOOK VIEWER'!$D$7:$D$10010,'LOGBOOK VIEWER'!$G$5)</f>
        <v>0</v>
      </c>
      <c r="O1203" s="207">
        <f>SUMIFS('LOGBOOK VIEWER'!$K$7:$K$10010,'LOGBOOK VIEWER'!$H$7:$H$10010,"Cuvettes Movement",'LOGBOOK VIEWER'!$D$7:$D$10010,'LOGBOOK VIEWER'!$G$5-1)</f>
        <v>0</v>
      </c>
      <c r="P1203" s="207">
        <f>SUMIFS('LOGBOOK VIEWER'!$K$7:$K$10010,'LOGBOOK VIEWER'!$H$7:$H$10010,"Cuvettes Movement",'LOGBOOK VIEWER'!$D$7:$D$10010,'LOGBOOK VIEWER'!$G$5-2)</f>
        <v>0</v>
      </c>
      <c r="Q1203" s="207">
        <f>SUMIFS('LOGBOOK VIEWER'!$K$7:$K$10010,'LOGBOOK VIEWER'!$H$7:$H$10010,"Cuvettes Movement",'LOGBOOK VIEWER'!$D$7:$D$10010,'LOGBOOK VIEWER'!$G$5-3)</f>
        <v>0</v>
      </c>
      <c r="R1203" s="207">
        <f>SUMIFS('LOGBOOK VIEWER'!$K$7:$K$10010,'LOGBOOK VIEWER'!$H$7:$H$10010,"Cuvettes Movement",'LOGBOOK VIEWER'!$D$7:$D$10010,'LOGBOOK VIEWER'!$G$5-4)</f>
        <v>0</v>
      </c>
      <c r="S1203" s="207">
        <f>SUMIFS('LOGBOOK VIEWER'!$K$7:$K$10010,'LOGBOOK VIEWER'!$H$7:$H$10010,"Cuvettes Movement",'LOGBOOK VIEWER'!$D$7:$D$10010,'LOGBOOK VIEWER'!$G$5-5)</f>
        <v>0</v>
      </c>
      <c r="T1203" s="207">
        <f>SUMIFS('LOGBOOK VIEWER'!$K$7:$K$10010,'LOGBOOK VIEWER'!$H$7:$H$10010,"Cuvettes Movement",'LOGBOOK VIEWER'!$D$7:$D$10010,'LOGBOOK VIEWER'!$G$5-6)</f>
        <v>0</v>
      </c>
      <c r="U1203" s="207">
        <f>SUMIFS('LOGBOOK VIEWER'!$K$7:$K$10010,'LOGBOOK VIEWER'!$H$7:$H$10010,"Cuvettes Movement",'LOGBOOK VIEWER'!$D$7:$D$10010,'LOGBOOK VIEWER'!$G$5-7)</f>
        <v>0</v>
      </c>
      <c r="V1203" s="207">
        <f>SUMIFS('LOGBOOK VIEWER'!$K$7:$K$10010,'LOGBOOK VIEWER'!$H$7:$H$10010,"Cuvettes Movement",'LOGBOOK VIEWER'!$D$7:$D$10010,'LOGBOOK VIEWER'!$G$5-8)</f>
        <v>0</v>
      </c>
      <c r="W1203" s="207">
        <f>SUMIFS('LOGBOOK VIEWER'!$K$7:$K$10010,'LOGBOOK VIEWER'!$H$7:$H$10010,"Cuvettes Movement",'LOGBOOK VIEWER'!$D$7:$D$10010,'LOGBOOK VIEWER'!$G$5-9)</f>
        <v>0</v>
      </c>
      <c r="X1203" s="207">
        <f>SUMIFS('LOGBOOK VIEWER'!$K$7:$K$10010,'LOGBOOK VIEWER'!$H$7:$H$10010,"Cuvettes Movement",'LOGBOOK VIEWER'!$D$7:$D$10010,'LOGBOOK VIEWER'!$G$5-10)</f>
        <v>0</v>
      </c>
      <c r="Y1203" s="207">
        <f>SUMIFS('LOGBOOK VIEWER'!$K$7:$K$10010,'LOGBOOK VIEWER'!$H$7:$H$10010,"Cuvettes Movement",'LOGBOOK VIEWER'!$D$7:$D$10010,'LOGBOOK VIEWER'!$G$5-11)</f>
        <v>0</v>
      </c>
      <c r="Z1203" s="207">
        <f>SUMIFS('LOGBOOK VIEWER'!$K$7:$K$10010,'LOGBOOK VIEWER'!$H$7:$H$10010,"Cuvettes Movement",'LOGBOOK VIEWER'!$D$7:$D$10010,'LOGBOOK VIEWER'!$G$5-12)</f>
        <v>0</v>
      </c>
      <c r="AA1203" s="207">
        <f>SUMIFS('LOGBOOK VIEWER'!$K$7:$K$10010,'LOGBOOK VIEWER'!$H$7:$H$10010,"Cuvettes Movement",'LOGBOOK VIEWER'!$D$7:$D$10010,'LOGBOOK VIEWER'!$G$5-13)</f>
        <v>0</v>
      </c>
      <c r="AB1203" s="207">
        <f>SUMIFS('LOGBOOK VIEWER'!$K$7:$K$10010,'LOGBOOK VIEWER'!$H$7:$H$10010,"Cuvettes Movement",'LOGBOOK VIEWER'!$D$7:$D$10010,'LOGBOOK VIEWER'!$G$5-14)</f>
        <v>0</v>
      </c>
      <c r="AC1203" s="207">
        <f>SUMIFS('LOGBOOK VIEWER'!$K$7:$K$10010,'LOGBOOK VIEWER'!$H$7:$H$10010,"Cuvettes Movement",'LOGBOOK VIEWER'!$D$7:$D$10010,'LOGBOOK VIEWER'!$G$5-15)</f>
        <v>0</v>
      </c>
      <c r="AD1203" s="207">
        <f>SUMIFS('LOGBOOK VIEWER'!$K$7:$K$10010,'LOGBOOK VIEWER'!$H$7:$H$10010,"Cuvettes Movement",'LOGBOOK VIEWER'!$D$7:$D$10010,'LOGBOOK VIEWER'!$G$5-16)</f>
        <v>0</v>
      </c>
      <c r="AE1203" s="207">
        <f>SUMIFS('LOGBOOK VIEWER'!$K$7:$K$10010,'LOGBOOK VIEWER'!$H$7:$H$10010,"Cuvettes Movement",'LOGBOOK VIEWER'!$D$7:$D$10010,'LOGBOOK VIEWER'!$G$5-17)</f>
        <v>0</v>
      </c>
      <c r="AF1203" s="207">
        <f>SUMIFS('LOGBOOK VIEWER'!$K$7:$K$10010,'LOGBOOK VIEWER'!$H$7:$H$10010,"Cuvettes Movement",'LOGBOOK VIEWER'!$D$7:$D$10010,'LOGBOOK VIEWER'!$G$5-18)</f>
        <v>0</v>
      </c>
      <c r="AG1203" s="207">
        <f>SUMIFS('LOGBOOK VIEWER'!$K$7:$K$10010,'LOGBOOK VIEWER'!$H$7:$H$10010,"Cuvettes Movement",'LOGBOOK VIEWER'!$D$7:$D$10010,'LOGBOOK VIEWER'!$G$5-19)</f>
        <v>0</v>
      </c>
      <c r="AH1203" s="207">
        <f>SUMIFS('LOGBOOK VIEWER'!$K$7:$K$10010,'LOGBOOK VIEWER'!$H$7:$H$10010,"Cuvettes Movement",'LOGBOOK VIEWER'!$D$7:$D$10010,'LOGBOOK VIEWER'!$G$5-20)</f>
        <v>0</v>
      </c>
      <c r="AI1203" s="207">
        <f>SUMIFS('LOGBOOK VIEWER'!$K$7:$K$10010,'LOGBOOK VIEWER'!$H$7:$H$10010,"Cuvettes Movement",'LOGBOOK VIEWER'!$D$7:$D$10010,'LOGBOOK VIEWER'!$G$5-21)</f>
        <v>0</v>
      </c>
      <c r="AJ1203" s="207">
        <f>SUMIFS('LOGBOOK VIEWER'!$K$7:$K$10010,'LOGBOOK VIEWER'!$H$7:$H$10010,"Cuvettes Movement",'LOGBOOK VIEWER'!$D$7:$D$10010,'LOGBOOK VIEWER'!$G$5-22)</f>
        <v>0</v>
      </c>
      <c r="AK1203" s="207">
        <f>SUMIFS('LOGBOOK VIEWER'!$K$7:$K$10010,'LOGBOOK VIEWER'!$H$7:$H$10010,"Cuvettes Movement",'LOGBOOK VIEWER'!$D$7:$D$10010,'LOGBOOK VIEWER'!$G$5-23)</f>
        <v>0</v>
      </c>
      <c r="AL1203" s="207">
        <f>SUMIFS('LOGBOOK VIEWER'!$K$7:$K$10010,'LOGBOOK VIEWER'!$H$7:$H$10010,"Cuvettes Movement",'LOGBOOK VIEWER'!$D$7:$D$10010,'LOGBOOK VIEWER'!$G$5-24)</f>
        <v>0</v>
      </c>
      <c r="AM1203" s="207">
        <f>SUMIFS('LOGBOOK VIEWER'!$K$7:$K$10010,'LOGBOOK VIEWER'!$H$7:$H$10010,"Cuvettes Movement",'LOGBOOK VIEWER'!$D$7:$D$10010,'LOGBOOK VIEWER'!$G$5-25)</f>
        <v>0</v>
      </c>
      <c r="AN1203" s="207">
        <f>SUMIFS('LOGBOOK VIEWER'!$K$7:$K$10010,'LOGBOOK VIEWER'!$H$7:$H$10010,"Cuvettes Movement",'LOGBOOK VIEWER'!$D$7:$D$10010,'LOGBOOK VIEWER'!$G$5-26)</f>
        <v>0</v>
      </c>
      <c r="AO1203" s="207">
        <f>SUMIFS('LOGBOOK VIEWER'!$K$7:$K$10010,'LOGBOOK VIEWER'!$H$7:$H$10010,"Cuvettes Movement",'LOGBOOK VIEWER'!$D$7:$D$10010,'LOGBOOK VIEWER'!$G$5-27)</f>
        <v>0</v>
      </c>
      <c r="AP1203" s="207">
        <f>SUMIFS('LOGBOOK VIEWER'!$K$7:$K$10010,'LOGBOOK VIEWER'!$H$7:$H$10010,"Cuvettes Movement",'LOGBOOK VIEWER'!$D$7:$D$10010,'LOGBOOK VIEWER'!$G$5-28)</f>
        <v>0</v>
      </c>
      <c r="AQ1203" s="207">
        <f>SUMIFS('LOGBOOK VIEWER'!$K$7:$K$10010,'LOGBOOK VIEWER'!$H$7:$H$10010,"Cuvettes Movement",'LOGBOOK VIEWER'!$D$7:$D$10010,'LOGBOOK VIEWER'!$G$5-29)</f>
        <v>0</v>
      </c>
      <c r="AR1203" s="207">
        <f>SUMIFS('LOGBOOK VIEWER'!$K$7:$K$10010,'LOGBOOK VIEWER'!$H$7:$H$10010,"Cuvettes Movement",'LOGBOOK VIEWER'!$D$7:$D$10010,'LOGBOOK VIEWER'!$G$5-30)</f>
        <v>0</v>
      </c>
      <c r="AS1203" s="207">
        <f t="shared" si="20"/>
        <v>0</v>
      </c>
    </row>
    <row r="1204" spans="1:45" x14ac:dyDescent="0.2">
      <c r="B1204" s="188" t="s">
        <v>897</v>
      </c>
      <c r="L1204" s="240">
        <f>'Final Table'!I10</f>
        <v>2</v>
      </c>
      <c r="M1204" s="240">
        <v>1</v>
      </c>
      <c r="N1204" s="207">
        <f>SUMIFS('LOGBOOK VIEWER'!$K$7:$K$10010,'LOGBOOK VIEWER'!$H$7:$H$10010,"Fluidics",'LOGBOOK VIEWER'!$D$7:$D$10010,'LOGBOOK VIEWER'!$G$5)</f>
        <v>0</v>
      </c>
      <c r="O1204" s="207">
        <f>SUMIFS('LOGBOOK VIEWER'!$K$7:$K$10010,'LOGBOOK VIEWER'!$H$7:$H$10010,"Fluidics",'LOGBOOK VIEWER'!$D$7:$D$10010,'LOGBOOK VIEWER'!$G$5-1)</f>
        <v>0</v>
      </c>
      <c r="P1204" s="207">
        <f>SUMIFS('LOGBOOK VIEWER'!$K$7:$K$10010,'LOGBOOK VIEWER'!$H$7:$H$10010,"Fluidics",'LOGBOOK VIEWER'!$D$7:$D$10010,'LOGBOOK VIEWER'!$G$5-2)</f>
        <v>0</v>
      </c>
      <c r="Q1204" s="207">
        <f>SUMIFS('LOGBOOK VIEWER'!$K$7:$K$10010,'LOGBOOK VIEWER'!$H$7:$H$10010,"Fluidics",'LOGBOOK VIEWER'!$D$7:$D$10010,'LOGBOOK VIEWER'!$G$5-3)</f>
        <v>0</v>
      </c>
      <c r="R1204" s="207">
        <f>SUMIFS('LOGBOOK VIEWER'!$K$7:$K$10010,'LOGBOOK VIEWER'!$H$7:$H$10010,"Fluidics",'LOGBOOK VIEWER'!$D$7:$D$10010,'LOGBOOK VIEWER'!$G$5-4)</f>
        <v>0</v>
      </c>
      <c r="S1204" s="207">
        <f>SUMIFS('LOGBOOK VIEWER'!$K$7:$K$10010,'LOGBOOK VIEWER'!$H$7:$H$10010,"Fluidics",'LOGBOOK VIEWER'!$D$7:$D$10010,'LOGBOOK VIEWER'!$G$5-5)</f>
        <v>0</v>
      </c>
      <c r="T1204" s="207">
        <f>SUMIFS('LOGBOOK VIEWER'!$K$7:$K$10010,'LOGBOOK VIEWER'!$H$7:$H$10010,"Fluidics",'LOGBOOK VIEWER'!$D$7:$D$10010,'LOGBOOK VIEWER'!$G$5-6)</f>
        <v>0</v>
      </c>
      <c r="U1204" s="207">
        <f>SUMIFS('LOGBOOK VIEWER'!$K$7:$K$10010,'LOGBOOK VIEWER'!$H$7:$H$10010,"Fluidics",'LOGBOOK VIEWER'!$D$7:$D$10010,'LOGBOOK VIEWER'!$G$5-7)</f>
        <v>0</v>
      </c>
      <c r="V1204" s="207">
        <f>SUMIFS('LOGBOOK VIEWER'!$K$7:$K$10010,'LOGBOOK VIEWER'!$H$7:$H$10010,"Fluidics",'LOGBOOK VIEWER'!$D$7:$D$10010,'LOGBOOK VIEWER'!$G$5-8)</f>
        <v>0</v>
      </c>
      <c r="W1204" s="207">
        <f>SUMIFS('LOGBOOK VIEWER'!$K$7:$K$10010,'LOGBOOK VIEWER'!$H$7:$H$10010,"Fluidics",'LOGBOOK VIEWER'!$D$7:$D$10010,'LOGBOOK VIEWER'!$G$5-9)</f>
        <v>0</v>
      </c>
      <c r="X1204" s="207">
        <f>SUMIFS('LOGBOOK VIEWER'!$K$7:$K$10010,'LOGBOOK VIEWER'!$H$7:$H$10010,"Fluidics",'LOGBOOK VIEWER'!$D$7:$D$10010,'LOGBOOK VIEWER'!$G$5-10)</f>
        <v>0</v>
      </c>
      <c r="Y1204" s="207">
        <f>SUMIFS('LOGBOOK VIEWER'!$K$7:$K$10010,'LOGBOOK VIEWER'!$H$7:$H$10010,"Fluidics",'LOGBOOK VIEWER'!$D$7:$D$10010,'LOGBOOK VIEWER'!$G$5-11)</f>
        <v>0</v>
      </c>
      <c r="Z1204" s="207">
        <f>SUMIFS('LOGBOOK VIEWER'!$K$7:$K$10010,'LOGBOOK VIEWER'!$H$7:$H$10010,"Fluidics",'LOGBOOK VIEWER'!$D$7:$D$10010,'LOGBOOK VIEWER'!$G$5-12)</f>
        <v>0</v>
      </c>
      <c r="AA1204" s="207">
        <f>SUMIFS('LOGBOOK VIEWER'!$K$7:$K$10010,'LOGBOOK VIEWER'!$H$7:$H$10010,"Fluidics",'LOGBOOK VIEWER'!$D$7:$D$10010,'LOGBOOK VIEWER'!$G$5-13)</f>
        <v>0</v>
      </c>
      <c r="AB1204" s="207">
        <f>SUMIFS('LOGBOOK VIEWER'!$K$7:$K$10010,'LOGBOOK VIEWER'!$H$7:$H$10010,"Fluidics",'LOGBOOK VIEWER'!$D$7:$D$10010,'LOGBOOK VIEWER'!$G$5-14)</f>
        <v>0</v>
      </c>
      <c r="AC1204" s="207">
        <f>SUMIFS('LOGBOOK VIEWER'!$K$7:$K$10010,'LOGBOOK VIEWER'!$H$7:$H$10010,"Fluidics",'LOGBOOK VIEWER'!$D$7:$D$10010,'LOGBOOK VIEWER'!$G$5-15)</f>
        <v>0</v>
      </c>
      <c r="AD1204" s="207">
        <f>SUMIFS('LOGBOOK VIEWER'!$K$7:$K$10010,'LOGBOOK VIEWER'!$H$7:$H$10010,"Fluidics",'LOGBOOK VIEWER'!$D$7:$D$10010,'LOGBOOK VIEWER'!$G$5-16)</f>
        <v>0</v>
      </c>
      <c r="AE1204" s="207">
        <f>SUMIFS('LOGBOOK VIEWER'!$K$7:$K$10010,'LOGBOOK VIEWER'!$H$7:$H$10010,"Fluidics",'LOGBOOK VIEWER'!$D$7:$D$10010,'LOGBOOK VIEWER'!$G$5-17)</f>
        <v>0</v>
      </c>
      <c r="AF1204" s="207">
        <f>SUMIFS('LOGBOOK VIEWER'!$K$7:$K$10010,'LOGBOOK VIEWER'!$H$7:$H$10010,"Fluidics",'LOGBOOK VIEWER'!$D$7:$D$10010,'LOGBOOK VIEWER'!$G$5-18)</f>
        <v>0</v>
      </c>
      <c r="AG1204" s="207">
        <f>SUMIFS('LOGBOOK VIEWER'!$K$7:$K$10010,'LOGBOOK VIEWER'!$H$7:$H$10010,"Fluidics",'LOGBOOK VIEWER'!$D$7:$D$10010,'LOGBOOK VIEWER'!$G$5-19)</f>
        <v>0</v>
      </c>
      <c r="AH1204" s="207">
        <f>SUMIFS('LOGBOOK VIEWER'!$K$7:$K$10010,'LOGBOOK VIEWER'!$H$7:$H$10010,"Fluidics",'LOGBOOK VIEWER'!$D$7:$D$10010,'LOGBOOK VIEWER'!$G$5-20)</f>
        <v>0</v>
      </c>
      <c r="AI1204" s="207">
        <f>SUMIFS('LOGBOOK VIEWER'!$K$7:$K$10010,'LOGBOOK VIEWER'!$H$7:$H$10010,"Fluidics",'LOGBOOK VIEWER'!$D$7:$D$10010,'LOGBOOK VIEWER'!$G$5-21)</f>
        <v>0</v>
      </c>
      <c r="AJ1204" s="207">
        <f>SUMIFS('LOGBOOK VIEWER'!$K$7:$K$10010,'LOGBOOK VIEWER'!$H$7:$H$10010,"Fluidics",'LOGBOOK VIEWER'!$D$7:$D$10010,'LOGBOOK VIEWER'!$G$5-22)</f>
        <v>0</v>
      </c>
      <c r="AK1204" s="207">
        <f>SUMIFS('LOGBOOK VIEWER'!$K$7:$K$10010,'LOGBOOK VIEWER'!$H$7:$H$10010,"Fluidics",'LOGBOOK VIEWER'!$D$7:$D$10010,'LOGBOOK VIEWER'!$G$5-23)</f>
        <v>0</v>
      </c>
      <c r="AL1204" s="207">
        <f>SUMIFS('LOGBOOK VIEWER'!$K$7:$K$10010,'LOGBOOK VIEWER'!$H$7:$H$10010,"Fluidics",'LOGBOOK VIEWER'!$D$7:$D$10010,'LOGBOOK VIEWER'!$G$5-24)</f>
        <v>0</v>
      </c>
      <c r="AM1204" s="207">
        <f>SUMIFS('LOGBOOK VIEWER'!$K$7:$K$10010,'LOGBOOK VIEWER'!$H$7:$H$10010,"Fluidics",'LOGBOOK VIEWER'!$D$7:$D$10010,'LOGBOOK VIEWER'!$G$5-25)</f>
        <v>0</v>
      </c>
      <c r="AN1204" s="207">
        <f>SUMIFS('LOGBOOK VIEWER'!$K$7:$K$10010,'LOGBOOK VIEWER'!$H$7:$H$10010,"Fluidics",'LOGBOOK VIEWER'!$D$7:$D$10010,'LOGBOOK VIEWER'!$G$5-26)</f>
        <v>0</v>
      </c>
      <c r="AO1204" s="207">
        <f>SUMIFS('LOGBOOK VIEWER'!$K$7:$K$10010,'LOGBOOK VIEWER'!$H$7:$H$10010,"Fluidics",'LOGBOOK VIEWER'!$D$7:$D$10010,'LOGBOOK VIEWER'!$G$5-27)</f>
        <v>0</v>
      </c>
      <c r="AP1204" s="207">
        <f>SUMIFS('LOGBOOK VIEWER'!$K$7:$K$10010,'LOGBOOK VIEWER'!$H$7:$H$10010,"Fluidics",'LOGBOOK VIEWER'!$D$7:$D$10010,'LOGBOOK VIEWER'!$G$5-28)</f>
        <v>0</v>
      </c>
      <c r="AQ1204" s="207">
        <f>SUMIFS('LOGBOOK VIEWER'!$K$7:$K$10010,'LOGBOOK VIEWER'!$H$7:$H$10010,"Fluidics",'LOGBOOK VIEWER'!$D$7:$D$10010,'LOGBOOK VIEWER'!$G$5-29)</f>
        <v>0</v>
      </c>
      <c r="AR1204" s="207">
        <f>SUMIFS('LOGBOOK VIEWER'!$K$7:$K$10010,'LOGBOOK VIEWER'!$H$7:$H$10010,"Fluidics",'LOGBOOK VIEWER'!$D$7:$D$10010,'LOGBOOK VIEWER'!$G$5-30)</f>
        <v>0</v>
      </c>
      <c r="AS1204" s="207">
        <f t="shared" si="20"/>
        <v>0</v>
      </c>
    </row>
    <row r="1205" spans="1:45" x14ac:dyDescent="0.2">
      <c r="B1205" s="188" t="s">
        <v>898</v>
      </c>
      <c r="L1205" s="240">
        <f>'Final Table'!I12</f>
        <v>6</v>
      </c>
      <c r="M1205" s="240">
        <v>1</v>
      </c>
      <c r="N1205" s="207">
        <f>SUMIFS('LOGBOOK VIEWER'!$K$7:$K$10010,'LOGBOOK VIEWER'!$H$7:$H$10010,"LLD (Liquid Level Detection)",'LOGBOOK VIEWER'!$D$7:$D$10010,'LOGBOOK VIEWER'!$G$5)</f>
        <v>0</v>
      </c>
      <c r="O1205" s="207">
        <f>SUMIFS('LOGBOOK VIEWER'!$K$7:$K$10010,'LOGBOOK VIEWER'!$H$7:$H$10010,"LLD (Liquid Level Detection)",'LOGBOOK VIEWER'!$D$7:$D$10010,'LOGBOOK VIEWER'!$G$5-1)</f>
        <v>0</v>
      </c>
      <c r="P1205" s="207">
        <f>SUMIFS('LOGBOOK VIEWER'!$K$7:$K$10010,'LOGBOOK VIEWER'!$H$7:$H$10010,"LLD (Liquid Level Detection)",'LOGBOOK VIEWER'!$D$7:$D$10010,'LOGBOOK VIEWER'!$G$5-2)</f>
        <v>0</v>
      </c>
      <c r="Q1205" s="207">
        <f>SUMIFS('LOGBOOK VIEWER'!$K$7:$K$10010,'LOGBOOK VIEWER'!$H$7:$H$10010,"LLD (Liquid Level Detection)",'LOGBOOK VIEWER'!$D$7:$D$10010,'LOGBOOK VIEWER'!$G$5-3)</f>
        <v>0</v>
      </c>
      <c r="R1205" s="207">
        <f>SUMIFS('LOGBOOK VIEWER'!$K$7:$K$10010,'LOGBOOK VIEWER'!$H$7:$H$10010,"LLD (Liquid Level Detection)",'LOGBOOK VIEWER'!$D$7:$D$10010,'LOGBOOK VIEWER'!$G$5-4)</f>
        <v>0</v>
      </c>
      <c r="S1205" s="207">
        <f>SUMIFS('LOGBOOK VIEWER'!$K$7:$K$10010,'LOGBOOK VIEWER'!$H$7:$H$10010,"LLD (Liquid Level Detection)",'LOGBOOK VIEWER'!$D$7:$D$10010,'LOGBOOK VIEWER'!$G$5-5)</f>
        <v>0</v>
      </c>
      <c r="T1205" s="207">
        <f>SUMIFS('LOGBOOK VIEWER'!$K$7:$K$10010,'LOGBOOK VIEWER'!$H$7:$H$10010,"LLD (Liquid Level Detection)",'LOGBOOK VIEWER'!$D$7:$D$10010,'LOGBOOK VIEWER'!$G$5-6)</f>
        <v>0</v>
      </c>
      <c r="U1205" s="207">
        <f>SUMIFS('LOGBOOK VIEWER'!$K$7:$K$10010,'LOGBOOK VIEWER'!$H$7:$H$10010,"LLD (Liquid Level Detection)",'LOGBOOK VIEWER'!$D$7:$D$10010,'LOGBOOK VIEWER'!$G$5-7)</f>
        <v>0</v>
      </c>
      <c r="V1205" s="207">
        <f>SUMIFS('LOGBOOK VIEWER'!$K$7:$K$10010,'LOGBOOK VIEWER'!$H$7:$H$10010,"LLD (Liquid Level Detection)",'LOGBOOK VIEWER'!$D$7:$D$10010,'LOGBOOK VIEWER'!$G$5-8)</f>
        <v>0</v>
      </c>
      <c r="W1205" s="207">
        <f>SUMIFS('LOGBOOK VIEWER'!$K$7:$K$10010,'LOGBOOK VIEWER'!$H$7:$H$10010,"LLD (Liquid Level Detection)",'LOGBOOK VIEWER'!$D$7:$D$10010,'LOGBOOK VIEWER'!$G$5-9)</f>
        <v>0</v>
      </c>
      <c r="X1205" s="207">
        <f>SUMIFS('LOGBOOK VIEWER'!$K$7:$K$10010,'LOGBOOK VIEWER'!$H$7:$H$10010,"LLD (Liquid Level Detection)",'LOGBOOK VIEWER'!$D$7:$D$10010,'LOGBOOK VIEWER'!$G$5-10)</f>
        <v>0</v>
      </c>
      <c r="Y1205" s="207">
        <f>SUMIFS('LOGBOOK VIEWER'!$K$7:$K$10010,'LOGBOOK VIEWER'!$H$7:$H$10010,"LLD (Liquid Level Detection)",'LOGBOOK VIEWER'!$D$7:$D$10010,'LOGBOOK VIEWER'!$G$5-11)</f>
        <v>0</v>
      </c>
      <c r="Z1205" s="207">
        <f>SUMIFS('LOGBOOK VIEWER'!$K$7:$K$10010,'LOGBOOK VIEWER'!$H$7:$H$10010,"LLD (Liquid Level Detection)",'LOGBOOK VIEWER'!$D$7:$D$10010,'LOGBOOK VIEWER'!$G$5-12)</f>
        <v>0</v>
      </c>
      <c r="AA1205" s="207">
        <f>SUMIFS('LOGBOOK VIEWER'!$K$7:$K$10010,'LOGBOOK VIEWER'!$H$7:$H$10010,"LLD (Liquid Level Detection)",'LOGBOOK VIEWER'!$D$7:$D$10010,'LOGBOOK VIEWER'!$G$5-13)</f>
        <v>0</v>
      </c>
      <c r="AB1205" s="207">
        <f>SUMIFS('LOGBOOK VIEWER'!$K$7:$K$10010,'LOGBOOK VIEWER'!$H$7:$H$10010,"LLD (Liquid Level Detection)",'LOGBOOK VIEWER'!$D$7:$D$10010,'LOGBOOK VIEWER'!$G$5-14)</f>
        <v>0</v>
      </c>
      <c r="AC1205" s="207">
        <f>SUMIFS('LOGBOOK VIEWER'!$K$7:$K$10010,'LOGBOOK VIEWER'!$H$7:$H$10010,"LLD (Liquid Level Detection)",'LOGBOOK VIEWER'!$D$7:$D$10010,'LOGBOOK VIEWER'!$G$5-16)</f>
        <v>0</v>
      </c>
      <c r="AD1205" s="207">
        <f>SUMIFS('LOGBOOK VIEWER'!$K$7:$K$10010,'LOGBOOK VIEWER'!$H$7:$H$10010,"LLD (Liquid Level Detection)",'LOGBOOK VIEWER'!$D$7:$D$10010,'LOGBOOK VIEWER'!$G$5-16)</f>
        <v>0</v>
      </c>
      <c r="AE1205" s="207">
        <f>SUMIFS('LOGBOOK VIEWER'!$K$7:$K$10010,'LOGBOOK VIEWER'!$H$7:$H$10010,"LLD (Liquid Level Detection)",'LOGBOOK VIEWER'!$D$7:$D$10010,'LOGBOOK VIEWER'!$G$5-17)</f>
        <v>0</v>
      </c>
      <c r="AF1205" s="207">
        <f>SUMIFS('LOGBOOK VIEWER'!$K$7:$K$10010,'LOGBOOK VIEWER'!$H$7:$H$10010,"LLD (Liquid Level Detection)",'LOGBOOK VIEWER'!$D$7:$D$10010,'LOGBOOK VIEWER'!$G$5-18)</f>
        <v>0</v>
      </c>
      <c r="AG1205" s="207">
        <f>SUMIFS('LOGBOOK VIEWER'!$K$7:$K$10010,'LOGBOOK VIEWER'!$H$7:$H$10010,"LLD (Liquid Level Detection)",'LOGBOOK VIEWER'!$D$7:$D$10010,'LOGBOOK VIEWER'!$G$5-19)</f>
        <v>0</v>
      </c>
      <c r="AH1205" s="207">
        <f>SUMIFS('LOGBOOK VIEWER'!$K$7:$K$10010,'LOGBOOK VIEWER'!$H$7:$H$10010,"LLD (Liquid Level Detection)",'LOGBOOK VIEWER'!$D$7:$D$10010,'LOGBOOK VIEWER'!$G$5-20)</f>
        <v>0</v>
      </c>
      <c r="AI1205" s="207">
        <f>SUMIFS('LOGBOOK VIEWER'!$K$7:$K$10010,'LOGBOOK VIEWER'!$H$7:$H$10010,"LLD (Liquid Level Detection)",'LOGBOOK VIEWER'!$D$7:$D$10010,'LOGBOOK VIEWER'!$G$5-21)</f>
        <v>0</v>
      </c>
      <c r="AJ1205" s="207">
        <f>SUMIFS('LOGBOOK VIEWER'!$K$7:$K$10010,'LOGBOOK VIEWER'!$H$7:$H$10010,"LLD (Liquid Level Detection)",'LOGBOOK VIEWER'!$D$7:$D$10010,'LOGBOOK VIEWER'!$G$5-22)</f>
        <v>0</v>
      </c>
      <c r="AK1205" s="207">
        <f>SUMIFS('LOGBOOK VIEWER'!$K$7:$K$10010,'LOGBOOK VIEWER'!$H$7:$H$10010,"LLD (Liquid Level Detection)",'LOGBOOK VIEWER'!$D$7:$D$10010,'LOGBOOK VIEWER'!$G$5-23)</f>
        <v>0</v>
      </c>
      <c r="AL1205" s="207">
        <f>SUMIFS('LOGBOOK VIEWER'!$K$7:$K$10010,'LOGBOOK VIEWER'!$H$7:$H$10010,"LLD (Liquid Level Detection)",'LOGBOOK VIEWER'!$D$7:$D$10010,'LOGBOOK VIEWER'!$G$5-24)</f>
        <v>0</v>
      </c>
      <c r="AM1205" s="207">
        <f>SUMIFS('LOGBOOK VIEWER'!$K$7:$K$10010,'LOGBOOK VIEWER'!$H$7:$H$10010,"LLD (Liquid Level Detection)",'LOGBOOK VIEWER'!$D$7:$D$10010,'LOGBOOK VIEWER'!$G$5-25)</f>
        <v>0</v>
      </c>
      <c r="AN1205" s="207">
        <f>SUMIFS('LOGBOOK VIEWER'!$K$7:$K$10010,'LOGBOOK VIEWER'!$H$7:$H$10010,"LLD (Liquid Level Detection)",'LOGBOOK VIEWER'!$D$7:$D$10010,'LOGBOOK VIEWER'!$G$5-26)</f>
        <v>0</v>
      </c>
      <c r="AO1205" s="207">
        <f>SUMIFS('LOGBOOK VIEWER'!$K$7:$K$10010,'LOGBOOK VIEWER'!$H$7:$H$10010,"LLD (Liquid Level Detection)",'LOGBOOK VIEWER'!$D$7:$D$10010,'LOGBOOK VIEWER'!$G$5-27)</f>
        <v>0</v>
      </c>
      <c r="AP1205" s="207">
        <f>SUMIFS('LOGBOOK VIEWER'!$K$7:$K$10010,'LOGBOOK VIEWER'!$H$7:$H$10010,"LLD (Liquid Level Detection)",'LOGBOOK VIEWER'!$D$7:$D$10010,'LOGBOOK VIEWER'!$G$5-28)</f>
        <v>0</v>
      </c>
      <c r="AQ1205" s="207">
        <f>SUMIFS('LOGBOOK VIEWER'!$K$7:$K$10010,'LOGBOOK VIEWER'!$H$7:$H$10010,"LLD (Liquid Level Detection)",'LOGBOOK VIEWER'!$D$7:$D$10010,'LOGBOOK VIEWER'!$G$5-29)</f>
        <v>0</v>
      </c>
      <c r="AR1205" s="207">
        <f>SUMIFS('LOGBOOK VIEWER'!$K$7:$K$10010,'LOGBOOK VIEWER'!$H$7:$H$10010,"LLD (Liquid Level Detection)",'LOGBOOK VIEWER'!$D$7:$D$10010,'LOGBOOK VIEWER'!$G$5-30)</f>
        <v>0</v>
      </c>
      <c r="AS1205" s="207">
        <f t="shared" si="20"/>
        <v>0</v>
      </c>
    </row>
    <row r="1206" spans="1:45" x14ac:dyDescent="0.2">
      <c r="B1206" s="188" t="s">
        <v>899</v>
      </c>
      <c r="L1206" s="240">
        <f>'Final Table'!I14</f>
        <v>1</v>
      </c>
      <c r="M1206" s="240">
        <v>1</v>
      </c>
      <c r="N1206" s="207">
        <f>SUMIFS('LOGBOOK VIEWER'!$K$7:$K$10010,'LOGBOOK VIEWER'!$H$7:$H$10010,"ORU",'LOGBOOK VIEWER'!$D$7:$D$10010,'LOGBOOK VIEWER'!$G$5)</f>
        <v>0</v>
      </c>
      <c r="O1206" s="207">
        <f>SUMIFS('LOGBOOK VIEWER'!$K$7:$K$10010,'LOGBOOK VIEWER'!$H$7:$H$10010,"ORU",'LOGBOOK VIEWER'!$D$7:$D$10010,'LOGBOOK VIEWER'!$G$5-1)</f>
        <v>0</v>
      </c>
      <c r="P1206" s="207">
        <f>SUMIFS('LOGBOOK VIEWER'!$K$7:$K$10010,'LOGBOOK VIEWER'!$H$7:$H$10010,"ORU",'LOGBOOK VIEWER'!$D$7:$D$10010,'LOGBOOK VIEWER'!$G$5-2)</f>
        <v>0</v>
      </c>
      <c r="Q1206" s="207">
        <f>SUMIFS('LOGBOOK VIEWER'!$K$7:$K$10010,'LOGBOOK VIEWER'!$H$7:$H$10010,"ORU",'LOGBOOK VIEWER'!$D$7:$D$10010,'LOGBOOK VIEWER'!$G$5-3)</f>
        <v>0</v>
      </c>
      <c r="R1206" s="207">
        <f>SUMIFS('LOGBOOK VIEWER'!$K$7:$K$10010,'LOGBOOK VIEWER'!$H$7:$H$10010,"ORU",'LOGBOOK VIEWER'!$D$7:$D$10010,'LOGBOOK VIEWER'!$G$5-4)</f>
        <v>0</v>
      </c>
      <c r="S1206" s="207">
        <f>SUMIFS('LOGBOOK VIEWER'!$K$7:$K$10010,'LOGBOOK VIEWER'!$H$7:$H$10010,"ORU",'LOGBOOK VIEWER'!$D$7:$D$10010,'LOGBOOK VIEWER'!$G$5-5)</f>
        <v>0</v>
      </c>
      <c r="T1206" s="207">
        <f>SUMIFS('LOGBOOK VIEWER'!$K$7:$K$10010,'LOGBOOK VIEWER'!$H$7:$H$10010,"ORU",'LOGBOOK VIEWER'!$D$7:$D$10010,'LOGBOOK VIEWER'!$G$5-6)</f>
        <v>0</v>
      </c>
      <c r="U1206" s="207">
        <f>SUMIFS('LOGBOOK VIEWER'!$K$7:$K$10010,'LOGBOOK VIEWER'!$H$7:$H$10010,"ORU",'LOGBOOK VIEWER'!$D$7:$D$10010,'LOGBOOK VIEWER'!$G$5-7)</f>
        <v>0</v>
      </c>
      <c r="V1206" s="207">
        <f>SUMIFS('LOGBOOK VIEWER'!$K$7:$K$10010,'LOGBOOK VIEWER'!$H$7:$H$10010,"ORU",'LOGBOOK VIEWER'!$D$7:$D$10010,'LOGBOOK VIEWER'!$G$5-8)</f>
        <v>0</v>
      </c>
      <c r="W1206" s="207">
        <f>SUMIFS('LOGBOOK VIEWER'!$K$7:$K$10010,'LOGBOOK VIEWER'!$H$7:$H$10010,"ORU",'LOGBOOK VIEWER'!$D$7:$D$10010,'LOGBOOK VIEWER'!$G$5-9)</f>
        <v>0</v>
      </c>
      <c r="X1206" s="207">
        <f>SUMIFS('LOGBOOK VIEWER'!$K$7:$K$10010,'LOGBOOK VIEWER'!$H$7:$H$10010,"ORU",'LOGBOOK VIEWER'!$D$7:$D$10010,'LOGBOOK VIEWER'!$G$5-10)</f>
        <v>0</v>
      </c>
      <c r="Y1206" s="207">
        <f>SUMIFS('LOGBOOK VIEWER'!$K$7:$K$10010,'LOGBOOK VIEWER'!$H$7:$H$10010,"ORU",'LOGBOOK VIEWER'!$D$7:$D$10010,'LOGBOOK VIEWER'!$G$5-11)</f>
        <v>0</v>
      </c>
      <c r="Z1206" s="207">
        <f>SUMIFS('LOGBOOK VIEWER'!$K$7:$K$10010,'LOGBOOK VIEWER'!$H$7:$H$10010,"ORU",'LOGBOOK VIEWER'!$D$7:$D$10010,'LOGBOOK VIEWER'!$G$5-12)</f>
        <v>0</v>
      </c>
      <c r="AA1206" s="207">
        <f>SUMIFS('LOGBOOK VIEWER'!$K$7:$K$10010,'LOGBOOK VIEWER'!$H$7:$H$10010,"ORU",'LOGBOOK VIEWER'!$D$7:$D$10010,'LOGBOOK VIEWER'!$G$5-13)</f>
        <v>0</v>
      </c>
      <c r="AB1206" s="207">
        <f>SUMIFS('LOGBOOK VIEWER'!$K$7:$K$10010,'LOGBOOK VIEWER'!$H$7:$H$10010,"ORU",'LOGBOOK VIEWER'!$D$7:$D$10010,'LOGBOOK VIEWER'!$G$5-14)</f>
        <v>0</v>
      </c>
      <c r="AC1206" s="207">
        <f>SUMIFS('LOGBOOK VIEWER'!$K$7:$K$10010,'LOGBOOK VIEWER'!$H$7:$H$10010,"ORU",'LOGBOOK VIEWER'!$D$7:$D$10010,'LOGBOOK VIEWER'!$G$5-15)</f>
        <v>0</v>
      </c>
      <c r="AD1206" s="207">
        <f>SUMIFS('LOGBOOK VIEWER'!$K$7:$K$10010,'LOGBOOK VIEWER'!$H$7:$H$10010,"ORU",'LOGBOOK VIEWER'!$D$7:$D$10010,'LOGBOOK VIEWER'!$G$5-16)</f>
        <v>0</v>
      </c>
      <c r="AE1206" s="207">
        <f>SUMIFS('LOGBOOK VIEWER'!$K$7:$K$10010,'LOGBOOK VIEWER'!$H$7:$H$10010,"ORU",'LOGBOOK VIEWER'!$D$7:$D$10010,'LOGBOOK VIEWER'!$G$5-17)</f>
        <v>0</v>
      </c>
      <c r="AF1206" s="207">
        <f>SUMIFS('LOGBOOK VIEWER'!$K$7:$K$10010,'LOGBOOK VIEWER'!$H$7:$H$10010,"ORU",'LOGBOOK VIEWER'!$D$7:$D$10010,'LOGBOOK VIEWER'!$G$5-18)</f>
        <v>0</v>
      </c>
      <c r="AG1206" s="207">
        <f>SUMIFS('LOGBOOK VIEWER'!$K$7:$K$10010,'LOGBOOK VIEWER'!$H$7:$H$10010,"ORU",'LOGBOOK VIEWER'!$D$7:$D$10010,'LOGBOOK VIEWER'!$G$5-19)</f>
        <v>0</v>
      </c>
      <c r="AH1206" s="207">
        <f>SUMIFS('LOGBOOK VIEWER'!$K$7:$K$10010,'LOGBOOK VIEWER'!$H$7:$H$10010,"ORU",'LOGBOOK VIEWER'!$D$7:$D$10010,'LOGBOOK VIEWER'!$G$5-20)</f>
        <v>0</v>
      </c>
      <c r="AI1206" s="207">
        <f>SUMIFS('LOGBOOK VIEWER'!$K$7:$K$10010,'LOGBOOK VIEWER'!$H$7:$H$10010,"ORU",'LOGBOOK VIEWER'!$D$7:$D$10010,'LOGBOOK VIEWER'!$G$5-21)</f>
        <v>0</v>
      </c>
      <c r="AJ1206" s="207">
        <f>SUMIFS('LOGBOOK VIEWER'!$K$7:$K$10010,'LOGBOOK VIEWER'!$H$7:$H$10010,"ORU",'LOGBOOK VIEWER'!$D$7:$D$10010,'LOGBOOK VIEWER'!$G$5-22)</f>
        <v>0</v>
      </c>
      <c r="AK1206" s="207">
        <f>SUMIFS('LOGBOOK VIEWER'!$K$7:$K$10010,'LOGBOOK VIEWER'!$H$7:$H$10010,"ORU",'LOGBOOK VIEWER'!$D$7:$D$10010,'LOGBOOK VIEWER'!$G$5-23)</f>
        <v>0</v>
      </c>
      <c r="AL1206" s="207">
        <f>SUMIFS('LOGBOOK VIEWER'!$K$7:$K$10010,'LOGBOOK VIEWER'!$H$7:$H$10010,"ORU",'LOGBOOK VIEWER'!$D$7:$D$10010,'LOGBOOK VIEWER'!$G$5-24)</f>
        <v>0</v>
      </c>
      <c r="AM1206" s="207">
        <f>SUMIFS('LOGBOOK VIEWER'!$K$7:$K$10010,'LOGBOOK VIEWER'!$H$7:$H$10010,"ORU",'LOGBOOK VIEWER'!$D$7:$D$10010,'LOGBOOK VIEWER'!$G$5-25)</f>
        <v>0</v>
      </c>
      <c r="AN1206" s="207">
        <f>SUMIFS('LOGBOOK VIEWER'!$K$7:$K$10010,'LOGBOOK VIEWER'!$H$7:$H$10010,"ORU",'LOGBOOK VIEWER'!$D$7:$D$10010,'LOGBOOK VIEWER'!$G$5-26)</f>
        <v>0</v>
      </c>
      <c r="AO1206" s="207">
        <f>SUMIFS('LOGBOOK VIEWER'!$K$7:$K$10010,'LOGBOOK VIEWER'!$H$7:$H$10010,"ORU",'LOGBOOK VIEWER'!$D$7:$D$10010,'LOGBOOK VIEWER'!$G$5-27)</f>
        <v>0</v>
      </c>
      <c r="AP1206" s="207">
        <f>SUMIFS('LOGBOOK VIEWER'!$K$7:$K$10010,'LOGBOOK VIEWER'!$H$7:$H$10010,"ORU",'LOGBOOK VIEWER'!$D$7:$D$10010,'LOGBOOK VIEWER'!$G$5-28)</f>
        <v>0</v>
      </c>
      <c r="AQ1206" s="207">
        <f>SUMIFS('LOGBOOK VIEWER'!$K$7:$K$10010,'LOGBOOK VIEWER'!$H$7:$H$10010,"ORU",'LOGBOOK VIEWER'!$D$7:$D$10010,'LOGBOOK VIEWER'!$G$5-29)</f>
        <v>0</v>
      </c>
      <c r="AR1206" s="207">
        <f>SUMIFS('LOGBOOK VIEWER'!$K$7:$K$10010,'LOGBOOK VIEWER'!$H$7:$H$10010,"ORU",'LOGBOOK VIEWER'!$D$7:$D$10010,'LOGBOOK VIEWER'!$G$5-30)</f>
        <v>0</v>
      </c>
      <c r="AS1206" s="207">
        <f t="shared" si="20"/>
        <v>0</v>
      </c>
    </row>
    <row r="1207" spans="1:45" x14ac:dyDescent="0.2">
      <c r="B1207" s="188" t="s">
        <v>900</v>
      </c>
      <c r="L1207" s="240">
        <f>'Final Table'!I16</f>
        <v>1</v>
      </c>
      <c r="M1207" s="240">
        <v>1</v>
      </c>
      <c r="N1207" s="207">
        <f>SUMIFS('LOGBOOK VIEWER'!$K$7:$K$10010,'LOGBOOK VIEWER'!$H$7:$H$10010,"Others",'LOGBOOK VIEWER'!$D$7:$D$10010,'LOGBOOK VIEWER'!$G$5)</f>
        <v>0</v>
      </c>
      <c r="O1207" s="207">
        <f>SUMIFS('LOGBOOK VIEWER'!$K$7:$K$10010,'LOGBOOK VIEWER'!$H$7:$H$10010,"Others",'LOGBOOK VIEWER'!$D$7:$D$10010,'LOGBOOK VIEWER'!$G$5-1)</f>
        <v>0</v>
      </c>
      <c r="P1207" s="207">
        <f>SUMIFS('LOGBOOK VIEWER'!$K$7:$K$10010,'LOGBOOK VIEWER'!$H$7:$H$10010,"Others",'LOGBOOK VIEWER'!$D$7:$D$10010,'LOGBOOK VIEWER'!$G$5-2)</f>
        <v>0</v>
      </c>
      <c r="Q1207" s="207">
        <f>SUMIFS('LOGBOOK VIEWER'!$K$7:$K$10010,'LOGBOOK VIEWER'!$H$7:$H$10010,"Others",'LOGBOOK VIEWER'!$D$7:$D$10010,'LOGBOOK VIEWER'!$G$5-3)</f>
        <v>0</v>
      </c>
      <c r="R1207" s="207">
        <f>SUMIFS('LOGBOOK VIEWER'!$K$7:$K$10010,'LOGBOOK VIEWER'!$H$7:$H$10010,"Others",'LOGBOOK VIEWER'!$D$7:$D$10010,'LOGBOOK VIEWER'!$G$5-4)</f>
        <v>0</v>
      </c>
      <c r="S1207" s="207">
        <f>SUMIFS('LOGBOOK VIEWER'!$K$7:$K$10010,'LOGBOOK VIEWER'!$H$7:$H$10010,"Others",'LOGBOOK VIEWER'!$D$7:$D$10010,'LOGBOOK VIEWER'!$G$5-5)</f>
        <v>0</v>
      </c>
      <c r="T1207" s="207">
        <f>SUMIFS('LOGBOOK VIEWER'!$K$7:$K$10010,'LOGBOOK VIEWER'!$H$7:$H$10010,"Others",'LOGBOOK VIEWER'!$D$7:$D$10010,'LOGBOOK VIEWER'!$G$5-6)</f>
        <v>0</v>
      </c>
      <c r="U1207" s="207">
        <f>SUMIFS('LOGBOOK VIEWER'!$K$7:$K$10010,'LOGBOOK VIEWER'!$H$7:$H$10010,"Others",'LOGBOOK VIEWER'!$D$7:$D$10010,'LOGBOOK VIEWER'!$G$5-7)</f>
        <v>0</v>
      </c>
      <c r="V1207" s="207">
        <f>SUMIFS('LOGBOOK VIEWER'!$K$7:$K$10010,'LOGBOOK VIEWER'!$H$7:$H$10010,"Others",'LOGBOOK VIEWER'!$D$7:$D$10010,'LOGBOOK VIEWER'!$G$5-8)</f>
        <v>0</v>
      </c>
      <c r="W1207" s="207">
        <f>SUMIFS('LOGBOOK VIEWER'!$K$7:$K$10010,'LOGBOOK VIEWER'!$H$7:$H$10010,"Others",'LOGBOOK VIEWER'!$D$7:$D$10010,'LOGBOOK VIEWER'!$G$5-9)</f>
        <v>0</v>
      </c>
      <c r="X1207" s="207">
        <f>SUMIFS('LOGBOOK VIEWER'!$K$7:$K$10010,'LOGBOOK VIEWER'!$H$7:$H$10010,"Others",'LOGBOOK VIEWER'!$D$7:$D$10010,'LOGBOOK VIEWER'!$G$5-10)</f>
        <v>0</v>
      </c>
      <c r="Y1207" s="207">
        <f>SUMIFS('LOGBOOK VIEWER'!$K$7:$K$10010,'LOGBOOK VIEWER'!$H$7:$H$10010,"Others",'LOGBOOK VIEWER'!$D$7:$D$10010,'LOGBOOK VIEWER'!$G$5-11)</f>
        <v>0</v>
      </c>
      <c r="Z1207" s="207">
        <f>SUMIFS('LOGBOOK VIEWER'!$K$7:$K$10010,'LOGBOOK VIEWER'!$H$7:$H$10010,"Others",'LOGBOOK VIEWER'!$D$7:$D$10010,'LOGBOOK VIEWER'!$G$5-12)</f>
        <v>0</v>
      </c>
      <c r="AA1207" s="207">
        <f>SUMIFS('LOGBOOK VIEWER'!$K$7:$K$10010,'LOGBOOK VIEWER'!$H$7:$H$10010,"Others",'LOGBOOK VIEWER'!$D$7:$D$10010,'LOGBOOK VIEWER'!$G$5-13)</f>
        <v>0</v>
      </c>
      <c r="AB1207" s="207">
        <f>SUMIFS('LOGBOOK VIEWER'!$K$7:$K$10010,'LOGBOOK VIEWER'!$H$7:$H$10010,"Others",'LOGBOOK VIEWER'!$D$7:$D$10010,'LOGBOOK VIEWER'!$G$5-14)</f>
        <v>0</v>
      </c>
      <c r="AC1207" s="207">
        <f>SUMIFS('LOGBOOK VIEWER'!$K$7:$K$10010,'LOGBOOK VIEWER'!$H$7:$H$10010,"Others",'LOGBOOK VIEWER'!$D$7:$D$10010,'LOGBOOK VIEWER'!$G$5-15)</f>
        <v>0</v>
      </c>
      <c r="AD1207" s="207">
        <f>SUMIFS('LOGBOOK VIEWER'!$K$7:$K$10010,'LOGBOOK VIEWER'!$H$7:$H$10010,"Others",'LOGBOOK VIEWER'!$D$7:$D$10010,'LOGBOOK VIEWER'!$G$5-16)</f>
        <v>0</v>
      </c>
      <c r="AE1207" s="207">
        <f>SUMIFS('LOGBOOK VIEWER'!$K$7:$K$10010,'LOGBOOK VIEWER'!$H$7:$H$10010,"Others",'LOGBOOK VIEWER'!$D$7:$D$10010,'LOGBOOK VIEWER'!$G$5-17)</f>
        <v>0</v>
      </c>
      <c r="AF1207" s="207">
        <f>SUMIFS('LOGBOOK VIEWER'!$K$7:$K$10010,'LOGBOOK VIEWER'!$H$7:$H$10010,"Others",'LOGBOOK VIEWER'!$D$7:$D$10010,'LOGBOOK VIEWER'!$G$5-18)</f>
        <v>0</v>
      </c>
      <c r="AG1207" s="207">
        <f>SUMIFS('LOGBOOK VIEWER'!$K$7:$K$10010,'LOGBOOK VIEWER'!$H$7:$H$10010,"Others",'LOGBOOK VIEWER'!$D$7:$D$10010,'LOGBOOK VIEWER'!$G$5-19)</f>
        <v>0</v>
      </c>
      <c r="AH1207" s="207">
        <f>SUMIFS('LOGBOOK VIEWER'!$K$7:$K$10010,'LOGBOOK VIEWER'!$H$7:$H$10010,"Others",'LOGBOOK VIEWER'!$D$7:$D$10010,'LOGBOOK VIEWER'!$G$5-20)</f>
        <v>0</v>
      </c>
      <c r="AI1207" s="207">
        <f>SUMIFS('LOGBOOK VIEWER'!$K$7:$K$10010,'LOGBOOK VIEWER'!$H$7:$H$10010,"Others",'LOGBOOK VIEWER'!$D$7:$D$10010,'LOGBOOK VIEWER'!$G$5-21)</f>
        <v>0</v>
      </c>
      <c r="AJ1207" s="207">
        <f>SUMIFS('LOGBOOK VIEWER'!$K$7:$K$10010,'LOGBOOK VIEWER'!$H$7:$H$10010,"Others",'LOGBOOK VIEWER'!$D$7:$D$10010,'LOGBOOK VIEWER'!$G$5-22)</f>
        <v>0</v>
      </c>
      <c r="AK1207" s="207">
        <f>SUMIFS('LOGBOOK VIEWER'!$K$7:$K$10010,'LOGBOOK VIEWER'!$H$7:$H$10010,"Others",'LOGBOOK VIEWER'!$D$7:$D$10010,'LOGBOOK VIEWER'!$G$5-23)</f>
        <v>0</v>
      </c>
      <c r="AL1207" s="207">
        <f>SUMIFS('LOGBOOK VIEWER'!$K$7:$K$10010,'LOGBOOK VIEWER'!$H$7:$H$10010,"Others",'LOGBOOK VIEWER'!$D$7:$D$10010,'LOGBOOK VIEWER'!$G$5-24)</f>
        <v>0</v>
      </c>
      <c r="AM1207" s="207">
        <f>SUMIFS('LOGBOOK VIEWER'!$K$7:$K$10010,'LOGBOOK VIEWER'!$H$7:$H$10010,"Others",'LOGBOOK VIEWER'!$D$7:$D$10010,'LOGBOOK VIEWER'!$G$5-25)</f>
        <v>0</v>
      </c>
      <c r="AN1207" s="207">
        <f>SUMIFS('LOGBOOK VIEWER'!$K$7:$K$10010,'LOGBOOK VIEWER'!$H$7:$H$10010,"Others",'LOGBOOK VIEWER'!$D$7:$D$10010,'LOGBOOK VIEWER'!$G$5-26)</f>
        <v>0</v>
      </c>
      <c r="AO1207" s="207">
        <f>SUMIFS('LOGBOOK VIEWER'!$K$7:$K$10010,'LOGBOOK VIEWER'!$H$7:$H$10010,"Others",'LOGBOOK VIEWER'!$D$7:$D$10010,'LOGBOOK VIEWER'!$G$5-27)</f>
        <v>0</v>
      </c>
      <c r="AP1207" s="207">
        <f>SUMIFS('LOGBOOK VIEWER'!$K$7:$K$10010,'LOGBOOK VIEWER'!$H$7:$H$10010,"Others",'LOGBOOK VIEWER'!$D$7:$D$10010,'LOGBOOK VIEWER'!$G$5-28)</f>
        <v>0</v>
      </c>
      <c r="AQ1207" s="207">
        <f>SUMIFS('LOGBOOK VIEWER'!$K$7:$K$10010,'LOGBOOK VIEWER'!$H$7:$H$10010,"Others",'LOGBOOK VIEWER'!$D$7:$D$10010,'LOGBOOK VIEWER'!$G$5-29)</f>
        <v>0</v>
      </c>
      <c r="AR1207" s="207">
        <f>SUMIFS('LOGBOOK VIEWER'!$K$7:$K$10010,'LOGBOOK VIEWER'!$H$7:$H$10010,"Others",'LOGBOOK VIEWER'!$D$7:$D$10010,'LOGBOOK VIEWER'!$G$5-30)</f>
        <v>0</v>
      </c>
      <c r="AS1207" s="207">
        <f t="shared" si="20"/>
        <v>0</v>
      </c>
    </row>
    <row r="1208" spans="1:45" x14ac:dyDescent="0.2">
      <c r="B1208" s="188" t="s">
        <v>901</v>
      </c>
      <c r="L1208" s="240">
        <f>'Final Table'!I18</f>
        <v>4</v>
      </c>
      <c r="M1208" s="240">
        <v>2</v>
      </c>
      <c r="N1208" s="207">
        <f>SUMIFS('LOGBOOK VIEWER'!$K$7:$K$10010,'LOGBOOK VIEWER'!$H$7:$H$10010,"SW",'LOGBOOK VIEWER'!$D$7:$D$10010,'LOGBOOK VIEWER'!$G$5)</f>
        <v>0</v>
      </c>
      <c r="O1208" s="207">
        <f>SUMIFS('LOGBOOK VIEWER'!$K$7:$K$10010,'LOGBOOK VIEWER'!$H$7:$H$10010,"SW",'LOGBOOK VIEWER'!$D$7:$D$10010,'LOGBOOK VIEWER'!$G$5-1)</f>
        <v>0</v>
      </c>
      <c r="P1208" s="207">
        <f>SUMIFS('LOGBOOK VIEWER'!$K$7:$K$10010,'LOGBOOK VIEWER'!$H$7:$H$10010,"SW",'LOGBOOK VIEWER'!$D$7:$D$10010,'LOGBOOK VIEWER'!$G$5-2)</f>
        <v>0</v>
      </c>
      <c r="Q1208" s="207">
        <f>SUMIFS('LOGBOOK VIEWER'!$K$7:$K$10010,'LOGBOOK VIEWER'!$H$7:$H$10010,"SW",'LOGBOOK VIEWER'!$D$7:$D$10010,'LOGBOOK VIEWER'!$G$5-3)</f>
        <v>0</v>
      </c>
      <c r="R1208" s="207">
        <f>SUMIFS('LOGBOOK VIEWER'!$K$7:$K$10010,'LOGBOOK VIEWER'!$H$7:$H$10010,"SW",'LOGBOOK VIEWER'!$D$7:$D$10010,'LOGBOOK VIEWER'!$G$5-4)</f>
        <v>0</v>
      </c>
      <c r="S1208" s="207">
        <f>SUMIFS('LOGBOOK VIEWER'!$K$7:$K$10010,'LOGBOOK VIEWER'!$H$7:$H$10010,"SW",'LOGBOOK VIEWER'!$D$7:$D$10010,'LOGBOOK VIEWER'!$G$5-5)</f>
        <v>0</v>
      </c>
      <c r="T1208" s="207">
        <f>SUMIFS('LOGBOOK VIEWER'!$K$7:$K$10010,'LOGBOOK VIEWER'!$H$7:$H$10010,"SW",'LOGBOOK VIEWER'!$D$7:$D$10010,'LOGBOOK VIEWER'!$G$5-6)</f>
        <v>0</v>
      </c>
      <c r="U1208" s="207">
        <f>SUMIFS('LOGBOOK VIEWER'!$K$7:$K$10010,'LOGBOOK VIEWER'!$H$7:$H$10010,"SW",'LOGBOOK VIEWER'!$D$7:$D$10010,'LOGBOOK VIEWER'!$G$5-7)</f>
        <v>0</v>
      </c>
      <c r="V1208" s="207">
        <f>SUMIFS('LOGBOOK VIEWER'!$K$7:$K$10010,'LOGBOOK VIEWER'!$H$7:$H$10010,"SW",'LOGBOOK VIEWER'!$D$7:$D$10010,'LOGBOOK VIEWER'!$G$5-8)</f>
        <v>0</v>
      </c>
      <c r="W1208" s="207">
        <f>SUMIFS('LOGBOOK VIEWER'!$K$7:$K$10010,'LOGBOOK VIEWER'!$H$7:$H$10010,"SW",'LOGBOOK VIEWER'!$D$7:$D$10010,'LOGBOOK VIEWER'!$G$5-9)</f>
        <v>0</v>
      </c>
      <c r="X1208" s="207">
        <f>SUMIFS('LOGBOOK VIEWER'!$K$7:$K$10010,'LOGBOOK VIEWER'!$H$7:$H$10010,"SW",'LOGBOOK VIEWER'!$D$7:$D$10010,'LOGBOOK VIEWER'!$G$5-10)</f>
        <v>0</v>
      </c>
      <c r="Y1208" s="207">
        <f>SUMIFS('LOGBOOK VIEWER'!$K$7:$K$10010,'LOGBOOK VIEWER'!$H$7:$H$10010,"SW",'LOGBOOK VIEWER'!$D$7:$D$10010,'LOGBOOK VIEWER'!$G$5-11)</f>
        <v>0</v>
      </c>
      <c r="Z1208" s="207">
        <f>SUMIFS('LOGBOOK VIEWER'!$K$7:$K$10010,'LOGBOOK VIEWER'!$H$7:$H$10010,"SW",'LOGBOOK VIEWER'!$D$7:$D$10010,'LOGBOOK VIEWER'!$G$5-12)</f>
        <v>0</v>
      </c>
      <c r="AA1208" s="207">
        <f>SUMIFS('LOGBOOK VIEWER'!$K$7:$K$10010,'LOGBOOK VIEWER'!$H$7:$H$10010,"SW",'LOGBOOK VIEWER'!$D$7:$D$10010,'LOGBOOK VIEWER'!$G$5-13)</f>
        <v>0</v>
      </c>
      <c r="AB1208" s="207">
        <f>SUMIFS('LOGBOOK VIEWER'!$K$7:$K$10010,'LOGBOOK VIEWER'!$H$7:$H$10010,"SW",'LOGBOOK VIEWER'!$D$7:$D$10010,'LOGBOOK VIEWER'!$G$5-14)</f>
        <v>0</v>
      </c>
      <c r="AC1208" s="207">
        <f>SUMIFS('LOGBOOK VIEWER'!$K$7:$K$10010,'LOGBOOK VIEWER'!$H$7:$H$10010,"SW",'LOGBOOK VIEWER'!$D$7:$D$10010,'LOGBOOK VIEWER'!$G$5-15)</f>
        <v>0</v>
      </c>
      <c r="AD1208" s="207">
        <f>SUMIFS('LOGBOOK VIEWER'!$K$7:$K$10010,'LOGBOOK VIEWER'!$H$7:$H$10010,"SW",'LOGBOOK VIEWER'!$D$7:$D$10010,'LOGBOOK VIEWER'!$G$5-16)</f>
        <v>0</v>
      </c>
      <c r="AE1208" s="207">
        <f>SUMIFS('LOGBOOK VIEWER'!$K$7:$K$10010,'LOGBOOK VIEWER'!$H$7:$H$10010,"SW",'LOGBOOK VIEWER'!$D$7:$D$10010,'LOGBOOK VIEWER'!$G$5-17)</f>
        <v>0</v>
      </c>
      <c r="AF1208" s="207">
        <f>SUMIFS('LOGBOOK VIEWER'!$K$7:$K$10010,'LOGBOOK VIEWER'!$H$7:$H$10010,"SW",'LOGBOOK VIEWER'!$D$7:$D$10010,'LOGBOOK VIEWER'!$G$5-18)</f>
        <v>0</v>
      </c>
      <c r="AG1208" s="207">
        <f>SUMIFS('LOGBOOK VIEWER'!$K$7:$K$10010,'LOGBOOK VIEWER'!$H$7:$H$10010,"SW",'LOGBOOK VIEWER'!$D$7:$D$10010,'LOGBOOK VIEWER'!$G$5-19)</f>
        <v>0</v>
      </c>
      <c r="AH1208" s="207">
        <f>SUMIFS('LOGBOOK VIEWER'!$K$7:$K$10010,'LOGBOOK VIEWER'!$H$7:$H$10010,"SW",'LOGBOOK VIEWER'!$D$7:$D$10010,'LOGBOOK VIEWER'!$G$5-20)</f>
        <v>0</v>
      </c>
      <c r="AI1208" s="207">
        <f>SUMIFS('LOGBOOK VIEWER'!$K$7:$K$10010,'LOGBOOK VIEWER'!$H$7:$H$10010,"SW",'LOGBOOK VIEWER'!$D$7:$D$10010,'LOGBOOK VIEWER'!$G$5-21)</f>
        <v>0</v>
      </c>
      <c r="AJ1208" s="207">
        <f>SUMIFS('LOGBOOK VIEWER'!$K$7:$K$10010,'LOGBOOK VIEWER'!$H$7:$H$10010,"SW",'LOGBOOK VIEWER'!$D$7:$D$10010,'LOGBOOK VIEWER'!$G$5-22)</f>
        <v>0</v>
      </c>
      <c r="AK1208" s="207">
        <f>SUMIFS('LOGBOOK VIEWER'!$K$7:$K$10010,'LOGBOOK VIEWER'!$H$7:$H$10010,"SW",'LOGBOOK VIEWER'!$D$7:$D$10010,'LOGBOOK VIEWER'!$G$5-23)</f>
        <v>0</v>
      </c>
      <c r="AL1208" s="207">
        <f>SUMIFS('LOGBOOK VIEWER'!$K$7:$K$10010,'LOGBOOK VIEWER'!$H$7:$H$10010,"SW",'LOGBOOK VIEWER'!$D$7:$D$10010,'LOGBOOK VIEWER'!$G$5-24)</f>
        <v>0</v>
      </c>
      <c r="AM1208" s="207">
        <f>SUMIFS('LOGBOOK VIEWER'!$K$7:$K$10010,'LOGBOOK VIEWER'!$H$7:$H$10010,"SW",'LOGBOOK VIEWER'!$D$7:$D$10010,'LOGBOOK VIEWER'!$G$5-25)</f>
        <v>0</v>
      </c>
      <c r="AN1208" s="207">
        <f>SUMIFS('LOGBOOK VIEWER'!$K$7:$K$10010,'LOGBOOK VIEWER'!$H$7:$H$10010,"SW",'LOGBOOK VIEWER'!$D$7:$D$10010,'LOGBOOK VIEWER'!$G$5-26)</f>
        <v>0</v>
      </c>
      <c r="AO1208" s="207">
        <f>SUMIFS('LOGBOOK VIEWER'!$K$7:$K$10010,'LOGBOOK VIEWER'!$H$7:$H$10010,"SW",'LOGBOOK VIEWER'!$D$7:$D$10010,'LOGBOOK VIEWER'!$G$5-27)</f>
        <v>0</v>
      </c>
      <c r="AP1208" s="207">
        <f>SUMIFS('LOGBOOK VIEWER'!$K$7:$K$10010,'LOGBOOK VIEWER'!$H$7:$H$10010,"SW",'LOGBOOK VIEWER'!$D$7:$D$10010,'LOGBOOK VIEWER'!$G$5-28)</f>
        <v>0</v>
      </c>
      <c r="AQ1208" s="207">
        <f>SUMIFS('LOGBOOK VIEWER'!$K$7:$K$10010,'LOGBOOK VIEWER'!$H$7:$H$10010,"SW",'LOGBOOK VIEWER'!$D$7:$D$10010,'LOGBOOK VIEWER'!$G$5-29)</f>
        <v>0</v>
      </c>
      <c r="AR1208" s="207">
        <f>SUMIFS('LOGBOOK VIEWER'!$K$7:$K$10010,'LOGBOOK VIEWER'!$H$7:$H$10010,"SW",'LOGBOOK VIEWER'!$D$7:$D$10010,'LOGBOOK VIEWER'!$G$5-30)</f>
        <v>0</v>
      </c>
      <c r="AS1208" s="207">
        <f t="shared" si="20"/>
        <v>0</v>
      </c>
    </row>
    <row r="1209" spans="1:45" x14ac:dyDescent="0.2">
      <c r="B1209" s="188" t="s">
        <v>902</v>
      </c>
      <c r="L1209" s="240">
        <f>'Final Table'!I20</f>
        <v>4</v>
      </c>
      <c r="M1209" s="240">
        <v>2</v>
      </c>
      <c r="N1209" s="207">
        <f>SUMIFS('LOGBOOK VIEWER'!$K$7:$K$10010,'LOGBOOK VIEWER'!$H$7:$H$10010,"Temperatures",'LOGBOOK VIEWER'!$D$7:$D$10010,'LOGBOOK VIEWER'!$G$5)</f>
        <v>0</v>
      </c>
      <c r="O1209" s="207">
        <f>SUMIFS('LOGBOOK VIEWER'!$K$7:$K$10010,'LOGBOOK VIEWER'!$H$7:$H$10010,"Temperatures",'LOGBOOK VIEWER'!$D$7:$D$10010,'LOGBOOK VIEWER'!$G$5-1)</f>
        <v>0</v>
      </c>
      <c r="P1209" s="207">
        <f>SUMIFS('LOGBOOK VIEWER'!$K$7:$K$10010,'LOGBOOK VIEWER'!$H$7:$H$10010,"Temperatures",'LOGBOOK VIEWER'!$D$7:$D$10010,'LOGBOOK VIEWER'!$G$5-2)</f>
        <v>0</v>
      </c>
      <c r="Q1209" s="207">
        <f>SUMIFS('LOGBOOK VIEWER'!$K$7:$K$10010,'LOGBOOK VIEWER'!$H$7:$H$10010,"Temperatures",'LOGBOOK VIEWER'!$D$7:$D$10010,'LOGBOOK VIEWER'!$G$5-3)</f>
        <v>0</v>
      </c>
      <c r="R1209" s="207">
        <f>SUMIFS('LOGBOOK VIEWER'!$K$7:$K$10010,'LOGBOOK VIEWER'!$H$7:$H$10010,"Temperatures",'LOGBOOK VIEWER'!$D$7:$D$10010,'LOGBOOK VIEWER'!$G$5-4)</f>
        <v>0</v>
      </c>
      <c r="S1209" s="207">
        <f>SUMIFS('LOGBOOK VIEWER'!$K$7:$K$10010,'LOGBOOK VIEWER'!$H$7:$H$10010,"Temperatures",'LOGBOOK VIEWER'!$D$7:$D$10010,'LOGBOOK VIEWER'!$G$5-5)</f>
        <v>0</v>
      </c>
      <c r="T1209" s="207">
        <f>SUMIFS('LOGBOOK VIEWER'!$K$7:$K$10010,'LOGBOOK VIEWER'!$H$7:$H$10010,"Temperatures",'LOGBOOK VIEWER'!$D$7:$D$10010,'LOGBOOK VIEWER'!$G$5-6)</f>
        <v>0</v>
      </c>
      <c r="U1209" s="207">
        <f>SUMIFS('LOGBOOK VIEWER'!$K$7:$K$10010,'LOGBOOK VIEWER'!$H$7:$H$10010,"Temperatures",'LOGBOOK VIEWER'!$D$7:$D$10010,'LOGBOOK VIEWER'!$G$5-7)</f>
        <v>0</v>
      </c>
      <c r="V1209" s="207">
        <f>SUMIFS('LOGBOOK VIEWER'!$K$7:$K$10010,'LOGBOOK VIEWER'!$H$7:$H$10010,"Temperatures",'LOGBOOK VIEWER'!$D$7:$D$10010,'LOGBOOK VIEWER'!$G$5-8)</f>
        <v>0</v>
      </c>
      <c r="W1209" s="207">
        <f>SUMIFS('LOGBOOK VIEWER'!$K$7:$K$10010,'LOGBOOK VIEWER'!$H$7:$H$10010,"Temperatures",'LOGBOOK VIEWER'!$D$7:$D$10010,'LOGBOOK VIEWER'!$G$5-9)</f>
        <v>0</v>
      </c>
      <c r="X1209" s="207">
        <f>SUMIFS('LOGBOOK VIEWER'!$K$7:$K$10010,'LOGBOOK VIEWER'!$H$7:$H$10010,"Temperatures",'LOGBOOK VIEWER'!$D$7:$D$10010,'LOGBOOK VIEWER'!$G$5-10)</f>
        <v>0</v>
      </c>
      <c r="Y1209" s="207">
        <f>SUMIFS('LOGBOOK VIEWER'!$K$7:$K$10010,'LOGBOOK VIEWER'!$H$7:$H$10010,"Temperatures",'LOGBOOK VIEWER'!$D$7:$D$10010,'LOGBOOK VIEWER'!$G$5-11)</f>
        <v>0</v>
      </c>
      <c r="Z1209" s="207">
        <f>SUMIFS('LOGBOOK VIEWER'!$K$7:$K$10010,'LOGBOOK VIEWER'!$H$7:$H$10010,"Temperatures",'LOGBOOK VIEWER'!$D$7:$D$10010,'LOGBOOK VIEWER'!$G$5-12)</f>
        <v>0</v>
      </c>
      <c r="AA1209" s="207">
        <f>SUMIFS('LOGBOOK VIEWER'!$K$7:$K$10010,'LOGBOOK VIEWER'!$H$7:$H$10010,"Temperatures",'LOGBOOK VIEWER'!$D$7:$D$10010,'LOGBOOK VIEWER'!$G$5-13)</f>
        <v>0</v>
      </c>
      <c r="AB1209" s="207">
        <f>SUMIFS('LOGBOOK VIEWER'!$K$7:$K$10010,'LOGBOOK VIEWER'!$H$7:$H$10010,"Temperatures",'LOGBOOK VIEWER'!$D$7:$D$10010,'LOGBOOK VIEWER'!$G$5-14)</f>
        <v>0</v>
      </c>
      <c r="AC1209" s="207">
        <f>SUMIFS('LOGBOOK VIEWER'!$K$7:$K$10010,'LOGBOOK VIEWER'!$H$7:$H$10010,"Temperatures",'LOGBOOK VIEWER'!$D$7:$D$10010,'LOGBOOK VIEWER'!$G$5-15)</f>
        <v>0</v>
      </c>
      <c r="AD1209" s="207">
        <f>SUMIFS('LOGBOOK VIEWER'!$K$7:$K$10010,'LOGBOOK VIEWER'!$H$7:$H$10010,"Temperatures",'LOGBOOK VIEWER'!$D$7:$D$10010,'LOGBOOK VIEWER'!$G$5-16)</f>
        <v>0</v>
      </c>
      <c r="AE1209" s="207">
        <f>SUMIFS('LOGBOOK VIEWER'!$K$7:$K$10010,'LOGBOOK VIEWER'!$H$7:$H$10010,"Temperatures",'LOGBOOK VIEWER'!$D$7:$D$10010,'LOGBOOK VIEWER'!$G$5-17)</f>
        <v>0</v>
      </c>
      <c r="AF1209" s="207">
        <f>SUMIFS('LOGBOOK VIEWER'!$K$7:$K$10010,'LOGBOOK VIEWER'!$H$7:$H$10010,"Temperatures",'LOGBOOK VIEWER'!$D$7:$D$10010,'LOGBOOK VIEWER'!$G$5-18)</f>
        <v>0</v>
      </c>
      <c r="AG1209" s="207">
        <f>SUMIFS('LOGBOOK VIEWER'!$K$7:$K$10010,'LOGBOOK VIEWER'!$H$7:$H$10010,"Temperatures",'LOGBOOK VIEWER'!$D$7:$D$10010,'LOGBOOK VIEWER'!$G$5-19)</f>
        <v>0</v>
      </c>
      <c r="AH1209" s="207">
        <f>SUMIFS('LOGBOOK VIEWER'!$K$7:$K$10010,'LOGBOOK VIEWER'!$H$7:$H$10010,"Temperatures",'LOGBOOK VIEWER'!$D$7:$D$10010,'LOGBOOK VIEWER'!$G$5-20)</f>
        <v>0</v>
      </c>
      <c r="AI1209" s="207">
        <f>SUMIFS('LOGBOOK VIEWER'!$K$7:$K$10010,'LOGBOOK VIEWER'!$H$7:$H$10010,"Temperatures",'LOGBOOK VIEWER'!$D$7:$D$10010,'LOGBOOK VIEWER'!$G$5-21)</f>
        <v>0</v>
      </c>
      <c r="AJ1209" s="207">
        <f>SUMIFS('LOGBOOK VIEWER'!$K$7:$K$10010,'LOGBOOK VIEWER'!$H$7:$H$10010,"Temperatures",'LOGBOOK VIEWER'!$D$7:$D$10010,'LOGBOOK VIEWER'!$G$5-22)</f>
        <v>0</v>
      </c>
      <c r="AK1209" s="207">
        <f>SUMIFS('LOGBOOK VIEWER'!$K$7:$K$10010,'LOGBOOK VIEWER'!$H$7:$H$10010,"Temperatures",'LOGBOOK VIEWER'!$D$7:$D$10010,'LOGBOOK VIEWER'!$G$5-23)</f>
        <v>0</v>
      </c>
      <c r="AL1209" s="207">
        <f>SUMIFS('LOGBOOK VIEWER'!$K$7:$K$10010,'LOGBOOK VIEWER'!$H$7:$H$10010,"Temperatures",'LOGBOOK VIEWER'!$D$7:$D$10010,'LOGBOOK VIEWER'!$G$5-24)</f>
        <v>0</v>
      </c>
      <c r="AM1209" s="207">
        <f>SUMIFS('LOGBOOK VIEWER'!$K$7:$K$10010,'LOGBOOK VIEWER'!$H$7:$H$10010,"Temperatures",'LOGBOOK VIEWER'!$D$7:$D$10010,'LOGBOOK VIEWER'!$G$5-25)</f>
        <v>0</v>
      </c>
      <c r="AN1209" s="207">
        <f>SUMIFS('LOGBOOK VIEWER'!$K$7:$K$10010,'LOGBOOK VIEWER'!$H$7:$H$10010,"Temperatures",'LOGBOOK VIEWER'!$D$7:$D$10010,'LOGBOOK VIEWER'!$G$5-26)</f>
        <v>0</v>
      </c>
      <c r="AO1209" s="207">
        <f>SUMIFS('LOGBOOK VIEWER'!$K$7:$K$10010,'LOGBOOK VIEWER'!$H$7:$H$10010,"Temperatures",'LOGBOOK VIEWER'!$D$7:$D$10010,'LOGBOOK VIEWER'!$G$5-27)</f>
        <v>0</v>
      </c>
      <c r="AP1209" s="207">
        <f>SUMIFS('LOGBOOK VIEWER'!$K$7:$K$10010,'LOGBOOK VIEWER'!$H$7:$H$10010,"Temperatures",'LOGBOOK VIEWER'!$D$7:$D$10010,'LOGBOOK VIEWER'!$G$5-28)</f>
        <v>0</v>
      </c>
      <c r="AQ1209" s="207">
        <f>SUMIFS('LOGBOOK VIEWER'!$K$7:$K$10010,'LOGBOOK VIEWER'!$H$7:$H$10010,"Temperatures",'LOGBOOK VIEWER'!$D$7:$D$10010,'LOGBOOK VIEWER'!$G$5-29)</f>
        <v>0</v>
      </c>
      <c r="AR1209" s="207">
        <f>SUMIFS('LOGBOOK VIEWER'!$K$7:$K$10010,'LOGBOOK VIEWER'!$H$7:$H$10010,"Temperatures",'LOGBOOK VIEWER'!$D$7:$D$10010,'LOGBOOK VIEWER'!$G$5-30)</f>
        <v>0</v>
      </c>
      <c r="AS1209" s="207">
        <f t="shared" si="20"/>
        <v>0</v>
      </c>
    </row>
    <row r="1210" spans="1:45" ht="12.75" x14ac:dyDescent="0.2">
      <c r="A1210" s="18"/>
      <c r="B1210" s="188" t="s">
        <v>903</v>
      </c>
      <c r="N1210" s="207"/>
      <c r="O1210" s="207"/>
      <c r="P1210" s="207"/>
      <c r="Q1210" s="207"/>
      <c r="R1210" s="207"/>
      <c r="S1210" s="207"/>
      <c r="T1210" s="207"/>
      <c r="U1210" s="207"/>
      <c r="V1210" s="207"/>
      <c r="W1210" s="207"/>
      <c r="X1210" s="207"/>
      <c r="Y1210" s="207"/>
      <c r="Z1210" s="207"/>
      <c r="AA1210" s="207"/>
      <c r="AB1210" s="207"/>
      <c r="AC1210" s="207"/>
      <c r="AD1210" s="207"/>
      <c r="AE1210" s="207"/>
      <c r="AF1210" s="207"/>
      <c r="AG1210" s="207"/>
      <c r="AH1210" s="207"/>
      <c r="AI1210" s="207"/>
      <c r="AJ1210" s="207"/>
      <c r="AK1210" s="207"/>
      <c r="AL1210" s="207"/>
      <c r="AM1210" s="207"/>
      <c r="AN1210" s="207"/>
      <c r="AO1210" s="207"/>
      <c r="AP1210" s="207"/>
      <c r="AQ1210" s="207"/>
      <c r="AR1210" s="207"/>
      <c r="AS1210" s="210"/>
    </row>
    <row r="1212" spans="1:45" ht="25.5" x14ac:dyDescent="0.2">
      <c r="M1212" s="189" t="s">
        <v>893</v>
      </c>
      <c r="N1212" s="77">
        <f>COUNTIF('LOGBOOK VIEWER'!$D$7:$D$10010,'LOGBOOK VIEWER'!$G$5)</f>
        <v>0</v>
      </c>
      <c r="O1212" s="77">
        <f>COUNTIF('LOGBOOK VIEWER'!$D$7:$D$10010,'LOGBOOK VIEWER'!$G$5-1)</f>
        <v>0</v>
      </c>
      <c r="P1212" s="77">
        <f>COUNTIF('LOGBOOK VIEWER'!$D$7:$D$10010,'LOGBOOK VIEWER'!$G$5-2)</f>
        <v>0</v>
      </c>
      <c r="Q1212" s="77">
        <f>COUNTIF('LOGBOOK VIEWER'!$D$7:$D$10010,'LOGBOOK VIEWER'!$G$5-3)</f>
        <v>0</v>
      </c>
      <c r="R1212" s="77">
        <f>COUNTIF('LOGBOOK VIEWER'!$D$7:$D$10010,'LOGBOOK VIEWER'!$G$5-4)</f>
        <v>0</v>
      </c>
      <c r="S1212" s="77">
        <f>COUNTIF('LOGBOOK VIEWER'!$D$7:$D$10010,'LOGBOOK VIEWER'!$G$5-5)</f>
        <v>0</v>
      </c>
      <c r="T1212" s="77">
        <f>COUNTIF('LOGBOOK VIEWER'!$D$7:$D$10010,'LOGBOOK VIEWER'!$G$5-6)</f>
        <v>0</v>
      </c>
      <c r="U1212" s="77">
        <f>COUNTIF('LOGBOOK VIEWER'!$D$7:$D$10010,'LOGBOOK VIEWER'!$G$5-7)</f>
        <v>0</v>
      </c>
      <c r="V1212" s="77">
        <f>COUNTIF('LOGBOOK VIEWER'!$D$7:$D$10010,'LOGBOOK VIEWER'!$G$5-8)</f>
        <v>0</v>
      </c>
      <c r="W1212" s="77">
        <f>COUNTIF('LOGBOOK VIEWER'!$D$7:$D$10010,'LOGBOOK VIEWER'!$G$5-9)</f>
        <v>0</v>
      </c>
      <c r="X1212" s="77">
        <f>COUNTIF('LOGBOOK VIEWER'!$D$7:$D$10010,'LOGBOOK VIEWER'!$G$5-10)</f>
        <v>0</v>
      </c>
      <c r="Y1212" s="77">
        <f>COUNTIF('LOGBOOK VIEWER'!$D$7:$D$10010,'LOGBOOK VIEWER'!$G$5-11)</f>
        <v>0</v>
      </c>
      <c r="Z1212" s="77">
        <f>COUNTIF('LOGBOOK VIEWER'!$D$7:$D$10010,'LOGBOOK VIEWER'!$G$5-12)</f>
        <v>0</v>
      </c>
      <c r="AA1212" s="77">
        <f>COUNTIF('LOGBOOK VIEWER'!$D$7:$D$10010,'LOGBOOK VIEWER'!$G$5-13)</f>
        <v>0</v>
      </c>
      <c r="AB1212" s="77">
        <f>COUNTIF('LOGBOOK VIEWER'!$D$7:$D$10010,'LOGBOOK VIEWER'!$G$5-14)</f>
        <v>0</v>
      </c>
      <c r="AC1212" s="77">
        <f>COUNTIF('LOGBOOK VIEWER'!$D$7:$D$10010,'LOGBOOK VIEWER'!$G$5-15)</f>
        <v>0</v>
      </c>
      <c r="AD1212" s="77">
        <f>COUNTIF('LOGBOOK VIEWER'!$D$7:$D$10010,'LOGBOOK VIEWER'!$G$5-16)</f>
        <v>0</v>
      </c>
      <c r="AE1212" s="77">
        <f>COUNTIF('LOGBOOK VIEWER'!$D$7:$D$10010,'LOGBOOK VIEWER'!$G$5-17)</f>
        <v>0</v>
      </c>
      <c r="AF1212" s="77">
        <f>COUNTIF('LOGBOOK VIEWER'!$D$7:$D$10010,'LOGBOOK VIEWER'!$G$5-18)</f>
        <v>0</v>
      </c>
      <c r="AG1212" s="77">
        <f>COUNTIF('LOGBOOK VIEWER'!$D$7:$D$10010,'LOGBOOK VIEWER'!$G$5-19)</f>
        <v>0</v>
      </c>
      <c r="AH1212" s="77">
        <f>COUNTIF('LOGBOOK VIEWER'!$D$7:$D$10010,'LOGBOOK VIEWER'!$G$5-20)</f>
        <v>0</v>
      </c>
      <c r="AI1212" s="77">
        <f>COUNTIF('LOGBOOK VIEWER'!$D$7:$D$10010,'LOGBOOK VIEWER'!$G$5-21)</f>
        <v>0</v>
      </c>
      <c r="AJ1212" s="77">
        <f>COUNTIF('LOGBOOK VIEWER'!$D$7:$D$10010,'LOGBOOK VIEWER'!$G$5-22)</f>
        <v>0</v>
      </c>
      <c r="AK1212" s="77">
        <f>COUNTIF('LOGBOOK VIEWER'!$D$7:$D$10010,'LOGBOOK VIEWER'!$G$5-23)</f>
        <v>0</v>
      </c>
      <c r="AL1212" s="77">
        <f>COUNTIF('LOGBOOK VIEWER'!$D$7:$D$10010,'LOGBOOK VIEWER'!$G$5-24)</f>
        <v>0</v>
      </c>
      <c r="AM1212" s="77">
        <f>COUNTIF('LOGBOOK VIEWER'!$D$7:$D$10010,'LOGBOOK VIEWER'!$G$5-25)</f>
        <v>0</v>
      </c>
      <c r="AN1212" s="77">
        <f>COUNTIF('LOGBOOK VIEWER'!$D$7:$D$10010,'LOGBOOK VIEWER'!$G$5-26)</f>
        <v>0</v>
      </c>
      <c r="AO1212" s="77">
        <f>COUNTIF('LOGBOOK VIEWER'!$D$7:$D$10010,'LOGBOOK VIEWER'!$G$5-27)</f>
        <v>0</v>
      </c>
      <c r="AP1212" s="77">
        <f>COUNTIF('LOGBOOK VIEWER'!$D$7:$D$10010,'LOGBOOK VIEWER'!$G$5-28)</f>
        <v>0</v>
      </c>
      <c r="AQ1212" s="77">
        <f>COUNTIF('LOGBOOK VIEWER'!$D$7:$D$10010,'LOGBOOK VIEWER'!$G$5-29)</f>
        <v>0</v>
      </c>
      <c r="AR1212" s="77">
        <f>COUNTIF('LOGBOOK VIEWER'!$D$7:$D$10010,'LOGBOOK VIEWER'!$G$5-30)</f>
        <v>0</v>
      </c>
    </row>
    <row r="1213" spans="1:45" ht="25.5" x14ac:dyDescent="0.2">
      <c r="M1213" s="189" t="s">
        <v>892</v>
      </c>
      <c r="N1213" s="185">
        <f>IF(N1212&gt;60,1,0)</f>
        <v>0</v>
      </c>
      <c r="O1213" s="185">
        <f t="shared" ref="O1213:AR1213" si="21">IF(O1212&gt;60,1,0)</f>
        <v>0</v>
      </c>
      <c r="P1213" s="185">
        <f>IF(P1212&gt;60,1,0)</f>
        <v>0</v>
      </c>
      <c r="Q1213" s="185">
        <f t="shared" si="21"/>
        <v>0</v>
      </c>
      <c r="R1213" s="185">
        <f t="shared" si="21"/>
        <v>0</v>
      </c>
      <c r="S1213" s="185">
        <f t="shared" si="21"/>
        <v>0</v>
      </c>
      <c r="T1213" s="185">
        <f t="shared" si="21"/>
        <v>0</v>
      </c>
      <c r="U1213" s="185">
        <f t="shared" si="21"/>
        <v>0</v>
      </c>
      <c r="V1213" s="185">
        <f t="shared" si="21"/>
        <v>0</v>
      </c>
      <c r="W1213" s="185">
        <f t="shared" si="21"/>
        <v>0</v>
      </c>
      <c r="X1213" s="185">
        <f t="shared" si="21"/>
        <v>0</v>
      </c>
      <c r="Y1213" s="185">
        <f t="shared" si="21"/>
        <v>0</v>
      </c>
      <c r="Z1213" s="185">
        <f t="shared" si="21"/>
        <v>0</v>
      </c>
      <c r="AA1213" s="185">
        <f t="shared" si="21"/>
        <v>0</v>
      </c>
      <c r="AB1213" s="185">
        <f t="shared" si="21"/>
        <v>0</v>
      </c>
      <c r="AC1213" s="185">
        <f t="shared" si="21"/>
        <v>0</v>
      </c>
      <c r="AD1213" s="185">
        <f t="shared" si="21"/>
        <v>0</v>
      </c>
      <c r="AE1213" s="185">
        <f t="shared" si="21"/>
        <v>0</v>
      </c>
      <c r="AF1213" s="185">
        <f t="shared" si="21"/>
        <v>0</v>
      </c>
      <c r="AG1213" s="185">
        <f t="shared" si="21"/>
        <v>0</v>
      </c>
      <c r="AH1213" s="185">
        <f t="shared" si="21"/>
        <v>0</v>
      </c>
      <c r="AI1213" s="185">
        <f t="shared" si="21"/>
        <v>0</v>
      </c>
      <c r="AJ1213" s="185">
        <f t="shared" si="21"/>
        <v>0</v>
      </c>
      <c r="AK1213" s="185">
        <f t="shared" si="21"/>
        <v>0</v>
      </c>
      <c r="AL1213" s="185">
        <f t="shared" si="21"/>
        <v>0</v>
      </c>
      <c r="AM1213" s="185">
        <f t="shared" si="21"/>
        <v>0</v>
      </c>
      <c r="AN1213" s="185">
        <f t="shared" si="21"/>
        <v>0</v>
      </c>
      <c r="AO1213" s="185">
        <f t="shared" si="21"/>
        <v>0</v>
      </c>
      <c r="AP1213" s="185">
        <f t="shared" si="21"/>
        <v>0</v>
      </c>
      <c r="AQ1213" s="185">
        <f t="shared" si="21"/>
        <v>0</v>
      </c>
      <c r="AR1213" s="185">
        <f t="shared" si="21"/>
        <v>0</v>
      </c>
      <c r="AS1213" s="57"/>
    </row>
    <row r="1214" spans="1:45" x14ac:dyDescent="0.2">
      <c r="M1214" s="184"/>
      <c r="N1214" s="57"/>
      <c r="O1214" s="57"/>
      <c r="P1214" s="57"/>
      <c r="Q1214" s="57"/>
      <c r="R1214" s="57"/>
      <c r="S1214" s="57"/>
      <c r="T1214" s="57"/>
      <c r="U1214" s="57"/>
      <c r="V1214" s="57"/>
      <c r="W1214" s="57"/>
      <c r="X1214" s="57"/>
      <c r="Y1214" s="57"/>
      <c r="Z1214" s="57"/>
      <c r="AA1214" s="57"/>
      <c r="AB1214" s="57"/>
      <c r="AC1214" s="57"/>
      <c r="AD1214" s="57"/>
      <c r="AE1214" s="57"/>
      <c r="AF1214" s="57"/>
      <c r="AG1214" s="57"/>
      <c r="AH1214" s="57"/>
      <c r="AI1214" s="57"/>
      <c r="AJ1214" s="57"/>
      <c r="AK1214" s="57"/>
      <c r="AL1214" s="57"/>
      <c r="AM1214" s="57"/>
      <c r="AN1214" s="57"/>
      <c r="AO1214" s="57"/>
      <c r="AP1214" s="57"/>
      <c r="AQ1214" s="57"/>
      <c r="AR1214" s="57"/>
      <c r="AS1214" s="57"/>
    </row>
    <row r="1215" spans="1:45" x14ac:dyDescent="0.2">
      <c r="M1215" s="184"/>
      <c r="N1215" s="57"/>
      <c r="O1215" s="57"/>
      <c r="P1215" s="57"/>
      <c r="Q1215" s="57"/>
      <c r="R1215" s="57"/>
      <c r="S1215" s="57"/>
      <c r="T1215" s="57"/>
      <c r="U1215" s="57"/>
      <c r="V1215" s="57"/>
      <c r="W1215" s="57"/>
      <c r="X1215" s="57"/>
      <c r="Y1215" s="57"/>
      <c r="Z1215" s="57"/>
      <c r="AA1215" s="57"/>
      <c r="AB1215" s="57"/>
      <c r="AC1215" s="57"/>
      <c r="AD1215" s="57"/>
      <c r="AE1215" s="57"/>
      <c r="AF1215" s="57"/>
      <c r="AG1215" s="57"/>
      <c r="AH1215" s="57"/>
      <c r="AI1215" s="57"/>
      <c r="AJ1215" s="57"/>
      <c r="AK1215" s="57"/>
      <c r="AL1215" s="57"/>
      <c r="AM1215" s="57"/>
      <c r="AN1215" s="57"/>
      <c r="AO1215" s="57"/>
      <c r="AP1215" s="57"/>
      <c r="AQ1215" s="57"/>
      <c r="AR1215" s="57"/>
      <c r="AS1215" s="57"/>
    </row>
    <row r="1216" spans="1:45" x14ac:dyDescent="0.2">
      <c r="M1216" s="202"/>
      <c r="N1216" s="19"/>
      <c r="O1216" s="19"/>
      <c r="P1216" s="19"/>
      <c r="Q1216" s="19"/>
      <c r="R1216" s="19"/>
      <c r="S1216" s="19"/>
      <c r="T1216" s="19"/>
      <c r="U1216" s="19"/>
      <c r="V1216" s="19"/>
      <c r="W1216" s="19"/>
      <c r="X1216" s="19"/>
      <c r="Y1216" s="19"/>
      <c r="Z1216" s="19"/>
      <c r="AA1216" s="19"/>
      <c r="AB1216" s="19"/>
      <c r="AC1216" s="19"/>
      <c r="AD1216" s="19"/>
      <c r="AE1216" s="19"/>
      <c r="AF1216" s="19"/>
      <c r="AG1216" s="19"/>
      <c r="AH1216" s="19"/>
      <c r="AI1216" s="19"/>
      <c r="AJ1216" s="19"/>
      <c r="AK1216" s="19"/>
      <c r="AL1216" s="19"/>
      <c r="AM1216" s="19"/>
      <c r="AN1216" s="19"/>
      <c r="AO1216" s="19"/>
      <c r="AP1216" s="19"/>
      <c r="AQ1216" s="19"/>
      <c r="AR1216" s="19"/>
    </row>
    <row r="1217" spans="13:22" x14ac:dyDescent="0.2">
      <c r="M1217" s="78" t="s">
        <v>1784</v>
      </c>
    </row>
    <row r="1218" spans="13:22" x14ac:dyDescent="0.2">
      <c r="M1218" s="78" t="s">
        <v>1785</v>
      </c>
    </row>
    <row r="1219" spans="13:22" x14ac:dyDescent="0.2">
      <c r="M1219" s="78" t="s">
        <v>60</v>
      </c>
      <c r="N1219" s="19"/>
    </row>
    <row r="1220" spans="13:22" x14ac:dyDescent="0.2">
      <c r="M1220" s="78" t="s">
        <v>232</v>
      </c>
      <c r="U1220" s="72" t="s">
        <v>55</v>
      </c>
      <c r="V1220" s="72">
        <v>-1</v>
      </c>
    </row>
    <row r="1221" spans="13:22" x14ac:dyDescent="0.2">
      <c r="M1221" s="78" t="s">
        <v>972</v>
      </c>
      <c r="T1221" s="19"/>
      <c r="U1221" s="72" t="s">
        <v>56</v>
      </c>
      <c r="V1221" s="72">
        <v>-2</v>
      </c>
    </row>
    <row r="1222" spans="13:22" x14ac:dyDescent="0.2">
      <c r="T1222" s="19"/>
      <c r="U1222" s="72" t="s">
        <v>57</v>
      </c>
      <c r="V1222" s="72">
        <v>-3</v>
      </c>
    </row>
    <row r="1223" spans="13:22" x14ac:dyDescent="0.2">
      <c r="M1223" s="20" t="s">
        <v>747</v>
      </c>
      <c r="T1223" s="19"/>
    </row>
    <row r="1224" spans="13:22" x14ac:dyDescent="0.2">
      <c r="M1224" s="276" t="s">
        <v>962</v>
      </c>
    </row>
    <row r="1225" spans="13:22" x14ac:dyDescent="0.2">
      <c r="M1225" s="276" t="s">
        <v>963</v>
      </c>
    </row>
    <row r="1226" spans="13:22" x14ac:dyDescent="0.2">
      <c r="M1226" s="276" t="s">
        <v>964</v>
      </c>
    </row>
    <row r="1227" spans="13:22" x14ac:dyDescent="0.2">
      <c r="M1227" s="20"/>
    </row>
    <row r="1228" spans="13:22" x14ac:dyDescent="0.2">
      <c r="M1228" s="20" t="s">
        <v>334</v>
      </c>
    </row>
    <row r="1229" spans="13:22" x14ac:dyDescent="0.2">
      <c r="M1229" s="276" t="s">
        <v>965</v>
      </c>
    </row>
    <row r="1230" spans="13:22" x14ac:dyDescent="0.2">
      <c r="M1230" s="276" t="s">
        <v>963</v>
      </c>
    </row>
    <row r="1231" spans="13:22" x14ac:dyDescent="0.2">
      <c r="M1231" s="276" t="s">
        <v>964</v>
      </c>
    </row>
    <row r="1232" spans="13:22" x14ac:dyDescent="0.2">
      <c r="M1232" s="20"/>
    </row>
    <row r="1233" spans="2:52" x14ac:dyDescent="0.2">
      <c r="M1233" s="20" t="s">
        <v>516</v>
      </c>
      <c r="AW1233" s="148"/>
    </row>
    <row r="1235" spans="2:52" ht="51.75" thickBot="1" x14ac:dyDescent="0.25">
      <c r="B1235" s="189" t="s">
        <v>913</v>
      </c>
      <c r="M1235" s="189" t="s">
        <v>966</v>
      </c>
      <c r="N1235" s="201">
        <v>1</v>
      </c>
      <c r="O1235" s="201">
        <v>1</v>
      </c>
      <c r="P1235" s="201">
        <v>1</v>
      </c>
      <c r="Q1235" s="201">
        <f>IF(SUM($O1213:P1213)&lt;3,1,0)</f>
        <v>1</v>
      </c>
      <c r="R1235" s="201">
        <f>IF(SUM($O1213:Q1213)&lt;3,1,0)</f>
        <v>1</v>
      </c>
      <c r="S1235" s="201">
        <f>IF(SUM($O1213:R1213)&lt;3,1,0)</f>
        <v>1</v>
      </c>
      <c r="T1235" s="201">
        <f>IF(SUM($O1213:S1213)&lt;3,1,0)</f>
        <v>1</v>
      </c>
      <c r="U1235" s="201">
        <f>IF(SUM($O1213:T1213)&lt;3,1,0)</f>
        <v>1</v>
      </c>
      <c r="V1235" s="201">
        <f>IF(SUM($O1213:U1213)&lt;3,1,0)</f>
        <v>1</v>
      </c>
      <c r="W1235" s="201">
        <f>IF(SUM($O1213:V1213)&lt;3,1,0)</f>
        <v>1</v>
      </c>
      <c r="X1235" s="201">
        <f>IF(SUM($O1213:W1213)&lt;3,1,0)</f>
        <v>1</v>
      </c>
      <c r="Y1235" s="201">
        <f>IF(SUM($O1213:X1213)&lt;3,1,0)</f>
        <v>1</v>
      </c>
      <c r="Z1235" s="201">
        <f>IF(SUM($O1213:Y1213)&lt;3,1,0)</f>
        <v>1</v>
      </c>
      <c r="AA1235" s="201">
        <f>IF(SUM($O1213:Z1213)&lt;3,1,0)</f>
        <v>1</v>
      </c>
      <c r="AB1235" s="201">
        <f>IF(SUM($O1213:AA1213)&lt;3,1,0)</f>
        <v>1</v>
      </c>
      <c r="AC1235" s="201">
        <f>IF(SUM($O1213:AB1213)&lt;3,1,0)</f>
        <v>1</v>
      </c>
      <c r="AD1235" s="201">
        <f>IF(SUM($O1213:AC1213)&lt;3,1,0)</f>
        <v>1</v>
      </c>
      <c r="AE1235" s="201">
        <f>IF(SUM($O1213:AD1213)&lt;3,1,0)</f>
        <v>1</v>
      </c>
      <c r="AF1235" s="201">
        <f>IF(SUM($O1213:AE1213)&lt;3,1,0)</f>
        <v>1</v>
      </c>
      <c r="AG1235" s="201">
        <f>IF(SUM($O1213:AF1213)&lt;3,1,0)</f>
        <v>1</v>
      </c>
      <c r="AH1235" s="201">
        <f>IF(SUM($O1213:AG1213)&lt;3,1,0)</f>
        <v>1</v>
      </c>
      <c r="AI1235" s="201">
        <f>IF(SUM($O1213:AH1213)&lt;3,1,0)</f>
        <v>1</v>
      </c>
      <c r="AJ1235" s="201">
        <f>IF(SUM($O1213:AI1213)&lt;3,1,0)</f>
        <v>1</v>
      </c>
      <c r="AK1235" s="201">
        <f>IF(SUM($O1213:AJ1213)&lt;3,1,0)</f>
        <v>1</v>
      </c>
      <c r="AL1235" s="201">
        <f>IF(SUM($O1213:AK1213)&lt;3,1,0)</f>
        <v>1</v>
      </c>
      <c r="AM1235" s="201">
        <f>IF(SUM($O1213:AL1213)&lt;3,1,0)</f>
        <v>1</v>
      </c>
      <c r="AN1235" s="201">
        <f>IF(SUM($O1213:AM1213)&lt;3,1,0)</f>
        <v>1</v>
      </c>
      <c r="AO1235" s="201">
        <f>IF(SUM($O1213:AN1213)&lt;3,1,0)</f>
        <v>1</v>
      </c>
      <c r="AP1235" s="201">
        <f>IF(SUM($O1213:AO1213)&lt;3,1,0)</f>
        <v>1</v>
      </c>
      <c r="AQ1235" s="201">
        <f>IF(SUM($O1213:AP1213)&lt;3,1,0)</f>
        <v>1</v>
      </c>
      <c r="AR1235" s="201">
        <f>IF(SUM($O1213:AQ1213)&lt;3,1,0)</f>
        <v>1</v>
      </c>
      <c r="AS1235" s="203" t="s">
        <v>906</v>
      </c>
      <c r="AT1235" s="200" t="s">
        <v>907</v>
      </c>
      <c r="AU1235" s="200" t="s">
        <v>909</v>
      </c>
      <c r="AV1235" s="200" t="s">
        <v>910</v>
      </c>
      <c r="AW1235" s="200" t="s">
        <v>908</v>
      </c>
      <c r="AX1235" s="200" t="s">
        <v>911</v>
      </c>
      <c r="AY1235" s="200" t="s">
        <v>912</v>
      </c>
      <c r="AZ1235" s="200" t="s">
        <v>955</v>
      </c>
    </row>
    <row r="1236" spans="2:52" ht="15" thickTop="1" x14ac:dyDescent="0.2">
      <c r="B1236" s="187" t="str">
        <f t="shared" ref="B1236:B1244" si="22">B1201</f>
        <v>Arms:</v>
      </c>
      <c r="N1236" s="89">
        <f t="shared" ref="N1236:AR1244" si="23">N$1235*N1201</f>
        <v>0</v>
      </c>
      <c r="O1236" s="89">
        <f t="shared" si="23"/>
        <v>0</v>
      </c>
      <c r="P1236" s="89">
        <f t="shared" si="23"/>
        <v>0</v>
      </c>
      <c r="Q1236" s="89">
        <f t="shared" si="23"/>
        <v>0</v>
      </c>
      <c r="R1236" s="89">
        <f t="shared" si="23"/>
        <v>0</v>
      </c>
      <c r="S1236" s="89">
        <f t="shared" si="23"/>
        <v>0</v>
      </c>
      <c r="T1236" s="89">
        <f t="shared" si="23"/>
        <v>0</v>
      </c>
      <c r="U1236" s="89">
        <f t="shared" si="23"/>
        <v>0</v>
      </c>
      <c r="V1236" s="89">
        <f t="shared" si="23"/>
        <v>0</v>
      </c>
      <c r="W1236" s="89">
        <f t="shared" si="23"/>
        <v>0</v>
      </c>
      <c r="X1236" s="89">
        <f t="shared" si="23"/>
        <v>0</v>
      </c>
      <c r="Y1236" s="89">
        <f t="shared" si="23"/>
        <v>0</v>
      </c>
      <c r="Z1236" s="89">
        <f t="shared" si="23"/>
        <v>0</v>
      </c>
      <c r="AA1236" s="89">
        <f t="shared" si="23"/>
        <v>0</v>
      </c>
      <c r="AB1236" s="89">
        <f t="shared" si="23"/>
        <v>0</v>
      </c>
      <c r="AC1236" s="89">
        <f t="shared" si="23"/>
        <v>0</v>
      </c>
      <c r="AD1236" s="89">
        <f t="shared" si="23"/>
        <v>0</v>
      </c>
      <c r="AE1236" s="89">
        <f t="shared" si="23"/>
        <v>0</v>
      </c>
      <c r="AF1236" s="89">
        <f t="shared" si="23"/>
        <v>0</v>
      </c>
      <c r="AG1236" s="89">
        <f t="shared" si="23"/>
        <v>0</v>
      </c>
      <c r="AH1236" s="89">
        <f t="shared" si="23"/>
        <v>0</v>
      </c>
      <c r="AI1236" s="89">
        <f t="shared" si="23"/>
        <v>0</v>
      </c>
      <c r="AJ1236" s="89">
        <f t="shared" si="23"/>
        <v>0</v>
      </c>
      <c r="AK1236" s="89">
        <f t="shared" si="23"/>
        <v>0</v>
      </c>
      <c r="AL1236" s="89">
        <f t="shared" si="23"/>
        <v>0</v>
      </c>
      <c r="AM1236" s="89">
        <f t="shared" si="23"/>
        <v>0</v>
      </c>
      <c r="AN1236" s="89">
        <f t="shared" si="23"/>
        <v>0</v>
      </c>
      <c r="AO1236" s="89">
        <f t="shared" si="23"/>
        <v>0</v>
      </c>
      <c r="AP1236" s="89">
        <f t="shared" si="23"/>
        <v>0</v>
      </c>
      <c r="AQ1236" s="89">
        <f t="shared" si="23"/>
        <v>0</v>
      </c>
      <c r="AR1236" s="217">
        <f t="shared" si="23"/>
        <v>0</v>
      </c>
      <c r="AS1236" s="207">
        <f>SUM(N1236:AR1236)</f>
        <v>0</v>
      </c>
      <c r="AT1236" s="218">
        <f t="shared" ref="AT1236:AT1244" si="24">IF(OR(N1201&gt;=M1201,O1201&gt;=M1201),1,0)</f>
        <v>0</v>
      </c>
      <c r="AU1236" s="207">
        <f>(AT1236&gt;0)*AS1236</f>
        <v>0</v>
      </c>
      <c r="AV1236" s="207">
        <f>(AT1236&gt;0)*AS1201</f>
        <v>0</v>
      </c>
      <c r="AW1236" s="220">
        <f ca="1">IF(MAX(P1236:OFFSET(N1236, 0,-$V$1222))&gt;=M1201,1,0)</f>
        <v>0</v>
      </c>
      <c r="AX1236" s="207">
        <f ca="1">(AW1236&gt;0)*AS1236</f>
        <v>0</v>
      </c>
      <c r="AY1236" s="207">
        <f ca="1">(AW1236&gt;0)*AS1201</f>
        <v>0</v>
      </c>
      <c r="AZ1236" s="242" t="str">
        <f ca="1">IF((AT1236&gt;0)*((AS1201&gt;=L1201)+(AS1236&gt;=L1201)),"TO BE ATTENDED",IF((AW1236&gt;0)*((AS1201&gt;=L1201)+(AS1236&gt;=L1201)),"MONITORING","OK"))</f>
        <v>OK</v>
      </c>
    </row>
    <row r="1237" spans="2:52" x14ac:dyDescent="0.2">
      <c r="B1237" s="186" t="str">
        <f t="shared" si="22"/>
        <v>Barcode/Racks:</v>
      </c>
      <c r="N1237" s="89">
        <f t="shared" si="23"/>
        <v>0</v>
      </c>
      <c r="O1237" s="89">
        <f t="shared" si="23"/>
        <v>0</v>
      </c>
      <c r="P1237" s="89">
        <f t="shared" si="23"/>
        <v>0</v>
      </c>
      <c r="Q1237" s="89">
        <f t="shared" si="23"/>
        <v>0</v>
      </c>
      <c r="R1237" s="89">
        <f t="shared" si="23"/>
        <v>0</v>
      </c>
      <c r="S1237" s="89">
        <f t="shared" si="23"/>
        <v>0</v>
      </c>
      <c r="T1237" s="89">
        <f t="shared" si="23"/>
        <v>0</v>
      </c>
      <c r="U1237" s="89">
        <f t="shared" si="23"/>
        <v>0</v>
      </c>
      <c r="V1237" s="89">
        <f t="shared" si="23"/>
        <v>0</v>
      </c>
      <c r="W1237" s="89">
        <f t="shared" si="23"/>
        <v>0</v>
      </c>
      <c r="X1237" s="89">
        <f t="shared" si="23"/>
        <v>0</v>
      </c>
      <c r="Y1237" s="89">
        <f t="shared" si="23"/>
        <v>0</v>
      </c>
      <c r="Z1237" s="89">
        <f t="shared" si="23"/>
        <v>0</v>
      </c>
      <c r="AA1237" s="89">
        <f t="shared" si="23"/>
        <v>0</v>
      </c>
      <c r="AB1237" s="89">
        <f t="shared" si="23"/>
        <v>0</v>
      </c>
      <c r="AC1237" s="89">
        <f t="shared" si="23"/>
        <v>0</v>
      </c>
      <c r="AD1237" s="89">
        <f t="shared" si="23"/>
        <v>0</v>
      </c>
      <c r="AE1237" s="89">
        <f t="shared" si="23"/>
        <v>0</v>
      </c>
      <c r="AF1237" s="89">
        <f t="shared" si="23"/>
        <v>0</v>
      </c>
      <c r="AG1237" s="89">
        <f t="shared" si="23"/>
        <v>0</v>
      </c>
      <c r="AH1237" s="89">
        <f t="shared" si="23"/>
        <v>0</v>
      </c>
      <c r="AI1237" s="89">
        <f t="shared" si="23"/>
        <v>0</v>
      </c>
      <c r="AJ1237" s="89">
        <f t="shared" si="23"/>
        <v>0</v>
      </c>
      <c r="AK1237" s="89">
        <f t="shared" si="23"/>
        <v>0</v>
      </c>
      <c r="AL1237" s="89">
        <f t="shared" si="23"/>
        <v>0</v>
      </c>
      <c r="AM1237" s="89">
        <f t="shared" si="23"/>
        <v>0</v>
      </c>
      <c r="AN1237" s="89">
        <f t="shared" si="23"/>
        <v>0</v>
      </c>
      <c r="AO1237" s="89">
        <f t="shared" si="23"/>
        <v>0</v>
      </c>
      <c r="AP1237" s="89">
        <f t="shared" si="23"/>
        <v>0</v>
      </c>
      <c r="AQ1237" s="89">
        <f t="shared" si="23"/>
        <v>0</v>
      </c>
      <c r="AR1237" s="219">
        <f t="shared" si="23"/>
        <v>0</v>
      </c>
      <c r="AS1237" s="207">
        <f t="shared" ref="AS1237:AS1244" si="25">SUM(N1237:AR1237)</f>
        <v>0</v>
      </c>
      <c r="AT1237" s="77">
        <f t="shared" si="24"/>
        <v>0</v>
      </c>
      <c r="AU1237" s="207">
        <f t="shared" ref="AU1237:AU1244" si="26">(AT1237&gt;0)*AS1237</f>
        <v>0</v>
      </c>
      <c r="AV1237" s="207">
        <f t="shared" ref="AV1237:AV1244" si="27">(AT1237&gt;0)*AS1202</f>
        <v>0</v>
      </c>
      <c r="AW1237" s="220">
        <f ca="1">IF(MAX(P1237:OFFSET(N1237, 0,-$V$1222))&gt;=M1202,1,0)</f>
        <v>0</v>
      </c>
      <c r="AX1237" s="207">
        <f t="shared" ref="AX1237:AX1244" ca="1" si="28">(AW1237&gt;0)*AS1237</f>
        <v>0</v>
      </c>
      <c r="AY1237" s="207">
        <f t="shared" ref="AY1237:AY1244" ca="1" si="29">(AW1237&gt;0)*AS1202</f>
        <v>0</v>
      </c>
      <c r="AZ1237" s="242" t="str">
        <f t="shared" ref="AZ1237:AZ1244" ca="1" si="30">IF((AT1237&gt;0)*((AS1202&gt;=L1202)+(AS1237&gt;=L1202)),"TO BE ATTENDED",IF((AW1237&gt;0)*((AS1202&gt;=L1202)+(AS1237&gt;=L1202)),"MONITORING","OK"))</f>
        <v>OK</v>
      </c>
    </row>
    <row r="1238" spans="2:52" x14ac:dyDescent="0.2">
      <c r="B1238" s="186" t="str">
        <f t="shared" si="22"/>
        <v>Cuvettes Movement:</v>
      </c>
      <c r="N1238" s="89">
        <f t="shared" si="23"/>
        <v>0</v>
      </c>
      <c r="O1238" s="89">
        <f t="shared" si="23"/>
        <v>0</v>
      </c>
      <c r="P1238" s="89">
        <f t="shared" si="23"/>
        <v>0</v>
      </c>
      <c r="Q1238" s="89">
        <f t="shared" si="23"/>
        <v>0</v>
      </c>
      <c r="R1238" s="89">
        <f t="shared" si="23"/>
        <v>0</v>
      </c>
      <c r="S1238" s="89">
        <f t="shared" si="23"/>
        <v>0</v>
      </c>
      <c r="T1238" s="89">
        <f t="shared" si="23"/>
        <v>0</v>
      </c>
      <c r="U1238" s="89">
        <f t="shared" si="23"/>
        <v>0</v>
      </c>
      <c r="V1238" s="89">
        <f t="shared" si="23"/>
        <v>0</v>
      </c>
      <c r="W1238" s="89">
        <f t="shared" si="23"/>
        <v>0</v>
      </c>
      <c r="X1238" s="89">
        <f t="shared" si="23"/>
        <v>0</v>
      </c>
      <c r="Y1238" s="89">
        <f t="shared" si="23"/>
        <v>0</v>
      </c>
      <c r="Z1238" s="89">
        <f t="shared" si="23"/>
        <v>0</v>
      </c>
      <c r="AA1238" s="89">
        <f t="shared" si="23"/>
        <v>0</v>
      </c>
      <c r="AB1238" s="89">
        <f t="shared" si="23"/>
        <v>0</v>
      </c>
      <c r="AC1238" s="89">
        <f t="shared" si="23"/>
        <v>0</v>
      </c>
      <c r="AD1238" s="89">
        <f t="shared" si="23"/>
        <v>0</v>
      </c>
      <c r="AE1238" s="89">
        <f t="shared" si="23"/>
        <v>0</v>
      </c>
      <c r="AF1238" s="89">
        <f t="shared" si="23"/>
        <v>0</v>
      </c>
      <c r="AG1238" s="89">
        <f t="shared" si="23"/>
        <v>0</v>
      </c>
      <c r="AH1238" s="89">
        <f t="shared" si="23"/>
        <v>0</v>
      </c>
      <c r="AI1238" s="89">
        <f t="shared" si="23"/>
        <v>0</v>
      </c>
      <c r="AJ1238" s="89">
        <f t="shared" si="23"/>
        <v>0</v>
      </c>
      <c r="AK1238" s="89">
        <f t="shared" si="23"/>
        <v>0</v>
      </c>
      <c r="AL1238" s="89">
        <f t="shared" si="23"/>
        <v>0</v>
      </c>
      <c r="AM1238" s="89">
        <f t="shared" si="23"/>
        <v>0</v>
      </c>
      <c r="AN1238" s="89">
        <f t="shared" si="23"/>
        <v>0</v>
      </c>
      <c r="AO1238" s="89">
        <f t="shared" si="23"/>
        <v>0</v>
      </c>
      <c r="AP1238" s="89">
        <f t="shared" si="23"/>
        <v>0</v>
      </c>
      <c r="AQ1238" s="89">
        <f t="shared" si="23"/>
        <v>0</v>
      </c>
      <c r="AR1238" s="219">
        <f t="shared" si="23"/>
        <v>0</v>
      </c>
      <c r="AS1238" s="207">
        <f t="shared" si="25"/>
        <v>0</v>
      </c>
      <c r="AT1238" s="77">
        <f>IF(OR(N1203&gt;=M1203,O1203&gt;=M1203),1,0)</f>
        <v>0</v>
      </c>
      <c r="AU1238" s="207">
        <f t="shared" si="26"/>
        <v>0</v>
      </c>
      <c r="AV1238" s="207">
        <f t="shared" si="27"/>
        <v>0</v>
      </c>
      <c r="AW1238" s="220">
        <f ca="1">IF(MAX(P1238:OFFSET(N1238, 0,-$V$1222))&gt;=M1203,1,0)</f>
        <v>0</v>
      </c>
      <c r="AX1238" s="207">
        <f t="shared" ca="1" si="28"/>
        <v>0</v>
      </c>
      <c r="AY1238" s="207">
        <f t="shared" ca="1" si="29"/>
        <v>0</v>
      </c>
      <c r="AZ1238" s="242" t="str">
        <f t="shared" ca="1" si="30"/>
        <v>OK</v>
      </c>
    </row>
    <row r="1239" spans="2:52" x14ac:dyDescent="0.2">
      <c r="B1239" s="186" t="str">
        <f t="shared" si="22"/>
        <v>Fluidics:</v>
      </c>
      <c r="N1239" s="89">
        <f t="shared" si="23"/>
        <v>0</v>
      </c>
      <c r="O1239" s="89">
        <f t="shared" si="23"/>
        <v>0</v>
      </c>
      <c r="P1239" s="89">
        <f t="shared" si="23"/>
        <v>0</v>
      </c>
      <c r="Q1239" s="89">
        <f t="shared" si="23"/>
        <v>0</v>
      </c>
      <c r="R1239" s="89">
        <f t="shared" si="23"/>
        <v>0</v>
      </c>
      <c r="S1239" s="89">
        <f t="shared" si="23"/>
        <v>0</v>
      </c>
      <c r="T1239" s="89">
        <f t="shared" si="23"/>
        <v>0</v>
      </c>
      <c r="U1239" s="89">
        <f t="shared" si="23"/>
        <v>0</v>
      </c>
      <c r="V1239" s="89">
        <f t="shared" si="23"/>
        <v>0</v>
      </c>
      <c r="W1239" s="89">
        <f t="shared" si="23"/>
        <v>0</v>
      </c>
      <c r="X1239" s="89">
        <f t="shared" si="23"/>
        <v>0</v>
      </c>
      <c r="Y1239" s="89">
        <f t="shared" si="23"/>
        <v>0</v>
      </c>
      <c r="Z1239" s="89">
        <f t="shared" si="23"/>
        <v>0</v>
      </c>
      <c r="AA1239" s="89">
        <f t="shared" si="23"/>
        <v>0</v>
      </c>
      <c r="AB1239" s="89">
        <f t="shared" si="23"/>
        <v>0</v>
      </c>
      <c r="AC1239" s="89">
        <f t="shared" si="23"/>
        <v>0</v>
      </c>
      <c r="AD1239" s="89">
        <f t="shared" si="23"/>
        <v>0</v>
      </c>
      <c r="AE1239" s="89">
        <f t="shared" si="23"/>
        <v>0</v>
      </c>
      <c r="AF1239" s="89">
        <f t="shared" si="23"/>
        <v>0</v>
      </c>
      <c r="AG1239" s="89">
        <f t="shared" si="23"/>
        <v>0</v>
      </c>
      <c r="AH1239" s="89">
        <f t="shared" si="23"/>
        <v>0</v>
      </c>
      <c r="AI1239" s="89">
        <f t="shared" si="23"/>
        <v>0</v>
      </c>
      <c r="AJ1239" s="89">
        <f t="shared" si="23"/>
        <v>0</v>
      </c>
      <c r="AK1239" s="89">
        <f t="shared" si="23"/>
        <v>0</v>
      </c>
      <c r="AL1239" s="89">
        <f t="shared" si="23"/>
        <v>0</v>
      </c>
      <c r="AM1239" s="89">
        <f t="shared" si="23"/>
        <v>0</v>
      </c>
      <c r="AN1239" s="89">
        <f t="shared" si="23"/>
        <v>0</v>
      </c>
      <c r="AO1239" s="89">
        <f t="shared" si="23"/>
        <v>0</v>
      </c>
      <c r="AP1239" s="89">
        <f t="shared" si="23"/>
        <v>0</v>
      </c>
      <c r="AQ1239" s="89">
        <f t="shared" si="23"/>
        <v>0</v>
      </c>
      <c r="AR1239" s="219">
        <f t="shared" si="23"/>
        <v>0</v>
      </c>
      <c r="AS1239" s="207">
        <f t="shared" si="25"/>
        <v>0</v>
      </c>
      <c r="AT1239" s="77">
        <f t="shared" si="24"/>
        <v>0</v>
      </c>
      <c r="AU1239" s="207">
        <f t="shared" si="26"/>
        <v>0</v>
      </c>
      <c r="AV1239" s="207">
        <f t="shared" si="27"/>
        <v>0</v>
      </c>
      <c r="AW1239" s="220">
        <f ca="1">IF(MAX(P1239:OFFSET(N1239, 0,-$V$1222))&gt;=M1204,1,0)</f>
        <v>0</v>
      </c>
      <c r="AX1239" s="207">
        <f t="shared" ca="1" si="28"/>
        <v>0</v>
      </c>
      <c r="AY1239" s="207">
        <f t="shared" ca="1" si="29"/>
        <v>0</v>
      </c>
      <c r="AZ1239" s="242" t="str">
        <f t="shared" ca="1" si="30"/>
        <v>OK</v>
      </c>
    </row>
    <row r="1240" spans="2:52" x14ac:dyDescent="0.2">
      <c r="B1240" s="186" t="str">
        <f t="shared" si="22"/>
        <v>LLD:</v>
      </c>
      <c r="N1240" s="89">
        <f t="shared" si="23"/>
        <v>0</v>
      </c>
      <c r="O1240" s="89">
        <f t="shared" si="23"/>
        <v>0</v>
      </c>
      <c r="P1240" s="89">
        <f t="shared" si="23"/>
        <v>0</v>
      </c>
      <c r="Q1240" s="89">
        <f t="shared" si="23"/>
        <v>0</v>
      </c>
      <c r="R1240" s="89">
        <f t="shared" si="23"/>
        <v>0</v>
      </c>
      <c r="S1240" s="89">
        <f t="shared" si="23"/>
        <v>0</v>
      </c>
      <c r="T1240" s="89">
        <f t="shared" si="23"/>
        <v>0</v>
      </c>
      <c r="U1240" s="89">
        <f t="shared" si="23"/>
        <v>0</v>
      </c>
      <c r="V1240" s="89">
        <f t="shared" si="23"/>
        <v>0</v>
      </c>
      <c r="W1240" s="89">
        <f t="shared" si="23"/>
        <v>0</v>
      </c>
      <c r="X1240" s="89">
        <f t="shared" si="23"/>
        <v>0</v>
      </c>
      <c r="Y1240" s="89">
        <f t="shared" si="23"/>
        <v>0</v>
      </c>
      <c r="Z1240" s="89">
        <f t="shared" si="23"/>
        <v>0</v>
      </c>
      <c r="AA1240" s="89">
        <f t="shared" si="23"/>
        <v>0</v>
      </c>
      <c r="AB1240" s="89">
        <f t="shared" si="23"/>
        <v>0</v>
      </c>
      <c r="AC1240" s="89">
        <f t="shared" si="23"/>
        <v>0</v>
      </c>
      <c r="AD1240" s="89">
        <f t="shared" si="23"/>
        <v>0</v>
      </c>
      <c r="AE1240" s="89">
        <f t="shared" si="23"/>
        <v>0</v>
      </c>
      <c r="AF1240" s="89">
        <f t="shared" si="23"/>
        <v>0</v>
      </c>
      <c r="AG1240" s="89">
        <f t="shared" si="23"/>
        <v>0</v>
      </c>
      <c r="AH1240" s="89">
        <f t="shared" si="23"/>
        <v>0</v>
      </c>
      <c r="AI1240" s="89">
        <f t="shared" si="23"/>
        <v>0</v>
      </c>
      <c r="AJ1240" s="89">
        <f t="shared" si="23"/>
        <v>0</v>
      </c>
      <c r="AK1240" s="89">
        <f t="shared" si="23"/>
        <v>0</v>
      </c>
      <c r="AL1240" s="89">
        <f t="shared" si="23"/>
        <v>0</v>
      </c>
      <c r="AM1240" s="89">
        <f t="shared" si="23"/>
        <v>0</v>
      </c>
      <c r="AN1240" s="89">
        <f t="shared" si="23"/>
        <v>0</v>
      </c>
      <c r="AO1240" s="89">
        <f t="shared" si="23"/>
        <v>0</v>
      </c>
      <c r="AP1240" s="89">
        <f t="shared" si="23"/>
        <v>0</v>
      </c>
      <c r="AQ1240" s="89">
        <f t="shared" si="23"/>
        <v>0</v>
      </c>
      <c r="AR1240" s="219">
        <f t="shared" si="23"/>
        <v>0</v>
      </c>
      <c r="AS1240" s="207">
        <f t="shared" si="25"/>
        <v>0</v>
      </c>
      <c r="AT1240" s="77">
        <f t="shared" si="24"/>
        <v>0</v>
      </c>
      <c r="AU1240" s="207">
        <f t="shared" si="26"/>
        <v>0</v>
      </c>
      <c r="AV1240" s="207">
        <f t="shared" si="27"/>
        <v>0</v>
      </c>
      <c r="AW1240" s="220">
        <f ca="1">IF(MAX(P1240:OFFSET(N1240, 0,-$V$1222))&gt;=M1205,1,0)</f>
        <v>0</v>
      </c>
      <c r="AX1240" s="207">
        <f t="shared" ca="1" si="28"/>
        <v>0</v>
      </c>
      <c r="AY1240" s="207">
        <f t="shared" ca="1" si="29"/>
        <v>0</v>
      </c>
      <c r="AZ1240" s="242" t="str">
        <f t="shared" ca="1" si="30"/>
        <v>OK</v>
      </c>
    </row>
    <row r="1241" spans="2:52" x14ac:dyDescent="0.2">
      <c r="B1241" s="186" t="str">
        <f t="shared" si="22"/>
        <v>ORU:</v>
      </c>
      <c r="N1241" s="89">
        <f t="shared" si="23"/>
        <v>0</v>
      </c>
      <c r="O1241" s="89">
        <f t="shared" si="23"/>
        <v>0</v>
      </c>
      <c r="P1241" s="89">
        <f t="shared" si="23"/>
        <v>0</v>
      </c>
      <c r="Q1241" s="89">
        <f t="shared" si="23"/>
        <v>0</v>
      </c>
      <c r="R1241" s="89">
        <f t="shared" si="23"/>
        <v>0</v>
      </c>
      <c r="S1241" s="89">
        <f t="shared" si="23"/>
        <v>0</v>
      </c>
      <c r="T1241" s="89">
        <f t="shared" si="23"/>
        <v>0</v>
      </c>
      <c r="U1241" s="89">
        <f t="shared" si="23"/>
        <v>0</v>
      </c>
      <c r="V1241" s="89">
        <f t="shared" si="23"/>
        <v>0</v>
      </c>
      <c r="W1241" s="89">
        <f t="shared" si="23"/>
        <v>0</v>
      </c>
      <c r="X1241" s="89">
        <f t="shared" si="23"/>
        <v>0</v>
      </c>
      <c r="Y1241" s="89">
        <f t="shared" si="23"/>
        <v>0</v>
      </c>
      <c r="Z1241" s="89">
        <f t="shared" si="23"/>
        <v>0</v>
      </c>
      <c r="AA1241" s="89">
        <f t="shared" si="23"/>
        <v>0</v>
      </c>
      <c r="AB1241" s="89">
        <f t="shared" si="23"/>
        <v>0</v>
      </c>
      <c r="AC1241" s="89">
        <f t="shared" si="23"/>
        <v>0</v>
      </c>
      <c r="AD1241" s="89">
        <f t="shared" si="23"/>
        <v>0</v>
      </c>
      <c r="AE1241" s="89">
        <f t="shared" si="23"/>
        <v>0</v>
      </c>
      <c r="AF1241" s="89">
        <f t="shared" si="23"/>
        <v>0</v>
      </c>
      <c r="AG1241" s="89">
        <f t="shared" si="23"/>
        <v>0</v>
      </c>
      <c r="AH1241" s="89">
        <f t="shared" si="23"/>
        <v>0</v>
      </c>
      <c r="AI1241" s="89">
        <f t="shared" si="23"/>
        <v>0</v>
      </c>
      <c r="AJ1241" s="89">
        <f t="shared" si="23"/>
        <v>0</v>
      </c>
      <c r="AK1241" s="89">
        <f t="shared" si="23"/>
        <v>0</v>
      </c>
      <c r="AL1241" s="89">
        <f t="shared" si="23"/>
        <v>0</v>
      </c>
      <c r="AM1241" s="89">
        <f t="shared" si="23"/>
        <v>0</v>
      </c>
      <c r="AN1241" s="89">
        <f t="shared" si="23"/>
        <v>0</v>
      </c>
      <c r="AO1241" s="89">
        <f t="shared" si="23"/>
        <v>0</v>
      </c>
      <c r="AP1241" s="89">
        <f t="shared" si="23"/>
        <v>0</v>
      </c>
      <c r="AQ1241" s="89">
        <f t="shared" si="23"/>
        <v>0</v>
      </c>
      <c r="AR1241" s="219">
        <f t="shared" si="23"/>
        <v>0</v>
      </c>
      <c r="AS1241" s="207">
        <f t="shared" si="25"/>
        <v>0</v>
      </c>
      <c r="AT1241" s="77">
        <f t="shared" si="24"/>
        <v>0</v>
      </c>
      <c r="AU1241" s="207">
        <f t="shared" si="26"/>
        <v>0</v>
      </c>
      <c r="AV1241" s="207">
        <f t="shared" si="27"/>
        <v>0</v>
      </c>
      <c r="AW1241" s="220">
        <f ca="1">IF(MAX(P1241:OFFSET(N1241, 0,-$V$1222))&gt;=M1206,1,0)</f>
        <v>0</v>
      </c>
      <c r="AX1241" s="207">
        <f t="shared" ca="1" si="28"/>
        <v>0</v>
      </c>
      <c r="AY1241" s="207">
        <f t="shared" ca="1" si="29"/>
        <v>0</v>
      </c>
      <c r="AZ1241" s="242" t="str">
        <f t="shared" ca="1" si="30"/>
        <v>OK</v>
      </c>
    </row>
    <row r="1242" spans="2:52" x14ac:dyDescent="0.2">
      <c r="B1242" s="186" t="str">
        <f t="shared" si="22"/>
        <v>Others:</v>
      </c>
      <c r="N1242" s="89">
        <f t="shared" si="23"/>
        <v>0</v>
      </c>
      <c r="O1242" s="89">
        <f t="shared" si="23"/>
        <v>0</v>
      </c>
      <c r="P1242" s="89">
        <f t="shared" si="23"/>
        <v>0</v>
      </c>
      <c r="Q1242" s="89">
        <f t="shared" si="23"/>
        <v>0</v>
      </c>
      <c r="R1242" s="89">
        <f t="shared" si="23"/>
        <v>0</v>
      </c>
      <c r="S1242" s="89">
        <f t="shared" si="23"/>
        <v>0</v>
      </c>
      <c r="T1242" s="89">
        <f t="shared" si="23"/>
        <v>0</v>
      </c>
      <c r="U1242" s="89">
        <f t="shared" si="23"/>
        <v>0</v>
      </c>
      <c r="V1242" s="89">
        <f t="shared" si="23"/>
        <v>0</v>
      </c>
      <c r="W1242" s="89">
        <f t="shared" si="23"/>
        <v>0</v>
      </c>
      <c r="X1242" s="89">
        <f t="shared" si="23"/>
        <v>0</v>
      </c>
      <c r="Y1242" s="89">
        <f t="shared" si="23"/>
        <v>0</v>
      </c>
      <c r="Z1242" s="89">
        <f t="shared" si="23"/>
        <v>0</v>
      </c>
      <c r="AA1242" s="89">
        <f t="shared" si="23"/>
        <v>0</v>
      </c>
      <c r="AB1242" s="89">
        <f t="shared" si="23"/>
        <v>0</v>
      </c>
      <c r="AC1242" s="89">
        <f t="shared" si="23"/>
        <v>0</v>
      </c>
      <c r="AD1242" s="89">
        <f t="shared" si="23"/>
        <v>0</v>
      </c>
      <c r="AE1242" s="89">
        <f t="shared" si="23"/>
        <v>0</v>
      </c>
      <c r="AF1242" s="89">
        <f t="shared" si="23"/>
        <v>0</v>
      </c>
      <c r="AG1242" s="89">
        <f t="shared" si="23"/>
        <v>0</v>
      </c>
      <c r="AH1242" s="89">
        <f t="shared" si="23"/>
        <v>0</v>
      </c>
      <c r="AI1242" s="89">
        <f t="shared" si="23"/>
        <v>0</v>
      </c>
      <c r="AJ1242" s="89">
        <f t="shared" si="23"/>
        <v>0</v>
      </c>
      <c r="AK1242" s="89">
        <f t="shared" si="23"/>
        <v>0</v>
      </c>
      <c r="AL1242" s="89">
        <f t="shared" si="23"/>
        <v>0</v>
      </c>
      <c r="AM1242" s="89">
        <f t="shared" si="23"/>
        <v>0</v>
      </c>
      <c r="AN1242" s="89">
        <f t="shared" si="23"/>
        <v>0</v>
      </c>
      <c r="AO1242" s="89">
        <f t="shared" si="23"/>
        <v>0</v>
      </c>
      <c r="AP1242" s="89">
        <f t="shared" si="23"/>
        <v>0</v>
      </c>
      <c r="AQ1242" s="89">
        <f t="shared" si="23"/>
        <v>0</v>
      </c>
      <c r="AR1242" s="219">
        <f t="shared" si="23"/>
        <v>0</v>
      </c>
      <c r="AS1242" s="207">
        <f t="shared" si="25"/>
        <v>0</v>
      </c>
      <c r="AT1242" s="77">
        <f t="shared" si="24"/>
        <v>0</v>
      </c>
      <c r="AU1242" s="207">
        <f t="shared" si="26"/>
        <v>0</v>
      </c>
      <c r="AV1242" s="207">
        <f t="shared" si="27"/>
        <v>0</v>
      </c>
      <c r="AW1242" s="220">
        <f ca="1">IF(MAX(P1242:OFFSET(N1242, 0,-$V$1222))&gt;=M1207,1,0)</f>
        <v>0</v>
      </c>
      <c r="AX1242" s="207">
        <f t="shared" ca="1" si="28"/>
        <v>0</v>
      </c>
      <c r="AY1242" s="207">
        <f t="shared" ca="1" si="29"/>
        <v>0</v>
      </c>
      <c r="AZ1242" s="242" t="str">
        <f t="shared" ca="1" si="30"/>
        <v>OK</v>
      </c>
    </row>
    <row r="1243" spans="2:52" x14ac:dyDescent="0.2">
      <c r="B1243" s="186" t="str">
        <f t="shared" si="22"/>
        <v>SW:</v>
      </c>
      <c r="N1243" s="89">
        <f t="shared" si="23"/>
        <v>0</v>
      </c>
      <c r="O1243" s="89">
        <f t="shared" si="23"/>
        <v>0</v>
      </c>
      <c r="P1243" s="89">
        <f t="shared" si="23"/>
        <v>0</v>
      </c>
      <c r="Q1243" s="89">
        <f t="shared" si="23"/>
        <v>0</v>
      </c>
      <c r="R1243" s="89">
        <f t="shared" si="23"/>
        <v>0</v>
      </c>
      <c r="S1243" s="89">
        <f t="shared" si="23"/>
        <v>0</v>
      </c>
      <c r="T1243" s="89">
        <f t="shared" si="23"/>
        <v>0</v>
      </c>
      <c r="U1243" s="89">
        <f t="shared" si="23"/>
        <v>0</v>
      </c>
      <c r="V1243" s="89">
        <f t="shared" si="23"/>
        <v>0</v>
      </c>
      <c r="W1243" s="89">
        <f t="shared" si="23"/>
        <v>0</v>
      </c>
      <c r="X1243" s="89">
        <f t="shared" si="23"/>
        <v>0</v>
      </c>
      <c r="Y1243" s="89">
        <f t="shared" si="23"/>
        <v>0</v>
      </c>
      <c r="Z1243" s="89">
        <f t="shared" si="23"/>
        <v>0</v>
      </c>
      <c r="AA1243" s="89">
        <f t="shared" si="23"/>
        <v>0</v>
      </c>
      <c r="AB1243" s="89">
        <f t="shared" si="23"/>
        <v>0</v>
      </c>
      <c r="AC1243" s="89">
        <f t="shared" si="23"/>
        <v>0</v>
      </c>
      <c r="AD1243" s="89">
        <f t="shared" si="23"/>
        <v>0</v>
      </c>
      <c r="AE1243" s="89">
        <f t="shared" si="23"/>
        <v>0</v>
      </c>
      <c r="AF1243" s="89">
        <f t="shared" si="23"/>
        <v>0</v>
      </c>
      <c r="AG1243" s="89">
        <f t="shared" si="23"/>
        <v>0</v>
      </c>
      <c r="AH1243" s="89">
        <f t="shared" si="23"/>
        <v>0</v>
      </c>
      <c r="AI1243" s="89">
        <f t="shared" si="23"/>
        <v>0</v>
      </c>
      <c r="AJ1243" s="89">
        <f t="shared" si="23"/>
        <v>0</v>
      </c>
      <c r="AK1243" s="89">
        <f t="shared" si="23"/>
        <v>0</v>
      </c>
      <c r="AL1243" s="89">
        <f t="shared" si="23"/>
        <v>0</v>
      </c>
      <c r="AM1243" s="89">
        <f t="shared" si="23"/>
        <v>0</v>
      </c>
      <c r="AN1243" s="89">
        <f t="shared" si="23"/>
        <v>0</v>
      </c>
      <c r="AO1243" s="89">
        <f t="shared" si="23"/>
        <v>0</v>
      </c>
      <c r="AP1243" s="89">
        <f t="shared" si="23"/>
        <v>0</v>
      </c>
      <c r="AQ1243" s="89">
        <f t="shared" si="23"/>
        <v>0</v>
      </c>
      <c r="AR1243" s="219">
        <f t="shared" si="23"/>
        <v>0</v>
      </c>
      <c r="AS1243" s="207">
        <f t="shared" si="25"/>
        <v>0</v>
      </c>
      <c r="AT1243" s="77">
        <f t="shared" si="24"/>
        <v>0</v>
      </c>
      <c r="AU1243" s="207">
        <f t="shared" si="26"/>
        <v>0</v>
      </c>
      <c r="AV1243" s="207">
        <f t="shared" si="27"/>
        <v>0</v>
      </c>
      <c r="AW1243" s="220">
        <f ca="1">IF(MAX(P1243:OFFSET(N1243, 0,-$V$1222))&gt;=M1208,1,0)</f>
        <v>0</v>
      </c>
      <c r="AX1243" s="207">
        <f t="shared" ca="1" si="28"/>
        <v>0</v>
      </c>
      <c r="AY1243" s="207">
        <f t="shared" ca="1" si="29"/>
        <v>0</v>
      </c>
      <c r="AZ1243" s="242" t="str">
        <f t="shared" ca="1" si="30"/>
        <v>OK</v>
      </c>
    </row>
    <row r="1244" spans="2:52" x14ac:dyDescent="0.2">
      <c r="B1244" s="186" t="str">
        <f t="shared" si="22"/>
        <v>Temperatures:</v>
      </c>
      <c r="N1244" s="89">
        <f t="shared" si="23"/>
        <v>0</v>
      </c>
      <c r="O1244" s="89">
        <f t="shared" si="23"/>
        <v>0</v>
      </c>
      <c r="P1244" s="89">
        <f t="shared" si="23"/>
        <v>0</v>
      </c>
      <c r="Q1244" s="89">
        <f t="shared" si="23"/>
        <v>0</v>
      </c>
      <c r="R1244" s="89">
        <f t="shared" si="23"/>
        <v>0</v>
      </c>
      <c r="S1244" s="89">
        <f t="shared" si="23"/>
        <v>0</v>
      </c>
      <c r="T1244" s="89">
        <f t="shared" si="23"/>
        <v>0</v>
      </c>
      <c r="U1244" s="89">
        <f t="shared" ref="U1244:AR1244" si="31">U$1235*U1209</f>
        <v>0</v>
      </c>
      <c r="V1244" s="89">
        <f t="shared" si="31"/>
        <v>0</v>
      </c>
      <c r="W1244" s="89">
        <f t="shared" si="31"/>
        <v>0</v>
      </c>
      <c r="X1244" s="89">
        <f t="shared" si="31"/>
        <v>0</v>
      </c>
      <c r="Y1244" s="89">
        <f t="shared" si="31"/>
        <v>0</v>
      </c>
      <c r="Z1244" s="89">
        <f t="shared" si="31"/>
        <v>0</v>
      </c>
      <c r="AA1244" s="89">
        <f t="shared" si="31"/>
        <v>0</v>
      </c>
      <c r="AB1244" s="89">
        <f t="shared" si="31"/>
        <v>0</v>
      </c>
      <c r="AC1244" s="89">
        <f t="shared" si="31"/>
        <v>0</v>
      </c>
      <c r="AD1244" s="89">
        <f t="shared" si="31"/>
        <v>0</v>
      </c>
      <c r="AE1244" s="89">
        <f t="shared" si="31"/>
        <v>0</v>
      </c>
      <c r="AF1244" s="89">
        <f t="shared" si="31"/>
        <v>0</v>
      </c>
      <c r="AG1244" s="89">
        <f t="shared" si="31"/>
        <v>0</v>
      </c>
      <c r="AH1244" s="89">
        <f t="shared" si="31"/>
        <v>0</v>
      </c>
      <c r="AI1244" s="89">
        <f t="shared" si="31"/>
        <v>0</v>
      </c>
      <c r="AJ1244" s="89">
        <f t="shared" si="31"/>
        <v>0</v>
      </c>
      <c r="AK1244" s="89">
        <f t="shared" si="31"/>
        <v>0</v>
      </c>
      <c r="AL1244" s="89">
        <f t="shared" si="31"/>
        <v>0</v>
      </c>
      <c r="AM1244" s="89">
        <f t="shared" si="31"/>
        <v>0</v>
      </c>
      <c r="AN1244" s="89">
        <f t="shared" si="31"/>
        <v>0</v>
      </c>
      <c r="AO1244" s="89">
        <f t="shared" si="31"/>
        <v>0</v>
      </c>
      <c r="AP1244" s="89">
        <f t="shared" si="31"/>
        <v>0</v>
      </c>
      <c r="AQ1244" s="89">
        <f t="shared" si="31"/>
        <v>0</v>
      </c>
      <c r="AR1244" s="219">
        <f t="shared" si="31"/>
        <v>0</v>
      </c>
      <c r="AS1244" s="207">
        <f t="shared" si="25"/>
        <v>0</v>
      </c>
      <c r="AT1244" s="77">
        <f t="shared" si="24"/>
        <v>0</v>
      </c>
      <c r="AU1244" s="207">
        <f t="shared" si="26"/>
        <v>0</v>
      </c>
      <c r="AV1244" s="207">
        <f t="shared" si="27"/>
        <v>0</v>
      </c>
      <c r="AW1244" s="220">
        <f ca="1">IF(MAX(P1244:OFFSET(N1244, 0,-$V$1222))&gt;=M1209,1,0)</f>
        <v>0</v>
      </c>
      <c r="AX1244" s="207">
        <f t="shared" ca="1" si="28"/>
        <v>0</v>
      </c>
      <c r="AY1244" s="207">
        <f t="shared" ca="1" si="29"/>
        <v>0</v>
      </c>
      <c r="AZ1244" s="242" t="str">
        <f t="shared" ca="1" si="30"/>
        <v>OK</v>
      </c>
    </row>
  </sheetData>
  <sheetProtection password="FFFF" sheet="1" formatCells="0" formatColumns="0" formatRows="0" insertColumns="0" insertRows="0" insertHyperlinks="0" deleteColumns="0" deleteRows="0" selectLockedCells="1" sort="0" autoFilter="0" pivotTables="0" selectUnlockedCells="1"/>
  <phoneticPr fontId="2" type="noConversion"/>
  <conditionalFormatting sqref="M1216">
    <cfRule type="cellIs" dxfId="42" priority="478" stopIfTrue="1" operator="equal">
      <formula>"Check Pass"</formula>
    </cfRule>
    <cfRule type="cellIs" dxfId="41" priority="479" stopIfTrue="1" operator="equal">
      <formula>"Check Error"</formula>
    </cfRule>
  </conditionalFormatting>
  <conditionalFormatting sqref="N1210:AR1210">
    <cfRule type="cellIs" dxfId="40" priority="476" stopIfTrue="1" operator="greaterThan">
      <formula>0</formula>
    </cfRule>
    <cfRule type="cellIs" dxfId="39" priority="477" stopIfTrue="1" operator="lessThanOrEqual">
      <formula>0</formula>
    </cfRule>
  </conditionalFormatting>
  <conditionalFormatting sqref="AS1202">
    <cfRule type="cellIs" dxfId="38" priority="186" stopIfTrue="1" operator="greaterThanOrEqual">
      <formula>$L$1202</formula>
    </cfRule>
    <cfRule type="cellIs" dxfId="37" priority="187" stopIfTrue="1" operator="lessThan">
      <formula>$L$1202</formula>
    </cfRule>
  </conditionalFormatting>
  <conditionalFormatting sqref="AS1201 AX1236:AY1244 AU1236:AV1244 AS1236:AS1244">
    <cfRule type="cellIs" dxfId="36" priority="184" stopIfTrue="1" operator="greaterThanOrEqual">
      <formula>$L$1201</formula>
    </cfRule>
    <cfRule type="cellIs" dxfId="35" priority="185" stopIfTrue="1" operator="lessThan">
      <formula>$L$1201</formula>
    </cfRule>
  </conditionalFormatting>
  <conditionalFormatting sqref="AS1203">
    <cfRule type="cellIs" dxfId="34" priority="182" stopIfTrue="1" operator="greaterThanOrEqual">
      <formula>$L$1203</formula>
    </cfRule>
    <cfRule type="cellIs" dxfId="33" priority="183" stopIfTrue="1" operator="lessThan">
      <formula>$L$1203</formula>
    </cfRule>
  </conditionalFormatting>
  <conditionalFormatting sqref="AS1204">
    <cfRule type="cellIs" dxfId="32" priority="180" stopIfTrue="1" operator="greaterThanOrEqual">
      <formula>$L$1204</formula>
    </cfRule>
    <cfRule type="cellIs" dxfId="31" priority="181" stopIfTrue="1" operator="lessThan">
      <formula>$L$1204</formula>
    </cfRule>
  </conditionalFormatting>
  <conditionalFormatting sqref="AS1205">
    <cfRule type="cellIs" dxfId="30" priority="178" stopIfTrue="1" operator="greaterThanOrEqual">
      <formula>$L$1205</formula>
    </cfRule>
    <cfRule type="cellIs" dxfId="29" priority="179" stopIfTrue="1" operator="lessThan">
      <formula>$L$1205</formula>
    </cfRule>
  </conditionalFormatting>
  <conditionalFormatting sqref="AS1206">
    <cfRule type="cellIs" dxfId="28" priority="176" stopIfTrue="1" operator="greaterThanOrEqual">
      <formula>$L$1206</formula>
    </cfRule>
    <cfRule type="cellIs" dxfId="27" priority="177" stopIfTrue="1" operator="lessThan">
      <formula>$L$1206</formula>
    </cfRule>
  </conditionalFormatting>
  <conditionalFormatting sqref="AS1207">
    <cfRule type="cellIs" dxfId="26" priority="174" stopIfTrue="1" operator="greaterThanOrEqual">
      <formula>$L$1207</formula>
    </cfRule>
    <cfRule type="cellIs" dxfId="25" priority="175" stopIfTrue="1" operator="lessThan">
      <formula>$L$1207</formula>
    </cfRule>
  </conditionalFormatting>
  <conditionalFormatting sqref="AS1208">
    <cfRule type="cellIs" dxfId="24" priority="172" stopIfTrue="1" operator="greaterThanOrEqual">
      <formula>$L$1208</formula>
    </cfRule>
    <cfRule type="cellIs" dxfId="23" priority="173" stopIfTrue="1" operator="lessThan">
      <formula>$L$1208</formula>
    </cfRule>
  </conditionalFormatting>
  <conditionalFormatting sqref="AS1209">
    <cfRule type="cellIs" dxfId="22" priority="170" stopIfTrue="1" operator="greaterThanOrEqual">
      <formula>$L$1209</formula>
    </cfRule>
    <cfRule type="cellIs" dxfId="21" priority="171" stopIfTrue="1" operator="lessThan">
      <formula>$L$1209</formula>
    </cfRule>
  </conditionalFormatting>
  <conditionalFormatting sqref="N1202:AR1202 N1237:AR1237">
    <cfRule type="cellIs" dxfId="20" priority="76" stopIfTrue="1" operator="greaterThanOrEqual">
      <formula>$M$1202</formula>
    </cfRule>
    <cfRule type="cellIs" dxfId="19" priority="77" stopIfTrue="1" operator="lessThan">
      <formula>$M$1202</formula>
    </cfRule>
  </conditionalFormatting>
  <conditionalFormatting sqref="N1203:AR1203 N1238:AR1238">
    <cfRule type="cellIs" dxfId="18" priority="74" stopIfTrue="1" operator="greaterThanOrEqual">
      <formula>$M$1203</formula>
    </cfRule>
    <cfRule type="cellIs" dxfId="17" priority="75" stopIfTrue="1" operator="lessThan">
      <formula>$M$1203</formula>
    </cfRule>
  </conditionalFormatting>
  <conditionalFormatting sqref="N1204:AR1204 N1239:AR1239">
    <cfRule type="cellIs" dxfId="16" priority="72" stopIfTrue="1" operator="greaterThanOrEqual">
      <formula>$M$1204</formula>
    </cfRule>
    <cfRule type="cellIs" dxfId="15" priority="73" stopIfTrue="1" operator="lessThan">
      <formula>$M$1204</formula>
    </cfRule>
  </conditionalFormatting>
  <conditionalFormatting sqref="N1205:AR1205 N1240:AR1240">
    <cfRule type="cellIs" dxfId="14" priority="70" stopIfTrue="1" operator="greaterThanOrEqual">
      <formula>$M$1205</formula>
    </cfRule>
    <cfRule type="cellIs" dxfId="13" priority="71" stopIfTrue="1" operator="lessThan">
      <formula>$M$1205</formula>
    </cfRule>
  </conditionalFormatting>
  <conditionalFormatting sqref="N1206:AR1206 N1241:AR1241">
    <cfRule type="cellIs" dxfId="12" priority="68" stopIfTrue="1" operator="greaterThanOrEqual">
      <formula>$M$1206</formula>
    </cfRule>
    <cfRule type="cellIs" dxfId="11" priority="69" stopIfTrue="1" operator="lessThan">
      <formula>$M$1206</formula>
    </cfRule>
  </conditionalFormatting>
  <conditionalFormatting sqref="N1207:AR1207 N1242:AR1242">
    <cfRule type="cellIs" dxfId="10" priority="66" stopIfTrue="1" operator="greaterThanOrEqual">
      <formula>$M$1207</formula>
    </cfRule>
    <cfRule type="cellIs" dxfId="9" priority="67" stopIfTrue="1" operator="lessThan">
      <formula>$M$1207</formula>
    </cfRule>
  </conditionalFormatting>
  <conditionalFormatting sqref="N1208:AR1208 N1243:AR1243">
    <cfRule type="cellIs" dxfId="8" priority="64" stopIfTrue="1" operator="greaterThanOrEqual">
      <formula>$M$1208</formula>
    </cfRule>
    <cfRule type="cellIs" dxfId="7" priority="65" stopIfTrue="1" operator="lessThan">
      <formula>$M$1208</formula>
    </cfRule>
  </conditionalFormatting>
  <conditionalFormatting sqref="N1209:AR1209 N1244:AR1244">
    <cfRule type="cellIs" dxfId="6" priority="62" stopIfTrue="1" operator="greaterThanOrEqual">
      <formula>$M$1209</formula>
    </cfRule>
    <cfRule type="cellIs" dxfId="5" priority="63" stopIfTrue="1" operator="lessThan">
      <formula>$M$1209</formula>
    </cfRule>
  </conditionalFormatting>
  <conditionalFormatting sqref="N1201:AR1201 N1236:AR1236">
    <cfRule type="cellIs" dxfId="4" priority="60" stopIfTrue="1" operator="greaterThanOrEqual">
      <formula>$M$1201</formula>
    </cfRule>
    <cfRule type="cellIs" dxfId="3" priority="61" stopIfTrue="1" operator="lessThan">
      <formula>$M$1201</formula>
    </cfRule>
  </conditionalFormatting>
  <conditionalFormatting sqref="AZ1236:AZ1244">
    <cfRule type="containsText" dxfId="2" priority="1" stopIfTrue="1" operator="containsText" text="TO BE ATTENDED">
      <formula>NOT(ISERROR(SEARCH("TO BE ATTENDED",AZ1236)))</formula>
    </cfRule>
    <cfRule type="containsText" dxfId="1" priority="2" stopIfTrue="1" operator="containsText" text="MONITORING">
      <formula>NOT(ISERROR(SEARCH("MONITORING",AZ1236)))</formula>
    </cfRule>
    <cfRule type="containsText" dxfId="0" priority="3" stopIfTrue="1" operator="containsText" text="OK">
      <formula>NOT(ISERROR(SEARCH("OK",AZ1236)))</formula>
    </cfRule>
  </conditionalFormatting>
  <pageMargins left="0.7" right="0.7" top="0.75" bottom="0.75" header="0.3" footer="0.3"/>
  <drawing r:id="rId1"/>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enableFormatConditionsCalculation="0"/>
  <dimension ref="A1:O700"/>
  <sheetViews>
    <sheetView zoomScale="89" workbookViewId="0">
      <pane xSplit="2" ySplit="1" topLeftCell="C2" activePane="bottomRight" state="frozenSplit"/>
      <selection pane="topRight"/>
      <selection pane="bottomLeft"/>
      <selection pane="bottomRight"/>
    </sheetView>
  </sheetViews>
  <sheetFormatPr defaultRowHeight="14.25" x14ac:dyDescent="0.2"/>
  <cols>
    <col min="1" max="1" width="6.7109375" style="16" customWidth="1"/>
    <col min="2" max="2" width="30.7109375" style="235" customWidth="1"/>
    <col min="3" max="3" width="40.7109375" style="235" customWidth="1"/>
    <col min="4" max="4" width="27.42578125" style="16" bestFit="1" customWidth="1"/>
    <col min="5" max="5" width="23" style="16" bestFit="1" customWidth="1"/>
    <col min="6" max="6" width="22.7109375" style="16" customWidth="1"/>
    <col min="7" max="7" width="15.28515625" style="235" bestFit="1" customWidth="1"/>
    <col min="8" max="8" width="22.28515625" style="235" customWidth="1"/>
    <col min="9" max="9" width="8.140625" style="236" customWidth="1"/>
    <col min="10" max="10" width="9.140625" style="237"/>
    <col min="11" max="11" width="8.140625" style="238" customWidth="1"/>
    <col min="12" max="12" width="9.140625" style="15"/>
    <col min="13" max="13" width="20" style="15" bestFit="1" customWidth="1"/>
    <col min="14" max="14" width="78.5703125" style="15" customWidth="1"/>
    <col min="15" max="15" width="5.42578125" style="15" customWidth="1"/>
    <col min="16" max="16" width="5" style="15" customWidth="1"/>
    <col min="17" max="16384" width="9.140625" style="15"/>
  </cols>
  <sheetData>
    <row r="1" spans="1:15" s="222" customFormat="1" ht="30" x14ac:dyDescent="0.25">
      <c r="A1" s="6" t="s">
        <v>392</v>
      </c>
      <c r="B1" s="7" t="s">
        <v>622</v>
      </c>
      <c r="C1" s="7" t="s">
        <v>394</v>
      </c>
      <c r="D1" s="7" t="s">
        <v>395</v>
      </c>
      <c r="E1" s="7" t="s">
        <v>396</v>
      </c>
      <c r="F1" s="7" t="s">
        <v>391</v>
      </c>
      <c r="G1" s="7" t="s">
        <v>397</v>
      </c>
      <c r="H1" s="7" t="s">
        <v>398</v>
      </c>
      <c r="I1" s="56" t="s">
        <v>399</v>
      </c>
      <c r="J1" s="21" t="s">
        <v>400</v>
      </c>
      <c r="K1" s="8" t="s">
        <v>401</v>
      </c>
      <c r="M1" s="223"/>
      <c r="N1" s="224"/>
    </row>
    <row r="2" spans="1:15" ht="14.25" customHeight="1" x14ac:dyDescent="0.2">
      <c r="A2" s="28">
        <v>0</v>
      </c>
      <c r="B2" s="9" t="s">
        <v>402</v>
      </c>
      <c r="C2" s="9" t="s">
        <v>403</v>
      </c>
      <c r="D2" s="9" t="s">
        <v>404</v>
      </c>
      <c r="E2" s="9" t="s">
        <v>404</v>
      </c>
      <c r="F2" s="9" t="s">
        <v>125</v>
      </c>
      <c r="G2" s="225" t="s">
        <v>405</v>
      </c>
      <c r="H2" s="9" t="s">
        <v>406</v>
      </c>
      <c r="I2" s="55">
        <f>COUNTIF('LOGBOOK VIEWER'!$B$7:$B$10600,$A2)</f>
        <v>0</v>
      </c>
      <c r="J2" s="10">
        <v>0.25</v>
      </c>
      <c r="K2" s="10">
        <f>I2*J2</f>
        <v>0</v>
      </c>
      <c r="M2" s="226"/>
      <c r="N2" s="227" t="s">
        <v>280</v>
      </c>
    </row>
    <row r="3" spans="1:15" ht="42.75" x14ac:dyDescent="0.2">
      <c r="A3" s="28">
        <v>5</v>
      </c>
      <c r="B3" s="9" t="s">
        <v>408</v>
      </c>
      <c r="C3" s="9" t="s">
        <v>409</v>
      </c>
      <c r="D3" s="9" t="s">
        <v>404</v>
      </c>
      <c r="E3" s="9" t="s">
        <v>404</v>
      </c>
      <c r="F3" s="9" t="s">
        <v>125</v>
      </c>
      <c r="G3" s="225" t="s">
        <v>405</v>
      </c>
      <c r="H3" s="9" t="s">
        <v>406</v>
      </c>
      <c r="I3" s="55">
        <f>COUNTIF('LOGBOOK VIEWER'!$B$7:$B$10600,$A3)</f>
        <v>0</v>
      </c>
      <c r="J3" s="10">
        <v>1</v>
      </c>
      <c r="K3" s="10">
        <f>I3*J3</f>
        <v>0</v>
      </c>
      <c r="M3" s="228" t="s">
        <v>407</v>
      </c>
      <c r="N3" s="229">
        <f>SUM(I2:I613)</f>
        <v>4402</v>
      </c>
    </row>
    <row r="4" spans="1:15" ht="57" x14ac:dyDescent="0.2">
      <c r="A4" s="28">
        <v>7</v>
      </c>
      <c r="B4" s="9" t="s">
        <v>627</v>
      </c>
      <c r="C4" s="9" t="s">
        <v>411</v>
      </c>
      <c r="D4" s="9" t="s">
        <v>404</v>
      </c>
      <c r="E4" s="9" t="s">
        <v>404</v>
      </c>
      <c r="F4" s="9" t="s">
        <v>125</v>
      </c>
      <c r="G4" s="225" t="s">
        <v>412</v>
      </c>
      <c r="H4" s="9" t="s">
        <v>831</v>
      </c>
      <c r="I4" s="55">
        <f>COUNTIF('LOGBOOK VIEWER'!$B$7:$B$10600,$A4)</f>
        <v>0</v>
      </c>
      <c r="J4" s="10">
        <v>0.5</v>
      </c>
      <c r="K4" s="10">
        <f>I4*J4</f>
        <v>0</v>
      </c>
      <c r="M4" s="228" t="s">
        <v>416</v>
      </c>
      <c r="N4" s="230">
        <f>COUNTIF('LOGBOOK VIEWER'!$C$7:$C$10600,"*")</f>
        <v>4668</v>
      </c>
    </row>
    <row r="5" spans="1:15" ht="28.5" x14ac:dyDescent="0.2">
      <c r="A5" s="28">
        <v>8</v>
      </c>
      <c r="B5" s="9" t="s">
        <v>410</v>
      </c>
      <c r="C5" s="9" t="s">
        <v>411</v>
      </c>
      <c r="D5" s="9" t="s">
        <v>404</v>
      </c>
      <c r="E5" s="9" t="s">
        <v>404</v>
      </c>
      <c r="F5" s="9" t="s">
        <v>831</v>
      </c>
      <c r="G5" s="225" t="s">
        <v>412</v>
      </c>
      <c r="H5" s="9" t="s">
        <v>831</v>
      </c>
      <c r="I5" s="55">
        <f>COUNTIF('LOGBOOK VIEWER'!$B$7:$B$10600,$A5)</f>
        <v>0</v>
      </c>
      <c r="J5" s="10">
        <v>0.5</v>
      </c>
      <c r="K5" s="10">
        <f>I5*J5</f>
        <v>0</v>
      </c>
      <c r="M5" s="228" t="s">
        <v>740</v>
      </c>
      <c r="N5" s="230">
        <f>COUNTIF('LOGBOOK VIEWER'!$C$7:$C$10600,"IL SUPPORT")</f>
        <v>0</v>
      </c>
    </row>
    <row r="6" spans="1:15" ht="28.5" x14ac:dyDescent="0.2">
      <c r="A6" s="28">
        <v>9</v>
      </c>
      <c r="B6" s="9" t="s">
        <v>413</v>
      </c>
      <c r="C6" s="9" t="s">
        <v>411</v>
      </c>
      <c r="D6" s="9" t="s">
        <v>404</v>
      </c>
      <c r="E6" s="9" t="s">
        <v>404</v>
      </c>
      <c r="F6" s="9" t="s">
        <v>831</v>
      </c>
      <c r="G6" s="225" t="s">
        <v>412</v>
      </c>
      <c r="H6" s="9" t="s">
        <v>831</v>
      </c>
      <c r="I6" s="55">
        <f>COUNTIF('LOGBOOK VIEWER'!$B$7:$B$10600,$A6)</f>
        <v>0</v>
      </c>
      <c r="J6" s="10">
        <v>0.5</v>
      </c>
      <c r="K6" s="10">
        <f>I6*J6</f>
        <v>0</v>
      </c>
      <c r="M6" s="228" t="s">
        <v>419</v>
      </c>
      <c r="N6" s="230" t="str">
        <f>IF(N4-N3-N5=0,"Pass","Error")</f>
        <v>Error</v>
      </c>
    </row>
    <row r="7" spans="1:15" ht="28.5" x14ac:dyDescent="0.2">
      <c r="A7" s="28">
        <v>10</v>
      </c>
      <c r="B7" s="9" t="s">
        <v>414</v>
      </c>
      <c r="C7" s="9" t="s">
        <v>415</v>
      </c>
      <c r="D7" s="9" t="s">
        <v>404</v>
      </c>
      <c r="E7" s="9" t="s">
        <v>404</v>
      </c>
      <c r="F7" s="9" t="s">
        <v>831</v>
      </c>
      <c r="G7" s="225" t="s">
        <v>412</v>
      </c>
      <c r="H7" s="9" t="s">
        <v>831</v>
      </c>
      <c r="I7" s="55">
        <f>COUNTIF('LOGBOOK VIEWER'!$B$7:$B$10600,$A7)</f>
        <v>0</v>
      </c>
      <c r="J7" s="10">
        <v>0.5</v>
      </c>
      <c r="K7" s="10">
        <f>I7*J7</f>
        <v>0</v>
      </c>
      <c r="M7" s="231"/>
      <c r="N7" s="232"/>
    </row>
    <row r="8" spans="1:15" ht="28.5" x14ac:dyDescent="0.2">
      <c r="A8" s="28">
        <v>11</v>
      </c>
      <c r="B8" s="9" t="s">
        <v>417</v>
      </c>
      <c r="C8" s="9" t="s">
        <v>415</v>
      </c>
      <c r="D8" s="9" t="s">
        <v>404</v>
      </c>
      <c r="E8" s="9" t="s">
        <v>404</v>
      </c>
      <c r="F8" s="9" t="s">
        <v>125</v>
      </c>
      <c r="G8" s="225" t="s">
        <v>412</v>
      </c>
      <c r="H8" s="9" t="s">
        <v>831</v>
      </c>
      <c r="I8" s="55">
        <f>COUNTIF('LOGBOOK VIEWER'!$B$7:$B$10600,$A8)</f>
        <v>0</v>
      </c>
      <c r="J8" s="10">
        <v>0.5</v>
      </c>
      <c r="K8" s="10">
        <f>I8*J8</f>
        <v>0</v>
      </c>
    </row>
    <row r="9" spans="1:15" ht="28.5" x14ac:dyDescent="0.2">
      <c r="A9" s="28">
        <v>12</v>
      </c>
      <c r="B9" s="9" t="s">
        <v>418</v>
      </c>
      <c r="C9" s="9" t="s">
        <v>411</v>
      </c>
      <c r="D9" s="9" t="s">
        <v>404</v>
      </c>
      <c r="E9" s="9" t="s">
        <v>404</v>
      </c>
      <c r="F9" s="9" t="s">
        <v>125</v>
      </c>
      <c r="G9" s="225" t="s">
        <v>412</v>
      </c>
      <c r="H9" s="9" t="s">
        <v>831</v>
      </c>
      <c r="I9" s="55">
        <f>COUNTIF('LOGBOOK VIEWER'!$B$7:$B$10600,$A9)</f>
        <v>0</v>
      </c>
      <c r="J9" s="10">
        <v>0.5</v>
      </c>
      <c r="K9" s="10">
        <f>I9*J9</f>
        <v>0</v>
      </c>
    </row>
    <row r="10" spans="1:15" ht="28.5" x14ac:dyDescent="0.2">
      <c r="A10" s="28">
        <v>13</v>
      </c>
      <c r="B10" s="9" t="s">
        <v>420</v>
      </c>
      <c r="C10" s="9" t="s">
        <v>411</v>
      </c>
      <c r="D10" s="9" t="s">
        <v>404</v>
      </c>
      <c r="E10" s="9" t="s">
        <v>404</v>
      </c>
      <c r="F10" s="9" t="s">
        <v>125</v>
      </c>
      <c r="G10" s="225" t="s">
        <v>412</v>
      </c>
      <c r="H10" s="9" t="s">
        <v>831</v>
      </c>
      <c r="I10" s="55">
        <f>COUNTIF('LOGBOOK VIEWER'!$B$7:$B$10600,$A10)</f>
        <v>0</v>
      </c>
      <c r="J10" s="10">
        <v>0.5</v>
      </c>
      <c r="K10" s="10">
        <f>I10*J10</f>
        <v>0</v>
      </c>
      <c r="O10" s="233"/>
    </row>
    <row r="11" spans="1:15" ht="42.75" x14ac:dyDescent="0.2">
      <c r="A11" s="28">
        <v>14</v>
      </c>
      <c r="B11" s="9" t="s">
        <v>628</v>
      </c>
      <c r="C11" s="9" t="s">
        <v>422</v>
      </c>
      <c r="D11" s="9" t="s">
        <v>404</v>
      </c>
      <c r="E11" s="9" t="s">
        <v>404</v>
      </c>
      <c r="F11" s="9" t="s">
        <v>125</v>
      </c>
      <c r="G11" s="225" t="s">
        <v>412</v>
      </c>
      <c r="H11" s="9" t="s">
        <v>831</v>
      </c>
      <c r="I11" s="55">
        <f>COUNTIF('LOGBOOK VIEWER'!$B$7:$B$10600,$A11)</f>
        <v>0</v>
      </c>
      <c r="J11" s="10">
        <v>0.5</v>
      </c>
      <c r="K11" s="10">
        <f>I11*J11</f>
        <v>0</v>
      </c>
      <c r="O11" s="233"/>
    </row>
    <row r="12" spans="1:15" ht="42.75" x14ac:dyDescent="0.2">
      <c r="A12" s="28">
        <v>15</v>
      </c>
      <c r="B12" s="9" t="s">
        <v>421</v>
      </c>
      <c r="C12" s="9" t="s">
        <v>422</v>
      </c>
      <c r="D12" s="9" t="s">
        <v>404</v>
      </c>
      <c r="E12" s="9" t="s">
        <v>404</v>
      </c>
      <c r="F12" s="9" t="s">
        <v>125</v>
      </c>
      <c r="G12" s="225" t="s">
        <v>412</v>
      </c>
      <c r="H12" s="9" t="s">
        <v>831</v>
      </c>
      <c r="I12" s="55">
        <f>COUNTIF('LOGBOOK VIEWER'!$B$7:$B$10600,$A12)</f>
        <v>0</v>
      </c>
      <c r="J12" s="10">
        <v>0.5</v>
      </c>
      <c r="K12" s="10">
        <f>I12*J12</f>
        <v>0</v>
      </c>
      <c r="O12" s="234"/>
    </row>
    <row r="13" spans="1:15" ht="42.75" x14ac:dyDescent="0.2">
      <c r="A13" s="28">
        <v>16</v>
      </c>
      <c r="B13" s="9" t="s">
        <v>423</v>
      </c>
      <c r="C13" s="9" t="s">
        <v>422</v>
      </c>
      <c r="D13" s="9" t="s">
        <v>404</v>
      </c>
      <c r="E13" s="9" t="s">
        <v>404</v>
      </c>
      <c r="F13" s="9" t="s">
        <v>125</v>
      </c>
      <c r="G13" s="225" t="s">
        <v>412</v>
      </c>
      <c r="H13" s="9" t="s">
        <v>831</v>
      </c>
      <c r="I13" s="55">
        <f>COUNTIF('LOGBOOK VIEWER'!$B$7:$B$10600,$A13)</f>
        <v>0</v>
      </c>
      <c r="J13" s="10">
        <v>0.5</v>
      </c>
      <c r="K13" s="10">
        <f>I13*J13</f>
        <v>0</v>
      </c>
      <c r="M13" s="233"/>
      <c r="N13" s="233"/>
      <c r="O13" s="234"/>
    </row>
    <row r="14" spans="1:15" ht="42.75" x14ac:dyDescent="0.2">
      <c r="A14" s="28">
        <v>17</v>
      </c>
      <c r="B14" s="9" t="s">
        <v>424</v>
      </c>
      <c r="C14" s="9" t="s">
        <v>422</v>
      </c>
      <c r="D14" s="9" t="s">
        <v>404</v>
      </c>
      <c r="E14" s="9" t="s">
        <v>404</v>
      </c>
      <c r="F14" s="9" t="s">
        <v>125</v>
      </c>
      <c r="G14" s="225" t="s">
        <v>412</v>
      </c>
      <c r="H14" s="9" t="s">
        <v>831</v>
      </c>
      <c r="I14" s="55">
        <f>COUNTIF('LOGBOOK VIEWER'!$B$7:$B$10600,$A14)</f>
        <v>0</v>
      </c>
      <c r="J14" s="10">
        <v>0.5</v>
      </c>
      <c r="K14" s="10">
        <f>I14*J14</f>
        <v>0</v>
      </c>
      <c r="M14" s="233"/>
      <c r="N14" s="233"/>
      <c r="O14" s="234"/>
    </row>
    <row r="15" spans="1:15" ht="42.75" x14ac:dyDescent="0.2">
      <c r="A15" s="28">
        <v>18</v>
      </c>
      <c r="B15" s="9" t="s">
        <v>425</v>
      </c>
      <c r="C15" s="9" t="s">
        <v>422</v>
      </c>
      <c r="D15" s="9" t="s">
        <v>404</v>
      </c>
      <c r="E15" s="9" t="s">
        <v>404</v>
      </c>
      <c r="F15" s="9" t="s">
        <v>125</v>
      </c>
      <c r="G15" s="225" t="s">
        <v>412</v>
      </c>
      <c r="H15" s="9" t="s">
        <v>831</v>
      </c>
      <c r="I15" s="55">
        <f>COUNTIF('LOGBOOK VIEWER'!$B$7:$B$10600,$A15)</f>
        <v>0</v>
      </c>
      <c r="J15" s="10">
        <v>0.5</v>
      </c>
      <c r="K15" s="10">
        <f>I15*J15</f>
        <v>0</v>
      </c>
      <c r="M15" s="233"/>
      <c r="N15" s="233"/>
      <c r="O15" s="234"/>
    </row>
    <row r="16" spans="1:15" ht="42.75" x14ac:dyDescent="0.2">
      <c r="A16" s="28">
        <v>19</v>
      </c>
      <c r="B16" s="9" t="s">
        <v>427</v>
      </c>
      <c r="C16" s="9" t="s">
        <v>422</v>
      </c>
      <c r="D16" s="9" t="s">
        <v>404</v>
      </c>
      <c r="E16" s="9" t="s">
        <v>404</v>
      </c>
      <c r="F16" s="9" t="s">
        <v>831</v>
      </c>
      <c r="G16" s="225" t="s">
        <v>412</v>
      </c>
      <c r="H16" s="9" t="s">
        <v>831</v>
      </c>
      <c r="I16" s="55">
        <f>COUNTIF('LOGBOOK VIEWER'!$B$7:$B$10600,$A16)</f>
        <v>0</v>
      </c>
      <c r="J16" s="10">
        <v>0.5</v>
      </c>
      <c r="K16" s="10">
        <f>I16*J16</f>
        <v>0</v>
      </c>
      <c r="M16" s="233"/>
      <c r="N16" s="233"/>
      <c r="O16" s="234"/>
    </row>
    <row r="17" spans="1:15" ht="57" x14ac:dyDescent="0.2">
      <c r="A17" s="28">
        <v>20</v>
      </c>
      <c r="B17" s="9" t="s">
        <v>429</v>
      </c>
      <c r="C17" s="9" t="s">
        <v>430</v>
      </c>
      <c r="D17" s="9" t="s">
        <v>404</v>
      </c>
      <c r="E17" s="9" t="s">
        <v>404</v>
      </c>
      <c r="F17" s="9" t="s">
        <v>125</v>
      </c>
      <c r="G17" s="225" t="s">
        <v>405</v>
      </c>
      <c r="H17" s="9" t="s">
        <v>406</v>
      </c>
      <c r="I17" s="55">
        <f>COUNTIF('LOGBOOK VIEWER'!$B$7:$B$10600,$A17)</f>
        <v>0</v>
      </c>
      <c r="J17" s="10">
        <v>1</v>
      </c>
      <c r="K17" s="10">
        <f>I17*J17</f>
        <v>0</v>
      </c>
      <c r="M17" s="233"/>
      <c r="N17" s="233"/>
      <c r="O17" s="234"/>
    </row>
    <row r="18" spans="1:15" ht="42.75" x14ac:dyDescent="0.2">
      <c r="A18" s="28">
        <v>21</v>
      </c>
      <c r="B18" s="9" t="s">
        <v>432</v>
      </c>
      <c r="C18" s="9" t="s">
        <v>422</v>
      </c>
      <c r="D18" s="9" t="s">
        <v>404</v>
      </c>
      <c r="E18" s="9" t="s">
        <v>404</v>
      </c>
      <c r="F18" s="9" t="s">
        <v>831</v>
      </c>
      <c r="G18" s="225" t="s">
        <v>412</v>
      </c>
      <c r="H18" s="9" t="s">
        <v>831</v>
      </c>
      <c r="I18" s="55">
        <f>COUNTIF('LOGBOOK VIEWER'!$B$7:$B$10600,$A18)</f>
        <v>0</v>
      </c>
      <c r="J18" s="10">
        <v>0.5</v>
      </c>
      <c r="K18" s="10">
        <f>I18*J18</f>
        <v>0</v>
      </c>
      <c r="M18" s="233"/>
      <c r="N18" s="233"/>
      <c r="O18" s="234"/>
    </row>
    <row r="19" spans="1:15" ht="42.75" x14ac:dyDescent="0.2">
      <c r="A19" s="28">
        <v>22</v>
      </c>
      <c r="B19" s="9" t="s">
        <v>290</v>
      </c>
      <c r="C19" s="9" t="s">
        <v>422</v>
      </c>
      <c r="D19" s="9" t="s">
        <v>404</v>
      </c>
      <c r="E19" s="9" t="s">
        <v>404</v>
      </c>
      <c r="F19" s="9" t="s">
        <v>831</v>
      </c>
      <c r="G19" s="225" t="s">
        <v>412</v>
      </c>
      <c r="H19" s="9" t="s">
        <v>831</v>
      </c>
      <c r="I19" s="55">
        <f>COUNTIF('LOGBOOK VIEWER'!$B$7:$B$10600,$A19)</f>
        <v>0</v>
      </c>
      <c r="J19" s="10">
        <v>0.5</v>
      </c>
      <c r="K19" s="10">
        <f>I19*J19</f>
        <v>0</v>
      </c>
      <c r="M19" s="233"/>
      <c r="N19" s="233"/>
      <c r="O19" s="234"/>
    </row>
    <row r="20" spans="1:15" ht="28.5" x14ac:dyDescent="0.2">
      <c r="A20" s="28">
        <v>25</v>
      </c>
      <c r="B20" s="9" t="s">
        <v>421</v>
      </c>
      <c r="C20" s="9" t="s">
        <v>807</v>
      </c>
      <c r="D20" s="9" t="s">
        <v>404</v>
      </c>
      <c r="E20" s="9" t="s">
        <v>404</v>
      </c>
      <c r="F20" s="9" t="s">
        <v>125</v>
      </c>
      <c r="G20" s="225" t="s">
        <v>412</v>
      </c>
      <c r="H20" s="9" t="s">
        <v>831</v>
      </c>
      <c r="I20" s="55">
        <f>COUNTIF('LOGBOOK VIEWER'!$B$7:$B$10600,$A20)</f>
        <v>0</v>
      </c>
      <c r="J20" s="10">
        <v>0.5</v>
      </c>
      <c r="K20" s="10">
        <f>I20*J20</f>
        <v>0</v>
      </c>
      <c r="M20" s="233"/>
      <c r="N20" s="233"/>
      <c r="O20" s="234"/>
    </row>
    <row r="21" spans="1:15" ht="28.5" x14ac:dyDescent="0.2">
      <c r="A21" s="28">
        <v>30</v>
      </c>
      <c r="B21" s="9" t="s">
        <v>421</v>
      </c>
      <c r="C21" s="9" t="s">
        <v>808</v>
      </c>
      <c r="D21" s="9" t="s">
        <v>404</v>
      </c>
      <c r="E21" s="9" t="s">
        <v>404</v>
      </c>
      <c r="F21" s="9" t="s">
        <v>125</v>
      </c>
      <c r="G21" s="225" t="s">
        <v>412</v>
      </c>
      <c r="H21" s="9" t="s">
        <v>831</v>
      </c>
      <c r="I21" s="55">
        <f>COUNTIF('LOGBOOK VIEWER'!$B$7:$B$10600,$A21)</f>
        <v>0</v>
      </c>
      <c r="J21" s="10">
        <v>0.5</v>
      </c>
      <c r="K21" s="10">
        <f>I21*J21</f>
        <v>0</v>
      </c>
      <c r="M21" s="233"/>
      <c r="N21" s="233"/>
      <c r="O21" s="234"/>
    </row>
    <row r="22" spans="1:15" ht="28.5" x14ac:dyDescent="0.2">
      <c r="A22" s="28">
        <v>31</v>
      </c>
      <c r="B22" s="9" t="s">
        <v>423</v>
      </c>
      <c r="C22" s="9" t="s">
        <v>808</v>
      </c>
      <c r="D22" s="9" t="s">
        <v>404</v>
      </c>
      <c r="E22" s="9" t="s">
        <v>404</v>
      </c>
      <c r="F22" s="9" t="s">
        <v>125</v>
      </c>
      <c r="G22" s="225" t="s">
        <v>412</v>
      </c>
      <c r="H22" s="9" t="s">
        <v>831</v>
      </c>
      <c r="I22" s="55">
        <f>COUNTIF('LOGBOOK VIEWER'!$B$7:$B$10600,$A22)</f>
        <v>0</v>
      </c>
      <c r="J22" s="10">
        <v>0.5</v>
      </c>
      <c r="K22" s="10">
        <f>I22*J22</f>
        <v>0</v>
      </c>
      <c r="M22" s="233"/>
      <c r="N22" s="233"/>
      <c r="O22" s="234"/>
    </row>
    <row r="23" spans="1:15" ht="28.5" x14ac:dyDescent="0.2">
      <c r="A23" s="28">
        <v>32</v>
      </c>
      <c r="B23" s="9" t="s">
        <v>424</v>
      </c>
      <c r="C23" s="9" t="s">
        <v>808</v>
      </c>
      <c r="D23" s="9" t="s">
        <v>404</v>
      </c>
      <c r="E23" s="9" t="s">
        <v>404</v>
      </c>
      <c r="F23" s="9" t="s">
        <v>125</v>
      </c>
      <c r="G23" s="225" t="s">
        <v>412</v>
      </c>
      <c r="H23" s="9" t="s">
        <v>831</v>
      </c>
      <c r="I23" s="55">
        <f>COUNTIF('LOGBOOK VIEWER'!$B$7:$B$10600,$A23)</f>
        <v>0</v>
      </c>
      <c r="J23" s="10">
        <v>0.5</v>
      </c>
      <c r="K23" s="10">
        <f>I23*J23</f>
        <v>0</v>
      </c>
      <c r="M23" s="233"/>
      <c r="N23" s="233"/>
      <c r="O23" s="234"/>
    </row>
    <row r="24" spans="1:15" ht="28.5" x14ac:dyDescent="0.2">
      <c r="A24" s="28">
        <v>33</v>
      </c>
      <c r="B24" s="9" t="s">
        <v>425</v>
      </c>
      <c r="C24" s="9" t="s">
        <v>808</v>
      </c>
      <c r="D24" s="9" t="s">
        <v>404</v>
      </c>
      <c r="E24" s="9" t="s">
        <v>404</v>
      </c>
      <c r="F24" s="9" t="s">
        <v>125</v>
      </c>
      <c r="G24" s="225" t="s">
        <v>412</v>
      </c>
      <c r="H24" s="9" t="s">
        <v>831</v>
      </c>
      <c r="I24" s="55">
        <f>COUNTIF('LOGBOOK VIEWER'!$B$7:$B$10600,$A24)</f>
        <v>0</v>
      </c>
      <c r="J24" s="10">
        <v>0.5</v>
      </c>
      <c r="K24" s="10">
        <f>I24*J24</f>
        <v>0</v>
      </c>
      <c r="M24" s="233"/>
      <c r="N24" s="233"/>
      <c r="O24" s="234"/>
    </row>
    <row r="25" spans="1:15" ht="28.5" x14ac:dyDescent="0.2">
      <c r="A25" s="28">
        <v>34</v>
      </c>
      <c r="B25" s="9" t="s">
        <v>915</v>
      </c>
      <c r="C25" s="9" t="s">
        <v>808</v>
      </c>
      <c r="D25" s="9" t="s">
        <v>404</v>
      </c>
      <c r="E25" s="9" t="s">
        <v>404</v>
      </c>
      <c r="F25" s="9" t="s">
        <v>125</v>
      </c>
      <c r="G25" s="225" t="s">
        <v>412</v>
      </c>
      <c r="H25" s="9" t="s">
        <v>831</v>
      </c>
      <c r="I25" s="55">
        <f>COUNTIF('LOGBOOK VIEWER'!$B$7:$B$10600,$A25)</f>
        <v>0</v>
      </c>
      <c r="J25" s="10">
        <v>0.5</v>
      </c>
      <c r="K25" s="10">
        <f>I25*J25</f>
        <v>0</v>
      </c>
      <c r="M25" s="233"/>
      <c r="N25" s="233"/>
      <c r="O25" s="234"/>
    </row>
    <row r="26" spans="1:15" ht="42.75" x14ac:dyDescent="0.2">
      <c r="A26" s="28">
        <v>35</v>
      </c>
      <c r="B26" s="9" t="s">
        <v>421</v>
      </c>
      <c r="C26" s="9" t="s">
        <v>810</v>
      </c>
      <c r="D26" s="9" t="s">
        <v>404</v>
      </c>
      <c r="E26" s="9" t="s">
        <v>404</v>
      </c>
      <c r="F26" s="9" t="s">
        <v>125</v>
      </c>
      <c r="G26" s="225" t="s">
        <v>405</v>
      </c>
      <c r="H26" s="9" t="s">
        <v>406</v>
      </c>
      <c r="I26" s="55">
        <f>COUNTIF('LOGBOOK VIEWER'!$B$7:$B$10600,$A26)</f>
        <v>0</v>
      </c>
      <c r="J26" s="10">
        <v>1</v>
      </c>
      <c r="K26" s="10">
        <f>I26*J26</f>
        <v>0</v>
      </c>
      <c r="M26" s="233"/>
      <c r="N26" s="233"/>
      <c r="O26" s="234"/>
    </row>
    <row r="27" spans="1:15" ht="42.75" x14ac:dyDescent="0.2">
      <c r="A27" s="28">
        <v>36</v>
      </c>
      <c r="B27" s="9" t="s">
        <v>423</v>
      </c>
      <c r="C27" s="9" t="s">
        <v>810</v>
      </c>
      <c r="D27" s="9" t="s">
        <v>404</v>
      </c>
      <c r="E27" s="9" t="s">
        <v>404</v>
      </c>
      <c r="F27" s="9" t="s">
        <v>125</v>
      </c>
      <c r="G27" s="225" t="s">
        <v>412</v>
      </c>
      <c r="H27" s="9" t="s">
        <v>831</v>
      </c>
      <c r="I27" s="55">
        <f>COUNTIF('LOGBOOK VIEWER'!$B$7:$B$10600,$A27)</f>
        <v>0</v>
      </c>
      <c r="J27" s="10">
        <v>0.5</v>
      </c>
      <c r="K27" s="10">
        <f>I27*J27</f>
        <v>0</v>
      </c>
      <c r="M27" s="233"/>
      <c r="N27" s="233"/>
      <c r="O27" s="234"/>
    </row>
    <row r="28" spans="1:15" ht="42.75" x14ac:dyDescent="0.2">
      <c r="A28" s="28">
        <v>37</v>
      </c>
      <c r="B28" s="9" t="s">
        <v>424</v>
      </c>
      <c r="C28" s="9" t="s">
        <v>810</v>
      </c>
      <c r="D28" s="9" t="s">
        <v>404</v>
      </c>
      <c r="E28" s="9" t="s">
        <v>404</v>
      </c>
      <c r="F28" s="9" t="s">
        <v>125</v>
      </c>
      <c r="G28" s="225" t="s">
        <v>412</v>
      </c>
      <c r="H28" s="9" t="s">
        <v>831</v>
      </c>
      <c r="I28" s="55">
        <f>COUNTIF('LOGBOOK VIEWER'!$B$7:$B$10600,$A28)</f>
        <v>0</v>
      </c>
      <c r="J28" s="10">
        <v>0.5</v>
      </c>
      <c r="K28" s="10">
        <f>I28*J28</f>
        <v>0</v>
      </c>
      <c r="M28" s="233"/>
      <c r="N28" s="233"/>
      <c r="O28" s="234"/>
    </row>
    <row r="29" spans="1:15" ht="42.75" x14ac:dyDescent="0.2">
      <c r="A29" s="28">
        <v>38</v>
      </c>
      <c r="B29" s="9" t="s">
        <v>425</v>
      </c>
      <c r="C29" s="9" t="s">
        <v>810</v>
      </c>
      <c r="D29" s="9" t="s">
        <v>404</v>
      </c>
      <c r="E29" s="9" t="s">
        <v>404</v>
      </c>
      <c r="F29" s="9" t="s">
        <v>125</v>
      </c>
      <c r="G29" s="225" t="s">
        <v>412</v>
      </c>
      <c r="H29" s="9" t="s">
        <v>831</v>
      </c>
      <c r="I29" s="55">
        <f>COUNTIF('LOGBOOK VIEWER'!$B$7:$B$10600,$A29)</f>
        <v>0</v>
      </c>
      <c r="J29" s="10">
        <v>0.5</v>
      </c>
      <c r="K29" s="10">
        <f>I29*J29</f>
        <v>0</v>
      </c>
      <c r="M29" s="233"/>
      <c r="N29" s="233"/>
      <c r="O29" s="234"/>
    </row>
    <row r="30" spans="1:15" ht="42.75" x14ac:dyDescent="0.2">
      <c r="A30" s="28">
        <v>39</v>
      </c>
      <c r="B30" s="9" t="s">
        <v>915</v>
      </c>
      <c r="C30" s="9" t="s">
        <v>810</v>
      </c>
      <c r="D30" s="9" t="s">
        <v>404</v>
      </c>
      <c r="E30" s="9" t="s">
        <v>404</v>
      </c>
      <c r="F30" s="9" t="s">
        <v>125</v>
      </c>
      <c r="G30" s="225" t="s">
        <v>412</v>
      </c>
      <c r="H30" s="9" t="s">
        <v>831</v>
      </c>
      <c r="I30" s="55">
        <f>COUNTIF('LOGBOOK VIEWER'!$B$7:$B$10600,$A30)</f>
        <v>0</v>
      </c>
      <c r="J30" s="10">
        <v>0.5</v>
      </c>
      <c r="K30" s="10">
        <f>I30*J30</f>
        <v>0</v>
      </c>
      <c r="M30" s="233"/>
      <c r="N30" s="233"/>
      <c r="O30" s="234"/>
    </row>
    <row r="31" spans="1:15" ht="28.5" x14ac:dyDescent="0.2">
      <c r="A31" s="28">
        <v>40</v>
      </c>
      <c r="B31" s="9" t="s">
        <v>421</v>
      </c>
      <c r="C31" s="9" t="s">
        <v>811</v>
      </c>
      <c r="D31" s="9" t="s">
        <v>404</v>
      </c>
      <c r="E31" s="9" t="s">
        <v>404</v>
      </c>
      <c r="F31" s="9" t="s">
        <v>125</v>
      </c>
      <c r="G31" s="225" t="s">
        <v>412</v>
      </c>
      <c r="H31" s="9" t="s">
        <v>831</v>
      </c>
      <c r="I31" s="55">
        <f>COUNTIF('LOGBOOK VIEWER'!$B$7:$B$10600,$A31)</f>
        <v>0</v>
      </c>
      <c r="J31" s="10">
        <v>0.5</v>
      </c>
      <c r="K31" s="10">
        <f>I31*J31</f>
        <v>0</v>
      </c>
      <c r="M31" s="233"/>
      <c r="N31" s="233"/>
      <c r="O31" s="234"/>
    </row>
    <row r="32" spans="1:15" ht="28.5" x14ac:dyDescent="0.2">
      <c r="A32" s="28">
        <v>41</v>
      </c>
      <c r="B32" s="9" t="s">
        <v>423</v>
      </c>
      <c r="C32" s="9" t="s">
        <v>811</v>
      </c>
      <c r="D32" s="9" t="s">
        <v>404</v>
      </c>
      <c r="E32" s="9" t="s">
        <v>404</v>
      </c>
      <c r="F32" s="9" t="s">
        <v>125</v>
      </c>
      <c r="G32" s="225" t="s">
        <v>412</v>
      </c>
      <c r="H32" s="9" t="s">
        <v>831</v>
      </c>
      <c r="I32" s="55">
        <f>COUNTIF('LOGBOOK VIEWER'!$B$7:$B$10600,$A32)</f>
        <v>0</v>
      </c>
      <c r="J32" s="10">
        <v>0.5</v>
      </c>
      <c r="K32" s="10">
        <f>I32*J32</f>
        <v>0</v>
      </c>
      <c r="M32" s="233"/>
      <c r="N32" s="233"/>
      <c r="O32" s="234"/>
    </row>
    <row r="33" spans="1:15" ht="28.5" x14ac:dyDescent="0.2">
      <c r="A33" s="28">
        <v>42</v>
      </c>
      <c r="B33" s="9" t="s">
        <v>424</v>
      </c>
      <c r="C33" s="9" t="s">
        <v>811</v>
      </c>
      <c r="D33" s="9" t="s">
        <v>404</v>
      </c>
      <c r="E33" s="9" t="s">
        <v>404</v>
      </c>
      <c r="F33" s="9" t="s">
        <v>125</v>
      </c>
      <c r="G33" s="225" t="s">
        <v>412</v>
      </c>
      <c r="H33" s="9" t="s">
        <v>831</v>
      </c>
      <c r="I33" s="55">
        <f>COUNTIF('LOGBOOK VIEWER'!$B$7:$B$10600,$A33)</f>
        <v>0</v>
      </c>
      <c r="J33" s="10">
        <v>0.5</v>
      </c>
      <c r="K33" s="10">
        <f>I33*J33</f>
        <v>0</v>
      </c>
      <c r="M33" s="233"/>
      <c r="N33" s="233"/>
      <c r="O33" s="234"/>
    </row>
    <row r="34" spans="1:15" ht="28.5" x14ac:dyDescent="0.2">
      <c r="A34" s="28">
        <v>43</v>
      </c>
      <c r="B34" s="9" t="s">
        <v>425</v>
      </c>
      <c r="C34" s="9" t="s">
        <v>811</v>
      </c>
      <c r="D34" s="9" t="s">
        <v>404</v>
      </c>
      <c r="E34" s="9" t="s">
        <v>404</v>
      </c>
      <c r="F34" s="9" t="s">
        <v>125</v>
      </c>
      <c r="G34" s="225" t="s">
        <v>412</v>
      </c>
      <c r="H34" s="9" t="s">
        <v>831</v>
      </c>
      <c r="I34" s="55">
        <f>COUNTIF('LOGBOOK VIEWER'!$B$7:$B$10600,$A34)</f>
        <v>0</v>
      </c>
      <c r="J34" s="10">
        <v>0.5</v>
      </c>
      <c r="K34" s="10">
        <f>I34*J34</f>
        <v>0</v>
      </c>
    </row>
    <row r="35" spans="1:15" ht="28.5" x14ac:dyDescent="0.2">
      <c r="A35" s="28">
        <v>44</v>
      </c>
      <c r="B35" s="9" t="s">
        <v>915</v>
      </c>
      <c r="C35" s="9" t="s">
        <v>811</v>
      </c>
      <c r="D35" s="9" t="s">
        <v>404</v>
      </c>
      <c r="E35" s="9" t="s">
        <v>404</v>
      </c>
      <c r="F35" s="9" t="s">
        <v>125</v>
      </c>
      <c r="G35" s="225" t="s">
        <v>412</v>
      </c>
      <c r="H35" s="9" t="s">
        <v>831</v>
      </c>
      <c r="I35" s="55">
        <f>COUNTIF('LOGBOOK VIEWER'!$B$7:$B$10600,$A35)</f>
        <v>0</v>
      </c>
      <c r="J35" s="10">
        <v>0.5</v>
      </c>
      <c r="K35" s="10">
        <f>I35*J35</f>
        <v>0</v>
      </c>
    </row>
    <row r="36" spans="1:15" ht="28.5" x14ac:dyDescent="0.2">
      <c r="A36" s="28">
        <v>45</v>
      </c>
      <c r="B36" s="9" t="s">
        <v>421</v>
      </c>
      <c r="C36" s="9" t="s">
        <v>812</v>
      </c>
      <c r="D36" s="9" t="s">
        <v>404</v>
      </c>
      <c r="E36" s="9" t="s">
        <v>404</v>
      </c>
      <c r="F36" s="9" t="s">
        <v>125</v>
      </c>
      <c r="G36" s="225" t="s">
        <v>412</v>
      </c>
      <c r="H36" s="9" t="s">
        <v>831</v>
      </c>
      <c r="I36" s="55">
        <f>COUNTIF('LOGBOOK VIEWER'!$B$7:$B$10600,$A36)</f>
        <v>0</v>
      </c>
      <c r="J36" s="10">
        <v>0.5</v>
      </c>
      <c r="K36" s="10">
        <f>I36*J36</f>
        <v>0</v>
      </c>
    </row>
    <row r="37" spans="1:15" ht="28.5" x14ac:dyDescent="0.2">
      <c r="A37" s="28">
        <v>46</v>
      </c>
      <c r="B37" s="9" t="s">
        <v>423</v>
      </c>
      <c r="C37" s="9" t="s">
        <v>812</v>
      </c>
      <c r="D37" s="9" t="s">
        <v>404</v>
      </c>
      <c r="E37" s="9" t="s">
        <v>404</v>
      </c>
      <c r="F37" s="9" t="s">
        <v>125</v>
      </c>
      <c r="G37" s="225" t="s">
        <v>412</v>
      </c>
      <c r="H37" s="9" t="s">
        <v>831</v>
      </c>
      <c r="I37" s="55">
        <f>COUNTIF('LOGBOOK VIEWER'!$B$7:$B$10600,$A37)</f>
        <v>0</v>
      </c>
      <c r="J37" s="10">
        <v>0.5</v>
      </c>
      <c r="K37" s="10">
        <f>I37*J37</f>
        <v>0</v>
      </c>
    </row>
    <row r="38" spans="1:15" ht="28.5" x14ac:dyDescent="0.2">
      <c r="A38" s="28">
        <v>47</v>
      </c>
      <c r="B38" s="9" t="s">
        <v>424</v>
      </c>
      <c r="C38" s="9" t="s">
        <v>812</v>
      </c>
      <c r="D38" s="9" t="s">
        <v>404</v>
      </c>
      <c r="E38" s="9" t="s">
        <v>404</v>
      </c>
      <c r="F38" s="9" t="s">
        <v>125</v>
      </c>
      <c r="G38" s="225" t="s">
        <v>412</v>
      </c>
      <c r="H38" s="9" t="s">
        <v>831</v>
      </c>
      <c r="I38" s="55">
        <f>COUNTIF('LOGBOOK VIEWER'!$B$7:$B$10600,$A38)</f>
        <v>0</v>
      </c>
      <c r="J38" s="10">
        <v>0.5</v>
      </c>
      <c r="K38" s="10">
        <f>I38*J38</f>
        <v>0</v>
      </c>
    </row>
    <row r="39" spans="1:15" ht="28.5" x14ac:dyDescent="0.2">
      <c r="A39" s="28">
        <v>48</v>
      </c>
      <c r="B39" s="9" t="s">
        <v>425</v>
      </c>
      <c r="C39" s="9" t="s">
        <v>812</v>
      </c>
      <c r="D39" s="9" t="s">
        <v>404</v>
      </c>
      <c r="E39" s="9" t="s">
        <v>404</v>
      </c>
      <c r="F39" s="9" t="s">
        <v>125</v>
      </c>
      <c r="G39" s="225" t="s">
        <v>412</v>
      </c>
      <c r="H39" s="9" t="s">
        <v>831</v>
      </c>
      <c r="I39" s="55">
        <f>COUNTIF('LOGBOOK VIEWER'!$B$7:$B$10600,$A39)</f>
        <v>0</v>
      </c>
      <c r="J39" s="10">
        <v>0.5</v>
      </c>
      <c r="K39" s="10">
        <f>I39*J39</f>
        <v>0</v>
      </c>
    </row>
    <row r="40" spans="1:15" ht="28.5" x14ac:dyDescent="0.2">
      <c r="A40" s="28">
        <v>49</v>
      </c>
      <c r="B40" s="9" t="s">
        <v>915</v>
      </c>
      <c r="C40" s="9" t="s">
        <v>916</v>
      </c>
      <c r="D40" s="9" t="s">
        <v>404</v>
      </c>
      <c r="E40" s="9" t="s">
        <v>404</v>
      </c>
      <c r="F40" s="9" t="s">
        <v>125</v>
      </c>
      <c r="G40" s="225" t="s">
        <v>412</v>
      </c>
      <c r="H40" s="9" t="s">
        <v>831</v>
      </c>
      <c r="I40" s="55">
        <f>COUNTIF('LOGBOOK VIEWER'!$B$7:$B$10600,$A40)</f>
        <v>0</v>
      </c>
      <c r="J40" s="10">
        <v>0.5</v>
      </c>
      <c r="K40" s="10">
        <f>I40*J40</f>
        <v>0</v>
      </c>
    </row>
    <row r="41" spans="1:15" ht="28.5" x14ac:dyDescent="0.2">
      <c r="A41" s="28">
        <v>50</v>
      </c>
      <c r="B41" s="9" t="s">
        <v>421</v>
      </c>
      <c r="C41" s="9" t="s">
        <v>813</v>
      </c>
      <c r="D41" s="9" t="s">
        <v>404</v>
      </c>
      <c r="E41" s="9" t="s">
        <v>404</v>
      </c>
      <c r="F41" s="9" t="s">
        <v>125</v>
      </c>
      <c r="G41" s="225" t="s">
        <v>412</v>
      </c>
      <c r="H41" s="9" t="s">
        <v>831</v>
      </c>
      <c r="I41" s="55">
        <f>COUNTIF('LOGBOOK VIEWER'!$B$7:$B$10600,$A41)</f>
        <v>0</v>
      </c>
      <c r="J41" s="10">
        <v>0.5</v>
      </c>
      <c r="K41" s="10">
        <f>I41*J41</f>
        <v>0</v>
      </c>
    </row>
    <row r="42" spans="1:15" ht="28.5" x14ac:dyDescent="0.2">
      <c r="A42" s="28">
        <v>51</v>
      </c>
      <c r="B42" s="9" t="s">
        <v>423</v>
      </c>
      <c r="C42" s="9" t="s">
        <v>813</v>
      </c>
      <c r="D42" s="9" t="s">
        <v>404</v>
      </c>
      <c r="E42" s="9" t="s">
        <v>404</v>
      </c>
      <c r="F42" s="9" t="s">
        <v>125</v>
      </c>
      <c r="G42" s="225" t="s">
        <v>412</v>
      </c>
      <c r="H42" s="9" t="s">
        <v>831</v>
      </c>
      <c r="I42" s="55">
        <f>COUNTIF('LOGBOOK VIEWER'!$B$7:$B$10600,$A42)</f>
        <v>0</v>
      </c>
      <c r="J42" s="10">
        <v>0.5</v>
      </c>
      <c r="K42" s="10">
        <f>I42*J42</f>
        <v>0</v>
      </c>
    </row>
    <row r="43" spans="1:15" ht="28.5" x14ac:dyDescent="0.2">
      <c r="A43" s="28">
        <v>52</v>
      </c>
      <c r="B43" s="9" t="s">
        <v>424</v>
      </c>
      <c r="C43" s="9" t="s">
        <v>813</v>
      </c>
      <c r="D43" s="9" t="s">
        <v>404</v>
      </c>
      <c r="E43" s="9" t="s">
        <v>404</v>
      </c>
      <c r="F43" s="9" t="s">
        <v>125</v>
      </c>
      <c r="G43" s="225" t="s">
        <v>412</v>
      </c>
      <c r="H43" s="9" t="s">
        <v>831</v>
      </c>
      <c r="I43" s="55">
        <f>COUNTIF('LOGBOOK VIEWER'!$B$7:$B$10600,$A43)</f>
        <v>0</v>
      </c>
      <c r="J43" s="10">
        <v>0.5</v>
      </c>
      <c r="K43" s="10">
        <f>I43*J43</f>
        <v>0</v>
      </c>
    </row>
    <row r="44" spans="1:15" ht="28.5" x14ac:dyDescent="0.2">
      <c r="A44" s="28">
        <v>53</v>
      </c>
      <c r="B44" s="9" t="s">
        <v>425</v>
      </c>
      <c r="C44" s="9" t="s">
        <v>813</v>
      </c>
      <c r="D44" s="9" t="s">
        <v>404</v>
      </c>
      <c r="E44" s="9" t="s">
        <v>404</v>
      </c>
      <c r="F44" s="9" t="s">
        <v>125</v>
      </c>
      <c r="G44" s="225" t="s">
        <v>412</v>
      </c>
      <c r="H44" s="9" t="s">
        <v>831</v>
      </c>
      <c r="I44" s="55">
        <f>COUNTIF('LOGBOOK VIEWER'!$B$7:$B$10600,$A44)</f>
        <v>0</v>
      </c>
      <c r="J44" s="10">
        <v>0.5</v>
      </c>
      <c r="K44" s="10">
        <f>I44*J44</f>
        <v>0</v>
      </c>
    </row>
    <row r="45" spans="1:15" ht="28.5" x14ac:dyDescent="0.2">
      <c r="A45" s="28">
        <v>54</v>
      </c>
      <c r="B45" s="9" t="s">
        <v>915</v>
      </c>
      <c r="C45" s="9" t="s">
        <v>813</v>
      </c>
      <c r="D45" s="9" t="s">
        <v>404</v>
      </c>
      <c r="E45" s="9" t="s">
        <v>404</v>
      </c>
      <c r="F45" s="9" t="s">
        <v>125</v>
      </c>
      <c r="G45" s="225" t="s">
        <v>412</v>
      </c>
      <c r="H45" s="9" t="s">
        <v>831</v>
      </c>
      <c r="I45" s="55">
        <f>COUNTIF('LOGBOOK VIEWER'!$B$7:$B$10600,$A45)</f>
        <v>0</v>
      </c>
      <c r="J45" s="10">
        <v>0.5</v>
      </c>
      <c r="K45" s="10">
        <f>I45*J45</f>
        <v>0</v>
      </c>
    </row>
    <row r="46" spans="1:15" ht="42.75" x14ac:dyDescent="0.2">
      <c r="A46" s="28">
        <v>56</v>
      </c>
      <c r="B46" s="9" t="s">
        <v>814</v>
      </c>
      <c r="C46" s="9" t="s">
        <v>815</v>
      </c>
      <c r="D46" s="9" t="s">
        <v>404</v>
      </c>
      <c r="E46" s="9" t="s">
        <v>404</v>
      </c>
      <c r="F46" s="9" t="s">
        <v>125</v>
      </c>
      <c r="G46" s="225" t="s">
        <v>405</v>
      </c>
      <c r="H46" s="9" t="s">
        <v>406</v>
      </c>
      <c r="I46" s="55">
        <f>COUNTIF('LOGBOOK VIEWER'!$B$7:$B$10600,$A46)</f>
        <v>0</v>
      </c>
      <c r="J46" s="10">
        <v>0.1</v>
      </c>
      <c r="K46" s="10">
        <f>I46*J46</f>
        <v>0</v>
      </c>
    </row>
    <row r="47" spans="1:15" ht="28.5" x14ac:dyDescent="0.2">
      <c r="A47" s="28">
        <v>57</v>
      </c>
      <c r="B47" s="9" t="s">
        <v>425</v>
      </c>
      <c r="C47" s="9" t="s">
        <v>816</v>
      </c>
      <c r="D47" s="9" t="s">
        <v>404</v>
      </c>
      <c r="E47" s="9" t="s">
        <v>404</v>
      </c>
      <c r="F47" s="9" t="s">
        <v>125</v>
      </c>
      <c r="G47" s="225" t="s">
        <v>412</v>
      </c>
      <c r="H47" s="9" t="s">
        <v>831</v>
      </c>
      <c r="I47" s="55">
        <f>COUNTIF('LOGBOOK VIEWER'!$B$7:$B$10600,$A47)</f>
        <v>0</v>
      </c>
      <c r="J47" s="10">
        <v>0.5</v>
      </c>
      <c r="K47" s="10">
        <f>I47*J47</f>
        <v>0</v>
      </c>
    </row>
    <row r="48" spans="1:15" ht="85.5" x14ac:dyDescent="0.2">
      <c r="A48" s="28">
        <v>58</v>
      </c>
      <c r="B48" s="9" t="s">
        <v>817</v>
      </c>
      <c r="C48" s="9" t="s">
        <v>818</v>
      </c>
      <c r="D48" s="9" t="s">
        <v>404</v>
      </c>
      <c r="E48" s="9" t="s">
        <v>404</v>
      </c>
      <c r="F48" s="9" t="s">
        <v>125</v>
      </c>
      <c r="G48" s="225" t="s">
        <v>412</v>
      </c>
      <c r="H48" s="9" t="s">
        <v>831</v>
      </c>
      <c r="I48" s="55">
        <f>COUNTIF('LOGBOOK VIEWER'!$B$7:$B$10600,$A48)</f>
        <v>0</v>
      </c>
      <c r="J48" s="10">
        <v>0.5</v>
      </c>
      <c r="K48" s="10">
        <f>I48*J48</f>
        <v>0</v>
      </c>
    </row>
    <row r="49" spans="1:11" ht="28.5" x14ac:dyDescent="0.2">
      <c r="A49" s="28">
        <v>59</v>
      </c>
      <c r="B49" s="9" t="s">
        <v>440</v>
      </c>
      <c r="C49" s="9" t="s">
        <v>441</v>
      </c>
      <c r="D49" s="9" t="s">
        <v>404</v>
      </c>
      <c r="E49" s="9" t="s">
        <v>404</v>
      </c>
      <c r="F49" s="9" t="s">
        <v>125</v>
      </c>
      <c r="G49" s="225" t="s">
        <v>412</v>
      </c>
      <c r="H49" s="9" t="s">
        <v>831</v>
      </c>
      <c r="I49" s="55">
        <f>COUNTIF('LOGBOOK VIEWER'!$B$7:$B$10600,$A49)</f>
        <v>0</v>
      </c>
      <c r="J49" s="10">
        <v>0.5</v>
      </c>
      <c r="K49" s="10">
        <f>I49*J49</f>
        <v>0</v>
      </c>
    </row>
    <row r="50" spans="1:11" ht="28.5" x14ac:dyDescent="0.2">
      <c r="A50" s="28">
        <v>60</v>
      </c>
      <c r="B50" s="9" t="s">
        <v>442</v>
      </c>
      <c r="C50" s="9" t="s">
        <v>443</v>
      </c>
      <c r="D50" s="9" t="s">
        <v>404</v>
      </c>
      <c r="E50" s="9" t="s">
        <v>404</v>
      </c>
      <c r="F50" s="9" t="s">
        <v>125</v>
      </c>
      <c r="G50" s="225" t="s">
        <v>412</v>
      </c>
      <c r="H50" s="9" t="s">
        <v>831</v>
      </c>
      <c r="I50" s="55">
        <f>COUNTIF('LOGBOOK VIEWER'!$B$7:$B$10600,$A50)</f>
        <v>0</v>
      </c>
      <c r="J50" s="10">
        <v>0.5</v>
      </c>
      <c r="K50" s="10">
        <f>I50*J50</f>
        <v>0</v>
      </c>
    </row>
    <row r="51" spans="1:11" ht="28.5" x14ac:dyDescent="0.2">
      <c r="A51" s="28">
        <v>61</v>
      </c>
      <c r="B51" s="9" t="s">
        <v>427</v>
      </c>
      <c r="C51" s="9" t="s">
        <v>808</v>
      </c>
      <c r="D51" s="9" t="s">
        <v>404</v>
      </c>
      <c r="E51" s="9" t="s">
        <v>404</v>
      </c>
      <c r="F51" s="9" t="s">
        <v>125</v>
      </c>
      <c r="G51" s="225" t="s">
        <v>412</v>
      </c>
      <c r="H51" s="9" t="s">
        <v>831</v>
      </c>
      <c r="I51" s="55">
        <f>COUNTIF('LOGBOOK VIEWER'!$B$7:$B$10600,$A51)</f>
        <v>0</v>
      </c>
      <c r="J51" s="10">
        <v>0.5</v>
      </c>
      <c r="K51" s="10">
        <f>I51*J51</f>
        <v>0</v>
      </c>
    </row>
    <row r="52" spans="1:11" ht="28.5" x14ac:dyDescent="0.2">
      <c r="A52" s="28">
        <v>62</v>
      </c>
      <c r="B52" s="9" t="s">
        <v>432</v>
      </c>
      <c r="C52" s="9" t="s">
        <v>808</v>
      </c>
      <c r="D52" s="9" t="s">
        <v>404</v>
      </c>
      <c r="E52" s="9" t="s">
        <v>404</v>
      </c>
      <c r="F52" s="9" t="s">
        <v>831</v>
      </c>
      <c r="G52" s="225" t="s">
        <v>412</v>
      </c>
      <c r="H52" s="9" t="s">
        <v>831</v>
      </c>
      <c r="I52" s="55">
        <f>COUNTIF('LOGBOOK VIEWER'!$B$7:$B$10600,$A52)</f>
        <v>0</v>
      </c>
      <c r="J52" s="10">
        <v>0.5</v>
      </c>
      <c r="K52" s="10">
        <f>I52*J52</f>
        <v>0</v>
      </c>
    </row>
    <row r="53" spans="1:11" ht="28.5" x14ac:dyDescent="0.2">
      <c r="A53" s="28">
        <v>63</v>
      </c>
      <c r="B53" s="9" t="s">
        <v>290</v>
      </c>
      <c r="C53" s="9" t="s">
        <v>808</v>
      </c>
      <c r="D53" s="9" t="s">
        <v>404</v>
      </c>
      <c r="E53" s="9" t="s">
        <v>404</v>
      </c>
      <c r="F53" s="9" t="s">
        <v>831</v>
      </c>
      <c r="G53" s="225" t="s">
        <v>412</v>
      </c>
      <c r="H53" s="9" t="s">
        <v>831</v>
      </c>
      <c r="I53" s="55">
        <f>COUNTIF('LOGBOOK VIEWER'!$B$7:$B$10600,$A53)</f>
        <v>0</v>
      </c>
      <c r="J53" s="10">
        <v>0.5</v>
      </c>
      <c r="K53" s="10">
        <f>I53*J53</f>
        <v>0</v>
      </c>
    </row>
    <row r="54" spans="1:11" ht="42.75" x14ac:dyDescent="0.2">
      <c r="A54" s="28">
        <v>65</v>
      </c>
      <c r="B54" s="9" t="s">
        <v>628</v>
      </c>
      <c r="C54" s="9" t="s">
        <v>810</v>
      </c>
      <c r="D54" s="9" t="s">
        <v>404</v>
      </c>
      <c r="E54" s="9" t="s">
        <v>404</v>
      </c>
      <c r="F54" s="9" t="s">
        <v>125</v>
      </c>
      <c r="G54" s="225" t="s">
        <v>412</v>
      </c>
      <c r="H54" s="9" t="s">
        <v>831</v>
      </c>
      <c r="I54" s="55">
        <f>COUNTIF('LOGBOOK VIEWER'!$B$7:$B$10600,$A54)</f>
        <v>0</v>
      </c>
      <c r="J54" s="10">
        <v>0.5</v>
      </c>
      <c r="K54" s="10">
        <f>I54*J54</f>
        <v>0</v>
      </c>
    </row>
    <row r="55" spans="1:11" ht="42.75" x14ac:dyDescent="0.2">
      <c r="A55" s="28">
        <v>66</v>
      </c>
      <c r="B55" s="9" t="s">
        <v>427</v>
      </c>
      <c r="C55" s="9" t="s">
        <v>810</v>
      </c>
      <c r="D55" s="9" t="s">
        <v>404</v>
      </c>
      <c r="E55" s="9" t="s">
        <v>404</v>
      </c>
      <c r="F55" s="9" t="s">
        <v>831</v>
      </c>
      <c r="G55" s="225" t="s">
        <v>412</v>
      </c>
      <c r="H55" s="9" t="s">
        <v>831</v>
      </c>
      <c r="I55" s="55">
        <f>COUNTIF('LOGBOOK VIEWER'!$B$7:$B$10600,$A55)</f>
        <v>0</v>
      </c>
      <c r="J55" s="10">
        <v>0.5</v>
      </c>
      <c r="K55" s="10">
        <f>I55*J55</f>
        <v>0</v>
      </c>
    </row>
    <row r="56" spans="1:11" ht="42.75" x14ac:dyDescent="0.2">
      <c r="A56" s="28">
        <v>67</v>
      </c>
      <c r="B56" s="9" t="s">
        <v>432</v>
      </c>
      <c r="C56" s="9" t="s">
        <v>810</v>
      </c>
      <c r="D56" s="9" t="s">
        <v>404</v>
      </c>
      <c r="E56" s="9" t="s">
        <v>404</v>
      </c>
      <c r="F56" s="9" t="s">
        <v>831</v>
      </c>
      <c r="G56" s="225" t="s">
        <v>412</v>
      </c>
      <c r="H56" s="9" t="s">
        <v>831</v>
      </c>
      <c r="I56" s="55">
        <f>COUNTIF('LOGBOOK VIEWER'!$B$7:$B$10600,$A56)</f>
        <v>0</v>
      </c>
      <c r="J56" s="10">
        <v>0.5</v>
      </c>
      <c r="K56" s="10">
        <f>I56*J56</f>
        <v>0</v>
      </c>
    </row>
    <row r="57" spans="1:11" ht="42.75" x14ac:dyDescent="0.2">
      <c r="A57" s="28">
        <v>68</v>
      </c>
      <c r="B57" s="9" t="s">
        <v>290</v>
      </c>
      <c r="C57" s="9" t="s">
        <v>810</v>
      </c>
      <c r="D57" s="9" t="s">
        <v>404</v>
      </c>
      <c r="E57" s="9" t="s">
        <v>404</v>
      </c>
      <c r="F57" s="9" t="s">
        <v>831</v>
      </c>
      <c r="G57" s="225" t="s">
        <v>412</v>
      </c>
      <c r="H57" s="9" t="s">
        <v>831</v>
      </c>
      <c r="I57" s="55">
        <f>COUNTIF('LOGBOOK VIEWER'!$B$7:$B$10600,$A57)</f>
        <v>0</v>
      </c>
      <c r="J57" s="10">
        <v>0.5</v>
      </c>
      <c r="K57" s="10">
        <f>I57*J57</f>
        <v>0</v>
      </c>
    </row>
    <row r="58" spans="1:11" ht="28.5" x14ac:dyDescent="0.2">
      <c r="A58" s="28">
        <v>70</v>
      </c>
      <c r="B58" s="9" t="s">
        <v>628</v>
      </c>
      <c r="C58" s="9" t="s">
        <v>629</v>
      </c>
      <c r="D58" s="9" t="s">
        <v>404</v>
      </c>
      <c r="E58" s="9" t="s">
        <v>404</v>
      </c>
      <c r="F58" s="9" t="s">
        <v>125</v>
      </c>
      <c r="G58" s="225" t="s">
        <v>412</v>
      </c>
      <c r="H58" s="9" t="s">
        <v>831</v>
      </c>
      <c r="I58" s="55">
        <f>COUNTIF('LOGBOOK VIEWER'!$B$7:$B$10600,$A58)</f>
        <v>0</v>
      </c>
      <c r="J58" s="10">
        <v>0.5</v>
      </c>
      <c r="K58" s="10">
        <f>I58*J58</f>
        <v>0</v>
      </c>
    </row>
    <row r="59" spans="1:11" ht="28.5" x14ac:dyDescent="0.2">
      <c r="A59" s="28">
        <v>71</v>
      </c>
      <c r="B59" s="9" t="s">
        <v>427</v>
      </c>
      <c r="C59" s="9" t="s">
        <v>811</v>
      </c>
      <c r="D59" s="9" t="s">
        <v>404</v>
      </c>
      <c r="E59" s="9" t="s">
        <v>404</v>
      </c>
      <c r="F59" s="9" t="s">
        <v>831</v>
      </c>
      <c r="G59" s="225" t="s">
        <v>412</v>
      </c>
      <c r="H59" s="9" t="s">
        <v>831</v>
      </c>
      <c r="I59" s="55">
        <f>COUNTIF('LOGBOOK VIEWER'!$B$7:$B$10600,$A59)</f>
        <v>0</v>
      </c>
      <c r="J59" s="10">
        <v>0.5</v>
      </c>
      <c r="K59" s="10">
        <f>I59*J59</f>
        <v>0</v>
      </c>
    </row>
    <row r="60" spans="1:11" ht="28.5" x14ac:dyDescent="0.2">
      <c r="A60" s="28">
        <v>72</v>
      </c>
      <c r="B60" s="9" t="s">
        <v>432</v>
      </c>
      <c r="C60" s="9" t="s">
        <v>811</v>
      </c>
      <c r="D60" s="9" t="s">
        <v>404</v>
      </c>
      <c r="E60" s="9" t="s">
        <v>404</v>
      </c>
      <c r="F60" s="9" t="s">
        <v>831</v>
      </c>
      <c r="G60" s="225" t="s">
        <v>412</v>
      </c>
      <c r="H60" s="9" t="s">
        <v>831</v>
      </c>
      <c r="I60" s="55">
        <f>COUNTIF('LOGBOOK VIEWER'!$B$7:$B$10600,$A60)</f>
        <v>0</v>
      </c>
      <c r="J60" s="10">
        <v>0.5</v>
      </c>
      <c r="K60" s="10">
        <f>I60*J60</f>
        <v>0</v>
      </c>
    </row>
    <row r="61" spans="1:11" ht="28.5" x14ac:dyDescent="0.2">
      <c r="A61" s="28">
        <v>73</v>
      </c>
      <c r="B61" s="9" t="s">
        <v>290</v>
      </c>
      <c r="C61" s="9" t="s">
        <v>811</v>
      </c>
      <c r="D61" s="9" t="s">
        <v>404</v>
      </c>
      <c r="E61" s="9" t="s">
        <v>404</v>
      </c>
      <c r="F61" s="9" t="s">
        <v>831</v>
      </c>
      <c r="G61" s="225" t="s">
        <v>412</v>
      </c>
      <c r="H61" s="9" t="s">
        <v>831</v>
      </c>
      <c r="I61" s="55">
        <f>COUNTIF('LOGBOOK VIEWER'!$B$7:$B$10600,$A61)</f>
        <v>0</v>
      </c>
      <c r="J61" s="10">
        <v>0.5</v>
      </c>
      <c r="K61" s="10">
        <f>I61*J61</f>
        <v>0</v>
      </c>
    </row>
    <row r="62" spans="1:11" ht="28.5" x14ac:dyDescent="0.2">
      <c r="A62" s="28">
        <v>75</v>
      </c>
      <c r="B62" s="9" t="s">
        <v>628</v>
      </c>
      <c r="C62" s="9" t="s">
        <v>812</v>
      </c>
      <c r="D62" s="9" t="s">
        <v>404</v>
      </c>
      <c r="E62" s="9" t="s">
        <v>404</v>
      </c>
      <c r="F62" s="9" t="s">
        <v>125</v>
      </c>
      <c r="G62" s="225" t="s">
        <v>412</v>
      </c>
      <c r="H62" s="9" t="s">
        <v>831</v>
      </c>
      <c r="I62" s="55">
        <f>COUNTIF('LOGBOOK VIEWER'!$B$7:$B$10600,$A62)</f>
        <v>0</v>
      </c>
      <c r="J62" s="10">
        <v>0.5</v>
      </c>
      <c r="K62" s="10">
        <f>I62*J62</f>
        <v>0</v>
      </c>
    </row>
    <row r="63" spans="1:11" ht="28.5" x14ac:dyDescent="0.2">
      <c r="A63" s="28">
        <v>76</v>
      </c>
      <c r="B63" s="9" t="s">
        <v>427</v>
      </c>
      <c r="C63" s="9" t="s">
        <v>812</v>
      </c>
      <c r="D63" s="9" t="s">
        <v>404</v>
      </c>
      <c r="E63" s="9" t="s">
        <v>404</v>
      </c>
      <c r="F63" s="9" t="s">
        <v>831</v>
      </c>
      <c r="G63" s="225" t="s">
        <v>412</v>
      </c>
      <c r="H63" s="9" t="s">
        <v>831</v>
      </c>
      <c r="I63" s="55">
        <f>COUNTIF('LOGBOOK VIEWER'!$B$7:$B$10600,$A63)</f>
        <v>0</v>
      </c>
      <c r="J63" s="10">
        <v>0.5</v>
      </c>
      <c r="K63" s="10">
        <f>I63*J63</f>
        <v>0</v>
      </c>
    </row>
    <row r="64" spans="1:11" ht="28.5" x14ac:dyDescent="0.2">
      <c r="A64" s="28">
        <v>77</v>
      </c>
      <c r="B64" s="9" t="s">
        <v>432</v>
      </c>
      <c r="C64" s="9" t="s">
        <v>812</v>
      </c>
      <c r="D64" s="9" t="s">
        <v>404</v>
      </c>
      <c r="E64" s="9" t="s">
        <v>404</v>
      </c>
      <c r="F64" s="9" t="s">
        <v>831</v>
      </c>
      <c r="G64" s="225" t="s">
        <v>412</v>
      </c>
      <c r="H64" s="9" t="s">
        <v>831</v>
      </c>
      <c r="I64" s="55">
        <f>COUNTIF('LOGBOOK VIEWER'!$B$7:$B$10600,$A64)</f>
        <v>0</v>
      </c>
      <c r="J64" s="10">
        <v>0.5</v>
      </c>
      <c r="K64" s="10">
        <f>I64*J64</f>
        <v>0</v>
      </c>
    </row>
    <row r="65" spans="1:11" ht="28.5" x14ac:dyDescent="0.2">
      <c r="A65" s="28">
        <v>78</v>
      </c>
      <c r="B65" s="9" t="s">
        <v>290</v>
      </c>
      <c r="C65" s="9" t="s">
        <v>812</v>
      </c>
      <c r="D65" s="9" t="s">
        <v>404</v>
      </c>
      <c r="E65" s="9" t="s">
        <v>404</v>
      </c>
      <c r="F65" s="9" t="s">
        <v>831</v>
      </c>
      <c r="G65" s="225" t="s">
        <v>412</v>
      </c>
      <c r="H65" s="9" t="s">
        <v>831</v>
      </c>
      <c r="I65" s="55">
        <f>COUNTIF('LOGBOOK VIEWER'!$B$7:$B$10600,$A65)</f>
        <v>0</v>
      </c>
      <c r="J65" s="10">
        <v>0.5</v>
      </c>
      <c r="K65" s="10">
        <f>I65*J65</f>
        <v>0</v>
      </c>
    </row>
    <row r="66" spans="1:11" ht="28.5" x14ac:dyDescent="0.2">
      <c r="A66" s="28">
        <v>80</v>
      </c>
      <c r="B66" s="9" t="s">
        <v>628</v>
      </c>
      <c r="C66" s="9" t="s">
        <v>813</v>
      </c>
      <c r="D66" s="9" t="s">
        <v>404</v>
      </c>
      <c r="E66" s="9" t="s">
        <v>404</v>
      </c>
      <c r="F66" s="9" t="s">
        <v>125</v>
      </c>
      <c r="G66" s="225" t="s">
        <v>412</v>
      </c>
      <c r="H66" s="9" t="s">
        <v>831</v>
      </c>
      <c r="I66" s="55">
        <f>COUNTIF('LOGBOOK VIEWER'!$B$7:$B$10600,$A66)</f>
        <v>0</v>
      </c>
      <c r="J66" s="10">
        <v>0.5</v>
      </c>
      <c r="K66" s="10">
        <f>I66*J66</f>
        <v>0</v>
      </c>
    </row>
    <row r="67" spans="1:11" ht="28.5" x14ac:dyDescent="0.2">
      <c r="A67" s="28">
        <v>81</v>
      </c>
      <c r="B67" s="9" t="s">
        <v>427</v>
      </c>
      <c r="C67" s="9" t="s">
        <v>813</v>
      </c>
      <c r="D67" s="9" t="s">
        <v>404</v>
      </c>
      <c r="E67" s="9" t="s">
        <v>404</v>
      </c>
      <c r="F67" s="9" t="s">
        <v>831</v>
      </c>
      <c r="G67" s="225" t="s">
        <v>412</v>
      </c>
      <c r="H67" s="9" t="s">
        <v>831</v>
      </c>
      <c r="I67" s="55">
        <f>COUNTIF('LOGBOOK VIEWER'!$B$7:$B$10600,$A67)</f>
        <v>0</v>
      </c>
      <c r="J67" s="10">
        <v>0.5</v>
      </c>
      <c r="K67" s="10">
        <f>I67*J67</f>
        <v>0</v>
      </c>
    </row>
    <row r="68" spans="1:11" ht="28.5" x14ac:dyDescent="0.2">
      <c r="A68" s="28">
        <v>82</v>
      </c>
      <c r="B68" s="9" t="s">
        <v>432</v>
      </c>
      <c r="C68" s="9" t="s">
        <v>813</v>
      </c>
      <c r="D68" s="9" t="s">
        <v>404</v>
      </c>
      <c r="E68" s="9" t="s">
        <v>404</v>
      </c>
      <c r="F68" s="9" t="s">
        <v>831</v>
      </c>
      <c r="G68" s="225" t="s">
        <v>412</v>
      </c>
      <c r="H68" s="9" t="s">
        <v>831</v>
      </c>
      <c r="I68" s="55">
        <f>COUNTIF('LOGBOOK VIEWER'!$B$7:$B$10600,$A68)</f>
        <v>0</v>
      </c>
      <c r="J68" s="10">
        <v>0.5</v>
      </c>
      <c r="K68" s="10">
        <f>I68*J68</f>
        <v>0</v>
      </c>
    </row>
    <row r="69" spans="1:11" ht="28.5" x14ac:dyDescent="0.2">
      <c r="A69" s="28">
        <v>83</v>
      </c>
      <c r="B69" s="9" t="s">
        <v>290</v>
      </c>
      <c r="C69" s="9" t="s">
        <v>813</v>
      </c>
      <c r="D69" s="9" t="s">
        <v>404</v>
      </c>
      <c r="E69" s="9" t="s">
        <v>404</v>
      </c>
      <c r="F69" s="9" t="s">
        <v>831</v>
      </c>
      <c r="G69" s="225" t="s">
        <v>412</v>
      </c>
      <c r="H69" s="9" t="s">
        <v>831</v>
      </c>
      <c r="I69" s="55">
        <f>COUNTIF('LOGBOOK VIEWER'!$B$7:$B$10600,$A69)</f>
        <v>0</v>
      </c>
      <c r="J69" s="10">
        <v>0.5</v>
      </c>
      <c r="K69" s="10">
        <f>I69*J69</f>
        <v>0</v>
      </c>
    </row>
    <row r="70" spans="1:11" ht="71.25" x14ac:dyDescent="0.2">
      <c r="A70" s="28">
        <v>84</v>
      </c>
      <c r="B70" s="9" t="s">
        <v>630</v>
      </c>
      <c r="C70" s="9" t="s">
        <v>631</v>
      </c>
      <c r="D70" s="9" t="s">
        <v>404</v>
      </c>
      <c r="E70" s="9" t="s">
        <v>404</v>
      </c>
      <c r="F70" s="9" t="s">
        <v>125</v>
      </c>
      <c r="G70" s="225" t="s">
        <v>412</v>
      </c>
      <c r="H70" s="9" t="s">
        <v>831</v>
      </c>
      <c r="I70" s="55">
        <f>COUNTIF('LOGBOOK VIEWER'!$B$7:$B$10600,$A70)</f>
        <v>0</v>
      </c>
      <c r="J70" s="10">
        <v>0.5</v>
      </c>
      <c r="K70" s="10">
        <f>I70*J70</f>
        <v>0</v>
      </c>
    </row>
    <row r="71" spans="1:11" ht="28.5" x14ac:dyDescent="0.2">
      <c r="A71" s="28">
        <v>85</v>
      </c>
      <c r="B71" s="9" t="s">
        <v>632</v>
      </c>
      <c r="C71" s="9" t="s">
        <v>633</v>
      </c>
      <c r="D71" s="9" t="s">
        <v>404</v>
      </c>
      <c r="E71" s="9" t="s">
        <v>404</v>
      </c>
      <c r="F71" s="9" t="s">
        <v>125</v>
      </c>
      <c r="G71" s="225" t="s">
        <v>412</v>
      </c>
      <c r="H71" s="9" t="s">
        <v>831</v>
      </c>
      <c r="I71" s="55">
        <f>COUNTIF('LOGBOOK VIEWER'!$B$7:$B$10600,$A71)</f>
        <v>0</v>
      </c>
      <c r="J71" s="10">
        <v>0.5</v>
      </c>
      <c r="K71" s="10">
        <f>I71*J71</f>
        <v>0</v>
      </c>
    </row>
    <row r="72" spans="1:11" ht="28.5" x14ac:dyDescent="0.2">
      <c r="A72" s="28">
        <v>86</v>
      </c>
      <c r="B72" s="9" t="s">
        <v>634</v>
      </c>
      <c r="C72" s="9" t="s">
        <v>635</v>
      </c>
      <c r="D72" s="9" t="s">
        <v>404</v>
      </c>
      <c r="E72" s="9" t="s">
        <v>404</v>
      </c>
      <c r="F72" s="9" t="s">
        <v>125</v>
      </c>
      <c r="G72" s="225" t="s">
        <v>412</v>
      </c>
      <c r="H72" s="9" t="s">
        <v>831</v>
      </c>
      <c r="I72" s="55">
        <f>COUNTIF('LOGBOOK VIEWER'!$B$7:$B$10600,$A72)</f>
        <v>0</v>
      </c>
      <c r="J72" s="10">
        <v>0.5</v>
      </c>
      <c r="K72" s="10">
        <f>I72*J72</f>
        <v>0</v>
      </c>
    </row>
    <row r="73" spans="1:11" x14ac:dyDescent="0.2">
      <c r="A73" s="28">
        <v>1001</v>
      </c>
      <c r="B73" s="9" t="s">
        <v>819</v>
      </c>
      <c r="C73" s="9" t="s">
        <v>820</v>
      </c>
      <c r="D73" s="9" t="s">
        <v>821</v>
      </c>
      <c r="E73" s="9" t="s">
        <v>822</v>
      </c>
      <c r="F73" s="9" t="s">
        <v>125</v>
      </c>
      <c r="G73" s="225" t="s">
        <v>405</v>
      </c>
      <c r="H73" s="9" t="s">
        <v>426</v>
      </c>
      <c r="I73" s="55">
        <f>COUNTIF('LOGBOOK VIEWER'!$B$7:$B$10600,$A73)</f>
        <v>0</v>
      </c>
      <c r="J73" s="10">
        <v>1</v>
      </c>
      <c r="K73" s="10">
        <f>I73*J73</f>
        <v>0</v>
      </c>
    </row>
    <row r="74" spans="1:11" x14ac:dyDescent="0.2">
      <c r="A74" s="28">
        <v>1002</v>
      </c>
      <c r="B74" s="9" t="s">
        <v>819</v>
      </c>
      <c r="C74" s="9" t="s">
        <v>820</v>
      </c>
      <c r="D74" s="9" t="s">
        <v>821</v>
      </c>
      <c r="E74" s="9" t="s">
        <v>822</v>
      </c>
      <c r="F74" s="9" t="s">
        <v>125</v>
      </c>
      <c r="G74" s="225" t="s">
        <v>412</v>
      </c>
      <c r="H74" s="9" t="s">
        <v>831</v>
      </c>
      <c r="I74" s="55">
        <f>COUNTIF('LOGBOOK VIEWER'!$B$7:$B$10600,$A74)</f>
        <v>0</v>
      </c>
      <c r="J74" s="10">
        <v>0.5</v>
      </c>
      <c r="K74" s="10">
        <f>I74*J74</f>
        <v>0</v>
      </c>
    </row>
    <row r="75" spans="1:11" x14ac:dyDescent="0.2">
      <c r="A75" s="28">
        <v>1003</v>
      </c>
      <c r="B75" s="9" t="s">
        <v>819</v>
      </c>
      <c r="C75" s="9" t="s">
        <v>820</v>
      </c>
      <c r="D75" s="9" t="s">
        <v>821</v>
      </c>
      <c r="E75" s="9" t="s">
        <v>822</v>
      </c>
      <c r="F75" s="9" t="s">
        <v>125</v>
      </c>
      <c r="G75" s="225" t="s">
        <v>412</v>
      </c>
      <c r="H75" s="9" t="s">
        <v>831</v>
      </c>
      <c r="I75" s="55">
        <f>COUNTIF('LOGBOOK VIEWER'!$B$7:$B$10600,$A75)</f>
        <v>0</v>
      </c>
      <c r="J75" s="10">
        <v>0.5</v>
      </c>
      <c r="K75" s="10">
        <f>I75*J75</f>
        <v>0</v>
      </c>
    </row>
    <row r="76" spans="1:11" x14ac:dyDescent="0.2">
      <c r="A76" s="28">
        <v>1004</v>
      </c>
      <c r="B76" s="9" t="s">
        <v>819</v>
      </c>
      <c r="C76" s="9" t="s">
        <v>820</v>
      </c>
      <c r="D76" s="9" t="s">
        <v>821</v>
      </c>
      <c r="E76" s="9" t="s">
        <v>822</v>
      </c>
      <c r="F76" s="9" t="s">
        <v>125</v>
      </c>
      <c r="G76" s="225" t="s">
        <v>412</v>
      </c>
      <c r="H76" s="9" t="s">
        <v>831</v>
      </c>
      <c r="I76" s="55">
        <f>COUNTIF('LOGBOOK VIEWER'!$B$7:$B$10600,$A76)</f>
        <v>0</v>
      </c>
      <c r="J76" s="10">
        <v>0.5</v>
      </c>
      <c r="K76" s="10">
        <f>I76*J76</f>
        <v>0</v>
      </c>
    </row>
    <row r="77" spans="1:11" x14ac:dyDescent="0.2">
      <c r="A77" s="28">
        <v>1005</v>
      </c>
      <c r="B77" s="9" t="s">
        <v>819</v>
      </c>
      <c r="C77" s="9" t="s">
        <v>820</v>
      </c>
      <c r="D77" s="9" t="s">
        <v>821</v>
      </c>
      <c r="E77" s="9" t="s">
        <v>822</v>
      </c>
      <c r="F77" s="9" t="s">
        <v>125</v>
      </c>
      <c r="G77" s="225" t="s">
        <v>412</v>
      </c>
      <c r="H77" s="9" t="s">
        <v>831</v>
      </c>
      <c r="I77" s="55">
        <f>COUNTIF('LOGBOOK VIEWER'!$B$7:$B$10600,$A77)</f>
        <v>0</v>
      </c>
      <c r="J77" s="10">
        <v>0.5</v>
      </c>
      <c r="K77" s="10">
        <f>I77*J77</f>
        <v>0</v>
      </c>
    </row>
    <row r="78" spans="1:11" x14ac:dyDescent="0.2">
      <c r="A78" s="28">
        <v>1006</v>
      </c>
      <c r="B78" s="9" t="s">
        <v>819</v>
      </c>
      <c r="C78" s="9" t="s">
        <v>820</v>
      </c>
      <c r="D78" s="9" t="s">
        <v>821</v>
      </c>
      <c r="E78" s="9" t="s">
        <v>822</v>
      </c>
      <c r="F78" s="9" t="s">
        <v>125</v>
      </c>
      <c r="G78" s="225" t="s">
        <v>412</v>
      </c>
      <c r="H78" s="9" t="s">
        <v>831</v>
      </c>
      <c r="I78" s="55">
        <f>COUNTIF('LOGBOOK VIEWER'!$B$7:$B$10600,$A78)</f>
        <v>0</v>
      </c>
      <c r="J78" s="10">
        <v>0.5</v>
      </c>
      <c r="K78" s="10">
        <f>I78*J78</f>
        <v>0</v>
      </c>
    </row>
    <row r="79" spans="1:11" x14ac:dyDescent="0.2">
      <c r="A79" s="28">
        <v>1007</v>
      </c>
      <c r="B79" s="9" t="s">
        <v>819</v>
      </c>
      <c r="C79" s="9" t="s">
        <v>820</v>
      </c>
      <c r="D79" s="9" t="s">
        <v>821</v>
      </c>
      <c r="E79" s="9" t="s">
        <v>822</v>
      </c>
      <c r="F79" s="9" t="s">
        <v>125</v>
      </c>
      <c r="G79" s="225" t="s">
        <v>405</v>
      </c>
      <c r="H79" s="9" t="s">
        <v>426</v>
      </c>
      <c r="I79" s="55">
        <f>COUNTIF('LOGBOOK VIEWER'!$B$7:$B$10600,$A79)</f>
        <v>0</v>
      </c>
      <c r="J79" s="10">
        <v>1</v>
      </c>
      <c r="K79" s="10">
        <f>I79*J79</f>
        <v>0</v>
      </c>
    </row>
    <row r="80" spans="1:11" x14ac:dyDescent="0.2">
      <c r="A80" s="28">
        <v>1008</v>
      </c>
      <c r="B80" s="9" t="s">
        <v>819</v>
      </c>
      <c r="C80" s="9" t="s">
        <v>820</v>
      </c>
      <c r="D80" s="9" t="s">
        <v>821</v>
      </c>
      <c r="E80" s="9" t="s">
        <v>822</v>
      </c>
      <c r="F80" s="9" t="s">
        <v>125</v>
      </c>
      <c r="G80" s="225" t="s">
        <v>412</v>
      </c>
      <c r="H80" s="9" t="s">
        <v>831</v>
      </c>
      <c r="I80" s="55">
        <f>COUNTIF('LOGBOOK VIEWER'!$B$7:$B$10600,$A80)</f>
        <v>0</v>
      </c>
      <c r="J80" s="10">
        <v>0.5</v>
      </c>
      <c r="K80" s="10">
        <f>I80*J80</f>
        <v>0</v>
      </c>
    </row>
    <row r="81" spans="1:11" x14ac:dyDescent="0.2">
      <c r="A81" s="28">
        <v>1009</v>
      </c>
      <c r="B81" s="9" t="s">
        <v>819</v>
      </c>
      <c r="C81" s="9" t="s">
        <v>820</v>
      </c>
      <c r="D81" s="9" t="s">
        <v>821</v>
      </c>
      <c r="E81" s="9" t="s">
        <v>822</v>
      </c>
      <c r="F81" s="9" t="s">
        <v>125</v>
      </c>
      <c r="G81" s="225" t="s">
        <v>412</v>
      </c>
      <c r="H81" s="9" t="s">
        <v>831</v>
      </c>
      <c r="I81" s="55">
        <f>COUNTIF('LOGBOOK VIEWER'!$B$7:$B$10600,$A81)</f>
        <v>0</v>
      </c>
      <c r="J81" s="10">
        <v>0.5</v>
      </c>
      <c r="K81" s="10">
        <f>I81*J81</f>
        <v>0</v>
      </c>
    </row>
    <row r="82" spans="1:11" x14ac:dyDescent="0.2">
      <c r="A82" s="28">
        <v>1010</v>
      </c>
      <c r="B82" s="9" t="s">
        <v>819</v>
      </c>
      <c r="C82" s="9" t="s">
        <v>820</v>
      </c>
      <c r="D82" s="9" t="s">
        <v>821</v>
      </c>
      <c r="E82" s="9" t="s">
        <v>822</v>
      </c>
      <c r="F82" s="9" t="s">
        <v>125</v>
      </c>
      <c r="G82" s="225" t="s">
        <v>412</v>
      </c>
      <c r="H82" s="9" t="s">
        <v>831</v>
      </c>
      <c r="I82" s="55">
        <f>COUNTIF('LOGBOOK VIEWER'!$B$7:$B$10600,$A82)</f>
        <v>0</v>
      </c>
      <c r="J82" s="10">
        <v>0.5</v>
      </c>
      <c r="K82" s="10">
        <f>I82*J82</f>
        <v>0</v>
      </c>
    </row>
    <row r="83" spans="1:11" x14ac:dyDescent="0.2">
      <c r="A83" s="28">
        <v>1011</v>
      </c>
      <c r="B83" s="9" t="s">
        <v>819</v>
      </c>
      <c r="C83" s="9" t="s">
        <v>820</v>
      </c>
      <c r="D83" s="9" t="s">
        <v>821</v>
      </c>
      <c r="E83" s="9" t="s">
        <v>822</v>
      </c>
      <c r="F83" s="9" t="s">
        <v>125</v>
      </c>
      <c r="G83" s="225" t="s">
        <v>412</v>
      </c>
      <c r="H83" s="9" t="s">
        <v>831</v>
      </c>
      <c r="I83" s="55">
        <f>COUNTIF('LOGBOOK VIEWER'!$B$7:$B$10600,$A83)</f>
        <v>0</v>
      </c>
      <c r="J83" s="10">
        <v>0.5</v>
      </c>
      <c r="K83" s="10">
        <f>I83*J83</f>
        <v>0</v>
      </c>
    </row>
    <row r="84" spans="1:11" x14ac:dyDescent="0.2">
      <c r="A84" s="28">
        <v>1012</v>
      </c>
      <c r="B84" s="9" t="s">
        <v>819</v>
      </c>
      <c r="C84" s="9" t="s">
        <v>820</v>
      </c>
      <c r="D84" s="9" t="s">
        <v>821</v>
      </c>
      <c r="E84" s="9" t="s">
        <v>822</v>
      </c>
      <c r="F84" s="9" t="s">
        <v>125</v>
      </c>
      <c r="G84" s="225" t="s">
        <v>412</v>
      </c>
      <c r="H84" s="9" t="s">
        <v>831</v>
      </c>
      <c r="I84" s="55">
        <f>COUNTIF('LOGBOOK VIEWER'!$B$7:$B$10600,$A84)</f>
        <v>0</v>
      </c>
      <c r="J84" s="10">
        <v>0.5</v>
      </c>
      <c r="K84" s="10">
        <f>I84*J84</f>
        <v>0</v>
      </c>
    </row>
    <row r="85" spans="1:11" x14ac:dyDescent="0.2">
      <c r="A85" s="28">
        <v>1013</v>
      </c>
      <c r="B85" s="9" t="s">
        <v>819</v>
      </c>
      <c r="C85" s="9" t="s">
        <v>820</v>
      </c>
      <c r="D85" s="9" t="s">
        <v>821</v>
      </c>
      <c r="E85" s="9" t="s">
        <v>822</v>
      </c>
      <c r="F85" s="9" t="s">
        <v>125</v>
      </c>
      <c r="G85" s="225" t="s">
        <v>412</v>
      </c>
      <c r="H85" s="9" t="s">
        <v>831</v>
      </c>
      <c r="I85" s="55">
        <f>COUNTIF('LOGBOOK VIEWER'!$B$7:$B$10600,$A85)</f>
        <v>0</v>
      </c>
      <c r="J85" s="10">
        <v>0.5</v>
      </c>
      <c r="K85" s="10">
        <f>I85*J85</f>
        <v>0</v>
      </c>
    </row>
    <row r="86" spans="1:11" x14ac:dyDescent="0.2">
      <c r="A86" s="28">
        <v>1014</v>
      </c>
      <c r="B86" s="9" t="s">
        <v>819</v>
      </c>
      <c r="C86" s="9" t="s">
        <v>820</v>
      </c>
      <c r="D86" s="9" t="s">
        <v>821</v>
      </c>
      <c r="E86" s="9" t="s">
        <v>822</v>
      </c>
      <c r="F86" s="9" t="s">
        <v>831</v>
      </c>
      <c r="G86" s="225" t="s">
        <v>412</v>
      </c>
      <c r="H86" s="9" t="s">
        <v>831</v>
      </c>
      <c r="I86" s="55">
        <f>COUNTIF('LOGBOOK VIEWER'!$B$7:$B$10600,$A86)</f>
        <v>0</v>
      </c>
      <c r="J86" s="10">
        <v>0.5</v>
      </c>
      <c r="K86" s="10">
        <f>I86*J86</f>
        <v>0</v>
      </c>
    </row>
    <row r="87" spans="1:11" x14ac:dyDescent="0.2">
      <c r="A87" s="28">
        <v>1015</v>
      </c>
      <c r="B87" s="9" t="s">
        <v>819</v>
      </c>
      <c r="C87" s="9" t="s">
        <v>820</v>
      </c>
      <c r="D87" s="9" t="s">
        <v>821</v>
      </c>
      <c r="E87" s="9" t="s">
        <v>822</v>
      </c>
      <c r="F87" s="9" t="s">
        <v>831</v>
      </c>
      <c r="G87" s="225" t="s">
        <v>412</v>
      </c>
      <c r="H87" s="9" t="s">
        <v>831</v>
      </c>
      <c r="I87" s="55">
        <f>COUNTIF('LOGBOOK VIEWER'!$B$7:$B$10600,$A87)</f>
        <v>0</v>
      </c>
      <c r="J87" s="10">
        <v>0.5</v>
      </c>
      <c r="K87" s="10">
        <f>I87*J87</f>
        <v>0</v>
      </c>
    </row>
    <row r="88" spans="1:11" x14ac:dyDescent="0.2">
      <c r="A88" s="28">
        <v>1016</v>
      </c>
      <c r="B88" s="9" t="s">
        <v>819</v>
      </c>
      <c r="C88" s="9" t="s">
        <v>820</v>
      </c>
      <c r="D88" s="9" t="s">
        <v>821</v>
      </c>
      <c r="E88" s="9" t="s">
        <v>822</v>
      </c>
      <c r="F88" s="9" t="s">
        <v>831</v>
      </c>
      <c r="G88" s="225" t="s">
        <v>412</v>
      </c>
      <c r="H88" s="9" t="s">
        <v>831</v>
      </c>
      <c r="I88" s="55">
        <f>COUNTIF('LOGBOOK VIEWER'!$B$7:$B$10600,$A88)</f>
        <v>0</v>
      </c>
      <c r="J88" s="10">
        <v>0.5</v>
      </c>
      <c r="K88" s="10">
        <f>I88*J88</f>
        <v>0</v>
      </c>
    </row>
    <row r="89" spans="1:11" x14ac:dyDescent="0.2">
      <c r="A89" s="28">
        <v>1017</v>
      </c>
      <c r="B89" s="9" t="s">
        <v>819</v>
      </c>
      <c r="C89" s="9" t="s">
        <v>820</v>
      </c>
      <c r="D89" s="9" t="s">
        <v>821</v>
      </c>
      <c r="E89" s="9" t="s">
        <v>822</v>
      </c>
      <c r="F89" s="9" t="s">
        <v>125</v>
      </c>
      <c r="G89" s="225" t="s">
        <v>412</v>
      </c>
      <c r="H89" s="9" t="s">
        <v>831</v>
      </c>
      <c r="I89" s="55">
        <f>COUNTIF('LOGBOOK VIEWER'!$B$7:$B$10600,$A89)</f>
        <v>0</v>
      </c>
      <c r="J89" s="10">
        <v>0.5</v>
      </c>
      <c r="K89" s="10">
        <f>I89*J89</f>
        <v>0</v>
      </c>
    </row>
    <row r="90" spans="1:11" x14ac:dyDescent="0.2">
      <c r="A90" s="28">
        <v>1018</v>
      </c>
      <c r="B90" s="9" t="s">
        <v>819</v>
      </c>
      <c r="C90" s="9" t="s">
        <v>820</v>
      </c>
      <c r="D90" s="9" t="s">
        <v>821</v>
      </c>
      <c r="E90" s="9" t="s">
        <v>822</v>
      </c>
      <c r="F90" s="9" t="s">
        <v>831</v>
      </c>
      <c r="G90" s="225" t="s">
        <v>412</v>
      </c>
      <c r="H90" s="9" t="s">
        <v>831</v>
      </c>
      <c r="I90" s="55">
        <f>COUNTIF('LOGBOOK VIEWER'!$B$7:$B$10600,$A90)</f>
        <v>0</v>
      </c>
      <c r="J90" s="10">
        <v>0.5</v>
      </c>
      <c r="K90" s="10">
        <f>I90*J90</f>
        <v>0</v>
      </c>
    </row>
    <row r="91" spans="1:11" x14ac:dyDescent="0.2">
      <c r="A91" s="28">
        <v>1019</v>
      </c>
      <c r="B91" s="9" t="s">
        <v>819</v>
      </c>
      <c r="C91" s="9" t="s">
        <v>820</v>
      </c>
      <c r="D91" s="9" t="s">
        <v>821</v>
      </c>
      <c r="E91" s="9" t="s">
        <v>822</v>
      </c>
      <c r="F91" s="9" t="s">
        <v>831</v>
      </c>
      <c r="G91" s="225" t="s">
        <v>412</v>
      </c>
      <c r="H91" s="9" t="s">
        <v>831</v>
      </c>
      <c r="I91" s="55">
        <f>COUNTIF('LOGBOOK VIEWER'!$B$7:$B$10600,$A91)</f>
        <v>0</v>
      </c>
      <c r="J91" s="10">
        <v>0.5</v>
      </c>
      <c r="K91" s="10">
        <f>I91*J91</f>
        <v>0</v>
      </c>
    </row>
    <row r="92" spans="1:11" x14ac:dyDescent="0.2">
      <c r="A92" s="28">
        <v>1020</v>
      </c>
      <c r="B92" s="9" t="s">
        <v>819</v>
      </c>
      <c r="C92" s="9" t="s">
        <v>820</v>
      </c>
      <c r="D92" s="9" t="s">
        <v>821</v>
      </c>
      <c r="E92" s="9" t="s">
        <v>822</v>
      </c>
      <c r="F92" s="9" t="s">
        <v>125</v>
      </c>
      <c r="G92" s="225" t="s">
        <v>405</v>
      </c>
      <c r="H92" s="9" t="s">
        <v>426</v>
      </c>
      <c r="I92" s="55">
        <f>COUNTIF('LOGBOOK VIEWER'!$B$7:$B$10600,$A92)</f>
        <v>0</v>
      </c>
      <c r="J92" s="10">
        <v>1</v>
      </c>
      <c r="K92" s="10">
        <f>I92*J92</f>
        <v>0</v>
      </c>
    </row>
    <row r="93" spans="1:11" x14ac:dyDescent="0.2">
      <c r="A93" s="28">
        <v>1021</v>
      </c>
      <c r="B93" s="9" t="s">
        <v>819</v>
      </c>
      <c r="C93" s="9" t="s">
        <v>820</v>
      </c>
      <c r="D93" s="9" t="s">
        <v>821</v>
      </c>
      <c r="E93" s="9" t="s">
        <v>822</v>
      </c>
      <c r="F93" s="9" t="s">
        <v>125</v>
      </c>
      <c r="G93" s="225" t="s">
        <v>405</v>
      </c>
      <c r="H93" s="9" t="s">
        <v>426</v>
      </c>
      <c r="I93" s="55">
        <f>COUNTIF('LOGBOOK VIEWER'!$B$7:$B$10600,$A93)</f>
        <v>0</v>
      </c>
      <c r="J93" s="10">
        <v>1</v>
      </c>
      <c r="K93" s="10">
        <f>I93*J93</f>
        <v>0</v>
      </c>
    </row>
    <row r="94" spans="1:11" x14ac:dyDescent="0.2">
      <c r="A94" s="28">
        <v>1022</v>
      </c>
      <c r="B94" s="9" t="s">
        <v>819</v>
      </c>
      <c r="C94" s="9" t="s">
        <v>820</v>
      </c>
      <c r="D94" s="9" t="s">
        <v>821</v>
      </c>
      <c r="E94" s="9" t="s">
        <v>822</v>
      </c>
      <c r="F94" s="9" t="s">
        <v>125</v>
      </c>
      <c r="G94" s="225" t="s">
        <v>405</v>
      </c>
      <c r="H94" s="9" t="s">
        <v>426</v>
      </c>
      <c r="I94" s="55">
        <f>COUNTIF('LOGBOOK VIEWER'!$B$7:$B$10600,$A94)</f>
        <v>0</v>
      </c>
      <c r="J94" s="10">
        <v>1</v>
      </c>
      <c r="K94" s="10">
        <f>I94*J94</f>
        <v>0</v>
      </c>
    </row>
    <row r="95" spans="1:11" x14ac:dyDescent="0.2">
      <c r="A95" s="28">
        <v>1023</v>
      </c>
      <c r="B95" s="9" t="s">
        <v>819</v>
      </c>
      <c r="C95" s="9" t="s">
        <v>820</v>
      </c>
      <c r="D95" s="9" t="s">
        <v>821</v>
      </c>
      <c r="E95" s="9" t="s">
        <v>822</v>
      </c>
      <c r="F95" s="9" t="s">
        <v>125</v>
      </c>
      <c r="G95" s="225" t="s">
        <v>412</v>
      </c>
      <c r="H95" s="9" t="s">
        <v>831</v>
      </c>
      <c r="I95" s="55">
        <f>COUNTIF('LOGBOOK VIEWER'!$B$7:$B$10600,$A95)</f>
        <v>0</v>
      </c>
      <c r="J95" s="10">
        <v>0.5</v>
      </c>
      <c r="K95" s="10">
        <f>I95*J95</f>
        <v>0</v>
      </c>
    </row>
    <row r="96" spans="1:11" ht="14.25" customHeight="1" x14ac:dyDescent="0.2">
      <c r="A96" s="28">
        <v>1024</v>
      </c>
      <c r="B96" s="9" t="s">
        <v>819</v>
      </c>
      <c r="C96" s="9" t="s">
        <v>820</v>
      </c>
      <c r="D96" s="9" t="s">
        <v>821</v>
      </c>
      <c r="E96" s="9" t="s">
        <v>822</v>
      </c>
      <c r="F96" s="9" t="s">
        <v>125</v>
      </c>
      <c r="G96" s="225" t="s">
        <v>412</v>
      </c>
      <c r="H96" s="9" t="s">
        <v>831</v>
      </c>
      <c r="I96" s="55">
        <f>COUNTIF('LOGBOOK VIEWER'!$B$7:$B$10600,$A96)</f>
        <v>0</v>
      </c>
      <c r="J96" s="10">
        <v>0.5</v>
      </c>
      <c r="K96" s="10">
        <f>I96*J96</f>
        <v>0</v>
      </c>
    </row>
    <row r="97" spans="1:11" x14ac:dyDescent="0.2">
      <c r="A97" s="28">
        <v>1025</v>
      </c>
      <c r="B97" s="9" t="s">
        <v>819</v>
      </c>
      <c r="C97" s="9" t="s">
        <v>820</v>
      </c>
      <c r="D97" s="9" t="s">
        <v>821</v>
      </c>
      <c r="E97" s="9" t="s">
        <v>822</v>
      </c>
      <c r="F97" s="9" t="s">
        <v>125</v>
      </c>
      <c r="G97" s="225" t="s">
        <v>412</v>
      </c>
      <c r="H97" s="9" t="s">
        <v>831</v>
      </c>
      <c r="I97" s="55">
        <f>COUNTIF('LOGBOOK VIEWER'!$B$7:$B$10600,$A97)</f>
        <v>0</v>
      </c>
      <c r="J97" s="10">
        <v>0.5</v>
      </c>
      <c r="K97" s="10">
        <f>I97*J97</f>
        <v>0</v>
      </c>
    </row>
    <row r="98" spans="1:11" x14ac:dyDescent="0.2">
      <c r="A98" s="28">
        <v>1026</v>
      </c>
      <c r="B98" s="9" t="s">
        <v>819</v>
      </c>
      <c r="C98" s="9" t="s">
        <v>820</v>
      </c>
      <c r="D98" s="9" t="s">
        <v>821</v>
      </c>
      <c r="E98" s="9" t="s">
        <v>822</v>
      </c>
      <c r="F98" s="9" t="s">
        <v>125</v>
      </c>
      <c r="G98" s="225" t="s">
        <v>412</v>
      </c>
      <c r="H98" s="9" t="s">
        <v>831</v>
      </c>
      <c r="I98" s="55">
        <f>COUNTIF('LOGBOOK VIEWER'!$B$7:$B$10600,$A98)</f>
        <v>0</v>
      </c>
      <c r="J98" s="10">
        <v>0.5</v>
      </c>
      <c r="K98" s="10">
        <f>I98*J98</f>
        <v>0</v>
      </c>
    </row>
    <row r="99" spans="1:11" x14ac:dyDescent="0.2">
      <c r="A99" s="28">
        <v>1027</v>
      </c>
      <c r="B99" s="9" t="s">
        <v>819</v>
      </c>
      <c r="C99" s="9" t="s">
        <v>820</v>
      </c>
      <c r="D99" s="9" t="s">
        <v>821</v>
      </c>
      <c r="E99" s="9" t="s">
        <v>822</v>
      </c>
      <c r="F99" s="9" t="s">
        <v>125</v>
      </c>
      <c r="G99" s="225" t="s">
        <v>412</v>
      </c>
      <c r="H99" s="9" t="s">
        <v>831</v>
      </c>
      <c r="I99" s="55">
        <f>COUNTIF('LOGBOOK VIEWER'!$B$7:$B$10600,$A99)</f>
        <v>0</v>
      </c>
      <c r="J99" s="10">
        <v>0.5</v>
      </c>
      <c r="K99" s="10">
        <f>I99*J99</f>
        <v>0</v>
      </c>
    </row>
    <row r="100" spans="1:11" x14ac:dyDescent="0.2">
      <c r="A100" s="28">
        <v>1028</v>
      </c>
      <c r="B100" s="9" t="s">
        <v>819</v>
      </c>
      <c r="C100" s="9" t="s">
        <v>820</v>
      </c>
      <c r="D100" s="9" t="s">
        <v>821</v>
      </c>
      <c r="E100" s="9" t="s">
        <v>822</v>
      </c>
      <c r="F100" s="9" t="s">
        <v>125</v>
      </c>
      <c r="G100" s="225" t="s">
        <v>412</v>
      </c>
      <c r="H100" s="9" t="s">
        <v>831</v>
      </c>
      <c r="I100" s="55">
        <f>COUNTIF('LOGBOOK VIEWER'!$B$7:$B$10600,$A100)</f>
        <v>0</v>
      </c>
      <c r="J100" s="10">
        <v>0.5</v>
      </c>
      <c r="K100" s="10">
        <f>I100*J100</f>
        <v>0</v>
      </c>
    </row>
    <row r="101" spans="1:11" x14ac:dyDescent="0.2">
      <c r="A101" s="28">
        <v>1029</v>
      </c>
      <c r="B101" s="9" t="s">
        <v>819</v>
      </c>
      <c r="C101" s="9" t="s">
        <v>820</v>
      </c>
      <c r="D101" s="9" t="s">
        <v>821</v>
      </c>
      <c r="E101" s="9" t="s">
        <v>822</v>
      </c>
      <c r="F101" s="9" t="s">
        <v>125</v>
      </c>
      <c r="G101" s="225" t="s">
        <v>405</v>
      </c>
      <c r="H101" s="9" t="s">
        <v>426</v>
      </c>
      <c r="I101" s="55">
        <f>COUNTIF('LOGBOOK VIEWER'!$B$7:$B$10600,$A101)</f>
        <v>0</v>
      </c>
      <c r="J101" s="10">
        <v>1</v>
      </c>
      <c r="K101" s="10">
        <f>I101*J101</f>
        <v>0</v>
      </c>
    </row>
    <row r="102" spans="1:11" ht="28.5" x14ac:dyDescent="0.2">
      <c r="A102" s="28">
        <v>1031</v>
      </c>
      <c r="B102" s="9" t="s">
        <v>823</v>
      </c>
      <c r="C102" s="9" t="s">
        <v>824</v>
      </c>
      <c r="D102" s="9" t="s">
        <v>821</v>
      </c>
      <c r="E102" s="9" t="s">
        <v>825</v>
      </c>
      <c r="F102" s="9" t="s">
        <v>125</v>
      </c>
      <c r="G102" s="225" t="s">
        <v>412</v>
      </c>
      <c r="H102" s="9" t="s">
        <v>831</v>
      </c>
      <c r="I102" s="55">
        <f>COUNTIF('LOGBOOK VIEWER'!$B$7:$B$10600,$A102)</f>
        <v>0</v>
      </c>
      <c r="J102" s="10">
        <v>0.5</v>
      </c>
      <c r="K102" s="10">
        <f>I102*J102</f>
        <v>0</v>
      </c>
    </row>
    <row r="103" spans="1:11" ht="28.5" x14ac:dyDescent="0.2">
      <c r="A103" s="28">
        <v>1032</v>
      </c>
      <c r="B103" s="9" t="s">
        <v>823</v>
      </c>
      <c r="C103" s="9" t="s">
        <v>824</v>
      </c>
      <c r="D103" s="9" t="s">
        <v>821</v>
      </c>
      <c r="E103" s="9" t="s">
        <v>825</v>
      </c>
      <c r="F103" s="9" t="s">
        <v>125</v>
      </c>
      <c r="G103" s="225" t="s">
        <v>412</v>
      </c>
      <c r="H103" s="9" t="s">
        <v>831</v>
      </c>
      <c r="I103" s="55">
        <f>COUNTIF('LOGBOOK VIEWER'!$B$7:$B$10600,$A103)</f>
        <v>0</v>
      </c>
      <c r="J103" s="10">
        <v>0.5</v>
      </c>
      <c r="K103" s="10">
        <f>I103*J103</f>
        <v>0</v>
      </c>
    </row>
    <row r="104" spans="1:11" ht="28.5" x14ac:dyDescent="0.2">
      <c r="A104" s="28">
        <v>1033</v>
      </c>
      <c r="B104" s="9" t="s">
        <v>823</v>
      </c>
      <c r="C104" s="9" t="s">
        <v>824</v>
      </c>
      <c r="D104" s="9" t="s">
        <v>821</v>
      </c>
      <c r="E104" s="9" t="s">
        <v>825</v>
      </c>
      <c r="F104" s="9" t="s">
        <v>125</v>
      </c>
      <c r="G104" s="225" t="s">
        <v>412</v>
      </c>
      <c r="H104" s="9" t="s">
        <v>831</v>
      </c>
      <c r="I104" s="55">
        <f>COUNTIF('LOGBOOK VIEWER'!$B$7:$B$10600,$A104)</f>
        <v>0</v>
      </c>
      <c r="J104" s="10">
        <v>0.5</v>
      </c>
      <c r="K104" s="10">
        <f>I104*J104</f>
        <v>0</v>
      </c>
    </row>
    <row r="105" spans="1:11" ht="28.5" x14ac:dyDescent="0.2">
      <c r="A105" s="28">
        <v>1034</v>
      </c>
      <c r="B105" s="9" t="s">
        <v>823</v>
      </c>
      <c r="C105" s="9" t="s">
        <v>824</v>
      </c>
      <c r="D105" s="9" t="s">
        <v>821</v>
      </c>
      <c r="E105" s="9" t="s">
        <v>825</v>
      </c>
      <c r="F105" s="9" t="s">
        <v>125</v>
      </c>
      <c r="G105" s="225" t="s">
        <v>412</v>
      </c>
      <c r="H105" s="9" t="s">
        <v>831</v>
      </c>
      <c r="I105" s="55">
        <f>COUNTIF('LOGBOOK VIEWER'!$B$7:$B$10600,$A105)</f>
        <v>0</v>
      </c>
      <c r="J105" s="10">
        <v>0.5</v>
      </c>
      <c r="K105" s="10">
        <f>I105*J105</f>
        <v>0</v>
      </c>
    </row>
    <row r="106" spans="1:11" ht="28.5" x14ac:dyDescent="0.2">
      <c r="A106" s="28">
        <v>1035</v>
      </c>
      <c r="B106" s="9" t="s">
        <v>823</v>
      </c>
      <c r="C106" s="9" t="s">
        <v>824</v>
      </c>
      <c r="D106" s="9" t="s">
        <v>821</v>
      </c>
      <c r="E106" s="9" t="s">
        <v>825</v>
      </c>
      <c r="F106" s="9" t="s">
        <v>125</v>
      </c>
      <c r="G106" s="225" t="s">
        <v>405</v>
      </c>
      <c r="H106" s="9" t="s">
        <v>426</v>
      </c>
      <c r="I106" s="55">
        <f>COUNTIF('LOGBOOK VIEWER'!$B$7:$B$10600,$A106)</f>
        <v>0</v>
      </c>
      <c r="J106" s="10">
        <v>1</v>
      </c>
      <c r="K106" s="10">
        <f>I106*J106</f>
        <v>0</v>
      </c>
    </row>
    <row r="107" spans="1:11" ht="28.5" x14ac:dyDescent="0.2">
      <c r="A107" s="28">
        <v>1036</v>
      </c>
      <c r="B107" s="9" t="s">
        <v>823</v>
      </c>
      <c r="C107" s="9" t="s">
        <v>824</v>
      </c>
      <c r="D107" s="9" t="s">
        <v>821</v>
      </c>
      <c r="E107" s="9" t="s">
        <v>825</v>
      </c>
      <c r="F107" s="9" t="s">
        <v>125</v>
      </c>
      <c r="G107" s="225" t="s">
        <v>412</v>
      </c>
      <c r="H107" s="9" t="s">
        <v>831</v>
      </c>
      <c r="I107" s="55">
        <f>COUNTIF('LOGBOOK VIEWER'!$B$7:$B$10600,$A107)</f>
        <v>0</v>
      </c>
      <c r="J107" s="10">
        <v>0.5</v>
      </c>
      <c r="K107" s="10">
        <f>I107*J107</f>
        <v>0</v>
      </c>
    </row>
    <row r="108" spans="1:11" ht="28.5" x14ac:dyDescent="0.2">
      <c r="A108" s="28">
        <v>1037</v>
      </c>
      <c r="B108" s="9" t="s">
        <v>823</v>
      </c>
      <c r="C108" s="9" t="s">
        <v>824</v>
      </c>
      <c r="D108" s="9" t="s">
        <v>821</v>
      </c>
      <c r="E108" s="9" t="s">
        <v>825</v>
      </c>
      <c r="F108" s="9" t="s">
        <v>125</v>
      </c>
      <c r="G108" s="225" t="s">
        <v>412</v>
      </c>
      <c r="H108" s="9" t="s">
        <v>831</v>
      </c>
      <c r="I108" s="55">
        <f>COUNTIF('LOGBOOK VIEWER'!$B$7:$B$10600,$A108)</f>
        <v>0</v>
      </c>
      <c r="J108" s="10">
        <v>0.5</v>
      </c>
      <c r="K108" s="10">
        <f>I108*J108</f>
        <v>0</v>
      </c>
    </row>
    <row r="109" spans="1:11" ht="28.5" x14ac:dyDescent="0.2">
      <c r="A109" s="28">
        <v>1038</v>
      </c>
      <c r="B109" s="9" t="s">
        <v>823</v>
      </c>
      <c r="C109" s="9" t="s">
        <v>824</v>
      </c>
      <c r="D109" s="9" t="s">
        <v>821</v>
      </c>
      <c r="E109" s="9" t="s">
        <v>825</v>
      </c>
      <c r="F109" s="9" t="s">
        <v>125</v>
      </c>
      <c r="G109" s="225" t="s">
        <v>412</v>
      </c>
      <c r="H109" s="9" t="s">
        <v>831</v>
      </c>
      <c r="I109" s="55">
        <f>COUNTIF('LOGBOOK VIEWER'!$B$7:$B$10600,$A109)</f>
        <v>0</v>
      </c>
      <c r="J109" s="10">
        <v>0.5</v>
      </c>
      <c r="K109" s="10">
        <f>I109*J109</f>
        <v>0</v>
      </c>
    </row>
    <row r="110" spans="1:11" ht="28.5" x14ac:dyDescent="0.2">
      <c r="A110" s="28">
        <v>1039</v>
      </c>
      <c r="B110" s="9" t="s">
        <v>823</v>
      </c>
      <c r="C110" s="9" t="s">
        <v>824</v>
      </c>
      <c r="D110" s="9" t="s">
        <v>821</v>
      </c>
      <c r="E110" s="9" t="s">
        <v>825</v>
      </c>
      <c r="F110" s="9" t="s">
        <v>125</v>
      </c>
      <c r="G110" s="225" t="s">
        <v>405</v>
      </c>
      <c r="H110" s="9" t="s">
        <v>426</v>
      </c>
      <c r="I110" s="55">
        <f>COUNTIF('LOGBOOK VIEWER'!$B$7:$B$10600,$A110)</f>
        <v>0</v>
      </c>
      <c r="J110" s="10">
        <v>1</v>
      </c>
      <c r="K110" s="10">
        <f>I110*J110</f>
        <v>0</v>
      </c>
    </row>
    <row r="111" spans="1:11" ht="28.5" x14ac:dyDescent="0.2">
      <c r="A111" s="28">
        <v>1040</v>
      </c>
      <c r="B111" s="9" t="s">
        <v>823</v>
      </c>
      <c r="C111" s="9" t="s">
        <v>824</v>
      </c>
      <c r="D111" s="9" t="s">
        <v>821</v>
      </c>
      <c r="E111" s="9" t="s">
        <v>825</v>
      </c>
      <c r="F111" s="9" t="s">
        <v>125</v>
      </c>
      <c r="G111" s="225" t="s">
        <v>405</v>
      </c>
      <c r="H111" s="9" t="s">
        <v>426</v>
      </c>
      <c r="I111" s="55">
        <f>COUNTIF('LOGBOOK VIEWER'!$B$7:$B$10600,$A111)</f>
        <v>0</v>
      </c>
      <c r="J111" s="10">
        <v>1</v>
      </c>
      <c r="K111" s="10">
        <f>I111*J111</f>
        <v>0</v>
      </c>
    </row>
    <row r="112" spans="1:11" ht="28.5" x14ac:dyDescent="0.2">
      <c r="A112" s="28">
        <v>1041</v>
      </c>
      <c r="B112" s="9" t="s">
        <v>826</v>
      </c>
      <c r="C112" s="9" t="s">
        <v>827</v>
      </c>
      <c r="D112" s="9" t="s">
        <v>828</v>
      </c>
      <c r="E112" s="9" t="s">
        <v>829</v>
      </c>
      <c r="F112" s="9" t="s">
        <v>126</v>
      </c>
      <c r="G112" s="225" t="s">
        <v>405</v>
      </c>
      <c r="H112" s="9" t="s">
        <v>428</v>
      </c>
      <c r="I112" s="55">
        <f>COUNTIF('LOGBOOK VIEWER'!$B$7:$B$10600,$A112)</f>
        <v>0</v>
      </c>
      <c r="J112" s="10">
        <v>1</v>
      </c>
      <c r="K112" s="10">
        <f>I112*J112</f>
        <v>0</v>
      </c>
    </row>
    <row r="113" spans="1:11" ht="28.5" x14ac:dyDescent="0.2">
      <c r="A113" s="28">
        <v>1042</v>
      </c>
      <c r="B113" s="9" t="s">
        <v>826</v>
      </c>
      <c r="C113" s="9" t="s">
        <v>827</v>
      </c>
      <c r="D113" s="9" t="s">
        <v>828</v>
      </c>
      <c r="E113" s="9" t="s">
        <v>829</v>
      </c>
      <c r="F113" s="9" t="s">
        <v>125</v>
      </c>
      <c r="G113" s="225" t="s">
        <v>412</v>
      </c>
      <c r="H113" s="9" t="s">
        <v>831</v>
      </c>
      <c r="I113" s="55">
        <f>COUNTIF('LOGBOOK VIEWER'!$B$7:$B$10600,$A113)</f>
        <v>0</v>
      </c>
      <c r="J113" s="10">
        <v>0.5</v>
      </c>
      <c r="K113" s="10">
        <f>I113*J113</f>
        <v>0</v>
      </c>
    </row>
    <row r="114" spans="1:11" ht="28.5" x14ac:dyDescent="0.2">
      <c r="A114" s="28">
        <v>1043</v>
      </c>
      <c r="B114" s="9" t="s">
        <v>826</v>
      </c>
      <c r="C114" s="9" t="s">
        <v>827</v>
      </c>
      <c r="D114" s="9" t="s">
        <v>828</v>
      </c>
      <c r="E114" s="9" t="s">
        <v>829</v>
      </c>
      <c r="F114" s="9" t="s">
        <v>125</v>
      </c>
      <c r="G114" s="225" t="s">
        <v>412</v>
      </c>
      <c r="H114" s="9" t="s">
        <v>831</v>
      </c>
      <c r="I114" s="55">
        <f>COUNTIF('LOGBOOK VIEWER'!$B$7:$B$10600,$A114)</f>
        <v>0</v>
      </c>
      <c r="J114" s="10">
        <v>0.5</v>
      </c>
      <c r="K114" s="10">
        <f>I114*J114</f>
        <v>0</v>
      </c>
    </row>
    <row r="115" spans="1:11" ht="28.5" x14ac:dyDescent="0.2">
      <c r="A115" s="28">
        <v>1044</v>
      </c>
      <c r="B115" s="9" t="s">
        <v>826</v>
      </c>
      <c r="C115" s="9" t="s">
        <v>827</v>
      </c>
      <c r="D115" s="9" t="s">
        <v>828</v>
      </c>
      <c r="E115" s="9" t="s">
        <v>829</v>
      </c>
      <c r="F115" s="9" t="s">
        <v>125</v>
      </c>
      <c r="G115" s="225" t="s">
        <v>405</v>
      </c>
      <c r="H115" s="9" t="s">
        <v>428</v>
      </c>
      <c r="I115" s="55">
        <f>COUNTIF('LOGBOOK VIEWER'!$B$7:$B$10600,$A115)</f>
        <v>0</v>
      </c>
      <c r="J115" s="10">
        <v>1</v>
      </c>
      <c r="K115" s="10">
        <f>I115*J115</f>
        <v>0</v>
      </c>
    </row>
    <row r="116" spans="1:11" ht="28.5" x14ac:dyDescent="0.2">
      <c r="A116" s="28">
        <v>1045</v>
      </c>
      <c r="B116" s="9" t="s">
        <v>826</v>
      </c>
      <c r="C116" s="9" t="s">
        <v>827</v>
      </c>
      <c r="D116" s="9" t="s">
        <v>828</v>
      </c>
      <c r="E116" s="9" t="s">
        <v>829</v>
      </c>
      <c r="F116" s="9" t="s">
        <v>125</v>
      </c>
      <c r="G116" s="225" t="s">
        <v>405</v>
      </c>
      <c r="H116" s="9" t="s">
        <v>428</v>
      </c>
      <c r="I116" s="55">
        <f>COUNTIF('LOGBOOK VIEWER'!$B$7:$B$10600,$A116)</f>
        <v>0</v>
      </c>
      <c r="J116" s="10">
        <v>1</v>
      </c>
      <c r="K116" s="10">
        <f>I116*J116</f>
        <v>0</v>
      </c>
    </row>
    <row r="117" spans="1:11" ht="28.5" x14ac:dyDescent="0.2">
      <c r="A117" s="28">
        <v>1046</v>
      </c>
      <c r="B117" s="9" t="s">
        <v>826</v>
      </c>
      <c r="C117" s="9" t="s">
        <v>827</v>
      </c>
      <c r="D117" s="9" t="s">
        <v>828</v>
      </c>
      <c r="E117" s="9" t="s">
        <v>829</v>
      </c>
      <c r="F117" s="9" t="s">
        <v>125</v>
      </c>
      <c r="G117" s="225" t="s">
        <v>412</v>
      </c>
      <c r="H117" s="9" t="s">
        <v>831</v>
      </c>
      <c r="I117" s="55">
        <f>COUNTIF('LOGBOOK VIEWER'!$B$7:$B$10600,$A117)</f>
        <v>0</v>
      </c>
      <c r="J117" s="10">
        <v>0.5</v>
      </c>
      <c r="K117" s="10">
        <f>I117*J117</f>
        <v>0</v>
      </c>
    </row>
    <row r="118" spans="1:11" ht="42.75" x14ac:dyDescent="0.2">
      <c r="A118" s="28">
        <v>1047</v>
      </c>
      <c r="B118" s="9" t="s">
        <v>823</v>
      </c>
      <c r="C118" s="9" t="s">
        <v>830</v>
      </c>
      <c r="D118" s="9" t="s">
        <v>821</v>
      </c>
      <c r="E118" s="9" t="s">
        <v>825</v>
      </c>
      <c r="F118" s="9" t="s">
        <v>125</v>
      </c>
      <c r="G118" s="225" t="s">
        <v>412</v>
      </c>
      <c r="H118" s="9" t="s">
        <v>831</v>
      </c>
      <c r="I118" s="55">
        <f>COUNTIF('LOGBOOK VIEWER'!$B$7:$B$10600,$A118)</f>
        <v>0</v>
      </c>
      <c r="J118" s="10">
        <v>0.5</v>
      </c>
      <c r="K118" s="10">
        <f>I118*J118</f>
        <v>0</v>
      </c>
    </row>
    <row r="119" spans="1:11" ht="71.25" x14ac:dyDescent="0.2">
      <c r="A119" s="28">
        <v>1048</v>
      </c>
      <c r="B119" s="9" t="s">
        <v>823</v>
      </c>
      <c r="C119" s="9" t="s">
        <v>832</v>
      </c>
      <c r="D119" s="9" t="s">
        <v>821</v>
      </c>
      <c r="E119" s="9" t="s">
        <v>825</v>
      </c>
      <c r="F119" s="9" t="s">
        <v>125</v>
      </c>
      <c r="G119" s="225" t="s">
        <v>412</v>
      </c>
      <c r="H119" s="9" t="s">
        <v>831</v>
      </c>
      <c r="I119" s="55">
        <f>COUNTIF('LOGBOOK VIEWER'!$B$7:$B$10600,$A119)</f>
        <v>0</v>
      </c>
      <c r="J119" s="10">
        <v>0.5</v>
      </c>
      <c r="K119" s="10">
        <f>I119*J119</f>
        <v>0</v>
      </c>
    </row>
    <row r="120" spans="1:11" ht="57" x14ac:dyDescent="0.2">
      <c r="A120" s="28">
        <v>1049</v>
      </c>
      <c r="B120" s="9" t="s">
        <v>823</v>
      </c>
      <c r="C120" s="9" t="s">
        <v>833</v>
      </c>
      <c r="D120" s="9" t="s">
        <v>821</v>
      </c>
      <c r="E120" s="9" t="s">
        <v>825</v>
      </c>
      <c r="F120" s="9" t="s">
        <v>125</v>
      </c>
      <c r="G120" s="225" t="s">
        <v>412</v>
      </c>
      <c r="H120" s="9" t="s">
        <v>831</v>
      </c>
      <c r="I120" s="55">
        <f>COUNTIF('LOGBOOK VIEWER'!$B$7:$B$10600,$A120)</f>
        <v>0</v>
      </c>
      <c r="J120" s="10">
        <v>0.5</v>
      </c>
      <c r="K120" s="10">
        <f>I120*J120</f>
        <v>0</v>
      </c>
    </row>
    <row r="121" spans="1:11" ht="42.75" x14ac:dyDescent="0.2">
      <c r="A121" s="28">
        <v>1050</v>
      </c>
      <c r="B121" s="9" t="s">
        <v>823</v>
      </c>
      <c r="C121" s="9" t="s">
        <v>834</v>
      </c>
      <c r="D121" s="9" t="s">
        <v>821</v>
      </c>
      <c r="E121" s="9" t="s">
        <v>825</v>
      </c>
      <c r="F121" s="9" t="s">
        <v>125</v>
      </c>
      <c r="G121" s="225" t="s">
        <v>412</v>
      </c>
      <c r="H121" s="9" t="s">
        <v>831</v>
      </c>
      <c r="I121" s="55">
        <f>COUNTIF('LOGBOOK VIEWER'!$B$7:$B$10600,$A121)</f>
        <v>0</v>
      </c>
      <c r="J121" s="10">
        <v>0.5</v>
      </c>
      <c r="K121" s="10">
        <f>I121*J121</f>
        <v>0</v>
      </c>
    </row>
    <row r="122" spans="1:11" ht="28.5" x14ac:dyDescent="0.2">
      <c r="A122" s="28">
        <v>1100</v>
      </c>
      <c r="B122" s="9" t="s">
        <v>835</v>
      </c>
      <c r="C122" s="9" t="s">
        <v>836</v>
      </c>
      <c r="D122" s="9" t="s">
        <v>828</v>
      </c>
      <c r="E122" s="9" t="s">
        <v>837</v>
      </c>
      <c r="F122" s="9" t="s">
        <v>125</v>
      </c>
      <c r="G122" s="225" t="s">
        <v>412</v>
      </c>
      <c r="H122" s="9" t="s">
        <v>831</v>
      </c>
      <c r="I122" s="55">
        <f>COUNTIF('LOGBOOK VIEWER'!$B$7:$B$10600,$A122)</f>
        <v>0</v>
      </c>
      <c r="J122" s="10">
        <v>0.5</v>
      </c>
      <c r="K122" s="10">
        <f>I122*J122</f>
        <v>0</v>
      </c>
    </row>
    <row r="123" spans="1:11" ht="28.5" x14ac:dyDescent="0.2">
      <c r="A123" s="28">
        <v>1105</v>
      </c>
      <c r="B123" s="9" t="s">
        <v>838</v>
      </c>
      <c r="C123" s="9" t="s">
        <v>839</v>
      </c>
      <c r="D123" s="9" t="s">
        <v>821</v>
      </c>
      <c r="E123" s="9" t="s">
        <v>837</v>
      </c>
      <c r="F123" s="9" t="s">
        <v>125</v>
      </c>
      <c r="G123" s="225" t="s">
        <v>412</v>
      </c>
      <c r="H123" s="9" t="s">
        <v>831</v>
      </c>
      <c r="I123" s="55">
        <f>COUNTIF('LOGBOOK VIEWER'!$B$7:$B$10600,$A123)</f>
        <v>0</v>
      </c>
      <c r="J123" s="10">
        <v>0.5</v>
      </c>
      <c r="K123" s="10">
        <f>I123*J123</f>
        <v>0</v>
      </c>
    </row>
    <row r="124" spans="1:11" ht="42.75" x14ac:dyDescent="0.2">
      <c r="A124" s="28">
        <v>1110</v>
      </c>
      <c r="B124" s="9" t="s">
        <v>840</v>
      </c>
      <c r="C124" s="9" t="s">
        <v>841</v>
      </c>
      <c r="D124" s="9" t="s">
        <v>842</v>
      </c>
      <c r="E124" s="9" t="s">
        <v>842</v>
      </c>
      <c r="F124" s="9" t="s">
        <v>125</v>
      </c>
      <c r="G124" s="225" t="s">
        <v>412</v>
      </c>
      <c r="H124" s="9" t="s">
        <v>831</v>
      </c>
      <c r="I124" s="55">
        <f>COUNTIF('LOGBOOK VIEWER'!$B$7:$B$10600,$A124)</f>
        <v>0</v>
      </c>
      <c r="J124" s="10">
        <v>0.5</v>
      </c>
      <c r="K124" s="10">
        <f>I124*J124</f>
        <v>0</v>
      </c>
    </row>
    <row r="125" spans="1:11" ht="42.75" x14ac:dyDescent="0.2">
      <c r="A125" s="28">
        <v>1111</v>
      </c>
      <c r="B125" s="9" t="s">
        <v>843</v>
      </c>
      <c r="C125" s="9" t="s">
        <v>841</v>
      </c>
      <c r="D125" s="9" t="s">
        <v>842</v>
      </c>
      <c r="E125" s="9" t="s">
        <v>842</v>
      </c>
      <c r="F125" s="9" t="s">
        <v>125</v>
      </c>
      <c r="G125" s="225" t="s">
        <v>412</v>
      </c>
      <c r="H125" s="9" t="s">
        <v>831</v>
      </c>
      <c r="I125" s="55">
        <f>COUNTIF('LOGBOOK VIEWER'!$B$7:$B$10600,$A125)</f>
        <v>0</v>
      </c>
      <c r="J125" s="10">
        <v>0.5</v>
      </c>
      <c r="K125" s="10">
        <f>I125*J125</f>
        <v>0</v>
      </c>
    </row>
    <row r="126" spans="1:11" ht="42.75" x14ac:dyDescent="0.2">
      <c r="A126" s="28">
        <v>1115</v>
      </c>
      <c r="B126" s="9" t="s">
        <v>844</v>
      </c>
      <c r="C126" s="9" t="s">
        <v>845</v>
      </c>
      <c r="D126" s="9" t="s">
        <v>842</v>
      </c>
      <c r="E126" s="9" t="s">
        <v>842</v>
      </c>
      <c r="F126" s="9" t="s">
        <v>125</v>
      </c>
      <c r="G126" s="225" t="s">
        <v>412</v>
      </c>
      <c r="H126" s="9" t="s">
        <v>831</v>
      </c>
      <c r="I126" s="55">
        <f>COUNTIF('LOGBOOK VIEWER'!$B$7:$B$10600,$A126)</f>
        <v>0</v>
      </c>
      <c r="J126" s="10">
        <v>0.5</v>
      </c>
      <c r="K126" s="10">
        <f>I126*J126</f>
        <v>0</v>
      </c>
    </row>
    <row r="127" spans="1:11" ht="42.75" x14ac:dyDescent="0.2">
      <c r="A127" s="28">
        <v>1116</v>
      </c>
      <c r="B127" s="9" t="s">
        <v>846</v>
      </c>
      <c r="C127" s="9" t="s">
        <v>845</v>
      </c>
      <c r="D127" s="9" t="s">
        <v>842</v>
      </c>
      <c r="E127" s="9" t="s">
        <v>842</v>
      </c>
      <c r="F127" s="9" t="s">
        <v>125</v>
      </c>
      <c r="G127" s="225" t="s">
        <v>412</v>
      </c>
      <c r="H127" s="9" t="s">
        <v>831</v>
      </c>
      <c r="I127" s="55">
        <f>COUNTIF('LOGBOOK VIEWER'!$B$7:$B$10600,$A127)</f>
        <v>0</v>
      </c>
      <c r="J127" s="10">
        <v>0.5</v>
      </c>
      <c r="K127" s="10">
        <f>I127*J127</f>
        <v>0</v>
      </c>
    </row>
    <row r="128" spans="1:11" ht="42.75" x14ac:dyDescent="0.2">
      <c r="A128" s="28">
        <v>1117</v>
      </c>
      <c r="B128" s="9" t="s">
        <v>847</v>
      </c>
      <c r="C128" s="9" t="s">
        <v>845</v>
      </c>
      <c r="D128" s="9" t="s">
        <v>842</v>
      </c>
      <c r="E128" s="9" t="s">
        <v>842</v>
      </c>
      <c r="F128" s="9" t="s">
        <v>125</v>
      </c>
      <c r="G128" s="225" t="s">
        <v>412</v>
      </c>
      <c r="H128" s="9" t="s">
        <v>831</v>
      </c>
      <c r="I128" s="55">
        <f>COUNTIF('LOGBOOK VIEWER'!$B$7:$B$10600,$A128)</f>
        <v>0</v>
      </c>
      <c r="J128" s="10">
        <v>0.5</v>
      </c>
      <c r="K128" s="10">
        <f>I128*J128</f>
        <v>0</v>
      </c>
    </row>
    <row r="129" spans="1:11" ht="42.75" x14ac:dyDescent="0.2">
      <c r="A129" s="28">
        <v>1118</v>
      </c>
      <c r="B129" s="9" t="s">
        <v>848</v>
      </c>
      <c r="C129" s="9" t="s">
        <v>845</v>
      </c>
      <c r="D129" s="9" t="s">
        <v>842</v>
      </c>
      <c r="E129" s="9" t="s">
        <v>842</v>
      </c>
      <c r="F129" s="9" t="s">
        <v>125</v>
      </c>
      <c r="G129" s="225" t="s">
        <v>412</v>
      </c>
      <c r="H129" s="9" t="s">
        <v>831</v>
      </c>
      <c r="I129" s="55">
        <f>COUNTIF('LOGBOOK VIEWER'!$B$7:$B$10600,$A129)</f>
        <v>0</v>
      </c>
      <c r="J129" s="10">
        <v>0.5</v>
      </c>
      <c r="K129" s="10">
        <f>I129*J129</f>
        <v>0</v>
      </c>
    </row>
    <row r="130" spans="1:11" ht="42.75" x14ac:dyDescent="0.2">
      <c r="A130" s="28">
        <v>1120</v>
      </c>
      <c r="B130" s="9" t="s">
        <v>849</v>
      </c>
      <c r="C130" s="9" t="s">
        <v>850</v>
      </c>
      <c r="D130" s="9" t="s">
        <v>842</v>
      </c>
      <c r="E130" s="9" t="s">
        <v>842</v>
      </c>
      <c r="F130" s="9" t="s">
        <v>125</v>
      </c>
      <c r="G130" s="225" t="s">
        <v>412</v>
      </c>
      <c r="H130" s="9" t="s">
        <v>831</v>
      </c>
      <c r="I130" s="55">
        <f>COUNTIF('LOGBOOK VIEWER'!$B$7:$B$10600,$A130)</f>
        <v>0</v>
      </c>
      <c r="J130" s="10">
        <v>0.5</v>
      </c>
      <c r="K130" s="10">
        <f>I130*J130</f>
        <v>0</v>
      </c>
    </row>
    <row r="131" spans="1:11" ht="42.75" x14ac:dyDescent="0.2">
      <c r="A131" s="28">
        <v>1125</v>
      </c>
      <c r="B131" s="9" t="s">
        <v>851</v>
      </c>
      <c r="C131" s="9" t="s">
        <v>852</v>
      </c>
      <c r="D131" s="9" t="s">
        <v>842</v>
      </c>
      <c r="E131" s="9" t="s">
        <v>842</v>
      </c>
      <c r="F131" s="9" t="s">
        <v>125</v>
      </c>
      <c r="G131" s="225" t="s">
        <v>405</v>
      </c>
      <c r="H131" s="9" t="s">
        <v>426</v>
      </c>
      <c r="I131" s="55">
        <f>COUNTIF('LOGBOOK VIEWER'!$B$7:$B$10600,$A131)</f>
        <v>0</v>
      </c>
      <c r="J131" s="10">
        <v>1</v>
      </c>
      <c r="K131" s="10">
        <f>I131*J131</f>
        <v>0</v>
      </c>
    </row>
    <row r="132" spans="1:11" ht="42.75" x14ac:dyDescent="0.2">
      <c r="A132" s="28">
        <v>1130</v>
      </c>
      <c r="B132" s="9" t="s">
        <v>853</v>
      </c>
      <c r="C132" s="9" t="s">
        <v>854</v>
      </c>
      <c r="D132" s="9" t="s">
        <v>828</v>
      </c>
      <c r="E132" s="9" t="s">
        <v>837</v>
      </c>
      <c r="F132" s="9" t="s">
        <v>125</v>
      </c>
      <c r="G132" s="225" t="s">
        <v>405</v>
      </c>
      <c r="H132" s="9" t="s">
        <v>426</v>
      </c>
      <c r="I132" s="55">
        <f>COUNTIF('LOGBOOK VIEWER'!$B$7:$B$10600,$A132)</f>
        <v>0</v>
      </c>
      <c r="J132" s="10">
        <v>1</v>
      </c>
      <c r="K132" s="10">
        <f>I132*J132</f>
        <v>0</v>
      </c>
    </row>
    <row r="133" spans="1:11" ht="42.75" x14ac:dyDescent="0.2">
      <c r="A133" s="28">
        <v>1131</v>
      </c>
      <c r="B133" s="9" t="s">
        <v>636</v>
      </c>
      <c r="C133" s="9" t="s">
        <v>637</v>
      </c>
      <c r="D133" s="9" t="s">
        <v>821</v>
      </c>
      <c r="E133" s="9" t="s">
        <v>837</v>
      </c>
      <c r="F133" s="9" t="s">
        <v>125</v>
      </c>
      <c r="G133" s="225" t="s">
        <v>412</v>
      </c>
      <c r="H133" s="9" t="s">
        <v>831</v>
      </c>
      <c r="I133" s="55">
        <f>COUNTIF('LOGBOOK VIEWER'!$B$7:$B$10600,$A133)</f>
        <v>0</v>
      </c>
      <c r="J133" s="10">
        <v>0.5</v>
      </c>
      <c r="K133" s="10">
        <f>I133*J133</f>
        <v>0</v>
      </c>
    </row>
    <row r="134" spans="1:11" ht="42.75" x14ac:dyDescent="0.2">
      <c r="A134" s="28">
        <v>1132</v>
      </c>
      <c r="B134" s="9" t="s">
        <v>855</v>
      </c>
      <c r="C134" s="9" t="s">
        <v>856</v>
      </c>
      <c r="D134" s="9" t="s">
        <v>821</v>
      </c>
      <c r="E134" s="9" t="s">
        <v>837</v>
      </c>
      <c r="F134" s="9" t="s">
        <v>831</v>
      </c>
      <c r="G134" s="225" t="s">
        <v>412</v>
      </c>
      <c r="H134" s="9" t="s">
        <v>831</v>
      </c>
      <c r="I134" s="55">
        <f>COUNTIF('LOGBOOK VIEWER'!$B$7:$B$10600,$A134)</f>
        <v>0</v>
      </c>
      <c r="J134" s="10">
        <v>0.5</v>
      </c>
      <c r="K134" s="10">
        <f>I134*J134</f>
        <v>0</v>
      </c>
    </row>
    <row r="135" spans="1:11" ht="42.75" x14ac:dyDescent="0.2">
      <c r="A135" s="28">
        <v>1133</v>
      </c>
      <c r="B135" s="9" t="s">
        <v>857</v>
      </c>
      <c r="C135" s="9" t="s">
        <v>856</v>
      </c>
      <c r="D135" s="9" t="s">
        <v>821</v>
      </c>
      <c r="E135" s="9" t="s">
        <v>837</v>
      </c>
      <c r="F135" s="9" t="s">
        <v>831</v>
      </c>
      <c r="G135" s="225" t="s">
        <v>412</v>
      </c>
      <c r="H135" s="9" t="s">
        <v>831</v>
      </c>
      <c r="I135" s="55">
        <f>COUNTIF('LOGBOOK VIEWER'!$B$7:$B$10600,$A135)</f>
        <v>0</v>
      </c>
      <c r="J135" s="10">
        <v>0.5</v>
      </c>
      <c r="K135" s="10">
        <f>I135*J135</f>
        <v>0</v>
      </c>
    </row>
    <row r="136" spans="1:11" ht="42.75" x14ac:dyDescent="0.2">
      <c r="A136" s="28">
        <v>1134</v>
      </c>
      <c r="B136" s="9" t="s">
        <v>858</v>
      </c>
      <c r="C136" s="9" t="s">
        <v>856</v>
      </c>
      <c r="D136" s="9" t="s">
        <v>821</v>
      </c>
      <c r="E136" s="9" t="s">
        <v>837</v>
      </c>
      <c r="F136" s="9" t="s">
        <v>831</v>
      </c>
      <c r="G136" s="225" t="s">
        <v>412</v>
      </c>
      <c r="H136" s="9" t="s">
        <v>831</v>
      </c>
      <c r="I136" s="55">
        <f>COUNTIF('LOGBOOK VIEWER'!$B$7:$B$10600,$A136)</f>
        <v>0</v>
      </c>
      <c r="J136" s="10">
        <v>0.5</v>
      </c>
      <c r="K136" s="10">
        <f>I136*J136</f>
        <v>0</v>
      </c>
    </row>
    <row r="137" spans="1:11" ht="42.75" x14ac:dyDescent="0.2">
      <c r="A137" s="28">
        <v>1135</v>
      </c>
      <c r="B137" s="9" t="s">
        <v>859</v>
      </c>
      <c r="C137" s="9" t="s">
        <v>856</v>
      </c>
      <c r="D137" s="9" t="s">
        <v>860</v>
      </c>
      <c r="E137" s="9" t="s">
        <v>861</v>
      </c>
      <c r="F137" s="9" t="s">
        <v>125</v>
      </c>
      <c r="G137" s="225" t="s">
        <v>412</v>
      </c>
      <c r="H137" s="9" t="s">
        <v>831</v>
      </c>
      <c r="I137" s="55">
        <f>COUNTIF('LOGBOOK VIEWER'!$B$7:$B$10600,$A137)</f>
        <v>0</v>
      </c>
      <c r="J137" s="10">
        <v>0.5</v>
      </c>
      <c r="K137" s="10">
        <f>I137*J137</f>
        <v>0</v>
      </c>
    </row>
    <row r="138" spans="1:11" ht="42.75" x14ac:dyDescent="0.2">
      <c r="A138" s="28">
        <v>1136</v>
      </c>
      <c r="B138" s="9" t="s">
        <v>862</v>
      </c>
      <c r="C138" s="9" t="s">
        <v>856</v>
      </c>
      <c r="D138" s="9" t="s">
        <v>863</v>
      </c>
      <c r="E138" s="9" t="s">
        <v>864</v>
      </c>
      <c r="F138" s="9" t="s">
        <v>125</v>
      </c>
      <c r="G138" s="225" t="s">
        <v>412</v>
      </c>
      <c r="H138" s="9" t="s">
        <v>831</v>
      </c>
      <c r="I138" s="55">
        <f>COUNTIF('LOGBOOK VIEWER'!$B$7:$B$10600,$A138)</f>
        <v>0</v>
      </c>
      <c r="J138" s="10">
        <v>0.5</v>
      </c>
      <c r="K138" s="10">
        <f>I138*J138</f>
        <v>0</v>
      </c>
    </row>
    <row r="139" spans="1:11" ht="42.75" x14ac:dyDescent="0.2">
      <c r="A139" s="28">
        <v>1137</v>
      </c>
      <c r="B139" s="9" t="s">
        <v>865</v>
      </c>
      <c r="C139" s="9" t="s">
        <v>856</v>
      </c>
      <c r="D139" s="9" t="s">
        <v>828</v>
      </c>
      <c r="E139" s="9" t="s">
        <v>837</v>
      </c>
      <c r="F139" s="9" t="s">
        <v>125</v>
      </c>
      <c r="G139" s="225" t="s">
        <v>412</v>
      </c>
      <c r="H139" s="9" t="s">
        <v>831</v>
      </c>
      <c r="I139" s="55">
        <f>COUNTIF('LOGBOOK VIEWER'!$B$7:$B$10600,$A139)</f>
        <v>0</v>
      </c>
      <c r="J139" s="10">
        <v>0.5</v>
      </c>
      <c r="K139" s="10">
        <f>I139*J139</f>
        <v>0</v>
      </c>
    </row>
    <row r="140" spans="1:11" ht="42.75" x14ac:dyDescent="0.2">
      <c r="A140" s="28">
        <v>1138</v>
      </c>
      <c r="B140" s="9" t="s">
        <v>917</v>
      </c>
      <c r="C140" s="9" t="s">
        <v>918</v>
      </c>
      <c r="D140" s="9" t="s">
        <v>404</v>
      </c>
      <c r="E140" s="9" t="s">
        <v>404</v>
      </c>
      <c r="F140" s="9" t="s">
        <v>125</v>
      </c>
      <c r="G140" s="225" t="s">
        <v>412</v>
      </c>
      <c r="H140" s="9" t="s">
        <v>831</v>
      </c>
      <c r="I140" s="55">
        <f>COUNTIF('LOGBOOK VIEWER'!$B$7:$B$10600,$A140)</f>
        <v>0</v>
      </c>
      <c r="J140" s="10">
        <v>0.5</v>
      </c>
      <c r="K140" s="10">
        <f>I140*J140</f>
        <v>0</v>
      </c>
    </row>
    <row r="141" spans="1:11" ht="42.75" x14ac:dyDescent="0.2">
      <c r="A141" s="28">
        <v>1139</v>
      </c>
      <c r="B141" s="9" t="s">
        <v>917</v>
      </c>
      <c r="C141" s="9" t="s">
        <v>919</v>
      </c>
      <c r="D141" s="9" t="s">
        <v>404</v>
      </c>
      <c r="E141" s="9" t="s">
        <v>404</v>
      </c>
      <c r="F141" s="9" t="s">
        <v>125</v>
      </c>
      <c r="G141" s="225" t="s">
        <v>412</v>
      </c>
      <c r="H141" s="9" t="s">
        <v>831</v>
      </c>
      <c r="I141" s="55">
        <f>COUNTIF('LOGBOOK VIEWER'!$B$7:$B$10600,$A141)</f>
        <v>0</v>
      </c>
      <c r="J141" s="10">
        <v>0.5</v>
      </c>
      <c r="K141" s="10">
        <f>I141*J141</f>
        <v>0</v>
      </c>
    </row>
    <row r="142" spans="1:11" ht="42.75" x14ac:dyDescent="0.2">
      <c r="A142" s="28">
        <v>1140</v>
      </c>
      <c r="B142" s="9" t="s">
        <v>859</v>
      </c>
      <c r="C142" s="9" t="s">
        <v>866</v>
      </c>
      <c r="D142" s="9" t="s">
        <v>860</v>
      </c>
      <c r="E142" s="9" t="s">
        <v>861</v>
      </c>
      <c r="F142" s="9" t="s">
        <v>125</v>
      </c>
      <c r="G142" s="225" t="s">
        <v>412</v>
      </c>
      <c r="H142" s="9" t="s">
        <v>831</v>
      </c>
      <c r="I142" s="55">
        <f>COUNTIF('LOGBOOK VIEWER'!$B$7:$B$10600,$A142)</f>
        <v>0</v>
      </c>
      <c r="J142" s="10">
        <v>0.5</v>
      </c>
      <c r="K142" s="10">
        <f>I142*J142</f>
        <v>0</v>
      </c>
    </row>
    <row r="143" spans="1:11" ht="42.75" x14ac:dyDescent="0.2">
      <c r="A143" s="28">
        <v>1141</v>
      </c>
      <c r="B143" s="9" t="s">
        <v>862</v>
      </c>
      <c r="C143" s="9" t="s">
        <v>866</v>
      </c>
      <c r="D143" s="9" t="s">
        <v>863</v>
      </c>
      <c r="E143" s="9" t="s">
        <v>864</v>
      </c>
      <c r="F143" s="9" t="s">
        <v>125</v>
      </c>
      <c r="G143" s="225" t="s">
        <v>412</v>
      </c>
      <c r="H143" s="9" t="s">
        <v>831</v>
      </c>
      <c r="I143" s="55">
        <f>COUNTIF('LOGBOOK VIEWER'!$B$7:$B$10600,$A143)</f>
        <v>0</v>
      </c>
      <c r="J143" s="10">
        <v>0.5</v>
      </c>
      <c r="K143" s="10">
        <f>I143*J143</f>
        <v>0</v>
      </c>
    </row>
    <row r="144" spans="1:11" ht="42.75" x14ac:dyDescent="0.2">
      <c r="A144" s="28">
        <v>1142</v>
      </c>
      <c r="B144" s="9" t="s">
        <v>865</v>
      </c>
      <c r="C144" s="9" t="s">
        <v>866</v>
      </c>
      <c r="D144" s="9" t="s">
        <v>828</v>
      </c>
      <c r="E144" s="9" t="s">
        <v>837</v>
      </c>
      <c r="F144" s="9" t="s">
        <v>125</v>
      </c>
      <c r="G144" s="225" t="s">
        <v>412</v>
      </c>
      <c r="H144" s="9" t="s">
        <v>831</v>
      </c>
      <c r="I144" s="55">
        <f>COUNTIF('LOGBOOK VIEWER'!$B$7:$B$10600,$A144)</f>
        <v>0</v>
      </c>
      <c r="J144" s="10">
        <v>0.5</v>
      </c>
      <c r="K144" s="10">
        <f>I144*J144</f>
        <v>0</v>
      </c>
    </row>
    <row r="145" spans="1:11" ht="42.75" x14ac:dyDescent="0.2">
      <c r="A145" s="28">
        <v>1143</v>
      </c>
      <c r="B145" s="9" t="s">
        <v>638</v>
      </c>
      <c r="C145" s="9" t="s">
        <v>866</v>
      </c>
      <c r="D145" s="9" t="s">
        <v>821</v>
      </c>
      <c r="E145" s="9" t="s">
        <v>837</v>
      </c>
      <c r="F145" s="9" t="s">
        <v>125</v>
      </c>
      <c r="G145" s="225" t="s">
        <v>412</v>
      </c>
      <c r="H145" s="9" t="s">
        <v>831</v>
      </c>
      <c r="I145" s="55">
        <f>COUNTIF('LOGBOOK VIEWER'!$B$7:$B$10600,$A145)</f>
        <v>0</v>
      </c>
      <c r="J145" s="10">
        <v>0.5</v>
      </c>
      <c r="K145" s="10">
        <f>I145*J145</f>
        <v>0</v>
      </c>
    </row>
    <row r="146" spans="1:11" ht="42.75" x14ac:dyDescent="0.2">
      <c r="A146" s="28">
        <v>1144</v>
      </c>
      <c r="B146" s="9" t="s">
        <v>855</v>
      </c>
      <c r="C146" s="9" t="s">
        <v>866</v>
      </c>
      <c r="D146" s="9" t="s">
        <v>821</v>
      </c>
      <c r="E146" s="9" t="s">
        <v>837</v>
      </c>
      <c r="F146" s="9" t="s">
        <v>831</v>
      </c>
      <c r="G146" s="225" t="s">
        <v>412</v>
      </c>
      <c r="H146" s="9" t="s">
        <v>831</v>
      </c>
      <c r="I146" s="55">
        <f>COUNTIF('LOGBOOK VIEWER'!$B$7:$B$10600,$A146)</f>
        <v>0</v>
      </c>
      <c r="J146" s="10">
        <v>0.5</v>
      </c>
      <c r="K146" s="10">
        <f>I146*J146</f>
        <v>0</v>
      </c>
    </row>
    <row r="147" spans="1:11" ht="42.75" x14ac:dyDescent="0.2">
      <c r="A147" s="28">
        <v>1145</v>
      </c>
      <c r="B147" s="9" t="s">
        <v>857</v>
      </c>
      <c r="C147" s="9" t="s">
        <v>866</v>
      </c>
      <c r="D147" s="9" t="s">
        <v>821</v>
      </c>
      <c r="E147" s="9" t="s">
        <v>837</v>
      </c>
      <c r="F147" s="9" t="s">
        <v>831</v>
      </c>
      <c r="G147" s="225" t="s">
        <v>412</v>
      </c>
      <c r="H147" s="9" t="s">
        <v>831</v>
      </c>
      <c r="I147" s="55">
        <f>COUNTIF('LOGBOOK VIEWER'!$B$7:$B$10600,$A147)</f>
        <v>0</v>
      </c>
      <c r="J147" s="10">
        <v>0.5</v>
      </c>
      <c r="K147" s="10">
        <f>I147*J147</f>
        <v>0</v>
      </c>
    </row>
    <row r="148" spans="1:11" ht="42.75" x14ac:dyDescent="0.2">
      <c r="A148" s="28">
        <v>1146</v>
      </c>
      <c r="B148" s="9" t="s">
        <v>858</v>
      </c>
      <c r="C148" s="9" t="s">
        <v>866</v>
      </c>
      <c r="D148" s="9" t="s">
        <v>821</v>
      </c>
      <c r="E148" s="9" t="s">
        <v>837</v>
      </c>
      <c r="F148" s="9" t="s">
        <v>831</v>
      </c>
      <c r="G148" s="225" t="s">
        <v>412</v>
      </c>
      <c r="H148" s="9" t="s">
        <v>831</v>
      </c>
      <c r="I148" s="55">
        <f>COUNTIF('LOGBOOK VIEWER'!$B$7:$B$10600,$A148)</f>
        <v>0</v>
      </c>
      <c r="J148" s="10">
        <v>0.5</v>
      </c>
      <c r="K148" s="10">
        <f>I148*J148</f>
        <v>0</v>
      </c>
    </row>
    <row r="149" spans="1:11" ht="28.5" x14ac:dyDescent="0.2">
      <c r="A149" s="28">
        <v>1151</v>
      </c>
      <c r="B149" s="9" t="s">
        <v>639</v>
      </c>
      <c r="C149" s="9" t="s">
        <v>868</v>
      </c>
      <c r="D149" s="9" t="s">
        <v>821</v>
      </c>
      <c r="E149" s="9" t="s">
        <v>837</v>
      </c>
      <c r="F149" s="9" t="s">
        <v>125</v>
      </c>
      <c r="G149" s="225" t="s">
        <v>412</v>
      </c>
      <c r="H149" s="9" t="s">
        <v>831</v>
      </c>
      <c r="I149" s="55">
        <f>COUNTIF('LOGBOOK VIEWER'!$B$7:$B$10600,$A149)</f>
        <v>0</v>
      </c>
      <c r="J149" s="10">
        <v>0.5</v>
      </c>
      <c r="K149" s="10">
        <f>I149*J149</f>
        <v>0</v>
      </c>
    </row>
    <row r="150" spans="1:11" ht="28.5" x14ac:dyDescent="0.2">
      <c r="A150" s="28">
        <v>1152</v>
      </c>
      <c r="B150" s="9" t="s">
        <v>867</v>
      </c>
      <c r="C150" s="9" t="s">
        <v>868</v>
      </c>
      <c r="D150" s="9" t="s">
        <v>821</v>
      </c>
      <c r="E150" s="9" t="s">
        <v>837</v>
      </c>
      <c r="F150" s="9" t="s">
        <v>831</v>
      </c>
      <c r="G150" s="225" t="s">
        <v>412</v>
      </c>
      <c r="H150" s="9" t="s">
        <v>831</v>
      </c>
      <c r="I150" s="55">
        <f>COUNTIF('LOGBOOK VIEWER'!$B$7:$B$10600,$A150)</f>
        <v>0</v>
      </c>
      <c r="J150" s="10">
        <v>0.5</v>
      </c>
      <c r="K150" s="10">
        <f>I150*J150</f>
        <v>0</v>
      </c>
    </row>
    <row r="151" spans="1:11" ht="28.5" x14ac:dyDescent="0.2">
      <c r="A151" s="28">
        <v>1153</v>
      </c>
      <c r="B151" s="9" t="s">
        <v>869</v>
      </c>
      <c r="C151" s="9" t="s">
        <v>868</v>
      </c>
      <c r="D151" s="9" t="s">
        <v>821</v>
      </c>
      <c r="E151" s="9" t="s">
        <v>837</v>
      </c>
      <c r="F151" s="9" t="s">
        <v>831</v>
      </c>
      <c r="G151" s="225" t="s">
        <v>412</v>
      </c>
      <c r="H151" s="9" t="s">
        <v>831</v>
      </c>
      <c r="I151" s="55">
        <f>COUNTIF('LOGBOOK VIEWER'!$B$7:$B$10600,$A151)</f>
        <v>0</v>
      </c>
      <c r="J151" s="10">
        <v>0.5</v>
      </c>
      <c r="K151" s="10">
        <f>I151*J151</f>
        <v>0</v>
      </c>
    </row>
    <row r="152" spans="1:11" ht="28.5" x14ac:dyDescent="0.2">
      <c r="A152" s="28">
        <v>1154</v>
      </c>
      <c r="B152" s="9" t="s">
        <v>870</v>
      </c>
      <c r="C152" s="9" t="s">
        <v>868</v>
      </c>
      <c r="D152" s="9" t="s">
        <v>821</v>
      </c>
      <c r="E152" s="9" t="s">
        <v>837</v>
      </c>
      <c r="F152" s="9" t="s">
        <v>831</v>
      </c>
      <c r="G152" s="225" t="s">
        <v>412</v>
      </c>
      <c r="H152" s="9" t="s">
        <v>831</v>
      </c>
      <c r="I152" s="55">
        <f>COUNTIF('LOGBOOK VIEWER'!$B$7:$B$10600,$A152)</f>
        <v>0</v>
      </c>
      <c r="J152" s="10">
        <v>0.5</v>
      </c>
      <c r="K152" s="10">
        <f>I152*J152</f>
        <v>0</v>
      </c>
    </row>
    <row r="153" spans="1:11" ht="28.5" x14ac:dyDescent="0.2">
      <c r="A153" s="28">
        <v>1155</v>
      </c>
      <c r="B153" s="9" t="s">
        <v>871</v>
      </c>
      <c r="C153" s="9" t="s">
        <v>868</v>
      </c>
      <c r="D153" s="9" t="s">
        <v>860</v>
      </c>
      <c r="E153" s="9" t="s">
        <v>861</v>
      </c>
      <c r="F153" s="9" t="s">
        <v>125</v>
      </c>
      <c r="G153" s="225" t="s">
        <v>412</v>
      </c>
      <c r="H153" s="9" t="s">
        <v>831</v>
      </c>
      <c r="I153" s="55">
        <f>COUNTIF('LOGBOOK VIEWER'!$B$7:$B$10600,$A153)</f>
        <v>0</v>
      </c>
      <c r="J153" s="10">
        <v>0.5</v>
      </c>
      <c r="K153" s="10">
        <f>I153*J153</f>
        <v>0</v>
      </c>
    </row>
    <row r="154" spans="1:11" ht="28.5" x14ac:dyDescent="0.2">
      <c r="A154" s="28">
        <v>1156</v>
      </c>
      <c r="B154" s="9" t="s">
        <v>872</v>
      </c>
      <c r="C154" s="9" t="s">
        <v>868</v>
      </c>
      <c r="D154" s="9" t="s">
        <v>863</v>
      </c>
      <c r="E154" s="9" t="s">
        <v>864</v>
      </c>
      <c r="F154" s="9" t="s">
        <v>125</v>
      </c>
      <c r="G154" s="225" t="s">
        <v>412</v>
      </c>
      <c r="H154" s="9" t="s">
        <v>831</v>
      </c>
      <c r="I154" s="55">
        <f>COUNTIF('LOGBOOK VIEWER'!$B$7:$B$10600,$A154)</f>
        <v>0</v>
      </c>
      <c r="J154" s="10">
        <v>0.5</v>
      </c>
      <c r="K154" s="10">
        <f>I154*J154</f>
        <v>0</v>
      </c>
    </row>
    <row r="155" spans="1:11" ht="28.5" x14ac:dyDescent="0.2">
      <c r="A155" s="28">
        <v>1157</v>
      </c>
      <c r="B155" s="9" t="s">
        <v>873</v>
      </c>
      <c r="C155" s="9" t="s">
        <v>868</v>
      </c>
      <c r="D155" s="9" t="s">
        <v>828</v>
      </c>
      <c r="E155" s="9" t="s">
        <v>837</v>
      </c>
      <c r="F155" s="9" t="s">
        <v>125</v>
      </c>
      <c r="G155" s="225" t="s">
        <v>412</v>
      </c>
      <c r="H155" s="9" t="s">
        <v>831</v>
      </c>
      <c r="I155" s="55">
        <f>COUNTIF('LOGBOOK VIEWER'!$B$7:$B$10600,$A155)</f>
        <v>0</v>
      </c>
      <c r="J155" s="10">
        <v>0.5</v>
      </c>
      <c r="K155" s="10">
        <f>I155*J155</f>
        <v>0</v>
      </c>
    </row>
    <row r="156" spans="1:11" ht="28.5" x14ac:dyDescent="0.2">
      <c r="A156" s="28">
        <v>1158</v>
      </c>
      <c r="B156" s="9" t="s">
        <v>920</v>
      </c>
      <c r="C156" s="9" t="s">
        <v>868</v>
      </c>
      <c r="D156" s="9" t="s">
        <v>860</v>
      </c>
      <c r="E156" s="9" t="s">
        <v>837</v>
      </c>
      <c r="F156" s="9" t="s">
        <v>125</v>
      </c>
      <c r="G156" s="225" t="s">
        <v>412</v>
      </c>
      <c r="H156" s="9" t="s">
        <v>831</v>
      </c>
      <c r="I156" s="55">
        <f>COUNTIF('LOGBOOK VIEWER'!$B$7:$B$10600,$A156)</f>
        <v>0</v>
      </c>
      <c r="J156" s="10">
        <v>0.5</v>
      </c>
      <c r="K156" s="10">
        <f>I156*J156</f>
        <v>0</v>
      </c>
    </row>
    <row r="157" spans="1:11" ht="28.5" x14ac:dyDescent="0.2">
      <c r="A157" s="28">
        <v>1160</v>
      </c>
      <c r="B157" s="9" t="s">
        <v>874</v>
      </c>
      <c r="C157" s="9" t="s">
        <v>875</v>
      </c>
      <c r="D157" s="9" t="s">
        <v>821</v>
      </c>
      <c r="E157" s="9" t="s">
        <v>876</v>
      </c>
      <c r="F157" s="9" t="s">
        <v>125</v>
      </c>
      <c r="G157" s="225" t="s">
        <v>405</v>
      </c>
      <c r="H157" s="9" t="s">
        <v>431</v>
      </c>
      <c r="I157" s="55">
        <f>COUNTIF('LOGBOOK VIEWER'!$B$7:$B$10600,$A157)</f>
        <v>1</v>
      </c>
      <c r="J157" s="10">
        <v>1</v>
      </c>
      <c r="K157" s="10">
        <f>I157*J157</f>
        <v>1</v>
      </c>
    </row>
    <row r="158" spans="1:11" ht="28.5" x14ac:dyDescent="0.2">
      <c r="A158" s="28">
        <v>1161</v>
      </c>
      <c r="B158" s="9" t="s">
        <v>877</v>
      </c>
      <c r="C158" s="9" t="s">
        <v>877</v>
      </c>
      <c r="D158" s="9" t="s">
        <v>821</v>
      </c>
      <c r="E158" s="9" t="s">
        <v>876</v>
      </c>
      <c r="F158" s="9" t="s">
        <v>125</v>
      </c>
      <c r="G158" s="225" t="s">
        <v>405</v>
      </c>
      <c r="H158" s="9" t="s">
        <v>431</v>
      </c>
      <c r="I158" s="55">
        <f>COUNTIF('LOGBOOK VIEWER'!$B$7:$B$10600,$A158)</f>
        <v>0</v>
      </c>
      <c r="J158" s="10">
        <v>1</v>
      </c>
      <c r="K158" s="10">
        <f>I158*J158</f>
        <v>0</v>
      </c>
    </row>
    <row r="159" spans="1:11" ht="42.75" x14ac:dyDescent="0.2">
      <c r="A159" s="28">
        <v>1165</v>
      </c>
      <c r="B159" s="9" t="s">
        <v>878</v>
      </c>
      <c r="C159" s="9" t="s">
        <v>879</v>
      </c>
      <c r="D159" s="9" t="s">
        <v>821</v>
      </c>
      <c r="E159" s="9" t="s">
        <v>876</v>
      </c>
      <c r="F159" s="9" t="s">
        <v>125</v>
      </c>
      <c r="G159" s="225" t="s">
        <v>405</v>
      </c>
      <c r="H159" s="9" t="s">
        <v>431</v>
      </c>
      <c r="I159" s="55">
        <f>COUNTIF('LOGBOOK VIEWER'!$B$7:$B$10600,$A159)</f>
        <v>0</v>
      </c>
      <c r="J159" s="10">
        <v>1</v>
      </c>
      <c r="K159" s="10">
        <f>I159*J159</f>
        <v>0</v>
      </c>
    </row>
    <row r="160" spans="1:11" ht="57" x14ac:dyDescent="0.2">
      <c r="A160" s="28">
        <v>1166</v>
      </c>
      <c r="B160" s="9" t="s">
        <v>444</v>
      </c>
      <c r="C160" s="9" t="s">
        <v>445</v>
      </c>
      <c r="D160" s="9" t="s">
        <v>821</v>
      </c>
      <c r="E160" s="9" t="s">
        <v>876</v>
      </c>
      <c r="F160" s="9" t="s">
        <v>125</v>
      </c>
      <c r="G160" s="225" t="s">
        <v>412</v>
      </c>
      <c r="H160" s="9" t="s">
        <v>431</v>
      </c>
      <c r="I160" s="55">
        <f>COUNTIF('LOGBOOK VIEWER'!$B$7:$B$10600,$A160)</f>
        <v>0</v>
      </c>
      <c r="J160" s="10">
        <v>0.5</v>
      </c>
      <c r="K160" s="10">
        <f>I160*J160</f>
        <v>0</v>
      </c>
    </row>
    <row r="161" spans="1:11" ht="57" x14ac:dyDescent="0.2">
      <c r="A161" s="28">
        <v>1170</v>
      </c>
      <c r="B161" s="9" t="s">
        <v>880</v>
      </c>
      <c r="C161" s="9" t="s">
        <v>881</v>
      </c>
      <c r="D161" s="9" t="s">
        <v>404</v>
      </c>
      <c r="E161" s="9" t="s">
        <v>404</v>
      </c>
      <c r="F161" s="9" t="s">
        <v>125</v>
      </c>
      <c r="G161" s="225" t="s">
        <v>412</v>
      </c>
      <c r="H161" s="9" t="s">
        <v>831</v>
      </c>
      <c r="I161" s="55">
        <f>COUNTIF('LOGBOOK VIEWER'!$B$7:$B$10600,$A161)</f>
        <v>0</v>
      </c>
      <c r="J161" s="10">
        <v>0.5</v>
      </c>
      <c r="K161" s="10">
        <f>I161*J161</f>
        <v>0</v>
      </c>
    </row>
    <row r="162" spans="1:11" ht="42.75" x14ac:dyDescent="0.2">
      <c r="A162" s="28">
        <v>1175</v>
      </c>
      <c r="B162" s="9" t="s">
        <v>882</v>
      </c>
      <c r="C162" s="9" t="s">
        <v>883</v>
      </c>
      <c r="D162" s="9" t="s">
        <v>842</v>
      </c>
      <c r="E162" s="9" t="s">
        <v>842</v>
      </c>
      <c r="F162" s="9" t="s">
        <v>125</v>
      </c>
      <c r="G162" s="225" t="s">
        <v>412</v>
      </c>
      <c r="H162" s="9" t="s">
        <v>831</v>
      </c>
      <c r="I162" s="55">
        <f>COUNTIF('LOGBOOK VIEWER'!$B$7:$B$10600,$A162)</f>
        <v>0</v>
      </c>
      <c r="J162" s="10">
        <v>0.5</v>
      </c>
      <c r="K162" s="10">
        <f>I162*J162</f>
        <v>0</v>
      </c>
    </row>
    <row r="163" spans="1:11" ht="42.75" x14ac:dyDescent="0.2">
      <c r="A163" s="28">
        <v>1176</v>
      </c>
      <c r="B163" s="9" t="s">
        <v>884</v>
      </c>
      <c r="C163" s="9" t="s">
        <v>883</v>
      </c>
      <c r="D163" s="9" t="s">
        <v>842</v>
      </c>
      <c r="E163" s="9" t="s">
        <v>842</v>
      </c>
      <c r="F163" s="9" t="s">
        <v>831</v>
      </c>
      <c r="G163" s="225" t="s">
        <v>412</v>
      </c>
      <c r="H163" s="9" t="s">
        <v>831</v>
      </c>
      <c r="I163" s="55">
        <f>COUNTIF('LOGBOOK VIEWER'!$B$7:$B$10600,$A163)</f>
        <v>0</v>
      </c>
      <c r="J163" s="10">
        <v>0.5</v>
      </c>
      <c r="K163" s="10">
        <f>I163*J163</f>
        <v>0</v>
      </c>
    </row>
    <row r="164" spans="1:11" ht="42.75" x14ac:dyDescent="0.2">
      <c r="A164" s="28">
        <v>1177</v>
      </c>
      <c r="B164" s="9" t="s">
        <v>885</v>
      </c>
      <c r="C164" s="9" t="s">
        <v>883</v>
      </c>
      <c r="D164" s="9" t="s">
        <v>842</v>
      </c>
      <c r="E164" s="9" t="s">
        <v>842</v>
      </c>
      <c r="F164" s="9" t="s">
        <v>831</v>
      </c>
      <c r="G164" s="225" t="s">
        <v>412</v>
      </c>
      <c r="H164" s="9" t="s">
        <v>831</v>
      </c>
      <c r="I164" s="55">
        <f>COUNTIF('LOGBOOK VIEWER'!$B$7:$B$10600,$A164)</f>
        <v>0</v>
      </c>
      <c r="J164" s="10">
        <v>0.5</v>
      </c>
      <c r="K164" s="10">
        <f>I164*J164</f>
        <v>0</v>
      </c>
    </row>
    <row r="165" spans="1:11" ht="42.75" x14ac:dyDescent="0.2">
      <c r="A165" s="28">
        <v>1178</v>
      </c>
      <c r="B165" s="9" t="s">
        <v>886</v>
      </c>
      <c r="C165" s="9" t="s">
        <v>883</v>
      </c>
      <c r="D165" s="9" t="s">
        <v>842</v>
      </c>
      <c r="E165" s="9" t="s">
        <v>842</v>
      </c>
      <c r="F165" s="9" t="s">
        <v>831</v>
      </c>
      <c r="G165" s="225" t="s">
        <v>809</v>
      </c>
      <c r="H165" s="9" t="s">
        <v>831</v>
      </c>
      <c r="I165" s="55">
        <f>COUNTIF('LOGBOOK VIEWER'!$B$7:$B$10600,$A165)</f>
        <v>0</v>
      </c>
      <c r="J165" s="10">
        <v>0</v>
      </c>
      <c r="K165" s="10">
        <f>I165*J165</f>
        <v>0</v>
      </c>
    </row>
    <row r="166" spans="1:11" ht="42.75" x14ac:dyDescent="0.2">
      <c r="A166" s="28">
        <v>1180</v>
      </c>
      <c r="B166" s="221" t="s">
        <v>954</v>
      </c>
      <c r="C166" s="221" t="s">
        <v>888</v>
      </c>
      <c r="D166" s="9" t="s">
        <v>842</v>
      </c>
      <c r="E166" s="9" t="s">
        <v>842</v>
      </c>
      <c r="F166" s="9" t="s">
        <v>125</v>
      </c>
      <c r="G166" s="225" t="s">
        <v>405</v>
      </c>
      <c r="H166" s="9" t="s">
        <v>426</v>
      </c>
      <c r="I166" s="55">
        <f>COUNTIF('LOGBOOK VIEWER'!$B$7:$B$10600,$A166)</f>
        <v>0</v>
      </c>
      <c r="J166" s="10">
        <v>1</v>
      </c>
      <c r="K166" s="10">
        <f>I166*J166</f>
        <v>0</v>
      </c>
    </row>
    <row r="167" spans="1:11" ht="42.75" x14ac:dyDescent="0.2">
      <c r="A167" s="28">
        <v>1181</v>
      </c>
      <c r="B167" s="9" t="s">
        <v>889</v>
      </c>
      <c r="C167" s="9" t="s">
        <v>888</v>
      </c>
      <c r="D167" s="9" t="s">
        <v>842</v>
      </c>
      <c r="E167" s="9" t="s">
        <v>842</v>
      </c>
      <c r="F167" s="9" t="s">
        <v>125</v>
      </c>
      <c r="G167" s="225" t="s">
        <v>405</v>
      </c>
      <c r="H167" s="9" t="s">
        <v>426</v>
      </c>
      <c r="I167" s="55">
        <f>COUNTIF('LOGBOOK VIEWER'!$B$7:$B$10600,$A167)</f>
        <v>0</v>
      </c>
      <c r="J167" s="10">
        <v>1</v>
      </c>
      <c r="K167" s="10">
        <f>I167*J167</f>
        <v>0</v>
      </c>
    </row>
    <row r="168" spans="1:11" ht="42.75" x14ac:dyDescent="0.2">
      <c r="A168" s="28">
        <v>1182</v>
      </c>
      <c r="B168" s="9" t="s">
        <v>0</v>
      </c>
      <c r="C168" s="9" t="s">
        <v>888</v>
      </c>
      <c r="D168" s="9" t="s">
        <v>842</v>
      </c>
      <c r="E168" s="9" t="s">
        <v>842</v>
      </c>
      <c r="F168" s="9" t="s">
        <v>125</v>
      </c>
      <c r="G168" s="225" t="s">
        <v>405</v>
      </c>
      <c r="H168" s="9" t="s">
        <v>426</v>
      </c>
      <c r="I168" s="55">
        <f>COUNTIF('LOGBOOK VIEWER'!$B$7:$B$10600,$A168)</f>
        <v>0</v>
      </c>
      <c r="J168" s="10">
        <v>1</v>
      </c>
      <c r="K168" s="10">
        <f>I168*J168</f>
        <v>0</v>
      </c>
    </row>
    <row r="169" spans="1:11" ht="42.75" x14ac:dyDescent="0.2">
      <c r="A169" s="28">
        <v>1183</v>
      </c>
      <c r="B169" s="9" t="s">
        <v>1</v>
      </c>
      <c r="C169" s="9" t="s">
        <v>888</v>
      </c>
      <c r="D169" s="9" t="s">
        <v>842</v>
      </c>
      <c r="E169" s="9" t="s">
        <v>842</v>
      </c>
      <c r="F169" s="9" t="s">
        <v>831</v>
      </c>
      <c r="G169" s="225" t="s">
        <v>809</v>
      </c>
      <c r="H169" s="9" t="s">
        <v>831</v>
      </c>
      <c r="I169" s="55">
        <f>COUNTIF('LOGBOOK VIEWER'!$B$7:$B$10600,$A169)</f>
        <v>0</v>
      </c>
      <c r="J169" s="10">
        <v>0</v>
      </c>
      <c r="K169" s="10">
        <f>I169*J169</f>
        <v>0</v>
      </c>
    </row>
    <row r="170" spans="1:11" ht="28.5" x14ac:dyDescent="0.2">
      <c r="A170" s="28">
        <v>1185</v>
      </c>
      <c r="B170" s="9" t="s">
        <v>2</v>
      </c>
      <c r="C170" s="9" t="s">
        <v>3</v>
      </c>
      <c r="D170" s="9" t="s">
        <v>4</v>
      </c>
      <c r="E170" s="9" t="s">
        <v>5</v>
      </c>
      <c r="F170" s="9" t="s">
        <v>125</v>
      </c>
      <c r="G170" s="225" t="s">
        <v>412</v>
      </c>
      <c r="H170" s="9" t="s">
        <v>831</v>
      </c>
      <c r="I170" s="55">
        <f>COUNTIF('LOGBOOK VIEWER'!$B$7:$B$10600,$A170)</f>
        <v>0</v>
      </c>
      <c r="J170" s="10">
        <v>0.5</v>
      </c>
      <c r="K170" s="10">
        <f>I170*J170</f>
        <v>0</v>
      </c>
    </row>
    <row r="171" spans="1:11" ht="28.5" x14ac:dyDescent="0.2">
      <c r="A171" s="28">
        <v>1186</v>
      </c>
      <c r="B171" s="9" t="s">
        <v>6</v>
      </c>
      <c r="C171" s="9" t="s">
        <v>3</v>
      </c>
      <c r="D171" s="9" t="s">
        <v>4</v>
      </c>
      <c r="E171" s="9" t="s">
        <v>5</v>
      </c>
      <c r="F171" s="9" t="s">
        <v>831</v>
      </c>
      <c r="G171" s="225" t="s">
        <v>412</v>
      </c>
      <c r="H171" s="9" t="s">
        <v>831</v>
      </c>
      <c r="I171" s="55">
        <f>COUNTIF('LOGBOOK VIEWER'!$B$7:$B$10600,$A171)</f>
        <v>0</v>
      </c>
      <c r="J171" s="10">
        <v>0.5</v>
      </c>
      <c r="K171" s="10">
        <f>I171*J171</f>
        <v>0</v>
      </c>
    </row>
    <row r="172" spans="1:11" ht="28.5" x14ac:dyDescent="0.2">
      <c r="A172" s="28">
        <v>1187</v>
      </c>
      <c r="B172" s="9" t="s">
        <v>7</v>
      </c>
      <c r="C172" s="9" t="s">
        <v>3</v>
      </c>
      <c r="D172" s="9" t="s">
        <v>4</v>
      </c>
      <c r="E172" s="9" t="s">
        <v>5</v>
      </c>
      <c r="F172" s="9" t="s">
        <v>831</v>
      </c>
      <c r="G172" s="225" t="s">
        <v>412</v>
      </c>
      <c r="H172" s="9" t="s">
        <v>831</v>
      </c>
      <c r="I172" s="55">
        <f>COUNTIF('LOGBOOK VIEWER'!$B$7:$B$10600,$A172)</f>
        <v>0</v>
      </c>
      <c r="J172" s="10">
        <v>0.5</v>
      </c>
      <c r="K172" s="10">
        <f>I172*J172</f>
        <v>0</v>
      </c>
    </row>
    <row r="173" spans="1:11" ht="28.5" x14ac:dyDescent="0.2">
      <c r="A173" s="28">
        <v>1188</v>
      </c>
      <c r="B173" s="9" t="s">
        <v>8</v>
      </c>
      <c r="C173" s="9" t="s">
        <v>3</v>
      </c>
      <c r="D173" s="9" t="s">
        <v>4</v>
      </c>
      <c r="E173" s="9" t="s">
        <v>5</v>
      </c>
      <c r="F173" s="9" t="s">
        <v>831</v>
      </c>
      <c r="G173" s="225" t="s">
        <v>412</v>
      </c>
      <c r="H173" s="9" t="s">
        <v>831</v>
      </c>
      <c r="I173" s="55">
        <f>COUNTIF('LOGBOOK VIEWER'!$B$7:$B$10600,$A173)</f>
        <v>0</v>
      </c>
      <c r="J173" s="10">
        <v>0.5</v>
      </c>
      <c r="K173" s="10">
        <f>I173*J173</f>
        <v>0</v>
      </c>
    </row>
    <row r="174" spans="1:11" ht="28.5" x14ac:dyDescent="0.2">
      <c r="A174" s="28">
        <v>1190</v>
      </c>
      <c r="B174" s="9" t="s">
        <v>9</v>
      </c>
      <c r="C174" s="9" t="s">
        <v>10</v>
      </c>
      <c r="D174" s="9" t="s">
        <v>4</v>
      </c>
      <c r="E174" s="9" t="s">
        <v>5</v>
      </c>
      <c r="F174" s="9" t="s">
        <v>125</v>
      </c>
      <c r="G174" s="225" t="s">
        <v>405</v>
      </c>
      <c r="H174" s="9" t="s">
        <v>426</v>
      </c>
      <c r="I174" s="55">
        <f>COUNTIF('LOGBOOK VIEWER'!$B$7:$B$10600,$A174)</f>
        <v>0</v>
      </c>
      <c r="J174" s="10">
        <v>1</v>
      </c>
      <c r="K174" s="10">
        <f>I174*J174</f>
        <v>0</v>
      </c>
    </row>
    <row r="175" spans="1:11" ht="28.5" x14ac:dyDescent="0.2">
      <c r="A175" s="28">
        <v>1191</v>
      </c>
      <c r="B175" s="9" t="s">
        <v>11</v>
      </c>
      <c r="C175" s="9" t="s">
        <v>10</v>
      </c>
      <c r="D175" s="9" t="s">
        <v>4</v>
      </c>
      <c r="E175" s="9" t="s">
        <v>5</v>
      </c>
      <c r="F175" s="9" t="s">
        <v>125</v>
      </c>
      <c r="G175" s="225" t="s">
        <v>412</v>
      </c>
      <c r="H175" s="9" t="s">
        <v>831</v>
      </c>
      <c r="I175" s="55">
        <f>COUNTIF('LOGBOOK VIEWER'!$B$7:$B$10600,$A175)</f>
        <v>0</v>
      </c>
      <c r="J175" s="10">
        <v>0.5</v>
      </c>
      <c r="K175" s="10">
        <f>I175*J175</f>
        <v>0</v>
      </c>
    </row>
    <row r="176" spans="1:11" ht="28.5" x14ac:dyDescent="0.2">
      <c r="A176" s="28">
        <v>1200</v>
      </c>
      <c r="B176" s="9" t="s">
        <v>12</v>
      </c>
      <c r="C176" s="9" t="s">
        <v>10</v>
      </c>
      <c r="D176" s="9" t="s">
        <v>4</v>
      </c>
      <c r="E176" s="9" t="s">
        <v>5</v>
      </c>
      <c r="F176" s="9" t="s">
        <v>125</v>
      </c>
      <c r="G176" s="225" t="s">
        <v>405</v>
      </c>
      <c r="H176" s="9" t="s">
        <v>426</v>
      </c>
      <c r="I176" s="55">
        <f>COUNTIF('LOGBOOK VIEWER'!$B$7:$B$10600,$A176)</f>
        <v>0</v>
      </c>
      <c r="J176" s="10">
        <v>1</v>
      </c>
      <c r="K176" s="10">
        <f>I176*J176</f>
        <v>0</v>
      </c>
    </row>
    <row r="177" spans="1:11" ht="28.5" x14ac:dyDescent="0.2">
      <c r="A177" s="28">
        <v>1201</v>
      </c>
      <c r="B177" s="9" t="s">
        <v>13</v>
      </c>
      <c r="C177" s="9" t="s">
        <v>10</v>
      </c>
      <c r="D177" s="9" t="s">
        <v>4</v>
      </c>
      <c r="E177" s="9" t="s">
        <v>14</v>
      </c>
      <c r="F177" s="9" t="s">
        <v>125</v>
      </c>
      <c r="G177" s="225" t="s">
        <v>405</v>
      </c>
      <c r="H177" s="9" t="s">
        <v>426</v>
      </c>
      <c r="I177" s="55">
        <f>COUNTIF('LOGBOOK VIEWER'!$B$7:$B$10600,$A177)</f>
        <v>0</v>
      </c>
      <c r="J177" s="10">
        <v>1</v>
      </c>
      <c r="K177" s="10">
        <f>I177*J177</f>
        <v>0</v>
      </c>
    </row>
    <row r="178" spans="1:11" ht="28.5" x14ac:dyDescent="0.2">
      <c r="A178" s="28">
        <v>1202</v>
      </c>
      <c r="B178" s="9" t="s">
        <v>15</v>
      </c>
      <c r="C178" s="9" t="s">
        <v>10</v>
      </c>
      <c r="D178" s="9" t="s">
        <v>4</v>
      </c>
      <c r="E178" s="9" t="s">
        <v>14</v>
      </c>
      <c r="F178" s="9" t="s">
        <v>125</v>
      </c>
      <c r="G178" s="225" t="s">
        <v>405</v>
      </c>
      <c r="H178" s="9" t="s">
        <v>426</v>
      </c>
      <c r="I178" s="55">
        <f>COUNTIF('LOGBOOK VIEWER'!$B$7:$B$10600,$A178)</f>
        <v>0</v>
      </c>
      <c r="J178" s="10">
        <v>1</v>
      </c>
      <c r="K178" s="10">
        <f>I178*J178</f>
        <v>0</v>
      </c>
    </row>
    <row r="179" spans="1:11" ht="28.5" x14ac:dyDescent="0.2">
      <c r="A179" s="28">
        <v>1203</v>
      </c>
      <c r="B179" s="9" t="s">
        <v>16</v>
      </c>
      <c r="C179" s="9" t="s">
        <v>10</v>
      </c>
      <c r="D179" s="9" t="s">
        <v>4</v>
      </c>
      <c r="E179" s="9" t="s">
        <v>14</v>
      </c>
      <c r="F179" s="9" t="s">
        <v>831</v>
      </c>
      <c r="G179" s="225" t="s">
        <v>412</v>
      </c>
      <c r="H179" s="9" t="s">
        <v>831</v>
      </c>
      <c r="I179" s="55">
        <f>COUNTIF('LOGBOOK VIEWER'!$B$7:$B$10600,$A179)</f>
        <v>0</v>
      </c>
      <c r="J179" s="10">
        <v>0.5</v>
      </c>
      <c r="K179" s="10">
        <f>I179*J179</f>
        <v>0</v>
      </c>
    </row>
    <row r="180" spans="1:11" ht="28.5" x14ac:dyDescent="0.2">
      <c r="A180" s="28">
        <v>1205</v>
      </c>
      <c r="B180" s="9" t="s">
        <v>17</v>
      </c>
      <c r="C180" s="9" t="s">
        <v>10</v>
      </c>
      <c r="D180" s="9" t="s">
        <v>4</v>
      </c>
      <c r="E180" s="9" t="s">
        <v>18</v>
      </c>
      <c r="F180" s="9" t="s">
        <v>125</v>
      </c>
      <c r="G180" s="225" t="s">
        <v>405</v>
      </c>
      <c r="H180" s="9" t="s">
        <v>426</v>
      </c>
      <c r="I180" s="55">
        <f>COUNTIF('LOGBOOK VIEWER'!$B$7:$B$10600,$A180)</f>
        <v>0</v>
      </c>
      <c r="J180" s="10">
        <v>1</v>
      </c>
      <c r="K180" s="10">
        <f>I180*J180</f>
        <v>0</v>
      </c>
    </row>
    <row r="181" spans="1:11" ht="28.5" x14ac:dyDescent="0.2">
      <c r="A181" s="28">
        <v>1206</v>
      </c>
      <c r="B181" s="9" t="s">
        <v>19</v>
      </c>
      <c r="C181" s="9" t="s">
        <v>20</v>
      </c>
      <c r="D181" s="9" t="s">
        <v>404</v>
      </c>
      <c r="E181" s="9" t="s">
        <v>404</v>
      </c>
      <c r="F181" s="9" t="s">
        <v>125</v>
      </c>
      <c r="G181" s="225" t="s">
        <v>412</v>
      </c>
      <c r="H181" s="9" t="s">
        <v>831</v>
      </c>
      <c r="I181" s="55">
        <f>COUNTIF('LOGBOOK VIEWER'!$B$7:$B$10600,$A181)</f>
        <v>0</v>
      </c>
      <c r="J181" s="10">
        <v>0.5</v>
      </c>
      <c r="K181" s="10">
        <f>I181*J181</f>
        <v>0</v>
      </c>
    </row>
    <row r="182" spans="1:11" ht="28.5" x14ac:dyDescent="0.2">
      <c r="A182" s="28">
        <v>1207</v>
      </c>
      <c r="B182" s="9" t="s">
        <v>21</v>
      </c>
      <c r="C182" s="9" t="s">
        <v>22</v>
      </c>
      <c r="D182" s="9" t="s">
        <v>404</v>
      </c>
      <c r="E182" s="9" t="s">
        <v>404</v>
      </c>
      <c r="F182" s="9" t="s">
        <v>125</v>
      </c>
      <c r="G182" s="225" t="s">
        <v>412</v>
      </c>
      <c r="H182" s="9" t="s">
        <v>831</v>
      </c>
      <c r="I182" s="55">
        <f>COUNTIF('LOGBOOK VIEWER'!$B$7:$B$10600,$A182)</f>
        <v>0</v>
      </c>
      <c r="J182" s="10">
        <v>0.5</v>
      </c>
      <c r="K182" s="10">
        <f>I182*J182</f>
        <v>0</v>
      </c>
    </row>
    <row r="183" spans="1:11" ht="28.5" x14ac:dyDescent="0.2">
      <c r="A183" s="28">
        <v>1208</v>
      </c>
      <c r="B183" s="9" t="s">
        <v>23</v>
      </c>
      <c r="C183" s="9" t="s">
        <v>10</v>
      </c>
      <c r="D183" s="9" t="s">
        <v>4</v>
      </c>
      <c r="E183" s="9" t="s">
        <v>24</v>
      </c>
      <c r="F183" s="9" t="s">
        <v>125</v>
      </c>
      <c r="G183" s="225" t="s">
        <v>405</v>
      </c>
      <c r="H183" s="9" t="s">
        <v>426</v>
      </c>
      <c r="I183" s="55">
        <f>COUNTIF('LOGBOOK VIEWER'!$B$7:$B$10600,$A183)</f>
        <v>0</v>
      </c>
      <c r="J183" s="10">
        <v>1</v>
      </c>
      <c r="K183" s="10">
        <f>I183*J183</f>
        <v>0</v>
      </c>
    </row>
    <row r="184" spans="1:11" ht="42.75" x14ac:dyDescent="0.2">
      <c r="A184" s="28">
        <v>1209</v>
      </c>
      <c r="B184" s="9" t="s">
        <v>25</v>
      </c>
      <c r="C184" s="9" t="s">
        <v>26</v>
      </c>
      <c r="D184" s="9" t="s">
        <v>821</v>
      </c>
      <c r="E184" s="9" t="s">
        <v>27</v>
      </c>
      <c r="F184" s="9" t="s">
        <v>125</v>
      </c>
      <c r="G184" s="225" t="s">
        <v>412</v>
      </c>
      <c r="H184" s="9" t="s">
        <v>831</v>
      </c>
      <c r="I184" s="55">
        <f>COUNTIF('LOGBOOK VIEWER'!$B$7:$B$10600,$A184)</f>
        <v>0</v>
      </c>
      <c r="J184" s="10">
        <v>0.5</v>
      </c>
      <c r="K184" s="10">
        <f>I184*J184</f>
        <v>0</v>
      </c>
    </row>
    <row r="185" spans="1:11" ht="28.5" x14ac:dyDescent="0.2">
      <c r="A185" s="28">
        <v>1210</v>
      </c>
      <c r="B185" s="9" t="s">
        <v>28</v>
      </c>
      <c r="C185" s="9" t="s">
        <v>29</v>
      </c>
      <c r="D185" s="9" t="s">
        <v>860</v>
      </c>
      <c r="E185" s="9" t="s">
        <v>30</v>
      </c>
      <c r="F185" s="9" t="s">
        <v>125</v>
      </c>
      <c r="G185" s="225" t="s">
        <v>405</v>
      </c>
      <c r="H185" s="9" t="s">
        <v>426</v>
      </c>
      <c r="I185" s="55">
        <f>COUNTIF('LOGBOOK VIEWER'!$B$7:$B$10600,$A185)</f>
        <v>0</v>
      </c>
      <c r="J185" s="10">
        <v>1</v>
      </c>
      <c r="K185" s="10">
        <f>I185*J185</f>
        <v>0</v>
      </c>
    </row>
    <row r="186" spans="1:11" ht="28.5" x14ac:dyDescent="0.2">
      <c r="A186" s="28">
        <v>1215</v>
      </c>
      <c r="B186" s="9" t="s">
        <v>31</v>
      </c>
      <c r="C186" s="9" t="s">
        <v>32</v>
      </c>
      <c r="D186" s="9" t="s">
        <v>4</v>
      </c>
      <c r="E186" s="9" t="s">
        <v>18</v>
      </c>
      <c r="F186" s="9" t="s">
        <v>125</v>
      </c>
      <c r="G186" s="225" t="s">
        <v>405</v>
      </c>
      <c r="H186" s="9" t="s">
        <v>426</v>
      </c>
      <c r="I186" s="55">
        <f>COUNTIF('LOGBOOK VIEWER'!$B$7:$B$10600,$A186)</f>
        <v>0</v>
      </c>
      <c r="J186" s="10">
        <v>1</v>
      </c>
      <c r="K186" s="10">
        <f>I186*J186</f>
        <v>0</v>
      </c>
    </row>
    <row r="187" spans="1:11" ht="28.5" x14ac:dyDescent="0.2">
      <c r="A187" s="28">
        <v>1220</v>
      </c>
      <c r="B187" s="9" t="s">
        <v>33</v>
      </c>
      <c r="C187" s="9" t="s">
        <v>34</v>
      </c>
      <c r="D187" s="9" t="s">
        <v>863</v>
      </c>
      <c r="E187" s="9" t="s">
        <v>35</v>
      </c>
      <c r="F187" s="9" t="s">
        <v>125</v>
      </c>
      <c r="G187" s="225" t="s">
        <v>405</v>
      </c>
      <c r="H187" s="9" t="s">
        <v>426</v>
      </c>
      <c r="I187" s="55">
        <f>COUNTIF('LOGBOOK VIEWER'!$B$7:$B$10600,$A187)</f>
        <v>0</v>
      </c>
      <c r="J187" s="10">
        <v>1</v>
      </c>
      <c r="K187" s="10">
        <f>I187*J187</f>
        <v>0</v>
      </c>
    </row>
    <row r="188" spans="1:11" ht="42.75" x14ac:dyDescent="0.2">
      <c r="A188" s="28">
        <v>1221</v>
      </c>
      <c r="B188" s="9" t="s">
        <v>36</v>
      </c>
      <c r="C188" s="9" t="s">
        <v>37</v>
      </c>
      <c r="D188" s="9" t="s">
        <v>863</v>
      </c>
      <c r="E188" s="9" t="s">
        <v>35</v>
      </c>
      <c r="F188" s="9" t="s">
        <v>831</v>
      </c>
      <c r="G188" s="225" t="s">
        <v>412</v>
      </c>
      <c r="H188" s="9" t="s">
        <v>831</v>
      </c>
      <c r="I188" s="55">
        <f>COUNTIF('LOGBOOK VIEWER'!$B$7:$B$10600,$A188)</f>
        <v>0</v>
      </c>
      <c r="J188" s="10">
        <v>0.5</v>
      </c>
      <c r="K188" s="10">
        <f>I188*J188</f>
        <v>0</v>
      </c>
    </row>
    <row r="189" spans="1:11" x14ac:dyDescent="0.2">
      <c r="A189" s="28">
        <v>1236</v>
      </c>
      <c r="B189" s="9" t="s">
        <v>38</v>
      </c>
      <c r="C189" s="9" t="s">
        <v>39</v>
      </c>
      <c r="D189" s="9" t="s">
        <v>860</v>
      </c>
      <c r="E189" s="9" t="s">
        <v>40</v>
      </c>
      <c r="F189" s="9" t="s">
        <v>125</v>
      </c>
      <c r="G189" s="225" t="s">
        <v>412</v>
      </c>
      <c r="H189" s="9" t="s">
        <v>831</v>
      </c>
      <c r="I189" s="55">
        <f>COUNTIF('LOGBOOK VIEWER'!$B$7:$B$10600,$A189)</f>
        <v>0</v>
      </c>
      <c r="J189" s="10">
        <v>0.5</v>
      </c>
      <c r="K189" s="10">
        <f>I189*J189</f>
        <v>0</v>
      </c>
    </row>
    <row r="190" spans="1:11" x14ac:dyDescent="0.2">
      <c r="A190" s="28">
        <v>1237</v>
      </c>
      <c r="B190" s="9" t="s">
        <v>41</v>
      </c>
      <c r="C190" s="9" t="s">
        <v>42</v>
      </c>
      <c r="D190" s="9" t="s">
        <v>860</v>
      </c>
      <c r="E190" s="9" t="s">
        <v>40</v>
      </c>
      <c r="F190" s="9" t="s">
        <v>125</v>
      </c>
      <c r="G190" s="225" t="s">
        <v>412</v>
      </c>
      <c r="H190" s="9" t="s">
        <v>831</v>
      </c>
      <c r="I190" s="55">
        <f>COUNTIF('LOGBOOK VIEWER'!$B$7:$B$10600,$A190)</f>
        <v>0</v>
      </c>
      <c r="J190" s="10">
        <v>0.5</v>
      </c>
      <c r="K190" s="10">
        <f>I190*J190</f>
        <v>0</v>
      </c>
    </row>
    <row r="191" spans="1:11" ht="28.5" x14ac:dyDescent="0.2">
      <c r="A191" s="28">
        <v>1238</v>
      </c>
      <c r="B191" s="9" t="s">
        <v>43</v>
      </c>
      <c r="C191" s="9" t="s">
        <v>44</v>
      </c>
      <c r="D191" s="9" t="s">
        <v>860</v>
      </c>
      <c r="E191" s="9" t="s">
        <v>40</v>
      </c>
      <c r="F191" s="9" t="s">
        <v>125</v>
      </c>
      <c r="G191" s="225" t="s">
        <v>412</v>
      </c>
      <c r="H191" s="9" t="s">
        <v>831</v>
      </c>
      <c r="I191" s="55">
        <f>COUNTIF('LOGBOOK VIEWER'!$B$7:$B$10600,$A191)</f>
        <v>0</v>
      </c>
      <c r="J191" s="10">
        <v>0.5</v>
      </c>
      <c r="K191" s="10">
        <f>I191*J191</f>
        <v>0</v>
      </c>
    </row>
    <row r="192" spans="1:11" x14ac:dyDescent="0.2">
      <c r="A192" s="28">
        <v>1239</v>
      </c>
      <c r="B192" s="9" t="s">
        <v>799</v>
      </c>
      <c r="C192" s="9" t="s">
        <v>311</v>
      </c>
      <c r="D192" s="9" t="s">
        <v>860</v>
      </c>
      <c r="E192" s="9" t="s">
        <v>40</v>
      </c>
      <c r="F192" s="9" t="s">
        <v>125</v>
      </c>
      <c r="G192" s="225" t="s">
        <v>405</v>
      </c>
      <c r="H192" s="9" t="s">
        <v>536</v>
      </c>
      <c r="I192" s="55">
        <f>COUNTIF('LOGBOOK VIEWER'!$B$7:$B$10600,$A192)</f>
        <v>0</v>
      </c>
      <c r="J192" s="10">
        <v>1</v>
      </c>
      <c r="K192" s="10">
        <f>I192*J192</f>
        <v>0</v>
      </c>
    </row>
    <row r="193" spans="1:11" ht="28.5" x14ac:dyDescent="0.2">
      <c r="A193" s="28">
        <v>1240</v>
      </c>
      <c r="B193" s="9" t="s">
        <v>312</v>
      </c>
      <c r="C193" s="9" t="s">
        <v>313</v>
      </c>
      <c r="D193" s="9" t="s">
        <v>4</v>
      </c>
      <c r="E193" s="9" t="s">
        <v>5</v>
      </c>
      <c r="F193" s="9" t="s">
        <v>125</v>
      </c>
      <c r="G193" s="225" t="s">
        <v>405</v>
      </c>
      <c r="H193" s="9" t="s">
        <v>426</v>
      </c>
      <c r="I193" s="55">
        <f>COUNTIF('LOGBOOK VIEWER'!$B$7:$B$10600,$A193)</f>
        <v>0</v>
      </c>
      <c r="J193" s="10">
        <v>1</v>
      </c>
      <c r="K193" s="10">
        <f>I193*J193</f>
        <v>0</v>
      </c>
    </row>
    <row r="194" spans="1:11" ht="28.5" x14ac:dyDescent="0.2">
      <c r="A194" s="28">
        <v>1241</v>
      </c>
      <c r="B194" s="9" t="s">
        <v>640</v>
      </c>
      <c r="C194" s="9" t="s">
        <v>641</v>
      </c>
      <c r="D194" s="9" t="s">
        <v>4</v>
      </c>
      <c r="E194" s="9" t="s">
        <v>5</v>
      </c>
      <c r="F194" s="9" t="s">
        <v>125</v>
      </c>
      <c r="G194" s="225" t="s">
        <v>412</v>
      </c>
      <c r="H194" s="9" t="s">
        <v>831</v>
      </c>
      <c r="I194" s="55">
        <f>COUNTIF('LOGBOOK VIEWER'!$B$7:$B$10600,$A194)</f>
        <v>0</v>
      </c>
      <c r="J194" s="10">
        <v>0.5</v>
      </c>
      <c r="K194" s="10">
        <f>I194*J194</f>
        <v>0</v>
      </c>
    </row>
    <row r="195" spans="1:11" ht="28.5" x14ac:dyDescent="0.2">
      <c r="A195" s="28">
        <v>1243</v>
      </c>
      <c r="B195" s="9" t="s">
        <v>314</v>
      </c>
      <c r="C195" s="9" t="s">
        <v>315</v>
      </c>
      <c r="D195" s="9" t="s">
        <v>860</v>
      </c>
      <c r="E195" s="9" t="s">
        <v>316</v>
      </c>
      <c r="F195" s="9" t="s">
        <v>125</v>
      </c>
      <c r="G195" s="225" t="s">
        <v>412</v>
      </c>
      <c r="H195" s="9" t="s">
        <v>831</v>
      </c>
      <c r="I195" s="55">
        <f>COUNTIF('LOGBOOK VIEWER'!$B$7:$B$10600,$A195)</f>
        <v>0</v>
      </c>
      <c r="J195" s="10">
        <v>0.5</v>
      </c>
      <c r="K195" s="10">
        <f>I195*J195</f>
        <v>0</v>
      </c>
    </row>
    <row r="196" spans="1:11" ht="28.5" x14ac:dyDescent="0.2">
      <c r="A196" s="28">
        <v>1244</v>
      </c>
      <c r="B196" s="9" t="s">
        <v>314</v>
      </c>
      <c r="C196" s="9" t="s">
        <v>315</v>
      </c>
      <c r="D196" s="9" t="s">
        <v>860</v>
      </c>
      <c r="E196" s="9" t="s">
        <v>316</v>
      </c>
      <c r="F196" s="9" t="s">
        <v>125</v>
      </c>
      <c r="G196" s="225" t="s">
        <v>412</v>
      </c>
      <c r="H196" s="9" t="s">
        <v>831</v>
      </c>
      <c r="I196" s="55">
        <f>COUNTIF('LOGBOOK VIEWER'!$B$7:$B$10600,$A196)</f>
        <v>0</v>
      </c>
      <c r="J196" s="10">
        <v>0.5</v>
      </c>
      <c r="K196" s="10">
        <f>I196*J196</f>
        <v>0</v>
      </c>
    </row>
    <row r="197" spans="1:11" ht="28.5" x14ac:dyDescent="0.2">
      <c r="A197" s="28">
        <v>1245</v>
      </c>
      <c r="B197" s="9" t="s">
        <v>314</v>
      </c>
      <c r="C197" s="9" t="s">
        <v>315</v>
      </c>
      <c r="D197" s="9" t="s">
        <v>860</v>
      </c>
      <c r="E197" s="9" t="s">
        <v>316</v>
      </c>
      <c r="F197" s="9" t="s">
        <v>125</v>
      </c>
      <c r="G197" s="225" t="s">
        <v>405</v>
      </c>
      <c r="H197" s="9" t="s">
        <v>536</v>
      </c>
      <c r="I197" s="55">
        <f>COUNTIF('LOGBOOK VIEWER'!$B$7:$B$10600,$A197)</f>
        <v>0</v>
      </c>
      <c r="J197" s="10">
        <v>1</v>
      </c>
      <c r="K197" s="10">
        <f>I197*J197</f>
        <v>0</v>
      </c>
    </row>
    <row r="198" spans="1:11" ht="28.5" x14ac:dyDescent="0.2">
      <c r="A198" s="28">
        <v>1246</v>
      </c>
      <c r="B198" s="9" t="s">
        <v>314</v>
      </c>
      <c r="C198" s="9" t="s">
        <v>315</v>
      </c>
      <c r="D198" s="9" t="s">
        <v>860</v>
      </c>
      <c r="E198" s="9" t="s">
        <v>316</v>
      </c>
      <c r="F198" s="9" t="s">
        <v>125</v>
      </c>
      <c r="G198" s="225" t="s">
        <v>405</v>
      </c>
      <c r="H198" s="9" t="s">
        <v>536</v>
      </c>
      <c r="I198" s="55">
        <f>COUNTIF('LOGBOOK VIEWER'!$B$7:$B$10600,$A198)</f>
        <v>0</v>
      </c>
      <c r="J198" s="10">
        <v>1</v>
      </c>
      <c r="K198" s="10">
        <f>I198*J198</f>
        <v>0</v>
      </c>
    </row>
    <row r="199" spans="1:11" ht="28.5" x14ac:dyDescent="0.2">
      <c r="A199" s="28">
        <v>1247</v>
      </c>
      <c r="B199" s="9" t="s">
        <v>314</v>
      </c>
      <c r="C199" s="9" t="s">
        <v>315</v>
      </c>
      <c r="D199" s="9" t="s">
        <v>860</v>
      </c>
      <c r="E199" s="9" t="s">
        <v>316</v>
      </c>
      <c r="F199" s="9" t="s">
        <v>125</v>
      </c>
      <c r="G199" s="225" t="s">
        <v>405</v>
      </c>
      <c r="H199" s="9" t="s">
        <v>536</v>
      </c>
      <c r="I199" s="55">
        <f>COUNTIF('LOGBOOK VIEWER'!$B$7:$B$10600,$A199)</f>
        <v>0</v>
      </c>
      <c r="J199" s="10">
        <v>1</v>
      </c>
      <c r="K199" s="10">
        <f>I199*J199</f>
        <v>0</v>
      </c>
    </row>
    <row r="200" spans="1:11" ht="28.5" x14ac:dyDescent="0.2">
      <c r="A200" s="28">
        <v>1248</v>
      </c>
      <c r="B200" s="9" t="s">
        <v>314</v>
      </c>
      <c r="C200" s="9" t="s">
        <v>315</v>
      </c>
      <c r="D200" s="9" t="s">
        <v>860</v>
      </c>
      <c r="E200" s="9" t="s">
        <v>316</v>
      </c>
      <c r="F200" s="9" t="s">
        <v>125</v>
      </c>
      <c r="G200" s="225" t="s">
        <v>405</v>
      </c>
      <c r="H200" s="9" t="s">
        <v>536</v>
      </c>
      <c r="I200" s="55">
        <f>COUNTIF('LOGBOOK VIEWER'!$B$7:$B$10600,$A200)</f>
        <v>0</v>
      </c>
      <c r="J200" s="10">
        <v>1</v>
      </c>
      <c r="K200" s="10">
        <f>I200*J200</f>
        <v>0</v>
      </c>
    </row>
    <row r="201" spans="1:11" ht="28.5" x14ac:dyDescent="0.2">
      <c r="A201" s="28">
        <v>1249</v>
      </c>
      <c r="B201" s="9" t="s">
        <v>314</v>
      </c>
      <c r="C201" s="9" t="s">
        <v>315</v>
      </c>
      <c r="D201" s="9" t="s">
        <v>860</v>
      </c>
      <c r="E201" s="9" t="s">
        <v>316</v>
      </c>
      <c r="F201" s="9" t="s">
        <v>125</v>
      </c>
      <c r="G201" s="225" t="s">
        <v>412</v>
      </c>
      <c r="H201" s="9" t="s">
        <v>831</v>
      </c>
      <c r="I201" s="55">
        <f>COUNTIF('LOGBOOK VIEWER'!$B$7:$B$10600,$A201)</f>
        <v>0</v>
      </c>
      <c r="J201" s="10">
        <v>0.5</v>
      </c>
      <c r="K201" s="10">
        <f>I201*J201</f>
        <v>0</v>
      </c>
    </row>
    <row r="202" spans="1:11" ht="28.5" x14ac:dyDescent="0.2">
      <c r="A202" s="28">
        <v>1250</v>
      </c>
      <c r="B202" s="9" t="s">
        <v>314</v>
      </c>
      <c r="C202" s="9" t="s">
        <v>315</v>
      </c>
      <c r="D202" s="9" t="s">
        <v>860</v>
      </c>
      <c r="E202" s="9" t="s">
        <v>316</v>
      </c>
      <c r="F202" s="9" t="s">
        <v>125</v>
      </c>
      <c r="G202" s="225" t="s">
        <v>405</v>
      </c>
      <c r="H202" s="9" t="s">
        <v>536</v>
      </c>
      <c r="I202" s="55">
        <f>COUNTIF('LOGBOOK VIEWER'!$B$7:$B$10600,$A202)</f>
        <v>0</v>
      </c>
      <c r="J202" s="10">
        <v>1</v>
      </c>
      <c r="K202" s="10">
        <f>I202*J202</f>
        <v>0</v>
      </c>
    </row>
    <row r="203" spans="1:11" ht="28.5" x14ac:dyDescent="0.2">
      <c r="A203" s="28">
        <v>1251</v>
      </c>
      <c r="B203" s="9" t="s">
        <v>314</v>
      </c>
      <c r="C203" s="9" t="s">
        <v>315</v>
      </c>
      <c r="D203" s="9" t="s">
        <v>860</v>
      </c>
      <c r="E203" s="9" t="s">
        <v>316</v>
      </c>
      <c r="F203" s="9" t="s">
        <v>125</v>
      </c>
      <c r="G203" s="225" t="s">
        <v>412</v>
      </c>
      <c r="H203" s="9" t="s">
        <v>831</v>
      </c>
      <c r="I203" s="55">
        <f>COUNTIF('LOGBOOK VIEWER'!$B$7:$B$10600,$A203)</f>
        <v>0</v>
      </c>
      <c r="J203" s="10">
        <v>0.5</v>
      </c>
      <c r="K203" s="10">
        <f>I203*J203</f>
        <v>0</v>
      </c>
    </row>
    <row r="204" spans="1:11" ht="28.5" x14ac:dyDescent="0.2">
      <c r="A204" s="28">
        <v>1252</v>
      </c>
      <c r="B204" s="9" t="s">
        <v>314</v>
      </c>
      <c r="C204" s="9" t="s">
        <v>315</v>
      </c>
      <c r="D204" s="9" t="s">
        <v>860</v>
      </c>
      <c r="E204" s="9" t="s">
        <v>316</v>
      </c>
      <c r="F204" s="9" t="s">
        <v>125</v>
      </c>
      <c r="G204" s="225" t="s">
        <v>412</v>
      </c>
      <c r="H204" s="9" t="s">
        <v>831</v>
      </c>
      <c r="I204" s="55">
        <f>COUNTIF('LOGBOOK VIEWER'!$B$7:$B$10600,$A204)</f>
        <v>0</v>
      </c>
      <c r="J204" s="10">
        <v>0.5</v>
      </c>
      <c r="K204" s="10">
        <f>I204*J204</f>
        <v>0</v>
      </c>
    </row>
    <row r="205" spans="1:11" ht="28.5" x14ac:dyDescent="0.2">
      <c r="A205" s="28">
        <v>1253</v>
      </c>
      <c r="B205" s="9" t="s">
        <v>314</v>
      </c>
      <c r="C205" s="9" t="s">
        <v>315</v>
      </c>
      <c r="D205" s="9" t="s">
        <v>860</v>
      </c>
      <c r="E205" s="9" t="s">
        <v>316</v>
      </c>
      <c r="F205" s="9" t="s">
        <v>125</v>
      </c>
      <c r="G205" s="225" t="s">
        <v>405</v>
      </c>
      <c r="H205" s="9" t="s">
        <v>536</v>
      </c>
      <c r="I205" s="55">
        <f>COUNTIF('LOGBOOK VIEWER'!$B$7:$B$10600,$A205)</f>
        <v>0</v>
      </c>
      <c r="J205" s="10">
        <v>1</v>
      </c>
      <c r="K205" s="10">
        <f>I205*J205</f>
        <v>0</v>
      </c>
    </row>
    <row r="206" spans="1:11" ht="57" x14ac:dyDescent="0.2">
      <c r="A206" s="28">
        <v>1254</v>
      </c>
      <c r="B206" s="9" t="s">
        <v>642</v>
      </c>
      <c r="C206" s="9" t="s">
        <v>645</v>
      </c>
      <c r="D206" s="9" t="s">
        <v>860</v>
      </c>
      <c r="E206" s="9" t="s">
        <v>30</v>
      </c>
      <c r="F206" s="9" t="s">
        <v>125</v>
      </c>
      <c r="G206" s="225" t="s">
        <v>412</v>
      </c>
      <c r="H206" s="9" t="s">
        <v>646</v>
      </c>
      <c r="I206" s="55">
        <f>COUNTIF('LOGBOOK VIEWER'!$B$7:$B$10600,$A206)</f>
        <v>0</v>
      </c>
      <c r="J206" s="10">
        <v>0.5</v>
      </c>
      <c r="K206" s="10">
        <f>I206*J206</f>
        <v>0</v>
      </c>
    </row>
    <row r="207" spans="1:11" ht="42.75" x14ac:dyDescent="0.2">
      <c r="A207" s="28">
        <v>1255</v>
      </c>
      <c r="B207" s="9" t="s">
        <v>317</v>
      </c>
      <c r="C207" s="9" t="s">
        <v>318</v>
      </c>
      <c r="D207" s="9" t="s">
        <v>863</v>
      </c>
      <c r="E207" s="9" t="s">
        <v>319</v>
      </c>
      <c r="F207" s="9" t="s">
        <v>125</v>
      </c>
      <c r="G207" s="225" t="s">
        <v>405</v>
      </c>
      <c r="H207" s="9" t="s">
        <v>426</v>
      </c>
      <c r="I207" s="55">
        <f>COUNTIF('LOGBOOK VIEWER'!$B$7:$B$10600,$A207)</f>
        <v>1</v>
      </c>
      <c r="J207" s="10">
        <v>0.25</v>
      </c>
      <c r="K207" s="10">
        <f>I207*J207</f>
        <v>0.25</v>
      </c>
    </row>
    <row r="208" spans="1:11" ht="42.75" x14ac:dyDescent="0.2">
      <c r="A208" s="28">
        <v>1256</v>
      </c>
      <c r="B208" s="9" t="s">
        <v>317</v>
      </c>
      <c r="C208" s="9" t="s">
        <v>318</v>
      </c>
      <c r="D208" s="9" t="s">
        <v>863</v>
      </c>
      <c r="E208" s="9" t="s">
        <v>319</v>
      </c>
      <c r="F208" s="9" t="s">
        <v>125</v>
      </c>
      <c r="G208" s="225" t="s">
        <v>405</v>
      </c>
      <c r="H208" s="9" t="s">
        <v>426</v>
      </c>
      <c r="I208" s="55">
        <f>COUNTIF('LOGBOOK VIEWER'!$B$7:$B$10600,$A208)</f>
        <v>0</v>
      </c>
      <c r="J208" s="10">
        <v>1</v>
      </c>
      <c r="K208" s="10">
        <f>I208*J208</f>
        <v>0</v>
      </c>
    </row>
    <row r="209" spans="1:11" ht="42.75" x14ac:dyDescent="0.2">
      <c r="A209" s="28">
        <v>1257</v>
      </c>
      <c r="B209" s="9" t="s">
        <v>317</v>
      </c>
      <c r="C209" s="9" t="s">
        <v>318</v>
      </c>
      <c r="D209" s="9" t="s">
        <v>863</v>
      </c>
      <c r="E209" s="9" t="s">
        <v>319</v>
      </c>
      <c r="F209" s="9" t="s">
        <v>125</v>
      </c>
      <c r="G209" s="225" t="s">
        <v>405</v>
      </c>
      <c r="H209" s="9" t="s">
        <v>426</v>
      </c>
      <c r="I209" s="55">
        <f>COUNTIF('LOGBOOK VIEWER'!$B$7:$B$10600,$A209)</f>
        <v>0</v>
      </c>
      <c r="J209" s="10">
        <v>0.25</v>
      </c>
      <c r="K209" s="10">
        <f>I209*J209</f>
        <v>0</v>
      </c>
    </row>
    <row r="210" spans="1:11" ht="42.75" x14ac:dyDescent="0.2">
      <c r="A210" s="28">
        <v>1258</v>
      </c>
      <c r="B210" s="9" t="s">
        <v>317</v>
      </c>
      <c r="C210" s="9" t="s">
        <v>318</v>
      </c>
      <c r="D210" s="9" t="s">
        <v>863</v>
      </c>
      <c r="E210" s="9" t="s">
        <v>319</v>
      </c>
      <c r="F210" s="9" t="s">
        <v>125</v>
      </c>
      <c r="G210" s="225" t="s">
        <v>412</v>
      </c>
      <c r="H210" s="9" t="s">
        <v>831</v>
      </c>
      <c r="I210" s="55">
        <f>COUNTIF('LOGBOOK VIEWER'!$B$7:$B$10600,$A210)</f>
        <v>0</v>
      </c>
      <c r="J210" s="10">
        <v>0.5</v>
      </c>
      <c r="K210" s="10">
        <f>I210*J210</f>
        <v>0</v>
      </c>
    </row>
    <row r="211" spans="1:11" ht="42.75" x14ac:dyDescent="0.2">
      <c r="A211" s="28">
        <v>1259</v>
      </c>
      <c r="B211" s="9" t="s">
        <v>317</v>
      </c>
      <c r="C211" s="9" t="s">
        <v>318</v>
      </c>
      <c r="D211" s="9" t="s">
        <v>863</v>
      </c>
      <c r="E211" s="9" t="s">
        <v>319</v>
      </c>
      <c r="F211" s="9" t="s">
        <v>125</v>
      </c>
      <c r="G211" s="225" t="s">
        <v>405</v>
      </c>
      <c r="H211" s="9" t="s">
        <v>426</v>
      </c>
      <c r="I211" s="55">
        <f>COUNTIF('LOGBOOK VIEWER'!$B$7:$B$10600,$A211)</f>
        <v>0</v>
      </c>
      <c r="J211" s="10">
        <v>0.25</v>
      </c>
      <c r="K211" s="10">
        <f>I211*J211</f>
        <v>0</v>
      </c>
    </row>
    <row r="212" spans="1:11" ht="42.75" x14ac:dyDescent="0.2">
      <c r="A212" s="28">
        <v>1260</v>
      </c>
      <c r="B212" s="9" t="s">
        <v>317</v>
      </c>
      <c r="C212" s="9" t="s">
        <v>318</v>
      </c>
      <c r="D212" s="9" t="s">
        <v>863</v>
      </c>
      <c r="E212" s="9" t="s">
        <v>319</v>
      </c>
      <c r="F212" s="9" t="s">
        <v>125</v>
      </c>
      <c r="G212" s="225" t="s">
        <v>412</v>
      </c>
      <c r="H212" s="9" t="s">
        <v>831</v>
      </c>
      <c r="I212" s="55">
        <f>COUNTIF('LOGBOOK VIEWER'!$B$7:$B$10600,$A212)</f>
        <v>0</v>
      </c>
      <c r="J212" s="10">
        <v>0.5</v>
      </c>
      <c r="K212" s="10">
        <f>I212*J212</f>
        <v>0</v>
      </c>
    </row>
    <row r="213" spans="1:11" ht="42.75" x14ac:dyDescent="0.2">
      <c r="A213" s="28">
        <v>1261</v>
      </c>
      <c r="B213" s="9" t="s">
        <v>320</v>
      </c>
      <c r="C213" s="9" t="s">
        <v>321</v>
      </c>
      <c r="D213" s="9" t="s">
        <v>828</v>
      </c>
      <c r="E213" s="9" t="s">
        <v>829</v>
      </c>
      <c r="F213" s="9" t="s">
        <v>125</v>
      </c>
      <c r="G213" s="225" t="s">
        <v>405</v>
      </c>
      <c r="H213" s="9" t="s">
        <v>428</v>
      </c>
      <c r="I213" s="55">
        <f>COUNTIF('LOGBOOK VIEWER'!$B$7:$B$10600,$A213)</f>
        <v>0</v>
      </c>
      <c r="J213" s="10">
        <v>1</v>
      </c>
      <c r="K213" s="10">
        <f>I213*J213</f>
        <v>0</v>
      </c>
    </row>
    <row r="214" spans="1:11" x14ac:dyDescent="0.2">
      <c r="A214" s="28">
        <v>1262</v>
      </c>
      <c r="B214" s="9" t="s">
        <v>322</v>
      </c>
      <c r="C214" s="9" t="s">
        <v>323</v>
      </c>
      <c r="D214" s="9" t="s">
        <v>404</v>
      </c>
      <c r="E214" s="9" t="s">
        <v>404</v>
      </c>
      <c r="F214" s="9" t="s">
        <v>831</v>
      </c>
      <c r="G214" s="225" t="s">
        <v>412</v>
      </c>
      <c r="H214" s="9" t="s">
        <v>831</v>
      </c>
      <c r="I214" s="55">
        <f>COUNTIF('LOGBOOK VIEWER'!$B$7:$B$10600,$A214)</f>
        <v>0</v>
      </c>
      <c r="J214" s="10">
        <v>0.5</v>
      </c>
      <c r="K214" s="10">
        <f>I214*J214</f>
        <v>0</v>
      </c>
    </row>
    <row r="215" spans="1:11" ht="42.75" x14ac:dyDescent="0.2">
      <c r="A215" s="28">
        <v>1263</v>
      </c>
      <c r="B215" s="9" t="s">
        <v>324</v>
      </c>
      <c r="C215" s="9" t="s">
        <v>325</v>
      </c>
      <c r="D215" s="9" t="s">
        <v>860</v>
      </c>
      <c r="E215" s="9" t="s">
        <v>30</v>
      </c>
      <c r="F215" s="9" t="s">
        <v>125</v>
      </c>
      <c r="G215" s="225" t="s">
        <v>412</v>
      </c>
      <c r="H215" s="9" t="s">
        <v>831</v>
      </c>
      <c r="I215" s="55">
        <f>COUNTIF('LOGBOOK VIEWER'!$B$7:$B$10600,$A215)</f>
        <v>0</v>
      </c>
      <c r="J215" s="10">
        <v>0.5</v>
      </c>
      <c r="K215" s="10">
        <f>I215*J215</f>
        <v>0</v>
      </c>
    </row>
    <row r="216" spans="1:11" ht="28.5" x14ac:dyDescent="0.2">
      <c r="A216" s="28">
        <v>1264</v>
      </c>
      <c r="B216" s="9" t="s">
        <v>844</v>
      </c>
      <c r="C216" s="9" t="s">
        <v>326</v>
      </c>
      <c r="D216" s="9" t="s">
        <v>842</v>
      </c>
      <c r="E216" s="9" t="s">
        <v>842</v>
      </c>
      <c r="F216" s="9" t="s">
        <v>126</v>
      </c>
      <c r="G216" s="225" t="s">
        <v>809</v>
      </c>
      <c r="H216" s="9" t="s">
        <v>831</v>
      </c>
      <c r="I216" s="55">
        <f>COUNTIF('LOGBOOK VIEWER'!$B$7:$B$10600,$A216)</f>
        <v>0</v>
      </c>
      <c r="J216" s="10">
        <v>0</v>
      </c>
      <c r="K216" s="10">
        <f>I216*J216</f>
        <v>0</v>
      </c>
    </row>
    <row r="217" spans="1:11" ht="28.5" x14ac:dyDescent="0.2">
      <c r="A217" s="28">
        <v>1265</v>
      </c>
      <c r="B217" s="9" t="s">
        <v>846</v>
      </c>
      <c r="C217" s="9" t="s">
        <v>326</v>
      </c>
      <c r="D217" s="9" t="s">
        <v>842</v>
      </c>
      <c r="E217" s="9" t="s">
        <v>842</v>
      </c>
      <c r="F217" s="9" t="s">
        <v>126</v>
      </c>
      <c r="G217" s="225" t="s">
        <v>809</v>
      </c>
      <c r="H217" s="9" t="s">
        <v>831</v>
      </c>
      <c r="I217" s="55">
        <f>COUNTIF('LOGBOOK VIEWER'!$B$7:$B$10600,$A217)</f>
        <v>0</v>
      </c>
      <c r="J217" s="10">
        <v>0</v>
      </c>
      <c r="K217" s="10">
        <f>I217*J217</f>
        <v>0</v>
      </c>
    </row>
    <row r="218" spans="1:11" ht="28.5" x14ac:dyDescent="0.2">
      <c r="A218" s="28">
        <v>1266</v>
      </c>
      <c r="B218" s="9" t="s">
        <v>847</v>
      </c>
      <c r="C218" s="9" t="s">
        <v>326</v>
      </c>
      <c r="D218" s="9" t="s">
        <v>842</v>
      </c>
      <c r="E218" s="9" t="s">
        <v>842</v>
      </c>
      <c r="F218" s="9" t="s">
        <v>126</v>
      </c>
      <c r="G218" s="225" t="s">
        <v>809</v>
      </c>
      <c r="H218" s="9" t="s">
        <v>831</v>
      </c>
      <c r="I218" s="55">
        <f>COUNTIF('LOGBOOK VIEWER'!$B$7:$B$10600,$A218)</f>
        <v>0</v>
      </c>
      <c r="J218" s="10">
        <v>0</v>
      </c>
      <c r="K218" s="10">
        <f>I218*J218</f>
        <v>0</v>
      </c>
    </row>
    <row r="219" spans="1:11" ht="28.5" x14ac:dyDescent="0.2">
      <c r="A219" s="28">
        <v>1267</v>
      </c>
      <c r="B219" s="9" t="s">
        <v>848</v>
      </c>
      <c r="C219" s="9" t="s">
        <v>326</v>
      </c>
      <c r="D219" s="9" t="s">
        <v>842</v>
      </c>
      <c r="E219" s="9" t="s">
        <v>842</v>
      </c>
      <c r="F219" s="9" t="s">
        <v>126</v>
      </c>
      <c r="G219" s="225" t="s">
        <v>809</v>
      </c>
      <c r="H219" s="9" t="s">
        <v>831</v>
      </c>
      <c r="I219" s="55">
        <f>COUNTIF('LOGBOOK VIEWER'!$B$7:$B$10600,$A219)</f>
        <v>0</v>
      </c>
      <c r="J219" s="10">
        <v>0</v>
      </c>
      <c r="K219" s="10">
        <f>I219*J219</f>
        <v>0</v>
      </c>
    </row>
    <row r="220" spans="1:11" ht="28.5" x14ac:dyDescent="0.2">
      <c r="A220" s="28">
        <v>1268</v>
      </c>
      <c r="B220" s="9" t="s">
        <v>840</v>
      </c>
      <c r="C220" s="9" t="s">
        <v>328</v>
      </c>
      <c r="D220" s="9" t="s">
        <v>842</v>
      </c>
      <c r="E220" s="9" t="s">
        <v>842</v>
      </c>
      <c r="F220" s="9" t="s">
        <v>126</v>
      </c>
      <c r="G220" s="225" t="s">
        <v>809</v>
      </c>
      <c r="H220" s="9" t="s">
        <v>831</v>
      </c>
      <c r="I220" s="55">
        <f>COUNTIF('LOGBOOK VIEWER'!$B$7:$B$10600,$A220)</f>
        <v>0</v>
      </c>
      <c r="J220" s="10">
        <v>0</v>
      </c>
      <c r="K220" s="10">
        <f>I220*J220</f>
        <v>0</v>
      </c>
    </row>
    <row r="221" spans="1:11" ht="28.5" x14ac:dyDescent="0.2">
      <c r="A221" s="28">
        <v>1269</v>
      </c>
      <c r="B221" s="9" t="s">
        <v>843</v>
      </c>
      <c r="C221" s="9" t="s">
        <v>328</v>
      </c>
      <c r="D221" s="9" t="s">
        <v>842</v>
      </c>
      <c r="E221" s="9" t="s">
        <v>842</v>
      </c>
      <c r="F221" s="9" t="s">
        <v>126</v>
      </c>
      <c r="G221" s="225" t="s">
        <v>809</v>
      </c>
      <c r="H221" s="9" t="s">
        <v>831</v>
      </c>
      <c r="I221" s="55">
        <f>COUNTIF('LOGBOOK VIEWER'!$B$7:$B$10600,$A221)</f>
        <v>0</v>
      </c>
      <c r="J221" s="10">
        <v>0</v>
      </c>
      <c r="K221" s="10">
        <f>I221*J221</f>
        <v>0</v>
      </c>
    </row>
    <row r="222" spans="1:11" ht="42.75" x14ac:dyDescent="0.2">
      <c r="A222" s="28">
        <v>1270</v>
      </c>
      <c r="B222" s="9" t="s">
        <v>329</v>
      </c>
      <c r="C222" s="9" t="s">
        <v>330</v>
      </c>
      <c r="D222" s="9" t="s">
        <v>842</v>
      </c>
      <c r="E222" s="9" t="s">
        <v>842</v>
      </c>
      <c r="F222" s="9" t="s">
        <v>126</v>
      </c>
      <c r="G222" s="225" t="s">
        <v>405</v>
      </c>
      <c r="H222" s="9" t="s">
        <v>426</v>
      </c>
      <c r="I222" s="55">
        <f>COUNTIF('LOGBOOK VIEWER'!$B$7:$B$10600,$A222)</f>
        <v>0</v>
      </c>
      <c r="J222" s="10">
        <v>1</v>
      </c>
      <c r="K222" s="10">
        <f>I222*J222</f>
        <v>0</v>
      </c>
    </row>
    <row r="223" spans="1:11" ht="42.75" x14ac:dyDescent="0.2">
      <c r="A223" s="28">
        <v>1271</v>
      </c>
      <c r="B223" s="9" t="s">
        <v>65</v>
      </c>
      <c r="C223" s="9" t="s">
        <v>66</v>
      </c>
      <c r="D223" s="9" t="s">
        <v>842</v>
      </c>
      <c r="E223" s="9" t="s">
        <v>842</v>
      </c>
      <c r="F223" s="9" t="s">
        <v>126</v>
      </c>
      <c r="G223" s="225" t="s">
        <v>405</v>
      </c>
      <c r="H223" s="9" t="s">
        <v>426</v>
      </c>
      <c r="I223" s="55">
        <f>COUNTIF('LOGBOOK VIEWER'!$B$7:$B$10600,$A223)</f>
        <v>0</v>
      </c>
      <c r="J223" s="10">
        <v>1</v>
      </c>
      <c r="K223" s="10">
        <f>I223*J223</f>
        <v>0</v>
      </c>
    </row>
    <row r="224" spans="1:11" ht="42.75" x14ac:dyDescent="0.2">
      <c r="A224" s="28">
        <v>1272</v>
      </c>
      <c r="B224" s="9" t="s">
        <v>67</v>
      </c>
      <c r="C224" s="9" t="s">
        <v>66</v>
      </c>
      <c r="D224" s="9" t="s">
        <v>842</v>
      </c>
      <c r="E224" s="9" t="s">
        <v>842</v>
      </c>
      <c r="F224" s="9" t="s">
        <v>126</v>
      </c>
      <c r="G224" s="225" t="s">
        <v>405</v>
      </c>
      <c r="H224" s="9" t="s">
        <v>426</v>
      </c>
      <c r="I224" s="55">
        <f>COUNTIF('LOGBOOK VIEWER'!$B$7:$B$10600,$A224)</f>
        <v>0</v>
      </c>
      <c r="J224" s="10">
        <v>1</v>
      </c>
      <c r="K224" s="10">
        <f>I224*J224</f>
        <v>0</v>
      </c>
    </row>
    <row r="225" spans="1:11" ht="42.75" x14ac:dyDescent="0.2">
      <c r="A225" s="28">
        <v>1273</v>
      </c>
      <c r="B225" s="9" t="s">
        <v>68</v>
      </c>
      <c r="C225" s="9" t="s">
        <v>69</v>
      </c>
      <c r="D225" s="9" t="s">
        <v>842</v>
      </c>
      <c r="E225" s="9" t="s">
        <v>842</v>
      </c>
      <c r="F225" s="9" t="s">
        <v>126</v>
      </c>
      <c r="G225" s="225" t="s">
        <v>405</v>
      </c>
      <c r="H225" s="9" t="s">
        <v>426</v>
      </c>
      <c r="I225" s="55">
        <f>COUNTIF('LOGBOOK VIEWER'!$B$7:$B$10600,$A225)</f>
        <v>0</v>
      </c>
      <c r="J225" s="10">
        <v>1</v>
      </c>
      <c r="K225" s="10">
        <f>I225*J225</f>
        <v>0</v>
      </c>
    </row>
    <row r="226" spans="1:11" ht="42.75" x14ac:dyDescent="0.2">
      <c r="A226" s="28">
        <v>1274</v>
      </c>
      <c r="B226" s="9" t="s">
        <v>70</v>
      </c>
      <c r="C226" s="9" t="s">
        <v>69</v>
      </c>
      <c r="D226" s="9" t="s">
        <v>842</v>
      </c>
      <c r="E226" s="9" t="s">
        <v>842</v>
      </c>
      <c r="F226" s="9" t="s">
        <v>126</v>
      </c>
      <c r="G226" s="225" t="s">
        <v>405</v>
      </c>
      <c r="H226" s="9" t="s">
        <v>426</v>
      </c>
      <c r="I226" s="55">
        <f>COUNTIF('LOGBOOK VIEWER'!$B$7:$B$10600,$A226)</f>
        <v>0</v>
      </c>
      <c r="J226" s="10">
        <v>1</v>
      </c>
      <c r="K226" s="10">
        <f>I226*J226</f>
        <v>0</v>
      </c>
    </row>
    <row r="227" spans="1:11" ht="42.75" x14ac:dyDescent="0.2">
      <c r="A227" s="28">
        <v>1275</v>
      </c>
      <c r="B227" s="9" t="s">
        <v>71</v>
      </c>
      <c r="C227" s="9" t="s">
        <v>69</v>
      </c>
      <c r="D227" s="9" t="s">
        <v>842</v>
      </c>
      <c r="E227" s="9" t="s">
        <v>842</v>
      </c>
      <c r="F227" s="9" t="s">
        <v>126</v>
      </c>
      <c r="G227" s="225" t="s">
        <v>405</v>
      </c>
      <c r="H227" s="9" t="s">
        <v>426</v>
      </c>
      <c r="I227" s="55">
        <f>COUNTIF('LOGBOOK VIEWER'!$B$7:$B$10600,$A227)</f>
        <v>0</v>
      </c>
      <c r="J227" s="10">
        <v>1</v>
      </c>
      <c r="K227" s="10">
        <f>I227*J227</f>
        <v>0</v>
      </c>
    </row>
    <row r="228" spans="1:11" ht="42.75" x14ac:dyDescent="0.2">
      <c r="A228" s="28">
        <v>1276</v>
      </c>
      <c r="B228" s="9" t="s">
        <v>72</v>
      </c>
      <c r="C228" s="9" t="s">
        <v>73</v>
      </c>
      <c r="D228" s="9" t="s">
        <v>842</v>
      </c>
      <c r="E228" s="9" t="s">
        <v>842</v>
      </c>
      <c r="F228" s="9" t="s">
        <v>126</v>
      </c>
      <c r="G228" s="225" t="s">
        <v>809</v>
      </c>
      <c r="H228" s="9" t="s">
        <v>831</v>
      </c>
      <c r="I228" s="55">
        <f>COUNTIF('LOGBOOK VIEWER'!$B$7:$B$10600,$A228)</f>
        <v>0</v>
      </c>
      <c r="J228" s="10">
        <v>0</v>
      </c>
      <c r="K228" s="10">
        <f>I228*J228</f>
        <v>0</v>
      </c>
    </row>
    <row r="229" spans="1:11" ht="42.75" x14ac:dyDescent="0.2">
      <c r="A229" s="28">
        <v>1277</v>
      </c>
      <c r="B229" s="9" t="s">
        <v>433</v>
      </c>
      <c r="C229" s="9" t="s">
        <v>434</v>
      </c>
      <c r="D229" s="9" t="s">
        <v>842</v>
      </c>
      <c r="E229" s="9" t="s">
        <v>842</v>
      </c>
      <c r="F229" s="9" t="s">
        <v>126</v>
      </c>
      <c r="G229" s="225" t="s">
        <v>809</v>
      </c>
      <c r="H229" s="9" t="s">
        <v>831</v>
      </c>
      <c r="I229" s="55">
        <f>COUNTIF('LOGBOOK VIEWER'!$B$7:$B$10600,$A229)</f>
        <v>0</v>
      </c>
      <c r="J229" s="10">
        <v>0</v>
      </c>
      <c r="K229" s="10">
        <f>I229*J229</f>
        <v>0</v>
      </c>
    </row>
    <row r="230" spans="1:11" ht="42.75" x14ac:dyDescent="0.2">
      <c r="A230" s="28">
        <v>1278</v>
      </c>
      <c r="B230" s="9" t="s">
        <v>435</v>
      </c>
      <c r="C230" s="9" t="s">
        <v>436</v>
      </c>
      <c r="D230" s="9" t="s">
        <v>828</v>
      </c>
      <c r="E230" s="9" t="s">
        <v>829</v>
      </c>
      <c r="F230" s="9" t="s">
        <v>126</v>
      </c>
      <c r="G230" s="225" t="s">
        <v>405</v>
      </c>
      <c r="H230" s="9" t="s">
        <v>428</v>
      </c>
      <c r="I230" s="55">
        <f>COUNTIF('LOGBOOK VIEWER'!$B$7:$B$10600,$A230)</f>
        <v>0</v>
      </c>
      <c r="J230" s="10">
        <v>1</v>
      </c>
      <c r="K230" s="10">
        <f>I230*J230</f>
        <v>0</v>
      </c>
    </row>
    <row r="231" spans="1:11" ht="28.5" x14ac:dyDescent="0.2">
      <c r="A231" s="28">
        <v>1279</v>
      </c>
      <c r="B231" s="9" t="s">
        <v>437</v>
      </c>
      <c r="C231" s="9" t="s">
        <v>438</v>
      </c>
      <c r="D231" s="9" t="s">
        <v>828</v>
      </c>
      <c r="E231" s="9" t="s">
        <v>829</v>
      </c>
      <c r="F231" s="9" t="s">
        <v>126</v>
      </c>
      <c r="G231" s="225" t="s">
        <v>405</v>
      </c>
      <c r="H231" s="9" t="s">
        <v>428</v>
      </c>
      <c r="I231" s="55">
        <f>COUNTIF('LOGBOOK VIEWER'!$B$7:$B$10600,$A231)</f>
        <v>0</v>
      </c>
      <c r="J231" s="10">
        <v>1</v>
      </c>
      <c r="K231" s="10">
        <f>I231*J231</f>
        <v>0</v>
      </c>
    </row>
    <row r="232" spans="1:11" ht="28.5" x14ac:dyDescent="0.2">
      <c r="A232" s="28">
        <v>1280</v>
      </c>
      <c r="B232" s="9" t="s">
        <v>439</v>
      </c>
      <c r="C232" s="9" t="s">
        <v>110</v>
      </c>
      <c r="D232" s="9" t="s">
        <v>828</v>
      </c>
      <c r="E232" s="9" t="s">
        <v>829</v>
      </c>
      <c r="F232" s="9" t="s">
        <v>126</v>
      </c>
      <c r="G232" s="225" t="s">
        <v>405</v>
      </c>
      <c r="H232" s="9" t="s">
        <v>428</v>
      </c>
      <c r="I232" s="55">
        <f>COUNTIF('LOGBOOK VIEWER'!$B$7:$B$10600,$A232)</f>
        <v>0</v>
      </c>
      <c r="J232" s="10">
        <v>1</v>
      </c>
      <c r="K232" s="10">
        <f>I232*J232</f>
        <v>0</v>
      </c>
    </row>
    <row r="233" spans="1:11" ht="28.5" x14ac:dyDescent="0.2">
      <c r="A233" s="28">
        <v>1281</v>
      </c>
      <c r="B233" s="9" t="s">
        <v>111</v>
      </c>
      <c r="C233" s="9" t="s">
        <v>112</v>
      </c>
      <c r="D233" s="9" t="s">
        <v>828</v>
      </c>
      <c r="E233" s="9" t="s">
        <v>829</v>
      </c>
      <c r="F233" s="9" t="s">
        <v>126</v>
      </c>
      <c r="G233" s="225" t="s">
        <v>405</v>
      </c>
      <c r="H233" s="9" t="s">
        <v>428</v>
      </c>
      <c r="I233" s="55">
        <f>COUNTIF('LOGBOOK VIEWER'!$B$7:$B$10600,$A233)</f>
        <v>0</v>
      </c>
      <c r="J233" s="10">
        <v>1</v>
      </c>
      <c r="K233" s="10">
        <f>I233*J233</f>
        <v>0</v>
      </c>
    </row>
    <row r="234" spans="1:11" ht="42.75" x14ac:dyDescent="0.2">
      <c r="A234" s="28">
        <v>1282</v>
      </c>
      <c r="B234" s="9" t="s">
        <v>113</v>
      </c>
      <c r="C234" s="9" t="s">
        <v>114</v>
      </c>
      <c r="D234" s="9" t="s">
        <v>4</v>
      </c>
      <c r="E234" s="9" t="s">
        <v>14</v>
      </c>
      <c r="F234" s="9" t="s">
        <v>125</v>
      </c>
      <c r="G234" s="225" t="s">
        <v>405</v>
      </c>
      <c r="H234" s="9" t="s">
        <v>526</v>
      </c>
      <c r="I234" s="55">
        <f>COUNTIF('LOGBOOK VIEWER'!$B$7:$B$10600,$A234)</f>
        <v>0</v>
      </c>
      <c r="J234" s="10">
        <v>1</v>
      </c>
      <c r="K234" s="10">
        <f>I234*J234</f>
        <v>0</v>
      </c>
    </row>
    <row r="235" spans="1:11" ht="42.75" x14ac:dyDescent="0.2">
      <c r="A235" s="28">
        <v>1283</v>
      </c>
      <c r="B235" s="9" t="s">
        <v>115</v>
      </c>
      <c r="C235" s="9" t="s">
        <v>116</v>
      </c>
      <c r="D235" s="9" t="s">
        <v>404</v>
      </c>
      <c r="E235" s="9" t="s">
        <v>404</v>
      </c>
      <c r="F235" s="9" t="s">
        <v>126</v>
      </c>
      <c r="G235" s="225" t="s">
        <v>412</v>
      </c>
      <c r="H235" s="9" t="s">
        <v>831</v>
      </c>
      <c r="I235" s="55">
        <f>COUNTIF('LOGBOOK VIEWER'!$B$7:$B$10600,$A235)</f>
        <v>0</v>
      </c>
      <c r="J235" s="10">
        <v>0.5</v>
      </c>
      <c r="K235" s="10">
        <f>I235*J235</f>
        <v>0</v>
      </c>
    </row>
    <row r="236" spans="1:11" ht="71.25" x14ac:dyDescent="0.2">
      <c r="A236" s="28">
        <v>1284</v>
      </c>
      <c r="B236" s="9" t="s">
        <v>117</v>
      </c>
      <c r="C236" s="9" t="s">
        <v>118</v>
      </c>
      <c r="D236" s="9" t="s">
        <v>828</v>
      </c>
      <c r="E236" s="9" t="s">
        <v>829</v>
      </c>
      <c r="F236" s="9" t="s">
        <v>125</v>
      </c>
      <c r="G236" s="225" t="s">
        <v>405</v>
      </c>
      <c r="H236" s="9" t="s">
        <v>428</v>
      </c>
      <c r="I236" s="55">
        <f>COUNTIF('LOGBOOK VIEWER'!$B$7:$B$10600,$A236)</f>
        <v>0</v>
      </c>
      <c r="J236" s="10">
        <v>1</v>
      </c>
      <c r="K236" s="10">
        <f>I236*J236</f>
        <v>0</v>
      </c>
    </row>
    <row r="237" spans="1:11" ht="28.5" x14ac:dyDescent="0.2">
      <c r="A237" s="28">
        <v>1285</v>
      </c>
      <c r="B237" s="9" t="s">
        <v>119</v>
      </c>
      <c r="C237" s="9" t="s">
        <v>120</v>
      </c>
      <c r="D237" s="9" t="s">
        <v>121</v>
      </c>
      <c r="E237" s="9" t="s">
        <v>122</v>
      </c>
      <c r="F237" s="9" t="s">
        <v>125</v>
      </c>
      <c r="G237" s="225" t="s">
        <v>809</v>
      </c>
      <c r="H237" s="9" t="s">
        <v>831</v>
      </c>
      <c r="I237" s="55">
        <f>COUNTIF('LOGBOOK VIEWER'!$B$7:$B$10600,$A237)</f>
        <v>0</v>
      </c>
      <c r="J237" s="10">
        <v>0</v>
      </c>
      <c r="K237" s="10">
        <f>I237*J237</f>
        <v>0</v>
      </c>
    </row>
    <row r="238" spans="1:11" ht="28.5" x14ac:dyDescent="0.2">
      <c r="A238" s="28">
        <v>1286</v>
      </c>
      <c r="B238" s="9" t="s">
        <v>123</v>
      </c>
      <c r="C238" s="9" t="s">
        <v>124</v>
      </c>
      <c r="D238" s="9" t="s">
        <v>404</v>
      </c>
      <c r="E238" s="9" t="s">
        <v>404</v>
      </c>
      <c r="F238" s="9" t="s">
        <v>125</v>
      </c>
      <c r="G238" s="225" t="s">
        <v>809</v>
      </c>
      <c r="H238" s="9" t="s">
        <v>831</v>
      </c>
      <c r="I238" s="55">
        <f>COUNTIF('LOGBOOK VIEWER'!$B$7:$B$10600,$A238)</f>
        <v>0</v>
      </c>
      <c r="J238" s="10">
        <v>0</v>
      </c>
      <c r="K238" s="10">
        <f>I238*J238</f>
        <v>0</v>
      </c>
    </row>
    <row r="239" spans="1:11" ht="28.5" x14ac:dyDescent="0.2">
      <c r="A239" s="28">
        <v>1292</v>
      </c>
      <c r="B239" s="9" t="s">
        <v>446</v>
      </c>
      <c r="C239" s="9" t="s">
        <v>447</v>
      </c>
      <c r="D239" s="9" t="s">
        <v>121</v>
      </c>
      <c r="E239" s="9" t="s">
        <v>122</v>
      </c>
      <c r="F239" s="9" t="s">
        <v>125</v>
      </c>
      <c r="G239" s="225" t="s">
        <v>412</v>
      </c>
      <c r="H239" s="9" t="s">
        <v>831</v>
      </c>
      <c r="I239" s="55">
        <f>COUNTIF('LOGBOOK VIEWER'!$B$7:$B$10600,$A239)</f>
        <v>0</v>
      </c>
      <c r="J239" s="10">
        <v>0.5</v>
      </c>
      <c r="K239" s="10">
        <f>I239*J239</f>
        <v>0</v>
      </c>
    </row>
    <row r="240" spans="1:11" ht="42.75" x14ac:dyDescent="0.2">
      <c r="A240" s="28">
        <v>1293</v>
      </c>
      <c r="B240" s="9" t="s">
        <v>128</v>
      </c>
      <c r="C240" s="9" t="s">
        <v>129</v>
      </c>
      <c r="D240" s="9" t="s">
        <v>121</v>
      </c>
      <c r="E240" s="9" t="s">
        <v>122</v>
      </c>
      <c r="F240" s="9" t="s">
        <v>125</v>
      </c>
      <c r="G240" s="225" t="s">
        <v>405</v>
      </c>
      <c r="H240" s="9" t="s">
        <v>431</v>
      </c>
      <c r="I240" s="55">
        <f>COUNTIF('LOGBOOK VIEWER'!$B$7:$B$10600,$A240)</f>
        <v>0</v>
      </c>
      <c r="J240" s="10">
        <v>0.1</v>
      </c>
      <c r="K240" s="10">
        <f>I240*J240</f>
        <v>0</v>
      </c>
    </row>
    <row r="241" spans="1:11" ht="28.5" x14ac:dyDescent="0.2">
      <c r="A241" s="28">
        <v>1294</v>
      </c>
      <c r="B241" s="9" t="s">
        <v>130</v>
      </c>
      <c r="C241" s="9" t="s">
        <v>131</v>
      </c>
      <c r="D241" s="9" t="s">
        <v>121</v>
      </c>
      <c r="E241" s="9" t="s">
        <v>122</v>
      </c>
      <c r="F241" s="9" t="s">
        <v>125</v>
      </c>
      <c r="G241" s="225" t="s">
        <v>405</v>
      </c>
      <c r="H241" s="9" t="s">
        <v>431</v>
      </c>
      <c r="I241" s="55">
        <f>COUNTIF('LOGBOOK VIEWER'!$B$7:$B$10600,$A241)</f>
        <v>4</v>
      </c>
      <c r="J241" s="10">
        <v>1</v>
      </c>
      <c r="K241" s="10">
        <f>I241*J241</f>
        <v>4</v>
      </c>
    </row>
    <row r="242" spans="1:11" ht="57" x14ac:dyDescent="0.2">
      <c r="A242" s="28">
        <v>1295</v>
      </c>
      <c r="B242" s="9" t="s">
        <v>132</v>
      </c>
      <c r="C242" s="9" t="s">
        <v>133</v>
      </c>
      <c r="D242" s="9" t="s">
        <v>828</v>
      </c>
      <c r="E242" s="9" t="s">
        <v>829</v>
      </c>
      <c r="F242" s="9" t="s">
        <v>125</v>
      </c>
      <c r="G242" s="225" t="s">
        <v>412</v>
      </c>
      <c r="H242" s="9" t="s">
        <v>831</v>
      </c>
      <c r="I242" s="55">
        <f>COUNTIF('LOGBOOK VIEWER'!$B$7:$B$10600,$A242)</f>
        <v>0</v>
      </c>
      <c r="J242" s="10">
        <v>0.5</v>
      </c>
      <c r="K242" s="10">
        <f>I242*J242</f>
        <v>0</v>
      </c>
    </row>
    <row r="243" spans="1:11" ht="28.5" x14ac:dyDescent="0.2">
      <c r="A243" s="28">
        <v>1296</v>
      </c>
      <c r="B243" s="9" t="s">
        <v>134</v>
      </c>
      <c r="C243" s="9" t="s">
        <v>135</v>
      </c>
      <c r="D243" s="9" t="s">
        <v>863</v>
      </c>
      <c r="E243" s="9" t="s">
        <v>319</v>
      </c>
      <c r="F243" s="9" t="s">
        <v>831</v>
      </c>
      <c r="G243" s="225" t="s">
        <v>412</v>
      </c>
      <c r="H243" s="9" t="s">
        <v>831</v>
      </c>
      <c r="I243" s="55">
        <f>COUNTIF('LOGBOOK VIEWER'!$B$7:$B$10600,$A243)</f>
        <v>0</v>
      </c>
      <c r="J243" s="10">
        <v>0.5</v>
      </c>
      <c r="K243" s="10">
        <f>I243*J243</f>
        <v>0</v>
      </c>
    </row>
    <row r="244" spans="1:11" ht="28.5" x14ac:dyDescent="0.2">
      <c r="A244" s="28">
        <v>1297</v>
      </c>
      <c r="B244" s="9" t="s">
        <v>136</v>
      </c>
      <c r="C244" s="9" t="s">
        <v>137</v>
      </c>
      <c r="D244" s="9" t="s">
        <v>404</v>
      </c>
      <c r="E244" s="9" t="s">
        <v>404</v>
      </c>
      <c r="F244" s="9" t="s">
        <v>831</v>
      </c>
      <c r="G244" s="225" t="s">
        <v>412</v>
      </c>
      <c r="H244" s="9" t="s">
        <v>831</v>
      </c>
      <c r="I244" s="55">
        <f>COUNTIF('LOGBOOK VIEWER'!$B$7:$B$10600,$A244)</f>
        <v>0</v>
      </c>
      <c r="J244" s="10">
        <v>0.5</v>
      </c>
      <c r="K244" s="10">
        <f>I244*J244</f>
        <v>0</v>
      </c>
    </row>
    <row r="245" spans="1:11" ht="85.5" x14ac:dyDescent="0.2">
      <c r="A245" s="28">
        <v>1313</v>
      </c>
      <c r="B245" s="9" t="s">
        <v>138</v>
      </c>
      <c r="C245" s="9" t="s">
        <v>537</v>
      </c>
      <c r="D245" s="9" t="s">
        <v>860</v>
      </c>
      <c r="E245" s="9" t="s">
        <v>316</v>
      </c>
      <c r="F245" s="9" t="s">
        <v>125</v>
      </c>
      <c r="G245" s="225" t="s">
        <v>405</v>
      </c>
      <c r="H245" s="9" t="s">
        <v>536</v>
      </c>
      <c r="I245" s="55">
        <f>COUNTIF('LOGBOOK VIEWER'!$B$7:$B$10600,$A245)</f>
        <v>0</v>
      </c>
      <c r="J245" s="10">
        <v>1</v>
      </c>
      <c r="K245" s="10">
        <f>I245*J245</f>
        <v>0</v>
      </c>
    </row>
    <row r="246" spans="1:11" ht="85.5" x14ac:dyDescent="0.2">
      <c r="A246" s="28">
        <v>1314</v>
      </c>
      <c r="B246" s="9" t="s">
        <v>538</v>
      </c>
      <c r="C246" s="9" t="s">
        <v>539</v>
      </c>
      <c r="D246" s="9" t="s">
        <v>860</v>
      </c>
      <c r="E246" s="9" t="s">
        <v>316</v>
      </c>
      <c r="F246" s="9" t="s">
        <v>125</v>
      </c>
      <c r="G246" s="225" t="s">
        <v>405</v>
      </c>
      <c r="H246" s="9" t="s">
        <v>536</v>
      </c>
      <c r="I246" s="55">
        <f>COUNTIF('LOGBOOK VIEWER'!$B$7:$B$10600,$A246)</f>
        <v>0</v>
      </c>
      <c r="J246" s="10">
        <v>1</v>
      </c>
      <c r="K246" s="10">
        <f>I246*J246</f>
        <v>0</v>
      </c>
    </row>
    <row r="247" spans="1:11" ht="71.25" x14ac:dyDescent="0.2">
      <c r="A247" s="28">
        <v>1315</v>
      </c>
      <c r="B247" s="9" t="s">
        <v>540</v>
      </c>
      <c r="C247" s="9" t="s">
        <v>541</v>
      </c>
      <c r="D247" s="9" t="s">
        <v>860</v>
      </c>
      <c r="E247" s="9" t="s">
        <v>40</v>
      </c>
      <c r="F247" s="9" t="s">
        <v>125</v>
      </c>
      <c r="G247" s="225" t="s">
        <v>405</v>
      </c>
      <c r="H247" s="9" t="s">
        <v>536</v>
      </c>
      <c r="I247" s="55">
        <f>COUNTIF('LOGBOOK VIEWER'!$B$7:$B$10600,$A247)</f>
        <v>0</v>
      </c>
      <c r="J247" s="10">
        <v>1</v>
      </c>
      <c r="K247" s="10">
        <f>I247*J247</f>
        <v>0</v>
      </c>
    </row>
    <row r="248" spans="1:11" ht="71.25" x14ac:dyDescent="0.2">
      <c r="A248" s="28">
        <v>1316</v>
      </c>
      <c r="B248" s="9" t="s">
        <v>542</v>
      </c>
      <c r="C248" s="9" t="s">
        <v>543</v>
      </c>
      <c r="D248" s="9" t="s">
        <v>860</v>
      </c>
      <c r="E248" s="9" t="s">
        <v>40</v>
      </c>
      <c r="F248" s="9" t="s">
        <v>125</v>
      </c>
      <c r="G248" s="225" t="s">
        <v>405</v>
      </c>
      <c r="H248" s="9" t="s">
        <v>536</v>
      </c>
      <c r="I248" s="55">
        <f>COUNTIF('LOGBOOK VIEWER'!$B$7:$B$10600,$A248)</f>
        <v>0</v>
      </c>
      <c r="J248" s="10">
        <v>1</v>
      </c>
      <c r="K248" s="10">
        <f>I248*J248</f>
        <v>0</v>
      </c>
    </row>
    <row r="249" spans="1:11" ht="57" x14ac:dyDescent="0.2">
      <c r="A249" s="28">
        <v>1317</v>
      </c>
      <c r="B249" s="9" t="s">
        <v>544</v>
      </c>
      <c r="C249" s="9" t="s">
        <v>545</v>
      </c>
      <c r="D249" s="9" t="s">
        <v>860</v>
      </c>
      <c r="E249" s="9" t="s">
        <v>316</v>
      </c>
      <c r="F249" s="9" t="s">
        <v>125</v>
      </c>
      <c r="G249" s="225" t="s">
        <v>405</v>
      </c>
      <c r="H249" s="9" t="s">
        <v>536</v>
      </c>
      <c r="I249" s="55">
        <f>COUNTIF('LOGBOOK VIEWER'!$B$7:$B$10600,$A249)</f>
        <v>0</v>
      </c>
      <c r="J249" s="10">
        <v>1</v>
      </c>
      <c r="K249" s="10">
        <f>I249*J249</f>
        <v>0</v>
      </c>
    </row>
    <row r="250" spans="1:11" ht="28.5" x14ac:dyDescent="0.2">
      <c r="A250" s="28">
        <v>1318</v>
      </c>
      <c r="B250" s="9" t="s">
        <v>546</v>
      </c>
      <c r="C250" s="9" t="s">
        <v>547</v>
      </c>
      <c r="D250" s="9" t="s">
        <v>860</v>
      </c>
      <c r="E250" s="9" t="s">
        <v>316</v>
      </c>
      <c r="F250" s="9" t="s">
        <v>125</v>
      </c>
      <c r="G250" s="225" t="s">
        <v>412</v>
      </c>
      <c r="H250" s="9" t="s">
        <v>831</v>
      </c>
      <c r="I250" s="55">
        <f>COUNTIF('LOGBOOK VIEWER'!$B$7:$B$10600,$A250)</f>
        <v>0</v>
      </c>
      <c r="J250" s="10">
        <v>0.5</v>
      </c>
      <c r="K250" s="10">
        <f>I250*J250</f>
        <v>0</v>
      </c>
    </row>
    <row r="251" spans="1:11" ht="28.5" x14ac:dyDescent="0.2">
      <c r="A251" s="28">
        <v>1319</v>
      </c>
      <c r="B251" s="9" t="s">
        <v>548</v>
      </c>
      <c r="C251" s="9" t="s">
        <v>549</v>
      </c>
      <c r="D251" s="9" t="s">
        <v>860</v>
      </c>
      <c r="E251" s="9" t="s">
        <v>316</v>
      </c>
      <c r="F251" s="9" t="s">
        <v>125</v>
      </c>
      <c r="G251" s="225" t="s">
        <v>412</v>
      </c>
      <c r="H251" s="9" t="s">
        <v>831</v>
      </c>
      <c r="I251" s="55">
        <f>COUNTIF('LOGBOOK VIEWER'!$B$7:$B$10600,$A251)</f>
        <v>0</v>
      </c>
      <c r="J251" s="10">
        <v>0.5</v>
      </c>
      <c r="K251" s="10">
        <f>I251*J251</f>
        <v>0</v>
      </c>
    </row>
    <row r="252" spans="1:11" ht="42.75" x14ac:dyDescent="0.2">
      <c r="A252" s="28">
        <v>1320</v>
      </c>
      <c r="B252" s="9" t="s">
        <v>550</v>
      </c>
      <c r="C252" s="9" t="s">
        <v>552</v>
      </c>
      <c r="D252" s="9" t="s">
        <v>860</v>
      </c>
      <c r="E252" s="9" t="s">
        <v>316</v>
      </c>
      <c r="F252" s="9" t="s">
        <v>125</v>
      </c>
      <c r="G252" s="225" t="s">
        <v>412</v>
      </c>
      <c r="H252" s="9" t="s">
        <v>831</v>
      </c>
      <c r="I252" s="55">
        <f>COUNTIF('LOGBOOK VIEWER'!$B$7:$B$10600,$A252)</f>
        <v>0</v>
      </c>
      <c r="J252" s="10">
        <v>0.5</v>
      </c>
      <c r="K252" s="10">
        <f>I252*J252</f>
        <v>0</v>
      </c>
    </row>
    <row r="253" spans="1:11" ht="57" x14ac:dyDescent="0.2">
      <c r="A253" s="28">
        <v>1321</v>
      </c>
      <c r="B253" s="9" t="s">
        <v>553</v>
      </c>
      <c r="C253" s="9" t="s">
        <v>554</v>
      </c>
      <c r="D253" s="9" t="s">
        <v>860</v>
      </c>
      <c r="E253" s="9" t="s">
        <v>316</v>
      </c>
      <c r="F253" s="9" t="s">
        <v>125</v>
      </c>
      <c r="G253" s="225" t="s">
        <v>405</v>
      </c>
      <c r="H253" s="9" t="s">
        <v>536</v>
      </c>
      <c r="I253" s="55">
        <f>COUNTIF('LOGBOOK VIEWER'!$B$7:$B$10600,$A253)</f>
        <v>0</v>
      </c>
      <c r="J253" s="10">
        <v>1</v>
      </c>
      <c r="K253" s="10">
        <f>I253*J253</f>
        <v>0</v>
      </c>
    </row>
    <row r="254" spans="1:11" ht="42.75" x14ac:dyDescent="0.2">
      <c r="A254" s="28">
        <v>1322</v>
      </c>
      <c r="B254" s="9" t="s">
        <v>555</v>
      </c>
      <c r="C254" s="9" t="s">
        <v>556</v>
      </c>
      <c r="D254" s="9" t="s">
        <v>860</v>
      </c>
      <c r="E254" s="9" t="s">
        <v>316</v>
      </c>
      <c r="F254" s="9" t="s">
        <v>831</v>
      </c>
      <c r="G254" s="225" t="s">
        <v>412</v>
      </c>
      <c r="H254" s="9" t="s">
        <v>831</v>
      </c>
      <c r="I254" s="55">
        <f>COUNTIF('LOGBOOK VIEWER'!$B$7:$B$10600,$A254)</f>
        <v>0</v>
      </c>
      <c r="J254" s="10">
        <v>0.5</v>
      </c>
      <c r="K254" s="10">
        <f>I254*J254</f>
        <v>0</v>
      </c>
    </row>
    <row r="255" spans="1:11" ht="28.5" x14ac:dyDescent="0.2">
      <c r="A255" s="28">
        <v>1323</v>
      </c>
      <c r="B255" s="9" t="s">
        <v>557</v>
      </c>
      <c r="C255" s="9" t="s">
        <v>558</v>
      </c>
      <c r="D255" s="9" t="s">
        <v>860</v>
      </c>
      <c r="E255" s="9" t="s">
        <v>316</v>
      </c>
      <c r="F255" s="9" t="s">
        <v>125</v>
      </c>
      <c r="G255" s="225" t="s">
        <v>412</v>
      </c>
      <c r="H255" s="9" t="s">
        <v>831</v>
      </c>
      <c r="I255" s="55">
        <f>COUNTIF('LOGBOOK VIEWER'!$B$7:$B$10600,$A255)</f>
        <v>0</v>
      </c>
      <c r="J255" s="10">
        <v>0.5</v>
      </c>
      <c r="K255" s="10">
        <f>I255*J255</f>
        <v>0</v>
      </c>
    </row>
    <row r="256" spans="1:11" ht="28.5" x14ac:dyDescent="0.2">
      <c r="A256" s="28">
        <v>1324</v>
      </c>
      <c r="B256" s="9" t="s">
        <v>559</v>
      </c>
      <c r="C256" s="9" t="s">
        <v>560</v>
      </c>
      <c r="D256" s="9" t="s">
        <v>860</v>
      </c>
      <c r="E256" s="9" t="s">
        <v>316</v>
      </c>
      <c r="F256" s="9" t="s">
        <v>125</v>
      </c>
      <c r="G256" s="225" t="s">
        <v>412</v>
      </c>
      <c r="H256" s="9" t="s">
        <v>831</v>
      </c>
      <c r="I256" s="55">
        <f>COUNTIF('LOGBOOK VIEWER'!$B$7:$B$10600,$A256)</f>
        <v>0</v>
      </c>
      <c r="J256" s="10">
        <v>0.5</v>
      </c>
      <c r="K256" s="10">
        <f>I256*J256</f>
        <v>0</v>
      </c>
    </row>
    <row r="257" spans="1:11" ht="28.5" x14ac:dyDescent="0.2">
      <c r="A257" s="28">
        <v>1325</v>
      </c>
      <c r="B257" s="9" t="s">
        <v>561</v>
      </c>
      <c r="C257" s="9" t="s">
        <v>562</v>
      </c>
      <c r="D257" s="9" t="s">
        <v>860</v>
      </c>
      <c r="E257" s="9" t="s">
        <v>316</v>
      </c>
      <c r="F257" s="9" t="s">
        <v>125</v>
      </c>
      <c r="G257" s="225" t="s">
        <v>412</v>
      </c>
      <c r="H257" s="9" t="s">
        <v>831</v>
      </c>
      <c r="I257" s="55">
        <f>COUNTIF('LOGBOOK VIEWER'!$B$7:$B$10600,$A257)</f>
        <v>0</v>
      </c>
      <c r="J257" s="10">
        <v>0.5</v>
      </c>
      <c r="K257" s="10">
        <f>I257*J257</f>
        <v>0</v>
      </c>
    </row>
    <row r="258" spans="1:11" ht="28.5" x14ac:dyDescent="0.2">
      <c r="A258" s="28">
        <v>1326</v>
      </c>
      <c r="B258" s="9" t="s">
        <v>563</v>
      </c>
      <c r="C258" s="9" t="s">
        <v>565</v>
      </c>
      <c r="D258" s="9" t="s">
        <v>860</v>
      </c>
      <c r="E258" s="9" t="s">
        <v>316</v>
      </c>
      <c r="F258" s="9" t="s">
        <v>125</v>
      </c>
      <c r="G258" s="225" t="s">
        <v>412</v>
      </c>
      <c r="H258" s="9" t="s">
        <v>831</v>
      </c>
      <c r="I258" s="55">
        <f>COUNTIF('LOGBOOK VIEWER'!$B$7:$B$10600,$A258)</f>
        <v>0</v>
      </c>
      <c r="J258" s="10">
        <v>0.5</v>
      </c>
      <c r="K258" s="10">
        <f>I258*J258</f>
        <v>0</v>
      </c>
    </row>
    <row r="259" spans="1:11" ht="42.75" x14ac:dyDescent="0.2">
      <c r="A259" s="28">
        <v>1327</v>
      </c>
      <c r="B259" s="9" t="s">
        <v>566</v>
      </c>
      <c r="C259" s="9" t="s">
        <v>567</v>
      </c>
      <c r="D259" s="9" t="s">
        <v>860</v>
      </c>
      <c r="E259" s="9" t="s">
        <v>316</v>
      </c>
      <c r="F259" s="9" t="s">
        <v>125</v>
      </c>
      <c r="G259" s="225" t="s">
        <v>412</v>
      </c>
      <c r="H259" s="9" t="s">
        <v>831</v>
      </c>
      <c r="I259" s="55">
        <f>COUNTIF('LOGBOOK VIEWER'!$B$7:$B$10600,$A259)</f>
        <v>0</v>
      </c>
      <c r="J259" s="10">
        <v>0.5</v>
      </c>
      <c r="K259" s="10">
        <f>I259*J259</f>
        <v>0</v>
      </c>
    </row>
    <row r="260" spans="1:11" ht="42.75" x14ac:dyDescent="0.2">
      <c r="A260" s="28">
        <v>1328</v>
      </c>
      <c r="B260" s="9" t="s">
        <v>566</v>
      </c>
      <c r="C260" s="9" t="s">
        <v>567</v>
      </c>
      <c r="D260" s="9" t="s">
        <v>860</v>
      </c>
      <c r="E260" s="9" t="s">
        <v>316</v>
      </c>
      <c r="F260" s="9" t="s">
        <v>125</v>
      </c>
      <c r="G260" s="225" t="s">
        <v>405</v>
      </c>
      <c r="H260" s="9" t="s">
        <v>536</v>
      </c>
      <c r="I260" s="55">
        <f>COUNTIF('LOGBOOK VIEWER'!$B$7:$B$10600,$A260)</f>
        <v>0</v>
      </c>
      <c r="J260" s="10">
        <v>1</v>
      </c>
      <c r="K260" s="10">
        <f>I260*J260</f>
        <v>0</v>
      </c>
    </row>
    <row r="261" spans="1:11" ht="28.5" x14ac:dyDescent="0.2">
      <c r="A261" s="28">
        <v>1329</v>
      </c>
      <c r="B261" s="9" t="s">
        <v>568</v>
      </c>
      <c r="C261" s="9" t="s">
        <v>569</v>
      </c>
      <c r="D261" s="9" t="s">
        <v>860</v>
      </c>
      <c r="E261" s="9" t="s">
        <v>316</v>
      </c>
      <c r="F261" s="9" t="s">
        <v>125</v>
      </c>
      <c r="G261" s="225" t="s">
        <v>405</v>
      </c>
      <c r="H261" s="9" t="s">
        <v>426</v>
      </c>
      <c r="I261" s="55">
        <f>COUNTIF('LOGBOOK VIEWER'!$B$7:$B$10600,$A261)</f>
        <v>0</v>
      </c>
      <c r="J261" s="10">
        <v>1</v>
      </c>
      <c r="K261" s="10">
        <f>I261*J261</f>
        <v>0</v>
      </c>
    </row>
    <row r="262" spans="1:11" ht="71.25" x14ac:dyDescent="0.2">
      <c r="A262" s="28">
        <v>1330</v>
      </c>
      <c r="B262" s="9" t="s">
        <v>570</v>
      </c>
      <c r="C262" s="9" t="s">
        <v>571</v>
      </c>
      <c r="D262" s="9" t="s">
        <v>860</v>
      </c>
      <c r="E262" s="9" t="s">
        <v>316</v>
      </c>
      <c r="F262" s="9" t="s">
        <v>125</v>
      </c>
      <c r="G262" s="225" t="s">
        <v>405</v>
      </c>
      <c r="H262" s="9" t="s">
        <v>426</v>
      </c>
      <c r="I262" s="55">
        <f>COUNTIF('LOGBOOK VIEWER'!$B$7:$B$10600,$A262)</f>
        <v>0</v>
      </c>
      <c r="J262" s="10">
        <v>1</v>
      </c>
      <c r="K262" s="10">
        <f>I262*J262</f>
        <v>0</v>
      </c>
    </row>
    <row r="263" spans="1:11" ht="99.75" x14ac:dyDescent="0.2">
      <c r="A263" s="28">
        <v>1331</v>
      </c>
      <c r="B263" s="9" t="s">
        <v>572</v>
      </c>
      <c r="C263" s="9" t="s">
        <v>105</v>
      </c>
      <c r="D263" s="9" t="s">
        <v>860</v>
      </c>
      <c r="E263" s="9" t="s">
        <v>316</v>
      </c>
      <c r="F263" s="9" t="s">
        <v>125</v>
      </c>
      <c r="G263" s="225" t="s">
        <v>412</v>
      </c>
      <c r="H263" s="9" t="s">
        <v>831</v>
      </c>
      <c r="I263" s="55">
        <f>COUNTIF('LOGBOOK VIEWER'!$B$7:$B$10600,$A263)</f>
        <v>0</v>
      </c>
      <c r="J263" s="10">
        <v>0.5</v>
      </c>
      <c r="K263" s="10">
        <f>I263*J263</f>
        <v>0</v>
      </c>
    </row>
    <row r="264" spans="1:11" ht="28.5" x14ac:dyDescent="0.2">
      <c r="A264" s="28">
        <v>1332</v>
      </c>
      <c r="B264" s="9" t="s">
        <v>106</v>
      </c>
      <c r="C264" s="9" t="s">
        <v>139</v>
      </c>
      <c r="D264" s="9" t="s">
        <v>860</v>
      </c>
      <c r="E264" s="9" t="s">
        <v>316</v>
      </c>
      <c r="F264" s="9" t="s">
        <v>125</v>
      </c>
      <c r="G264" s="225" t="s">
        <v>405</v>
      </c>
      <c r="H264" s="9" t="s">
        <v>536</v>
      </c>
      <c r="I264" s="55">
        <f>COUNTIF('LOGBOOK VIEWER'!$B$7:$B$10600,$A264)</f>
        <v>0</v>
      </c>
      <c r="J264" s="10">
        <v>1</v>
      </c>
      <c r="K264" s="10">
        <f>I264*J264</f>
        <v>0</v>
      </c>
    </row>
    <row r="265" spans="1:11" ht="28.5" x14ac:dyDescent="0.2">
      <c r="A265" s="28">
        <v>1333</v>
      </c>
      <c r="B265" s="9" t="s">
        <v>140</v>
      </c>
      <c r="C265" s="9" t="s">
        <v>141</v>
      </c>
      <c r="D265" s="9" t="s">
        <v>860</v>
      </c>
      <c r="E265" s="9" t="s">
        <v>316</v>
      </c>
      <c r="F265" s="9" t="s">
        <v>125</v>
      </c>
      <c r="G265" s="225" t="s">
        <v>405</v>
      </c>
      <c r="H265" s="9" t="s">
        <v>536</v>
      </c>
      <c r="I265" s="55">
        <f>COUNTIF('LOGBOOK VIEWER'!$B$7:$B$10600,$A265)</f>
        <v>0</v>
      </c>
      <c r="J265" s="10">
        <v>1</v>
      </c>
      <c r="K265" s="10">
        <f>I265*J265</f>
        <v>0</v>
      </c>
    </row>
    <row r="266" spans="1:11" ht="57" x14ac:dyDescent="0.2">
      <c r="A266" s="28">
        <v>1334</v>
      </c>
      <c r="B266" s="9" t="s">
        <v>142</v>
      </c>
      <c r="C266" s="9" t="s">
        <v>143</v>
      </c>
      <c r="D266" s="9" t="s">
        <v>860</v>
      </c>
      <c r="E266" s="9" t="s">
        <v>30</v>
      </c>
      <c r="F266" s="9" t="s">
        <v>125</v>
      </c>
      <c r="G266" s="225" t="s">
        <v>405</v>
      </c>
      <c r="H266" s="9" t="s">
        <v>646</v>
      </c>
      <c r="I266" s="55">
        <f>COUNTIF('LOGBOOK VIEWER'!$B$7:$B$10600,$A266)</f>
        <v>0</v>
      </c>
      <c r="J266" s="10">
        <v>1</v>
      </c>
      <c r="K266" s="10">
        <f>I266*J266</f>
        <v>0</v>
      </c>
    </row>
    <row r="267" spans="1:11" ht="57" x14ac:dyDescent="0.2">
      <c r="A267" s="28">
        <v>1335</v>
      </c>
      <c r="B267" s="9" t="s">
        <v>144</v>
      </c>
      <c r="C267" s="9" t="s">
        <v>145</v>
      </c>
      <c r="D267" s="9" t="s">
        <v>860</v>
      </c>
      <c r="E267" s="9" t="s">
        <v>30</v>
      </c>
      <c r="F267" s="9" t="s">
        <v>125</v>
      </c>
      <c r="G267" s="225" t="s">
        <v>412</v>
      </c>
      <c r="H267" s="9" t="s">
        <v>831</v>
      </c>
      <c r="I267" s="55">
        <f>COUNTIF('LOGBOOK VIEWER'!$B$7:$B$10600,$A267)</f>
        <v>0</v>
      </c>
      <c r="J267" s="10">
        <v>0.5</v>
      </c>
      <c r="K267" s="10">
        <f>I267*J267</f>
        <v>0</v>
      </c>
    </row>
    <row r="268" spans="1:11" ht="42.75" x14ac:dyDescent="0.2">
      <c r="A268" s="28">
        <v>1336</v>
      </c>
      <c r="B268" s="9" t="s">
        <v>448</v>
      </c>
      <c r="C268" s="9" t="s">
        <v>449</v>
      </c>
      <c r="D268" s="9" t="s">
        <v>121</v>
      </c>
      <c r="E268" s="9" t="s">
        <v>186</v>
      </c>
      <c r="F268" s="9" t="s">
        <v>125</v>
      </c>
      <c r="G268" s="225" t="s">
        <v>405</v>
      </c>
      <c r="H268" s="9" t="s">
        <v>806</v>
      </c>
      <c r="I268" s="55">
        <f>COUNTIF('LOGBOOK VIEWER'!$B$7:$B$10600,$A268)</f>
        <v>0</v>
      </c>
      <c r="J268" s="10">
        <v>0.1</v>
      </c>
      <c r="K268" s="10">
        <f>I268*J268</f>
        <v>0</v>
      </c>
    </row>
    <row r="269" spans="1:11" ht="28.5" x14ac:dyDescent="0.2">
      <c r="A269" s="28">
        <v>1341</v>
      </c>
      <c r="B269" s="9" t="s">
        <v>146</v>
      </c>
      <c r="C269" s="9" t="s">
        <v>146</v>
      </c>
      <c r="D269" s="9" t="s">
        <v>821</v>
      </c>
      <c r="E269" s="9" t="s">
        <v>27</v>
      </c>
      <c r="F269" s="9" t="s">
        <v>125</v>
      </c>
      <c r="G269" s="225" t="s">
        <v>412</v>
      </c>
      <c r="H269" s="9" t="s">
        <v>831</v>
      </c>
      <c r="I269" s="55">
        <f>COUNTIF('LOGBOOK VIEWER'!$B$7:$B$10600,$A269)</f>
        <v>0</v>
      </c>
      <c r="J269" s="10">
        <v>0.5</v>
      </c>
      <c r="K269" s="10">
        <f>I269*J269</f>
        <v>0</v>
      </c>
    </row>
    <row r="270" spans="1:11" ht="28.5" x14ac:dyDescent="0.2">
      <c r="A270" s="28">
        <v>1342</v>
      </c>
      <c r="B270" s="9" t="s">
        <v>146</v>
      </c>
      <c r="C270" s="9" t="s">
        <v>146</v>
      </c>
      <c r="D270" s="9" t="s">
        <v>821</v>
      </c>
      <c r="E270" s="9" t="s">
        <v>27</v>
      </c>
      <c r="F270" s="9" t="s">
        <v>125</v>
      </c>
      <c r="G270" s="225" t="s">
        <v>412</v>
      </c>
      <c r="H270" s="9" t="s">
        <v>831</v>
      </c>
      <c r="I270" s="55">
        <f>COUNTIF('LOGBOOK VIEWER'!$B$7:$B$10600,$A270)</f>
        <v>0</v>
      </c>
      <c r="J270" s="10">
        <v>0.5</v>
      </c>
      <c r="K270" s="10">
        <f>I270*J270</f>
        <v>0</v>
      </c>
    </row>
    <row r="271" spans="1:11" ht="28.5" x14ac:dyDescent="0.2">
      <c r="A271" s="28">
        <v>1343</v>
      </c>
      <c r="B271" s="9" t="s">
        <v>146</v>
      </c>
      <c r="C271" s="9" t="s">
        <v>146</v>
      </c>
      <c r="D271" s="9" t="s">
        <v>821</v>
      </c>
      <c r="E271" s="9" t="s">
        <v>27</v>
      </c>
      <c r="F271" s="9" t="s">
        <v>125</v>
      </c>
      <c r="G271" s="225" t="s">
        <v>412</v>
      </c>
      <c r="H271" s="9" t="s">
        <v>831</v>
      </c>
      <c r="I271" s="55">
        <f>COUNTIF('LOGBOOK VIEWER'!$B$7:$B$10600,$A271)</f>
        <v>0</v>
      </c>
      <c r="J271" s="10">
        <v>0.5</v>
      </c>
      <c r="K271" s="10">
        <f>I271*J271</f>
        <v>0</v>
      </c>
    </row>
    <row r="272" spans="1:11" ht="28.5" x14ac:dyDescent="0.2">
      <c r="A272" s="28">
        <v>1344</v>
      </c>
      <c r="B272" s="9" t="s">
        <v>147</v>
      </c>
      <c r="C272" s="9" t="s">
        <v>147</v>
      </c>
      <c r="D272" s="9" t="s">
        <v>821</v>
      </c>
      <c r="E272" s="9" t="s">
        <v>27</v>
      </c>
      <c r="F272" s="9" t="s">
        <v>125</v>
      </c>
      <c r="G272" s="225" t="s">
        <v>412</v>
      </c>
      <c r="H272" s="9" t="s">
        <v>831</v>
      </c>
      <c r="I272" s="55">
        <f>COUNTIF('LOGBOOK VIEWER'!$B$7:$B$10600,$A272)</f>
        <v>0</v>
      </c>
      <c r="J272" s="10">
        <v>0.5</v>
      </c>
      <c r="K272" s="10">
        <f>I272*J272</f>
        <v>0</v>
      </c>
    </row>
    <row r="273" spans="1:11" ht="28.5" x14ac:dyDescent="0.2">
      <c r="A273" s="28">
        <v>1345</v>
      </c>
      <c r="B273" s="9" t="s">
        <v>147</v>
      </c>
      <c r="C273" s="9" t="s">
        <v>147</v>
      </c>
      <c r="D273" s="9" t="s">
        <v>821</v>
      </c>
      <c r="E273" s="9" t="s">
        <v>27</v>
      </c>
      <c r="F273" s="9" t="s">
        <v>125</v>
      </c>
      <c r="G273" s="225" t="s">
        <v>412</v>
      </c>
      <c r="H273" s="9" t="s">
        <v>831</v>
      </c>
      <c r="I273" s="55">
        <f>COUNTIF('LOGBOOK VIEWER'!$B$7:$B$10600,$A273)</f>
        <v>0</v>
      </c>
      <c r="J273" s="10">
        <v>0.5</v>
      </c>
      <c r="K273" s="10">
        <f>I273*J273</f>
        <v>0</v>
      </c>
    </row>
    <row r="274" spans="1:11" ht="28.5" x14ac:dyDescent="0.2">
      <c r="A274" s="28">
        <v>1346</v>
      </c>
      <c r="B274" s="9" t="s">
        <v>147</v>
      </c>
      <c r="C274" s="9" t="s">
        <v>147</v>
      </c>
      <c r="D274" s="9" t="s">
        <v>821</v>
      </c>
      <c r="E274" s="9" t="s">
        <v>27</v>
      </c>
      <c r="F274" s="9" t="s">
        <v>125</v>
      </c>
      <c r="G274" s="225" t="s">
        <v>412</v>
      </c>
      <c r="H274" s="9" t="s">
        <v>831</v>
      </c>
      <c r="I274" s="55">
        <f>COUNTIF('LOGBOOK VIEWER'!$B$7:$B$10600,$A274)</f>
        <v>0</v>
      </c>
      <c r="J274" s="10">
        <v>0.5</v>
      </c>
      <c r="K274" s="10">
        <f>I274*J274</f>
        <v>0</v>
      </c>
    </row>
    <row r="275" spans="1:11" ht="28.5" x14ac:dyDescent="0.2">
      <c r="A275" s="28">
        <v>1347</v>
      </c>
      <c r="B275" s="9" t="s">
        <v>148</v>
      </c>
      <c r="C275" s="9" t="s">
        <v>148</v>
      </c>
      <c r="D275" s="9" t="s">
        <v>821</v>
      </c>
      <c r="E275" s="9" t="s">
        <v>27</v>
      </c>
      <c r="F275" s="9" t="s">
        <v>125</v>
      </c>
      <c r="G275" s="225" t="s">
        <v>412</v>
      </c>
      <c r="H275" s="9" t="s">
        <v>831</v>
      </c>
      <c r="I275" s="55">
        <f>COUNTIF('LOGBOOK VIEWER'!$B$7:$B$10600,$A275)</f>
        <v>0</v>
      </c>
      <c r="J275" s="10">
        <v>0.5</v>
      </c>
      <c r="K275" s="10">
        <f>I275*J275</f>
        <v>0</v>
      </c>
    </row>
    <row r="276" spans="1:11" ht="28.5" x14ac:dyDescent="0.2">
      <c r="A276" s="28">
        <v>1348</v>
      </c>
      <c r="B276" s="9" t="s">
        <v>148</v>
      </c>
      <c r="C276" s="9" t="s">
        <v>148</v>
      </c>
      <c r="D276" s="9" t="s">
        <v>821</v>
      </c>
      <c r="E276" s="9" t="s">
        <v>27</v>
      </c>
      <c r="F276" s="9" t="s">
        <v>125</v>
      </c>
      <c r="G276" s="225" t="s">
        <v>412</v>
      </c>
      <c r="H276" s="9" t="s">
        <v>831</v>
      </c>
      <c r="I276" s="55">
        <f>COUNTIF('LOGBOOK VIEWER'!$B$7:$B$10600,$A276)</f>
        <v>0</v>
      </c>
      <c r="J276" s="10">
        <v>0.5</v>
      </c>
      <c r="K276" s="10">
        <f>I276*J276</f>
        <v>0</v>
      </c>
    </row>
    <row r="277" spans="1:11" ht="28.5" x14ac:dyDescent="0.2">
      <c r="A277" s="28">
        <v>1349</v>
      </c>
      <c r="B277" s="9" t="s">
        <v>148</v>
      </c>
      <c r="C277" s="9" t="s">
        <v>148</v>
      </c>
      <c r="D277" s="9" t="s">
        <v>821</v>
      </c>
      <c r="E277" s="9" t="s">
        <v>27</v>
      </c>
      <c r="F277" s="9" t="s">
        <v>125</v>
      </c>
      <c r="G277" s="225" t="s">
        <v>412</v>
      </c>
      <c r="H277" s="9" t="s">
        <v>831</v>
      </c>
      <c r="I277" s="55">
        <f>COUNTIF('LOGBOOK VIEWER'!$B$7:$B$10600,$A277)</f>
        <v>0</v>
      </c>
      <c r="J277" s="10">
        <v>0.5</v>
      </c>
      <c r="K277" s="10">
        <f>I277*J277</f>
        <v>0</v>
      </c>
    </row>
    <row r="278" spans="1:11" ht="28.5" x14ac:dyDescent="0.2">
      <c r="A278" s="28">
        <v>1350</v>
      </c>
      <c r="B278" s="9" t="s">
        <v>149</v>
      </c>
      <c r="C278" s="9" t="s">
        <v>149</v>
      </c>
      <c r="D278" s="9" t="s">
        <v>821</v>
      </c>
      <c r="E278" s="9" t="s">
        <v>27</v>
      </c>
      <c r="F278" s="9" t="s">
        <v>125</v>
      </c>
      <c r="G278" s="225" t="s">
        <v>412</v>
      </c>
      <c r="H278" s="9" t="s">
        <v>831</v>
      </c>
      <c r="I278" s="55">
        <f>COUNTIF('LOGBOOK VIEWER'!$B$7:$B$10600,$A278)</f>
        <v>0</v>
      </c>
      <c r="J278" s="10">
        <v>0.5</v>
      </c>
      <c r="K278" s="10">
        <f>I278*J278</f>
        <v>0</v>
      </c>
    </row>
    <row r="279" spans="1:11" ht="28.5" x14ac:dyDescent="0.2">
      <c r="A279" s="28">
        <v>1351</v>
      </c>
      <c r="B279" s="9" t="s">
        <v>149</v>
      </c>
      <c r="C279" s="9" t="s">
        <v>149</v>
      </c>
      <c r="D279" s="9" t="s">
        <v>821</v>
      </c>
      <c r="E279" s="9" t="s">
        <v>27</v>
      </c>
      <c r="F279" s="9" t="s">
        <v>125</v>
      </c>
      <c r="G279" s="225" t="s">
        <v>412</v>
      </c>
      <c r="H279" s="9" t="s">
        <v>831</v>
      </c>
      <c r="I279" s="55">
        <f>COUNTIF('LOGBOOK VIEWER'!$B$7:$B$10600,$A279)</f>
        <v>0</v>
      </c>
      <c r="J279" s="10">
        <v>0.5</v>
      </c>
      <c r="K279" s="10">
        <f>I279*J279</f>
        <v>0</v>
      </c>
    </row>
    <row r="280" spans="1:11" ht="28.5" x14ac:dyDescent="0.2">
      <c r="A280" s="28">
        <v>1352</v>
      </c>
      <c r="B280" s="9" t="s">
        <v>149</v>
      </c>
      <c r="C280" s="9" t="s">
        <v>149</v>
      </c>
      <c r="D280" s="9" t="s">
        <v>821</v>
      </c>
      <c r="E280" s="9" t="s">
        <v>27</v>
      </c>
      <c r="F280" s="9" t="s">
        <v>125</v>
      </c>
      <c r="G280" s="225" t="s">
        <v>412</v>
      </c>
      <c r="H280" s="9" t="s">
        <v>831</v>
      </c>
      <c r="I280" s="55">
        <f>COUNTIF('LOGBOOK VIEWER'!$B$7:$B$10600,$A280)</f>
        <v>0</v>
      </c>
      <c r="J280" s="10">
        <v>0.5</v>
      </c>
      <c r="K280" s="10">
        <f>I280*J280</f>
        <v>0</v>
      </c>
    </row>
    <row r="281" spans="1:11" ht="28.5" x14ac:dyDescent="0.2">
      <c r="A281" s="28">
        <v>1353</v>
      </c>
      <c r="B281" s="9" t="s">
        <v>150</v>
      </c>
      <c r="C281" s="9" t="s">
        <v>150</v>
      </c>
      <c r="D281" s="9" t="s">
        <v>821</v>
      </c>
      <c r="E281" s="9" t="s">
        <v>27</v>
      </c>
      <c r="F281" s="9" t="s">
        <v>125</v>
      </c>
      <c r="G281" s="225" t="s">
        <v>412</v>
      </c>
      <c r="H281" s="9" t="s">
        <v>831</v>
      </c>
      <c r="I281" s="55">
        <f>COUNTIF('LOGBOOK VIEWER'!$B$7:$B$10600,$A281)</f>
        <v>0</v>
      </c>
      <c r="J281" s="10">
        <v>0.5</v>
      </c>
      <c r="K281" s="10">
        <f>I281*J281</f>
        <v>0</v>
      </c>
    </row>
    <row r="282" spans="1:11" ht="28.5" x14ac:dyDescent="0.2">
      <c r="A282" s="28">
        <v>1354</v>
      </c>
      <c r="B282" s="9" t="s">
        <v>150</v>
      </c>
      <c r="C282" s="9" t="s">
        <v>150</v>
      </c>
      <c r="D282" s="9" t="s">
        <v>821</v>
      </c>
      <c r="E282" s="9" t="s">
        <v>27</v>
      </c>
      <c r="F282" s="9" t="s">
        <v>125</v>
      </c>
      <c r="G282" s="225" t="s">
        <v>412</v>
      </c>
      <c r="H282" s="9" t="s">
        <v>831</v>
      </c>
      <c r="I282" s="55">
        <f>COUNTIF('LOGBOOK VIEWER'!$B$7:$B$10600,$A282)</f>
        <v>0</v>
      </c>
      <c r="J282" s="10">
        <v>0.5</v>
      </c>
      <c r="K282" s="10">
        <f>I282*J282</f>
        <v>0</v>
      </c>
    </row>
    <row r="283" spans="1:11" ht="28.5" x14ac:dyDescent="0.2">
      <c r="A283" s="28">
        <v>1355</v>
      </c>
      <c r="B283" s="9" t="s">
        <v>150</v>
      </c>
      <c r="C283" s="9" t="s">
        <v>150</v>
      </c>
      <c r="D283" s="9" t="s">
        <v>821</v>
      </c>
      <c r="E283" s="9" t="s">
        <v>27</v>
      </c>
      <c r="F283" s="9" t="s">
        <v>125</v>
      </c>
      <c r="G283" s="225" t="s">
        <v>412</v>
      </c>
      <c r="H283" s="9" t="s">
        <v>831</v>
      </c>
      <c r="I283" s="55">
        <f>COUNTIF('LOGBOOK VIEWER'!$B$7:$B$10600,$A283)</f>
        <v>0</v>
      </c>
      <c r="J283" s="10">
        <v>0.5</v>
      </c>
      <c r="K283" s="10">
        <f>I283*J283</f>
        <v>0</v>
      </c>
    </row>
    <row r="284" spans="1:11" ht="28.5" x14ac:dyDescent="0.2">
      <c r="A284" s="28">
        <v>1356</v>
      </c>
      <c r="B284" s="9" t="s">
        <v>151</v>
      </c>
      <c r="C284" s="9" t="s">
        <v>151</v>
      </c>
      <c r="D284" s="9" t="s">
        <v>821</v>
      </c>
      <c r="E284" s="9" t="s">
        <v>27</v>
      </c>
      <c r="F284" s="9" t="s">
        <v>125</v>
      </c>
      <c r="G284" s="225" t="s">
        <v>412</v>
      </c>
      <c r="H284" s="9" t="s">
        <v>831</v>
      </c>
      <c r="I284" s="55">
        <f>COUNTIF('LOGBOOK VIEWER'!$B$7:$B$10600,$A284)</f>
        <v>0</v>
      </c>
      <c r="J284" s="10">
        <v>0.5</v>
      </c>
      <c r="K284" s="10">
        <f>I284*J284</f>
        <v>0</v>
      </c>
    </row>
    <row r="285" spans="1:11" ht="28.5" x14ac:dyDescent="0.2">
      <c r="A285" s="28">
        <v>1357</v>
      </c>
      <c r="B285" s="9" t="s">
        <v>151</v>
      </c>
      <c r="C285" s="9" t="s">
        <v>151</v>
      </c>
      <c r="D285" s="9" t="s">
        <v>821</v>
      </c>
      <c r="E285" s="9" t="s">
        <v>27</v>
      </c>
      <c r="F285" s="9" t="s">
        <v>125</v>
      </c>
      <c r="G285" s="225" t="s">
        <v>412</v>
      </c>
      <c r="H285" s="9" t="s">
        <v>831</v>
      </c>
      <c r="I285" s="55">
        <f>COUNTIF('LOGBOOK VIEWER'!$B$7:$B$10600,$A285)</f>
        <v>0</v>
      </c>
      <c r="J285" s="10">
        <v>0.5</v>
      </c>
      <c r="K285" s="10">
        <f>I285*J285</f>
        <v>0</v>
      </c>
    </row>
    <row r="286" spans="1:11" ht="28.5" x14ac:dyDescent="0.2">
      <c r="A286" s="28">
        <v>1358</v>
      </c>
      <c r="B286" s="9" t="s">
        <v>151</v>
      </c>
      <c r="C286" s="9" t="s">
        <v>151</v>
      </c>
      <c r="D286" s="9" t="s">
        <v>821</v>
      </c>
      <c r="E286" s="9" t="s">
        <v>27</v>
      </c>
      <c r="F286" s="9" t="s">
        <v>125</v>
      </c>
      <c r="G286" s="225" t="s">
        <v>412</v>
      </c>
      <c r="H286" s="9" t="s">
        <v>831</v>
      </c>
      <c r="I286" s="55">
        <f>COUNTIF('LOGBOOK VIEWER'!$B$7:$B$10600,$A286)</f>
        <v>0</v>
      </c>
      <c r="J286" s="10">
        <v>0.5</v>
      </c>
      <c r="K286" s="10">
        <f>I286*J286</f>
        <v>0</v>
      </c>
    </row>
    <row r="287" spans="1:11" ht="28.5" x14ac:dyDescent="0.2">
      <c r="A287" s="28">
        <v>1359</v>
      </c>
      <c r="B287" s="9" t="s">
        <v>152</v>
      </c>
      <c r="C287" s="9" t="s">
        <v>152</v>
      </c>
      <c r="D287" s="9" t="s">
        <v>821</v>
      </c>
      <c r="E287" s="9" t="s">
        <v>27</v>
      </c>
      <c r="F287" s="9" t="s">
        <v>125</v>
      </c>
      <c r="G287" s="225" t="s">
        <v>412</v>
      </c>
      <c r="H287" s="9" t="s">
        <v>831</v>
      </c>
      <c r="I287" s="55">
        <f>COUNTIF('LOGBOOK VIEWER'!$B$7:$B$10600,$A287)</f>
        <v>0</v>
      </c>
      <c r="J287" s="10">
        <v>0.5</v>
      </c>
      <c r="K287" s="10">
        <f>I287*J287</f>
        <v>0</v>
      </c>
    </row>
    <row r="288" spans="1:11" ht="28.5" x14ac:dyDescent="0.2">
      <c r="A288" s="28">
        <v>1360</v>
      </c>
      <c r="B288" s="9" t="s">
        <v>152</v>
      </c>
      <c r="C288" s="9" t="s">
        <v>152</v>
      </c>
      <c r="D288" s="9" t="s">
        <v>821</v>
      </c>
      <c r="E288" s="9" t="s">
        <v>27</v>
      </c>
      <c r="F288" s="9" t="s">
        <v>125</v>
      </c>
      <c r="G288" s="225" t="s">
        <v>412</v>
      </c>
      <c r="H288" s="9" t="s">
        <v>831</v>
      </c>
      <c r="I288" s="55">
        <f>COUNTIF('LOGBOOK VIEWER'!$B$7:$B$10600,$A288)</f>
        <v>0</v>
      </c>
      <c r="J288" s="10">
        <v>0.5</v>
      </c>
      <c r="K288" s="10">
        <f>I288*J288</f>
        <v>0</v>
      </c>
    </row>
    <row r="289" spans="1:11" ht="28.5" x14ac:dyDescent="0.2">
      <c r="A289" s="28">
        <v>1361</v>
      </c>
      <c r="B289" s="9" t="s">
        <v>152</v>
      </c>
      <c r="C289" s="9" t="s">
        <v>152</v>
      </c>
      <c r="D289" s="9" t="s">
        <v>821</v>
      </c>
      <c r="E289" s="9" t="s">
        <v>27</v>
      </c>
      <c r="F289" s="9" t="s">
        <v>125</v>
      </c>
      <c r="G289" s="225" t="s">
        <v>412</v>
      </c>
      <c r="H289" s="9" t="s">
        <v>831</v>
      </c>
      <c r="I289" s="55">
        <f>COUNTIF('LOGBOOK VIEWER'!$B$7:$B$10600,$A289)</f>
        <v>0</v>
      </c>
      <c r="J289" s="10">
        <v>0.5</v>
      </c>
      <c r="K289" s="10">
        <f>I289*J289</f>
        <v>0</v>
      </c>
    </row>
    <row r="290" spans="1:11" ht="28.5" x14ac:dyDescent="0.2">
      <c r="A290" s="28">
        <v>1362</v>
      </c>
      <c r="B290" s="9" t="s">
        <v>153</v>
      </c>
      <c r="C290" s="9" t="s">
        <v>153</v>
      </c>
      <c r="D290" s="9" t="s">
        <v>821</v>
      </c>
      <c r="E290" s="9" t="s">
        <v>27</v>
      </c>
      <c r="F290" s="9" t="s">
        <v>125</v>
      </c>
      <c r="G290" s="225" t="s">
        <v>412</v>
      </c>
      <c r="H290" s="9" t="s">
        <v>831</v>
      </c>
      <c r="I290" s="55">
        <f>COUNTIF('LOGBOOK VIEWER'!$B$7:$B$10600,$A290)</f>
        <v>0</v>
      </c>
      <c r="J290" s="10">
        <v>0.5</v>
      </c>
      <c r="K290" s="10">
        <f>I290*J290</f>
        <v>0</v>
      </c>
    </row>
    <row r="291" spans="1:11" ht="28.5" x14ac:dyDescent="0.2">
      <c r="A291" s="28">
        <v>1363</v>
      </c>
      <c r="B291" s="9" t="s">
        <v>153</v>
      </c>
      <c r="C291" s="9" t="s">
        <v>153</v>
      </c>
      <c r="D291" s="9" t="s">
        <v>821</v>
      </c>
      <c r="E291" s="9" t="s">
        <v>27</v>
      </c>
      <c r="F291" s="9" t="s">
        <v>125</v>
      </c>
      <c r="G291" s="225" t="s">
        <v>412</v>
      </c>
      <c r="H291" s="9" t="s">
        <v>831</v>
      </c>
      <c r="I291" s="55">
        <f>COUNTIF('LOGBOOK VIEWER'!$B$7:$B$10600,$A291)</f>
        <v>0</v>
      </c>
      <c r="J291" s="10">
        <v>0.5</v>
      </c>
      <c r="K291" s="10">
        <f>I291*J291</f>
        <v>0</v>
      </c>
    </row>
    <row r="292" spans="1:11" ht="28.5" x14ac:dyDescent="0.2">
      <c r="A292" s="28">
        <v>1364</v>
      </c>
      <c r="B292" s="9" t="s">
        <v>153</v>
      </c>
      <c r="C292" s="9" t="s">
        <v>153</v>
      </c>
      <c r="D292" s="9" t="s">
        <v>821</v>
      </c>
      <c r="E292" s="9" t="s">
        <v>27</v>
      </c>
      <c r="F292" s="9" t="s">
        <v>125</v>
      </c>
      <c r="G292" s="225" t="s">
        <v>412</v>
      </c>
      <c r="H292" s="9" t="s">
        <v>831</v>
      </c>
      <c r="I292" s="55">
        <f>COUNTIF('LOGBOOK VIEWER'!$B$7:$B$10600,$A292)</f>
        <v>0</v>
      </c>
      <c r="J292" s="10">
        <v>0.5</v>
      </c>
      <c r="K292" s="10">
        <f>I292*J292</f>
        <v>0</v>
      </c>
    </row>
    <row r="293" spans="1:11" ht="28.5" x14ac:dyDescent="0.2">
      <c r="A293" s="28">
        <v>1365</v>
      </c>
      <c r="B293" s="9" t="s">
        <v>154</v>
      </c>
      <c r="C293" s="9" t="s">
        <v>154</v>
      </c>
      <c r="D293" s="9" t="s">
        <v>821</v>
      </c>
      <c r="E293" s="9" t="s">
        <v>27</v>
      </c>
      <c r="F293" s="9" t="s">
        <v>125</v>
      </c>
      <c r="G293" s="225" t="s">
        <v>405</v>
      </c>
      <c r="H293" s="9" t="s">
        <v>426</v>
      </c>
      <c r="I293" s="55">
        <f>COUNTIF('LOGBOOK VIEWER'!$B$7:$B$10600,$A293)</f>
        <v>0</v>
      </c>
      <c r="J293" s="10">
        <v>1</v>
      </c>
      <c r="K293" s="10">
        <f>I293*J293</f>
        <v>0</v>
      </c>
    </row>
    <row r="294" spans="1:11" ht="28.5" x14ac:dyDescent="0.2">
      <c r="A294" s="28">
        <v>1366</v>
      </c>
      <c r="B294" s="9" t="s">
        <v>154</v>
      </c>
      <c r="C294" s="9" t="s">
        <v>154</v>
      </c>
      <c r="D294" s="9" t="s">
        <v>821</v>
      </c>
      <c r="E294" s="9" t="s">
        <v>27</v>
      </c>
      <c r="F294" s="9" t="s">
        <v>125</v>
      </c>
      <c r="G294" s="225" t="s">
        <v>405</v>
      </c>
      <c r="H294" s="9" t="s">
        <v>426</v>
      </c>
      <c r="I294" s="55">
        <f>COUNTIF('LOGBOOK VIEWER'!$B$7:$B$10600,$A294)</f>
        <v>0</v>
      </c>
      <c r="J294" s="10">
        <v>1</v>
      </c>
      <c r="K294" s="10">
        <f>I294*J294</f>
        <v>0</v>
      </c>
    </row>
    <row r="295" spans="1:11" ht="28.5" x14ac:dyDescent="0.2">
      <c r="A295" s="28">
        <v>1367</v>
      </c>
      <c r="B295" s="9" t="s">
        <v>154</v>
      </c>
      <c r="C295" s="9" t="s">
        <v>154</v>
      </c>
      <c r="D295" s="9" t="s">
        <v>821</v>
      </c>
      <c r="E295" s="9" t="s">
        <v>27</v>
      </c>
      <c r="F295" s="9" t="s">
        <v>125</v>
      </c>
      <c r="G295" s="225" t="s">
        <v>405</v>
      </c>
      <c r="H295" s="9" t="s">
        <v>426</v>
      </c>
      <c r="I295" s="55">
        <f>COUNTIF('LOGBOOK VIEWER'!$B$7:$B$10600,$A295)</f>
        <v>0</v>
      </c>
      <c r="J295" s="10">
        <v>1</v>
      </c>
      <c r="K295" s="10">
        <f>I295*J295</f>
        <v>0</v>
      </c>
    </row>
    <row r="296" spans="1:11" ht="28.5" x14ac:dyDescent="0.2">
      <c r="A296" s="28">
        <v>1368</v>
      </c>
      <c r="B296" s="9" t="s">
        <v>155</v>
      </c>
      <c r="C296" s="9" t="s">
        <v>155</v>
      </c>
      <c r="D296" s="9" t="s">
        <v>821</v>
      </c>
      <c r="E296" s="9" t="s">
        <v>27</v>
      </c>
      <c r="F296" s="9" t="s">
        <v>125</v>
      </c>
      <c r="G296" s="225" t="s">
        <v>412</v>
      </c>
      <c r="H296" s="9" t="s">
        <v>831</v>
      </c>
      <c r="I296" s="55">
        <f>COUNTIF('LOGBOOK VIEWER'!$B$7:$B$10600,$A296)</f>
        <v>0</v>
      </c>
      <c r="J296" s="10">
        <v>0.5</v>
      </c>
      <c r="K296" s="10">
        <f>I296*J296</f>
        <v>0</v>
      </c>
    </row>
    <row r="297" spans="1:11" ht="28.5" x14ac:dyDescent="0.2">
      <c r="A297" s="28">
        <v>1369</v>
      </c>
      <c r="B297" s="9" t="s">
        <v>155</v>
      </c>
      <c r="C297" s="9" t="s">
        <v>155</v>
      </c>
      <c r="D297" s="9" t="s">
        <v>821</v>
      </c>
      <c r="E297" s="9" t="s">
        <v>27</v>
      </c>
      <c r="F297" s="9" t="s">
        <v>125</v>
      </c>
      <c r="G297" s="225" t="s">
        <v>412</v>
      </c>
      <c r="H297" s="9" t="s">
        <v>831</v>
      </c>
      <c r="I297" s="55">
        <f>COUNTIF('LOGBOOK VIEWER'!$B$7:$B$10600,$A297)</f>
        <v>0</v>
      </c>
      <c r="J297" s="10">
        <v>0.5</v>
      </c>
      <c r="K297" s="10">
        <f>I297*J297</f>
        <v>0</v>
      </c>
    </row>
    <row r="298" spans="1:11" ht="28.5" x14ac:dyDescent="0.2">
      <c r="A298" s="28">
        <v>1370</v>
      </c>
      <c r="B298" s="9" t="s">
        <v>155</v>
      </c>
      <c r="C298" s="9" t="s">
        <v>155</v>
      </c>
      <c r="D298" s="9" t="s">
        <v>821</v>
      </c>
      <c r="E298" s="9" t="s">
        <v>27</v>
      </c>
      <c r="F298" s="9" t="s">
        <v>125</v>
      </c>
      <c r="G298" s="225" t="s">
        <v>412</v>
      </c>
      <c r="H298" s="9" t="s">
        <v>831</v>
      </c>
      <c r="I298" s="55">
        <f>COUNTIF('LOGBOOK VIEWER'!$B$7:$B$10600,$A298)</f>
        <v>0</v>
      </c>
      <c r="J298" s="10">
        <v>0.5</v>
      </c>
      <c r="K298" s="10">
        <f>I298*J298</f>
        <v>0</v>
      </c>
    </row>
    <row r="299" spans="1:11" x14ac:dyDescent="0.2">
      <c r="A299" s="28">
        <v>1371</v>
      </c>
      <c r="B299" s="9" t="s">
        <v>156</v>
      </c>
      <c r="C299" s="9" t="s">
        <v>156</v>
      </c>
      <c r="D299" s="9" t="s">
        <v>821</v>
      </c>
      <c r="E299" s="9" t="s">
        <v>27</v>
      </c>
      <c r="F299" s="9" t="s">
        <v>125</v>
      </c>
      <c r="G299" s="225" t="s">
        <v>412</v>
      </c>
      <c r="H299" s="9" t="s">
        <v>831</v>
      </c>
      <c r="I299" s="55">
        <f>COUNTIF('LOGBOOK VIEWER'!$B$7:$B$10600,$A299)</f>
        <v>0</v>
      </c>
      <c r="J299" s="10">
        <v>0.5</v>
      </c>
      <c r="K299" s="10">
        <f>I299*J299</f>
        <v>0</v>
      </c>
    </row>
    <row r="300" spans="1:11" x14ac:dyDescent="0.2">
      <c r="A300" s="28">
        <v>1372</v>
      </c>
      <c r="B300" s="9" t="s">
        <v>156</v>
      </c>
      <c r="C300" s="9" t="s">
        <v>156</v>
      </c>
      <c r="D300" s="9" t="s">
        <v>821</v>
      </c>
      <c r="E300" s="9" t="s">
        <v>27</v>
      </c>
      <c r="F300" s="9" t="s">
        <v>125</v>
      </c>
      <c r="G300" s="225" t="s">
        <v>412</v>
      </c>
      <c r="H300" s="9" t="s">
        <v>831</v>
      </c>
      <c r="I300" s="55">
        <f>COUNTIF('LOGBOOK VIEWER'!$B$7:$B$10600,$A300)</f>
        <v>0</v>
      </c>
      <c r="J300" s="10">
        <v>0.5</v>
      </c>
      <c r="K300" s="10">
        <f>I300*J300</f>
        <v>0</v>
      </c>
    </row>
    <row r="301" spans="1:11" x14ac:dyDescent="0.2">
      <c r="A301" s="28">
        <v>1373</v>
      </c>
      <c r="B301" s="9" t="s">
        <v>156</v>
      </c>
      <c r="C301" s="9" t="s">
        <v>156</v>
      </c>
      <c r="D301" s="9" t="s">
        <v>821</v>
      </c>
      <c r="E301" s="9" t="s">
        <v>27</v>
      </c>
      <c r="F301" s="9" t="s">
        <v>125</v>
      </c>
      <c r="G301" s="225" t="s">
        <v>412</v>
      </c>
      <c r="H301" s="9" t="s">
        <v>831</v>
      </c>
      <c r="I301" s="55">
        <f>COUNTIF('LOGBOOK VIEWER'!$B$7:$B$10600,$A301)</f>
        <v>0</v>
      </c>
      <c r="J301" s="10">
        <v>0.5</v>
      </c>
      <c r="K301" s="10">
        <f>I301*J301</f>
        <v>0</v>
      </c>
    </row>
    <row r="302" spans="1:11" ht="28.5" x14ac:dyDescent="0.2">
      <c r="A302" s="28">
        <v>1374</v>
      </c>
      <c r="B302" s="9" t="s">
        <v>157</v>
      </c>
      <c r="C302" s="9" t="s">
        <v>157</v>
      </c>
      <c r="D302" s="9" t="s">
        <v>821</v>
      </c>
      <c r="E302" s="9" t="s">
        <v>27</v>
      </c>
      <c r="F302" s="9" t="s">
        <v>125</v>
      </c>
      <c r="G302" s="225" t="s">
        <v>412</v>
      </c>
      <c r="H302" s="9" t="s">
        <v>831</v>
      </c>
      <c r="I302" s="55">
        <f>COUNTIF('LOGBOOK VIEWER'!$B$7:$B$10600,$A302)</f>
        <v>0</v>
      </c>
      <c r="J302" s="10">
        <v>0.5</v>
      </c>
      <c r="K302" s="10">
        <f>I302*J302</f>
        <v>0</v>
      </c>
    </row>
    <row r="303" spans="1:11" ht="28.5" x14ac:dyDescent="0.2">
      <c r="A303" s="28">
        <v>1375</v>
      </c>
      <c r="B303" s="9" t="s">
        <v>157</v>
      </c>
      <c r="C303" s="9" t="s">
        <v>157</v>
      </c>
      <c r="D303" s="9" t="s">
        <v>821</v>
      </c>
      <c r="E303" s="9" t="s">
        <v>27</v>
      </c>
      <c r="F303" s="9" t="s">
        <v>125</v>
      </c>
      <c r="G303" s="225" t="s">
        <v>405</v>
      </c>
      <c r="H303" s="9" t="s">
        <v>426</v>
      </c>
      <c r="I303" s="55">
        <f>COUNTIF('LOGBOOK VIEWER'!$B$7:$B$10600,$A303)</f>
        <v>0</v>
      </c>
      <c r="J303" s="10">
        <v>1</v>
      </c>
      <c r="K303" s="10">
        <f>I303*J303</f>
        <v>0</v>
      </c>
    </row>
    <row r="304" spans="1:11" ht="28.5" x14ac:dyDescent="0.2">
      <c r="A304" s="28">
        <v>1376</v>
      </c>
      <c r="B304" s="9" t="s">
        <v>157</v>
      </c>
      <c r="C304" s="9" t="s">
        <v>157</v>
      </c>
      <c r="D304" s="9" t="s">
        <v>821</v>
      </c>
      <c r="E304" s="9" t="s">
        <v>27</v>
      </c>
      <c r="F304" s="9" t="s">
        <v>125</v>
      </c>
      <c r="G304" s="225" t="s">
        <v>405</v>
      </c>
      <c r="H304" s="9" t="s">
        <v>426</v>
      </c>
      <c r="I304" s="55">
        <f>COUNTIF('LOGBOOK VIEWER'!$B$7:$B$10600,$A304)</f>
        <v>0</v>
      </c>
      <c r="J304" s="10">
        <v>1</v>
      </c>
      <c r="K304" s="10">
        <f>I304*J304</f>
        <v>0</v>
      </c>
    </row>
    <row r="305" spans="1:11" ht="28.5" x14ac:dyDescent="0.2">
      <c r="A305" s="28">
        <v>1377</v>
      </c>
      <c r="B305" s="9" t="s">
        <v>158</v>
      </c>
      <c r="C305" s="9" t="s">
        <v>158</v>
      </c>
      <c r="D305" s="9" t="s">
        <v>821</v>
      </c>
      <c r="E305" s="9" t="s">
        <v>27</v>
      </c>
      <c r="F305" s="9" t="s">
        <v>125</v>
      </c>
      <c r="G305" s="225" t="s">
        <v>412</v>
      </c>
      <c r="H305" s="9" t="s">
        <v>831</v>
      </c>
      <c r="I305" s="55">
        <f>COUNTIF('LOGBOOK VIEWER'!$B$7:$B$10600,$A305)</f>
        <v>0</v>
      </c>
      <c r="J305" s="10">
        <v>0.5</v>
      </c>
      <c r="K305" s="10">
        <f>I305*J305</f>
        <v>0</v>
      </c>
    </row>
    <row r="306" spans="1:11" ht="28.5" x14ac:dyDescent="0.2">
      <c r="A306" s="28">
        <v>1378</v>
      </c>
      <c r="B306" s="9" t="s">
        <v>158</v>
      </c>
      <c r="C306" s="9" t="s">
        <v>158</v>
      </c>
      <c r="D306" s="9" t="s">
        <v>821</v>
      </c>
      <c r="E306" s="9" t="s">
        <v>27</v>
      </c>
      <c r="F306" s="9" t="s">
        <v>125</v>
      </c>
      <c r="G306" s="225" t="s">
        <v>412</v>
      </c>
      <c r="H306" s="9" t="s">
        <v>831</v>
      </c>
      <c r="I306" s="55">
        <f>COUNTIF('LOGBOOK VIEWER'!$B$7:$B$10600,$A306)</f>
        <v>0</v>
      </c>
      <c r="J306" s="10">
        <v>0.5</v>
      </c>
      <c r="K306" s="10">
        <f>I306*J306</f>
        <v>0</v>
      </c>
    </row>
    <row r="307" spans="1:11" ht="28.5" x14ac:dyDescent="0.2">
      <c r="A307" s="28">
        <v>1379</v>
      </c>
      <c r="B307" s="9" t="s">
        <v>158</v>
      </c>
      <c r="C307" s="9" t="s">
        <v>158</v>
      </c>
      <c r="D307" s="9" t="s">
        <v>821</v>
      </c>
      <c r="E307" s="9" t="s">
        <v>27</v>
      </c>
      <c r="F307" s="9" t="s">
        <v>125</v>
      </c>
      <c r="G307" s="225" t="s">
        <v>412</v>
      </c>
      <c r="H307" s="9" t="s">
        <v>831</v>
      </c>
      <c r="I307" s="55">
        <f>COUNTIF('LOGBOOK VIEWER'!$B$7:$B$10600,$A307)</f>
        <v>0</v>
      </c>
      <c r="J307" s="10">
        <v>0.5</v>
      </c>
      <c r="K307" s="10">
        <f>I307*J307</f>
        <v>0</v>
      </c>
    </row>
    <row r="308" spans="1:11" ht="28.5" x14ac:dyDescent="0.2">
      <c r="A308" s="28">
        <v>1380</v>
      </c>
      <c r="B308" s="9" t="s">
        <v>159</v>
      </c>
      <c r="C308" s="9" t="s">
        <v>159</v>
      </c>
      <c r="D308" s="9" t="s">
        <v>821</v>
      </c>
      <c r="E308" s="9" t="s">
        <v>27</v>
      </c>
      <c r="F308" s="9" t="s">
        <v>125</v>
      </c>
      <c r="G308" s="225" t="s">
        <v>412</v>
      </c>
      <c r="H308" s="9" t="s">
        <v>831</v>
      </c>
      <c r="I308" s="55">
        <f>COUNTIF('LOGBOOK VIEWER'!$B$7:$B$10600,$A308)</f>
        <v>0</v>
      </c>
      <c r="J308" s="10">
        <v>0.5</v>
      </c>
      <c r="K308" s="10">
        <f>I308*J308</f>
        <v>0</v>
      </c>
    </row>
    <row r="309" spans="1:11" ht="42.75" x14ac:dyDescent="0.2">
      <c r="A309" s="28">
        <v>1381</v>
      </c>
      <c r="B309" s="9" t="s">
        <v>160</v>
      </c>
      <c r="C309" s="9" t="s">
        <v>160</v>
      </c>
      <c r="D309" s="9" t="s">
        <v>821</v>
      </c>
      <c r="E309" s="9" t="s">
        <v>27</v>
      </c>
      <c r="F309" s="9" t="s">
        <v>125</v>
      </c>
      <c r="G309" s="225" t="s">
        <v>412</v>
      </c>
      <c r="H309" s="9" t="s">
        <v>831</v>
      </c>
      <c r="I309" s="55">
        <f>COUNTIF('LOGBOOK VIEWER'!$B$7:$B$10600,$A309)</f>
        <v>0</v>
      </c>
      <c r="J309" s="10">
        <v>0.5</v>
      </c>
      <c r="K309" s="10">
        <f>I309*J309</f>
        <v>0</v>
      </c>
    </row>
    <row r="310" spans="1:11" ht="28.5" x14ac:dyDescent="0.2">
      <c r="A310" s="28">
        <v>1382</v>
      </c>
      <c r="B310" s="9" t="s">
        <v>161</v>
      </c>
      <c r="C310" s="9" t="s">
        <v>161</v>
      </c>
      <c r="D310" s="9" t="s">
        <v>121</v>
      </c>
      <c r="E310" s="9" t="s">
        <v>837</v>
      </c>
      <c r="F310" s="9" t="s">
        <v>125</v>
      </c>
      <c r="G310" s="225" t="s">
        <v>412</v>
      </c>
      <c r="H310" s="9" t="s">
        <v>831</v>
      </c>
      <c r="I310" s="55">
        <f>COUNTIF('LOGBOOK VIEWER'!$B$7:$B$10600,$A310)</f>
        <v>0</v>
      </c>
      <c r="J310" s="10">
        <v>0.5</v>
      </c>
      <c r="K310" s="10">
        <f>I310*J310</f>
        <v>0</v>
      </c>
    </row>
    <row r="311" spans="1:11" ht="28.5" x14ac:dyDescent="0.2">
      <c r="A311" s="28">
        <v>1383</v>
      </c>
      <c r="B311" s="9" t="s">
        <v>162</v>
      </c>
      <c r="C311" s="9" t="s">
        <v>162</v>
      </c>
      <c r="D311" s="9" t="s">
        <v>821</v>
      </c>
      <c r="E311" s="9" t="s">
        <v>27</v>
      </c>
      <c r="F311" s="9" t="s">
        <v>125</v>
      </c>
      <c r="G311" s="225" t="s">
        <v>412</v>
      </c>
      <c r="H311" s="9" t="s">
        <v>831</v>
      </c>
      <c r="I311" s="55">
        <f>COUNTIF('LOGBOOK VIEWER'!$B$7:$B$10600,$A311)</f>
        <v>0</v>
      </c>
      <c r="J311" s="10">
        <v>0.5</v>
      </c>
      <c r="K311" s="10">
        <f>I311*J311</f>
        <v>0</v>
      </c>
    </row>
    <row r="312" spans="1:11" x14ac:dyDescent="0.2">
      <c r="A312" s="28">
        <v>1384</v>
      </c>
      <c r="B312" s="9" t="s">
        <v>163</v>
      </c>
      <c r="C312" s="9" t="s">
        <v>163</v>
      </c>
      <c r="D312" s="9" t="s">
        <v>821</v>
      </c>
      <c r="E312" s="9" t="s">
        <v>27</v>
      </c>
      <c r="F312" s="9" t="s">
        <v>125</v>
      </c>
      <c r="G312" s="225" t="s">
        <v>412</v>
      </c>
      <c r="H312" s="9" t="s">
        <v>831</v>
      </c>
      <c r="I312" s="55">
        <f>COUNTIF('LOGBOOK VIEWER'!$B$7:$B$10600,$A312)</f>
        <v>0</v>
      </c>
      <c r="J312" s="10">
        <v>0.5</v>
      </c>
      <c r="K312" s="10">
        <f>I312*J312</f>
        <v>0</v>
      </c>
    </row>
    <row r="313" spans="1:11" x14ac:dyDescent="0.2">
      <c r="A313" s="28">
        <v>1385</v>
      </c>
      <c r="B313" s="9" t="s">
        <v>164</v>
      </c>
      <c r="C313" s="9" t="s">
        <v>164</v>
      </c>
      <c r="D313" s="9" t="s">
        <v>821</v>
      </c>
      <c r="E313" s="9" t="s">
        <v>825</v>
      </c>
      <c r="F313" s="9" t="s">
        <v>125</v>
      </c>
      <c r="G313" s="225" t="s">
        <v>412</v>
      </c>
      <c r="H313" s="9" t="s">
        <v>831</v>
      </c>
      <c r="I313" s="55">
        <f>COUNTIF('LOGBOOK VIEWER'!$B$7:$B$10600,$A313)</f>
        <v>0</v>
      </c>
      <c r="J313" s="10">
        <v>0.5</v>
      </c>
      <c r="K313" s="10">
        <f>I313*J313</f>
        <v>0</v>
      </c>
    </row>
    <row r="314" spans="1:11" x14ac:dyDescent="0.2">
      <c r="A314" s="28">
        <v>1386</v>
      </c>
      <c r="B314" s="9" t="s">
        <v>164</v>
      </c>
      <c r="C314" s="9" t="s">
        <v>164</v>
      </c>
      <c r="D314" s="9" t="s">
        <v>821</v>
      </c>
      <c r="E314" s="9" t="s">
        <v>825</v>
      </c>
      <c r="F314" s="9" t="s">
        <v>831</v>
      </c>
      <c r="G314" s="225" t="s">
        <v>412</v>
      </c>
      <c r="H314" s="9" t="s">
        <v>831</v>
      </c>
      <c r="I314" s="55">
        <f>COUNTIF('LOGBOOK VIEWER'!$B$7:$B$10600,$A314)</f>
        <v>0</v>
      </c>
      <c r="J314" s="10">
        <v>0.5</v>
      </c>
      <c r="K314" s="10">
        <f>I314*J314</f>
        <v>0</v>
      </c>
    </row>
    <row r="315" spans="1:11" ht="28.5" x14ac:dyDescent="0.2">
      <c r="A315" s="28">
        <v>1387</v>
      </c>
      <c r="B315" s="9" t="s">
        <v>165</v>
      </c>
      <c r="C315" s="9" t="s">
        <v>165</v>
      </c>
      <c r="D315" s="9" t="s">
        <v>821</v>
      </c>
      <c r="E315" s="9" t="s">
        <v>825</v>
      </c>
      <c r="F315" s="9" t="s">
        <v>125</v>
      </c>
      <c r="G315" s="225" t="s">
        <v>412</v>
      </c>
      <c r="H315" s="9" t="s">
        <v>831</v>
      </c>
      <c r="I315" s="55">
        <f>COUNTIF('LOGBOOK VIEWER'!$B$7:$B$10600,$A315)</f>
        <v>0</v>
      </c>
      <c r="J315" s="10">
        <v>0.5</v>
      </c>
      <c r="K315" s="10">
        <f>I315*J315</f>
        <v>0</v>
      </c>
    </row>
    <row r="316" spans="1:11" x14ac:dyDescent="0.2">
      <c r="A316" s="28">
        <v>1388</v>
      </c>
      <c r="B316" s="9" t="s">
        <v>166</v>
      </c>
      <c r="C316" s="9" t="s">
        <v>166</v>
      </c>
      <c r="D316" s="9" t="s">
        <v>821</v>
      </c>
      <c r="E316" s="9" t="s">
        <v>825</v>
      </c>
      <c r="F316" s="9" t="s">
        <v>125</v>
      </c>
      <c r="G316" s="225" t="s">
        <v>412</v>
      </c>
      <c r="H316" s="9" t="s">
        <v>831</v>
      </c>
      <c r="I316" s="55">
        <f>COUNTIF('LOGBOOK VIEWER'!$B$7:$B$10600,$A316)</f>
        <v>0</v>
      </c>
      <c r="J316" s="10">
        <v>0.5</v>
      </c>
      <c r="K316" s="10">
        <f>I316*J316</f>
        <v>0</v>
      </c>
    </row>
    <row r="317" spans="1:11" ht="28.5" x14ac:dyDescent="0.2">
      <c r="A317" s="28">
        <v>1389</v>
      </c>
      <c r="B317" s="9" t="s">
        <v>167</v>
      </c>
      <c r="C317" s="9" t="s">
        <v>167</v>
      </c>
      <c r="D317" s="9" t="s">
        <v>821</v>
      </c>
      <c r="E317" s="9" t="s">
        <v>825</v>
      </c>
      <c r="F317" s="9" t="s">
        <v>125</v>
      </c>
      <c r="G317" s="225" t="s">
        <v>412</v>
      </c>
      <c r="H317" s="9" t="s">
        <v>831</v>
      </c>
      <c r="I317" s="55">
        <f>COUNTIF('LOGBOOK VIEWER'!$B$7:$B$10600,$A317)</f>
        <v>0</v>
      </c>
      <c r="J317" s="10">
        <v>0.5</v>
      </c>
      <c r="K317" s="10">
        <f>I317*J317</f>
        <v>0</v>
      </c>
    </row>
    <row r="318" spans="1:11" ht="28.5" x14ac:dyDescent="0.2">
      <c r="A318" s="28">
        <v>1390</v>
      </c>
      <c r="B318" s="9" t="s">
        <v>168</v>
      </c>
      <c r="C318" s="9" t="s">
        <v>168</v>
      </c>
      <c r="D318" s="9" t="s">
        <v>821</v>
      </c>
      <c r="E318" s="9" t="s">
        <v>825</v>
      </c>
      <c r="F318" s="9" t="s">
        <v>125</v>
      </c>
      <c r="G318" s="225" t="s">
        <v>412</v>
      </c>
      <c r="H318" s="9" t="s">
        <v>831</v>
      </c>
      <c r="I318" s="55">
        <f>COUNTIF('LOGBOOK VIEWER'!$B$7:$B$10600,$A318)</f>
        <v>0</v>
      </c>
      <c r="J318" s="10">
        <v>0.5</v>
      </c>
      <c r="K318" s="10">
        <f>I318*J318</f>
        <v>0</v>
      </c>
    </row>
    <row r="319" spans="1:11" x14ac:dyDescent="0.2">
      <c r="A319" s="28">
        <v>1391</v>
      </c>
      <c r="B319" s="9" t="s">
        <v>169</v>
      </c>
      <c r="C319" s="9" t="s">
        <v>169</v>
      </c>
      <c r="D319" s="9" t="s">
        <v>821</v>
      </c>
      <c r="E319" s="9" t="s">
        <v>825</v>
      </c>
      <c r="F319" s="9" t="s">
        <v>125</v>
      </c>
      <c r="G319" s="225" t="s">
        <v>412</v>
      </c>
      <c r="H319" s="9" t="s">
        <v>831</v>
      </c>
      <c r="I319" s="55">
        <f>COUNTIF('LOGBOOK VIEWER'!$B$7:$B$10600,$A319)</f>
        <v>0</v>
      </c>
      <c r="J319" s="10">
        <v>0.5</v>
      </c>
      <c r="K319" s="10">
        <f>I319*J319</f>
        <v>0</v>
      </c>
    </row>
    <row r="320" spans="1:11" x14ac:dyDescent="0.2">
      <c r="A320" s="28">
        <v>1392</v>
      </c>
      <c r="B320" s="9" t="s">
        <v>170</v>
      </c>
      <c r="C320" s="9" t="s">
        <v>170</v>
      </c>
      <c r="D320" s="9" t="s">
        <v>821</v>
      </c>
      <c r="E320" s="9" t="s">
        <v>825</v>
      </c>
      <c r="F320" s="9" t="s">
        <v>125</v>
      </c>
      <c r="G320" s="225" t="s">
        <v>405</v>
      </c>
      <c r="H320" s="9" t="s">
        <v>426</v>
      </c>
      <c r="I320" s="55">
        <f>COUNTIF('LOGBOOK VIEWER'!$B$7:$B$10600,$A320)</f>
        <v>0</v>
      </c>
      <c r="J320" s="10">
        <v>1</v>
      </c>
      <c r="K320" s="10">
        <f>I320*J320</f>
        <v>0</v>
      </c>
    </row>
    <row r="321" spans="1:11" x14ac:dyDescent="0.2">
      <c r="A321" s="28">
        <v>1393</v>
      </c>
      <c r="B321" s="9" t="s">
        <v>171</v>
      </c>
      <c r="C321" s="9" t="s">
        <v>171</v>
      </c>
      <c r="D321" s="9" t="s">
        <v>821</v>
      </c>
      <c r="E321" s="9" t="s">
        <v>825</v>
      </c>
      <c r="F321" s="9" t="s">
        <v>125</v>
      </c>
      <c r="G321" s="225" t="s">
        <v>412</v>
      </c>
      <c r="H321" s="9" t="s">
        <v>831</v>
      </c>
      <c r="I321" s="55">
        <f>COUNTIF('LOGBOOK VIEWER'!$B$7:$B$10600,$A321)</f>
        <v>0</v>
      </c>
      <c r="J321" s="10">
        <v>0.5</v>
      </c>
      <c r="K321" s="10">
        <f>I321*J321</f>
        <v>0</v>
      </c>
    </row>
    <row r="322" spans="1:11" x14ac:dyDescent="0.2">
      <c r="A322" s="28">
        <v>1394</v>
      </c>
      <c r="B322" s="9" t="s">
        <v>172</v>
      </c>
      <c r="C322" s="9" t="s">
        <v>172</v>
      </c>
      <c r="D322" s="9" t="s">
        <v>821</v>
      </c>
      <c r="E322" s="9" t="s">
        <v>825</v>
      </c>
      <c r="F322" s="9" t="s">
        <v>125</v>
      </c>
      <c r="G322" s="225" t="s">
        <v>412</v>
      </c>
      <c r="H322" s="9" t="s">
        <v>831</v>
      </c>
      <c r="I322" s="55">
        <f>COUNTIF('LOGBOOK VIEWER'!$B$7:$B$10600,$A322)</f>
        <v>0</v>
      </c>
      <c r="J322" s="10">
        <v>0.5</v>
      </c>
      <c r="K322" s="10">
        <f>I322*J322</f>
        <v>0</v>
      </c>
    </row>
    <row r="323" spans="1:11" ht="28.5" x14ac:dyDescent="0.2">
      <c r="A323" s="28">
        <v>1395</v>
      </c>
      <c r="B323" s="9" t="s">
        <v>173</v>
      </c>
      <c r="C323" s="9" t="s">
        <v>173</v>
      </c>
      <c r="D323" s="9" t="s">
        <v>821</v>
      </c>
      <c r="E323" s="9" t="s">
        <v>825</v>
      </c>
      <c r="F323" s="9" t="s">
        <v>125</v>
      </c>
      <c r="G323" s="225" t="s">
        <v>412</v>
      </c>
      <c r="H323" s="9" t="s">
        <v>831</v>
      </c>
      <c r="I323" s="55">
        <f>COUNTIF('LOGBOOK VIEWER'!$B$7:$B$10600,$A323)</f>
        <v>0</v>
      </c>
      <c r="J323" s="10">
        <v>0.5</v>
      </c>
      <c r="K323" s="10">
        <f>I323*J323</f>
        <v>0</v>
      </c>
    </row>
    <row r="324" spans="1:11" ht="28.5" x14ac:dyDescent="0.2">
      <c r="A324" s="28">
        <v>1396</v>
      </c>
      <c r="B324" s="9" t="s">
        <v>174</v>
      </c>
      <c r="C324" s="9" t="s">
        <v>174</v>
      </c>
      <c r="D324" s="9" t="s">
        <v>821</v>
      </c>
      <c r="E324" s="9" t="s">
        <v>825</v>
      </c>
      <c r="F324" s="9" t="s">
        <v>125</v>
      </c>
      <c r="G324" s="225" t="s">
        <v>412</v>
      </c>
      <c r="H324" s="9" t="s">
        <v>831</v>
      </c>
      <c r="I324" s="55">
        <f>COUNTIF('LOGBOOK VIEWER'!$B$7:$B$10600,$A324)</f>
        <v>0</v>
      </c>
      <c r="J324" s="10">
        <v>0.5</v>
      </c>
      <c r="K324" s="10">
        <f>I324*J324</f>
        <v>0</v>
      </c>
    </row>
    <row r="325" spans="1:11" x14ac:dyDescent="0.2">
      <c r="A325" s="28">
        <v>1397</v>
      </c>
      <c r="B325" s="9" t="s">
        <v>175</v>
      </c>
      <c r="C325" s="9" t="s">
        <v>175</v>
      </c>
      <c r="D325" s="9" t="s">
        <v>821</v>
      </c>
      <c r="E325" s="9" t="s">
        <v>825</v>
      </c>
      <c r="F325" s="9" t="s">
        <v>125</v>
      </c>
      <c r="G325" s="225" t="s">
        <v>412</v>
      </c>
      <c r="H325" s="9" t="s">
        <v>831</v>
      </c>
      <c r="I325" s="55">
        <f>COUNTIF('LOGBOOK VIEWER'!$B$7:$B$10600,$A325)</f>
        <v>0</v>
      </c>
      <c r="J325" s="10">
        <v>0.5</v>
      </c>
      <c r="K325" s="10">
        <f>I325*J325</f>
        <v>0</v>
      </c>
    </row>
    <row r="326" spans="1:11" x14ac:dyDescent="0.2">
      <c r="A326" s="28">
        <v>1398</v>
      </c>
      <c r="B326" s="9" t="s">
        <v>176</v>
      </c>
      <c r="C326" s="9" t="s">
        <v>176</v>
      </c>
      <c r="D326" s="9" t="s">
        <v>821</v>
      </c>
      <c r="E326" s="9" t="s">
        <v>27</v>
      </c>
      <c r="F326" s="9" t="s">
        <v>831</v>
      </c>
      <c r="G326" s="225" t="s">
        <v>412</v>
      </c>
      <c r="H326" s="9" t="s">
        <v>831</v>
      </c>
      <c r="I326" s="55">
        <f>COUNTIF('LOGBOOK VIEWER'!$B$7:$B$10600,$A326)</f>
        <v>0</v>
      </c>
      <c r="J326" s="10">
        <v>0.5</v>
      </c>
      <c r="K326" s="10">
        <f>I326*J326</f>
        <v>0</v>
      </c>
    </row>
    <row r="327" spans="1:11" x14ac:dyDescent="0.2">
      <c r="A327" s="28">
        <v>1399</v>
      </c>
      <c r="B327" s="9" t="s">
        <v>176</v>
      </c>
      <c r="C327" s="9" t="s">
        <v>176</v>
      </c>
      <c r="D327" s="9" t="s">
        <v>821</v>
      </c>
      <c r="E327" s="9" t="s">
        <v>27</v>
      </c>
      <c r="F327" s="9" t="s">
        <v>831</v>
      </c>
      <c r="G327" s="225" t="s">
        <v>412</v>
      </c>
      <c r="H327" s="9" t="s">
        <v>831</v>
      </c>
      <c r="I327" s="55">
        <f>COUNTIF('LOGBOOK VIEWER'!$B$7:$B$10600,$A327)</f>
        <v>0</v>
      </c>
      <c r="J327" s="10">
        <v>0.5</v>
      </c>
      <c r="K327" s="10">
        <f>I327*J327</f>
        <v>0</v>
      </c>
    </row>
    <row r="328" spans="1:11" x14ac:dyDescent="0.2">
      <c r="A328" s="28">
        <v>1400</v>
      </c>
      <c r="B328" s="9" t="s">
        <v>176</v>
      </c>
      <c r="C328" s="9" t="s">
        <v>176</v>
      </c>
      <c r="D328" s="9" t="s">
        <v>821</v>
      </c>
      <c r="E328" s="9" t="s">
        <v>27</v>
      </c>
      <c r="F328" s="9" t="s">
        <v>831</v>
      </c>
      <c r="G328" s="225" t="s">
        <v>412</v>
      </c>
      <c r="H328" s="9" t="s">
        <v>831</v>
      </c>
      <c r="I328" s="55">
        <f>COUNTIF('LOGBOOK VIEWER'!$B$7:$B$10600,$A328)</f>
        <v>0</v>
      </c>
      <c r="J328" s="10">
        <v>0.5</v>
      </c>
      <c r="K328" s="10">
        <f>I328*J328</f>
        <v>0</v>
      </c>
    </row>
    <row r="329" spans="1:11" x14ac:dyDescent="0.2">
      <c r="A329" s="28">
        <v>1401</v>
      </c>
      <c r="B329" s="9" t="s">
        <v>176</v>
      </c>
      <c r="C329" s="9" t="s">
        <v>176</v>
      </c>
      <c r="D329" s="9" t="s">
        <v>821</v>
      </c>
      <c r="E329" s="9" t="s">
        <v>27</v>
      </c>
      <c r="F329" s="9" t="s">
        <v>831</v>
      </c>
      <c r="G329" s="225" t="s">
        <v>412</v>
      </c>
      <c r="H329" s="9" t="s">
        <v>831</v>
      </c>
      <c r="I329" s="55">
        <f>COUNTIF('LOGBOOK VIEWER'!$B$7:$B$10600,$A329)</f>
        <v>0</v>
      </c>
      <c r="J329" s="10">
        <v>0.5</v>
      </c>
      <c r="K329" s="10">
        <f>I329*J329</f>
        <v>0</v>
      </c>
    </row>
    <row r="330" spans="1:11" x14ac:dyDescent="0.2">
      <c r="A330" s="28">
        <v>1402</v>
      </c>
      <c r="B330" s="9" t="s">
        <v>176</v>
      </c>
      <c r="C330" s="9" t="s">
        <v>176</v>
      </c>
      <c r="D330" s="9" t="s">
        <v>821</v>
      </c>
      <c r="E330" s="9" t="s">
        <v>27</v>
      </c>
      <c r="F330" s="9" t="s">
        <v>831</v>
      </c>
      <c r="G330" s="225" t="s">
        <v>412</v>
      </c>
      <c r="H330" s="9" t="s">
        <v>831</v>
      </c>
      <c r="I330" s="55">
        <f>COUNTIF('LOGBOOK VIEWER'!$B$7:$B$10600,$A330)</f>
        <v>0</v>
      </c>
      <c r="J330" s="10">
        <v>0.5</v>
      </c>
      <c r="K330" s="10">
        <f>I330*J330</f>
        <v>0</v>
      </c>
    </row>
    <row r="331" spans="1:11" x14ac:dyDescent="0.2">
      <c r="A331" s="28">
        <v>1403</v>
      </c>
      <c r="B331" s="9" t="s">
        <v>176</v>
      </c>
      <c r="C331" s="9" t="s">
        <v>176</v>
      </c>
      <c r="D331" s="9" t="s">
        <v>821</v>
      </c>
      <c r="E331" s="9" t="s">
        <v>27</v>
      </c>
      <c r="F331" s="9" t="s">
        <v>831</v>
      </c>
      <c r="G331" s="225" t="s">
        <v>412</v>
      </c>
      <c r="H331" s="9" t="s">
        <v>831</v>
      </c>
      <c r="I331" s="55">
        <f>COUNTIF('LOGBOOK VIEWER'!$B$7:$B$10600,$A331)</f>
        <v>0</v>
      </c>
      <c r="J331" s="10">
        <v>0.5</v>
      </c>
      <c r="K331" s="10">
        <f>I331*J331</f>
        <v>0</v>
      </c>
    </row>
    <row r="332" spans="1:11" x14ac:dyDescent="0.2">
      <c r="A332" s="28">
        <v>1404</v>
      </c>
      <c r="B332" s="9" t="s">
        <v>176</v>
      </c>
      <c r="C332" s="9" t="s">
        <v>176</v>
      </c>
      <c r="D332" s="9" t="s">
        <v>821</v>
      </c>
      <c r="E332" s="9" t="s">
        <v>27</v>
      </c>
      <c r="F332" s="9" t="s">
        <v>831</v>
      </c>
      <c r="G332" s="225" t="s">
        <v>412</v>
      </c>
      <c r="H332" s="9" t="s">
        <v>831</v>
      </c>
      <c r="I332" s="55">
        <f>COUNTIF('LOGBOOK VIEWER'!$B$7:$B$10600,$A332)</f>
        <v>0</v>
      </c>
      <c r="J332" s="10">
        <v>0.5</v>
      </c>
      <c r="K332" s="10">
        <f>I332*J332</f>
        <v>0</v>
      </c>
    </row>
    <row r="333" spans="1:11" x14ac:dyDescent="0.2">
      <c r="A333" s="28">
        <v>1405</v>
      </c>
      <c r="B333" s="9" t="s">
        <v>176</v>
      </c>
      <c r="C333" s="9" t="s">
        <v>176</v>
      </c>
      <c r="D333" s="9" t="s">
        <v>821</v>
      </c>
      <c r="E333" s="9" t="s">
        <v>27</v>
      </c>
      <c r="F333" s="9" t="s">
        <v>831</v>
      </c>
      <c r="G333" s="225" t="s">
        <v>412</v>
      </c>
      <c r="H333" s="9" t="s">
        <v>831</v>
      </c>
      <c r="I333" s="55">
        <f>COUNTIF('LOGBOOK VIEWER'!$B$7:$B$10600,$A333)</f>
        <v>0</v>
      </c>
      <c r="J333" s="10">
        <v>0.5</v>
      </c>
      <c r="K333" s="10">
        <f>I333*J333</f>
        <v>0</v>
      </c>
    </row>
    <row r="334" spans="1:11" x14ac:dyDescent="0.2">
      <c r="A334" s="28">
        <v>1406</v>
      </c>
      <c r="B334" s="9" t="s">
        <v>176</v>
      </c>
      <c r="C334" s="9" t="s">
        <v>176</v>
      </c>
      <c r="D334" s="9" t="s">
        <v>821</v>
      </c>
      <c r="E334" s="9" t="s">
        <v>27</v>
      </c>
      <c r="F334" s="9" t="s">
        <v>831</v>
      </c>
      <c r="G334" s="225" t="s">
        <v>412</v>
      </c>
      <c r="H334" s="9" t="s">
        <v>831</v>
      </c>
      <c r="I334" s="55">
        <f>COUNTIF('LOGBOOK VIEWER'!$B$7:$B$10600,$A334)</f>
        <v>0</v>
      </c>
      <c r="J334" s="10">
        <v>0.5</v>
      </c>
      <c r="K334" s="10">
        <f>I334*J334</f>
        <v>0</v>
      </c>
    </row>
    <row r="335" spans="1:11" x14ac:dyDescent="0.2">
      <c r="A335" s="28">
        <v>1407</v>
      </c>
      <c r="B335" s="9" t="s">
        <v>176</v>
      </c>
      <c r="C335" s="9" t="s">
        <v>176</v>
      </c>
      <c r="D335" s="9" t="s">
        <v>821</v>
      </c>
      <c r="E335" s="9" t="s">
        <v>27</v>
      </c>
      <c r="F335" s="9" t="s">
        <v>831</v>
      </c>
      <c r="G335" s="225" t="s">
        <v>412</v>
      </c>
      <c r="H335" s="9" t="s">
        <v>831</v>
      </c>
      <c r="I335" s="55">
        <f>COUNTIF('LOGBOOK VIEWER'!$B$7:$B$10600,$A335)</f>
        <v>0</v>
      </c>
      <c r="J335" s="10">
        <v>0.5</v>
      </c>
      <c r="K335" s="10">
        <f>I335*J335</f>
        <v>0</v>
      </c>
    </row>
    <row r="336" spans="1:11" x14ac:dyDescent="0.2">
      <c r="A336" s="28">
        <v>1408</v>
      </c>
      <c r="B336" s="9" t="s">
        <v>176</v>
      </c>
      <c r="C336" s="9" t="s">
        <v>176</v>
      </c>
      <c r="D336" s="9" t="s">
        <v>821</v>
      </c>
      <c r="E336" s="9" t="s">
        <v>27</v>
      </c>
      <c r="F336" s="9" t="s">
        <v>831</v>
      </c>
      <c r="G336" s="225" t="s">
        <v>412</v>
      </c>
      <c r="H336" s="9" t="s">
        <v>831</v>
      </c>
      <c r="I336" s="55">
        <f>COUNTIF('LOGBOOK VIEWER'!$B$7:$B$10600,$A336)</f>
        <v>0</v>
      </c>
      <c r="J336" s="10">
        <v>0.5</v>
      </c>
      <c r="K336" s="10">
        <f>I336*J336</f>
        <v>0</v>
      </c>
    </row>
    <row r="337" spans="1:11" x14ac:dyDescent="0.2">
      <c r="A337" s="28">
        <v>1409</v>
      </c>
      <c r="B337" s="9" t="s">
        <v>176</v>
      </c>
      <c r="C337" s="9" t="s">
        <v>176</v>
      </c>
      <c r="D337" s="9" t="s">
        <v>821</v>
      </c>
      <c r="E337" s="9" t="s">
        <v>27</v>
      </c>
      <c r="F337" s="9" t="s">
        <v>831</v>
      </c>
      <c r="G337" s="225" t="s">
        <v>412</v>
      </c>
      <c r="H337" s="9" t="s">
        <v>831</v>
      </c>
      <c r="I337" s="55">
        <f>COUNTIF('LOGBOOK VIEWER'!$B$7:$B$10600,$A337)</f>
        <v>0</v>
      </c>
      <c r="J337" s="10">
        <v>0.5</v>
      </c>
      <c r="K337" s="10">
        <f>I337*J337</f>
        <v>0</v>
      </c>
    </row>
    <row r="338" spans="1:11" x14ac:dyDescent="0.2">
      <c r="A338" s="28">
        <v>1410</v>
      </c>
      <c r="B338" s="9" t="s">
        <v>176</v>
      </c>
      <c r="C338" s="9" t="s">
        <v>176</v>
      </c>
      <c r="D338" s="9" t="s">
        <v>821</v>
      </c>
      <c r="E338" s="9" t="s">
        <v>27</v>
      </c>
      <c r="F338" s="9" t="s">
        <v>831</v>
      </c>
      <c r="G338" s="225" t="s">
        <v>412</v>
      </c>
      <c r="H338" s="9" t="s">
        <v>831</v>
      </c>
      <c r="I338" s="55">
        <f>COUNTIF('LOGBOOK VIEWER'!$B$7:$B$10600,$A338)</f>
        <v>0</v>
      </c>
      <c r="J338" s="10">
        <v>0.5</v>
      </c>
      <c r="K338" s="10">
        <f>I338*J338</f>
        <v>0</v>
      </c>
    </row>
    <row r="339" spans="1:11" x14ac:dyDescent="0.2">
      <c r="A339" s="28">
        <v>1411</v>
      </c>
      <c r="B339" s="9" t="s">
        <v>176</v>
      </c>
      <c r="C339" s="9" t="s">
        <v>176</v>
      </c>
      <c r="D339" s="9" t="s">
        <v>821</v>
      </c>
      <c r="E339" s="9" t="s">
        <v>27</v>
      </c>
      <c r="F339" s="9" t="s">
        <v>831</v>
      </c>
      <c r="G339" s="225" t="s">
        <v>412</v>
      </c>
      <c r="H339" s="9" t="s">
        <v>831</v>
      </c>
      <c r="I339" s="55">
        <f>COUNTIF('LOGBOOK VIEWER'!$B$7:$B$10600,$A339)</f>
        <v>0</v>
      </c>
      <c r="J339" s="10">
        <v>0.5</v>
      </c>
      <c r="K339" s="10">
        <f>I339*J339</f>
        <v>0</v>
      </c>
    </row>
    <row r="340" spans="1:11" x14ac:dyDescent="0.2">
      <c r="A340" s="28">
        <v>1412</v>
      </c>
      <c r="B340" s="9" t="s">
        <v>176</v>
      </c>
      <c r="C340" s="9" t="s">
        <v>176</v>
      </c>
      <c r="D340" s="9" t="s">
        <v>821</v>
      </c>
      <c r="E340" s="9" t="s">
        <v>27</v>
      </c>
      <c r="F340" s="9" t="s">
        <v>831</v>
      </c>
      <c r="G340" s="225" t="s">
        <v>412</v>
      </c>
      <c r="H340" s="9" t="s">
        <v>831</v>
      </c>
      <c r="I340" s="55">
        <f>COUNTIF('LOGBOOK VIEWER'!$B$7:$B$10600,$A340)</f>
        <v>0</v>
      </c>
      <c r="J340" s="10">
        <v>0.5</v>
      </c>
      <c r="K340" s="10">
        <f>I340*J340</f>
        <v>0</v>
      </c>
    </row>
    <row r="341" spans="1:11" x14ac:dyDescent="0.2">
      <c r="A341" s="28">
        <v>1413</v>
      </c>
      <c r="B341" s="9" t="s">
        <v>176</v>
      </c>
      <c r="C341" s="9" t="s">
        <v>176</v>
      </c>
      <c r="D341" s="9" t="s">
        <v>821</v>
      </c>
      <c r="E341" s="9" t="s">
        <v>27</v>
      </c>
      <c r="F341" s="9" t="s">
        <v>831</v>
      </c>
      <c r="G341" s="225" t="s">
        <v>412</v>
      </c>
      <c r="H341" s="9" t="s">
        <v>831</v>
      </c>
      <c r="I341" s="55">
        <f>COUNTIF('LOGBOOK VIEWER'!$B$7:$B$10600,$A341)</f>
        <v>0</v>
      </c>
      <c r="J341" s="10">
        <v>0.5</v>
      </c>
      <c r="K341" s="10">
        <f>I341*J341</f>
        <v>0</v>
      </c>
    </row>
    <row r="342" spans="1:11" x14ac:dyDescent="0.2">
      <c r="A342" s="28">
        <v>1414</v>
      </c>
      <c r="B342" s="9" t="s">
        <v>177</v>
      </c>
      <c r="C342" s="9" t="s">
        <v>177</v>
      </c>
      <c r="D342" s="9" t="s">
        <v>821</v>
      </c>
      <c r="E342" s="9" t="s">
        <v>27</v>
      </c>
      <c r="F342" s="9" t="s">
        <v>125</v>
      </c>
      <c r="G342" s="225" t="s">
        <v>412</v>
      </c>
      <c r="H342" s="9" t="s">
        <v>831</v>
      </c>
      <c r="I342" s="55">
        <f>COUNTIF('LOGBOOK VIEWER'!$B$7:$B$10600,$A342)</f>
        <v>0</v>
      </c>
      <c r="J342" s="10">
        <v>0.5</v>
      </c>
      <c r="K342" s="10">
        <f>I342*J342</f>
        <v>0</v>
      </c>
    </row>
    <row r="343" spans="1:11" ht="28.5" x14ac:dyDescent="0.2">
      <c r="A343" s="28">
        <v>1415</v>
      </c>
      <c r="B343" s="9" t="s">
        <v>178</v>
      </c>
      <c r="C343" s="9" t="s">
        <v>178</v>
      </c>
      <c r="D343" s="9" t="s">
        <v>821</v>
      </c>
      <c r="E343" s="9" t="s">
        <v>27</v>
      </c>
      <c r="F343" s="9" t="s">
        <v>125</v>
      </c>
      <c r="G343" s="225" t="s">
        <v>405</v>
      </c>
      <c r="H343" s="9" t="s">
        <v>426</v>
      </c>
      <c r="I343" s="55">
        <f>COUNTIF('LOGBOOK VIEWER'!$B$7:$B$10600,$A343)</f>
        <v>0</v>
      </c>
      <c r="J343" s="10">
        <v>1</v>
      </c>
      <c r="K343" s="10">
        <f>I343*J343</f>
        <v>0</v>
      </c>
    </row>
    <row r="344" spans="1:11" ht="42.75" x14ac:dyDescent="0.2">
      <c r="A344" s="28">
        <v>1416</v>
      </c>
      <c r="B344" s="9" t="s">
        <v>179</v>
      </c>
      <c r="C344" s="9" t="s">
        <v>180</v>
      </c>
      <c r="D344" s="9" t="s">
        <v>821</v>
      </c>
      <c r="E344" s="9" t="s">
        <v>27</v>
      </c>
      <c r="F344" s="9" t="s">
        <v>125</v>
      </c>
      <c r="G344" s="225" t="s">
        <v>405</v>
      </c>
      <c r="H344" s="9" t="s">
        <v>426</v>
      </c>
      <c r="I344" s="55">
        <f>COUNTIF('LOGBOOK VIEWER'!$B$7:$B$10600,$A344)</f>
        <v>0</v>
      </c>
      <c r="J344" s="10">
        <v>1</v>
      </c>
      <c r="K344" s="10">
        <f>I344*J344</f>
        <v>0</v>
      </c>
    </row>
    <row r="345" spans="1:11" ht="42.75" x14ac:dyDescent="0.2">
      <c r="A345" s="28">
        <v>1417</v>
      </c>
      <c r="B345" s="9" t="s">
        <v>181</v>
      </c>
      <c r="C345" s="9" t="s">
        <v>182</v>
      </c>
      <c r="D345" s="9" t="s">
        <v>821</v>
      </c>
      <c r="E345" s="9" t="s">
        <v>404</v>
      </c>
      <c r="F345" s="9" t="s">
        <v>125</v>
      </c>
      <c r="G345" s="225" t="s">
        <v>412</v>
      </c>
      <c r="H345" s="9" t="s">
        <v>831</v>
      </c>
      <c r="I345" s="55">
        <f>COUNTIF('LOGBOOK VIEWER'!$B$7:$B$10600,$A345)</f>
        <v>0</v>
      </c>
      <c r="J345" s="10">
        <v>0.5</v>
      </c>
      <c r="K345" s="10">
        <f>I345*J345</f>
        <v>0</v>
      </c>
    </row>
    <row r="346" spans="1:11" ht="42.75" x14ac:dyDescent="0.2">
      <c r="A346" s="28">
        <v>1418</v>
      </c>
      <c r="B346" s="9" t="s">
        <v>181</v>
      </c>
      <c r="C346" s="9" t="s">
        <v>183</v>
      </c>
      <c r="D346" s="9" t="s">
        <v>821</v>
      </c>
      <c r="E346" s="9" t="s">
        <v>404</v>
      </c>
      <c r="F346" s="9" t="s">
        <v>125</v>
      </c>
      <c r="G346" s="225" t="s">
        <v>405</v>
      </c>
      <c r="H346" s="9" t="s">
        <v>426</v>
      </c>
      <c r="I346" s="55">
        <f>COUNTIF('LOGBOOK VIEWER'!$B$7:$B$10600,$A346)</f>
        <v>0</v>
      </c>
      <c r="J346" s="10">
        <v>1</v>
      </c>
      <c r="K346" s="10">
        <f>I346*J346</f>
        <v>0</v>
      </c>
    </row>
    <row r="347" spans="1:11" ht="42.75" x14ac:dyDescent="0.2">
      <c r="A347" s="28">
        <v>1419</v>
      </c>
      <c r="B347" s="9" t="s">
        <v>184</v>
      </c>
      <c r="C347" s="9" t="s">
        <v>185</v>
      </c>
      <c r="D347" s="9" t="s">
        <v>121</v>
      </c>
      <c r="E347" s="9" t="s">
        <v>186</v>
      </c>
      <c r="F347" s="9" t="s">
        <v>125</v>
      </c>
      <c r="G347" s="225" t="s">
        <v>405</v>
      </c>
      <c r="H347" s="9" t="s">
        <v>806</v>
      </c>
      <c r="I347" s="55">
        <f>COUNTIF('LOGBOOK VIEWER'!$B$7:$B$10600,$A347)</f>
        <v>0</v>
      </c>
      <c r="J347" s="10">
        <v>0.1</v>
      </c>
      <c r="K347" s="10">
        <f>I347*J347</f>
        <v>0</v>
      </c>
    </row>
    <row r="348" spans="1:11" ht="57" x14ac:dyDescent="0.2">
      <c r="A348" s="28">
        <v>1420</v>
      </c>
      <c r="B348" s="9" t="s">
        <v>187</v>
      </c>
      <c r="C348" s="9" t="s">
        <v>185</v>
      </c>
      <c r="D348" s="9" t="s">
        <v>121</v>
      </c>
      <c r="E348" s="9" t="s">
        <v>186</v>
      </c>
      <c r="F348" s="9" t="s">
        <v>125</v>
      </c>
      <c r="G348" s="225" t="s">
        <v>405</v>
      </c>
      <c r="H348" s="9" t="s">
        <v>806</v>
      </c>
      <c r="I348" s="55">
        <f>COUNTIF('LOGBOOK VIEWER'!$B$7:$B$10600,$A348)</f>
        <v>0</v>
      </c>
      <c r="J348" s="10">
        <v>0.1</v>
      </c>
      <c r="K348" s="10">
        <f>I348*J348</f>
        <v>0</v>
      </c>
    </row>
    <row r="349" spans="1:11" ht="42.75" x14ac:dyDescent="0.2">
      <c r="A349" s="28">
        <v>1421</v>
      </c>
      <c r="B349" s="9" t="s">
        <v>188</v>
      </c>
      <c r="C349" s="9" t="s">
        <v>185</v>
      </c>
      <c r="D349" s="9" t="s">
        <v>121</v>
      </c>
      <c r="E349" s="9" t="s">
        <v>186</v>
      </c>
      <c r="F349" s="9" t="s">
        <v>125</v>
      </c>
      <c r="G349" s="225" t="s">
        <v>405</v>
      </c>
      <c r="H349" s="9" t="s">
        <v>806</v>
      </c>
      <c r="I349" s="55">
        <f>COUNTIF('LOGBOOK VIEWER'!$B$7:$B$10600,$A349)</f>
        <v>0</v>
      </c>
      <c r="J349" s="10">
        <v>0.1</v>
      </c>
      <c r="K349" s="10">
        <f>I349*J349</f>
        <v>0</v>
      </c>
    </row>
    <row r="350" spans="1:11" ht="57" x14ac:dyDescent="0.2">
      <c r="A350" s="28">
        <v>1422</v>
      </c>
      <c r="B350" s="9" t="s">
        <v>189</v>
      </c>
      <c r="C350" s="9" t="s">
        <v>190</v>
      </c>
      <c r="D350" s="9" t="s">
        <v>121</v>
      </c>
      <c r="E350" s="9" t="s">
        <v>186</v>
      </c>
      <c r="F350" s="9" t="s">
        <v>125</v>
      </c>
      <c r="G350" s="225" t="s">
        <v>405</v>
      </c>
      <c r="H350" s="9" t="s">
        <v>806</v>
      </c>
      <c r="I350" s="55">
        <f>COUNTIF('LOGBOOK VIEWER'!$B$7:$B$10600,$A350)</f>
        <v>0</v>
      </c>
      <c r="J350" s="10">
        <v>0.1</v>
      </c>
      <c r="K350" s="10">
        <f>I350*J350</f>
        <v>0</v>
      </c>
    </row>
    <row r="351" spans="1:11" ht="57" x14ac:dyDescent="0.2">
      <c r="A351" s="28">
        <v>1423</v>
      </c>
      <c r="B351" s="9" t="s">
        <v>191</v>
      </c>
      <c r="C351" s="9" t="s">
        <v>190</v>
      </c>
      <c r="D351" s="9" t="s">
        <v>121</v>
      </c>
      <c r="E351" s="9" t="s">
        <v>186</v>
      </c>
      <c r="F351" s="9" t="s">
        <v>125</v>
      </c>
      <c r="G351" s="225" t="s">
        <v>405</v>
      </c>
      <c r="H351" s="9" t="s">
        <v>806</v>
      </c>
      <c r="I351" s="55">
        <f>COUNTIF('LOGBOOK VIEWER'!$B$7:$B$10600,$A351)</f>
        <v>0</v>
      </c>
      <c r="J351" s="10">
        <v>0.1</v>
      </c>
      <c r="K351" s="10">
        <f>I351*J351</f>
        <v>0</v>
      </c>
    </row>
    <row r="352" spans="1:11" ht="57" x14ac:dyDescent="0.2">
      <c r="A352" s="28">
        <v>1424</v>
      </c>
      <c r="B352" s="9" t="s">
        <v>192</v>
      </c>
      <c r="C352" s="9" t="s">
        <v>190</v>
      </c>
      <c r="D352" s="9" t="s">
        <v>121</v>
      </c>
      <c r="E352" s="9" t="s">
        <v>186</v>
      </c>
      <c r="F352" s="9" t="s">
        <v>125</v>
      </c>
      <c r="G352" s="225" t="s">
        <v>405</v>
      </c>
      <c r="H352" s="9" t="s">
        <v>806</v>
      </c>
      <c r="I352" s="55">
        <f>COUNTIF('LOGBOOK VIEWER'!$B$7:$B$10600,$A352)</f>
        <v>0</v>
      </c>
      <c r="J352" s="10">
        <v>0.1</v>
      </c>
      <c r="K352" s="10">
        <f>I352*J352</f>
        <v>0</v>
      </c>
    </row>
    <row r="353" spans="1:11" ht="57" x14ac:dyDescent="0.2">
      <c r="A353" s="28">
        <v>1425</v>
      </c>
      <c r="B353" s="9" t="s">
        <v>193</v>
      </c>
      <c r="C353" s="9" t="s">
        <v>194</v>
      </c>
      <c r="D353" s="9" t="s">
        <v>121</v>
      </c>
      <c r="E353" s="9" t="s">
        <v>186</v>
      </c>
      <c r="F353" s="9" t="s">
        <v>125</v>
      </c>
      <c r="G353" s="225" t="s">
        <v>405</v>
      </c>
      <c r="H353" s="9" t="s">
        <v>806</v>
      </c>
      <c r="I353" s="55">
        <f>COUNTIF('LOGBOOK VIEWER'!$B$7:$B$10600,$A353)</f>
        <v>0</v>
      </c>
      <c r="J353" s="10">
        <v>0.1</v>
      </c>
      <c r="K353" s="10">
        <f>I353*J353</f>
        <v>0</v>
      </c>
    </row>
    <row r="354" spans="1:11" ht="57" x14ac:dyDescent="0.2">
      <c r="A354" s="28">
        <v>1426</v>
      </c>
      <c r="B354" s="9" t="s">
        <v>61</v>
      </c>
      <c r="C354" s="9" t="s">
        <v>194</v>
      </c>
      <c r="D354" s="9" t="s">
        <v>121</v>
      </c>
      <c r="E354" s="9" t="s">
        <v>186</v>
      </c>
      <c r="F354" s="9" t="s">
        <v>125</v>
      </c>
      <c r="G354" s="225" t="s">
        <v>405</v>
      </c>
      <c r="H354" s="9" t="s">
        <v>806</v>
      </c>
      <c r="I354" s="55">
        <f>COUNTIF('LOGBOOK VIEWER'!$B$7:$B$10600,$A354)</f>
        <v>0</v>
      </c>
      <c r="J354" s="10">
        <v>0.1</v>
      </c>
      <c r="K354" s="10">
        <f>I354*J354</f>
        <v>0</v>
      </c>
    </row>
    <row r="355" spans="1:11" ht="57" x14ac:dyDescent="0.2">
      <c r="A355" s="28">
        <v>1427</v>
      </c>
      <c r="B355" s="9" t="s">
        <v>62</v>
      </c>
      <c r="C355" s="9" t="s">
        <v>194</v>
      </c>
      <c r="D355" s="9" t="s">
        <v>121</v>
      </c>
      <c r="E355" s="9" t="s">
        <v>186</v>
      </c>
      <c r="F355" s="9" t="s">
        <v>125</v>
      </c>
      <c r="G355" s="225" t="s">
        <v>405</v>
      </c>
      <c r="H355" s="9" t="s">
        <v>806</v>
      </c>
      <c r="I355" s="55">
        <f>COUNTIF('LOGBOOK VIEWER'!$B$7:$B$10600,$A355)</f>
        <v>0</v>
      </c>
      <c r="J355" s="10">
        <v>0.1</v>
      </c>
      <c r="K355" s="10">
        <f>I355*J355</f>
        <v>0</v>
      </c>
    </row>
    <row r="356" spans="1:11" ht="57" x14ac:dyDescent="0.2">
      <c r="A356" s="28">
        <v>1428</v>
      </c>
      <c r="B356" s="9" t="s">
        <v>63</v>
      </c>
      <c r="C356" s="9" t="s">
        <v>64</v>
      </c>
      <c r="D356" s="9" t="s">
        <v>121</v>
      </c>
      <c r="E356" s="9" t="s">
        <v>186</v>
      </c>
      <c r="F356" s="9" t="s">
        <v>125</v>
      </c>
      <c r="G356" s="225" t="s">
        <v>405</v>
      </c>
      <c r="H356" s="9" t="s">
        <v>806</v>
      </c>
      <c r="I356" s="55">
        <f>COUNTIF('LOGBOOK VIEWER'!$B$7:$B$10600,$A356)</f>
        <v>0</v>
      </c>
      <c r="J356" s="10">
        <v>0.1</v>
      </c>
      <c r="K356" s="10">
        <f>I356*J356</f>
        <v>0</v>
      </c>
    </row>
    <row r="357" spans="1:11" ht="57" x14ac:dyDescent="0.2">
      <c r="A357" s="28">
        <v>1429</v>
      </c>
      <c r="B357" s="9" t="s">
        <v>775</v>
      </c>
      <c r="C357" s="9" t="s">
        <v>64</v>
      </c>
      <c r="D357" s="9" t="s">
        <v>121</v>
      </c>
      <c r="E357" s="9" t="s">
        <v>186</v>
      </c>
      <c r="F357" s="9" t="s">
        <v>125</v>
      </c>
      <c r="G357" s="225" t="s">
        <v>405</v>
      </c>
      <c r="H357" s="9" t="s">
        <v>806</v>
      </c>
      <c r="I357" s="55">
        <f>COUNTIF('LOGBOOK VIEWER'!$B$7:$B$10600,$A357)</f>
        <v>0</v>
      </c>
      <c r="J357" s="10">
        <v>0.1</v>
      </c>
      <c r="K357" s="10">
        <f>I357*J357</f>
        <v>0</v>
      </c>
    </row>
    <row r="358" spans="1:11" ht="57" x14ac:dyDescent="0.2">
      <c r="A358" s="28">
        <v>1430</v>
      </c>
      <c r="B358" s="9" t="s">
        <v>776</v>
      </c>
      <c r="C358" s="9" t="s">
        <v>64</v>
      </c>
      <c r="D358" s="9" t="s">
        <v>121</v>
      </c>
      <c r="E358" s="9" t="s">
        <v>186</v>
      </c>
      <c r="F358" s="9" t="s">
        <v>125</v>
      </c>
      <c r="G358" s="225" t="s">
        <v>405</v>
      </c>
      <c r="H358" s="9" t="s">
        <v>806</v>
      </c>
      <c r="I358" s="55">
        <f>COUNTIF('LOGBOOK VIEWER'!$B$7:$B$10600,$A358)</f>
        <v>0</v>
      </c>
      <c r="J358" s="10">
        <v>0.1</v>
      </c>
      <c r="K358" s="10">
        <f>I358*J358</f>
        <v>0</v>
      </c>
    </row>
    <row r="359" spans="1:11" ht="42.75" x14ac:dyDescent="0.2">
      <c r="A359" s="28">
        <v>1431</v>
      </c>
      <c r="B359" s="9" t="s">
        <v>450</v>
      </c>
      <c r="C359" s="9" t="s">
        <v>185</v>
      </c>
      <c r="D359" s="9" t="s">
        <v>121</v>
      </c>
      <c r="E359" s="9" t="s">
        <v>186</v>
      </c>
      <c r="F359" s="9" t="s">
        <v>125</v>
      </c>
      <c r="G359" s="225" t="s">
        <v>405</v>
      </c>
      <c r="H359" s="9" t="s">
        <v>806</v>
      </c>
      <c r="I359" s="55">
        <f>COUNTIF('LOGBOOK VIEWER'!$B$7:$B$10600,$A359)</f>
        <v>0</v>
      </c>
      <c r="J359" s="10">
        <v>0.1</v>
      </c>
      <c r="K359" s="10">
        <f>I359*J359</f>
        <v>0</v>
      </c>
    </row>
    <row r="360" spans="1:11" ht="42.75" x14ac:dyDescent="0.2">
      <c r="A360" s="28">
        <v>1432</v>
      </c>
      <c r="B360" s="9" t="s">
        <v>451</v>
      </c>
      <c r="C360" s="9" t="s">
        <v>185</v>
      </c>
      <c r="D360" s="9" t="s">
        <v>121</v>
      </c>
      <c r="E360" s="9" t="s">
        <v>186</v>
      </c>
      <c r="F360" s="9" t="s">
        <v>125</v>
      </c>
      <c r="G360" s="225" t="s">
        <v>405</v>
      </c>
      <c r="H360" s="9" t="s">
        <v>806</v>
      </c>
      <c r="I360" s="55">
        <f>COUNTIF('LOGBOOK VIEWER'!$B$7:$B$10600,$A360)</f>
        <v>0</v>
      </c>
      <c r="J360" s="10">
        <v>0.1</v>
      </c>
      <c r="K360" s="10">
        <f>I360*J360</f>
        <v>0</v>
      </c>
    </row>
    <row r="361" spans="1:11" ht="42.75" x14ac:dyDescent="0.2">
      <c r="A361" s="28">
        <v>1433</v>
      </c>
      <c r="B361" s="9" t="s">
        <v>452</v>
      </c>
      <c r="C361" s="9" t="s">
        <v>453</v>
      </c>
      <c r="D361" s="9" t="s">
        <v>121</v>
      </c>
      <c r="E361" s="9" t="s">
        <v>186</v>
      </c>
      <c r="F361" s="9" t="s">
        <v>125</v>
      </c>
      <c r="G361" s="225" t="s">
        <v>405</v>
      </c>
      <c r="H361" s="9" t="s">
        <v>806</v>
      </c>
      <c r="I361" s="55">
        <f>COUNTIF('LOGBOOK VIEWER'!$B$7:$B$10600,$A361)</f>
        <v>0</v>
      </c>
      <c r="J361" s="10">
        <v>0.1</v>
      </c>
      <c r="K361" s="10">
        <f>I361*J361</f>
        <v>0</v>
      </c>
    </row>
    <row r="362" spans="1:11" ht="57" x14ac:dyDescent="0.2">
      <c r="A362" s="28">
        <v>1434</v>
      </c>
      <c r="B362" s="9" t="s">
        <v>454</v>
      </c>
      <c r="C362" s="9" t="s">
        <v>455</v>
      </c>
      <c r="D362" s="9" t="s">
        <v>121</v>
      </c>
      <c r="E362" s="9" t="s">
        <v>186</v>
      </c>
      <c r="F362" s="9" t="s">
        <v>125</v>
      </c>
      <c r="G362" s="225" t="s">
        <v>405</v>
      </c>
      <c r="H362" s="9" t="s">
        <v>806</v>
      </c>
      <c r="I362" s="55">
        <f>COUNTIF('LOGBOOK VIEWER'!$B$7:$B$10600,$A362)</f>
        <v>0</v>
      </c>
      <c r="J362" s="10">
        <v>0.1</v>
      </c>
      <c r="K362" s="10">
        <f>I362*J362</f>
        <v>0</v>
      </c>
    </row>
    <row r="363" spans="1:11" ht="42.75" x14ac:dyDescent="0.2">
      <c r="A363" s="28">
        <v>1435</v>
      </c>
      <c r="B363" s="9" t="s">
        <v>456</v>
      </c>
      <c r="C363" s="9" t="s">
        <v>457</v>
      </c>
      <c r="D363" s="9" t="s">
        <v>121</v>
      </c>
      <c r="E363" s="9" t="s">
        <v>186</v>
      </c>
      <c r="F363" s="9" t="s">
        <v>125</v>
      </c>
      <c r="G363" s="225" t="s">
        <v>405</v>
      </c>
      <c r="H363" s="9" t="s">
        <v>806</v>
      </c>
      <c r="I363" s="55">
        <f>COUNTIF('LOGBOOK VIEWER'!$B$7:$B$10600,$A363)</f>
        <v>0</v>
      </c>
      <c r="J363" s="10">
        <v>0.1</v>
      </c>
      <c r="K363" s="10">
        <f>I363*J363</f>
        <v>0</v>
      </c>
    </row>
    <row r="364" spans="1:11" ht="42.75" x14ac:dyDescent="0.2">
      <c r="A364" s="28">
        <v>1436</v>
      </c>
      <c r="B364" s="9" t="s">
        <v>458</v>
      </c>
      <c r="C364" s="9" t="s">
        <v>190</v>
      </c>
      <c r="D364" s="9" t="s">
        <v>121</v>
      </c>
      <c r="E364" s="9" t="s">
        <v>186</v>
      </c>
      <c r="F364" s="9" t="s">
        <v>125</v>
      </c>
      <c r="G364" s="225" t="s">
        <v>405</v>
      </c>
      <c r="H364" s="9" t="s">
        <v>806</v>
      </c>
      <c r="I364" s="55">
        <f>COUNTIF('LOGBOOK VIEWER'!$B$7:$B$10600,$A364)</f>
        <v>0</v>
      </c>
      <c r="J364" s="10">
        <v>0.1</v>
      </c>
      <c r="K364" s="10">
        <f>I364*J364</f>
        <v>0</v>
      </c>
    </row>
    <row r="365" spans="1:11" ht="42.75" x14ac:dyDescent="0.2">
      <c r="A365" s="28">
        <v>1437</v>
      </c>
      <c r="B365" s="9" t="s">
        <v>459</v>
      </c>
      <c r="C365" s="9" t="s">
        <v>460</v>
      </c>
      <c r="D365" s="9" t="s">
        <v>121</v>
      </c>
      <c r="E365" s="9" t="s">
        <v>186</v>
      </c>
      <c r="F365" s="9" t="s">
        <v>125</v>
      </c>
      <c r="G365" s="225" t="s">
        <v>405</v>
      </c>
      <c r="H365" s="9" t="s">
        <v>806</v>
      </c>
      <c r="I365" s="55">
        <f>COUNTIF('LOGBOOK VIEWER'!$B$7:$B$10600,$A365)</f>
        <v>0</v>
      </c>
      <c r="J365" s="10">
        <v>0.1</v>
      </c>
      <c r="K365" s="10">
        <f>I365*J365</f>
        <v>0</v>
      </c>
    </row>
    <row r="366" spans="1:11" ht="57" x14ac:dyDescent="0.2">
      <c r="A366" s="28">
        <v>1438</v>
      </c>
      <c r="B366" s="9" t="s">
        <v>461</v>
      </c>
      <c r="C366" s="9" t="s">
        <v>462</v>
      </c>
      <c r="D366" s="9" t="s">
        <v>121</v>
      </c>
      <c r="E366" s="9" t="s">
        <v>186</v>
      </c>
      <c r="F366" s="9" t="s">
        <v>125</v>
      </c>
      <c r="G366" s="225" t="s">
        <v>405</v>
      </c>
      <c r="H366" s="9" t="s">
        <v>806</v>
      </c>
      <c r="I366" s="55">
        <f>COUNTIF('LOGBOOK VIEWER'!$B$7:$B$10600,$A366)</f>
        <v>0</v>
      </c>
      <c r="J366" s="10">
        <v>0.1</v>
      </c>
      <c r="K366" s="10">
        <f>I366*J366</f>
        <v>0</v>
      </c>
    </row>
    <row r="367" spans="1:11" ht="28.5" x14ac:dyDescent="0.2">
      <c r="A367" s="28">
        <v>1439</v>
      </c>
      <c r="B367" s="9" t="s">
        <v>921</v>
      </c>
      <c r="C367" s="9" t="s">
        <v>922</v>
      </c>
      <c r="D367" s="9" t="s">
        <v>821</v>
      </c>
      <c r="E367" s="9" t="s">
        <v>837</v>
      </c>
      <c r="F367" s="9" t="s">
        <v>125</v>
      </c>
      <c r="G367" s="225" t="s">
        <v>412</v>
      </c>
      <c r="H367" s="9" t="s">
        <v>426</v>
      </c>
      <c r="I367" s="55">
        <f>COUNTIF('LOGBOOK VIEWER'!$B$7:$B$10600,$A367)</f>
        <v>0</v>
      </c>
      <c r="J367" s="10">
        <v>0.5</v>
      </c>
      <c r="K367" s="10">
        <f>I367*J367</f>
        <v>0</v>
      </c>
    </row>
    <row r="368" spans="1:11" ht="42.75" x14ac:dyDescent="0.2">
      <c r="A368" s="28">
        <v>1440</v>
      </c>
      <c r="B368" s="9" t="s">
        <v>923</v>
      </c>
      <c r="C368" s="9" t="s">
        <v>924</v>
      </c>
      <c r="D368" s="9" t="s">
        <v>121</v>
      </c>
      <c r="E368" s="9" t="s">
        <v>186</v>
      </c>
      <c r="F368" s="9" t="s">
        <v>125</v>
      </c>
      <c r="G368" s="225" t="s">
        <v>405</v>
      </c>
      <c r="H368" s="9" t="s">
        <v>953</v>
      </c>
      <c r="I368" s="55">
        <f>COUNTIF('LOGBOOK VIEWER'!$B$7:$B$10600,$A368)</f>
        <v>0</v>
      </c>
      <c r="J368" s="10">
        <v>1</v>
      </c>
      <c r="K368" s="10">
        <f>I368*J368</f>
        <v>0</v>
      </c>
    </row>
    <row r="369" spans="1:11" x14ac:dyDescent="0.2">
      <c r="A369" s="28">
        <v>2000</v>
      </c>
      <c r="B369" s="9" t="s">
        <v>777</v>
      </c>
      <c r="C369" s="9" t="s">
        <v>778</v>
      </c>
      <c r="D369" s="9" t="s">
        <v>4</v>
      </c>
      <c r="E369" s="9" t="s">
        <v>14</v>
      </c>
      <c r="F369" s="9" t="s">
        <v>125</v>
      </c>
      <c r="G369" s="225" t="s">
        <v>809</v>
      </c>
      <c r="H369" s="9" t="s">
        <v>831</v>
      </c>
      <c r="I369" s="55">
        <f>COUNTIF('LOGBOOK VIEWER'!$B$7:$B$10600,$A369)</f>
        <v>2</v>
      </c>
      <c r="J369" s="10">
        <v>0</v>
      </c>
      <c r="K369" s="10">
        <f>I369*J369</f>
        <v>0</v>
      </c>
    </row>
    <row r="370" spans="1:11" ht="28.5" x14ac:dyDescent="0.2">
      <c r="A370" s="28">
        <v>2005</v>
      </c>
      <c r="B370" s="9" t="s">
        <v>779</v>
      </c>
      <c r="C370" s="9" t="s">
        <v>780</v>
      </c>
      <c r="D370" s="9" t="s">
        <v>4</v>
      </c>
      <c r="E370" s="9" t="s">
        <v>18</v>
      </c>
      <c r="F370" s="9" t="s">
        <v>125</v>
      </c>
      <c r="G370" s="225" t="s">
        <v>809</v>
      </c>
      <c r="H370" s="9" t="s">
        <v>831</v>
      </c>
      <c r="I370" s="55">
        <f>COUNTIF('LOGBOOK VIEWER'!$B$7:$B$10600,$A370)</f>
        <v>2</v>
      </c>
      <c r="J370" s="10">
        <v>0</v>
      </c>
      <c r="K370" s="10">
        <f>I370*J370</f>
        <v>0</v>
      </c>
    </row>
    <row r="371" spans="1:11" ht="57" x14ac:dyDescent="0.2">
      <c r="A371" s="28">
        <v>2006</v>
      </c>
      <c r="B371" s="9" t="s">
        <v>647</v>
      </c>
      <c r="C371" s="9" t="s">
        <v>647</v>
      </c>
      <c r="D371" s="9" t="s">
        <v>4</v>
      </c>
      <c r="E371" s="9" t="s">
        <v>18</v>
      </c>
      <c r="F371" s="9" t="s">
        <v>125</v>
      </c>
      <c r="G371" s="225" t="s">
        <v>405</v>
      </c>
      <c r="H371" s="9" t="s">
        <v>648</v>
      </c>
      <c r="I371" s="55">
        <f>COUNTIF('LOGBOOK VIEWER'!$B$7:$B$10600,$A371)</f>
        <v>0</v>
      </c>
      <c r="J371" s="10">
        <v>1</v>
      </c>
      <c r="K371" s="10">
        <f>I371*J371</f>
        <v>0</v>
      </c>
    </row>
    <row r="372" spans="1:11" ht="28.5" x14ac:dyDescent="0.2">
      <c r="A372" s="28">
        <v>2010</v>
      </c>
      <c r="B372" s="9" t="s">
        <v>781</v>
      </c>
      <c r="C372" s="9" t="s">
        <v>782</v>
      </c>
      <c r="D372" s="9" t="s">
        <v>863</v>
      </c>
      <c r="E372" s="9" t="s">
        <v>319</v>
      </c>
      <c r="F372" s="9" t="s">
        <v>125</v>
      </c>
      <c r="G372" s="225" t="s">
        <v>809</v>
      </c>
      <c r="H372" s="9" t="s">
        <v>831</v>
      </c>
      <c r="I372" s="55">
        <f>COUNTIF('LOGBOOK VIEWER'!$B$7:$B$10600,$A372)</f>
        <v>2</v>
      </c>
      <c r="J372" s="10">
        <v>0</v>
      </c>
      <c r="K372" s="10">
        <f>I372*J372</f>
        <v>0</v>
      </c>
    </row>
    <row r="373" spans="1:11" x14ac:dyDescent="0.2">
      <c r="A373" s="28">
        <v>2015</v>
      </c>
      <c r="B373" s="9" t="s">
        <v>783</v>
      </c>
      <c r="C373" s="9" t="s">
        <v>784</v>
      </c>
      <c r="D373" s="9" t="s">
        <v>4</v>
      </c>
      <c r="E373" s="9" t="s">
        <v>5</v>
      </c>
      <c r="F373" s="9" t="s">
        <v>125</v>
      </c>
      <c r="G373" s="225" t="s">
        <v>809</v>
      </c>
      <c r="H373" s="9" t="s">
        <v>831</v>
      </c>
      <c r="I373" s="55">
        <f>COUNTIF('LOGBOOK VIEWER'!$B$7:$B$10600,$A373)</f>
        <v>1</v>
      </c>
      <c r="J373" s="10">
        <v>0</v>
      </c>
      <c r="K373" s="10">
        <f>I373*J373</f>
        <v>0</v>
      </c>
    </row>
    <row r="374" spans="1:11" ht="28.5" x14ac:dyDescent="0.2">
      <c r="A374" s="28">
        <v>2020</v>
      </c>
      <c r="B374" s="9" t="s">
        <v>785</v>
      </c>
      <c r="C374" s="9" t="s">
        <v>786</v>
      </c>
      <c r="D374" s="9" t="s">
        <v>860</v>
      </c>
      <c r="E374" s="9" t="s">
        <v>40</v>
      </c>
      <c r="F374" s="9" t="s">
        <v>125</v>
      </c>
      <c r="G374" s="225" t="s">
        <v>809</v>
      </c>
      <c r="H374" s="9" t="s">
        <v>831</v>
      </c>
      <c r="I374" s="55">
        <f>COUNTIF('LOGBOOK VIEWER'!$B$7:$B$10600,$A374)</f>
        <v>0</v>
      </c>
      <c r="J374" s="10">
        <v>0</v>
      </c>
      <c r="K374" s="10">
        <f>I374*J374</f>
        <v>0</v>
      </c>
    </row>
    <row r="375" spans="1:11" ht="28.5" x14ac:dyDescent="0.2">
      <c r="A375" s="28">
        <v>2025</v>
      </c>
      <c r="B375" s="9" t="s">
        <v>787</v>
      </c>
      <c r="C375" s="9" t="s">
        <v>789</v>
      </c>
      <c r="D375" s="9" t="s">
        <v>860</v>
      </c>
      <c r="E375" s="9" t="s">
        <v>30</v>
      </c>
      <c r="F375" s="9" t="s">
        <v>125</v>
      </c>
      <c r="G375" s="225" t="s">
        <v>809</v>
      </c>
      <c r="H375" s="9" t="s">
        <v>831</v>
      </c>
      <c r="I375" s="55">
        <f>COUNTIF('LOGBOOK VIEWER'!$B$7:$B$10600,$A375)</f>
        <v>6</v>
      </c>
      <c r="J375" s="10">
        <v>0</v>
      </c>
      <c r="K375" s="10">
        <f>I375*J375</f>
        <v>0</v>
      </c>
    </row>
    <row r="376" spans="1:11" ht="28.5" x14ac:dyDescent="0.2">
      <c r="A376" s="28">
        <v>2030</v>
      </c>
      <c r="B376" s="9" t="s">
        <v>790</v>
      </c>
      <c r="C376" s="9" t="s">
        <v>791</v>
      </c>
      <c r="D376" s="9" t="s">
        <v>860</v>
      </c>
      <c r="E376" s="9" t="s">
        <v>30</v>
      </c>
      <c r="F376" s="9" t="s">
        <v>125</v>
      </c>
      <c r="G376" s="225" t="s">
        <v>809</v>
      </c>
      <c r="H376" s="9" t="s">
        <v>831</v>
      </c>
      <c r="I376" s="55">
        <f>COUNTIF('LOGBOOK VIEWER'!$B$7:$B$10600,$A376)</f>
        <v>1</v>
      </c>
      <c r="J376" s="10">
        <v>0</v>
      </c>
      <c r="K376" s="10">
        <f>I376*J376</f>
        <v>0</v>
      </c>
    </row>
    <row r="377" spans="1:11" ht="28.5" x14ac:dyDescent="0.2">
      <c r="A377" s="28">
        <v>2035</v>
      </c>
      <c r="B377" s="9" t="s">
        <v>792</v>
      </c>
      <c r="C377" s="9" t="s">
        <v>793</v>
      </c>
      <c r="D377" s="9" t="s">
        <v>860</v>
      </c>
      <c r="E377" s="9" t="s">
        <v>316</v>
      </c>
      <c r="F377" s="9" t="s">
        <v>125</v>
      </c>
      <c r="G377" s="225" t="s">
        <v>405</v>
      </c>
      <c r="H377" s="9" t="s">
        <v>536</v>
      </c>
      <c r="I377" s="55">
        <f>COUNTIF('LOGBOOK VIEWER'!$B$7:$B$10600,$A377)</f>
        <v>0</v>
      </c>
      <c r="J377" s="10">
        <v>1</v>
      </c>
      <c r="K377" s="10">
        <f>I377*J377</f>
        <v>0</v>
      </c>
    </row>
    <row r="378" spans="1:11" ht="28.5" x14ac:dyDescent="0.2">
      <c r="A378" s="28">
        <v>2040</v>
      </c>
      <c r="B378" s="9" t="s">
        <v>794</v>
      </c>
      <c r="C378" s="9" t="s">
        <v>795</v>
      </c>
      <c r="D378" s="9" t="s">
        <v>860</v>
      </c>
      <c r="E378" s="9" t="s">
        <v>316</v>
      </c>
      <c r="F378" s="9" t="s">
        <v>125</v>
      </c>
      <c r="G378" s="225" t="s">
        <v>405</v>
      </c>
      <c r="H378" s="9" t="s">
        <v>536</v>
      </c>
      <c r="I378" s="55">
        <f>COUNTIF('LOGBOOK VIEWER'!$B$7:$B$10600,$A378)</f>
        <v>0</v>
      </c>
      <c r="J378" s="10">
        <v>1</v>
      </c>
      <c r="K378" s="10">
        <f>I378*J378</f>
        <v>0</v>
      </c>
    </row>
    <row r="379" spans="1:11" ht="28.5" x14ac:dyDescent="0.2">
      <c r="A379" s="28">
        <v>2045</v>
      </c>
      <c r="B379" s="9" t="s">
        <v>796</v>
      </c>
      <c r="C379" s="9" t="s">
        <v>797</v>
      </c>
      <c r="D379" s="9" t="s">
        <v>860</v>
      </c>
      <c r="E379" s="9" t="s">
        <v>316</v>
      </c>
      <c r="F379" s="9" t="s">
        <v>125</v>
      </c>
      <c r="G379" s="225" t="s">
        <v>405</v>
      </c>
      <c r="H379" s="9" t="s">
        <v>536</v>
      </c>
      <c r="I379" s="55">
        <f>COUNTIF('LOGBOOK VIEWER'!$B$7:$B$10600,$A379)</f>
        <v>0</v>
      </c>
      <c r="J379" s="10">
        <v>1</v>
      </c>
      <c r="K379" s="10">
        <f>I379*J379</f>
        <v>0</v>
      </c>
    </row>
    <row r="380" spans="1:11" ht="71.25" x14ac:dyDescent="0.2">
      <c r="A380" s="28">
        <v>2046</v>
      </c>
      <c r="B380" s="9" t="s">
        <v>649</v>
      </c>
      <c r="C380" s="9" t="s">
        <v>650</v>
      </c>
      <c r="D380" s="9" t="s">
        <v>4</v>
      </c>
      <c r="E380" s="9" t="s">
        <v>5</v>
      </c>
      <c r="F380" s="9" t="s">
        <v>125</v>
      </c>
      <c r="G380" s="225" t="s">
        <v>412</v>
      </c>
      <c r="H380" s="9" t="s">
        <v>651</v>
      </c>
      <c r="I380" s="55">
        <f>COUNTIF('LOGBOOK VIEWER'!$B$7:$B$10600,$A380)</f>
        <v>0</v>
      </c>
      <c r="J380" s="10">
        <v>0.5</v>
      </c>
      <c r="K380" s="10">
        <f>I380*J380</f>
        <v>0</v>
      </c>
    </row>
    <row r="381" spans="1:11" ht="42.75" x14ac:dyDescent="0.2">
      <c r="A381" s="28">
        <v>2055</v>
      </c>
      <c r="B381" s="9" t="s">
        <v>798</v>
      </c>
      <c r="C381" s="9" t="s">
        <v>800</v>
      </c>
      <c r="D381" s="9" t="s">
        <v>121</v>
      </c>
      <c r="E381" s="9" t="s">
        <v>122</v>
      </c>
      <c r="F381" s="9" t="s">
        <v>125</v>
      </c>
      <c r="G381" s="225" t="s">
        <v>809</v>
      </c>
      <c r="H381" s="9" t="s">
        <v>831</v>
      </c>
      <c r="I381" s="55">
        <f>COUNTIF('LOGBOOK VIEWER'!$B$7:$B$10600,$A381)</f>
        <v>3</v>
      </c>
      <c r="J381" s="10">
        <v>0</v>
      </c>
      <c r="K381" s="10">
        <f>I381*J381</f>
        <v>0</v>
      </c>
    </row>
    <row r="382" spans="1:11" ht="28.5" x14ac:dyDescent="0.2">
      <c r="A382" s="28">
        <v>2074</v>
      </c>
      <c r="B382" s="9" t="s">
        <v>463</v>
      </c>
      <c r="C382" s="9" t="s">
        <v>464</v>
      </c>
      <c r="D382" s="9" t="s">
        <v>121</v>
      </c>
      <c r="E382" s="9" t="s">
        <v>122</v>
      </c>
      <c r="F382" s="9" t="s">
        <v>125</v>
      </c>
      <c r="G382" s="225" t="s">
        <v>809</v>
      </c>
      <c r="H382" s="9" t="s">
        <v>831</v>
      </c>
      <c r="I382" s="55">
        <f>COUNTIF('LOGBOOK VIEWER'!$B$7:$B$10600,$A382)</f>
        <v>0</v>
      </c>
      <c r="J382" s="10">
        <v>0</v>
      </c>
      <c r="K382" s="10">
        <f>I382*J382</f>
        <v>0</v>
      </c>
    </row>
    <row r="383" spans="1:11" ht="42.75" x14ac:dyDescent="0.2">
      <c r="A383" s="28">
        <v>2075</v>
      </c>
      <c r="B383" s="9" t="s">
        <v>801</v>
      </c>
      <c r="C383" s="9" t="s">
        <v>802</v>
      </c>
      <c r="D383" s="9" t="s">
        <v>121</v>
      </c>
      <c r="E383" s="9" t="s">
        <v>122</v>
      </c>
      <c r="F383" s="9" t="s">
        <v>125</v>
      </c>
      <c r="G383" s="225" t="s">
        <v>405</v>
      </c>
      <c r="H383" s="9" t="s">
        <v>426</v>
      </c>
      <c r="I383" s="55">
        <f>COUNTIF('LOGBOOK VIEWER'!$B$7:$B$10600,$A383)</f>
        <v>0</v>
      </c>
      <c r="J383" s="10">
        <v>0.1</v>
      </c>
      <c r="K383" s="10">
        <f>I383*J383</f>
        <v>0</v>
      </c>
    </row>
    <row r="384" spans="1:11" ht="71.25" x14ac:dyDescent="0.2">
      <c r="A384" s="28">
        <v>2076</v>
      </c>
      <c r="B384" s="9" t="s">
        <v>652</v>
      </c>
      <c r="C384" s="9" t="s">
        <v>653</v>
      </c>
      <c r="D384" s="9" t="s">
        <v>4</v>
      </c>
      <c r="E384" s="9" t="s">
        <v>5</v>
      </c>
      <c r="F384" s="9" t="s">
        <v>125</v>
      </c>
      <c r="G384" s="225" t="s">
        <v>412</v>
      </c>
      <c r="H384" s="9" t="s">
        <v>651</v>
      </c>
      <c r="I384" s="55">
        <f>COUNTIF('LOGBOOK VIEWER'!$B$7:$B$10600,$A384)</f>
        <v>6</v>
      </c>
      <c r="J384" s="10">
        <v>0.5</v>
      </c>
      <c r="K384" s="10">
        <f>I384*J384</f>
        <v>3</v>
      </c>
    </row>
    <row r="385" spans="1:11" ht="28.5" x14ac:dyDescent="0.2">
      <c r="A385" s="28">
        <v>2077</v>
      </c>
      <c r="B385" s="9" t="s">
        <v>465</v>
      </c>
      <c r="C385" s="9" t="s">
        <v>466</v>
      </c>
      <c r="D385" s="9" t="s">
        <v>121</v>
      </c>
      <c r="E385" s="9" t="s">
        <v>122</v>
      </c>
      <c r="F385" s="9" t="s">
        <v>125</v>
      </c>
      <c r="G385" s="225" t="s">
        <v>809</v>
      </c>
      <c r="H385" s="9" t="s">
        <v>831</v>
      </c>
      <c r="I385" s="55">
        <f>COUNTIF('LOGBOOK VIEWER'!$B$7:$B$10600,$A385)</f>
        <v>0</v>
      </c>
      <c r="J385" s="10">
        <v>0</v>
      </c>
      <c r="K385" s="10">
        <f>I385*J385</f>
        <v>0</v>
      </c>
    </row>
    <row r="386" spans="1:11" ht="42.75" x14ac:dyDescent="0.2">
      <c r="A386" s="28">
        <v>2080</v>
      </c>
      <c r="B386" s="9" t="s">
        <v>803</v>
      </c>
      <c r="C386" s="9" t="s">
        <v>218</v>
      </c>
      <c r="D386" s="9" t="s">
        <v>404</v>
      </c>
      <c r="E386" s="9" t="s">
        <v>404</v>
      </c>
      <c r="F386" s="9" t="s">
        <v>125</v>
      </c>
      <c r="G386" s="225" t="s">
        <v>405</v>
      </c>
      <c r="H386" s="9" t="s">
        <v>406</v>
      </c>
      <c r="I386" s="55">
        <f>COUNTIF('LOGBOOK VIEWER'!$B$7:$B$10600,$A386)</f>
        <v>0</v>
      </c>
      <c r="J386" s="10">
        <v>1</v>
      </c>
      <c r="K386" s="10">
        <f>I386*J386</f>
        <v>0</v>
      </c>
    </row>
    <row r="387" spans="1:11" ht="42.75" x14ac:dyDescent="0.2">
      <c r="A387" s="28">
        <v>2081</v>
      </c>
      <c r="B387" s="9" t="s">
        <v>219</v>
      </c>
      <c r="C387" s="9" t="s">
        <v>220</v>
      </c>
      <c r="D387" s="9" t="s">
        <v>863</v>
      </c>
      <c r="E387" s="9" t="s">
        <v>319</v>
      </c>
      <c r="F387" s="9" t="s">
        <v>125</v>
      </c>
      <c r="G387" s="225" t="s">
        <v>809</v>
      </c>
      <c r="H387" s="9" t="s">
        <v>831</v>
      </c>
      <c r="I387" s="55">
        <f>COUNTIF('LOGBOOK VIEWER'!$B$7:$B$10600,$A387)</f>
        <v>0</v>
      </c>
      <c r="J387" s="10">
        <v>0</v>
      </c>
      <c r="K387" s="10">
        <f>I387*J387</f>
        <v>0</v>
      </c>
    </row>
    <row r="388" spans="1:11" ht="42.75" x14ac:dyDescent="0.2">
      <c r="A388" s="28">
        <v>2082</v>
      </c>
      <c r="B388" s="9" t="s">
        <v>221</v>
      </c>
      <c r="C388" s="9" t="s">
        <v>678</v>
      </c>
      <c r="D388" s="9" t="s">
        <v>828</v>
      </c>
      <c r="E388" s="9" t="s">
        <v>829</v>
      </c>
      <c r="F388" s="9" t="s">
        <v>125</v>
      </c>
      <c r="G388" s="225" t="s">
        <v>405</v>
      </c>
      <c r="H388" s="9" t="s">
        <v>428</v>
      </c>
      <c r="I388" s="55">
        <f>COUNTIF('LOGBOOK VIEWER'!$B$7:$B$10600,$A388)</f>
        <v>0</v>
      </c>
      <c r="J388" s="10">
        <v>1</v>
      </c>
      <c r="K388" s="10">
        <f>I388*J388</f>
        <v>0</v>
      </c>
    </row>
    <row r="389" spans="1:11" ht="28.5" x14ac:dyDescent="0.2">
      <c r="A389" s="28">
        <v>2083</v>
      </c>
      <c r="B389" s="9" t="s">
        <v>679</v>
      </c>
      <c r="C389" s="9" t="s">
        <v>680</v>
      </c>
      <c r="D389" s="9" t="s">
        <v>121</v>
      </c>
      <c r="E389" s="9" t="s">
        <v>122</v>
      </c>
      <c r="F389" s="9" t="s">
        <v>125</v>
      </c>
      <c r="G389" s="225" t="s">
        <v>809</v>
      </c>
      <c r="H389" s="9" t="s">
        <v>831</v>
      </c>
      <c r="I389" s="55">
        <f>COUNTIF('LOGBOOK VIEWER'!$B$7:$B$10600,$A389)</f>
        <v>28</v>
      </c>
      <c r="J389" s="10">
        <v>0</v>
      </c>
      <c r="K389" s="10">
        <f>I389*J389</f>
        <v>0</v>
      </c>
    </row>
    <row r="390" spans="1:11" ht="71.25" x14ac:dyDescent="0.2">
      <c r="A390" s="28">
        <v>2084</v>
      </c>
      <c r="B390" s="9" t="s">
        <v>681</v>
      </c>
      <c r="C390" s="9" t="s">
        <v>682</v>
      </c>
      <c r="D390" s="9" t="s">
        <v>828</v>
      </c>
      <c r="E390" s="9" t="s">
        <v>829</v>
      </c>
      <c r="F390" s="9" t="s">
        <v>125</v>
      </c>
      <c r="G390" s="225" t="s">
        <v>412</v>
      </c>
      <c r="H390" s="9" t="s">
        <v>831</v>
      </c>
      <c r="I390" s="55">
        <f>COUNTIF('LOGBOOK VIEWER'!$B$7:$B$10600,$A390)</f>
        <v>0</v>
      </c>
      <c r="J390" s="10">
        <v>0.5</v>
      </c>
      <c r="K390" s="10">
        <f>I390*J390</f>
        <v>0</v>
      </c>
    </row>
    <row r="391" spans="1:11" ht="57" x14ac:dyDescent="0.2">
      <c r="A391" s="28">
        <v>2085</v>
      </c>
      <c r="B391" s="9" t="s">
        <v>683</v>
      </c>
      <c r="C391" s="9" t="s">
        <v>229</v>
      </c>
      <c r="D391" s="9" t="s">
        <v>828</v>
      </c>
      <c r="E391" s="9" t="s">
        <v>829</v>
      </c>
      <c r="F391" s="9" t="s">
        <v>125</v>
      </c>
      <c r="G391" s="225" t="s">
        <v>405</v>
      </c>
      <c r="H391" s="9" t="s">
        <v>428</v>
      </c>
      <c r="I391" s="55">
        <f>COUNTIF('LOGBOOK VIEWER'!$B$7:$B$10600,$A391)</f>
        <v>0</v>
      </c>
      <c r="J391" s="10">
        <v>1</v>
      </c>
      <c r="K391" s="10">
        <f>I391*J391</f>
        <v>0</v>
      </c>
    </row>
    <row r="392" spans="1:11" ht="42.75" x14ac:dyDescent="0.2">
      <c r="A392" s="28">
        <v>2086</v>
      </c>
      <c r="B392" s="9" t="s">
        <v>230</v>
      </c>
      <c r="C392" s="9" t="s">
        <v>231</v>
      </c>
      <c r="D392" s="9" t="s">
        <v>234</v>
      </c>
      <c r="E392" s="9" t="s">
        <v>235</v>
      </c>
      <c r="F392" s="9" t="s">
        <v>125</v>
      </c>
      <c r="G392" s="225" t="s">
        <v>809</v>
      </c>
      <c r="H392" s="9" t="s">
        <v>831</v>
      </c>
      <c r="I392" s="55">
        <f>COUNTIF('LOGBOOK VIEWER'!$B$7:$B$10600,$A392)</f>
        <v>1</v>
      </c>
      <c r="J392" s="10">
        <v>0</v>
      </c>
      <c r="K392" s="10">
        <f>I392*J392</f>
        <v>0</v>
      </c>
    </row>
    <row r="393" spans="1:11" ht="28.5" x14ac:dyDescent="0.2">
      <c r="A393" s="28">
        <v>2087</v>
      </c>
      <c r="B393" s="9" t="s">
        <v>236</v>
      </c>
      <c r="C393" s="9" t="s">
        <v>237</v>
      </c>
      <c r="D393" s="9" t="s">
        <v>404</v>
      </c>
      <c r="E393" s="9" t="s">
        <v>404</v>
      </c>
      <c r="F393" s="9" t="s">
        <v>126</v>
      </c>
      <c r="G393" s="225" t="s">
        <v>412</v>
      </c>
      <c r="H393" s="9" t="s">
        <v>831</v>
      </c>
      <c r="I393" s="55">
        <f>COUNTIF('LOGBOOK VIEWER'!$B$7:$B$10600,$A393)</f>
        <v>0</v>
      </c>
      <c r="J393" s="10">
        <v>0.5</v>
      </c>
      <c r="K393" s="10">
        <f>I393*J393</f>
        <v>0</v>
      </c>
    </row>
    <row r="394" spans="1:11" x14ac:dyDescent="0.2">
      <c r="A394" s="28">
        <v>2091</v>
      </c>
      <c r="B394" s="9" t="s">
        <v>238</v>
      </c>
      <c r="C394" s="9" t="s">
        <v>238</v>
      </c>
      <c r="D394" s="9" t="s">
        <v>821</v>
      </c>
      <c r="E394" s="9" t="s">
        <v>27</v>
      </c>
      <c r="F394" s="9" t="s">
        <v>125</v>
      </c>
      <c r="G394" s="225" t="s">
        <v>405</v>
      </c>
      <c r="H394" s="9" t="s">
        <v>426</v>
      </c>
      <c r="I394" s="55">
        <f>COUNTIF('LOGBOOK VIEWER'!$B$7:$B$10600,$A394)</f>
        <v>0</v>
      </c>
      <c r="J394" s="10">
        <v>1</v>
      </c>
      <c r="K394" s="10">
        <f>I394*J394</f>
        <v>0</v>
      </c>
    </row>
    <row r="395" spans="1:11" ht="28.5" x14ac:dyDescent="0.2">
      <c r="A395" s="28">
        <v>2092</v>
      </c>
      <c r="B395" s="9" t="s">
        <v>697</v>
      </c>
      <c r="C395" s="9" t="s">
        <v>697</v>
      </c>
      <c r="D395" s="9" t="s">
        <v>4</v>
      </c>
      <c r="E395" s="9" t="s">
        <v>24</v>
      </c>
      <c r="F395" s="9" t="s">
        <v>125</v>
      </c>
      <c r="G395" s="225" t="s">
        <v>412</v>
      </c>
      <c r="H395" s="9" t="s">
        <v>831</v>
      </c>
      <c r="I395" s="55">
        <f>COUNTIF('LOGBOOK VIEWER'!$B$7:$B$10600,$A395)</f>
        <v>0</v>
      </c>
      <c r="J395" s="10">
        <v>0.5</v>
      </c>
      <c r="K395" s="10">
        <f>I395*J395</f>
        <v>0</v>
      </c>
    </row>
    <row r="396" spans="1:11" ht="28.5" x14ac:dyDescent="0.2">
      <c r="A396" s="28">
        <v>2093</v>
      </c>
      <c r="B396" s="9" t="s">
        <v>925</v>
      </c>
      <c r="C396" s="9" t="s">
        <v>926</v>
      </c>
      <c r="D396" s="9" t="s">
        <v>404</v>
      </c>
      <c r="E396" s="9" t="s">
        <v>404</v>
      </c>
      <c r="F396" s="9" t="s">
        <v>125</v>
      </c>
      <c r="G396" s="225" t="s">
        <v>412</v>
      </c>
      <c r="H396" s="9" t="s">
        <v>831</v>
      </c>
      <c r="I396" s="55">
        <f>COUNTIF('LOGBOOK VIEWER'!$B$7:$B$10600,$A396)</f>
        <v>0</v>
      </c>
      <c r="J396" s="10">
        <v>0.5</v>
      </c>
      <c r="K396" s="10">
        <f>I396*J396</f>
        <v>0</v>
      </c>
    </row>
    <row r="397" spans="1:11" ht="99.75" x14ac:dyDescent="0.2">
      <c r="A397" s="28">
        <v>2094</v>
      </c>
      <c r="B397" s="9" t="s">
        <v>927</v>
      </c>
      <c r="C397" s="9" t="s">
        <v>928</v>
      </c>
      <c r="D397" s="9" t="s">
        <v>404</v>
      </c>
      <c r="E397" s="9" t="s">
        <v>404</v>
      </c>
      <c r="F397" s="9" t="s">
        <v>125</v>
      </c>
      <c r="G397" s="225" t="s">
        <v>412</v>
      </c>
      <c r="H397" s="9" t="s">
        <v>831</v>
      </c>
      <c r="I397" s="55">
        <f>COUNTIF('LOGBOOK VIEWER'!$B$7:$B$10600,$A397)</f>
        <v>0</v>
      </c>
      <c r="J397" s="10">
        <v>0.5</v>
      </c>
      <c r="K397" s="10">
        <f>I397*J397</f>
        <v>0</v>
      </c>
    </row>
    <row r="398" spans="1:11" ht="28.5" x14ac:dyDescent="0.2">
      <c r="A398" s="28">
        <v>3001</v>
      </c>
      <c r="B398" s="9" t="s">
        <v>698</v>
      </c>
      <c r="C398" s="9" t="s">
        <v>699</v>
      </c>
      <c r="D398" s="9" t="s">
        <v>121</v>
      </c>
      <c r="E398" s="9" t="s">
        <v>122</v>
      </c>
      <c r="F398" s="9" t="s">
        <v>126</v>
      </c>
      <c r="G398" s="225" t="s">
        <v>809</v>
      </c>
      <c r="H398" s="9" t="s">
        <v>831</v>
      </c>
      <c r="I398" s="55">
        <f>COUNTIF('LOGBOOK VIEWER'!$B$7:$B$10600,$A398)</f>
        <v>117</v>
      </c>
      <c r="J398" s="10">
        <v>0</v>
      </c>
      <c r="K398" s="10">
        <f>I398*J398</f>
        <v>0</v>
      </c>
    </row>
    <row r="399" spans="1:11" ht="28.5" x14ac:dyDescent="0.2">
      <c r="A399" s="28">
        <v>3002</v>
      </c>
      <c r="B399" s="9" t="s">
        <v>700</v>
      </c>
      <c r="C399" s="9" t="s">
        <v>701</v>
      </c>
      <c r="D399" s="9" t="s">
        <v>234</v>
      </c>
      <c r="E399" s="9" t="s">
        <v>702</v>
      </c>
      <c r="F399" s="9" t="s">
        <v>126</v>
      </c>
      <c r="G399" s="225" t="s">
        <v>809</v>
      </c>
      <c r="H399" s="9" t="s">
        <v>831</v>
      </c>
      <c r="I399" s="55">
        <f>COUNTIF('LOGBOOK VIEWER'!$B$7:$B$10600,$A399)</f>
        <v>9</v>
      </c>
      <c r="J399" s="10">
        <v>0</v>
      </c>
      <c r="K399" s="10">
        <f>I399*J399</f>
        <v>0</v>
      </c>
    </row>
    <row r="400" spans="1:11" ht="42.75" x14ac:dyDescent="0.2">
      <c r="A400" s="28">
        <v>3003</v>
      </c>
      <c r="B400" s="9" t="s">
        <v>244</v>
      </c>
      <c r="C400" s="9" t="s">
        <v>245</v>
      </c>
      <c r="D400" s="9" t="s">
        <v>234</v>
      </c>
      <c r="E400" s="9" t="s">
        <v>702</v>
      </c>
      <c r="F400" s="9" t="s">
        <v>126</v>
      </c>
      <c r="G400" s="225" t="s">
        <v>809</v>
      </c>
      <c r="H400" s="9" t="s">
        <v>831</v>
      </c>
      <c r="I400" s="55">
        <f>COUNTIF('LOGBOOK VIEWER'!$B$7:$B$10600,$A400)</f>
        <v>0</v>
      </c>
      <c r="J400" s="10">
        <v>0</v>
      </c>
      <c r="K400" s="10">
        <f>I400*J400</f>
        <v>0</v>
      </c>
    </row>
    <row r="401" spans="1:11" ht="57" x14ac:dyDescent="0.2">
      <c r="A401" s="28">
        <v>3004</v>
      </c>
      <c r="B401" s="9" t="s">
        <v>246</v>
      </c>
      <c r="C401" s="9" t="s">
        <v>247</v>
      </c>
      <c r="D401" s="9" t="s">
        <v>234</v>
      </c>
      <c r="E401" s="9" t="s">
        <v>702</v>
      </c>
      <c r="F401" s="9" t="s">
        <v>125</v>
      </c>
      <c r="G401" s="225" t="s">
        <v>809</v>
      </c>
      <c r="H401" s="9" t="s">
        <v>831</v>
      </c>
      <c r="I401" s="55">
        <f>COUNTIF('LOGBOOK VIEWER'!$B$7:$B$10600,$A401)</f>
        <v>58</v>
      </c>
      <c r="J401" s="10">
        <v>0</v>
      </c>
      <c r="K401" s="10">
        <f>I401*J401</f>
        <v>0</v>
      </c>
    </row>
    <row r="402" spans="1:11" ht="57" x14ac:dyDescent="0.2">
      <c r="A402" s="28">
        <v>3005</v>
      </c>
      <c r="B402" s="9" t="s">
        <v>248</v>
      </c>
      <c r="C402" s="9" t="s">
        <v>249</v>
      </c>
      <c r="D402" s="9" t="s">
        <v>234</v>
      </c>
      <c r="E402" s="9" t="s">
        <v>702</v>
      </c>
      <c r="F402" s="9" t="s">
        <v>125</v>
      </c>
      <c r="G402" s="225" t="s">
        <v>809</v>
      </c>
      <c r="H402" s="9" t="s">
        <v>831</v>
      </c>
      <c r="I402" s="55">
        <f>COUNTIF('LOGBOOK VIEWER'!$B$7:$B$10600,$A402)</f>
        <v>0</v>
      </c>
      <c r="J402" s="10">
        <v>0</v>
      </c>
      <c r="K402" s="10">
        <f>I402*J402</f>
        <v>0</v>
      </c>
    </row>
    <row r="403" spans="1:11" ht="57" x14ac:dyDescent="0.2">
      <c r="A403" s="28">
        <v>3006</v>
      </c>
      <c r="B403" s="9" t="s">
        <v>250</v>
      </c>
      <c r="C403" s="9" t="s">
        <v>251</v>
      </c>
      <c r="D403" s="9" t="s">
        <v>234</v>
      </c>
      <c r="E403" s="9" t="s">
        <v>702</v>
      </c>
      <c r="F403" s="9" t="s">
        <v>126</v>
      </c>
      <c r="G403" s="225" t="s">
        <v>809</v>
      </c>
      <c r="H403" s="9" t="s">
        <v>831</v>
      </c>
      <c r="I403" s="55">
        <f>COUNTIF('LOGBOOK VIEWER'!$B$7:$B$10600,$A403)</f>
        <v>0</v>
      </c>
      <c r="J403" s="10">
        <v>0</v>
      </c>
      <c r="K403" s="10">
        <f>I403*J403</f>
        <v>0</v>
      </c>
    </row>
    <row r="404" spans="1:11" ht="71.25" x14ac:dyDescent="0.2">
      <c r="A404" s="28">
        <v>3007</v>
      </c>
      <c r="B404" s="9" t="s">
        <v>252</v>
      </c>
      <c r="C404" s="9" t="s">
        <v>253</v>
      </c>
      <c r="D404" s="9" t="s">
        <v>234</v>
      </c>
      <c r="E404" s="9" t="s">
        <v>702</v>
      </c>
      <c r="F404" s="9" t="s">
        <v>125</v>
      </c>
      <c r="G404" s="225" t="s">
        <v>809</v>
      </c>
      <c r="H404" s="9" t="s">
        <v>831</v>
      </c>
      <c r="I404" s="55">
        <f>COUNTIF('LOGBOOK VIEWER'!$B$7:$B$10600,$A404)</f>
        <v>2</v>
      </c>
      <c r="J404" s="10">
        <v>0</v>
      </c>
      <c r="K404" s="10">
        <f>I404*J404</f>
        <v>0</v>
      </c>
    </row>
    <row r="405" spans="1:11" ht="57" x14ac:dyDescent="0.2">
      <c r="A405" s="28">
        <v>3008</v>
      </c>
      <c r="B405" s="9" t="s">
        <v>254</v>
      </c>
      <c r="C405" s="9" t="s">
        <v>255</v>
      </c>
      <c r="D405" s="9" t="s">
        <v>234</v>
      </c>
      <c r="E405" s="9" t="s">
        <v>702</v>
      </c>
      <c r="F405" s="9" t="s">
        <v>831</v>
      </c>
      <c r="G405" s="225" t="s">
        <v>809</v>
      </c>
      <c r="H405" s="9" t="s">
        <v>831</v>
      </c>
      <c r="I405" s="55">
        <f>COUNTIF('LOGBOOK VIEWER'!$B$7:$B$10600,$A405)</f>
        <v>0</v>
      </c>
      <c r="J405" s="10">
        <v>0</v>
      </c>
      <c r="K405" s="10">
        <f>I405*J405</f>
        <v>0</v>
      </c>
    </row>
    <row r="406" spans="1:11" ht="57" x14ac:dyDescent="0.2">
      <c r="A406" s="28">
        <v>3009</v>
      </c>
      <c r="B406" s="9" t="s">
        <v>256</v>
      </c>
      <c r="C406" s="9" t="s">
        <v>257</v>
      </c>
      <c r="D406" s="9" t="s">
        <v>234</v>
      </c>
      <c r="E406" s="9" t="s">
        <v>702</v>
      </c>
      <c r="F406" s="9" t="s">
        <v>125</v>
      </c>
      <c r="G406" s="225" t="s">
        <v>809</v>
      </c>
      <c r="H406" s="9" t="s">
        <v>831</v>
      </c>
      <c r="I406" s="55">
        <f>COUNTIF('LOGBOOK VIEWER'!$B$7:$B$10600,$A406)</f>
        <v>0</v>
      </c>
      <c r="J406" s="10">
        <v>0</v>
      </c>
      <c r="K406" s="10">
        <f>I406*J406</f>
        <v>0</v>
      </c>
    </row>
    <row r="407" spans="1:11" ht="57" x14ac:dyDescent="0.2">
      <c r="A407" s="28">
        <v>3010</v>
      </c>
      <c r="B407" s="9" t="s">
        <v>256</v>
      </c>
      <c r="C407" s="9" t="s">
        <v>257</v>
      </c>
      <c r="D407" s="9" t="s">
        <v>234</v>
      </c>
      <c r="E407" s="9" t="s">
        <v>702</v>
      </c>
      <c r="F407" s="9" t="s">
        <v>125</v>
      </c>
      <c r="G407" s="225" t="s">
        <v>809</v>
      </c>
      <c r="H407" s="9" t="s">
        <v>831</v>
      </c>
      <c r="I407" s="55">
        <f>COUNTIF('LOGBOOK VIEWER'!$B$7:$B$10600,$A407)</f>
        <v>11</v>
      </c>
      <c r="J407" s="10">
        <v>0</v>
      </c>
      <c r="K407" s="10">
        <f>I407*J407</f>
        <v>0</v>
      </c>
    </row>
    <row r="408" spans="1:11" ht="57" x14ac:dyDescent="0.2">
      <c r="A408" s="28">
        <v>3011</v>
      </c>
      <c r="B408" s="9" t="s">
        <v>256</v>
      </c>
      <c r="C408" s="9" t="s">
        <v>257</v>
      </c>
      <c r="D408" s="9" t="s">
        <v>234</v>
      </c>
      <c r="E408" s="9" t="s">
        <v>702</v>
      </c>
      <c r="F408" s="9" t="s">
        <v>125</v>
      </c>
      <c r="G408" s="225" t="s">
        <v>809</v>
      </c>
      <c r="H408" s="9" t="s">
        <v>831</v>
      </c>
      <c r="I408" s="55">
        <f>COUNTIF('LOGBOOK VIEWER'!$B$7:$B$10600,$A408)</f>
        <v>0</v>
      </c>
      <c r="J408" s="10">
        <v>0</v>
      </c>
      <c r="K408" s="10">
        <f>I408*J408</f>
        <v>0</v>
      </c>
    </row>
    <row r="409" spans="1:11" ht="57" x14ac:dyDescent="0.2">
      <c r="A409" s="28">
        <v>3012</v>
      </c>
      <c r="B409" s="9" t="s">
        <v>258</v>
      </c>
      <c r="C409" s="9" t="s">
        <v>257</v>
      </c>
      <c r="D409" s="9" t="s">
        <v>234</v>
      </c>
      <c r="E409" s="9" t="s">
        <v>702</v>
      </c>
      <c r="F409" s="9" t="s">
        <v>125</v>
      </c>
      <c r="G409" s="225" t="s">
        <v>809</v>
      </c>
      <c r="H409" s="9" t="s">
        <v>831</v>
      </c>
      <c r="I409" s="55">
        <f>COUNTIF('LOGBOOK VIEWER'!$B$7:$B$10600,$A409)</f>
        <v>0</v>
      </c>
      <c r="J409" s="10">
        <v>0</v>
      </c>
      <c r="K409" s="10">
        <f>I409*J409</f>
        <v>0</v>
      </c>
    </row>
    <row r="410" spans="1:11" ht="57" x14ac:dyDescent="0.2">
      <c r="A410" s="28">
        <v>3013</v>
      </c>
      <c r="B410" s="9" t="s">
        <v>256</v>
      </c>
      <c r="C410" s="9" t="s">
        <v>257</v>
      </c>
      <c r="D410" s="9" t="s">
        <v>234</v>
      </c>
      <c r="E410" s="9" t="s">
        <v>702</v>
      </c>
      <c r="F410" s="9" t="s">
        <v>125</v>
      </c>
      <c r="G410" s="225" t="s">
        <v>809</v>
      </c>
      <c r="H410" s="9" t="s">
        <v>831</v>
      </c>
      <c r="I410" s="55">
        <f>COUNTIF('LOGBOOK VIEWER'!$B$7:$B$10600,$A410)</f>
        <v>3</v>
      </c>
      <c r="J410" s="10">
        <v>0</v>
      </c>
      <c r="K410" s="10">
        <f>I410*J410</f>
        <v>0</v>
      </c>
    </row>
    <row r="411" spans="1:11" ht="57" x14ac:dyDescent="0.2">
      <c r="A411" s="28">
        <v>3014</v>
      </c>
      <c r="B411" s="9" t="s">
        <v>256</v>
      </c>
      <c r="C411" s="9" t="s">
        <v>257</v>
      </c>
      <c r="D411" s="9" t="s">
        <v>234</v>
      </c>
      <c r="E411" s="9" t="s">
        <v>702</v>
      </c>
      <c r="F411" s="9" t="s">
        <v>125</v>
      </c>
      <c r="G411" s="225" t="s">
        <v>809</v>
      </c>
      <c r="H411" s="9" t="s">
        <v>831</v>
      </c>
      <c r="I411" s="55">
        <f>COUNTIF('LOGBOOK VIEWER'!$B$7:$B$10600,$A411)</f>
        <v>0</v>
      </c>
      <c r="J411" s="10">
        <v>0</v>
      </c>
      <c r="K411" s="10">
        <f>I411*J411</f>
        <v>0</v>
      </c>
    </row>
    <row r="412" spans="1:11" ht="57" x14ac:dyDescent="0.2">
      <c r="A412" s="28">
        <v>3015</v>
      </c>
      <c r="B412" s="9" t="s">
        <v>256</v>
      </c>
      <c r="C412" s="9" t="s">
        <v>257</v>
      </c>
      <c r="D412" s="9" t="s">
        <v>234</v>
      </c>
      <c r="E412" s="9" t="s">
        <v>702</v>
      </c>
      <c r="F412" s="9" t="s">
        <v>125</v>
      </c>
      <c r="G412" s="225" t="s">
        <v>809</v>
      </c>
      <c r="H412" s="9" t="s">
        <v>831</v>
      </c>
      <c r="I412" s="55">
        <f>COUNTIF('LOGBOOK VIEWER'!$B$7:$B$10600,$A412)</f>
        <v>0</v>
      </c>
      <c r="J412" s="10">
        <v>0</v>
      </c>
      <c r="K412" s="10">
        <f>I412*J412</f>
        <v>0</v>
      </c>
    </row>
    <row r="413" spans="1:11" ht="57" x14ac:dyDescent="0.2">
      <c r="A413" s="28">
        <v>3016</v>
      </c>
      <c r="B413" s="9" t="s">
        <v>256</v>
      </c>
      <c r="C413" s="9" t="s">
        <v>257</v>
      </c>
      <c r="D413" s="9" t="s">
        <v>234</v>
      </c>
      <c r="E413" s="9" t="s">
        <v>702</v>
      </c>
      <c r="F413" s="9" t="s">
        <v>125</v>
      </c>
      <c r="G413" s="225" t="s">
        <v>809</v>
      </c>
      <c r="H413" s="9" t="s">
        <v>831</v>
      </c>
      <c r="I413" s="55">
        <f>COUNTIF('LOGBOOK VIEWER'!$B$7:$B$10600,$A413)</f>
        <v>1</v>
      </c>
      <c r="J413" s="10">
        <v>0</v>
      </c>
      <c r="K413" s="10">
        <f>I413*J413</f>
        <v>0</v>
      </c>
    </row>
    <row r="414" spans="1:11" ht="57" x14ac:dyDescent="0.2">
      <c r="A414" s="28">
        <v>3017</v>
      </c>
      <c r="B414" s="9" t="s">
        <v>256</v>
      </c>
      <c r="C414" s="9" t="s">
        <v>257</v>
      </c>
      <c r="D414" s="9" t="s">
        <v>234</v>
      </c>
      <c r="E414" s="9" t="s">
        <v>702</v>
      </c>
      <c r="F414" s="9" t="s">
        <v>125</v>
      </c>
      <c r="G414" s="225" t="s">
        <v>809</v>
      </c>
      <c r="H414" s="9" t="s">
        <v>831</v>
      </c>
      <c r="I414" s="55">
        <f>COUNTIF('LOGBOOK VIEWER'!$B$7:$B$10600,$A414)</f>
        <v>0</v>
      </c>
      <c r="J414" s="10">
        <v>0</v>
      </c>
      <c r="K414" s="10">
        <f>I414*J414</f>
        <v>0</v>
      </c>
    </row>
    <row r="415" spans="1:11" ht="57" x14ac:dyDescent="0.2">
      <c r="A415" s="28">
        <v>3018</v>
      </c>
      <c r="B415" s="9" t="s">
        <v>256</v>
      </c>
      <c r="C415" s="9" t="s">
        <v>257</v>
      </c>
      <c r="D415" s="9" t="s">
        <v>234</v>
      </c>
      <c r="E415" s="9" t="s">
        <v>702</v>
      </c>
      <c r="F415" s="9" t="s">
        <v>125</v>
      </c>
      <c r="G415" s="225" t="s">
        <v>809</v>
      </c>
      <c r="H415" s="9" t="s">
        <v>831</v>
      </c>
      <c r="I415" s="55">
        <f>COUNTIF('LOGBOOK VIEWER'!$B$7:$B$10600,$A415)</f>
        <v>0</v>
      </c>
      <c r="J415" s="10">
        <v>0</v>
      </c>
      <c r="K415" s="10">
        <f>I415*J415</f>
        <v>0</v>
      </c>
    </row>
    <row r="416" spans="1:11" ht="57" x14ac:dyDescent="0.2">
      <c r="A416" s="28">
        <v>3019</v>
      </c>
      <c r="B416" s="9" t="s">
        <v>256</v>
      </c>
      <c r="C416" s="9" t="s">
        <v>257</v>
      </c>
      <c r="D416" s="9" t="s">
        <v>234</v>
      </c>
      <c r="E416" s="9" t="s">
        <v>702</v>
      </c>
      <c r="F416" s="9" t="s">
        <v>125</v>
      </c>
      <c r="G416" s="225" t="s">
        <v>809</v>
      </c>
      <c r="H416" s="9" t="s">
        <v>831</v>
      </c>
      <c r="I416" s="55">
        <f>COUNTIF('LOGBOOK VIEWER'!$B$7:$B$10600,$A416)</f>
        <v>0</v>
      </c>
      <c r="J416" s="10">
        <v>0</v>
      </c>
      <c r="K416" s="10">
        <f>I416*J416</f>
        <v>0</v>
      </c>
    </row>
    <row r="417" spans="1:11" ht="57" x14ac:dyDescent="0.2">
      <c r="A417" s="28">
        <v>3020</v>
      </c>
      <c r="B417" s="9" t="s">
        <v>256</v>
      </c>
      <c r="C417" s="9" t="s">
        <v>257</v>
      </c>
      <c r="D417" s="9" t="s">
        <v>234</v>
      </c>
      <c r="E417" s="9" t="s">
        <v>702</v>
      </c>
      <c r="F417" s="9" t="s">
        <v>125</v>
      </c>
      <c r="G417" s="225" t="s">
        <v>809</v>
      </c>
      <c r="H417" s="9" t="s">
        <v>831</v>
      </c>
      <c r="I417" s="55">
        <f>COUNTIF('LOGBOOK VIEWER'!$B$7:$B$10600,$A417)</f>
        <v>0</v>
      </c>
      <c r="J417" s="10">
        <v>0</v>
      </c>
      <c r="K417" s="10">
        <f>I417*J417</f>
        <v>0</v>
      </c>
    </row>
    <row r="418" spans="1:11" ht="57" x14ac:dyDescent="0.2">
      <c r="A418" s="28">
        <v>3021</v>
      </c>
      <c r="B418" s="9" t="s">
        <v>256</v>
      </c>
      <c r="C418" s="9" t="s">
        <v>259</v>
      </c>
      <c r="D418" s="9" t="s">
        <v>234</v>
      </c>
      <c r="E418" s="9" t="s">
        <v>702</v>
      </c>
      <c r="F418" s="9" t="s">
        <v>125</v>
      </c>
      <c r="G418" s="225" t="s">
        <v>809</v>
      </c>
      <c r="H418" s="9" t="s">
        <v>831</v>
      </c>
      <c r="I418" s="55">
        <f>COUNTIF('LOGBOOK VIEWER'!$B$7:$B$10600,$A418)</f>
        <v>0</v>
      </c>
      <c r="J418" s="10">
        <v>0</v>
      </c>
      <c r="K418" s="10">
        <f>I418*J418</f>
        <v>0</v>
      </c>
    </row>
    <row r="419" spans="1:11" ht="42.75" x14ac:dyDescent="0.2">
      <c r="A419" s="28">
        <v>3022</v>
      </c>
      <c r="B419" s="9" t="s">
        <v>260</v>
      </c>
      <c r="C419" s="9" t="s">
        <v>262</v>
      </c>
      <c r="D419" s="9" t="s">
        <v>234</v>
      </c>
      <c r="E419" s="9" t="s">
        <v>263</v>
      </c>
      <c r="F419" s="9" t="s">
        <v>126</v>
      </c>
      <c r="G419" s="225" t="s">
        <v>809</v>
      </c>
      <c r="H419" s="9" t="s">
        <v>831</v>
      </c>
      <c r="I419" s="55">
        <f>COUNTIF('LOGBOOK VIEWER'!$B$7:$B$10600,$A419)</f>
        <v>0</v>
      </c>
      <c r="J419" s="10">
        <v>0</v>
      </c>
      <c r="K419" s="10">
        <f>I419*J419</f>
        <v>0</v>
      </c>
    </row>
    <row r="420" spans="1:11" ht="28.5" x14ac:dyDescent="0.2">
      <c r="A420" s="28">
        <v>3023</v>
      </c>
      <c r="B420" s="9" t="s">
        <v>264</v>
      </c>
      <c r="C420" s="9" t="s">
        <v>265</v>
      </c>
      <c r="D420" s="9" t="s">
        <v>863</v>
      </c>
      <c r="E420" s="9" t="s">
        <v>319</v>
      </c>
      <c r="F420" s="9" t="s">
        <v>126</v>
      </c>
      <c r="G420" s="225" t="s">
        <v>809</v>
      </c>
      <c r="H420" s="9" t="s">
        <v>831</v>
      </c>
      <c r="I420" s="55">
        <f>COUNTIF('LOGBOOK VIEWER'!$B$7:$B$10600,$A420)</f>
        <v>5</v>
      </c>
      <c r="J420" s="10">
        <v>0</v>
      </c>
      <c r="K420" s="10">
        <f>I420*J420</f>
        <v>0</v>
      </c>
    </row>
    <row r="421" spans="1:11" ht="42.75" x14ac:dyDescent="0.2">
      <c r="A421" s="28">
        <v>3024</v>
      </c>
      <c r="B421" s="9" t="s">
        <v>266</v>
      </c>
      <c r="C421" s="9" t="s">
        <v>267</v>
      </c>
      <c r="D421" s="9" t="s">
        <v>234</v>
      </c>
      <c r="E421" s="9" t="s">
        <v>702</v>
      </c>
      <c r="F421" s="9" t="s">
        <v>126</v>
      </c>
      <c r="G421" s="225" t="s">
        <v>809</v>
      </c>
      <c r="H421" s="9" t="s">
        <v>831</v>
      </c>
      <c r="I421" s="55">
        <f>COUNTIF('LOGBOOK VIEWER'!$B$7:$B$10600,$A421)</f>
        <v>35</v>
      </c>
      <c r="J421" s="10">
        <v>0</v>
      </c>
      <c r="K421" s="10">
        <f>I421*J421</f>
        <v>0</v>
      </c>
    </row>
    <row r="422" spans="1:11" ht="42.75" x14ac:dyDescent="0.2">
      <c r="A422" s="28">
        <v>3025</v>
      </c>
      <c r="B422" s="9" t="s">
        <v>268</v>
      </c>
      <c r="C422" s="9" t="s">
        <v>269</v>
      </c>
      <c r="D422" s="9" t="s">
        <v>234</v>
      </c>
      <c r="E422" s="9" t="s">
        <v>702</v>
      </c>
      <c r="F422" s="9" t="s">
        <v>126</v>
      </c>
      <c r="G422" s="225" t="s">
        <v>809</v>
      </c>
      <c r="H422" s="9" t="s">
        <v>831</v>
      </c>
      <c r="I422" s="55">
        <f>COUNTIF('LOGBOOK VIEWER'!$B$7:$B$10600,$A422)</f>
        <v>0</v>
      </c>
      <c r="J422" s="10">
        <v>0</v>
      </c>
      <c r="K422" s="10">
        <f>I422*J422</f>
        <v>0</v>
      </c>
    </row>
    <row r="423" spans="1:11" ht="28.5" x14ac:dyDescent="0.2">
      <c r="A423" s="28">
        <v>3026</v>
      </c>
      <c r="B423" s="9" t="s">
        <v>270</v>
      </c>
      <c r="C423" s="9" t="s">
        <v>271</v>
      </c>
      <c r="D423" s="9" t="s">
        <v>234</v>
      </c>
      <c r="E423" s="9" t="s">
        <v>702</v>
      </c>
      <c r="F423" s="9" t="s">
        <v>126</v>
      </c>
      <c r="G423" s="225" t="s">
        <v>809</v>
      </c>
      <c r="H423" s="9" t="s">
        <v>831</v>
      </c>
      <c r="I423" s="55">
        <f>COUNTIF('LOGBOOK VIEWER'!$B$7:$B$10600,$A423)</f>
        <v>0</v>
      </c>
      <c r="J423" s="10">
        <v>0</v>
      </c>
      <c r="K423" s="10">
        <f>I423*J423</f>
        <v>0</v>
      </c>
    </row>
    <row r="424" spans="1:11" ht="28.5" x14ac:dyDescent="0.2">
      <c r="A424" s="28">
        <v>3027</v>
      </c>
      <c r="B424" s="9" t="s">
        <v>654</v>
      </c>
      <c r="C424" s="9" t="s">
        <v>655</v>
      </c>
      <c r="D424" s="9" t="s">
        <v>234</v>
      </c>
      <c r="E424" s="9" t="s">
        <v>656</v>
      </c>
      <c r="F424" s="9" t="s">
        <v>127</v>
      </c>
      <c r="G424" s="225" t="s">
        <v>809</v>
      </c>
      <c r="H424" s="9" t="s">
        <v>831</v>
      </c>
      <c r="I424" s="55">
        <f>COUNTIF('LOGBOOK VIEWER'!$B$7:$B$10600,$A424)</f>
        <v>0</v>
      </c>
      <c r="J424" s="10">
        <v>0</v>
      </c>
      <c r="K424" s="10">
        <f>I424*J424</f>
        <v>0</v>
      </c>
    </row>
    <row r="425" spans="1:11" ht="28.5" x14ac:dyDescent="0.2">
      <c r="A425" s="28">
        <v>3028</v>
      </c>
      <c r="B425" s="9" t="s">
        <v>657</v>
      </c>
      <c r="C425" s="9" t="s">
        <v>658</v>
      </c>
      <c r="D425" s="9" t="s">
        <v>234</v>
      </c>
      <c r="E425" s="9" t="s">
        <v>656</v>
      </c>
      <c r="F425" s="9" t="s">
        <v>127</v>
      </c>
      <c r="G425" s="225" t="s">
        <v>809</v>
      </c>
      <c r="H425" s="9" t="s">
        <v>831</v>
      </c>
      <c r="I425" s="55">
        <f>COUNTIF('LOGBOOK VIEWER'!$B$7:$B$10600,$A425)</f>
        <v>0</v>
      </c>
      <c r="J425" s="10">
        <v>0</v>
      </c>
      <c r="K425" s="10">
        <f>I425*J425</f>
        <v>0</v>
      </c>
    </row>
    <row r="426" spans="1:11" ht="28.5" x14ac:dyDescent="0.2">
      <c r="A426" s="28">
        <v>3029</v>
      </c>
      <c r="B426" s="9" t="s">
        <v>659</v>
      </c>
      <c r="C426" s="9" t="s">
        <v>660</v>
      </c>
      <c r="D426" s="9" t="s">
        <v>234</v>
      </c>
      <c r="E426" s="9" t="s">
        <v>656</v>
      </c>
      <c r="F426" s="9" t="s">
        <v>127</v>
      </c>
      <c r="G426" s="225" t="s">
        <v>809</v>
      </c>
      <c r="H426" s="9" t="s">
        <v>831</v>
      </c>
      <c r="I426" s="55">
        <f>COUNTIF('LOGBOOK VIEWER'!$B$7:$B$10600,$A426)</f>
        <v>0</v>
      </c>
      <c r="J426" s="10">
        <v>0</v>
      </c>
      <c r="K426" s="10">
        <f>I426*J426</f>
        <v>0</v>
      </c>
    </row>
    <row r="427" spans="1:11" ht="42.75" x14ac:dyDescent="0.2">
      <c r="A427" s="28">
        <v>3030</v>
      </c>
      <c r="B427" s="9" t="s">
        <v>661</v>
      </c>
      <c r="C427" s="9" t="s">
        <v>662</v>
      </c>
      <c r="D427" s="9" t="s">
        <v>234</v>
      </c>
      <c r="E427" s="9" t="s">
        <v>656</v>
      </c>
      <c r="F427" s="9" t="s">
        <v>127</v>
      </c>
      <c r="G427" s="225" t="s">
        <v>809</v>
      </c>
      <c r="H427" s="9" t="s">
        <v>831</v>
      </c>
      <c r="I427" s="55">
        <f>COUNTIF('LOGBOOK VIEWER'!$B$7:$B$10600,$A427)</f>
        <v>0</v>
      </c>
      <c r="J427" s="10">
        <v>0</v>
      </c>
      <c r="K427" s="10">
        <f>I427*J427</f>
        <v>0</v>
      </c>
    </row>
    <row r="428" spans="1:11" ht="57" x14ac:dyDescent="0.2">
      <c r="A428" s="28">
        <v>3031</v>
      </c>
      <c r="B428" s="9" t="s">
        <v>272</v>
      </c>
      <c r="C428" s="9" t="s">
        <v>273</v>
      </c>
      <c r="D428" s="9" t="s">
        <v>234</v>
      </c>
      <c r="E428" s="9" t="s">
        <v>263</v>
      </c>
      <c r="F428" s="9" t="s">
        <v>125</v>
      </c>
      <c r="G428" s="225" t="s">
        <v>809</v>
      </c>
      <c r="H428" s="9" t="s">
        <v>831</v>
      </c>
      <c r="I428" s="55">
        <f>COUNTIF('LOGBOOK VIEWER'!$B$7:$B$10600,$A428)</f>
        <v>0</v>
      </c>
      <c r="J428" s="10">
        <v>0</v>
      </c>
      <c r="K428" s="10">
        <f>I428*J428</f>
        <v>0</v>
      </c>
    </row>
    <row r="429" spans="1:11" ht="57" x14ac:dyDescent="0.2">
      <c r="A429" s="28">
        <v>3032</v>
      </c>
      <c r="B429" s="9" t="s">
        <v>276</v>
      </c>
      <c r="C429" s="9" t="s">
        <v>273</v>
      </c>
      <c r="D429" s="9" t="s">
        <v>234</v>
      </c>
      <c r="E429" s="9" t="s">
        <v>263</v>
      </c>
      <c r="F429" s="9" t="s">
        <v>125</v>
      </c>
      <c r="G429" s="225" t="s">
        <v>809</v>
      </c>
      <c r="H429" s="9" t="s">
        <v>831</v>
      </c>
      <c r="I429" s="55">
        <f>COUNTIF('LOGBOOK VIEWER'!$B$7:$B$10600,$A429)</f>
        <v>0</v>
      </c>
      <c r="J429" s="10">
        <v>0</v>
      </c>
      <c r="K429" s="10">
        <f>I429*J429</f>
        <v>0</v>
      </c>
    </row>
    <row r="430" spans="1:11" ht="28.5" x14ac:dyDescent="0.2">
      <c r="A430" s="28">
        <v>3033</v>
      </c>
      <c r="B430" s="9" t="s">
        <v>277</v>
      </c>
      <c r="C430" s="9" t="s">
        <v>278</v>
      </c>
      <c r="D430" s="9" t="s">
        <v>234</v>
      </c>
      <c r="E430" s="9" t="s">
        <v>263</v>
      </c>
      <c r="F430" s="9" t="s">
        <v>126</v>
      </c>
      <c r="G430" s="225" t="s">
        <v>809</v>
      </c>
      <c r="H430" s="9" t="s">
        <v>831</v>
      </c>
      <c r="I430" s="55">
        <f>COUNTIF('LOGBOOK VIEWER'!$B$7:$B$10600,$A430)</f>
        <v>0</v>
      </c>
      <c r="J430" s="10">
        <v>0</v>
      </c>
      <c r="K430" s="10">
        <f>I430*J430</f>
        <v>0</v>
      </c>
    </row>
    <row r="431" spans="1:11" ht="85.5" x14ac:dyDescent="0.2">
      <c r="A431" s="28">
        <v>3034</v>
      </c>
      <c r="B431" s="9" t="s">
        <v>279</v>
      </c>
      <c r="C431" s="9" t="s">
        <v>281</v>
      </c>
      <c r="D431" s="9" t="s">
        <v>234</v>
      </c>
      <c r="E431" s="9" t="s">
        <v>263</v>
      </c>
      <c r="F431" s="9" t="s">
        <v>125</v>
      </c>
      <c r="G431" s="225" t="s">
        <v>809</v>
      </c>
      <c r="H431" s="9" t="s">
        <v>831</v>
      </c>
      <c r="I431" s="55">
        <f>COUNTIF('LOGBOOK VIEWER'!$B$7:$B$10600,$A431)</f>
        <v>0</v>
      </c>
      <c r="J431" s="10">
        <v>0</v>
      </c>
      <c r="K431" s="10">
        <f>I431*J431</f>
        <v>0</v>
      </c>
    </row>
    <row r="432" spans="1:11" ht="85.5" x14ac:dyDescent="0.2">
      <c r="A432" s="28">
        <v>3035</v>
      </c>
      <c r="B432" s="9" t="s">
        <v>282</v>
      </c>
      <c r="C432" s="9" t="s">
        <v>283</v>
      </c>
      <c r="D432" s="9" t="s">
        <v>234</v>
      </c>
      <c r="E432" s="9" t="s">
        <v>263</v>
      </c>
      <c r="F432" s="9" t="s">
        <v>125</v>
      </c>
      <c r="G432" s="225" t="s">
        <v>809</v>
      </c>
      <c r="H432" s="9" t="s">
        <v>831</v>
      </c>
      <c r="I432" s="55">
        <f>COUNTIF('LOGBOOK VIEWER'!$B$7:$B$10600,$A432)</f>
        <v>0</v>
      </c>
      <c r="J432" s="10">
        <v>0</v>
      </c>
      <c r="K432" s="10">
        <f>I432*J432</f>
        <v>0</v>
      </c>
    </row>
    <row r="433" spans="1:11" ht="28.5" x14ac:dyDescent="0.2">
      <c r="A433" s="28">
        <v>3036</v>
      </c>
      <c r="B433" s="9" t="s">
        <v>284</v>
      </c>
      <c r="C433" s="9" t="s">
        <v>286</v>
      </c>
      <c r="D433" s="9" t="s">
        <v>234</v>
      </c>
      <c r="E433" s="9" t="s">
        <v>263</v>
      </c>
      <c r="F433" s="9" t="s">
        <v>126</v>
      </c>
      <c r="G433" s="225" t="s">
        <v>809</v>
      </c>
      <c r="H433" s="9" t="s">
        <v>831</v>
      </c>
      <c r="I433" s="55">
        <f>COUNTIF('LOGBOOK VIEWER'!$B$7:$B$10600,$A433)</f>
        <v>0</v>
      </c>
      <c r="J433" s="10">
        <v>0</v>
      </c>
      <c r="K433" s="10">
        <f>I433*J433</f>
        <v>0</v>
      </c>
    </row>
    <row r="434" spans="1:11" ht="28.5" x14ac:dyDescent="0.2">
      <c r="A434" s="28">
        <v>3037</v>
      </c>
      <c r="B434" s="9" t="s">
        <v>287</v>
      </c>
      <c r="C434" s="9" t="s">
        <v>288</v>
      </c>
      <c r="D434" s="9" t="s">
        <v>234</v>
      </c>
      <c r="E434" s="9" t="s">
        <v>263</v>
      </c>
      <c r="F434" s="9" t="s">
        <v>126</v>
      </c>
      <c r="G434" s="225" t="s">
        <v>809</v>
      </c>
      <c r="H434" s="9" t="s">
        <v>831</v>
      </c>
      <c r="I434" s="55">
        <f>COUNTIF('LOGBOOK VIEWER'!$B$7:$B$10600,$A434)</f>
        <v>1113</v>
      </c>
      <c r="J434" s="10">
        <v>0</v>
      </c>
      <c r="K434" s="10">
        <f>I434*J434</f>
        <v>0</v>
      </c>
    </row>
    <row r="435" spans="1:11" ht="42.75" x14ac:dyDescent="0.2">
      <c r="A435" s="28">
        <v>3038</v>
      </c>
      <c r="B435" s="9" t="s">
        <v>291</v>
      </c>
      <c r="C435" s="9" t="s">
        <v>292</v>
      </c>
      <c r="D435" s="9" t="s">
        <v>234</v>
      </c>
      <c r="E435" s="9" t="s">
        <v>263</v>
      </c>
      <c r="F435" s="9" t="s">
        <v>125</v>
      </c>
      <c r="G435" s="225" t="s">
        <v>809</v>
      </c>
      <c r="H435" s="9" t="s">
        <v>831</v>
      </c>
      <c r="I435" s="55">
        <f>COUNTIF('LOGBOOK VIEWER'!$B$7:$B$10600,$A435)</f>
        <v>0</v>
      </c>
      <c r="J435" s="10">
        <v>0</v>
      </c>
      <c r="K435" s="10">
        <f>I435*J435</f>
        <v>0</v>
      </c>
    </row>
    <row r="436" spans="1:11" ht="28.5" x14ac:dyDescent="0.2">
      <c r="A436" s="28">
        <v>3039</v>
      </c>
      <c r="B436" s="9" t="s">
        <v>293</v>
      </c>
      <c r="C436" s="9" t="s">
        <v>294</v>
      </c>
      <c r="D436" s="9" t="s">
        <v>234</v>
      </c>
      <c r="E436" s="9" t="s">
        <v>263</v>
      </c>
      <c r="F436" s="9" t="s">
        <v>126</v>
      </c>
      <c r="G436" s="225" t="s">
        <v>809</v>
      </c>
      <c r="H436" s="9" t="s">
        <v>831</v>
      </c>
      <c r="I436" s="55">
        <f>COUNTIF('LOGBOOK VIEWER'!$B$7:$B$10600,$A436)</f>
        <v>0</v>
      </c>
      <c r="J436" s="10">
        <v>0</v>
      </c>
      <c r="K436" s="10">
        <f>I436*J436</f>
        <v>0</v>
      </c>
    </row>
    <row r="437" spans="1:11" ht="42.75" x14ac:dyDescent="0.2">
      <c r="A437" s="28">
        <v>3040</v>
      </c>
      <c r="B437" s="9" t="s">
        <v>295</v>
      </c>
      <c r="C437" s="9" t="s">
        <v>296</v>
      </c>
      <c r="D437" s="9" t="s">
        <v>234</v>
      </c>
      <c r="E437" s="9" t="s">
        <v>263</v>
      </c>
      <c r="F437" s="9" t="s">
        <v>125</v>
      </c>
      <c r="G437" s="225" t="s">
        <v>809</v>
      </c>
      <c r="H437" s="9" t="s">
        <v>831</v>
      </c>
      <c r="I437" s="55">
        <f>COUNTIF('LOGBOOK VIEWER'!$B$7:$B$10600,$A437)</f>
        <v>0</v>
      </c>
      <c r="J437" s="10">
        <v>0</v>
      </c>
      <c r="K437" s="10">
        <f>I437*J437</f>
        <v>0</v>
      </c>
    </row>
    <row r="438" spans="1:11" ht="42.75" x14ac:dyDescent="0.2">
      <c r="A438" s="28">
        <v>3041</v>
      </c>
      <c r="B438" s="9" t="s">
        <v>297</v>
      </c>
      <c r="C438" s="9" t="s">
        <v>300</v>
      </c>
      <c r="D438" s="9" t="s">
        <v>234</v>
      </c>
      <c r="E438" s="9" t="s">
        <v>263</v>
      </c>
      <c r="F438" s="9" t="s">
        <v>125</v>
      </c>
      <c r="G438" s="225" t="s">
        <v>809</v>
      </c>
      <c r="H438" s="9" t="s">
        <v>831</v>
      </c>
      <c r="I438" s="55">
        <f>COUNTIF('LOGBOOK VIEWER'!$B$7:$B$10600,$A438)</f>
        <v>0</v>
      </c>
      <c r="J438" s="10">
        <v>0</v>
      </c>
      <c r="K438" s="10">
        <f>I438*J438</f>
        <v>0</v>
      </c>
    </row>
    <row r="439" spans="1:11" ht="42.75" x14ac:dyDescent="0.2">
      <c r="A439" s="28">
        <v>3042</v>
      </c>
      <c r="B439" s="9" t="s">
        <v>301</v>
      </c>
      <c r="C439" s="9" t="s">
        <v>301</v>
      </c>
      <c r="D439" s="9" t="s">
        <v>234</v>
      </c>
      <c r="E439" s="9" t="s">
        <v>263</v>
      </c>
      <c r="F439" s="9" t="s">
        <v>125</v>
      </c>
      <c r="G439" s="225" t="s">
        <v>809</v>
      </c>
      <c r="H439" s="9" t="s">
        <v>831</v>
      </c>
      <c r="I439" s="55">
        <f>COUNTIF('LOGBOOK VIEWER'!$B$7:$B$10600,$A439)</f>
        <v>23</v>
      </c>
      <c r="J439" s="10">
        <v>0</v>
      </c>
      <c r="K439" s="10">
        <f>I439*J439</f>
        <v>0</v>
      </c>
    </row>
    <row r="440" spans="1:11" ht="42.75" x14ac:dyDescent="0.2">
      <c r="A440" s="28">
        <v>3043</v>
      </c>
      <c r="B440" s="9" t="s">
        <v>302</v>
      </c>
      <c r="C440" s="9" t="s">
        <v>303</v>
      </c>
      <c r="D440" s="9" t="s">
        <v>234</v>
      </c>
      <c r="E440" s="9" t="s">
        <v>263</v>
      </c>
      <c r="F440" s="9" t="s">
        <v>126</v>
      </c>
      <c r="G440" s="225" t="s">
        <v>809</v>
      </c>
      <c r="H440" s="9" t="s">
        <v>831</v>
      </c>
      <c r="I440" s="55">
        <f>COUNTIF('LOGBOOK VIEWER'!$B$7:$B$10600,$A440)</f>
        <v>0</v>
      </c>
      <c r="J440" s="10">
        <v>0</v>
      </c>
      <c r="K440" s="10">
        <f>I440*J440</f>
        <v>0</v>
      </c>
    </row>
    <row r="441" spans="1:11" ht="28.5" x14ac:dyDescent="0.2">
      <c r="A441" s="28">
        <v>3044</v>
      </c>
      <c r="B441" s="9" t="s">
        <v>304</v>
      </c>
      <c r="C441" s="9" t="s">
        <v>305</v>
      </c>
      <c r="D441" s="9" t="s">
        <v>234</v>
      </c>
      <c r="E441" s="9" t="s">
        <v>263</v>
      </c>
      <c r="F441" s="9" t="s">
        <v>125</v>
      </c>
      <c r="G441" s="225" t="s">
        <v>809</v>
      </c>
      <c r="H441" s="9" t="s">
        <v>831</v>
      </c>
      <c r="I441" s="55">
        <f>COUNTIF('LOGBOOK VIEWER'!$B$7:$B$10600,$A441)</f>
        <v>0</v>
      </c>
      <c r="J441" s="10">
        <v>0</v>
      </c>
      <c r="K441" s="10">
        <f>I441*J441</f>
        <v>0</v>
      </c>
    </row>
    <row r="442" spans="1:11" ht="42.75" x14ac:dyDescent="0.2">
      <c r="A442" s="28">
        <v>3045</v>
      </c>
      <c r="B442" s="9" t="s">
        <v>306</v>
      </c>
      <c r="C442" s="9" t="s">
        <v>307</v>
      </c>
      <c r="D442" s="9" t="s">
        <v>234</v>
      </c>
      <c r="E442" s="9" t="s">
        <v>263</v>
      </c>
      <c r="F442" s="9" t="s">
        <v>125</v>
      </c>
      <c r="G442" s="225" t="s">
        <v>809</v>
      </c>
      <c r="H442" s="9" t="s">
        <v>831</v>
      </c>
      <c r="I442" s="55">
        <f>COUNTIF('LOGBOOK VIEWER'!$B$7:$B$10600,$A442)</f>
        <v>0</v>
      </c>
      <c r="J442" s="10">
        <v>0</v>
      </c>
      <c r="K442" s="10">
        <f>I442*J442</f>
        <v>0</v>
      </c>
    </row>
    <row r="443" spans="1:11" ht="28.5" x14ac:dyDescent="0.2">
      <c r="A443" s="28">
        <v>3046</v>
      </c>
      <c r="B443" s="9" t="s">
        <v>663</v>
      </c>
      <c r="C443" s="9" t="s">
        <v>664</v>
      </c>
      <c r="D443" s="9" t="s">
        <v>404</v>
      </c>
      <c r="E443" s="9" t="s">
        <v>404</v>
      </c>
      <c r="F443" s="9" t="s">
        <v>127</v>
      </c>
      <c r="G443" s="225" t="s">
        <v>809</v>
      </c>
      <c r="H443" s="9" t="s">
        <v>831</v>
      </c>
      <c r="I443" s="55">
        <f>COUNTIF('LOGBOOK VIEWER'!$B$7:$B$10600,$A443)</f>
        <v>1787</v>
      </c>
      <c r="J443" s="10">
        <v>0</v>
      </c>
      <c r="K443" s="10">
        <f>I443*J443</f>
        <v>0</v>
      </c>
    </row>
    <row r="444" spans="1:11" ht="57" x14ac:dyDescent="0.2">
      <c r="A444" s="28">
        <v>3047</v>
      </c>
      <c r="B444" s="9" t="s">
        <v>308</v>
      </c>
      <c r="C444" s="9" t="s">
        <v>309</v>
      </c>
      <c r="D444" s="9" t="s">
        <v>234</v>
      </c>
      <c r="E444" s="9" t="s">
        <v>235</v>
      </c>
      <c r="F444" s="9" t="s">
        <v>126</v>
      </c>
      <c r="G444" s="225" t="s">
        <v>809</v>
      </c>
      <c r="H444" s="9" t="s">
        <v>831</v>
      </c>
      <c r="I444" s="55">
        <f>COUNTIF('LOGBOOK VIEWER'!$B$7:$B$10600,$A444)</f>
        <v>58</v>
      </c>
      <c r="J444" s="10">
        <v>0</v>
      </c>
      <c r="K444" s="10">
        <f>I444*J444</f>
        <v>0</v>
      </c>
    </row>
    <row r="445" spans="1:11" ht="42.75" x14ac:dyDescent="0.2">
      <c r="A445" s="28">
        <v>3048</v>
      </c>
      <c r="B445" s="9" t="s">
        <v>665</v>
      </c>
      <c r="C445" s="9" t="s">
        <v>666</v>
      </c>
      <c r="D445" s="9" t="s">
        <v>234</v>
      </c>
      <c r="E445" s="9" t="s">
        <v>235</v>
      </c>
      <c r="F445" s="9" t="s">
        <v>127</v>
      </c>
      <c r="G445" s="225" t="s">
        <v>809</v>
      </c>
      <c r="H445" s="9" t="s">
        <v>831</v>
      </c>
      <c r="I445" s="55">
        <f>COUNTIF('LOGBOOK VIEWER'!$B$7:$B$10600,$A445)</f>
        <v>0</v>
      </c>
      <c r="J445" s="10">
        <v>0</v>
      </c>
      <c r="K445" s="10">
        <f>I445*J445</f>
        <v>0</v>
      </c>
    </row>
    <row r="446" spans="1:11" ht="42.75" x14ac:dyDescent="0.2">
      <c r="A446" s="28">
        <v>3049</v>
      </c>
      <c r="B446" s="9" t="s">
        <v>667</v>
      </c>
      <c r="C446" s="9" t="s">
        <v>668</v>
      </c>
      <c r="D446" s="9" t="s">
        <v>234</v>
      </c>
      <c r="E446" s="9" t="s">
        <v>235</v>
      </c>
      <c r="F446" s="9" t="s">
        <v>127</v>
      </c>
      <c r="G446" s="225" t="s">
        <v>809</v>
      </c>
      <c r="H446" s="9" t="s">
        <v>831</v>
      </c>
      <c r="I446" s="55">
        <f>COUNTIF('LOGBOOK VIEWER'!$B$7:$B$10600,$A446)</f>
        <v>0</v>
      </c>
      <c r="J446" s="10">
        <v>0</v>
      </c>
      <c r="K446" s="10">
        <f>I446*J446</f>
        <v>0</v>
      </c>
    </row>
    <row r="447" spans="1:11" ht="42.75" x14ac:dyDescent="0.2">
      <c r="A447" s="28">
        <v>3050</v>
      </c>
      <c r="B447" s="9" t="s">
        <v>669</v>
      </c>
      <c r="C447" s="9" t="s">
        <v>670</v>
      </c>
      <c r="D447" s="9" t="s">
        <v>234</v>
      </c>
      <c r="E447" s="9" t="s">
        <v>235</v>
      </c>
      <c r="F447" s="9" t="s">
        <v>127</v>
      </c>
      <c r="G447" s="225" t="s">
        <v>809</v>
      </c>
      <c r="H447" s="9" t="s">
        <v>831</v>
      </c>
      <c r="I447" s="55">
        <f>COUNTIF('LOGBOOK VIEWER'!$B$7:$B$10600,$A447)</f>
        <v>0</v>
      </c>
      <c r="J447" s="10">
        <v>0</v>
      </c>
      <c r="K447" s="10">
        <f>I447*J447</f>
        <v>0</v>
      </c>
    </row>
    <row r="448" spans="1:11" ht="57" x14ac:dyDescent="0.2">
      <c r="A448" s="28">
        <v>3051</v>
      </c>
      <c r="B448" s="9" t="s">
        <v>671</v>
      </c>
      <c r="C448" s="9" t="s">
        <v>672</v>
      </c>
      <c r="D448" s="9" t="s">
        <v>234</v>
      </c>
      <c r="E448" s="9" t="s">
        <v>235</v>
      </c>
      <c r="F448" s="9" t="s">
        <v>127</v>
      </c>
      <c r="G448" s="225" t="s">
        <v>809</v>
      </c>
      <c r="H448" s="9" t="s">
        <v>831</v>
      </c>
      <c r="I448" s="55">
        <f>COUNTIF('LOGBOOK VIEWER'!$B$7:$B$10600,$A448)</f>
        <v>62</v>
      </c>
      <c r="J448" s="10">
        <v>0</v>
      </c>
      <c r="K448" s="10">
        <f>I448*J448</f>
        <v>0</v>
      </c>
    </row>
    <row r="449" spans="1:11" ht="42.75" x14ac:dyDescent="0.2">
      <c r="A449" s="28">
        <v>3052</v>
      </c>
      <c r="B449" s="9" t="s">
        <v>673</v>
      </c>
      <c r="C449" s="9" t="s">
        <v>674</v>
      </c>
      <c r="D449" s="9" t="s">
        <v>234</v>
      </c>
      <c r="E449" s="9" t="s">
        <v>235</v>
      </c>
      <c r="F449" s="9" t="s">
        <v>127</v>
      </c>
      <c r="G449" s="225" t="s">
        <v>809</v>
      </c>
      <c r="H449" s="9" t="s">
        <v>831</v>
      </c>
      <c r="I449" s="55">
        <f>COUNTIF('LOGBOOK VIEWER'!$B$7:$B$10600,$A449)</f>
        <v>37</v>
      </c>
      <c r="J449" s="10">
        <v>0</v>
      </c>
      <c r="K449" s="10">
        <f>I449*J449</f>
        <v>0</v>
      </c>
    </row>
    <row r="450" spans="1:11" ht="28.5" x14ac:dyDescent="0.2">
      <c r="A450" s="28">
        <v>3053</v>
      </c>
      <c r="B450" s="9" t="s">
        <v>310</v>
      </c>
      <c r="C450" s="9" t="s">
        <v>684</v>
      </c>
      <c r="D450" s="9" t="s">
        <v>234</v>
      </c>
      <c r="E450" s="9" t="s">
        <v>702</v>
      </c>
      <c r="F450" s="9" t="s">
        <v>126</v>
      </c>
      <c r="G450" s="225" t="s">
        <v>809</v>
      </c>
      <c r="H450" s="9" t="s">
        <v>831</v>
      </c>
      <c r="I450" s="55">
        <f>COUNTIF('LOGBOOK VIEWER'!$B$7:$B$10600,$A450)</f>
        <v>0</v>
      </c>
      <c r="J450" s="10">
        <v>0</v>
      </c>
      <c r="K450" s="10">
        <f>I450*J450</f>
        <v>0</v>
      </c>
    </row>
    <row r="451" spans="1:11" ht="28.5" x14ac:dyDescent="0.2">
      <c r="A451" s="28">
        <v>3054</v>
      </c>
      <c r="B451" s="9" t="s">
        <v>685</v>
      </c>
      <c r="C451" s="9" t="s">
        <v>686</v>
      </c>
      <c r="D451" s="9" t="s">
        <v>234</v>
      </c>
      <c r="E451" s="9" t="s">
        <v>702</v>
      </c>
      <c r="F451" s="9" t="s">
        <v>126</v>
      </c>
      <c r="G451" s="225" t="s">
        <v>809</v>
      </c>
      <c r="H451" s="9" t="s">
        <v>831</v>
      </c>
      <c r="I451" s="55">
        <f>COUNTIF('LOGBOOK VIEWER'!$B$7:$B$10600,$A451)</f>
        <v>0</v>
      </c>
      <c r="J451" s="10">
        <v>0</v>
      </c>
      <c r="K451" s="10">
        <f>I451*J451</f>
        <v>0</v>
      </c>
    </row>
    <row r="452" spans="1:11" ht="28.5" x14ac:dyDescent="0.2">
      <c r="A452" s="28">
        <v>3055</v>
      </c>
      <c r="B452" s="9" t="s">
        <v>687</v>
      </c>
      <c r="C452" s="9" t="s">
        <v>688</v>
      </c>
      <c r="D452" s="9" t="s">
        <v>234</v>
      </c>
      <c r="E452" s="9" t="s">
        <v>702</v>
      </c>
      <c r="F452" s="9" t="s">
        <v>125</v>
      </c>
      <c r="G452" s="225" t="s">
        <v>809</v>
      </c>
      <c r="H452" s="9" t="s">
        <v>831</v>
      </c>
      <c r="I452" s="55">
        <f>COUNTIF('LOGBOOK VIEWER'!$B$7:$B$10600,$A452)</f>
        <v>0</v>
      </c>
      <c r="J452" s="10">
        <v>0</v>
      </c>
      <c r="K452" s="10">
        <f>I452*J452</f>
        <v>0</v>
      </c>
    </row>
    <row r="453" spans="1:11" ht="42.75" x14ac:dyDescent="0.2">
      <c r="A453" s="28">
        <v>3056</v>
      </c>
      <c r="B453" s="9" t="s">
        <v>693</v>
      </c>
      <c r="C453" s="9" t="s">
        <v>694</v>
      </c>
      <c r="D453" s="9" t="s">
        <v>234</v>
      </c>
      <c r="E453" s="9" t="s">
        <v>702</v>
      </c>
      <c r="F453" s="9" t="s">
        <v>126</v>
      </c>
      <c r="G453" s="225" t="s">
        <v>809</v>
      </c>
      <c r="H453" s="9" t="s">
        <v>831</v>
      </c>
      <c r="I453" s="55">
        <f>COUNTIF('LOGBOOK VIEWER'!$B$7:$B$10600,$A453)</f>
        <v>5</v>
      </c>
      <c r="J453" s="10">
        <v>0</v>
      </c>
      <c r="K453" s="10">
        <f>I453*J453</f>
        <v>0</v>
      </c>
    </row>
    <row r="454" spans="1:11" ht="28.5" x14ac:dyDescent="0.2">
      <c r="A454" s="28">
        <v>3057</v>
      </c>
      <c r="B454" s="9" t="s">
        <v>675</v>
      </c>
      <c r="C454" s="9" t="s">
        <v>676</v>
      </c>
      <c r="D454" s="9" t="s">
        <v>234</v>
      </c>
      <c r="E454" s="9" t="s">
        <v>677</v>
      </c>
      <c r="F454" s="9" t="s">
        <v>127</v>
      </c>
      <c r="G454" s="225" t="s">
        <v>809</v>
      </c>
      <c r="H454" s="9" t="s">
        <v>831</v>
      </c>
      <c r="I454" s="55">
        <f>COUNTIF('LOGBOOK VIEWER'!$B$7:$B$10600,$A454)</f>
        <v>5</v>
      </c>
      <c r="J454" s="10">
        <v>0</v>
      </c>
      <c r="K454" s="10">
        <f>I454*J454</f>
        <v>0</v>
      </c>
    </row>
    <row r="455" spans="1:11" ht="28.5" x14ac:dyDescent="0.2">
      <c r="A455" s="28">
        <v>3058</v>
      </c>
      <c r="B455" s="9" t="s">
        <v>212</v>
      </c>
      <c r="C455" s="9" t="s">
        <v>213</v>
      </c>
      <c r="D455" s="9" t="s">
        <v>234</v>
      </c>
      <c r="E455" s="9" t="s">
        <v>677</v>
      </c>
      <c r="F455" s="9" t="s">
        <v>127</v>
      </c>
      <c r="G455" s="225" t="s">
        <v>809</v>
      </c>
      <c r="H455" s="9" t="s">
        <v>831</v>
      </c>
      <c r="I455" s="55">
        <f>COUNTIF('LOGBOOK VIEWER'!$B$7:$B$10600,$A455)</f>
        <v>5</v>
      </c>
      <c r="J455" s="10">
        <v>0</v>
      </c>
      <c r="K455" s="10">
        <f>I455*J455</f>
        <v>0</v>
      </c>
    </row>
    <row r="456" spans="1:11" ht="28.5" x14ac:dyDescent="0.2">
      <c r="A456" s="28">
        <v>3059</v>
      </c>
      <c r="B456" s="9" t="s">
        <v>214</v>
      </c>
      <c r="C456" s="9" t="s">
        <v>215</v>
      </c>
      <c r="D456" s="9" t="s">
        <v>234</v>
      </c>
      <c r="E456" s="9" t="s">
        <v>677</v>
      </c>
      <c r="F456" s="9" t="s">
        <v>831</v>
      </c>
      <c r="G456" s="225" t="s">
        <v>809</v>
      </c>
      <c r="H456" s="9" t="s">
        <v>831</v>
      </c>
      <c r="I456" s="55">
        <f>COUNTIF('LOGBOOK VIEWER'!$B$7:$B$10600,$A456)</f>
        <v>1</v>
      </c>
      <c r="J456" s="10">
        <v>0</v>
      </c>
      <c r="K456" s="10">
        <f>I456*J456</f>
        <v>0</v>
      </c>
    </row>
    <row r="457" spans="1:11" ht="28.5" x14ac:dyDescent="0.2">
      <c r="A457" s="28">
        <v>3060</v>
      </c>
      <c r="B457" s="9" t="s">
        <v>216</v>
      </c>
      <c r="C457" s="9" t="s">
        <v>94</v>
      </c>
      <c r="D457" s="9" t="s">
        <v>234</v>
      </c>
      <c r="E457" s="9" t="s">
        <v>677</v>
      </c>
      <c r="F457" s="9" t="s">
        <v>127</v>
      </c>
      <c r="G457" s="225" t="s">
        <v>809</v>
      </c>
      <c r="H457" s="9" t="s">
        <v>831</v>
      </c>
      <c r="I457" s="55">
        <f>COUNTIF('LOGBOOK VIEWER'!$B$7:$B$10600,$A457)</f>
        <v>4</v>
      </c>
      <c r="J457" s="10">
        <v>0</v>
      </c>
      <c r="K457" s="10">
        <f>I457*J457</f>
        <v>0</v>
      </c>
    </row>
    <row r="458" spans="1:11" ht="28.5" x14ac:dyDescent="0.2">
      <c r="A458" s="28">
        <v>3061</v>
      </c>
      <c r="B458" s="9" t="s">
        <v>95</v>
      </c>
      <c r="C458" s="9" t="s">
        <v>96</v>
      </c>
      <c r="D458" s="9" t="s">
        <v>234</v>
      </c>
      <c r="E458" s="9" t="s">
        <v>677</v>
      </c>
      <c r="F458" s="9" t="s">
        <v>127</v>
      </c>
      <c r="G458" s="225" t="s">
        <v>809</v>
      </c>
      <c r="H458" s="9" t="s">
        <v>831</v>
      </c>
      <c r="I458" s="55">
        <f>COUNTIF('LOGBOOK VIEWER'!$B$7:$B$10600,$A458)</f>
        <v>117</v>
      </c>
      <c r="J458" s="10">
        <v>0</v>
      </c>
      <c r="K458" s="10">
        <f>I458*J458</f>
        <v>0</v>
      </c>
    </row>
    <row r="459" spans="1:11" ht="28.5" x14ac:dyDescent="0.2">
      <c r="A459" s="28">
        <v>3062</v>
      </c>
      <c r="B459" s="9" t="s">
        <v>97</v>
      </c>
      <c r="C459" s="9" t="s">
        <v>98</v>
      </c>
      <c r="D459" s="9" t="s">
        <v>234</v>
      </c>
      <c r="E459" s="9" t="s">
        <v>677</v>
      </c>
      <c r="F459" s="9" t="s">
        <v>127</v>
      </c>
      <c r="G459" s="225" t="s">
        <v>809</v>
      </c>
      <c r="H459" s="9" t="s">
        <v>831</v>
      </c>
      <c r="I459" s="55">
        <f>COUNTIF('LOGBOOK VIEWER'!$B$7:$B$10600,$A459)</f>
        <v>0</v>
      </c>
      <c r="J459" s="10">
        <v>0</v>
      </c>
      <c r="K459" s="10">
        <f>I459*J459</f>
        <v>0</v>
      </c>
    </row>
    <row r="460" spans="1:11" ht="28.5" x14ac:dyDescent="0.2">
      <c r="A460" s="28">
        <v>3063</v>
      </c>
      <c r="B460" s="9" t="s">
        <v>99</v>
      </c>
      <c r="C460" s="9" t="s">
        <v>100</v>
      </c>
      <c r="D460" s="9" t="s">
        <v>234</v>
      </c>
      <c r="E460" s="9" t="s">
        <v>702</v>
      </c>
      <c r="F460" s="9" t="s">
        <v>127</v>
      </c>
      <c r="G460" s="225" t="s">
        <v>809</v>
      </c>
      <c r="H460" s="9" t="s">
        <v>831</v>
      </c>
      <c r="I460" s="55">
        <f>COUNTIF('LOGBOOK VIEWER'!$B$7:$B$10600,$A460)</f>
        <v>0</v>
      </c>
      <c r="J460" s="10">
        <v>0</v>
      </c>
      <c r="K460" s="10">
        <f>I460*J460</f>
        <v>0</v>
      </c>
    </row>
    <row r="461" spans="1:11" ht="28.5" x14ac:dyDescent="0.2">
      <c r="A461" s="28">
        <v>3064</v>
      </c>
      <c r="B461" s="9" t="s">
        <v>101</v>
      </c>
      <c r="C461" s="9" t="s">
        <v>102</v>
      </c>
      <c r="D461" s="9" t="s">
        <v>234</v>
      </c>
      <c r="E461" s="9" t="s">
        <v>702</v>
      </c>
      <c r="F461" s="9" t="s">
        <v>127</v>
      </c>
      <c r="G461" s="225" t="s">
        <v>809</v>
      </c>
      <c r="H461" s="9" t="s">
        <v>831</v>
      </c>
      <c r="I461" s="55">
        <f>COUNTIF('LOGBOOK VIEWER'!$B$7:$B$10600,$A461)</f>
        <v>0</v>
      </c>
      <c r="J461" s="10">
        <v>0</v>
      </c>
      <c r="K461" s="10">
        <f>I461*J461</f>
        <v>0</v>
      </c>
    </row>
    <row r="462" spans="1:11" ht="42.75" x14ac:dyDescent="0.2">
      <c r="A462" s="28">
        <v>3065</v>
      </c>
      <c r="B462" s="9" t="s">
        <v>103</v>
      </c>
      <c r="C462" s="9" t="s">
        <v>104</v>
      </c>
      <c r="D462" s="9" t="s">
        <v>234</v>
      </c>
      <c r="E462" s="9" t="s">
        <v>702</v>
      </c>
      <c r="F462" s="9" t="s">
        <v>127</v>
      </c>
      <c r="G462" s="225" t="s">
        <v>809</v>
      </c>
      <c r="H462" s="9" t="s">
        <v>831</v>
      </c>
      <c r="I462" s="55">
        <f>COUNTIF('LOGBOOK VIEWER'!$B$7:$B$10600,$A462)</f>
        <v>0</v>
      </c>
      <c r="J462" s="10">
        <v>0</v>
      </c>
      <c r="K462" s="10">
        <f>I462*J462</f>
        <v>0</v>
      </c>
    </row>
    <row r="463" spans="1:11" ht="42.75" x14ac:dyDescent="0.2">
      <c r="A463" s="28">
        <v>3066</v>
      </c>
      <c r="B463" s="9" t="s">
        <v>709</v>
      </c>
      <c r="C463" s="9" t="s">
        <v>710</v>
      </c>
      <c r="D463" s="9" t="s">
        <v>234</v>
      </c>
      <c r="E463" s="9" t="s">
        <v>702</v>
      </c>
      <c r="F463" s="9" t="s">
        <v>127</v>
      </c>
      <c r="G463" s="225" t="s">
        <v>809</v>
      </c>
      <c r="H463" s="9" t="s">
        <v>831</v>
      </c>
      <c r="I463" s="55">
        <f>COUNTIF('LOGBOOK VIEWER'!$B$7:$B$10600,$A463)</f>
        <v>0</v>
      </c>
      <c r="J463" s="10">
        <v>0</v>
      </c>
      <c r="K463" s="10">
        <f>I463*J463</f>
        <v>0</v>
      </c>
    </row>
    <row r="464" spans="1:11" ht="57" x14ac:dyDescent="0.2">
      <c r="A464" s="28">
        <v>3067</v>
      </c>
      <c r="B464" s="9" t="s">
        <v>239</v>
      </c>
      <c r="C464" s="9" t="s">
        <v>240</v>
      </c>
      <c r="D464" s="9" t="s">
        <v>234</v>
      </c>
      <c r="E464" s="9" t="s">
        <v>702</v>
      </c>
      <c r="F464" s="9" t="s">
        <v>127</v>
      </c>
      <c r="G464" s="225" t="s">
        <v>809</v>
      </c>
      <c r="H464" s="9" t="s">
        <v>831</v>
      </c>
      <c r="I464" s="55">
        <f>COUNTIF('LOGBOOK VIEWER'!$B$7:$B$10600,$A464)</f>
        <v>2</v>
      </c>
      <c r="J464" s="10">
        <v>0</v>
      </c>
      <c r="K464" s="10">
        <f>I464*J464</f>
        <v>0</v>
      </c>
    </row>
    <row r="465" spans="1:11" ht="42.75" x14ac:dyDescent="0.2">
      <c r="A465" s="28">
        <v>3068</v>
      </c>
      <c r="B465" s="9" t="s">
        <v>241</v>
      </c>
      <c r="C465" s="9" t="s">
        <v>243</v>
      </c>
      <c r="D465" s="9" t="s">
        <v>234</v>
      </c>
      <c r="E465" s="9" t="s">
        <v>702</v>
      </c>
      <c r="F465" s="9" t="s">
        <v>127</v>
      </c>
      <c r="G465" s="225" t="s">
        <v>809</v>
      </c>
      <c r="H465" s="9" t="s">
        <v>831</v>
      </c>
      <c r="I465" s="55">
        <f>COUNTIF('LOGBOOK VIEWER'!$B$7:$B$10600,$A465)</f>
        <v>1</v>
      </c>
      <c r="J465" s="10">
        <v>0</v>
      </c>
      <c r="K465" s="10">
        <f>I465*J465</f>
        <v>0</v>
      </c>
    </row>
    <row r="466" spans="1:11" ht="42.75" x14ac:dyDescent="0.2">
      <c r="A466" s="28">
        <v>3069</v>
      </c>
      <c r="B466" s="9" t="s">
        <v>711</v>
      </c>
      <c r="C466" s="9" t="s">
        <v>712</v>
      </c>
      <c r="D466" s="9" t="s">
        <v>234</v>
      </c>
      <c r="E466" s="9" t="s">
        <v>702</v>
      </c>
      <c r="F466" s="9" t="s">
        <v>127</v>
      </c>
      <c r="G466" s="225" t="s">
        <v>809</v>
      </c>
      <c r="H466" s="9" t="s">
        <v>831</v>
      </c>
      <c r="I466" s="55">
        <f>COUNTIF('LOGBOOK VIEWER'!$B$7:$B$10600,$A466)</f>
        <v>0</v>
      </c>
      <c r="J466" s="10">
        <v>0</v>
      </c>
      <c r="K466" s="10">
        <f>I466*J466</f>
        <v>0</v>
      </c>
    </row>
    <row r="467" spans="1:11" ht="42.75" x14ac:dyDescent="0.2">
      <c r="A467" s="28">
        <v>3070</v>
      </c>
      <c r="B467" s="9" t="s">
        <v>713</v>
      </c>
      <c r="C467" s="9" t="s">
        <v>714</v>
      </c>
      <c r="D467" s="9" t="s">
        <v>234</v>
      </c>
      <c r="E467" s="9" t="s">
        <v>702</v>
      </c>
      <c r="F467" s="9" t="s">
        <v>127</v>
      </c>
      <c r="G467" s="225" t="s">
        <v>809</v>
      </c>
      <c r="H467" s="9" t="s">
        <v>831</v>
      </c>
      <c r="I467" s="55">
        <f>COUNTIF('LOGBOOK VIEWER'!$B$7:$B$10600,$A467)</f>
        <v>0</v>
      </c>
      <c r="J467" s="10">
        <v>0</v>
      </c>
      <c r="K467" s="10">
        <f>I467*J467</f>
        <v>0</v>
      </c>
    </row>
    <row r="468" spans="1:11" ht="42.75" x14ac:dyDescent="0.2">
      <c r="A468" s="28">
        <v>3071</v>
      </c>
      <c r="B468" s="9" t="s">
        <v>715</v>
      </c>
      <c r="C468" s="9" t="s">
        <v>716</v>
      </c>
      <c r="D468" s="9" t="s">
        <v>234</v>
      </c>
      <c r="E468" s="9" t="s">
        <v>702</v>
      </c>
      <c r="F468" s="9" t="s">
        <v>127</v>
      </c>
      <c r="G468" s="225" t="s">
        <v>809</v>
      </c>
      <c r="H468" s="9" t="s">
        <v>831</v>
      </c>
      <c r="I468" s="55">
        <f>COUNTIF('LOGBOOK VIEWER'!$B$7:$B$10600,$A468)</f>
        <v>1</v>
      </c>
      <c r="J468" s="10">
        <v>0</v>
      </c>
      <c r="K468" s="10">
        <f>I468*J468</f>
        <v>0</v>
      </c>
    </row>
    <row r="469" spans="1:11" ht="28.5" x14ac:dyDescent="0.2">
      <c r="A469" s="28">
        <v>3072</v>
      </c>
      <c r="B469" s="9" t="s">
        <v>717</v>
      </c>
      <c r="C469" s="9" t="s">
        <v>718</v>
      </c>
      <c r="D469" s="9" t="s">
        <v>234</v>
      </c>
      <c r="E469" s="9" t="s">
        <v>702</v>
      </c>
      <c r="F469" s="9" t="s">
        <v>127</v>
      </c>
      <c r="G469" s="225" t="s">
        <v>809</v>
      </c>
      <c r="H469" s="9" t="s">
        <v>831</v>
      </c>
      <c r="I469" s="55">
        <f>COUNTIF('LOGBOOK VIEWER'!$B$7:$B$10600,$A469)</f>
        <v>1</v>
      </c>
      <c r="J469" s="10">
        <v>0</v>
      </c>
      <c r="K469" s="10">
        <f>I469*J469</f>
        <v>0</v>
      </c>
    </row>
    <row r="470" spans="1:11" ht="28.5" x14ac:dyDescent="0.2">
      <c r="A470" s="28">
        <v>3073</v>
      </c>
      <c r="B470" s="9" t="s">
        <v>719</v>
      </c>
      <c r="C470" s="9" t="s">
        <v>720</v>
      </c>
      <c r="D470" s="9" t="s">
        <v>234</v>
      </c>
      <c r="E470" s="9" t="s">
        <v>677</v>
      </c>
      <c r="F470" s="9" t="s">
        <v>127</v>
      </c>
      <c r="G470" s="225" t="s">
        <v>809</v>
      </c>
      <c r="H470" s="9" t="s">
        <v>831</v>
      </c>
      <c r="I470" s="55">
        <f>COUNTIF('LOGBOOK VIEWER'!$B$7:$B$10600,$A470)</f>
        <v>2</v>
      </c>
      <c r="J470" s="10">
        <v>0</v>
      </c>
      <c r="K470" s="10">
        <f>I470*J470</f>
        <v>0</v>
      </c>
    </row>
    <row r="471" spans="1:11" ht="28.5" x14ac:dyDescent="0.2">
      <c r="A471" s="28">
        <v>3074</v>
      </c>
      <c r="B471" s="9" t="s">
        <v>721</v>
      </c>
      <c r="C471" s="9" t="s">
        <v>722</v>
      </c>
      <c r="D471" s="9" t="s">
        <v>234</v>
      </c>
      <c r="E471" s="9" t="s">
        <v>677</v>
      </c>
      <c r="F471" s="9" t="s">
        <v>127</v>
      </c>
      <c r="G471" s="225" t="s">
        <v>809</v>
      </c>
      <c r="H471" s="9" t="s">
        <v>831</v>
      </c>
      <c r="I471" s="55">
        <f>COUNTIF('LOGBOOK VIEWER'!$B$7:$B$10600,$A471)</f>
        <v>0</v>
      </c>
      <c r="J471" s="10">
        <v>0</v>
      </c>
      <c r="K471" s="10">
        <f>I471*J471</f>
        <v>0</v>
      </c>
    </row>
    <row r="472" spans="1:11" ht="28.5" x14ac:dyDescent="0.2">
      <c r="A472" s="28">
        <v>3075</v>
      </c>
      <c r="B472" s="9" t="s">
        <v>723</v>
      </c>
      <c r="C472" s="9" t="s">
        <v>724</v>
      </c>
      <c r="D472" s="9" t="s">
        <v>234</v>
      </c>
      <c r="E472" s="9" t="s">
        <v>263</v>
      </c>
      <c r="F472" s="9" t="s">
        <v>127</v>
      </c>
      <c r="G472" s="225" t="s">
        <v>809</v>
      </c>
      <c r="H472" s="9" t="s">
        <v>831</v>
      </c>
      <c r="I472" s="55">
        <f>COUNTIF('LOGBOOK VIEWER'!$B$7:$B$10600,$A472)</f>
        <v>7</v>
      </c>
      <c r="J472" s="10">
        <v>0</v>
      </c>
      <c r="K472" s="10">
        <f>I472*J472</f>
        <v>0</v>
      </c>
    </row>
    <row r="473" spans="1:11" ht="42.75" x14ac:dyDescent="0.2">
      <c r="A473" s="28">
        <v>3076</v>
      </c>
      <c r="B473" s="9" t="s">
        <v>725</v>
      </c>
      <c r="C473" s="9" t="s">
        <v>726</v>
      </c>
      <c r="D473" s="9" t="s">
        <v>234</v>
      </c>
      <c r="E473" s="9" t="s">
        <v>656</v>
      </c>
      <c r="F473" s="9" t="s">
        <v>127</v>
      </c>
      <c r="G473" s="225" t="s">
        <v>809</v>
      </c>
      <c r="H473" s="9" t="s">
        <v>831</v>
      </c>
      <c r="I473" s="55">
        <f>COUNTIF('LOGBOOK VIEWER'!$B$7:$B$10600,$A473)</f>
        <v>6</v>
      </c>
      <c r="J473" s="10">
        <v>0</v>
      </c>
      <c r="K473" s="10">
        <f>I473*J473</f>
        <v>0</v>
      </c>
    </row>
    <row r="474" spans="1:11" ht="42.75" x14ac:dyDescent="0.2">
      <c r="A474" s="28">
        <v>3077</v>
      </c>
      <c r="B474" s="9" t="s">
        <v>727</v>
      </c>
      <c r="C474" s="9" t="s">
        <v>728</v>
      </c>
      <c r="D474" s="9" t="s">
        <v>234</v>
      </c>
      <c r="E474" s="9" t="s">
        <v>656</v>
      </c>
      <c r="F474" s="9" t="s">
        <v>127</v>
      </c>
      <c r="G474" s="225" t="s">
        <v>809</v>
      </c>
      <c r="H474" s="9" t="s">
        <v>831</v>
      </c>
      <c r="I474" s="55">
        <f>COUNTIF('LOGBOOK VIEWER'!$B$7:$B$10600,$A474)</f>
        <v>0</v>
      </c>
      <c r="J474" s="10">
        <v>0</v>
      </c>
      <c r="K474" s="10">
        <f>I474*J474</f>
        <v>0</v>
      </c>
    </row>
    <row r="475" spans="1:11" ht="42.75" x14ac:dyDescent="0.2">
      <c r="A475" s="28">
        <v>3078</v>
      </c>
      <c r="B475" s="9" t="s">
        <v>729</v>
      </c>
      <c r="C475" s="9" t="s">
        <v>730</v>
      </c>
      <c r="D475" s="9" t="s">
        <v>234</v>
      </c>
      <c r="E475" s="9" t="s">
        <v>656</v>
      </c>
      <c r="F475" s="9" t="s">
        <v>127</v>
      </c>
      <c r="G475" s="225" t="s">
        <v>809</v>
      </c>
      <c r="H475" s="9" t="s">
        <v>831</v>
      </c>
      <c r="I475" s="55">
        <f>COUNTIF('LOGBOOK VIEWER'!$B$7:$B$10600,$A475)</f>
        <v>17</v>
      </c>
      <c r="J475" s="10">
        <v>0</v>
      </c>
      <c r="K475" s="10">
        <f>I475*J475</f>
        <v>0</v>
      </c>
    </row>
    <row r="476" spans="1:11" ht="42.75" x14ac:dyDescent="0.2">
      <c r="A476" s="28">
        <v>3079</v>
      </c>
      <c r="B476" s="9" t="s">
        <v>731</v>
      </c>
      <c r="C476" s="9" t="s">
        <v>732</v>
      </c>
      <c r="D476" s="9" t="s">
        <v>234</v>
      </c>
      <c r="E476" s="9" t="s">
        <v>656</v>
      </c>
      <c r="F476" s="9" t="s">
        <v>127</v>
      </c>
      <c r="G476" s="225" t="s">
        <v>809</v>
      </c>
      <c r="H476" s="9" t="s">
        <v>831</v>
      </c>
      <c r="I476" s="55">
        <f>COUNTIF('LOGBOOK VIEWER'!$B$7:$B$10600,$A476)</f>
        <v>16</v>
      </c>
      <c r="J476" s="10">
        <v>0</v>
      </c>
      <c r="K476" s="10">
        <f>I476*J476</f>
        <v>0</v>
      </c>
    </row>
    <row r="477" spans="1:11" ht="42.75" x14ac:dyDescent="0.2">
      <c r="A477" s="28">
        <v>3080</v>
      </c>
      <c r="B477" s="9" t="s">
        <v>733</v>
      </c>
      <c r="C477" s="9" t="s">
        <v>734</v>
      </c>
      <c r="D477" s="9" t="s">
        <v>234</v>
      </c>
      <c r="E477" s="9" t="s">
        <v>656</v>
      </c>
      <c r="F477" s="9" t="s">
        <v>127</v>
      </c>
      <c r="G477" s="225" t="s">
        <v>809</v>
      </c>
      <c r="H477" s="9" t="s">
        <v>831</v>
      </c>
      <c r="I477" s="55">
        <f>COUNTIF('LOGBOOK VIEWER'!$B$7:$B$10600,$A477)</f>
        <v>20</v>
      </c>
      <c r="J477" s="10">
        <v>0</v>
      </c>
      <c r="K477" s="10">
        <f>I477*J477</f>
        <v>0</v>
      </c>
    </row>
    <row r="478" spans="1:11" ht="42.75" x14ac:dyDescent="0.2">
      <c r="A478" s="28">
        <v>3081</v>
      </c>
      <c r="B478" s="9" t="s">
        <v>735</v>
      </c>
      <c r="C478" s="9" t="s">
        <v>736</v>
      </c>
      <c r="D478" s="9" t="s">
        <v>234</v>
      </c>
      <c r="E478" s="9" t="s">
        <v>656</v>
      </c>
      <c r="F478" s="9" t="s">
        <v>127</v>
      </c>
      <c r="G478" s="225" t="s">
        <v>809</v>
      </c>
      <c r="H478" s="9" t="s">
        <v>831</v>
      </c>
      <c r="I478" s="55">
        <f>COUNTIF('LOGBOOK VIEWER'!$B$7:$B$10600,$A478)</f>
        <v>5</v>
      </c>
      <c r="J478" s="10">
        <v>0</v>
      </c>
      <c r="K478" s="10">
        <f>I478*J478</f>
        <v>0</v>
      </c>
    </row>
    <row r="479" spans="1:11" ht="42.75" x14ac:dyDescent="0.2">
      <c r="A479" s="28">
        <v>3082</v>
      </c>
      <c r="B479" s="9" t="s">
        <v>737</v>
      </c>
      <c r="C479" s="9" t="s">
        <v>738</v>
      </c>
      <c r="D479" s="9" t="s">
        <v>234</v>
      </c>
      <c r="E479" s="9" t="s">
        <v>656</v>
      </c>
      <c r="F479" s="9" t="s">
        <v>127</v>
      </c>
      <c r="G479" s="225" t="s">
        <v>809</v>
      </c>
      <c r="H479" s="9" t="s">
        <v>831</v>
      </c>
      <c r="I479" s="55">
        <f>COUNTIF('LOGBOOK VIEWER'!$B$7:$B$10600,$A479)</f>
        <v>0</v>
      </c>
      <c r="J479" s="10">
        <v>0</v>
      </c>
      <c r="K479" s="10">
        <f>I479*J479</f>
        <v>0</v>
      </c>
    </row>
    <row r="480" spans="1:11" ht="42.75" x14ac:dyDescent="0.2">
      <c r="A480" s="28">
        <v>3083</v>
      </c>
      <c r="B480" s="9" t="s">
        <v>739</v>
      </c>
      <c r="C480" s="9" t="s">
        <v>741</v>
      </c>
      <c r="D480" s="9" t="s">
        <v>234</v>
      </c>
      <c r="E480" s="9" t="s">
        <v>656</v>
      </c>
      <c r="F480" s="9" t="s">
        <v>127</v>
      </c>
      <c r="G480" s="225" t="s">
        <v>809</v>
      </c>
      <c r="H480" s="9" t="s">
        <v>831</v>
      </c>
      <c r="I480" s="55">
        <f>COUNTIF('LOGBOOK VIEWER'!$B$7:$B$10600,$A480)</f>
        <v>0</v>
      </c>
      <c r="J480" s="10">
        <v>0</v>
      </c>
      <c r="K480" s="10">
        <f>I480*J480</f>
        <v>0</v>
      </c>
    </row>
    <row r="481" spans="1:11" ht="42.75" x14ac:dyDescent="0.2">
      <c r="A481" s="28">
        <v>3084</v>
      </c>
      <c r="B481" s="9" t="s">
        <v>695</v>
      </c>
      <c r="C481" s="9" t="s">
        <v>222</v>
      </c>
      <c r="D481" s="9" t="s">
        <v>234</v>
      </c>
      <c r="E481" s="9" t="s">
        <v>702</v>
      </c>
      <c r="F481" s="9" t="s">
        <v>125</v>
      </c>
      <c r="G481" s="225" t="s">
        <v>809</v>
      </c>
      <c r="H481" s="9" t="s">
        <v>831</v>
      </c>
      <c r="I481" s="55">
        <f>COUNTIF('LOGBOOK VIEWER'!$B$7:$B$10600,$A481)</f>
        <v>5</v>
      </c>
      <c r="J481" s="10">
        <v>0</v>
      </c>
      <c r="K481" s="10">
        <f>I481*J481</f>
        <v>0</v>
      </c>
    </row>
    <row r="482" spans="1:11" ht="42.75" x14ac:dyDescent="0.2">
      <c r="A482" s="28">
        <v>3085</v>
      </c>
      <c r="B482" s="9" t="s">
        <v>223</v>
      </c>
      <c r="C482" s="9" t="s">
        <v>224</v>
      </c>
      <c r="D482" s="9" t="s">
        <v>234</v>
      </c>
      <c r="E482" s="9" t="s">
        <v>702</v>
      </c>
      <c r="F482" s="9" t="s">
        <v>125</v>
      </c>
      <c r="G482" s="225" t="s">
        <v>809</v>
      </c>
      <c r="H482" s="9" t="s">
        <v>831</v>
      </c>
      <c r="I482" s="55">
        <f>COUNTIF('LOGBOOK VIEWER'!$B$7:$B$10600,$A482)</f>
        <v>0</v>
      </c>
      <c r="J482" s="10">
        <v>0</v>
      </c>
      <c r="K482" s="10">
        <f>I482*J482</f>
        <v>0</v>
      </c>
    </row>
    <row r="483" spans="1:11" ht="57" x14ac:dyDescent="0.2">
      <c r="A483" s="28">
        <v>3086</v>
      </c>
      <c r="B483" s="9" t="s">
        <v>225</v>
      </c>
      <c r="C483" s="9" t="s">
        <v>226</v>
      </c>
      <c r="D483" s="9" t="s">
        <v>234</v>
      </c>
      <c r="E483" s="9" t="s">
        <v>702</v>
      </c>
      <c r="F483" s="9" t="s">
        <v>125</v>
      </c>
      <c r="G483" s="225" t="s">
        <v>809</v>
      </c>
      <c r="H483" s="9" t="s">
        <v>831</v>
      </c>
      <c r="I483" s="55">
        <f>COUNTIF('LOGBOOK VIEWER'!$B$7:$B$10600,$A483)</f>
        <v>0</v>
      </c>
      <c r="J483" s="10">
        <v>0</v>
      </c>
      <c r="K483" s="10">
        <f>I483*J483</f>
        <v>0</v>
      </c>
    </row>
    <row r="484" spans="1:11" ht="28.5" x14ac:dyDescent="0.2">
      <c r="A484" s="28">
        <v>3087</v>
      </c>
      <c r="B484" s="9" t="s">
        <v>227</v>
      </c>
      <c r="C484" s="9" t="s">
        <v>228</v>
      </c>
      <c r="D484" s="9" t="s">
        <v>234</v>
      </c>
      <c r="E484" s="9" t="s">
        <v>702</v>
      </c>
      <c r="F484" s="9" t="s">
        <v>125</v>
      </c>
      <c r="G484" s="225" t="s">
        <v>809</v>
      </c>
      <c r="H484" s="9" t="s">
        <v>831</v>
      </c>
      <c r="I484" s="55">
        <f>COUNTIF('LOGBOOK VIEWER'!$B$7:$B$10600,$A484)</f>
        <v>0</v>
      </c>
      <c r="J484" s="10">
        <v>0</v>
      </c>
      <c r="K484" s="10">
        <f>I484*J484</f>
        <v>0</v>
      </c>
    </row>
    <row r="485" spans="1:11" ht="28.5" x14ac:dyDescent="0.2">
      <c r="A485" s="28">
        <v>3088</v>
      </c>
      <c r="B485" s="9" t="s">
        <v>703</v>
      </c>
      <c r="C485" s="9" t="s">
        <v>704</v>
      </c>
      <c r="D485" s="9" t="s">
        <v>234</v>
      </c>
      <c r="E485" s="9" t="s">
        <v>702</v>
      </c>
      <c r="F485" s="9" t="s">
        <v>125</v>
      </c>
      <c r="G485" s="225" t="s">
        <v>809</v>
      </c>
      <c r="H485" s="9" t="s">
        <v>831</v>
      </c>
      <c r="I485" s="55">
        <f>COUNTIF('LOGBOOK VIEWER'!$B$7:$B$10600,$A485)</f>
        <v>13</v>
      </c>
      <c r="J485" s="10">
        <v>0</v>
      </c>
      <c r="K485" s="10">
        <f>I485*J485</f>
        <v>0</v>
      </c>
    </row>
    <row r="486" spans="1:11" ht="57" x14ac:dyDescent="0.2">
      <c r="A486" s="28">
        <v>3089</v>
      </c>
      <c r="B486" s="9" t="s">
        <v>705</v>
      </c>
      <c r="C486" s="9" t="s">
        <v>706</v>
      </c>
      <c r="D486" s="9" t="s">
        <v>234</v>
      </c>
      <c r="E486" s="9" t="s">
        <v>235</v>
      </c>
      <c r="F486" s="9" t="s">
        <v>126</v>
      </c>
      <c r="G486" s="225" t="s">
        <v>809</v>
      </c>
      <c r="H486" s="9" t="s">
        <v>831</v>
      </c>
      <c r="I486" s="55">
        <f>COUNTIF('LOGBOOK VIEWER'!$B$7:$B$10600,$A486)</f>
        <v>39</v>
      </c>
      <c r="J486" s="10">
        <v>0</v>
      </c>
      <c r="K486" s="10">
        <f>I486*J486</f>
        <v>0</v>
      </c>
    </row>
    <row r="487" spans="1:11" ht="28.5" x14ac:dyDescent="0.2">
      <c r="A487" s="28">
        <v>3090</v>
      </c>
      <c r="B487" s="9" t="s">
        <v>707</v>
      </c>
      <c r="C487" s="9" t="s">
        <v>708</v>
      </c>
      <c r="D487" s="9" t="s">
        <v>234</v>
      </c>
      <c r="E487" s="9" t="s">
        <v>702</v>
      </c>
      <c r="F487" s="9" t="s">
        <v>125</v>
      </c>
      <c r="G487" s="225" t="s">
        <v>809</v>
      </c>
      <c r="H487" s="9" t="s">
        <v>831</v>
      </c>
      <c r="I487" s="55">
        <f>COUNTIF('LOGBOOK VIEWER'!$B$7:$B$10600,$A487)</f>
        <v>1</v>
      </c>
      <c r="J487" s="10">
        <v>0</v>
      </c>
      <c r="K487" s="10">
        <f>I487*J487</f>
        <v>0</v>
      </c>
    </row>
    <row r="488" spans="1:11" ht="28.5" x14ac:dyDescent="0.2">
      <c r="A488" s="28">
        <v>3091</v>
      </c>
      <c r="B488" s="9" t="s">
        <v>574</v>
      </c>
      <c r="C488" s="9" t="s">
        <v>575</v>
      </c>
      <c r="D488" s="9" t="s">
        <v>234</v>
      </c>
      <c r="E488" s="9" t="s">
        <v>702</v>
      </c>
      <c r="F488" s="9" t="s">
        <v>125</v>
      </c>
      <c r="G488" s="225" t="s">
        <v>809</v>
      </c>
      <c r="H488" s="9" t="s">
        <v>831</v>
      </c>
      <c r="I488" s="55">
        <f>COUNTIF('LOGBOOK VIEWER'!$B$7:$B$10600,$A488)</f>
        <v>0</v>
      </c>
      <c r="J488" s="10">
        <v>0</v>
      </c>
      <c r="K488" s="10">
        <f>I488*J488</f>
        <v>0</v>
      </c>
    </row>
    <row r="489" spans="1:11" ht="28.5" x14ac:dyDescent="0.2">
      <c r="A489" s="28">
        <v>3092</v>
      </c>
      <c r="B489" s="9" t="s">
        <v>576</v>
      </c>
      <c r="C489" s="9" t="s">
        <v>577</v>
      </c>
      <c r="D489" s="9" t="s">
        <v>234</v>
      </c>
      <c r="E489" s="9" t="s">
        <v>702</v>
      </c>
      <c r="F489" s="9" t="s">
        <v>831</v>
      </c>
      <c r="G489" s="225" t="s">
        <v>809</v>
      </c>
      <c r="H489" s="9" t="s">
        <v>831</v>
      </c>
      <c r="I489" s="55">
        <f>COUNTIF('LOGBOOK VIEWER'!$B$7:$B$10600,$A489)</f>
        <v>0</v>
      </c>
      <c r="J489" s="10">
        <v>0</v>
      </c>
      <c r="K489" s="10">
        <f>I489*J489</f>
        <v>0</v>
      </c>
    </row>
    <row r="490" spans="1:11" ht="28.5" x14ac:dyDescent="0.2">
      <c r="A490" s="28">
        <v>3093</v>
      </c>
      <c r="B490" s="9" t="s">
        <v>578</v>
      </c>
      <c r="C490" s="9" t="s">
        <v>579</v>
      </c>
      <c r="D490" s="9" t="s">
        <v>234</v>
      </c>
      <c r="E490" s="9" t="s">
        <v>702</v>
      </c>
      <c r="F490" s="9" t="s">
        <v>831</v>
      </c>
      <c r="G490" s="225" t="s">
        <v>809</v>
      </c>
      <c r="H490" s="9" t="s">
        <v>831</v>
      </c>
      <c r="I490" s="55">
        <f>COUNTIF('LOGBOOK VIEWER'!$B$7:$B$10600,$A490)</f>
        <v>0</v>
      </c>
      <c r="J490" s="10">
        <v>0</v>
      </c>
      <c r="K490" s="10">
        <f>I490*J490</f>
        <v>0</v>
      </c>
    </row>
    <row r="491" spans="1:11" ht="28.5" x14ac:dyDescent="0.2">
      <c r="A491" s="28">
        <v>3094</v>
      </c>
      <c r="B491" s="9" t="s">
        <v>580</v>
      </c>
      <c r="C491" s="9" t="s">
        <v>581</v>
      </c>
      <c r="D491" s="9" t="s">
        <v>234</v>
      </c>
      <c r="E491" s="9" t="s">
        <v>702</v>
      </c>
      <c r="F491" s="9" t="s">
        <v>126</v>
      </c>
      <c r="G491" s="225" t="s">
        <v>809</v>
      </c>
      <c r="H491" s="9" t="s">
        <v>831</v>
      </c>
      <c r="I491" s="55">
        <f>COUNTIF('LOGBOOK VIEWER'!$B$7:$B$10600,$A491)</f>
        <v>0</v>
      </c>
      <c r="J491" s="10">
        <v>0</v>
      </c>
      <c r="K491" s="10">
        <f>I491*J491</f>
        <v>0</v>
      </c>
    </row>
    <row r="492" spans="1:11" ht="42.75" x14ac:dyDescent="0.2">
      <c r="A492" s="28">
        <v>3095</v>
      </c>
      <c r="B492" s="9" t="s">
        <v>582</v>
      </c>
      <c r="C492" s="9" t="s">
        <v>583</v>
      </c>
      <c r="D492" s="9" t="s">
        <v>234</v>
      </c>
      <c r="E492" s="9" t="s">
        <v>702</v>
      </c>
      <c r="F492" s="9" t="s">
        <v>126</v>
      </c>
      <c r="G492" s="225" t="s">
        <v>809</v>
      </c>
      <c r="H492" s="9" t="s">
        <v>831</v>
      </c>
      <c r="I492" s="55">
        <f>COUNTIF('LOGBOOK VIEWER'!$B$7:$B$10600,$A492)</f>
        <v>0</v>
      </c>
      <c r="J492" s="10">
        <v>0</v>
      </c>
      <c r="K492" s="10">
        <f>I492*J492</f>
        <v>0</v>
      </c>
    </row>
    <row r="493" spans="1:11" ht="42.75" x14ac:dyDescent="0.2">
      <c r="A493" s="28">
        <v>3096</v>
      </c>
      <c r="B493" s="9" t="s">
        <v>584</v>
      </c>
      <c r="C493" s="9" t="s">
        <v>585</v>
      </c>
      <c r="D493" s="9" t="s">
        <v>234</v>
      </c>
      <c r="E493" s="9" t="s">
        <v>702</v>
      </c>
      <c r="F493" s="9" t="s">
        <v>126</v>
      </c>
      <c r="G493" s="225" t="s">
        <v>809</v>
      </c>
      <c r="H493" s="9" t="s">
        <v>831</v>
      </c>
      <c r="I493" s="55">
        <f>COUNTIF('LOGBOOK VIEWER'!$B$7:$B$10600,$A493)</f>
        <v>2</v>
      </c>
      <c r="J493" s="10">
        <v>0</v>
      </c>
      <c r="K493" s="10">
        <f>I493*J493</f>
        <v>0</v>
      </c>
    </row>
    <row r="494" spans="1:11" ht="85.5" x14ac:dyDescent="0.2">
      <c r="A494" s="28">
        <v>3097</v>
      </c>
      <c r="B494" s="9" t="s">
        <v>929</v>
      </c>
      <c r="C494" s="9" t="s">
        <v>930</v>
      </c>
      <c r="D494" s="9" t="s">
        <v>234</v>
      </c>
      <c r="E494" s="9" t="s">
        <v>702</v>
      </c>
      <c r="F494" s="9" t="s">
        <v>126</v>
      </c>
      <c r="G494" s="225" t="s">
        <v>809</v>
      </c>
      <c r="H494" s="9" t="s">
        <v>831</v>
      </c>
      <c r="I494" s="55">
        <f>COUNTIF('LOGBOOK VIEWER'!$B$7:$B$10600,$A494)</f>
        <v>0</v>
      </c>
      <c r="J494" s="10">
        <v>0</v>
      </c>
      <c r="K494" s="10">
        <f>I494*J494</f>
        <v>0</v>
      </c>
    </row>
    <row r="495" spans="1:11" ht="42.75" x14ac:dyDescent="0.2">
      <c r="A495" s="28">
        <v>3098</v>
      </c>
      <c r="B495" s="9" t="s">
        <v>586</v>
      </c>
      <c r="C495" s="9" t="s">
        <v>587</v>
      </c>
      <c r="D495" s="9" t="s">
        <v>234</v>
      </c>
      <c r="E495" s="9" t="s">
        <v>702</v>
      </c>
      <c r="F495" s="9" t="s">
        <v>126</v>
      </c>
      <c r="G495" s="225" t="s">
        <v>809</v>
      </c>
      <c r="H495" s="9" t="s">
        <v>831</v>
      </c>
      <c r="I495" s="55">
        <f>COUNTIF('LOGBOOK VIEWER'!$B$7:$B$10600,$A495)</f>
        <v>0</v>
      </c>
      <c r="J495" s="10">
        <v>0</v>
      </c>
      <c r="K495" s="10">
        <f>I495*J495</f>
        <v>0</v>
      </c>
    </row>
    <row r="496" spans="1:11" ht="42.75" x14ac:dyDescent="0.2">
      <c r="A496" s="28">
        <v>3099</v>
      </c>
      <c r="B496" s="9" t="s">
        <v>588</v>
      </c>
      <c r="C496" s="9" t="s">
        <v>589</v>
      </c>
      <c r="D496" s="9" t="s">
        <v>234</v>
      </c>
      <c r="E496" s="9" t="s">
        <v>702</v>
      </c>
      <c r="F496" s="9" t="s">
        <v>126</v>
      </c>
      <c r="G496" s="225" t="s">
        <v>809</v>
      </c>
      <c r="H496" s="9" t="s">
        <v>831</v>
      </c>
      <c r="I496" s="55">
        <f>COUNTIF('LOGBOOK VIEWER'!$B$7:$B$10600,$A496)</f>
        <v>0</v>
      </c>
      <c r="J496" s="10">
        <v>0</v>
      </c>
      <c r="K496" s="10">
        <f>I496*J496</f>
        <v>0</v>
      </c>
    </row>
    <row r="497" spans="1:11" ht="28.5" x14ac:dyDescent="0.2">
      <c r="A497" s="28">
        <v>3100</v>
      </c>
      <c r="B497" s="9" t="s">
        <v>742</v>
      </c>
      <c r="C497" s="9" t="s">
        <v>743</v>
      </c>
      <c r="D497" s="9" t="s">
        <v>234</v>
      </c>
      <c r="E497" s="9" t="s">
        <v>677</v>
      </c>
      <c r="F497" s="9" t="s">
        <v>127</v>
      </c>
      <c r="G497" s="225" t="s">
        <v>809</v>
      </c>
      <c r="H497" s="9" t="s">
        <v>831</v>
      </c>
      <c r="I497" s="55">
        <f>COUNTIF('LOGBOOK VIEWER'!$B$7:$B$10600,$A497)</f>
        <v>1</v>
      </c>
      <c r="J497" s="10">
        <v>0</v>
      </c>
      <c r="K497" s="10">
        <f>I497*J497</f>
        <v>0</v>
      </c>
    </row>
    <row r="498" spans="1:11" ht="28.5" x14ac:dyDescent="0.2">
      <c r="A498" s="28">
        <v>3101</v>
      </c>
      <c r="B498" s="9" t="s">
        <v>744</v>
      </c>
      <c r="C498" s="9" t="s">
        <v>745</v>
      </c>
      <c r="D498" s="9" t="s">
        <v>234</v>
      </c>
      <c r="E498" s="9" t="s">
        <v>677</v>
      </c>
      <c r="F498" s="9" t="s">
        <v>127</v>
      </c>
      <c r="G498" s="225" t="s">
        <v>809</v>
      </c>
      <c r="H498" s="9" t="s">
        <v>831</v>
      </c>
      <c r="I498" s="55">
        <f>COUNTIF('LOGBOOK VIEWER'!$B$7:$B$10600,$A498)</f>
        <v>0</v>
      </c>
      <c r="J498" s="10">
        <v>0</v>
      </c>
      <c r="K498" s="10">
        <f>I498*J498</f>
        <v>0</v>
      </c>
    </row>
    <row r="499" spans="1:11" ht="28.5" x14ac:dyDescent="0.2">
      <c r="A499" s="28">
        <v>3102</v>
      </c>
      <c r="B499" s="9" t="s">
        <v>746</v>
      </c>
      <c r="C499" s="9" t="s">
        <v>745</v>
      </c>
      <c r="D499" s="9" t="s">
        <v>234</v>
      </c>
      <c r="E499" s="9" t="s">
        <v>677</v>
      </c>
      <c r="F499" s="9" t="s">
        <v>127</v>
      </c>
      <c r="G499" s="225" t="s">
        <v>809</v>
      </c>
      <c r="H499" s="9" t="s">
        <v>831</v>
      </c>
      <c r="I499" s="55">
        <f>COUNTIF('LOGBOOK VIEWER'!$B$7:$B$10600,$A499)</f>
        <v>0</v>
      </c>
      <c r="J499" s="10">
        <v>0</v>
      </c>
      <c r="K499" s="10">
        <f>I499*J499</f>
        <v>0</v>
      </c>
    </row>
    <row r="500" spans="1:11" ht="28.5" x14ac:dyDescent="0.2">
      <c r="A500" s="28">
        <v>3103</v>
      </c>
      <c r="B500" s="9" t="s">
        <v>748</v>
      </c>
      <c r="C500" s="9" t="s">
        <v>749</v>
      </c>
      <c r="D500" s="9" t="s">
        <v>234</v>
      </c>
      <c r="E500" s="9" t="s">
        <v>677</v>
      </c>
      <c r="F500" s="9" t="s">
        <v>127</v>
      </c>
      <c r="G500" s="225" t="s">
        <v>809</v>
      </c>
      <c r="H500" s="9" t="s">
        <v>831</v>
      </c>
      <c r="I500" s="55">
        <f>COUNTIF('LOGBOOK VIEWER'!$B$7:$B$10600,$A500)</f>
        <v>0</v>
      </c>
      <c r="J500" s="10">
        <v>0</v>
      </c>
      <c r="K500" s="10">
        <f>I500*J500</f>
        <v>0</v>
      </c>
    </row>
    <row r="501" spans="1:11" ht="42.75" x14ac:dyDescent="0.2">
      <c r="A501" s="28">
        <v>3104</v>
      </c>
      <c r="B501" s="9" t="s">
        <v>750</v>
      </c>
      <c r="C501" s="9" t="s">
        <v>751</v>
      </c>
      <c r="D501" s="9" t="s">
        <v>234</v>
      </c>
      <c r="E501" s="9" t="s">
        <v>677</v>
      </c>
      <c r="F501" s="9" t="s">
        <v>127</v>
      </c>
      <c r="G501" s="225" t="s">
        <v>809</v>
      </c>
      <c r="H501" s="9" t="s">
        <v>831</v>
      </c>
      <c r="I501" s="55">
        <f>COUNTIF('LOGBOOK VIEWER'!$B$7:$B$10600,$A501)</f>
        <v>0</v>
      </c>
      <c r="J501" s="10">
        <v>0</v>
      </c>
      <c r="K501" s="10">
        <f>I501*J501</f>
        <v>0</v>
      </c>
    </row>
    <row r="502" spans="1:11" ht="42.75" x14ac:dyDescent="0.2">
      <c r="A502" s="28">
        <v>3105</v>
      </c>
      <c r="B502" s="9" t="s">
        <v>752</v>
      </c>
      <c r="C502" s="9" t="s">
        <v>753</v>
      </c>
      <c r="D502" s="9" t="s">
        <v>234</v>
      </c>
      <c r="E502" s="9" t="s">
        <v>677</v>
      </c>
      <c r="F502" s="9" t="s">
        <v>127</v>
      </c>
      <c r="G502" s="225" t="s">
        <v>809</v>
      </c>
      <c r="H502" s="9" t="s">
        <v>831</v>
      </c>
      <c r="I502" s="55">
        <f>COUNTIF('LOGBOOK VIEWER'!$B$7:$B$10600,$A502)</f>
        <v>0</v>
      </c>
      <c r="J502" s="10">
        <v>0</v>
      </c>
      <c r="K502" s="10">
        <f>I502*J502</f>
        <v>0</v>
      </c>
    </row>
    <row r="503" spans="1:11" ht="28.5" x14ac:dyDescent="0.2">
      <c r="A503" s="28">
        <v>3106</v>
      </c>
      <c r="B503" s="9" t="s">
        <v>467</v>
      </c>
      <c r="C503" s="9" t="s">
        <v>468</v>
      </c>
      <c r="D503" s="9" t="s">
        <v>234</v>
      </c>
      <c r="E503" s="9" t="s">
        <v>677</v>
      </c>
      <c r="F503" s="9" t="s">
        <v>127</v>
      </c>
      <c r="G503" s="225" t="s">
        <v>809</v>
      </c>
      <c r="H503" s="9" t="s">
        <v>831</v>
      </c>
      <c r="I503" s="55">
        <f>COUNTIF('LOGBOOK VIEWER'!$B$7:$B$10600,$A503)</f>
        <v>26</v>
      </c>
      <c r="J503" s="10">
        <v>0</v>
      </c>
      <c r="K503" s="10">
        <f>I503*J503</f>
        <v>0</v>
      </c>
    </row>
    <row r="504" spans="1:11" ht="28.5" x14ac:dyDescent="0.2">
      <c r="A504" s="28">
        <v>3107</v>
      </c>
      <c r="B504" s="9" t="s">
        <v>469</v>
      </c>
      <c r="C504" s="9" t="s">
        <v>470</v>
      </c>
      <c r="D504" s="9" t="s">
        <v>234</v>
      </c>
      <c r="E504" s="9" t="s">
        <v>677</v>
      </c>
      <c r="F504" s="9" t="s">
        <v>127</v>
      </c>
      <c r="G504" s="225" t="s">
        <v>809</v>
      </c>
      <c r="H504" s="9" t="s">
        <v>831</v>
      </c>
      <c r="I504" s="55">
        <f>COUNTIF('LOGBOOK VIEWER'!$B$7:$B$10600,$A504)</f>
        <v>2</v>
      </c>
      <c r="J504" s="10">
        <v>0</v>
      </c>
      <c r="K504" s="10">
        <f>I504*J504</f>
        <v>0</v>
      </c>
    </row>
    <row r="505" spans="1:11" x14ac:dyDescent="0.2">
      <c r="A505" s="28">
        <v>3108</v>
      </c>
      <c r="B505" s="9" t="s">
        <v>471</v>
      </c>
      <c r="C505" s="9" t="s">
        <v>472</v>
      </c>
      <c r="D505" s="9" t="s">
        <v>234</v>
      </c>
      <c r="E505" s="9" t="s">
        <v>677</v>
      </c>
      <c r="F505" s="9" t="s">
        <v>127</v>
      </c>
      <c r="G505" s="225" t="s">
        <v>809</v>
      </c>
      <c r="H505" s="9" t="s">
        <v>831</v>
      </c>
      <c r="I505" s="55">
        <f>COUNTIF('LOGBOOK VIEWER'!$B$7:$B$10600,$A505)</f>
        <v>18</v>
      </c>
      <c r="J505" s="10">
        <v>0</v>
      </c>
      <c r="K505" s="10">
        <f>I505*J505</f>
        <v>0</v>
      </c>
    </row>
    <row r="506" spans="1:11" ht="42.75" x14ac:dyDescent="0.2">
      <c r="A506" s="28">
        <v>3109</v>
      </c>
      <c r="B506" s="9" t="s">
        <v>473</v>
      </c>
      <c r="C506" s="9" t="s">
        <v>474</v>
      </c>
      <c r="D506" s="9" t="s">
        <v>234</v>
      </c>
      <c r="E506" s="9" t="s">
        <v>677</v>
      </c>
      <c r="F506" s="9" t="s">
        <v>127</v>
      </c>
      <c r="G506" s="225" t="s">
        <v>809</v>
      </c>
      <c r="H506" s="9" t="s">
        <v>831</v>
      </c>
      <c r="I506" s="55">
        <f>COUNTIF('LOGBOOK VIEWER'!$B$7:$B$10600,$A506)</f>
        <v>0</v>
      </c>
      <c r="J506" s="10">
        <v>0</v>
      </c>
      <c r="K506" s="10">
        <f>I506*J506</f>
        <v>0</v>
      </c>
    </row>
    <row r="507" spans="1:11" ht="28.5" x14ac:dyDescent="0.2">
      <c r="A507" s="28">
        <v>3110</v>
      </c>
      <c r="B507" s="9" t="s">
        <v>754</v>
      </c>
      <c r="C507" s="9" t="s">
        <v>755</v>
      </c>
      <c r="D507" s="9" t="s">
        <v>234</v>
      </c>
      <c r="E507" s="9" t="s">
        <v>677</v>
      </c>
      <c r="F507" s="9" t="s">
        <v>127</v>
      </c>
      <c r="G507" s="225" t="s">
        <v>809</v>
      </c>
      <c r="H507" s="9" t="s">
        <v>831</v>
      </c>
      <c r="I507" s="55">
        <f>COUNTIF('LOGBOOK VIEWER'!$B$7:$B$10600,$A507)</f>
        <v>11</v>
      </c>
      <c r="J507" s="10">
        <v>0</v>
      </c>
      <c r="K507" s="10">
        <f>I507*J507</f>
        <v>0</v>
      </c>
    </row>
    <row r="508" spans="1:11" ht="28.5" x14ac:dyDescent="0.2">
      <c r="A508" s="28">
        <v>3111</v>
      </c>
      <c r="B508" s="9" t="s">
        <v>756</v>
      </c>
      <c r="C508" s="9" t="s">
        <v>757</v>
      </c>
      <c r="D508" s="9" t="s">
        <v>234</v>
      </c>
      <c r="E508" s="9" t="s">
        <v>677</v>
      </c>
      <c r="F508" s="9" t="s">
        <v>127</v>
      </c>
      <c r="G508" s="225" t="s">
        <v>809</v>
      </c>
      <c r="H508" s="9" t="s">
        <v>831</v>
      </c>
      <c r="I508" s="55">
        <f>COUNTIF('LOGBOOK VIEWER'!$B$7:$B$10600,$A508)</f>
        <v>10</v>
      </c>
      <c r="J508" s="10">
        <v>0</v>
      </c>
      <c r="K508" s="10">
        <f>I508*J508</f>
        <v>0</v>
      </c>
    </row>
    <row r="509" spans="1:11" ht="28.5" x14ac:dyDescent="0.2">
      <c r="A509" s="28">
        <v>3112</v>
      </c>
      <c r="B509" s="9" t="s">
        <v>758</v>
      </c>
      <c r="C509" s="9" t="s">
        <v>759</v>
      </c>
      <c r="D509" s="9" t="s">
        <v>234</v>
      </c>
      <c r="E509" s="9" t="s">
        <v>677</v>
      </c>
      <c r="F509" s="9" t="s">
        <v>127</v>
      </c>
      <c r="G509" s="225" t="s">
        <v>809</v>
      </c>
      <c r="H509" s="9" t="s">
        <v>831</v>
      </c>
      <c r="I509" s="55">
        <f>COUNTIF('LOGBOOK VIEWER'!$B$7:$B$10600,$A509)</f>
        <v>6</v>
      </c>
      <c r="J509" s="10">
        <v>0</v>
      </c>
      <c r="K509" s="10">
        <f>I509*J509</f>
        <v>0</v>
      </c>
    </row>
    <row r="510" spans="1:11" ht="28.5" x14ac:dyDescent="0.2">
      <c r="A510" s="28">
        <v>3120</v>
      </c>
      <c r="B510" s="9" t="s">
        <v>760</v>
      </c>
      <c r="C510" s="9" t="s">
        <v>760</v>
      </c>
      <c r="D510" s="9" t="s">
        <v>234</v>
      </c>
      <c r="E510" s="9" t="s">
        <v>677</v>
      </c>
      <c r="F510" s="9" t="s">
        <v>127</v>
      </c>
      <c r="G510" s="225" t="s">
        <v>809</v>
      </c>
      <c r="H510" s="9" t="s">
        <v>831</v>
      </c>
      <c r="I510" s="55">
        <f>COUNTIF('LOGBOOK VIEWER'!$B$7:$B$10600,$A510)</f>
        <v>6</v>
      </c>
      <c r="J510" s="10">
        <v>0</v>
      </c>
      <c r="K510" s="10">
        <f>I510*J510</f>
        <v>0</v>
      </c>
    </row>
    <row r="511" spans="1:11" ht="28.5" x14ac:dyDescent="0.2">
      <c r="A511" s="28">
        <v>3130</v>
      </c>
      <c r="B511" s="9" t="s">
        <v>761</v>
      </c>
      <c r="C511" s="9" t="s">
        <v>762</v>
      </c>
      <c r="D511" s="9" t="s">
        <v>234</v>
      </c>
      <c r="E511" s="9" t="s">
        <v>677</v>
      </c>
      <c r="F511" s="9" t="s">
        <v>127</v>
      </c>
      <c r="G511" s="225" t="s">
        <v>809</v>
      </c>
      <c r="H511" s="9" t="s">
        <v>831</v>
      </c>
      <c r="I511" s="55">
        <f>COUNTIF('LOGBOOK VIEWER'!$B$7:$B$10600,$A511)</f>
        <v>0</v>
      </c>
      <c r="J511" s="10">
        <v>0</v>
      </c>
      <c r="K511" s="10">
        <f>I511*J511</f>
        <v>0</v>
      </c>
    </row>
    <row r="512" spans="1:11" ht="28.5" x14ac:dyDescent="0.2">
      <c r="A512" s="28">
        <v>3131</v>
      </c>
      <c r="B512" s="9" t="s">
        <v>763</v>
      </c>
      <c r="C512" s="9" t="s">
        <v>764</v>
      </c>
      <c r="D512" s="9" t="s">
        <v>234</v>
      </c>
      <c r="E512" s="9" t="s">
        <v>677</v>
      </c>
      <c r="F512" s="9" t="s">
        <v>831</v>
      </c>
      <c r="G512" s="225" t="s">
        <v>809</v>
      </c>
      <c r="H512" s="9" t="s">
        <v>831</v>
      </c>
      <c r="I512" s="55">
        <f>COUNTIF('LOGBOOK VIEWER'!$B$7:$B$10600,$A512)</f>
        <v>0</v>
      </c>
      <c r="J512" s="10">
        <v>0</v>
      </c>
      <c r="K512" s="10">
        <f>I512*J512</f>
        <v>0</v>
      </c>
    </row>
    <row r="513" spans="1:11" ht="28.5" x14ac:dyDescent="0.2">
      <c r="A513" s="28">
        <v>3132</v>
      </c>
      <c r="B513" s="9" t="s">
        <v>765</v>
      </c>
      <c r="C513" s="9" t="s">
        <v>766</v>
      </c>
      <c r="D513" s="9" t="s">
        <v>234</v>
      </c>
      <c r="E513" s="9" t="s">
        <v>677</v>
      </c>
      <c r="F513" s="9" t="s">
        <v>127</v>
      </c>
      <c r="G513" s="225" t="s">
        <v>809</v>
      </c>
      <c r="H513" s="9" t="s">
        <v>831</v>
      </c>
      <c r="I513" s="55">
        <f>COUNTIF('LOGBOOK VIEWER'!$B$7:$B$10600,$A513)</f>
        <v>0</v>
      </c>
      <c r="J513" s="10">
        <v>0</v>
      </c>
      <c r="K513" s="10">
        <f>I513*J513</f>
        <v>0</v>
      </c>
    </row>
    <row r="514" spans="1:11" ht="28.5" x14ac:dyDescent="0.2">
      <c r="A514" s="28">
        <v>3140</v>
      </c>
      <c r="B514" s="9" t="s">
        <v>767</v>
      </c>
      <c r="C514" s="9" t="s">
        <v>768</v>
      </c>
      <c r="D514" s="9" t="s">
        <v>234</v>
      </c>
      <c r="E514" s="9" t="s">
        <v>677</v>
      </c>
      <c r="F514" s="9" t="s">
        <v>127</v>
      </c>
      <c r="G514" s="225" t="s">
        <v>809</v>
      </c>
      <c r="H514" s="9" t="s">
        <v>831</v>
      </c>
      <c r="I514" s="55">
        <f>COUNTIF('LOGBOOK VIEWER'!$B$7:$B$10600,$A514)</f>
        <v>0</v>
      </c>
      <c r="J514" s="10">
        <v>0</v>
      </c>
      <c r="K514" s="10">
        <f>I514*J514</f>
        <v>0</v>
      </c>
    </row>
    <row r="515" spans="1:11" ht="28.5" x14ac:dyDescent="0.2">
      <c r="A515" s="28">
        <v>3141</v>
      </c>
      <c r="B515" s="9" t="s">
        <v>769</v>
      </c>
      <c r="C515" s="9" t="s">
        <v>770</v>
      </c>
      <c r="D515" s="9" t="s">
        <v>234</v>
      </c>
      <c r="E515" s="9" t="s">
        <v>677</v>
      </c>
      <c r="F515" s="9" t="s">
        <v>127</v>
      </c>
      <c r="G515" s="225" t="s">
        <v>809</v>
      </c>
      <c r="H515" s="9" t="s">
        <v>831</v>
      </c>
      <c r="I515" s="55">
        <f>COUNTIF('LOGBOOK VIEWER'!$B$7:$B$10600,$A515)</f>
        <v>0</v>
      </c>
      <c r="J515" s="10">
        <v>0</v>
      </c>
      <c r="K515" s="10">
        <f>I515*J515</f>
        <v>0</v>
      </c>
    </row>
    <row r="516" spans="1:11" ht="28.5" x14ac:dyDescent="0.2">
      <c r="A516" s="28">
        <v>3142</v>
      </c>
      <c r="B516" s="9" t="s">
        <v>771</v>
      </c>
      <c r="C516" s="9" t="s">
        <v>772</v>
      </c>
      <c r="D516" s="9" t="s">
        <v>234</v>
      </c>
      <c r="E516" s="9" t="s">
        <v>677</v>
      </c>
      <c r="F516" s="9" t="s">
        <v>127</v>
      </c>
      <c r="G516" s="225" t="s">
        <v>809</v>
      </c>
      <c r="H516" s="9" t="s">
        <v>831</v>
      </c>
      <c r="I516" s="55">
        <f>COUNTIF('LOGBOOK VIEWER'!$B$7:$B$10600,$A516)</f>
        <v>0</v>
      </c>
      <c r="J516" s="10">
        <v>0</v>
      </c>
      <c r="K516" s="10">
        <f>I516*J516</f>
        <v>0</v>
      </c>
    </row>
    <row r="517" spans="1:11" ht="28.5" x14ac:dyDescent="0.2">
      <c r="A517" s="28">
        <v>3145</v>
      </c>
      <c r="B517" s="9" t="s">
        <v>773</v>
      </c>
      <c r="C517" s="9" t="s">
        <v>774</v>
      </c>
      <c r="D517" s="9" t="s">
        <v>234</v>
      </c>
      <c r="E517" s="9" t="s">
        <v>656</v>
      </c>
      <c r="F517" s="9" t="s">
        <v>127</v>
      </c>
      <c r="G517" s="225" t="s">
        <v>809</v>
      </c>
      <c r="H517" s="9" t="s">
        <v>831</v>
      </c>
      <c r="I517" s="55">
        <f>COUNTIF('LOGBOOK VIEWER'!$B$7:$B$10600,$A517)</f>
        <v>1</v>
      </c>
      <c r="J517" s="10">
        <v>0</v>
      </c>
      <c r="K517" s="10">
        <f>I517*J517</f>
        <v>0</v>
      </c>
    </row>
    <row r="518" spans="1:11" ht="28.5" x14ac:dyDescent="0.2">
      <c r="A518" s="28">
        <v>3146</v>
      </c>
      <c r="B518" s="9" t="s">
        <v>689</v>
      </c>
      <c r="C518" s="9" t="s">
        <v>690</v>
      </c>
      <c r="D518" s="9" t="s">
        <v>234</v>
      </c>
      <c r="E518" s="9" t="s">
        <v>656</v>
      </c>
      <c r="F518" s="9" t="s">
        <v>127</v>
      </c>
      <c r="G518" s="225" t="s">
        <v>809</v>
      </c>
      <c r="H518" s="9" t="s">
        <v>831</v>
      </c>
      <c r="I518" s="55">
        <f>COUNTIF('LOGBOOK VIEWER'!$B$7:$B$10600,$A518)</f>
        <v>1</v>
      </c>
      <c r="J518" s="10">
        <v>0</v>
      </c>
      <c r="K518" s="10">
        <f>I518*J518</f>
        <v>0</v>
      </c>
    </row>
    <row r="519" spans="1:11" ht="28.5" x14ac:dyDescent="0.2">
      <c r="A519" s="28">
        <v>3147</v>
      </c>
      <c r="B519" s="9" t="s">
        <v>691</v>
      </c>
      <c r="C519" s="9" t="s">
        <v>692</v>
      </c>
      <c r="D519" s="9" t="s">
        <v>234</v>
      </c>
      <c r="E519" s="9" t="s">
        <v>656</v>
      </c>
      <c r="F519" s="9" t="s">
        <v>831</v>
      </c>
      <c r="G519" s="225" t="s">
        <v>809</v>
      </c>
      <c r="H519" s="9" t="s">
        <v>831</v>
      </c>
      <c r="I519" s="55">
        <f>COUNTIF('LOGBOOK VIEWER'!$B$7:$B$10600,$A519)</f>
        <v>1</v>
      </c>
      <c r="J519" s="10">
        <v>0</v>
      </c>
      <c r="K519" s="10">
        <f>I519*J519</f>
        <v>0</v>
      </c>
    </row>
    <row r="520" spans="1:11" ht="42.75" x14ac:dyDescent="0.2">
      <c r="A520" s="28">
        <v>3161</v>
      </c>
      <c r="B520" s="9" t="s">
        <v>331</v>
      </c>
      <c r="C520" s="9" t="s">
        <v>332</v>
      </c>
      <c r="D520" s="9" t="s">
        <v>234</v>
      </c>
      <c r="E520" s="9" t="s">
        <v>677</v>
      </c>
      <c r="F520" s="9" t="s">
        <v>831</v>
      </c>
      <c r="G520" s="225" t="s">
        <v>809</v>
      </c>
      <c r="H520" s="9" t="s">
        <v>831</v>
      </c>
      <c r="I520" s="55">
        <f>COUNTIF('LOGBOOK VIEWER'!$B$7:$B$10600,$A520)</f>
        <v>0</v>
      </c>
      <c r="J520" s="10">
        <v>0</v>
      </c>
      <c r="K520" s="10">
        <f>I520*J520</f>
        <v>0</v>
      </c>
    </row>
    <row r="521" spans="1:11" ht="42.75" x14ac:dyDescent="0.2">
      <c r="A521" s="28">
        <v>3164</v>
      </c>
      <c r="B521" s="9" t="s">
        <v>333</v>
      </c>
      <c r="C521" s="9" t="s">
        <v>335</v>
      </c>
      <c r="D521" s="9" t="s">
        <v>234</v>
      </c>
      <c r="E521" s="9" t="s">
        <v>677</v>
      </c>
      <c r="F521" s="9" t="s">
        <v>831</v>
      </c>
      <c r="G521" s="225" t="s">
        <v>809</v>
      </c>
      <c r="H521" s="9" t="s">
        <v>831</v>
      </c>
      <c r="I521" s="55">
        <f>COUNTIF('LOGBOOK VIEWER'!$B$7:$B$10600,$A521)</f>
        <v>0</v>
      </c>
      <c r="J521" s="10">
        <v>0</v>
      </c>
      <c r="K521" s="10">
        <f>I521*J521</f>
        <v>0</v>
      </c>
    </row>
    <row r="522" spans="1:11" ht="42.75" x14ac:dyDescent="0.2">
      <c r="A522" s="28">
        <v>3165</v>
      </c>
      <c r="B522" s="9" t="s">
        <v>336</v>
      </c>
      <c r="C522" s="9" t="s">
        <v>368</v>
      </c>
      <c r="D522" s="9" t="s">
        <v>234</v>
      </c>
      <c r="E522" s="9" t="s">
        <v>677</v>
      </c>
      <c r="F522" s="9" t="s">
        <v>127</v>
      </c>
      <c r="G522" s="225" t="s">
        <v>809</v>
      </c>
      <c r="H522" s="9" t="s">
        <v>831</v>
      </c>
      <c r="I522" s="55">
        <f>COUNTIF('LOGBOOK VIEWER'!$B$7:$B$10600,$A522)</f>
        <v>0</v>
      </c>
      <c r="J522" s="10">
        <v>0</v>
      </c>
      <c r="K522" s="10">
        <f>I522*J522</f>
        <v>0</v>
      </c>
    </row>
    <row r="523" spans="1:11" ht="42.75" x14ac:dyDescent="0.2">
      <c r="A523" s="28">
        <v>3166</v>
      </c>
      <c r="B523" s="9" t="s">
        <v>369</v>
      </c>
      <c r="C523" s="9" t="s">
        <v>370</v>
      </c>
      <c r="D523" s="9" t="s">
        <v>234</v>
      </c>
      <c r="E523" s="9" t="s">
        <v>677</v>
      </c>
      <c r="F523" s="9" t="s">
        <v>831</v>
      </c>
      <c r="G523" s="225" t="s">
        <v>809</v>
      </c>
      <c r="H523" s="9" t="s">
        <v>831</v>
      </c>
      <c r="I523" s="55">
        <f>COUNTIF('LOGBOOK VIEWER'!$B$7:$B$10600,$A523)</f>
        <v>0</v>
      </c>
      <c r="J523" s="10">
        <v>0</v>
      </c>
      <c r="K523" s="10">
        <f>I523*J523</f>
        <v>0</v>
      </c>
    </row>
    <row r="524" spans="1:11" ht="28.5" x14ac:dyDescent="0.2">
      <c r="A524" s="28">
        <v>3167</v>
      </c>
      <c r="B524" s="9" t="s">
        <v>371</v>
      </c>
      <c r="C524" s="9" t="s">
        <v>372</v>
      </c>
      <c r="D524" s="9" t="s">
        <v>234</v>
      </c>
      <c r="E524" s="9" t="s">
        <v>677</v>
      </c>
      <c r="F524" s="9" t="s">
        <v>831</v>
      </c>
      <c r="G524" s="225" t="s">
        <v>809</v>
      </c>
      <c r="H524" s="9" t="s">
        <v>831</v>
      </c>
      <c r="I524" s="55">
        <f>COUNTIF('LOGBOOK VIEWER'!$B$7:$B$10600,$A524)</f>
        <v>0</v>
      </c>
      <c r="J524" s="10">
        <v>0</v>
      </c>
      <c r="K524" s="10">
        <f>I524*J524</f>
        <v>0</v>
      </c>
    </row>
    <row r="525" spans="1:11" ht="28.5" x14ac:dyDescent="0.2">
      <c r="A525" s="28">
        <v>3168</v>
      </c>
      <c r="B525" s="9" t="s">
        <v>373</v>
      </c>
      <c r="C525" s="9" t="s">
        <v>374</v>
      </c>
      <c r="D525" s="9" t="s">
        <v>234</v>
      </c>
      <c r="E525" s="9" t="s">
        <v>677</v>
      </c>
      <c r="F525" s="9" t="s">
        <v>127</v>
      </c>
      <c r="G525" s="225" t="s">
        <v>809</v>
      </c>
      <c r="H525" s="9" t="s">
        <v>831</v>
      </c>
      <c r="I525" s="55">
        <f>COUNTIF('LOGBOOK VIEWER'!$B$7:$B$10600,$A525)</f>
        <v>0</v>
      </c>
      <c r="J525" s="10">
        <v>0</v>
      </c>
      <c r="K525" s="10">
        <f>I525*J525</f>
        <v>0</v>
      </c>
    </row>
    <row r="526" spans="1:11" ht="28.5" x14ac:dyDescent="0.2">
      <c r="A526" s="28">
        <v>3169</v>
      </c>
      <c r="B526" s="9" t="s">
        <v>375</v>
      </c>
      <c r="C526" s="9" t="s">
        <v>376</v>
      </c>
      <c r="D526" s="9" t="s">
        <v>234</v>
      </c>
      <c r="E526" s="9" t="s">
        <v>677</v>
      </c>
      <c r="F526" s="9" t="s">
        <v>831</v>
      </c>
      <c r="G526" s="225" t="s">
        <v>809</v>
      </c>
      <c r="H526" s="9" t="s">
        <v>831</v>
      </c>
      <c r="I526" s="55">
        <f>COUNTIF('LOGBOOK VIEWER'!$B$7:$B$10600,$A526)</f>
        <v>0</v>
      </c>
      <c r="J526" s="10">
        <v>0</v>
      </c>
      <c r="K526" s="10">
        <f>I526*J526</f>
        <v>0</v>
      </c>
    </row>
    <row r="527" spans="1:11" x14ac:dyDescent="0.2">
      <c r="A527" s="28">
        <v>3180</v>
      </c>
      <c r="B527" s="9" t="s">
        <v>475</v>
      </c>
      <c r="C527" s="9" t="s">
        <v>476</v>
      </c>
      <c r="D527" s="9" t="s">
        <v>234</v>
      </c>
      <c r="E527" s="9" t="s">
        <v>677</v>
      </c>
      <c r="F527" s="9" t="s">
        <v>831</v>
      </c>
      <c r="G527" s="225" t="s">
        <v>809</v>
      </c>
      <c r="H527" s="9" t="s">
        <v>831</v>
      </c>
      <c r="I527" s="55">
        <f>COUNTIF('LOGBOOK VIEWER'!$B$7:$B$10600,$A527)</f>
        <v>0</v>
      </c>
      <c r="J527" s="10">
        <v>0</v>
      </c>
      <c r="K527" s="10">
        <f>I527*J527</f>
        <v>0</v>
      </c>
    </row>
    <row r="528" spans="1:11" x14ac:dyDescent="0.2">
      <c r="A528" s="28">
        <v>3181</v>
      </c>
      <c r="B528" s="9" t="s">
        <v>477</v>
      </c>
      <c r="C528" s="9" t="s">
        <v>478</v>
      </c>
      <c r="D528" s="9" t="s">
        <v>234</v>
      </c>
      <c r="E528" s="9" t="s">
        <v>677</v>
      </c>
      <c r="F528" s="9" t="s">
        <v>831</v>
      </c>
      <c r="G528" s="225" t="s">
        <v>809</v>
      </c>
      <c r="H528" s="9" t="s">
        <v>831</v>
      </c>
      <c r="I528" s="55">
        <f>COUNTIF('LOGBOOK VIEWER'!$B$7:$B$10600,$A528)</f>
        <v>0</v>
      </c>
      <c r="J528" s="10">
        <v>0</v>
      </c>
      <c r="K528" s="10">
        <f>I528*J528</f>
        <v>0</v>
      </c>
    </row>
    <row r="529" spans="1:11" ht="57" x14ac:dyDescent="0.2">
      <c r="A529" s="28">
        <v>3182</v>
      </c>
      <c r="B529" s="9" t="s">
        <v>479</v>
      </c>
      <c r="C529" s="9" t="s">
        <v>480</v>
      </c>
      <c r="D529" s="9" t="s">
        <v>234</v>
      </c>
      <c r="E529" s="9" t="s">
        <v>677</v>
      </c>
      <c r="F529" s="9" t="s">
        <v>126</v>
      </c>
      <c r="G529" s="225" t="s">
        <v>809</v>
      </c>
      <c r="H529" s="9" t="s">
        <v>831</v>
      </c>
      <c r="I529" s="55">
        <f>COUNTIF('LOGBOOK VIEWER'!$B$7:$B$10600,$A529)</f>
        <v>0</v>
      </c>
      <c r="J529" s="10">
        <v>0</v>
      </c>
      <c r="K529" s="10">
        <f>I529*J529</f>
        <v>0</v>
      </c>
    </row>
    <row r="530" spans="1:11" ht="42.75" x14ac:dyDescent="0.2">
      <c r="A530" s="28">
        <v>3183</v>
      </c>
      <c r="B530" s="9" t="s">
        <v>481</v>
      </c>
      <c r="C530" s="9" t="s">
        <v>482</v>
      </c>
      <c r="D530" s="9" t="s">
        <v>234</v>
      </c>
      <c r="E530" s="9" t="s">
        <v>677</v>
      </c>
      <c r="F530" s="9" t="s">
        <v>126</v>
      </c>
      <c r="G530" s="225" t="s">
        <v>809</v>
      </c>
      <c r="H530" s="9" t="s">
        <v>831</v>
      </c>
      <c r="I530" s="55">
        <f>COUNTIF('LOGBOOK VIEWER'!$B$7:$B$10600,$A530)</f>
        <v>0</v>
      </c>
      <c r="J530" s="10">
        <v>0</v>
      </c>
      <c r="K530" s="10">
        <f>I530*J530</f>
        <v>0</v>
      </c>
    </row>
    <row r="531" spans="1:11" ht="42.75" x14ac:dyDescent="0.2">
      <c r="A531" s="28">
        <v>3184</v>
      </c>
      <c r="B531" s="9" t="s">
        <v>483</v>
      </c>
      <c r="C531" s="9" t="s">
        <v>484</v>
      </c>
      <c r="D531" s="9" t="s">
        <v>234</v>
      </c>
      <c r="E531" s="9" t="s">
        <v>677</v>
      </c>
      <c r="F531" s="9" t="s">
        <v>125</v>
      </c>
      <c r="G531" s="225" t="s">
        <v>809</v>
      </c>
      <c r="H531" s="9" t="s">
        <v>831</v>
      </c>
      <c r="I531" s="55">
        <f>COUNTIF('LOGBOOK VIEWER'!$B$7:$B$10600,$A531)</f>
        <v>0</v>
      </c>
      <c r="J531" s="10">
        <v>0</v>
      </c>
      <c r="K531" s="10">
        <f>I531*J531</f>
        <v>0</v>
      </c>
    </row>
    <row r="532" spans="1:11" ht="42.75" x14ac:dyDescent="0.2">
      <c r="A532" s="28">
        <v>3185</v>
      </c>
      <c r="B532" s="9" t="s">
        <v>485</v>
      </c>
      <c r="C532" s="9" t="s">
        <v>486</v>
      </c>
      <c r="D532" s="9" t="s">
        <v>234</v>
      </c>
      <c r="E532" s="9" t="s">
        <v>677</v>
      </c>
      <c r="F532" s="9" t="s">
        <v>126</v>
      </c>
      <c r="G532" s="225" t="s">
        <v>809</v>
      </c>
      <c r="H532" s="9" t="s">
        <v>831</v>
      </c>
      <c r="I532" s="55">
        <f>COUNTIF('LOGBOOK VIEWER'!$B$7:$B$10600,$A532)</f>
        <v>0</v>
      </c>
      <c r="J532" s="10">
        <v>0</v>
      </c>
      <c r="K532" s="10">
        <f>I532*J532</f>
        <v>0</v>
      </c>
    </row>
    <row r="533" spans="1:11" ht="57" x14ac:dyDescent="0.2">
      <c r="A533" s="28">
        <v>3186</v>
      </c>
      <c r="B533" s="9" t="s">
        <v>931</v>
      </c>
      <c r="C533" s="9" t="s">
        <v>932</v>
      </c>
      <c r="D533" s="9" t="s">
        <v>234</v>
      </c>
      <c r="E533" s="9" t="s">
        <v>677</v>
      </c>
      <c r="F533" s="9" t="s">
        <v>126</v>
      </c>
      <c r="G533" s="225" t="s">
        <v>809</v>
      </c>
      <c r="H533" s="9" t="s">
        <v>831</v>
      </c>
      <c r="I533" s="55">
        <f>COUNTIF('LOGBOOK VIEWER'!$B$7:$B$10600,$A533)</f>
        <v>0</v>
      </c>
      <c r="J533" s="10">
        <v>0</v>
      </c>
      <c r="K533" s="10">
        <f>I533*J533</f>
        <v>0</v>
      </c>
    </row>
    <row r="534" spans="1:11" ht="71.25" x14ac:dyDescent="0.2">
      <c r="A534" s="28">
        <v>3187</v>
      </c>
      <c r="B534" s="9" t="s">
        <v>933</v>
      </c>
      <c r="C534" s="9" t="s">
        <v>934</v>
      </c>
      <c r="D534" s="9" t="s">
        <v>234</v>
      </c>
      <c r="E534" s="9" t="s">
        <v>702</v>
      </c>
      <c r="F534" s="9" t="s">
        <v>126</v>
      </c>
      <c r="G534" s="225" t="s">
        <v>809</v>
      </c>
      <c r="H534" s="9" t="s">
        <v>831</v>
      </c>
      <c r="I534" s="55">
        <f>COUNTIF('LOGBOOK VIEWER'!$B$7:$B$10600,$A534)</f>
        <v>4</v>
      </c>
      <c r="J534" s="10">
        <v>0</v>
      </c>
      <c r="K534" s="10">
        <f>I534*J534</f>
        <v>0</v>
      </c>
    </row>
    <row r="535" spans="1:11" ht="28.5" x14ac:dyDescent="0.2">
      <c r="A535" s="28">
        <v>3200</v>
      </c>
      <c r="B535" s="9" t="s">
        <v>590</v>
      </c>
      <c r="C535" s="9" t="s">
        <v>591</v>
      </c>
      <c r="D535" s="9" t="s">
        <v>234</v>
      </c>
      <c r="E535" s="9" t="s">
        <v>263</v>
      </c>
      <c r="F535" s="9" t="s">
        <v>126</v>
      </c>
      <c r="G535" s="225" t="s">
        <v>809</v>
      </c>
      <c r="H535" s="9" t="s">
        <v>831</v>
      </c>
      <c r="I535" s="55">
        <f>COUNTIF('LOGBOOK VIEWER'!$B$7:$B$10600,$A535)</f>
        <v>0</v>
      </c>
      <c r="J535" s="10">
        <v>0</v>
      </c>
      <c r="K535" s="10">
        <f>I535*J535</f>
        <v>0</v>
      </c>
    </row>
    <row r="536" spans="1:11" ht="42.75" x14ac:dyDescent="0.2">
      <c r="A536" s="28">
        <v>3201</v>
      </c>
      <c r="B536" s="9" t="s">
        <v>592</v>
      </c>
      <c r="C536" s="9" t="s">
        <v>593</v>
      </c>
      <c r="D536" s="9" t="s">
        <v>234</v>
      </c>
      <c r="E536" s="9" t="s">
        <v>263</v>
      </c>
      <c r="F536" s="9" t="s">
        <v>125</v>
      </c>
      <c r="G536" s="225" t="s">
        <v>809</v>
      </c>
      <c r="H536" s="9" t="s">
        <v>831</v>
      </c>
      <c r="I536" s="55">
        <f>COUNTIF('LOGBOOK VIEWER'!$B$7:$B$10600,$A536)</f>
        <v>0</v>
      </c>
      <c r="J536" s="10">
        <v>0</v>
      </c>
      <c r="K536" s="10">
        <f>I536*J536</f>
        <v>0</v>
      </c>
    </row>
    <row r="537" spans="1:11" ht="28.5" x14ac:dyDescent="0.2">
      <c r="A537" s="28">
        <v>3202</v>
      </c>
      <c r="B537" s="9" t="s">
        <v>594</v>
      </c>
      <c r="C537" s="9" t="s">
        <v>595</v>
      </c>
      <c r="D537" s="9" t="s">
        <v>234</v>
      </c>
      <c r="E537" s="9" t="s">
        <v>263</v>
      </c>
      <c r="F537" s="9" t="s">
        <v>125</v>
      </c>
      <c r="G537" s="225" t="s">
        <v>809</v>
      </c>
      <c r="H537" s="9" t="s">
        <v>831</v>
      </c>
      <c r="I537" s="55">
        <f>COUNTIF('LOGBOOK VIEWER'!$B$7:$B$10600,$A537)</f>
        <v>0</v>
      </c>
      <c r="J537" s="10">
        <v>0</v>
      </c>
      <c r="K537" s="10">
        <f>I537*J537</f>
        <v>0</v>
      </c>
    </row>
    <row r="538" spans="1:11" x14ac:dyDescent="0.2">
      <c r="A538" s="28">
        <v>3211</v>
      </c>
      <c r="B538" s="9" t="s">
        <v>596</v>
      </c>
      <c r="C538" s="9" t="s">
        <v>597</v>
      </c>
      <c r="D538" s="9" t="s">
        <v>404</v>
      </c>
      <c r="E538" s="9" t="s">
        <v>404</v>
      </c>
      <c r="F538" s="9" t="s">
        <v>126</v>
      </c>
      <c r="G538" s="225" t="s">
        <v>809</v>
      </c>
      <c r="H538" s="9" t="s">
        <v>831</v>
      </c>
      <c r="I538" s="55">
        <f>COUNTIF('LOGBOOK VIEWER'!$B$7:$B$10600,$A538)</f>
        <v>0</v>
      </c>
      <c r="J538" s="10">
        <v>0</v>
      </c>
      <c r="K538" s="10">
        <f>I538*J538</f>
        <v>0</v>
      </c>
    </row>
    <row r="539" spans="1:11" ht="42.75" x14ac:dyDescent="0.2">
      <c r="A539" s="28">
        <v>3212</v>
      </c>
      <c r="B539" s="9" t="s">
        <v>377</v>
      </c>
      <c r="C539" s="9" t="s">
        <v>378</v>
      </c>
      <c r="D539" s="9" t="s">
        <v>404</v>
      </c>
      <c r="E539" s="9" t="s">
        <v>404</v>
      </c>
      <c r="F539" s="9" t="s">
        <v>831</v>
      </c>
      <c r="G539" s="225" t="s">
        <v>412</v>
      </c>
      <c r="H539" s="9" t="s">
        <v>831</v>
      </c>
      <c r="I539" s="55">
        <f>COUNTIF('LOGBOOK VIEWER'!$B$7:$B$10600,$A539)</f>
        <v>0</v>
      </c>
      <c r="J539" s="10">
        <v>0.5</v>
      </c>
      <c r="K539" s="10">
        <f>I539*J539</f>
        <v>0</v>
      </c>
    </row>
    <row r="540" spans="1:11" ht="71.25" x14ac:dyDescent="0.2">
      <c r="A540" s="28">
        <v>3213</v>
      </c>
      <c r="B540" s="9" t="s">
        <v>379</v>
      </c>
      <c r="C540" s="9" t="s">
        <v>380</v>
      </c>
      <c r="D540" s="9" t="s">
        <v>404</v>
      </c>
      <c r="E540" s="9" t="s">
        <v>404</v>
      </c>
      <c r="F540" s="9" t="s">
        <v>126</v>
      </c>
      <c r="G540" s="225" t="s">
        <v>412</v>
      </c>
      <c r="H540" s="9" t="s">
        <v>831</v>
      </c>
      <c r="I540" s="55">
        <f>COUNTIF('LOGBOOK VIEWER'!$B$7:$B$10600,$A540)</f>
        <v>0</v>
      </c>
      <c r="J540" s="10">
        <v>0.5</v>
      </c>
      <c r="K540" s="10">
        <f>I540*J540</f>
        <v>0</v>
      </c>
    </row>
    <row r="541" spans="1:11" ht="42.75" x14ac:dyDescent="0.2">
      <c r="A541" s="28">
        <v>3214</v>
      </c>
      <c r="B541" s="9" t="s">
        <v>487</v>
      </c>
      <c r="C541" s="9" t="s">
        <v>488</v>
      </c>
      <c r="D541" s="9" t="s">
        <v>404</v>
      </c>
      <c r="E541" s="9" t="s">
        <v>404</v>
      </c>
      <c r="F541" s="9" t="s">
        <v>831</v>
      </c>
      <c r="G541" s="225" t="s">
        <v>412</v>
      </c>
      <c r="H541" s="9" t="s">
        <v>831</v>
      </c>
      <c r="I541" s="55">
        <f>COUNTIF('LOGBOOK VIEWER'!$B$7:$B$10600,$A541)</f>
        <v>0</v>
      </c>
      <c r="J541" s="10">
        <v>0.5</v>
      </c>
      <c r="K541" s="10">
        <f>I541*J541</f>
        <v>0</v>
      </c>
    </row>
    <row r="542" spans="1:11" ht="42.75" x14ac:dyDescent="0.2">
      <c r="A542" s="28">
        <v>3215</v>
      </c>
      <c r="B542" s="9" t="s">
        <v>489</v>
      </c>
      <c r="C542" s="9" t="s">
        <v>490</v>
      </c>
      <c r="D542" s="9" t="s">
        <v>234</v>
      </c>
      <c r="E542" s="9" t="s">
        <v>702</v>
      </c>
      <c r="F542" s="9" t="s">
        <v>125</v>
      </c>
      <c r="G542" s="225" t="s">
        <v>809</v>
      </c>
      <c r="H542" s="9" t="s">
        <v>831</v>
      </c>
      <c r="I542" s="55">
        <f>COUNTIF('LOGBOOK VIEWER'!$B$7:$B$10600,$A542)</f>
        <v>0</v>
      </c>
      <c r="J542" s="10">
        <v>0</v>
      </c>
      <c r="K542" s="10">
        <f>I542*J542</f>
        <v>0</v>
      </c>
    </row>
    <row r="543" spans="1:11" ht="42.75" x14ac:dyDescent="0.2">
      <c r="A543" s="28">
        <v>3216</v>
      </c>
      <c r="B543" s="9" t="s">
        <v>935</v>
      </c>
      <c r="C543" s="9" t="s">
        <v>674</v>
      </c>
      <c r="D543" s="9" t="s">
        <v>234</v>
      </c>
      <c r="E543" s="9" t="s">
        <v>235</v>
      </c>
      <c r="F543" s="9" t="s">
        <v>127</v>
      </c>
      <c r="G543" s="225" t="s">
        <v>809</v>
      </c>
      <c r="H543" s="9" t="s">
        <v>831</v>
      </c>
      <c r="I543" s="55">
        <f>COUNTIF('LOGBOOK VIEWER'!$B$7:$B$10600,$A543)</f>
        <v>13</v>
      </c>
      <c r="J543" s="10">
        <v>0</v>
      </c>
      <c r="K543" s="10">
        <f>I543*J543</f>
        <v>0</v>
      </c>
    </row>
    <row r="544" spans="1:11" ht="42.75" x14ac:dyDescent="0.2">
      <c r="A544" s="28">
        <v>3217</v>
      </c>
      <c r="B544" s="9" t="s">
        <v>936</v>
      </c>
      <c r="C544" s="9" t="s">
        <v>674</v>
      </c>
      <c r="D544" s="9" t="s">
        <v>234</v>
      </c>
      <c r="E544" s="9" t="s">
        <v>235</v>
      </c>
      <c r="F544" s="9" t="s">
        <v>127</v>
      </c>
      <c r="G544" s="225" t="s">
        <v>809</v>
      </c>
      <c r="H544" s="9" t="s">
        <v>831</v>
      </c>
      <c r="I544" s="55">
        <f>COUNTIF('LOGBOOK VIEWER'!$B$7:$B$10600,$A544)</f>
        <v>596</v>
      </c>
      <c r="J544" s="10">
        <v>0</v>
      </c>
      <c r="K544" s="10">
        <f>I544*J544</f>
        <v>0</v>
      </c>
    </row>
    <row r="545" spans="1:11" ht="71.25" x14ac:dyDescent="0.2">
      <c r="A545" s="28">
        <v>4000</v>
      </c>
      <c r="B545" s="9" t="s">
        <v>598</v>
      </c>
      <c r="C545" s="9" t="s">
        <v>599</v>
      </c>
      <c r="D545" s="9" t="s">
        <v>863</v>
      </c>
      <c r="E545" s="9" t="s">
        <v>319</v>
      </c>
      <c r="F545" s="9" t="s">
        <v>126</v>
      </c>
      <c r="G545" s="225" t="s">
        <v>405</v>
      </c>
      <c r="H545" s="9" t="s">
        <v>525</v>
      </c>
      <c r="I545" s="55">
        <f>COUNTIF('LOGBOOK VIEWER'!$B$7:$B$10600,$A545)</f>
        <v>0</v>
      </c>
      <c r="J545" s="10">
        <v>0.1</v>
      </c>
      <c r="K545" s="10">
        <f>I545*J545</f>
        <v>0</v>
      </c>
    </row>
    <row r="546" spans="1:11" ht="28.5" x14ac:dyDescent="0.2">
      <c r="A546" s="28">
        <v>4004</v>
      </c>
      <c r="B546" s="9" t="s">
        <v>491</v>
      </c>
      <c r="C546" s="9" t="s">
        <v>492</v>
      </c>
      <c r="D546" s="9" t="s">
        <v>863</v>
      </c>
      <c r="E546" s="9" t="s">
        <v>319</v>
      </c>
      <c r="F546" s="9" t="s">
        <v>125</v>
      </c>
      <c r="G546" s="225" t="s">
        <v>412</v>
      </c>
      <c r="H546" s="9" t="s">
        <v>831</v>
      </c>
      <c r="I546" s="55">
        <f>COUNTIF('LOGBOOK VIEWER'!$B$7:$B$10600,$A546)</f>
        <v>0</v>
      </c>
      <c r="J546" s="10">
        <v>0.5</v>
      </c>
      <c r="K546" s="10">
        <f>I546*J546</f>
        <v>0</v>
      </c>
    </row>
    <row r="547" spans="1:11" ht="71.25" x14ac:dyDescent="0.2">
      <c r="A547" s="28">
        <v>4005</v>
      </c>
      <c r="B547" s="9" t="s">
        <v>600</v>
      </c>
      <c r="C547" s="9" t="s">
        <v>601</v>
      </c>
      <c r="D547" s="9" t="s">
        <v>863</v>
      </c>
      <c r="E547" s="9" t="s">
        <v>319</v>
      </c>
      <c r="F547" s="9" t="s">
        <v>126</v>
      </c>
      <c r="G547" s="225" t="s">
        <v>405</v>
      </c>
      <c r="H547" s="9" t="s">
        <v>525</v>
      </c>
      <c r="I547" s="55">
        <f>COUNTIF('LOGBOOK VIEWER'!$B$7:$B$10600,$A547)</f>
        <v>0</v>
      </c>
      <c r="J547" s="10">
        <v>0.3</v>
      </c>
      <c r="K547" s="10">
        <f>I547*J547</f>
        <v>0</v>
      </c>
    </row>
    <row r="548" spans="1:11" x14ac:dyDescent="0.2">
      <c r="A548" s="28">
        <v>4006</v>
      </c>
      <c r="B548" s="9" t="s">
        <v>602</v>
      </c>
      <c r="C548" s="9" t="s">
        <v>602</v>
      </c>
      <c r="D548" s="9" t="s">
        <v>863</v>
      </c>
      <c r="E548" s="9" t="s">
        <v>319</v>
      </c>
      <c r="F548" s="9" t="s">
        <v>126</v>
      </c>
      <c r="G548" s="225" t="s">
        <v>809</v>
      </c>
      <c r="H548" s="9" t="s">
        <v>831</v>
      </c>
      <c r="I548" s="55">
        <f>COUNTIF('LOGBOOK VIEWER'!$B$7:$B$10600,$A548)</f>
        <v>1</v>
      </c>
      <c r="J548" s="10">
        <v>0</v>
      </c>
      <c r="K548" s="10">
        <f>I548*J548</f>
        <v>0</v>
      </c>
    </row>
    <row r="549" spans="1:11" ht="42.75" x14ac:dyDescent="0.2">
      <c r="A549" s="28">
        <v>4007</v>
      </c>
      <c r="B549" s="9" t="s">
        <v>603</v>
      </c>
      <c r="C549" s="9" t="s">
        <v>604</v>
      </c>
      <c r="D549" s="9" t="s">
        <v>821</v>
      </c>
      <c r="E549" s="9" t="s">
        <v>27</v>
      </c>
      <c r="F549" s="9" t="s">
        <v>125</v>
      </c>
      <c r="G549" s="225" t="s">
        <v>809</v>
      </c>
      <c r="H549" s="9" t="s">
        <v>831</v>
      </c>
      <c r="I549" s="55">
        <f>COUNTIF('LOGBOOK VIEWER'!$B$7:$B$10600,$A549)</f>
        <v>0</v>
      </c>
      <c r="J549" s="10">
        <v>0</v>
      </c>
      <c r="K549" s="10">
        <f>I549*J549</f>
        <v>0</v>
      </c>
    </row>
    <row r="550" spans="1:11" ht="28.5" x14ac:dyDescent="0.2">
      <c r="A550" s="28">
        <v>4015</v>
      </c>
      <c r="B550" s="9" t="s">
        <v>605</v>
      </c>
      <c r="C550" s="9" t="s">
        <v>606</v>
      </c>
      <c r="D550" s="9" t="s">
        <v>863</v>
      </c>
      <c r="E550" s="9" t="s">
        <v>319</v>
      </c>
      <c r="F550" s="9" t="s">
        <v>126</v>
      </c>
      <c r="G550" s="225" t="s">
        <v>412</v>
      </c>
      <c r="H550" s="9" t="s">
        <v>831</v>
      </c>
      <c r="I550" s="55">
        <f>COUNTIF('LOGBOOK VIEWER'!$B$7:$B$10600,$A550)</f>
        <v>0</v>
      </c>
      <c r="J550" s="10">
        <v>0.5</v>
      </c>
      <c r="K550" s="10">
        <f>I550*J550</f>
        <v>0</v>
      </c>
    </row>
    <row r="551" spans="1:11" ht="28.5" x14ac:dyDescent="0.2">
      <c r="A551" s="28">
        <v>4020</v>
      </c>
      <c r="B551" s="9" t="s">
        <v>607</v>
      </c>
      <c r="C551" s="9" t="s">
        <v>608</v>
      </c>
      <c r="D551" s="9" t="s">
        <v>863</v>
      </c>
      <c r="E551" s="9" t="s">
        <v>319</v>
      </c>
      <c r="F551" s="9" t="s">
        <v>126</v>
      </c>
      <c r="G551" s="225" t="s">
        <v>405</v>
      </c>
      <c r="H551" s="9" t="s">
        <v>426</v>
      </c>
      <c r="I551" s="55">
        <f>COUNTIF('LOGBOOK VIEWER'!$B$7:$B$10600,$A551)</f>
        <v>0</v>
      </c>
      <c r="J551" s="10">
        <v>1</v>
      </c>
      <c r="K551" s="10">
        <f>I551*J551</f>
        <v>0</v>
      </c>
    </row>
    <row r="552" spans="1:11" ht="28.5" x14ac:dyDescent="0.2">
      <c r="A552" s="28">
        <v>4025</v>
      </c>
      <c r="B552" s="9" t="s">
        <v>609</v>
      </c>
      <c r="C552" s="9" t="s">
        <v>610</v>
      </c>
      <c r="D552" s="9" t="s">
        <v>4</v>
      </c>
      <c r="E552" s="9" t="s">
        <v>5</v>
      </c>
      <c r="F552" s="9" t="s">
        <v>126</v>
      </c>
      <c r="G552" s="225" t="s">
        <v>809</v>
      </c>
      <c r="H552" s="9" t="s">
        <v>831</v>
      </c>
      <c r="I552" s="55">
        <f>COUNTIF('LOGBOOK VIEWER'!$B$7:$B$10600,$A552)</f>
        <v>3</v>
      </c>
      <c r="J552" s="10">
        <v>0</v>
      </c>
      <c r="K552" s="10">
        <f>I552*J552</f>
        <v>0</v>
      </c>
    </row>
    <row r="553" spans="1:11" x14ac:dyDescent="0.2">
      <c r="A553" s="28">
        <v>4030</v>
      </c>
      <c r="B553" s="9" t="s">
        <v>611</v>
      </c>
      <c r="C553" s="9" t="s">
        <v>612</v>
      </c>
      <c r="D553" s="9" t="s">
        <v>4</v>
      </c>
      <c r="E553" s="9" t="s">
        <v>14</v>
      </c>
      <c r="F553" s="9" t="s">
        <v>126</v>
      </c>
      <c r="G553" s="225" t="s">
        <v>809</v>
      </c>
      <c r="H553" s="9" t="s">
        <v>831</v>
      </c>
      <c r="I553" s="55">
        <f>COUNTIF('LOGBOOK VIEWER'!$B$7:$B$10600,$A553)</f>
        <v>8</v>
      </c>
      <c r="J553" s="10">
        <v>0</v>
      </c>
      <c r="K553" s="10">
        <f>I553*J553</f>
        <v>0</v>
      </c>
    </row>
    <row r="554" spans="1:11" ht="28.5" x14ac:dyDescent="0.2">
      <c r="A554" s="28">
        <v>4035</v>
      </c>
      <c r="B554" s="9" t="s">
        <v>613</v>
      </c>
      <c r="C554" s="9" t="s">
        <v>614</v>
      </c>
      <c r="D554" s="9" t="s">
        <v>860</v>
      </c>
      <c r="E554" s="9" t="s">
        <v>40</v>
      </c>
      <c r="F554" s="9" t="s">
        <v>126</v>
      </c>
      <c r="G554" s="225" t="s">
        <v>809</v>
      </c>
      <c r="H554" s="9" t="s">
        <v>831</v>
      </c>
      <c r="I554" s="55">
        <f>COUNTIF('LOGBOOK VIEWER'!$B$7:$B$10600,$A554)</f>
        <v>7</v>
      </c>
      <c r="J554" s="10">
        <v>0</v>
      </c>
      <c r="K554" s="10">
        <f>I554*J554</f>
        <v>0</v>
      </c>
    </row>
    <row r="555" spans="1:11" ht="28.5" x14ac:dyDescent="0.2">
      <c r="A555" s="28">
        <v>4040</v>
      </c>
      <c r="B555" s="9" t="s">
        <v>615</v>
      </c>
      <c r="C555" s="9" t="s">
        <v>616</v>
      </c>
      <c r="D555" s="9" t="s">
        <v>860</v>
      </c>
      <c r="E555" s="9" t="s">
        <v>30</v>
      </c>
      <c r="F555" s="9" t="s">
        <v>126</v>
      </c>
      <c r="G555" s="225" t="s">
        <v>809</v>
      </c>
      <c r="H555" s="9" t="s">
        <v>831</v>
      </c>
      <c r="I555" s="55">
        <f>COUNTIF('LOGBOOK VIEWER'!$B$7:$B$10600,$A555)</f>
        <v>4</v>
      </c>
      <c r="J555" s="10">
        <v>0</v>
      </c>
      <c r="K555" s="10">
        <f>I555*J555</f>
        <v>0</v>
      </c>
    </row>
    <row r="556" spans="1:11" ht="28.5" x14ac:dyDescent="0.2">
      <c r="A556" s="28">
        <v>4050</v>
      </c>
      <c r="B556" s="9" t="s">
        <v>617</v>
      </c>
      <c r="C556" s="9" t="s">
        <v>618</v>
      </c>
      <c r="D556" s="9" t="s">
        <v>4</v>
      </c>
      <c r="E556" s="9" t="s">
        <v>18</v>
      </c>
      <c r="F556" s="9" t="s">
        <v>126</v>
      </c>
      <c r="G556" s="225" t="s">
        <v>809</v>
      </c>
      <c r="H556" s="9" t="s">
        <v>831</v>
      </c>
      <c r="I556" s="55">
        <f>COUNTIF('LOGBOOK VIEWER'!$B$7:$B$10600,$A556)</f>
        <v>23</v>
      </c>
      <c r="J556" s="10">
        <v>0</v>
      </c>
      <c r="K556" s="10">
        <f>I556*J556</f>
        <v>0</v>
      </c>
    </row>
    <row r="557" spans="1:11" ht="28.5" x14ac:dyDescent="0.2">
      <c r="A557" s="28">
        <v>4051</v>
      </c>
      <c r="B557" s="9" t="s">
        <v>381</v>
      </c>
      <c r="C557" s="9" t="s">
        <v>381</v>
      </c>
      <c r="D557" s="9" t="s">
        <v>828</v>
      </c>
      <c r="E557" s="9" t="s">
        <v>829</v>
      </c>
      <c r="F557" s="9" t="s">
        <v>127</v>
      </c>
      <c r="G557" s="225" t="s">
        <v>809</v>
      </c>
      <c r="H557" s="9" t="s">
        <v>831</v>
      </c>
      <c r="I557" s="55">
        <f>COUNTIF('LOGBOOK VIEWER'!$B$7:$B$10600,$A557)</f>
        <v>0</v>
      </c>
      <c r="J557" s="10">
        <v>0</v>
      </c>
      <c r="K557" s="10">
        <f>I557*J557</f>
        <v>0</v>
      </c>
    </row>
    <row r="558" spans="1:11" ht="42.75" x14ac:dyDescent="0.2">
      <c r="A558" s="28">
        <v>4052</v>
      </c>
      <c r="B558" s="9" t="s">
        <v>382</v>
      </c>
      <c r="C558" s="9" t="s">
        <v>382</v>
      </c>
      <c r="D558" s="9" t="s">
        <v>828</v>
      </c>
      <c r="E558" s="9" t="s">
        <v>829</v>
      </c>
      <c r="F558" s="9" t="s">
        <v>127</v>
      </c>
      <c r="G558" s="225" t="s">
        <v>809</v>
      </c>
      <c r="H558" s="9" t="s">
        <v>831</v>
      </c>
      <c r="I558" s="55">
        <f>COUNTIF('LOGBOOK VIEWER'!$B$7:$B$10600,$A558)</f>
        <v>0</v>
      </c>
      <c r="J558" s="10">
        <v>0</v>
      </c>
      <c r="K558" s="10">
        <f>I558*J558</f>
        <v>0</v>
      </c>
    </row>
    <row r="559" spans="1:11" ht="42.75" x14ac:dyDescent="0.2">
      <c r="A559" s="28">
        <v>4053</v>
      </c>
      <c r="B559" s="9" t="s">
        <v>383</v>
      </c>
      <c r="C559" s="9" t="s">
        <v>384</v>
      </c>
      <c r="D559" s="9" t="s">
        <v>821</v>
      </c>
      <c r="E559" s="9" t="s">
        <v>876</v>
      </c>
      <c r="F559" s="9" t="s">
        <v>127</v>
      </c>
      <c r="G559" s="225" t="s">
        <v>809</v>
      </c>
      <c r="H559" s="9" t="s">
        <v>831</v>
      </c>
      <c r="I559" s="55">
        <f>COUNTIF('LOGBOOK VIEWER'!$B$7:$B$10600,$A559)</f>
        <v>0</v>
      </c>
      <c r="J559" s="10">
        <v>0</v>
      </c>
      <c r="K559" s="10">
        <f>I559*J559</f>
        <v>0</v>
      </c>
    </row>
    <row r="560" spans="1:11" ht="42.75" x14ac:dyDescent="0.2">
      <c r="A560" s="28">
        <v>4054</v>
      </c>
      <c r="B560" s="9" t="s">
        <v>619</v>
      </c>
      <c r="C560" s="9" t="s">
        <v>619</v>
      </c>
      <c r="D560" s="9" t="s">
        <v>821</v>
      </c>
      <c r="E560" s="9" t="s">
        <v>27</v>
      </c>
      <c r="F560" s="9" t="s">
        <v>125</v>
      </c>
      <c r="G560" s="225" t="s">
        <v>412</v>
      </c>
      <c r="H560" s="9" t="s">
        <v>831</v>
      </c>
      <c r="I560" s="55">
        <f>COUNTIF('LOGBOOK VIEWER'!$B$7:$B$10600,$A560)</f>
        <v>0</v>
      </c>
      <c r="J560" s="10">
        <v>0.5</v>
      </c>
      <c r="K560" s="10">
        <f>I560*J560</f>
        <v>0</v>
      </c>
    </row>
    <row r="561" spans="1:11" ht="42.75" x14ac:dyDescent="0.2">
      <c r="A561" s="28">
        <v>4055</v>
      </c>
      <c r="B561" s="9" t="s">
        <v>620</v>
      </c>
      <c r="C561" s="9" t="s">
        <v>620</v>
      </c>
      <c r="D561" s="9" t="s">
        <v>821</v>
      </c>
      <c r="E561" s="9" t="s">
        <v>27</v>
      </c>
      <c r="F561" s="9" t="s">
        <v>125</v>
      </c>
      <c r="G561" s="225" t="s">
        <v>412</v>
      </c>
      <c r="H561" s="9" t="s">
        <v>831</v>
      </c>
      <c r="I561" s="55">
        <f>COUNTIF('LOGBOOK VIEWER'!$B$7:$B$10600,$A561)</f>
        <v>0</v>
      </c>
      <c r="J561" s="10">
        <v>0.5</v>
      </c>
      <c r="K561" s="10">
        <f>I561*J561</f>
        <v>0</v>
      </c>
    </row>
    <row r="562" spans="1:11" x14ac:dyDescent="0.2">
      <c r="A562" s="28">
        <v>4056</v>
      </c>
      <c r="B562" s="9" t="s">
        <v>385</v>
      </c>
      <c r="C562" s="9" t="s">
        <v>386</v>
      </c>
      <c r="D562" s="9" t="s">
        <v>4</v>
      </c>
      <c r="E562" s="9" t="s">
        <v>18</v>
      </c>
      <c r="F562" s="9" t="s">
        <v>126</v>
      </c>
      <c r="G562" s="225" t="s">
        <v>809</v>
      </c>
      <c r="H562" s="9" t="s">
        <v>831</v>
      </c>
      <c r="I562" s="55">
        <f>COUNTIF('LOGBOOK VIEWER'!$B$7:$B$10600,$A562)</f>
        <v>3</v>
      </c>
      <c r="J562" s="10">
        <v>0</v>
      </c>
      <c r="K562" s="10">
        <f>I562*J562</f>
        <v>0</v>
      </c>
    </row>
    <row r="563" spans="1:11" ht="42.75" x14ac:dyDescent="0.2">
      <c r="A563" s="28">
        <v>4057</v>
      </c>
      <c r="B563" s="9" t="s">
        <v>387</v>
      </c>
      <c r="C563" s="9" t="s">
        <v>388</v>
      </c>
      <c r="D563" s="9" t="s">
        <v>404</v>
      </c>
      <c r="E563" s="9" t="s">
        <v>404</v>
      </c>
      <c r="F563" s="9" t="s">
        <v>126</v>
      </c>
      <c r="G563" s="225" t="s">
        <v>412</v>
      </c>
      <c r="H563" s="9" t="s">
        <v>831</v>
      </c>
      <c r="I563" s="55">
        <f>COUNTIF('LOGBOOK VIEWER'!$B$7:$B$10600,$A563)</f>
        <v>0</v>
      </c>
      <c r="J563" s="10">
        <v>0.5</v>
      </c>
      <c r="K563" s="10">
        <f>I563*J563</f>
        <v>0</v>
      </c>
    </row>
    <row r="564" spans="1:11" ht="28.5" x14ac:dyDescent="0.2">
      <c r="A564" s="28">
        <v>4058</v>
      </c>
      <c r="B564" s="9" t="s">
        <v>389</v>
      </c>
      <c r="C564" s="9" t="s">
        <v>390</v>
      </c>
      <c r="D564" s="9" t="s">
        <v>404</v>
      </c>
      <c r="E564" s="9" t="s">
        <v>404</v>
      </c>
      <c r="F564" s="9" t="s">
        <v>126</v>
      </c>
      <c r="G564" s="225" t="s">
        <v>412</v>
      </c>
      <c r="H564" s="9" t="s">
        <v>831</v>
      </c>
      <c r="I564" s="55">
        <f>COUNTIF('LOGBOOK VIEWER'!$B$7:$B$10600,$A564)</f>
        <v>0</v>
      </c>
      <c r="J564" s="10">
        <v>0.5</v>
      </c>
      <c r="K564" s="10">
        <f>I564*J564</f>
        <v>0</v>
      </c>
    </row>
    <row r="565" spans="1:11" ht="28.5" x14ac:dyDescent="0.2">
      <c r="A565" s="28">
        <v>4059</v>
      </c>
      <c r="B565" s="9" t="s">
        <v>493</v>
      </c>
      <c r="C565" s="9" t="s">
        <v>493</v>
      </c>
      <c r="D565" s="9" t="s">
        <v>234</v>
      </c>
      <c r="E565" s="9" t="s">
        <v>494</v>
      </c>
      <c r="F565" s="9" t="s">
        <v>125</v>
      </c>
      <c r="G565" s="225" t="s">
        <v>809</v>
      </c>
      <c r="H565" s="9" t="s">
        <v>831</v>
      </c>
      <c r="I565" s="55">
        <f>COUNTIF('LOGBOOK VIEWER'!$B$7:$B$10600,$A565)</f>
        <v>3</v>
      </c>
      <c r="J565" s="10">
        <v>0</v>
      </c>
      <c r="K565" s="10">
        <f>I565*J565</f>
        <v>0</v>
      </c>
    </row>
    <row r="566" spans="1:11" ht="28.5" x14ac:dyDescent="0.2">
      <c r="A566" s="28">
        <v>4060</v>
      </c>
      <c r="B566" s="9" t="s">
        <v>937</v>
      </c>
      <c r="C566" s="9" t="s">
        <v>938</v>
      </c>
      <c r="D566" s="9" t="s">
        <v>234</v>
      </c>
      <c r="E566" s="9" t="s">
        <v>677</v>
      </c>
      <c r="F566" s="9" t="s">
        <v>127</v>
      </c>
      <c r="G566" s="225" t="s">
        <v>809</v>
      </c>
      <c r="H566" s="9" t="s">
        <v>831</v>
      </c>
      <c r="I566" s="55">
        <f>COUNTIF('LOGBOOK VIEWER'!$B$7:$B$10600,$A566)</f>
        <v>0</v>
      </c>
      <c r="J566" s="10">
        <v>0</v>
      </c>
      <c r="K566" s="10">
        <f>I566*J566</f>
        <v>0</v>
      </c>
    </row>
    <row r="567" spans="1:11" ht="57" x14ac:dyDescent="0.2">
      <c r="A567" s="28">
        <v>4061</v>
      </c>
      <c r="B567" s="9" t="s">
        <v>939</v>
      </c>
      <c r="C567" s="9" t="s">
        <v>940</v>
      </c>
      <c r="D567" s="9" t="s">
        <v>234</v>
      </c>
      <c r="E567" s="9" t="s">
        <v>677</v>
      </c>
      <c r="F567" s="9" t="s">
        <v>127</v>
      </c>
      <c r="G567" s="225" t="s">
        <v>809</v>
      </c>
      <c r="H567" s="9" t="s">
        <v>831</v>
      </c>
      <c r="I567" s="55">
        <f>COUNTIF('LOGBOOK VIEWER'!$B$7:$B$10600,$A567)</f>
        <v>0</v>
      </c>
      <c r="J567" s="10">
        <v>0</v>
      </c>
      <c r="K567" s="10">
        <f>I567*J567</f>
        <v>0</v>
      </c>
    </row>
    <row r="568" spans="1:11" ht="57" x14ac:dyDescent="0.2">
      <c r="A568" s="28">
        <v>4062</v>
      </c>
      <c r="B568" s="9" t="s">
        <v>941</v>
      </c>
      <c r="C568" s="9" t="s">
        <v>942</v>
      </c>
      <c r="D568" s="9" t="s">
        <v>234</v>
      </c>
      <c r="E568" s="9" t="s">
        <v>677</v>
      </c>
      <c r="F568" s="9" t="s">
        <v>127</v>
      </c>
      <c r="G568" s="225" t="s">
        <v>809</v>
      </c>
      <c r="H568" s="9" t="s">
        <v>831</v>
      </c>
      <c r="I568" s="55">
        <f>COUNTIF('LOGBOOK VIEWER'!$B$7:$B$10600,$A568)</f>
        <v>0</v>
      </c>
      <c r="J568" s="10">
        <v>0</v>
      </c>
      <c r="K568" s="10">
        <f>I568*J568</f>
        <v>0</v>
      </c>
    </row>
    <row r="569" spans="1:11" ht="42.75" x14ac:dyDescent="0.2">
      <c r="A569" s="28">
        <v>4063</v>
      </c>
      <c r="B569" s="9" t="s">
        <v>952</v>
      </c>
      <c r="C569" s="9" t="s">
        <v>943</v>
      </c>
      <c r="D569" s="9" t="s">
        <v>234</v>
      </c>
      <c r="E569" s="9" t="s">
        <v>677</v>
      </c>
      <c r="F569" s="9" t="s">
        <v>127</v>
      </c>
      <c r="G569" s="225" t="s">
        <v>809</v>
      </c>
      <c r="H569" s="9" t="s">
        <v>831</v>
      </c>
      <c r="I569" s="55">
        <f>COUNTIF('LOGBOOK VIEWER'!$B$7:$B$10600,$A569)</f>
        <v>0</v>
      </c>
      <c r="J569" s="10">
        <v>0</v>
      </c>
      <c r="K569" s="10">
        <f>I569*J569</f>
        <v>0</v>
      </c>
    </row>
    <row r="570" spans="1:11" ht="28.5" x14ac:dyDescent="0.2">
      <c r="A570" s="28">
        <v>5000</v>
      </c>
      <c r="B570" s="9" t="s">
        <v>495</v>
      </c>
      <c r="C570" s="9" t="s">
        <v>496</v>
      </c>
      <c r="D570" s="9" t="s">
        <v>121</v>
      </c>
      <c r="E570" s="9" t="s">
        <v>186</v>
      </c>
      <c r="F570" s="9" t="s">
        <v>125</v>
      </c>
      <c r="G570" s="225" t="s">
        <v>412</v>
      </c>
      <c r="H570" s="9" t="s">
        <v>806</v>
      </c>
      <c r="I570" s="55">
        <f>COUNTIF('LOGBOOK VIEWER'!$B$7:$B$10600,$A570)</f>
        <v>0</v>
      </c>
      <c r="J570" s="10">
        <v>0.5</v>
      </c>
      <c r="K570" s="10">
        <f>I570*J570</f>
        <v>0</v>
      </c>
    </row>
    <row r="571" spans="1:11" ht="42.75" x14ac:dyDescent="0.2">
      <c r="A571" s="28">
        <v>5002</v>
      </c>
      <c r="B571" s="9" t="s">
        <v>497</v>
      </c>
      <c r="C571" s="9" t="s">
        <v>498</v>
      </c>
      <c r="D571" s="9" t="s">
        <v>828</v>
      </c>
      <c r="E571" s="9" t="s">
        <v>837</v>
      </c>
      <c r="F571" s="9" t="s">
        <v>125</v>
      </c>
      <c r="G571" s="225" t="s">
        <v>412</v>
      </c>
      <c r="H571" s="9" t="s">
        <v>831</v>
      </c>
      <c r="I571" s="55">
        <f>COUNTIF('LOGBOOK VIEWER'!$B$7:$B$10600,$A571)</f>
        <v>0</v>
      </c>
      <c r="J571" s="10">
        <v>0.5</v>
      </c>
      <c r="K571" s="10">
        <f>I571*J571</f>
        <v>0</v>
      </c>
    </row>
    <row r="572" spans="1:11" ht="57" x14ac:dyDescent="0.2">
      <c r="A572" s="28">
        <v>5090</v>
      </c>
      <c r="B572" s="9" t="s">
        <v>944</v>
      </c>
      <c r="C572" s="9" t="s">
        <v>945</v>
      </c>
      <c r="D572" s="9" t="s">
        <v>404</v>
      </c>
      <c r="E572" s="9" t="s">
        <v>404</v>
      </c>
      <c r="F572" s="9" t="s">
        <v>125</v>
      </c>
      <c r="G572" s="225" t="s">
        <v>412</v>
      </c>
      <c r="H572" s="9" t="s">
        <v>831</v>
      </c>
      <c r="I572" s="55">
        <f>COUNTIF('LOGBOOK VIEWER'!$B$7:$B$10600,$A572)</f>
        <v>0</v>
      </c>
      <c r="J572" s="10">
        <v>0.5</v>
      </c>
      <c r="K572" s="10">
        <f>I572*J572</f>
        <v>0</v>
      </c>
    </row>
    <row r="573" spans="1:11" ht="28.5" x14ac:dyDescent="0.2">
      <c r="A573" s="28">
        <v>5100</v>
      </c>
      <c r="B573" s="9" t="s">
        <v>946</v>
      </c>
      <c r="C573" s="9" t="s">
        <v>947</v>
      </c>
      <c r="D573" s="9" t="s">
        <v>234</v>
      </c>
      <c r="E573" s="9" t="s">
        <v>677</v>
      </c>
      <c r="F573" s="9" t="s">
        <v>126</v>
      </c>
      <c r="G573" s="225" t="s">
        <v>809</v>
      </c>
      <c r="H573" s="9" t="s">
        <v>831</v>
      </c>
      <c r="I573" s="55">
        <f>COUNTIF('LOGBOOK VIEWER'!$B$7:$B$10600,$A573)</f>
        <v>0</v>
      </c>
      <c r="J573" s="10">
        <v>0</v>
      </c>
      <c r="K573" s="10">
        <f>I573*J573</f>
        <v>0</v>
      </c>
    </row>
    <row r="574" spans="1:11" ht="71.25" x14ac:dyDescent="0.2">
      <c r="A574" s="28">
        <v>5190</v>
      </c>
      <c r="B574" s="9" t="s">
        <v>499</v>
      </c>
      <c r="C574" s="9" t="s">
        <v>500</v>
      </c>
      <c r="D574" s="9" t="s">
        <v>842</v>
      </c>
      <c r="E574" s="9" t="s">
        <v>842</v>
      </c>
      <c r="F574" s="9" t="s">
        <v>126</v>
      </c>
      <c r="G574" s="225" t="s">
        <v>412</v>
      </c>
      <c r="H574" s="9" t="s">
        <v>831</v>
      </c>
      <c r="I574" s="55">
        <f>COUNTIF('LOGBOOK VIEWER'!$B$7:$B$10600,$A574)</f>
        <v>0</v>
      </c>
      <c r="J574" s="10">
        <v>0.5</v>
      </c>
      <c r="K574" s="10">
        <f>I574*J574</f>
        <v>0</v>
      </c>
    </row>
    <row r="575" spans="1:11" ht="57" x14ac:dyDescent="0.2">
      <c r="A575" s="28">
        <v>5191</v>
      </c>
      <c r="B575" s="9" t="s">
        <v>501</v>
      </c>
      <c r="C575" s="9" t="s">
        <v>502</v>
      </c>
      <c r="D575" s="9" t="s">
        <v>828</v>
      </c>
      <c r="E575" s="9" t="s">
        <v>837</v>
      </c>
      <c r="F575" s="9" t="s">
        <v>126</v>
      </c>
      <c r="G575" s="225" t="s">
        <v>412</v>
      </c>
      <c r="H575" s="9" t="s">
        <v>831</v>
      </c>
      <c r="I575" s="55">
        <f>COUNTIF('LOGBOOK VIEWER'!$B$7:$B$10600,$A575)</f>
        <v>0</v>
      </c>
      <c r="J575" s="10">
        <v>0.5</v>
      </c>
      <c r="K575" s="10">
        <f>I575*J575</f>
        <v>0</v>
      </c>
    </row>
    <row r="576" spans="1:11" ht="57" x14ac:dyDescent="0.2">
      <c r="A576" s="28">
        <v>5192</v>
      </c>
      <c r="B576" s="9" t="s">
        <v>504</v>
      </c>
      <c r="C576" s="9" t="s">
        <v>505</v>
      </c>
      <c r="D576" s="9" t="s">
        <v>863</v>
      </c>
      <c r="E576" s="9" t="s">
        <v>35</v>
      </c>
      <c r="F576" s="9" t="s">
        <v>126</v>
      </c>
      <c r="G576" s="225" t="s">
        <v>412</v>
      </c>
      <c r="H576" s="9" t="s">
        <v>831</v>
      </c>
      <c r="I576" s="55">
        <f>COUNTIF('LOGBOOK VIEWER'!$B$7:$B$10600,$A576)</f>
        <v>0</v>
      </c>
      <c r="J576" s="10">
        <v>0.5</v>
      </c>
      <c r="K576" s="10">
        <f>I576*J576</f>
        <v>0</v>
      </c>
    </row>
    <row r="577" spans="1:11" ht="28.5" x14ac:dyDescent="0.2">
      <c r="A577" s="28">
        <v>5568</v>
      </c>
      <c r="B577" s="9" t="s">
        <v>948</v>
      </c>
      <c r="C577" s="9" t="s">
        <v>949</v>
      </c>
      <c r="D577" s="9" t="s">
        <v>234</v>
      </c>
      <c r="E577" s="9" t="s">
        <v>677</v>
      </c>
      <c r="F577" s="9" t="s">
        <v>126</v>
      </c>
      <c r="G577" s="225" t="s">
        <v>809</v>
      </c>
      <c r="H577" s="9" t="s">
        <v>831</v>
      </c>
      <c r="I577" s="55">
        <f>COUNTIF('LOGBOOK VIEWER'!$B$7:$B$10600,$A577)</f>
        <v>0</v>
      </c>
      <c r="J577" s="10">
        <v>0</v>
      </c>
      <c r="K577" s="10">
        <f>I577*J577</f>
        <v>0</v>
      </c>
    </row>
    <row r="578" spans="1:11" ht="28.5" x14ac:dyDescent="0.2">
      <c r="A578" s="28">
        <v>5650</v>
      </c>
      <c r="B578" s="9" t="s">
        <v>506</v>
      </c>
      <c r="C578" s="9" t="s">
        <v>507</v>
      </c>
      <c r="D578" s="9" t="s">
        <v>234</v>
      </c>
      <c r="E578" s="9" t="s">
        <v>702</v>
      </c>
      <c r="F578" s="9" t="s">
        <v>126</v>
      </c>
      <c r="G578" s="225" t="s">
        <v>809</v>
      </c>
      <c r="H578" s="9" t="s">
        <v>831</v>
      </c>
      <c r="I578" s="55">
        <f>COUNTIF('LOGBOOK VIEWER'!$B$7:$B$10600,$A578)</f>
        <v>0</v>
      </c>
      <c r="J578" s="10">
        <v>0</v>
      </c>
      <c r="K578" s="10">
        <f>I578*J578</f>
        <v>0</v>
      </c>
    </row>
    <row r="579" spans="1:11" ht="28.5" x14ac:dyDescent="0.2">
      <c r="A579" s="28">
        <v>5651</v>
      </c>
      <c r="B579" s="9" t="s">
        <v>508</v>
      </c>
      <c r="C579" s="9" t="s">
        <v>509</v>
      </c>
      <c r="D579" s="9" t="s">
        <v>234</v>
      </c>
      <c r="E579" s="9" t="s">
        <v>702</v>
      </c>
      <c r="F579" s="9" t="s">
        <v>126</v>
      </c>
      <c r="G579" s="225" t="s">
        <v>809</v>
      </c>
      <c r="H579" s="9" t="s">
        <v>831</v>
      </c>
      <c r="I579" s="55">
        <f>COUNTIF('LOGBOOK VIEWER'!$B$7:$B$10600,$A579)</f>
        <v>0</v>
      </c>
      <c r="J579" s="10">
        <v>0</v>
      </c>
      <c r="K579" s="10">
        <f>I579*J579</f>
        <v>0</v>
      </c>
    </row>
    <row r="580" spans="1:11" ht="28.5" x14ac:dyDescent="0.2">
      <c r="A580" s="28">
        <v>5660</v>
      </c>
      <c r="B580" s="9" t="s">
        <v>510</v>
      </c>
      <c r="C580" s="9" t="s">
        <v>510</v>
      </c>
      <c r="D580" s="9" t="s">
        <v>234</v>
      </c>
      <c r="E580" s="9" t="s">
        <v>702</v>
      </c>
      <c r="F580" s="9" t="s">
        <v>126</v>
      </c>
      <c r="G580" s="225" t="s">
        <v>809</v>
      </c>
      <c r="H580" s="9" t="s">
        <v>831</v>
      </c>
      <c r="I580" s="55">
        <f>COUNTIF('LOGBOOK VIEWER'!$B$7:$B$10600,$A580)</f>
        <v>0</v>
      </c>
      <c r="J580" s="10">
        <v>0</v>
      </c>
      <c r="K580" s="10">
        <f>I580*J580</f>
        <v>0</v>
      </c>
    </row>
    <row r="581" spans="1:11" ht="28.5" x14ac:dyDescent="0.2">
      <c r="A581" s="28">
        <v>5700</v>
      </c>
      <c r="B581" s="9" t="s">
        <v>511</v>
      </c>
      <c r="C581" s="9" t="s">
        <v>512</v>
      </c>
      <c r="D581" s="9" t="s">
        <v>234</v>
      </c>
      <c r="E581" s="9" t="s">
        <v>702</v>
      </c>
      <c r="F581" s="9" t="s">
        <v>125</v>
      </c>
      <c r="G581" s="225" t="s">
        <v>809</v>
      </c>
      <c r="H581" s="9" t="s">
        <v>831</v>
      </c>
      <c r="I581" s="55">
        <f>COUNTIF('LOGBOOK VIEWER'!$B$7:$B$10600,$A581)</f>
        <v>0</v>
      </c>
      <c r="J581" s="10">
        <v>0</v>
      </c>
      <c r="K581" s="10">
        <f>I581*J581</f>
        <v>0</v>
      </c>
    </row>
    <row r="582" spans="1:11" ht="28.5" x14ac:dyDescent="0.2">
      <c r="A582" s="28">
        <v>5701</v>
      </c>
      <c r="B582" s="9" t="s">
        <v>513</v>
      </c>
      <c r="C582" s="9" t="s">
        <v>514</v>
      </c>
      <c r="D582" s="9" t="s">
        <v>234</v>
      </c>
      <c r="E582" s="9" t="s">
        <v>702</v>
      </c>
      <c r="F582" s="9" t="s">
        <v>125</v>
      </c>
      <c r="G582" s="225" t="s">
        <v>809</v>
      </c>
      <c r="H582" s="9" t="s">
        <v>831</v>
      </c>
      <c r="I582" s="55">
        <f>COUNTIF('LOGBOOK VIEWER'!$B$7:$B$10600,$A582)</f>
        <v>0</v>
      </c>
      <c r="J582" s="10">
        <v>0</v>
      </c>
      <c r="K582" s="10">
        <f>I582*J582</f>
        <v>0</v>
      </c>
    </row>
    <row r="583" spans="1:11" ht="42.75" x14ac:dyDescent="0.2">
      <c r="A583" s="28">
        <v>5702</v>
      </c>
      <c r="B583" s="9" t="s">
        <v>515</v>
      </c>
      <c r="C583" s="9" t="s">
        <v>517</v>
      </c>
      <c r="D583" s="9" t="s">
        <v>4</v>
      </c>
      <c r="E583" s="9" t="s">
        <v>14</v>
      </c>
      <c r="F583" s="9" t="s">
        <v>125</v>
      </c>
      <c r="G583" s="225" t="s">
        <v>412</v>
      </c>
      <c r="H583" s="9" t="s">
        <v>831</v>
      </c>
      <c r="I583" s="55">
        <f>COUNTIF('LOGBOOK VIEWER'!$B$7:$B$10600,$A583)</f>
        <v>0</v>
      </c>
      <c r="J583" s="10">
        <v>0.5</v>
      </c>
      <c r="K583" s="10">
        <f>I583*J583</f>
        <v>0</v>
      </c>
    </row>
    <row r="584" spans="1:11" ht="85.5" x14ac:dyDescent="0.2">
      <c r="A584" s="28">
        <v>5703</v>
      </c>
      <c r="B584" s="9" t="s">
        <v>518</v>
      </c>
      <c r="C584" s="9" t="s">
        <v>519</v>
      </c>
      <c r="D584" s="9" t="s">
        <v>404</v>
      </c>
      <c r="E584" s="9" t="s">
        <v>404</v>
      </c>
      <c r="F584" s="9" t="s">
        <v>125</v>
      </c>
      <c r="G584" s="225" t="s">
        <v>412</v>
      </c>
      <c r="H584" s="9" t="s">
        <v>831</v>
      </c>
      <c r="I584" s="55">
        <f>COUNTIF('LOGBOOK VIEWER'!$B$7:$B$10600,$A584)</f>
        <v>0</v>
      </c>
      <c r="J584" s="10">
        <v>0.5</v>
      </c>
      <c r="K584" s="10">
        <f>I584*J584</f>
        <v>0</v>
      </c>
    </row>
    <row r="585" spans="1:11" ht="28.5" x14ac:dyDescent="0.2">
      <c r="A585" s="28">
        <v>10000</v>
      </c>
      <c r="B585" s="9" t="s">
        <v>520</v>
      </c>
      <c r="C585" s="9" t="s">
        <v>520</v>
      </c>
      <c r="D585" s="9" t="s">
        <v>234</v>
      </c>
      <c r="E585" s="9" t="s">
        <v>494</v>
      </c>
      <c r="F585" s="9" t="s">
        <v>125</v>
      </c>
      <c r="G585" s="225" t="s">
        <v>809</v>
      </c>
      <c r="H585" s="9" t="s">
        <v>831</v>
      </c>
      <c r="I585" s="55">
        <f>COUNTIF('LOGBOOK VIEWER'!$B$7:$B$10600,$A585)</f>
        <v>0</v>
      </c>
      <c r="J585" s="10">
        <v>0</v>
      </c>
      <c r="K585" s="10">
        <f>I585*J585</f>
        <v>0</v>
      </c>
    </row>
    <row r="586" spans="1:11" x14ac:dyDescent="0.2">
      <c r="A586" s="28">
        <v>10002</v>
      </c>
      <c r="B586" s="9" t="s">
        <v>521</v>
      </c>
      <c r="C586" s="9" t="s">
        <v>521</v>
      </c>
      <c r="D586" s="9" t="s">
        <v>234</v>
      </c>
      <c r="E586" s="9" t="s">
        <v>494</v>
      </c>
      <c r="F586" s="9" t="s">
        <v>831</v>
      </c>
      <c r="G586" s="225" t="s">
        <v>809</v>
      </c>
      <c r="H586" s="9" t="s">
        <v>831</v>
      </c>
      <c r="I586" s="55">
        <f>COUNTIF('LOGBOOK VIEWER'!$B$7:$B$10600,$A586)</f>
        <v>0</v>
      </c>
      <c r="J586" s="10">
        <v>0</v>
      </c>
      <c r="K586" s="10">
        <f>I586*J586</f>
        <v>0</v>
      </c>
    </row>
    <row r="587" spans="1:11" ht="28.5" x14ac:dyDescent="0.2">
      <c r="A587" s="28">
        <v>10003</v>
      </c>
      <c r="B587" s="9" t="s">
        <v>522</v>
      </c>
      <c r="C587" s="9" t="s">
        <v>523</v>
      </c>
      <c r="D587" s="9" t="s">
        <v>234</v>
      </c>
      <c r="E587" s="9" t="s">
        <v>494</v>
      </c>
      <c r="F587" s="9" t="s">
        <v>125</v>
      </c>
      <c r="G587" s="225" t="s">
        <v>809</v>
      </c>
      <c r="H587" s="9" t="s">
        <v>831</v>
      </c>
      <c r="I587" s="55">
        <f>COUNTIF('LOGBOOK VIEWER'!$B$7:$B$10600,$A587)</f>
        <v>0</v>
      </c>
      <c r="J587" s="10">
        <v>0</v>
      </c>
      <c r="K587" s="10">
        <f>I587*J587</f>
        <v>0</v>
      </c>
    </row>
    <row r="588" spans="1:11" ht="28.5" x14ac:dyDescent="0.2">
      <c r="A588" s="28">
        <v>10004</v>
      </c>
      <c r="B588" s="9" t="s">
        <v>522</v>
      </c>
      <c r="C588" s="9" t="s">
        <v>524</v>
      </c>
      <c r="D588" s="9" t="s">
        <v>234</v>
      </c>
      <c r="E588" s="9" t="s">
        <v>494</v>
      </c>
      <c r="F588" s="9" t="s">
        <v>125</v>
      </c>
      <c r="G588" s="225" t="s">
        <v>809</v>
      </c>
      <c r="H588" s="9" t="s">
        <v>831</v>
      </c>
      <c r="I588" s="55">
        <f>COUNTIF('LOGBOOK VIEWER'!$B$7:$B$10600,$A588)</f>
        <v>0</v>
      </c>
      <c r="J588" s="10">
        <v>0</v>
      </c>
      <c r="K588" s="10">
        <f>I588*J588</f>
        <v>0</v>
      </c>
    </row>
    <row r="589" spans="1:11" ht="42.75" x14ac:dyDescent="0.2">
      <c r="A589" s="28">
        <v>10005</v>
      </c>
      <c r="B589" s="9" t="s">
        <v>527</v>
      </c>
      <c r="C589" s="9" t="s">
        <v>528</v>
      </c>
      <c r="D589" s="9" t="s">
        <v>234</v>
      </c>
      <c r="E589" s="9" t="s">
        <v>494</v>
      </c>
      <c r="F589" s="9" t="s">
        <v>125</v>
      </c>
      <c r="G589" s="225" t="s">
        <v>809</v>
      </c>
      <c r="H589" s="9" t="s">
        <v>831</v>
      </c>
      <c r="I589" s="55">
        <f>COUNTIF('LOGBOOK VIEWER'!$B$7:$B$10600,$A589)</f>
        <v>0</v>
      </c>
      <c r="J589" s="10">
        <v>0</v>
      </c>
      <c r="K589" s="10">
        <f>I589*J589</f>
        <v>0</v>
      </c>
    </row>
    <row r="590" spans="1:11" ht="42.75" x14ac:dyDescent="0.2">
      <c r="A590" s="28">
        <v>10006</v>
      </c>
      <c r="B590" s="9" t="s">
        <v>529</v>
      </c>
      <c r="C590" s="9" t="s">
        <v>530</v>
      </c>
      <c r="D590" s="9" t="s">
        <v>234</v>
      </c>
      <c r="E590" s="9" t="s">
        <v>494</v>
      </c>
      <c r="F590" s="9" t="s">
        <v>126</v>
      </c>
      <c r="G590" s="225" t="s">
        <v>809</v>
      </c>
      <c r="H590" s="9" t="s">
        <v>831</v>
      </c>
      <c r="I590" s="55">
        <f>COUNTIF('LOGBOOK VIEWER'!$B$7:$B$10600,$A590)</f>
        <v>0</v>
      </c>
      <c r="J590" s="10">
        <v>0</v>
      </c>
      <c r="K590" s="10">
        <f>I590*J590</f>
        <v>0</v>
      </c>
    </row>
    <row r="591" spans="1:11" ht="28.5" x14ac:dyDescent="0.2">
      <c r="A591" s="28">
        <v>10007</v>
      </c>
      <c r="B591" s="9" t="s">
        <v>522</v>
      </c>
      <c r="C591" s="9" t="s">
        <v>531</v>
      </c>
      <c r="D591" s="9" t="s">
        <v>234</v>
      </c>
      <c r="E591" s="9" t="s">
        <v>494</v>
      </c>
      <c r="F591" s="9" t="s">
        <v>126</v>
      </c>
      <c r="G591" s="225" t="s">
        <v>809</v>
      </c>
      <c r="H591" s="9" t="s">
        <v>831</v>
      </c>
      <c r="I591" s="55">
        <f>COUNTIF('LOGBOOK VIEWER'!$B$7:$B$10600,$A591)</f>
        <v>0</v>
      </c>
      <c r="J591" s="10">
        <v>0</v>
      </c>
      <c r="K591" s="10">
        <f>I591*J591</f>
        <v>0</v>
      </c>
    </row>
    <row r="592" spans="1:11" ht="57" x14ac:dyDescent="0.2">
      <c r="A592" s="28">
        <v>10008</v>
      </c>
      <c r="B592" s="9" t="s">
        <v>532</v>
      </c>
      <c r="C592" s="9" t="s">
        <v>533</v>
      </c>
      <c r="D592" s="9" t="s">
        <v>234</v>
      </c>
      <c r="E592" s="9" t="s">
        <v>494</v>
      </c>
      <c r="F592" s="9" t="s">
        <v>125</v>
      </c>
      <c r="G592" s="225" t="s">
        <v>809</v>
      </c>
      <c r="H592" s="9" t="s">
        <v>831</v>
      </c>
      <c r="I592" s="55">
        <f>COUNTIF('LOGBOOK VIEWER'!$B$7:$B$10600,$A592)</f>
        <v>0</v>
      </c>
      <c r="J592" s="10">
        <v>0</v>
      </c>
      <c r="K592" s="10">
        <f>I592*J592</f>
        <v>0</v>
      </c>
    </row>
    <row r="593" spans="1:11" ht="57" x14ac:dyDescent="0.2">
      <c r="A593" s="28">
        <v>10009</v>
      </c>
      <c r="B593" s="9" t="s">
        <v>534</v>
      </c>
      <c r="C593" s="9" t="s">
        <v>533</v>
      </c>
      <c r="D593" s="9" t="s">
        <v>234</v>
      </c>
      <c r="E593" s="9" t="s">
        <v>494</v>
      </c>
      <c r="F593" s="9" t="s">
        <v>126</v>
      </c>
      <c r="G593" s="225" t="s">
        <v>809</v>
      </c>
      <c r="H593" s="9" t="s">
        <v>831</v>
      </c>
      <c r="I593" s="55">
        <f>COUNTIF('LOGBOOK VIEWER'!$B$7:$B$10600,$A593)</f>
        <v>0</v>
      </c>
      <c r="J593" s="10">
        <v>0</v>
      </c>
      <c r="K593" s="10">
        <f>I593*J593</f>
        <v>0</v>
      </c>
    </row>
    <row r="594" spans="1:11" ht="71.25" x14ac:dyDescent="0.2">
      <c r="A594" s="28">
        <v>10010</v>
      </c>
      <c r="B594" s="9" t="s">
        <v>535</v>
      </c>
      <c r="C594" s="9" t="s">
        <v>74</v>
      </c>
      <c r="D594" s="9" t="s">
        <v>234</v>
      </c>
      <c r="E594" s="9" t="s">
        <v>494</v>
      </c>
      <c r="F594" s="9" t="s">
        <v>126</v>
      </c>
      <c r="G594" s="225" t="s">
        <v>809</v>
      </c>
      <c r="H594" s="9" t="s">
        <v>831</v>
      </c>
      <c r="I594" s="55">
        <f>COUNTIF('LOGBOOK VIEWER'!$B$7:$B$10600,$A594)</f>
        <v>0</v>
      </c>
      <c r="J594" s="10">
        <v>0</v>
      </c>
      <c r="K594" s="10">
        <f>I594*J594</f>
        <v>0</v>
      </c>
    </row>
    <row r="595" spans="1:11" ht="28.5" x14ac:dyDescent="0.2">
      <c r="A595" s="28">
        <v>10011</v>
      </c>
      <c r="B595" s="9" t="s">
        <v>535</v>
      </c>
      <c r="C595" s="9" t="s">
        <v>75</v>
      </c>
      <c r="D595" s="9" t="s">
        <v>234</v>
      </c>
      <c r="E595" s="9" t="s">
        <v>494</v>
      </c>
      <c r="F595" s="9" t="s">
        <v>126</v>
      </c>
      <c r="G595" s="225" t="s">
        <v>809</v>
      </c>
      <c r="H595" s="9" t="s">
        <v>831</v>
      </c>
      <c r="I595" s="55">
        <f>COUNTIF('LOGBOOK VIEWER'!$B$7:$B$10600,$A595)</f>
        <v>0</v>
      </c>
      <c r="J595" s="10">
        <v>0</v>
      </c>
      <c r="K595" s="10">
        <f>I595*J595</f>
        <v>0</v>
      </c>
    </row>
    <row r="596" spans="1:11" ht="28.5" x14ac:dyDescent="0.2">
      <c r="A596" s="28">
        <v>10012</v>
      </c>
      <c r="B596" s="9" t="s">
        <v>535</v>
      </c>
      <c r="C596" s="9" t="s">
        <v>76</v>
      </c>
      <c r="D596" s="9" t="s">
        <v>234</v>
      </c>
      <c r="E596" s="9" t="s">
        <v>494</v>
      </c>
      <c r="F596" s="9" t="s">
        <v>125</v>
      </c>
      <c r="G596" s="225" t="s">
        <v>809</v>
      </c>
      <c r="H596" s="9" t="s">
        <v>831</v>
      </c>
      <c r="I596" s="55">
        <f>COUNTIF('LOGBOOK VIEWER'!$B$7:$B$10600,$A596)</f>
        <v>0</v>
      </c>
      <c r="J596" s="10">
        <v>0</v>
      </c>
      <c r="K596" s="10">
        <f>I596*J596</f>
        <v>0</v>
      </c>
    </row>
    <row r="597" spans="1:11" ht="28.5" x14ac:dyDescent="0.2">
      <c r="A597" s="28">
        <v>10013</v>
      </c>
      <c r="B597" s="9" t="s">
        <v>535</v>
      </c>
      <c r="C597" s="9" t="s">
        <v>77</v>
      </c>
      <c r="D597" s="9" t="s">
        <v>234</v>
      </c>
      <c r="E597" s="9" t="s">
        <v>494</v>
      </c>
      <c r="F597" s="9" t="s">
        <v>126</v>
      </c>
      <c r="G597" s="225" t="s">
        <v>809</v>
      </c>
      <c r="H597" s="9" t="s">
        <v>831</v>
      </c>
      <c r="I597" s="55">
        <f>COUNTIF('LOGBOOK VIEWER'!$B$7:$B$10600,$A597)</f>
        <v>0</v>
      </c>
      <c r="J597" s="10">
        <v>0</v>
      </c>
      <c r="K597" s="10">
        <f>I597*J597</f>
        <v>0</v>
      </c>
    </row>
    <row r="598" spans="1:11" ht="28.5" x14ac:dyDescent="0.2">
      <c r="A598" s="28">
        <v>10014</v>
      </c>
      <c r="B598" s="9" t="s">
        <v>535</v>
      </c>
      <c r="C598" s="9" t="s">
        <v>78</v>
      </c>
      <c r="D598" s="9" t="s">
        <v>234</v>
      </c>
      <c r="E598" s="9" t="s">
        <v>494</v>
      </c>
      <c r="F598" s="9" t="s">
        <v>125</v>
      </c>
      <c r="G598" s="225" t="s">
        <v>809</v>
      </c>
      <c r="H598" s="9" t="s">
        <v>831</v>
      </c>
      <c r="I598" s="55">
        <f>COUNTIF('LOGBOOK VIEWER'!$B$7:$B$10600,$A598)</f>
        <v>0</v>
      </c>
      <c r="J598" s="10">
        <v>0</v>
      </c>
      <c r="K598" s="10">
        <f>I598*J598</f>
        <v>0</v>
      </c>
    </row>
    <row r="599" spans="1:11" ht="28.5" x14ac:dyDescent="0.2">
      <c r="A599" s="28">
        <v>10015</v>
      </c>
      <c r="B599" s="9" t="s">
        <v>535</v>
      </c>
      <c r="C599" s="9" t="s">
        <v>79</v>
      </c>
      <c r="D599" s="9" t="s">
        <v>234</v>
      </c>
      <c r="E599" s="9" t="s">
        <v>494</v>
      </c>
      <c r="F599" s="9" t="s">
        <v>125</v>
      </c>
      <c r="G599" s="225" t="s">
        <v>809</v>
      </c>
      <c r="H599" s="9" t="s">
        <v>831</v>
      </c>
      <c r="I599" s="55">
        <f>COUNTIF('LOGBOOK VIEWER'!$B$7:$B$10600,$A599)</f>
        <v>0</v>
      </c>
      <c r="J599" s="10">
        <v>0</v>
      </c>
      <c r="K599" s="10">
        <f>I599*J599</f>
        <v>0</v>
      </c>
    </row>
    <row r="600" spans="1:11" ht="28.5" x14ac:dyDescent="0.2">
      <c r="A600" s="28">
        <v>10016</v>
      </c>
      <c r="B600" s="9" t="s">
        <v>80</v>
      </c>
      <c r="C600" s="9" t="s">
        <v>81</v>
      </c>
      <c r="D600" s="9" t="s">
        <v>234</v>
      </c>
      <c r="E600" s="9" t="s">
        <v>494</v>
      </c>
      <c r="F600" s="9" t="s">
        <v>125</v>
      </c>
      <c r="G600" s="225" t="s">
        <v>809</v>
      </c>
      <c r="H600" s="9" t="s">
        <v>831</v>
      </c>
      <c r="I600" s="55">
        <f>COUNTIF('LOGBOOK VIEWER'!$B$7:$B$10600,$A600)</f>
        <v>0</v>
      </c>
      <c r="J600" s="10">
        <v>0</v>
      </c>
      <c r="K600" s="10">
        <f>I600*J600</f>
        <v>0</v>
      </c>
    </row>
    <row r="601" spans="1:11" ht="42.75" x14ac:dyDescent="0.2">
      <c r="A601" s="28">
        <v>10017</v>
      </c>
      <c r="B601" s="9" t="s">
        <v>82</v>
      </c>
      <c r="C601" s="9" t="s">
        <v>296</v>
      </c>
      <c r="D601" s="9" t="s">
        <v>234</v>
      </c>
      <c r="E601" s="9" t="s">
        <v>494</v>
      </c>
      <c r="F601" s="9" t="s">
        <v>125</v>
      </c>
      <c r="G601" s="225" t="s">
        <v>809</v>
      </c>
      <c r="H601" s="9" t="s">
        <v>831</v>
      </c>
      <c r="I601" s="55">
        <f>COUNTIF('LOGBOOK VIEWER'!$B$7:$B$10600,$A601)</f>
        <v>0</v>
      </c>
      <c r="J601" s="10">
        <v>0</v>
      </c>
      <c r="K601" s="10">
        <f>I601*J601</f>
        <v>0</v>
      </c>
    </row>
    <row r="602" spans="1:11" ht="28.5" x14ac:dyDescent="0.2">
      <c r="A602" s="28">
        <v>10018</v>
      </c>
      <c r="B602" s="9" t="s">
        <v>83</v>
      </c>
      <c r="C602" s="9" t="s">
        <v>84</v>
      </c>
      <c r="D602" s="9" t="s">
        <v>234</v>
      </c>
      <c r="E602" s="9" t="s">
        <v>494</v>
      </c>
      <c r="F602" s="9" t="s">
        <v>125</v>
      </c>
      <c r="G602" s="225" t="s">
        <v>809</v>
      </c>
      <c r="H602" s="9" t="s">
        <v>831</v>
      </c>
      <c r="I602" s="55">
        <f>COUNTIF('LOGBOOK VIEWER'!$B$7:$B$10600,$A602)</f>
        <v>0</v>
      </c>
      <c r="J602" s="10">
        <v>0</v>
      </c>
      <c r="K602" s="10">
        <f>I602*J602</f>
        <v>0</v>
      </c>
    </row>
    <row r="603" spans="1:11" ht="42.75" x14ac:dyDescent="0.2">
      <c r="A603" s="28">
        <v>10019</v>
      </c>
      <c r="B603" s="9" t="s">
        <v>306</v>
      </c>
      <c r="C603" s="9" t="s">
        <v>307</v>
      </c>
      <c r="D603" s="9" t="s">
        <v>234</v>
      </c>
      <c r="E603" s="9" t="s">
        <v>494</v>
      </c>
      <c r="F603" s="9" t="s">
        <v>125</v>
      </c>
      <c r="G603" s="225" t="s">
        <v>809</v>
      </c>
      <c r="H603" s="9" t="s">
        <v>831</v>
      </c>
      <c r="I603" s="55">
        <f>COUNTIF('LOGBOOK VIEWER'!$B$7:$B$10600,$A603)</f>
        <v>0</v>
      </c>
      <c r="J603" s="10">
        <v>0</v>
      </c>
      <c r="K603" s="10">
        <f>I603*J603</f>
        <v>0</v>
      </c>
    </row>
    <row r="604" spans="1:11" ht="42.75" x14ac:dyDescent="0.2">
      <c r="A604" s="28">
        <v>10020</v>
      </c>
      <c r="B604" s="9" t="s">
        <v>85</v>
      </c>
      <c r="C604" s="9" t="s">
        <v>86</v>
      </c>
      <c r="D604" s="9" t="s">
        <v>234</v>
      </c>
      <c r="E604" s="9" t="s">
        <v>494</v>
      </c>
      <c r="F604" s="9" t="s">
        <v>126</v>
      </c>
      <c r="G604" s="225" t="s">
        <v>809</v>
      </c>
      <c r="H604" s="9" t="s">
        <v>831</v>
      </c>
      <c r="I604" s="55">
        <f>COUNTIF('LOGBOOK VIEWER'!$B$7:$B$10600,$A604)</f>
        <v>0</v>
      </c>
      <c r="J604" s="10">
        <v>0</v>
      </c>
      <c r="K604" s="10">
        <f>I604*J604</f>
        <v>0</v>
      </c>
    </row>
    <row r="605" spans="1:11" ht="57" x14ac:dyDescent="0.2">
      <c r="A605" s="28">
        <v>10021</v>
      </c>
      <c r="B605" s="9" t="s">
        <v>87</v>
      </c>
      <c r="C605" s="9" t="s">
        <v>88</v>
      </c>
      <c r="D605" s="9" t="s">
        <v>234</v>
      </c>
      <c r="E605" s="9" t="s">
        <v>494</v>
      </c>
      <c r="F605" s="9" t="s">
        <v>125</v>
      </c>
      <c r="G605" s="225" t="s">
        <v>809</v>
      </c>
      <c r="H605" s="9" t="s">
        <v>831</v>
      </c>
      <c r="I605" s="55">
        <f>COUNTIF('LOGBOOK VIEWER'!$B$7:$B$10600,$A605)</f>
        <v>0</v>
      </c>
      <c r="J605" s="10">
        <v>0</v>
      </c>
      <c r="K605" s="10">
        <f>I605*J605</f>
        <v>0</v>
      </c>
    </row>
    <row r="606" spans="1:11" ht="28.5" x14ac:dyDescent="0.2">
      <c r="A606" s="28">
        <v>10022</v>
      </c>
      <c r="B606" s="9" t="s">
        <v>520</v>
      </c>
      <c r="C606" s="9" t="s">
        <v>89</v>
      </c>
      <c r="D606" s="9" t="s">
        <v>234</v>
      </c>
      <c r="E606" s="9" t="s">
        <v>494</v>
      </c>
      <c r="F606" s="9" t="s">
        <v>125</v>
      </c>
      <c r="G606" s="225" t="s">
        <v>809</v>
      </c>
      <c r="H606" s="9" t="s">
        <v>831</v>
      </c>
      <c r="I606" s="55">
        <f>COUNTIF('LOGBOOK VIEWER'!$B$7:$B$10600,$A606)</f>
        <v>0</v>
      </c>
      <c r="J606" s="10">
        <v>0</v>
      </c>
      <c r="K606" s="10">
        <f>I606*J606</f>
        <v>0</v>
      </c>
    </row>
    <row r="607" spans="1:11" ht="28.5" x14ac:dyDescent="0.2">
      <c r="A607" s="28">
        <v>10023</v>
      </c>
      <c r="B607" s="9" t="s">
        <v>522</v>
      </c>
      <c r="C607" s="9" t="s">
        <v>90</v>
      </c>
      <c r="D607" s="9" t="s">
        <v>234</v>
      </c>
      <c r="E607" s="9" t="s">
        <v>494</v>
      </c>
      <c r="F607" s="9" t="s">
        <v>125</v>
      </c>
      <c r="G607" s="225" t="s">
        <v>809</v>
      </c>
      <c r="H607" s="9" t="s">
        <v>831</v>
      </c>
      <c r="I607" s="55">
        <f>COUNTIF('LOGBOOK VIEWER'!$B$7:$B$10600,$A607)</f>
        <v>0</v>
      </c>
      <c r="J607" s="10">
        <v>0</v>
      </c>
      <c r="K607" s="10">
        <f>I607*J607</f>
        <v>0</v>
      </c>
    </row>
    <row r="608" spans="1:11" ht="28.5" x14ac:dyDescent="0.2">
      <c r="A608" s="28">
        <v>10024</v>
      </c>
      <c r="B608" s="9" t="s">
        <v>535</v>
      </c>
      <c r="C608" s="9" t="s">
        <v>91</v>
      </c>
      <c r="D608" s="9" t="s">
        <v>234</v>
      </c>
      <c r="E608" s="9" t="s">
        <v>494</v>
      </c>
      <c r="F608" s="9" t="s">
        <v>125</v>
      </c>
      <c r="G608" s="225" t="s">
        <v>809</v>
      </c>
      <c r="H608" s="9" t="s">
        <v>831</v>
      </c>
      <c r="I608" s="55">
        <f>COUNTIF('LOGBOOK VIEWER'!$B$7:$B$10600,$A608)</f>
        <v>0</v>
      </c>
      <c r="J608" s="10">
        <v>0</v>
      </c>
      <c r="K608" s="10">
        <f>I608*J608</f>
        <v>0</v>
      </c>
    </row>
    <row r="609" spans="1:11" ht="42.75" x14ac:dyDescent="0.2">
      <c r="A609" s="28">
        <v>10025</v>
      </c>
      <c r="B609" s="9" t="s">
        <v>92</v>
      </c>
      <c r="C609" s="9" t="s">
        <v>93</v>
      </c>
      <c r="D609" s="9" t="s">
        <v>234</v>
      </c>
      <c r="E609" s="9" t="s">
        <v>494</v>
      </c>
      <c r="F609" s="9" t="s">
        <v>126</v>
      </c>
      <c r="G609" s="225" t="s">
        <v>809</v>
      </c>
      <c r="H609" s="9" t="s">
        <v>831</v>
      </c>
      <c r="I609" s="55">
        <f>COUNTIF('LOGBOOK VIEWER'!$B$7:$B$10600,$A609)</f>
        <v>0</v>
      </c>
      <c r="J609" s="10">
        <v>0</v>
      </c>
      <c r="K609" s="10">
        <f>I609*J609</f>
        <v>0</v>
      </c>
    </row>
    <row r="610" spans="1:11" x14ac:dyDescent="0.2">
      <c r="A610" s="28">
        <v>10026</v>
      </c>
      <c r="B610" s="9" t="s">
        <v>950</v>
      </c>
      <c r="C610" s="9" t="s">
        <v>951</v>
      </c>
      <c r="D610" s="9" t="s">
        <v>234</v>
      </c>
      <c r="E610" s="9" t="s">
        <v>494</v>
      </c>
      <c r="F610" s="9" t="s">
        <v>125</v>
      </c>
      <c r="G610" s="225" t="s">
        <v>809</v>
      </c>
      <c r="H610" s="9" t="s">
        <v>831</v>
      </c>
      <c r="I610" s="55">
        <f>COUNTIF('LOGBOOK VIEWER'!$B$7:$B$10600,$A610)</f>
        <v>0</v>
      </c>
      <c r="J610" s="10">
        <v>0</v>
      </c>
      <c r="K610" s="10">
        <f>I610*J610</f>
        <v>0</v>
      </c>
    </row>
    <row r="611" spans="1:11" ht="28.5" x14ac:dyDescent="0.2">
      <c r="A611" s="28">
        <v>10027</v>
      </c>
      <c r="B611" s="9" t="s">
        <v>520</v>
      </c>
      <c r="C611" s="9" t="s">
        <v>217</v>
      </c>
      <c r="D611" s="9" t="s">
        <v>234</v>
      </c>
      <c r="E611" s="9" t="s">
        <v>494</v>
      </c>
      <c r="F611" s="9" t="s">
        <v>125</v>
      </c>
      <c r="G611" s="225" t="s">
        <v>809</v>
      </c>
      <c r="H611" s="9" t="s">
        <v>831</v>
      </c>
      <c r="I611" s="55">
        <f>COUNTIF('LOGBOOK VIEWER'!$B$7:$B$10600,$A611)</f>
        <v>0</v>
      </c>
      <c r="J611" s="10">
        <v>0</v>
      </c>
      <c r="K611" s="10">
        <f>I611*J611</f>
        <v>0</v>
      </c>
    </row>
    <row r="612" spans="1:11" ht="42.75" x14ac:dyDescent="0.2">
      <c r="A612" s="28">
        <v>10028</v>
      </c>
      <c r="B612" s="9" t="s">
        <v>107</v>
      </c>
      <c r="C612" s="9" t="s">
        <v>108</v>
      </c>
      <c r="D612" s="9" t="s">
        <v>234</v>
      </c>
      <c r="E612" s="9" t="s">
        <v>494</v>
      </c>
      <c r="F612" s="9" t="s">
        <v>125</v>
      </c>
      <c r="G612" s="225" t="s">
        <v>809</v>
      </c>
      <c r="H612" s="9" t="s">
        <v>831</v>
      </c>
      <c r="I612" s="55">
        <f>COUNTIF('LOGBOOK VIEWER'!$B$7:$B$10600,$A612)</f>
        <v>0</v>
      </c>
      <c r="J612" s="10">
        <v>0</v>
      </c>
      <c r="K612" s="10">
        <f>I612*J612</f>
        <v>0</v>
      </c>
    </row>
    <row r="613" spans="1:11" ht="28.5" x14ac:dyDescent="0.2">
      <c r="A613" s="28">
        <v>10029</v>
      </c>
      <c r="B613" s="9" t="s">
        <v>535</v>
      </c>
      <c r="C613" s="9" t="s">
        <v>109</v>
      </c>
      <c r="D613" s="9" t="s">
        <v>234</v>
      </c>
      <c r="E613" s="9" t="s">
        <v>494</v>
      </c>
      <c r="F613" s="9" t="s">
        <v>831</v>
      </c>
      <c r="G613" s="225" t="s">
        <v>809</v>
      </c>
      <c r="H613" s="9" t="s">
        <v>831</v>
      </c>
      <c r="I613" s="55">
        <f>COUNTIF('LOGBOOK VIEWER'!$B$7:$B$10600,$A613)</f>
        <v>0</v>
      </c>
      <c r="J613" s="10">
        <v>0</v>
      </c>
      <c r="K613" s="10">
        <f>I613*J613</f>
        <v>0</v>
      </c>
    </row>
    <row r="614" spans="1:11" x14ac:dyDescent="0.2">
      <c r="I614" s="272"/>
    </row>
    <row r="615" spans="1:11" x14ac:dyDescent="0.2">
      <c r="I615" s="272"/>
    </row>
    <row r="616" spans="1:11" x14ac:dyDescent="0.2">
      <c r="I616" s="272"/>
    </row>
    <row r="617" spans="1:11" x14ac:dyDescent="0.2">
      <c r="I617" s="272"/>
    </row>
    <row r="618" spans="1:11" x14ac:dyDescent="0.2">
      <c r="I618" s="272"/>
    </row>
    <row r="619" spans="1:11" x14ac:dyDescent="0.2">
      <c r="I619" s="272"/>
    </row>
    <row r="620" spans="1:11" x14ac:dyDescent="0.2">
      <c r="I620" s="272"/>
    </row>
    <row r="621" spans="1:11" x14ac:dyDescent="0.2">
      <c r="I621" s="272"/>
    </row>
    <row r="622" spans="1:11" x14ac:dyDescent="0.2">
      <c r="I622" s="272"/>
    </row>
    <row r="623" spans="1:11" x14ac:dyDescent="0.2">
      <c r="I623" s="272"/>
    </row>
    <row r="624" spans="1:11" x14ac:dyDescent="0.2">
      <c r="I624" s="272"/>
    </row>
    <row r="625" spans="9:9" x14ac:dyDescent="0.2">
      <c r="I625" s="272"/>
    </row>
    <row r="626" spans="9:9" x14ac:dyDescent="0.2">
      <c r="I626" s="272"/>
    </row>
    <row r="627" spans="9:9" x14ac:dyDescent="0.2">
      <c r="I627" s="272"/>
    </row>
    <row r="628" spans="9:9" x14ac:dyDescent="0.2">
      <c r="I628" s="272"/>
    </row>
    <row r="629" spans="9:9" x14ac:dyDescent="0.2">
      <c r="I629" s="272"/>
    </row>
    <row r="630" spans="9:9" x14ac:dyDescent="0.2">
      <c r="I630" s="272"/>
    </row>
    <row r="631" spans="9:9" x14ac:dyDescent="0.2">
      <c r="I631" s="272"/>
    </row>
    <row r="632" spans="9:9" x14ac:dyDescent="0.2">
      <c r="I632" s="272"/>
    </row>
    <row r="633" spans="9:9" x14ac:dyDescent="0.2">
      <c r="I633" s="272"/>
    </row>
    <row r="634" spans="9:9" x14ac:dyDescent="0.2">
      <c r="I634" s="272"/>
    </row>
    <row r="635" spans="9:9" x14ac:dyDescent="0.2">
      <c r="I635" s="272"/>
    </row>
    <row r="636" spans="9:9" x14ac:dyDescent="0.2">
      <c r="I636" s="272"/>
    </row>
    <row r="637" spans="9:9" x14ac:dyDescent="0.2">
      <c r="I637" s="272"/>
    </row>
    <row r="638" spans="9:9" x14ac:dyDescent="0.2">
      <c r="I638" s="272"/>
    </row>
    <row r="639" spans="9:9" x14ac:dyDescent="0.2">
      <c r="I639" s="272"/>
    </row>
    <row r="640" spans="9:9" x14ac:dyDescent="0.2">
      <c r="I640" s="272"/>
    </row>
    <row r="641" spans="9:9" x14ac:dyDescent="0.2">
      <c r="I641" s="272"/>
    </row>
    <row r="642" spans="9:9" x14ac:dyDescent="0.2">
      <c r="I642" s="272"/>
    </row>
    <row r="643" spans="9:9" x14ac:dyDescent="0.2">
      <c r="I643" s="272"/>
    </row>
    <row r="644" spans="9:9" x14ac:dyDescent="0.2">
      <c r="I644" s="272"/>
    </row>
    <row r="645" spans="9:9" x14ac:dyDescent="0.2">
      <c r="I645" s="272"/>
    </row>
    <row r="646" spans="9:9" x14ac:dyDescent="0.2">
      <c r="I646" s="272"/>
    </row>
    <row r="647" spans="9:9" x14ac:dyDescent="0.2">
      <c r="I647" s="272"/>
    </row>
    <row r="648" spans="9:9" x14ac:dyDescent="0.2">
      <c r="I648" s="272"/>
    </row>
    <row r="649" spans="9:9" x14ac:dyDescent="0.2">
      <c r="I649" s="272"/>
    </row>
    <row r="650" spans="9:9" x14ac:dyDescent="0.2">
      <c r="I650" s="272"/>
    </row>
    <row r="651" spans="9:9" x14ac:dyDescent="0.2">
      <c r="I651" s="272"/>
    </row>
    <row r="652" spans="9:9" x14ac:dyDescent="0.2">
      <c r="I652" s="272"/>
    </row>
    <row r="653" spans="9:9" x14ac:dyDescent="0.2">
      <c r="I653" s="272"/>
    </row>
    <row r="654" spans="9:9" x14ac:dyDescent="0.2">
      <c r="I654" s="272"/>
    </row>
    <row r="655" spans="9:9" x14ac:dyDescent="0.2">
      <c r="I655" s="272"/>
    </row>
    <row r="656" spans="9:9" x14ac:dyDescent="0.2">
      <c r="I656" s="272"/>
    </row>
    <row r="657" spans="9:9" x14ac:dyDescent="0.2">
      <c r="I657" s="272"/>
    </row>
    <row r="658" spans="9:9" x14ac:dyDescent="0.2">
      <c r="I658" s="272"/>
    </row>
    <row r="659" spans="9:9" x14ac:dyDescent="0.2">
      <c r="I659" s="272"/>
    </row>
    <row r="660" spans="9:9" x14ac:dyDescent="0.2">
      <c r="I660" s="272"/>
    </row>
    <row r="661" spans="9:9" x14ac:dyDescent="0.2">
      <c r="I661" s="272"/>
    </row>
    <row r="662" spans="9:9" x14ac:dyDescent="0.2">
      <c r="I662" s="272"/>
    </row>
    <row r="663" spans="9:9" x14ac:dyDescent="0.2">
      <c r="I663" s="272"/>
    </row>
    <row r="664" spans="9:9" x14ac:dyDescent="0.2">
      <c r="I664" s="272"/>
    </row>
    <row r="665" spans="9:9" x14ac:dyDescent="0.2">
      <c r="I665" s="272"/>
    </row>
    <row r="666" spans="9:9" x14ac:dyDescent="0.2">
      <c r="I666" s="272"/>
    </row>
    <row r="667" spans="9:9" x14ac:dyDescent="0.2">
      <c r="I667" s="272"/>
    </row>
    <row r="668" spans="9:9" x14ac:dyDescent="0.2">
      <c r="I668" s="272"/>
    </row>
    <row r="669" spans="9:9" x14ac:dyDescent="0.2">
      <c r="I669" s="272"/>
    </row>
    <row r="670" spans="9:9" x14ac:dyDescent="0.2">
      <c r="I670" s="272"/>
    </row>
    <row r="671" spans="9:9" x14ac:dyDescent="0.2">
      <c r="I671" s="272"/>
    </row>
    <row r="672" spans="9:9" x14ac:dyDescent="0.2">
      <c r="I672" s="272"/>
    </row>
    <row r="673" spans="9:9" x14ac:dyDescent="0.2">
      <c r="I673" s="272"/>
    </row>
    <row r="674" spans="9:9" x14ac:dyDescent="0.2">
      <c r="I674" s="272"/>
    </row>
    <row r="675" spans="9:9" x14ac:dyDescent="0.2">
      <c r="I675" s="272"/>
    </row>
    <row r="676" spans="9:9" x14ac:dyDescent="0.2">
      <c r="I676" s="272"/>
    </row>
    <row r="677" spans="9:9" x14ac:dyDescent="0.2">
      <c r="I677" s="272"/>
    </row>
    <row r="678" spans="9:9" x14ac:dyDescent="0.2">
      <c r="I678" s="272"/>
    </row>
    <row r="679" spans="9:9" x14ac:dyDescent="0.2">
      <c r="I679" s="272"/>
    </row>
    <row r="680" spans="9:9" x14ac:dyDescent="0.2">
      <c r="I680" s="272"/>
    </row>
    <row r="681" spans="9:9" x14ac:dyDescent="0.2">
      <c r="I681" s="272"/>
    </row>
    <row r="682" spans="9:9" x14ac:dyDescent="0.2">
      <c r="I682" s="272"/>
    </row>
    <row r="683" spans="9:9" x14ac:dyDescent="0.2">
      <c r="I683" s="272"/>
    </row>
    <row r="684" spans="9:9" x14ac:dyDescent="0.2">
      <c r="I684" s="272"/>
    </row>
    <row r="685" spans="9:9" x14ac:dyDescent="0.2">
      <c r="I685" s="272"/>
    </row>
    <row r="686" spans="9:9" x14ac:dyDescent="0.2">
      <c r="I686" s="272"/>
    </row>
    <row r="687" spans="9:9" x14ac:dyDescent="0.2">
      <c r="I687" s="272"/>
    </row>
    <row r="688" spans="9:9" x14ac:dyDescent="0.2">
      <c r="I688" s="272"/>
    </row>
    <row r="689" spans="9:9" x14ac:dyDescent="0.2">
      <c r="I689" s="272"/>
    </row>
    <row r="690" spans="9:9" x14ac:dyDescent="0.2">
      <c r="I690" s="272"/>
    </row>
    <row r="691" spans="9:9" x14ac:dyDescent="0.2">
      <c r="I691" s="272"/>
    </row>
    <row r="692" spans="9:9" x14ac:dyDescent="0.2">
      <c r="I692" s="272"/>
    </row>
    <row r="693" spans="9:9" x14ac:dyDescent="0.2">
      <c r="I693" s="272"/>
    </row>
    <row r="694" spans="9:9" x14ac:dyDescent="0.2">
      <c r="I694" s="272"/>
    </row>
    <row r="695" spans="9:9" x14ac:dyDescent="0.2">
      <c r="I695" s="272"/>
    </row>
    <row r="696" spans="9:9" x14ac:dyDescent="0.2">
      <c r="I696" s="272"/>
    </row>
    <row r="697" spans="9:9" x14ac:dyDescent="0.2">
      <c r="I697" s="272"/>
    </row>
    <row r="698" spans="9:9" x14ac:dyDescent="0.2">
      <c r="I698" s="272"/>
    </row>
    <row r="699" spans="9:9" x14ac:dyDescent="0.2">
      <c r="I699" s="272"/>
    </row>
    <row r="700" spans="9:9" x14ac:dyDescent="0.2">
      <c r="I700" s="272"/>
    </row>
  </sheetData>
  <sheetProtection password="FFFF" sheet="1" formatCells="0" formatColumns="0" formatRows="0" insertColumns="0" insertRows="0" insertHyperlinks="0" deleteColumns="0" deleteRows="0" sort="0" autoFilter="0" pivotTables="0"/>
  <autoFilter ref="A1:K613">
    <sortState ref="A2:K613">
      <sortCondition ref="A1:A613"/>
    </sortState>
  </autoFilter>
  <sortState ref="A2:K613">
    <sortCondition ref="A2"/>
  </sortState>
  <phoneticPr fontId="2" type="noConversion"/>
  <pageMargins left="0.75" right="0.75" top="1" bottom="1" header="0.5" footer="0.5"/>
  <headerFooter alignWithMargins="0"/>
  <drawing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Charts</vt:lpstr>
      </vt:variant>
      <vt:variant>
        <vt:i4>2</vt:i4>
      </vt:variant>
    </vt:vector>
  </HeadingPairs>
  <TitlesOfParts>
    <vt:vector size="9" baseType="lpstr">
      <vt:lpstr>LOGBOOK VIEWER</vt:lpstr>
      <vt:lpstr>Summary Table</vt:lpstr>
      <vt:lpstr>Timing Table</vt:lpstr>
      <vt:lpstr>Final Table</vt:lpstr>
      <vt:lpstr>Final Graphs</vt:lpstr>
      <vt:lpstr>Messages Help</vt:lpstr>
      <vt:lpstr>Instructions</vt:lpstr>
      <vt:lpstr>Summary Graph</vt:lpstr>
      <vt:lpstr>Timing Graph</vt:lpstr>
    </vt:vector>
  </TitlesOfParts>
  <Company>I.L.</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ACL TOP LOGBOOK VIEWER (ENG) Rev3</dc:title>
  <dc:subject>Version 3</dc:subject>
  <dc:creator>Massimo Asnaghi</dc:creator>
  <dc:description>modified 2012/10/03 RLG
modified 2013/01/14 MAS
modified 2013/02/02 MAS
modified 2013/02/06 MAS</dc:description>
  <cp:lastModifiedBy>llindsay</cp:lastModifiedBy>
  <cp:lastPrinted>2009-08-26T14:20:03Z</cp:lastPrinted>
  <dcterms:created xsi:type="dcterms:W3CDTF">2009-03-27T10:33:14Z</dcterms:created>
  <dcterms:modified xsi:type="dcterms:W3CDTF">2017-03-17T13:54:31Z</dcterms:modified>
</cp:coreProperties>
</file>